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hidePivotFieldList="1" checkCompatibility="1"/>
  <mc:AlternateContent xmlns:mc="http://schemas.openxmlformats.org/markup-compatibility/2006">
    <mc:Choice Requires="x15">
      <x15ac:absPath xmlns:x15ac="http://schemas.microsoft.com/office/spreadsheetml/2010/11/ac" url="/Users/lorenzadelrio/Library/CloudStorage/Box-Box/Shared Folders/Entregables/01.30/"/>
    </mc:Choice>
  </mc:AlternateContent>
  <xr:revisionPtr revIDLastSave="0" documentId="13_ncr:1_{D514DE02-4FF4-CC4D-B4DA-DD01B3ABB316}" xr6:coauthVersionLast="47" xr6:coauthVersionMax="47" xr10:uidLastSave="{00000000-0000-0000-0000-000000000000}"/>
  <bookViews>
    <workbookView xWindow="0" yWindow="500" windowWidth="28800" windowHeight="15700" tabRatio="500" firstSheet="9" activeTab="29" xr2:uid="{00000000-000D-0000-FFFF-FFFF00000000}"/>
  </bookViews>
  <sheets>
    <sheet name="Cuentas" sheetId="2" r:id="rId1"/>
    <sheet name="Transferencias" sheetId="51" r:id="rId2"/>
    <sheet name="Sumaria Ingresos" sheetId="1" r:id="rId3"/>
    <sheet name="2 Ingresos BMV &amp; SIC" sheetId="30" r:id="rId4"/>
    <sheet name="1 Ingresos Acum &amp; No Acum" sheetId="3" r:id="rId5"/>
    <sheet name="3 Ingresos 10% Ad - Dividendos" sheetId="33" r:id="rId6"/>
    <sheet name="Cap Gain Summary S-I" sheetId="21" r:id="rId7"/>
    <sheet name="Cap Gain Summary S-II" sheetId="41" r:id="rId8"/>
    <sheet name="OFD Summary" sheetId="36" state="hidden" r:id="rId9"/>
    <sheet name="CGDet Cap IV SI &amp; SII - NO OFD " sheetId="22" r:id="rId10"/>
    <sheet name="CG OFD Cap IV SII &amp; Cap IX" sheetId="50" state="hidden" r:id="rId11"/>
    <sheet name="Intereses percibidos" sheetId="5" r:id="rId12"/>
    <sheet name="Intereses en Compra Venta Bonos" sheetId="6" state="hidden" r:id="rId13"/>
    <sheet name="Ganancias Cambiarias - Contrato" sheetId="7" state="hidden" r:id="rId14"/>
    <sheet name="AAI" sheetId="49" r:id="rId15"/>
    <sheet name="Saldos Cash" sheetId="8" r:id="rId16"/>
    <sheet name="Inventario de bonos" sheetId="43" state="hidden" r:id="rId17"/>
    <sheet name="239" sheetId="9" state="hidden" r:id="rId18"/>
    <sheet name="Otros Ingresos" sheetId="14" state="hidden" r:id="rId19"/>
    <sheet name="Dividendos Nacionales" sheetId="10" r:id="rId20"/>
    <sheet name="Reducciones de Capital" sheetId="47" state="hidden" r:id="rId21"/>
    <sheet name="Dividendos Extranjero" sheetId="11" r:id="rId22"/>
    <sheet name="Dividendos Extranjeros - Ret" sheetId="39" r:id="rId23"/>
    <sheet name="PE - Real Gain Loss" sheetId="13" state="hidden" r:id="rId24"/>
    <sheet name="PE - Retenciones" sheetId="40" state="hidden" r:id="rId25"/>
    <sheet name="PE - Inventario" sheetId="48" state="hidden" r:id="rId26"/>
    <sheet name="Otras Retenciones" sheetId="15" state="hidden" r:id="rId27"/>
    <sheet name="Swap" sheetId="44" state="hidden" r:id="rId28"/>
    <sheet name="FWD" sheetId="45" state="hidden" r:id="rId29"/>
    <sheet name="Ventas Acciones &amp; Bonos" sheetId="16" r:id="rId30"/>
    <sheet name="Ventas OFD" sheetId="35" state="hidden" r:id="rId31"/>
    <sheet name="Equivalencia" sheetId="18" r:id="rId32"/>
    <sheet name="TC" sheetId="19" r:id="rId33"/>
    <sheet name="INPC" sheetId="20" r:id="rId34"/>
    <sheet name="Rev JR" sheetId="27" state="hidden" r:id="rId35"/>
  </sheets>
  <definedNames>
    <definedName name="_xlnm._FilterDatabase" localSheetId="21" hidden="1">'Dividendos Extranjero'!$B$6:$K$540</definedName>
    <definedName name="_xlnm._FilterDatabase" localSheetId="22" hidden="1">'Dividendos Extranjeros - Ret'!$B$6:$K$384</definedName>
    <definedName name="_xlnm._FilterDatabase" localSheetId="19" hidden="1">'Dividendos Nacionales'!$B$6:$Q$28</definedName>
    <definedName name="_xlnm._FilterDatabase" localSheetId="28" hidden="1">FWD!$B$6:$J$16</definedName>
    <definedName name="_xlnm._FilterDatabase" localSheetId="13" hidden="1">'Ganancias Cambiarias - Contrato'!$B$7:$K$14</definedName>
    <definedName name="_xlnm._FilterDatabase" localSheetId="12" hidden="1">'Intereses en Compra Venta Bonos'!$B$6:$K$14</definedName>
    <definedName name="_xlnm._FilterDatabase" localSheetId="11" hidden="1">'Intereses percibidos'!$B$6:$K$84</definedName>
    <definedName name="_xlnm._FilterDatabase" localSheetId="26" hidden="1">'Otras Retenciones'!$B$6:$K$16</definedName>
    <definedName name="_xlnm._FilterDatabase" localSheetId="18" hidden="1">'Otros Ingresos'!$B$6:$K$13</definedName>
    <definedName name="_xlnm._FilterDatabase" localSheetId="23" hidden="1">'PE - Real Gain Loss'!$B$6:$K$13</definedName>
    <definedName name="_xlnm._FilterDatabase" localSheetId="24" hidden="1">'PE - Retenciones'!$B$6:$K$13</definedName>
    <definedName name="_xlnm._FilterDatabase" localSheetId="20" hidden="1">'Reducciones de Capital'!$B$6:$J$28</definedName>
    <definedName name="_xlnm._FilterDatabase" localSheetId="34" hidden="1">'Rev JR'!$A$2:$O$155</definedName>
    <definedName name="_xlnm._FilterDatabase" localSheetId="27" hidden="1">Swap!$B$6:$J$16</definedName>
    <definedName name="_xlnm._FilterDatabase" localSheetId="29" hidden="1">'Ventas Acciones &amp; Bonos'!$B$1:$AW$2259</definedName>
    <definedName name="_xlnm._FilterDatabase" localSheetId="30" hidden="1">'Ventas OFD'!$B$1:$AT$500</definedName>
    <definedName name="Accrued_Interest_Paid">'Intereses en Compra Venta Bonos'!$O$2:$O$4</definedName>
    <definedName name="Instrumentos" localSheetId="30">'Ventas OFD'!$AQ$3:$AQ$15</definedName>
    <definedName name="Instrumentos">'Ventas Acciones &amp; Bonos'!$AT$3:$AT$14</definedName>
    <definedName name="Intereses">'Intereses percibidos'!$P$2:$P$82</definedName>
    <definedName name="Monedas">Equivalencia!$A$4:$A$20</definedName>
    <definedName name="Monedas_Dividendos" localSheetId="20">'Reducciones de Capital'!$O$7:$O$8</definedName>
    <definedName name="Monedas_Dividendos">'Dividendos Nacionales'!$V$7:$V$8</definedName>
    <definedName name="Monedas_Ventas">Equivalencia!$A$4:$A$20</definedName>
    <definedName name="Operaciones" localSheetId="30">'Ventas OFD'!$AR$3:$AR$14</definedName>
    <definedName name="Operaciones">'Ventas Acciones &amp; Bonos'!$AU$3:$AU$14</definedName>
    <definedName name="Otros_Ingresos">'Otros Ingresos'!$P$3:$P$11</definedName>
    <definedName name="Pérdida_Cambiaria" localSheetId="28">'Ganancias Cambiarias - Contrato'!#REF!</definedName>
    <definedName name="Pérdida_Cambiaria" localSheetId="20">'Ganancias Cambiarias - Contrato'!#REF!</definedName>
    <definedName name="Pérdida_Cambiaria">'Ganancias Cambiarias - Contrato'!#REF!</definedName>
    <definedName name="_xlnm.Print_Area" localSheetId="4">'1 Ingresos Acum &amp; No Acum'!$B$2:$K$49,'1 Ingresos Acum &amp; No Acum'!$B$52:$K$83</definedName>
    <definedName name="_xlnm.Print_Area" localSheetId="3">'2 Ingresos BMV &amp; SIC'!$B$2:$J$14</definedName>
    <definedName name="_xlnm.Print_Area" localSheetId="17">'239'!$C$2:$D$10</definedName>
    <definedName name="_xlnm.Print_Area" localSheetId="5">'3 Ingresos 10% Ad - Dividendos'!$B$3:$J$22</definedName>
    <definedName name="_xlnm.Print_Area" localSheetId="14">AAI!$C$4:$J$27</definedName>
    <definedName name="_xlnm.Print_Area" localSheetId="6">'Cap Gain Summary S-I'!$B$1:$I$48</definedName>
    <definedName name="_xlnm.Print_Area" localSheetId="7">'Cap Gain Summary S-II'!$B$2:$I$216</definedName>
    <definedName name="_xlnm.Print_Area" localSheetId="10">'CG OFD Cap IV SII &amp; Cap IX'!$B$2:$AA$52</definedName>
    <definedName name="_xlnm.Print_Area" localSheetId="9">'CGDet Cap IV SI &amp; SII - NO OFD '!$B$2:$W$3821</definedName>
    <definedName name="_xlnm.Print_Area" localSheetId="0">Cuentas!$B$1:$D$26</definedName>
    <definedName name="_xlnm.Print_Area" localSheetId="21">'Dividendos Extranjero'!$B$1:$K$570</definedName>
    <definedName name="_xlnm.Print_Area" localSheetId="22">'Dividendos Extranjeros - Ret'!$B$1:$K$414</definedName>
    <definedName name="_xlnm.Print_Area" localSheetId="19">'Dividendos Nacionales'!$B$1:$R$58</definedName>
    <definedName name="_xlnm.Print_Area" localSheetId="28">FWD!$B$1:$J$40</definedName>
    <definedName name="_xlnm.Print_Area" localSheetId="13">'Ganancias Cambiarias - Contrato'!$B$2:$K$44</definedName>
    <definedName name="_xlnm.Print_Area" localSheetId="12">'Intereses en Compra Venta Bonos'!$B$1:$K$42</definedName>
    <definedName name="_xlnm.Print_Area" localSheetId="11">'Intereses percibidos'!$B$1:$K$111</definedName>
    <definedName name="_xlnm.Print_Area" localSheetId="16">'Inventario de bonos'!$B$2:$N$74</definedName>
    <definedName name="_xlnm.Print_Area" localSheetId="8">'OFD Summary'!$B$2:$N$20</definedName>
    <definedName name="_xlnm.Print_Area" localSheetId="26">'Otras Retenciones'!$B$2:$K$45</definedName>
    <definedName name="_xlnm.Print_Area" localSheetId="18">'Otros Ingresos'!$B$1:$K$42</definedName>
    <definedName name="_xlnm.Print_Area" localSheetId="25">'PE - Inventario'!$B$2:$T$169</definedName>
    <definedName name="_xlnm.Print_Area" localSheetId="23">'PE - Real Gain Loss'!$B$2:$K$43</definedName>
    <definedName name="_xlnm.Print_Area" localSheetId="24">'PE - Retenciones'!$B$2:$K$42</definedName>
    <definedName name="_xlnm.Print_Area" localSheetId="20">'Reducciones de Capital'!$B$2:$K$58</definedName>
    <definedName name="_xlnm.Print_Area" localSheetId="15">'Saldos Cash'!$A$10:$M$105,'Saldos Cash'!$A$108:$N$143</definedName>
    <definedName name="_xlnm.Print_Area" localSheetId="2">'Sumaria Ingresos'!$B$3:$G$17</definedName>
    <definedName name="_xlnm.Print_Area" localSheetId="27">Swap!$B$2:$J$40</definedName>
    <definedName name="_xlnm.Print_Titles" localSheetId="6">'Cap Gain Summary S-I'!$2:$5</definedName>
    <definedName name="_xlnm.Print_Titles" localSheetId="7">'Cap Gain Summary S-II'!$2:$5</definedName>
    <definedName name="_xlnm.Print_Titles" localSheetId="10">'CG OFD Cap IV SII &amp; Cap IX'!$2:$5</definedName>
    <definedName name="_xlnm.Print_Titles" localSheetId="9">'CGDet Cap IV SI &amp; SII - NO OFD '!$1:$5</definedName>
    <definedName name="_xlnm.Print_Titles" localSheetId="21">'Dividendos Extranjero'!$1:$6</definedName>
    <definedName name="_xlnm.Print_Titles" localSheetId="22">'Dividendos Extranjeros - Ret'!$1:$6</definedName>
    <definedName name="_xlnm.Print_Titles" localSheetId="19">'Dividendos Nacionales'!$2:$5</definedName>
    <definedName name="_xlnm.Print_Titles" localSheetId="28">FWD!$1:$6</definedName>
    <definedName name="_xlnm.Print_Titles" localSheetId="13">'Ganancias Cambiarias - Contrato'!$1:$7</definedName>
    <definedName name="_xlnm.Print_Titles" localSheetId="12">'Intereses en Compra Venta Bonos'!$2:$6</definedName>
    <definedName name="_xlnm.Print_Titles" localSheetId="11">'Intereses percibidos'!$2:$6</definedName>
    <definedName name="_xlnm.Print_Titles" localSheetId="16">'Inventario de bonos'!$2:$4</definedName>
    <definedName name="_xlnm.Print_Titles" localSheetId="8">'OFD Summary'!$2:$5</definedName>
    <definedName name="_xlnm.Print_Titles" localSheetId="26">'Otras Retenciones'!$2:$6</definedName>
    <definedName name="_xlnm.Print_Titles" localSheetId="18">'Otros Ingresos'!$2:$5</definedName>
    <definedName name="_xlnm.Print_Titles" localSheetId="25">'PE - Inventario'!$2:$4</definedName>
    <definedName name="_xlnm.Print_Titles" localSheetId="23">'PE - Real Gain Loss'!$2:$5</definedName>
    <definedName name="_xlnm.Print_Titles" localSheetId="24">'PE - Retenciones'!$2:$7</definedName>
    <definedName name="_xlnm.Print_Titles" localSheetId="20">'Reducciones de Capital'!$2:$5</definedName>
    <definedName name="_xlnm.Print_Titles" localSheetId="15">'Saldos Cash'!$10:$12</definedName>
    <definedName name="_xlnm.Print_Titles" localSheetId="27">Swap!$1:$6</definedName>
    <definedName name="Private_Equity" localSheetId="24">'PE - Retenciones'!$O$4:$O$11</definedName>
    <definedName name="Private_Equity">'PE - Real Gain Loss'!$O$3:$O$10</definedName>
    <definedName name="Retenciones">'Otras Retenciones'!$P$3:$P$9</definedName>
    <definedName name="Write_Option" localSheetId="28">#REF!</definedName>
    <definedName name="Write_Option" localSheetId="20">#REF!</definedName>
    <definedName name="Write_Option" localSheetId="27">#REF!</definedName>
    <definedName name="Write_Option">#REF!</definedName>
  </definedNames>
  <calcPr calcId="191029"/>
  <pivotCaches>
    <pivotCache cacheId="201" r:id="rId36"/>
    <pivotCache cacheId="202" r:id="rId37"/>
    <pivotCache cacheId="203" r:id="rId38"/>
  </pivotCaches>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76" i="5" l="1"/>
  <c r="H76" i="5"/>
  <c r="I76" i="5" s="1"/>
  <c r="K76" i="5" s="1"/>
  <c r="L22" i="18" l="1"/>
  <c r="L20" i="18"/>
  <c r="J157" i="11" l="1"/>
  <c r="H157" i="11"/>
  <c r="I157" i="11" s="1"/>
  <c r="K157" i="11" s="1"/>
  <c r="J156" i="11"/>
  <c r="H156" i="11"/>
  <c r="I156" i="11" s="1"/>
  <c r="K156" i="11" s="1"/>
  <c r="J155" i="11"/>
  <c r="H155" i="11"/>
  <c r="I155" i="11" s="1"/>
  <c r="K155" i="11" s="1"/>
  <c r="J154" i="11"/>
  <c r="H154" i="11"/>
  <c r="I154" i="11" s="1"/>
  <c r="K154" i="11" s="1"/>
  <c r="J153" i="11"/>
  <c r="H153" i="11"/>
  <c r="I153" i="11" s="1"/>
  <c r="K153" i="11" s="1"/>
  <c r="J152" i="11"/>
  <c r="H152" i="11"/>
  <c r="I152" i="11" s="1"/>
  <c r="K152" i="11" s="1"/>
  <c r="J376" i="39"/>
  <c r="H376" i="39"/>
  <c r="K376" i="39" s="1"/>
  <c r="I376" i="39" l="1"/>
  <c r="J17" i="5" l="1"/>
  <c r="H17" i="5"/>
  <c r="I17" i="5" s="1"/>
  <c r="K17" i="5" s="1"/>
  <c r="J68" i="5"/>
  <c r="H68" i="5"/>
  <c r="I68" i="5" s="1"/>
  <c r="K68" i="5" s="1"/>
  <c r="J178" i="11"/>
  <c r="H178" i="11"/>
  <c r="I178" i="11" s="1"/>
  <c r="J177" i="11"/>
  <c r="H177" i="11"/>
  <c r="I177" i="11" s="1"/>
  <c r="J176" i="11"/>
  <c r="H176" i="11"/>
  <c r="I176" i="11" s="1"/>
  <c r="J175" i="11"/>
  <c r="H175" i="11"/>
  <c r="I175" i="11" s="1"/>
  <c r="K175" i="11" s="1"/>
  <c r="J174" i="11"/>
  <c r="H174" i="11"/>
  <c r="I174" i="11" s="1"/>
  <c r="J173" i="11"/>
  <c r="H173" i="11"/>
  <c r="I173" i="11" s="1"/>
  <c r="K173" i="11" s="1"/>
  <c r="J172" i="11"/>
  <c r="H172" i="11"/>
  <c r="I172" i="11" s="1"/>
  <c r="J171" i="11"/>
  <c r="H171" i="11"/>
  <c r="I171" i="11" s="1"/>
  <c r="K171" i="11" s="1"/>
  <c r="J45" i="11"/>
  <c r="H45" i="11"/>
  <c r="I45" i="11" s="1"/>
  <c r="J44" i="11"/>
  <c r="H44" i="11"/>
  <c r="I44" i="11" s="1"/>
  <c r="K44" i="11" s="1"/>
  <c r="J43" i="11"/>
  <c r="H43" i="11"/>
  <c r="I43" i="11" s="1"/>
  <c r="K172" i="11" l="1"/>
  <c r="K174" i="11"/>
  <c r="K176" i="11"/>
  <c r="K178" i="11"/>
  <c r="K177" i="11"/>
  <c r="K43" i="11"/>
  <c r="K45" i="11"/>
  <c r="J274" i="39" l="1"/>
  <c r="H274" i="39"/>
  <c r="J273" i="39"/>
  <c r="H273" i="39"/>
  <c r="K273" i="39" s="1"/>
  <c r="J272" i="39"/>
  <c r="H272" i="39"/>
  <c r="J271" i="39"/>
  <c r="H271" i="39"/>
  <c r="K271" i="39" s="1"/>
  <c r="J270" i="39"/>
  <c r="H270" i="39"/>
  <c r="J269" i="39"/>
  <c r="H269" i="39"/>
  <c r="K269" i="39" s="1"/>
  <c r="J268" i="39"/>
  <c r="H268" i="39"/>
  <c r="J267" i="39"/>
  <c r="H267" i="39"/>
  <c r="K267" i="39" s="1"/>
  <c r="J266" i="39"/>
  <c r="H266" i="39"/>
  <c r="J265" i="39"/>
  <c r="H265" i="39"/>
  <c r="K265" i="39" s="1"/>
  <c r="J264" i="39"/>
  <c r="H264" i="39"/>
  <c r="J263" i="39"/>
  <c r="H263" i="39"/>
  <c r="K263" i="39" s="1"/>
  <c r="J262" i="39"/>
  <c r="H262" i="39"/>
  <c r="J261" i="39"/>
  <c r="H261" i="39"/>
  <c r="K261" i="39" s="1"/>
  <c r="J260" i="39"/>
  <c r="H260" i="39"/>
  <c r="J259" i="39"/>
  <c r="H259" i="39"/>
  <c r="K259" i="39" s="1"/>
  <c r="J258" i="39"/>
  <c r="H258" i="39"/>
  <c r="K258" i="39" s="1"/>
  <c r="J257" i="39"/>
  <c r="H257" i="39"/>
  <c r="J256" i="39"/>
  <c r="H256" i="39"/>
  <c r="K256" i="39" s="1"/>
  <c r="J255" i="39"/>
  <c r="H255" i="39"/>
  <c r="J254" i="39"/>
  <c r="H254" i="39"/>
  <c r="K254" i="39" s="1"/>
  <c r="J253" i="39"/>
  <c r="H253" i="39"/>
  <c r="J252" i="39"/>
  <c r="H252" i="39"/>
  <c r="K252" i="39" s="1"/>
  <c r="J251" i="39"/>
  <c r="H251" i="39"/>
  <c r="J250" i="39"/>
  <c r="H250" i="39"/>
  <c r="K250" i="39" s="1"/>
  <c r="J249" i="39"/>
  <c r="H249" i="39"/>
  <c r="J248" i="39"/>
  <c r="H248" i="39"/>
  <c r="J247" i="39"/>
  <c r="H247" i="39"/>
  <c r="J55" i="5"/>
  <c r="H55" i="5"/>
  <c r="I55" i="5" s="1"/>
  <c r="K55" i="5" s="1"/>
  <c r="J442" i="11"/>
  <c r="H442" i="11"/>
  <c r="I442" i="11" s="1"/>
  <c r="K442" i="11" s="1"/>
  <c r="J441" i="11"/>
  <c r="H441" i="11"/>
  <c r="I441" i="11" s="1"/>
  <c r="J440" i="11"/>
  <c r="H440" i="11"/>
  <c r="I440" i="11" s="1"/>
  <c r="K440" i="11" s="1"/>
  <c r="J439" i="11"/>
  <c r="H439" i="11"/>
  <c r="I439" i="11" s="1"/>
  <c r="J438" i="11"/>
  <c r="H438" i="11"/>
  <c r="I438" i="11" s="1"/>
  <c r="K438" i="11" s="1"/>
  <c r="J437" i="11"/>
  <c r="H437" i="11"/>
  <c r="I437" i="11" s="1"/>
  <c r="J436" i="11"/>
  <c r="H436" i="11"/>
  <c r="I436" i="11" s="1"/>
  <c r="K436" i="11" s="1"/>
  <c r="J435" i="11"/>
  <c r="H435" i="11"/>
  <c r="I435" i="11" s="1"/>
  <c r="K435" i="11" s="1"/>
  <c r="J434" i="11"/>
  <c r="H434" i="11"/>
  <c r="I434" i="11" s="1"/>
  <c r="K434" i="11" s="1"/>
  <c r="J433" i="11"/>
  <c r="H433" i="11"/>
  <c r="I433" i="11" s="1"/>
  <c r="J432" i="11"/>
  <c r="H432" i="11"/>
  <c r="I432" i="11" s="1"/>
  <c r="J431" i="11"/>
  <c r="H431" i="11"/>
  <c r="I431" i="11" s="1"/>
  <c r="J430" i="11"/>
  <c r="H430" i="11"/>
  <c r="I430" i="11" s="1"/>
  <c r="K430" i="11" s="1"/>
  <c r="J429" i="11"/>
  <c r="H429" i="11"/>
  <c r="I429" i="11" s="1"/>
  <c r="J428" i="11"/>
  <c r="H428" i="11"/>
  <c r="I428" i="11" s="1"/>
  <c r="K428" i="11" s="1"/>
  <c r="J427" i="11"/>
  <c r="H427" i="11"/>
  <c r="I427" i="11" s="1"/>
  <c r="K427" i="11" s="1"/>
  <c r="J426" i="11"/>
  <c r="H426" i="11"/>
  <c r="I426" i="11" s="1"/>
  <c r="K426" i="11" s="1"/>
  <c r="J425" i="11"/>
  <c r="H425" i="11"/>
  <c r="I425" i="11" s="1"/>
  <c r="K425" i="11" s="1"/>
  <c r="J424" i="11"/>
  <c r="H424" i="11"/>
  <c r="I424" i="11" s="1"/>
  <c r="K424" i="11" s="1"/>
  <c r="J423" i="11"/>
  <c r="H423" i="11"/>
  <c r="I423" i="11" s="1"/>
  <c r="K423" i="11" s="1"/>
  <c r="J422" i="11"/>
  <c r="H422" i="11"/>
  <c r="I422" i="11" s="1"/>
  <c r="K422" i="11" s="1"/>
  <c r="J421" i="11"/>
  <c r="H421" i="11"/>
  <c r="I421" i="11" s="1"/>
  <c r="J420" i="11"/>
  <c r="H420" i="11"/>
  <c r="I420" i="11" s="1"/>
  <c r="K420" i="11" s="1"/>
  <c r="J419" i="11"/>
  <c r="H419" i="11"/>
  <c r="I419" i="11" s="1"/>
  <c r="J418" i="11"/>
  <c r="H418" i="11"/>
  <c r="I418" i="11" s="1"/>
  <c r="K418" i="11" s="1"/>
  <c r="J417" i="11"/>
  <c r="H417" i="11"/>
  <c r="I417" i="11" s="1"/>
  <c r="K417" i="11" s="1"/>
  <c r="J416" i="11"/>
  <c r="H416" i="11"/>
  <c r="I416" i="11" s="1"/>
  <c r="K416" i="11" s="1"/>
  <c r="J415" i="11"/>
  <c r="H415" i="11"/>
  <c r="I415" i="11" s="1"/>
  <c r="J414" i="11"/>
  <c r="H414" i="11"/>
  <c r="I414" i="11" s="1"/>
  <c r="K414" i="11" s="1"/>
  <c r="K437" i="11" l="1"/>
  <c r="K439" i="11"/>
  <c r="K441" i="11"/>
  <c r="K432" i="11"/>
  <c r="K415" i="11"/>
  <c r="K419" i="11"/>
  <c r="K421" i="11"/>
  <c r="K429" i="11"/>
  <c r="K431" i="11"/>
  <c r="K433" i="11"/>
  <c r="K248" i="39"/>
  <c r="K247" i="39"/>
  <c r="K249" i="39"/>
  <c r="K251" i="39"/>
  <c r="K253" i="39"/>
  <c r="K255" i="39"/>
  <c r="K257" i="39"/>
  <c r="K260" i="39"/>
  <c r="K262" i="39"/>
  <c r="K264" i="39"/>
  <c r="K266" i="39"/>
  <c r="K268" i="39"/>
  <c r="K270" i="39"/>
  <c r="K272" i="39"/>
  <c r="K274" i="39"/>
  <c r="I247" i="39"/>
  <c r="I248" i="39"/>
  <c r="I249" i="39"/>
  <c r="I250" i="39"/>
  <c r="I251" i="39"/>
  <c r="I252" i="39"/>
  <c r="I253" i="39"/>
  <c r="I254" i="39"/>
  <c r="I255" i="39"/>
  <c r="I256" i="39"/>
  <c r="I257" i="39"/>
  <c r="I258" i="39"/>
  <c r="I259" i="39"/>
  <c r="I260" i="39"/>
  <c r="I261" i="39"/>
  <c r="I262" i="39"/>
  <c r="I263" i="39"/>
  <c r="I264" i="39"/>
  <c r="I265" i="39"/>
  <c r="I266" i="39"/>
  <c r="I267" i="39"/>
  <c r="I268" i="39"/>
  <c r="I269" i="39"/>
  <c r="I270" i="39"/>
  <c r="I271" i="39"/>
  <c r="I272" i="39"/>
  <c r="I273" i="39"/>
  <c r="I274" i="39"/>
  <c r="J242" i="39"/>
  <c r="H242" i="39"/>
  <c r="J241" i="39"/>
  <c r="H241" i="39"/>
  <c r="J240" i="39"/>
  <c r="H240" i="39"/>
  <c r="J239" i="39"/>
  <c r="H239" i="39"/>
  <c r="J238" i="39"/>
  <c r="H238" i="39"/>
  <c r="J237" i="39"/>
  <c r="H237" i="39"/>
  <c r="J236" i="39"/>
  <c r="H236" i="39"/>
  <c r="J235" i="39"/>
  <c r="H235" i="39"/>
  <c r="J234" i="39"/>
  <c r="H234" i="39"/>
  <c r="J233" i="39"/>
  <c r="H233" i="39"/>
  <c r="J232" i="39"/>
  <c r="H232" i="39"/>
  <c r="J231" i="39"/>
  <c r="H231" i="39"/>
  <c r="J230" i="39"/>
  <c r="H230" i="39"/>
  <c r="J229" i="39"/>
  <c r="H229" i="39"/>
  <c r="J228" i="39"/>
  <c r="H228" i="39"/>
  <c r="J227" i="39"/>
  <c r="H227" i="39"/>
  <c r="J226" i="39"/>
  <c r="H226" i="39"/>
  <c r="J225" i="39"/>
  <c r="H225" i="39"/>
  <c r="J224" i="39"/>
  <c r="H224" i="39"/>
  <c r="J223" i="39"/>
  <c r="H223" i="39"/>
  <c r="J222" i="39"/>
  <c r="H222" i="39"/>
  <c r="J221" i="39"/>
  <c r="H221" i="39"/>
  <c r="J220" i="39"/>
  <c r="H220" i="39"/>
  <c r="J219" i="39"/>
  <c r="H219" i="39"/>
  <c r="J218" i="39"/>
  <c r="H218" i="39"/>
  <c r="J217" i="39"/>
  <c r="H217" i="39"/>
  <c r="J216" i="39"/>
  <c r="H216" i="39"/>
  <c r="J215" i="39"/>
  <c r="H215" i="39"/>
  <c r="J214" i="39"/>
  <c r="H214" i="39"/>
  <c r="J213" i="39"/>
  <c r="H213" i="39"/>
  <c r="J212" i="39"/>
  <c r="H212" i="39"/>
  <c r="J211" i="39"/>
  <c r="H211" i="39"/>
  <c r="J210" i="39"/>
  <c r="H210" i="39"/>
  <c r="J209" i="39"/>
  <c r="H209" i="39"/>
  <c r="J208" i="39"/>
  <c r="H208" i="39"/>
  <c r="J207" i="39"/>
  <c r="H207" i="39"/>
  <c r="J206" i="39"/>
  <c r="H206" i="39"/>
  <c r="J205" i="39"/>
  <c r="H205" i="39"/>
  <c r="J204" i="39"/>
  <c r="H204" i="39"/>
  <c r="J203" i="39"/>
  <c r="H203" i="39"/>
  <c r="J202" i="39"/>
  <c r="H202" i="39"/>
  <c r="J201" i="39"/>
  <c r="H201" i="39"/>
  <c r="J200" i="39"/>
  <c r="H200" i="39"/>
  <c r="J199" i="39"/>
  <c r="H199" i="39"/>
  <c r="J198" i="39"/>
  <c r="H198" i="39"/>
  <c r="J197" i="39"/>
  <c r="H197" i="39"/>
  <c r="J196" i="39"/>
  <c r="H196" i="39"/>
  <c r="K196" i="39" s="1"/>
  <c r="J195" i="39"/>
  <c r="H195" i="39"/>
  <c r="J194" i="39"/>
  <c r="H194" i="39"/>
  <c r="K194" i="39" s="1"/>
  <c r="J193" i="39"/>
  <c r="H193" i="39"/>
  <c r="J192" i="39"/>
  <c r="H192" i="39"/>
  <c r="K192" i="39" s="1"/>
  <c r="J191" i="39"/>
  <c r="H191" i="39"/>
  <c r="J190" i="39"/>
  <c r="H190" i="39"/>
  <c r="K190" i="39" s="1"/>
  <c r="J189" i="39"/>
  <c r="H189" i="39"/>
  <c r="J54" i="5"/>
  <c r="H54" i="5"/>
  <c r="I54" i="5" s="1"/>
  <c r="K54" i="5" s="1"/>
  <c r="H413" i="11"/>
  <c r="I413" i="11" s="1"/>
  <c r="H412" i="11"/>
  <c r="I412" i="11" s="1"/>
  <c r="H411" i="11"/>
  <c r="I411" i="11" s="1"/>
  <c r="H410" i="11"/>
  <c r="I410" i="11" s="1"/>
  <c r="H409" i="11"/>
  <c r="I409" i="11" s="1"/>
  <c r="H408" i="11"/>
  <c r="I408" i="11" s="1"/>
  <c r="H407" i="11"/>
  <c r="I407" i="11" s="1"/>
  <c r="H406" i="11"/>
  <c r="I406" i="11" s="1"/>
  <c r="H405" i="11"/>
  <c r="I405" i="11" s="1"/>
  <c r="H404" i="11"/>
  <c r="I404" i="11" s="1"/>
  <c r="H403" i="11"/>
  <c r="I403" i="11" s="1"/>
  <c r="H402" i="11"/>
  <c r="I402" i="11" s="1"/>
  <c r="H401" i="11"/>
  <c r="I401" i="11" s="1"/>
  <c r="H400" i="11"/>
  <c r="I400" i="11" s="1"/>
  <c r="H399" i="11"/>
  <c r="I399" i="11" s="1"/>
  <c r="H398" i="11"/>
  <c r="I398" i="11" s="1"/>
  <c r="H397" i="11"/>
  <c r="I397" i="11" s="1"/>
  <c r="H396" i="11"/>
  <c r="I396" i="11" s="1"/>
  <c r="H395" i="11"/>
  <c r="I395" i="11" s="1"/>
  <c r="H394" i="11"/>
  <c r="I394" i="11" s="1"/>
  <c r="H393" i="11"/>
  <c r="I393" i="11" s="1"/>
  <c r="H392" i="11"/>
  <c r="I392" i="11" s="1"/>
  <c r="H391" i="11"/>
  <c r="I391" i="11" s="1"/>
  <c r="H390" i="11"/>
  <c r="I390" i="11" s="1"/>
  <c r="H389" i="11"/>
  <c r="I389" i="11" s="1"/>
  <c r="H388" i="11"/>
  <c r="I388" i="11" s="1"/>
  <c r="H387" i="11"/>
  <c r="I387" i="11" s="1"/>
  <c r="H386" i="11"/>
  <c r="I386" i="11" s="1"/>
  <c r="H385" i="11"/>
  <c r="I385" i="11" s="1"/>
  <c r="H384" i="11"/>
  <c r="I384" i="11" s="1"/>
  <c r="H383" i="11"/>
  <c r="I383" i="11" s="1"/>
  <c r="H382" i="11"/>
  <c r="I382" i="11" s="1"/>
  <c r="H381" i="11"/>
  <c r="I381" i="11" s="1"/>
  <c r="H380" i="11"/>
  <c r="I380" i="11" s="1"/>
  <c r="H379" i="11"/>
  <c r="I379" i="11" s="1"/>
  <c r="H378" i="11"/>
  <c r="I378" i="11" s="1"/>
  <c r="H377" i="11"/>
  <c r="I377" i="11" s="1"/>
  <c r="H376" i="11"/>
  <c r="I376" i="11" s="1"/>
  <c r="H375" i="11"/>
  <c r="I375" i="11" s="1"/>
  <c r="H374" i="11"/>
  <c r="I374" i="11" s="1"/>
  <c r="H373" i="11"/>
  <c r="I373" i="11" s="1"/>
  <c r="H372" i="11"/>
  <c r="I372" i="11" s="1"/>
  <c r="H371" i="11"/>
  <c r="I371" i="11" s="1"/>
  <c r="H370" i="11"/>
  <c r="I370" i="11" s="1"/>
  <c r="H369" i="11"/>
  <c r="I369" i="11" s="1"/>
  <c r="H368" i="11"/>
  <c r="I368" i="11" s="1"/>
  <c r="H367" i="11"/>
  <c r="I367" i="11" s="1"/>
  <c r="H366" i="11"/>
  <c r="I366" i="11" s="1"/>
  <c r="H365" i="11"/>
  <c r="I365" i="11" s="1"/>
  <c r="H364" i="11"/>
  <c r="I364" i="11" s="1"/>
  <c r="H363" i="11"/>
  <c r="I363" i="11" s="1"/>
  <c r="H362" i="11"/>
  <c r="I362" i="11" s="1"/>
  <c r="H361" i="11"/>
  <c r="I361" i="11" s="1"/>
  <c r="H360" i="11"/>
  <c r="I360" i="11" s="1"/>
  <c r="H359" i="11"/>
  <c r="I359" i="11" s="1"/>
  <c r="H358" i="11"/>
  <c r="I358" i="11" s="1"/>
  <c r="H357" i="11"/>
  <c r="I357" i="11" s="1"/>
  <c r="H356" i="11"/>
  <c r="I356" i="11" s="1"/>
  <c r="H355" i="11"/>
  <c r="I355" i="11" s="1"/>
  <c r="H354" i="11"/>
  <c r="I354" i="11" s="1"/>
  <c r="J413" i="11"/>
  <c r="J412" i="11"/>
  <c r="J411" i="11"/>
  <c r="J410" i="11"/>
  <c r="J409" i="11"/>
  <c r="J408" i="11"/>
  <c r="J407" i="11"/>
  <c r="J406" i="11"/>
  <c r="J405" i="11"/>
  <c r="J404" i="11"/>
  <c r="J403" i="11"/>
  <c r="J402" i="11"/>
  <c r="J401" i="11"/>
  <c r="J400" i="11"/>
  <c r="J399" i="11"/>
  <c r="J398" i="11"/>
  <c r="J397" i="11"/>
  <c r="J396" i="11"/>
  <c r="J395" i="11"/>
  <c r="J394" i="11"/>
  <c r="J393" i="11"/>
  <c r="J392" i="11"/>
  <c r="J391" i="11"/>
  <c r="J390" i="11"/>
  <c r="J389" i="11"/>
  <c r="J388" i="11"/>
  <c r="J387" i="11"/>
  <c r="J386" i="11"/>
  <c r="J385" i="11"/>
  <c r="J384" i="11"/>
  <c r="J383" i="11"/>
  <c r="J382" i="11"/>
  <c r="J381" i="11"/>
  <c r="J380" i="11"/>
  <c r="J379" i="11"/>
  <c r="J378" i="11"/>
  <c r="J377" i="11"/>
  <c r="J376" i="11"/>
  <c r="J375" i="11"/>
  <c r="J374" i="11"/>
  <c r="J373" i="11"/>
  <c r="J372" i="11"/>
  <c r="J371" i="11"/>
  <c r="J370" i="11"/>
  <c r="J369" i="11"/>
  <c r="J368" i="11"/>
  <c r="J367" i="11"/>
  <c r="J366" i="11"/>
  <c r="J365" i="11"/>
  <c r="J364" i="11"/>
  <c r="J363" i="11"/>
  <c r="J362" i="11"/>
  <c r="J361" i="11"/>
  <c r="J360" i="11"/>
  <c r="J359" i="11"/>
  <c r="J358" i="11"/>
  <c r="J357" i="11"/>
  <c r="J356" i="11"/>
  <c r="J355" i="11"/>
  <c r="J354" i="11"/>
  <c r="J354" i="39"/>
  <c r="H354" i="39"/>
  <c r="J353" i="39"/>
  <c r="H353" i="39"/>
  <c r="J352" i="39"/>
  <c r="H352" i="39"/>
  <c r="J351" i="39"/>
  <c r="H351" i="39"/>
  <c r="J350" i="39"/>
  <c r="H350" i="39"/>
  <c r="J349" i="39"/>
  <c r="H349" i="39"/>
  <c r="J348" i="39"/>
  <c r="H348" i="39"/>
  <c r="J347" i="39"/>
  <c r="H347" i="39"/>
  <c r="J508" i="11"/>
  <c r="H508" i="11"/>
  <c r="I508" i="11" s="1"/>
  <c r="J507" i="11"/>
  <c r="H507" i="11"/>
  <c r="I507" i="11" s="1"/>
  <c r="J506" i="11"/>
  <c r="H506" i="11"/>
  <c r="I506" i="11" s="1"/>
  <c r="J505" i="11"/>
  <c r="H505" i="11"/>
  <c r="I505" i="11" s="1"/>
  <c r="J504" i="11"/>
  <c r="H504" i="11"/>
  <c r="I504" i="11" s="1"/>
  <c r="J503" i="11"/>
  <c r="H503" i="11"/>
  <c r="I503" i="11" s="1"/>
  <c r="J502" i="11"/>
  <c r="H502" i="11"/>
  <c r="I502" i="11" s="1"/>
  <c r="J45" i="5"/>
  <c r="H45" i="5"/>
  <c r="I45" i="5" s="1"/>
  <c r="K45" i="5" s="1"/>
  <c r="J44" i="5"/>
  <c r="H44" i="5"/>
  <c r="I44" i="5" s="1"/>
  <c r="J35" i="5"/>
  <c r="H35" i="5"/>
  <c r="I35" i="5" s="1"/>
  <c r="K35" i="5" s="1"/>
  <c r="J34" i="5"/>
  <c r="H34" i="5"/>
  <c r="I34" i="5" s="1"/>
  <c r="J345" i="39"/>
  <c r="H345" i="39"/>
  <c r="J344" i="39"/>
  <c r="H344" i="39"/>
  <c r="J343" i="39"/>
  <c r="H343" i="39"/>
  <c r="J342" i="39"/>
  <c r="H342" i="39"/>
  <c r="J341" i="39"/>
  <c r="H341" i="39"/>
  <c r="J340" i="39"/>
  <c r="H340" i="39"/>
  <c r="J339" i="39"/>
  <c r="H339" i="39"/>
  <c r="J501" i="11"/>
  <c r="H501" i="11"/>
  <c r="I501" i="11" s="1"/>
  <c r="J500" i="11"/>
  <c r="H500" i="11"/>
  <c r="I500" i="11" s="1"/>
  <c r="J499" i="11"/>
  <c r="H499" i="11"/>
  <c r="I499" i="11" s="1"/>
  <c r="J498" i="11"/>
  <c r="H498" i="11"/>
  <c r="I498" i="11" s="1"/>
  <c r="J497" i="11"/>
  <c r="H497" i="11"/>
  <c r="I497" i="11" s="1"/>
  <c r="J496" i="11"/>
  <c r="H496" i="11"/>
  <c r="I496" i="11" s="1"/>
  <c r="J495" i="11"/>
  <c r="H495" i="11"/>
  <c r="I495" i="11" s="1"/>
  <c r="J494" i="11"/>
  <c r="H494" i="11"/>
  <c r="I494" i="11" s="1"/>
  <c r="J493" i="11"/>
  <c r="H493" i="11"/>
  <c r="I493" i="11" s="1"/>
  <c r="J43" i="5"/>
  <c r="H43" i="5"/>
  <c r="I43" i="5" s="1"/>
  <c r="K43" i="5" s="1"/>
  <c r="J42" i="5"/>
  <c r="H42" i="5"/>
  <c r="I42" i="5" s="1"/>
  <c r="H25" i="5"/>
  <c r="I25" i="5" s="1"/>
  <c r="J25" i="5"/>
  <c r="J24" i="5"/>
  <c r="J375" i="39"/>
  <c r="H375" i="39"/>
  <c r="J374" i="39"/>
  <c r="H374" i="39"/>
  <c r="J373" i="39"/>
  <c r="H373" i="39"/>
  <c r="J16" i="5"/>
  <c r="H16" i="5"/>
  <c r="I16" i="5" s="1"/>
  <c r="K348" i="39" l="1"/>
  <c r="K352" i="39"/>
  <c r="K354" i="39"/>
  <c r="K189" i="39"/>
  <c r="K191" i="39"/>
  <c r="K193" i="39"/>
  <c r="K195" i="39"/>
  <c r="K197" i="39"/>
  <c r="K199" i="39"/>
  <c r="K201" i="39"/>
  <c r="K203" i="39"/>
  <c r="K205" i="39"/>
  <c r="K207" i="39"/>
  <c r="K209" i="39"/>
  <c r="K211" i="39"/>
  <c r="K213" i="39"/>
  <c r="K215" i="39"/>
  <c r="K217" i="39"/>
  <c r="K219" i="39"/>
  <c r="K221" i="39"/>
  <c r="K223" i="39"/>
  <c r="K225" i="39"/>
  <c r="K227" i="39"/>
  <c r="K229" i="39"/>
  <c r="K231" i="39"/>
  <c r="K233" i="39"/>
  <c r="K235" i="39"/>
  <c r="K237" i="39"/>
  <c r="K239" i="39"/>
  <c r="K241" i="39"/>
  <c r="K42" i="5"/>
  <c r="K34" i="5"/>
  <c r="K44" i="5"/>
  <c r="K198" i="39"/>
  <c r="K200" i="39"/>
  <c r="K202" i="39"/>
  <c r="K204" i="39"/>
  <c r="K206" i="39"/>
  <c r="K208" i="39"/>
  <c r="K210" i="39"/>
  <c r="K212" i="39"/>
  <c r="K214" i="39"/>
  <c r="K216" i="39"/>
  <c r="K218" i="39"/>
  <c r="K220" i="39"/>
  <c r="K222" i="39"/>
  <c r="K224" i="39"/>
  <c r="K226" i="39"/>
  <c r="K228" i="39"/>
  <c r="K230" i="39"/>
  <c r="K232" i="39"/>
  <c r="K234" i="39"/>
  <c r="K236" i="39"/>
  <c r="K238" i="39"/>
  <c r="K240" i="39"/>
  <c r="K242" i="39"/>
  <c r="K504" i="11"/>
  <c r="K508" i="11"/>
  <c r="I189" i="39"/>
  <c r="I190" i="39"/>
  <c r="I191" i="39"/>
  <c r="I192" i="39"/>
  <c r="I193" i="39"/>
  <c r="I194" i="39"/>
  <c r="I195" i="39"/>
  <c r="I196" i="39"/>
  <c r="I197" i="39"/>
  <c r="I198" i="39"/>
  <c r="I199" i="39"/>
  <c r="I200" i="39"/>
  <c r="I201" i="39"/>
  <c r="I202" i="39"/>
  <c r="I203" i="39"/>
  <c r="I204" i="39"/>
  <c r="I205" i="39"/>
  <c r="I206" i="39"/>
  <c r="I207" i="39"/>
  <c r="I208" i="39"/>
  <c r="I209" i="39"/>
  <c r="I210" i="39"/>
  <c r="I211" i="39"/>
  <c r="I212" i="39"/>
  <c r="I213" i="39"/>
  <c r="I214" i="39"/>
  <c r="I215" i="39"/>
  <c r="I216" i="39"/>
  <c r="I217" i="39"/>
  <c r="I218" i="39"/>
  <c r="I219" i="39"/>
  <c r="I220" i="39"/>
  <c r="I221" i="39"/>
  <c r="I222" i="39"/>
  <c r="I223" i="39"/>
  <c r="I224" i="39"/>
  <c r="I225" i="39"/>
  <c r="I226" i="39"/>
  <c r="I227" i="39"/>
  <c r="I228" i="39"/>
  <c r="I229" i="39"/>
  <c r="I230" i="39"/>
  <c r="I231" i="39"/>
  <c r="I232" i="39"/>
  <c r="I233" i="39"/>
  <c r="I234" i="39"/>
  <c r="I235" i="39"/>
  <c r="I236" i="39"/>
  <c r="I237" i="39"/>
  <c r="I238" i="39"/>
  <c r="I239" i="39"/>
  <c r="I240" i="39"/>
  <c r="I241" i="39"/>
  <c r="I242" i="39"/>
  <c r="K350" i="39"/>
  <c r="K340" i="39"/>
  <c r="K342" i="39"/>
  <c r="K344" i="39"/>
  <c r="K347" i="39"/>
  <c r="K349" i="39"/>
  <c r="K351" i="39"/>
  <c r="K353" i="39"/>
  <c r="K356" i="11"/>
  <c r="K368" i="11"/>
  <c r="K376" i="11"/>
  <c r="K384" i="11"/>
  <c r="K392" i="11"/>
  <c r="K404" i="11"/>
  <c r="K412" i="11"/>
  <c r="K357" i="11"/>
  <c r="K361" i="11"/>
  <c r="K365" i="11"/>
  <c r="K369" i="11"/>
  <c r="K373" i="11"/>
  <c r="K377" i="11"/>
  <c r="K381" i="11"/>
  <c r="K385" i="11"/>
  <c r="K389" i="11"/>
  <c r="K393" i="11"/>
  <c r="K397" i="11"/>
  <c r="K401" i="11"/>
  <c r="K405" i="11"/>
  <c r="K409" i="11"/>
  <c r="K413" i="11"/>
  <c r="K364" i="11"/>
  <c r="K380" i="11"/>
  <c r="K396" i="11"/>
  <c r="K408" i="11"/>
  <c r="K358" i="11"/>
  <c r="K370" i="11"/>
  <c r="K382" i="11"/>
  <c r="K394" i="11"/>
  <c r="K360" i="11"/>
  <c r="K372" i="11"/>
  <c r="K388" i="11"/>
  <c r="K400" i="11"/>
  <c r="K354" i="11"/>
  <c r="K362" i="11"/>
  <c r="K366" i="11"/>
  <c r="K374" i="11"/>
  <c r="K378" i="11"/>
  <c r="K386" i="11"/>
  <c r="K390" i="11"/>
  <c r="K398" i="11"/>
  <c r="K402" i="11"/>
  <c r="K406" i="11"/>
  <c r="K410" i="11"/>
  <c r="K355" i="11"/>
  <c r="K359" i="11"/>
  <c r="K363" i="11"/>
  <c r="K367" i="11"/>
  <c r="K371" i="11"/>
  <c r="K375" i="11"/>
  <c r="K379" i="11"/>
  <c r="K383" i="11"/>
  <c r="K387" i="11"/>
  <c r="K391" i="11"/>
  <c r="K395" i="11"/>
  <c r="K399" i="11"/>
  <c r="K403" i="11"/>
  <c r="K407" i="11"/>
  <c r="K411" i="11"/>
  <c r="K506" i="11"/>
  <c r="K503" i="11"/>
  <c r="K505" i="11"/>
  <c r="K507" i="11"/>
  <c r="K500" i="11"/>
  <c r="I347" i="39"/>
  <c r="I350" i="39"/>
  <c r="I354" i="39"/>
  <c r="I348" i="39"/>
  <c r="I349" i="39"/>
  <c r="I351" i="39"/>
  <c r="I352" i="39"/>
  <c r="I353" i="39"/>
  <c r="K339" i="39"/>
  <c r="K341" i="39"/>
  <c r="K343" i="39"/>
  <c r="K345" i="39"/>
  <c r="K373" i="39"/>
  <c r="K375" i="39"/>
  <c r="K502" i="11"/>
  <c r="K494" i="11"/>
  <c r="K496" i="11"/>
  <c r="K498" i="11"/>
  <c r="K16" i="5"/>
  <c r="I339" i="39"/>
  <c r="I340" i="39"/>
  <c r="I341" i="39"/>
  <c r="I342" i="39"/>
  <c r="I343" i="39"/>
  <c r="I344" i="39"/>
  <c r="I345" i="39"/>
  <c r="K374" i="39"/>
  <c r="K493" i="11"/>
  <c r="K495" i="11"/>
  <c r="K497" i="11"/>
  <c r="K499" i="11"/>
  <c r="K501" i="11"/>
  <c r="K25" i="5"/>
  <c r="I373" i="39"/>
  <c r="I374" i="39"/>
  <c r="I375" i="39"/>
  <c r="J170" i="11"/>
  <c r="H170" i="11"/>
  <c r="I170" i="11" s="1"/>
  <c r="J169" i="11"/>
  <c r="H169" i="11"/>
  <c r="I169" i="11" s="1"/>
  <c r="J168" i="11"/>
  <c r="H168" i="11"/>
  <c r="I168" i="11" s="1"/>
  <c r="J167" i="11"/>
  <c r="H167" i="11"/>
  <c r="I167" i="11" s="1"/>
  <c r="J166" i="11"/>
  <c r="H166" i="11"/>
  <c r="I166" i="11" s="1"/>
  <c r="J165" i="11"/>
  <c r="H165" i="11"/>
  <c r="I165" i="11" s="1"/>
  <c r="J164" i="11"/>
  <c r="H164" i="11"/>
  <c r="I164" i="11" s="1"/>
  <c r="J163" i="11"/>
  <c r="H163" i="11"/>
  <c r="I163" i="11" s="1"/>
  <c r="J162" i="11"/>
  <c r="H162" i="11"/>
  <c r="I162" i="11" s="1"/>
  <c r="J161" i="11"/>
  <c r="H161" i="11"/>
  <c r="I161" i="11" s="1"/>
  <c r="J160" i="11"/>
  <c r="H160" i="11"/>
  <c r="I160" i="11" s="1"/>
  <c r="J159" i="11"/>
  <c r="H159" i="11"/>
  <c r="I159" i="11" s="1"/>
  <c r="J158" i="11"/>
  <c r="H158" i="11"/>
  <c r="I158" i="11" s="1"/>
  <c r="K158" i="11" l="1"/>
  <c r="K160" i="11"/>
  <c r="K162" i="11"/>
  <c r="K164" i="11"/>
  <c r="K166" i="11"/>
  <c r="K168" i="11"/>
  <c r="K169" i="11"/>
  <c r="K159" i="11"/>
  <c r="K161" i="11"/>
  <c r="K163" i="11"/>
  <c r="K165" i="11"/>
  <c r="K167" i="11"/>
  <c r="K170" i="11"/>
  <c r="J67" i="5" l="1"/>
  <c r="H67" i="5"/>
  <c r="I67" i="5" s="1"/>
  <c r="K67" i="5" s="1"/>
  <c r="J38" i="11"/>
  <c r="H38" i="11"/>
  <c r="I38" i="11" s="1"/>
  <c r="H42" i="11"/>
  <c r="I42" i="11" s="1"/>
  <c r="H41" i="11"/>
  <c r="I41" i="11" s="1"/>
  <c r="H40" i="11"/>
  <c r="I40" i="11" s="1"/>
  <c r="H39" i="11"/>
  <c r="I39" i="11" s="1"/>
  <c r="J42" i="11"/>
  <c r="J41" i="11"/>
  <c r="J40" i="11"/>
  <c r="J39" i="11"/>
  <c r="K38" i="11" l="1"/>
  <c r="K40" i="11"/>
  <c r="K39" i="11"/>
  <c r="K41" i="11"/>
  <c r="K42" i="11"/>
  <c r="J58" i="5" l="1"/>
  <c r="H58" i="5"/>
  <c r="I58" i="5" s="1"/>
  <c r="K22" i="18"/>
  <c r="K20" i="18"/>
  <c r="K58" i="5" l="1"/>
  <c r="J22" i="18"/>
  <c r="J20" i="18"/>
  <c r="J53" i="5" l="1"/>
  <c r="H53" i="5"/>
  <c r="I53" i="5" s="1"/>
  <c r="J277" i="39"/>
  <c r="H277" i="39"/>
  <c r="J276" i="39"/>
  <c r="H276" i="39"/>
  <c r="J275" i="39"/>
  <c r="H275" i="39"/>
  <c r="J246" i="39"/>
  <c r="H246" i="39"/>
  <c r="J245" i="39"/>
  <c r="H245" i="39"/>
  <c r="J244" i="39"/>
  <c r="H244" i="39"/>
  <c r="J243" i="39"/>
  <c r="H243" i="39"/>
  <c r="J188" i="39"/>
  <c r="H188" i="39"/>
  <c r="J187" i="39"/>
  <c r="H187" i="39"/>
  <c r="J186" i="39"/>
  <c r="H186" i="39"/>
  <c r="J185" i="39"/>
  <c r="H185" i="39"/>
  <c r="J184" i="39"/>
  <c r="H184" i="39"/>
  <c r="J183" i="39"/>
  <c r="H183" i="39"/>
  <c r="J182" i="39"/>
  <c r="H182" i="39"/>
  <c r="J181" i="39"/>
  <c r="H181" i="39"/>
  <c r="J180" i="39"/>
  <c r="H180" i="39"/>
  <c r="J179" i="39"/>
  <c r="H179" i="39"/>
  <c r="J178" i="39"/>
  <c r="H178" i="39"/>
  <c r="K178" i="39" s="1"/>
  <c r="J177" i="39"/>
  <c r="H177" i="39"/>
  <c r="J176" i="39"/>
  <c r="H176" i="39"/>
  <c r="K176" i="39" s="1"/>
  <c r="J353" i="11"/>
  <c r="H353" i="11"/>
  <c r="I353" i="11" s="1"/>
  <c r="J352" i="11"/>
  <c r="H352" i="11"/>
  <c r="I352" i="11" s="1"/>
  <c r="J351" i="11"/>
  <c r="H351" i="11"/>
  <c r="I351" i="11" s="1"/>
  <c r="J350" i="11"/>
  <c r="H350" i="11"/>
  <c r="I350" i="11" s="1"/>
  <c r="J349" i="11"/>
  <c r="H349" i="11"/>
  <c r="I349" i="11" s="1"/>
  <c r="K180" i="39" l="1"/>
  <c r="K182" i="39"/>
  <c r="K184" i="39"/>
  <c r="K243" i="39"/>
  <c r="K245" i="39"/>
  <c r="K275" i="39"/>
  <c r="K277" i="39"/>
  <c r="K188" i="39"/>
  <c r="K186" i="39"/>
  <c r="K353" i="11"/>
  <c r="K177" i="39"/>
  <c r="K179" i="39"/>
  <c r="K181" i="39"/>
  <c r="K183" i="39"/>
  <c r="K185" i="39"/>
  <c r="K187" i="39"/>
  <c r="K244" i="39"/>
  <c r="K246" i="39"/>
  <c r="K276" i="39"/>
  <c r="K53" i="5"/>
  <c r="I177" i="39"/>
  <c r="I179" i="39"/>
  <c r="I181" i="39"/>
  <c r="I183" i="39"/>
  <c r="I185" i="39"/>
  <c r="I188" i="39"/>
  <c r="I244" i="39"/>
  <c r="I277" i="39"/>
  <c r="I176" i="39"/>
  <c r="I178" i="39"/>
  <c r="I180" i="39"/>
  <c r="I182" i="39"/>
  <c r="I184" i="39"/>
  <c r="I186" i="39"/>
  <c r="I187" i="39"/>
  <c r="I243" i="39"/>
  <c r="I245" i="39"/>
  <c r="I246" i="39"/>
  <c r="I275" i="39"/>
  <c r="I276" i="39"/>
  <c r="K352" i="11"/>
  <c r="K351" i="11"/>
  <c r="K350" i="11"/>
  <c r="K349" i="11"/>
  <c r="J41" i="5"/>
  <c r="H41" i="5"/>
  <c r="I41" i="5" s="1"/>
  <c r="J40" i="5"/>
  <c r="H40" i="5"/>
  <c r="I40" i="5" s="1"/>
  <c r="J338" i="39"/>
  <c r="H338" i="39"/>
  <c r="J337" i="39"/>
  <c r="H337" i="39"/>
  <c r="J336" i="39"/>
  <c r="H336" i="39"/>
  <c r="J492" i="11"/>
  <c r="H492" i="11"/>
  <c r="I492" i="11" s="1"/>
  <c r="J491" i="11"/>
  <c r="H491" i="11"/>
  <c r="I491" i="11" s="1"/>
  <c r="J490" i="11"/>
  <c r="H490" i="11"/>
  <c r="I490" i="11" s="1"/>
  <c r="H24" i="5"/>
  <c r="I24" i="5" s="1"/>
  <c r="K24" i="5" s="1"/>
  <c r="J378" i="39"/>
  <c r="H378" i="39"/>
  <c r="J377" i="39"/>
  <c r="H377" i="39"/>
  <c r="J372" i="39"/>
  <c r="H372" i="39"/>
  <c r="J371" i="39"/>
  <c r="H371" i="39"/>
  <c r="J370" i="39"/>
  <c r="H370" i="39"/>
  <c r="J540" i="11"/>
  <c r="H540" i="11"/>
  <c r="I540" i="11" s="1"/>
  <c r="J539" i="11"/>
  <c r="H539" i="11"/>
  <c r="I539" i="11" s="1"/>
  <c r="J538" i="11"/>
  <c r="H538" i="11"/>
  <c r="I538" i="11" s="1"/>
  <c r="J537" i="11"/>
  <c r="H537" i="11"/>
  <c r="I537" i="11" s="1"/>
  <c r="J536" i="11"/>
  <c r="H536" i="11"/>
  <c r="I536" i="11" s="1"/>
  <c r="J535" i="11"/>
  <c r="H535" i="11"/>
  <c r="I535" i="11" s="1"/>
  <c r="J534" i="11"/>
  <c r="H534" i="11"/>
  <c r="I534" i="11" s="1"/>
  <c r="J533" i="11"/>
  <c r="H533" i="11"/>
  <c r="I533" i="11" s="1"/>
  <c r="J532" i="11"/>
  <c r="H532" i="11"/>
  <c r="I532" i="11" s="1"/>
  <c r="J531" i="11"/>
  <c r="H531" i="11"/>
  <c r="I531" i="11" s="1"/>
  <c r="J530" i="11"/>
  <c r="H530" i="11"/>
  <c r="I530" i="11" s="1"/>
  <c r="J529" i="11"/>
  <c r="H529" i="11"/>
  <c r="I529" i="11" s="1"/>
  <c r="J528" i="11"/>
  <c r="H528" i="11"/>
  <c r="I528" i="11" s="1"/>
  <c r="J527" i="11"/>
  <c r="H527" i="11"/>
  <c r="I527" i="11" s="1"/>
  <c r="J15" i="5"/>
  <c r="H15" i="5"/>
  <c r="I15" i="5" s="1"/>
  <c r="J66" i="5"/>
  <c r="H66" i="5"/>
  <c r="I66" i="5" s="1"/>
  <c r="K336" i="39" l="1"/>
  <c r="K527" i="11"/>
  <c r="K529" i="11"/>
  <c r="K531" i="11"/>
  <c r="K533" i="11"/>
  <c r="K535" i="11"/>
  <c r="K537" i="11"/>
  <c r="K66" i="5"/>
  <c r="K539" i="11"/>
  <c r="K338" i="39"/>
  <c r="K41" i="5"/>
  <c r="K490" i="11"/>
  <c r="K492" i="11"/>
  <c r="K337" i="39"/>
  <c r="K40" i="5"/>
  <c r="K491" i="11"/>
  <c r="K528" i="11"/>
  <c r="K530" i="11"/>
  <c r="K532" i="11"/>
  <c r="K534" i="11"/>
  <c r="K536" i="11"/>
  <c r="K538" i="11"/>
  <c r="K540" i="11"/>
  <c r="K15" i="5"/>
  <c r="K371" i="39"/>
  <c r="K377" i="39"/>
  <c r="I336" i="39"/>
  <c r="I337" i="39"/>
  <c r="I338" i="39"/>
  <c r="K370" i="39"/>
  <c r="K372" i="39"/>
  <c r="K378" i="39"/>
  <c r="I370" i="39"/>
  <c r="I371" i="39"/>
  <c r="I372" i="39"/>
  <c r="I377" i="39"/>
  <c r="I378" i="39"/>
  <c r="I22" i="18"/>
  <c r="I20" i="18"/>
  <c r="J52" i="5" l="1"/>
  <c r="H52" i="5"/>
  <c r="I52" i="5" s="1"/>
  <c r="J175" i="39"/>
  <c r="H175" i="39"/>
  <c r="J174" i="39"/>
  <c r="H174" i="39"/>
  <c r="J173" i="39"/>
  <c r="H173" i="39"/>
  <c r="J172" i="39"/>
  <c r="H172" i="39"/>
  <c r="J171" i="39"/>
  <c r="H171" i="39"/>
  <c r="J170" i="39"/>
  <c r="H170" i="39"/>
  <c r="J169" i="39"/>
  <c r="H169" i="39"/>
  <c r="J168" i="39"/>
  <c r="H168" i="39"/>
  <c r="J167" i="39"/>
  <c r="H167" i="39"/>
  <c r="J166" i="39"/>
  <c r="H166" i="39"/>
  <c r="J165" i="39"/>
  <c r="H165" i="39"/>
  <c r="J164" i="39"/>
  <c r="H164" i="39"/>
  <c r="J163" i="39"/>
  <c r="H163" i="39"/>
  <c r="J162" i="39"/>
  <c r="H162" i="39"/>
  <c r="J161" i="39"/>
  <c r="H161" i="39"/>
  <c r="J160" i="39"/>
  <c r="H160" i="39"/>
  <c r="J159" i="39"/>
  <c r="H159" i="39"/>
  <c r="J158" i="39"/>
  <c r="H158" i="39"/>
  <c r="J157" i="39"/>
  <c r="H157" i="39"/>
  <c r="J156" i="39"/>
  <c r="H156" i="39"/>
  <c r="J155" i="39"/>
  <c r="H155" i="39"/>
  <c r="J154" i="39"/>
  <c r="H154" i="39"/>
  <c r="J153" i="39"/>
  <c r="H153" i="39"/>
  <c r="J152" i="39"/>
  <c r="H152" i="39"/>
  <c r="J151" i="39"/>
  <c r="H151" i="39"/>
  <c r="J150" i="39"/>
  <c r="H150" i="39"/>
  <c r="J149" i="39"/>
  <c r="H149" i="39"/>
  <c r="J148" i="39"/>
  <c r="H148" i="39"/>
  <c r="J147" i="39"/>
  <c r="H147" i="39"/>
  <c r="J146" i="39"/>
  <c r="H146" i="39"/>
  <c r="J145" i="39"/>
  <c r="H145" i="39"/>
  <c r="J144" i="39"/>
  <c r="H144" i="39"/>
  <c r="J143" i="39"/>
  <c r="H143" i="39"/>
  <c r="J142" i="39"/>
  <c r="H142" i="39"/>
  <c r="J141" i="39"/>
  <c r="H141" i="39"/>
  <c r="J140" i="39"/>
  <c r="H140" i="39"/>
  <c r="J139" i="39"/>
  <c r="H139" i="39"/>
  <c r="J138" i="39"/>
  <c r="H138" i="39"/>
  <c r="J137" i="39"/>
  <c r="H137" i="39"/>
  <c r="K137" i="39" s="1"/>
  <c r="J443" i="11"/>
  <c r="H443" i="11"/>
  <c r="I443" i="11" s="1"/>
  <c r="J348" i="11"/>
  <c r="H348" i="11"/>
  <c r="I348" i="11" s="1"/>
  <c r="J347" i="11"/>
  <c r="H347" i="11"/>
  <c r="I347" i="11" s="1"/>
  <c r="J346" i="11"/>
  <c r="H346" i="11"/>
  <c r="I346" i="11" s="1"/>
  <c r="J345" i="11"/>
  <c r="H345" i="11"/>
  <c r="I345" i="11" s="1"/>
  <c r="J344" i="11"/>
  <c r="H344" i="11"/>
  <c r="I344" i="11" s="1"/>
  <c r="J343" i="11"/>
  <c r="H343" i="11"/>
  <c r="I343" i="11" s="1"/>
  <c r="J342" i="11"/>
  <c r="H342" i="11"/>
  <c r="I342" i="11" s="1"/>
  <c r="K342" i="11" s="1"/>
  <c r="J341" i="11"/>
  <c r="H341" i="11"/>
  <c r="I341" i="11" s="1"/>
  <c r="J340" i="11"/>
  <c r="H340" i="11"/>
  <c r="I340" i="11" s="1"/>
  <c r="K340" i="11" s="1"/>
  <c r="J339" i="11"/>
  <c r="H339" i="11"/>
  <c r="I339" i="11" s="1"/>
  <c r="J338" i="11"/>
  <c r="H338" i="11"/>
  <c r="I338" i="11" s="1"/>
  <c r="K338" i="11" s="1"/>
  <c r="J337" i="11"/>
  <c r="H337" i="11"/>
  <c r="I337" i="11" s="1"/>
  <c r="J336" i="11"/>
  <c r="H336" i="11"/>
  <c r="I336" i="11" s="1"/>
  <c r="J335" i="11"/>
  <c r="H335" i="11"/>
  <c r="I335" i="11" s="1"/>
  <c r="J334" i="11"/>
  <c r="H334" i="11"/>
  <c r="I334" i="11" s="1"/>
  <c r="J333" i="11"/>
  <c r="H333" i="11"/>
  <c r="I333" i="11" s="1"/>
  <c r="J332" i="11"/>
  <c r="H332" i="11"/>
  <c r="I332" i="11" s="1"/>
  <c r="J331" i="11"/>
  <c r="H331" i="11"/>
  <c r="I331" i="11" s="1"/>
  <c r="J330" i="11"/>
  <c r="H330" i="11"/>
  <c r="I330" i="11" s="1"/>
  <c r="J329" i="11"/>
  <c r="H329" i="11"/>
  <c r="I329" i="11" s="1"/>
  <c r="J328" i="11"/>
  <c r="H328" i="11"/>
  <c r="I328" i="11" s="1"/>
  <c r="K328" i="11" s="1"/>
  <c r="J327" i="11"/>
  <c r="H327" i="11"/>
  <c r="I327" i="11" s="1"/>
  <c r="J326" i="11"/>
  <c r="H326" i="11"/>
  <c r="I326" i="11" s="1"/>
  <c r="J325" i="11"/>
  <c r="H325" i="11"/>
  <c r="I325" i="11" s="1"/>
  <c r="J324" i="11"/>
  <c r="H324" i="11"/>
  <c r="I324" i="11" s="1"/>
  <c r="J323" i="11"/>
  <c r="H323" i="11"/>
  <c r="I323" i="11" s="1"/>
  <c r="J322" i="11"/>
  <c r="H322" i="11"/>
  <c r="I322" i="11" s="1"/>
  <c r="J321" i="11"/>
  <c r="H321" i="11"/>
  <c r="I321" i="11" s="1"/>
  <c r="J320" i="11"/>
  <c r="H320" i="11"/>
  <c r="I320" i="11" s="1"/>
  <c r="J319" i="11"/>
  <c r="H319" i="11"/>
  <c r="I319" i="11" s="1"/>
  <c r="J318" i="11"/>
  <c r="H318" i="11"/>
  <c r="I318" i="11" s="1"/>
  <c r="J317" i="11"/>
  <c r="H317" i="11"/>
  <c r="I317" i="11" s="1"/>
  <c r="J316" i="11"/>
  <c r="H316" i="11"/>
  <c r="I316" i="11" s="1"/>
  <c r="J315" i="11"/>
  <c r="H315" i="11"/>
  <c r="I315" i="11" s="1"/>
  <c r="J314" i="11"/>
  <c r="H314" i="11"/>
  <c r="I314" i="11" s="1"/>
  <c r="J313" i="11"/>
  <c r="H313" i="11"/>
  <c r="I313" i="11" s="1"/>
  <c r="J312" i="11"/>
  <c r="H312" i="11"/>
  <c r="I312" i="11" s="1"/>
  <c r="J311" i="11"/>
  <c r="H311" i="11"/>
  <c r="I311" i="11" s="1"/>
  <c r="J310" i="11"/>
  <c r="H310" i="11"/>
  <c r="I310" i="11" s="1"/>
  <c r="J309" i="11"/>
  <c r="H309" i="11"/>
  <c r="I309" i="11" s="1"/>
  <c r="J308" i="11"/>
  <c r="H308" i="11"/>
  <c r="I308" i="11" s="1"/>
  <c r="J307" i="11"/>
  <c r="H307" i="11"/>
  <c r="I307" i="11" s="1"/>
  <c r="J306" i="11"/>
  <c r="H306" i="11"/>
  <c r="I306" i="11" s="1"/>
  <c r="J305" i="11"/>
  <c r="H305" i="11"/>
  <c r="I305" i="11" s="1"/>
  <c r="J304" i="11"/>
  <c r="H304" i="11"/>
  <c r="I304" i="11" s="1"/>
  <c r="J303" i="11"/>
  <c r="H303" i="11"/>
  <c r="I303" i="11" s="1"/>
  <c r="J302" i="11"/>
  <c r="H302" i="11"/>
  <c r="I302" i="11" s="1"/>
  <c r="J355" i="39"/>
  <c r="H355" i="39"/>
  <c r="K355" i="39" s="1"/>
  <c r="J346" i="39"/>
  <c r="H346" i="39"/>
  <c r="J335" i="39"/>
  <c r="H335" i="39"/>
  <c r="J334" i="39"/>
  <c r="H334" i="39"/>
  <c r="J333" i="39"/>
  <c r="H333" i="39"/>
  <c r="K333" i="39" s="1"/>
  <c r="J332" i="39"/>
  <c r="H332" i="39"/>
  <c r="J331" i="39"/>
  <c r="H331" i="39"/>
  <c r="K331" i="39" s="1"/>
  <c r="J330" i="39"/>
  <c r="H330" i="39"/>
  <c r="J23" i="5"/>
  <c r="H23" i="5"/>
  <c r="I23" i="5" s="1"/>
  <c r="J22" i="5"/>
  <c r="H22" i="5"/>
  <c r="I22" i="5" s="1"/>
  <c r="J489" i="11"/>
  <c r="H489" i="11"/>
  <c r="I489" i="11" s="1"/>
  <c r="J488" i="11"/>
  <c r="H488" i="11"/>
  <c r="I488" i="11" s="1"/>
  <c r="J487" i="11"/>
  <c r="H487" i="11"/>
  <c r="I487" i="11" s="1"/>
  <c r="J486" i="11"/>
  <c r="H486" i="11"/>
  <c r="I486" i="11" s="1"/>
  <c r="J485" i="11"/>
  <c r="H485" i="11"/>
  <c r="I485" i="11" s="1"/>
  <c r="J38" i="5"/>
  <c r="H38" i="5"/>
  <c r="I38" i="5" s="1"/>
  <c r="J39" i="5"/>
  <c r="H39" i="5"/>
  <c r="I39" i="5" s="1"/>
  <c r="J14" i="5"/>
  <c r="H14" i="5"/>
  <c r="I14" i="5" s="1"/>
  <c r="J81" i="5"/>
  <c r="H81" i="5"/>
  <c r="I81" i="5" s="1"/>
  <c r="J80" i="5"/>
  <c r="H80" i="5"/>
  <c r="I80" i="5" s="1"/>
  <c r="J79" i="5"/>
  <c r="H79" i="5"/>
  <c r="I79" i="5" s="1"/>
  <c r="J78" i="5"/>
  <c r="H78" i="5"/>
  <c r="I78" i="5" s="1"/>
  <c r="J77" i="5"/>
  <c r="H77" i="5"/>
  <c r="I77" i="5" s="1"/>
  <c r="J75" i="5"/>
  <c r="H75" i="5"/>
  <c r="I75" i="5" s="1"/>
  <c r="K75" i="5" s="1"/>
  <c r="J74" i="5"/>
  <c r="H74" i="5"/>
  <c r="I74" i="5" s="1"/>
  <c r="J151" i="11"/>
  <c r="H151" i="11"/>
  <c r="I151" i="11" s="1"/>
  <c r="J150" i="11"/>
  <c r="H150" i="11"/>
  <c r="I150" i="11" s="1"/>
  <c r="J149" i="11"/>
  <c r="H149" i="11"/>
  <c r="I149" i="11" s="1"/>
  <c r="J148" i="11"/>
  <c r="H148" i="11"/>
  <c r="I148" i="11" s="1"/>
  <c r="J147" i="11"/>
  <c r="H147" i="11"/>
  <c r="I147" i="11" s="1"/>
  <c r="J146" i="11"/>
  <c r="H146" i="11"/>
  <c r="I146" i="11" s="1"/>
  <c r="J145" i="11"/>
  <c r="H145" i="11"/>
  <c r="I145" i="11" s="1"/>
  <c r="J144" i="11"/>
  <c r="H144" i="11"/>
  <c r="I144" i="11" s="1"/>
  <c r="J143" i="11"/>
  <c r="H143" i="11"/>
  <c r="I143" i="11" s="1"/>
  <c r="J142" i="11"/>
  <c r="H142" i="11"/>
  <c r="I142" i="11" s="1"/>
  <c r="J141" i="11"/>
  <c r="H141" i="11"/>
  <c r="I141" i="11" s="1"/>
  <c r="J140" i="11"/>
  <c r="H140" i="11"/>
  <c r="I140" i="11" s="1"/>
  <c r="J139" i="11"/>
  <c r="H139" i="11"/>
  <c r="I139" i="11" s="1"/>
  <c r="J138" i="11"/>
  <c r="H138" i="11"/>
  <c r="I138" i="11" s="1"/>
  <c r="J137" i="11"/>
  <c r="H137" i="11"/>
  <c r="I137" i="11" s="1"/>
  <c r="J136" i="11"/>
  <c r="H136" i="11"/>
  <c r="I136" i="11" s="1"/>
  <c r="J135" i="11"/>
  <c r="H135" i="11"/>
  <c r="I135" i="11" s="1"/>
  <c r="J134" i="11"/>
  <c r="H134" i="11"/>
  <c r="I134" i="11" s="1"/>
  <c r="J133" i="11"/>
  <c r="H133" i="11"/>
  <c r="I133" i="11" s="1"/>
  <c r="J132" i="11"/>
  <c r="H132" i="11"/>
  <c r="I132" i="11" s="1"/>
  <c r="J131" i="11"/>
  <c r="H131" i="11"/>
  <c r="I131" i="11" s="1"/>
  <c r="J130" i="11"/>
  <c r="H130" i="11"/>
  <c r="I130" i="11" s="1"/>
  <c r="J65" i="5"/>
  <c r="H65" i="5"/>
  <c r="I65" i="5" s="1"/>
  <c r="H37" i="11"/>
  <c r="I37" i="11" s="1"/>
  <c r="H36" i="11"/>
  <c r="I36" i="11" s="1"/>
  <c r="J37" i="11"/>
  <c r="J36" i="11"/>
  <c r="K335" i="39" l="1"/>
  <c r="K170" i="39"/>
  <c r="K172" i="39"/>
  <c r="K139" i="39"/>
  <c r="K141" i="39"/>
  <c r="K143" i="39"/>
  <c r="K145" i="39"/>
  <c r="K147" i="39"/>
  <c r="K149" i="39"/>
  <c r="K151" i="39"/>
  <c r="K153" i="39"/>
  <c r="K163" i="39"/>
  <c r="K165" i="39"/>
  <c r="K167" i="39"/>
  <c r="K344" i="11"/>
  <c r="K171" i="39"/>
  <c r="K173" i="39"/>
  <c r="K175" i="39"/>
  <c r="K169" i="39"/>
  <c r="K162" i="39"/>
  <c r="K164" i="39"/>
  <c r="K166" i="39"/>
  <c r="K168" i="39"/>
  <c r="K174" i="39"/>
  <c r="K327" i="11"/>
  <c r="K329" i="11"/>
  <c r="K335" i="11"/>
  <c r="K339" i="11"/>
  <c r="K341" i="11"/>
  <c r="K343" i="11"/>
  <c r="K78" i="5"/>
  <c r="K65" i="5"/>
  <c r="K155" i="39"/>
  <c r="K157" i="39"/>
  <c r="K159" i="39"/>
  <c r="K161" i="39"/>
  <c r="K140" i="39"/>
  <c r="K142" i="39"/>
  <c r="K160" i="39"/>
  <c r="K348" i="11"/>
  <c r="K346" i="11"/>
  <c r="K345" i="11"/>
  <c r="K337" i="11"/>
  <c r="K336" i="11"/>
  <c r="K334" i="11"/>
  <c r="K333" i="11"/>
  <c r="K332" i="11"/>
  <c r="K331" i="11"/>
  <c r="K330" i="11"/>
  <c r="K144" i="11"/>
  <c r="K485" i="11"/>
  <c r="K321" i="11"/>
  <c r="K151" i="11"/>
  <c r="K302" i="11"/>
  <c r="K347" i="11"/>
  <c r="K443" i="11"/>
  <c r="K330" i="39"/>
  <c r="K332" i="39"/>
  <c r="K346" i="39"/>
  <c r="K138" i="39"/>
  <c r="K144" i="39"/>
  <c r="K146" i="39"/>
  <c r="K148" i="39"/>
  <c r="K150" i="39"/>
  <c r="K152" i="39"/>
  <c r="K154" i="39"/>
  <c r="K156" i="39"/>
  <c r="K158" i="39"/>
  <c r="K314" i="11"/>
  <c r="K80" i="5"/>
  <c r="K14" i="5"/>
  <c r="K38" i="5"/>
  <c r="K23" i="5"/>
  <c r="K74" i="5"/>
  <c r="K77" i="5"/>
  <c r="K79" i="5"/>
  <c r="K81" i="5"/>
  <c r="K39" i="5"/>
  <c r="K22" i="5"/>
  <c r="K52" i="5"/>
  <c r="I137" i="39"/>
  <c r="I139" i="39"/>
  <c r="I141" i="39"/>
  <c r="I143" i="39"/>
  <c r="I144" i="39"/>
  <c r="I146" i="39"/>
  <c r="I148" i="39"/>
  <c r="I150" i="39"/>
  <c r="I152" i="39"/>
  <c r="I154" i="39"/>
  <c r="I156" i="39"/>
  <c r="I158" i="39"/>
  <c r="I160" i="39"/>
  <c r="I162" i="39"/>
  <c r="I164" i="39"/>
  <c r="I166" i="39"/>
  <c r="I169" i="39"/>
  <c r="I174" i="39"/>
  <c r="I138" i="39"/>
  <c r="I140" i="39"/>
  <c r="I142" i="39"/>
  <c r="I145" i="39"/>
  <c r="I147" i="39"/>
  <c r="I149" i="39"/>
  <c r="I151" i="39"/>
  <c r="I153" i="39"/>
  <c r="I155" i="39"/>
  <c r="I157" i="39"/>
  <c r="I159" i="39"/>
  <c r="I161" i="39"/>
  <c r="I163" i="39"/>
  <c r="I165" i="39"/>
  <c r="I167" i="39"/>
  <c r="I168" i="39"/>
  <c r="I170" i="39"/>
  <c r="I171" i="39"/>
  <c r="I172" i="39"/>
  <c r="I173" i="39"/>
  <c r="I175" i="39"/>
  <c r="K334" i="39"/>
  <c r="K326" i="11"/>
  <c r="K325" i="11"/>
  <c r="K324" i="11"/>
  <c r="K323" i="11"/>
  <c r="K322" i="11"/>
  <c r="K320" i="11"/>
  <c r="K319" i="11"/>
  <c r="K318" i="11"/>
  <c r="K317" i="11"/>
  <c r="K316" i="11"/>
  <c r="K315" i="11"/>
  <c r="K313" i="11"/>
  <c r="K312" i="11"/>
  <c r="K311" i="11"/>
  <c r="K310" i="11"/>
  <c r="K309" i="11"/>
  <c r="K308" i="11"/>
  <c r="K307" i="11"/>
  <c r="K306" i="11"/>
  <c r="K305" i="11"/>
  <c r="K304" i="11"/>
  <c r="K303" i="11"/>
  <c r="I330" i="39"/>
  <c r="I331" i="39"/>
  <c r="I332" i="39"/>
  <c r="I333" i="39"/>
  <c r="I334" i="39"/>
  <c r="I335" i="39"/>
  <c r="I346" i="39"/>
  <c r="I355" i="39"/>
  <c r="K489" i="11"/>
  <c r="K488" i="11"/>
  <c r="K487" i="11"/>
  <c r="K486" i="11"/>
  <c r="K150" i="11"/>
  <c r="K149" i="11"/>
  <c r="K148" i="11"/>
  <c r="K147" i="11"/>
  <c r="K146" i="11"/>
  <c r="K145" i="11"/>
  <c r="K143" i="11"/>
  <c r="K142" i="11"/>
  <c r="K141" i="11"/>
  <c r="K140" i="11"/>
  <c r="K139" i="11"/>
  <c r="K138" i="11"/>
  <c r="K137" i="11"/>
  <c r="K136" i="11"/>
  <c r="K135" i="11"/>
  <c r="K134" i="11"/>
  <c r="K133" i="11"/>
  <c r="K132" i="11"/>
  <c r="K131" i="11"/>
  <c r="K130" i="11"/>
  <c r="K36" i="11"/>
  <c r="K37" i="11"/>
  <c r="AC2259" i="16" l="1"/>
  <c r="AA2259" i="16"/>
  <c r="AB2259" i="16" s="1"/>
  <c r="T2259" i="16"/>
  <c r="AE2259" i="16" s="1"/>
  <c r="R2259" i="16"/>
  <c r="Q2259" i="16"/>
  <c r="P2259" i="16"/>
  <c r="N2259" i="16"/>
  <c r="L2259" i="16"/>
  <c r="M2259" i="16" s="1"/>
  <c r="K2259" i="16"/>
  <c r="J2259" i="16"/>
  <c r="I2259" i="16"/>
  <c r="AC2258" i="16"/>
  <c r="AA2258" i="16"/>
  <c r="AB2258" i="16" s="1"/>
  <c r="T2258" i="16"/>
  <c r="AE2258" i="16" s="1"/>
  <c r="R2258" i="16"/>
  <c r="Q2258" i="16"/>
  <c r="P2258" i="16"/>
  <c r="N2258" i="16"/>
  <c r="L2258" i="16"/>
  <c r="M2258" i="16" s="1"/>
  <c r="K2258" i="16"/>
  <c r="J2258" i="16"/>
  <c r="I2258" i="16"/>
  <c r="AC2257" i="16"/>
  <c r="AA2257" i="16"/>
  <c r="AB2257" i="16" s="1"/>
  <c r="T2257" i="16"/>
  <c r="AE2257" i="16" s="1"/>
  <c r="R2257" i="16"/>
  <c r="Q2257" i="16"/>
  <c r="P2257" i="16"/>
  <c r="N2257" i="16"/>
  <c r="L2257" i="16"/>
  <c r="M2257" i="16" s="1"/>
  <c r="K2257" i="16"/>
  <c r="J2257" i="16"/>
  <c r="I2257" i="16"/>
  <c r="AC2256" i="16"/>
  <c r="AA2256" i="16"/>
  <c r="AB2256" i="16" s="1"/>
  <c r="T2256" i="16"/>
  <c r="AE2256" i="16" s="1"/>
  <c r="R2256" i="16"/>
  <c r="Q2256" i="16"/>
  <c r="P2256" i="16"/>
  <c r="N2256" i="16"/>
  <c r="L2256" i="16"/>
  <c r="M2256" i="16" s="1"/>
  <c r="K2256" i="16"/>
  <c r="J2256" i="16"/>
  <c r="I2256" i="16"/>
  <c r="AC2255" i="16"/>
  <c r="AA2255" i="16"/>
  <c r="AB2255" i="16" s="1"/>
  <c r="T2255" i="16"/>
  <c r="AE2255" i="16" s="1"/>
  <c r="R2255" i="16"/>
  <c r="Q2255" i="16"/>
  <c r="P2255" i="16"/>
  <c r="N2255" i="16"/>
  <c r="L2255" i="16"/>
  <c r="M2255" i="16" s="1"/>
  <c r="K2255" i="16"/>
  <c r="J2255" i="16"/>
  <c r="I2255" i="16"/>
  <c r="AC2254" i="16"/>
  <c r="AA2254" i="16"/>
  <c r="AB2254" i="16" s="1"/>
  <c r="T2254" i="16"/>
  <c r="AE2254" i="16" s="1"/>
  <c r="R2254" i="16"/>
  <c r="Q2254" i="16"/>
  <c r="P2254" i="16"/>
  <c r="N2254" i="16"/>
  <c r="L2254" i="16"/>
  <c r="M2254" i="16" s="1"/>
  <c r="K2254" i="16"/>
  <c r="J2254" i="16"/>
  <c r="I2254" i="16"/>
  <c r="AC2253" i="16"/>
  <c r="AA2253" i="16"/>
  <c r="AB2253" i="16" s="1"/>
  <c r="T2253" i="16"/>
  <c r="AE2253" i="16" s="1"/>
  <c r="R2253" i="16"/>
  <c r="Q2253" i="16"/>
  <c r="P2253" i="16"/>
  <c r="N2253" i="16"/>
  <c r="L2253" i="16"/>
  <c r="M2253" i="16" s="1"/>
  <c r="K2253" i="16"/>
  <c r="J2253" i="16"/>
  <c r="I2253" i="16"/>
  <c r="AC2252" i="16"/>
  <c r="AA2252" i="16"/>
  <c r="AB2252" i="16" s="1"/>
  <c r="T2252" i="16"/>
  <c r="AE2252" i="16" s="1"/>
  <c r="R2252" i="16"/>
  <c r="Q2252" i="16"/>
  <c r="P2252" i="16"/>
  <c r="N2252" i="16"/>
  <c r="L2252" i="16"/>
  <c r="M2252" i="16" s="1"/>
  <c r="K2252" i="16"/>
  <c r="J2252" i="16"/>
  <c r="I2252" i="16"/>
  <c r="AC2251" i="16"/>
  <c r="AA2251" i="16"/>
  <c r="AB2251" i="16" s="1"/>
  <c r="T2251" i="16"/>
  <c r="AE2251" i="16" s="1"/>
  <c r="R2251" i="16"/>
  <c r="Q2251" i="16"/>
  <c r="P2251" i="16"/>
  <c r="N2251" i="16"/>
  <c r="L2251" i="16"/>
  <c r="M2251" i="16" s="1"/>
  <c r="K2251" i="16"/>
  <c r="J2251" i="16"/>
  <c r="I2251" i="16"/>
  <c r="AC2250" i="16"/>
  <c r="AA2250" i="16"/>
  <c r="AB2250" i="16" s="1"/>
  <c r="T2250" i="16"/>
  <c r="AE2250" i="16" s="1"/>
  <c r="R2250" i="16"/>
  <c r="Q2250" i="16"/>
  <c r="P2250" i="16"/>
  <c r="N2250" i="16"/>
  <c r="L2250" i="16"/>
  <c r="M2250" i="16" s="1"/>
  <c r="K2250" i="16"/>
  <c r="J2250" i="16"/>
  <c r="I2250" i="16"/>
  <c r="AC2249" i="16"/>
  <c r="AA2249" i="16"/>
  <c r="AB2249" i="16" s="1"/>
  <c r="T2249" i="16"/>
  <c r="AE2249" i="16" s="1"/>
  <c r="R2249" i="16"/>
  <c r="Q2249" i="16"/>
  <c r="P2249" i="16"/>
  <c r="N2249" i="16"/>
  <c r="L2249" i="16"/>
  <c r="M2249" i="16" s="1"/>
  <c r="K2249" i="16"/>
  <c r="J2249" i="16"/>
  <c r="I2249" i="16"/>
  <c r="AC2248" i="16"/>
  <c r="AA2248" i="16"/>
  <c r="AB2248" i="16" s="1"/>
  <c r="T2248" i="16"/>
  <c r="AE2248" i="16" s="1"/>
  <c r="R2248" i="16"/>
  <c r="Q2248" i="16"/>
  <c r="P2248" i="16"/>
  <c r="N2248" i="16"/>
  <c r="L2248" i="16"/>
  <c r="M2248" i="16" s="1"/>
  <c r="K2248" i="16"/>
  <c r="J2248" i="16"/>
  <c r="I2248" i="16"/>
  <c r="AC2247" i="16"/>
  <c r="AA2247" i="16"/>
  <c r="AB2247" i="16" s="1"/>
  <c r="T2247" i="16"/>
  <c r="AE2247" i="16" s="1"/>
  <c r="R2247" i="16"/>
  <c r="Q2247" i="16"/>
  <c r="P2247" i="16"/>
  <c r="N2247" i="16"/>
  <c r="L2247" i="16"/>
  <c r="M2247" i="16" s="1"/>
  <c r="K2247" i="16"/>
  <c r="J2247" i="16"/>
  <c r="I2247" i="16"/>
  <c r="AC2246" i="16"/>
  <c r="AA2246" i="16"/>
  <c r="AB2246" i="16" s="1"/>
  <c r="T2246" i="16"/>
  <c r="AE2246" i="16" s="1"/>
  <c r="R2246" i="16"/>
  <c r="Q2246" i="16"/>
  <c r="P2246" i="16"/>
  <c r="N2246" i="16"/>
  <c r="L2246" i="16"/>
  <c r="M2246" i="16" s="1"/>
  <c r="K2246" i="16"/>
  <c r="J2246" i="16"/>
  <c r="I2246" i="16"/>
  <c r="AC2245" i="16"/>
  <c r="AA2245" i="16"/>
  <c r="AB2245" i="16" s="1"/>
  <c r="T2245" i="16"/>
  <c r="AE2245" i="16" s="1"/>
  <c r="R2245" i="16"/>
  <c r="Q2245" i="16"/>
  <c r="P2245" i="16"/>
  <c r="N2245" i="16"/>
  <c r="L2245" i="16"/>
  <c r="M2245" i="16" s="1"/>
  <c r="K2245" i="16"/>
  <c r="J2245" i="16"/>
  <c r="I2245" i="16"/>
  <c r="AC2244" i="16"/>
  <c r="AA2244" i="16"/>
  <c r="AB2244" i="16" s="1"/>
  <c r="T2244" i="16"/>
  <c r="AE2244" i="16" s="1"/>
  <c r="R2244" i="16"/>
  <c r="Q2244" i="16"/>
  <c r="P2244" i="16"/>
  <c r="N2244" i="16"/>
  <c r="L2244" i="16"/>
  <c r="M2244" i="16" s="1"/>
  <c r="K2244" i="16"/>
  <c r="J2244" i="16"/>
  <c r="I2244" i="16"/>
  <c r="AC2243" i="16"/>
  <c r="AA2243" i="16"/>
  <c r="AB2243" i="16" s="1"/>
  <c r="T2243" i="16"/>
  <c r="AE2243" i="16" s="1"/>
  <c r="R2243" i="16"/>
  <c r="Q2243" i="16"/>
  <c r="P2243" i="16"/>
  <c r="N2243" i="16"/>
  <c r="L2243" i="16"/>
  <c r="M2243" i="16" s="1"/>
  <c r="K2243" i="16"/>
  <c r="J2243" i="16"/>
  <c r="I2243" i="16"/>
  <c r="AC2242" i="16"/>
  <c r="AA2242" i="16"/>
  <c r="AB2242" i="16" s="1"/>
  <c r="T2242" i="16"/>
  <c r="AE2242" i="16" s="1"/>
  <c r="R2242" i="16"/>
  <c r="Q2242" i="16"/>
  <c r="P2242" i="16"/>
  <c r="N2242" i="16"/>
  <c r="L2242" i="16"/>
  <c r="M2242" i="16" s="1"/>
  <c r="K2242" i="16"/>
  <c r="J2242" i="16"/>
  <c r="I2242" i="16"/>
  <c r="AC2241" i="16"/>
  <c r="AA2241" i="16"/>
  <c r="AB2241" i="16" s="1"/>
  <c r="T2241" i="16"/>
  <c r="AE2241" i="16" s="1"/>
  <c r="R2241" i="16"/>
  <c r="Q2241" i="16"/>
  <c r="P2241" i="16"/>
  <c r="N2241" i="16"/>
  <c r="L2241" i="16"/>
  <c r="M2241" i="16" s="1"/>
  <c r="K2241" i="16"/>
  <c r="J2241" i="16"/>
  <c r="I2241" i="16"/>
  <c r="AC2240" i="16"/>
  <c r="AA2240" i="16"/>
  <c r="AB2240" i="16" s="1"/>
  <c r="T2240" i="16"/>
  <c r="AE2240" i="16" s="1"/>
  <c r="R2240" i="16"/>
  <c r="Q2240" i="16"/>
  <c r="P2240" i="16"/>
  <c r="N2240" i="16"/>
  <c r="L2240" i="16"/>
  <c r="M2240" i="16" s="1"/>
  <c r="K2240" i="16"/>
  <c r="J2240" i="16"/>
  <c r="I2240" i="16"/>
  <c r="AC2239" i="16"/>
  <c r="AA2239" i="16"/>
  <c r="AB2239" i="16" s="1"/>
  <c r="T2239" i="16"/>
  <c r="AE2239" i="16" s="1"/>
  <c r="R2239" i="16"/>
  <c r="Q2239" i="16"/>
  <c r="P2239" i="16"/>
  <c r="N2239" i="16"/>
  <c r="L2239" i="16"/>
  <c r="M2239" i="16" s="1"/>
  <c r="K2239" i="16"/>
  <c r="J2239" i="16"/>
  <c r="I2239" i="16"/>
  <c r="AC2238" i="16"/>
  <c r="AA2238" i="16"/>
  <c r="AB2238" i="16" s="1"/>
  <c r="T2238" i="16"/>
  <c r="AE2238" i="16" s="1"/>
  <c r="R2238" i="16"/>
  <c r="Q2238" i="16"/>
  <c r="P2238" i="16"/>
  <c r="N2238" i="16"/>
  <c r="L2238" i="16"/>
  <c r="M2238" i="16" s="1"/>
  <c r="K2238" i="16"/>
  <c r="J2238" i="16"/>
  <c r="I2238" i="16"/>
  <c r="AC2237" i="16"/>
  <c r="AA2237" i="16"/>
  <c r="AB2237" i="16" s="1"/>
  <c r="T2237" i="16"/>
  <c r="AE2237" i="16" s="1"/>
  <c r="R2237" i="16"/>
  <c r="Q2237" i="16"/>
  <c r="P2237" i="16"/>
  <c r="N2237" i="16"/>
  <c r="L2237" i="16"/>
  <c r="M2237" i="16" s="1"/>
  <c r="K2237" i="16"/>
  <c r="J2237" i="16"/>
  <c r="I2237" i="16"/>
  <c r="AC2236" i="16"/>
  <c r="AA2236" i="16"/>
  <c r="AB2236" i="16" s="1"/>
  <c r="T2236" i="16"/>
  <c r="AE2236" i="16" s="1"/>
  <c r="R2236" i="16"/>
  <c r="Q2236" i="16"/>
  <c r="P2236" i="16"/>
  <c r="N2236" i="16"/>
  <c r="L2236" i="16"/>
  <c r="M2236" i="16" s="1"/>
  <c r="K2236" i="16"/>
  <c r="J2236" i="16"/>
  <c r="I2236" i="16"/>
  <c r="AC2235" i="16"/>
  <c r="AA2235" i="16"/>
  <c r="AB2235" i="16" s="1"/>
  <c r="T2235" i="16"/>
  <c r="AE2235" i="16" s="1"/>
  <c r="R2235" i="16"/>
  <c r="Q2235" i="16"/>
  <c r="P2235" i="16"/>
  <c r="N2235" i="16"/>
  <c r="L2235" i="16"/>
  <c r="M2235" i="16" s="1"/>
  <c r="K2235" i="16"/>
  <c r="J2235" i="16"/>
  <c r="I2235" i="16"/>
  <c r="AC2234" i="16"/>
  <c r="AA2234" i="16"/>
  <c r="AB2234" i="16" s="1"/>
  <c r="T2234" i="16"/>
  <c r="AE2234" i="16" s="1"/>
  <c r="R2234" i="16"/>
  <c r="Q2234" i="16"/>
  <c r="P2234" i="16"/>
  <c r="N2234" i="16"/>
  <c r="L2234" i="16"/>
  <c r="M2234" i="16" s="1"/>
  <c r="K2234" i="16"/>
  <c r="J2234" i="16"/>
  <c r="I2234" i="16"/>
  <c r="AC2233" i="16"/>
  <c r="AA2233" i="16"/>
  <c r="AB2233" i="16" s="1"/>
  <c r="T2233" i="16"/>
  <c r="AE2233" i="16" s="1"/>
  <c r="R2233" i="16"/>
  <c r="Q2233" i="16"/>
  <c r="P2233" i="16"/>
  <c r="N2233" i="16"/>
  <c r="L2233" i="16"/>
  <c r="M2233" i="16" s="1"/>
  <c r="K2233" i="16"/>
  <c r="J2233" i="16"/>
  <c r="I2233" i="16"/>
  <c r="AC2232" i="16"/>
  <c r="AA2232" i="16"/>
  <c r="AB2232" i="16" s="1"/>
  <c r="T2232" i="16"/>
  <c r="AE2232" i="16" s="1"/>
  <c r="R2232" i="16"/>
  <c r="Q2232" i="16"/>
  <c r="P2232" i="16"/>
  <c r="N2232" i="16"/>
  <c r="L2232" i="16"/>
  <c r="M2232" i="16" s="1"/>
  <c r="K2232" i="16"/>
  <c r="J2232" i="16"/>
  <c r="I2232" i="16"/>
  <c r="AC2231" i="16"/>
  <c r="AA2231" i="16"/>
  <c r="AB2231" i="16" s="1"/>
  <c r="T2231" i="16"/>
  <c r="AE2231" i="16" s="1"/>
  <c r="R2231" i="16"/>
  <c r="Q2231" i="16"/>
  <c r="P2231" i="16"/>
  <c r="N2231" i="16"/>
  <c r="L2231" i="16"/>
  <c r="M2231" i="16" s="1"/>
  <c r="K2231" i="16"/>
  <c r="J2231" i="16"/>
  <c r="I2231" i="16"/>
  <c r="AC2230" i="16"/>
  <c r="AA2230" i="16"/>
  <c r="AB2230" i="16" s="1"/>
  <c r="T2230" i="16"/>
  <c r="AE2230" i="16" s="1"/>
  <c r="R2230" i="16"/>
  <c r="Q2230" i="16"/>
  <c r="P2230" i="16"/>
  <c r="N2230" i="16"/>
  <c r="L2230" i="16"/>
  <c r="M2230" i="16" s="1"/>
  <c r="K2230" i="16"/>
  <c r="J2230" i="16"/>
  <c r="I2230" i="16"/>
  <c r="AC2229" i="16"/>
  <c r="AA2229" i="16"/>
  <c r="AB2229" i="16" s="1"/>
  <c r="T2229" i="16"/>
  <c r="AE2229" i="16" s="1"/>
  <c r="R2229" i="16"/>
  <c r="Q2229" i="16"/>
  <c r="P2229" i="16"/>
  <c r="N2229" i="16"/>
  <c r="L2229" i="16"/>
  <c r="M2229" i="16" s="1"/>
  <c r="K2229" i="16"/>
  <c r="J2229" i="16"/>
  <c r="I2229" i="16"/>
  <c r="AC2228" i="16"/>
  <c r="AA2228" i="16"/>
  <c r="AB2228" i="16" s="1"/>
  <c r="T2228" i="16"/>
  <c r="AE2228" i="16" s="1"/>
  <c r="R2228" i="16"/>
  <c r="Q2228" i="16"/>
  <c r="P2228" i="16"/>
  <c r="N2228" i="16"/>
  <c r="L2228" i="16"/>
  <c r="M2228" i="16" s="1"/>
  <c r="K2228" i="16"/>
  <c r="J2228" i="16"/>
  <c r="I2228" i="16"/>
  <c r="AC2227" i="16"/>
  <c r="AA2227" i="16"/>
  <c r="AB2227" i="16" s="1"/>
  <c r="T2227" i="16"/>
  <c r="AE2227" i="16" s="1"/>
  <c r="R2227" i="16"/>
  <c r="Q2227" i="16"/>
  <c r="P2227" i="16"/>
  <c r="N2227" i="16"/>
  <c r="L2227" i="16"/>
  <c r="M2227" i="16" s="1"/>
  <c r="K2227" i="16"/>
  <c r="J2227" i="16"/>
  <c r="I2227" i="16"/>
  <c r="AC2226" i="16"/>
  <c r="AA2226" i="16"/>
  <c r="AB2226" i="16" s="1"/>
  <c r="T2226" i="16"/>
  <c r="AE2226" i="16" s="1"/>
  <c r="R2226" i="16"/>
  <c r="Q2226" i="16"/>
  <c r="P2226" i="16"/>
  <c r="N2226" i="16"/>
  <c r="L2226" i="16"/>
  <c r="M2226" i="16" s="1"/>
  <c r="K2226" i="16"/>
  <c r="J2226" i="16"/>
  <c r="I2226" i="16"/>
  <c r="AC2225" i="16"/>
  <c r="AA2225" i="16"/>
  <c r="AB2225" i="16" s="1"/>
  <c r="T2225" i="16"/>
  <c r="AE2225" i="16" s="1"/>
  <c r="R2225" i="16"/>
  <c r="Q2225" i="16"/>
  <c r="P2225" i="16"/>
  <c r="N2225" i="16"/>
  <c r="L2225" i="16"/>
  <c r="M2225" i="16" s="1"/>
  <c r="K2225" i="16"/>
  <c r="J2225" i="16"/>
  <c r="I2225" i="16"/>
  <c r="AC2224" i="16"/>
  <c r="AA2224" i="16"/>
  <c r="AB2224" i="16" s="1"/>
  <c r="T2224" i="16"/>
  <c r="AE2224" i="16" s="1"/>
  <c r="R2224" i="16"/>
  <c r="Q2224" i="16"/>
  <c r="P2224" i="16"/>
  <c r="N2224" i="16"/>
  <c r="L2224" i="16"/>
  <c r="M2224" i="16" s="1"/>
  <c r="K2224" i="16"/>
  <c r="J2224" i="16"/>
  <c r="I2224" i="16"/>
  <c r="AC2223" i="16"/>
  <c r="AA2223" i="16"/>
  <c r="AB2223" i="16" s="1"/>
  <c r="T2223" i="16"/>
  <c r="AE2223" i="16" s="1"/>
  <c r="R2223" i="16"/>
  <c r="Q2223" i="16"/>
  <c r="P2223" i="16"/>
  <c r="N2223" i="16"/>
  <c r="L2223" i="16"/>
  <c r="M2223" i="16" s="1"/>
  <c r="K2223" i="16"/>
  <c r="J2223" i="16"/>
  <c r="I2223" i="16"/>
  <c r="AC2222" i="16"/>
  <c r="AA2222" i="16"/>
  <c r="AB2222" i="16" s="1"/>
  <c r="T2222" i="16"/>
  <c r="AE2222" i="16" s="1"/>
  <c r="R2222" i="16"/>
  <c r="Q2222" i="16"/>
  <c r="P2222" i="16"/>
  <c r="N2222" i="16"/>
  <c r="L2222" i="16"/>
  <c r="M2222" i="16" s="1"/>
  <c r="K2222" i="16"/>
  <c r="J2222" i="16"/>
  <c r="I2222" i="16"/>
  <c r="AC2221" i="16"/>
  <c r="AA2221" i="16"/>
  <c r="AB2221" i="16" s="1"/>
  <c r="T2221" i="16"/>
  <c r="AE2221" i="16" s="1"/>
  <c r="R2221" i="16"/>
  <c r="Q2221" i="16"/>
  <c r="P2221" i="16"/>
  <c r="N2221" i="16"/>
  <c r="L2221" i="16"/>
  <c r="M2221" i="16" s="1"/>
  <c r="K2221" i="16"/>
  <c r="J2221" i="16"/>
  <c r="I2221" i="16"/>
  <c r="AC2220" i="16"/>
  <c r="AA2220" i="16"/>
  <c r="AB2220" i="16" s="1"/>
  <c r="T2220" i="16"/>
  <c r="AE2220" i="16" s="1"/>
  <c r="R2220" i="16"/>
  <c r="Q2220" i="16"/>
  <c r="P2220" i="16"/>
  <c r="N2220" i="16"/>
  <c r="L2220" i="16"/>
  <c r="M2220" i="16" s="1"/>
  <c r="K2220" i="16"/>
  <c r="J2220" i="16"/>
  <c r="I2220" i="16"/>
  <c r="AC2219" i="16"/>
  <c r="AA2219" i="16"/>
  <c r="AB2219" i="16" s="1"/>
  <c r="T2219" i="16"/>
  <c r="AE2219" i="16" s="1"/>
  <c r="R2219" i="16"/>
  <c r="Q2219" i="16"/>
  <c r="P2219" i="16"/>
  <c r="N2219" i="16"/>
  <c r="L2219" i="16"/>
  <c r="M2219" i="16" s="1"/>
  <c r="K2219" i="16"/>
  <c r="J2219" i="16"/>
  <c r="I2219" i="16"/>
  <c r="AC2218" i="16"/>
  <c r="AA2218" i="16"/>
  <c r="AB2218" i="16" s="1"/>
  <c r="T2218" i="16"/>
  <c r="AE2218" i="16" s="1"/>
  <c r="R2218" i="16"/>
  <c r="Q2218" i="16"/>
  <c r="P2218" i="16"/>
  <c r="N2218" i="16"/>
  <c r="L2218" i="16"/>
  <c r="M2218" i="16" s="1"/>
  <c r="K2218" i="16"/>
  <c r="J2218" i="16"/>
  <c r="I2218" i="16"/>
  <c r="AC2217" i="16"/>
  <c r="AA2217" i="16"/>
  <c r="AB2217" i="16" s="1"/>
  <c r="T2217" i="16"/>
  <c r="AE2217" i="16" s="1"/>
  <c r="R2217" i="16"/>
  <c r="Q2217" i="16"/>
  <c r="P2217" i="16"/>
  <c r="N2217" i="16"/>
  <c r="L2217" i="16"/>
  <c r="M2217" i="16" s="1"/>
  <c r="K2217" i="16"/>
  <c r="J2217" i="16"/>
  <c r="I2217" i="16"/>
  <c r="AC2216" i="16"/>
  <c r="AA2216" i="16"/>
  <c r="AB2216" i="16" s="1"/>
  <c r="T2216" i="16"/>
  <c r="AE2216" i="16" s="1"/>
  <c r="R2216" i="16"/>
  <c r="Q2216" i="16"/>
  <c r="P2216" i="16"/>
  <c r="N2216" i="16"/>
  <c r="L2216" i="16"/>
  <c r="M2216" i="16" s="1"/>
  <c r="K2216" i="16"/>
  <c r="J2216" i="16"/>
  <c r="I2216" i="16"/>
  <c r="AC2215" i="16"/>
  <c r="AA2215" i="16"/>
  <c r="AB2215" i="16" s="1"/>
  <c r="T2215" i="16"/>
  <c r="AE2215" i="16" s="1"/>
  <c r="R2215" i="16"/>
  <c r="Q2215" i="16"/>
  <c r="P2215" i="16"/>
  <c r="N2215" i="16"/>
  <c r="L2215" i="16"/>
  <c r="M2215" i="16" s="1"/>
  <c r="K2215" i="16"/>
  <c r="J2215" i="16"/>
  <c r="I2215" i="16"/>
  <c r="AC2214" i="16"/>
  <c r="AA2214" i="16"/>
  <c r="AB2214" i="16" s="1"/>
  <c r="T2214" i="16"/>
  <c r="AE2214" i="16" s="1"/>
  <c r="R2214" i="16"/>
  <c r="Q2214" i="16"/>
  <c r="P2214" i="16"/>
  <c r="N2214" i="16"/>
  <c r="L2214" i="16"/>
  <c r="M2214" i="16" s="1"/>
  <c r="K2214" i="16"/>
  <c r="J2214" i="16"/>
  <c r="I2214" i="16"/>
  <c r="AC2213" i="16"/>
  <c r="AA2213" i="16"/>
  <c r="AB2213" i="16" s="1"/>
  <c r="T2213" i="16"/>
  <c r="AE2213" i="16" s="1"/>
  <c r="R2213" i="16"/>
  <c r="Q2213" i="16"/>
  <c r="P2213" i="16"/>
  <c r="N2213" i="16"/>
  <c r="L2213" i="16"/>
  <c r="M2213" i="16" s="1"/>
  <c r="K2213" i="16"/>
  <c r="J2213" i="16"/>
  <c r="I2213" i="16"/>
  <c r="AC2212" i="16"/>
  <c r="AA2212" i="16"/>
  <c r="AB2212" i="16" s="1"/>
  <c r="T2212" i="16"/>
  <c r="AE2212" i="16" s="1"/>
  <c r="R2212" i="16"/>
  <c r="Q2212" i="16"/>
  <c r="P2212" i="16"/>
  <c r="N2212" i="16"/>
  <c r="L2212" i="16"/>
  <c r="M2212" i="16" s="1"/>
  <c r="K2212" i="16"/>
  <c r="J2212" i="16"/>
  <c r="I2212" i="16"/>
  <c r="AC2211" i="16"/>
  <c r="AA2211" i="16"/>
  <c r="AB2211" i="16" s="1"/>
  <c r="T2211" i="16"/>
  <c r="AE2211" i="16" s="1"/>
  <c r="R2211" i="16"/>
  <c r="Q2211" i="16"/>
  <c r="P2211" i="16"/>
  <c r="N2211" i="16"/>
  <c r="L2211" i="16"/>
  <c r="M2211" i="16" s="1"/>
  <c r="K2211" i="16"/>
  <c r="J2211" i="16"/>
  <c r="I2211" i="16"/>
  <c r="AC2210" i="16"/>
  <c r="AA2210" i="16"/>
  <c r="AB2210" i="16" s="1"/>
  <c r="T2210" i="16"/>
  <c r="AE2210" i="16" s="1"/>
  <c r="R2210" i="16"/>
  <c r="Q2210" i="16"/>
  <c r="P2210" i="16"/>
  <c r="N2210" i="16"/>
  <c r="L2210" i="16"/>
  <c r="M2210" i="16" s="1"/>
  <c r="K2210" i="16"/>
  <c r="J2210" i="16"/>
  <c r="I2210" i="16"/>
  <c r="AC2209" i="16"/>
  <c r="AA2209" i="16"/>
  <c r="AB2209" i="16" s="1"/>
  <c r="T2209" i="16"/>
  <c r="AE2209" i="16" s="1"/>
  <c r="R2209" i="16"/>
  <c r="Q2209" i="16"/>
  <c r="P2209" i="16"/>
  <c r="N2209" i="16"/>
  <c r="L2209" i="16"/>
  <c r="M2209" i="16" s="1"/>
  <c r="K2209" i="16"/>
  <c r="J2209" i="16"/>
  <c r="I2209" i="16"/>
  <c r="AC2208" i="16"/>
  <c r="AA2208" i="16"/>
  <c r="AB2208" i="16" s="1"/>
  <c r="T2208" i="16"/>
  <c r="AE2208" i="16" s="1"/>
  <c r="R2208" i="16"/>
  <c r="Q2208" i="16"/>
  <c r="P2208" i="16"/>
  <c r="N2208" i="16"/>
  <c r="L2208" i="16"/>
  <c r="M2208" i="16" s="1"/>
  <c r="K2208" i="16"/>
  <c r="J2208" i="16"/>
  <c r="I2208" i="16"/>
  <c r="AC2207" i="16"/>
  <c r="AA2207" i="16"/>
  <c r="AB2207" i="16" s="1"/>
  <c r="T2207" i="16"/>
  <c r="AE2207" i="16" s="1"/>
  <c r="R2207" i="16"/>
  <c r="Q2207" i="16"/>
  <c r="P2207" i="16"/>
  <c r="N2207" i="16"/>
  <c r="L2207" i="16"/>
  <c r="M2207" i="16" s="1"/>
  <c r="K2207" i="16"/>
  <c r="J2207" i="16"/>
  <c r="I2207" i="16"/>
  <c r="AC2206" i="16"/>
  <c r="AA2206" i="16"/>
  <c r="AB2206" i="16" s="1"/>
  <c r="T2206" i="16"/>
  <c r="AE2206" i="16" s="1"/>
  <c r="R2206" i="16"/>
  <c r="Q2206" i="16"/>
  <c r="P2206" i="16"/>
  <c r="N2206" i="16"/>
  <c r="L2206" i="16"/>
  <c r="M2206" i="16" s="1"/>
  <c r="K2206" i="16"/>
  <c r="J2206" i="16"/>
  <c r="I2206" i="16"/>
  <c r="AC2205" i="16"/>
  <c r="AA2205" i="16"/>
  <c r="AB2205" i="16" s="1"/>
  <c r="T2205" i="16"/>
  <c r="AE2205" i="16" s="1"/>
  <c r="R2205" i="16"/>
  <c r="Q2205" i="16"/>
  <c r="P2205" i="16"/>
  <c r="N2205" i="16"/>
  <c r="L2205" i="16"/>
  <c r="M2205" i="16" s="1"/>
  <c r="K2205" i="16"/>
  <c r="J2205" i="16"/>
  <c r="I2205" i="16"/>
  <c r="AC2204" i="16"/>
  <c r="AA2204" i="16"/>
  <c r="AB2204" i="16" s="1"/>
  <c r="T2204" i="16"/>
  <c r="AE2204" i="16" s="1"/>
  <c r="R2204" i="16"/>
  <c r="Q2204" i="16"/>
  <c r="P2204" i="16"/>
  <c r="N2204" i="16"/>
  <c r="L2204" i="16"/>
  <c r="M2204" i="16" s="1"/>
  <c r="K2204" i="16"/>
  <c r="J2204" i="16"/>
  <c r="I2204" i="16"/>
  <c r="AC2203" i="16"/>
  <c r="AA2203" i="16"/>
  <c r="AB2203" i="16" s="1"/>
  <c r="T2203" i="16"/>
  <c r="AE2203" i="16" s="1"/>
  <c r="R2203" i="16"/>
  <c r="Q2203" i="16"/>
  <c r="P2203" i="16"/>
  <c r="N2203" i="16"/>
  <c r="L2203" i="16"/>
  <c r="M2203" i="16" s="1"/>
  <c r="K2203" i="16"/>
  <c r="J2203" i="16"/>
  <c r="I2203" i="16"/>
  <c r="AC2202" i="16"/>
  <c r="AA2202" i="16"/>
  <c r="AB2202" i="16" s="1"/>
  <c r="T2202" i="16"/>
  <c r="AE2202" i="16" s="1"/>
  <c r="R2202" i="16"/>
  <c r="Q2202" i="16"/>
  <c r="P2202" i="16"/>
  <c r="N2202" i="16"/>
  <c r="L2202" i="16"/>
  <c r="M2202" i="16" s="1"/>
  <c r="K2202" i="16"/>
  <c r="J2202" i="16"/>
  <c r="I2202" i="16"/>
  <c r="AC2201" i="16"/>
  <c r="AA2201" i="16"/>
  <c r="AB2201" i="16" s="1"/>
  <c r="T2201" i="16"/>
  <c r="AE2201" i="16" s="1"/>
  <c r="R2201" i="16"/>
  <c r="Q2201" i="16"/>
  <c r="P2201" i="16"/>
  <c r="N2201" i="16"/>
  <c r="L2201" i="16"/>
  <c r="M2201" i="16" s="1"/>
  <c r="K2201" i="16"/>
  <c r="J2201" i="16"/>
  <c r="I2201" i="16"/>
  <c r="AC2200" i="16"/>
  <c r="AA2200" i="16"/>
  <c r="AB2200" i="16" s="1"/>
  <c r="T2200" i="16"/>
  <c r="AE2200" i="16" s="1"/>
  <c r="R2200" i="16"/>
  <c r="Q2200" i="16"/>
  <c r="P2200" i="16"/>
  <c r="N2200" i="16"/>
  <c r="L2200" i="16"/>
  <c r="M2200" i="16" s="1"/>
  <c r="K2200" i="16"/>
  <c r="J2200" i="16"/>
  <c r="I2200" i="16"/>
  <c r="AC2199" i="16"/>
  <c r="AA2199" i="16"/>
  <c r="AB2199" i="16" s="1"/>
  <c r="T2199" i="16"/>
  <c r="AE2199" i="16" s="1"/>
  <c r="R2199" i="16"/>
  <c r="Q2199" i="16"/>
  <c r="P2199" i="16"/>
  <c r="N2199" i="16"/>
  <c r="L2199" i="16"/>
  <c r="M2199" i="16" s="1"/>
  <c r="K2199" i="16"/>
  <c r="J2199" i="16"/>
  <c r="I2199" i="16"/>
  <c r="AC2198" i="16"/>
  <c r="AA2198" i="16"/>
  <c r="AB2198" i="16" s="1"/>
  <c r="T2198" i="16"/>
  <c r="AE2198" i="16" s="1"/>
  <c r="R2198" i="16"/>
  <c r="Q2198" i="16"/>
  <c r="P2198" i="16"/>
  <c r="N2198" i="16"/>
  <c r="L2198" i="16"/>
  <c r="M2198" i="16" s="1"/>
  <c r="K2198" i="16"/>
  <c r="J2198" i="16"/>
  <c r="I2198" i="16"/>
  <c r="AC2197" i="16"/>
  <c r="AA2197" i="16"/>
  <c r="AB2197" i="16" s="1"/>
  <c r="T2197" i="16"/>
  <c r="AE2197" i="16" s="1"/>
  <c r="R2197" i="16"/>
  <c r="Q2197" i="16"/>
  <c r="P2197" i="16"/>
  <c r="N2197" i="16"/>
  <c r="L2197" i="16"/>
  <c r="M2197" i="16" s="1"/>
  <c r="K2197" i="16"/>
  <c r="J2197" i="16"/>
  <c r="I2197" i="16"/>
  <c r="AC2196" i="16"/>
  <c r="AA2196" i="16"/>
  <c r="AB2196" i="16" s="1"/>
  <c r="T2196" i="16"/>
  <c r="AE2196" i="16" s="1"/>
  <c r="R2196" i="16"/>
  <c r="Q2196" i="16"/>
  <c r="P2196" i="16"/>
  <c r="N2196" i="16"/>
  <c r="L2196" i="16"/>
  <c r="M2196" i="16" s="1"/>
  <c r="K2196" i="16"/>
  <c r="J2196" i="16"/>
  <c r="I2196" i="16"/>
  <c r="AC2195" i="16"/>
  <c r="AA2195" i="16"/>
  <c r="AB2195" i="16" s="1"/>
  <c r="T2195" i="16"/>
  <c r="AE2195" i="16" s="1"/>
  <c r="R2195" i="16"/>
  <c r="Q2195" i="16"/>
  <c r="P2195" i="16"/>
  <c r="N2195" i="16"/>
  <c r="L2195" i="16"/>
  <c r="M2195" i="16" s="1"/>
  <c r="K2195" i="16"/>
  <c r="J2195" i="16"/>
  <c r="I2195" i="16"/>
  <c r="AC2194" i="16"/>
  <c r="AA2194" i="16"/>
  <c r="AB2194" i="16" s="1"/>
  <c r="T2194" i="16"/>
  <c r="AE2194" i="16" s="1"/>
  <c r="R2194" i="16"/>
  <c r="Q2194" i="16"/>
  <c r="P2194" i="16"/>
  <c r="N2194" i="16"/>
  <c r="L2194" i="16"/>
  <c r="M2194" i="16" s="1"/>
  <c r="K2194" i="16"/>
  <c r="J2194" i="16"/>
  <c r="I2194" i="16"/>
  <c r="AC2193" i="16"/>
  <c r="AA2193" i="16"/>
  <c r="AB2193" i="16" s="1"/>
  <c r="T2193" i="16"/>
  <c r="AE2193" i="16" s="1"/>
  <c r="R2193" i="16"/>
  <c r="Q2193" i="16"/>
  <c r="P2193" i="16"/>
  <c r="N2193" i="16"/>
  <c r="L2193" i="16"/>
  <c r="M2193" i="16" s="1"/>
  <c r="K2193" i="16"/>
  <c r="J2193" i="16"/>
  <c r="I2193" i="16"/>
  <c r="AC2192" i="16"/>
  <c r="AA2192" i="16"/>
  <c r="AB2192" i="16" s="1"/>
  <c r="T2192" i="16"/>
  <c r="AE2192" i="16" s="1"/>
  <c r="R2192" i="16"/>
  <c r="Q2192" i="16"/>
  <c r="P2192" i="16"/>
  <c r="N2192" i="16"/>
  <c r="L2192" i="16"/>
  <c r="M2192" i="16" s="1"/>
  <c r="K2192" i="16"/>
  <c r="J2192" i="16"/>
  <c r="I2192" i="16"/>
  <c r="AC2191" i="16"/>
  <c r="AA2191" i="16"/>
  <c r="AB2191" i="16" s="1"/>
  <c r="T2191" i="16"/>
  <c r="AE2191" i="16" s="1"/>
  <c r="R2191" i="16"/>
  <c r="Q2191" i="16"/>
  <c r="P2191" i="16"/>
  <c r="N2191" i="16"/>
  <c r="L2191" i="16"/>
  <c r="M2191" i="16" s="1"/>
  <c r="K2191" i="16"/>
  <c r="J2191" i="16"/>
  <c r="I2191" i="16"/>
  <c r="AC2190" i="16"/>
  <c r="AA2190" i="16"/>
  <c r="AB2190" i="16" s="1"/>
  <c r="T2190" i="16"/>
  <c r="AE2190" i="16" s="1"/>
  <c r="R2190" i="16"/>
  <c r="Q2190" i="16"/>
  <c r="P2190" i="16"/>
  <c r="N2190" i="16"/>
  <c r="L2190" i="16"/>
  <c r="M2190" i="16" s="1"/>
  <c r="K2190" i="16"/>
  <c r="J2190" i="16"/>
  <c r="I2190" i="16"/>
  <c r="AC2189" i="16"/>
  <c r="AA2189" i="16"/>
  <c r="AB2189" i="16" s="1"/>
  <c r="T2189" i="16"/>
  <c r="AE2189" i="16" s="1"/>
  <c r="R2189" i="16"/>
  <c r="Q2189" i="16"/>
  <c r="P2189" i="16"/>
  <c r="N2189" i="16"/>
  <c r="L2189" i="16"/>
  <c r="M2189" i="16" s="1"/>
  <c r="K2189" i="16"/>
  <c r="J2189" i="16"/>
  <c r="I2189" i="16"/>
  <c r="AC2188" i="16"/>
  <c r="AA2188" i="16"/>
  <c r="AB2188" i="16" s="1"/>
  <c r="T2188" i="16"/>
  <c r="AE2188" i="16" s="1"/>
  <c r="R2188" i="16"/>
  <c r="Q2188" i="16"/>
  <c r="P2188" i="16"/>
  <c r="N2188" i="16"/>
  <c r="L2188" i="16"/>
  <c r="M2188" i="16" s="1"/>
  <c r="K2188" i="16"/>
  <c r="J2188" i="16"/>
  <c r="I2188" i="16"/>
  <c r="AC2187" i="16"/>
  <c r="AA2187" i="16"/>
  <c r="AB2187" i="16" s="1"/>
  <c r="T2187" i="16"/>
  <c r="AE2187" i="16" s="1"/>
  <c r="R2187" i="16"/>
  <c r="Q2187" i="16"/>
  <c r="P2187" i="16"/>
  <c r="N2187" i="16"/>
  <c r="L2187" i="16"/>
  <c r="M2187" i="16" s="1"/>
  <c r="K2187" i="16"/>
  <c r="J2187" i="16"/>
  <c r="I2187" i="16"/>
  <c r="AC2186" i="16"/>
  <c r="AA2186" i="16"/>
  <c r="AB2186" i="16" s="1"/>
  <c r="T2186" i="16"/>
  <c r="AE2186" i="16" s="1"/>
  <c r="R2186" i="16"/>
  <c r="Q2186" i="16"/>
  <c r="P2186" i="16"/>
  <c r="N2186" i="16"/>
  <c r="L2186" i="16"/>
  <c r="M2186" i="16" s="1"/>
  <c r="K2186" i="16"/>
  <c r="J2186" i="16"/>
  <c r="I2186" i="16"/>
  <c r="AC2185" i="16"/>
  <c r="AA2185" i="16"/>
  <c r="AB2185" i="16" s="1"/>
  <c r="T2185" i="16"/>
  <c r="AE2185" i="16" s="1"/>
  <c r="R2185" i="16"/>
  <c r="Q2185" i="16"/>
  <c r="P2185" i="16"/>
  <c r="N2185" i="16"/>
  <c r="L2185" i="16"/>
  <c r="M2185" i="16" s="1"/>
  <c r="K2185" i="16"/>
  <c r="J2185" i="16"/>
  <c r="I2185" i="16"/>
  <c r="AC2184" i="16"/>
  <c r="AA2184" i="16"/>
  <c r="AB2184" i="16" s="1"/>
  <c r="T2184" i="16"/>
  <c r="AE2184" i="16" s="1"/>
  <c r="R2184" i="16"/>
  <c r="Q2184" i="16"/>
  <c r="P2184" i="16"/>
  <c r="N2184" i="16"/>
  <c r="L2184" i="16"/>
  <c r="M2184" i="16" s="1"/>
  <c r="K2184" i="16"/>
  <c r="J2184" i="16"/>
  <c r="I2184" i="16"/>
  <c r="AC2183" i="16"/>
  <c r="AA2183" i="16"/>
  <c r="AB2183" i="16" s="1"/>
  <c r="T2183" i="16"/>
  <c r="AE2183" i="16" s="1"/>
  <c r="R2183" i="16"/>
  <c r="Q2183" i="16"/>
  <c r="P2183" i="16"/>
  <c r="N2183" i="16"/>
  <c r="L2183" i="16"/>
  <c r="M2183" i="16" s="1"/>
  <c r="K2183" i="16"/>
  <c r="J2183" i="16"/>
  <c r="I2183" i="16"/>
  <c r="AC2182" i="16"/>
  <c r="AA2182" i="16"/>
  <c r="AB2182" i="16" s="1"/>
  <c r="T2182" i="16"/>
  <c r="AE2182" i="16" s="1"/>
  <c r="R2182" i="16"/>
  <c r="Q2182" i="16"/>
  <c r="P2182" i="16"/>
  <c r="N2182" i="16"/>
  <c r="L2182" i="16"/>
  <c r="M2182" i="16" s="1"/>
  <c r="K2182" i="16"/>
  <c r="J2182" i="16"/>
  <c r="I2182" i="16"/>
  <c r="AC2181" i="16"/>
  <c r="AA2181" i="16"/>
  <c r="AB2181" i="16" s="1"/>
  <c r="T2181" i="16"/>
  <c r="AE2181" i="16" s="1"/>
  <c r="R2181" i="16"/>
  <c r="Q2181" i="16"/>
  <c r="P2181" i="16"/>
  <c r="N2181" i="16"/>
  <c r="L2181" i="16"/>
  <c r="M2181" i="16" s="1"/>
  <c r="K2181" i="16"/>
  <c r="J2181" i="16"/>
  <c r="I2181" i="16"/>
  <c r="AC2180" i="16"/>
  <c r="AA2180" i="16"/>
  <c r="AB2180" i="16" s="1"/>
  <c r="T2180" i="16"/>
  <c r="AE2180" i="16" s="1"/>
  <c r="R2180" i="16"/>
  <c r="Q2180" i="16"/>
  <c r="P2180" i="16"/>
  <c r="N2180" i="16"/>
  <c r="L2180" i="16"/>
  <c r="M2180" i="16" s="1"/>
  <c r="K2180" i="16"/>
  <c r="J2180" i="16"/>
  <c r="I2180" i="16"/>
  <c r="AC2179" i="16"/>
  <c r="AA2179" i="16"/>
  <c r="AB2179" i="16" s="1"/>
  <c r="T2179" i="16"/>
  <c r="AE2179" i="16" s="1"/>
  <c r="R2179" i="16"/>
  <c r="Q2179" i="16"/>
  <c r="P2179" i="16"/>
  <c r="N2179" i="16"/>
  <c r="L2179" i="16"/>
  <c r="M2179" i="16" s="1"/>
  <c r="K2179" i="16"/>
  <c r="J2179" i="16"/>
  <c r="I2179" i="16"/>
  <c r="AC2178" i="16"/>
  <c r="AA2178" i="16"/>
  <c r="AB2178" i="16" s="1"/>
  <c r="T2178" i="16"/>
  <c r="AE2178" i="16" s="1"/>
  <c r="R2178" i="16"/>
  <c r="Q2178" i="16"/>
  <c r="P2178" i="16"/>
  <c r="N2178" i="16"/>
  <c r="L2178" i="16"/>
  <c r="M2178" i="16" s="1"/>
  <c r="K2178" i="16"/>
  <c r="J2178" i="16"/>
  <c r="I2178" i="16"/>
  <c r="AC2177" i="16"/>
  <c r="AA2177" i="16"/>
  <c r="AB2177" i="16" s="1"/>
  <c r="T2177" i="16"/>
  <c r="AE2177" i="16" s="1"/>
  <c r="R2177" i="16"/>
  <c r="Q2177" i="16"/>
  <c r="P2177" i="16"/>
  <c r="N2177" i="16"/>
  <c r="L2177" i="16"/>
  <c r="M2177" i="16" s="1"/>
  <c r="K2177" i="16"/>
  <c r="J2177" i="16"/>
  <c r="I2177" i="16"/>
  <c r="AC2176" i="16"/>
  <c r="AA2176" i="16"/>
  <c r="AB2176" i="16" s="1"/>
  <c r="T2176" i="16"/>
  <c r="AE2176" i="16" s="1"/>
  <c r="R2176" i="16"/>
  <c r="Q2176" i="16"/>
  <c r="P2176" i="16"/>
  <c r="N2176" i="16"/>
  <c r="L2176" i="16"/>
  <c r="M2176" i="16" s="1"/>
  <c r="K2176" i="16"/>
  <c r="J2176" i="16"/>
  <c r="I2176" i="16"/>
  <c r="AC2175" i="16"/>
  <c r="AA2175" i="16"/>
  <c r="AB2175" i="16" s="1"/>
  <c r="T2175" i="16"/>
  <c r="AE2175" i="16" s="1"/>
  <c r="R2175" i="16"/>
  <c r="Q2175" i="16"/>
  <c r="P2175" i="16"/>
  <c r="N2175" i="16"/>
  <c r="L2175" i="16"/>
  <c r="M2175" i="16" s="1"/>
  <c r="K2175" i="16"/>
  <c r="J2175" i="16"/>
  <c r="I2175" i="16"/>
  <c r="AC2174" i="16"/>
  <c r="AA2174" i="16"/>
  <c r="AB2174" i="16" s="1"/>
  <c r="T2174" i="16"/>
  <c r="AE2174" i="16" s="1"/>
  <c r="R2174" i="16"/>
  <c r="Q2174" i="16"/>
  <c r="P2174" i="16"/>
  <c r="N2174" i="16"/>
  <c r="L2174" i="16"/>
  <c r="M2174" i="16" s="1"/>
  <c r="K2174" i="16"/>
  <c r="J2174" i="16"/>
  <c r="I2174" i="16"/>
  <c r="AC2173" i="16"/>
  <c r="AA2173" i="16"/>
  <c r="AB2173" i="16" s="1"/>
  <c r="T2173" i="16"/>
  <c r="AE2173" i="16" s="1"/>
  <c r="R2173" i="16"/>
  <c r="Q2173" i="16"/>
  <c r="P2173" i="16"/>
  <c r="N2173" i="16"/>
  <c r="L2173" i="16"/>
  <c r="M2173" i="16" s="1"/>
  <c r="K2173" i="16"/>
  <c r="J2173" i="16"/>
  <c r="I2173" i="16"/>
  <c r="AC2172" i="16"/>
  <c r="AA2172" i="16"/>
  <c r="AB2172" i="16" s="1"/>
  <c r="T2172" i="16"/>
  <c r="AE2172" i="16" s="1"/>
  <c r="R2172" i="16"/>
  <c r="Q2172" i="16"/>
  <c r="P2172" i="16"/>
  <c r="N2172" i="16"/>
  <c r="L2172" i="16"/>
  <c r="M2172" i="16" s="1"/>
  <c r="K2172" i="16"/>
  <c r="J2172" i="16"/>
  <c r="I2172" i="16"/>
  <c r="AC2171" i="16"/>
  <c r="AA2171" i="16"/>
  <c r="AB2171" i="16" s="1"/>
  <c r="T2171" i="16"/>
  <c r="AE2171" i="16" s="1"/>
  <c r="R2171" i="16"/>
  <c r="Q2171" i="16"/>
  <c r="P2171" i="16"/>
  <c r="N2171" i="16"/>
  <c r="L2171" i="16"/>
  <c r="M2171" i="16" s="1"/>
  <c r="K2171" i="16"/>
  <c r="J2171" i="16"/>
  <c r="I2171" i="16"/>
  <c r="AC2170" i="16"/>
  <c r="AA2170" i="16"/>
  <c r="AB2170" i="16" s="1"/>
  <c r="T2170" i="16"/>
  <c r="AE2170" i="16" s="1"/>
  <c r="R2170" i="16"/>
  <c r="Q2170" i="16"/>
  <c r="P2170" i="16"/>
  <c r="N2170" i="16"/>
  <c r="L2170" i="16"/>
  <c r="M2170" i="16" s="1"/>
  <c r="K2170" i="16"/>
  <c r="J2170" i="16"/>
  <c r="I2170" i="16"/>
  <c r="AC2169" i="16"/>
  <c r="AA2169" i="16"/>
  <c r="AB2169" i="16" s="1"/>
  <c r="T2169" i="16"/>
  <c r="AE2169" i="16" s="1"/>
  <c r="R2169" i="16"/>
  <c r="Q2169" i="16"/>
  <c r="P2169" i="16"/>
  <c r="N2169" i="16"/>
  <c r="L2169" i="16"/>
  <c r="M2169" i="16" s="1"/>
  <c r="K2169" i="16"/>
  <c r="J2169" i="16"/>
  <c r="I2169" i="16"/>
  <c r="AC2168" i="16"/>
  <c r="AA2168" i="16"/>
  <c r="AB2168" i="16" s="1"/>
  <c r="T2168" i="16"/>
  <c r="AE2168" i="16" s="1"/>
  <c r="R2168" i="16"/>
  <c r="Q2168" i="16"/>
  <c r="P2168" i="16"/>
  <c r="N2168" i="16"/>
  <c r="L2168" i="16"/>
  <c r="M2168" i="16" s="1"/>
  <c r="K2168" i="16"/>
  <c r="J2168" i="16"/>
  <c r="I2168" i="16"/>
  <c r="AC2167" i="16"/>
  <c r="AA2167" i="16"/>
  <c r="AB2167" i="16" s="1"/>
  <c r="T2167" i="16"/>
  <c r="AE2167" i="16" s="1"/>
  <c r="R2167" i="16"/>
  <c r="Q2167" i="16"/>
  <c r="P2167" i="16"/>
  <c r="N2167" i="16"/>
  <c r="L2167" i="16"/>
  <c r="M2167" i="16" s="1"/>
  <c r="K2167" i="16"/>
  <c r="J2167" i="16"/>
  <c r="I2167" i="16"/>
  <c r="AC2166" i="16"/>
  <c r="AA2166" i="16"/>
  <c r="AB2166" i="16" s="1"/>
  <c r="T2166" i="16"/>
  <c r="AE2166" i="16" s="1"/>
  <c r="R2166" i="16"/>
  <c r="Q2166" i="16"/>
  <c r="P2166" i="16"/>
  <c r="N2166" i="16"/>
  <c r="L2166" i="16"/>
  <c r="M2166" i="16" s="1"/>
  <c r="K2166" i="16"/>
  <c r="J2166" i="16"/>
  <c r="I2166" i="16"/>
  <c r="AC2165" i="16"/>
  <c r="AA2165" i="16"/>
  <c r="AB2165" i="16" s="1"/>
  <c r="T2165" i="16"/>
  <c r="AE2165" i="16" s="1"/>
  <c r="R2165" i="16"/>
  <c r="Q2165" i="16"/>
  <c r="P2165" i="16"/>
  <c r="N2165" i="16"/>
  <c r="L2165" i="16"/>
  <c r="M2165" i="16" s="1"/>
  <c r="K2165" i="16"/>
  <c r="J2165" i="16"/>
  <c r="I2165" i="16"/>
  <c r="AC2164" i="16"/>
  <c r="AA2164" i="16"/>
  <c r="AB2164" i="16" s="1"/>
  <c r="T2164" i="16"/>
  <c r="AE2164" i="16" s="1"/>
  <c r="R2164" i="16"/>
  <c r="Q2164" i="16"/>
  <c r="P2164" i="16"/>
  <c r="N2164" i="16"/>
  <c r="L2164" i="16"/>
  <c r="M2164" i="16" s="1"/>
  <c r="K2164" i="16"/>
  <c r="J2164" i="16"/>
  <c r="I2164" i="16"/>
  <c r="AC2163" i="16"/>
  <c r="AA2163" i="16"/>
  <c r="AB2163" i="16" s="1"/>
  <c r="T2163" i="16"/>
  <c r="AE2163" i="16" s="1"/>
  <c r="R2163" i="16"/>
  <c r="Q2163" i="16"/>
  <c r="P2163" i="16"/>
  <c r="N2163" i="16"/>
  <c r="L2163" i="16"/>
  <c r="M2163" i="16" s="1"/>
  <c r="K2163" i="16"/>
  <c r="J2163" i="16"/>
  <c r="I2163" i="16"/>
  <c r="AC2162" i="16"/>
  <c r="AA2162" i="16"/>
  <c r="AB2162" i="16" s="1"/>
  <c r="T2162" i="16"/>
  <c r="AE2162" i="16" s="1"/>
  <c r="R2162" i="16"/>
  <c r="Q2162" i="16"/>
  <c r="P2162" i="16"/>
  <c r="N2162" i="16"/>
  <c r="L2162" i="16"/>
  <c r="M2162" i="16" s="1"/>
  <c r="K2162" i="16"/>
  <c r="J2162" i="16"/>
  <c r="I2162" i="16"/>
  <c r="AC2161" i="16"/>
  <c r="AA2161" i="16"/>
  <c r="AB2161" i="16" s="1"/>
  <c r="T2161" i="16"/>
  <c r="AE2161" i="16" s="1"/>
  <c r="R2161" i="16"/>
  <c r="Q2161" i="16"/>
  <c r="P2161" i="16"/>
  <c r="N2161" i="16"/>
  <c r="L2161" i="16"/>
  <c r="M2161" i="16" s="1"/>
  <c r="K2161" i="16"/>
  <c r="J2161" i="16"/>
  <c r="I2161" i="16"/>
  <c r="AC2160" i="16"/>
  <c r="AA2160" i="16"/>
  <c r="AB2160" i="16" s="1"/>
  <c r="T2160" i="16"/>
  <c r="AE2160" i="16" s="1"/>
  <c r="R2160" i="16"/>
  <c r="Q2160" i="16"/>
  <c r="P2160" i="16"/>
  <c r="N2160" i="16"/>
  <c r="L2160" i="16"/>
  <c r="M2160" i="16" s="1"/>
  <c r="K2160" i="16"/>
  <c r="J2160" i="16"/>
  <c r="I2160" i="16"/>
  <c r="AC2159" i="16"/>
  <c r="AA2159" i="16"/>
  <c r="AB2159" i="16" s="1"/>
  <c r="T2159" i="16"/>
  <c r="AE2159" i="16" s="1"/>
  <c r="R2159" i="16"/>
  <c r="Q2159" i="16"/>
  <c r="P2159" i="16"/>
  <c r="N2159" i="16"/>
  <c r="L2159" i="16"/>
  <c r="M2159" i="16" s="1"/>
  <c r="K2159" i="16"/>
  <c r="J2159" i="16"/>
  <c r="I2159" i="16"/>
  <c r="AC2158" i="16"/>
  <c r="AA2158" i="16"/>
  <c r="AB2158" i="16" s="1"/>
  <c r="T2158" i="16"/>
  <c r="AE2158" i="16" s="1"/>
  <c r="R2158" i="16"/>
  <c r="Q2158" i="16"/>
  <c r="P2158" i="16"/>
  <c r="N2158" i="16"/>
  <c r="L2158" i="16"/>
  <c r="M2158" i="16" s="1"/>
  <c r="K2158" i="16"/>
  <c r="J2158" i="16"/>
  <c r="I2158" i="16"/>
  <c r="AC2157" i="16"/>
  <c r="AA2157" i="16"/>
  <c r="AB2157" i="16" s="1"/>
  <c r="T2157" i="16"/>
  <c r="AE2157" i="16" s="1"/>
  <c r="R2157" i="16"/>
  <c r="Q2157" i="16"/>
  <c r="P2157" i="16"/>
  <c r="N2157" i="16"/>
  <c r="L2157" i="16"/>
  <c r="M2157" i="16" s="1"/>
  <c r="K2157" i="16"/>
  <c r="J2157" i="16"/>
  <c r="I2157" i="16"/>
  <c r="AC2156" i="16"/>
  <c r="AA2156" i="16"/>
  <c r="AB2156" i="16" s="1"/>
  <c r="T2156" i="16"/>
  <c r="AE2156" i="16" s="1"/>
  <c r="R2156" i="16"/>
  <c r="Q2156" i="16"/>
  <c r="P2156" i="16"/>
  <c r="N2156" i="16"/>
  <c r="L2156" i="16"/>
  <c r="M2156" i="16" s="1"/>
  <c r="K2156" i="16"/>
  <c r="J2156" i="16"/>
  <c r="I2156" i="16"/>
  <c r="AC2155" i="16"/>
  <c r="AA2155" i="16"/>
  <c r="AB2155" i="16" s="1"/>
  <c r="T2155" i="16"/>
  <c r="AE2155" i="16" s="1"/>
  <c r="R2155" i="16"/>
  <c r="Q2155" i="16"/>
  <c r="P2155" i="16"/>
  <c r="N2155" i="16"/>
  <c r="L2155" i="16"/>
  <c r="M2155" i="16" s="1"/>
  <c r="K2155" i="16"/>
  <c r="J2155" i="16"/>
  <c r="I2155" i="16"/>
  <c r="AC2154" i="16"/>
  <c r="AA2154" i="16"/>
  <c r="AB2154" i="16" s="1"/>
  <c r="T2154" i="16"/>
  <c r="AE2154" i="16" s="1"/>
  <c r="R2154" i="16"/>
  <c r="Q2154" i="16"/>
  <c r="P2154" i="16"/>
  <c r="N2154" i="16"/>
  <c r="L2154" i="16"/>
  <c r="M2154" i="16" s="1"/>
  <c r="K2154" i="16"/>
  <c r="J2154" i="16"/>
  <c r="I2154" i="16"/>
  <c r="AC2153" i="16"/>
  <c r="AA2153" i="16"/>
  <c r="AB2153" i="16" s="1"/>
  <c r="T2153" i="16"/>
  <c r="AE2153" i="16" s="1"/>
  <c r="R2153" i="16"/>
  <c r="Q2153" i="16"/>
  <c r="P2153" i="16"/>
  <c r="N2153" i="16"/>
  <c r="L2153" i="16"/>
  <c r="M2153" i="16" s="1"/>
  <c r="K2153" i="16"/>
  <c r="J2153" i="16"/>
  <c r="I2153" i="16"/>
  <c r="AC2152" i="16"/>
  <c r="AA2152" i="16"/>
  <c r="AB2152" i="16" s="1"/>
  <c r="T2152" i="16"/>
  <c r="AE2152" i="16" s="1"/>
  <c r="R2152" i="16"/>
  <c r="Q2152" i="16"/>
  <c r="P2152" i="16"/>
  <c r="N2152" i="16"/>
  <c r="L2152" i="16"/>
  <c r="M2152" i="16" s="1"/>
  <c r="K2152" i="16"/>
  <c r="J2152" i="16"/>
  <c r="I2152" i="16"/>
  <c r="AC2151" i="16"/>
  <c r="AA2151" i="16"/>
  <c r="AB2151" i="16" s="1"/>
  <c r="T2151" i="16"/>
  <c r="AE2151" i="16" s="1"/>
  <c r="R2151" i="16"/>
  <c r="Q2151" i="16"/>
  <c r="P2151" i="16"/>
  <c r="N2151" i="16"/>
  <c r="L2151" i="16"/>
  <c r="M2151" i="16" s="1"/>
  <c r="K2151" i="16"/>
  <c r="J2151" i="16"/>
  <c r="I2151" i="16"/>
  <c r="AC2150" i="16"/>
  <c r="AA2150" i="16"/>
  <c r="AB2150" i="16" s="1"/>
  <c r="T2150" i="16"/>
  <c r="AE2150" i="16" s="1"/>
  <c r="R2150" i="16"/>
  <c r="Q2150" i="16"/>
  <c r="P2150" i="16"/>
  <c r="N2150" i="16"/>
  <c r="L2150" i="16"/>
  <c r="M2150" i="16" s="1"/>
  <c r="K2150" i="16"/>
  <c r="J2150" i="16"/>
  <c r="I2150" i="16"/>
  <c r="AC2149" i="16"/>
  <c r="AA2149" i="16"/>
  <c r="AB2149" i="16" s="1"/>
  <c r="T2149" i="16"/>
  <c r="AE2149" i="16" s="1"/>
  <c r="R2149" i="16"/>
  <c r="Q2149" i="16"/>
  <c r="P2149" i="16"/>
  <c r="N2149" i="16"/>
  <c r="L2149" i="16"/>
  <c r="M2149" i="16" s="1"/>
  <c r="K2149" i="16"/>
  <c r="J2149" i="16"/>
  <c r="I2149" i="16"/>
  <c r="AC2148" i="16"/>
  <c r="AA2148" i="16"/>
  <c r="AB2148" i="16" s="1"/>
  <c r="T2148" i="16"/>
  <c r="AE2148" i="16" s="1"/>
  <c r="R2148" i="16"/>
  <c r="Q2148" i="16"/>
  <c r="P2148" i="16"/>
  <c r="N2148" i="16"/>
  <c r="L2148" i="16"/>
  <c r="M2148" i="16" s="1"/>
  <c r="K2148" i="16"/>
  <c r="J2148" i="16"/>
  <c r="I2148" i="16"/>
  <c r="AC2147" i="16"/>
  <c r="AA2147" i="16"/>
  <c r="AB2147" i="16" s="1"/>
  <c r="T2147" i="16"/>
  <c r="AE2147" i="16" s="1"/>
  <c r="R2147" i="16"/>
  <c r="Q2147" i="16"/>
  <c r="P2147" i="16"/>
  <c r="N2147" i="16"/>
  <c r="L2147" i="16"/>
  <c r="M2147" i="16" s="1"/>
  <c r="K2147" i="16"/>
  <c r="J2147" i="16"/>
  <c r="I2147" i="16"/>
  <c r="AC2146" i="16"/>
  <c r="AA2146" i="16"/>
  <c r="AB2146" i="16" s="1"/>
  <c r="T2146" i="16"/>
  <c r="AE2146" i="16" s="1"/>
  <c r="R2146" i="16"/>
  <c r="Q2146" i="16"/>
  <c r="P2146" i="16"/>
  <c r="N2146" i="16"/>
  <c r="L2146" i="16"/>
  <c r="M2146" i="16" s="1"/>
  <c r="K2146" i="16"/>
  <c r="J2146" i="16"/>
  <c r="I2146" i="16"/>
  <c r="AC2145" i="16"/>
  <c r="AA2145" i="16"/>
  <c r="AB2145" i="16" s="1"/>
  <c r="T2145" i="16"/>
  <c r="AE2145" i="16" s="1"/>
  <c r="R2145" i="16"/>
  <c r="Q2145" i="16"/>
  <c r="P2145" i="16"/>
  <c r="N2145" i="16"/>
  <c r="L2145" i="16"/>
  <c r="M2145" i="16" s="1"/>
  <c r="K2145" i="16"/>
  <c r="J2145" i="16"/>
  <c r="I2145" i="16"/>
  <c r="AC2144" i="16"/>
  <c r="AA2144" i="16"/>
  <c r="AB2144" i="16" s="1"/>
  <c r="T2144" i="16"/>
  <c r="AE2144" i="16" s="1"/>
  <c r="R2144" i="16"/>
  <c r="Q2144" i="16"/>
  <c r="P2144" i="16"/>
  <c r="N2144" i="16"/>
  <c r="L2144" i="16"/>
  <c r="M2144" i="16" s="1"/>
  <c r="K2144" i="16"/>
  <c r="J2144" i="16"/>
  <c r="I2144" i="16"/>
  <c r="AC2143" i="16"/>
  <c r="AA2143" i="16"/>
  <c r="AB2143" i="16" s="1"/>
  <c r="T2143" i="16"/>
  <c r="AE2143" i="16" s="1"/>
  <c r="R2143" i="16"/>
  <c r="Q2143" i="16"/>
  <c r="P2143" i="16"/>
  <c r="N2143" i="16"/>
  <c r="L2143" i="16"/>
  <c r="M2143" i="16" s="1"/>
  <c r="K2143" i="16"/>
  <c r="J2143" i="16"/>
  <c r="I2143" i="16"/>
  <c r="AC2142" i="16"/>
  <c r="AA2142" i="16"/>
  <c r="AB2142" i="16" s="1"/>
  <c r="T2142" i="16"/>
  <c r="AE2142" i="16" s="1"/>
  <c r="R2142" i="16"/>
  <c r="Q2142" i="16"/>
  <c r="P2142" i="16"/>
  <c r="N2142" i="16"/>
  <c r="L2142" i="16"/>
  <c r="M2142" i="16" s="1"/>
  <c r="K2142" i="16"/>
  <c r="J2142" i="16"/>
  <c r="I2142" i="16"/>
  <c r="AC2141" i="16"/>
  <c r="AA2141" i="16"/>
  <c r="AB2141" i="16" s="1"/>
  <c r="T2141" i="16"/>
  <c r="AE2141" i="16" s="1"/>
  <c r="R2141" i="16"/>
  <c r="Q2141" i="16"/>
  <c r="P2141" i="16"/>
  <c r="N2141" i="16"/>
  <c r="L2141" i="16"/>
  <c r="M2141" i="16" s="1"/>
  <c r="K2141" i="16"/>
  <c r="J2141" i="16"/>
  <c r="I2141" i="16"/>
  <c r="AC2140" i="16"/>
  <c r="AA2140" i="16"/>
  <c r="AB2140" i="16" s="1"/>
  <c r="T2140" i="16"/>
  <c r="AE2140" i="16" s="1"/>
  <c r="R2140" i="16"/>
  <c r="Q2140" i="16"/>
  <c r="P2140" i="16"/>
  <c r="N2140" i="16"/>
  <c r="L2140" i="16"/>
  <c r="M2140" i="16" s="1"/>
  <c r="K2140" i="16"/>
  <c r="J2140" i="16"/>
  <c r="I2140" i="16"/>
  <c r="AC2139" i="16"/>
  <c r="AA2139" i="16"/>
  <c r="AB2139" i="16" s="1"/>
  <c r="T2139" i="16"/>
  <c r="AE2139" i="16" s="1"/>
  <c r="R2139" i="16"/>
  <c r="Q2139" i="16"/>
  <c r="P2139" i="16"/>
  <c r="N2139" i="16"/>
  <c r="L2139" i="16"/>
  <c r="M2139" i="16" s="1"/>
  <c r="K2139" i="16"/>
  <c r="J2139" i="16"/>
  <c r="I2139" i="16"/>
  <c r="AC2138" i="16"/>
  <c r="AA2138" i="16"/>
  <c r="AB2138" i="16" s="1"/>
  <c r="T2138" i="16"/>
  <c r="AE2138" i="16" s="1"/>
  <c r="R2138" i="16"/>
  <c r="Q2138" i="16"/>
  <c r="P2138" i="16"/>
  <c r="N2138" i="16"/>
  <c r="L2138" i="16"/>
  <c r="M2138" i="16" s="1"/>
  <c r="K2138" i="16"/>
  <c r="J2138" i="16"/>
  <c r="I2138" i="16"/>
  <c r="AC2137" i="16"/>
  <c r="AA2137" i="16"/>
  <c r="AB2137" i="16" s="1"/>
  <c r="T2137" i="16"/>
  <c r="AE2137" i="16" s="1"/>
  <c r="R2137" i="16"/>
  <c r="Q2137" i="16"/>
  <c r="P2137" i="16"/>
  <c r="N2137" i="16"/>
  <c r="L2137" i="16"/>
  <c r="M2137" i="16" s="1"/>
  <c r="K2137" i="16"/>
  <c r="J2137" i="16"/>
  <c r="I2137" i="16"/>
  <c r="AC2136" i="16"/>
  <c r="AA2136" i="16"/>
  <c r="AB2136" i="16" s="1"/>
  <c r="T2136" i="16"/>
  <c r="AE2136" i="16" s="1"/>
  <c r="R2136" i="16"/>
  <c r="Q2136" i="16"/>
  <c r="P2136" i="16"/>
  <c r="N2136" i="16"/>
  <c r="L2136" i="16"/>
  <c r="M2136" i="16" s="1"/>
  <c r="K2136" i="16"/>
  <c r="J2136" i="16"/>
  <c r="I2136" i="16"/>
  <c r="AC2135" i="16"/>
  <c r="AA2135" i="16"/>
  <c r="AB2135" i="16" s="1"/>
  <c r="T2135" i="16"/>
  <c r="AE2135" i="16" s="1"/>
  <c r="R2135" i="16"/>
  <c r="Q2135" i="16"/>
  <c r="P2135" i="16"/>
  <c r="N2135" i="16"/>
  <c r="L2135" i="16"/>
  <c r="M2135" i="16" s="1"/>
  <c r="K2135" i="16"/>
  <c r="J2135" i="16"/>
  <c r="I2135" i="16"/>
  <c r="AC2134" i="16"/>
  <c r="AA2134" i="16"/>
  <c r="AB2134" i="16" s="1"/>
  <c r="T2134" i="16"/>
  <c r="AE2134" i="16" s="1"/>
  <c r="R2134" i="16"/>
  <c r="Q2134" i="16"/>
  <c r="P2134" i="16"/>
  <c r="N2134" i="16"/>
  <c r="L2134" i="16"/>
  <c r="M2134" i="16" s="1"/>
  <c r="K2134" i="16"/>
  <c r="J2134" i="16"/>
  <c r="I2134" i="16"/>
  <c r="AC2133" i="16"/>
  <c r="AA2133" i="16"/>
  <c r="AB2133" i="16" s="1"/>
  <c r="T2133" i="16"/>
  <c r="AE2133" i="16" s="1"/>
  <c r="R2133" i="16"/>
  <c r="Q2133" i="16"/>
  <c r="P2133" i="16"/>
  <c r="N2133" i="16"/>
  <c r="L2133" i="16"/>
  <c r="M2133" i="16" s="1"/>
  <c r="K2133" i="16"/>
  <c r="J2133" i="16"/>
  <c r="I2133" i="16"/>
  <c r="AC2132" i="16"/>
  <c r="AA2132" i="16"/>
  <c r="AB2132" i="16" s="1"/>
  <c r="T2132" i="16"/>
  <c r="AE2132" i="16" s="1"/>
  <c r="R2132" i="16"/>
  <c r="Q2132" i="16"/>
  <c r="P2132" i="16"/>
  <c r="N2132" i="16"/>
  <c r="L2132" i="16"/>
  <c r="M2132" i="16" s="1"/>
  <c r="K2132" i="16"/>
  <c r="J2132" i="16"/>
  <c r="I2132" i="16"/>
  <c r="AC2131" i="16"/>
  <c r="AA2131" i="16"/>
  <c r="AB2131" i="16" s="1"/>
  <c r="T2131" i="16"/>
  <c r="AE2131" i="16" s="1"/>
  <c r="R2131" i="16"/>
  <c r="Q2131" i="16"/>
  <c r="P2131" i="16"/>
  <c r="N2131" i="16"/>
  <c r="L2131" i="16"/>
  <c r="M2131" i="16" s="1"/>
  <c r="K2131" i="16"/>
  <c r="J2131" i="16"/>
  <c r="I2131" i="16"/>
  <c r="AC2130" i="16"/>
  <c r="AA2130" i="16"/>
  <c r="AB2130" i="16" s="1"/>
  <c r="T2130" i="16"/>
  <c r="AE2130" i="16" s="1"/>
  <c r="R2130" i="16"/>
  <c r="Q2130" i="16"/>
  <c r="P2130" i="16"/>
  <c r="N2130" i="16"/>
  <c r="L2130" i="16"/>
  <c r="M2130" i="16" s="1"/>
  <c r="K2130" i="16"/>
  <c r="J2130" i="16"/>
  <c r="I2130" i="16"/>
  <c r="AC2129" i="16"/>
  <c r="AA2129" i="16"/>
  <c r="AB2129" i="16" s="1"/>
  <c r="T2129" i="16"/>
  <c r="AE2129" i="16" s="1"/>
  <c r="R2129" i="16"/>
  <c r="Q2129" i="16"/>
  <c r="P2129" i="16"/>
  <c r="N2129" i="16"/>
  <c r="L2129" i="16"/>
  <c r="M2129" i="16" s="1"/>
  <c r="K2129" i="16"/>
  <c r="J2129" i="16"/>
  <c r="I2129" i="16"/>
  <c r="AC2128" i="16"/>
  <c r="AA2128" i="16"/>
  <c r="AB2128" i="16" s="1"/>
  <c r="T2128" i="16"/>
  <c r="AE2128" i="16" s="1"/>
  <c r="R2128" i="16"/>
  <c r="Q2128" i="16"/>
  <c r="P2128" i="16"/>
  <c r="N2128" i="16"/>
  <c r="L2128" i="16"/>
  <c r="M2128" i="16" s="1"/>
  <c r="K2128" i="16"/>
  <c r="J2128" i="16"/>
  <c r="I2128" i="16"/>
  <c r="AC2127" i="16"/>
  <c r="AA2127" i="16"/>
  <c r="AB2127" i="16" s="1"/>
  <c r="T2127" i="16"/>
  <c r="AE2127" i="16" s="1"/>
  <c r="R2127" i="16"/>
  <c r="Q2127" i="16"/>
  <c r="P2127" i="16"/>
  <c r="N2127" i="16"/>
  <c r="L2127" i="16"/>
  <c r="M2127" i="16" s="1"/>
  <c r="K2127" i="16"/>
  <c r="J2127" i="16"/>
  <c r="I2127" i="16"/>
  <c r="AC2126" i="16"/>
  <c r="AA2126" i="16"/>
  <c r="AB2126" i="16" s="1"/>
  <c r="T2126" i="16"/>
  <c r="AE2126" i="16" s="1"/>
  <c r="R2126" i="16"/>
  <c r="Q2126" i="16"/>
  <c r="P2126" i="16"/>
  <c r="N2126" i="16"/>
  <c r="L2126" i="16"/>
  <c r="M2126" i="16" s="1"/>
  <c r="K2126" i="16"/>
  <c r="J2126" i="16"/>
  <c r="I2126" i="16"/>
  <c r="AC2125" i="16"/>
  <c r="AA2125" i="16"/>
  <c r="AB2125" i="16" s="1"/>
  <c r="T2125" i="16"/>
  <c r="AE2125" i="16" s="1"/>
  <c r="R2125" i="16"/>
  <c r="Q2125" i="16"/>
  <c r="P2125" i="16"/>
  <c r="N2125" i="16"/>
  <c r="L2125" i="16"/>
  <c r="M2125" i="16" s="1"/>
  <c r="K2125" i="16"/>
  <c r="J2125" i="16"/>
  <c r="I2125" i="16"/>
  <c r="AC2124" i="16"/>
  <c r="AA2124" i="16"/>
  <c r="AB2124" i="16" s="1"/>
  <c r="T2124" i="16"/>
  <c r="AE2124" i="16" s="1"/>
  <c r="R2124" i="16"/>
  <c r="Q2124" i="16"/>
  <c r="P2124" i="16"/>
  <c r="N2124" i="16"/>
  <c r="L2124" i="16"/>
  <c r="M2124" i="16" s="1"/>
  <c r="K2124" i="16"/>
  <c r="J2124" i="16"/>
  <c r="I2124" i="16"/>
  <c r="AC2123" i="16"/>
  <c r="AA2123" i="16"/>
  <c r="AB2123" i="16" s="1"/>
  <c r="T2123" i="16"/>
  <c r="AE2123" i="16" s="1"/>
  <c r="R2123" i="16"/>
  <c r="Q2123" i="16"/>
  <c r="P2123" i="16"/>
  <c r="N2123" i="16"/>
  <c r="L2123" i="16"/>
  <c r="M2123" i="16" s="1"/>
  <c r="K2123" i="16"/>
  <c r="J2123" i="16"/>
  <c r="I2123" i="16"/>
  <c r="AC2122" i="16"/>
  <c r="AA2122" i="16"/>
  <c r="AB2122" i="16" s="1"/>
  <c r="T2122" i="16"/>
  <c r="AE2122" i="16" s="1"/>
  <c r="R2122" i="16"/>
  <c r="Q2122" i="16"/>
  <c r="P2122" i="16"/>
  <c r="N2122" i="16"/>
  <c r="L2122" i="16"/>
  <c r="M2122" i="16" s="1"/>
  <c r="K2122" i="16"/>
  <c r="J2122" i="16"/>
  <c r="I2122" i="16"/>
  <c r="AC2121" i="16"/>
  <c r="AA2121" i="16"/>
  <c r="AB2121" i="16" s="1"/>
  <c r="T2121" i="16"/>
  <c r="AE2121" i="16" s="1"/>
  <c r="R2121" i="16"/>
  <c r="Q2121" i="16"/>
  <c r="P2121" i="16"/>
  <c r="N2121" i="16"/>
  <c r="L2121" i="16"/>
  <c r="M2121" i="16" s="1"/>
  <c r="K2121" i="16"/>
  <c r="J2121" i="16"/>
  <c r="I2121" i="16"/>
  <c r="AC2120" i="16"/>
  <c r="AA2120" i="16"/>
  <c r="AB2120" i="16" s="1"/>
  <c r="T2120" i="16"/>
  <c r="AE2120" i="16" s="1"/>
  <c r="R2120" i="16"/>
  <c r="Q2120" i="16"/>
  <c r="P2120" i="16"/>
  <c r="N2120" i="16"/>
  <c r="L2120" i="16"/>
  <c r="M2120" i="16" s="1"/>
  <c r="K2120" i="16"/>
  <c r="J2120" i="16"/>
  <c r="I2120" i="16"/>
  <c r="AC2119" i="16"/>
  <c r="AA2119" i="16"/>
  <c r="AB2119" i="16" s="1"/>
  <c r="T2119" i="16"/>
  <c r="AE2119" i="16" s="1"/>
  <c r="R2119" i="16"/>
  <c r="Q2119" i="16"/>
  <c r="P2119" i="16"/>
  <c r="N2119" i="16"/>
  <c r="L2119" i="16"/>
  <c r="M2119" i="16" s="1"/>
  <c r="K2119" i="16"/>
  <c r="J2119" i="16"/>
  <c r="I2119" i="16"/>
  <c r="AC2118" i="16"/>
  <c r="AA2118" i="16"/>
  <c r="AB2118" i="16" s="1"/>
  <c r="T2118" i="16"/>
  <c r="AE2118" i="16" s="1"/>
  <c r="R2118" i="16"/>
  <c r="Q2118" i="16"/>
  <c r="P2118" i="16"/>
  <c r="N2118" i="16"/>
  <c r="L2118" i="16"/>
  <c r="M2118" i="16" s="1"/>
  <c r="K2118" i="16"/>
  <c r="J2118" i="16"/>
  <c r="I2118" i="16"/>
  <c r="AC2117" i="16"/>
  <c r="AA2117" i="16"/>
  <c r="AB2117" i="16" s="1"/>
  <c r="T2117" i="16"/>
  <c r="AE2117" i="16" s="1"/>
  <c r="R2117" i="16"/>
  <c r="Q2117" i="16"/>
  <c r="P2117" i="16"/>
  <c r="N2117" i="16"/>
  <c r="L2117" i="16"/>
  <c r="M2117" i="16" s="1"/>
  <c r="K2117" i="16"/>
  <c r="J2117" i="16"/>
  <c r="I2117" i="16"/>
  <c r="AC2116" i="16"/>
  <c r="AA2116" i="16"/>
  <c r="AB2116" i="16" s="1"/>
  <c r="T2116" i="16"/>
  <c r="AE2116" i="16" s="1"/>
  <c r="R2116" i="16"/>
  <c r="Q2116" i="16"/>
  <c r="P2116" i="16"/>
  <c r="N2116" i="16"/>
  <c r="L2116" i="16"/>
  <c r="M2116" i="16" s="1"/>
  <c r="K2116" i="16"/>
  <c r="J2116" i="16"/>
  <c r="I2116" i="16"/>
  <c r="AC2115" i="16"/>
  <c r="AA2115" i="16"/>
  <c r="AB2115" i="16" s="1"/>
  <c r="T2115" i="16"/>
  <c r="AE2115" i="16" s="1"/>
  <c r="R2115" i="16"/>
  <c r="Q2115" i="16"/>
  <c r="P2115" i="16"/>
  <c r="N2115" i="16"/>
  <c r="L2115" i="16"/>
  <c r="M2115" i="16" s="1"/>
  <c r="K2115" i="16"/>
  <c r="J2115" i="16"/>
  <c r="I2115" i="16"/>
  <c r="AC2114" i="16"/>
  <c r="AA2114" i="16"/>
  <c r="AB2114" i="16" s="1"/>
  <c r="T2114" i="16"/>
  <c r="AE2114" i="16" s="1"/>
  <c r="R2114" i="16"/>
  <c r="Q2114" i="16"/>
  <c r="P2114" i="16"/>
  <c r="N2114" i="16"/>
  <c r="L2114" i="16"/>
  <c r="M2114" i="16" s="1"/>
  <c r="K2114" i="16"/>
  <c r="J2114" i="16"/>
  <c r="I2114" i="16"/>
  <c r="AC2113" i="16"/>
  <c r="AA2113" i="16"/>
  <c r="AB2113" i="16" s="1"/>
  <c r="T2113" i="16"/>
  <c r="AE2113" i="16" s="1"/>
  <c r="R2113" i="16"/>
  <c r="Q2113" i="16"/>
  <c r="P2113" i="16"/>
  <c r="N2113" i="16"/>
  <c r="L2113" i="16"/>
  <c r="M2113" i="16" s="1"/>
  <c r="K2113" i="16"/>
  <c r="J2113" i="16"/>
  <c r="I2113" i="16"/>
  <c r="AC2112" i="16"/>
  <c r="AA2112" i="16"/>
  <c r="AB2112" i="16" s="1"/>
  <c r="T2112" i="16"/>
  <c r="AE2112" i="16" s="1"/>
  <c r="R2112" i="16"/>
  <c r="Q2112" i="16"/>
  <c r="P2112" i="16"/>
  <c r="N2112" i="16"/>
  <c r="L2112" i="16"/>
  <c r="M2112" i="16" s="1"/>
  <c r="K2112" i="16"/>
  <c r="J2112" i="16"/>
  <c r="I2112" i="16"/>
  <c r="AC2111" i="16"/>
  <c r="AA2111" i="16"/>
  <c r="AB2111" i="16" s="1"/>
  <c r="T2111" i="16"/>
  <c r="AE2111" i="16" s="1"/>
  <c r="R2111" i="16"/>
  <c r="Q2111" i="16"/>
  <c r="P2111" i="16"/>
  <c r="N2111" i="16"/>
  <c r="L2111" i="16"/>
  <c r="M2111" i="16" s="1"/>
  <c r="K2111" i="16"/>
  <c r="J2111" i="16"/>
  <c r="I2111" i="16"/>
  <c r="AC2110" i="16"/>
  <c r="AA2110" i="16"/>
  <c r="AB2110" i="16" s="1"/>
  <c r="T2110" i="16"/>
  <c r="AE2110" i="16" s="1"/>
  <c r="R2110" i="16"/>
  <c r="Q2110" i="16"/>
  <c r="P2110" i="16"/>
  <c r="N2110" i="16"/>
  <c r="L2110" i="16"/>
  <c r="M2110" i="16" s="1"/>
  <c r="K2110" i="16"/>
  <c r="J2110" i="16"/>
  <c r="I2110" i="16"/>
  <c r="AC2109" i="16"/>
  <c r="AA2109" i="16"/>
  <c r="AB2109" i="16" s="1"/>
  <c r="T2109" i="16"/>
  <c r="AE2109" i="16" s="1"/>
  <c r="R2109" i="16"/>
  <c r="Q2109" i="16"/>
  <c r="P2109" i="16"/>
  <c r="N2109" i="16"/>
  <c r="L2109" i="16"/>
  <c r="M2109" i="16" s="1"/>
  <c r="K2109" i="16"/>
  <c r="J2109" i="16"/>
  <c r="I2109" i="16"/>
  <c r="AC2108" i="16"/>
  <c r="AA2108" i="16"/>
  <c r="AB2108" i="16" s="1"/>
  <c r="T2108" i="16"/>
  <c r="AE2108" i="16" s="1"/>
  <c r="R2108" i="16"/>
  <c r="Q2108" i="16"/>
  <c r="P2108" i="16"/>
  <c r="N2108" i="16"/>
  <c r="L2108" i="16"/>
  <c r="M2108" i="16" s="1"/>
  <c r="K2108" i="16"/>
  <c r="J2108" i="16"/>
  <c r="I2108" i="16"/>
  <c r="AC2107" i="16"/>
  <c r="AA2107" i="16"/>
  <c r="AB2107" i="16" s="1"/>
  <c r="T2107" i="16"/>
  <c r="AE2107" i="16" s="1"/>
  <c r="R2107" i="16"/>
  <c r="Q2107" i="16"/>
  <c r="P2107" i="16"/>
  <c r="N2107" i="16"/>
  <c r="L2107" i="16"/>
  <c r="M2107" i="16" s="1"/>
  <c r="K2107" i="16"/>
  <c r="J2107" i="16"/>
  <c r="I2107" i="16"/>
  <c r="AC2106" i="16"/>
  <c r="AA2106" i="16"/>
  <c r="AB2106" i="16" s="1"/>
  <c r="T2106" i="16"/>
  <c r="AE2106" i="16" s="1"/>
  <c r="R2106" i="16"/>
  <c r="Q2106" i="16"/>
  <c r="P2106" i="16"/>
  <c r="N2106" i="16"/>
  <c r="L2106" i="16"/>
  <c r="M2106" i="16" s="1"/>
  <c r="K2106" i="16"/>
  <c r="J2106" i="16"/>
  <c r="I2106" i="16"/>
  <c r="AC2105" i="16"/>
  <c r="AA2105" i="16"/>
  <c r="AB2105" i="16" s="1"/>
  <c r="T2105" i="16"/>
  <c r="AE2105" i="16" s="1"/>
  <c r="R2105" i="16"/>
  <c r="Q2105" i="16"/>
  <c r="P2105" i="16"/>
  <c r="N2105" i="16"/>
  <c r="L2105" i="16"/>
  <c r="M2105" i="16" s="1"/>
  <c r="K2105" i="16"/>
  <c r="J2105" i="16"/>
  <c r="I2105" i="16"/>
  <c r="AC2104" i="16"/>
  <c r="AA2104" i="16"/>
  <c r="AB2104" i="16" s="1"/>
  <c r="T2104" i="16"/>
  <c r="AE2104" i="16" s="1"/>
  <c r="R2104" i="16"/>
  <c r="Q2104" i="16"/>
  <c r="P2104" i="16"/>
  <c r="N2104" i="16"/>
  <c r="L2104" i="16"/>
  <c r="M2104" i="16" s="1"/>
  <c r="K2104" i="16"/>
  <c r="J2104" i="16"/>
  <c r="I2104" i="16"/>
  <c r="AC2103" i="16"/>
  <c r="AA2103" i="16"/>
  <c r="AB2103" i="16" s="1"/>
  <c r="T2103" i="16"/>
  <c r="AE2103" i="16" s="1"/>
  <c r="R2103" i="16"/>
  <c r="Q2103" i="16"/>
  <c r="P2103" i="16"/>
  <c r="N2103" i="16"/>
  <c r="L2103" i="16"/>
  <c r="M2103" i="16" s="1"/>
  <c r="K2103" i="16"/>
  <c r="J2103" i="16"/>
  <c r="I2103" i="16"/>
  <c r="AC2102" i="16"/>
  <c r="AA2102" i="16"/>
  <c r="AB2102" i="16" s="1"/>
  <c r="T2102" i="16"/>
  <c r="AE2102" i="16" s="1"/>
  <c r="R2102" i="16"/>
  <c r="Q2102" i="16"/>
  <c r="P2102" i="16"/>
  <c r="N2102" i="16"/>
  <c r="L2102" i="16"/>
  <c r="M2102" i="16" s="1"/>
  <c r="K2102" i="16"/>
  <c r="J2102" i="16"/>
  <c r="I2102" i="16"/>
  <c r="AC2101" i="16"/>
  <c r="AA2101" i="16"/>
  <c r="AB2101" i="16" s="1"/>
  <c r="T2101" i="16"/>
  <c r="AE2101" i="16" s="1"/>
  <c r="R2101" i="16"/>
  <c r="Q2101" i="16"/>
  <c r="P2101" i="16"/>
  <c r="N2101" i="16"/>
  <c r="L2101" i="16"/>
  <c r="M2101" i="16" s="1"/>
  <c r="K2101" i="16"/>
  <c r="J2101" i="16"/>
  <c r="I2101" i="16"/>
  <c r="AC2100" i="16"/>
  <c r="AA2100" i="16"/>
  <c r="AB2100" i="16" s="1"/>
  <c r="T2100" i="16"/>
  <c r="AE2100" i="16" s="1"/>
  <c r="R2100" i="16"/>
  <c r="Q2100" i="16"/>
  <c r="P2100" i="16"/>
  <c r="N2100" i="16"/>
  <c r="L2100" i="16"/>
  <c r="M2100" i="16" s="1"/>
  <c r="K2100" i="16"/>
  <c r="J2100" i="16"/>
  <c r="I2100" i="16"/>
  <c r="AC2099" i="16"/>
  <c r="AA2099" i="16"/>
  <c r="AB2099" i="16" s="1"/>
  <c r="T2099" i="16"/>
  <c r="AE2099" i="16" s="1"/>
  <c r="R2099" i="16"/>
  <c r="Q2099" i="16"/>
  <c r="P2099" i="16"/>
  <c r="N2099" i="16"/>
  <c r="L2099" i="16"/>
  <c r="M2099" i="16" s="1"/>
  <c r="K2099" i="16"/>
  <c r="J2099" i="16"/>
  <c r="I2099" i="16"/>
  <c r="AC2098" i="16"/>
  <c r="AA2098" i="16"/>
  <c r="AB2098" i="16" s="1"/>
  <c r="T2098" i="16"/>
  <c r="AE2098" i="16" s="1"/>
  <c r="R2098" i="16"/>
  <c r="Q2098" i="16"/>
  <c r="P2098" i="16"/>
  <c r="N2098" i="16"/>
  <c r="L2098" i="16"/>
  <c r="M2098" i="16" s="1"/>
  <c r="K2098" i="16"/>
  <c r="J2098" i="16"/>
  <c r="I2098" i="16"/>
  <c r="AC2097" i="16"/>
  <c r="AA2097" i="16"/>
  <c r="AB2097" i="16" s="1"/>
  <c r="T2097" i="16"/>
  <c r="AE2097" i="16" s="1"/>
  <c r="R2097" i="16"/>
  <c r="Q2097" i="16"/>
  <c r="P2097" i="16"/>
  <c r="N2097" i="16"/>
  <c r="L2097" i="16"/>
  <c r="M2097" i="16" s="1"/>
  <c r="K2097" i="16"/>
  <c r="J2097" i="16"/>
  <c r="I2097" i="16"/>
  <c r="AC2096" i="16"/>
  <c r="AA2096" i="16"/>
  <c r="AB2096" i="16" s="1"/>
  <c r="T2096" i="16"/>
  <c r="AE2096" i="16" s="1"/>
  <c r="R2096" i="16"/>
  <c r="Q2096" i="16"/>
  <c r="P2096" i="16"/>
  <c r="N2096" i="16"/>
  <c r="L2096" i="16"/>
  <c r="M2096" i="16" s="1"/>
  <c r="K2096" i="16"/>
  <c r="J2096" i="16"/>
  <c r="I2096" i="16"/>
  <c r="AC2095" i="16"/>
  <c r="AA2095" i="16"/>
  <c r="AB2095" i="16" s="1"/>
  <c r="T2095" i="16"/>
  <c r="AE2095" i="16" s="1"/>
  <c r="R2095" i="16"/>
  <c r="Q2095" i="16"/>
  <c r="P2095" i="16"/>
  <c r="N2095" i="16"/>
  <c r="L2095" i="16"/>
  <c r="M2095" i="16" s="1"/>
  <c r="K2095" i="16"/>
  <c r="J2095" i="16"/>
  <c r="I2095" i="16"/>
  <c r="AC2094" i="16"/>
  <c r="AA2094" i="16"/>
  <c r="AB2094" i="16" s="1"/>
  <c r="T2094" i="16"/>
  <c r="AE2094" i="16" s="1"/>
  <c r="R2094" i="16"/>
  <c r="Q2094" i="16"/>
  <c r="P2094" i="16"/>
  <c r="N2094" i="16"/>
  <c r="L2094" i="16"/>
  <c r="M2094" i="16" s="1"/>
  <c r="K2094" i="16"/>
  <c r="J2094" i="16"/>
  <c r="I2094" i="16"/>
  <c r="AC2093" i="16"/>
  <c r="AA2093" i="16"/>
  <c r="AB2093" i="16" s="1"/>
  <c r="T2093" i="16"/>
  <c r="AE2093" i="16" s="1"/>
  <c r="R2093" i="16"/>
  <c r="Q2093" i="16"/>
  <c r="P2093" i="16"/>
  <c r="N2093" i="16"/>
  <c r="L2093" i="16"/>
  <c r="M2093" i="16" s="1"/>
  <c r="K2093" i="16"/>
  <c r="J2093" i="16"/>
  <c r="I2093" i="16"/>
  <c r="AC2092" i="16"/>
  <c r="AA2092" i="16"/>
  <c r="AB2092" i="16" s="1"/>
  <c r="T2092" i="16"/>
  <c r="AE2092" i="16" s="1"/>
  <c r="R2092" i="16"/>
  <c r="Q2092" i="16"/>
  <c r="P2092" i="16"/>
  <c r="N2092" i="16"/>
  <c r="L2092" i="16"/>
  <c r="M2092" i="16" s="1"/>
  <c r="K2092" i="16"/>
  <c r="J2092" i="16"/>
  <c r="I2092" i="16"/>
  <c r="AC2091" i="16"/>
  <c r="AA2091" i="16"/>
  <c r="AB2091" i="16" s="1"/>
  <c r="T2091" i="16"/>
  <c r="AE2091" i="16" s="1"/>
  <c r="R2091" i="16"/>
  <c r="Q2091" i="16"/>
  <c r="P2091" i="16"/>
  <c r="N2091" i="16"/>
  <c r="L2091" i="16"/>
  <c r="M2091" i="16" s="1"/>
  <c r="K2091" i="16"/>
  <c r="J2091" i="16"/>
  <c r="I2091" i="16"/>
  <c r="AC2090" i="16"/>
  <c r="AA2090" i="16"/>
  <c r="AB2090" i="16" s="1"/>
  <c r="T2090" i="16"/>
  <c r="AE2090" i="16" s="1"/>
  <c r="R2090" i="16"/>
  <c r="Q2090" i="16"/>
  <c r="P2090" i="16"/>
  <c r="N2090" i="16"/>
  <c r="L2090" i="16"/>
  <c r="M2090" i="16" s="1"/>
  <c r="K2090" i="16"/>
  <c r="J2090" i="16"/>
  <c r="I2090" i="16"/>
  <c r="AC2089" i="16"/>
  <c r="AA2089" i="16"/>
  <c r="AB2089" i="16" s="1"/>
  <c r="T2089" i="16"/>
  <c r="AE2089" i="16" s="1"/>
  <c r="R2089" i="16"/>
  <c r="Q2089" i="16"/>
  <c r="P2089" i="16"/>
  <c r="N2089" i="16"/>
  <c r="L2089" i="16"/>
  <c r="M2089" i="16" s="1"/>
  <c r="K2089" i="16"/>
  <c r="J2089" i="16"/>
  <c r="I2089" i="16"/>
  <c r="AC2088" i="16"/>
  <c r="AA2088" i="16"/>
  <c r="AB2088" i="16" s="1"/>
  <c r="T2088" i="16"/>
  <c r="AE2088" i="16" s="1"/>
  <c r="R2088" i="16"/>
  <c r="Q2088" i="16"/>
  <c r="P2088" i="16"/>
  <c r="N2088" i="16"/>
  <c r="L2088" i="16"/>
  <c r="M2088" i="16" s="1"/>
  <c r="K2088" i="16"/>
  <c r="J2088" i="16"/>
  <c r="I2088" i="16"/>
  <c r="AC2087" i="16"/>
  <c r="AA2087" i="16"/>
  <c r="AB2087" i="16" s="1"/>
  <c r="T2087" i="16"/>
  <c r="AE2087" i="16" s="1"/>
  <c r="R2087" i="16"/>
  <c r="Q2087" i="16"/>
  <c r="P2087" i="16"/>
  <c r="N2087" i="16"/>
  <c r="L2087" i="16"/>
  <c r="M2087" i="16" s="1"/>
  <c r="K2087" i="16"/>
  <c r="J2087" i="16"/>
  <c r="I2087" i="16"/>
  <c r="AC2086" i="16"/>
  <c r="AA2086" i="16"/>
  <c r="AB2086" i="16" s="1"/>
  <c r="T2086" i="16"/>
  <c r="AE2086" i="16" s="1"/>
  <c r="R2086" i="16"/>
  <c r="Q2086" i="16"/>
  <c r="P2086" i="16"/>
  <c r="N2086" i="16"/>
  <c r="L2086" i="16"/>
  <c r="M2086" i="16" s="1"/>
  <c r="K2086" i="16"/>
  <c r="J2086" i="16"/>
  <c r="I2086" i="16"/>
  <c r="AC2085" i="16"/>
  <c r="AA2085" i="16"/>
  <c r="AB2085" i="16" s="1"/>
  <c r="T2085" i="16"/>
  <c r="AE2085" i="16" s="1"/>
  <c r="R2085" i="16"/>
  <c r="Q2085" i="16"/>
  <c r="P2085" i="16"/>
  <c r="N2085" i="16"/>
  <c r="L2085" i="16"/>
  <c r="M2085" i="16" s="1"/>
  <c r="K2085" i="16"/>
  <c r="J2085" i="16"/>
  <c r="I2085" i="16"/>
  <c r="AC2084" i="16"/>
  <c r="AA2084" i="16"/>
  <c r="AB2084" i="16" s="1"/>
  <c r="T2084" i="16"/>
  <c r="AE2084" i="16" s="1"/>
  <c r="R2084" i="16"/>
  <c r="Q2084" i="16"/>
  <c r="P2084" i="16"/>
  <c r="N2084" i="16"/>
  <c r="L2084" i="16"/>
  <c r="M2084" i="16" s="1"/>
  <c r="K2084" i="16"/>
  <c r="J2084" i="16"/>
  <c r="I2084" i="16"/>
  <c r="AC2083" i="16"/>
  <c r="AA2083" i="16"/>
  <c r="AB2083" i="16" s="1"/>
  <c r="T2083" i="16"/>
  <c r="AE2083" i="16" s="1"/>
  <c r="R2083" i="16"/>
  <c r="Q2083" i="16"/>
  <c r="P2083" i="16"/>
  <c r="N2083" i="16"/>
  <c r="L2083" i="16"/>
  <c r="M2083" i="16" s="1"/>
  <c r="K2083" i="16"/>
  <c r="J2083" i="16"/>
  <c r="I2083" i="16"/>
  <c r="AC2082" i="16"/>
  <c r="AA2082" i="16"/>
  <c r="AB2082" i="16" s="1"/>
  <c r="T2082" i="16"/>
  <c r="AE2082" i="16" s="1"/>
  <c r="R2082" i="16"/>
  <c r="Q2082" i="16"/>
  <c r="P2082" i="16"/>
  <c r="N2082" i="16"/>
  <c r="L2082" i="16"/>
  <c r="M2082" i="16" s="1"/>
  <c r="K2082" i="16"/>
  <c r="J2082" i="16"/>
  <c r="I2082" i="16"/>
  <c r="AC2081" i="16"/>
  <c r="AA2081" i="16"/>
  <c r="AB2081" i="16" s="1"/>
  <c r="T2081" i="16"/>
  <c r="AE2081" i="16" s="1"/>
  <c r="R2081" i="16"/>
  <c r="Q2081" i="16"/>
  <c r="P2081" i="16"/>
  <c r="N2081" i="16"/>
  <c r="L2081" i="16"/>
  <c r="M2081" i="16" s="1"/>
  <c r="K2081" i="16"/>
  <c r="J2081" i="16"/>
  <c r="I2081" i="16"/>
  <c r="AC2080" i="16"/>
  <c r="AA2080" i="16"/>
  <c r="AB2080" i="16" s="1"/>
  <c r="T2080" i="16"/>
  <c r="AE2080" i="16" s="1"/>
  <c r="R2080" i="16"/>
  <c r="Q2080" i="16"/>
  <c r="P2080" i="16"/>
  <c r="N2080" i="16"/>
  <c r="L2080" i="16"/>
  <c r="M2080" i="16" s="1"/>
  <c r="K2080" i="16"/>
  <c r="J2080" i="16"/>
  <c r="I2080" i="16"/>
  <c r="AC2079" i="16"/>
  <c r="AA2079" i="16"/>
  <c r="AB2079" i="16" s="1"/>
  <c r="T2079" i="16"/>
  <c r="AE2079" i="16" s="1"/>
  <c r="R2079" i="16"/>
  <c r="Q2079" i="16"/>
  <c r="P2079" i="16"/>
  <c r="N2079" i="16"/>
  <c r="L2079" i="16"/>
  <c r="M2079" i="16" s="1"/>
  <c r="K2079" i="16"/>
  <c r="J2079" i="16"/>
  <c r="I2079" i="16"/>
  <c r="AC2078" i="16"/>
  <c r="AA2078" i="16"/>
  <c r="AB2078" i="16" s="1"/>
  <c r="T2078" i="16"/>
  <c r="AE2078" i="16" s="1"/>
  <c r="R2078" i="16"/>
  <c r="Q2078" i="16"/>
  <c r="P2078" i="16"/>
  <c r="N2078" i="16"/>
  <c r="L2078" i="16"/>
  <c r="M2078" i="16" s="1"/>
  <c r="K2078" i="16"/>
  <c r="J2078" i="16"/>
  <c r="I2078" i="16"/>
  <c r="AC2077" i="16"/>
  <c r="AA2077" i="16"/>
  <c r="AB2077" i="16" s="1"/>
  <c r="T2077" i="16"/>
  <c r="AE2077" i="16" s="1"/>
  <c r="R2077" i="16"/>
  <c r="Q2077" i="16"/>
  <c r="P2077" i="16"/>
  <c r="N2077" i="16"/>
  <c r="L2077" i="16"/>
  <c r="M2077" i="16" s="1"/>
  <c r="K2077" i="16"/>
  <c r="J2077" i="16"/>
  <c r="I2077" i="16"/>
  <c r="AC2076" i="16"/>
  <c r="AA2076" i="16"/>
  <c r="AB2076" i="16" s="1"/>
  <c r="T2076" i="16"/>
  <c r="AE2076" i="16" s="1"/>
  <c r="R2076" i="16"/>
  <c r="Q2076" i="16"/>
  <c r="P2076" i="16"/>
  <c r="N2076" i="16"/>
  <c r="L2076" i="16"/>
  <c r="M2076" i="16" s="1"/>
  <c r="K2076" i="16"/>
  <c r="J2076" i="16"/>
  <c r="I2076" i="16"/>
  <c r="AC2075" i="16"/>
  <c r="AA2075" i="16"/>
  <c r="AB2075" i="16" s="1"/>
  <c r="T2075" i="16"/>
  <c r="AE2075" i="16" s="1"/>
  <c r="R2075" i="16"/>
  <c r="Q2075" i="16"/>
  <c r="P2075" i="16"/>
  <c r="N2075" i="16"/>
  <c r="L2075" i="16"/>
  <c r="M2075" i="16" s="1"/>
  <c r="K2075" i="16"/>
  <c r="J2075" i="16"/>
  <c r="I2075" i="16"/>
  <c r="AC2074" i="16"/>
  <c r="AA2074" i="16"/>
  <c r="AB2074" i="16" s="1"/>
  <c r="T2074" i="16"/>
  <c r="AE2074" i="16" s="1"/>
  <c r="R2074" i="16"/>
  <c r="Q2074" i="16"/>
  <c r="P2074" i="16"/>
  <c r="N2074" i="16"/>
  <c r="L2074" i="16"/>
  <c r="M2074" i="16" s="1"/>
  <c r="K2074" i="16"/>
  <c r="J2074" i="16"/>
  <c r="I2074" i="16"/>
  <c r="AC2073" i="16"/>
  <c r="AA2073" i="16"/>
  <c r="AB2073" i="16" s="1"/>
  <c r="T2073" i="16"/>
  <c r="AE2073" i="16" s="1"/>
  <c r="R2073" i="16"/>
  <c r="Q2073" i="16"/>
  <c r="P2073" i="16"/>
  <c r="N2073" i="16"/>
  <c r="L2073" i="16"/>
  <c r="M2073" i="16" s="1"/>
  <c r="K2073" i="16"/>
  <c r="J2073" i="16"/>
  <c r="I2073" i="16"/>
  <c r="AC2072" i="16"/>
  <c r="AA2072" i="16"/>
  <c r="AB2072" i="16" s="1"/>
  <c r="T2072" i="16"/>
  <c r="AE2072" i="16" s="1"/>
  <c r="R2072" i="16"/>
  <c r="Q2072" i="16"/>
  <c r="P2072" i="16"/>
  <c r="N2072" i="16"/>
  <c r="L2072" i="16"/>
  <c r="M2072" i="16" s="1"/>
  <c r="K2072" i="16"/>
  <c r="J2072" i="16"/>
  <c r="I2072" i="16"/>
  <c r="AC2071" i="16"/>
  <c r="AA2071" i="16"/>
  <c r="AB2071" i="16" s="1"/>
  <c r="T2071" i="16"/>
  <c r="AE2071" i="16" s="1"/>
  <c r="R2071" i="16"/>
  <c r="Q2071" i="16"/>
  <c r="P2071" i="16"/>
  <c r="N2071" i="16"/>
  <c r="L2071" i="16"/>
  <c r="M2071" i="16" s="1"/>
  <c r="K2071" i="16"/>
  <c r="J2071" i="16"/>
  <c r="I2071" i="16"/>
  <c r="AC2070" i="16"/>
  <c r="AA2070" i="16"/>
  <c r="AB2070" i="16" s="1"/>
  <c r="T2070" i="16"/>
  <c r="AE2070" i="16" s="1"/>
  <c r="R2070" i="16"/>
  <c r="Q2070" i="16"/>
  <c r="P2070" i="16"/>
  <c r="N2070" i="16"/>
  <c r="L2070" i="16"/>
  <c r="M2070" i="16" s="1"/>
  <c r="K2070" i="16"/>
  <c r="J2070" i="16"/>
  <c r="I2070" i="16"/>
  <c r="AC2069" i="16"/>
  <c r="AA2069" i="16"/>
  <c r="AB2069" i="16" s="1"/>
  <c r="T2069" i="16"/>
  <c r="AE2069" i="16" s="1"/>
  <c r="R2069" i="16"/>
  <c r="Q2069" i="16"/>
  <c r="P2069" i="16"/>
  <c r="N2069" i="16"/>
  <c r="L2069" i="16"/>
  <c r="M2069" i="16" s="1"/>
  <c r="K2069" i="16"/>
  <c r="J2069" i="16"/>
  <c r="I2069" i="16"/>
  <c r="AC2068" i="16"/>
  <c r="AA2068" i="16"/>
  <c r="AB2068" i="16" s="1"/>
  <c r="T2068" i="16"/>
  <c r="AE2068" i="16" s="1"/>
  <c r="R2068" i="16"/>
  <c r="Q2068" i="16"/>
  <c r="P2068" i="16"/>
  <c r="N2068" i="16"/>
  <c r="L2068" i="16"/>
  <c r="M2068" i="16" s="1"/>
  <c r="K2068" i="16"/>
  <c r="J2068" i="16"/>
  <c r="I2068" i="16"/>
  <c r="AC2067" i="16"/>
  <c r="AA2067" i="16"/>
  <c r="AB2067" i="16" s="1"/>
  <c r="T2067" i="16"/>
  <c r="AE2067" i="16" s="1"/>
  <c r="R2067" i="16"/>
  <c r="Q2067" i="16"/>
  <c r="P2067" i="16"/>
  <c r="N2067" i="16"/>
  <c r="L2067" i="16"/>
  <c r="M2067" i="16" s="1"/>
  <c r="K2067" i="16"/>
  <c r="J2067" i="16"/>
  <c r="I2067" i="16"/>
  <c r="AC2066" i="16"/>
  <c r="AA2066" i="16"/>
  <c r="AB2066" i="16" s="1"/>
  <c r="T2066" i="16"/>
  <c r="AE2066" i="16" s="1"/>
  <c r="R2066" i="16"/>
  <c r="Q2066" i="16"/>
  <c r="P2066" i="16"/>
  <c r="N2066" i="16"/>
  <c r="L2066" i="16"/>
  <c r="M2066" i="16" s="1"/>
  <c r="K2066" i="16"/>
  <c r="J2066" i="16"/>
  <c r="I2066" i="16"/>
  <c r="AC2065" i="16"/>
  <c r="AA2065" i="16"/>
  <c r="AB2065" i="16" s="1"/>
  <c r="T2065" i="16"/>
  <c r="AE2065" i="16" s="1"/>
  <c r="R2065" i="16"/>
  <c r="Q2065" i="16"/>
  <c r="P2065" i="16"/>
  <c r="N2065" i="16"/>
  <c r="L2065" i="16"/>
  <c r="M2065" i="16" s="1"/>
  <c r="K2065" i="16"/>
  <c r="J2065" i="16"/>
  <c r="I2065" i="16"/>
  <c r="AC2064" i="16"/>
  <c r="AA2064" i="16"/>
  <c r="AB2064" i="16" s="1"/>
  <c r="T2064" i="16"/>
  <c r="AE2064" i="16" s="1"/>
  <c r="R2064" i="16"/>
  <c r="Q2064" i="16"/>
  <c r="P2064" i="16"/>
  <c r="N2064" i="16"/>
  <c r="L2064" i="16"/>
  <c r="M2064" i="16" s="1"/>
  <c r="K2064" i="16"/>
  <c r="J2064" i="16"/>
  <c r="I2064" i="16"/>
  <c r="AC2063" i="16"/>
  <c r="AA2063" i="16"/>
  <c r="AB2063" i="16" s="1"/>
  <c r="T2063" i="16"/>
  <c r="AE2063" i="16" s="1"/>
  <c r="R2063" i="16"/>
  <c r="Q2063" i="16"/>
  <c r="P2063" i="16"/>
  <c r="N2063" i="16"/>
  <c r="L2063" i="16"/>
  <c r="M2063" i="16" s="1"/>
  <c r="K2063" i="16"/>
  <c r="J2063" i="16"/>
  <c r="I2063" i="16"/>
  <c r="AC2062" i="16"/>
  <c r="AA2062" i="16"/>
  <c r="AB2062" i="16" s="1"/>
  <c r="T2062" i="16"/>
  <c r="AE2062" i="16" s="1"/>
  <c r="R2062" i="16"/>
  <c r="Q2062" i="16"/>
  <c r="P2062" i="16"/>
  <c r="N2062" i="16"/>
  <c r="L2062" i="16"/>
  <c r="M2062" i="16" s="1"/>
  <c r="K2062" i="16"/>
  <c r="J2062" i="16"/>
  <c r="I2062" i="16"/>
  <c r="AC2061" i="16"/>
  <c r="AA2061" i="16"/>
  <c r="AB2061" i="16" s="1"/>
  <c r="T2061" i="16"/>
  <c r="AE2061" i="16" s="1"/>
  <c r="R2061" i="16"/>
  <c r="Q2061" i="16"/>
  <c r="P2061" i="16"/>
  <c r="N2061" i="16"/>
  <c r="L2061" i="16"/>
  <c r="M2061" i="16" s="1"/>
  <c r="K2061" i="16"/>
  <c r="J2061" i="16"/>
  <c r="I2061" i="16"/>
  <c r="AC2060" i="16"/>
  <c r="AA2060" i="16"/>
  <c r="AB2060" i="16" s="1"/>
  <c r="T2060" i="16"/>
  <c r="AE2060" i="16" s="1"/>
  <c r="R2060" i="16"/>
  <c r="Q2060" i="16"/>
  <c r="P2060" i="16"/>
  <c r="N2060" i="16"/>
  <c r="L2060" i="16"/>
  <c r="M2060" i="16" s="1"/>
  <c r="K2060" i="16"/>
  <c r="J2060" i="16"/>
  <c r="I2060" i="16"/>
  <c r="AC2059" i="16"/>
  <c r="AA2059" i="16"/>
  <c r="AB2059" i="16" s="1"/>
  <c r="T2059" i="16"/>
  <c r="AE2059" i="16" s="1"/>
  <c r="R2059" i="16"/>
  <c r="Q2059" i="16"/>
  <c r="P2059" i="16"/>
  <c r="N2059" i="16"/>
  <c r="L2059" i="16"/>
  <c r="M2059" i="16" s="1"/>
  <c r="K2059" i="16"/>
  <c r="J2059" i="16"/>
  <c r="I2059" i="16"/>
  <c r="AC2058" i="16"/>
  <c r="AA2058" i="16"/>
  <c r="AB2058" i="16" s="1"/>
  <c r="T2058" i="16"/>
  <c r="AE2058" i="16" s="1"/>
  <c r="R2058" i="16"/>
  <c r="Q2058" i="16"/>
  <c r="P2058" i="16"/>
  <c r="N2058" i="16"/>
  <c r="L2058" i="16"/>
  <c r="M2058" i="16" s="1"/>
  <c r="K2058" i="16"/>
  <c r="J2058" i="16"/>
  <c r="I2058" i="16"/>
  <c r="AC2057" i="16"/>
  <c r="AA2057" i="16"/>
  <c r="AB2057" i="16" s="1"/>
  <c r="T2057" i="16"/>
  <c r="AE2057" i="16" s="1"/>
  <c r="R2057" i="16"/>
  <c r="Q2057" i="16"/>
  <c r="P2057" i="16"/>
  <c r="N2057" i="16"/>
  <c r="L2057" i="16"/>
  <c r="M2057" i="16" s="1"/>
  <c r="K2057" i="16"/>
  <c r="J2057" i="16"/>
  <c r="I2057" i="16"/>
  <c r="AC2056" i="16"/>
  <c r="AA2056" i="16"/>
  <c r="AB2056" i="16" s="1"/>
  <c r="T2056" i="16"/>
  <c r="AE2056" i="16" s="1"/>
  <c r="R2056" i="16"/>
  <c r="Q2056" i="16"/>
  <c r="P2056" i="16"/>
  <c r="N2056" i="16"/>
  <c r="L2056" i="16"/>
  <c r="M2056" i="16" s="1"/>
  <c r="K2056" i="16"/>
  <c r="J2056" i="16"/>
  <c r="I2056" i="16"/>
  <c r="AC2055" i="16"/>
  <c r="AA2055" i="16"/>
  <c r="AB2055" i="16" s="1"/>
  <c r="T2055" i="16"/>
  <c r="AE2055" i="16" s="1"/>
  <c r="R2055" i="16"/>
  <c r="Q2055" i="16"/>
  <c r="P2055" i="16"/>
  <c r="N2055" i="16"/>
  <c r="L2055" i="16"/>
  <c r="M2055" i="16" s="1"/>
  <c r="K2055" i="16"/>
  <c r="J2055" i="16"/>
  <c r="I2055" i="16"/>
  <c r="AC2054" i="16"/>
  <c r="AA2054" i="16"/>
  <c r="AB2054" i="16" s="1"/>
  <c r="T2054" i="16"/>
  <c r="AE2054" i="16" s="1"/>
  <c r="R2054" i="16"/>
  <c r="Q2054" i="16"/>
  <c r="P2054" i="16"/>
  <c r="N2054" i="16"/>
  <c r="L2054" i="16"/>
  <c r="M2054" i="16" s="1"/>
  <c r="K2054" i="16"/>
  <c r="J2054" i="16"/>
  <c r="I2054" i="16"/>
  <c r="AC2053" i="16"/>
  <c r="AA2053" i="16"/>
  <c r="AB2053" i="16" s="1"/>
  <c r="T2053" i="16"/>
  <c r="AE2053" i="16" s="1"/>
  <c r="R2053" i="16"/>
  <c r="Q2053" i="16"/>
  <c r="P2053" i="16"/>
  <c r="N2053" i="16"/>
  <c r="L2053" i="16"/>
  <c r="M2053" i="16" s="1"/>
  <c r="K2053" i="16"/>
  <c r="J2053" i="16"/>
  <c r="I2053" i="16"/>
  <c r="AC2052" i="16"/>
  <c r="AA2052" i="16"/>
  <c r="AB2052" i="16" s="1"/>
  <c r="T2052" i="16"/>
  <c r="AE2052" i="16" s="1"/>
  <c r="R2052" i="16"/>
  <c r="Q2052" i="16"/>
  <c r="P2052" i="16"/>
  <c r="N2052" i="16"/>
  <c r="L2052" i="16"/>
  <c r="M2052" i="16" s="1"/>
  <c r="K2052" i="16"/>
  <c r="J2052" i="16"/>
  <c r="I2052" i="16"/>
  <c r="AC2051" i="16"/>
  <c r="AA2051" i="16"/>
  <c r="AB2051" i="16" s="1"/>
  <c r="T2051" i="16"/>
  <c r="AE2051" i="16" s="1"/>
  <c r="R2051" i="16"/>
  <c r="Q2051" i="16"/>
  <c r="P2051" i="16"/>
  <c r="N2051" i="16"/>
  <c r="L2051" i="16"/>
  <c r="M2051" i="16" s="1"/>
  <c r="K2051" i="16"/>
  <c r="J2051" i="16"/>
  <c r="I2051" i="16"/>
  <c r="AC2050" i="16"/>
  <c r="AA2050" i="16"/>
  <c r="AB2050" i="16" s="1"/>
  <c r="T2050" i="16"/>
  <c r="AE2050" i="16" s="1"/>
  <c r="R2050" i="16"/>
  <c r="Q2050" i="16"/>
  <c r="P2050" i="16"/>
  <c r="N2050" i="16"/>
  <c r="L2050" i="16"/>
  <c r="M2050" i="16" s="1"/>
  <c r="K2050" i="16"/>
  <c r="J2050" i="16"/>
  <c r="I2050" i="16"/>
  <c r="AC2049" i="16"/>
  <c r="AA2049" i="16"/>
  <c r="AB2049" i="16" s="1"/>
  <c r="T2049" i="16"/>
  <c r="AE2049" i="16" s="1"/>
  <c r="R2049" i="16"/>
  <c r="Q2049" i="16"/>
  <c r="P2049" i="16"/>
  <c r="N2049" i="16"/>
  <c r="L2049" i="16"/>
  <c r="M2049" i="16" s="1"/>
  <c r="K2049" i="16"/>
  <c r="J2049" i="16"/>
  <c r="I2049" i="16"/>
  <c r="AC2048" i="16"/>
  <c r="AA2048" i="16"/>
  <c r="AB2048" i="16" s="1"/>
  <c r="T2048" i="16"/>
  <c r="AE2048" i="16" s="1"/>
  <c r="R2048" i="16"/>
  <c r="Q2048" i="16"/>
  <c r="P2048" i="16"/>
  <c r="N2048" i="16"/>
  <c r="L2048" i="16"/>
  <c r="M2048" i="16" s="1"/>
  <c r="K2048" i="16"/>
  <c r="J2048" i="16"/>
  <c r="I2048" i="16"/>
  <c r="AC2047" i="16"/>
  <c r="AA2047" i="16"/>
  <c r="AB2047" i="16" s="1"/>
  <c r="T2047" i="16"/>
  <c r="AE2047" i="16" s="1"/>
  <c r="R2047" i="16"/>
  <c r="Q2047" i="16"/>
  <c r="P2047" i="16"/>
  <c r="N2047" i="16"/>
  <c r="L2047" i="16"/>
  <c r="M2047" i="16" s="1"/>
  <c r="K2047" i="16"/>
  <c r="J2047" i="16"/>
  <c r="I2047" i="16"/>
  <c r="AC2046" i="16"/>
  <c r="AA2046" i="16"/>
  <c r="AB2046" i="16" s="1"/>
  <c r="T2046" i="16"/>
  <c r="AE2046" i="16" s="1"/>
  <c r="R2046" i="16"/>
  <c r="Q2046" i="16"/>
  <c r="P2046" i="16"/>
  <c r="N2046" i="16"/>
  <c r="L2046" i="16"/>
  <c r="M2046" i="16" s="1"/>
  <c r="K2046" i="16"/>
  <c r="J2046" i="16"/>
  <c r="I2046" i="16"/>
  <c r="AC2045" i="16"/>
  <c r="AA2045" i="16"/>
  <c r="AB2045" i="16" s="1"/>
  <c r="T2045" i="16"/>
  <c r="AE2045" i="16" s="1"/>
  <c r="R2045" i="16"/>
  <c r="Q2045" i="16"/>
  <c r="P2045" i="16"/>
  <c r="N2045" i="16"/>
  <c r="L2045" i="16"/>
  <c r="M2045" i="16" s="1"/>
  <c r="K2045" i="16"/>
  <c r="J2045" i="16"/>
  <c r="I2045" i="16"/>
  <c r="AC2044" i="16"/>
  <c r="AA2044" i="16"/>
  <c r="AB2044" i="16" s="1"/>
  <c r="T2044" i="16"/>
  <c r="AE2044" i="16" s="1"/>
  <c r="R2044" i="16"/>
  <c r="Q2044" i="16"/>
  <c r="P2044" i="16"/>
  <c r="N2044" i="16"/>
  <c r="L2044" i="16"/>
  <c r="M2044" i="16" s="1"/>
  <c r="K2044" i="16"/>
  <c r="J2044" i="16"/>
  <c r="I2044" i="16"/>
  <c r="AC2043" i="16"/>
  <c r="AA2043" i="16"/>
  <c r="AB2043" i="16" s="1"/>
  <c r="T2043" i="16"/>
  <c r="AE2043" i="16" s="1"/>
  <c r="R2043" i="16"/>
  <c r="Q2043" i="16"/>
  <c r="P2043" i="16"/>
  <c r="N2043" i="16"/>
  <c r="L2043" i="16"/>
  <c r="M2043" i="16" s="1"/>
  <c r="K2043" i="16"/>
  <c r="J2043" i="16"/>
  <c r="I2043" i="16"/>
  <c r="AC2042" i="16"/>
  <c r="AA2042" i="16"/>
  <c r="AB2042" i="16" s="1"/>
  <c r="T2042" i="16"/>
  <c r="AE2042" i="16" s="1"/>
  <c r="R2042" i="16"/>
  <c r="Q2042" i="16"/>
  <c r="P2042" i="16"/>
  <c r="N2042" i="16"/>
  <c r="L2042" i="16"/>
  <c r="M2042" i="16" s="1"/>
  <c r="K2042" i="16"/>
  <c r="J2042" i="16"/>
  <c r="I2042" i="16"/>
  <c r="AC2041" i="16"/>
  <c r="AA2041" i="16"/>
  <c r="AB2041" i="16" s="1"/>
  <c r="T2041" i="16"/>
  <c r="AE2041" i="16" s="1"/>
  <c r="R2041" i="16"/>
  <c r="Q2041" i="16"/>
  <c r="P2041" i="16"/>
  <c r="N2041" i="16"/>
  <c r="L2041" i="16"/>
  <c r="M2041" i="16" s="1"/>
  <c r="K2041" i="16"/>
  <c r="J2041" i="16"/>
  <c r="I2041" i="16"/>
  <c r="AC2040" i="16"/>
  <c r="AA2040" i="16"/>
  <c r="AB2040" i="16" s="1"/>
  <c r="T2040" i="16"/>
  <c r="AE2040" i="16" s="1"/>
  <c r="R2040" i="16"/>
  <c r="Q2040" i="16"/>
  <c r="P2040" i="16"/>
  <c r="N2040" i="16"/>
  <c r="L2040" i="16"/>
  <c r="M2040" i="16" s="1"/>
  <c r="K2040" i="16"/>
  <c r="J2040" i="16"/>
  <c r="I2040" i="16"/>
  <c r="AC2039" i="16"/>
  <c r="AA2039" i="16"/>
  <c r="AB2039" i="16" s="1"/>
  <c r="T2039" i="16"/>
  <c r="AE2039" i="16" s="1"/>
  <c r="R2039" i="16"/>
  <c r="Q2039" i="16"/>
  <c r="P2039" i="16"/>
  <c r="N2039" i="16"/>
  <c r="L2039" i="16"/>
  <c r="M2039" i="16" s="1"/>
  <c r="K2039" i="16"/>
  <c r="J2039" i="16"/>
  <c r="I2039" i="16"/>
  <c r="AC2038" i="16"/>
  <c r="AA2038" i="16"/>
  <c r="AB2038" i="16" s="1"/>
  <c r="T2038" i="16"/>
  <c r="AE2038" i="16" s="1"/>
  <c r="R2038" i="16"/>
  <c r="Q2038" i="16"/>
  <c r="P2038" i="16"/>
  <c r="N2038" i="16"/>
  <c r="L2038" i="16"/>
  <c r="M2038" i="16" s="1"/>
  <c r="K2038" i="16"/>
  <c r="J2038" i="16"/>
  <c r="I2038" i="16"/>
  <c r="AC2037" i="16"/>
  <c r="AA2037" i="16"/>
  <c r="AB2037" i="16" s="1"/>
  <c r="T2037" i="16"/>
  <c r="AE2037" i="16" s="1"/>
  <c r="R2037" i="16"/>
  <c r="Q2037" i="16"/>
  <c r="P2037" i="16"/>
  <c r="N2037" i="16"/>
  <c r="L2037" i="16"/>
  <c r="M2037" i="16" s="1"/>
  <c r="K2037" i="16"/>
  <c r="J2037" i="16"/>
  <c r="I2037" i="16"/>
  <c r="AC2036" i="16"/>
  <c r="AA2036" i="16"/>
  <c r="AB2036" i="16" s="1"/>
  <c r="T2036" i="16"/>
  <c r="AE2036" i="16" s="1"/>
  <c r="R2036" i="16"/>
  <c r="Q2036" i="16"/>
  <c r="P2036" i="16"/>
  <c r="N2036" i="16"/>
  <c r="L2036" i="16"/>
  <c r="M2036" i="16" s="1"/>
  <c r="K2036" i="16"/>
  <c r="J2036" i="16"/>
  <c r="I2036" i="16"/>
  <c r="AC2035" i="16"/>
  <c r="AA2035" i="16"/>
  <c r="AB2035" i="16" s="1"/>
  <c r="T2035" i="16"/>
  <c r="AE2035" i="16" s="1"/>
  <c r="R2035" i="16"/>
  <c r="Q2035" i="16"/>
  <c r="P2035" i="16"/>
  <c r="N2035" i="16"/>
  <c r="L2035" i="16"/>
  <c r="M2035" i="16" s="1"/>
  <c r="K2035" i="16"/>
  <c r="J2035" i="16"/>
  <c r="I2035" i="16"/>
  <c r="AC2034" i="16"/>
  <c r="AA2034" i="16"/>
  <c r="AB2034" i="16" s="1"/>
  <c r="T2034" i="16"/>
  <c r="AE2034" i="16" s="1"/>
  <c r="R2034" i="16"/>
  <c r="Q2034" i="16"/>
  <c r="P2034" i="16"/>
  <c r="N2034" i="16"/>
  <c r="L2034" i="16"/>
  <c r="M2034" i="16" s="1"/>
  <c r="K2034" i="16"/>
  <c r="J2034" i="16"/>
  <c r="I2034" i="16"/>
  <c r="AC2033" i="16"/>
  <c r="AA2033" i="16"/>
  <c r="AB2033" i="16" s="1"/>
  <c r="T2033" i="16"/>
  <c r="AE2033" i="16" s="1"/>
  <c r="R2033" i="16"/>
  <c r="Q2033" i="16"/>
  <c r="P2033" i="16"/>
  <c r="N2033" i="16"/>
  <c r="L2033" i="16"/>
  <c r="M2033" i="16" s="1"/>
  <c r="K2033" i="16"/>
  <c r="J2033" i="16"/>
  <c r="I2033" i="16"/>
  <c r="AC2032" i="16"/>
  <c r="AA2032" i="16"/>
  <c r="AB2032" i="16" s="1"/>
  <c r="T2032" i="16"/>
  <c r="AE2032" i="16" s="1"/>
  <c r="R2032" i="16"/>
  <c r="Q2032" i="16"/>
  <c r="P2032" i="16"/>
  <c r="N2032" i="16"/>
  <c r="L2032" i="16"/>
  <c r="M2032" i="16" s="1"/>
  <c r="K2032" i="16"/>
  <c r="J2032" i="16"/>
  <c r="I2032" i="16"/>
  <c r="AC2031" i="16"/>
  <c r="AA2031" i="16"/>
  <c r="AB2031" i="16" s="1"/>
  <c r="T2031" i="16"/>
  <c r="AE2031" i="16" s="1"/>
  <c r="R2031" i="16"/>
  <c r="Q2031" i="16"/>
  <c r="P2031" i="16"/>
  <c r="N2031" i="16"/>
  <c r="L2031" i="16"/>
  <c r="M2031" i="16" s="1"/>
  <c r="K2031" i="16"/>
  <c r="J2031" i="16"/>
  <c r="I2031" i="16"/>
  <c r="AC2030" i="16"/>
  <c r="AA2030" i="16"/>
  <c r="AB2030" i="16" s="1"/>
  <c r="T2030" i="16"/>
  <c r="AE2030" i="16" s="1"/>
  <c r="R2030" i="16"/>
  <c r="Q2030" i="16"/>
  <c r="P2030" i="16"/>
  <c r="N2030" i="16"/>
  <c r="L2030" i="16"/>
  <c r="M2030" i="16" s="1"/>
  <c r="K2030" i="16"/>
  <c r="J2030" i="16"/>
  <c r="I2030" i="16"/>
  <c r="AC2029" i="16"/>
  <c r="AA2029" i="16"/>
  <c r="AB2029" i="16" s="1"/>
  <c r="T2029" i="16"/>
  <c r="AE2029" i="16" s="1"/>
  <c r="R2029" i="16"/>
  <c r="Q2029" i="16"/>
  <c r="P2029" i="16"/>
  <c r="N2029" i="16"/>
  <c r="L2029" i="16"/>
  <c r="M2029" i="16" s="1"/>
  <c r="K2029" i="16"/>
  <c r="J2029" i="16"/>
  <c r="I2029" i="16"/>
  <c r="AC2028" i="16"/>
  <c r="AA2028" i="16"/>
  <c r="AB2028" i="16" s="1"/>
  <c r="T2028" i="16"/>
  <c r="AE2028" i="16" s="1"/>
  <c r="R2028" i="16"/>
  <c r="Q2028" i="16"/>
  <c r="P2028" i="16"/>
  <c r="N2028" i="16"/>
  <c r="L2028" i="16"/>
  <c r="M2028" i="16" s="1"/>
  <c r="K2028" i="16"/>
  <c r="J2028" i="16"/>
  <c r="I2028" i="16"/>
  <c r="AC2027" i="16"/>
  <c r="AA2027" i="16"/>
  <c r="AB2027" i="16" s="1"/>
  <c r="T2027" i="16"/>
  <c r="AE2027" i="16" s="1"/>
  <c r="R2027" i="16"/>
  <c r="Q2027" i="16"/>
  <c r="P2027" i="16"/>
  <c r="N2027" i="16"/>
  <c r="L2027" i="16"/>
  <c r="M2027" i="16" s="1"/>
  <c r="K2027" i="16"/>
  <c r="J2027" i="16"/>
  <c r="I2027" i="16"/>
  <c r="AC2026" i="16"/>
  <c r="AA2026" i="16"/>
  <c r="AB2026" i="16" s="1"/>
  <c r="T2026" i="16"/>
  <c r="AE2026" i="16" s="1"/>
  <c r="R2026" i="16"/>
  <c r="Q2026" i="16"/>
  <c r="P2026" i="16"/>
  <c r="N2026" i="16"/>
  <c r="L2026" i="16"/>
  <c r="M2026" i="16" s="1"/>
  <c r="K2026" i="16"/>
  <c r="J2026" i="16"/>
  <c r="I2026" i="16"/>
  <c r="AC2025" i="16"/>
  <c r="AA2025" i="16"/>
  <c r="AB2025" i="16" s="1"/>
  <c r="T2025" i="16"/>
  <c r="AE2025" i="16" s="1"/>
  <c r="R2025" i="16"/>
  <c r="Q2025" i="16"/>
  <c r="P2025" i="16"/>
  <c r="N2025" i="16"/>
  <c r="L2025" i="16"/>
  <c r="M2025" i="16" s="1"/>
  <c r="K2025" i="16"/>
  <c r="J2025" i="16"/>
  <c r="I2025" i="16"/>
  <c r="AC2024" i="16"/>
  <c r="AA2024" i="16"/>
  <c r="AB2024" i="16" s="1"/>
  <c r="T2024" i="16"/>
  <c r="AE2024" i="16" s="1"/>
  <c r="R2024" i="16"/>
  <c r="Q2024" i="16"/>
  <c r="P2024" i="16"/>
  <c r="N2024" i="16"/>
  <c r="L2024" i="16"/>
  <c r="M2024" i="16" s="1"/>
  <c r="K2024" i="16"/>
  <c r="J2024" i="16"/>
  <c r="I2024" i="16"/>
  <c r="AC2023" i="16"/>
  <c r="AA2023" i="16"/>
  <c r="AB2023" i="16" s="1"/>
  <c r="T2023" i="16"/>
  <c r="AE2023" i="16" s="1"/>
  <c r="R2023" i="16"/>
  <c r="Q2023" i="16"/>
  <c r="P2023" i="16"/>
  <c r="N2023" i="16"/>
  <c r="L2023" i="16"/>
  <c r="M2023" i="16" s="1"/>
  <c r="K2023" i="16"/>
  <c r="J2023" i="16"/>
  <c r="I2023" i="16"/>
  <c r="AC2022" i="16"/>
  <c r="AA2022" i="16"/>
  <c r="AB2022" i="16" s="1"/>
  <c r="T2022" i="16"/>
  <c r="AE2022" i="16" s="1"/>
  <c r="R2022" i="16"/>
  <c r="Q2022" i="16"/>
  <c r="P2022" i="16"/>
  <c r="N2022" i="16"/>
  <c r="L2022" i="16"/>
  <c r="M2022" i="16" s="1"/>
  <c r="K2022" i="16"/>
  <c r="J2022" i="16"/>
  <c r="I2022" i="16"/>
  <c r="AC2021" i="16"/>
  <c r="AA2021" i="16"/>
  <c r="AB2021" i="16" s="1"/>
  <c r="T2021" i="16"/>
  <c r="AE2021" i="16" s="1"/>
  <c r="R2021" i="16"/>
  <c r="Q2021" i="16"/>
  <c r="P2021" i="16"/>
  <c r="N2021" i="16"/>
  <c r="L2021" i="16"/>
  <c r="M2021" i="16" s="1"/>
  <c r="K2021" i="16"/>
  <c r="J2021" i="16"/>
  <c r="I2021" i="16"/>
  <c r="AC2020" i="16"/>
  <c r="AA2020" i="16"/>
  <c r="AB2020" i="16" s="1"/>
  <c r="T2020" i="16"/>
  <c r="AE2020" i="16" s="1"/>
  <c r="R2020" i="16"/>
  <c r="Q2020" i="16"/>
  <c r="P2020" i="16"/>
  <c r="N2020" i="16"/>
  <c r="L2020" i="16"/>
  <c r="M2020" i="16" s="1"/>
  <c r="K2020" i="16"/>
  <c r="J2020" i="16"/>
  <c r="I2020" i="16"/>
  <c r="AC2019" i="16"/>
  <c r="AA2019" i="16"/>
  <c r="AB2019" i="16" s="1"/>
  <c r="T2019" i="16"/>
  <c r="AE2019" i="16" s="1"/>
  <c r="R2019" i="16"/>
  <c r="Q2019" i="16"/>
  <c r="P2019" i="16"/>
  <c r="N2019" i="16"/>
  <c r="L2019" i="16"/>
  <c r="M2019" i="16" s="1"/>
  <c r="K2019" i="16"/>
  <c r="J2019" i="16"/>
  <c r="I2019" i="16"/>
  <c r="AC2018" i="16"/>
  <c r="AA2018" i="16"/>
  <c r="AB2018" i="16" s="1"/>
  <c r="T2018" i="16"/>
  <c r="AE2018" i="16" s="1"/>
  <c r="R2018" i="16"/>
  <c r="Q2018" i="16"/>
  <c r="P2018" i="16"/>
  <c r="N2018" i="16"/>
  <c r="L2018" i="16"/>
  <c r="M2018" i="16" s="1"/>
  <c r="K2018" i="16"/>
  <c r="J2018" i="16"/>
  <c r="I2018" i="16"/>
  <c r="AC2017" i="16"/>
  <c r="AA2017" i="16"/>
  <c r="AB2017" i="16" s="1"/>
  <c r="T2017" i="16"/>
  <c r="AE2017" i="16" s="1"/>
  <c r="R2017" i="16"/>
  <c r="Q2017" i="16"/>
  <c r="P2017" i="16"/>
  <c r="N2017" i="16"/>
  <c r="L2017" i="16"/>
  <c r="M2017" i="16" s="1"/>
  <c r="K2017" i="16"/>
  <c r="J2017" i="16"/>
  <c r="I2017" i="16"/>
  <c r="AC2016" i="16"/>
  <c r="AA2016" i="16"/>
  <c r="AB2016" i="16" s="1"/>
  <c r="T2016" i="16"/>
  <c r="AE2016" i="16" s="1"/>
  <c r="R2016" i="16"/>
  <c r="Q2016" i="16"/>
  <c r="P2016" i="16"/>
  <c r="N2016" i="16"/>
  <c r="L2016" i="16"/>
  <c r="M2016" i="16" s="1"/>
  <c r="K2016" i="16"/>
  <c r="J2016" i="16"/>
  <c r="I2016" i="16"/>
  <c r="AC2015" i="16"/>
  <c r="AA2015" i="16"/>
  <c r="AB2015" i="16" s="1"/>
  <c r="T2015" i="16"/>
  <c r="AE2015" i="16" s="1"/>
  <c r="R2015" i="16"/>
  <c r="Q2015" i="16"/>
  <c r="P2015" i="16"/>
  <c r="N2015" i="16"/>
  <c r="L2015" i="16"/>
  <c r="M2015" i="16" s="1"/>
  <c r="K2015" i="16"/>
  <c r="J2015" i="16"/>
  <c r="I2015" i="16"/>
  <c r="AC2014" i="16"/>
  <c r="AA2014" i="16"/>
  <c r="AB2014" i="16" s="1"/>
  <c r="T2014" i="16"/>
  <c r="AE2014" i="16" s="1"/>
  <c r="R2014" i="16"/>
  <c r="Q2014" i="16"/>
  <c r="P2014" i="16"/>
  <c r="N2014" i="16"/>
  <c r="L2014" i="16"/>
  <c r="M2014" i="16" s="1"/>
  <c r="K2014" i="16"/>
  <c r="J2014" i="16"/>
  <c r="I2014" i="16"/>
  <c r="AC2013" i="16"/>
  <c r="AA2013" i="16"/>
  <c r="AB2013" i="16" s="1"/>
  <c r="T2013" i="16"/>
  <c r="AE2013" i="16" s="1"/>
  <c r="R2013" i="16"/>
  <c r="Q2013" i="16"/>
  <c r="P2013" i="16"/>
  <c r="N2013" i="16"/>
  <c r="L2013" i="16"/>
  <c r="M2013" i="16" s="1"/>
  <c r="K2013" i="16"/>
  <c r="J2013" i="16"/>
  <c r="I2013" i="16"/>
  <c r="AC2012" i="16"/>
  <c r="AA2012" i="16"/>
  <c r="AB2012" i="16" s="1"/>
  <c r="T2012" i="16"/>
  <c r="AE2012" i="16" s="1"/>
  <c r="R2012" i="16"/>
  <c r="Q2012" i="16"/>
  <c r="P2012" i="16"/>
  <c r="N2012" i="16"/>
  <c r="L2012" i="16"/>
  <c r="M2012" i="16" s="1"/>
  <c r="K2012" i="16"/>
  <c r="J2012" i="16"/>
  <c r="I2012" i="16"/>
  <c r="AC2011" i="16"/>
  <c r="AA2011" i="16"/>
  <c r="AB2011" i="16" s="1"/>
  <c r="T2011" i="16"/>
  <c r="AE2011" i="16" s="1"/>
  <c r="R2011" i="16"/>
  <c r="Q2011" i="16"/>
  <c r="P2011" i="16"/>
  <c r="N2011" i="16"/>
  <c r="L2011" i="16"/>
  <c r="M2011" i="16" s="1"/>
  <c r="K2011" i="16"/>
  <c r="J2011" i="16"/>
  <c r="I2011" i="16"/>
  <c r="AC2010" i="16"/>
  <c r="AA2010" i="16"/>
  <c r="AB2010" i="16" s="1"/>
  <c r="T2010" i="16"/>
  <c r="AE2010" i="16" s="1"/>
  <c r="R2010" i="16"/>
  <c r="Q2010" i="16"/>
  <c r="P2010" i="16"/>
  <c r="N2010" i="16"/>
  <c r="L2010" i="16"/>
  <c r="M2010" i="16" s="1"/>
  <c r="K2010" i="16"/>
  <c r="J2010" i="16"/>
  <c r="I2010" i="16"/>
  <c r="AC2009" i="16"/>
  <c r="AA2009" i="16"/>
  <c r="AB2009" i="16" s="1"/>
  <c r="T2009" i="16"/>
  <c r="AE2009" i="16" s="1"/>
  <c r="R2009" i="16"/>
  <c r="Q2009" i="16"/>
  <c r="P2009" i="16"/>
  <c r="N2009" i="16"/>
  <c r="L2009" i="16"/>
  <c r="M2009" i="16" s="1"/>
  <c r="K2009" i="16"/>
  <c r="J2009" i="16"/>
  <c r="I2009" i="16"/>
  <c r="AC2008" i="16"/>
  <c r="AA2008" i="16"/>
  <c r="AB2008" i="16" s="1"/>
  <c r="T2008" i="16"/>
  <c r="AE2008" i="16" s="1"/>
  <c r="R2008" i="16"/>
  <c r="Q2008" i="16"/>
  <c r="P2008" i="16"/>
  <c r="N2008" i="16"/>
  <c r="L2008" i="16"/>
  <c r="M2008" i="16" s="1"/>
  <c r="K2008" i="16"/>
  <c r="J2008" i="16"/>
  <c r="I2008" i="16"/>
  <c r="AC2007" i="16"/>
  <c r="AA2007" i="16"/>
  <c r="AB2007" i="16" s="1"/>
  <c r="T2007" i="16"/>
  <c r="AE2007" i="16" s="1"/>
  <c r="R2007" i="16"/>
  <c r="Q2007" i="16"/>
  <c r="P2007" i="16"/>
  <c r="N2007" i="16"/>
  <c r="L2007" i="16"/>
  <c r="M2007" i="16" s="1"/>
  <c r="K2007" i="16"/>
  <c r="J2007" i="16"/>
  <c r="I2007" i="16"/>
  <c r="AC2006" i="16"/>
  <c r="AA2006" i="16"/>
  <c r="AB2006" i="16" s="1"/>
  <c r="T2006" i="16"/>
  <c r="AE2006" i="16" s="1"/>
  <c r="R2006" i="16"/>
  <c r="Q2006" i="16"/>
  <c r="P2006" i="16"/>
  <c r="N2006" i="16"/>
  <c r="L2006" i="16"/>
  <c r="M2006" i="16" s="1"/>
  <c r="K2006" i="16"/>
  <c r="J2006" i="16"/>
  <c r="I2006" i="16"/>
  <c r="AC2005" i="16"/>
  <c r="AA2005" i="16"/>
  <c r="AB2005" i="16" s="1"/>
  <c r="T2005" i="16"/>
  <c r="AE2005" i="16" s="1"/>
  <c r="R2005" i="16"/>
  <c r="Q2005" i="16"/>
  <c r="P2005" i="16"/>
  <c r="N2005" i="16"/>
  <c r="L2005" i="16"/>
  <c r="M2005" i="16" s="1"/>
  <c r="K2005" i="16"/>
  <c r="J2005" i="16"/>
  <c r="I2005" i="16"/>
  <c r="AC2004" i="16"/>
  <c r="AA2004" i="16"/>
  <c r="AB2004" i="16" s="1"/>
  <c r="T2004" i="16"/>
  <c r="AE2004" i="16" s="1"/>
  <c r="R2004" i="16"/>
  <c r="Q2004" i="16"/>
  <c r="P2004" i="16"/>
  <c r="N2004" i="16"/>
  <c r="L2004" i="16"/>
  <c r="M2004" i="16" s="1"/>
  <c r="K2004" i="16"/>
  <c r="J2004" i="16"/>
  <c r="I2004" i="16"/>
  <c r="AC2003" i="16"/>
  <c r="AA2003" i="16"/>
  <c r="AB2003" i="16" s="1"/>
  <c r="T2003" i="16"/>
  <c r="AE2003" i="16" s="1"/>
  <c r="R2003" i="16"/>
  <c r="Q2003" i="16"/>
  <c r="P2003" i="16"/>
  <c r="N2003" i="16"/>
  <c r="L2003" i="16"/>
  <c r="M2003" i="16" s="1"/>
  <c r="K2003" i="16"/>
  <c r="J2003" i="16"/>
  <c r="I2003" i="16"/>
  <c r="AC2002" i="16"/>
  <c r="AA2002" i="16"/>
  <c r="AB2002" i="16" s="1"/>
  <c r="T2002" i="16"/>
  <c r="AE2002" i="16" s="1"/>
  <c r="R2002" i="16"/>
  <c r="Q2002" i="16"/>
  <c r="P2002" i="16"/>
  <c r="N2002" i="16"/>
  <c r="L2002" i="16"/>
  <c r="M2002" i="16" s="1"/>
  <c r="K2002" i="16"/>
  <c r="J2002" i="16"/>
  <c r="I2002" i="16"/>
  <c r="AC2001" i="16"/>
  <c r="AA2001" i="16"/>
  <c r="AB2001" i="16" s="1"/>
  <c r="T2001" i="16"/>
  <c r="AE2001" i="16" s="1"/>
  <c r="R2001" i="16"/>
  <c r="Q2001" i="16"/>
  <c r="P2001" i="16"/>
  <c r="N2001" i="16"/>
  <c r="L2001" i="16"/>
  <c r="M2001" i="16" s="1"/>
  <c r="K2001" i="16"/>
  <c r="J2001" i="16"/>
  <c r="I2001" i="16"/>
  <c r="AC2000" i="16"/>
  <c r="AA2000" i="16"/>
  <c r="AB2000" i="16" s="1"/>
  <c r="T2000" i="16"/>
  <c r="AE2000" i="16" s="1"/>
  <c r="R2000" i="16"/>
  <c r="Q2000" i="16"/>
  <c r="P2000" i="16"/>
  <c r="N2000" i="16"/>
  <c r="L2000" i="16"/>
  <c r="M2000" i="16" s="1"/>
  <c r="K2000" i="16"/>
  <c r="J2000" i="16"/>
  <c r="I2000" i="16"/>
  <c r="AC1999" i="16"/>
  <c r="AA1999" i="16"/>
  <c r="AB1999" i="16" s="1"/>
  <c r="T1999" i="16"/>
  <c r="AE1999" i="16" s="1"/>
  <c r="R1999" i="16"/>
  <c r="Q1999" i="16"/>
  <c r="P1999" i="16"/>
  <c r="N1999" i="16"/>
  <c r="L1999" i="16"/>
  <c r="M1999" i="16" s="1"/>
  <c r="K1999" i="16"/>
  <c r="J1999" i="16"/>
  <c r="I1999" i="16"/>
  <c r="AC1998" i="16"/>
  <c r="AA1998" i="16"/>
  <c r="AB1998" i="16" s="1"/>
  <c r="T1998" i="16"/>
  <c r="AE1998" i="16" s="1"/>
  <c r="R1998" i="16"/>
  <c r="Q1998" i="16"/>
  <c r="P1998" i="16"/>
  <c r="N1998" i="16"/>
  <c r="L1998" i="16"/>
  <c r="M1998" i="16" s="1"/>
  <c r="K1998" i="16"/>
  <c r="J1998" i="16"/>
  <c r="I1998" i="16"/>
  <c r="AC1997" i="16"/>
  <c r="AA1997" i="16"/>
  <c r="AB1997" i="16" s="1"/>
  <c r="T1997" i="16"/>
  <c r="AE1997" i="16" s="1"/>
  <c r="R1997" i="16"/>
  <c r="Q1997" i="16"/>
  <c r="P1997" i="16"/>
  <c r="N1997" i="16"/>
  <c r="L1997" i="16"/>
  <c r="M1997" i="16" s="1"/>
  <c r="K1997" i="16"/>
  <c r="J1997" i="16"/>
  <c r="I1997" i="16"/>
  <c r="AC1996" i="16"/>
  <c r="AA1996" i="16"/>
  <c r="AB1996" i="16" s="1"/>
  <c r="T1996" i="16"/>
  <c r="AE1996" i="16" s="1"/>
  <c r="R1996" i="16"/>
  <c r="Q1996" i="16"/>
  <c r="P1996" i="16"/>
  <c r="N1996" i="16"/>
  <c r="L1996" i="16"/>
  <c r="M1996" i="16" s="1"/>
  <c r="K1996" i="16"/>
  <c r="J1996" i="16"/>
  <c r="I1996" i="16"/>
  <c r="AC1995" i="16"/>
  <c r="AA1995" i="16"/>
  <c r="AB1995" i="16" s="1"/>
  <c r="T1995" i="16"/>
  <c r="AE1995" i="16" s="1"/>
  <c r="R1995" i="16"/>
  <c r="Q1995" i="16"/>
  <c r="P1995" i="16"/>
  <c r="N1995" i="16"/>
  <c r="L1995" i="16"/>
  <c r="M1995" i="16" s="1"/>
  <c r="K1995" i="16"/>
  <c r="J1995" i="16"/>
  <c r="I1995" i="16"/>
  <c r="AC1994" i="16"/>
  <c r="AA1994" i="16"/>
  <c r="AB1994" i="16" s="1"/>
  <c r="T1994" i="16"/>
  <c r="AE1994" i="16" s="1"/>
  <c r="R1994" i="16"/>
  <c r="Q1994" i="16"/>
  <c r="P1994" i="16"/>
  <c r="N1994" i="16"/>
  <c r="L1994" i="16"/>
  <c r="M1994" i="16" s="1"/>
  <c r="K1994" i="16"/>
  <c r="J1994" i="16"/>
  <c r="I1994" i="16"/>
  <c r="AC1993" i="16"/>
  <c r="AA1993" i="16"/>
  <c r="AB1993" i="16" s="1"/>
  <c r="T1993" i="16"/>
  <c r="AE1993" i="16" s="1"/>
  <c r="R1993" i="16"/>
  <c r="Q1993" i="16"/>
  <c r="P1993" i="16"/>
  <c r="N1993" i="16"/>
  <c r="L1993" i="16"/>
  <c r="M1993" i="16" s="1"/>
  <c r="K1993" i="16"/>
  <c r="J1993" i="16"/>
  <c r="I1993" i="16"/>
  <c r="AC1992" i="16"/>
  <c r="AA1992" i="16"/>
  <c r="AB1992" i="16" s="1"/>
  <c r="T1992" i="16"/>
  <c r="AE1992" i="16" s="1"/>
  <c r="R1992" i="16"/>
  <c r="Q1992" i="16"/>
  <c r="P1992" i="16"/>
  <c r="N1992" i="16"/>
  <c r="L1992" i="16"/>
  <c r="M1992" i="16" s="1"/>
  <c r="K1992" i="16"/>
  <c r="J1992" i="16"/>
  <c r="I1992" i="16"/>
  <c r="AC1991" i="16"/>
  <c r="AA1991" i="16"/>
  <c r="AB1991" i="16" s="1"/>
  <c r="T1991" i="16"/>
  <c r="AE1991" i="16" s="1"/>
  <c r="R1991" i="16"/>
  <c r="Q1991" i="16"/>
  <c r="P1991" i="16"/>
  <c r="N1991" i="16"/>
  <c r="L1991" i="16"/>
  <c r="M1991" i="16" s="1"/>
  <c r="K1991" i="16"/>
  <c r="J1991" i="16"/>
  <c r="I1991" i="16"/>
  <c r="AC1990" i="16"/>
  <c r="AA1990" i="16"/>
  <c r="AB1990" i="16" s="1"/>
  <c r="T1990" i="16"/>
  <c r="AE1990" i="16" s="1"/>
  <c r="R1990" i="16"/>
  <c r="Q1990" i="16"/>
  <c r="P1990" i="16"/>
  <c r="N1990" i="16"/>
  <c r="L1990" i="16"/>
  <c r="M1990" i="16" s="1"/>
  <c r="K1990" i="16"/>
  <c r="J1990" i="16"/>
  <c r="I1990" i="16"/>
  <c r="AC1989" i="16"/>
  <c r="AA1989" i="16"/>
  <c r="AB1989" i="16" s="1"/>
  <c r="T1989" i="16"/>
  <c r="AE1989" i="16" s="1"/>
  <c r="R1989" i="16"/>
  <c r="Q1989" i="16"/>
  <c r="P1989" i="16"/>
  <c r="N1989" i="16"/>
  <c r="L1989" i="16"/>
  <c r="M1989" i="16" s="1"/>
  <c r="K1989" i="16"/>
  <c r="J1989" i="16"/>
  <c r="I1989" i="16"/>
  <c r="AC1988" i="16"/>
  <c r="AA1988" i="16"/>
  <c r="AB1988" i="16" s="1"/>
  <c r="T1988" i="16"/>
  <c r="AE1988" i="16" s="1"/>
  <c r="R1988" i="16"/>
  <c r="Q1988" i="16"/>
  <c r="P1988" i="16"/>
  <c r="N1988" i="16"/>
  <c r="L1988" i="16"/>
  <c r="M1988" i="16" s="1"/>
  <c r="K1988" i="16"/>
  <c r="J1988" i="16"/>
  <c r="I1988" i="16"/>
  <c r="AC1987" i="16"/>
  <c r="AA1987" i="16"/>
  <c r="AB1987" i="16" s="1"/>
  <c r="T1987" i="16"/>
  <c r="AE1987" i="16" s="1"/>
  <c r="R1987" i="16"/>
  <c r="Q1987" i="16"/>
  <c r="P1987" i="16"/>
  <c r="N1987" i="16"/>
  <c r="L1987" i="16"/>
  <c r="M1987" i="16" s="1"/>
  <c r="K1987" i="16"/>
  <c r="J1987" i="16"/>
  <c r="I1987" i="16"/>
  <c r="AC1986" i="16"/>
  <c r="AA1986" i="16"/>
  <c r="AB1986" i="16" s="1"/>
  <c r="T1986" i="16"/>
  <c r="AE1986" i="16" s="1"/>
  <c r="R1986" i="16"/>
  <c r="Q1986" i="16"/>
  <c r="P1986" i="16"/>
  <c r="N1986" i="16"/>
  <c r="L1986" i="16"/>
  <c r="M1986" i="16" s="1"/>
  <c r="K1986" i="16"/>
  <c r="J1986" i="16"/>
  <c r="I1986" i="16"/>
  <c r="AC1985" i="16"/>
  <c r="AA1985" i="16"/>
  <c r="AB1985" i="16" s="1"/>
  <c r="T1985" i="16"/>
  <c r="AE1985" i="16" s="1"/>
  <c r="R1985" i="16"/>
  <c r="Q1985" i="16"/>
  <c r="P1985" i="16"/>
  <c r="N1985" i="16"/>
  <c r="L1985" i="16"/>
  <c r="M1985" i="16" s="1"/>
  <c r="K1985" i="16"/>
  <c r="J1985" i="16"/>
  <c r="I1985" i="16"/>
  <c r="AC1984" i="16"/>
  <c r="AA1984" i="16"/>
  <c r="AB1984" i="16" s="1"/>
  <c r="T1984" i="16"/>
  <c r="AE1984" i="16" s="1"/>
  <c r="R1984" i="16"/>
  <c r="Q1984" i="16"/>
  <c r="P1984" i="16"/>
  <c r="N1984" i="16"/>
  <c r="L1984" i="16"/>
  <c r="M1984" i="16" s="1"/>
  <c r="K1984" i="16"/>
  <c r="J1984" i="16"/>
  <c r="I1984" i="16"/>
  <c r="AC1983" i="16"/>
  <c r="AA1983" i="16"/>
  <c r="AB1983" i="16" s="1"/>
  <c r="T1983" i="16"/>
  <c r="AE1983" i="16" s="1"/>
  <c r="R1983" i="16"/>
  <c r="Q1983" i="16"/>
  <c r="P1983" i="16"/>
  <c r="N1983" i="16"/>
  <c r="L1983" i="16"/>
  <c r="M1983" i="16" s="1"/>
  <c r="K1983" i="16"/>
  <c r="J1983" i="16"/>
  <c r="I1983" i="16"/>
  <c r="AC1982" i="16"/>
  <c r="AA1982" i="16"/>
  <c r="AB1982" i="16" s="1"/>
  <c r="T1982" i="16"/>
  <c r="AE1982" i="16" s="1"/>
  <c r="R1982" i="16"/>
  <c r="Q1982" i="16"/>
  <c r="P1982" i="16"/>
  <c r="N1982" i="16"/>
  <c r="L1982" i="16"/>
  <c r="M1982" i="16" s="1"/>
  <c r="K1982" i="16"/>
  <c r="J1982" i="16"/>
  <c r="I1982" i="16"/>
  <c r="AC1981" i="16"/>
  <c r="AA1981" i="16"/>
  <c r="AB1981" i="16" s="1"/>
  <c r="T1981" i="16"/>
  <c r="AE1981" i="16" s="1"/>
  <c r="R1981" i="16"/>
  <c r="Q1981" i="16"/>
  <c r="P1981" i="16"/>
  <c r="N1981" i="16"/>
  <c r="L1981" i="16"/>
  <c r="M1981" i="16" s="1"/>
  <c r="K1981" i="16"/>
  <c r="J1981" i="16"/>
  <c r="I1981" i="16"/>
  <c r="AC1980" i="16"/>
  <c r="AA1980" i="16"/>
  <c r="AB1980" i="16" s="1"/>
  <c r="T1980" i="16"/>
  <c r="AE1980" i="16" s="1"/>
  <c r="R1980" i="16"/>
  <c r="Q1980" i="16"/>
  <c r="P1980" i="16"/>
  <c r="N1980" i="16"/>
  <c r="L1980" i="16"/>
  <c r="M1980" i="16" s="1"/>
  <c r="K1980" i="16"/>
  <c r="J1980" i="16"/>
  <c r="I1980" i="16"/>
  <c r="AC1979" i="16"/>
  <c r="AA1979" i="16"/>
  <c r="AB1979" i="16" s="1"/>
  <c r="T1979" i="16"/>
  <c r="AE1979" i="16" s="1"/>
  <c r="R1979" i="16"/>
  <c r="Q1979" i="16"/>
  <c r="P1979" i="16"/>
  <c r="N1979" i="16"/>
  <c r="L1979" i="16"/>
  <c r="M1979" i="16" s="1"/>
  <c r="K1979" i="16"/>
  <c r="J1979" i="16"/>
  <c r="I1979" i="16"/>
  <c r="AC1978" i="16"/>
  <c r="AA1978" i="16"/>
  <c r="AB1978" i="16" s="1"/>
  <c r="T1978" i="16"/>
  <c r="AE1978" i="16" s="1"/>
  <c r="R1978" i="16"/>
  <c r="Q1978" i="16"/>
  <c r="P1978" i="16"/>
  <c r="N1978" i="16"/>
  <c r="L1978" i="16"/>
  <c r="M1978" i="16" s="1"/>
  <c r="K1978" i="16"/>
  <c r="J1978" i="16"/>
  <c r="I1978" i="16"/>
  <c r="AC1977" i="16"/>
  <c r="AA1977" i="16"/>
  <c r="AB1977" i="16" s="1"/>
  <c r="T1977" i="16"/>
  <c r="AE1977" i="16" s="1"/>
  <c r="R1977" i="16"/>
  <c r="Q1977" i="16"/>
  <c r="P1977" i="16"/>
  <c r="N1977" i="16"/>
  <c r="L1977" i="16"/>
  <c r="M1977" i="16" s="1"/>
  <c r="K1977" i="16"/>
  <c r="J1977" i="16"/>
  <c r="I1977" i="16"/>
  <c r="AC1976" i="16"/>
  <c r="AA1976" i="16"/>
  <c r="AB1976" i="16" s="1"/>
  <c r="T1976" i="16"/>
  <c r="AE1976" i="16" s="1"/>
  <c r="R1976" i="16"/>
  <c r="Q1976" i="16"/>
  <c r="P1976" i="16"/>
  <c r="N1976" i="16"/>
  <c r="L1976" i="16"/>
  <c r="M1976" i="16" s="1"/>
  <c r="K1976" i="16"/>
  <c r="J1976" i="16"/>
  <c r="I1976" i="16"/>
  <c r="AC1975" i="16"/>
  <c r="AA1975" i="16"/>
  <c r="AB1975" i="16" s="1"/>
  <c r="T1975" i="16"/>
  <c r="AE1975" i="16" s="1"/>
  <c r="R1975" i="16"/>
  <c r="Q1975" i="16"/>
  <c r="P1975" i="16"/>
  <c r="N1975" i="16"/>
  <c r="L1975" i="16"/>
  <c r="M1975" i="16" s="1"/>
  <c r="K1975" i="16"/>
  <c r="J1975" i="16"/>
  <c r="I1975" i="16"/>
  <c r="AC1974" i="16"/>
  <c r="AA1974" i="16"/>
  <c r="AB1974" i="16" s="1"/>
  <c r="T1974" i="16"/>
  <c r="AE1974" i="16" s="1"/>
  <c r="R1974" i="16"/>
  <c r="Q1974" i="16"/>
  <c r="P1974" i="16"/>
  <c r="N1974" i="16"/>
  <c r="L1974" i="16"/>
  <c r="M1974" i="16" s="1"/>
  <c r="K1974" i="16"/>
  <c r="J1974" i="16"/>
  <c r="I1974" i="16"/>
  <c r="AC1973" i="16"/>
  <c r="AA1973" i="16"/>
  <c r="AB1973" i="16" s="1"/>
  <c r="T1973" i="16"/>
  <c r="AE1973" i="16" s="1"/>
  <c r="R1973" i="16"/>
  <c r="Q1973" i="16"/>
  <c r="P1973" i="16"/>
  <c r="N1973" i="16"/>
  <c r="L1973" i="16"/>
  <c r="M1973" i="16" s="1"/>
  <c r="K1973" i="16"/>
  <c r="J1973" i="16"/>
  <c r="I1973" i="16"/>
  <c r="AC1972" i="16"/>
  <c r="AA1972" i="16"/>
  <c r="AB1972" i="16" s="1"/>
  <c r="T1972" i="16"/>
  <c r="AE1972" i="16" s="1"/>
  <c r="R1972" i="16"/>
  <c r="Q1972" i="16"/>
  <c r="P1972" i="16"/>
  <c r="N1972" i="16"/>
  <c r="L1972" i="16"/>
  <c r="M1972" i="16" s="1"/>
  <c r="K1972" i="16"/>
  <c r="J1972" i="16"/>
  <c r="I1972" i="16"/>
  <c r="AC1971" i="16"/>
  <c r="AA1971" i="16"/>
  <c r="AB1971" i="16" s="1"/>
  <c r="T1971" i="16"/>
  <c r="AE1971" i="16" s="1"/>
  <c r="R1971" i="16"/>
  <c r="Q1971" i="16"/>
  <c r="P1971" i="16"/>
  <c r="N1971" i="16"/>
  <c r="L1971" i="16"/>
  <c r="M1971" i="16" s="1"/>
  <c r="K1971" i="16"/>
  <c r="J1971" i="16"/>
  <c r="I1971" i="16"/>
  <c r="AC1970" i="16"/>
  <c r="AA1970" i="16"/>
  <c r="AB1970" i="16" s="1"/>
  <c r="T1970" i="16"/>
  <c r="AE1970" i="16" s="1"/>
  <c r="R1970" i="16"/>
  <c r="Q1970" i="16"/>
  <c r="P1970" i="16"/>
  <c r="N1970" i="16"/>
  <c r="L1970" i="16"/>
  <c r="M1970" i="16" s="1"/>
  <c r="K1970" i="16"/>
  <c r="J1970" i="16"/>
  <c r="I1970" i="16"/>
  <c r="AC1969" i="16"/>
  <c r="AA1969" i="16"/>
  <c r="AB1969" i="16" s="1"/>
  <c r="T1969" i="16"/>
  <c r="AE1969" i="16" s="1"/>
  <c r="R1969" i="16"/>
  <c r="Q1969" i="16"/>
  <c r="P1969" i="16"/>
  <c r="N1969" i="16"/>
  <c r="L1969" i="16"/>
  <c r="M1969" i="16" s="1"/>
  <c r="K1969" i="16"/>
  <c r="J1969" i="16"/>
  <c r="I1969" i="16"/>
  <c r="AC1968" i="16"/>
  <c r="AA1968" i="16"/>
  <c r="AB1968" i="16" s="1"/>
  <c r="T1968" i="16"/>
  <c r="AE1968" i="16" s="1"/>
  <c r="R1968" i="16"/>
  <c r="Q1968" i="16"/>
  <c r="P1968" i="16"/>
  <c r="N1968" i="16"/>
  <c r="L1968" i="16"/>
  <c r="M1968" i="16" s="1"/>
  <c r="K1968" i="16"/>
  <c r="J1968" i="16"/>
  <c r="I1968" i="16"/>
  <c r="AC1967" i="16"/>
  <c r="AA1967" i="16"/>
  <c r="AB1967" i="16" s="1"/>
  <c r="T1967" i="16"/>
  <c r="AE1967" i="16" s="1"/>
  <c r="R1967" i="16"/>
  <c r="Q1967" i="16"/>
  <c r="P1967" i="16"/>
  <c r="N1967" i="16"/>
  <c r="L1967" i="16"/>
  <c r="M1967" i="16" s="1"/>
  <c r="K1967" i="16"/>
  <c r="J1967" i="16"/>
  <c r="I1967" i="16"/>
  <c r="AC1966" i="16"/>
  <c r="AA1966" i="16"/>
  <c r="AB1966" i="16" s="1"/>
  <c r="T1966" i="16"/>
  <c r="AE1966" i="16" s="1"/>
  <c r="R1966" i="16"/>
  <c r="Q1966" i="16"/>
  <c r="P1966" i="16"/>
  <c r="N1966" i="16"/>
  <c r="L1966" i="16"/>
  <c r="M1966" i="16" s="1"/>
  <c r="K1966" i="16"/>
  <c r="J1966" i="16"/>
  <c r="I1966" i="16"/>
  <c r="AC1965" i="16"/>
  <c r="AA1965" i="16"/>
  <c r="AB1965" i="16" s="1"/>
  <c r="T1965" i="16"/>
  <c r="AE1965" i="16" s="1"/>
  <c r="R1965" i="16"/>
  <c r="Q1965" i="16"/>
  <c r="P1965" i="16"/>
  <c r="N1965" i="16"/>
  <c r="L1965" i="16"/>
  <c r="M1965" i="16" s="1"/>
  <c r="K1965" i="16"/>
  <c r="J1965" i="16"/>
  <c r="I1965" i="16"/>
  <c r="AC1964" i="16"/>
  <c r="AA1964" i="16"/>
  <c r="AB1964" i="16" s="1"/>
  <c r="T1964" i="16"/>
  <c r="AE1964" i="16" s="1"/>
  <c r="R1964" i="16"/>
  <c r="Q1964" i="16"/>
  <c r="P1964" i="16"/>
  <c r="N1964" i="16"/>
  <c r="L1964" i="16"/>
  <c r="M1964" i="16" s="1"/>
  <c r="K1964" i="16"/>
  <c r="J1964" i="16"/>
  <c r="I1964" i="16"/>
  <c r="AC1963" i="16"/>
  <c r="AA1963" i="16"/>
  <c r="AB1963" i="16" s="1"/>
  <c r="T1963" i="16"/>
  <c r="AE1963" i="16" s="1"/>
  <c r="R1963" i="16"/>
  <c r="Q1963" i="16"/>
  <c r="P1963" i="16"/>
  <c r="N1963" i="16"/>
  <c r="L1963" i="16"/>
  <c r="M1963" i="16" s="1"/>
  <c r="K1963" i="16"/>
  <c r="J1963" i="16"/>
  <c r="I1963" i="16"/>
  <c r="AC1962" i="16"/>
  <c r="AA1962" i="16"/>
  <c r="AB1962" i="16" s="1"/>
  <c r="T1962" i="16"/>
  <c r="AE1962" i="16" s="1"/>
  <c r="R1962" i="16"/>
  <c r="Q1962" i="16"/>
  <c r="P1962" i="16"/>
  <c r="N1962" i="16"/>
  <c r="L1962" i="16"/>
  <c r="M1962" i="16" s="1"/>
  <c r="K1962" i="16"/>
  <c r="J1962" i="16"/>
  <c r="I1962" i="16"/>
  <c r="AC1961" i="16"/>
  <c r="AA1961" i="16"/>
  <c r="AB1961" i="16" s="1"/>
  <c r="T1961" i="16"/>
  <c r="AE1961" i="16" s="1"/>
  <c r="R1961" i="16"/>
  <c r="Q1961" i="16"/>
  <c r="P1961" i="16"/>
  <c r="N1961" i="16"/>
  <c r="L1961" i="16"/>
  <c r="M1961" i="16" s="1"/>
  <c r="K1961" i="16"/>
  <c r="J1961" i="16"/>
  <c r="I1961" i="16"/>
  <c r="AC1960" i="16"/>
  <c r="AA1960" i="16"/>
  <c r="AB1960" i="16" s="1"/>
  <c r="T1960" i="16"/>
  <c r="AE1960" i="16" s="1"/>
  <c r="R1960" i="16"/>
  <c r="Q1960" i="16"/>
  <c r="P1960" i="16"/>
  <c r="N1960" i="16"/>
  <c r="L1960" i="16"/>
  <c r="M1960" i="16" s="1"/>
  <c r="K1960" i="16"/>
  <c r="J1960" i="16"/>
  <c r="I1960" i="16"/>
  <c r="AC1959" i="16"/>
  <c r="AA1959" i="16"/>
  <c r="AB1959" i="16" s="1"/>
  <c r="T1959" i="16"/>
  <c r="AE1959" i="16" s="1"/>
  <c r="R1959" i="16"/>
  <c r="Q1959" i="16"/>
  <c r="P1959" i="16"/>
  <c r="N1959" i="16"/>
  <c r="L1959" i="16"/>
  <c r="M1959" i="16" s="1"/>
  <c r="K1959" i="16"/>
  <c r="J1959" i="16"/>
  <c r="I1959" i="16"/>
  <c r="AC1958" i="16"/>
  <c r="AA1958" i="16"/>
  <c r="AB1958" i="16" s="1"/>
  <c r="T1958" i="16"/>
  <c r="AE1958" i="16" s="1"/>
  <c r="R1958" i="16"/>
  <c r="Q1958" i="16"/>
  <c r="P1958" i="16"/>
  <c r="N1958" i="16"/>
  <c r="L1958" i="16"/>
  <c r="M1958" i="16" s="1"/>
  <c r="K1958" i="16"/>
  <c r="J1958" i="16"/>
  <c r="I1958" i="16"/>
  <c r="AC1957" i="16"/>
  <c r="AA1957" i="16"/>
  <c r="AB1957" i="16" s="1"/>
  <c r="T1957" i="16"/>
  <c r="AE1957" i="16" s="1"/>
  <c r="R1957" i="16"/>
  <c r="Q1957" i="16"/>
  <c r="P1957" i="16"/>
  <c r="N1957" i="16"/>
  <c r="L1957" i="16"/>
  <c r="M1957" i="16" s="1"/>
  <c r="K1957" i="16"/>
  <c r="J1957" i="16"/>
  <c r="I1957" i="16"/>
  <c r="AC1956" i="16"/>
  <c r="AA1956" i="16"/>
  <c r="AB1956" i="16" s="1"/>
  <c r="T1956" i="16"/>
  <c r="AE1956" i="16" s="1"/>
  <c r="R1956" i="16"/>
  <c r="Q1956" i="16"/>
  <c r="P1956" i="16"/>
  <c r="N1956" i="16"/>
  <c r="L1956" i="16"/>
  <c r="M1956" i="16" s="1"/>
  <c r="K1956" i="16"/>
  <c r="J1956" i="16"/>
  <c r="I1956" i="16"/>
  <c r="AC1955" i="16"/>
  <c r="AA1955" i="16"/>
  <c r="AB1955" i="16" s="1"/>
  <c r="T1955" i="16"/>
  <c r="AE1955" i="16" s="1"/>
  <c r="R1955" i="16"/>
  <c r="Q1955" i="16"/>
  <c r="P1955" i="16"/>
  <c r="N1955" i="16"/>
  <c r="L1955" i="16"/>
  <c r="M1955" i="16" s="1"/>
  <c r="K1955" i="16"/>
  <c r="J1955" i="16"/>
  <c r="I1955" i="16"/>
  <c r="AC1954" i="16"/>
  <c r="AA1954" i="16"/>
  <c r="AB1954" i="16" s="1"/>
  <c r="T1954" i="16"/>
  <c r="AE1954" i="16" s="1"/>
  <c r="R1954" i="16"/>
  <c r="Q1954" i="16"/>
  <c r="P1954" i="16"/>
  <c r="N1954" i="16"/>
  <c r="L1954" i="16"/>
  <c r="M1954" i="16" s="1"/>
  <c r="K1954" i="16"/>
  <c r="J1954" i="16"/>
  <c r="I1954" i="16"/>
  <c r="AC1953" i="16"/>
  <c r="AA1953" i="16"/>
  <c r="AB1953" i="16" s="1"/>
  <c r="T1953" i="16"/>
  <c r="AE1953" i="16" s="1"/>
  <c r="R1953" i="16"/>
  <c r="Q1953" i="16"/>
  <c r="P1953" i="16"/>
  <c r="N1953" i="16"/>
  <c r="L1953" i="16"/>
  <c r="M1953" i="16" s="1"/>
  <c r="K1953" i="16"/>
  <c r="J1953" i="16"/>
  <c r="I1953" i="16"/>
  <c r="AC1952" i="16"/>
  <c r="AA1952" i="16"/>
  <c r="AB1952" i="16" s="1"/>
  <c r="T1952" i="16"/>
  <c r="AE1952" i="16" s="1"/>
  <c r="R1952" i="16"/>
  <c r="Q1952" i="16"/>
  <c r="P1952" i="16"/>
  <c r="N1952" i="16"/>
  <c r="L1952" i="16"/>
  <c r="M1952" i="16" s="1"/>
  <c r="K1952" i="16"/>
  <c r="J1952" i="16"/>
  <c r="I1952" i="16"/>
  <c r="AC1951" i="16"/>
  <c r="AA1951" i="16"/>
  <c r="AB1951" i="16" s="1"/>
  <c r="T1951" i="16"/>
  <c r="AE1951" i="16" s="1"/>
  <c r="R1951" i="16"/>
  <c r="Q1951" i="16"/>
  <c r="P1951" i="16"/>
  <c r="N1951" i="16"/>
  <c r="L1951" i="16"/>
  <c r="M1951" i="16" s="1"/>
  <c r="K1951" i="16"/>
  <c r="J1951" i="16"/>
  <c r="I1951" i="16"/>
  <c r="AC1950" i="16"/>
  <c r="AA1950" i="16"/>
  <c r="AB1950" i="16" s="1"/>
  <c r="T1950" i="16"/>
  <c r="AE1950" i="16" s="1"/>
  <c r="R1950" i="16"/>
  <c r="Q1950" i="16"/>
  <c r="P1950" i="16"/>
  <c r="N1950" i="16"/>
  <c r="L1950" i="16"/>
  <c r="M1950" i="16" s="1"/>
  <c r="K1950" i="16"/>
  <c r="J1950" i="16"/>
  <c r="I1950" i="16"/>
  <c r="AC1949" i="16"/>
  <c r="AA1949" i="16"/>
  <c r="AB1949" i="16" s="1"/>
  <c r="T1949" i="16"/>
  <c r="AE1949" i="16" s="1"/>
  <c r="R1949" i="16"/>
  <c r="Q1949" i="16"/>
  <c r="P1949" i="16"/>
  <c r="N1949" i="16"/>
  <c r="L1949" i="16"/>
  <c r="M1949" i="16" s="1"/>
  <c r="K1949" i="16"/>
  <c r="J1949" i="16"/>
  <c r="I1949" i="16"/>
  <c r="AC1948" i="16"/>
  <c r="AA1948" i="16"/>
  <c r="AB1948" i="16" s="1"/>
  <c r="T1948" i="16"/>
  <c r="AE1948" i="16" s="1"/>
  <c r="R1948" i="16"/>
  <c r="Q1948" i="16"/>
  <c r="P1948" i="16"/>
  <c r="N1948" i="16"/>
  <c r="L1948" i="16"/>
  <c r="M1948" i="16" s="1"/>
  <c r="K1948" i="16"/>
  <c r="J1948" i="16"/>
  <c r="I1948" i="16"/>
  <c r="AC1947" i="16"/>
  <c r="AA1947" i="16"/>
  <c r="AB1947" i="16" s="1"/>
  <c r="T1947" i="16"/>
  <c r="AE1947" i="16" s="1"/>
  <c r="R1947" i="16"/>
  <c r="Q1947" i="16"/>
  <c r="P1947" i="16"/>
  <c r="N1947" i="16"/>
  <c r="L1947" i="16"/>
  <c r="M1947" i="16" s="1"/>
  <c r="K1947" i="16"/>
  <c r="J1947" i="16"/>
  <c r="I1947" i="16"/>
  <c r="AC1946" i="16"/>
  <c r="AA1946" i="16"/>
  <c r="AB1946" i="16" s="1"/>
  <c r="T1946" i="16"/>
  <c r="AE1946" i="16" s="1"/>
  <c r="R1946" i="16"/>
  <c r="Q1946" i="16"/>
  <c r="P1946" i="16"/>
  <c r="N1946" i="16"/>
  <c r="L1946" i="16"/>
  <c r="M1946" i="16" s="1"/>
  <c r="K1946" i="16"/>
  <c r="J1946" i="16"/>
  <c r="I1946" i="16"/>
  <c r="AC1945" i="16"/>
  <c r="AA1945" i="16"/>
  <c r="AB1945" i="16" s="1"/>
  <c r="T1945" i="16"/>
  <c r="AE1945" i="16" s="1"/>
  <c r="R1945" i="16"/>
  <c r="Q1945" i="16"/>
  <c r="P1945" i="16"/>
  <c r="N1945" i="16"/>
  <c r="L1945" i="16"/>
  <c r="M1945" i="16" s="1"/>
  <c r="K1945" i="16"/>
  <c r="J1945" i="16"/>
  <c r="I1945" i="16"/>
  <c r="AC1944" i="16"/>
  <c r="AA1944" i="16"/>
  <c r="AB1944" i="16" s="1"/>
  <c r="T1944" i="16"/>
  <c r="AE1944" i="16" s="1"/>
  <c r="R1944" i="16"/>
  <c r="Q1944" i="16"/>
  <c r="P1944" i="16"/>
  <c r="N1944" i="16"/>
  <c r="L1944" i="16"/>
  <c r="M1944" i="16" s="1"/>
  <c r="K1944" i="16"/>
  <c r="J1944" i="16"/>
  <c r="I1944" i="16"/>
  <c r="AC1943" i="16"/>
  <c r="AA1943" i="16"/>
  <c r="AB1943" i="16" s="1"/>
  <c r="T1943" i="16"/>
  <c r="AE1943" i="16" s="1"/>
  <c r="R1943" i="16"/>
  <c r="Q1943" i="16"/>
  <c r="P1943" i="16"/>
  <c r="N1943" i="16"/>
  <c r="L1943" i="16"/>
  <c r="M1943" i="16" s="1"/>
  <c r="K1943" i="16"/>
  <c r="J1943" i="16"/>
  <c r="I1943" i="16"/>
  <c r="AC1942" i="16"/>
  <c r="AA1942" i="16"/>
  <c r="AB1942" i="16" s="1"/>
  <c r="T1942" i="16"/>
  <c r="AE1942" i="16" s="1"/>
  <c r="R1942" i="16"/>
  <c r="Q1942" i="16"/>
  <c r="P1942" i="16"/>
  <c r="N1942" i="16"/>
  <c r="L1942" i="16"/>
  <c r="M1942" i="16" s="1"/>
  <c r="K1942" i="16"/>
  <c r="J1942" i="16"/>
  <c r="I1942" i="16"/>
  <c r="AC1941" i="16"/>
  <c r="AA1941" i="16"/>
  <c r="AB1941" i="16" s="1"/>
  <c r="T1941" i="16"/>
  <c r="AE1941" i="16" s="1"/>
  <c r="R1941" i="16"/>
  <c r="Q1941" i="16"/>
  <c r="P1941" i="16"/>
  <c r="N1941" i="16"/>
  <c r="L1941" i="16"/>
  <c r="M1941" i="16" s="1"/>
  <c r="K1941" i="16"/>
  <c r="J1941" i="16"/>
  <c r="I1941" i="16"/>
  <c r="AC1940" i="16"/>
  <c r="AA1940" i="16"/>
  <c r="AB1940" i="16" s="1"/>
  <c r="T1940" i="16"/>
  <c r="AE1940" i="16" s="1"/>
  <c r="R1940" i="16"/>
  <c r="Q1940" i="16"/>
  <c r="P1940" i="16"/>
  <c r="N1940" i="16"/>
  <c r="L1940" i="16"/>
  <c r="M1940" i="16" s="1"/>
  <c r="K1940" i="16"/>
  <c r="J1940" i="16"/>
  <c r="I1940" i="16"/>
  <c r="AC1939" i="16"/>
  <c r="AA1939" i="16"/>
  <c r="AB1939" i="16" s="1"/>
  <c r="T1939" i="16"/>
  <c r="AE1939" i="16" s="1"/>
  <c r="R1939" i="16"/>
  <c r="Q1939" i="16"/>
  <c r="P1939" i="16"/>
  <c r="N1939" i="16"/>
  <c r="L1939" i="16"/>
  <c r="M1939" i="16" s="1"/>
  <c r="K1939" i="16"/>
  <c r="J1939" i="16"/>
  <c r="I1939" i="16"/>
  <c r="AC1938" i="16"/>
  <c r="AA1938" i="16"/>
  <c r="AB1938" i="16" s="1"/>
  <c r="T1938" i="16"/>
  <c r="AE1938" i="16" s="1"/>
  <c r="R1938" i="16"/>
  <c r="Q1938" i="16"/>
  <c r="P1938" i="16"/>
  <c r="N1938" i="16"/>
  <c r="L1938" i="16"/>
  <c r="M1938" i="16" s="1"/>
  <c r="K1938" i="16"/>
  <c r="J1938" i="16"/>
  <c r="I1938" i="16"/>
  <c r="AC1937" i="16"/>
  <c r="AA1937" i="16"/>
  <c r="AB1937" i="16" s="1"/>
  <c r="T1937" i="16"/>
  <c r="AE1937" i="16" s="1"/>
  <c r="R1937" i="16"/>
  <c r="Q1937" i="16"/>
  <c r="P1937" i="16"/>
  <c r="N1937" i="16"/>
  <c r="L1937" i="16"/>
  <c r="M1937" i="16" s="1"/>
  <c r="K1937" i="16"/>
  <c r="J1937" i="16"/>
  <c r="I1937" i="16"/>
  <c r="AC1936" i="16"/>
  <c r="AA1936" i="16"/>
  <c r="AB1936" i="16" s="1"/>
  <c r="T1936" i="16"/>
  <c r="AE1936" i="16" s="1"/>
  <c r="R1936" i="16"/>
  <c r="Q1936" i="16"/>
  <c r="P1936" i="16"/>
  <c r="N1936" i="16"/>
  <c r="L1936" i="16"/>
  <c r="M1936" i="16" s="1"/>
  <c r="K1936" i="16"/>
  <c r="J1936" i="16"/>
  <c r="I1936" i="16"/>
  <c r="AC1935" i="16"/>
  <c r="AA1935" i="16"/>
  <c r="AB1935" i="16" s="1"/>
  <c r="T1935" i="16"/>
  <c r="AE1935" i="16" s="1"/>
  <c r="R1935" i="16"/>
  <c r="Q1935" i="16"/>
  <c r="P1935" i="16"/>
  <c r="N1935" i="16"/>
  <c r="L1935" i="16"/>
  <c r="M1935" i="16" s="1"/>
  <c r="K1935" i="16"/>
  <c r="J1935" i="16"/>
  <c r="I1935" i="16"/>
  <c r="AC1934" i="16"/>
  <c r="AA1934" i="16"/>
  <c r="AB1934" i="16" s="1"/>
  <c r="T1934" i="16"/>
  <c r="AE1934" i="16" s="1"/>
  <c r="R1934" i="16"/>
  <c r="Q1934" i="16"/>
  <c r="P1934" i="16"/>
  <c r="N1934" i="16"/>
  <c r="L1934" i="16"/>
  <c r="M1934" i="16" s="1"/>
  <c r="K1934" i="16"/>
  <c r="J1934" i="16"/>
  <c r="I1934" i="16"/>
  <c r="AC1933" i="16"/>
  <c r="AA1933" i="16"/>
  <c r="AB1933" i="16" s="1"/>
  <c r="T1933" i="16"/>
  <c r="AE1933" i="16" s="1"/>
  <c r="R1933" i="16"/>
  <c r="Q1933" i="16"/>
  <c r="P1933" i="16"/>
  <c r="N1933" i="16"/>
  <c r="L1933" i="16"/>
  <c r="M1933" i="16" s="1"/>
  <c r="K1933" i="16"/>
  <c r="J1933" i="16"/>
  <c r="I1933" i="16"/>
  <c r="AC1932" i="16"/>
  <c r="AA1932" i="16"/>
  <c r="AB1932" i="16" s="1"/>
  <c r="T1932" i="16"/>
  <c r="AE1932" i="16" s="1"/>
  <c r="R1932" i="16"/>
  <c r="Q1932" i="16"/>
  <c r="P1932" i="16"/>
  <c r="N1932" i="16"/>
  <c r="L1932" i="16"/>
  <c r="M1932" i="16" s="1"/>
  <c r="K1932" i="16"/>
  <c r="J1932" i="16"/>
  <c r="I1932" i="16"/>
  <c r="AC1931" i="16"/>
  <c r="AA1931" i="16"/>
  <c r="AB1931" i="16" s="1"/>
  <c r="T1931" i="16"/>
  <c r="AE1931" i="16" s="1"/>
  <c r="R1931" i="16"/>
  <c r="Q1931" i="16"/>
  <c r="P1931" i="16"/>
  <c r="N1931" i="16"/>
  <c r="L1931" i="16"/>
  <c r="M1931" i="16" s="1"/>
  <c r="K1931" i="16"/>
  <c r="J1931" i="16"/>
  <c r="I1931" i="16"/>
  <c r="AC1930" i="16"/>
  <c r="AA1930" i="16"/>
  <c r="AB1930" i="16" s="1"/>
  <c r="T1930" i="16"/>
  <c r="AE1930" i="16" s="1"/>
  <c r="R1930" i="16"/>
  <c r="Q1930" i="16"/>
  <c r="P1930" i="16"/>
  <c r="N1930" i="16"/>
  <c r="L1930" i="16"/>
  <c r="M1930" i="16" s="1"/>
  <c r="K1930" i="16"/>
  <c r="J1930" i="16"/>
  <c r="I1930" i="16"/>
  <c r="AC1929" i="16"/>
  <c r="AA1929" i="16"/>
  <c r="AB1929" i="16" s="1"/>
  <c r="T1929" i="16"/>
  <c r="AE1929" i="16" s="1"/>
  <c r="R1929" i="16"/>
  <c r="Q1929" i="16"/>
  <c r="P1929" i="16"/>
  <c r="N1929" i="16"/>
  <c r="L1929" i="16"/>
  <c r="M1929" i="16" s="1"/>
  <c r="K1929" i="16"/>
  <c r="J1929" i="16"/>
  <c r="I1929" i="16"/>
  <c r="AC1928" i="16"/>
  <c r="AA1928" i="16"/>
  <c r="AB1928" i="16" s="1"/>
  <c r="T1928" i="16"/>
  <c r="AE1928" i="16" s="1"/>
  <c r="R1928" i="16"/>
  <c r="Q1928" i="16"/>
  <c r="P1928" i="16"/>
  <c r="N1928" i="16"/>
  <c r="L1928" i="16"/>
  <c r="M1928" i="16" s="1"/>
  <c r="K1928" i="16"/>
  <c r="J1928" i="16"/>
  <c r="I1928" i="16"/>
  <c r="AC1927" i="16"/>
  <c r="AA1927" i="16"/>
  <c r="AB1927" i="16" s="1"/>
  <c r="T1927" i="16"/>
  <c r="AE1927" i="16" s="1"/>
  <c r="R1927" i="16"/>
  <c r="Q1927" i="16"/>
  <c r="P1927" i="16"/>
  <c r="N1927" i="16"/>
  <c r="L1927" i="16"/>
  <c r="M1927" i="16" s="1"/>
  <c r="K1927" i="16"/>
  <c r="J1927" i="16"/>
  <c r="I1927" i="16"/>
  <c r="AC1926" i="16"/>
  <c r="AA1926" i="16"/>
  <c r="AB1926" i="16" s="1"/>
  <c r="T1926" i="16"/>
  <c r="AE1926" i="16" s="1"/>
  <c r="R1926" i="16"/>
  <c r="Q1926" i="16"/>
  <c r="P1926" i="16"/>
  <c r="N1926" i="16"/>
  <c r="L1926" i="16"/>
  <c r="M1926" i="16" s="1"/>
  <c r="K1926" i="16"/>
  <c r="J1926" i="16"/>
  <c r="I1926" i="16"/>
  <c r="AC1925" i="16"/>
  <c r="AA1925" i="16"/>
  <c r="AB1925" i="16" s="1"/>
  <c r="T1925" i="16"/>
  <c r="AE1925" i="16" s="1"/>
  <c r="R1925" i="16"/>
  <c r="Q1925" i="16"/>
  <c r="P1925" i="16"/>
  <c r="N1925" i="16"/>
  <c r="L1925" i="16"/>
  <c r="M1925" i="16" s="1"/>
  <c r="K1925" i="16"/>
  <c r="J1925" i="16"/>
  <c r="I1925" i="16"/>
  <c r="AC1924" i="16"/>
  <c r="AA1924" i="16"/>
  <c r="AB1924" i="16" s="1"/>
  <c r="T1924" i="16"/>
  <c r="AE1924" i="16" s="1"/>
  <c r="R1924" i="16"/>
  <c r="Q1924" i="16"/>
  <c r="P1924" i="16"/>
  <c r="N1924" i="16"/>
  <c r="L1924" i="16"/>
  <c r="M1924" i="16" s="1"/>
  <c r="K1924" i="16"/>
  <c r="J1924" i="16"/>
  <c r="I1924" i="16"/>
  <c r="AC1923" i="16"/>
  <c r="AA1923" i="16"/>
  <c r="AB1923" i="16" s="1"/>
  <c r="T1923" i="16"/>
  <c r="AE1923" i="16" s="1"/>
  <c r="R1923" i="16"/>
  <c r="Q1923" i="16"/>
  <c r="P1923" i="16"/>
  <c r="N1923" i="16"/>
  <c r="L1923" i="16"/>
  <c r="M1923" i="16" s="1"/>
  <c r="K1923" i="16"/>
  <c r="J1923" i="16"/>
  <c r="I1923" i="16"/>
  <c r="AC1922" i="16"/>
  <c r="AA1922" i="16"/>
  <c r="AB1922" i="16" s="1"/>
  <c r="T1922" i="16"/>
  <c r="AE1922" i="16" s="1"/>
  <c r="R1922" i="16"/>
  <c r="Q1922" i="16"/>
  <c r="P1922" i="16"/>
  <c r="N1922" i="16"/>
  <c r="L1922" i="16"/>
  <c r="M1922" i="16" s="1"/>
  <c r="K1922" i="16"/>
  <c r="J1922" i="16"/>
  <c r="I1922" i="16"/>
  <c r="AC1921" i="16"/>
  <c r="AA1921" i="16"/>
  <c r="AB1921" i="16" s="1"/>
  <c r="T1921" i="16"/>
  <c r="AE1921" i="16" s="1"/>
  <c r="R1921" i="16"/>
  <c r="Q1921" i="16"/>
  <c r="P1921" i="16"/>
  <c r="N1921" i="16"/>
  <c r="L1921" i="16"/>
  <c r="M1921" i="16" s="1"/>
  <c r="K1921" i="16"/>
  <c r="J1921" i="16"/>
  <c r="I1921" i="16"/>
  <c r="AC1920" i="16"/>
  <c r="AA1920" i="16"/>
  <c r="AB1920" i="16" s="1"/>
  <c r="T1920" i="16"/>
  <c r="AE1920" i="16" s="1"/>
  <c r="R1920" i="16"/>
  <c r="Q1920" i="16"/>
  <c r="P1920" i="16"/>
  <c r="N1920" i="16"/>
  <c r="L1920" i="16"/>
  <c r="M1920" i="16" s="1"/>
  <c r="K1920" i="16"/>
  <c r="J1920" i="16"/>
  <c r="I1920" i="16"/>
  <c r="AC1919" i="16"/>
  <c r="AA1919" i="16"/>
  <c r="AB1919" i="16" s="1"/>
  <c r="T1919" i="16"/>
  <c r="AE1919" i="16" s="1"/>
  <c r="R1919" i="16"/>
  <c r="Q1919" i="16"/>
  <c r="P1919" i="16"/>
  <c r="N1919" i="16"/>
  <c r="L1919" i="16"/>
  <c r="M1919" i="16" s="1"/>
  <c r="K1919" i="16"/>
  <c r="J1919" i="16"/>
  <c r="I1919" i="16"/>
  <c r="AC1918" i="16"/>
  <c r="AA1918" i="16"/>
  <c r="AB1918" i="16" s="1"/>
  <c r="T1918" i="16"/>
  <c r="AE1918" i="16" s="1"/>
  <c r="R1918" i="16"/>
  <c r="Q1918" i="16"/>
  <c r="P1918" i="16"/>
  <c r="N1918" i="16"/>
  <c r="L1918" i="16"/>
  <c r="M1918" i="16" s="1"/>
  <c r="K1918" i="16"/>
  <c r="J1918" i="16"/>
  <c r="I1918" i="16"/>
  <c r="AC1917" i="16"/>
  <c r="AA1917" i="16"/>
  <c r="AB1917" i="16" s="1"/>
  <c r="T1917" i="16"/>
  <c r="AE1917" i="16" s="1"/>
  <c r="R1917" i="16"/>
  <c r="Q1917" i="16"/>
  <c r="P1917" i="16"/>
  <c r="N1917" i="16"/>
  <c r="L1917" i="16"/>
  <c r="M1917" i="16" s="1"/>
  <c r="K1917" i="16"/>
  <c r="J1917" i="16"/>
  <c r="I1917" i="16"/>
  <c r="AC1916" i="16"/>
  <c r="AA1916" i="16"/>
  <c r="AB1916" i="16" s="1"/>
  <c r="T1916" i="16"/>
  <c r="AE1916" i="16" s="1"/>
  <c r="R1916" i="16"/>
  <c r="Q1916" i="16"/>
  <c r="P1916" i="16"/>
  <c r="N1916" i="16"/>
  <c r="L1916" i="16"/>
  <c r="M1916" i="16" s="1"/>
  <c r="K1916" i="16"/>
  <c r="J1916" i="16"/>
  <c r="I1916" i="16"/>
  <c r="AC1915" i="16"/>
  <c r="AA1915" i="16"/>
  <c r="AB1915" i="16" s="1"/>
  <c r="T1915" i="16"/>
  <c r="AE1915" i="16" s="1"/>
  <c r="R1915" i="16"/>
  <c r="Q1915" i="16"/>
  <c r="P1915" i="16"/>
  <c r="N1915" i="16"/>
  <c r="L1915" i="16"/>
  <c r="M1915" i="16" s="1"/>
  <c r="K1915" i="16"/>
  <c r="J1915" i="16"/>
  <c r="I1915" i="16"/>
  <c r="AC1914" i="16"/>
  <c r="AA1914" i="16"/>
  <c r="AB1914" i="16" s="1"/>
  <c r="T1914" i="16"/>
  <c r="AE1914" i="16" s="1"/>
  <c r="R1914" i="16"/>
  <c r="Q1914" i="16"/>
  <c r="P1914" i="16"/>
  <c r="N1914" i="16"/>
  <c r="L1914" i="16"/>
  <c r="M1914" i="16" s="1"/>
  <c r="K1914" i="16"/>
  <c r="J1914" i="16"/>
  <c r="I1914" i="16"/>
  <c r="AC1913" i="16"/>
  <c r="AA1913" i="16"/>
  <c r="AB1913" i="16" s="1"/>
  <c r="T1913" i="16"/>
  <c r="AE1913" i="16" s="1"/>
  <c r="R1913" i="16"/>
  <c r="Q1913" i="16"/>
  <c r="P1913" i="16"/>
  <c r="N1913" i="16"/>
  <c r="L1913" i="16"/>
  <c r="M1913" i="16" s="1"/>
  <c r="K1913" i="16"/>
  <c r="J1913" i="16"/>
  <c r="I1913" i="16"/>
  <c r="AC1912" i="16"/>
  <c r="AA1912" i="16"/>
  <c r="AB1912" i="16" s="1"/>
  <c r="T1912" i="16"/>
  <c r="AE1912" i="16" s="1"/>
  <c r="R1912" i="16"/>
  <c r="Q1912" i="16"/>
  <c r="P1912" i="16"/>
  <c r="N1912" i="16"/>
  <c r="L1912" i="16"/>
  <c r="M1912" i="16" s="1"/>
  <c r="K1912" i="16"/>
  <c r="J1912" i="16"/>
  <c r="I1912" i="16"/>
  <c r="AC1911" i="16"/>
  <c r="AA1911" i="16"/>
  <c r="AB1911" i="16" s="1"/>
  <c r="T1911" i="16"/>
  <c r="AE1911" i="16" s="1"/>
  <c r="R1911" i="16"/>
  <c r="Q1911" i="16"/>
  <c r="P1911" i="16"/>
  <c r="N1911" i="16"/>
  <c r="L1911" i="16"/>
  <c r="M1911" i="16" s="1"/>
  <c r="K1911" i="16"/>
  <c r="J1911" i="16"/>
  <c r="I1911" i="16"/>
  <c r="AC1910" i="16"/>
  <c r="AA1910" i="16"/>
  <c r="AB1910" i="16" s="1"/>
  <c r="T1910" i="16"/>
  <c r="AE1910" i="16" s="1"/>
  <c r="R1910" i="16"/>
  <c r="Q1910" i="16"/>
  <c r="P1910" i="16"/>
  <c r="N1910" i="16"/>
  <c r="L1910" i="16"/>
  <c r="M1910" i="16" s="1"/>
  <c r="K1910" i="16"/>
  <c r="J1910" i="16"/>
  <c r="I1910" i="16"/>
  <c r="AC1909" i="16"/>
  <c r="AA1909" i="16"/>
  <c r="AB1909" i="16" s="1"/>
  <c r="T1909" i="16"/>
  <c r="AE1909" i="16" s="1"/>
  <c r="R1909" i="16"/>
  <c r="Q1909" i="16"/>
  <c r="P1909" i="16"/>
  <c r="N1909" i="16"/>
  <c r="L1909" i="16"/>
  <c r="M1909" i="16" s="1"/>
  <c r="K1909" i="16"/>
  <c r="J1909" i="16"/>
  <c r="I1909" i="16"/>
  <c r="AC1908" i="16"/>
  <c r="AA1908" i="16"/>
  <c r="AB1908" i="16" s="1"/>
  <c r="T1908" i="16"/>
  <c r="AE1908" i="16" s="1"/>
  <c r="R1908" i="16"/>
  <c r="Q1908" i="16"/>
  <c r="P1908" i="16"/>
  <c r="N1908" i="16"/>
  <c r="L1908" i="16"/>
  <c r="M1908" i="16" s="1"/>
  <c r="K1908" i="16"/>
  <c r="J1908" i="16"/>
  <c r="I1908" i="16"/>
  <c r="AC1907" i="16"/>
  <c r="AA1907" i="16"/>
  <c r="AB1907" i="16" s="1"/>
  <c r="T1907" i="16"/>
  <c r="AE1907" i="16" s="1"/>
  <c r="R1907" i="16"/>
  <c r="Q1907" i="16"/>
  <c r="P1907" i="16"/>
  <c r="N1907" i="16"/>
  <c r="L1907" i="16"/>
  <c r="M1907" i="16" s="1"/>
  <c r="K1907" i="16"/>
  <c r="J1907" i="16"/>
  <c r="I1907" i="16"/>
  <c r="AC1906" i="16"/>
  <c r="AA1906" i="16"/>
  <c r="AB1906" i="16" s="1"/>
  <c r="T1906" i="16"/>
  <c r="AE1906" i="16" s="1"/>
  <c r="R1906" i="16"/>
  <c r="Q1906" i="16"/>
  <c r="P1906" i="16"/>
  <c r="N1906" i="16"/>
  <c r="L1906" i="16"/>
  <c r="M1906" i="16" s="1"/>
  <c r="K1906" i="16"/>
  <c r="J1906" i="16"/>
  <c r="I1906" i="16"/>
  <c r="AC1905" i="16"/>
  <c r="AA1905" i="16"/>
  <c r="AB1905" i="16" s="1"/>
  <c r="T1905" i="16"/>
  <c r="AE1905" i="16" s="1"/>
  <c r="R1905" i="16"/>
  <c r="Q1905" i="16"/>
  <c r="P1905" i="16"/>
  <c r="N1905" i="16"/>
  <c r="L1905" i="16"/>
  <c r="M1905" i="16" s="1"/>
  <c r="K1905" i="16"/>
  <c r="J1905" i="16"/>
  <c r="I1905" i="16"/>
  <c r="AC1904" i="16"/>
  <c r="AA1904" i="16"/>
  <c r="AB1904" i="16" s="1"/>
  <c r="T1904" i="16"/>
  <c r="AE1904" i="16" s="1"/>
  <c r="R1904" i="16"/>
  <c r="Q1904" i="16"/>
  <c r="P1904" i="16"/>
  <c r="N1904" i="16"/>
  <c r="L1904" i="16"/>
  <c r="M1904" i="16" s="1"/>
  <c r="K1904" i="16"/>
  <c r="J1904" i="16"/>
  <c r="I1904" i="16"/>
  <c r="AC1903" i="16"/>
  <c r="AA1903" i="16"/>
  <c r="AB1903" i="16" s="1"/>
  <c r="T1903" i="16"/>
  <c r="AE1903" i="16" s="1"/>
  <c r="R1903" i="16"/>
  <c r="Q1903" i="16"/>
  <c r="P1903" i="16"/>
  <c r="N1903" i="16"/>
  <c r="L1903" i="16"/>
  <c r="M1903" i="16" s="1"/>
  <c r="K1903" i="16"/>
  <c r="J1903" i="16"/>
  <c r="I1903" i="16"/>
  <c r="AC1902" i="16"/>
  <c r="AA1902" i="16"/>
  <c r="AB1902" i="16" s="1"/>
  <c r="T1902" i="16"/>
  <c r="AE1902" i="16" s="1"/>
  <c r="R1902" i="16"/>
  <c r="Q1902" i="16"/>
  <c r="P1902" i="16"/>
  <c r="N1902" i="16"/>
  <c r="L1902" i="16"/>
  <c r="M1902" i="16" s="1"/>
  <c r="K1902" i="16"/>
  <c r="J1902" i="16"/>
  <c r="I1902" i="16"/>
  <c r="AC1901" i="16"/>
  <c r="AA1901" i="16"/>
  <c r="AB1901" i="16" s="1"/>
  <c r="T1901" i="16"/>
  <c r="AE1901" i="16" s="1"/>
  <c r="R1901" i="16"/>
  <c r="Q1901" i="16"/>
  <c r="P1901" i="16"/>
  <c r="N1901" i="16"/>
  <c r="L1901" i="16"/>
  <c r="M1901" i="16" s="1"/>
  <c r="K1901" i="16"/>
  <c r="J1901" i="16"/>
  <c r="I1901" i="16"/>
  <c r="AC1900" i="16"/>
  <c r="AA1900" i="16"/>
  <c r="AB1900" i="16" s="1"/>
  <c r="T1900" i="16"/>
  <c r="AE1900" i="16" s="1"/>
  <c r="R1900" i="16"/>
  <c r="Q1900" i="16"/>
  <c r="P1900" i="16"/>
  <c r="N1900" i="16"/>
  <c r="L1900" i="16"/>
  <c r="M1900" i="16" s="1"/>
  <c r="K1900" i="16"/>
  <c r="J1900" i="16"/>
  <c r="I1900" i="16"/>
  <c r="AC1899" i="16"/>
  <c r="AA1899" i="16"/>
  <c r="AB1899" i="16" s="1"/>
  <c r="T1899" i="16"/>
  <c r="AE1899" i="16" s="1"/>
  <c r="R1899" i="16"/>
  <c r="Q1899" i="16"/>
  <c r="P1899" i="16"/>
  <c r="N1899" i="16"/>
  <c r="L1899" i="16"/>
  <c r="M1899" i="16" s="1"/>
  <c r="K1899" i="16"/>
  <c r="J1899" i="16"/>
  <c r="I1899" i="16"/>
  <c r="AC1898" i="16"/>
  <c r="AA1898" i="16"/>
  <c r="AB1898" i="16" s="1"/>
  <c r="T1898" i="16"/>
  <c r="AE1898" i="16" s="1"/>
  <c r="R1898" i="16"/>
  <c r="Q1898" i="16"/>
  <c r="P1898" i="16"/>
  <c r="N1898" i="16"/>
  <c r="L1898" i="16"/>
  <c r="M1898" i="16" s="1"/>
  <c r="K1898" i="16"/>
  <c r="J1898" i="16"/>
  <c r="I1898" i="16"/>
  <c r="AC1897" i="16"/>
  <c r="AA1897" i="16"/>
  <c r="AB1897" i="16" s="1"/>
  <c r="T1897" i="16"/>
  <c r="AE1897" i="16" s="1"/>
  <c r="R1897" i="16"/>
  <c r="Q1897" i="16"/>
  <c r="P1897" i="16"/>
  <c r="N1897" i="16"/>
  <c r="L1897" i="16"/>
  <c r="M1897" i="16" s="1"/>
  <c r="K1897" i="16"/>
  <c r="J1897" i="16"/>
  <c r="I1897" i="16"/>
  <c r="AC1896" i="16"/>
  <c r="AA1896" i="16"/>
  <c r="AB1896" i="16" s="1"/>
  <c r="T1896" i="16"/>
  <c r="AE1896" i="16" s="1"/>
  <c r="R1896" i="16"/>
  <c r="Q1896" i="16"/>
  <c r="P1896" i="16"/>
  <c r="N1896" i="16"/>
  <c r="L1896" i="16"/>
  <c r="M1896" i="16" s="1"/>
  <c r="K1896" i="16"/>
  <c r="J1896" i="16"/>
  <c r="I1896" i="16"/>
  <c r="AC1895" i="16"/>
  <c r="AA1895" i="16"/>
  <c r="AB1895" i="16" s="1"/>
  <c r="T1895" i="16"/>
  <c r="AE1895" i="16" s="1"/>
  <c r="R1895" i="16"/>
  <c r="Q1895" i="16"/>
  <c r="P1895" i="16"/>
  <c r="N1895" i="16"/>
  <c r="L1895" i="16"/>
  <c r="M1895" i="16" s="1"/>
  <c r="K1895" i="16"/>
  <c r="J1895" i="16"/>
  <c r="I1895" i="16"/>
  <c r="AC1894" i="16"/>
  <c r="AA1894" i="16"/>
  <c r="AB1894" i="16" s="1"/>
  <c r="T1894" i="16"/>
  <c r="AE1894" i="16" s="1"/>
  <c r="R1894" i="16"/>
  <c r="Q1894" i="16"/>
  <c r="P1894" i="16"/>
  <c r="N1894" i="16"/>
  <c r="L1894" i="16"/>
  <c r="M1894" i="16" s="1"/>
  <c r="K1894" i="16"/>
  <c r="J1894" i="16"/>
  <c r="I1894" i="16"/>
  <c r="AC1893" i="16"/>
  <c r="AA1893" i="16"/>
  <c r="AB1893" i="16" s="1"/>
  <c r="T1893" i="16"/>
  <c r="AE1893" i="16" s="1"/>
  <c r="R1893" i="16"/>
  <c r="Q1893" i="16"/>
  <c r="P1893" i="16"/>
  <c r="N1893" i="16"/>
  <c r="L1893" i="16"/>
  <c r="M1893" i="16" s="1"/>
  <c r="K1893" i="16"/>
  <c r="J1893" i="16"/>
  <c r="I1893" i="16"/>
  <c r="AC1892" i="16"/>
  <c r="AA1892" i="16"/>
  <c r="AB1892" i="16" s="1"/>
  <c r="T1892" i="16"/>
  <c r="AE1892" i="16" s="1"/>
  <c r="R1892" i="16"/>
  <c r="Q1892" i="16"/>
  <c r="P1892" i="16"/>
  <c r="N1892" i="16"/>
  <c r="L1892" i="16"/>
  <c r="M1892" i="16" s="1"/>
  <c r="K1892" i="16"/>
  <c r="J1892" i="16"/>
  <c r="I1892" i="16"/>
  <c r="AC1891" i="16"/>
  <c r="AA1891" i="16"/>
  <c r="AB1891" i="16" s="1"/>
  <c r="T1891" i="16"/>
  <c r="AE1891" i="16" s="1"/>
  <c r="R1891" i="16"/>
  <c r="Q1891" i="16"/>
  <c r="P1891" i="16"/>
  <c r="N1891" i="16"/>
  <c r="L1891" i="16"/>
  <c r="M1891" i="16" s="1"/>
  <c r="K1891" i="16"/>
  <c r="J1891" i="16"/>
  <c r="I1891" i="16"/>
  <c r="AC1890" i="16"/>
  <c r="AA1890" i="16"/>
  <c r="AB1890" i="16" s="1"/>
  <c r="T1890" i="16"/>
  <c r="AE1890" i="16" s="1"/>
  <c r="R1890" i="16"/>
  <c r="Q1890" i="16"/>
  <c r="P1890" i="16"/>
  <c r="N1890" i="16"/>
  <c r="L1890" i="16"/>
  <c r="M1890" i="16" s="1"/>
  <c r="K1890" i="16"/>
  <c r="J1890" i="16"/>
  <c r="I1890" i="16"/>
  <c r="AC1889" i="16"/>
  <c r="AA1889" i="16"/>
  <c r="AB1889" i="16" s="1"/>
  <c r="T1889" i="16"/>
  <c r="AE1889" i="16" s="1"/>
  <c r="R1889" i="16"/>
  <c r="Q1889" i="16"/>
  <c r="P1889" i="16"/>
  <c r="N1889" i="16"/>
  <c r="L1889" i="16"/>
  <c r="M1889" i="16" s="1"/>
  <c r="K1889" i="16"/>
  <c r="J1889" i="16"/>
  <c r="I1889" i="16"/>
  <c r="AC1888" i="16"/>
  <c r="AA1888" i="16"/>
  <c r="AB1888" i="16" s="1"/>
  <c r="T1888" i="16"/>
  <c r="AE1888" i="16" s="1"/>
  <c r="R1888" i="16"/>
  <c r="Q1888" i="16"/>
  <c r="P1888" i="16"/>
  <c r="N1888" i="16"/>
  <c r="L1888" i="16"/>
  <c r="M1888" i="16" s="1"/>
  <c r="K1888" i="16"/>
  <c r="J1888" i="16"/>
  <c r="I1888" i="16"/>
  <c r="AC1887" i="16"/>
  <c r="AA1887" i="16"/>
  <c r="AB1887" i="16" s="1"/>
  <c r="T1887" i="16"/>
  <c r="AE1887" i="16" s="1"/>
  <c r="R1887" i="16"/>
  <c r="Q1887" i="16"/>
  <c r="P1887" i="16"/>
  <c r="N1887" i="16"/>
  <c r="L1887" i="16"/>
  <c r="M1887" i="16" s="1"/>
  <c r="K1887" i="16"/>
  <c r="J1887" i="16"/>
  <c r="I1887" i="16"/>
  <c r="AC1886" i="16"/>
  <c r="AA1886" i="16"/>
  <c r="AB1886" i="16" s="1"/>
  <c r="T1886" i="16"/>
  <c r="AE1886" i="16" s="1"/>
  <c r="R1886" i="16"/>
  <c r="Q1886" i="16"/>
  <c r="P1886" i="16"/>
  <c r="N1886" i="16"/>
  <c r="L1886" i="16"/>
  <c r="M1886" i="16" s="1"/>
  <c r="K1886" i="16"/>
  <c r="J1886" i="16"/>
  <c r="I1886" i="16"/>
  <c r="AC1885" i="16"/>
  <c r="AA1885" i="16"/>
  <c r="AB1885" i="16" s="1"/>
  <c r="T1885" i="16"/>
  <c r="AE1885" i="16" s="1"/>
  <c r="R1885" i="16"/>
  <c r="Q1885" i="16"/>
  <c r="P1885" i="16"/>
  <c r="N1885" i="16"/>
  <c r="L1885" i="16"/>
  <c r="M1885" i="16" s="1"/>
  <c r="K1885" i="16"/>
  <c r="J1885" i="16"/>
  <c r="I1885" i="16"/>
  <c r="AC1884" i="16"/>
  <c r="AA1884" i="16"/>
  <c r="AB1884" i="16" s="1"/>
  <c r="T1884" i="16"/>
  <c r="AE1884" i="16" s="1"/>
  <c r="R1884" i="16"/>
  <c r="Q1884" i="16"/>
  <c r="P1884" i="16"/>
  <c r="N1884" i="16"/>
  <c r="L1884" i="16"/>
  <c r="M1884" i="16" s="1"/>
  <c r="K1884" i="16"/>
  <c r="J1884" i="16"/>
  <c r="I1884" i="16"/>
  <c r="AC1883" i="16"/>
  <c r="AA1883" i="16"/>
  <c r="AB1883" i="16" s="1"/>
  <c r="T1883" i="16"/>
  <c r="AE1883" i="16" s="1"/>
  <c r="R1883" i="16"/>
  <c r="Q1883" i="16"/>
  <c r="P1883" i="16"/>
  <c r="N1883" i="16"/>
  <c r="L1883" i="16"/>
  <c r="M1883" i="16" s="1"/>
  <c r="K1883" i="16"/>
  <c r="J1883" i="16"/>
  <c r="I1883" i="16"/>
  <c r="AC1882" i="16"/>
  <c r="AA1882" i="16"/>
  <c r="AB1882" i="16" s="1"/>
  <c r="T1882" i="16"/>
  <c r="AE1882" i="16" s="1"/>
  <c r="R1882" i="16"/>
  <c r="Q1882" i="16"/>
  <c r="P1882" i="16"/>
  <c r="N1882" i="16"/>
  <c r="L1882" i="16"/>
  <c r="M1882" i="16" s="1"/>
  <c r="K1882" i="16"/>
  <c r="J1882" i="16"/>
  <c r="I1882" i="16"/>
  <c r="AC1881" i="16"/>
  <c r="AA1881" i="16"/>
  <c r="AB1881" i="16" s="1"/>
  <c r="T1881" i="16"/>
  <c r="AE1881" i="16" s="1"/>
  <c r="R1881" i="16"/>
  <c r="Q1881" i="16"/>
  <c r="P1881" i="16"/>
  <c r="N1881" i="16"/>
  <c r="L1881" i="16"/>
  <c r="M1881" i="16" s="1"/>
  <c r="K1881" i="16"/>
  <c r="J1881" i="16"/>
  <c r="I1881" i="16"/>
  <c r="AC1880" i="16"/>
  <c r="AA1880" i="16"/>
  <c r="AB1880" i="16" s="1"/>
  <c r="T1880" i="16"/>
  <c r="AE1880" i="16" s="1"/>
  <c r="R1880" i="16"/>
  <c r="Q1880" i="16"/>
  <c r="P1880" i="16"/>
  <c r="N1880" i="16"/>
  <c r="L1880" i="16"/>
  <c r="M1880" i="16" s="1"/>
  <c r="K1880" i="16"/>
  <c r="J1880" i="16"/>
  <c r="I1880" i="16"/>
  <c r="AC1879" i="16"/>
  <c r="AA1879" i="16"/>
  <c r="AB1879" i="16" s="1"/>
  <c r="T1879" i="16"/>
  <c r="AE1879" i="16" s="1"/>
  <c r="R1879" i="16"/>
  <c r="Q1879" i="16"/>
  <c r="P1879" i="16"/>
  <c r="N1879" i="16"/>
  <c r="L1879" i="16"/>
  <c r="M1879" i="16" s="1"/>
  <c r="K1879" i="16"/>
  <c r="J1879" i="16"/>
  <c r="I1879" i="16"/>
  <c r="AC1878" i="16"/>
  <c r="AA1878" i="16"/>
  <c r="AB1878" i="16" s="1"/>
  <c r="T1878" i="16"/>
  <c r="AE1878" i="16" s="1"/>
  <c r="R1878" i="16"/>
  <c r="Q1878" i="16"/>
  <c r="P1878" i="16"/>
  <c r="N1878" i="16"/>
  <c r="L1878" i="16"/>
  <c r="M1878" i="16" s="1"/>
  <c r="K1878" i="16"/>
  <c r="J1878" i="16"/>
  <c r="I1878" i="16"/>
  <c r="AC1877" i="16"/>
  <c r="AA1877" i="16"/>
  <c r="AB1877" i="16" s="1"/>
  <c r="T1877" i="16"/>
  <c r="AE1877" i="16" s="1"/>
  <c r="R1877" i="16"/>
  <c r="Q1877" i="16"/>
  <c r="P1877" i="16"/>
  <c r="N1877" i="16"/>
  <c r="L1877" i="16"/>
  <c r="M1877" i="16" s="1"/>
  <c r="K1877" i="16"/>
  <c r="J1877" i="16"/>
  <c r="I1877" i="16"/>
  <c r="AC1876" i="16"/>
  <c r="AA1876" i="16"/>
  <c r="AB1876" i="16" s="1"/>
  <c r="T1876" i="16"/>
  <c r="AE1876" i="16" s="1"/>
  <c r="R1876" i="16"/>
  <c r="Q1876" i="16"/>
  <c r="P1876" i="16"/>
  <c r="N1876" i="16"/>
  <c r="L1876" i="16"/>
  <c r="M1876" i="16" s="1"/>
  <c r="K1876" i="16"/>
  <c r="J1876" i="16"/>
  <c r="I1876" i="16"/>
  <c r="AC1875" i="16"/>
  <c r="AA1875" i="16"/>
  <c r="AB1875" i="16" s="1"/>
  <c r="T1875" i="16"/>
  <c r="AE1875" i="16" s="1"/>
  <c r="R1875" i="16"/>
  <c r="Q1875" i="16"/>
  <c r="P1875" i="16"/>
  <c r="N1875" i="16"/>
  <c r="L1875" i="16"/>
  <c r="M1875" i="16" s="1"/>
  <c r="K1875" i="16"/>
  <c r="J1875" i="16"/>
  <c r="I1875" i="16"/>
  <c r="AC1874" i="16"/>
  <c r="AA1874" i="16"/>
  <c r="AB1874" i="16" s="1"/>
  <c r="T1874" i="16"/>
  <c r="AE1874" i="16" s="1"/>
  <c r="R1874" i="16"/>
  <c r="Q1874" i="16"/>
  <c r="P1874" i="16"/>
  <c r="N1874" i="16"/>
  <c r="L1874" i="16"/>
  <c r="M1874" i="16" s="1"/>
  <c r="K1874" i="16"/>
  <c r="J1874" i="16"/>
  <c r="I1874" i="16"/>
  <c r="AC1873" i="16"/>
  <c r="AA1873" i="16"/>
  <c r="AB1873" i="16" s="1"/>
  <c r="T1873" i="16"/>
  <c r="AE1873" i="16" s="1"/>
  <c r="R1873" i="16"/>
  <c r="Q1873" i="16"/>
  <c r="P1873" i="16"/>
  <c r="N1873" i="16"/>
  <c r="L1873" i="16"/>
  <c r="M1873" i="16" s="1"/>
  <c r="K1873" i="16"/>
  <c r="J1873" i="16"/>
  <c r="I1873" i="16"/>
  <c r="AC1872" i="16"/>
  <c r="AA1872" i="16"/>
  <c r="AB1872" i="16" s="1"/>
  <c r="T1872" i="16"/>
  <c r="AE1872" i="16" s="1"/>
  <c r="R1872" i="16"/>
  <c r="Q1872" i="16"/>
  <c r="P1872" i="16"/>
  <c r="N1872" i="16"/>
  <c r="L1872" i="16"/>
  <c r="M1872" i="16" s="1"/>
  <c r="K1872" i="16"/>
  <c r="J1872" i="16"/>
  <c r="I1872" i="16"/>
  <c r="AC1871" i="16"/>
  <c r="AA1871" i="16"/>
  <c r="AB1871" i="16" s="1"/>
  <c r="T1871" i="16"/>
  <c r="AE1871" i="16" s="1"/>
  <c r="R1871" i="16"/>
  <c r="Q1871" i="16"/>
  <c r="P1871" i="16"/>
  <c r="N1871" i="16"/>
  <c r="L1871" i="16"/>
  <c r="M1871" i="16" s="1"/>
  <c r="K1871" i="16"/>
  <c r="J1871" i="16"/>
  <c r="I1871" i="16"/>
  <c r="AC1870" i="16"/>
  <c r="AA1870" i="16"/>
  <c r="AB1870" i="16" s="1"/>
  <c r="T1870" i="16"/>
  <c r="AE1870" i="16" s="1"/>
  <c r="R1870" i="16"/>
  <c r="Q1870" i="16"/>
  <c r="P1870" i="16"/>
  <c r="N1870" i="16"/>
  <c r="L1870" i="16"/>
  <c r="M1870" i="16" s="1"/>
  <c r="K1870" i="16"/>
  <c r="J1870" i="16"/>
  <c r="I1870" i="16"/>
  <c r="AC1869" i="16"/>
  <c r="AA1869" i="16"/>
  <c r="AB1869" i="16" s="1"/>
  <c r="T1869" i="16"/>
  <c r="AE1869" i="16" s="1"/>
  <c r="R1869" i="16"/>
  <c r="Q1869" i="16"/>
  <c r="P1869" i="16"/>
  <c r="N1869" i="16"/>
  <c r="L1869" i="16"/>
  <c r="M1869" i="16" s="1"/>
  <c r="K1869" i="16"/>
  <c r="J1869" i="16"/>
  <c r="I1869" i="16"/>
  <c r="AC1868" i="16"/>
  <c r="AA1868" i="16"/>
  <c r="AB1868" i="16" s="1"/>
  <c r="T1868" i="16"/>
  <c r="AE1868" i="16" s="1"/>
  <c r="R1868" i="16"/>
  <c r="Q1868" i="16"/>
  <c r="P1868" i="16"/>
  <c r="N1868" i="16"/>
  <c r="L1868" i="16"/>
  <c r="M1868" i="16" s="1"/>
  <c r="K1868" i="16"/>
  <c r="J1868" i="16"/>
  <c r="I1868" i="16"/>
  <c r="AC1867" i="16"/>
  <c r="AA1867" i="16"/>
  <c r="AB1867" i="16" s="1"/>
  <c r="T1867" i="16"/>
  <c r="AE1867" i="16" s="1"/>
  <c r="R1867" i="16"/>
  <c r="Q1867" i="16"/>
  <c r="P1867" i="16"/>
  <c r="N1867" i="16"/>
  <c r="L1867" i="16"/>
  <c r="M1867" i="16" s="1"/>
  <c r="K1867" i="16"/>
  <c r="J1867" i="16"/>
  <c r="I1867" i="16"/>
  <c r="AC1866" i="16"/>
  <c r="AA1866" i="16"/>
  <c r="AB1866" i="16" s="1"/>
  <c r="T1866" i="16"/>
  <c r="AE1866" i="16" s="1"/>
  <c r="R1866" i="16"/>
  <c r="Q1866" i="16"/>
  <c r="P1866" i="16"/>
  <c r="N1866" i="16"/>
  <c r="L1866" i="16"/>
  <c r="M1866" i="16" s="1"/>
  <c r="K1866" i="16"/>
  <c r="J1866" i="16"/>
  <c r="I1866" i="16"/>
  <c r="AC1865" i="16"/>
  <c r="AA1865" i="16"/>
  <c r="AB1865" i="16" s="1"/>
  <c r="T1865" i="16"/>
  <c r="AE1865" i="16" s="1"/>
  <c r="R1865" i="16"/>
  <c r="Q1865" i="16"/>
  <c r="P1865" i="16"/>
  <c r="N1865" i="16"/>
  <c r="L1865" i="16"/>
  <c r="M1865" i="16" s="1"/>
  <c r="K1865" i="16"/>
  <c r="J1865" i="16"/>
  <c r="I1865" i="16"/>
  <c r="AC1864" i="16"/>
  <c r="AA1864" i="16"/>
  <c r="AB1864" i="16" s="1"/>
  <c r="T1864" i="16"/>
  <c r="AE1864" i="16" s="1"/>
  <c r="R1864" i="16"/>
  <c r="Q1864" i="16"/>
  <c r="P1864" i="16"/>
  <c r="N1864" i="16"/>
  <c r="L1864" i="16"/>
  <c r="M1864" i="16" s="1"/>
  <c r="K1864" i="16"/>
  <c r="J1864" i="16"/>
  <c r="I1864" i="16"/>
  <c r="AC1863" i="16"/>
  <c r="AA1863" i="16"/>
  <c r="AB1863" i="16" s="1"/>
  <c r="T1863" i="16"/>
  <c r="AE1863" i="16" s="1"/>
  <c r="R1863" i="16"/>
  <c r="Q1863" i="16"/>
  <c r="P1863" i="16"/>
  <c r="N1863" i="16"/>
  <c r="L1863" i="16"/>
  <c r="M1863" i="16" s="1"/>
  <c r="K1863" i="16"/>
  <c r="J1863" i="16"/>
  <c r="I1863" i="16"/>
  <c r="AC1862" i="16"/>
  <c r="AA1862" i="16"/>
  <c r="AB1862" i="16" s="1"/>
  <c r="T1862" i="16"/>
  <c r="AE1862" i="16" s="1"/>
  <c r="R1862" i="16"/>
  <c r="Q1862" i="16"/>
  <c r="P1862" i="16"/>
  <c r="N1862" i="16"/>
  <c r="L1862" i="16"/>
  <c r="M1862" i="16" s="1"/>
  <c r="K1862" i="16"/>
  <c r="J1862" i="16"/>
  <c r="I1862" i="16"/>
  <c r="AC1861" i="16"/>
  <c r="AA1861" i="16"/>
  <c r="AB1861" i="16" s="1"/>
  <c r="T1861" i="16"/>
  <c r="AE1861" i="16" s="1"/>
  <c r="R1861" i="16"/>
  <c r="Q1861" i="16"/>
  <c r="P1861" i="16"/>
  <c r="N1861" i="16"/>
  <c r="L1861" i="16"/>
  <c r="M1861" i="16" s="1"/>
  <c r="K1861" i="16"/>
  <c r="J1861" i="16"/>
  <c r="I1861" i="16"/>
  <c r="AC1860" i="16"/>
  <c r="AA1860" i="16"/>
  <c r="AB1860" i="16" s="1"/>
  <c r="T1860" i="16"/>
  <c r="AE1860" i="16" s="1"/>
  <c r="R1860" i="16"/>
  <c r="Q1860" i="16"/>
  <c r="P1860" i="16"/>
  <c r="N1860" i="16"/>
  <c r="L1860" i="16"/>
  <c r="M1860" i="16" s="1"/>
  <c r="K1860" i="16"/>
  <c r="J1860" i="16"/>
  <c r="I1860" i="16"/>
  <c r="AC1859" i="16"/>
  <c r="AA1859" i="16"/>
  <c r="AB1859" i="16" s="1"/>
  <c r="T1859" i="16"/>
  <c r="AE1859" i="16" s="1"/>
  <c r="R1859" i="16"/>
  <c r="Q1859" i="16"/>
  <c r="P1859" i="16"/>
  <c r="N1859" i="16"/>
  <c r="L1859" i="16"/>
  <c r="M1859" i="16" s="1"/>
  <c r="K1859" i="16"/>
  <c r="J1859" i="16"/>
  <c r="I1859" i="16"/>
  <c r="AC1858" i="16"/>
  <c r="AA1858" i="16"/>
  <c r="AB1858" i="16" s="1"/>
  <c r="T1858" i="16"/>
  <c r="AE1858" i="16" s="1"/>
  <c r="R1858" i="16"/>
  <c r="Q1858" i="16"/>
  <c r="P1858" i="16"/>
  <c r="N1858" i="16"/>
  <c r="L1858" i="16"/>
  <c r="M1858" i="16" s="1"/>
  <c r="K1858" i="16"/>
  <c r="J1858" i="16"/>
  <c r="I1858" i="16"/>
  <c r="AC1857" i="16"/>
  <c r="AA1857" i="16"/>
  <c r="AB1857" i="16" s="1"/>
  <c r="T1857" i="16"/>
  <c r="AE1857" i="16" s="1"/>
  <c r="R1857" i="16"/>
  <c r="Q1857" i="16"/>
  <c r="P1857" i="16"/>
  <c r="N1857" i="16"/>
  <c r="L1857" i="16"/>
  <c r="M1857" i="16" s="1"/>
  <c r="K1857" i="16"/>
  <c r="J1857" i="16"/>
  <c r="I1857" i="16"/>
  <c r="AC1856" i="16"/>
  <c r="AA1856" i="16"/>
  <c r="AB1856" i="16" s="1"/>
  <c r="T1856" i="16"/>
  <c r="AE1856" i="16" s="1"/>
  <c r="R1856" i="16"/>
  <c r="Q1856" i="16"/>
  <c r="P1856" i="16"/>
  <c r="N1856" i="16"/>
  <c r="L1856" i="16"/>
  <c r="M1856" i="16" s="1"/>
  <c r="K1856" i="16"/>
  <c r="J1856" i="16"/>
  <c r="I1856" i="16"/>
  <c r="AC1855" i="16"/>
  <c r="AA1855" i="16"/>
  <c r="AB1855" i="16" s="1"/>
  <c r="T1855" i="16"/>
  <c r="AE1855" i="16" s="1"/>
  <c r="R1855" i="16"/>
  <c r="Q1855" i="16"/>
  <c r="P1855" i="16"/>
  <c r="N1855" i="16"/>
  <c r="L1855" i="16"/>
  <c r="M1855" i="16" s="1"/>
  <c r="K1855" i="16"/>
  <c r="J1855" i="16"/>
  <c r="I1855" i="16"/>
  <c r="AC1854" i="16"/>
  <c r="AA1854" i="16"/>
  <c r="AB1854" i="16" s="1"/>
  <c r="T1854" i="16"/>
  <c r="AE1854" i="16" s="1"/>
  <c r="R1854" i="16"/>
  <c r="Q1854" i="16"/>
  <c r="P1854" i="16"/>
  <c r="N1854" i="16"/>
  <c r="L1854" i="16"/>
  <c r="M1854" i="16" s="1"/>
  <c r="K1854" i="16"/>
  <c r="J1854" i="16"/>
  <c r="I1854" i="16"/>
  <c r="AC1853" i="16"/>
  <c r="AA1853" i="16"/>
  <c r="AB1853" i="16" s="1"/>
  <c r="T1853" i="16"/>
  <c r="AE1853" i="16" s="1"/>
  <c r="R1853" i="16"/>
  <c r="Q1853" i="16"/>
  <c r="P1853" i="16"/>
  <c r="N1853" i="16"/>
  <c r="L1853" i="16"/>
  <c r="M1853" i="16" s="1"/>
  <c r="K1853" i="16"/>
  <c r="J1853" i="16"/>
  <c r="I1853" i="16"/>
  <c r="AC1852" i="16"/>
  <c r="AA1852" i="16"/>
  <c r="AB1852" i="16" s="1"/>
  <c r="T1852" i="16"/>
  <c r="AE1852" i="16" s="1"/>
  <c r="R1852" i="16"/>
  <c r="Q1852" i="16"/>
  <c r="P1852" i="16"/>
  <c r="N1852" i="16"/>
  <c r="L1852" i="16"/>
  <c r="M1852" i="16" s="1"/>
  <c r="K1852" i="16"/>
  <c r="J1852" i="16"/>
  <c r="I1852" i="16"/>
  <c r="AC1851" i="16"/>
  <c r="AA1851" i="16"/>
  <c r="AB1851" i="16" s="1"/>
  <c r="T1851" i="16"/>
  <c r="AE1851" i="16" s="1"/>
  <c r="R1851" i="16"/>
  <c r="Q1851" i="16"/>
  <c r="P1851" i="16"/>
  <c r="N1851" i="16"/>
  <c r="L1851" i="16"/>
  <c r="M1851" i="16" s="1"/>
  <c r="K1851" i="16"/>
  <c r="J1851" i="16"/>
  <c r="I1851" i="16"/>
  <c r="AC1850" i="16"/>
  <c r="AA1850" i="16"/>
  <c r="AB1850" i="16" s="1"/>
  <c r="T1850" i="16"/>
  <c r="AE1850" i="16" s="1"/>
  <c r="R1850" i="16"/>
  <c r="Q1850" i="16"/>
  <c r="P1850" i="16"/>
  <c r="N1850" i="16"/>
  <c r="L1850" i="16"/>
  <c r="M1850" i="16" s="1"/>
  <c r="K1850" i="16"/>
  <c r="J1850" i="16"/>
  <c r="I1850" i="16"/>
  <c r="AC1849" i="16"/>
  <c r="AA1849" i="16"/>
  <c r="AB1849" i="16" s="1"/>
  <c r="T1849" i="16"/>
  <c r="AE1849" i="16" s="1"/>
  <c r="R1849" i="16"/>
  <c r="Q1849" i="16"/>
  <c r="P1849" i="16"/>
  <c r="N1849" i="16"/>
  <c r="L1849" i="16"/>
  <c r="M1849" i="16" s="1"/>
  <c r="K1849" i="16"/>
  <c r="J1849" i="16"/>
  <c r="I1849" i="16"/>
  <c r="AC1848" i="16"/>
  <c r="AA1848" i="16"/>
  <c r="AB1848" i="16" s="1"/>
  <c r="T1848" i="16"/>
  <c r="AE1848" i="16" s="1"/>
  <c r="R1848" i="16"/>
  <c r="Q1848" i="16"/>
  <c r="P1848" i="16"/>
  <c r="N1848" i="16"/>
  <c r="L1848" i="16"/>
  <c r="M1848" i="16" s="1"/>
  <c r="K1848" i="16"/>
  <c r="J1848" i="16"/>
  <c r="I1848" i="16"/>
  <c r="AC1847" i="16"/>
  <c r="AA1847" i="16"/>
  <c r="AB1847" i="16" s="1"/>
  <c r="T1847" i="16"/>
  <c r="AE1847" i="16" s="1"/>
  <c r="R1847" i="16"/>
  <c r="Q1847" i="16"/>
  <c r="P1847" i="16"/>
  <c r="N1847" i="16"/>
  <c r="L1847" i="16"/>
  <c r="M1847" i="16" s="1"/>
  <c r="K1847" i="16"/>
  <c r="J1847" i="16"/>
  <c r="I1847" i="16"/>
  <c r="AC1846" i="16"/>
  <c r="AA1846" i="16"/>
  <c r="AB1846" i="16" s="1"/>
  <c r="T1846" i="16"/>
  <c r="AE1846" i="16" s="1"/>
  <c r="R1846" i="16"/>
  <c r="Q1846" i="16"/>
  <c r="P1846" i="16"/>
  <c r="N1846" i="16"/>
  <c r="L1846" i="16"/>
  <c r="M1846" i="16" s="1"/>
  <c r="K1846" i="16"/>
  <c r="J1846" i="16"/>
  <c r="I1846" i="16"/>
  <c r="AC1845" i="16"/>
  <c r="AA1845" i="16"/>
  <c r="AB1845" i="16" s="1"/>
  <c r="T1845" i="16"/>
  <c r="AE1845" i="16" s="1"/>
  <c r="R1845" i="16"/>
  <c r="Q1845" i="16"/>
  <c r="P1845" i="16"/>
  <c r="N1845" i="16"/>
  <c r="L1845" i="16"/>
  <c r="M1845" i="16" s="1"/>
  <c r="K1845" i="16"/>
  <c r="J1845" i="16"/>
  <c r="I1845" i="16"/>
  <c r="AC1844" i="16"/>
  <c r="AA1844" i="16"/>
  <c r="AB1844" i="16" s="1"/>
  <c r="T1844" i="16"/>
  <c r="AE1844" i="16" s="1"/>
  <c r="R1844" i="16"/>
  <c r="Q1844" i="16"/>
  <c r="P1844" i="16"/>
  <c r="N1844" i="16"/>
  <c r="L1844" i="16"/>
  <c r="M1844" i="16" s="1"/>
  <c r="K1844" i="16"/>
  <c r="J1844" i="16"/>
  <c r="I1844" i="16"/>
  <c r="AC1843" i="16"/>
  <c r="AA1843" i="16"/>
  <c r="AB1843" i="16" s="1"/>
  <c r="T1843" i="16"/>
  <c r="AE1843" i="16" s="1"/>
  <c r="R1843" i="16"/>
  <c r="Q1843" i="16"/>
  <c r="P1843" i="16"/>
  <c r="N1843" i="16"/>
  <c r="L1843" i="16"/>
  <c r="M1843" i="16" s="1"/>
  <c r="K1843" i="16"/>
  <c r="J1843" i="16"/>
  <c r="I1843" i="16"/>
  <c r="AC1842" i="16"/>
  <c r="AA1842" i="16"/>
  <c r="AB1842" i="16" s="1"/>
  <c r="T1842" i="16"/>
  <c r="AE1842" i="16" s="1"/>
  <c r="R1842" i="16"/>
  <c r="Q1842" i="16"/>
  <c r="P1842" i="16"/>
  <c r="N1842" i="16"/>
  <c r="L1842" i="16"/>
  <c r="M1842" i="16" s="1"/>
  <c r="K1842" i="16"/>
  <c r="J1842" i="16"/>
  <c r="I1842" i="16"/>
  <c r="AC1841" i="16"/>
  <c r="AA1841" i="16"/>
  <c r="AB1841" i="16" s="1"/>
  <c r="T1841" i="16"/>
  <c r="AE1841" i="16" s="1"/>
  <c r="R1841" i="16"/>
  <c r="Q1841" i="16"/>
  <c r="P1841" i="16"/>
  <c r="N1841" i="16"/>
  <c r="L1841" i="16"/>
  <c r="M1841" i="16" s="1"/>
  <c r="K1841" i="16"/>
  <c r="J1841" i="16"/>
  <c r="I1841" i="16"/>
  <c r="AC1840" i="16"/>
  <c r="AA1840" i="16"/>
  <c r="AB1840" i="16" s="1"/>
  <c r="T1840" i="16"/>
  <c r="AE1840" i="16" s="1"/>
  <c r="R1840" i="16"/>
  <c r="Q1840" i="16"/>
  <c r="P1840" i="16"/>
  <c r="N1840" i="16"/>
  <c r="L1840" i="16"/>
  <c r="M1840" i="16" s="1"/>
  <c r="K1840" i="16"/>
  <c r="J1840" i="16"/>
  <c r="I1840" i="16"/>
  <c r="AC1839" i="16"/>
  <c r="AA1839" i="16"/>
  <c r="AB1839" i="16" s="1"/>
  <c r="T1839" i="16"/>
  <c r="AE1839" i="16" s="1"/>
  <c r="R1839" i="16"/>
  <c r="Q1839" i="16"/>
  <c r="P1839" i="16"/>
  <c r="N1839" i="16"/>
  <c r="L1839" i="16"/>
  <c r="M1839" i="16" s="1"/>
  <c r="K1839" i="16"/>
  <c r="J1839" i="16"/>
  <c r="I1839" i="16"/>
  <c r="AC1838" i="16"/>
  <c r="AA1838" i="16"/>
  <c r="AB1838" i="16" s="1"/>
  <c r="T1838" i="16"/>
  <c r="AE1838" i="16" s="1"/>
  <c r="R1838" i="16"/>
  <c r="Q1838" i="16"/>
  <c r="P1838" i="16"/>
  <c r="N1838" i="16"/>
  <c r="L1838" i="16"/>
  <c r="M1838" i="16" s="1"/>
  <c r="K1838" i="16"/>
  <c r="J1838" i="16"/>
  <c r="I1838" i="16"/>
  <c r="AC1837" i="16"/>
  <c r="AA1837" i="16"/>
  <c r="AB1837" i="16" s="1"/>
  <c r="T1837" i="16"/>
  <c r="AE1837" i="16" s="1"/>
  <c r="R1837" i="16"/>
  <c r="Q1837" i="16"/>
  <c r="P1837" i="16"/>
  <c r="N1837" i="16"/>
  <c r="L1837" i="16"/>
  <c r="M1837" i="16" s="1"/>
  <c r="K1837" i="16"/>
  <c r="J1837" i="16"/>
  <c r="I1837" i="16"/>
  <c r="AC1836" i="16"/>
  <c r="AA1836" i="16"/>
  <c r="AB1836" i="16" s="1"/>
  <c r="T1836" i="16"/>
  <c r="AE1836" i="16" s="1"/>
  <c r="R1836" i="16"/>
  <c r="Q1836" i="16"/>
  <c r="P1836" i="16"/>
  <c r="N1836" i="16"/>
  <c r="L1836" i="16"/>
  <c r="M1836" i="16" s="1"/>
  <c r="K1836" i="16"/>
  <c r="J1836" i="16"/>
  <c r="I1836" i="16"/>
  <c r="AC1835" i="16"/>
  <c r="AA1835" i="16"/>
  <c r="AB1835" i="16" s="1"/>
  <c r="T1835" i="16"/>
  <c r="AE1835" i="16" s="1"/>
  <c r="R1835" i="16"/>
  <c r="Q1835" i="16"/>
  <c r="P1835" i="16"/>
  <c r="N1835" i="16"/>
  <c r="L1835" i="16"/>
  <c r="M1835" i="16" s="1"/>
  <c r="K1835" i="16"/>
  <c r="J1835" i="16"/>
  <c r="I1835" i="16"/>
  <c r="AC1834" i="16"/>
  <c r="AA1834" i="16"/>
  <c r="AB1834" i="16" s="1"/>
  <c r="T1834" i="16"/>
  <c r="AE1834" i="16" s="1"/>
  <c r="R1834" i="16"/>
  <c r="Q1834" i="16"/>
  <c r="P1834" i="16"/>
  <c r="N1834" i="16"/>
  <c r="L1834" i="16"/>
  <c r="M1834" i="16" s="1"/>
  <c r="K1834" i="16"/>
  <c r="J1834" i="16"/>
  <c r="I1834" i="16"/>
  <c r="AC1833" i="16"/>
  <c r="AA1833" i="16"/>
  <c r="AB1833" i="16" s="1"/>
  <c r="T1833" i="16"/>
  <c r="AE1833" i="16" s="1"/>
  <c r="R1833" i="16"/>
  <c r="Q1833" i="16"/>
  <c r="P1833" i="16"/>
  <c r="N1833" i="16"/>
  <c r="L1833" i="16"/>
  <c r="M1833" i="16" s="1"/>
  <c r="K1833" i="16"/>
  <c r="J1833" i="16"/>
  <c r="I1833" i="16"/>
  <c r="AC1832" i="16"/>
  <c r="AA1832" i="16"/>
  <c r="AB1832" i="16" s="1"/>
  <c r="T1832" i="16"/>
  <c r="AE1832" i="16" s="1"/>
  <c r="R1832" i="16"/>
  <c r="Q1832" i="16"/>
  <c r="P1832" i="16"/>
  <c r="N1832" i="16"/>
  <c r="L1832" i="16"/>
  <c r="M1832" i="16" s="1"/>
  <c r="K1832" i="16"/>
  <c r="J1832" i="16"/>
  <c r="I1832" i="16"/>
  <c r="AC1831" i="16"/>
  <c r="AA1831" i="16"/>
  <c r="AB1831" i="16" s="1"/>
  <c r="T1831" i="16"/>
  <c r="AE1831" i="16" s="1"/>
  <c r="R1831" i="16"/>
  <c r="Q1831" i="16"/>
  <c r="P1831" i="16"/>
  <c r="N1831" i="16"/>
  <c r="L1831" i="16"/>
  <c r="M1831" i="16" s="1"/>
  <c r="K1831" i="16"/>
  <c r="J1831" i="16"/>
  <c r="I1831" i="16"/>
  <c r="AC1830" i="16"/>
  <c r="AA1830" i="16"/>
  <c r="AB1830" i="16" s="1"/>
  <c r="T1830" i="16"/>
  <c r="AE1830" i="16" s="1"/>
  <c r="R1830" i="16"/>
  <c r="Q1830" i="16"/>
  <c r="P1830" i="16"/>
  <c r="N1830" i="16"/>
  <c r="L1830" i="16"/>
  <c r="M1830" i="16" s="1"/>
  <c r="K1830" i="16"/>
  <c r="J1830" i="16"/>
  <c r="I1830" i="16"/>
  <c r="AC1829" i="16"/>
  <c r="AA1829" i="16"/>
  <c r="AB1829" i="16" s="1"/>
  <c r="T1829" i="16"/>
  <c r="AE1829" i="16" s="1"/>
  <c r="R1829" i="16"/>
  <c r="Q1829" i="16"/>
  <c r="P1829" i="16"/>
  <c r="N1829" i="16"/>
  <c r="L1829" i="16"/>
  <c r="M1829" i="16" s="1"/>
  <c r="K1829" i="16"/>
  <c r="J1829" i="16"/>
  <c r="I1829" i="16"/>
  <c r="AC1828" i="16"/>
  <c r="AA1828" i="16"/>
  <c r="AB1828" i="16" s="1"/>
  <c r="T1828" i="16"/>
  <c r="AE1828" i="16" s="1"/>
  <c r="R1828" i="16"/>
  <c r="Q1828" i="16"/>
  <c r="P1828" i="16"/>
  <c r="N1828" i="16"/>
  <c r="L1828" i="16"/>
  <c r="M1828" i="16" s="1"/>
  <c r="K1828" i="16"/>
  <c r="J1828" i="16"/>
  <c r="I1828" i="16"/>
  <c r="AC1827" i="16"/>
  <c r="AA1827" i="16"/>
  <c r="AB1827" i="16" s="1"/>
  <c r="T1827" i="16"/>
  <c r="AE1827" i="16" s="1"/>
  <c r="R1827" i="16"/>
  <c r="Q1827" i="16"/>
  <c r="P1827" i="16"/>
  <c r="N1827" i="16"/>
  <c r="L1827" i="16"/>
  <c r="M1827" i="16" s="1"/>
  <c r="K1827" i="16"/>
  <c r="J1827" i="16"/>
  <c r="I1827" i="16"/>
  <c r="AC1826" i="16"/>
  <c r="AA1826" i="16"/>
  <c r="AB1826" i="16" s="1"/>
  <c r="T1826" i="16"/>
  <c r="AE1826" i="16" s="1"/>
  <c r="R1826" i="16"/>
  <c r="Q1826" i="16"/>
  <c r="P1826" i="16"/>
  <c r="N1826" i="16"/>
  <c r="L1826" i="16"/>
  <c r="M1826" i="16" s="1"/>
  <c r="K1826" i="16"/>
  <c r="J1826" i="16"/>
  <c r="I1826" i="16"/>
  <c r="AC1825" i="16"/>
  <c r="AA1825" i="16"/>
  <c r="AB1825" i="16" s="1"/>
  <c r="T1825" i="16"/>
  <c r="AE1825" i="16" s="1"/>
  <c r="R1825" i="16"/>
  <c r="Q1825" i="16"/>
  <c r="P1825" i="16"/>
  <c r="N1825" i="16"/>
  <c r="L1825" i="16"/>
  <c r="M1825" i="16" s="1"/>
  <c r="K1825" i="16"/>
  <c r="J1825" i="16"/>
  <c r="I1825" i="16"/>
  <c r="AC1824" i="16"/>
  <c r="AA1824" i="16"/>
  <c r="AB1824" i="16" s="1"/>
  <c r="T1824" i="16"/>
  <c r="AE1824" i="16" s="1"/>
  <c r="R1824" i="16"/>
  <c r="Q1824" i="16"/>
  <c r="P1824" i="16"/>
  <c r="N1824" i="16"/>
  <c r="L1824" i="16"/>
  <c r="M1824" i="16" s="1"/>
  <c r="K1824" i="16"/>
  <c r="J1824" i="16"/>
  <c r="I1824" i="16"/>
  <c r="AC1823" i="16"/>
  <c r="AA1823" i="16"/>
  <c r="AB1823" i="16" s="1"/>
  <c r="T1823" i="16"/>
  <c r="AE1823" i="16" s="1"/>
  <c r="R1823" i="16"/>
  <c r="Q1823" i="16"/>
  <c r="P1823" i="16"/>
  <c r="N1823" i="16"/>
  <c r="L1823" i="16"/>
  <c r="M1823" i="16" s="1"/>
  <c r="K1823" i="16"/>
  <c r="J1823" i="16"/>
  <c r="I1823" i="16"/>
  <c r="AC1822" i="16"/>
  <c r="AA1822" i="16"/>
  <c r="AB1822" i="16" s="1"/>
  <c r="T1822" i="16"/>
  <c r="AE1822" i="16" s="1"/>
  <c r="R1822" i="16"/>
  <c r="Q1822" i="16"/>
  <c r="P1822" i="16"/>
  <c r="N1822" i="16"/>
  <c r="L1822" i="16"/>
  <c r="M1822" i="16" s="1"/>
  <c r="K1822" i="16"/>
  <c r="J1822" i="16"/>
  <c r="I1822" i="16"/>
  <c r="AC1821" i="16"/>
  <c r="AA1821" i="16"/>
  <c r="AB1821" i="16" s="1"/>
  <c r="T1821" i="16"/>
  <c r="AE1821" i="16" s="1"/>
  <c r="R1821" i="16"/>
  <c r="Q1821" i="16"/>
  <c r="P1821" i="16"/>
  <c r="N1821" i="16"/>
  <c r="L1821" i="16"/>
  <c r="M1821" i="16" s="1"/>
  <c r="K1821" i="16"/>
  <c r="J1821" i="16"/>
  <c r="I1821" i="16"/>
  <c r="AC1820" i="16"/>
  <c r="AA1820" i="16"/>
  <c r="AB1820" i="16" s="1"/>
  <c r="T1820" i="16"/>
  <c r="AE1820" i="16" s="1"/>
  <c r="R1820" i="16"/>
  <c r="Q1820" i="16"/>
  <c r="P1820" i="16"/>
  <c r="N1820" i="16"/>
  <c r="L1820" i="16"/>
  <c r="M1820" i="16" s="1"/>
  <c r="K1820" i="16"/>
  <c r="J1820" i="16"/>
  <c r="I1820" i="16"/>
  <c r="AC1819" i="16"/>
  <c r="AA1819" i="16"/>
  <c r="AB1819" i="16" s="1"/>
  <c r="T1819" i="16"/>
  <c r="AE1819" i="16" s="1"/>
  <c r="R1819" i="16"/>
  <c r="Q1819" i="16"/>
  <c r="P1819" i="16"/>
  <c r="N1819" i="16"/>
  <c r="L1819" i="16"/>
  <c r="M1819" i="16" s="1"/>
  <c r="K1819" i="16"/>
  <c r="J1819" i="16"/>
  <c r="I1819" i="16"/>
  <c r="AC1818" i="16"/>
  <c r="AA1818" i="16"/>
  <c r="AB1818" i="16" s="1"/>
  <c r="T1818" i="16"/>
  <c r="AE1818" i="16" s="1"/>
  <c r="R1818" i="16"/>
  <c r="Q1818" i="16"/>
  <c r="P1818" i="16"/>
  <c r="N1818" i="16"/>
  <c r="L1818" i="16"/>
  <c r="M1818" i="16" s="1"/>
  <c r="K1818" i="16"/>
  <c r="J1818" i="16"/>
  <c r="I1818" i="16"/>
  <c r="AC1817" i="16"/>
  <c r="AA1817" i="16"/>
  <c r="AB1817" i="16" s="1"/>
  <c r="T1817" i="16"/>
  <c r="AE1817" i="16" s="1"/>
  <c r="R1817" i="16"/>
  <c r="Q1817" i="16"/>
  <c r="P1817" i="16"/>
  <c r="N1817" i="16"/>
  <c r="L1817" i="16"/>
  <c r="M1817" i="16" s="1"/>
  <c r="K1817" i="16"/>
  <c r="J1817" i="16"/>
  <c r="I1817" i="16"/>
  <c r="AC1816" i="16"/>
  <c r="AA1816" i="16"/>
  <c r="AB1816" i="16" s="1"/>
  <c r="T1816" i="16"/>
  <c r="AE1816" i="16" s="1"/>
  <c r="R1816" i="16"/>
  <c r="Q1816" i="16"/>
  <c r="P1816" i="16"/>
  <c r="N1816" i="16"/>
  <c r="L1816" i="16"/>
  <c r="M1816" i="16" s="1"/>
  <c r="K1816" i="16"/>
  <c r="J1816" i="16"/>
  <c r="I1816" i="16"/>
  <c r="AC1815" i="16"/>
  <c r="AA1815" i="16"/>
  <c r="AB1815" i="16" s="1"/>
  <c r="T1815" i="16"/>
  <c r="AE1815" i="16" s="1"/>
  <c r="R1815" i="16"/>
  <c r="Q1815" i="16"/>
  <c r="P1815" i="16"/>
  <c r="N1815" i="16"/>
  <c r="L1815" i="16"/>
  <c r="M1815" i="16" s="1"/>
  <c r="K1815" i="16"/>
  <c r="J1815" i="16"/>
  <c r="I1815" i="16"/>
  <c r="AC1814" i="16"/>
  <c r="AA1814" i="16"/>
  <c r="AB1814" i="16" s="1"/>
  <c r="T1814" i="16"/>
  <c r="AE1814" i="16" s="1"/>
  <c r="R1814" i="16"/>
  <c r="Q1814" i="16"/>
  <c r="P1814" i="16"/>
  <c r="N1814" i="16"/>
  <c r="L1814" i="16"/>
  <c r="M1814" i="16" s="1"/>
  <c r="K1814" i="16"/>
  <c r="J1814" i="16"/>
  <c r="I1814" i="16"/>
  <c r="AC1813" i="16"/>
  <c r="AA1813" i="16"/>
  <c r="AB1813" i="16" s="1"/>
  <c r="T1813" i="16"/>
  <c r="AE1813" i="16" s="1"/>
  <c r="R1813" i="16"/>
  <c r="Q1813" i="16"/>
  <c r="P1813" i="16"/>
  <c r="N1813" i="16"/>
  <c r="L1813" i="16"/>
  <c r="M1813" i="16" s="1"/>
  <c r="K1813" i="16"/>
  <c r="J1813" i="16"/>
  <c r="I1813" i="16"/>
  <c r="AC1812" i="16"/>
  <c r="AA1812" i="16"/>
  <c r="AB1812" i="16" s="1"/>
  <c r="T1812" i="16"/>
  <c r="AE1812" i="16" s="1"/>
  <c r="R1812" i="16"/>
  <c r="Q1812" i="16"/>
  <c r="P1812" i="16"/>
  <c r="N1812" i="16"/>
  <c r="L1812" i="16"/>
  <c r="M1812" i="16" s="1"/>
  <c r="K1812" i="16"/>
  <c r="J1812" i="16"/>
  <c r="I1812" i="16"/>
  <c r="AC1811" i="16"/>
  <c r="AA1811" i="16"/>
  <c r="AB1811" i="16" s="1"/>
  <c r="T1811" i="16"/>
  <c r="AE1811" i="16" s="1"/>
  <c r="R1811" i="16"/>
  <c r="Q1811" i="16"/>
  <c r="P1811" i="16"/>
  <c r="N1811" i="16"/>
  <c r="L1811" i="16"/>
  <c r="M1811" i="16" s="1"/>
  <c r="K1811" i="16"/>
  <c r="J1811" i="16"/>
  <c r="I1811" i="16"/>
  <c r="AC1810" i="16"/>
  <c r="AA1810" i="16"/>
  <c r="AB1810" i="16" s="1"/>
  <c r="T1810" i="16"/>
  <c r="AE1810" i="16" s="1"/>
  <c r="R1810" i="16"/>
  <c r="Q1810" i="16"/>
  <c r="P1810" i="16"/>
  <c r="N1810" i="16"/>
  <c r="L1810" i="16"/>
  <c r="M1810" i="16" s="1"/>
  <c r="K1810" i="16"/>
  <c r="J1810" i="16"/>
  <c r="I1810" i="16"/>
  <c r="AC1809" i="16"/>
  <c r="AA1809" i="16"/>
  <c r="AB1809" i="16" s="1"/>
  <c r="T1809" i="16"/>
  <c r="AE1809" i="16" s="1"/>
  <c r="R1809" i="16"/>
  <c r="Q1809" i="16"/>
  <c r="P1809" i="16"/>
  <c r="N1809" i="16"/>
  <c r="L1809" i="16"/>
  <c r="M1809" i="16" s="1"/>
  <c r="K1809" i="16"/>
  <c r="J1809" i="16"/>
  <c r="I1809" i="16"/>
  <c r="AC1808" i="16"/>
  <c r="AA1808" i="16"/>
  <c r="AB1808" i="16" s="1"/>
  <c r="T1808" i="16"/>
  <c r="AE1808" i="16" s="1"/>
  <c r="R1808" i="16"/>
  <c r="Q1808" i="16"/>
  <c r="P1808" i="16"/>
  <c r="N1808" i="16"/>
  <c r="L1808" i="16"/>
  <c r="M1808" i="16" s="1"/>
  <c r="K1808" i="16"/>
  <c r="J1808" i="16"/>
  <c r="I1808" i="16"/>
  <c r="AC1807" i="16"/>
  <c r="AA1807" i="16"/>
  <c r="AB1807" i="16" s="1"/>
  <c r="T1807" i="16"/>
  <c r="AE1807" i="16" s="1"/>
  <c r="R1807" i="16"/>
  <c r="Q1807" i="16"/>
  <c r="P1807" i="16"/>
  <c r="N1807" i="16"/>
  <c r="L1807" i="16"/>
  <c r="M1807" i="16" s="1"/>
  <c r="K1807" i="16"/>
  <c r="J1807" i="16"/>
  <c r="I1807" i="16"/>
  <c r="AC1806" i="16"/>
  <c r="AA1806" i="16"/>
  <c r="AB1806" i="16" s="1"/>
  <c r="T1806" i="16"/>
  <c r="AE1806" i="16" s="1"/>
  <c r="R1806" i="16"/>
  <c r="Q1806" i="16"/>
  <c r="P1806" i="16"/>
  <c r="N1806" i="16"/>
  <c r="L1806" i="16"/>
  <c r="M1806" i="16" s="1"/>
  <c r="K1806" i="16"/>
  <c r="J1806" i="16"/>
  <c r="I1806" i="16"/>
  <c r="AC1805" i="16"/>
  <c r="AA1805" i="16"/>
  <c r="AB1805" i="16" s="1"/>
  <c r="T1805" i="16"/>
  <c r="AE1805" i="16" s="1"/>
  <c r="R1805" i="16"/>
  <c r="Q1805" i="16"/>
  <c r="P1805" i="16"/>
  <c r="N1805" i="16"/>
  <c r="L1805" i="16"/>
  <c r="M1805" i="16" s="1"/>
  <c r="K1805" i="16"/>
  <c r="J1805" i="16"/>
  <c r="I1805" i="16"/>
  <c r="AC1804" i="16"/>
  <c r="AA1804" i="16"/>
  <c r="AB1804" i="16" s="1"/>
  <c r="T1804" i="16"/>
  <c r="AE1804" i="16" s="1"/>
  <c r="R1804" i="16"/>
  <c r="Q1804" i="16"/>
  <c r="P1804" i="16"/>
  <c r="N1804" i="16"/>
  <c r="L1804" i="16"/>
  <c r="M1804" i="16" s="1"/>
  <c r="K1804" i="16"/>
  <c r="J1804" i="16"/>
  <c r="I1804" i="16"/>
  <c r="AC1803" i="16"/>
  <c r="AA1803" i="16"/>
  <c r="AB1803" i="16" s="1"/>
  <c r="T1803" i="16"/>
  <c r="AE1803" i="16" s="1"/>
  <c r="R1803" i="16"/>
  <c r="Q1803" i="16"/>
  <c r="P1803" i="16"/>
  <c r="N1803" i="16"/>
  <c r="L1803" i="16"/>
  <c r="M1803" i="16" s="1"/>
  <c r="K1803" i="16"/>
  <c r="J1803" i="16"/>
  <c r="I1803" i="16"/>
  <c r="AC1802" i="16"/>
  <c r="AA1802" i="16"/>
  <c r="AB1802" i="16" s="1"/>
  <c r="T1802" i="16"/>
  <c r="AE1802" i="16" s="1"/>
  <c r="R1802" i="16"/>
  <c r="Q1802" i="16"/>
  <c r="P1802" i="16"/>
  <c r="N1802" i="16"/>
  <c r="L1802" i="16"/>
  <c r="M1802" i="16" s="1"/>
  <c r="K1802" i="16"/>
  <c r="J1802" i="16"/>
  <c r="I1802" i="16"/>
  <c r="AC1801" i="16"/>
  <c r="AA1801" i="16"/>
  <c r="AB1801" i="16" s="1"/>
  <c r="T1801" i="16"/>
  <c r="AE1801" i="16" s="1"/>
  <c r="R1801" i="16"/>
  <c r="Q1801" i="16"/>
  <c r="P1801" i="16"/>
  <c r="N1801" i="16"/>
  <c r="L1801" i="16"/>
  <c r="M1801" i="16" s="1"/>
  <c r="K1801" i="16"/>
  <c r="J1801" i="16"/>
  <c r="I1801" i="16"/>
  <c r="AC1800" i="16"/>
  <c r="AA1800" i="16"/>
  <c r="AB1800" i="16" s="1"/>
  <c r="T1800" i="16"/>
  <c r="AE1800" i="16" s="1"/>
  <c r="R1800" i="16"/>
  <c r="Q1800" i="16"/>
  <c r="P1800" i="16"/>
  <c r="N1800" i="16"/>
  <c r="L1800" i="16"/>
  <c r="M1800" i="16" s="1"/>
  <c r="K1800" i="16"/>
  <c r="J1800" i="16"/>
  <c r="I1800" i="16"/>
  <c r="AC1799" i="16"/>
  <c r="AA1799" i="16"/>
  <c r="AB1799" i="16" s="1"/>
  <c r="T1799" i="16"/>
  <c r="AE1799" i="16" s="1"/>
  <c r="R1799" i="16"/>
  <c r="Q1799" i="16"/>
  <c r="P1799" i="16"/>
  <c r="N1799" i="16"/>
  <c r="L1799" i="16"/>
  <c r="M1799" i="16" s="1"/>
  <c r="K1799" i="16"/>
  <c r="J1799" i="16"/>
  <c r="I1799" i="16"/>
  <c r="AC1798" i="16"/>
  <c r="AA1798" i="16"/>
  <c r="AB1798" i="16" s="1"/>
  <c r="T1798" i="16"/>
  <c r="AE1798" i="16" s="1"/>
  <c r="R1798" i="16"/>
  <c r="Q1798" i="16"/>
  <c r="P1798" i="16"/>
  <c r="N1798" i="16"/>
  <c r="L1798" i="16"/>
  <c r="M1798" i="16" s="1"/>
  <c r="K1798" i="16"/>
  <c r="J1798" i="16"/>
  <c r="I1798" i="16"/>
  <c r="AC1797" i="16"/>
  <c r="AA1797" i="16"/>
  <c r="AB1797" i="16" s="1"/>
  <c r="T1797" i="16"/>
  <c r="AE1797" i="16" s="1"/>
  <c r="R1797" i="16"/>
  <c r="Q1797" i="16"/>
  <c r="P1797" i="16"/>
  <c r="N1797" i="16"/>
  <c r="L1797" i="16"/>
  <c r="M1797" i="16" s="1"/>
  <c r="K1797" i="16"/>
  <c r="J1797" i="16"/>
  <c r="I1797" i="16"/>
  <c r="AC1796" i="16"/>
  <c r="AA1796" i="16"/>
  <c r="AB1796" i="16" s="1"/>
  <c r="T1796" i="16"/>
  <c r="AE1796" i="16" s="1"/>
  <c r="R1796" i="16"/>
  <c r="Q1796" i="16"/>
  <c r="P1796" i="16"/>
  <c r="N1796" i="16"/>
  <c r="L1796" i="16"/>
  <c r="M1796" i="16" s="1"/>
  <c r="K1796" i="16"/>
  <c r="J1796" i="16"/>
  <c r="I1796" i="16"/>
  <c r="AC1795" i="16"/>
  <c r="AA1795" i="16"/>
  <c r="AB1795" i="16" s="1"/>
  <c r="T1795" i="16"/>
  <c r="AE1795" i="16" s="1"/>
  <c r="R1795" i="16"/>
  <c r="Q1795" i="16"/>
  <c r="P1795" i="16"/>
  <c r="N1795" i="16"/>
  <c r="L1795" i="16"/>
  <c r="M1795" i="16" s="1"/>
  <c r="K1795" i="16"/>
  <c r="J1795" i="16"/>
  <c r="I1795" i="16"/>
  <c r="AC1794" i="16"/>
  <c r="AA1794" i="16"/>
  <c r="AB1794" i="16" s="1"/>
  <c r="T1794" i="16"/>
  <c r="AE1794" i="16" s="1"/>
  <c r="R1794" i="16"/>
  <c r="Q1794" i="16"/>
  <c r="P1794" i="16"/>
  <c r="N1794" i="16"/>
  <c r="L1794" i="16"/>
  <c r="M1794" i="16" s="1"/>
  <c r="K1794" i="16"/>
  <c r="J1794" i="16"/>
  <c r="I1794" i="16"/>
  <c r="AC1793" i="16"/>
  <c r="AA1793" i="16"/>
  <c r="AB1793" i="16" s="1"/>
  <c r="T1793" i="16"/>
  <c r="AE1793" i="16" s="1"/>
  <c r="R1793" i="16"/>
  <c r="Q1793" i="16"/>
  <c r="P1793" i="16"/>
  <c r="N1793" i="16"/>
  <c r="L1793" i="16"/>
  <c r="M1793" i="16" s="1"/>
  <c r="K1793" i="16"/>
  <c r="J1793" i="16"/>
  <c r="I1793" i="16"/>
  <c r="AC1792" i="16"/>
  <c r="AA1792" i="16"/>
  <c r="AB1792" i="16" s="1"/>
  <c r="T1792" i="16"/>
  <c r="AE1792" i="16" s="1"/>
  <c r="R1792" i="16"/>
  <c r="Q1792" i="16"/>
  <c r="P1792" i="16"/>
  <c r="N1792" i="16"/>
  <c r="L1792" i="16"/>
  <c r="M1792" i="16" s="1"/>
  <c r="K1792" i="16"/>
  <c r="J1792" i="16"/>
  <c r="I1792" i="16"/>
  <c r="AC1791" i="16"/>
  <c r="AA1791" i="16"/>
  <c r="AB1791" i="16" s="1"/>
  <c r="T1791" i="16"/>
  <c r="AE1791" i="16" s="1"/>
  <c r="R1791" i="16"/>
  <c r="Q1791" i="16"/>
  <c r="P1791" i="16"/>
  <c r="N1791" i="16"/>
  <c r="L1791" i="16"/>
  <c r="M1791" i="16" s="1"/>
  <c r="K1791" i="16"/>
  <c r="J1791" i="16"/>
  <c r="I1791" i="16"/>
  <c r="AC1790" i="16"/>
  <c r="AA1790" i="16"/>
  <c r="AB1790" i="16" s="1"/>
  <c r="T1790" i="16"/>
  <c r="AE1790" i="16" s="1"/>
  <c r="R1790" i="16"/>
  <c r="Q1790" i="16"/>
  <c r="P1790" i="16"/>
  <c r="N1790" i="16"/>
  <c r="L1790" i="16"/>
  <c r="M1790" i="16" s="1"/>
  <c r="K1790" i="16"/>
  <c r="J1790" i="16"/>
  <c r="I1790" i="16"/>
  <c r="AC1789" i="16"/>
  <c r="AA1789" i="16"/>
  <c r="AB1789" i="16" s="1"/>
  <c r="T1789" i="16"/>
  <c r="AE1789" i="16" s="1"/>
  <c r="R1789" i="16"/>
  <c r="Q1789" i="16"/>
  <c r="P1789" i="16"/>
  <c r="N1789" i="16"/>
  <c r="L1789" i="16"/>
  <c r="M1789" i="16" s="1"/>
  <c r="K1789" i="16"/>
  <c r="J1789" i="16"/>
  <c r="I1789" i="16"/>
  <c r="AC1788" i="16"/>
  <c r="AA1788" i="16"/>
  <c r="AB1788" i="16" s="1"/>
  <c r="T1788" i="16"/>
  <c r="AE1788" i="16" s="1"/>
  <c r="R1788" i="16"/>
  <c r="Q1788" i="16"/>
  <c r="P1788" i="16"/>
  <c r="N1788" i="16"/>
  <c r="L1788" i="16"/>
  <c r="M1788" i="16" s="1"/>
  <c r="K1788" i="16"/>
  <c r="J1788" i="16"/>
  <c r="I1788" i="16"/>
  <c r="AC1787" i="16"/>
  <c r="AA1787" i="16"/>
  <c r="AB1787" i="16" s="1"/>
  <c r="T1787" i="16"/>
  <c r="AE1787" i="16" s="1"/>
  <c r="R1787" i="16"/>
  <c r="Q1787" i="16"/>
  <c r="P1787" i="16"/>
  <c r="N1787" i="16"/>
  <c r="L1787" i="16"/>
  <c r="M1787" i="16" s="1"/>
  <c r="K1787" i="16"/>
  <c r="J1787" i="16"/>
  <c r="I1787" i="16"/>
  <c r="AC1786" i="16"/>
  <c r="AA1786" i="16"/>
  <c r="AB1786" i="16" s="1"/>
  <c r="T1786" i="16"/>
  <c r="AE1786" i="16" s="1"/>
  <c r="R1786" i="16"/>
  <c r="Q1786" i="16"/>
  <c r="P1786" i="16"/>
  <c r="N1786" i="16"/>
  <c r="L1786" i="16"/>
  <c r="M1786" i="16" s="1"/>
  <c r="K1786" i="16"/>
  <c r="J1786" i="16"/>
  <c r="I1786" i="16"/>
  <c r="AC1785" i="16"/>
  <c r="AA1785" i="16"/>
  <c r="AB1785" i="16" s="1"/>
  <c r="T1785" i="16"/>
  <c r="AE1785" i="16" s="1"/>
  <c r="R1785" i="16"/>
  <c r="Q1785" i="16"/>
  <c r="P1785" i="16"/>
  <c r="N1785" i="16"/>
  <c r="L1785" i="16"/>
  <c r="M1785" i="16" s="1"/>
  <c r="K1785" i="16"/>
  <c r="J1785" i="16"/>
  <c r="I1785" i="16"/>
  <c r="AC1784" i="16"/>
  <c r="AA1784" i="16"/>
  <c r="AB1784" i="16" s="1"/>
  <c r="T1784" i="16"/>
  <c r="AE1784" i="16" s="1"/>
  <c r="R1784" i="16"/>
  <c r="Q1784" i="16"/>
  <c r="P1784" i="16"/>
  <c r="N1784" i="16"/>
  <c r="L1784" i="16"/>
  <c r="M1784" i="16" s="1"/>
  <c r="K1784" i="16"/>
  <c r="J1784" i="16"/>
  <c r="I1784" i="16"/>
  <c r="AC1783" i="16"/>
  <c r="AA1783" i="16"/>
  <c r="AB1783" i="16" s="1"/>
  <c r="T1783" i="16"/>
  <c r="AE1783" i="16" s="1"/>
  <c r="R1783" i="16"/>
  <c r="Q1783" i="16"/>
  <c r="P1783" i="16"/>
  <c r="N1783" i="16"/>
  <c r="L1783" i="16"/>
  <c r="M1783" i="16" s="1"/>
  <c r="K1783" i="16"/>
  <c r="J1783" i="16"/>
  <c r="I1783" i="16"/>
  <c r="AC1782" i="16"/>
  <c r="AA1782" i="16"/>
  <c r="AB1782" i="16" s="1"/>
  <c r="T1782" i="16"/>
  <c r="AE1782" i="16" s="1"/>
  <c r="R1782" i="16"/>
  <c r="Q1782" i="16"/>
  <c r="P1782" i="16"/>
  <c r="N1782" i="16"/>
  <c r="L1782" i="16"/>
  <c r="M1782" i="16" s="1"/>
  <c r="K1782" i="16"/>
  <c r="J1782" i="16"/>
  <c r="I1782" i="16"/>
  <c r="AC1781" i="16"/>
  <c r="AA1781" i="16"/>
  <c r="AB1781" i="16" s="1"/>
  <c r="T1781" i="16"/>
  <c r="AE1781" i="16" s="1"/>
  <c r="R1781" i="16"/>
  <c r="Q1781" i="16"/>
  <c r="P1781" i="16"/>
  <c r="N1781" i="16"/>
  <c r="L1781" i="16"/>
  <c r="M1781" i="16" s="1"/>
  <c r="K1781" i="16"/>
  <c r="J1781" i="16"/>
  <c r="I1781" i="16"/>
  <c r="AC1780" i="16"/>
  <c r="AA1780" i="16"/>
  <c r="AB1780" i="16" s="1"/>
  <c r="T1780" i="16"/>
  <c r="AE1780" i="16" s="1"/>
  <c r="R1780" i="16"/>
  <c r="Q1780" i="16"/>
  <c r="P1780" i="16"/>
  <c r="N1780" i="16"/>
  <c r="L1780" i="16"/>
  <c r="M1780" i="16" s="1"/>
  <c r="K1780" i="16"/>
  <c r="J1780" i="16"/>
  <c r="I1780" i="16"/>
  <c r="AC1779" i="16"/>
  <c r="AA1779" i="16"/>
  <c r="AB1779" i="16" s="1"/>
  <c r="T1779" i="16"/>
  <c r="AE1779" i="16" s="1"/>
  <c r="R1779" i="16"/>
  <c r="Q1779" i="16"/>
  <c r="P1779" i="16"/>
  <c r="N1779" i="16"/>
  <c r="L1779" i="16"/>
  <c r="M1779" i="16" s="1"/>
  <c r="K1779" i="16"/>
  <c r="J1779" i="16"/>
  <c r="I1779" i="16"/>
  <c r="AC1778" i="16"/>
  <c r="AA1778" i="16"/>
  <c r="AB1778" i="16" s="1"/>
  <c r="T1778" i="16"/>
  <c r="AE1778" i="16" s="1"/>
  <c r="R1778" i="16"/>
  <c r="Q1778" i="16"/>
  <c r="P1778" i="16"/>
  <c r="N1778" i="16"/>
  <c r="L1778" i="16"/>
  <c r="M1778" i="16" s="1"/>
  <c r="K1778" i="16"/>
  <c r="J1778" i="16"/>
  <c r="I1778" i="16"/>
  <c r="AC1777" i="16"/>
  <c r="AA1777" i="16"/>
  <c r="AB1777" i="16" s="1"/>
  <c r="T1777" i="16"/>
  <c r="AE1777" i="16" s="1"/>
  <c r="R1777" i="16"/>
  <c r="Q1777" i="16"/>
  <c r="P1777" i="16"/>
  <c r="N1777" i="16"/>
  <c r="L1777" i="16"/>
  <c r="M1777" i="16" s="1"/>
  <c r="K1777" i="16"/>
  <c r="J1777" i="16"/>
  <c r="I1777" i="16"/>
  <c r="AC1776" i="16"/>
  <c r="AA1776" i="16"/>
  <c r="AB1776" i="16" s="1"/>
  <c r="T1776" i="16"/>
  <c r="AE1776" i="16" s="1"/>
  <c r="R1776" i="16"/>
  <c r="Q1776" i="16"/>
  <c r="P1776" i="16"/>
  <c r="N1776" i="16"/>
  <c r="L1776" i="16"/>
  <c r="M1776" i="16" s="1"/>
  <c r="K1776" i="16"/>
  <c r="J1776" i="16"/>
  <c r="I1776" i="16"/>
  <c r="AC1775" i="16"/>
  <c r="AA1775" i="16"/>
  <c r="AB1775" i="16" s="1"/>
  <c r="T1775" i="16"/>
  <c r="AE1775" i="16" s="1"/>
  <c r="R1775" i="16"/>
  <c r="Q1775" i="16"/>
  <c r="P1775" i="16"/>
  <c r="N1775" i="16"/>
  <c r="L1775" i="16"/>
  <c r="M1775" i="16" s="1"/>
  <c r="K1775" i="16"/>
  <c r="J1775" i="16"/>
  <c r="I1775" i="16"/>
  <c r="AC1774" i="16"/>
  <c r="AA1774" i="16"/>
  <c r="AB1774" i="16" s="1"/>
  <c r="T1774" i="16"/>
  <c r="AE1774" i="16" s="1"/>
  <c r="R1774" i="16"/>
  <c r="Q1774" i="16"/>
  <c r="P1774" i="16"/>
  <c r="N1774" i="16"/>
  <c r="L1774" i="16"/>
  <c r="M1774" i="16" s="1"/>
  <c r="K1774" i="16"/>
  <c r="J1774" i="16"/>
  <c r="I1774" i="16"/>
  <c r="AC1773" i="16"/>
  <c r="AA1773" i="16"/>
  <c r="AB1773" i="16" s="1"/>
  <c r="T1773" i="16"/>
  <c r="AE1773" i="16" s="1"/>
  <c r="R1773" i="16"/>
  <c r="Q1773" i="16"/>
  <c r="P1773" i="16"/>
  <c r="N1773" i="16"/>
  <c r="L1773" i="16"/>
  <c r="M1773" i="16" s="1"/>
  <c r="K1773" i="16"/>
  <c r="J1773" i="16"/>
  <c r="I1773" i="16"/>
  <c r="AC1772" i="16"/>
  <c r="AA1772" i="16"/>
  <c r="AB1772" i="16" s="1"/>
  <c r="T1772" i="16"/>
  <c r="AE1772" i="16" s="1"/>
  <c r="R1772" i="16"/>
  <c r="Q1772" i="16"/>
  <c r="P1772" i="16"/>
  <c r="N1772" i="16"/>
  <c r="L1772" i="16"/>
  <c r="M1772" i="16" s="1"/>
  <c r="K1772" i="16"/>
  <c r="J1772" i="16"/>
  <c r="I1772" i="16"/>
  <c r="AC1771" i="16"/>
  <c r="AA1771" i="16"/>
  <c r="AB1771" i="16" s="1"/>
  <c r="T1771" i="16"/>
  <c r="AE1771" i="16" s="1"/>
  <c r="R1771" i="16"/>
  <c r="Q1771" i="16"/>
  <c r="P1771" i="16"/>
  <c r="N1771" i="16"/>
  <c r="L1771" i="16"/>
  <c r="M1771" i="16" s="1"/>
  <c r="K1771" i="16"/>
  <c r="J1771" i="16"/>
  <c r="I1771" i="16"/>
  <c r="AC1770" i="16"/>
  <c r="AA1770" i="16"/>
  <c r="AB1770" i="16" s="1"/>
  <c r="T1770" i="16"/>
  <c r="AE1770" i="16" s="1"/>
  <c r="R1770" i="16"/>
  <c r="Q1770" i="16"/>
  <c r="P1770" i="16"/>
  <c r="N1770" i="16"/>
  <c r="L1770" i="16"/>
  <c r="M1770" i="16" s="1"/>
  <c r="K1770" i="16"/>
  <c r="J1770" i="16"/>
  <c r="I1770" i="16"/>
  <c r="AC1769" i="16"/>
  <c r="AA1769" i="16"/>
  <c r="AB1769" i="16" s="1"/>
  <c r="T1769" i="16"/>
  <c r="AE1769" i="16" s="1"/>
  <c r="R1769" i="16"/>
  <c r="Q1769" i="16"/>
  <c r="P1769" i="16"/>
  <c r="N1769" i="16"/>
  <c r="L1769" i="16"/>
  <c r="M1769" i="16" s="1"/>
  <c r="K1769" i="16"/>
  <c r="J1769" i="16"/>
  <c r="I1769" i="16"/>
  <c r="AC1768" i="16"/>
  <c r="AA1768" i="16"/>
  <c r="AB1768" i="16" s="1"/>
  <c r="T1768" i="16"/>
  <c r="AE1768" i="16" s="1"/>
  <c r="R1768" i="16"/>
  <c r="Q1768" i="16"/>
  <c r="P1768" i="16"/>
  <c r="N1768" i="16"/>
  <c r="L1768" i="16"/>
  <c r="M1768" i="16" s="1"/>
  <c r="K1768" i="16"/>
  <c r="J1768" i="16"/>
  <c r="I1768" i="16"/>
  <c r="AC1767" i="16"/>
  <c r="AA1767" i="16"/>
  <c r="AB1767" i="16" s="1"/>
  <c r="T1767" i="16"/>
  <c r="AE1767" i="16" s="1"/>
  <c r="R1767" i="16"/>
  <c r="Q1767" i="16"/>
  <c r="P1767" i="16"/>
  <c r="N1767" i="16"/>
  <c r="L1767" i="16"/>
  <c r="M1767" i="16" s="1"/>
  <c r="K1767" i="16"/>
  <c r="J1767" i="16"/>
  <c r="I1767" i="16"/>
  <c r="AC1766" i="16"/>
  <c r="AA1766" i="16"/>
  <c r="AB1766" i="16" s="1"/>
  <c r="T1766" i="16"/>
  <c r="AE1766" i="16" s="1"/>
  <c r="R1766" i="16"/>
  <c r="Q1766" i="16"/>
  <c r="P1766" i="16"/>
  <c r="N1766" i="16"/>
  <c r="L1766" i="16"/>
  <c r="M1766" i="16" s="1"/>
  <c r="K1766" i="16"/>
  <c r="J1766" i="16"/>
  <c r="I1766" i="16"/>
  <c r="AC1765" i="16"/>
  <c r="AA1765" i="16"/>
  <c r="AB1765" i="16" s="1"/>
  <c r="T1765" i="16"/>
  <c r="AE1765" i="16" s="1"/>
  <c r="R1765" i="16"/>
  <c r="Q1765" i="16"/>
  <c r="P1765" i="16"/>
  <c r="N1765" i="16"/>
  <c r="L1765" i="16"/>
  <c r="M1765" i="16" s="1"/>
  <c r="K1765" i="16"/>
  <c r="J1765" i="16"/>
  <c r="I1765" i="16"/>
  <c r="AC1764" i="16"/>
  <c r="AA1764" i="16"/>
  <c r="AB1764" i="16" s="1"/>
  <c r="T1764" i="16"/>
  <c r="AE1764" i="16" s="1"/>
  <c r="R1764" i="16"/>
  <c r="Q1764" i="16"/>
  <c r="P1764" i="16"/>
  <c r="N1764" i="16"/>
  <c r="L1764" i="16"/>
  <c r="M1764" i="16" s="1"/>
  <c r="K1764" i="16"/>
  <c r="J1764" i="16"/>
  <c r="I1764" i="16"/>
  <c r="AC1763" i="16"/>
  <c r="AA1763" i="16"/>
  <c r="AB1763" i="16" s="1"/>
  <c r="T1763" i="16"/>
  <c r="AE1763" i="16" s="1"/>
  <c r="R1763" i="16"/>
  <c r="Q1763" i="16"/>
  <c r="P1763" i="16"/>
  <c r="N1763" i="16"/>
  <c r="L1763" i="16"/>
  <c r="M1763" i="16" s="1"/>
  <c r="K1763" i="16"/>
  <c r="J1763" i="16"/>
  <c r="I1763" i="16"/>
  <c r="AC1762" i="16"/>
  <c r="AA1762" i="16"/>
  <c r="AB1762" i="16" s="1"/>
  <c r="T1762" i="16"/>
  <c r="AE1762" i="16" s="1"/>
  <c r="R1762" i="16"/>
  <c r="Q1762" i="16"/>
  <c r="P1762" i="16"/>
  <c r="N1762" i="16"/>
  <c r="L1762" i="16"/>
  <c r="M1762" i="16" s="1"/>
  <c r="K1762" i="16"/>
  <c r="J1762" i="16"/>
  <c r="I1762" i="16"/>
  <c r="AC1761" i="16"/>
  <c r="AA1761" i="16"/>
  <c r="AB1761" i="16" s="1"/>
  <c r="T1761" i="16"/>
  <c r="AE1761" i="16" s="1"/>
  <c r="R1761" i="16"/>
  <c r="Q1761" i="16"/>
  <c r="P1761" i="16"/>
  <c r="N1761" i="16"/>
  <c r="L1761" i="16"/>
  <c r="M1761" i="16" s="1"/>
  <c r="K1761" i="16"/>
  <c r="J1761" i="16"/>
  <c r="I1761" i="16"/>
  <c r="AC1760" i="16"/>
  <c r="AA1760" i="16"/>
  <c r="AB1760" i="16" s="1"/>
  <c r="T1760" i="16"/>
  <c r="AE1760" i="16" s="1"/>
  <c r="R1760" i="16"/>
  <c r="Q1760" i="16"/>
  <c r="P1760" i="16"/>
  <c r="N1760" i="16"/>
  <c r="L1760" i="16"/>
  <c r="M1760" i="16" s="1"/>
  <c r="K1760" i="16"/>
  <c r="J1760" i="16"/>
  <c r="I1760" i="16"/>
  <c r="AC1759" i="16"/>
  <c r="AA1759" i="16"/>
  <c r="AB1759" i="16" s="1"/>
  <c r="T1759" i="16"/>
  <c r="AE1759" i="16" s="1"/>
  <c r="R1759" i="16"/>
  <c r="Q1759" i="16"/>
  <c r="P1759" i="16"/>
  <c r="N1759" i="16"/>
  <c r="L1759" i="16"/>
  <c r="M1759" i="16" s="1"/>
  <c r="K1759" i="16"/>
  <c r="J1759" i="16"/>
  <c r="I1759" i="16"/>
  <c r="AC1758" i="16"/>
  <c r="AA1758" i="16"/>
  <c r="AB1758" i="16" s="1"/>
  <c r="T1758" i="16"/>
  <c r="AE1758" i="16" s="1"/>
  <c r="R1758" i="16"/>
  <c r="Q1758" i="16"/>
  <c r="P1758" i="16"/>
  <c r="N1758" i="16"/>
  <c r="L1758" i="16"/>
  <c r="M1758" i="16" s="1"/>
  <c r="K1758" i="16"/>
  <c r="J1758" i="16"/>
  <c r="I1758" i="16"/>
  <c r="AC1757" i="16"/>
  <c r="AA1757" i="16"/>
  <c r="AB1757" i="16" s="1"/>
  <c r="T1757" i="16"/>
  <c r="AE1757" i="16" s="1"/>
  <c r="R1757" i="16"/>
  <c r="Q1757" i="16"/>
  <c r="P1757" i="16"/>
  <c r="N1757" i="16"/>
  <c r="L1757" i="16"/>
  <c r="M1757" i="16" s="1"/>
  <c r="K1757" i="16"/>
  <c r="J1757" i="16"/>
  <c r="I1757" i="16"/>
  <c r="AC1756" i="16"/>
  <c r="AA1756" i="16"/>
  <c r="AB1756" i="16" s="1"/>
  <c r="T1756" i="16"/>
  <c r="AE1756" i="16" s="1"/>
  <c r="R1756" i="16"/>
  <c r="Q1756" i="16"/>
  <c r="P1756" i="16"/>
  <c r="N1756" i="16"/>
  <c r="L1756" i="16"/>
  <c r="M1756" i="16" s="1"/>
  <c r="K1756" i="16"/>
  <c r="J1756" i="16"/>
  <c r="I1756" i="16"/>
  <c r="AC1755" i="16"/>
  <c r="AA1755" i="16"/>
  <c r="AB1755" i="16" s="1"/>
  <c r="T1755" i="16"/>
  <c r="AE1755" i="16" s="1"/>
  <c r="R1755" i="16"/>
  <c r="Q1755" i="16"/>
  <c r="P1755" i="16"/>
  <c r="N1755" i="16"/>
  <c r="L1755" i="16"/>
  <c r="M1755" i="16" s="1"/>
  <c r="K1755" i="16"/>
  <c r="J1755" i="16"/>
  <c r="I1755" i="16"/>
  <c r="AC1754" i="16"/>
  <c r="AA1754" i="16"/>
  <c r="AB1754" i="16" s="1"/>
  <c r="T1754" i="16"/>
  <c r="AE1754" i="16" s="1"/>
  <c r="R1754" i="16"/>
  <c r="Q1754" i="16"/>
  <c r="P1754" i="16"/>
  <c r="N1754" i="16"/>
  <c r="L1754" i="16"/>
  <c r="M1754" i="16" s="1"/>
  <c r="K1754" i="16"/>
  <c r="J1754" i="16"/>
  <c r="I1754" i="16"/>
  <c r="AC1753" i="16"/>
  <c r="AA1753" i="16"/>
  <c r="AB1753" i="16" s="1"/>
  <c r="T1753" i="16"/>
  <c r="AE1753" i="16" s="1"/>
  <c r="R1753" i="16"/>
  <c r="Q1753" i="16"/>
  <c r="P1753" i="16"/>
  <c r="N1753" i="16"/>
  <c r="L1753" i="16"/>
  <c r="M1753" i="16" s="1"/>
  <c r="K1753" i="16"/>
  <c r="J1753" i="16"/>
  <c r="I1753" i="16"/>
  <c r="AC1752" i="16"/>
  <c r="AA1752" i="16"/>
  <c r="AB1752" i="16" s="1"/>
  <c r="T1752" i="16"/>
  <c r="AE1752" i="16" s="1"/>
  <c r="R1752" i="16"/>
  <c r="Q1752" i="16"/>
  <c r="P1752" i="16"/>
  <c r="N1752" i="16"/>
  <c r="L1752" i="16"/>
  <c r="M1752" i="16" s="1"/>
  <c r="K1752" i="16"/>
  <c r="J1752" i="16"/>
  <c r="I1752" i="16"/>
  <c r="AC1751" i="16"/>
  <c r="AA1751" i="16"/>
  <c r="AB1751" i="16" s="1"/>
  <c r="T1751" i="16"/>
  <c r="AE1751" i="16" s="1"/>
  <c r="R1751" i="16"/>
  <c r="Q1751" i="16"/>
  <c r="P1751" i="16"/>
  <c r="N1751" i="16"/>
  <c r="L1751" i="16"/>
  <c r="M1751" i="16" s="1"/>
  <c r="K1751" i="16"/>
  <c r="J1751" i="16"/>
  <c r="I1751" i="16"/>
  <c r="AC1750" i="16"/>
  <c r="AA1750" i="16"/>
  <c r="AB1750" i="16" s="1"/>
  <c r="T1750" i="16"/>
  <c r="AE1750" i="16" s="1"/>
  <c r="R1750" i="16"/>
  <c r="Q1750" i="16"/>
  <c r="P1750" i="16"/>
  <c r="N1750" i="16"/>
  <c r="L1750" i="16"/>
  <c r="M1750" i="16" s="1"/>
  <c r="K1750" i="16"/>
  <c r="J1750" i="16"/>
  <c r="I1750" i="16"/>
  <c r="AC1749" i="16"/>
  <c r="AA1749" i="16"/>
  <c r="AB1749" i="16" s="1"/>
  <c r="T1749" i="16"/>
  <c r="AE1749" i="16" s="1"/>
  <c r="R1749" i="16"/>
  <c r="Q1749" i="16"/>
  <c r="P1749" i="16"/>
  <c r="N1749" i="16"/>
  <c r="L1749" i="16"/>
  <c r="M1749" i="16" s="1"/>
  <c r="K1749" i="16"/>
  <c r="J1749" i="16"/>
  <c r="I1749" i="16"/>
  <c r="AC1748" i="16"/>
  <c r="AA1748" i="16"/>
  <c r="AB1748" i="16" s="1"/>
  <c r="T1748" i="16"/>
  <c r="AE1748" i="16" s="1"/>
  <c r="R1748" i="16"/>
  <c r="Q1748" i="16"/>
  <c r="P1748" i="16"/>
  <c r="N1748" i="16"/>
  <c r="L1748" i="16"/>
  <c r="M1748" i="16" s="1"/>
  <c r="K1748" i="16"/>
  <c r="J1748" i="16"/>
  <c r="I1748" i="16"/>
  <c r="AC1747" i="16"/>
  <c r="AA1747" i="16"/>
  <c r="AB1747" i="16" s="1"/>
  <c r="T1747" i="16"/>
  <c r="AE1747" i="16" s="1"/>
  <c r="R1747" i="16"/>
  <c r="Q1747" i="16"/>
  <c r="P1747" i="16"/>
  <c r="N1747" i="16"/>
  <c r="L1747" i="16"/>
  <c r="M1747" i="16" s="1"/>
  <c r="K1747" i="16"/>
  <c r="J1747" i="16"/>
  <c r="I1747" i="16"/>
  <c r="AC1746" i="16"/>
  <c r="AA1746" i="16"/>
  <c r="AB1746" i="16" s="1"/>
  <c r="T1746" i="16"/>
  <c r="AE1746" i="16" s="1"/>
  <c r="R1746" i="16"/>
  <c r="Q1746" i="16"/>
  <c r="P1746" i="16"/>
  <c r="N1746" i="16"/>
  <c r="L1746" i="16"/>
  <c r="M1746" i="16" s="1"/>
  <c r="K1746" i="16"/>
  <c r="J1746" i="16"/>
  <c r="I1746" i="16"/>
  <c r="AC1745" i="16"/>
  <c r="AA1745" i="16"/>
  <c r="AB1745" i="16" s="1"/>
  <c r="T1745" i="16"/>
  <c r="AE1745" i="16" s="1"/>
  <c r="R1745" i="16"/>
  <c r="Q1745" i="16"/>
  <c r="P1745" i="16"/>
  <c r="N1745" i="16"/>
  <c r="L1745" i="16"/>
  <c r="M1745" i="16" s="1"/>
  <c r="K1745" i="16"/>
  <c r="J1745" i="16"/>
  <c r="I1745" i="16"/>
  <c r="AC1744" i="16"/>
  <c r="AA1744" i="16"/>
  <c r="AB1744" i="16" s="1"/>
  <c r="T1744" i="16"/>
  <c r="AE1744" i="16" s="1"/>
  <c r="R1744" i="16"/>
  <c r="Q1744" i="16"/>
  <c r="P1744" i="16"/>
  <c r="N1744" i="16"/>
  <c r="L1744" i="16"/>
  <c r="M1744" i="16" s="1"/>
  <c r="K1744" i="16"/>
  <c r="J1744" i="16"/>
  <c r="I1744" i="16"/>
  <c r="AC1743" i="16"/>
  <c r="AA1743" i="16"/>
  <c r="AB1743" i="16" s="1"/>
  <c r="T1743" i="16"/>
  <c r="AE1743" i="16" s="1"/>
  <c r="R1743" i="16"/>
  <c r="Q1743" i="16"/>
  <c r="P1743" i="16"/>
  <c r="N1743" i="16"/>
  <c r="L1743" i="16"/>
  <c r="M1743" i="16" s="1"/>
  <c r="K1743" i="16"/>
  <c r="J1743" i="16"/>
  <c r="I1743" i="16"/>
  <c r="AC1742" i="16"/>
  <c r="AA1742" i="16"/>
  <c r="AB1742" i="16" s="1"/>
  <c r="T1742" i="16"/>
  <c r="AE1742" i="16" s="1"/>
  <c r="R1742" i="16"/>
  <c r="Q1742" i="16"/>
  <c r="P1742" i="16"/>
  <c r="N1742" i="16"/>
  <c r="L1742" i="16"/>
  <c r="M1742" i="16" s="1"/>
  <c r="K1742" i="16"/>
  <c r="J1742" i="16"/>
  <c r="I1742" i="16"/>
  <c r="AC1741" i="16"/>
  <c r="AA1741" i="16"/>
  <c r="AB1741" i="16" s="1"/>
  <c r="T1741" i="16"/>
  <c r="AE1741" i="16" s="1"/>
  <c r="R1741" i="16"/>
  <c r="Q1741" i="16"/>
  <c r="P1741" i="16"/>
  <c r="N1741" i="16"/>
  <c r="L1741" i="16"/>
  <c r="M1741" i="16" s="1"/>
  <c r="K1741" i="16"/>
  <c r="J1741" i="16"/>
  <c r="I1741" i="16"/>
  <c r="AC1740" i="16"/>
  <c r="AA1740" i="16"/>
  <c r="AB1740" i="16" s="1"/>
  <c r="T1740" i="16"/>
  <c r="AE1740" i="16" s="1"/>
  <c r="R1740" i="16"/>
  <c r="Q1740" i="16"/>
  <c r="P1740" i="16"/>
  <c r="N1740" i="16"/>
  <c r="L1740" i="16"/>
  <c r="M1740" i="16" s="1"/>
  <c r="K1740" i="16"/>
  <c r="J1740" i="16"/>
  <c r="I1740" i="16"/>
  <c r="AC1739" i="16"/>
  <c r="AA1739" i="16"/>
  <c r="AB1739" i="16" s="1"/>
  <c r="T1739" i="16"/>
  <c r="AE1739" i="16" s="1"/>
  <c r="R1739" i="16"/>
  <c r="Q1739" i="16"/>
  <c r="P1739" i="16"/>
  <c r="N1739" i="16"/>
  <c r="L1739" i="16"/>
  <c r="M1739" i="16" s="1"/>
  <c r="K1739" i="16"/>
  <c r="J1739" i="16"/>
  <c r="I1739" i="16"/>
  <c r="AC1738" i="16"/>
  <c r="AA1738" i="16"/>
  <c r="AB1738" i="16" s="1"/>
  <c r="T1738" i="16"/>
  <c r="AE1738" i="16" s="1"/>
  <c r="R1738" i="16"/>
  <c r="Q1738" i="16"/>
  <c r="P1738" i="16"/>
  <c r="N1738" i="16"/>
  <c r="L1738" i="16"/>
  <c r="M1738" i="16" s="1"/>
  <c r="K1738" i="16"/>
  <c r="J1738" i="16"/>
  <c r="I1738" i="16"/>
  <c r="AC1737" i="16"/>
  <c r="AA1737" i="16"/>
  <c r="AB1737" i="16" s="1"/>
  <c r="T1737" i="16"/>
  <c r="AE1737" i="16" s="1"/>
  <c r="R1737" i="16"/>
  <c r="Q1737" i="16"/>
  <c r="P1737" i="16"/>
  <c r="N1737" i="16"/>
  <c r="L1737" i="16"/>
  <c r="M1737" i="16" s="1"/>
  <c r="K1737" i="16"/>
  <c r="J1737" i="16"/>
  <c r="I1737" i="16"/>
  <c r="AC1736" i="16"/>
  <c r="AA1736" i="16"/>
  <c r="AB1736" i="16" s="1"/>
  <c r="T1736" i="16"/>
  <c r="AE1736" i="16" s="1"/>
  <c r="R1736" i="16"/>
  <c r="Q1736" i="16"/>
  <c r="P1736" i="16"/>
  <c r="N1736" i="16"/>
  <c r="L1736" i="16"/>
  <c r="M1736" i="16" s="1"/>
  <c r="K1736" i="16"/>
  <c r="J1736" i="16"/>
  <c r="I1736" i="16"/>
  <c r="AC1735" i="16"/>
  <c r="AA1735" i="16"/>
  <c r="AB1735" i="16" s="1"/>
  <c r="T1735" i="16"/>
  <c r="AE1735" i="16" s="1"/>
  <c r="R1735" i="16"/>
  <c r="Q1735" i="16"/>
  <c r="P1735" i="16"/>
  <c r="N1735" i="16"/>
  <c r="L1735" i="16"/>
  <c r="M1735" i="16" s="1"/>
  <c r="K1735" i="16"/>
  <c r="J1735" i="16"/>
  <c r="I1735" i="16"/>
  <c r="AC1734" i="16"/>
  <c r="AA1734" i="16"/>
  <c r="AB1734" i="16" s="1"/>
  <c r="T1734" i="16"/>
  <c r="AE1734" i="16" s="1"/>
  <c r="R1734" i="16"/>
  <c r="Q1734" i="16"/>
  <c r="P1734" i="16"/>
  <c r="N1734" i="16"/>
  <c r="L1734" i="16"/>
  <c r="M1734" i="16" s="1"/>
  <c r="K1734" i="16"/>
  <c r="J1734" i="16"/>
  <c r="I1734" i="16"/>
  <c r="AC1733" i="16"/>
  <c r="AA1733" i="16"/>
  <c r="AB1733" i="16" s="1"/>
  <c r="T1733" i="16"/>
  <c r="AE1733" i="16" s="1"/>
  <c r="R1733" i="16"/>
  <c r="Q1733" i="16"/>
  <c r="P1733" i="16"/>
  <c r="N1733" i="16"/>
  <c r="L1733" i="16"/>
  <c r="M1733" i="16" s="1"/>
  <c r="K1733" i="16"/>
  <c r="J1733" i="16"/>
  <c r="I1733" i="16"/>
  <c r="AC1732" i="16"/>
  <c r="AA1732" i="16"/>
  <c r="AB1732" i="16" s="1"/>
  <c r="T1732" i="16"/>
  <c r="AE1732" i="16" s="1"/>
  <c r="R1732" i="16"/>
  <c r="Q1732" i="16"/>
  <c r="P1732" i="16"/>
  <c r="N1732" i="16"/>
  <c r="L1732" i="16"/>
  <c r="M1732" i="16" s="1"/>
  <c r="K1732" i="16"/>
  <c r="J1732" i="16"/>
  <c r="I1732" i="16"/>
  <c r="AC1731" i="16"/>
  <c r="AA1731" i="16"/>
  <c r="AB1731" i="16" s="1"/>
  <c r="T1731" i="16"/>
  <c r="AE1731" i="16" s="1"/>
  <c r="R1731" i="16"/>
  <c r="Q1731" i="16"/>
  <c r="P1731" i="16"/>
  <c r="N1731" i="16"/>
  <c r="L1731" i="16"/>
  <c r="M1731" i="16" s="1"/>
  <c r="K1731" i="16"/>
  <c r="J1731" i="16"/>
  <c r="I1731" i="16"/>
  <c r="AC1730" i="16"/>
  <c r="AA1730" i="16"/>
  <c r="AB1730" i="16" s="1"/>
  <c r="T1730" i="16"/>
  <c r="AE1730" i="16" s="1"/>
  <c r="R1730" i="16"/>
  <c r="Q1730" i="16"/>
  <c r="P1730" i="16"/>
  <c r="N1730" i="16"/>
  <c r="L1730" i="16"/>
  <c r="M1730" i="16" s="1"/>
  <c r="K1730" i="16"/>
  <c r="J1730" i="16"/>
  <c r="I1730" i="16"/>
  <c r="AC1729" i="16"/>
  <c r="AA1729" i="16"/>
  <c r="AB1729" i="16" s="1"/>
  <c r="T1729" i="16"/>
  <c r="AE1729" i="16" s="1"/>
  <c r="R1729" i="16"/>
  <c r="Q1729" i="16"/>
  <c r="P1729" i="16"/>
  <c r="N1729" i="16"/>
  <c r="L1729" i="16"/>
  <c r="M1729" i="16" s="1"/>
  <c r="K1729" i="16"/>
  <c r="J1729" i="16"/>
  <c r="I1729" i="16"/>
  <c r="AC1728" i="16"/>
  <c r="AA1728" i="16"/>
  <c r="AB1728" i="16" s="1"/>
  <c r="T1728" i="16"/>
  <c r="AE1728" i="16" s="1"/>
  <c r="R1728" i="16"/>
  <c r="Q1728" i="16"/>
  <c r="P1728" i="16"/>
  <c r="N1728" i="16"/>
  <c r="L1728" i="16"/>
  <c r="M1728" i="16" s="1"/>
  <c r="K1728" i="16"/>
  <c r="J1728" i="16"/>
  <c r="I1728" i="16"/>
  <c r="AC1727" i="16"/>
  <c r="AA1727" i="16"/>
  <c r="AB1727" i="16" s="1"/>
  <c r="T1727" i="16"/>
  <c r="AE1727" i="16" s="1"/>
  <c r="R1727" i="16"/>
  <c r="Q1727" i="16"/>
  <c r="P1727" i="16"/>
  <c r="N1727" i="16"/>
  <c r="L1727" i="16"/>
  <c r="M1727" i="16" s="1"/>
  <c r="K1727" i="16"/>
  <c r="J1727" i="16"/>
  <c r="I1727" i="16"/>
  <c r="AC1726" i="16"/>
  <c r="AA1726" i="16"/>
  <c r="AB1726" i="16" s="1"/>
  <c r="T1726" i="16"/>
  <c r="AE1726" i="16" s="1"/>
  <c r="R1726" i="16"/>
  <c r="Q1726" i="16"/>
  <c r="P1726" i="16"/>
  <c r="N1726" i="16"/>
  <c r="L1726" i="16"/>
  <c r="M1726" i="16" s="1"/>
  <c r="K1726" i="16"/>
  <c r="J1726" i="16"/>
  <c r="I1726" i="16"/>
  <c r="AC1725" i="16"/>
  <c r="AA1725" i="16"/>
  <c r="AB1725" i="16" s="1"/>
  <c r="T1725" i="16"/>
  <c r="AE1725" i="16" s="1"/>
  <c r="R1725" i="16"/>
  <c r="Q1725" i="16"/>
  <c r="P1725" i="16"/>
  <c r="N1725" i="16"/>
  <c r="L1725" i="16"/>
  <c r="M1725" i="16" s="1"/>
  <c r="K1725" i="16"/>
  <c r="J1725" i="16"/>
  <c r="I1725" i="16"/>
  <c r="AC1724" i="16"/>
  <c r="AA1724" i="16"/>
  <c r="AB1724" i="16" s="1"/>
  <c r="T1724" i="16"/>
  <c r="AE1724" i="16" s="1"/>
  <c r="R1724" i="16"/>
  <c r="Q1724" i="16"/>
  <c r="P1724" i="16"/>
  <c r="N1724" i="16"/>
  <c r="L1724" i="16"/>
  <c r="M1724" i="16" s="1"/>
  <c r="K1724" i="16"/>
  <c r="J1724" i="16"/>
  <c r="I1724" i="16"/>
  <c r="AC1723" i="16"/>
  <c r="AA1723" i="16"/>
  <c r="AB1723" i="16" s="1"/>
  <c r="T1723" i="16"/>
  <c r="AE1723" i="16" s="1"/>
  <c r="R1723" i="16"/>
  <c r="Q1723" i="16"/>
  <c r="P1723" i="16"/>
  <c r="N1723" i="16"/>
  <c r="L1723" i="16"/>
  <c r="M1723" i="16" s="1"/>
  <c r="K1723" i="16"/>
  <c r="J1723" i="16"/>
  <c r="I1723" i="16"/>
  <c r="AC1722" i="16"/>
  <c r="AA1722" i="16"/>
  <c r="AB1722" i="16" s="1"/>
  <c r="T1722" i="16"/>
  <c r="AE1722" i="16" s="1"/>
  <c r="R1722" i="16"/>
  <c r="Q1722" i="16"/>
  <c r="P1722" i="16"/>
  <c r="N1722" i="16"/>
  <c r="L1722" i="16"/>
  <c r="M1722" i="16" s="1"/>
  <c r="K1722" i="16"/>
  <c r="J1722" i="16"/>
  <c r="I1722" i="16"/>
  <c r="AC1721" i="16"/>
  <c r="AA1721" i="16"/>
  <c r="AB1721" i="16" s="1"/>
  <c r="T1721" i="16"/>
  <c r="AE1721" i="16" s="1"/>
  <c r="R1721" i="16"/>
  <c r="Q1721" i="16"/>
  <c r="P1721" i="16"/>
  <c r="N1721" i="16"/>
  <c r="L1721" i="16"/>
  <c r="M1721" i="16" s="1"/>
  <c r="K1721" i="16"/>
  <c r="J1721" i="16"/>
  <c r="I1721" i="16"/>
  <c r="AC1720" i="16"/>
  <c r="AA1720" i="16"/>
  <c r="AB1720" i="16" s="1"/>
  <c r="T1720" i="16"/>
  <c r="AE1720" i="16" s="1"/>
  <c r="R1720" i="16"/>
  <c r="Q1720" i="16"/>
  <c r="P1720" i="16"/>
  <c r="N1720" i="16"/>
  <c r="L1720" i="16"/>
  <c r="M1720" i="16" s="1"/>
  <c r="K1720" i="16"/>
  <c r="J1720" i="16"/>
  <c r="I1720" i="16"/>
  <c r="AC1719" i="16"/>
  <c r="AA1719" i="16"/>
  <c r="AB1719" i="16" s="1"/>
  <c r="T1719" i="16"/>
  <c r="AE1719" i="16" s="1"/>
  <c r="R1719" i="16"/>
  <c r="Q1719" i="16"/>
  <c r="P1719" i="16"/>
  <c r="N1719" i="16"/>
  <c r="L1719" i="16"/>
  <c r="M1719" i="16" s="1"/>
  <c r="K1719" i="16"/>
  <c r="J1719" i="16"/>
  <c r="I1719" i="16"/>
  <c r="AC1718" i="16"/>
  <c r="AA1718" i="16"/>
  <c r="AB1718" i="16" s="1"/>
  <c r="T1718" i="16"/>
  <c r="AE1718" i="16" s="1"/>
  <c r="R1718" i="16"/>
  <c r="Q1718" i="16"/>
  <c r="P1718" i="16"/>
  <c r="N1718" i="16"/>
  <c r="L1718" i="16"/>
  <c r="M1718" i="16" s="1"/>
  <c r="K1718" i="16"/>
  <c r="J1718" i="16"/>
  <c r="I1718" i="16"/>
  <c r="AC1717" i="16"/>
  <c r="AA1717" i="16"/>
  <c r="AB1717" i="16" s="1"/>
  <c r="T1717" i="16"/>
  <c r="AE1717" i="16" s="1"/>
  <c r="R1717" i="16"/>
  <c r="Q1717" i="16"/>
  <c r="P1717" i="16"/>
  <c r="N1717" i="16"/>
  <c r="L1717" i="16"/>
  <c r="M1717" i="16" s="1"/>
  <c r="K1717" i="16"/>
  <c r="J1717" i="16"/>
  <c r="I1717" i="16"/>
  <c r="AC1716" i="16"/>
  <c r="AA1716" i="16"/>
  <c r="AB1716" i="16" s="1"/>
  <c r="T1716" i="16"/>
  <c r="AE1716" i="16" s="1"/>
  <c r="R1716" i="16"/>
  <c r="Q1716" i="16"/>
  <c r="P1716" i="16"/>
  <c r="N1716" i="16"/>
  <c r="L1716" i="16"/>
  <c r="M1716" i="16" s="1"/>
  <c r="K1716" i="16"/>
  <c r="J1716" i="16"/>
  <c r="I1716" i="16"/>
  <c r="AC1715" i="16"/>
  <c r="AA1715" i="16"/>
  <c r="AB1715" i="16" s="1"/>
  <c r="T1715" i="16"/>
  <c r="AE1715" i="16" s="1"/>
  <c r="R1715" i="16"/>
  <c r="Q1715" i="16"/>
  <c r="P1715" i="16"/>
  <c r="N1715" i="16"/>
  <c r="L1715" i="16"/>
  <c r="M1715" i="16" s="1"/>
  <c r="K1715" i="16"/>
  <c r="J1715" i="16"/>
  <c r="I1715" i="16"/>
  <c r="AC1714" i="16"/>
  <c r="AA1714" i="16"/>
  <c r="AB1714" i="16" s="1"/>
  <c r="T1714" i="16"/>
  <c r="AE1714" i="16" s="1"/>
  <c r="R1714" i="16"/>
  <c r="Q1714" i="16"/>
  <c r="P1714" i="16"/>
  <c r="N1714" i="16"/>
  <c r="L1714" i="16"/>
  <c r="M1714" i="16" s="1"/>
  <c r="K1714" i="16"/>
  <c r="J1714" i="16"/>
  <c r="I1714" i="16"/>
  <c r="AC1713" i="16"/>
  <c r="AA1713" i="16"/>
  <c r="AB1713" i="16" s="1"/>
  <c r="T1713" i="16"/>
  <c r="AE1713" i="16" s="1"/>
  <c r="R1713" i="16"/>
  <c r="Q1713" i="16"/>
  <c r="P1713" i="16"/>
  <c r="N1713" i="16"/>
  <c r="L1713" i="16"/>
  <c r="M1713" i="16" s="1"/>
  <c r="K1713" i="16"/>
  <c r="J1713" i="16"/>
  <c r="I1713" i="16"/>
  <c r="AC1712" i="16"/>
  <c r="AA1712" i="16"/>
  <c r="AB1712" i="16" s="1"/>
  <c r="T1712" i="16"/>
  <c r="AE1712" i="16" s="1"/>
  <c r="R1712" i="16"/>
  <c r="Q1712" i="16"/>
  <c r="P1712" i="16"/>
  <c r="N1712" i="16"/>
  <c r="L1712" i="16"/>
  <c r="M1712" i="16" s="1"/>
  <c r="K1712" i="16"/>
  <c r="J1712" i="16"/>
  <c r="I1712" i="16"/>
  <c r="AC1711" i="16"/>
  <c r="AA1711" i="16"/>
  <c r="AB1711" i="16" s="1"/>
  <c r="T1711" i="16"/>
  <c r="AE1711" i="16" s="1"/>
  <c r="R1711" i="16"/>
  <c r="Q1711" i="16"/>
  <c r="P1711" i="16"/>
  <c r="N1711" i="16"/>
  <c r="L1711" i="16"/>
  <c r="M1711" i="16" s="1"/>
  <c r="K1711" i="16"/>
  <c r="J1711" i="16"/>
  <c r="I1711" i="16"/>
  <c r="AC1710" i="16"/>
  <c r="AA1710" i="16"/>
  <c r="AB1710" i="16" s="1"/>
  <c r="T1710" i="16"/>
  <c r="AE1710" i="16" s="1"/>
  <c r="R1710" i="16"/>
  <c r="Q1710" i="16"/>
  <c r="P1710" i="16"/>
  <c r="N1710" i="16"/>
  <c r="L1710" i="16"/>
  <c r="M1710" i="16" s="1"/>
  <c r="K1710" i="16"/>
  <c r="J1710" i="16"/>
  <c r="I1710" i="16"/>
  <c r="AC1709" i="16"/>
  <c r="AA1709" i="16"/>
  <c r="AB1709" i="16" s="1"/>
  <c r="T1709" i="16"/>
  <c r="AE1709" i="16" s="1"/>
  <c r="R1709" i="16"/>
  <c r="Q1709" i="16"/>
  <c r="P1709" i="16"/>
  <c r="N1709" i="16"/>
  <c r="L1709" i="16"/>
  <c r="M1709" i="16" s="1"/>
  <c r="K1709" i="16"/>
  <c r="J1709" i="16"/>
  <c r="I1709" i="16"/>
  <c r="AC1708" i="16"/>
  <c r="AA1708" i="16"/>
  <c r="AB1708" i="16" s="1"/>
  <c r="T1708" i="16"/>
  <c r="AE1708" i="16" s="1"/>
  <c r="R1708" i="16"/>
  <c r="Q1708" i="16"/>
  <c r="P1708" i="16"/>
  <c r="N1708" i="16"/>
  <c r="L1708" i="16"/>
  <c r="M1708" i="16" s="1"/>
  <c r="K1708" i="16"/>
  <c r="J1708" i="16"/>
  <c r="I1708" i="16"/>
  <c r="AC1707" i="16"/>
  <c r="AA1707" i="16"/>
  <c r="AB1707" i="16" s="1"/>
  <c r="T1707" i="16"/>
  <c r="AE1707" i="16" s="1"/>
  <c r="R1707" i="16"/>
  <c r="Q1707" i="16"/>
  <c r="P1707" i="16"/>
  <c r="N1707" i="16"/>
  <c r="L1707" i="16"/>
  <c r="M1707" i="16" s="1"/>
  <c r="K1707" i="16"/>
  <c r="J1707" i="16"/>
  <c r="I1707" i="16"/>
  <c r="AC1706" i="16"/>
  <c r="AA1706" i="16"/>
  <c r="AB1706" i="16" s="1"/>
  <c r="T1706" i="16"/>
  <c r="AE1706" i="16" s="1"/>
  <c r="R1706" i="16"/>
  <c r="Q1706" i="16"/>
  <c r="P1706" i="16"/>
  <c r="N1706" i="16"/>
  <c r="L1706" i="16"/>
  <c r="M1706" i="16" s="1"/>
  <c r="K1706" i="16"/>
  <c r="J1706" i="16"/>
  <c r="I1706" i="16"/>
  <c r="AC1705" i="16"/>
  <c r="AA1705" i="16"/>
  <c r="AB1705" i="16" s="1"/>
  <c r="T1705" i="16"/>
  <c r="AE1705" i="16" s="1"/>
  <c r="R1705" i="16"/>
  <c r="Q1705" i="16"/>
  <c r="P1705" i="16"/>
  <c r="N1705" i="16"/>
  <c r="L1705" i="16"/>
  <c r="M1705" i="16" s="1"/>
  <c r="K1705" i="16"/>
  <c r="J1705" i="16"/>
  <c r="I1705" i="16"/>
  <c r="AC1704" i="16"/>
  <c r="AA1704" i="16"/>
  <c r="AB1704" i="16" s="1"/>
  <c r="T1704" i="16"/>
  <c r="AE1704" i="16" s="1"/>
  <c r="R1704" i="16"/>
  <c r="Q1704" i="16"/>
  <c r="P1704" i="16"/>
  <c r="N1704" i="16"/>
  <c r="L1704" i="16"/>
  <c r="M1704" i="16" s="1"/>
  <c r="K1704" i="16"/>
  <c r="J1704" i="16"/>
  <c r="I1704" i="16"/>
  <c r="AC1703" i="16"/>
  <c r="AA1703" i="16"/>
  <c r="AB1703" i="16" s="1"/>
  <c r="T1703" i="16"/>
  <c r="AE1703" i="16" s="1"/>
  <c r="R1703" i="16"/>
  <c r="Q1703" i="16"/>
  <c r="P1703" i="16"/>
  <c r="N1703" i="16"/>
  <c r="L1703" i="16"/>
  <c r="M1703" i="16" s="1"/>
  <c r="K1703" i="16"/>
  <c r="J1703" i="16"/>
  <c r="I1703" i="16"/>
  <c r="AC1702" i="16"/>
  <c r="AA1702" i="16"/>
  <c r="AB1702" i="16" s="1"/>
  <c r="T1702" i="16"/>
  <c r="AE1702" i="16" s="1"/>
  <c r="R1702" i="16"/>
  <c r="Q1702" i="16"/>
  <c r="P1702" i="16"/>
  <c r="N1702" i="16"/>
  <c r="L1702" i="16"/>
  <c r="M1702" i="16" s="1"/>
  <c r="K1702" i="16"/>
  <c r="J1702" i="16"/>
  <c r="I1702" i="16"/>
  <c r="AC1701" i="16"/>
  <c r="AA1701" i="16"/>
  <c r="AB1701" i="16" s="1"/>
  <c r="T1701" i="16"/>
  <c r="AE1701" i="16" s="1"/>
  <c r="R1701" i="16"/>
  <c r="Q1701" i="16"/>
  <c r="P1701" i="16"/>
  <c r="N1701" i="16"/>
  <c r="L1701" i="16"/>
  <c r="M1701" i="16" s="1"/>
  <c r="K1701" i="16"/>
  <c r="J1701" i="16"/>
  <c r="I1701" i="16"/>
  <c r="AC1700" i="16"/>
  <c r="AA1700" i="16"/>
  <c r="AB1700" i="16" s="1"/>
  <c r="T1700" i="16"/>
  <c r="AE1700" i="16" s="1"/>
  <c r="R1700" i="16"/>
  <c r="Q1700" i="16"/>
  <c r="P1700" i="16"/>
  <c r="N1700" i="16"/>
  <c r="L1700" i="16"/>
  <c r="M1700" i="16" s="1"/>
  <c r="K1700" i="16"/>
  <c r="J1700" i="16"/>
  <c r="I1700" i="16"/>
  <c r="AC1699" i="16"/>
  <c r="AA1699" i="16"/>
  <c r="AB1699" i="16" s="1"/>
  <c r="T1699" i="16"/>
  <c r="AE1699" i="16" s="1"/>
  <c r="R1699" i="16"/>
  <c r="Q1699" i="16"/>
  <c r="P1699" i="16"/>
  <c r="N1699" i="16"/>
  <c r="L1699" i="16"/>
  <c r="M1699" i="16" s="1"/>
  <c r="K1699" i="16"/>
  <c r="J1699" i="16"/>
  <c r="I1699" i="16"/>
  <c r="AC1698" i="16"/>
  <c r="AA1698" i="16"/>
  <c r="AB1698" i="16" s="1"/>
  <c r="T1698" i="16"/>
  <c r="AE1698" i="16" s="1"/>
  <c r="R1698" i="16"/>
  <c r="Q1698" i="16"/>
  <c r="P1698" i="16"/>
  <c r="N1698" i="16"/>
  <c r="L1698" i="16"/>
  <c r="M1698" i="16" s="1"/>
  <c r="K1698" i="16"/>
  <c r="J1698" i="16"/>
  <c r="I1698" i="16"/>
  <c r="AC1697" i="16"/>
  <c r="AA1697" i="16"/>
  <c r="AB1697" i="16" s="1"/>
  <c r="T1697" i="16"/>
  <c r="AE1697" i="16" s="1"/>
  <c r="R1697" i="16"/>
  <c r="Q1697" i="16"/>
  <c r="P1697" i="16"/>
  <c r="N1697" i="16"/>
  <c r="L1697" i="16"/>
  <c r="M1697" i="16" s="1"/>
  <c r="K1697" i="16"/>
  <c r="J1697" i="16"/>
  <c r="I1697" i="16"/>
  <c r="AC1696" i="16"/>
  <c r="AA1696" i="16"/>
  <c r="AB1696" i="16" s="1"/>
  <c r="T1696" i="16"/>
  <c r="AE1696" i="16" s="1"/>
  <c r="R1696" i="16"/>
  <c r="Q1696" i="16"/>
  <c r="P1696" i="16"/>
  <c r="N1696" i="16"/>
  <c r="L1696" i="16"/>
  <c r="M1696" i="16" s="1"/>
  <c r="K1696" i="16"/>
  <c r="J1696" i="16"/>
  <c r="I1696" i="16"/>
  <c r="AC1695" i="16"/>
  <c r="AA1695" i="16"/>
  <c r="AB1695" i="16" s="1"/>
  <c r="T1695" i="16"/>
  <c r="AE1695" i="16" s="1"/>
  <c r="R1695" i="16"/>
  <c r="Q1695" i="16"/>
  <c r="P1695" i="16"/>
  <c r="N1695" i="16"/>
  <c r="L1695" i="16"/>
  <c r="M1695" i="16" s="1"/>
  <c r="K1695" i="16"/>
  <c r="J1695" i="16"/>
  <c r="I1695" i="16"/>
  <c r="AC1694" i="16"/>
  <c r="AA1694" i="16"/>
  <c r="AB1694" i="16" s="1"/>
  <c r="T1694" i="16"/>
  <c r="AE1694" i="16" s="1"/>
  <c r="R1694" i="16"/>
  <c r="Q1694" i="16"/>
  <c r="P1694" i="16"/>
  <c r="N1694" i="16"/>
  <c r="L1694" i="16"/>
  <c r="M1694" i="16" s="1"/>
  <c r="K1694" i="16"/>
  <c r="J1694" i="16"/>
  <c r="I1694" i="16"/>
  <c r="AC1693" i="16"/>
  <c r="AA1693" i="16"/>
  <c r="AB1693" i="16" s="1"/>
  <c r="T1693" i="16"/>
  <c r="AE1693" i="16" s="1"/>
  <c r="R1693" i="16"/>
  <c r="Q1693" i="16"/>
  <c r="P1693" i="16"/>
  <c r="N1693" i="16"/>
  <c r="L1693" i="16"/>
  <c r="M1693" i="16" s="1"/>
  <c r="K1693" i="16"/>
  <c r="J1693" i="16"/>
  <c r="I1693" i="16"/>
  <c r="AC1692" i="16"/>
  <c r="AA1692" i="16"/>
  <c r="AB1692" i="16" s="1"/>
  <c r="T1692" i="16"/>
  <c r="AE1692" i="16" s="1"/>
  <c r="R1692" i="16"/>
  <c r="Q1692" i="16"/>
  <c r="P1692" i="16"/>
  <c r="N1692" i="16"/>
  <c r="L1692" i="16"/>
  <c r="M1692" i="16" s="1"/>
  <c r="K1692" i="16"/>
  <c r="J1692" i="16"/>
  <c r="I1692" i="16"/>
  <c r="AC1691" i="16"/>
  <c r="AA1691" i="16"/>
  <c r="AB1691" i="16" s="1"/>
  <c r="T1691" i="16"/>
  <c r="AE1691" i="16" s="1"/>
  <c r="R1691" i="16"/>
  <c r="Q1691" i="16"/>
  <c r="P1691" i="16"/>
  <c r="N1691" i="16"/>
  <c r="L1691" i="16"/>
  <c r="M1691" i="16" s="1"/>
  <c r="K1691" i="16"/>
  <c r="J1691" i="16"/>
  <c r="I1691" i="16"/>
  <c r="AC1690" i="16"/>
  <c r="AA1690" i="16"/>
  <c r="AB1690" i="16" s="1"/>
  <c r="T1690" i="16"/>
  <c r="AE1690" i="16" s="1"/>
  <c r="R1690" i="16"/>
  <c r="Q1690" i="16"/>
  <c r="P1690" i="16"/>
  <c r="N1690" i="16"/>
  <c r="L1690" i="16"/>
  <c r="M1690" i="16" s="1"/>
  <c r="K1690" i="16"/>
  <c r="J1690" i="16"/>
  <c r="I1690" i="16"/>
  <c r="AC1689" i="16"/>
  <c r="AA1689" i="16"/>
  <c r="AB1689" i="16" s="1"/>
  <c r="T1689" i="16"/>
  <c r="AE1689" i="16" s="1"/>
  <c r="R1689" i="16"/>
  <c r="Q1689" i="16"/>
  <c r="P1689" i="16"/>
  <c r="N1689" i="16"/>
  <c r="L1689" i="16"/>
  <c r="M1689" i="16" s="1"/>
  <c r="K1689" i="16"/>
  <c r="J1689" i="16"/>
  <c r="I1689" i="16"/>
  <c r="AC1688" i="16"/>
  <c r="AA1688" i="16"/>
  <c r="AB1688" i="16" s="1"/>
  <c r="T1688" i="16"/>
  <c r="AE1688" i="16" s="1"/>
  <c r="R1688" i="16"/>
  <c r="Q1688" i="16"/>
  <c r="P1688" i="16"/>
  <c r="N1688" i="16"/>
  <c r="L1688" i="16"/>
  <c r="M1688" i="16" s="1"/>
  <c r="K1688" i="16"/>
  <c r="J1688" i="16"/>
  <c r="I1688" i="16"/>
  <c r="AC1687" i="16"/>
  <c r="AA1687" i="16"/>
  <c r="AB1687" i="16" s="1"/>
  <c r="T1687" i="16"/>
  <c r="AE1687" i="16" s="1"/>
  <c r="R1687" i="16"/>
  <c r="Q1687" i="16"/>
  <c r="P1687" i="16"/>
  <c r="N1687" i="16"/>
  <c r="L1687" i="16"/>
  <c r="M1687" i="16" s="1"/>
  <c r="K1687" i="16"/>
  <c r="J1687" i="16"/>
  <c r="I1687" i="16"/>
  <c r="AC1686" i="16"/>
  <c r="AA1686" i="16"/>
  <c r="AB1686" i="16" s="1"/>
  <c r="T1686" i="16"/>
  <c r="AE1686" i="16" s="1"/>
  <c r="R1686" i="16"/>
  <c r="Q1686" i="16"/>
  <c r="P1686" i="16"/>
  <c r="N1686" i="16"/>
  <c r="L1686" i="16"/>
  <c r="M1686" i="16" s="1"/>
  <c r="K1686" i="16"/>
  <c r="J1686" i="16"/>
  <c r="I1686" i="16"/>
  <c r="AC1685" i="16"/>
  <c r="AA1685" i="16"/>
  <c r="AB1685" i="16" s="1"/>
  <c r="T1685" i="16"/>
  <c r="AE1685" i="16" s="1"/>
  <c r="R1685" i="16"/>
  <c r="Q1685" i="16"/>
  <c r="P1685" i="16"/>
  <c r="N1685" i="16"/>
  <c r="L1685" i="16"/>
  <c r="M1685" i="16" s="1"/>
  <c r="K1685" i="16"/>
  <c r="J1685" i="16"/>
  <c r="I1685" i="16"/>
  <c r="AC1684" i="16"/>
  <c r="AA1684" i="16"/>
  <c r="AB1684" i="16" s="1"/>
  <c r="T1684" i="16"/>
  <c r="AE1684" i="16" s="1"/>
  <c r="R1684" i="16"/>
  <c r="Q1684" i="16"/>
  <c r="P1684" i="16"/>
  <c r="N1684" i="16"/>
  <c r="L1684" i="16"/>
  <c r="M1684" i="16" s="1"/>
  <c r="K1684" i="16"/>
  <c r="J1684" i="16"/>
  <c r="I1684" i="16"/>
  <c r="AC1683" i="16"/>
  <c r="AA1683" i="16"/>
  <c r="AB1683" i="16" s="1"/>
  <c r="T1683" i="16"/>
  <c r="AE1683" i="16" s="1"/>
  <c r="R1683" i="16"/>
  <c r="Q1683" i="16"/>
  <c r="P1683" i="16"/>
  <c r="N1683" i="16"/>
  <c r="L1683" i="16"/>
  <c r="M1683" i="16" s="1"/>
  <c r="K1683" i="16"/>
  <c r="J1683" i="16"/>
  <c r="I1683" i="16"/>
  <c r="AC1682" i="16"/>
  <c r="AA1682" i="16"/>
  <c r="AB1682" i="16" s="1"/>
  <c r="T1682" i="16"/>
  <c r="AE1682" i="16" s="1"/>
  <c r="R1682" i="16"/>
  <c r="Q1682" i="16"/>
  <c r="P1682" i="16"/>
  <c r="N1682" i="16"/>
  <c r="L1682" i="16"/>
  <c r="M1682" i="16" s="1"/>
  <c r="K1682" i="16"/>
  <c r="J1682" i="16"/>
  <c r="I1682" i="16"/>
  <c r="AC1681" i="16"/>
  <c r="AA1681" i="16"/>
  <c r="AB1681" i="16" s="1"/>
  <c r="T1681" i="16"/>
  <c r="AE1681" i="16" s="1"/>
  <c r="R1681" i="16"/>
  <c r="Q1681" i="16"/>
  <c r="P1681" i="16"/>
  <c r="N1681" i="16"/>
  <c r="L1681" i="16"/>
  <c r="M1681" i="16" s="1"/>
  <c r="K1681" i="16"/>
  <c r="J1681" i="16"/>
  <c r="I1681" i="16"/>
  <c r="AC1680" i="16"/>
  <c r="AA1680" i="16"/>
  <c r="AB1680" i="16" s="1"/>
  <c r="T1680" i="16"/>
  <c r="AE1680" i="16" s="1"/>
  <c r="R1680" i="16"/>
  <c r="Q1680" i="16"/>
  <c r="P1680" i="16"/>
  <c r="N1680" i="16"/>
  <c r="L1680" i="16"/>
  <c r="M1680" i="16" s="1"/>
  <c r="K1680" i="16"/>
  <c r="J1680" i="16"/>
  <c r="I1680" i="16"/>
  <c r="AC1679" i="16"/>
  <c r="AA1679" i="16"/>
  <c r="AB1679" i="16" s="1"/>
  <c r="T1679" i="16"/>
  <c r="AE1679" i="16" s="1"/>
  <c r="R1679" i="16"/>
  <c r="Q1679" i="16"/>
  <c r="P1679" i="16"/>
  <c r="N1679" i="16"/>
  <c r="L1679" i="16"/>
  <c r="M1679" i="16" s="1"/>
  <c r="K1679" i="16"/>
  <c r="J1679" i="16"/>
  <c r="I1679" i="16"/>
  <c r="AC1678" i="16"/>
  <c r="AA1678" i="16"/>
  <c r="AB1678" i="16" s="1"/>
  <c r="T1678" i="16"/>
  <c r="AE1678" i="16" s="1"/>
  <c r="R1678" i="16"/>
  <c r="Q1678" i="16"/>
  <c r="P1678" i="16"/>
  <c r="N1678" i="16"/>
  <c r="L1678" i="16"/>
  <c r="M1678" i="16" s="1"/>
  <c r="K1678" i="16"/>
  <c r="J1678" i="16"/>
  <c r="I1678" i="16"/>
  <c r="AC1677" i="16"/>
  <c r="AA1677" i="16"/>
  <c r="AB1677" i="16" s="1"/>
  <c r="T1677" i="16"/>
  <c r="AE1677" i="16" s="1"/>
  <c r="R1677" i="16"/>
  <c r="Q1677" i="16"/>
  <c r="P1677" i="16"/>
  <c r="N1677" i="16"/>
  <c r="L1677" i="16"/>
  <c r="M1677" i="16" s="1"/>
  <c r="K1677" i="16"/>
  <c r="J1677" i="16"/>
  <c r="I1677" i="16"/>
  <c r="AC1676" i="16"/>
  <c r="AA1676" i="16"/>
  <c r="AB1676" i="16" s="1"/>
  <c r="T1676" i="16"/>
  <c r="AE1676" i="16" s="1"/>
  <c r="R1676" i="16"/>
  <c r="Q1676" i="16"/>
  <c r="P1676" i="16"/>
  <c r="N1676" i="16"/>
  <c r="L1676" i="16"/>
  <c r="M1676" i="16" s="1"/>
  <c r="K1676" i="16"/>
  <c r="J1676" i="16"/>
  <c r="I1676" i="16"/>
  <c r="AC1675" i="16"/>
  <c r="AA1675" i="16"/>
  <c r="AB1675" i="16" s="1"/>
  <c r="T1675" i="16"/>
  <c r="AE1675" i="16" s="1"/>
  <c r="R1675" i="16"/>
  <c r="Q1675" i="16"/>
  <c r="P1675" i="16"/>
  <c r="N1675" i="16"/>
  <c r="L1675" i="16"/>
  <c r="M1675" i="16" s="1"/>
  <c r="K1675" i="16"/>
  <c r="J1675" i="16"/>
  <c r="I1675" i="16"/>
  <c r="AC1674" i="16"/>
  <c r="AA1674" i="16"/>
  <c r="AB1674" i="16" s="1"/>
  <c r="T1674" i="16"/>
  <c r="AE1674" i="16" s="1"/>
  <c r="R1674" i="16"/>
  <c r="Q1674" i="16"/>
  <c r="P1674" i="16"/>
  <c r="N1674" i="16"/>
  <c r="L1674" i="16"/>
  <c r="M1674" i="16" s="1"/>
  <c r="K1674" i="16"/>
  <c r="J1674" i="16"/>
  <c r="I1674" i="16"/>
  <c r="AC1673" i="16"/>
  <c r="AA1673" i="16"/>
  <c r="AB1673" i="16" s="1"/>
  <c r="T1673" i="16"/>
  <c r="AE1673" i="16" s="1"/>
  <c r="R1673" i="16"/>
  <c r="Q1673" i="16"/>
  <c r="P1673" i="16"/>
  <c r="N1673" i="16"/>
  <c r="L1673" i="16"/>
  <c r="M1673" i="16" s="1"/>
  <c r="K1673" i="16"/>
  <c r="J1673" i="16"/>
  <c r="I1673" i="16"/>
  <c r="AC1672" i="16"/>
  <c r="AA1672" i="16"/>
  <c r="AB1672" i="16" s="1"/>
  <c r="T1672" i="16"/>
  <c r="AE1672" i="16" s="1"/>
  <c r="R1672" i="16"/>
  <c r="Q1672" i="16"/>
  <c r="P1672" i="16"/>
  <c r="N1672" i="16"/>
  <c r="L1672" i="16"/>
  <c r="M1672" i="16" s="1"/>
  <c r="K1672" i="16"/>
  <c r="J1672" i="16"/>
  <c r="I1672" i="16"/>
  <c r="AC1671" i="16"/>
  <c r="AA1671" i="16"/>
  <c r="AB1671" i="16" s="1"/>
  <c r="T1671" i="16"/>
  <c r="AE1671" i="16" s="1"/>
  <c r="R1671" i="16"/>
  <c r="Q1671" i="16"/>
  <c r="P1671" i="16"/>
  <c r="N1671" i="16"/>
  <c r="L1671" i="16"/>
  <c r="M1671" i="16" s="1"/>
  <c r="K1671" i="16"/>
  <c r="J1671" i="16"/>
  <c r="I1671" i="16"/>
  <c r="AC1670" i="16"/>
  <c r="AA1670" i="16"/>
  <c r="AB1670" i="16" s="1"/>
  <c r="T1670" i="16"/>
  <c r="AE1670" i="16" s="1"/>
  <c r="R1670" i="16"/>
  <c r="Q1670" i="16"/>
  <c r="P1670" i="16"/>
  <c r="N1670" i="16"/>
  <c r="L1670" i="16"/>
  <c r="M1670" i="16" s="1"/>
  <c r="K1670" i="16"/>
  <c r="J1670" i="16"/>
  <c r="I1670" i="16"/>
  <c r="AC1669" i="16"/>
  <c r="AA1669" i="16"/>
  <c r="AB1669" i="16" s="1"/>
  <c r="T1669" i="16"/>
  <c r="AE1669" i="16" s="1"/>
  <c r="R1669" i="16"/>
  <c r="Q1669" i="16"/>
  <c r="P1669" i="16"/>
  <c r="N1669" i="16"/>
  <c r="L1669" i="16"/>
  <c r="M1669" i="16" s="1"/>
  <c r="K1669" i="16"/>
  <c r="J1669" i="16"/>
  <c r="I1669" i="16"/>
  <c r="AC1668" i="16"/>
  <c r="AA1668" i="16"/>
  <c r="AB1668" i="16" s="1"/>
  <c r="T1668" i="16"/>
  <c r="AE1668" i="16" s="1"/>
  <c r="R1668" i="16"/>
  <c r="Q1668" i="16"/>
  <c r="P1668" i="16"/>
  <c r="N1668" i="16"/>
  <c r="L1668" i="16"/>
  <c r="M1668" i="16" s="1"/>
  <c r="K1668" i="16"/>
  <c r="J1668" i="16"/>
  <c r="I1668" i="16"/>
  <c r="AC1667" i="16"/>
  <c r="AA1667" i="16"/>
  <c r="AB1667" i="16" s="1"/>
  <c r="T1667" i="16"/>
  <c r="AE1667" i="16" s="1"/>
  <c r="R1667" i="16"/>
  <c r="Q1667" i="16"/>
  <c r="P1667" i="16"/>
  <c r="N1667" i="16"/>
  <c r="L1667" i="16"/>
  <c r="M1667" i="16" s="1"/>
  <c r="K1667" i="16"/>
  <c r="J1667" i="16"/>
  <c r="I1667" i="16"/>
  <c r="AC1666" i="16"/>
  <c r="AA1666" i="16"/>
  <c r="AB1666" i="16" s="1"/>
  <c r="T1666" i="16"/>
  <c r="AE1666" i="16" s="1"/>
  <c r="R1666" i="16"/>
  <c r="Q1666" i="16"/>
  <c r="P1666" i="16"/>
  <c r="N1666" i="16"/>
  <c r="L1666" i="16"/>
  <c r="M1666" i="16" s="1"/>
  <c r="K1666" i="16"/>
  <c r="J1666" i="16"/>
  <c r="I1666" i="16"/>
  <c r="AC1665" i="16"/>
  <c r="AA1665" i="16"/>
  <c r="AB1665" i="16" s="1"/>
  <c r="T1665" i="16"/>
  <c r="AE1665" i="16" s="1"/>
  <c r="R1665" i="16"/>
  <c r="Q1665" i="16"/>
  <c r="P1665" i="16"/>
  <c r="N1665" i="16"/>
  <c r="L1665" i="16"/>
  <c r="M1665" i="16" s="1"/>
  <c r="K1665" i="16"/>
  <c r="J1665" i="16"/>
  <c r="I1665" i="16"/>
  <c r="AC1664" i="16"/>
  <c r="AA1664" i="16"/>
  <c r="AB1664" i="16" s="1"/>
  <c r="T1664" i="16"/>
  <c r="AE1664" i="16" s="1"/>
  <c r="R1664" i="16"/>
  <c r="Q1664" i="16"/>
  <c r="P1664" i="16"/>
  <c r="N1664" i="16"/>
  <c r="L1664" i="16"/>
  <c r="M1664" i="16" s="1"/>
  <c r="K1664" i="16"/>
  <c r="J1664" i="16"/>
  <c r="I1664" i="16"/>
  <c r="AC1663" i="16"/>
  <c r="AA1663" i="16"/>
  <c r="AB1663" i="16" s="1"/>
  <c r="T1663" i="16"/>
  <c r="AE1663" i="16" s="1"/>
  <c r="R1663" i="16"/>
  <c r="Q1663" i="16"/>
  <c r="P1663" i="16"/>
  <c r="N1663" i="16"/>
  <c r="L1663" i="16"/>
  <c r="M1663" i="16" s="1"/>
  <c r="K1663" i="16"/>
  <c r="J1663" i="16"/>
  <c r="I1663" i="16"/>
  <c r="AC1662" i="16"/>
  <c r="AA1662" i="16"/>
  <c r="AB1662" i="16" s="1"/>
  <c r="T1662" i="16"/>
  <c r="AE1662" i="16" s="1"/>
  <c r="R1662" i="16"/>
  <c r="Q1662" i="16"/>
  <c r="P1662" i="16"/>
  <c r="N1662" i="16"/>
  <c r="L1662" i="16"/>
  <c r="M1662" i="16" s="1"/>
  <c r="K1662" i="16"/>
  <c r="J1662" i="16"/>
  <c r="I1662" i="16"/>
  <c r="AC1661" i="16"/>
  <c r="AA1661" i="16"/>
  <c r="AB1661" i="16" s="1"/>
  <c r="T1661" i="16"/>
  <c r="AE1661" i="16" s="1"/>
  <c r="R1661" i="16"/>
  <c r="Q1661" i="16"/>
  <c r="P1661" i="16"/>
  <c r="N1661" i="16"/>
  <c r="L1661" i="16"/>
  <c r="M1661" i="16" s="1"/>
  <c r="K1661" i="16"/>
  <c r="J1661" i="16"/>
  <c r="I1661" i="16"/>
  <c r="AC1660" i="16"/>
  <c r="AA1660" i="16"/>
  <c r="AB1660" i="16" s="1"/>
  <c r="T1660" i="16"/>
  <c r="AE1660" i="16" s="1"/>
  <c r="R1660" i="16"/>
  <c r="Q1660" i="16"/>
  <c r="P1660" i="16"/>
  <c r="N1660" i="16"/>
  <c r="L1660" i="16"/>
  <c r="M1660" i="16" s="1"/>
  <c r="K1660" i="16"/>
  <c r="J1660" i="16"/>
  <c r="I1660" i="16"/>
  <c r="AC1659" i="16"/>
  <c r="AA1659" i="16"/>
  <c r="AB1659" i="16" s="1"/>
  <c r="T1659" i="16"/>
  <c r="AE1659" i="16" s="1"/>
  <c r="R1659" i="16"/>
  <c r="Q1659" i="16"/>
  <c r="P1659" i="16"/>
  <c r="N1659" i="16"/>
  <c r="L1659" i="16"/>
  <c r="M1659" i="16" s="1"/>
  <c r="K1659" i="16"/>
  <c r="J1659" i="16"/>
  <c r="I1659" i="16"/>
  <c r="AC1658" i="16"/>
  <c r="AA1658" i="16"/>
  <c r="AB1658" i="16" s="1"/>
  <c r="T1658" i="16"/>
  <c r="AE1658" i="16" s="1"/>
  <c r="R1658" i="16"/>
  <c r="Q1658" i="16"/>
  <c r="P1658" i="16"/>
  <c r="N1658" i="16"/>
  <c r="L1658" i="16"/>
  <c r="M1658" i="16" s="1"/>
  <c r="K1658" i="16"/>
  <c r="J1658" i="16"/>
  <c r="I1658" i="16"/>
  <c r="AC1657" i="16"/>
  <c r="AA1657" i="16"/>
  <c r="AB1657" i="16" s="1"/>
  <c r="T1657" i="16"/>
  <c r="AE1657" i="16" s="1"/>
  <c r="R1657" i="16"/>
  <c r="Q1657" i="16"/>
  <c r="P1657" i="16"/>
  <c r="N1657" i="16"/>
  <c r="L1657" i="16"/>
  <c r="M1657" i="16" s="1"/>
  <c r="K1657" i="16"/>
  <c r="J1657" i="16"/>
  <c r="I1657" i="16"/>
  <c r="AC1656" i="16"/>
  <c r="AA1656" i="16"/>
  <c r="AB1656" i="16" s="1"/>
  <c r="T1656" i="16"/>
  <c r="AE1656" i="16" s="1"/>
  <c r="R1656" i="16"/>
  <c r="Q1656" i="16"/>
  <c r="P1656" i="16"/>
  <c r="N1656" i="16"/>
  <c r="L1656" i="16"/>
  <c r="M1656" i="16" s="1"/>
  <c r="K1656" i="16"/>
  <c r="J1656" i="16"/>
  <c r="I1656" i="16"/>
  <c r="AC1655" i="16"/>
  <c r="AA1655" i="16"/>
  <c r="AB1655" i="16" s="1"/>
  <c r="T1655" i="16"/>
  <c r="AE1655" i="16" s="1"/>
  <c r="R1655" i="16"/>
  <c r="Q1655" i="16"/>
  <c r="P1655" i="16"/>
  <c r="N1655" i="16"/>
  <c r="L1655" i="16"/>
  <c r="M1655" i="16" s="1"/>
  <c r="K1655" i="16"/>
  <c r="J1655" i="16"/>
  <c r="I1655" i="16"/>
  <c r="AC1654" i="16"/>
  <c r="AA1654" i="16"/>
  <c r="AB1654" i="16" s="1"/>
  <c r="T1654" i="16"/>
  <c r="AE1654" i="16" s="1"/>
  <c r="R1654" i="16"/>
  <c r="Q1654" i="16"/>
  <c r="P1654" i="16"/>
  <c r="N1654" i="16"/>
  <c r="L1654" i="16"/>
  <c r="M1654" i="16" s="1"/>
  <c r="K1654" i="16"/>
  <c r="J1654" i="16"/>
  <c r="I1654" i="16"/>
  <c r="AC1653" i="16"/>
  <c r="AA1653" i="16"/>
  <c r="AB1653" i="16" s="1"/>
  <c r="T1653" i="16"/>
  <c r="AE1653" i="16" s="1"/>
  <c r="R1653" i="16"/>
  <c r="Q1653" i="16"/>
  <c r="P1653" i="16"/>
  <c r="N1653" i="16"/>
  <c r="L1653" i="16"/>
  <c r="M1653" i="16" s="1"/>
  <c r="K1653" i="16"/>
  <c r="J1653" i="16"/>
  <c r="I1653" i="16"/>
  <c r="AC1652" i="16"/>
  <c r="AA1652" i="16"/>
  <c r="AB1652" i="16" s="1"/>
  <c r="T1652" i="16"/>
  <c r="AE1652" i="16" s="1"/>
  <c r="R1652" i="16"/>
  <c r="Q1652" i="16"/>
  <c r="P1652" i="16"/>
  <c r="N1652" i="16"/>
  <c r="L1652" i="16"/>
  <c r="M1652" i="16" s="1"/>
  <c r="K1652" i="16"/>
  <c r="J1652" i="16"/>
  <c r="I1652" i="16"/>
  <c r="AC1651" i="16"/>
  <c r="AA1651" i="16"/>
  <c r="AB1651" i="16" s="1"/>
  <c r="T1651" i="16"/>
  <c r="AE1651" i="16" s="1"/>
  <c r="R1651" i="16"/>
  <c r="Q1651" i="16"/>
  <c r="P1651" i="16"/>
  <c r="N1651" i="16"/>
  <c r="L1651" i="16"/>
  <c r="M1651" i="16" s="1"/>
  <c r="K1651" i="16"/>
  <c r="J1651" i="16"/>
  <c r="I1651" i="16"/>
  <c r="AC1650" i="16"/>
  <c r="AA1650" i="16"/>
  <c r="AB1650" i="16" s="1"/>
  <c r="T1650" i="16"/>
  <c r="AE1650" i="16" s="1"/>
  <c r="R1650" i="16"/>
  <c r="Q1650" i="16"/>
  <c r="P1650" i="16"/>
  <c r="N1650" i="16"/>
  <c r="L1650" i="16"/>
  <c r="M1650" i="16" s="1"/>
  <c r="K1650" i="16"/>
  <c r="J1650" i="16"/>
  <c r="I1650" i="16"/>
  <c r="AC1649" i="16"/>
  <c r="AA1649" i="16"/>
  <c r="AB1649" i="16" s="1"/>
  <c r="T1649" i="16"/>
  <c r="AE1649" i="16" s="1"/>
  <c r="R1649" i="16"/>
  <c r="Q1649" i="16"/>
  <c r="P1649" i="16"/>
  <c r="N1649" i="16"/>
  <c r="L1649" i="16"/>
  <c r="M1649" i="16" s="1"/>
  <c r="K1649" i="16"/>
  <c r="J1649" i="16"/>
  <c r="I1649" i="16"/>
  <c r="AC1648" i="16"/>
  <c r="AA1648" i="16"/>
  <c r="AB1648" i="16" s="1"/>
  <c r="T1648" i="16"/>
  <c r="AE1648" i="16" s="1"/>
  <c r="R1648" i="16"/>
  <c r="Q1648" i="16"/>
  <c r="P1648" i="16"/>
  <c r="N1648" i="16"/>
  <c r="L1648" i="16"/>
  <c r="M1648" i="16" s="1"/>
  <c r="K1648" i="16"/>
  <c r="J1648" i="16"/>
  <c r="I1648" i="16"/>
  <c r="AC1647" i="16"/>
  <c r="AA1647" i="16"/>
  <c r="AB1647" i="16" s="1"/>
  <c r="T1647" i="16"/>
  <c r="AE1647" i="16" s="1"/>
  <c r="R1647" i="16"/>
  <c r="Q1647" i="16"/>
  <c r="P1647" i="16"/>
  <c r="N1647" i="16"/>
  <c r="L1647" i="16"/>
  <c r="M1647" i="16" s="1"/>
  <c r="K1647" i="16"/>
  <c r="J1647" i="16"/>
  <c r="I1647" i="16"/>
  <c r="AC1646" i="16"/>
  <c r="AA1646" i="16"/>
  <c r="AB1646" i="16" s="1"/>
  <c r="T1646" i="16"/>
  <c r="AE1646" i="16" s="1"/>
  <c r="R1646" i="16"/>
  <c r="Q1646" i="16"/>
  <c r="P1646" i="16"/>
  <c r="N1646" i="16"/>
  <c r="L1646" i="16"/>
  <c r="M1646" i="16" s="1"/>
  <c r="K1646" i="16"/>
  <c r="J1646" i="16"/>
  <c r="I1646" i="16"/>
  <c r="AC1645" i="16"/>
  <c r="AA1645" i="16"/>
  <c r="AB1645" i="16" s="1"/>
  <c r="T1645" i="16"/>
  <c r="AE1645" i="16" s="1"/>
  <c r="R1645" i="16"/>
  <c r="Q1645" i="16"/>
  <c r="P1645" i="16"/>
  <c r="N1645" i="16"/>
  <c r="L1645" i="16"/>
  <c r="M1645" i="16" s="1"/>
  <c r="K1645" i="16"/>
  <c r="J1645" i="16"/>
  <c r="I1645" i="16"/>
  <c r="AC1644" i="16"/>
  <c r="AA1644" i="16"/>
  <c r="AB1644" i="16" s="1"/>
  <c r="T1644" i="16"/>
  <c r="AE1644" i="16" s="1"/>
  <c r="R1644" i="16"/>
  <c r="Q1644" i="16"/>
  <c r="P1644" i="16"/>
  <c r="N1644" i="16"/>
  <c r="L1644" i="16"/>
  <c r="M1644" i="16" s="1"/>
  <c r="K1644" i="16"/>
  <c r="J1644" i="16"/>
  <c r="I1644" i="16"/>
  <c r="AC1643" i="16"/>
  <c r="AA1643" i="16"/>
  <c r="AB1643" i="16" s="1"/>
  <c r="T1643" i="16"/>
  <c r="AE1643" i="16" s="1"/>
  <c r="R1643" i="16"/>
  <c r="Q1643" i="16"/>
  <c r="P1643" i="16"/>
  <c r="N1643" i="16"/>
  <c r="L1643" i="16"/>
  <c r="M1643" i="16" s="1"/>
  <c r="K1643" i="16"/>
  <c r="J1643" i="16"/>
  <c r="I1643" i="16"/>
  <c r="AC1642" i="16"/>
  <c r="AA1642" i="16"/>
  <c r="AB1642" i="16" s="1"/>
  <c r="T1642" i="16"/>
  <c r="AE1642" i="16" s="1"/>
  <c r="R1642" i="16"/>
  <c r="Q1642" i="16"/>
  <c r="P1642" i="16"/>
  <c r="N1642" i="16"/>
  <c r="L1642" i="16"/>
  <c r="M1642" i="16" s="1"/>
  <c r="K1642" i="16"/>
  <c r="J1642" i="16"/>
  <c r="I1642" i="16"/>
  <c r="AC1641" i="16"/>
  <c r="AA1641" i="16"/>
  <c r="AB1641" i="16" s="1"/>
  <c r="T1641" i="16"/>
  <c r="AE1641" i="16" s="1"/>
  <c r="R1641" i="16"/>
  <c r="Q1641" i="16"/>
  <c r="P1641" i="16"/>
  <c r="N1641" i="16"/>
  <c r="L1641" i="16"/>
  <c r="M1641" i="16" s="1"/>
  <c r="K1641" i="16"/>
  <c r="J1641" i="16"/>
  <c r="I1641" i="16"/>
  <c r="AC1640" i="16"/>
  <c r="AA1640" i="16"/>
  <c r="AB1640" i="16" s="1"/>
  <c r="T1640" i="16"/>
  <c r="AE1640" i="16" s="1"/>
  <c r="R1640" i="16"/>
  <c r="Q1640" i="16"/>
  <c r="P1640" i="16"/>
  <c r="N1640" i="16"/>
  <c r="L1640" i="16"/>
  <c r="M1640" i="16" s="1"/>
  <c r="K1640" i="16"/>
  <c r="J1640" i="16"/>
  <c r="I1640" i="16"/>
  <c r="AC1639" i="16"/>
  <c r="AA1639" i="16"/>
  <c r="AB1639" i="16" s="1"/>
  <c r="T1639" i="16"/>
  <c r="AE1639" i="16" s="1"/>
  <c r="R1639" i="16"/>
  <c r="Q1639" i="16"/>
  <c r="P1639" i="16"/>
  <c r="N1639" i="16"/>
  <c r="L1639" i="16"/>
  <c r="M1639" i="16" s="1"/>
  <c r="K1639" i="16"/>
  <c r="J1639" i="16"/>
  <c r="I1639" i="16"/>
  <c r="AC1638" i="16"/>
  <c r="AA1638" i="16"/>
  <c r="AB1638" i="16" s="1"/>
  <c r="T1638" i="16"/>
  <c r="AE1638" i="16" s="1"/>
  <c r="R1638" i="16"/>
  <c r="Q1638" i="16"/>
  <c r="P1638" i="16"/>
  <c r="N1638" i="16"/>
  <c r="L1638" i="16"/>
  <c r="M1638" i="16" s="1"/>
  <c r="K1638" i="16"/>
  <c r="J1638" i="16"/>
  <c r="I1638" i="16"/>
  <c r="AC1637" i="16"/>
  <c r="AA1637" i="16"/>
  <c r="AB1637" i="16" s="1"/>
  <c r="T1637" i="16"/>
  <c r="AE1637" i="16" s="1"/>
  <c r="R1637" i="16"/>
  <c r="Q1637" i="16"/>
  <c r="P1637" i="16"/>
  <c r="N1637" i="16"/>
  <c r="L1637" i="16"/>
  <c r="M1637" i="16" s="1"/>
  <c r="K1637" i="16"/>
  <c r="J1637" i="16"/>
  <c r="I1637" i="16"/>
  <c r="AC1636" i="16"/>
  <c r="AA1636" i="16"/>
  <c r="AB1636" i="16" s="1"/>
  <c r="T1636" i="16"/>
  <c r="AE1636" i="16" s="1"/>
  <c r="R1636" i="16"/>
  <c r="Q1636" i="16"/>
  <c r="P1636" i="16"/>
  <c r="N1636" i="16"/>
  <c r="L1636" i="16"/>
  <c r="M1636" i="16" s="1"/>
  <c r="K1636" i="16"/>
  <c r="J1636" i="16"/>
  <c r="I1636" i="16"/>
  <c r="AC1635" i="16"/>
  <c r="AA1635" i="16"/>
  <c r="AB1635" i="16" s="1"/>
  <c r="T1635" i="16"/>
  <c r="AE1635" i="16" s="1"/>
  <c r="R1635" i="16"/>
  <c r="Q1635" i="16"/>
  <c r="P1635" i="16"/>
  <c r="N1635" i="16"/>
  <c r="L1635" i="16"/>
  <c r="M1635" i="16" s="1"/>
  <c r="K1635" i="16"/>
  <c r="J1635" i="16"/>
  <c r="I1635" i="16"/>
  <c r="AC1634" i="16"/>
  <c r="AA1634" i="16"/>
  <c r="AB1634" i="16" s="1"/>
  <c r="T1634" i="16"/>
  <c r="AE1634" i="16" s="1"/>
  <c r="R1634" i="16"/>
  <c r="Q1634" i="16"/>
  <c r="P1634" i="16"/>
  <c r="N1634" i="16"/>
  <c r="L1634" i="16"/>
  <c r="M1634" i="16" s="1"/>
  <c r="K1634" i="16"/>
  <c r="J1634" i="16"/>
  <c r="I1634" i="16"/>
  <c r="AC1633" i="16"/>
  <c r="AA1633" i="16"/>
  <c r="AB1633" i="16" s="1"/>
  <c r="T1633" i="16"/>
  <c r="AE1633" i="16" s="1"/>
  <c r="R1633" i="16"/>
  <c r="Q1633" i="16"/>
  <c r="P1633" i="16"/>
  <c r="N1633" i="16"/>
  <c r="L1633" i="16"/>
  <c r="M1633" i="16" s="1"/>
  <c r="K1633" i="16"/>
  <c r="J1633" i="16"/>
  <c r="I1633" i="16"/>
  <c r="AC1632" i="16"/>
  <c r="AA1632" i="16"/>
  <c r="AB1632" i="16" s="1"/>
  <c r="T1632" i="16"/>
  <c r="AE1632" i="16" s="1"/>
  <c r="R1632" i="16"/>
  <c r="Q1632" i="16"/>
  <c r="P1632" i="16"/>
  <c r="N1632" i="16"/>
  <c r="L1632" i="16"/>
  <c r="M1632" i="16" s="1"/>
  <c r="K1632" i="16"/>
  <c r="J1632" i="16"/>
  <c r="I1632" i="16"/>
  <c r="AC1631" i="16"/>
  <c r="AA1631" i="16"/>
  <c r="AB1631" i="16" s="1"/>
  <c r="T1631" i="16"/>
  <c r="AE1631" i="16" s="1"/>
  <c r="R1631" i="16"/>
  <c r="Q1631" i="16"/>
  <c r="P1631" i="16"/>
  <c r="N1631" i="16"/>
  <c r="L1631" i="16"/>
  <c r="M1631" i="16" s="1"/>
  <c r="K1631" i="16"/>
  <c r="J1631" i="16"/>
  <c r="I1631" i="16"/>
  <c r="AC1630" i="16"/>
  <c r="AA1630" i="16"/>
  <c r="AB1630" i="16" s="1"/>
  <c r="T1630" i="16"/>
  <c r="AE1630" i="16" s="1"/>
  <c r="R1630" i="16"/>
  <c r="Q1630" i="16"/>
  <c r="P1630" i="16"/>
  <c r="N1630" i="16"/>
  <c r="L1630" i="16"/>
  <c r="M1630" i="16" s="1"/>
  <c r="K1630" i="16"/>
  <c r="J1630" i="16"/>
  <c r="I1630" i="16"/>
  <c r="AC1629" i="16"/>
  <c r="AA1629" i="16"/>
  <c r="AB1629" i="16" s="1"/>
  <c r="T1629" i="16"/>
  <c r="AE1629" i="16" s="1"/>
  <c r="R1629" i="16"/>
  <c r="Q1629" i="16"/>
  <c r="P1629" i="16"/>
  <c r="N1629" i="16"/>
  <c r="L1629" i="16"/>
  <c r="M1629" i="16" s="1"/>
  <c r="K1629" i="16"/>
  <c r="J1629" i="16"/>
  <c r="I1629" i="16"/>
  <c r="AC1628" i="16"/>
  <c r="AA1628" i="16"/>
  <c r="AB1628" i="16" s="1"/>
  <c r="T1628" i="16"/>
  <c r="AE1628" i="16" s="1"/>
  <c r="R1628" i="16"/>
  <c r="Q1628" i="16"/>
  <c r="P1628" i="16"/>
  <c r="N1628" i="16"/>
  <c r="L1628" i="16"/>
  <c r="M1628" i="16" s="1"/>
  <c r="K1628" i="16"/>
  <c r="J1628" i="16"/>
  <c r="I1628" i="16"/>
  <c r="AC1627" i="16"/>
  <c r="AA1627" i="16"/>
  <c r="AB1627" i="16" s="1"/>
  <c r="T1627" i="16"/>
  <c r="AE1627" i="16" s="1"/>
  <c r="R1627" i="16"/>
  <c r="Q1627" i="16"/>
  <c r="P1627" i="16"/>
  <c r="N1627" i="16"/>
  <c r="L1627" i="16"/>
  <c r="M1627" i="16" s="1"/>
  <c r="K1627" i="16"/>
  <c r="J1627" i="16"/>
  <c r="I1627" i="16"/>
  <c r="AC1626" i="16"/>
  <c r="AA1626" i="16"/>
  <c r="AB1626" i="16" s="1"/>
  <c r="T1626" i="16"/>
  <c r="AE1626" i="16" s="1"/>
  <c r="R1626" i="16"/>
  <c r="Q1626" i="16"/>
  <c r="P1626" i="16"/>
  <c r="N1626" i="16"/>
  <c r="L1626" i="16"/>
  <c r="M1626" i="16" s="1"/>
  <c r="K1626" i="16"/>
  <c r="J1626" i="16"/>
  <c r="I1626" i="16"/>
  <c r="AC1625" i="16"/>
  <c r="AA1625" i="16"/>
  <c r="AB1625" i="16" s="1"/>
  <c r="T1625" i="16"/>
  <c r="AE1625" i="16" s="1"/>
  <c r="R1625" i="16"/>
  <c r="Q1625" i="16"/>
  <c r="P1625" i="16"/>
  <c r="N1625" i="16"/>
  <c r="L1625" i="16"/>
  <c r="M1625" i="16" s="1"/>
  <c r="K1625" i="16"/>
  <c r="J1625" i="16"/>
  <c r="I1625" i="16"/>
  <c r="AC1624" i="16"/>
  <c r="AA1624" i="16"/>
  <c r="AB1624" i="16" s="1"/>
  <c r="T1624" i="16"/>
  <c r="AE1624" i="16" s="1"/>
  <c r="R1624" i="16"/>
  <c r="Q1624" i="16"/>
  <c r="P1624" i="16"/>
  <c r="N1624" i="16"/>
  <c r="L1624" i="16"/>
  <c r="M1624" i="16" s="1"/>
  <c r="K1624" i="16"/>
  <c r="J1624" i="16"/>
  <c r="I1624" i="16"/>
  <c r="AC1623" i="16"/>
  <c r="AA1623" i="16"/>
  <c r="AB1623" i="16" s="1"/>
  <c r="T1623" i="16"/>
  <c r="AE1623" i="16" s="1"/>
  <c r="R1623" i="16"/>
  <c r="Q1623" i="16"/>
  <c r="P1623" i="16"/>
  <c r="N1623" i="16"/>
  <c r="L1623" i="16"/>
  <c r="M1623" i="16" s="1"/>
  <c r="K1623" i="16"/>
  <c r="J1623" i="16"/>
  <c r="I1623" i="16"/>
  <c r="AC1622" i="16"/>
  <c r="AA1622" i="16"/>
  <c r="AB1622" i="16" s="1"/>
  <c r="T1622" i="16"/>
  <c r="AE1622" i="16" s="1"/>
  <c r="R1622" i="16"/>
  <c r="Q1622" i="16"/>
  <c r="P1622" i="16"/>
  <c r="N1622" i="16"/>
  <c r="L1622" i="16"/>
  <c r="M1622" i="16" s="1"/>
  <c r="K1622" i="16"/>
  <c r="J1622" i="16"/>
  <c r="I1622" i="16"/>
  <c r="AC1621" i="16"/>
  <c r="AA1621" i="16"/>
  <c r="AB1621" i="16" s="1"/>
  <c r="T1621" i="16"/>
  <c r="AE1621" i="16" s="1"/>
  <c r="R1621" i="16"/>
  <c r="Q1621" i="16"/>
  <c r="P1621" i="16"/>
  <c r="N1621" i="16"/>
  <c r="L1621" i="16"/>
  <c r="M1621" i="16" s="1"/>
  <c r="K1621" i="16"/>
  <c r="J1621" i="16"/>
  <c r="I1621" i="16"/>
  <c r="AC1620" i="16"/>
  <c r="AA1620" i="16"/>
  <c r="AB1620" i="16" s="1"/>
  <c r="T1620" i="16"/>
  <c r="AE1620" i="16" s="1"/>
  <c r="R1620" i="16"/>
  <c r="Q1620" i="16"/>
  <c r="P1620" i="16"/>
  <c r="N1620" i="16"/>
  <c r="L1620" i="16"/>
  <c r="M1620" i="16" s="1"/>
  <c r="K1620" i="16"/>
  <c r="J1620" i="16"/>
  <c r="I1620" i="16"/>
  <c r="AC1619" i="16"/>
  <c r="AA1619" i="16"/>
  <c r="AB1619" i="16" s="1"/>
  <c r="T1619" i="16"/>
  <c r="AE1619" i="16" s="1"/>
  <c r="R1619" i="16"/>
  <c r="Q1619" i="16"/>
  <c r="P1619" i="16"/>
  <c r="N1619" i="16"/>
  <c r="L1619" i="16"/>
  <c r="M1619" i="16" s="1"/>
  <c r="K1619" i="16"/>
  <c r="J1619" i="16"/>
  <c r="I1619" i="16"/>
  <c r="AC1618" i="16"/>
  <c r="AA1618" i="16"/>
  <c r="AB1618" i="16" s="1"/>
  <c r="T1618" i="16"/>
  <c r="AE1618" i="16" s="1"/>
  <c r="R1618" i="16"/>
  <c r="Q1618" i="16"/>
  <c r="P1618" i="16"/>
  <c r="N1618" i="16"/>
  <c r="L1618" i="16"/>
  <c r="M1618" i="16" s="1"/>
  <c r="K1618" i="16"/>
  <c r="J1618" i="16"/>
  <c r="I1618" i="16"/>
  <c r="AC1617" i="16"/>
  <c r="AA1617" i="16"/>
  <c r="AB1617" i="16" s="1"/>
  <c r="T1617" i="16"/>
  <c r="AE1617" i="16" s="1"/>
  <c r="R1617" i="16"/>
  <c r="Q1617" i="16"/>
  <c r="P1617" i="16"/>
  <c r="N1617" i="16"/>
  <c r="L1617" i="16"/>
  <c r="M1617" i="16" s="1"/>
  <c r="K1617" i="16"/>
  <c r="J1617" i="16"/>
  <c r="I1617" i="16"/>
  <c r="AC1616" i="16"/>
  <c r="AA1616" i="16"/>
  <c r="AB1616" i="16" s="1"/>
  <c r="T1616" i="16"/>
  <c r="AE1616" i="16" s="1"/>
  <c r="R1616" i="16"/>
  <c r="Q1616" i="16"/>
  <c r="P1616" i="16"/>
  <c r="N1616" i="16"/>
  <c r="L1616" i="16"/>
  <c r="M1616" i="16" s="1"/>
  <c r="K1616" i="16"/>
  <c r="J1616" i="16"/>
  <c r="I1616" i="16"/>
  <c r="AC1615" i="16"/>
  <c r="AA1615" i="16"/>
  <c r="AB1615" i="16" s="1"/>
  <c r="T1615" i="16"/>
  <c r="AE1615" i="16" s="1"/>
  <c r="R1615" i="16"/>
  <c r="Q1615" i="16"/>
  <c r="P1615" i="16"/>
  <c r="N1615" i="16"/>
  <c r="L1615" i="16"/>
  <c r="M1615" i="16" s="1"/>
  <c r="K1615" i="16"/>
  <c r="J1615" i="16"/>
  <c r="I1615" i="16"/>
  <c r="AC1614" i="16"/>
  <c r="AA1614" i="16"/>
  <c r="AB1614" i="16" s="1"/>
  <c r="T1614" i="16"/>
  <c r="AE1614" i="16" s="1"/>
  <c r="R1614" i="16"/>
  <c r="Q1614" i="16"/>
  <c r="P1614" i="16"/>
  <c r="N1614" i="16"/>
  <c r="L1614" i="16"/>
  <c r="M1614" i="16" s="1"/>
  <c r="K1614" i="16"/>
  <c r="J1614" i="16"/>
  <c r="I1614" i="16"/>
  <c r="AC1613" i="16"/>
  <c r="AA1613" i="16"/>
  <c r="AB1613" i="16" s="1"/>
  <c r="T1613" i="16"/>
  <c r="AE1613" i="16" s="1"/>
  <c r="R1613" i="16"/>
  <c r="Q1613" i="16"/>
  <c r="P1613" i="16"/>
  <c r="N1613" i="16"/>
  <c r="L1613" i="16"/>
  <c r="M1613" i="16" s="1"/>
  <c r="K1613" i="16"/>
  <c r="J1613" i="16"/>
  <c r="I1613" i="16"/>
  <c r="AC1612" i="16"/>
  <c r="AA1612" i="16"/>
  <c r="AB1612" i="16" s="1"/>
  <c r="T1612" i="16"/>
  <c r="AE1612" i="16" s="1"/>
  <c r="R1612" i="16"/>
  <c r="Q1612" i="16"/>
  <c r="P1612" i="16"/>
  <c r="N1612" i="16"/>
  <c r="L1612" i="16"/>
  <c r="M1612" i="16" s="1"/>
  <c r="K1612" i="16"/>
  <c r="J1612" i="16"/>
  <c r="I1612" i="16"/>
  <c r="AC1611" i="16"/>
  <c r="AA1611" i="16"/>
  <c r="AB1611" i="16" s="1"/>
  <c r="T1611" i="16"/>
  <c r="AE1611" i="16" s="1"/>
  <c r="R1611" i="16"/>
  <c r="Q1611" i="16"/>
  <c r="P1611" i="16"/>
  <c r="N1611" i="16"/>
  <c r="L1611" i="16"/>
  <c r="M1611" i="16" s="1"/>
  <c r="K1611" i="16"/>
  <c r="J1611" i="16"/>
  <c r="I1611" i="16"/>
  <c r="AC1610" i="16"/>
  <c r="AA1610" i="16"/>
  <c r="AB1610" i="16" s="1"/>
  <c r="T1610" i="16"/>
  <c r="AE1610" i="16" s="1"/>
  <c r="R1610" i="16"/>
  <c r="Q1610" i="16"/>
  <c r="P1610" i="16"/>
  <c r="N1610" i="16"/>
  <c r="L1610" i="16"/>
  <c r="M1610" i="16" s="1"/>
  <c r="K1610" i="16"/>
  <c r="J1610" i="16"/>
  <c r="I1610" i="16"/>
  <c r="AC1609" i="16"/>
  <c r="AA1609" i="16"/>
  <c r="AB1609" i="16" s="1"/>
  <c r="T1609" i="16"/>
  <c r="AE1609" i="16" s="1"/>
  <c r="R1609" i="16"/>
  <c r="Q1609" i="16"/>
  <c r="P1609" i="16"/>
  <c r="N1609" i="16"/>
  <c r="L1609" i="16"/>
  <c r="M1609" i="16" s="1"/>
  <c r="K1609" i="16"/>
  <c r="J1609" i="16"/>
  <c r="I1609" i="16"/>
  <c r="AC1608" i="16"/>
  <c r="AA1608" i="16"/>
  <c r="AB1608" i="16" s="1"/>
  <c r="T1608" i="16"/>
  <c r="AE1608" i="16" s="1"/>
  <c r="R1608" i="16"/>
  <c r="Q1608" i="16"/>
  <c r="P1608" i="16"/>
  <c r="N1608" i="16"/>
  <c r="L1608" i="16"/>
  <c r="M1608" i="16" s="1"/>
  <c r="K1608" i="16"/>
  <c r="J1608" i="16"/>
  <c r="I1608" i="16"/>
  <c r="AC1607" i="16"/>
  <c r="AA1607" i="16"/>
  <c r="AB1607" i="16" s="1"/>
  <c r="T1607" i="16"/>
  <c r="AE1607" i="16" s="1"/>
  <c r="R1607" i="16"/>
  <c r="Q1607" i="16"/>
  <c r="P1607" i="16"/>
  <c r="N1607" i="16"/>
  <c r="L1607" i="16"/>
  <c r="M1607" i="16" s="1"/>
  <c r="K1607" i="16"/>
  <c r="J1607" i="16"/>
  <c r="I1607" i="16"/>
  <c r="AC1606" i="16"/>
  <c r="AA1606" i="16"/>
  <c r="AB1606" i="16" s="1"/>
  <c r="T1606" i="16"/>
  <c r="AE1606" i="16" s="1"/>
  <c r="R1606" i="16"/>
  <c r="Q1606" i="16"/>
  <c r="P1606" i="16"/>
  <c r="N1606" i="16"/>
  <c r="L1606" i="16"/>
  <c r="M1606" i="16" s="1"/>
  <c r="K1606" i="16"/>
  <c r="J1606" i="16"/>
  <c r="I1606" i="16"/>
  <c r="AC1605" i="16"/>
  <c r="AA1605" i="16"/>
  <c r="AB1605" i="16" s="1"/>
  <c r="T1605" i="16"/>
  <c r="AE1605" i="16" s="1"/>
  <c r="R1605" i="16"/>
  <c r="Q1605" i="16"/>
  <c r="P1605" i="16"/>
  <c r="N1605" i="16"/>
  <c r="L1605" i="16"/>
  <c r="M1605" i="16" s="1"/>
  <c r="K1605" i="16"/>
  <c r="J1605" i="16"/>
  <c r="I1605" i="16"/>
  <c r="AC1604" i="16"/>
  <c r="AA1604" i="16"/>
  <c r="AB1604" i="16" s="1"/>
  <c r="T1604" i="16"/>
  <c r="AE1604" i="16" s="1"/>
  <c r="R1604" i="16"/>
  <c r="Q1604" i="16"/>
  <c r="P1604" i="16"/>
  <c r="N1604" i="16"/>
  <c r="L1604" i="16"/>
  <c r="M1604" i="16" s="1"/>
  <c r="K1604" i="16"/>
  <c r="J1604" i="16"/>
  <c r="I1604" i="16"/>
  <c r="AC1603" i="16"/>
  <c r="AA1603" i="16"/>
  <c r="AB1603" i="16" s="1"/>
  <c r="T1603" i="16"/>
  <c r="AE1603" i="16" s="1"/>
  <c r="R1603" i="16"/>
  <c r="Q1603" i="16"/>
  <c r="P1603" i="16"/>
  <c r="N1603" i="16"/>
  <c r="L1603" i="16"/>
  <c r="M1603" i="16" s="1"/>
  <c r="K1603" i="16"/>
  <c r="J1603" i="16"/>
  <c r="I1603" i="16"/>
  <c r="AC1602" i="16"/>
  <c r="AA1602" i="16"/>
  <c r="AB1602" i="16" s="1"/>
  <c r="T1602" i="16"/>
  <c r="AE1602" i="16" s="1"/>
  <c r="R1602" i="16"/>
  <c r="Q1602" i="16"/>
  <c r="P1602" i="16"/>
  <c r="N1602" i="16"/>
  <c r="L1602" i="16"/>
  <c r="M1602" i="16" s="1"/>
  <c r="K1602" i="16"/>
  <c r="J1602" i="16"/>
  <c r="I1602" i="16"/>
  <c r="AC1601" i="16"/>
  <c r="AA1601" i="16"/>
  <c r="AB1601" i="16" s="1"/>
  <c r="T1601" i="16"/>
  <c r="AE1601" i="16" s="1"/>
  <c r="R1601" i="16"/>
  <c r="Q1601" i="16"/>
  <c r="P1601" i="16"/>
  <c r="N1601" i="16"/>
  <c r="L1601" i="16"/>
  <c r="M1601" i="16" s="1"/>
  <c r="K1601" i="16"/>
  <c r="J1601" i="16"/>
  <c r="I1601" i="16"/>
  <c r="AC1600" i="16"/>
  <c r="AA1600" i="16"/>
  <c r="AB1600" i="16" s="1"/>
  <c r="T1600" i="16"/>
  <c r="AE1600" i="16" s="1"/>
  <c r="R1600" i="16"/>
  <c r="Q1600" i="16"/>
  <c r="P1600" i="16"/>
  <c r="N1600" i="16"/>
  <c r="L1600" i="16"/>
  <c r="M1600" i="16" s="1"/>
  <c r="K1600" i="16"/>
  <c r="J1600" i="16"/>
  <c r="I1600" i="16"/>
  <c r="AC1599" i="16"/>
  <c r="AA1599" i="16"/>
  <c r="AB1599" i="16" s="1"/>
  <c r="T1599" i="16"/>
  <c r="AE1599" i="16" s="1"/>
  <c r="R1599" i="16"/>
  <c r="Q1599" i="16"/>
  <c r="P1599" i="16"/>
  <c r="N1599" i="16"/>
  <c r="L1599" i="16"/>
  <c r="M1599" i="16" s="1"/>
  <c r="K1599" i="16"/>
  <c r="J1599" i="16"/>
  <c r="I1599" i="16"/>
  <c r="AC1598" i="16"/>
  <c r="AA1598" i="16"/>
  <c r="AB1598" i="16" s="1"/>
  <c r="T1598" i="16"/>
  <c r="AE1598" i="16" s="1"/>
  <c r="R1598" i="16"/>
  <c r="Q1598" i="16"/>
  <c r="P1598" i="16"/>
  <c r="N1598" i="16"/>
  <c r="L1598" i="16"/>
  <c r="M1598" i="16" s="1"/>
  <c r="K1598" i="16"/>
  <c r="J1598" i="16"/>
  <c r="I1598" i="16"/>
  <c r="AC1597" i="16"/>
  <c r="AA1597" i="16"/>
  <c r="AB1597" i="16" s="1"/>
  <c r="T1597" i="16"/>
  <c r="AE1597" i="16" s="1"/>
  <c r="R1597" i="16"/>
  <c r="Q1597" i="16"/>
  <c r="P1597" i="16"/>
  <c r="N1597" i="16"/>
  <c r="L1597" i="16"/>
  <c r="M1597" i="16" s="1"/>
  <c r="K1597" i="16"/>
  <c r="J1597" i="16"/>
  <c r="I1597" i="16"/>
  <c r="AC1596" i="16"/>
  <c r="AA1596" i="16"/>
  <c r="AB1596" i="16" s="1"/>
  <c r="T1596" i="16"/>
  <c r="AE1596" i="16" s="1"/>
  <c r="R1596" i="16"/>
  <c r="Q1596" i="16"/>
  <c r="P1596" i="16"/>
  <c r="N1596" i="16"/>
  <c r="L1596" i="16"/>
  <c r="M1596" i="16" s="1"/>
  <c r="K1596" i="16"/>
  <c r="J1596" i="16"/>
  <c r="I1596" i="16"/>
  <c r="AC1595" i="16"/>
  <c r="AA1595" i="16"/>
  <c r="AB1595" i="16" s="1"/>
  <c r="T1595" i="16"/>
  <c r="AE1595" i="16" s="1"/>
  <c r="R1595" i="16"/>
  <c r="Q1595" i="16"/>
  <c r="P1595" i="16"/>
  <c r="N1595" i="16"/>
  <c r="L1595" i="16"/>
  <c r="M1595" i="16" s="1"/>
  <c r="K1595" i="16"/>
  <c r="J1595" i="16"/>
  <c r="I1595" i="16"/>
  <c r="AC1594" i="16"/>
  <c r="AA1594" i="16"/>
  <c r="AB1594" i="16" s="1"/>
  <c r="T1594" i="16"/>
  <c r="AE1594" i="16" s="1"/>
  <c r="R1594" i="16"/>
  <c r="Q1594" i="16"/>
  <c r="P1594" i="16"/>
  <c r="N1594" i="16"/>
  <c r="L1594" i="16"/>
  <c r="M1594" i="16" s="1"/>
  <c r="K1594" i="16"/>
  <c r="J1594" i="16"/>
  <c r="I1594" i="16"/>
  <c r="AC1593" i="16"/>
  <c r="AA1593" i="16"/>
  <c r="AB1593" i="16" s="1"/>
  <c r="T1593" i="16"/>
  <c r="AE1593" i="16" s="1"/>
  <c r="R1593" i="16"/>
  <c r="Q1593" i="16"/>
  <c r="P1593" i="16"/>
  <c r="N1593" i="16"/>
  <c r="L1593" i="16"/>
  <c r="M1593" i="16" s="1"/>
  <c r="K1593" i="16"/>
  <c r="J1593" i="16"/>
  <c r="I1593" i="16"/>
  <c r="AC1592" i="16"/>
  <c r="AA1592" i="16"/>
  <c r="AB1592" i="16" s="1"/>
  <c r="T1592" i="16"/>
  <c r="AE1592" i="16" s="1"/>
  <c r="R1592" i="16"/>
  <c r="Q1592" i="16"/>
  <c r="P1592" i="16"/>
  <c r="N1592" i="16"/>
  <c r="L1592" i="16"/>
  <c r="M1592" i="16" s="1"/>
  <c r="K1592" i="16"/>
  <c r="J1592" i="16"/>
  <c r="I1592" i="16"/>
  <c r="AC1591" i="16"/>
  <c r="AA1591" i="16"/>
  <c r="AB1591" i="16" s="1"/>
  <c r="T1591" i="16"/>
  <c r="AE1591" i="16" s="1"/>
  <c r="R1591" i="16"/>
  <c r="Q1591" i="16"/>
  <c r="P1591" i="16"/>
  <c r="N1591" i="16"/>
  <c r="L1591" i="16"/>
  <c r="M1591" i="16" s="1"/>
  <c r="K1591" i="16"/>
  <c r="J1591" i="16"/>
  <c r="I1591" i="16"/>
  <c r="AC1590" i="16"/>
  <c r="AA1590" i="16"/>
  <c r="AB1590" i="16" s="1"/>
  <c r="T1590" i="16"/>
  <c r="AE1590" i="16" s="1"/>
  <c r="R1590" i="16"/>
  <c r="Q1590" i="16"/>
  <c r="P1590" i="16"/>
  <c r="N1590" i="16"/>
  <c r="L1590" i="16"/>
  <c r="M1590" i="16" s="1"/>
  <c r="K1590" i="16"/>
  <c r="J1590" i="16"/>
  <c r="I1590" i="16"/>
  <c r="AC1589" i="16"/>
  <c r="AA1589" i="16"/>
  <c r="AB1589" i="16" s="1"/>
  <c r="T1589" i="16"/>
  <c r="AE1589" i="16" s="1"/>
  <c r="R1589" i="16"/>
  <c r="Q1589" i="16"/>
  <c r="P1589" i="16"/>
  <c r="N1589" i="16"/>
  <c r="L1589" i="16"/>
  <c r="M1589" i="16" s="1"/>
  <c r="K1589" i="16"/>
  <c r="J1589" i="16"/>
  <c r="I1589" i="16"/>
  <c r="AC1588" i="16"/>
  <c r="AA1588" i="16"/>
  <c r="AB1588" i="16" s="1"/>
  <c r="T1588" i="16"/>
  <c r="AE1588" i="16" s="1"/>
  <c r="R1588" i="16"/>
  <c r="Q1588" i="16"/>
  <c r="P1588" i="16"/>
  <c r="N1588" i="16"/>
  <c r="L1588" i="16"/>
  <c r="M1588" i="16" s="1"/>
  <c r="K1588" i="16"/>
  <c r="J1588" i="16"/>
  <c r="I1588" i="16"/>
  <c r="AC1587" i="16"/>
  <c r="AA1587" i="16"/>
  <c r="AB1587" i="16" s="1"/>
  <c r="T1587" i="16"/>
  <c r="AE1587" i="16" s="1"/>
  <c r="R1587" i="16"/>
  <c r="Q1587" i="16"/>
  <c r="P1587" i="16"/>
  <c r="N1587" i="16"/>
  <c r="L1587" i="16"/>
  <c r="M1587" i="16" s="1"/>
  <c r="K1587" i="16"/>
  <c r="J1587" i="16"/>
  <c r="I1587" i="16"/>
  <c r="AC1586" i="16"/>
  <c r="AA1586" i="16"/>
  <c r="AB1586" i="16" s="1"/>
  <c r="T1586" i="16"/>
  <c r="AE1586" i="16" s="1"/>
  <c r="R1586" i="16"/>
  <c r="Q1586" i="16"/>
  <c r="P1586" i="16"/>
  <c r="N1586" i="16"/>
  <c r="L1586" i="16"/>
  <c r="M1586" i="16" s="1"/>
  <c r="K1586" i="16"/>
  <c r="J1586" i="16"/>
  <c r="I1586" i="16"/>
  <c r="AC1585" i="16"/>
  <c r="AA1585" i="16"/>
  <c r="AB1585" i="16" s="1"/>
  <c r="T1585" i="16"/>
  <c r="AE1585" i="16" s="1"/>
  <c r="R1585" i="16"/>
  <c r="Q1585" i="16"/>
  <c r="P1585" i="16"/>
  <c r="N1585" i="16"/>
  <c r="L1585" i="16"/>
  <c r="M1585" i="16" s="1"/>
  <c r="K1585" i="16"/>
  <c r="J1585" i="16"/>
  <c r="I1585" i="16"/>
  <c r="AC1584" i="16"/>
  <c r="AA1584" i="16"/>
  <c r="AB1584" i="16" s="1"/>
  <c r="T1584" i="16"/>
  <c r="AE1584" i="16" s="1"/>
  <c r="R1584" i="16"/>
  <c r="Q1584" i="16"/>
  <c r="P1584" i="16"/>
  <c r="N1584" i="16"/>
  <c r="L1584" i="16"/>
  <c r="M1584" i="16" s="1"/>
  <c r="K1584" i="16"/>
  <c r="J1584" i="16"/>
  <c r="I1584" i="16"/>
  <c r="AC1583" i="16"/>
  <c r="AA1583" i="16"/>
  <c r="AB1583" i="16" s="1"/>
  <c r="T1583" i="16"/>
  <c r="AE1583" i="16" s="1"/>
  <c r="R1583" i="16"/>
  <c r="Q1583" i="16"/>
  <c r="P1583" i="16"/>
  <c r="N1583" i="16"/>
  <c r="L1583" i="16"/>
  <c r="M1583" i="16" s="1"/>
  <c r="K1583" i="16"/>
  <c r="J1583" i="16"/>
  <c r="I1583" i="16"/>
  <c r="AC1582" i="16"/>
  <c r="AA1582" i="16"/>
  <c r="AB1582" i="16" s="1"/>
  <c r="T1582" i="16"/>
  <c r="AE1582" i="16" s="1"/>
  <c r="R1582" i="16"/>
  <c r="Q1582" i="16"/>
  <c r="P1582" i="16"/>
  <c r="N1582" i="16"/>
  <c r="L1582" i="16"/>
  <c r="M1582" i="16" s="1"/>
  <c r="K1582" i="16"/>
  <c r="J1582" i="16"/>
  <c r="I1582" i="16"/>
  <c r="AC1581" i="16"/>
  <c r="AA1581" i="16"/>
  <c r="AB1581" i="16" s="1"/>
  <c r="T1581" i="16"/>
  <c r="AE1581" i="16" s="1"/>
  <c r="R1581" i="16"/>
  <c r="Q1581" i="16"/>
  <c r="P1581" i="16"/>
  <c r="N1581" i="16"/>
  <c r="L1581" i="16"/>
  <c r="M1581" i="16" s="1"/>
  <c r="K1581" i="16"/>
  <c r="J1581" i="16"/>
  <c r="I1581" i="16"/>
  <c r="AC1580" i="16"/>
  <c r="AA1580" i="16"/>
  <c r="AB1580" i="16" s="1"/>
  <c r="T1580" i="16"/>
  <c r="AE1580" i="16" s="1"/>
  <c r="R1580" i="16"/>
  <c r="Q1580" i="16"/>
  <c r="P1580" i="16"/>
  <c r="N1580" i="16"/>
  <c r="L1580" i="16"/>
  <c r="M1580" i="16" s="1"/>
  <c r="K1580" i="16"/>
  <c r="J1580" i="16"/>
  <c r="I1580" i="16"/>
  <c r="AC1579" i="16"/>
  <c r="AA1579" i="16"/>
  <c r="AB1579" i="16" s="1"/>
  <c r="T1579" i="16"/>
  <c r="AE1579" i="16" s="1"/>
  <c r="R1579" i="16"/>
  <c r="Q1579" i="16"/>
  <c r="P1579" i="16"/>
  <c r="N1579" i="16"/>
  <c r="L1579" i="16"/>
  <c r="M1579" i="16" s="1"/>
  <c r="K1579" i="16"/>
  <c r="J1579" i="16"/>
  <c r="I1579" i="16"/>
  <c r="AC1578" i="16"/>
  <c r="AA1578" i="16"/>
  <c r="AB1578" i="16" s="1"/>
  <c r="T1578" i="16"/>
  <c r="AE1578" i="16" s="1"/>
  <c r="R1578" i="16"/>
  <c r="Q1578" i="16"/>
  <c r="P1578" i="16"/>
  <c r="N1578" i="16"/>
  <c r="L1578" i="16"/>
  <c r="M1578" i="16" s="1"/>
  <c r="K1578" i="16"/>
  <c r="J1578" i="16"/>
  <c r="I1578" i="16"/>
  <c r="AC1577" i="16"/>
  <c r="AA1577" i="16"/>
  <c r="AB1577" i="16" s="1"/>
  <c r="T1577" i="16"/>
  <c r="AE1577" i="16" s="1"/>
  <c r="R1577" i="16"/>
  <c r="Q1577" i="16"/>
  <c r="P1577" i="16"/>
  <c r="N1577" i="16"/>
  <c r="L1577" i="16"/>
  <c r="M1577" i="16" s="1"/>
  <c r="K1577" i="16"/>
  <c r="J1577" i="16"/>
  <c r="I1577" i="16"/>
  <c r="AC1576" i="16"/>
  <c r="AA1576" i="16"/>
  <c r="AB1576" i="16" s="1"/>
  <c r="T1576" i="16"/>
  <c r="AE1576" i="16" s="1"/>
  <c r="R1576" i="16"/>
  <c r="Q1576" i="16"/>
  <c r="P1576" i="16"/>
  <c r="N1576" i="16"/>
  <c r="L1576" i="16"/>
  <c r="M1576" i="16" s="1"/>
  <c r="K1576" i="16"/>
  <c r="J1576" i="16"/>
  <c r="I1576" i="16"/>
  <c r="AC1575" i="16"/>
  <c r="AA1575" i="16"/>
  <c r="AB1575" i="16" s="1"/>
  <c r="T1575" i="16"/>
  <c r="AE1575" i="16" s="1"/>
  <c r="R1575" i="16"/>
  <c r="Q1575" i="16"/>
  <c r="P1575" i="16"/>
  <c r="N1575" i="16"/>
  <c r="L1575" i="16"/>
  <c r="M1575" i="16" s="1"/>
  <c r="K1575" i="16"/>
  <c r="J1575" i="16"/>
  <c r="I1575" i="16"/>
  <c r="AC1574" i="16"/>
  <c r="AA1574" i="16"/>
  <c r="AB1574" i="16" s="1"/>
  <c r="T1574" i="16"/>
  <c r="AE1574" i="16" s="1"/>
  <c r="R1574" i="16"/>
  <c r="Q1574" i="16"/>
  <c r="P1574" i="16"/>
  <c r="N1574" i="16"/>
  <c r="L1574" i="16"/>
  <c r="M1574" i="16" s="1"/>
  <c r="K1574" i="16"/>
  <c r="J1574" i="16"/>
  <c r="I1574" i="16"/>
  <c r="AC1573" i="16"/>
  <c r="AA1573" i="16"/>
  <c r="AB1573" i="16" s="1"/>
  <c r="T1573" i="16"/>
  <c r="AE1573" i="16" s="1"/>
  <c r="R1573" i="16"/>
  <c r="Q1573" i="16"/>
  <c r="P1573" i="16"/>
  <c r="N1573" i="16"/>
  <c r="L1573" i="16"/>
  <c r="M1573" i="16" s="1"/>
  <c r="K1573" i="16"/>
  <c r="J1573" i="16"/>
  <c r="I1573" i="16"/>
  <c r="AC1572" i="16"/>
  <c r="AA1572" i="16"/>
  <c r="AB1572" i="16" s="1"/>
  <c r="T1572" i="16"/>
  <c r="AE1572" i="16" s="1"/>
  <c r="R1572" i="16"/>
  <c r="Q1572" i="16"/>
  <c r="P1572" i="16"/>
  <c r="N1572" i="16"/>
  <c r="L1572" i="16"/>
  <c r="M1572" i="16" s="1"/>
  <c r="K1572" i="16"/>
  <c r="J1572" i="16"/>
  <c r="I1572" i="16"/>
  <c r="AC1571" i="16"/>
  <c r="AA1571" i="16"/>
  <c r="AB1571" i="16" s="1"/>
  <c r="T1571" i="16"/>
  <c r="AE1571" i="16" s="1"/>
  <c r="R1571" i="16"/>
  <c r="Q1571" i="16"/>
  <c r="P1571" i="16"/>
  <c r="N1571" i="16"/>
  <c r="L1571" i="16"/>
  <c r="M1571" i="16" s="1"/>
  <c r="K1571" i="16"/>
  <c r="J1571" i="16"/>
  <c r="I1571" i="16"/>
  <c r="AC1570" i="16"/>
  <c r="AA1570" i="16"/>
  <c r="AB1570" i="16" s="1"/>
  <c r="T1570" i="16"/>
  <c r="AE1570" i="16" s="1"/>
  <c r="R1570" i="16"/>
  <c r="Q1570" i="16"/>
  <c r="P1570" i="16"/>
  <c r="N1570" i="16"/>
  <c r="L1570" i="16"/>
  <c r="M1570" i="16" s="1"/>
  <c r="K1570" i="16"/>
  <c r="J1570" i="16"/>
  <c r="I1570" i="16"/>
  <c r="AC1569" i="16"/>
  <c r="AA1569" i="16"/>
  <c r="AB1569" i="16" s="1"/>
  <c r="T1569" i="16"/>
  <c r="AE1569" i="16" s="1"/>
  <c r="R1569" i="16"/>
  <c r="Q1569" i="16"/>
  <c r="P1569" i="16"/>
  <c r="N1569" i="16"/>
  <c r="L1569" i="16"/>
  <c r="M1569" i="16" s="1"/>
  <c r="K1569" i="16"/>
  <c r="J1569" i="16"/>
  <c r="I1569" i="16"/>
  <c r="AC1568" i="16"/>
  <c r="AA1568" i="16"/>
  <c r="AB1568" i="16" s="1"/>
  <c r="T1568" i="16"/>
  <c r="AE1568" i="16" s="1"/>
  <c r="R1568" i="16"/>
  <c r="Q1568" i="16"/>
  <c r="P1568" i="16"/>
  <c r="N1568" i="16"/>
  <c r="L1568" i="16"/>
  <c r="M1568" i="16" s="1"/>
  <c r="K1568" i="16"/>
  <c r="J1568" i="16"/>
  <c r="I1568" i="16"/>
  <c r="AC1567" i="16"/>
  <c r="AA1567" i="16"/>
  <c r="AB1567" i="16" s="1"/>
  <c r="T1567" i="16"/>
  <c r="AE1567" i="16" s="1"/>
  <c r="R1567" i="16"/>
  <c r="Q1567" i="16"/>
  <c r="P1567" i="16"/>
  <c r="N1567" i="16"/>
  <c r="L1567" i="16"/>
  <c r="M1567" i="16" s="1"/>
  <c r="K1567" i="16"/>
  <c r="J1567" i="16"/>
  <c r="I1567" i="16"/>
  <c r="AC1566" i="16"/>
  <c r="AA1566" i="16"/>
  <c r="AB1566" i="16" s="1"/>
  <c r="T1566" i="16"/>
  <c r="AE1566" i="16" s="1"/>
  <c r="R1566" i="16"/>
  <c r="Q1566" i="16"/>
  <c r="P1566" i="16"/>
  <c r="N1566" i="16"/>
  <c r="L1566" i="16"/>
  <c r="M1566" i="16" s="1"/>
  <c r="K1566" i="16"/>
  <c r="J1566" i="16"/>
  <c r="I1566" i="16"/>
  <c r="AC1565" i="16"/>
  <c r="AA1565" i="16"/>
  <c r="AB1565" i="16" s="1"/>
  <c r="T1565" i="16"/>
  <c r="AE1565" i="16" s="1"/>
  <c r="R1565" i="16"/>
  <c r="Q1565" i="16"/>
  <c r="P1565" i="16"/>
  <c r="N1565" i="16"/>
  <c r="L1565" i="16"/>
  <c r="M1565" i="16" s="1"/>
  <c r="K1565" i="16"/>
  <c r="J1565" i="16"/>
  <c r="I1565" i="16"/>
  <c r="AC1564" i="16"/>
  <c r="AA1564" i="16"/>
  <c r="AB1564" i="16" s="1"/>
  <c r="T1564" i="16"/>
  <c r="AE1564" i="16" s="1"/>
  <c r="R1564" i="16"/>
  <c r="Q1564" i="16"/>
  <c r="P1564" i="16"/>
  <c r="N1564" i="16"/>
  <c r="L1564" i="16"/>
  <c r="M1564" i="16" s="1"/>
  <c r="K1564" i="16"/>
  <c r="J1564" i="16"/>
  <c r="I1564" i="16"/>
  <c r="AC1563" i="16"/>
  <c r="AA1563" i="16"/>
  <c r="AB1563" i="16" s="1"/>
  <c r="T1563" i="16"/>
  <c r="AE1563" i="16" s="1"/>
  <c r="R1563" i="16"/>
  <c r="Q1563" i="16"/>
  <c r="P1563" i="16"/>
  <c r="N1563" i="16"/>
  <c r="L1563" i="16"/>
  <c r="M1563" i="16" s="1"/>
  <c r="K1563" i="16"/>
  <c r="J1563" i="16"/>
  <c r="I1563" i="16"/>
  <c r="AC1562" i="16"/>
  <c r="AA1562" i="16"/>
  <c r="AB1562" i="16" s="1"/>
  <c r="T1562" i="16"/>
  <c r="AE1562" i="16" s="1"/>
  <c r="R1562" i="16"/>
  <c r="Q1562" i="16"/>
  <c r="P1562" i="16"/>
  <c r="N1562" i="16"/>
  <c r="L1562" i="16"/>
  <c r="M1562" i="16" s="1"/>
  <c r="K1562" i="16"/>
  <c r="J1562" i="16"/>
  <c r="I1562" i="16"/>
  <c r="AC1561" i="16"/>
  <c r="AA1561" i="16"/>
  <c r="AB1561" i="16" s="1"/>
  <c r="T1561" i="16"/>
  <c r="AE1561" i="16" s="1"/>
  <c r="R1561" i="16"/>
  <c r="Q1561" i="16"/>
  <c r="P1561" i="16"/>
  <c r="N1561" i="16"/>
  <c r="L1561" i="16"/>
  <c r="M1561" i="16" s="1"/>
  <c r="K1561" i="16"/>
  <c r="J1561" i="16"/>
  <c r="I1561" i="16"/>
  <c r="AC1560" i="16"/>
  <c r="AA1560" i="16"/>
  <c r="AB1560" i="16" s="1"/>
  <c r="T1560" i="16"/>
  <c r="AE1560" i="16" s="1"/>
  <c r="R1560" i="16"/>
  <c r="Q1560" i="16"/>
  <c r="P1560" i="16"/>
  <c r="N1560" i="16"/>
  <c r="L1560" i="16"/>
  <c r="M1560" i="16" s="1"/>
  <c r="K1560" i="16"/>
  <c r="J1560" i="16"/>
  <c r="I1560" i="16"/>
  <c r="AC1559" i="16"/>
  <c r="AA1559" i="16"/>
  <c r="AB1559" i="16" s="1"/>
  <c r="T1559" i="16"/>
  <c r="AE1559" i="16" s="1"/>
  <c r="R1559" i="16"/>
  <c r="Q1559" i="16"/>
  <c r="P1559" i="16"/>
  <c r="N1559" i="16"/>
  <c r="L1559" i="16"/>
  <c r="M1559" i="16" s="1"/>
  <c r="K1559" i="16"/>
  <c r="J1559" i="16"/>
  <c r="I1559" i="16"/>
  <c r="AC1558" i="16"/>
  <c r="AA1558" i="16"/>
  <c r="AB1558" i="16" s="1"/>
  <c r="T1558" i="16"/>
  <c r="AE1558" i="16" s="1"/>
  <c r="R1558" i="16"/>
  <c r="Q1558" i="16"/>
  <c r="P1558" i="16"/>
  <c r="N1558" i="16"/>
  <c r="L1558" i="16"/>
  <c r="M1558" i="16" s="1"/>
  <c r="K1558" i="16"/>
  <c r="J1558" i="16"/>
  <c r="I1558" i="16"/>
  <c r="AC1557" i="16"/>
  <c r="AA1557" i="16"/>
  <c r="AB1557" i="16" s="1"/>
  <c r="T1557" i="16"/>
  <c r="AE1557" i="16" s="1"/>
  <c r="R1557" i="16"/>
  <c r="Q1557" i="16"/>
  <c r="P1557" i="16"/>
  <c r="N1557" i="16"/>
  <c r="L1557" i="16"/>
  <c r="M1557" i="16" s="1"/>
  <c r="K1557" i="16"/>
  <c r="J1557" i="16"/>
  <c r="I1557" i="16"/>
  <c r="AC1556" i="16"/>
  <c r="AA1556" i="16"/>
  <c r="AB1556" i="16" s="1"/>
  <c r="T1556" i="16"/>
  <c r="AE1556" i="16" s="1"/>
  <c r="R1556" i="16"/>
  <c r="Q1556" i="16"/>
  <c r="P1556" i="16"/>
  <c r="N1556" i="16"/>
  <c r="L1556" i="16"/>
  <c r="M1556" i="16" s="1"/>
  <c r="K1556" i="16"/>
  <c r="J1556" i="16"/>
  <c r="I1556" i="16"/>
  <c r="AC1555" i="16"/>
  <c r="AA1555" i="16"/>
  <c r="AB1555" i="16" s="1"/>
  <c r="T1555" i="16"/>
  <c r="AE1555" i="16" s="1"/>
  <c r="R1555" i="16"/>
  <c r="Q1555" i="16"/>
  <c r="P1555" i="16"/>
  <c r="N1555" i="16"/>
  <c r="L1555" i="16"/>
  <c r="M1555" i="16" s="1"/>
  <c r="K1555" i="16"/>
  <c r="J1555" i="16"/>
  <c r="I1555" i="16"/>
  <c r="AC1554" i="16"/>
  <c r="AA1554" i="16"/>
  <c r="AB1554" i="16" s="1"/>
  <c r="T1554" i="16"/>
  <c r="AE1554" i="16" s="1"/>
  <c r="R1554" i="16"/>
  <c r="Q1554" i="16"/>
  <c r="P1554" i="16"/>
  <c r="N1554" i="16"/>
  <c r="L1554" i="16"/>
  <c r="M1554" i="16" s="1"/>
  <c r="K1554" i="16"/>
  <c r="J1554" i="16"/>
  <c r="I1554" i="16"/>
  <c r="AC1553" i="16"/>
  <c r="AA1553" i="16"/>
  <c r="AB1553" i="16" s="1"/>
  <c r="T1553" i="16"/>
  <c r="AE1553" i="16" s="1"/>
  <c r="R1553" i="16"/>
  <c r="Q1553" i="16"/>
  <c r="P1553" i="16"/>
  <c r="N1553" i="16"/>
  <c r="L1553" i="16"/>
  <c r="M1553" i="16" s="1"/>
  <c r="K1553" i="16"/>
  <c r="J1553" i="16"/>
  <c r="I1553" i="16"/>
  <c r="AC1552" i="16"/>
  <c r="AA1552" i="16"/>
  <c r="AB1552" i="16" s="1"/>
  <c r="T1552" i="16"/>
  <c r="AE1552" i="16" s="1"/>
  <c r="R1552" i="16"/>
  <c r="Q1552" i="16"/>
  <c r="P1552" i="16"/>
  <c r="N1552" i="16"/>
  <c r="L1552" i="16"/>
  <c r="M1552" i="16" s="1"/>
  <c r="K1552" i="16"/>
  <c r="J1552" i="16"/>
  <c r="I1552" i="16"/>
  <c r="AC1551" i="16"/>
  <c r="AA1551" i="16"/>
  <c r="AB1551" i="16" s="1"/>
  <c r="T1551" i="16"/>
  <c r="AE1551" i="16" s="1"/>
  <c r="R1551" i="16"/>
  <c r="Q1551" i="16"/>
  <c r="P1551" i="16"/>
  <c r="N1551" i="16"/>
  <c r="L1551" i="16"/>
  <c r="M1551" i="16" s="1"/>
  <c r="K1551" i="16"/>
  <c r="J1551" i="16"/>
  <c r="I1551" i="16"/>
  <c r="AC1550" i="16"/>
  <c r="AA1550" i="16"/>
  <c r="AB1550" i="16" s="1"/>
  <c r="T1550" i="16"/>
  <c r="AE1550" i="16" s="1"/>
  <c r="R1550" i="16"/>
  <c r="Q1550" i="16"/>
  <c r="P1550" i="16"/>
  <c r="N1550" i="16"/>
  <c r="L1550" i="16"/>
  <c r="M1550" i="16" s="1"/>
  <c r="K1550" i="16"/>
  <c r="J1550" i="16"/>
  <c r="I1550" i="16"/>
  <c r="AC1549" i="16"/>
  <c r="AA1549" i="16"/>
  <c r="AB1549" i="16" s="1"/>
  <c r="T1549" i="16"/>
  <c r="AE1549" i="16" s="1"/>
  <c r="R1549" i="16"/>
  <c r="Q1549" i="16"/>
  <c r="P1549" i="16"/>
  <c r="N1549" i="16"/>
  <c r="L1549" i="16"/>
  <c r="M1549" i="16" s="1"/>
  <c r="K1549" i="16"/>
  <c r="J1549" i="16"/>
  <c r="I1549" i="16"/>
  <c r="AC1548" i="16"/>
  <c r="AA1548" i="16"/>
  <c r="AB1548" i="16" s="1"/>
  <c r="T1548" i="16"/>
  <c r="AE1548" i="16" s="1"/>
  <c r="R1548" i="16"/>
  <c r="Q1548" i="16"/>
  <c r="P1548" i="16"/>
  <c r="N1548" i="16"/>
  <c r="L1548" i="16"/>
  <c r="M1548" i="16" s="1"/>
  <c r="K1548" i="16"/>
  <c r="J1548" i="16"/>
  <c r="I1548" i="16"/>
  <c r="AC1547" i="16"/>
  <c r="AA1547" i="16"/>
  <c r="AB1547" i="16" s="1"/>
  <c r="T1547" i="16"/>
  <c r="AE1547" i="16" s="1"/>
  <c r="R1547" i="16"/>
  <c r="Q1547" i="16"/>
  <c r="P1547" i="16"/>
  <c r="N1547" i="16"/>
  <c r="L1547" i="16"/>
  <c r="M1547" i="16" s="1"/>
  <c r="K1547" i="16"/>
  <c r="J1547" i="16"/>
  <c r="I1547" i="16"/>
  <c r="AC1546" i="16"/>
  <c r="AA1546" i="16"/>
  <c r="AB1546" i="16" s="1"/>
  <c r="T1546" i="16"/>
  <c r="AE1546" i="16" s="1"/>
  <c r="R1546" i="16"/>
  <c r="Q1546" i="16"/>
  <c r="P1546" i="16"/>
  <c r="N1546" i="16"/>
  <c r="L1546" i="16"/>
  <c r="M1546" i="16" s="1"/>
  <c r="K1546" i="16"/>
  <c r="J1546" i="16"/>
  <c r="I1546" i="16"/>
  <c r="AC1545" i="16"/>
  <c r="AA1545" i="16"/>
  <c r="AB1545" i="16" s="1"/>
  <c r="T1545" i="16"/>
  <c r="AE1545" i="16" s="1"/>
  <c r="R1545" i="16"/>
  <c r="Q1545" i="16"/>
  <c r="P1545" i="16"/>
  <c r="N1545" i="16"/>
  <c r="L1545" i="16"/>
  <c r="M1545" i="16" s="1"/>
  <c r="K1545" i="16"/>
  <c r="J1545" i="16"/>
  <c r="I1545" i="16"/>
  <c r="AC1544" i="16"/>
  <c r="AA1544" i="16"/>
  <c r="AB1544" i="16" s="1"/>
  <c r="T1544" i="16"/>
  <c r="AE1544" i="16" s="1"/>
  <c r="R1544" i="16"/>
  <c r="Q1544" i="16"/>
  <c r="P1544" i="16"/>
  <c r="N1544" i="16"/>
  <c r="L1544" i="16"/>
  <c r="M1544" i="16" s="1"/>
  <c r="K1544" i="16"/>
  <c r="J1544" i="16"/>
  <c r="I1544" i="16"/>
  <c r="AC1543" i="16"/>
  <c r="AA1543" i="16"/>
  <c r="AB1543" i="16" s="1"/>
  <c r="T1543" i="16"/>
  <c r="AE1543" i="16" s="1"/>
  <c r="R1543" i="16"/>
  <c r="Q1543" i="16"/>
  <c r="P1543" i="16"/>
  <c r="N1543" i="16"/>
  <c r="L1543" i="16"/>
  <c r="M1543" i="16" s="1"/>
  <c r="K1543" i="16"/>
  <c r="J1543" i="16"/>
  <c r="I1543" i="16"/>
  <c r="AC1542" i="16"/>
  <c r="AA1542" i="16"/>
  <c r="AB1542" i="16" s="1"/>
  <c r="T1542" i="16"/>
  <c r="AE1542" i="16" s="1"/>
  <c r="R1542" i="16"/>
  <c r="Q1542" i="16"/>
  <c r="P1542" i="16"/>
  <c r="N1542" i="16"/>
  <c r="L1542" i="16"/>
  <c r="M1542" i="16" s="1"/>
  <c r="K1542" i="16"/>
  <c r="J1542" i="16"/>
  <c r="I1542" i="16"/>
  <c r="AC1541" i="16"/>
  <c r="AA1541" i="16"/>
  <c r="AB1541" i="16" s="1"/>
  <c r="T1541" i="16"/>
  <c r="AE1541" i="16" s="1"/>
  <c r="R1541" i="16"/>
  <c r="Q1541" i="16"/>
  <c r="P1541" i="16"/>
  <c r="N1541" i="16"/>
  <c r="L1541" i="16"/>
  <c r="M1541" i="16" s="1"/>
  <c r="K1541" i="16"/>
  <c r="J1541" i="16"/>
  <c r="I1541" i="16"/>
  <c r="AC1540" i="16"/>
  <c r="AA1540" i="16"/>
  <c r="AB1540" i="16" s="1"/>
  <c r="T1540" i="16"/>
  <c r="AE1540" i="16" s="1"/>
  <c r="R1540" i="16"/>
  <c r="Q1540" i="16"/>
  <c r="P1540" i="16"/>
  <c r="N1540" i="16"/>
  <c r="L1540" i="16"/>
  <c r="M1540" i="16" s="1"/>
  <c r="K1540" i="16"/>
  <c r="J1540" i="16"/>
  <c r="I1540" i="16"/>
  <c r="AC1539" i="16"/>
  <c r="AA1539" i="16"/>
  <c r="AB1539" i="16" s="1"/>
  <c r="T1539" i="16"/>
  <c r="AE1539" i="16" s="1"/>
  <c r="R1539" i="16"/>
  <c r="Q1539" i="16"/>
  <c r="P1539" i="16"/>
  <c r="N1539" i="16"/>
  <c r="L1539" i="16"/>
  <c r="M1539" i="16" s="1"/>
  <c r="K1539" i="16"/>
  <c r="J1539" i="16"/>
  <c r="I1539" i="16"/>
  <c r="AC1538" i="16"/>
  <c r="AA1538" i="16"/>
  <c r="AB1538" i="16" s="1"/>
  <c r="T1538" i="16"/>
  <c r="AE1538" i="16" s="1"/>
  <c r="R1538" i="16"/>
  <c r="Q1538" i="16"/>
  <c r="P1538" i="16"/>
  <c r="N1538" i="16"/>
  <c r="L1538" i="16"/>
  <c r="M1538" i="16" s="1"/>
  <c r="K1538" i="16"/>
  <c r="J1538" i="16"/>
  <c r="I1538" i="16"/>
  <c r="AC1537" i="16"/>
  <c r="AA1537" i="16"/>
  <c r="AB1537" i="16" s="1"/>
  <c r="T1537" i="16"/>
  <c r="AE1537" i="16" s="1"/>
  <c r="R1537" i="16"/>
  <c r="Q1537" i="16"/>
  <c r="P1537" i="16"/>
  <c r="N1537" i="16"/>
  <c r="L1537" i="16"/>
  <c r="M1537" i="16" s="1"/>
  <c r="K1537" i="16"/>
  <c r="J1537" i="16"/>
  <c r="I1537" i="16"/>
  <c r="AC1536" i="16"/>
  <c r="AA1536" i="16"/>
  <c r="AB1536" i="16" s="1"/>
  <c r="T1536" i="16"/>
  <c r="AE1536" i="16" s="1"/>
  <c r="R1536" i="16"/>
  <c r="Q1536" i="16"/>
  <c r="P1536" i="16"/>
  <c r="N1536" i="16"/>
  <c r="L1536" i="16"/>
  <c r="M1536" i="16" s="1"/>
  <c r="K1536" i="16"/>
  <c r="J1536" i="16"/>
  <c r="I1536" i="16"/>
  <c r="AC1535" i="16"/>
  <c r="AA1535" i="16"/>
  <c r="AB1535" i="16" s="1"/>
  <c r="T1535" i="16"/>
  <c r="AE1535" i="16" s="1"/>
  <c r="R1535" i="16"/>
  <c r="Q1535" i="16"/>
  <c r="P1535" i="16"/>
  <c r="N1535" i="16"/>
  <c r="L1535" i="16"/>
  <c r="M1535" i="16" s="1"/>
  <c r="K1535" i="16"/>
  <c r="J1535" i="16"/>
  <c r="I1535" i="16"/>
  <c r="AC1534" i="16"/>
  <c r="AA1534" i="16"/>
  <c r="AB1534" i="16" s="1"/>
  <c r="T1534" i="16"/>
  <c r="AE1534" i="16" s="1"/>
  <c r="R1534" i="16"/>
  <c r="Q1534" i="16"/>
  <c r="P1534" i="16"/>
  <c r="N1534" i="16"/>
  <c r="L1534" i="16"/>
  <c r="M1534" i="16" s="1"/>
  <c r="K1534" i="16"/>
  <c r="J1534" i="16"/>
  <c r="I1534" i="16"/>
  <c r="AC1533" i="16"/>
  <c r="AA1533" i="16"/>
  <c r="AB1533" i="16" s="1"/>
  <c r="T1533" i="16"/>
  <c r="AE1533" i="16" s="1"/>
  <c r="R1533" i="16"/>
  <c r="Q1533" i="16"/>
  <c r="P1533" i="16"/>
  <c r="N1533" i="16"/>
  <c r="L1533" i="16"/>
  <c r="M1533" i="16" s="1"/>
  <c r="K1533" i="16"/>
  <c r="J1533" i="16"/>
  <c r="I1533" i="16"/>
  <c r="AC1532" i="16"/>
  <c r="AA1532" i="16"/>
  <c r="AB1532" i="16" s="1"/>
  <c r="T1532" i="16"/>
  <c r="AE1532" i="16" s="1"/>
  <c r="R1532" i="16"/>
  <c r="Q1532" i="16"/>
  <c r="P1532" i="16"/>
  <c r="N1532" i="16"/>
  <c r="L1532" i="16"/>
  <c r="M1532" i="16" s="1"/>
  <c r="K1532" i="16"/>
  <c r="J1532" i="16"/>
  <c r="I1532" i="16"/>
  <c r="AC1531" i="16"/>
  <c r="AA1531" i="16"/>
  <c r="AB1531" i="16" s="1"/>
  <c r="T1531" i="16"/>
  <c r="AE1531" i="16" s="1"/>
  <c r="R1531" i="16"/>
  <c r="Q1531" i="16"/>
  <c r="P1531" i="16"/>
  <c r="N1531" i="16"/>
  <c r="L1531" i="16"/>
  <c r="M1531" i="16" s="1"/>
  <c r="K1531" i="16"/>
  <c r="J1531" i="16"/>
  <c r="I1531" i="16"/>
  <c r="AC1530" i="16"/>
  <c r="AA1530" i="16"/>
  <c r="AB1530" i="16" s="1"/>
  <c r="T1530" i="16"/>
  <c r="AE1530" i="16" s="1"/>
  <c r="R1530" i="16"/>
  <c r="Q1530" i="16"/>
  <c r="P1530" i="16"/>
  <c r="N1530" i="16"/>
  <c r="L1530" i="16"/>
  <c r="M1530" i="16" s="1"/>
  <c r="K1530" i="16"/>
  <c r="J1530" i="16"/>
  <c r="I1530" i="16"/>
  <c r="AC1529" i="16"/>
  <c r="AA1529" i="16"/>
  <c r="AB1529" i="16" s="1"/>
  <c r="T1529" i="16"/>
  <c r="AE1529" i="16" s="1"/>
  <c r="R1529" i="16"/>
  <c r="Q1529" i="16"/>
  <c r="P1529" i="16"/>
  <c r="N1529" i="16"/>
  <c r="L1529" i="16"/>
  <c r="M1529" i="16" s="1"/>
  <c r="K1529" i="16"/>
  <c r="J1529" i="16"/>
  <c r="I1529" i="16"/>
  <c r="AC1528" i="16"/>
  <c r="AA1528" i="16"/>
  <c r="AB1528" i="16" s="1"/>
  <c r="T1528" i="16"/>
  <c r="AE1528" i="16" s="1"/>
  <c r="R1528" i="16"/>
  <c r="Q1528" i="16"/>
  <c r="P1528" i="16"/>
  <c r="N1528" i="16"/>
  <c r="L1528" i="16"/>
  <c r="M1528" i="16" s="1"/>
  <c r="K1528" i="16"/>
  <c r="J1528" i="16"/>
  <c r="I1528" i="16"/>
  <c r="AC1527" i="16"/>
  <c r="AA1527" i="16"/>
  <c r="AB1527" i="16" s="1"/>
  <c r="T1527" i="16"/>
  <c r="AE1527" i="16" s="1"/>
  <c r="R1527" i="16"/>
  <c r="Q1527" i="16"/>
  <c r="P1527" i="16"/>
  <c r="N1527" i="16"/>
  <c r="L1527" i="16"/>
  <c r="M1527" i="16" s="1"/>
  <c r="K1527" i="16"/>
  <c r="J1527" i="16"/>
  <c r="I1527" i="16"/>
  <c r="AC1526" i="16"/>
  <c r="AA1526" i="16"/>
  <c r="AB1526" i="16" s="1"/>
  <c r="T1526" i="16"/>
  <c r="AE1526" i="16" s="1"/>
  <c r="R1526" i="16"/>
  <c r="Q1526" i="16"/>
  <c r="P1526" i="16"/>
  <c r="N1526" i="16"/>
  <c r="L1526" i="16"/>
  <c r="M1526" i="16" s="1"/>
  <c r="K1526" i="16"/>
  <c r="J1526" i="16"/>
  <c r="I1526" i="16"/>
  <c r="AC1525" i="16"/>
  <c r="AA1525" i="16"/>
  <c r="AB1525" i="16" s="1"/>
  <c r="T1525" i="16"/>
  <c r="AE1525" i="16" s="1"/>
  <c r="R1525" i="16"/>
  <c r="Q1525" i="16"/>
  <c r="P1525" i="16"/>
  <c r="N1525" i="16"/>
  <c r="L1525" i="16"/>
  <c r="M1525" i="16" s="1"/>
  <c r="K1525" i="16"/>
  <c r="J1525" i="16"/>
  <c r="I1525" i="16"/>
  <c r="AC1524" i="16"/>
  <c r="AA1524" i="16"/>
  <c r="AB1524" i="16" s="1"/>
  <c r="T1524" i="16"/>
  <c r="AE1524" i="16" s="1"/>
  <c r="R1524" i="16"/>
  <c r="Q1524" i="16"/>
  <c r="P1524" i="16"/>
  <c r="N1524" i="16"/>
  <c r="L1524" i="16"/>
  <c r="M1524" i="16" s="1"/>
  <c r="K1524" i="16"/>
  <c r="J1524" i="16"/>
  <c r="I1524" i="16"/>
  <c r="AC1523" i="16"/>
  <c r="AA1523" i="16"/>
  <c r="AB1523" i="16" s="1"/>
  <c r="T1523" i="16"/>
  <c r="AE1523" i="16" s="1"/>
  <c r="R1523" i="16"/>
  <c r="Q1523" i="16"/>
  <c r="P1523" i="16"/>
  <c r="N1523" i="16"/>
  <c r="L1523" i="16"/>
  <c r="M1523" i="16" s="1"/>
  <c r="K1523" i="16"/>
  <c r="J1523" i="16"/>
  <c r="I1523" i="16"/>
  <c r="AC1522" i="16"/>
  <c r="AA1522" i="16"/>
  <c r="AB1522" i="16" s="1"/>
  <c r="T1522" i="16"/>
  <c r="AE1522" i="16" s="1"/>
  <c r="R1522" i="16"/>
  <c r="Q1522" i="16"/>
  <c r="P1522" i="16"/>
  <c r="N1522" i="16"/>
  <c r="L1522" i="16"/>
  <c r="M1522" i="16" s="1"/>
  <c r="K1522" i="16"/>
  <c r="J1522" i="16"/>
  <c r="I1522" i="16"/>
  <c r="AC1521" i="16"/>
  <c r="AA1521" i="16"/>
  <c r="AB1521" i="16" s="1"/>
  <c r="T1521" i="16"/>
  <c r="AE1521" i="16" s="1"/>
  <c r="R1521" i="16"/>
  <c r="Q1521" i="16"/>
  <c r="P1521" i="16"/>
  <c r="N1521" i="16"/>
  <c r="L1521" i="16"/>
  <c r="M1521" i="16" s="1"/>
  <c r="K1521" i="16"/>
  <c r="J1521" i="16"/>
  <c r="I1521" i="16"/>
  <c r="AC1520" i="16"/>
  <c r="AA1520" i="16"/>
  <c r="AB1520" i="16" s="1"/>
  <c r="T1520" i="16"/>
  <c r="AE1520" i="16" s="1"/>
  <c r="R1520" i="16"/>
  <c r="Q1520" i="16"/>
  <c r="P1520" i="16"/>
  <c r="N1520" i="16"/>
  <c r="L1520" i="16"/>
  <c r="M1520" i="16" s="1"/>
  <c r="K1520" i="16"/>
  <c r="J1520" i="16"/>
  <c r="I1520" i="16"/>
  <c r="AC1519" i="16"/>
  <c r="AA1519" i="16"/>
  <c r="AB1519" i="16" s="1"/>
  <c r="T1519" i="16"/>
  <c r="AE1519" i="16" s="1"/>
  <c r="R1519" i="16"/>
  <c r="Q1519" i="16"/>
  <c r="P1519" i="16"/>
  <c r="N1519" i="16"/>
  <c r="L1519" i="16"/>
  <c r="M1519" i="16" s="1"/>
  <c r="K1519" i="16"/>
  <c r="J1519" i="16"/>
  <c r="I1519" i="16"/>
  <c r="AC1518" i="16"/>
  <c r="AA1518" i="16"/>
  <c r="AB1518" i="16" s="1"/>
  <c r="T1518" i="16"/>
  <c r="AE1518" i="16" s="1"/>
  <c r="R1518" i="16"/>
  <c r="Q1518" i="16"/>
  <c r="P1518" i="16"/>
  <c r="N1518" i="16"/>
  <c r="L1518" i="16"/>
  <c r="M1518" i="16" s="1"/>
  <c r="K1518" i="16"/>
  <c r="J1518" i="16"/>
  <c r="I1518" i="16"/>
  <c r="AC1517" i="16"/>
  <c r="AA1517" i="16"/>
  <c r="AB1517" i="16" s="1"/>
  <c r="T1517" i="16"/>
  <c r="AE1517" i="16" s="1"/>
  <c r="R1517" i="16"/>
  <c r="Q1517" i="16"/>
  <c r="P1517" i="16"/>
  <c r="N1517" i="16"/>
  <c r="L1517" i="16"/>
  <c r="M1517" i="16" s="1"/>
  <c r="K1517" i="16"/>
  <c r="J1517" i="16"/>
  <c r="I1517" i="16"/>
  <c r="AC1516" i="16"/>
  <c r="AA1516" i="16"/>
  <c r="AB1516" i="16" s="1"/>
  <c r="T1516" i="16"/>
  <c r="AE1516" i="16" s="1"/>
  <c r="R1516" i="16"/>
  <c r="Q1516" i="16"/>
  <c r="P1516" i="16"/>
  <c r="N1516" i="16"/>
  <c r="L1516" i="16"/>
  <c r="M1516" i="16" s="1"/>
  <c r="K1516" i="16"/>
  <c r="J1516" i="16"/>
  <c r="I1516" i="16"/>
  <c r="AC1515" i="16"/>
  <c r="AA1515" i="16"/>
  <c r="AB1515" i="16" s="1"/>
  <c r="T1515" i="16"/>
  <c r="AE1515" i="16" s="1"/>
  <c r="R1515" i="16"/>
  <c r="Q1515" i="16"/>
  <c r="P1515" i="16"/>
  <c r="N1515" i="16"/>
  <c r="L1515" i="16"/>
  <c r="M1515" i="16" s="1"/>
  <c r="K1515" i="16"/>
  <c r="J1515" i="16"/>
  <c r="I1515" i="16"/>
  <c r="AC1514" i="16"/>
  <c r="AA1514" i="16"/>
  <c r="AB1514" i="16" s="1"/>
  <c r="T1514" i="16"/>
  <c r="AE1514" i="16" s="1"/>
  <c r="R1514" i="16"/>
  <c r="Q1514" i="16"/>
  <c r="P1514" i="16"/>
  <c r="N1514" i="16"/>
  <c r="L1514" i="16"/>
  <c r="M1514" i="16" s="1"/>
  <c r="K1514" i="16"/>
  <c r="J1514" i="16"/>
  <c r="I1514" i="16"/>
  <c r="AC1513" i="16"/>
  <c r="AA1513" i="16"/>
  <c r="AB1513" i="16" s="1"/>
  <c r="T1513" i="16"/>
  <c r="AE1513" i="16" s="1"/>
  <c r="R1513" i="16"/>
  <c r="Q1513" i="16"/>
  <c r="P1513" i="16"/>
  <c r="N1513" i="16"/>
  <c r="L1513" i="16"/>
  <c r="M1513" i="16" s="1"/>
  <c r="K1513" i="16"/>
  <c r="J1513" i="16"/>
  <c r="I1513" i="16"/>
  <c r="AC1512" i="16"/>
  <c r="AA1512" i="16"/>
  <c r="AB1512" i="16" s="1"/>
  <c r="T1512" i="16"/>
  <c r="AE1512" i="16" s="1"/>
  <c r="R1512" i="16"/>
  <c r="Q1512" i="16"/>
  <c r="P1512" i="16"/>
  <c r="N1512" i="16"/>
  <c r="L1512" i="16"/>
  <c r="M1512" i="16" s="1"/>
  <c r="K1512" i="16"/>
  <c r="J1512" i="16"/>
  <c r="I1512" i="16"/>
  <c r="AC1511" i="16"/>
  <c r="AA1511" i="16"/>
  <c r="AB1511" i="16" s="1"/>
  <c r="T1511" i="16"/>
  <c r="AE1511" i="16" s="1"/>
  <c r="R1511" i="16"/>
  <c r="Q1511" i="16"/>
  <c r="P1511" i="16"/>
  <c r="N1511" i="16"/>
  <c r="L1511" i="16"/>
  <c r="M1511" i="16" s="1"/>
  <c r="K1511" i="16"/>
  <c r="J1511" i="16"/>
  <c r="I1511" i="16"/>
  <c r="AC1510" i="16"/>
  <c r="AA1510" i="16"/>
  <c r="AB1510" i="16" s="1"/>
  <c r="T1510" i="16"/>
  <c r="AE1510" i="16" s="1"/>
  <c r="R1510" i="16"/>
  <c r="Q1510" i="16"/>
  <c r="P1510" i="16"/>
  <c r="N1510" i="16"/>
  <c r="L1510" i="16"/>
  <c r="M1510" i="16" s="1"/>
  <c r="K1510" i="16"/>
  <c r="J1510" i="16"/>
  <c r="I1510" i="16"/>
  <c r="AC1509" i="16"/>
  <c r="AA1509" i="16"/>
  <c r="AB1509" i="16" s="1"/>
  <c r="T1509" i="16"/>
  <c r="AE1509" i="16" s="1"/>
  <c r="R1509" i="16"/>
  <c r="Q1509" i="16"/>
  <c r="P1509" i="16"/>
  <c r="N1509" i="16"/>
  <c r="L1509" i="16"/>
  <c r="M1509" i="16" s="1"/>
  <c r="K1509" i="16"/>
  <c r="J1509" i="16"/>
  <c r="I1509" i="16"/>
  <c r="AC1508" i="16"/>
  <c r="AA1508" i="16"/>
  <c r="AB1508" i="16" s="1"/>
  <c r="T1508" i="16"/>
  <c r="AE1508" i="16" s="1"/>
  <c r="R1508" i="16"/>
  <c r="Q1508" i="16"/>
  <c r="P1508" i="16"/>
  <c r="N1508" i="16"/>
  <c r="L1508" i="16"/>
  <c r="M1508" i="16" s="1"/>
  <c r="K1508" i="16"/>
  <c r="J1508" i="16"/>
  <c r="I1508" i="16"/>
  <c r="AC1507" i="16"/>
  <c r="AA1507" i="16"/>
  <c r="AB1507" i="16" s="1"/>
  <c r="T1507" i="16"/>
  <c r="AE1507" i="16" s="1"/>
  <c r="R1507" i="16"/>
  <c r="Q1507" i="16"/>
  <c r="P1507" i="16"/>
  <c r="N1507" i="16"/>
  <c r="L1507" i="16"/>
  <c r="M1507" i="16" s="1"/>
  <c r="K1507" i="16"/>
  <c r="J1507" i="16"/>
  <c r="I1507" i="16"/>
  <c r="AC1506" i="16"/>
  <c r="AA1506" i="16"/>
  <c r="AB1506" i="16" s="1"/>
  <c r="T1506" i="16"/>
  <c r="AE1506" i="16" s="1"/>
  <c r="R1506" i="16"/>
  <c r="Q1506" i="16"/>
  <c r="P1506" i="16"/>
  <c r="N1506" i="16"/>
  <c r="L1506" i="16"/>
  <c r="M1506" i="16" s="1"/>
  <c r="K1506" i="16"/>
  <c r="J1506" i="16"/>
  <c r="I1506" i="16"/>
  <c r="AC1505" i="16"/>
  <c r="AA1505" i="16"/>
  <c r="AB1505" i="16" s="1"/>
  <c r="T1505" i="16"/>
  <c r="AE1505" i="16" s="1"/>
  <c r="R1505" i="16"/>
  <c r="Q1505" i="16"/>
  <c r="P1505" i="16"/>
  <c r="N1505" i="16"/>
  <c r="L1505" i="16"/>
  <c r="M1505" i="16" s="1"/>
  <c r="K1505" i="16"/>
  <c r="J1505" i="16"/>
  <c r="I1505" i="16"/>
  <c r="AC1504" i="16"/>
  <c r="AA1504" i="16"/>
  <c r="AB1504" i="16" s="1"/>
  <c r="T1504" i="16"/>
  <c r="AE1504" i="16" s="1"/>
  <c r="R1504" i="16"/>
  <c r="Q1504" i="16"/>
  <c r="P1504" i="16"/>
  <c r="N1504" i="16"/>
  <c r="L1504" i="16"/>
  <c r="M1504" i="16" s="1"/>
  <c r="K1504" i="16"/>
  <c r="J1504" i="16"/>
  <c r="I1504" i="16"/>
  <c r="AC1503" i="16"/>
  <c r="AA1503" i="16"/>
  <c r="AB1503" i="16" s="1"/>
  <c r="T1503" i="16"/>
  <c r="AE1503" i="16" s="1"/>
  <c r="R1503" i="16"/>
  <c r="Q1503" i="16"/>
  <c r="P1503" i="16"/>
  <c r="N1503" i="16"/>
  <c r="L1503" i="16"/>
  <c r="M1503" i="16" s="1"/>
  <c r="K1503" i="16"/>
  <c r="J1503" i="16"/>
  <c r="I1503" i="16"/>
  <c r="AC1502" i="16"/>
  <c r="AA1502" i="16"/>
  <c r="AB1502" i="16" s="1"/>
  <c r="T1502" i="16"/>
  <c r="AE1502" i="16" s="1"/>
  <c r="R1502" i="16"/>
  <c r="Q1502" i="16"/>
  <c r="P1502" i="16"/>
  <c r="N1502" i="16"/>
  <c r="L1502" i="16"/>
  <c r="M1502" i="16" s="1"/>
  <c r="K1502" i="16"/>
  <c r="J1502" i="16"/>
  <c r="I1502" i="16"/>
  <c r="AC1501" i="16"/>
  <c r="AA1501" i="16"/>
  <c r="AB1501" i="16" s="1"/>
  <c r="T1501" i="16"/>
  <c r="AE1501" i="16" s="1"/>
  <c r="R1501" i="16"/>
  <c r="Q1501" i="16"/>
  <c r="P1501" i="16"/>
  <c r="N1501" i="16"/>
  <c r="L1501" i="16"/>
  <c r="M1501" i="16" s="1"/>
  <c r="K1501" i="16"/>
  <c r="J1501" i="16"/>
  <c r="I1501" i="16"/>
  <c r="AC1500" i="16"/>
  <c r="AA1500" i="16"/>
  <c r="AB1500" i="16" s="1"/>
  <c r="T1500" i="16"/>
  <c r="AE1500" i="16" s="1"/>
  <c r="R1500" i="16"/>
  <c r="Q1500" i="16"/>
  <c r="P1500" i="16"/>
  <c r="N1500" i="16"/>
  <c r="L1500" i="16"/>
  <c r="M1500" i="16" s="1"/>
  <c r="K1500" i="16"/>
  <c r="J1500" i="16"/>
  <c r="I1500" i="16"/>
  <c r="AC1499" i="16"/>
  <c r="AA1499" i="16"/>
  <c r="AB1499" i="16" s="1"/>
  <c r="T1499" i="16"/>
  <c r="AE1499" i="16" s="1"/>
  <c r="R1499" i="16"/>
  <c r="Q1499" i="16"/>
  <c r="P1499" i="16"/>
  <c r="N1499" i="16"/>
  <c r="L1499" i="16"/>
  <c r="M1499" i="16" s="1"/>
  <c r="K1499" i="16"/>
  <c r="J1499" i="16"/>
  <c r="I1499" i="16"/>
  <c r="AC1498" i="16"/>
  <c r="AA1498" i="16"/>
  <c r="AB1498" i="16" s="1"/>
  <c r="T1498" i="16"/>
  <c r="AE1498" i="16" s="1"/>
  <c r="R1498" i="16"/>
  <c r="Q1498" i="16"/>
  <c r="P1498" i="16"/>
  <c r="N1498" i="16"/>
  <c r="L1498" i="16"/>
  <c r="M1498" i="16" s="1"/>
  <c r="K1498" i="16"/>
  <c r="J1498" i="16"/>
  <c r="I1498" i="16"/>
  <c r="AC1497" i="16"/>
  <c r="AA1497" i="16"/>
  <c r="AB1497" i="16" s="1"/>
  <c r="T1497" i="16"/>
  <c r="AE1497" i="16" s="1"/>
  <c r="R1497" i="16"/>
  <c r="Q1497" i="16"/>
  <c r="P1497" i="16"/>
  <c r="N1497" i="16"/>
  <c r="L1497" i="16"/>
  <c r="M1497" i="16" s="1"/>
  <c r="K1497" i="16"/>
  <c r="J1497" i="16"/>
  <c r="I1497" i="16"/>
  <c r="AC1496" i="16"/>
  <c r="AA1496" i="16"/>
  <c r="AB1496" i="16" s="1"/>
  <c r="T1496" i="16"/>
  <c r="AE1496" i="16" s="1"/>
  <c r="R1496" i="16"/>
  <c r="Q1496" i="16"/>
  <c r="P1496" i="16"/>
  <c r="N1496" i="16"/>
  <c r="L1496" i="16"/>
  <c r="M1496" i="16" s="1"/>
  <c r="K1496" i="16"/>
  <c r="J1496" i="16"/>
  <c r="I1496" i="16"/>
  <c r="AC1495" i="16"/>
  <c r="AA1495" i="16"/>
  <c r="AB1495" i="16" s="1"/>
  <c r="T1495" i="16"/>
  <c r="AE1495" i="16" s="1"/>
  <c r="R1495" i="16"/>
  <c r="Q1495" i="16"/>
  <c r="P1495" i="16"/>
  <c r="N1495" i="16"/>
  <c r="L1495" i="16"/>
  <c r="M1495" i="16" s="1"/>
  <c r="K1495" i="16"/>
  <c r="J1495" i="16"/>
  <c r="I1495" i="16"/>
  <c r="AC1494" i="16"/>
  <c r="AA1494" i="16"/>
  <c r="AB1494" i="16" s="1"/>
  <c r="T1494" i="16"/>
  <c r="AE1494" i="16" s="1"/>
  <c r="R1494" i="16"/>
  <c r="Q1494" i="16"/>
  <c r="P1494" i="16"/>
  <c r="N1494" i="16"/>
  <c r="L1494" i="16"/>
  <c r="M1494" i="16" s="1"/>
  <c r="K1494" i="16"/>
  <c r="J1494" i="16"/>
  <c r="I1494" i="16"/>
  <c r="AC1493" i="16"/>
  <c r="AA1493" i="16"/>
  <c r="AB1493" i="16" s="1"/>
  <c r="T1493" i="16"/>
  <c r="AE1493" i="16" s="1"/>
  <c r="R1493" i="16"/>
  <c r="Q1493" i="16"/>
  <c r="P1493" i="16"/>
  <c r="N1493" i="16"/>
  <c r="L1493" i="16"/>
  <c r="M1493" i="16" s="1"/>
  <c r="K1493" i="16"/>
  <c r="J1493" i="16"/>
  <c r="I1493" i="16"/>
  <c r="AC1492" i="16"/>
  <c r="AA1492" i="16"/>
  <c r="AB1492" i="16" s="1"/>
  <c r="T1492" i="16"/>
  <c r="AE1492" i="16" s="1"/>
  <c r="R1492" i="16"/>
  <c r="Q1492" i="16"/>
  <c r="P1492" i="16"/>
  <c r="N1492" i="16"/>
  <c r="L1492" i="16"/>
  <c r="M1492" i="16" s="1"/>
  <c r="K1492" i="16"/>
  <c r="J1492" i="16"/>
  <c r="I1492" i="16"/>
  <c r="AC1491" i="16"/>
  <c r="AA1491" i="16"/>
  <c r="AB1491" i="16" s="1"/>
  <c r="T1491" i="16"/>
  <c r="AE1491" i="16" s="1"/>
  <c r="R1491" i="16"/>
  <c r="Q1491" i="16"/>
  <c r="P1491" i="16"/>
  <c r="N1491" i="16"/>
  <c r="L1491" i="16"/>
  <c r="M1491" i="16" s="1"/>
  <c r="K1491" i="16"/>
  <c r="J1491" i="16"/>
  <c r="I1491" i="16"/>
  <c r="AC1490" i="16"/>
  <c r="AA1490" i="16"/>
  <c r="AB1490" i="16" s="1"/>
  <c r="T1490" i="16"/>
  <c r="AE1490" i="16" s="1"/>
  <c r="R1490" i="16"/>
  <c r="Q1490" i="16"/>
  <c r="P1490" i="16"/>
  <c r="N1490" i="16"/>
  <c r="L1490" i="16"/>
  <c r="M1490" i="16" s="1"/>
  <c r="K1490" i="16"/>
  <c r="J1490" i="16"/>
  <c r="I1490" i="16"/>
  <c r="AC1489" i="16"/>
  <c r="AA1489" i="16"/>
  <c r="AB1489" i="16" s="1"/>
  <c r="T1489" i="16"/>
  <c r="AE1489" i="16" s="1"/>
  <c r="R1489" i="16"/>
  <c r="Q1489" i="16"/>
  <c r="P1489" i="16"/>
  <c r="N1489" i="16"/>
  <c r="L1489" i="16"/>
  <c r="M1489" i="16" s="1"/>
  <c r="K1489" i="16"/>
  <c r="J1489" i="16"/>
  <c r="I1489" i="16"/>
  <c r="AC1488" i="16"/>
  <c r="AA1488" i="16"/>
  <c r="AB1488" i="16" s="1"/>
  <c r="T1488" i="16"/>
  <c r="AE1488" i="16" s="1"/>
  <c r="R1488" i="16"/>
  <c r="Q1488" i="16"/>
  <c r="P1488" i="16"/>
  <c r="N1488" i="16"/>
  <c r="L1488" i="16"/>
  <c r="M1488" i="16" s="1"/>
  <c r="K1488" i="16"/>
  <c r="J1488" i="16"/>
  <c r="I1488" i="16"/>
  <c r="AC1487" i="16"/>
  <c r="AA1487" i="16"/>
  <c r="AB1487" i="16" s="1"/>
  <c r="T1487" i="16"/>
  <c r="AE1487" i="16" s="1"/>
  <c r="R1487" i="16"/>
  <c r="Q1487" i="16"/>
  <c r="P1487" i="16"/>
  <c r="N1487" i="16"/>
  <c r="L1487" i="16"/>
  <c r="M1487" i="16" s="1"/>
  <c r="K1487" i="16"/>
  <c r="J1487" i="16"/>
  <c r="I1487" i="16"/>
  <c r="AC1486" i="16"/>
  <c r="AA1486" i="16"/>
  <c r="AB1486" i="16" s="1"/>
  <c r="T1486" i="16"/>
  <c r="AE1486" i="16" s="1"/>
  <c r="R1486" i="16"/>
  <c r="Q1486" i="16"/>
  <c r="P1486" i="16"/>
  <c r="N1486" i="16"/>
  <c r="L1486" i="16"/>
  <c r="M1486" i="16" s="1"/>
  <c r="K1486" i="16"/>
  <c r="J1486" i="16"/>
  <c r="I1486" i="16"/>
  <c r="AC1485" i="16"/>
  <c r="AA1485" i="16"/>
  <c r="AB1485" i="16" s="1"/>
  <c r="T1485" i="16"/>
  <c r="AE1485" i="16" s="1"/>
  <c r="R1485" i="16"/>
  <c r="Q1485" i="16"/>
  <c r="P1485" i="16"/>
  <c r="N1485" i="16"/>
  <c r="L1485" i="16"/>
  <c r="M1485" i="16" s="1"/>
  <c r="K1485" i="16"/>
  <c r="J1485" i="16"/>
  <c r="I1485" i="16"/>
  <c r="AC1484" i="16"/>
  <c r="AA1484" i="16"/>
  <c r="AB1484" i="16" s="1"/>
  <c r="T1484" i="16"/>
  <c r="AE1484" i="16" s="1"/>
  <c r="R1484" i="16"/>
  <c r="Q1484" i="16"/>
  <c r="P1484" i="16"/>
  <c r="N1484" i="16"/>
  <c r="L1484" i="16"/>
  <c r="M1484" i="16" s="1"/>
  <c r="K1484" i="16"/>
  <c r="J1484" i="16"/>
  <c r="I1484" i="16"/>
  <c r="AC1483" i="16"/>
  <c r="AA1483" i="16"/>
  <c r="AB1483" i="16" s="1"/>
  <c r="T1483" i="16"/>
  <c r="AE1483" i="16" s="1"/>
  <c r="R1483" i="16"/>
  <c r="Q1483" i="16"/>
  <c r="P1483" i="16"/>
  <c r="N1483" i="16"/>
  <c r="L1483" i="16"/>
  <c r="M1483" i="16" s="1"/>
  <c r="K1483" i="16"/>
  <c r="J1483" i="16"/>
  <c r="I1483" i="16"/>
  <c r="AC1482" i="16"/>
  <c r="AA1482" i="16"/>
  <c r="AB1482" i="16" s="1"/>
  <c r="T1482" i="16"/>
  <c r="AE1482" i="16" s="1"/>
  <c r="R1482" i="16"/>
  <c r="Q1482" i="16"/>
  <c r="P1482" i="16"/>
  <c r="N1482" i="16"/>
  <c r="L1482" i="16"/>
  <c r="M1482" i="16" s="1"/>
  <c r="K1482" i="16"/>
  <c r="J1482" i="16"/>
  <c r="I1482" i="16"/>
  <c r="AC1481" i="16"/>
  <c r="AA1481" i="16"/>
  <c r="AB1481" i="16" s="1"/>
  <c r="T1481" i="16"/>
  <c r="AE1481" i="16" s="1"/>
  <c r="R1481" i="16"/>
  <c r="Q1481" i="16"/>
  <c r="P1481" i="16"/>
  <c r="N1481" i="16"/>
  <c r="L1481" i="16"/>
  <c r="M1481" i="16" s="1"/>
  <c r="K1481" i="16"/>
  <c r="J1481" i="16"/>
  <c r="I1481" i="16"/>
  <c r="AC1480" i="16"/>
  <c r="AA1480" i="16"/>
  <c r="AB1480" i="16" s="1"/>
  <c r="T1480" i="16"/>
  <c r="AE1480" i="16" s="1"/>
  <c r="R1480" i="16"/>
  <c r="Q1480" i="16"/>
  <c r="P1480" i="16"/>
  <c r="N1480" i="16"/>
  <c r="L1480" i="16"/>
  <c r="M1480" i="16" s="1"/>
  <c r="K1480" i="16"/>
  <c r="J1480" i="16"/>
  <c r="I1480" i="16"/>
  <c r="AC1479" i="16"/>
  <c r="AA1479" i="16"/>
  <c r="AB1479" i="16" s="1"/>
  <c r="T1479" i="16"/>
  <c r="AE1479" i="16" s="1"/>
  <c r="R1479" i="16"/>
  <c r="Q1479" i="16"/>
  <c r="P1479" i="16"/>
  <c r="N1479" i="16"/>
  <c r="L1479" i="16"/>
  <c r="M1479" i="16" s="1"/>
  <c r="K1479" i="16"/>
  <c r="J1479" i="16"/>
  <c r="I1479" i="16"/>
  <c r="AC1478" i="16"/>
  <c r="AA1478" i="16"/>
  <c r="AB1478" i="16" s="1"/>
  <c r="T1478" i="16"/>
  <c r="AE1478" i="16" s="1"/>
  <c r="R1478" i="16"/>
  <c r="Q1478" i="16"/>
  <c r="P1478" i="16"/>
  <c r="N1478" i="16"/>
  <c r="L1478" i="16"/>
  <c r="M1478" i="16" s="1"/>
  <c r="K1478" i="16"/>
  <c r="J1478" i="16"/>
  <c r="I1478" i="16"/>
  <c r="AC1477" i="16"/>
  <c r="AA1477" i="16"/>
  <c r="AB1477" i="16" s="1"/>
  <c r="T1477" i="16"/>
  <c r="AE1477" i="16" s="1"/>
  <c r="R1477" i="16"/>
  <c r="Q1477" i="16"/>
  <c r="P1477" i="16"/>
  <c r="N1477" i="16"/>
  <c r="L1477" i="16"/>
  <c r="M1477" i="16" s="1"/>
  <c r="K1477" i="16"/>
  <c r="J1477" i="16"/>
  <c r="I1477" i="16"/>
  <c r="AC1476" i="16"/>
  <c r="AA1476" i="16"/>
  <c r="AB1476" i="16" s="1"/>
  <c r="T1476" i="16"/>
  <c r="AE1476" i="16" s="1"/>
  <c r="R1476" i="16"/>
  <c r="Q1476" i="16"/>
  <c r="P1476" i="16"/>
  <c r="N1476" i="16"/>
  <c r="L1476" i="16"/>
  <c r="M1476" i="16" s="1"/>
  <c r="K1476" i="16"/>
  <c r="J1476" i="16"/>
  <c r="I1476" i="16"/>
  <c r="AC1475" i="16"/>
  <c r="AA1475" i="16"/>
  <c r="AB1475" i="16" s="1"/>
  <c r="T1475" i="16"/>
  <c r="AE1475" i="16" s="1"/>
  <c r="R1475" i="16"/>
  <c r="Q1475" i="16"/>
  <c r="P1475" i="16"/>
  <c r="N1475" i="16"/>
  <c r="L1475" i="16"/>
  <c r="M1475" i="16" s="1"/>
  <c r="K1475" i="16"/>
  <c r="J1475" i="16"/>
  <c r="I1475" i="16"/>
  <c r="AC1474" i="16"/>
  <c r="AA1474" i="16"/>
  <c r="AB1474" i="16" s="1"/>
  <c r="T1474" i="16"/>
  <c r="AE1474" i="16" s="1"/>
  <c r="R1474" i="16"/>
  <c r="Q1474" i="16"/>
  <c r="P1474" i="16"/>
  <c r="N1474" i="16"/>
  <c r="L1474" i="16"/>
  <c r="M1474" i="16" s="1"/>
  <c r="K1474" i="16"/>
  <c r="J1474" i="16"/>
  <c r="I1474" i="16"/>
  <c r="AC1473" i="16"/>
  <c r="AA1473" i="16"/>
  <c r="AB1473" i="16" s="1"/>
  <c r="T1473" i="16"/>
  <c r="AE1473" i="16" s="1"/>
  <c r="R1473" i="16"/>
  <c r="Q1473" i="16"/>
  <c r="P1473" i="16"/>
  <c r="N1473" i="16"/>
  <c r="L1473" i="16"/>
  <c r="M1473" i="16" s="1"/>
  <c r="K1473" i="16"/>
  <c r="J1473" i="16"/>
  <c r="I1473" i="16"/>
  <c r="AC1472" i="16"/>
  <c r="AA1472" i="16"/>
  <c r="AB1472" i="16" s="1"/>
  <c r="T1472" i="16"/>
  <c r="AE1472" i="16" s="1"/>
  <c r="R1472" i="16"/>
  <c r="Q1472" i="16"/>
  <c r="P1472" i="16"/>
  <c r="N1472" i="16"/>
  <c r="L1472" i="16"/>
  <c r="M1472" i="16" s="1"/>
  <c r="K1472" i="16"/>
  <c r="J1472" i="16"/>
  <c r="I1472" i="16"/>
  <c r="AC1471" i="16"/>
  <c r="AA1471" i="16"/>
  <c r="AB1471" i="16" s="1"/>
  <c r="T1471" i="16"/>
  <c r="AE1471" i="16" s="1"/>
  <c r="R1471" i="16"/>
  <c r="Q1471" i="16"/>
  <c r="P1471" i="16"/>
  <c r="N1471" i="16"/>
  <c r="L1471" i="16"/>
  <c r="M1471" i="16" s="1"/>
  <c r="K1471" i="16"/>
  <c r="J1471" i="16"/>
  <c r="I1471" i="16"/>
  <c r="AC1470" i="16"/>
  <c r="AA1470" i="16"/>
  <c r="AB1470" i="16" s="1"/>
  <c r="T1470" i="16"/>
  <c r="AE1470" i="16" s="1"/>
  <c r="R1470" i="16"/>
  <c r="Q1470" i="16"/>
  <c r="P1470" i="16"/>
  <c r="N1470" i="16"/>
  <c r="L1470" i="16"/>
  <c r="M1470" i="16" s="1"/>
  <c r="K1470" i="16"/>
  <c r="J1470" i="16"/>
  <c r="I1470" i="16"/>
  <c r="AC1469" i="16"/>
  <c r="AA1469" i="16"/>
  <c r="AB1469" i="16" s="1"/>
  <c r="T1469" i="16"/>
  <c r="AE1469" i="16" s="1"/>
  <c r="R1469" i="16"/>
  <c r="Q1469" i="16"/>
  <c r="P1469" i="16"/>
  <c r="N1469" i="16"/>
  <c r="L1469" i="16"/>
  <c r="M1469" i="16" s="1"/>
  <c r="K1469" i="16"/>
  <c r="J1469" i="16"/>
  <c r="I1469" i="16"/>
  <c r="AC1468" i="16"/>
  <c r="AA1468" i="16"/>
  <c r="AB1468" i="16" s="1"/>
  <c r="T1468" i="16"/>
  <c r="AE1468" i="16" s="1"/>
  <c r="R1468" i="16"/>
  <c r="Q1468" i="16"/>
  <c r="P1468" i="16"/>
  <c r="N1468" i="16"/>
  <c r="L1468" i="16"/>
  <c r="M1468" i="16" s="1"/>
  <c r="K1468" i="16"/>
  <c r="J1468" i="16"/>
  <c r="I1468" i="16"/>
  <c r="AC1467" i="16"/>
  <c r="AA1467" i="16"/>
  <c r="AB1467" i="16" s="1"/>
  <c r="T1467" i="16"/>
  <c r="AE1467" i="16" s="1"/>
  <c r="R1467" i="16"/>
  <c r="Q1467" i="16"/>
  <c r="P1467" i="16"/>
  <c r="N1467" i="16"/>
  <c r="L1467" i="16"/>
  <c r="M1467" i="16" s="1"/>
  <c r="K1467" i="16"/>
  <c r="J1467" i="16"/>
  <c r="I1467" i="16"/>
  <c r="AC1466" i="16"/>
  <c r="AA1466" i="16"/>
  <c r="AB1466" i="16" s="1"/>
  <c r="T1466" i="16"/>
  <c r="AE1466" i="16" s="1"/>
  <c r="R1466" i="16"/>
  <c r="Q1466" i="16"/>
  <c r="P1466" i="16"/>
  <c r="N1466" i="16"/>
  <c r="L1466" i="16"/>
  <c r="M1466" i="16" s="1"/>
  <c r="K1466" i="16"/>
  <c r="J1466" i="16"/>
  <c r="I1466" i="16"/>
  <c r="AC1465" i="16"/>
  <c r="AA1465" i="16"/>
  <c r="AB1465" i="16" s="1"/>
  <c r="T1465" i="16"/>
  <c r="AE1465" i="16" s="1"/>
  <c r="R1465" i="16"/>
  <c r="Q1465" i="16"/>
  <c r="P1465" i="16"/>
  <c r="N1465" i="16"/>
  <c r="L1465" i="16"/>
  <c r="M1465" i="16" s="1"/>
  <c r="K1465" i="16"/>
  <c r="J1465" i="16"/>
  <c r="I1465" i="16"/>
  <c r="AC1464" i="16"/>
  <c r="AA1464" i="16"/>
  <c r="AB1464" i="16" s="1"/>
  <c r="T1464" i="16"/>
  <c r="AE1464" i="16" s="1"/>
  <c r="R1464" i="16"/>
  <c r="Q1464" i="16"/>
  <c r="P1464" i="16"/>
  <c r="N1464" i="16"/>
  <c r="L1464" i="16"/>
  <c r="M1464" i="16" s="1"/>
  <c r="K1464" i="16"/>
  <c r="J1464" i="16"/>
  <c r="I1464" i="16"/>
  <c r="AC1463" i="16"/>
  <c r="AA1463" i="16"/>
  <c r="AB1463" i="16" s="1"/>
  <c r="T1463" i="16"/>
  <c r="AE1463" i="16" s="1"/>
  <c r="R1463" i="16"/>
  <c r="Q1463" i="16"/>
  <c r="P1463" i="16"/>
  <c r="N1463" i="16"/>
  <c r="L1463" i="16"/>
  <c r="M1463" i="16" s="1"/>
  <c r="K1463" i="16"/>
  <c r="J1463" i="16"/>
  <c r="I1463" i="16"/>
  <c r="AC1462" i="16"/>
  <c r="AA1462" i="16"/>
  <c r="AB1462" i="16" s="1"/>
  <c r="T1462" i="16"/>
  <c r="AE1462" i="16" s="1"/>
  <c r="R1462" i="16"/>
  <c r="Q1462" i="16"/>
  <c r="P1462" i="16"/>
  <c r="N1462" i="16"/>
  <c r="L1462" i="16"/>
  <c r="M1462" i="16" s="1"/>
  <c r="K1462" i="16"/>
  <c r="J1462" i="16"/>
  <c r="I1462" i="16"/>
  <c r="AC1461" i="16"/>
  <c r="AA1461" i="16"/>
  <c r="AB1461" i="16" s="1"/>
  <c r="T1461" i="16"/>
  <c r="AE1461" i="16" s="1"/>
  <c r="R1461" i="16"/>
  <c r="Q1461" i="16"/>
  <c r="P1461" i="16"/>
  <c r="N1461" i="16"/>
  <c r="L1461" i="16"/>
  <c r="M1461" i="16" s="1"/>
  <c r="K1461" i="16"/>
  <c r="J1461" i="16"/>
  <c r="I1461" i="16"/>
  <c r="AC1460" i="16"/>
  <c r="AA1460" i="16"/>
  <c r="AB1460" i="16" s="1"/>
  <c r="T1460" i="16"/>
  <c r="AE1460" i="16" s="1"/>
  <c r="R1460" i="16"/>
  <c r="Q1460" i="16"/>
  <c r="P1460" i="16"/>
  <c r="N1460" i="16"/>
  <c r="L1460" i="16"/>
  <c r="M1460" i="16" s="1"/>
  <c r="K1460" i="16"/>
  <c r="J1460" i="16"/>
  <c r="I1460" i="16"/>
  <c r="AC1459" i="16"/>
  <c r="AA1459" i="16"/>
  <c r="AB1459" i="16" s="1"/>
  <c r="T1459" i="16"/>
  <c r="AE1459" i="16" s="1"/>
  <c r="R1459" i="16"/>
  <c r="Q1459" i="16"/>
  <c r="P1459" i="16"/>
  <c r="N1459" i="16"/>
  <c r="L1459" i="16"/>
  <c r="M1459" i="16" s="1"/>
  <c r="K1459" i="16"/>
  <c r="J1459" i="16"/>
  <c r="I1459" i="16"/>
  <c r="AC1458" i="16"/>
  <c r="AA1458" i="16"/>
  <c r="AB1458" i="16" s="1"/>
  <c r="T1458" i="16"/>
  <c r="AE1458" i="16" s="1"/>
  <c r="R1458" i="16"/>
  <c r="Q1458" i="16"/>
  <c r="P1458" i="16"/>
  <c r="N1458" i="16"/>
  <c r="L1458" i="16"/>
  <c r="M1458" i="16" s="1"/>
  <c r="K1458" i="16"/>
  <c r="J1458" i="16"/>
  <c r="I1458" i="16"/>
  <c r="AC1457" i="16"/>
  <c r="AA1457" i="16"/>
  <c r="AB1457" i="16" s="1"/>
  <c r="T1457" i="16"/>
  <c r="AE1457" i="16" s="1"/>
  <c r="R1457" i="16"/>
  <c r="Q1457" i="16"/>
  <c r="P1457" i="16"/>
  <c r="N1457" i="16"/>
  <c r="L1457" i="16"/>
  <c r="M1457" i="16" s="1"/>
  <c r="K1457" i="16"/>
  <c r="J1457" i="16"/>
  <c r="I1457" i="16"/>
  <c r="AC1456" i="16"/>
  <c r="AA1456" i="16"/>
  <c r="AB1456" i="16" s="1"/>
  <c r="T1456" i="16"/>
  <c r="AE1456" i="16" s="1"/>
  <c r="R1456" i="16"/>
  <c r="Q1456" i="16"/>
  <c r="P1456" i="16"/>
  <c r="N1456" i="16"/>
  <c r="L1456" i="16"/>
  <c r="M1456" i="16" s="1"/>
  <c r="K1456" i="16"/>
  <c r="J1456" i="16"/>
  <c r="I1456" i="16"/>
  <c r="AC1455" i="16"/>
  <c r="AA1455" i="16"/>
  <c r="AB1455" i="16" s="1"/>
  <c r="T1455" i="16"/>
  <c r="AE1455" i="16" s="1"/>
  <c r="R1455" i="16"/>
  <c r="Q1455" i="16"/>
  <c r="P1455" i="16"/>
  <c r="N1455" i="16"/>
  <c r="L1455" i="16"/>
  <c r="M1455" i="16" s="1"/>
  <c r="K1455" i="16"/>
  <c r="J1455" i="16"/>
  <c r="I1455" i="16"/>
  <c r="AC1454" i="16"/>
  <c r="AA1454" i="16"/>
  <c r="AB1454" i="16" s="1"/>
  <c r="T1454" i="16"/>
  <c r="AE1454" i="16" s="1"/>
  <c r="R1454" i="16"/>
  <c r="Q1454" i="16"/>
  <c r="P1454" i="16"/>
  <c r="N1454" i="16"/>
  <c r="L1454" i="16"/>
  <c r="M1454" i="16" s="1"/>
  <c r="K1454" i="16"/>
  <c r="J1454" i="16"/>
  <c r="I1454" i="16"/>
  <c r="AC1453" i="16"/>
  <c r="AA1453" i="16"/>
  <c r="AB1453" i="16" s="1"/>
  <c r="T1453" i="16"/>
  <c r="AE1453" i="16" s="1"/>
  <c r="R1453" i="16"/>
  <c r="Q1453" i="16"/>
  <c r="P1453" i="16"/>
  <c r="N1453" i="16"/>
  <c r="L1453" i="16"/>
  <c r="M1453" i="16" s="1"/>
  <c r="K1453" i="16"/>
  <c r="J1453" i="16"/>
  <c r="I1453" i="16"/>
  <c r="AC1452" i="16"/>
  <c r="AA1452" i="16"/>
  <c r="AB1452" i="16" s="1"/>
  <c r="T1452" i="16"/>
  <c r="AE1452" i="16" s="1"/>
  <c r="R1452" i="16"/>
  <c r="Q1452" i="16"/>
  <c r="P1452" i="16"/>
  <c r="N1452" i="16"/>
  <c r="L1452" i="16"/>
  <c r="M1452" i="16" s="1"/>
  <c r="K1452" i="16"/>
  <c r="J1452" i="16"/>
  <c r="I1452" i="16"/>
  <c r="AC1451" i="16"/>
  <c r="AA1451" i="16"/>
  <c r="AB1451" i="16" s="1"/>
  <c r="T1451" i="16"/>
  <c r="AE1451" i="16" s="1"/>
  <c r="R1451" i="16"/>
  <c r="Q1451" i="16"/>
  <c r="P1451" i="16"/>
  <c r="N1451" i="16"/>
  <c r="L1451" i="16"/>
  <c r="M1451" i="16" s="1"/>
  <c r="K1451" i="16"/>
  <c r="J1451" i="16"/>
  <c r="I1451" i="16"/>
  <c r="AC1450" i="16"/>
  <c r="AA1450" i="16"/>
  <c r="AB1450" i="16" s="1"/>
  <c r="T1450" i="16"/>
  <c r="AE1450" i="16" s="1"/>
  <c r="R1450" i="16"/>
  <c r="Q1450" i="16"/>
  <c r="P1450" i="16"/>
  <c r="N1450" i="16"/>
  <c r="L1450" i="16"/>
  <c r="M1450" i="16" s="1"/>
  <c r="K1450" i="16"/>
  <c r="J1450" i="16"/>
  <c r="I1450" i="16"/>
  <c r="AC1449" i="16"/>
  <c r="AA1449" i="16"/>
  <c r="AB1449" i="16" s="1"/>
  <c r="T1449" i="16"/>
  <c r="AE1449" i="16" s="1"/>
  <c r="R1449" i="16"/>
  <c r="Q1449" i="16"/>
  <c r="P1449" i="16"/>
  <c r="N1449" i="16"/>
  <c r="L1449" i="16"/>
  <c r="M1449" i="16" s="1"/>
  <c r="K1449" i="16"/>
  <c r="J1449" i="16"/>
  <c r="I1449" i="16"/>
  <c r="AC1448" i="16"/>
  <c r="AA1448" i="16"/>
  <c r="AB1448" i="16" s="1"/>
  <c r="T1448" i="16"/>
  <c r="AE1448" i="16" s="1"/>
  <c r="R1448" i="16"/>
  <c r="Q1448" i="16"/>
  <c r="P1448" i="16"/>
  <c r="N1448" i="16"/>
  <c r="L1448" i="16"/>
  <c r="M1448" i="16" s="1"/>
  <c r="K1448" i="16"/>
  <c r="J1448" i="16"/>
  <c r="I1448" i="16"/>
  <c r="AC1447" i="16"/>
  <c r="AA1447" i="16"/>
  <c r="AB1447" i="16" s="1"/>
  <c r="T1447" i="16"/>
  <c r="AE1447" i="16" s="1"/>
  <c r="R1447" i="16"/>
  <c r="Q1447" i="16"/>
  <c r="P1447" i="16"/>
  <c r="N1447" i="16"/>
  <c r="L1447" i="16"/>
  <c r="M1447" i="16" s="1"/>
  <c r="K1447" i="16"/>
  <c r="J1447" i="16"/>
  <c r="I1447" i="16"/>
  <c r="AC1446" i="16"/>
  <c r="AA1446" i="16"/>
  <c r="AB1446" i="16" s="1"/>
  <c r="T1446" i="16"/>
  <c r="AE1446" i="16" s="1"/>
  <c r="R1446" i="16"/>
  <c r="Q1446" i="16"/>
  <c r="P1446" i="16"/>
  <c r="N1446" i="16"/>
  <c r="L1446" i="16"/>
  <c r="M1446" i="16" s="1"/>
  <c r="K1446" i="16"/>
  <c r="J1446" i="16"/>
  <c r="I1446" i="16"/>
  <c r="AC1445" i="16"/>
  <c r="AA1445" i="16"/>
  <c r="AB1445" i="16" s="1"/>
  <c r="T1445" i="16"/>
  <c r="AE1445" i="16" s="1"/>
  <c r="R1445" i="16"/>
  <c r="Q1445" i="16"/>
  <c r="P1445" i="16"/>
  <c r="N1445" i="16"/>
  <c r="L1445" i="16"/>
  <c r="M1445" i="16" s="1"/>
  <c r="K1445" i="16"/>
  <c r="J1445" i="16"/>
  <c r="I1445" i="16"/>
  <c r="AC1444" i="16"/>
  <c r="AA1444" i="16"/>
  <c r="AB1444" i="16" s="1"/>
  <c r="T1444" i="16"/>
  <c r="AE1444" i="16" s="1"/>
  <c r="R1444" i="16"/>
  <c r="Q1444" i="16"/>
  <c r="P1444" i="16"/>
  <c r="N1444" i="16"/>
  <c r="L1444" i="16"/>
  <c r="M1444" i="16" s="1"/>
  <c r="K1444" i="16"/>
  <c r="J1444" i="16"/>
  <c r="I1444" i="16"/>
  <c r="AC1443" i="16"/>
  <c r="AA1443" i="16"/>
  <c r="AB1443" i="16" s="1"/>
  <c r="T1443" i="16"/>
  <c r="AE1443" i="16" s="1"/>
  <c r="R1443" i="16"/>
  <c r="Q1443" i="16"/>
  <c r="P1443" i="16"/>
  <c r="N1443" i="16"/>
  <c r="L1443" i="16"/>
  <c r="M1443" i="16" s="1"/>
  <c r="K1443" i="16"/>
  <c r="J1443" i="16"/>
  <c r="I1443" i="16"/>
  <c r="AC1442" i="16"/>
  <c r="AA1442" i="16"/>
  <c r="AB1442" i="16" s="1"/>
  <c r="T1442" i="16"/>
  <c r="AE1442" i="16" s="1"/>
  <c r="R1442" i="16"/>
  <c r="Q1442" i="16"/>
  <c r="P1442" i="16"/>
  <c r="N1442" i="16"/>
  <c r="L1442" i="16"/>
  <c r="M1442" i="16" s="1"/>
  <c r="K1442" i="16"/>
  <c r="J1442" i="16"/>
  <c r="I1442" i="16"/>
  <c r="AC1441" i="16"/>
  <c r="AA1441" i="16"/>
  <c r="AB1441" i="16" s="1"/>
  <c r="T1441" i="16"/>
  <c r="AE1441" i="16" s="1"/>
  <c r="R1441" i="16"/>
  <c r="Q1441" i="16"/>
  <c r="P1441" i="16"/>
  <c r="N1441" i="16"/>
  <c r="L1441" i="16"/>
  <c r="M1441" i="16" s="1"/>
  <c r="K1441" i="16"/>
  <c r="J1441" i="16"/>
  <c r="I1441" i="16"/>
  <c r="AC1440" i="16"/>
  <c r="AA1440" i="16"/>
  <c r="AB1440" i="16" s="1"/>
  <c r="T1440" i="16"/>
  <c r="AE1440" i="16" s="1"/>
  <c r="R1440" i="16"/>
  <c r="Q1440" i="16"/>
  <c r="P1440" i="16"/>
  <c r="N1440" i="16"/>
  <c r="L1440" i="16"/>
  <c r="M1440" i="16" s="1"/>
  <c r="K1440" i="16"/>
  <c r="J1440" i="16"/>
  <c r="I1440" i="16"/>
  <c r="AC1439" i="16"/>
  <c r="AA1439" i="16"/>
  <c r="AB1439" i="16" s="1"/>
  <c r="T1439" i="16"/>
  <c r="AE1439" i="16" s="1"/>
  <c r="R1439" i="16"/>
  <c r="Q1439" i="16"/>
  <c r="P1439" i="16"/>
  <c r="N1439" i="16"/>
  <c r="L1439" i="16"/>
  <c r="M1439" i="16" s="1"/>
  <c r="K1439" i="16"/>
  <c r="J1439" i="16"/>
  <c r="I1439" i="16"/>
  <c r="AC1438" i="16"/>
  <c r="AA1438" i="16"/>
  <c r="AB1438" i="16" s="1"/>
  <c r="T1438" i="16"/>
  <c r="AE1438" i="16" s="1"/>
  <c r="R1438" i="16"/>
  <c r="Q1438" i="16"/>
  <c r="P1438" i="16"/>
  <c r="N1438" i="16"/>
  <c r="L1438" i="16"/>
  <c r="M1438" i="16" s="1"/>
  <c r="K1438" i="16"/>
  <c r="J1438" i="16"/>
  <c r="I1438" i="16"/>
  <c r="AC1437" i="16"/>
  <c r="AA1437" i="16"/>
  <c r="AB1437" i="16" s="1"/>
  <c r="T1437" i="16"/>
  <c r="AE1437" i="16" s="1"/>
  <c r="R1437" i="16"/>
  <c r="Q1437" i="16"/>
  <c r="P1437" i="16"/>
  <c r="N1437" i="16"/>
  <c r="L1437" i="16"/>
  <c r="M1437" i="16" s="1"/>
  <c r="K1437" i="16"/>
  <c r="J1437" i="16"/>
  <c r="I1437" i="16"/>
  <c r="AC1436" i="16"/>
  <c r="AA1436" i="16"/>
  <c r="AB1436" i="16" s="1"/>
  <c r="T1436" i="16"/>
  <c r="AE1436" i="16" s="1"/>
  <c r="R1436" i="16"/>
  <c r="Q1436" i="16"/>
  <c r="P1436" i="16"/>
  <c r="N1436" i="16"/>
  <c r="L1436" i="16"/>
  <c r="M1436" i="16" s="1"/>
  <c r="K1436" i="16"/>
  <c r="J1436" i="16"/>
  <c r="I1436" i="16"/>
  <c r="AC1435" i="16"/>
  <c r="AA1435" i="16"/>
  <c r="AB1435" i="16" s="1"/>
  <c r="T1435" i="16"/>
  <c r="AE1435" i="16" s="1"/>
  <c r="R1435" i="16"/>
  <c r="Q1435" i="16"/>
  <c r="P1435" i="16"/>
  <c r="N1435" i="16"/>
  <c r="L1435" i="16"/>
  <c r="M1435" i="16" s="1"/>
  <c r="K1435" i="16"/>
  <c r="J1435" i="16"/>
  <c r="I1435" i="16"/>
  <c r="AC1434" i="16"/>
  <c r="AA1434" i="16"/>
  <c r="AB1434" i="16" s="1"/>
  <c r="T1434" i="16"/>
  <c r="AE1434" i="16" s="1"/>
  <c r="R1434" i="16"/>
  <c r="Q1434" i="16"/>
  <c r="P1434" i="16"/>
  <c r="N1434" i="16"/>
  <c r="L1434" i="16"/>
  <c r="M1434" i="16" s="1"/>
  <c r="K1434" i="16"/>
  <c r="J1434" i="16"/>
  <c r="I1434" i="16"/>
  <c r="AC1433" i="16"/>
  <c r="AA1433" i="16"/>
  <c r="AB1433" i="16" s="1"/>
  <c r="T1433" i="16"/>
  <c r="AE1433" i="16" s="1"/>
  <c r="R1433" i="16"/>
  <c r="Q1433" i="16"/>
  <c r="P1433" i="16"/>
  <c r="N1433" i="16"/>
  <c r="L1433" i="16"/>
  <c r="M1433" i="16" s="1"/>
  <c r="K1433" i="16"/>
  <c r="J1433" i="16"/>
  <c r="I1433" i="16"/>
  <c r="AC1432" i="16"/>
  <c r="AA1432" i="16"/>
  <c r="AB1432" i="16" s="1"/>
  <c r="T1432" i="16"/>
  <c r="AE1432" i="16" s="1"/>
  <c r="R1432" i="16"/>
  <c r="Q1432" i="16"/>
  <c r="P1432" i="16"/>
  <c r="N1432" i="16"/>
  <c r="L1432" i="16"/>
  <c r="M1432" i="16" s="1"/>
  <c r="K1432" i="16"/>
  <c r="J1432" i="16"/>
  <c r="I1432" i="16"/>
  <c r="AC1431" i="16"/>
  <c r="AA1431" i="16"/>
  <c r="AB1431" i="16" s="1"/>
  <c r="T1431" i="16"/>
  <c r="AE1431" i="16" s="1"/>
  <c r="R1431" i="16"/>
  <c r="Q1431" i="16"/>
  <c r="P1431" i="16"/>
  <c r="N1431" i="16"/>
  <c r="L1431" i="16"/>
  <c r="M1431" i="16" s="1"/>
  <c r="K1431" i="16"/>
  <c r="J1431" i="16"/>
  <c r="I1431" i="16"/>
  <c r="AC1430" i="16"/>
  <c r="AA1430" i="16"/>
  <c r="AB1430" i="16" s="1"/>
  <c r="T1430" i="16"/>
  <c r="AE1430" i="16" s="1"/>
  <c r="R1430" i="16"/>
  <c r="Q1430" i="16"/>
  <c r="P1430" i="16"/>
  <c r="N1430" i="16"/>
  <c r="L1430" i="16"/>
  <c r="M1430" i="16" s="1"/>
  <c r="K1430" i="16"/>
  <c r="J1430" i="16"/>
  <c r="I1430" i="16"/>
  <c r="AC1429" i="16"/>
  <c r="AA1429" i="16"/>
  <c r="AB1429" i="16" s="1"/>
  <c r="T1429" i="16"/>
  <c r="AE1429" i="16" s="1"/>
  <c r="R1429" i="16"/>
  <c r="Q1429" i="16"/>
  <c r="P1429" i="16"/>
  <c r="N1429" i="16"/>
  <c r="L1429" i="16"/>
  <c r="M1429" i="16" s="1"/>
  <c r="K1429" i="16"/>
  <c r="J1429" i="16"/>
  <c r="I1429" i="16"/>
  <c r="AC1428" i="16"/>
  <c r="AA1428" i="16"/>
  <c r="AB1428" i="16" s="1"/>
  <c r="T1428" i="16"/>
  <c r="AE1428" i="16" s="1"/>
  <c r="R1428" i="16"/>
  <c r="Q1428" i="16"/>
  <c r="P1428" i="16"/>
  <c r="N1428" i="16"/>
  <c r="L1428" i="16"/>
  <c r="M1428" i="16" s="1"/>
  <c r="K1428" i="16"/>
  <c r="J1428" i="16"/>
  <c r="I1428" i="16"/>
  <c r="AC1427" i="16"/>
  <c r="AA1427" i="16"/>
  <c r="AB1427" i="16" s="1"/>
  <c r="T1427" i="16"/>
  <c r="AE1427" i="16" s="1"/>
  <c r="R1427" i="16"/>
  <c r="Q1427" i="16"/>
  <c r="P1427" i="16"/>
  <c r="N1427" i="16"/>
  <c r="L1427" i="16"/>
  <c r="M1427" i="16" s="1"/>
  <c r="K1427" i="16"/>
  <c r="J1427" i="16"/>
  <c r="I1427" i="16"/>
  <c r="AC1426" i="16"/>
  <c r="AA1426" i="16"/>
  <c r="AB1426" i="16" s="1"/>
  <c r="T1426" i="16"/>
  <c r="AE1426" i="16" s="1"/>
  <c r="R1426" i="16"/>
  <c r="Q1426" i="16"/>
  <c r="P1426" i="16"/>
  <c r="N1426" i="16"/>
  <c r="L1426" i="16"/>
  <c r="M1426" i="16" s="1"/>
  <c r="K1426" i="16"/>
  <c r="J1426" i="16"/>
  <c r="I1426" i="16"/>
  <c r="AC1425" i="16"/>
  <c r="AA1425" i="16"/>
  <c r="AB1425" i="16" s="1"/>
  <c r="T1425" i="16"/>
  <c r="AE1425" i="16" s="1"/>
  <c r="R1425" i="16"/>
  <c r="Q1425" i="16"/>
  <c r="P1425" i="16"/>
  <c r="N1425" i="16"/>
  <c r="L1425" i="16"/>
  <c r="M1425" i="16" s="1"/>
  <c r="K1425" i="16"/>
  <c r="J1425" i="16"/>
  <c r="I1425" i="16"/>
  <c r="AC1424" i="16"/>
  <c r="AA1424" i="16"/>
  <c r="AB1424" i="16" s="1"/>
  <c r="T1424" i="16"/>
  <c r="AE1424" i="16" s="1"/>
  <c r="R1424" i="16"/>
  <c r="Q1424" i="16"/>
  <c r="P1424" i="16"/>
  <c r="N1424" i="16"/>
  <c r="L1424" i="16"/>
  <c r="M1424" i="16" s="1"/>
  <c r="K1424" i="16"/>
  <c r="J1424" i="16"/>
  <c r="I1424" i="16"/>
  <c r="AC1423" i="16"/>
  <c r="AA1423" i="16"/>
  <c r="AB1423" i="16" s="1"/>
  <c r="T1423" i="16"/>
  <c r="AE1423" i="16" s="1"/>
  <c r="R1423" i="16"/>
  <c r="Q1423" i="16"/>
  <c r="P1423" i="16"/>
  <c r="N1423" i="16"/>
  <c r="L1423" i="16"/>
  <c r="M1423" i="16" s="1"/>
  <c r="K1423" i="16"/>
  <c r="J1423" i="16"/>
  <c r="I1423" i="16"/>
  <c r="AC1422" i="16"/>
  <c r="AA1422" i="16"/>
  <c r="AB1422" i="16" s="1"/>
  <c r="T1422" i="16"/>
  <c r="AE1422" i="16" s="1"/>
  <c r="R1422" i="16"/>
  <c r="Q1422" i="16"/>
  <c r="P1422" i="16"/>
  <c r="N1422" i="16"/>
  <c r="L1422" i="16"/>
  <c r="M1422" i="16" s="1"/>
  <c r="K1422" i="16"/>
  <c r="J1422" i="16"/>
  <c r="I1422" i="16"/>
  <c r="AC1421" i="16"/>
  <c r="AA1421" i="16"/>
  <c r="AB1421" i="16" s="1"/>
  <c r="T1421" i="16"/>
  <c r="AE1421" i="16" s="1"/>
  <c r="R1421" i="16"/>
  <c r="Q1421" i="16"/>
  <c r="P1421" i="16"/>
  <c r="N1421" i="16"/>
  <c r="L1421" i="16"/>
  <c r="M1421" i="16" s="1"/>
  <c r="K1421" i="16"/>
  <c r="J1421" i="16"/>
  <c r="I1421" i="16"/>
  <c r="AC1420" i="16"/>
  <c r="AA1420" i="16"/>
  <c r="AB1420" i="16" s="1"/>
  <c r="T1420" i="16"/>
  <c r="AE1420" i="16" s="1"/>
  <c r="R1420" i="16"/>
  <c r="Q1420" i="16"/>
  <c r="P1420" i="16"/>
  <c r="N1420" i="16"/>
  <c r="L1420" i="16"/>
  <c r="M1420" i="16" s="1"/>
  <c r="K1420" i="16"/>
  <c r="J1420" i="16"/>
  <c r="I1420" i="16"/>
  <c r="AC1419" i="16"/>
  <c r="AA1419" i="16"/>
  <c r="AB1419" i="16" s="1"/>
  <c r="T1419" i="16"/>
  <c r="AE1419" i="16" s="1"/>
  <c r="R1419" i="16"/>
  <c r="Q1419" i="16"/>
  <c r="P1419" i="16"/>
  <c r="N1419" i="16"/>
  <c r="L1419" i="16"/>
  <c r="M1419" i="16" s="1"/>
  <c r="K1419" i="16"/>
  <c r="J1419" i="16"/>
  <c r="I1419" i="16"/>
  <c r="AC1418" i="16"/>
  <c r="AA1418" i="16"/>
  <c r="AB1418" i="16" s="1"/>
  <c r="T1418" i="16"/>
  <c r="AE1418" i="16" s="1"/>
  <c r="R1418" i="16"/>
  <c r="Q1418" i="16"/>
  <c r="P1418" i="16"/>
  <c r="N1418" i="16"/>
  <c r="L1418" i="16"/>
  <c r="M1418" i="16" s="1"/>
  <c r="K1418" i="16"/>
  <c r="J1418" i="16"/>
  <c r="I1418" i="16"/>
  <c r="AC1417" i="16"/>
  <c r="AA1417" i="16"/>
  <c r="AB1417" i="16" s="1"/>
  <c r="T1417" i="16"/>
  <c r="AE1417" i="16" s="1"/>
  <c r="R1417" i="16"/>
  <c r="Q1417" i="16"/>
  <c r="P1417" i="16"/>
  <c r="N1417" i="16"/>
  <c r="L1417" i="16"/>
  <c r="M1417" i="16" s="1"/>
  <c r="K1417" i="16"/>
  <c r="J1417" i="16"/>
  <c r="I1417" i="16"/>
  <c r="AC1416" i="16"/>
  <c r="AA1416" i="16"/>
  <c r="AB1416" i="16" s="1"/>
  <c r="T1416" i="16"/>
  <c r="AE1416" i="16" s="1"/>
  <c r="R1416" i="16"/>
  <c r="Q1416" i="16"/>
  <c r="P1416" i="16"/>
  <c r="N1416" i="16"/>
  <c r="L1416" i="16"/>
  <c r="M1416" i="16" s="1"/>
  <c r="K1416" i="16"/>
  <c r="J1416" i="16"/>
  <c r="I1416" i="16"/>
  <c r="AC1415" i="16"/>
  <c r="AA1415" i="16"/>
  <c r="AB1415" i="16" s="1"/>
  <c r="T1415" i="16"/>
  <c r="AE1415" i="16" s="1"/>
  <c r="R1415" i="16"/>
  <c r="Q1415" i="16"/>
  <c r="P1415" i="16"/>
  <c r="N1415" i="16"/>
  <c r="L1415" i="16"/>
  <c r="M1415" i="16" s="1"/>
  <c r="K1415" i="16"/>
  <c r="J1415" i="16"/>
  <c r="I1415" i="16"/>
  <c r="AC1414" i="16"/>
  <c r="AA1414" i="16"/>
  <c r="AB1414" i="16" s="1"/>
  <c r="T1414" i="16"/>
  <c r="AE1414" i="16" s="1"/>
  <c r="R1414" i="16"/>
  <c r="Q1414" i="16"/>
  <c r="P1414" i="16"/>
  <c r="N1414" i="16"/>
  <c r="L1414" i="16"/>
  <c r="M1414" i="16" s="1"/>
  <c r="K1414" i="16"/>
  <c r="J1414" i="16"/>
  <c r="I1414" i="16"/>
  <c r="AC1413" i="16"/>
  <c r="AA1413" i="16"/>
  <c r="AB1413" i="16" s="1"/>
  <c r="T1413" i="16"/>
  <c r="AE1413" i="16" s="1"/>
  <c r="R1413" i="16"/>
  <c r="Q1413" i="16"/>
  <c r="P1413" i="16"/>
  <c r="N1413" i="16"/>
  <c r="L1413" i="16"/>
  <c r="M1413" i="16" s="1"/>
  <c r="K1413" i="16"/>
  <c r="J1413" i="16"/>
  <c r="I1413" i="16"/>
  <c r="AC1412" i="16"/>
  <c r="AA1412" i="16"/>
  <c r="AB1412" i="16" s="1"/>
  <c r="T1412" i="16"/>
  <c r="AE1412" i="16" s="1"/>
  <c r="R1412" i="16"/>
  <c r="Q1412" i="16"/>
  <c r="P1412" i="16"/>
  <c r="N1412" i="16"/>
  <c r="L1412" i="16"/>
  <c r="M1412" i="16" s="1"/>
  <c r="K1412" i="16"/>
  <c r="J1412" i="16"/>
  <c r="I1412" i="16"/>
  <c r="AC1411" i="16"/>
  <c r="AA1411" i="16"/>
  <c r="AB1411" i="16" s="1"/>
  <c r="T1411" i="16"/>
  <c r="AE1411" i="16" s="1"/>
  <c r="R1411" i="16"/>
  <c r="Q1411" i="16"/>
  <c r="P1411" i="16"/>
  <c r="N1411" i="16"/>
  <c r="L1411" i="16"/>
  <c r="M1411" i="16" s="1"/>
  <c r="K1411" i="16"/>
  <c r="J1411" i="16"/>
  <c r="I1411" i="16"/>
  <c r="AC1410" i="16"/>
  <c r="AA1410" i="16"/>
  <c r="AB1410" i="16" s="1"/>
  <c r="T1410" i="16"/>
  <c r="AE1410" i="16" s="1"/>
  <c r="R1410" i="16"/>
  <c r="Q1410" i="16"/>
  <c r="P1410" i="16"/>
  <c r="N1410" i="16"/>
  <c r="L1410" i="16"/>
  <c r="M1410" i="16" s="1"/>
  <c r="K1410" i="16"/>
  <c r="J1410" i="16"/>
  <c r="I1410" i="16"/>
  <c r="AC1409" i="16"/>
  <c r="AA1409" i="16"/>
  <c r="AB1409" i="16" s="1"/>
  <c r="T1409" i="16"/>
  <c r="AE1409" i="16" s="1"/>
  <c r="R1409" i="16"/>
  <c r="Q1409" i="16"/>
  <c r="P1409" i="16"/>
  <c r="N1409" i="16"/>
  <c r="L1409" i="16"/>
  <c r="M1409" i="16" s="1"/>
  <c r="K1409" i="16"/>
  <c r="J1409" i="16"/>
  <c r="I1409" i="16"/>
  <c r="AC1408" i="16"/>
  <c r="AA1408" i="16"/>
  <c r="AB1408" i="16" s="1"/>
  <c r="T1408" i="16"/>
  <c r="AE1408" i="16" s="1"/>
  <c r="R1408" i="16"/>
  <c r="Q1408" i="16"/>
  <c r="P1408" i="16"/>
  <c r="N1408" i="16"/>
  <c r="L1408" i="16"/>
  <c r="M1408" i="16" s="1"/>
  <c r="K1408" i="16"/>
  <c r="J1408" i="16"/>
  <c r="I1408" i="16"/>
  <c r="AC1407" i="16"/>
  <c r="AA1407" i="16"/>
  <c r="AB1407" i="16" s="1"/>
  <c r="T1407" i="16"/>
  <c r="AE1407" i="16" s="1"/>
  <c r="R1407" i="16"/>
  <c r="Q1407" i="16"/>
  <c r="P1407" i="16"/>
  <c r="N1407" i="16"/>
  <c r="L1407" i="16"/>
  <c r="M1407" i="16" s="1"/>
  <c r="K1407" i="16"/>
  <c r="J1407" i="16"/>
  <c r="I1407" i="16"/>
  <c r="AC1406" i="16"/>
  <c r="AA1406" i="16"/>
  <c r="AB1406" i="16" s="1"/>
  <c r="T1406" i="16"/>
  <c r="AE1406" i="16" s="1"/>
  <c r="R1406" i="16"/>
  <c r="Q1406" i="16"/>
  <c r="P1406" i="16"/>
  <c r="N1406" i="16"/>
  <c r="L1406" i="16"/>
  <c r="M1406" i="16" s="1"/>
  <c r="K1406" i="16"/>
  <c r="J1406" i="16"/>
  <c r="I1406" i="16"/>
  <c r="AC1405" i="16"/>
  <c r="AA1405" i="16"/>
  <c r="AB1405" i="16" s="1"/>
  <c r="T1405" i="16"/>
  <c r="AE1405" i="16" s="1"/>
  <c r="R1405" i="16"/>
  <c r="Q1405" i="16"/>
  <c r="P1405" i="16"/>
  <c r="N1405" i="16"/>
  <c r="L1405" i="16"/>
  <c r="M1405" i="16" s="1"/>
  <c r="K1405" i="16"/>
  <c r="J1405" i="16"/>
  <c r="I1405" i="16"/>
  <c r="AC1404" i="16"/>
  <c r="AA1404" i="16"/>
  <c r="AB1404" i="16" s="1"/>
  <c r="T1404" i="16"/>
  <c r="AE1404" i="16" s="1"/>
  <c r="R1404" i="16"/>
  <c r="Q1404" i="16"/>
  <c r="P1404" i="16"/>
  <c r="N1404" i="16"/>
  <c r="L1404" i="16"/>
  <c r="M1404" i="16" s="1"/>
  <c r="K1404" i="16"/>
  <c r="J1404" i="16"/>
  <c r="I1404" i="16"/>
  <c r="AC1403" i="16"/>
  <c r="AA1403" i="16"/>
  <c r="AB1403" i="16" s="1"/>
  <c r="T1403" i="16"/>
  <c r="AE1403" i="16" s="1"/>
  <c r="R1403" i="16"/>
  <c r="Q1403" i="16"/>
  <c r="P1403" i="16"/>
  <c r="N1403" i="16"/>
  <c r="L1403" i="16"/>
  <c r="M1403" i="16" s="1"/>
  <c r="K1403" i="16"/>
  <c r="J1403" i="16"/>
  <c r="I1403" i="16"/>
  <c r="AC1402" i="16"/>
  <c r="AA1402" i="16"/>
  <c r="AB1402" i="16" s="1"/>
  <c r="T1402" i="16"/>
  <c r="AE1402" i="16" s="1"/>
  <c r="R1402" i="16"/>
  <c r="Q1402" i="16"/>
  <c r="P1402" i="16"/>
  <c r="N1402" i="16"/>
  <c r="L1402" i="16"/>
  <c r="M1402" i="16" s="1"/>
  <c r="K1402" i="16"/>
  <c r="J1402" i="16"/>
  <c r="I1402" i="16"/>
  <c r="AC1401" i="16"/>
  <c r="AA1401" i="16"/>
  <c r="AB1401" i="16" s="1"/>
  <c r="T1401" i="16"/>
  <c r="AE1401" i="16" s="1"/>
  <c r="R1401" i="16"/>
  <c r="Q1401" i="16"/>
  <c r="P1401" i="16"/>
  <c r="N1401" i="16"/>
  <c r="L1401" i="16"/>
  <c r="M1401" i="16" s="1"/>
  <c r="K1401" i="16"/>
  <c r="J1401" i="16"/>
  <c r="I1401" i="16"/>
  <c r="AC1400" i="16"/>
  <c r="AA1400" i="16"/>
  <c r="AB1400" i="16" s="1"/>
  <c r="T1400" i="16"/>
  <c r="AE1400" i="16" s="1"/>
  <c r="R1400" i="16"/>
  <c r="Q1400" i="16"/>
  <c r="P1400" i="16"/>
  <c r="N1400" i="16"/>
  <c r="L1400" i="16"/>
  <c r="M1400" i="16" s="1"/>
  <c r="K1400" i="16"/>
  <c r="J1400" i="16"/>
  <c r="I1400" i="16"/>
  <c r="AC1399" i="16"/>
  <c r="AA1399" i="16"/>
  <c r="AB1399" i="16" s="1"/>
  <c r="T1399" i="16"/>
  <c r="AE1399" i="16" s="1"/>
  <c r="R1399" i="16"/>
  <c r="Q1399" i="16"/>
  <c r="P1399" i="16"/>
  <c r="N1399" i="16"/>
  <c r="L1399" i="16"/>
  <c r="M1399" i="16" s="1"/>
  <c r="K1399" i="16"/>
  <c r="J1399" i="16"/>
  <c r="I1399" i="16"/>
  <c r="AC1398" i="16"/>
  <c r="AA1398" i="16"/>
  <c r="AB1398" i="16" s="1"/>
  <c r="T1398" i="16"/>
  <c r="AE1398" i="16" s="1"/>
  <c r="R1398" i="16"/>
  <c r="Q1398" i="16"/>
  <c r="P1398" i="16"/>
  <c r="N1398" i="16"/>
  <c r="L1398" i="16"/>
  <c r="M1398" i="16" s="1"/>
  <c r="K1398" i="16"/>
  <c r="J1398" i="16"/>
  <c r="I1398" i="16"/>
  <c r="AC1397" i="16"/>
  <c r="AA1397" i="16"/>
  <c r="AB1397" i="16" s="1"/>
  <c r="T1397" i="16"/>
  <c r="AE1397" i="16" s="1"/>
  <c r="R1397" i="16"/>
  <c r="Q1397" i="16"/>
  <c r="P1397" i="16"/>
  <c r="N1397" i="16"/>
  <c r="L1397" i="16"/>
  <c r="M1397" i="16" s="1"/>
  <c r="K1397" i="16"/>
  <c r="J1397" i="16"/>
  <c r="I1397" i="16"/>
  <c r="AC1396" i="16"/>
  <c r="AA1396" i="16"/>
  <c r="AB1396" i="16" s="1"/>
  <c r="T1396" i="16"/>
  <c r="AE1396" i="16" s="1"/>
  <c r="R1396" i="16"/>
  <c r="Q1396" i="16"/>
  <c r="P1396" i="16"/>
  <c r="N1396" i="16"/>
  <c r="L1396" i="16"/>
  <c r="M1396" i="16" s="1"/>
  <c r="K1396" i="16"/>
  <c r="J1396" i="16"/>
  <c r="I1396" i="16"/>
  <c r="AC1395" i="16"/>
  <c r="AA1395" i="16"/>
  <c r="AB1395" i="16" s="1"/>
  <c r="T1395" i="16"/>
  <c r="AE1395" i="16" s="1"/>
  <c r="R1395" i="16"/>
  <c r="Q1395" i="16"/>
  <c r="P1395" i="16"/>
  <c r="N1395" i="16"/>
  <c r="L1395" i="16"/>
  <c r="M1395" i="16" s="1"/>
  <c r="K1395" i="16"/>
  <c r="J1395" i="16"/>
  <c r="I1395" i="16"/>
  <c r="AC1394" i="16"/>
  <c r="AA1394" i="16"/>
  <c r="AB1394" i="16" s="1"/>
  <c r="T1394" i="16"/>
  <c r="AE1394" i="16" s="1"/>
  <c r="R1394" i="16"/>
  <c r="Q1394" i="16"/>
  <c r="P1394" i="16"/>
  <c r="N1394" i="16"/>
  <c r="L1394" i="16"/>
  <c r="M1394" i="16" s="1"/>
  <c r="K1394" i="16"/>
  <c r="J1394" i="16"/>
  <c r="I1394" i="16"/>
  <c r="AC1393" i="16"/>
  <c r="AA1393" i="16"/>
  <c r="AB1393" i="16" s="1"/>
  <c r="T1393" i="16"/>
  <c r="AE1393" i="16" s="1"/>
  <c r="R1393" i="16"/>
  <c r="Q1393" i="16"/>
  <c r="P1393" i="16"/>
  <c r="N1393" i="16"/>
  <c r="L1393" i="16"/>
  <c r="M1393" i="16" s="1"/>
  <c r="K1393" i="16"/>
  <c r="J1393" i="16"/>
  <c r="I1393" i="16"/>
  <c r="AC1392" i="16"/>
  <c r="AA1392" i="16"/>
  <c r="AB1392" i="16" s="1"/>
  <c r="T1392" i="16"/>
  <c r="AE1392" i="16" s="1"/>
  <c r="R1392" i="16"/>
  <c r="Q1392" i="16"/>
  <c r="P1392" i="16"/>
  <c r="N1392" i="16"/>
  <c r="L1392" i="16"/>
  <c r="M1392" i="16" s="1"/>
  <c r="K1392" i="16"/>
  <c r="J1392" i="16"/>
  <c r="I1392" i="16"/>
  <c r="AC1391" i="16"/>
  <c r="AA1391" i="16"/>
  <c r="AB1391" i="16" s="1"/>
  <c r="T1391" i="16"/>
  <c r="AE1391" i="16" s="1"/>
  <c r="R1391" i="16"/>
  <c r="Q1391" i="16"/>
  <c r="P1391" i="16"/>
  <c r="N1391" i="16"/>
  <c r="L1391" i="16"/>
  <c r="M1391" i="16" s="1"/>
  <c r="K1391" i="16"/>
  <c r="J1391" i="16"/>
  <c r="I1391" i="16"/>
  <c r="AC1390" i="16"/>
  <c r="AA1390" i="16"/>
  <c r="AB1390" i="16" s="1"/>
  <c r="T1390" i="16"/>
  <c r="AE1390" i="16" s="1"/>
  <c r="R1390" i="16"/>
  <c r="Q1390" i="16"/>
  <c r="P1390" i="16"/>
  <c r="N1390" i="16"/>
  <c r="L1390" i="16"/>
  <c r="M1390" i="16" s="1"/>
  <c r="K1390" i="16"/>
  <c r="J1390" i="16"/>
  <c r="I1390" i="16"/>
  <c r="AC1389" i="16"/>
  <c r="AA1389" i="16"/>
  <c r="AB1389" i="16" s="1"/>
  <c r="T1389" i="16"/>
  <c r="AE1389" i="16" s="1"/>
  <c r="R1389" i="16"/>
  <c r="Q1389" i="16"/>
  <c r="P1389" i="16"/>
  <c r="N1389" i="16"/>
  <c r="L1389" i="16"/>
  <c r="M1389" i="16" s="1"/>
  <c r="K1389" i="16"/>
  <c r="J1389" i="16"/>
  <c r="I1389" i="16"/>
  <c r="AC1388" i="16"/>
  <c r="AA1388" i="16"/>
  <c r="AB1388" i="16" s="1"/>
  <c r="T1388" i="16"/>
  <c r="AE1388" i="16" s="1"/>
  <c r="R1388" i="16"/>
  <c r="Q1388" i="16"/>
  <c r="P1388" i="16"/>
  <c r="N1388" i="16"/>
  <c r="L1388" i="16"/>
  <c r="M1388" i="16" s="1"/>
  <c r="K1388" i="16"/>
  <c r="J1388" i="16"/>
  <c r="I1388" i="16"/>
  <c r="AC1387" i="16"/>
  <c r="AA1387" i="16"/>
  <c r="AB1387" i="16" s="1"/>
  <c r="T1387" i="16"/>
  <c r="AE1387" i="16" s="1"/>
  <c r="R1387" i="16"/>
  <c r="Q1387" i="16"/>
  <c r="P1387" i="16"/>
  <c r="N1387" i="16"/>
  <c r="L1387" i="16"/>
  <c r="M1387" i="16" s="1"/>
  <c r="K1387" i="16"/>
  <c r="J1387" i="16"/>
  <c r="I1387" i="16"/>
  <c r="AC1386" i="16"/>
  <c r="AA1386" i="16"/>
  <c r="AB1386" i="16" s="1"/>
  <c r="T1386" i="16"/>
  <c r="AE1386" i="16" s="1"/>
  <c r="R1386" i="16"/>
  <c r="Q1386" i="16"/>
  <c r="P1386" i="16"/>
  <c r="N1386" i="16"/>
  <c r="L1386" i="16"/>
  <c r="M1386" i="16" s="1"/>
  <c r="K1386" i="16"/>
  <c r="J1386" i="16"/>
  <c r="I1386" i="16"/>
  <c r="AC1385" i="16"/>
  <c r="AA1385" i="16"/>
  <c r="AB1385" i="16" s="1"/>
  <c r="T1385" i="16"/>
  <c r="AE1385" i="16" s="1"/>
  <c r="R1385" i="16"/>
  <c r="Q1385" i="16"/>
  <c r="P1385" i="16"/>
  <c r="N1385" i="16"/>
  <c r="L1385" i="16"/>
  <c r="M1385" i="16" s="1"/>
  <c r="K1385" i="16"/>
  <c r="J1385" i="16"/>
  <c r="I1385" i="16"/>
  <c r="AC1384" i="16"/>
  <c r="AA1384" i="16"/>
  <c r="AB1384" i="16" s="1"/>
  <c r="T1384" i="16"/>
  <c r="AE1384" i="16" s="1"/>
  <c r="R1384" i="16"/>
  <c r="Q1384" i="16"/>
  <c r="P1384" i="16"/>
  <c r="N1384" i="16"/>
  <c r="L1384" i="16"/>
  <c r="M1384" i="16" s="1"/>
  <c r="K1384" i="16"/>
  <c r="J1384" i="16"/>
  <c r="I1384" i="16"/>
  <c r="AC1383" i="16"/>
  <c r="AA1383" i="16"/>
  <c r="AB1383" i="16" s="1"/>
  <c r="T1383" i="16"/>
  <c r="AE1383" i="16" s="1"/>
  <c r="R1383" i="16"/>
  <c r="Q1383" i="16"/>
  <c r="P1383" i="16"/>
  <c r="N1383" i="16"/>
  <c r="L1383" i="16"/>
  <c r="M1383" i="16" s="1"/>
  <c r="K1383" i="16"/>
  <c r="J1383" i="16"/>
  <c r="I1383" i="16"/>
  <c r="AC1382" i="16"/>
  <c r="AA1382" i="16"/>
  <c r="AB1382" i="16" s="1"/>
  <c r="T1382" i="16"/>
  <c r="AE1382" i="16" s="1"/>
  <c r="R1382" i="16"/>
  <c r="Q1382" i="16"/>
  <c r="P1382" i="16"/>
  <c r="N1382" i="16"/>
  <c r="L1382" i="16"/>
  <c r="M1382" i="16" s="1"/>
  <c r="K1382" i="16"/>
  <c r="J1382" i="16"/>
  <c r="I1382" i="16"/>
  <c r="AC1381" i="16"/>
  <c r="AA1381" i="16"/>
  <c r="AB1381" i="16" s="1"/>
  <c r="T1381" i="16"/>
  <c r="AE1381" i="16" s="1"/>
  <c r="R1381" i="16"/>
  <c r="Q1381" i="16"/>
  <c r="P1381" i="16"/>
  <c r="N1381" i="16"/>
  <c r="L1381" i="16"/>
  <c r="M1381" i="16" s="1"/>
  <c r="K1381" i="16"/>
  <c r="J1381" i="16"/>
  <c r="I1381" i="16"/>
  <c r="AC1380" i="16"/>
  <c r="AA1380" i="16"/>
  <c r="AB1380" i="16" s="1"/>
  <c r="T1380" i="16"/>
  <c r="AE1380" i="16" s="1"/>
  <c r="R1380" i="16"/>
  <c r="Q1380" i="16"/>
  <c r="P1380" i="16"/>
  <c r="N1380" i="16"/>
  <c r="L1380" i="16"/>
  <c r="M1380" i="16" s="1"/>
  <c r="K1380" i="16"/>
  <c r="J1380" i="16"/>
  <c r="I1380" i="16"/>
  <c r="AC1379" i="16"/>
  <c r="AA1379" i="16"/>
  <c r="AB1379" i="16" s="1"/>
  <c r="T1379" i="16"/>
  <c r="AE1379" i="16" s="1"/>
  <c r="R1379" i="16"/>
  <c r="Q1379" i="16"/>
  <c r="P1379" i="16"/>
  <c r="N1379" i="16"/>
  <c r="L1379" i="16"/>
  <c r="M1379" i="16" s="1"/>
  <c r="K1379" i="16"/>
  <c r="J1379" i="16"/>
  <c r="I1379" i="16"/>
  <c r="AC1378" i="16"/>
  <c r="AA1378" i="16"/>
  <c r="AB1378" i="16" s="1"/>
  <c r="T1378" i="16"/>
  <c r="AE1378" i="16" s="1"/>
  <c r="R1378" i="16"/>
  <c r="Q1378" i="16"/>
  <c r="P1378" i="16"/>
  <c r="N1378" i="16"/>
  <c r="L1378" i="16"/>
  <c r="M1378" i="16" s="1"/>
  <c r="K1378" i="16"/>
  <c r="J1378" i="16"/>
  <c r="I1378" i="16"/>
  <c r="AC1377" i="16"/>
  <c r="AA1377" i="16"/>
  <c r="AB1377" i="16" s="1"/>
  <c r="T1377" i="16"/>
  <c r="AE1377" i="16" s="1"/>
  <c r="R1377" i="16"/>
  <c r="Q1377" i="16"/>
  <c r="P1377" i="16"/>
  <c r="N1377" i="16"/>
  <c r="L1377" i="16"/>
  <c r="M1377" i="16" s="1"/>
  <c r="K1377" i="16"/>
  <c r="J1377" i="16"/>
  <c r="I1377" i="16"/>
  <c r="AC1376" i="16"/>
  <c r="AA1376" i="16"/>
  <c r="AB1376" i="16" s="1"/>
  <c r="T1376" i="16"/>
  <c r="AE1376" i="16" s="1"/>
  <c r="R1376" i="16"/>
  <c r="Q1376" i="16"/>
  <c r="P1376" i="16"/>
  <c r="N1376" i="16"/>
  <c r="L1376" i="16"/>
  <c r="M1376" i="16" s="1"/>
  <c r="K1376" i="16"/>
  <c r="J1376" i="16"/>
  <c r="I1376" i="16"/>
  <c r="AC1375" i="16"/>
  <c r="AA1375" i="16"/>
  <c r="AB1375" i="16" s="1"/>
  <c r="T1375" i="16"/>
  <c r="AE1375" i="16" s="1"/>
  <c r="R1375" i="16"/>
  <c r="Q1375" i="16"/>
  <c r="P1375" i="16"/>
  <c r="N1375" i="16"/>
  <c r="L1375" i="16"/>
  <c r="M1375" i="16" s="1"/>
  <c r="K1375" i="16"/>
  <c r="J1375" i="16"/>
  <c r="I1375" i="16"/>
  <c r="AC1374" i="16"/>
  <c r="AA1374" i="16"/>
  <c r="AB1374" i="16" s="1"/>
  <c r="T1374" i="16"/>
  <c r="AE1374" i="16" s="1"/>
  <c r="R1374" i="16"/>
  <c r="Q1374" i="16"/>
  <c r="P1374" i="16"/>
  <c r="N1374" i="16"/>
  <c r="L1374" i="16"/>
  <c r="M1374" i="16" s="1"/>
  <c r="K1374" i="16"/>
  <c r="J1374" i="16"/>
  <c r="I1374" i="16"/>
  <c r="AC1373" i="16"/>
  <c r="AA1373" i="16"/>
  <c r="AB1373" i="16" s="1"/>
  <c r="T1373" i="16"/>
  <c r="AE1373" i="16" s="1"/>
  <c r="R1373" i="16"/>
  <c r="Q1373" i="16"/>
  <c r="P1373" i="16"/>
  <c r="N1373" i="16"/>
  <c r="L1373" i="16"/>
  <c r="M1373" i="16" s="1"/>
  <c r="K1373" i="16"/>
  <c r="J1373" i="16"/>
  <c r="I1373" i="16"/>
  <c r="AC1372" i="16"/>
  <c r="AA1372" i="16"/>
  <c r="AB1372" i="16" s="1"/>
  <c r="T1372" i="16"/>
  <c r="AE1372" i="16" s="1"/>
  <c r="R1372" i="16"/>
  <c r="Q1372" i="16"/>
  <c r="P1372" i="16"/>
  <c r="N1372" i="16"/>
  <c r="L1372" i="16"/>
  <c r="M1372" i="16" s="1"/>
  <c r="K1372" i="16"/>
  <c r="J1372" i="16"/>
  <c r="I1372" i="16"/>
  <c r="AC1371" i="16"/>
  <c r="AA1371" i="16"/>
  <c r="AB1371" i="16" s="1"/>
  <c r="T1371" i="16"/>
  <c r="AE1371" i="16" s="1"/>
  <c r="R1371" i="16"/>
  <c r="Q1371" i="16"/>
  <c r="P1371" i="16"/>
  <c r="N1371" i="16"/>
  <c r="L1371" i="16"/>
  <c r="M1371" i="16" s="1"/>
  <c r="K1371" i="16"/>
  <c r="J1371" i="16"/>
  <c r="I1371" i="16"/>
  <c r="AC1370" i="16"/>
  <c r="AA1370" i="16"/>
  <c r="AB1370" i="16" s="1"/>
  <c r="T1370" i="16"/>
  <c r="AE1370" i="16" s="1"/>
  <c r="R1370" i="16"/>
  <c r="Q1370" i="16"/>
  <c r="P1370" i="16"/>
  <c r="N1370" i="16"/>
  <c r="L1370" i="16"/>
  <c r="M1370" i="16" s="1"/>
  <c r="K1370" i="16"/>
  <c r="J1370" i="16"/>
  <c r="I1370" i="16"/>
  <c r="AC1369" i="16"/>
  <c r="AA1369" i="16"/>
  <c r="AB1369" i="16" s="1"/>
  <c r="T1369" i="16"/>
  <c r="AE1369" i="16" s="1"/>
  <c r="R1369" i="16"/>
  <c r="Q1369" i="16"/>
  <c r="P1369" i="16"/>
  <c r="N1369" i="16"/>
  <c r="L1369" i="16"/>
  <c r="M1369" i="16" s="1"/>
  <c r="K1369" i="16"/>
  <c r="J1369" i="16"/>
  <c r="I1369" i="16"/>
  <c r="AC1368" i="16"/>
  <c r="AA1368" i="16"/>
  <c r="AB1368" i="16" s="1"/>
  <c r="T1368" i="16"/>
  <c r="AE1368" i="16" s="1"/>
  <c r="R1368" i="16"/>
  <c r="Q1368" i="16"/>
  <c r="P1368" i="16"/>
  <c r="N1368" i="16"/>
  <c r="L1368" i="16"/>
  <c r="M1368" i="16" s="1"/>
  <c r="K1368" i="16"/>
  <c r="J1368" i="16"/>
  <c r="I1368" i="16"/>
  <c r="AC1367" i="16"/>
  <c r="AA1367" i="16"/>
  <c r="AB1367" i="16" s="1"/>
  <c r="T1367" i="16"/>
  <c r="AE1367" i="16" s="1"/>
  <c r="R1367" i="16"/>
  <c r="Q1367" i="16"/>
  <c r="P1367" i="16"/>
  <c r="N1367" i="16"/>
  <c r="L1367" i="16"/>
  <c r="M1367" i="16" s="1"/>
  <c r="K1367" i="16"/>
  <c r="J1367" i="16"/>
  <c r="I1367" i="16"/>
  <c r="AC1366" i="16"/>
  <c r="AA1366" i="16"/>
  <c r="AB1366" i="16" s="1"/>
  <c r="T1366" i="16"/>
  <c r="AE1366" i="16" s="1"/>
  <c r="R1366" i="16"/>
  <c r="Q1366" i="16"/>
  <c r="P1366" i="16"/>
  <c r="N1366" i="16"/>
  <c r="L1366" i="16"/>
  <c r="M1366" i="16" s="1"/>
  <c r="K1366" i="16"/>
  <c r="J1366" i="16"/>
  <c r="I1366" i="16"/>
  <c r="AC1365" i="16"/>
  <c r="AA1365" i="16"/>
  <c r="AB1365" i="16" s="1"/>
  <c r="T1365" i="16"/>
  <c r="AE1365" i="16" s="1"/>
  <c r="R1365" i="16"/>
  <c r="Q1365" i="16"/>
  <c r="P1365" i="16"/>
  <c r="N1365" i="16"/>
  <c r="L1365" i="16"/>
  <c r="M1365" i="16" s="1"/>
  <c r="K1365" i="16"/>
  <c r="J1365" i="16"/>
  <c r="I1365" i="16"/>
  <c r="AC1364" i="16"/>
  <c r="AA1364" i="16"/>
  <c r="AB1364" i="16" s="1"/>
  <c r="T1364" i="16"/>
  <c r="AE1364" i="16" s="1"/>
  <c r="R1364" i="16"/>
  <c r="Q1364" i="16"/>
  <c r="P1364" i="16"/>
  <c r="N1364" i="16"/>
  <c r="L1364" i="16"/>
  <c r="M1364" i="16" s="1"/>
  <c r="K1364" i="16"/>
  <c r="J1364" i="16"/>
  <c r="I1364" i="16"/>
  <c r="AC1363" i="16"/>
  <c r="AA1363" i="16"/>
  <c r="AB1363" i="16" s="1"/>
  <c r="T1363" i="16"/>
  <c r="AE1363" i="16" s="1"/>
  <c r="R1363" i="16"/>
  <c r="Q1363" i="16"/>
  <c r="P1363" i="16"/>
  <c r="N1363" i="16"/>
  <c r="L1363" i="16"/>
  <c r="M1363" i="16" s="1"/>
  <c r="K1363" i="16"/>
  <c r="J1363" i="16"/>
  <c r="I1363" i="16"/>
  <c r="AC1362" i="16"/>
  <c r="AA1362" i="16"/>
  <c r="AB1362" i="16" s="1"/>
  <c r="T1362" i="16"/>
  <c r="AE1362" i="16" s="1"/>
  <c r="R1362" i="16"/>
  <c r="Q1362" i="16"/>
  <c r="P1362" i="16"/>
  <c r="N1362" i="16"/>
  <c r="L1362" i="16"/>
  <c r="M1362" i="16" s="1"/>
  <c r="K1362" i="16"/>
  <c r="J1362" i="16"/>
  <c r="I1362" i="16"/>
  <c r="AC1361" i="16"/>
  <c r="AA1361" i="16"/>
  <c r="AB1361" i="16" s="1"/>
  <c r="T1361" i="16"/>
  <c r="AE1361" i="16" s="1"/>
  <c r="R1361" i="16"/>
  <c r="Q1361" i="16"/>
  <c r="P1361" i="16"/>
  <c r="N1361" i="16"/>
  <c r="L1361" i="16"/>
  <c r="M1361" i="16" s="1"/>
  <c r="K1361" i="16"/>
  <c r="J1361" i="16"/>
  <c r="I1361" i="16"/>
  <c r="AC1360" i="16"/>
  <c r="AA1360" i="16"/>
  <c r="AB1360" i="16" s="1"/>
  <c r="T1360" i="16"/>
  <c r="AE1360" i="16" s="1"/>
  <c r="R1360" i="16"/>
  <c r="Q1360" i="16"/>
  <c r="P1360" i="16"/>
  <c r="N1360" i="16"/>
  <c r="L1360" i="16"/>
  <c r="M1360" i="16" s="1"/>
  <c r="K1360" i="16"/>
  <c r="J1360" i="16"/>
  <c r="I1360" i="16"/>
  <c r="AC1359" i="16"/>
  <c r="AA1359" i="16"/>
  <c r="AB1359" i="16" s="1"/>
  <c r="T1359" i="16"/>
  <c r="AE1359" i="16" s="1"/>
  <c r="R1359" i="16"/>
  <c r="Q1359" i="16"/>
  <c r="P1359" i="16"/>
  <c r="N1359" i="16"/>
  <c r="L1359" i="16"/>
  <c r="M1359" i="16" s="1"/>
  <c r="K1359" i="16"/>
  <c r="J1359" i="16"/>
  <c r="I1359" i="16"/>
  <c r="AC1358" i="16"/>
  <c r="AA1358" i="16"/>
  <c r="AB1358" i="16" s="1"/>
  <c r="T1358" i="16"/>
  <c r="AE1358" i="16" s="1"/>
  <c r="R1358" i="16"/>
  <c r="Q1358" i="16"/>
  <c r="P1358" i="16"/>
  <c r="N1358" i="16"/>
  <c r="L1358" i="16"/>
  <c r="M1358" i="16" s="1"/>
  <c r="K1358" i="16"/>
  <c r="J1358" i="16"/>
  <c r="I1358" i="16"/>
  <c r="AC1357" i="16"/>
  <c r="AA1357" i="16"/>
  <c r="AB1357" i="16" s="1"/>
  <c r="T1357" i="16"/>
  <c r="AE1357" i="16" s="1"/>
  <c r="R1357" i="16"/>
  <c r="Q1357" i="16"/>
  <c r="P1357" i="16"/>
  <c r="N1357" i="16"/>
  <c r="L1357" i="16"/>
  <c r="M1357" i="16" s="1"/>
  <c r="K1357" i="16"/>
  <c r="J1357" i="16"/>
  <c r="I1357" i="16"/>
  <c r="AC1356" i="16"/>
  <c r="AA1356" i="16"/>
  <c r="AB1356" i="16" s="1"/>
  <c r="T1356" i="16"/>
  <c r="AE1356" i="16" s="1"/>
  <c r="R1356" i="16"/>
  <c r="Q1356" i="16"/>
  <c r="P1356" i="16"/>
  <c r="N1356" i="16"/>
  <c r="L1356" i="16"/>
  <c r="M1356" i="16" s="1"/>
  <c r="K1356" i="16"/>
  <c r="J1356" i="16"/>
  <c r="I1356" i="16"/>
  <c r="AC1355" i="16"/>
  <c r="AA1355" i="16"/>
  <c r="AB1355" i="16" s="1"/>
  <c r="T1355" i="16"/>
  <c r="AE1355" i="16" s="1"/>
  <c r="R1355" i="16"/>
  <c r="Q1355" i="16"/>
  <c r="P1355" i="16"/>
  <c r="N1355" i="16"/>
  <c r="L1355" i="16"/>
  <c r="M1355" i="16" s="1"/>
  <c r="K1355" i="16"/>
  <c r="J1355" i="16"/>
  <c r="I1355" i="16"/>
  <c r="AC1354" i="16"/>
  <c r="AA1354" i="16"/>
  <c r="AB1354" i="16" s="1"/>
  <c r="T1354" i="16"/>
  <c r="AE1354" i="16" s="1"/>
  <c r="R1354" i="16"/>
  <c r="Q1354" i="16"/>
  <c r="P1354" i="16"/>
  <c r="N1354" i="16"/>
  <c r="L1354" i="16"/>
  <c r="M1354" i="16" s="1"/>
  <c r="K1354" i="16"/>
  <c r="J1354" i="16"/>
  <c r="I1354" i="16"/>
  <c r="AC1353" i="16"/>
  <c r="AA1353" i="16"/>
  <c r="AB1353" i="16" s="1"/>
  <c r="T1353" i="16"/>
  <c r="AE1353" i="16" s="1"/>
  <c r="R1353" i="16"/>
  <c r="Q1353" i="16"/>
  <c r="P1353" i="16"/>
  <c r="N1353" i="16"/>
  <c r="L1353" i="16"/>
  <c r="M1353" i="16" s="1"/>
  <c r="K1353" i="16"/>
  <c r="J1353" i="16"/>
  <c r="I1353" i="16"/>
  <c r="AC1352" i="16"/>
  <c r="AA1352" i="16"/>
  <c r="AB1352" i="16" s="1"/>
  <c r="T1352" i="16"/>
  <c r="AE1352" i="16" s="1"/>
  <c r="R1352" i="16"/>
  <c r="Q1352" i="16"/>
  <c r="P1352" i="16"/>
  <c r="N1352" i="16"/>
  <c r="L1352" i="16"/>
  <c r="M1352" i="16" s="1"/>
  <c r="K1352" i="16"/>
  <c r="J1352" i="16"/>
  <c r="I1352" i="16"/>
  <c r="AC1351" i="16"/>
  <c r="AA1351" i="16"/>
  <c r="AB1351" i="16" s="1"/>
  <c r="T1351" i="16"/>
  <c r="AE1351" i="16" s="1"/>
  <c r="R1351" i="16"/>
  <c r="Q1351" i="16"/>
  <c r="P1351" i="16"/>
  <c r="N1351" i="16"/>
  <c r="L1351" i="16"/>
  <c r="M1351" i="16" s="1"/>
  <c r="K1351" i="16"/>
  <c r="J1351" i="16"/>
  <c r="I1351" i="16"/>
  <c r="AC1350" i="16"/>
  <c r="AA1350" i="16"/>
  <c r="AB1350" i="16" s="1"/>
  <c r="T1350" i="16"/>
  <c r="AE1350" i="16" s="1"/>
  <c r="R1350" i="16"/>
  <c r="Q1350" i="16"/>
  <c r="P1350" i="16"/>
  <c r="N1350" i="16"/>
  <c r="L1350" i="16"/>
  <c r="M1350" i="16" s="1"/>
  <c r="K1350" i="16"/>
  <c r="J1350" i="16"/>
  <c r="I1350" i="16"/>
  <c r="AC1349" i="16"/>
  <c r="AA1349" i="16"/>
  <c r="AB1349" i="16" s="1"/>
  <c r="T1349" i="16"/>
  <c r="AE1349" i="16" s="1"/>
  <c r="R1349" i="16"/>
  <c r="Q1349" i="16"/>
  <c r="P1349" i="16"/>
  <c r="N1349" i="16"/>
  <c r="L1349" i="16"/>
  <c r="M1349" i="16" s="1"/>
  <c r="K1349" i="16"/>
  <c r="J1349" i="16"/>
  <c r="I1349" i="16"/>
  <c r="AC1348" i="16"/>
  <c r="AA1348" i="16"/>
  <c r="AB1348" i="16" s="1"/>
  <c r="T1348" i="16"/>
  <c r="AE1348" i="16" s="1"/>
  <c r="R1348" i="16"/>
  <c r="Q1348" i="16"/>
  <c r="P1348" i="16"/>
  <c r="N1348" i="16"/>
  <c r="L1348" i="16"/>
  <c r="M1348" i="16" s="1"/>
  <c r="K1348" i="16"/>
  <c r="J1348" i="16"/>
  <c r="I1348" i="16"/>
  <c r="AC1347" i="16"/>
  <c r="AA1347" i="16"/>
  <c r="AB1347" i="16" s="1"/>
  <c r="T1347" i="16"/>
  <c r="AE1347" i="16" s="1"/>
  <c r="R1347" i="16"/>
  <c r="Q1347" i="16"/>
  <c r="P1347" i="16"/>
  <c r="N1347" i="16"/>
  <c r="L1347" i="16"/>
  <c r="M1347" i="16" s="1"/>
  <c r="K1347" i="16"/>
  <c r="J1347" i="16"/>
  <c r="I1347" i="16"/>
  <c r="AC1346" i="16"/>
  <c r="AA1346" i="16"/>
  <c r="AB1346" i="16" s="1"/>
  <c r="T1346" i="16"/>
  <c r="AE1346" i="16" s="1"/>
  <c r="R1346" i="16"/>
  <c r="Q1346" i="16"/>
  <c r="P1346" i="16"/>
  <c r="N1346" i="16"/>
  <c r="L1346" i="16"/>
  <c r="M1346" i="16" s="1"/>
  <c r="K1346" i="16"/>
  <c r="J1346" i="16"/>
  <c r="I1346" i="16"/>
  <c r="AC1345" i="16"/>
  <c r="AA1345" i="16"/>
  <c r="AB1345" i="16" s="1"/>
  <c r="T1345" i="16"/>
  <c r="AE1345" i="16" s="1"/>
  <c r="R1345" i="16"/>
  <c r="Q1345" i="16"/>
  <c r="P1345" i="16"/>
  <c r="N1345" i="16"/>
  <c r="L1345" i="16"/>
  <c r="M1345" i="16" s="1"/>
  <c r="K1345" i="16"/>
  <c r="J1345" i="16"/>
  <c r="I1345" i="16"/>
  <c r="AC1344" i="16"/>
  <c r="AA1344" i="16"/>
  <c r="AB1344" i="16" s="1"/>
  <c r="T1344" i="16"/>
  <c r="AE1344" i="16" s="1"/>
  <c r="R1344" i="16"/>
  <c r="Q1344" i="16"/>
  <c r="P1344" i="16"/>
  <c r="N1344" i="16"/>
  <c r="L1344" i="16"/>
  <c r="M1344" i="16" s="1"/>
  <c r="K1344" i="16"/>
  <c r="J1344" i="16"/>
  <c r="I1344" i="16"/>
  <c r="AC1343" i="16"/>
  <c r="AA1343" i="16"/>
  <c r="AB1343" i="16" s="1"/>
  <c r="T1343" i="16"/>
  <c r="AE1343" i="16" s="1"/>
  <c r="R1343" i="16"/>
  <c r="Q1343" i="16"/>
  <c r="P1343" i="16"/>
  <c r="N1343" i="16"/>
  <c r="L1343" i="16"/>
  <c r="M1343" i="16" s="1"/>
  <c r="K1343" i="16"/>
  <c r="J1343" i="16"/>
  <c r="I1343" i="16"/>
  <c r="AC1342" i="16"/>
  <c r="AA1342" i="16"/>
  <c r="AB1342" i="16" s="1"/>
  <c r="T1342" i="16"/>
  <c r="AE1342" i="16" s="1"/>
  <c r="R1342" i="16"/>
  <c r="Q1342" i="16"/>
  <c r="P1342" i="16"/>
  <c r="N1342" i="16"/>
  <c r="L1342" i="16"/>
  <c r="M1342" i="16" s="1"/>
  <c r="K1342" i="16"/>
  <c r="J1342" i="16"/>
  <c r="I1342" i="16"/>
  <c r="AC1341" i="16"/>
  <c r="AA1341" i="16"/>
  <c r="AB1341" i="16" s="1"/>
  <c r="T1341" i="16"/>
  <c r="AE1341" i="16" s="1"/>
  <c r="R1341" i="16"/>
  <c r="Q1341" i="16"/>
  <c r="P1341" i="16"/>
  <c r="N1341" i="16"/>
  <c r="L1341" i="16"/>
  <c r="M1341" i="16" s="1"/>
  <c r="K1341" i="16"/>
  <c r="J1341" i="16"/>
  <c r="I1341" i="16"/>
  <c r="AC1340" i="16"/>
  <c r="AA1340" i="16"/>
  <c r="AB1340" i="16" s="1"/>
  <c r="T1340" i="16"/>
  <c r="AE1340" i="16" s="1"/>
  <c r="R1340" i="16"/>
  <c r="Q1340" i="16"/>
  <c r="P1340" i="16"/>
  <c r="N1340" i="16"/>
  <c r="L1340" i="16"/>
  <c r="M1340" i="16" s="1"/>
  <c r="K1340" i="16"/>
  <c r="J1340" i="16"/>
  <c r="I1340" i="16"/>
  <c r="AC1339" i="16"/>
  <c r="AA1339" i="16"/>
  <c r="AB1339" i="16" s="1"/>
  <c r="T1339" i="16"/>
  <c r="AE1339" i="16" s="1"/>
  <c r="R1339" i="16"/>
  <c r="Q1339" i="16"/>
  <c r="P1339" i="16"/>
  <c r="N1339" i="16"/>
  <c r="L1339" i="16"/>
  <c r="M1339" i="16" s="1"/>
  <c r="K1339" i="16"/>
  <c r="J1339" i="16"/>
  <c r="I1339" i="16"/>
  <c r="AC1338" i="16"/>
  <c r="AA1338" i="16"/>
  <c r="AB1338" i="16" s="1"/>
  <c r="T1338" i="16"/>
  <c r="AE1338" i="16" s="1"/>
  <c r="R1338" i="16"/>
  <c r="Q1338" i="16"/>
  <c r="P1338" i="16"/>
  <c r="N1338" i="16"/>
  <c r="L1338" i="16"/>
  <c r="M1338" i="16" s="1"/>
  <c r="K1338" i="16"/>
  <c r="J1338" i="16"/>
  <c r="I1338" i="16"/>
  <c r="AC1337" i="16"/>
  <c r="AA1337" i="16"/>
  <c r="AB1337" i="16" s="1"/>
  <c r="T1337" i="16"/>
  <c r="AE1337" i="16" s="1"/>
  <c r="R1337" i="16"/>
  <c r="Q1337" i="16"/>
  <c r="P1337" i="16"/>
  <c r="N1337" i="16"/>
  <c r="L1337" i="16"/>
  <c r="M1337" i="16" s="1"/>
  <c r="K1337" i="16"/>
  <c r="J1337" i="16"/>
  <c r="I1337" i="16"/>
  <c r="AC1336" i="16"/>
  <c r="AA1336" i="16"/>
  <c r="AB1336" i="16" s="1"/>
  <c r="T1336" i="16"/>
  <c r="AE1336" i="16" s="1"/>
  <c r="R1336" i="16"/>
  <c r="Q1336" i="16"/>
  <c r="P1336" i="16"/>
  <c r="N1336" i="16"/>
  <c r="L1336" i="16"/>
  <c r="M1336" i="16" s="1"/>
  <c r="K1336" i="16"/>
  <c r="J1336" i="16"/>
  <c r="I1336" i="16"/>
  <c r="AC1335" i="16"/>
  <c r="AA1335" i="16"/>
  <c r="AB1335" i="16" s="1"/>
  <c r="T1335" i="16"/>
  <c r="AE1335" i="16" s="1"/>
  <c r="R1335" i="16"/>
  <c r="Q1335" i="16"/>
  <c r="P1335" i="16"/>
  <c r="N1335" i="16"/>
  <c r="L1335" i="16"/>
  <c r="M1335" i="16" s="1"/>
  <c r="K1335" i="16"/>
  <c r="J1335" i="16"/>
  <c r="I1335" i="16"/>
  <c r="AC1334" i="16"/>
  <c r="AA1334" i="16"/>
  <c r="AB1334" i="16" s="1"/>
  <c r="T1334" i="16"/>
  <c r="AE1334" i="16" s="1"/>
  <c r="R1334" i="16"/>
  <c r="Q1334" i="16"/>
  <c r="P1334" i="16"/>
  <c r="N1334" i="16"/>
  <c r="L1334" i="16"/>
  <c r="M1334" i="16" s="1"/>
  <c r="K1334" i="16"/>
  <c r="J1334" i="16"/>
  <c r="I1334" i="16"/>
  <c r="AC1333" i="16"/>
  <c r="AA1333" i="16"/>
  <c r="AB1333" i="16" s="1"/>
  <c r="T1333" i="16"/>
  <c r="AE1333" i="16" s="1"/>
  <c r="R1333" i="16"/>
  <c r="Q1333" i="16"/>
  <c r="P1333" i="16"/>
  <c r="N1333" i="16"/>
  <c r="L1333" i="16"/>
  <c r="M1333" i="16" s="1"/>
  <c r="K1333" i="16"/>
  <c r="J1333" i="16"/>
  <c r="I1333" i="16"/>
  <c r="AC1332" i="16"/>
  <c r="AA1332" i="16"/>
  <c r="AB1332" i="16" s="1"/>
  <c r="T1332" i="16"/>
  <c r="AE1332" i="16" s="1"/>
  <c r="R1332" i="16"/>
  <c r="Q1332" i="16"/>
  <c r="P1332" i="16"/>
  <c r="N1332" i="16"/>
  <c r="L1332" i="16"/>
  <c r="M1332" i="16" s="1"/>
  <c r="K1332" i="16"/>
  <c r="J1332" i="16"/>
  <c r="I1332" i="16"/>
  <c r="AC1331" i="16"/>
  <c r="AA1331" i="16"/>
  <c r="AB1331" i="16" s="1"/>
  <c r="T1331" i="16"/>
  <c r="AE1331" i="16" s="1"/>
  <c r="R1331" i="16"/>
  <c r="Q1331" i="16"/>
  <c r="P1331" i="16"/>
  <c r="N1331" i="16"/>
  <c r="L1331" i="16"/>
  <c r="M1331" i="16" s="1"/>
  <c r="K1331" i="16"/>
  <c r="J1331" i="16"/>
  <c r="I1331" i="16"/>
  <c r="AC1330" i="16"/>
  <c r="AA1330" i="16"/>
  <c r="AB1330" i="16" s="1"/>
  <c r="T1330" i="16"/>
  <c r="AE1330" i="16" s="1"/>
  <c r="R1330" i="16"/>
  <c r="Q1330" i="16"/>
  <c r="P1330" i="16"/>
  <c r="N1330" i="16"/>
  <c r="L1330" i="16"/>
  <c r="M1330" i="16" s="1"/>
  <c r="K1330" i="16"/>
  <c r="J1330" i="16"/>
  <c r="I1330" i="16"/>
  <c r="AC1329" i="16"/>
  <c r="AA1329" i="16"/>
  <c r="AB1329" i="16" s="1"/>
  <c r="T1329" i="16"/>
  <c r="AE1329" i="16" s="1"/>
  <c r="R1329" i="16"/>
  <c r="Q1329" i="16"/>
  <c r="P1329" i="16"/>
  <c r="N1329" i="16"/>
  <c r="L1329" i="16"/>
  <c r="M1329" i="16" s="1"/>
  <c r="K1329" i="16"/>
  <c r="J1329" i="16"/>
  <c r="I1329" i="16"/>
  <c r="AC1328" i="16"/>
  <c r="AA1328" i="16"/>
  <c r="AB1328" i="16" s="1"/>
  <c r="T1328" i="16"/>
  <c r="AE1328" i="16" s="1"/>
  <c r="R1328" i="16"/>
  <c r="Q1328" i="16"/>
  <c r="P1328" i="16"/>
  <c r="N1328" i="16"/>
  <c r="L1328" i="16"/>
  <c r="M1328" i="16" s="1"/>
  <c r="K1328" i="16"/>
  <c r="J1328" i="16"/>
  <c r="I1328" i="16"/>
  <c r="AC1327" i="16"/>
  <c r="AA1327" i="16"/>
  <c r="AB1327" i="16" s="1"/>
  <c r="T1327" i="16"/>
  <c r="AE1327" i="16" s="1"/>
  <c r="R1327" i="16"/>
  <c r="Q1327" i="16"/>
  <c r="P1327" i="16"/>
  <c r="N1327" i="16"/>
  <c r="L1327" i="16"/>
  <c r="M1327" i="16" s="1"/>
  <c r="K1327" i="16"/>
  <c r="J1327" i="16"/>
  <c r="I1327" i="16"/>
  <c r="AC1326" i="16"/>
  <c r="AA1326" i="16"/>
  <c r="AB1326" i="16" s="1"/>
  <c r="T1326" i="16"/>
  <c r="AE1326" i="16" s="1"/>
  <c r="R1326" i="16"/>
  <c r="Q1326" i="16"/>
  <c r="P1326" i="16"/>
  <c r="N1326" i="16"/>
  <c r="L1326" i="16"/>
  <c r="M1326" i="16" s="1"/>
  <c r="K1326" i="16"/>
  <c r="J1326" i="16"/>
  <c r="I1326" i="16"/>
  <c r="AC1325" i="16"/>
  <c r="AA1325" i="16"/>
  <c r="AB1325" i="16" s="1"/>
  <c r="T1325" i="16"/>
  <c r="AE1325" i="16" s="1"/>
  <c r="R1325" i="16"/>
  <c r="Q1325" i="16"/>
  <c r="P1325" i="16"/>
  <c r="N1325" i="16"/>
  <c r="L1325" i="16"/>
  <c r="M1325" i="16" s="1"/>
  <c r="K1325" i="16"/>
  <c r="J1325" i="16"/>
  <c r="I1325" i="16"/>
  <c r="AC1324" i="16"/>
  <c r="AA1324" i="16"/>
  <c r="AB1324" i="16" s="1"/>
  <c r="T1324" i="16"/>
  <c r="AE1324" i="16" s="1"/>
  <c r="R1324" i="16"/>
  <c r="Q1324" i="16"/>
  <c r="P1324" i="16"/>
  <c r="N1324" i="16"/>
  <c r="L1324" i="16"/>
  <c r="M1324" i="16" s="1"/>
  <c r="K1324" i="16"/>
  <c r="J1324" i="16"/>
  <c r="I1324" i="16"/>
  <c r="AC1323" i="16"/>
  <c r="AA1323" i="16"/>
  <c r="AB1323" i="16" s="1"/>
  <c r="T1323" i="16"/>
  <c r="AE1323" i="16" s="1"/>
  <c r="R1323" i="16"/>
  <c r="Q1323" i="16"/>
  <c r="P1323" i="16"/>
  <c r="N1323" i="16"/>
  <c r="L1323" i="16"/>
  <c r="M1323" i="16" s="1"/>
  <c r="K1323" i="16"/>
  <c r="J1323" i="16"/>
  <c r="I1323" i="16"/>
  <c r="AC1322" i="16"/>
  <c r="AA1322" i="16"/>
  <c r="AB1322" i="16" s="1"/>
  <c r="T1322" i="16"/>
  <c r="AE1322" i="16" s="1"/>
  <c r="R1322" i="16"/>
  <c r="Q1322" i="16"/>
  <c r="P1322" i="16"/>
  <c r="N1322" i="16"/>
  <c r="L1322" i="16"/>
  <c r="M1322" i="16" s="1"/>
  <c r="K1322" i="16"/>
  <c r="J1322" i="16"/>
  <c r="I1322" i="16"/>
  <c r="AC1321" i="16"/>
  <c r="AA1321" i="16"/>
  <c r="AB1321" i="16" s="1"/>
  <c r="T1321" i="16"/>
  <c r="AE1321" i="16" s="1"/>
  <c r="R1321" i="16"/>
  <c r="Q1321" i="16"/>
  <c r="P1321" i="16"/>
  <c r="N1321" i="16"/>
  <c r="L1321" i="16"/>
  <c r="M1321" i="16" s="1"/>
  <c r="K1321" i="16"/>
  <c r="J1321" i="16"/>
  <c r="I1321" i="16"/>
  <c r="AC1320" i="16"/>
  <c r="AA1320" i="16"/>
  <c r="AB1320" i="16" s="1"/>
  <c r="T1320" i="16"/>
  <c r="AE1320" i="16" s="1"/>
  <c r="R1320" i="16"/>
  <c r="Q1320" i="16"/>
  <c r="P1320" i="16"/>
  <c r="N1320" i="16"/>
  <c r="L1320" i="16"/>
  <c r="M1320" i="16" s="1"/>
  <c r="K1320" i="16"/>
  <c r="J1320" i="16"/>
  <c r="I1320" i="16"/>
  <c r="AC1319" i="16"/>
  <c r="AA1319" i="16"/>
  <c r="AB1319" i="16" s="1"/>
  <c r="T1319" i="16"/>
  <c r="AE1319" i="16" s="1"/>
  <c r="R1319" i="16"/>
  <c r="Q1319" i="16"/>
  <c r="P1319" i="16"/>
  <c r="N1319" i="16"/>
  <c r="L1319" i="16"/>
  <c r="M1319" i="16" s="1"/>
  <c r="K1319" i="16"/>
  <c r="J1319" i="16"/>
  <c r="I1319" i="16"/>
  <c r="AC1318" i="16"/>
  <c r="AA1318" i="16"/>
  <c r="AB1318" i="16" s="1"/>
  <c r="T1318" i="16"/>
  <c r="AE1318" i="16" s="1"/>
  <c r="R1318" i="16"/>
  <c r="Q1318" i="16"/>
  <c r="P1318" i="16"/>
  <c r="N1318" i="16"/>
  <c r="L1318" i="16"/>
  <c r="M1318" i="16" s="1"/>
  <c r="K1318" i="16"/>
  <c r="J1318" i="16"/>
  <c r="I1318" i="16"/>
  <c r="AC1317" i="16"/>
  <c r="AA1317" i="16"/>
  <c r="AB1317" i="16" s="1"/>
  <c r="T1317" i="16"/>
  <c r="AE1317" i="16" s="1"/>
  <c r="R1317" i="16"/>
  <c r="Q1317" i="16"/>
  <c r="P1317" i="16"/>
  <c r="N1317" i="16"/>
  <c r="L1317" i="16"/>
  <c r="M1317" i="16" s="1"/>
  <c r="K1317" i="16"/>
  <c r="J1317" i="16"/>
  <c r="I1317" i="16"/>
  <c r="AC1316" i="16"/>
  <c r="AA1316" i="16"/>
  <c r="AB1316" i="16" s="1"/>
  <c r="T1316" i="16"/>
  <c r="AE1316" i="16" s="1"/>
  <c r="R1316" i="16"/>
  <c r="Q1316" i="16"/>
  <c r="P1316" i="16"/>
  <c r="N1316" i="16"/>
  <c r="L1316" i="16"/>
  <c r="M1316" i="16" s="1"/>
  <c r="K1316" i="16"/>
  <c r="J1316" i="16"/>
  <c r="I1316" i="16"/>
  <c r="AC1315" i="16"/>
  <c r="AA1315" i="16"/>
  <c r="AB1315" i="16" s="1"/>
  <c r="T1315" i="16"/>
  <c r="AE1315" i="16" s="1"/>
  <c r="R1315" i="16"/>
  <c r="Q1315" i="16"/>
  <c r="P1315" i="16"/>
  <c r="N1315" i="16"/>
  <c r="L1315" i="16"/>
  <c r="M1315" i="16" s="1"/>
  <c r="K1315" i="16"/>
  <c r="J1315" i="16"/>
  <c r="I1315" i="16"/>
  <c r="AC1314" i="16"/>
  <c r="AA1314" i="16"/>
  <c r="AB1314" i="16" s="1"/>
  <c r="T1314" i="16"/>
  <c r="AE1314" i="16" s="1"/>
  <c r="R1314" i="16"/>
  <c r="Q1314" i="16"/>
  <c r="P1314" i="16"/>
  <c r="N1314" i="16"/>
  <c r="L1314" i="16"/>
  <c r="M1314" i="16" s="1"/>
  <c r="K1314" i="16"/>
  <c r="J1314" i="16"/>
  <c r="I1314" i="16"/>
  <c r="AC1313" i="16"/>
  <c r="AA1313" i="16"/>
  <c r="AB1313" i="16" s="1"/>
  <c r="T1313" i="16"/>
  <c r="AE1313" i="16" s="1"/>
  <c r="R1313" i="16"/>
  <c r="Q1313" i="16"/>
  <c r="P1313" i="16"/>
  <c r="N1313" i="16"/>
  <c r="L1313" i="16"/>
  <c r="M1313" i="16" s="1"/>
  <c r="K1313" i="16"/>
  <c r="J1313" i="16"/>
  <c r="I1313" i="16"/>
  <c r="AC1312" i="16"/>
  <c r="AA1312" i="16"/>
  <c r="AB1312" i="16" s="1"/>
  <c r="T1312" i="16"/>
  <c r="AE1312" i="16" s="1"/>
  <c r="R1312" i="16"/>
  <c r="Q1312" i="16"/>
  <c r="P1312" i="16"/>
  <c r="N1312" i="16"/>
  <c r="L1312" i="16"/>
  <c r="M1312" i="16" s="1"/>
  <c r="K1312" i="16"/>
  <c r="J1312" i="16"/>
  <c r="I1312" i="16"/>
  <c r="AC1311" i="16"/>
  <c r="AA1311" i="16"/>
  <c r="AB1311" i="16" s="1"/>
  <c r="T1311" i="16"/>
  <c r="AE1311" i="16" s="1"/>
  <c r="R1311" i="16"/>
  <c r="Q1311" i="16"/>
  <c r="P1311" i="16"/>
  <c r="N1311" i="16"/>
  <c r="L1311" i="16"/>
  <c r="M1311" i="16" s="1"/>
  <c r="K1311" i="16"/>
  <c r="J1311" i="16"/>
  <c r="I1311" i="16"/>
  <c r="AC1310" i="16"/>
  <c r="AA1310" i="16"/>
  <c r="AB1310" i="16" s="1"/>
  <c r="T1310" i="16"/>
  <c r="AE1310" i="16" s="1"/>
  <c r="R1310" i="16"/>
  <c r="Q1310" i="16"/>
  <c r="P1310" i="16"/>
  <c r="N1310" i="16"/>
  <c r="L1310" i="16"/>
  <c r="M1310" i="16" s="1"/>
  <c r="K1310" i="16"/>
  <c r="J1310" i="16"/>
  <c r="I1310" i="16"/>
  <c r="AC1309" i="16"/>
  <c r="AA1309" i="16"/>
  <c r="AB1309" i="16" s="1"/>
  <c r="T1309" i="16"/>
  <c r="AE1309" i="16" s="1"/>
  <c r="R1309" i="16"/>
  <c r="Q1309" i="16"/>
  <c r="P1309" i="16"/>
  <c r="N1309" i="16"/>
  <c r="L1309" i="16"/>
  <c r="M1309" i="16" s="1"/>
  <c r="K1309" i="16"/>
  <c r="J1309" i="16"/>
  <c r="I1309" i="16"/>
  <c r="AC1308" i="16"/>
  <c r="AA1308" i="16"/>
  <c r="AB1308" i="16" s="1"/>
  <c r="T1308" i="16"/>
  <c r="AE1308" i="16" s="1"/>
  <c r="R1308" i="16"/>
  <c r="Q1308" i="16"/>
  <c r="P1308" i="16"/>
  <c r="N1308" i="16"/>
  <c r="L1308" i="16"/>
  <c r="M1308" i="16" s="1"/>
  <c r="K1308" i="16"/>
  <c r="J1308" i="16"/>
  <c r="I1308" i="16"/>
  <c r="AC1307" i="16"/>
  <c r="AA1307" i="16"/>
  <c r="AB1307" i="16" s="1"/>
  <c r="Q1307" i="16"/>
  <c r="P1307" i="16"/>
  <c r="N1307" i="16"/>
  <c r="L1307" i="16"/>
  <c r="J1307" i="16"/>
  <c r="K1307" i="16" s="1"/>
  <c r="I1307" i="16"/>
  <c r="AC1306" i="16"/>
  <c r="AA1306" i="16"/>
  <c r="AB1306" i="16" s="1"/>
  <c r="Q1306" i="16"/>
  <c r="P1306" i="16"/>
  <c r="N1306" i="16"/>
  <c r="L1306" i="16"/>
  <c r="J1306" i="16"/>
  <c r="K1306" i="16" s="1"/>
  <c r="I1306" i="16"/>
  <c r="AC1305" i="16"/>
  <c r="AA1305" i="16"/>
  <c r="AB1305" i="16" s="1"/>
  <c r="Q1305" i="16"/>
  <c r="P1305" i="16"/>
  <c r="N1305" i="16"/>
  <c r="L1305" i="16"/>
  <c r="J1305" i="16"/>
  <c r="K1305" i="16" s="1"/>
  <c r="I1305" i="16"/>
  <c r="AC1304" i="16"/>
  <c r="AA1304" i="16"/>
  <c r="AB1304" i="16" s="1"/>
  <c r="Q1304" i="16"/>
  <c r="P1304" i="16"/>
  <c r="N1304" i="16"/>
  <c r="L1304" i="16"/>
  <c r="J1304" i="16"/>
  <c r="K1304" i="16" s="1"/>
  <c r="I1304" i="16"/>
  <c r="AC1303" i="16"/>
  <c r="AA1303" i="16"/>
  <c r="AB1303" i="16" s="1"/>
  <c r="Q1303" i="16"/>
  <c r="P1303" i="16"/>
  <c r="N1303" i="16"/>
  <c r="L1303" i="16"/>
  <c r="J1303" i="16"/>
  <c r="K1303" i="16" s="1"/>
  <c r="I1303" i="16"/>
  <c r="AC1302" i="16"/>
  <c r="AA1302" i="16"/>
  <c r="AB1302" i="16" s="1"/>
  <c r="Q1302" i="16"/>
  <c r="P1302" i="16"/>
  <c r="N1302" i="16"/>
  <c r="L1302" i="16"/>
  <c r="J1302" i="16"/>
  <c r="K1302" i="16" s="1"/>
  <c r="I1302" i="16"/>
  <c r="AC1301" i="16"/>
  <c r="AA1301" i="16"/>
  <c r="AB1301" i="16" s="1"/>
  <c r="Q1301" i="16"/>
  <c r="P1301" i="16"/>
  <c r="N1301" i="16"/>
  <c r="L1301" i="16"/>
  <c r="J1301" i="16"/>
  <c r="K1301" i="16" s="1"/>
  <c r="I1301" i="16"/>
  <c r="AC1300" i="16"/>
  <c r="AA1300" i="16"/>
  <c r="AB1300" i="16" s="1"/>
  <c r="Q1300" i="16"/>
  <c r="P1300" i="16"/>
  <c r="N1300" i="16"/>
  <c r="L1300" i="16"/>
  <c r="J1300" i="16"/>
  <c r="K1300" i="16" s="1"/>
  <c r="I1300" i="16"/>
  <c r="AC1299" i="16"/>
  <c r="AA1299" i="16"/>
  <c r="AB1299" i="16" s="1"/>
  <c r="Q1299" i="16"/>
  <c r="P1299" i="16"/>
  <c r="N1299" i="16"/>
  <c r="L1299" i="16"/>
  <c r="J1299" i="16"/>
  <c r="K1299" i="16" s="1"/>
  <c r="I1299" i="16"/>
  <c r="AC1298" i="16"/>
  <c r="AA1298" i="16"/>
  <c r="AB1298" i="16" s="1"/>
  <c r="Q1298" i="16"/>
  <c r="P1298" i="16"/>
  <c r="N1298" i="16"/>
  <c r="L1298" i="16"/>
  <c r="M1298" i="16" s="1"/>
  <c r="J1298" i="16"/>
  <c r="K1298" i="16" s="1"/>
  <c r="I1298" i="16"/>
  <c r="AC1297" i="16"/>
  <c r="AA1297" i="16"/>
  <c r="AB1297" i="16" s="1"/>
  <c r="Q1297" i="16"/>
  <c r="P1297" i="16"/>
  <c r="N1297" i="16"/>
  <c r="L1297" i="16"/>
  <c r="M1297" i="16" s="1"/>
  <c r="J1297" i="16"/>
  <c r="K1297" i="16" s="1"/>
  <c r="I1297" i="16"/>
  <c r="AC1296" i="16"/>
  <c r="AA1296" i="16"/>
  <c r="AB1296" i="16" s="1"/>
  <c r="Q1296" i="16"/>
  <c r="P1296" i="16"/>
  <c r="N1296" i="16"/>
  <c r="L1296" i="16"/>
  <c r="M1296" i="16" s="1"/>
  <c r="J1296" i="16"/>
  <c r="K1296" i="16" s="1"/>
  <c r="I1296" i="16"/>
  <c r="AC1295" i="16"/>
  <c r="AA1295" i="16"/>
  <c r="AB1295" i="16" s="1"/>
  <c r="Q1295" i="16"/>
  <c r="P1295" i="16"/>
  <c r="N1295" i="16"/>
  <c r="L1295" i="16"/>
  <c r="M1295" i="16" s="1"/>
  <c r="J1295" i="16"/>
  <c r="K1295" i="16" s="1"/>
  <c r="I1295" i="16"/>
  <c r="AC1294" i="16"/>
  <c r="AA1294" i="16"/>
  <c r="AB1294" i="16" s="1"/>
  <c r="Q1294" i="16"/>
  <c r="P1294" i="16"/>
  <c r="N1294" i="16"/>
  <c r="L1294" i="16"/>
  <c r="M1294" i="16" s="1"/>
  <c r="J1294" i="16"/>
  <c r="K1294" i="16" s="1"/>
  <c r="I1294" i="16"/>
  <c r="AC1293" i="16"/>
  <c r="AA1293" i="16"/>
  <c r="AB1293" i="16" s="1"/>
  <c r="Q1293" i="16"/>
  <c r="P1293" i="16"/>
  <c r="N1293" i="16"/>
  <c r="L1293" i="16"/>
  <c r="M1293" i="16" s="1"/>
  <c r="J1293" i="16"/>
  <c r="K1293" i="16" s="1"/>
  <c r="I1293" i="16"/>
  <c r="AC1292" i="16"/>
  <c r="AA1292" i="16"/>
  <c r="AB1292" i="16" s="1"/>
  <c r="Q1292" i="16"/>
  <c r="P1292" i="16"/>
  <c r="N1292" i="16"/>
  <c r="L1292" i="16"/>
  <c r="M1292" i="16" s="1"/>
  <c r="J1292" i="16"/>
  <c r="K1292" i="16" s="1"/>
  <c r="I1292" i="16"/>
  <c r="AC1291" i="16"/>
  <c r="AA1291" i="16"/>
  <c r="AB1291" i="16" s="1"/>
  <c r="Q1291" i="16"/>
  <c r="P1291" i="16"/>
  <c r="N1291" i="16"/>
  <c r="L1291" i="16"/>
  <c r="M1291" i="16" s="1"/>
  <c r="J1291" i="16"/>
  <c r="K1291" i="16" s="1"/>
  <c r="I1291" i="16"/>
  <c r="AC1290" i="16"/>
  <c r="AA1290" i="16"/>
  <c r="AB1290" i="16" s="1"/>
  <c r="Q1290" i="16"/>
  <c r="P1290" i="16"/>
  <c r="N1290" i="16"/>
  <c r="L1290" i="16"/>
  <c r="M1290" i="16" s="1"/>
  <c r="J1290" i="16"/>
  <c r="K1290" i="16" s="1"/>
  <c r="I1290" i="16"/>
  <c r="AC1289" i="16"/>
  <c r="AA1289" i="16"/>
  <c r="AB1289" i="16" s="1"/>
  <c r="Q1289" i="16"/>
  <c r="P1289" i="16"/>
  <c r="N1289" i="16"/>
  <c r="L1289" i="16"/>
  <c r="M1289" i="16" s="1"/>
  <c r="J1289" i="16"/>
  <c r="K1289" i="16" s="1"/>
  <c r="I1289" i="16"/>
  <c r="AC1288" i="16"/>
  <c r="AA1288" i="16"/>
  <c r="AB1288" i="16" s="1"/>
  <c r="Q1288" i="16"/>
  <c r="P1288" i="16"/>
  <c r="N1288" i="16"/>
  <c r="L1288" i="16"/>
  <c r="M1288" i="16" s="1"/>
  <c r="J1288" i="16"/>
  <c r="K1288" i="16" s="1"/>
  <c r="I1288" i="16"/>
  <c r="AC1287" i="16"/>
  <c r="AA1287" i="16"/>
  <c r="AB1287" i="16" s="1"/>
  <c r="Q1287" i="16"/>
  <c r="P1287" i="16"/>
  <c r="N1287" i="16"/>
  <c r="L1287" i="16"/>
  <c r="M1287" i="16" s="1"/>
  <c r="J1287" i="16"/>
  <c r="K1287" i="16" s="1"/>
  <c r="I1287" i="16"/>
  <c r="AC1286" i="16"/>
  <c r="AA1286" i="16"/>
  <c r="AB1286" i="16" s="1"/>
  <c r="Q1286" i="16"/>
  <c r="P1286" i="16"/>
  <c r="N1286" i="16"/>
  <c r="L1286" i="16"/>
  <c r="M1286" i="16" s="1"/>
  <c r="J1286" i="16"/>
  <c r="K1286" i="16" s="1"/>
  <c r="I1286" i="16"/>
  <c r="AC1285" i="16"/>
  <c r="AA1285" i="16"/>
  <c r="AB1285" i="16" s="1"/>
  <c r="Q1285" i="16"/>
  <c r="P1285" i="16"/>
  <c r="N1285" i="16"/>
  <c r="L1285" i="16"/>
  <c r="M1285" i="16" s="1"/>
  <c r="J1285" i="16"/>
  <c r="K1285" i="16" s="1"/>
  <c r="I1285" i="16"/>
  <c r="AC1284" i="16"/>
  <c r="AA1284" i="16"/>
  <c r="AB1284" i="16" s="1"/>
  <c r="Q1284" i="16"/>
  <c r="P1284" i="16"/>
  <c r="N1284" i="16"/>
  <c r="L1284" i="16"/>
  <c r="M1284" i="16" s="1"/>
  <c r="J1284" i="16"/>
  <c r="K1284" i="16" s="1"/>
  <c r="I1284" i="16"/>
  <c r="AC1283" i="16"/>
  <c r="AA1283" i="16"/>
  <c r="AB1283" i="16" s="1"/>
  <c r="Q1283" i="16"/>
  <c r="P1283" i="16"/>
  <c r="N1283" i="16"/>
  <c r="L1283" i="16"/>
  <c r="M1283" i="16" s="1"/>
  <c r="J1283" i="16"/>
  <c r="K1283" i="16" s="1"/>
  <c r="I1283" i="16"/>
  <c r="AC1282" i="16"/>
  <c r="AA1282" i="16"/>
  <c r="AB1282" i="16" s="1"/>
  <c r="Q1282" i="16"/>
  <c r="P1282" i="16"/>
  <c r="N1282" i="16"/>
  <c r="L1282" i="16"/>
  <c r="M1282" i="16" s="1"/>
  <c r="J1282" i="16"/>
  <c r="K1282" i="16" s="1"/>
  <c r="I1282" i="16"/>
  <c r="AC1281" i="16"/>
  <c r="AA1281" i="16"/>
  <c r="AB1281" i="16" s="1"/>
  <c r="Q1281" i="16"/>
  <c r="P1281" i="16"/>
  <c r="N1281" i="16"/>
  <c r="L1281" i="16"/>
  <c r="M1281" i="16" s="1"/>
  <c r="J1281" i="16"/>
  <c r="K1281" i="16" s="1"/>
  <c r="I1281" i="16"/>
  <c r="AC1280" i="16"/>
  <c r="AA1280" i="16"/>
  <c r="AB1280" i="16" s="1"/>
  <c r="Q1280" i="16"/>
  <c r="P1280" i="16"/>
  <c r="N1280" i="16"/>
  <c r="L1280" i="16"/>
  <c r="M1280" i="16" s="1"/>
  <c r="J1280" i="16"/>
  <c r="K1280" i="16" s="1"/>
  <c r="I1280" i="16"/>
  <c r="AC1279" i="16"/>
  <c r="AA1279" i="16"/>
  <c r="AB1279" i="16" s="1"/>
  <c r="Q1279" i="16"/>
  <c r="P1279" i="16"/>
  <c r="N1279" i="16"/>
  <c r="L1279" i="16"/>
  <c r="M1279" i="16" s="1"/>
  <c r="J1279" i="16"/>
  <c r="K1279" i="16" s="1"/>
  <c r="I1279" i="16"/>
  <c r="AC1278" i="16"/>
  <c r="AA1278" i="16"/>
  <c r="AB1278" i="16" s="1"/>
  <c r="Q1278" i="16"/>
  <c r="P1278" i="16"/>
  <c r="N1278" i="16"/>
  <c r="L1278" i="16"/>
  <c r="M1278" i="16" s="1"/>
  <c r="J1278" i="16"/>
  <c r="K1278" i="16" s="1"/>
  <c r="I1278" i="16"/>
  <c r="AC1277" i="16"/>
  <c r="AA1277" i="16"/>
  <c r="AB1277" i="16" s="1"/>
  <c r="Q1277" i="16"/>
  <c r="P1277" i="16"/>
  <c r="N1277" i="16"/>
  <c r="L1277" i="16"/>
  <c r="M1277" i="16" s="1"/>
  <c r="J1277" i="16"/>
  <c r="K1277" i="16" s="1"/>
  <c r="I1277" i="16"/>
  <c r="AC1276" i="16"/>
  <c r="AA1276" i="16"/>
  <c r="AB1276" i="16" s="1"/>
  <c r="Q1276" i="16"/>
  <c r="P1276" i="16"/>
  <c r="N1276" i="16"/>
  <c r="L1276" i="16"/>
  <c r="M1276" i="16" s="1"/>
  <c r="J1276" i="16"/>
  <c r="K1276" i="16" s="1"/>
  <c r="I1276" i="16"/>
  <c r="AC1275" i="16"/>
  <c r="AA1275" i="16"/>
  <c r="AB1275" i="16" s="1"/>
  <c r="Q1275" i="16"/>
  <c r="P1275" i="16"/>
  <c r="N1275" i="16"/>
  <c r="L1275" i="16"/>
  <c r="M1275" i="16" s="1"/>
  <c r="J1275" i="16"/>
  <c r="K1275" i="16" s="1"/>
  <c r="I1275" i="16"/>
  <c r="AC1274" i="16"/>
  <c r="AA1274" i="16"/>
  <c r="AB1274" i="16" s="1"/>
  <c r="Q1274" i="16"/>
  <c r="P1274" i="16"/>
  <c r="N1274" i="16"/>
  <c r="L1274" i="16"/>
  <c r="M1274" i="16" s="1"/>
  <c r="J1274" i="16"/>
  <c r="K1274" i="16" s="1"/>
  <c r="I1274" i="16"/>
  <c r="AC1273" i="16"/>
  <c r="AA1273" i="16"/>
  <c r="AB1273" i="16" s="1"/>
  <c r="Q1273" i="16"/>
  <c r="P1273" i="16"/>
  <c r="N1273" i="16"/>
  <c r="L1273" i="16"/>
  <c r="M1273" i="16" s="1"/>
  <c r="J1273" i="16"/>
  <c r="K1273" i="16" s="1"/>
  <c r="I1273" i="16"/>
  <c r="AC1272" i="16"/>
  <c r="AA1272" i="16"/>
  <c r="AB1272" i="16" s="1"/>
  <c r="Q1272" i="16"/>
  <c r="P1272" i="16"/>
  <c r="N1272" i="16"/>
  <c r="L1272" i="16"/>
  <c r="M1272" i="16" s="1"/>
  <c r="J1272" i="16"/>
  <c r="K1272" i="16" s="1"/>
  <c r="I1272" i="16"/>
  <c r="AC1271" i="16"/>
  <c r="AA1271" i="16"/>
  <c r="AB1271" i="16" s="1"/>
  <c r="Q1271" i="16"/>
  <c r="P1271" i="16"/>
  <c r="N1271" i="16"/>
  <c r="L1271" i="16"/>
  <c r="M1271" i="16" s="1"/>
  <c r="J1271" i="16"/>
  <c r="K1271" i="16" s="1"/>
  <c r="I1271" i="16"/>
  <c r="AC1270" i="16"/>
  <c r="AA1270" i="16"/>
  <c r="AB1270" i="16" s="1"/>
  <c r="Q1270" i="16"/>
  <c r="P1270" i="16"/>
  <c r="N1270" i="16"/>
  <c r="L1270" i="16"/>
  <c r="M1270" i="16" s="1"/>
  <c r="J1270" i="16"/>
  <c r="K1270" i="16" s="1"/>
  <c r="I1270" i="16"/>
  <c r="AC1269" i="16"/>
  <c r="AA1269" i="16"/>
  <c r="AB1269" i="16" s="1"/>
  <c r="Q1269" i="16"/>
  <c r="P1269" i="16"/>
  <c r="N1269" i="16"/>
  <c r="L1269" i="16"/>
  <c r="M1269" i="16" s="1"/>
  <c r="J1269" i="16"/>
  <c r="K1269" i="16" s="1"/>
  <c r="I1269" i="16"/>
  <c r="AC1268" i="16"/>
  <c r="AA1268" i="16"/>
  <c r="AB1268" i="16" s="1"/>
  <c r="Q1268" i="16"/>
  <c r="P1268" i="16"/>
  <c r="N1268" i="16"/>
  <c r="L1268" i="16"/>
  <c r="M1268" i="16" s="1"/>
  <c r="J1268" i="16"/>
  <c r="K1268" i="16" s="1"/>
  <c r="I1268" i="16"/>
  <c r="AC1267" i="16"/>
  <c r="AA1267" i="16"/>
  <c r="AB1267" i="16" s="1"/>
  <c r="Q1267" i="16"/>
  <c r="P1267" i="16"/>
  <c r="N1267" i="16"/>
  <c r="L1267" i="16"/>
  <c r="M1267" i="16" s="1"/>
  <c r="J1267" i="16"/>
  <c r="K1267" i="16" s="1"/>
  <c r="I1267" i="16"/>
  <c r="AC1266" i="16"/>
  <c r="AA1266" i="16"/>
  <c r="AB1266" i="16" s="1"/>
  <c r="Q1266" i="16"/>
  <c r="P1266" i="16"/>
  <c r="N1266" i="16"/>
  <c r="L1266" i="16"/>
  <c r="M1266" i="16" s="1"/>
  <c r="J1266" i="16"/>
  <c r="K1266" i="16" s="1"/>
  <c r="I1266" i="16"/>
  <c r="AC1265" i="16"/>
  <c r="AA1265" i="16"/>
  <c r="AB1265" i="16" s="1"/>
  <c r="Q1265" i="16"/>
  <c r="P1265" i="16"/>
  <c r="N1265" i="16"/>
  <c r="L1265" i="16"/>
  <c r="M1265" i="16" s="1"/>
  <c r="J1265" i="16"/>
  <c r="K1265" i="16" s="1"/>
  <c r="I1265" i="16"/>
  <c r="AC1264" i="16"/>
  <c r="AA1264" i="16"/>
  <c r="AB1264" i="16" s="1"/>
  <c r="Q1264" i="16"/>
  <c r="P1264" i="16"/>
  <c r="N1264" i="16"/>
  <c r="L1264" i="16"/>
  <c r="M1264" i="16" s="1"/>
  <c r="J1264" i="16"/>
  <c r="K1264" i="16" s="1"/>
  <c r="I1264" i="16"/>
  <c r="AC1263" i="16"/>
  <c r="AA1263" i="16"/>
  <c r="AB1263" i="16" s="1"/>
  <c r="Q1263" i="16"/>
  <c r="P1263" i="16"/>
  <c r="N1263" i="16"/>
  <c r="L1263" i="16"/>
  <c r="M1263" i="16" s="1"/>
  <c r="J1263" i="16"/>
  <c r="K1263" i="16" s="1"/>
  <c r="I1263" i="16"/>
  <c r="AC1262" i="16"/>
  <c r="AA1262" i="16"/>
  <c r="AB1262" i="16" s="1"/>
  <c r="Q1262" i="16"/>
  <c r="P1262" i="16"/>
  <c r="N1262" i="16"/>
  <c r="L1262" i="16"/>
  <c r="M1262" i="16" s="1"/>
  <c r="J1262" i="16"/>
  <c r="K1262" i="16" s="1"/>
  <c r="I1262" i="16"/>
  <c r="AC1261" i="16"/>
  <c r="AA1261" i="16"/>
  <c r="AB1261" i="16" s="1"/>
  <c r="Q1261" i="16"/>
  <c r="P1261" i="16"/>
  <c r="N1261" i="16"/>
  <c r="L1261" i="16"/>
  <c r="M1261" i="16" s="1"/>
  <c r="J1261" i="16"/>
  <c r="K1261" i="16" s="1"/>
  <c r="I1261" i="16"/>
  <c r="AA1260" i="16"/>
  <c r="AB1260" i="16" s="1"/>
  <c r="P1260" i="16"/>
  <c r="N1260" i="16"/>
  <c r="L1260" i="16"/>
  <c r="M1260" i="16" s="1"/>
  <c r="J1260" i="16"/>
  <c r="K1260" i="16" s="1"/>
  <c r="I1260" i="16"/>
  <c r="AA1259" i="16"/>
  <c r="AB1259" i="16" s="1"/>
  <c r="P1259" i="16"/>
  <c r="N1259" i="16"/>
  <c r="L1259" i="16"/>
  <c r="M1259" i="16" s="1"/>
  <c r="J1259" i="16"/>
  <c r="K1259" i="16" s="1"/>
  <c r="I1259" i="16"/>
  <c r="AA1258" i="16"/>
  <c r="AB1258" i="16" s="1"/>
  <c r="P1258" i="16"/>
  <c r="N1258" i="16"/>
  <c r="L1258" i="16"/>
  <c r="M1258" i="16" s="1"/>
  <c r="J1258" i="16"/>
  <c r="K1258" i="16" s="1"/>
  <c r="I1258" i="16"/>
  <c r="AA1257" i="16"/>
  <c r="AB1257" i="16" s="1"/>
  <c r="P1257" i="16"/>
  <c r="N1257" i="16"/>
  <c r="L1257" i="16"/>
  <c r="M1257" i="16" s="1"/>
  <c r="J1257" i="16"/>
  <c r="K1257" i="16" s="1"/>
  <c r="I1257" i="16"/>
  <c r="AA1256" i="16"/>
  <c r="AB1256" i="16" s="1"/>
  <c r="P1256" i="16"/>
  <c r="N1256" i="16"/>
  <c r="L1256" i="16"/>
  <c r="M1256" i="16" s="1"/>
  <c r="J1256" i="16"/>
  <c r="K1256" i="16" s="1"/>
  <c r="I1256" i="16"/>
  <c r="AA1255" i="16"/>
  <c r="AB1255" i="16" s="1"/>
  <c r="P1255" i="16"/>
  <c r="N1255" i="16"/>
  <c r="L1255" i="16"/>
  <c r="M1255" i="16" s="1"/>
  <c r="J1255" i="16"/>
  <c r="K1255" i="16" s="1"/>
  <c r="I1255" i="16"/>
  <c r="AA1254" i="16"/>
  <c r="AB1254" i="16" s="1"/>
  <c r="P1254" i="16"/>
  <c r="N1254" i="16"/>
  <c r="L1254" i="16"/>
  <c r="M1254" i="16" s="1"/>
  <c r="J1254" i="16"/>
  <c r="K1254" i="16" s="1"/>
  <c r="I1254" i="16"/>
  <c r="AA1253" i="16"/>
  <c r="AB1253" i="16" s="1"/>
  <c r="P1253" i="16"/>
  <c r="N1253" i="16"/>
  <c r="L1253" i="16"/>
  <c r="M1253" i="16" s="1"/>
  <c r="J1253" i="16"/>
  <c r="K1253" i="16" s="1"/>
  <c r="I1253" i="16"/>
  <c r="AA1252" i="16"/>
  <c r="AB1252" i="16" s="1"/>
  <c r="P1252" i="16"/>
  <c r="N1252" i="16"/>
  <c r="L1252" i="16"/>
  <c r="M1252" i="16" s="1"/>
  <c r="J1252" i="16"/>
  <c r="K1252" i="16" s="1"/>
  <c r="I1252" i="16"/>
  <c r="AA1251" i="16"/>
  <c r="AB1251" i="16" s="1"/>
  <c r="P1251" i="16"/>
  <c r="N1251" i="16"/>
  <c r="L1251" i="16"/>
  <c r="M1251" i="16" s="1"/>
  <c r="J1251" i="16"/>
  <c r="K1251" i="16" s="1"/>
  <c r="I1251" i="16"/>
  <c r="AA1250" i="16"/>
  <c r="AB1250" i="16" s="1"/>
  <c r="P1250" i="16"/>
  <c r="N1250" i="16"/>
  <c r="L1250" i="16"/>
  <c r="M1250" i="16" s="1"/>
  <c r="J1250" i="16"/>
  <c r="K1250" i="16" s="1"/>
  <c r="I1250" i="16"/>
  <c r="AA1249" i="16"/>
  <c r="AB1249" i="16" s="1"/>
  <c r="P1249" i="16"/>
  <c r="N1249" i="16"/>
  <c r="L1249" i="16"/>
  <c r="M1249" i="16" s="1"/>
  <c r="J1249" i="16"/>
  <c r="K1249" i="16" s="1"/>
  <c r="I1249" i="16"/>
  <c r="AA1248" i="16"/>
  <c r="AB1248" i="16" s="1"/>
  <c r="P1248" i="16"/>
  <c r="N1248" i="16"/>
  <c r="L1248" i="16"/>
  <c r="M1248" i="16" s="1"/>
  <c r="J1248" i="16"/>
  <c r="K1248" i="16" s="1"/>
  <c r="I1248" i="16"/>
  <c r="AA1247" i="16"/>
  <c r="AB1247" i="16" s="1"/>
  <c r="P1247" i="16"/>
  <c r="N1247" i="16"/>
  <c r="L1247" i="16"/>
  <c r="M1247" i="16" s="1"/>
  <c r="J1247" i="16"/>
  <c r="K1247" i="16" s="1"/>
  <c r="I1247" i="16"/>
  <c r="AC1246" i="16"/>
  <c r="AA1246" i="16"/>
  <c r="AB1246" i="16" s="1"/>
  <c r="T1246" i="16"/>
  <c r="AE1246" i="16" s="1"/>
  <c r="R1246" i="16"/>
  <c r="Q1246" i="16"/>
  <c r="P1246" i="16"/>
  <c r="N1246" i="16"/>
  <c r="L1246" i="16"/>
  <c r="M1246" i="16" s="1"/>
  <c r="K1246" i="16"/>
  <c r="J1246" i="16"/>
  <c r="I1246" i="16"/>
  <c r="AC1245" i="16"/>
  <c r="AA1245" i="16"/>
  <c r="AB1245" i="16" s="1"/>
  <c r="Q1245" i="16"/>
  <c r="P1245" i="16"/>
  <c r="N1245" i="16"/>
  <c r="L1245" i="16"/>
  <c r="M1245" i="16" s="1"/>
  <c r="J1245" i="16"/>
  <c r="K1245" i="16" s="1"/>
  <c r="I1245" i="16"/>
  <c r="AC1244" i="16"/>
  <c r="AA1244" i="16"/>
  <c r="AB1244" i="16" s="1"/>
  <c r="Q1244" i="16"/>
  <c r="P1244" i="16"/>
  <c r="N1244" i="16"/>
  <c r="L1244" i="16"/>
  <c r="M1244" i="16" s="1"/>
  <c r="J1244" i="16"/>
  <c r="K1244" i="16" s="1"/>
  <c r="I1244" i="16"/>
  <c r="AC1243" i="16"/>
  <c r="AA1243" i="16"/>
  <c r="AB1243" i="16" s="1"/>
  <c r="Q1243" i="16"/>
  <c r="P1243" i="16"/>
  <c r="N1243" i="16"/>
  <c r="L1243" i="16"/>
  <c r="M1243" i="16" s="1"/>
  <c r="J1243" i="16"/>
  <c r="K1243" i="16" s="1"/>
  <c r="I1243" i="16"/>
  <c r="AC1242" i="16"/>
  <c r="AA1242" i="16"/>
  <c r="AB1242" i="16" s="1"/>
  <c r="Q1242" i="16"/>
  <c r="P1242" i="16"/>
  <c r="N1242" i="16"/>
  <c r="L1242" i="16"/>
  <c r="M1242" i="16" s="1"/>
  <c r="J1242" i="16"/>
  <c r="K1242" i="16" s="1"/>
  <c r="I1242" i="16"/>
  <c r="AC1241" i="16"/>
  <c r="AA1241" i="16"/>
  <c r="AB1241" i="16" s="1"/>
  <c r="Q1241" i="16"/>
  <c r="P1241" i="16"/>
  <c r="N1241" i="16"/>
  <c r="L1241" i="16"/>
  <c r="M1241" i="16" s="1"/>
  <c r="J1241" i="16"/>
  <c r="K1241" i="16" s="1"/>
  <c r="I1241" i="16"/>
  <c r="AC1240" i="16"/>
  <c r="AA1240" i="16"/>
  <c r="AB1240" i="16" s="1"/>
  <c r="Q1240" i="16"/>
  <c r="P1240" i="16"/>
  <c r="N1240" i="16"/>
  <c r="L1240" i="16"/>
  <c r="M1240" i="16" s="1"/>
  <c r="J1240" i="16"/>
  <c r="K1240" i="16" s="1"/>
  <c r="I1240" i="16"/>
  <c r="AC1239" i="16"/>
  <c r="AA1239" i="16"/>
  <c r="AB1239" i="16" s="1"/>
  <c r="T1239" i="16"/>
  <c r="AE1239" i="16" s="1"/>
  <c r="R1239" i="16"/>
  <c r="Q1239" i="16"/>
  <c r="P1239" i="16"/>
  <c r="N1239" i="16"/>
  <c r="L1239" i="16"/>
  <c r="M1239" i="16" s="1"/>
  <c r="K1239" i="16"/>
  <c r="J1239" i="16"/>
  <c r="I1239" i="16"/>
  <c r="AC1238" i="16"/>
  <c r="AA1238" i="16"/>
  <c r="AB1238" i="16" s="1"/>
  <c r="Q1238" i="16"/>
  <c r="P1238" i="16"/>
  <c r="N1238" i="16"/>
  <c r="L1238" i="16"/>
  <c r="M1238" i="16" s="1"/>
  <c r="J1238" i="16"/>
  <c r="K1238" i="16" s="1"/>
  <c r="I1238" i="16"/>
  <c r="AC1237" i="16"/>
  <c r="AA1237" i="16"/>
  <c r="AB1237" i="16" s="1"/>
  <c r="Q1237" i="16"/>
  <c r="P1237" i="16"/>
  <c r="N1237" i="16"/>
  <c r="L1237" i="16"/>
  <c r="M1237" i="16" s="1"/>
  <c r="J1237" i="16"/>
  <c r="K1237" i="16" s="1"/>
  <c r="I1237" i="16"/>
  <c r="AC1236" i="16"/>
  <c r="AA1236" i="16"/>
  <c r="AB1236" i="16" s="1"/>
  <c r="Q1236" i="16"/>
  <c r="P1236" i="16"/>
  <c r="N1236" i="16"/>
  <c r="L1236" i="16"/>
  <c r="M1236" i="16" s="1"/>
  <c r="J1236" i="16"/>
  <c r="K1236" i="16" s="1"/>
  <c r="I1236" i="16"/>
  <c r="AC1235" i="16"/>
  <c r="AA1235" i="16"/>
  <c r="AB1235" i="16" s="1"/>
  <c r="Q1235" i="16"/>
  <c r="P1235" i="16"/>
  <c r="N1235" i="16"/>
  <c r="L1235" i="16"/>
  <c r="M1235" i="16" s="1"/>
  <c r="J1235" i="16"/>
  <c r="K1235" i="16" s="1"/>
  <c r="I1235" i="16"/>
  <c r="AC1234" i="16"/>
  <c r="AA1234" i="16"/>
  <c r="AB1234" i="16" s="1"/>
  <c r="Q1234" i="16"/>
  <c r="P1234" i="16"/>
  <c r="N1234" i="16"/>
  <c r="L1234" i="16"/>
  <c r="M1234" i="16" s="1"/>
  <c r="J1234" i="16"/>
  <c r="K1234" i="16" s="1"/>
  <c r="I1234" i="16"/>
  <c r="AC1233" i="16"/>
  <c r="AA1233" i="16"/>
  <c r="AB1233" i="16" s="1"/>
  <c r="Q1233" i="16"/>
  <c r="P1233" i="16"/>
  <c r="N1233" i="16"/>
  <c r="L1233" i="16"/>
  <c r="M1233" i="16" s="1"/>
  <c r="J1233" i="16"/>
  <c r="K1233" i="16" s="1"/>
  <c r="I1233" i="16"/>
  <c r="AC1232" i="16"/>
  <c r="AA1232" i="16"/>
  <c r="AB1232" i="16" s="1"/>
  <c r="Q1232" i="16"/>
  <c r="P1232" i="16"/>
  <c r="N1232" i="16"/>
  <c r="L1232" i="16"/>
  <c r="M1232" i="16" s="1"/>
  <c r="J1232" i="16"/>
  <c r="K1232" i="16" s="1"/>
  <c r="I1232" i="16"/>
  <c r="AC1231" i="16"/>
  <c r="AA1231" i="16"/>
  <c r="AB1231" i="16" s="1"/>
  <c r="Q1231" i="16"/>
  <c r="P1231" i="16"/>
  <c r="N1231" i="16"/>
  <c r="L1231" i="16"/>
  <c r="M1231" i="16" s="1"/>
  <c r="J1231" i="16"/>
  <c r="K1231" i="16" s="1"/>
  <c r="I1231" i="16"/>
  <c r="AC1230" i="16"/>
  <c r="AA1230" i="16"/>
  <c r="AB1230" i="16" s="1"/>
  <c r="Q1230" i="16"/>
  <c r="P1230" i="16"/>
  <c r="N1230" i="16"/>
  <c r="L1230" i="16"/>
  <c r="M1230" i="16" s="1"/>
  <c r="J1230" i="16"/>
  <c r="K1230" i="16" s="1"/>
  <c r="I1230" i="16"/>
  <c r="AC1229" i="16"/>
  <c r="AA1229" i="16"/>
  <c r="AB1229" i="16" s="1"/>
  <c r="Q1229" i="16"/>
  <c r="P1229" i="16"/>
  <c r="N1229" i="16"/>
  <c r="L1229" i="16"/>
  <c r="M1229" i="16" s="1"/>
  <c r="J1229" i="16"/>
  <c r="K1229" i="16" s="1"/>
  <c r="I1229" i="16"/>
  <c r="AC1228" i="16"/>
  <c r="AA1228" i="16"/>
  <c r="AB1228" i="16" s="1"/>
  <c r="Q1228" i="16"/>
  <c r="P1228" i="16"/>
  <c r="N1228" i="16"/>
  <c r="L1228" i="16"/>
  <c r="M1228" i="16" s="1"/>
  <c r="J1228" i="16"/>
  <c r="K1228" i="16" s="1"/>
  <c r="I1228" i="16"/>
  <c r="AC1227" i="16"/>
  <c r="AA1227" i="16"/>
  <c r="AB1227" i="16" s="1"/>
  <c r="Q1227" i="16"/>
  <c r="P1227" i="16"/>
  <c r="N1227" i="16"/>
  <c r="L1227" i="16"/>
  <c r="M1227" i="16" s="1"/>
  <c r="J1227" i="16"/>
  <c r="K1227" i="16" s="1"/>
  <c r="I1227" i="16"/>
  <c r="AC1226" i="16"/>
  <c r="AA1226" i="16"/>
  <c r="AB1226" i="16" s="1"/>
  <c r="Q1226" i="16"/>
  <c r="P1226" i="16"/>
  <c r="N1226" i="16"/>
  <c r="L1226" i="16"/>
  <c r="M1226" i="16" s="1"/>
  <c r="J1226" i="16"/>
  <c r="K1226" i="16" s="1"/>
  <c r="I1226" i="16"/>
  <c r="AC1225" i="16"/>
  <c r="AA1225" i="16"/>
  <c r="AB1225" i="16" s="1"/>
  <c r="Q1225" i="16"/>
  <c r="P1225" i="16"/>
  <c r="N1225" i="16"/>
  <c r="L1225" i="16"/>
  <c r="M1225" i="16" s="1"/>
  <c r="J1225" i="16"/>
  <c r="K1225" i="16" s="1"/>
  <c r="I1225" i="16"/>
  <c r="AC1224" i="16"/>
  <c r="AA1224" i="16"/>
  <c r="AB1224" i="16" s="1"/>
  <c r="Q1224" i="16"/>
  <c r="P1224" i="16"/>
  <c r="N1224" i="16"/>
  <c r="L1224" i="16"/>
  <c r="M1224" i="16" s="1"/>
  <c r="J1224" i="16"/>
  <c r="K1224" i="16" s="1"/>
  <c r="I1224" i="16"/>
  <c r="AC1223" i="16"/>
  <c r="AA1223" i="16"/>
  <c r="AB1223" i="16" s="1"/>
  <c r="Q1223" i="16"/>
  <c r="P1223" i="16"/>
  <c r="N1223" i="16"/>
  <c r="L1223" i="16"/>
  <c r="M1223" i="16" s="1"/>
  <c r="J1223" i="16"/>
  <c r="K1223" i="16" s="1"/>
  <c r="I1223" i="16"/>
  <c r="AC1222" i="16"/>
  <c r="AA1222" i="16"/>
  <c r="AB1222" i="16" s="1"/>
  <c r="Q1222" i="16"/>
  <c r="P1222" i="16"/>
  <c r="N1222" i="16"/>
  <c r="L1222" i="16"/>
  <c r="M1222" i="16" s="1"/>
  <c r="J1222" i="16"/>
  <c r="K1222" i="16" s="1"/>
  <c r="I1222" i="16"/>
  <c r="AC1221" i="16"/>
  <c r="AA1221" i="16"/>
  <c r="AB1221" i="16" s="1"/>
  <c r="Q1221" i="16"/>
  <c r="P1221" i="16"/>
  <c r="N1221" i="16"/>
  <c r="L1221" i="16"/>
  <c r="M1221" i="16" s="1"/>
  <c r="J1221" i="16"/>
  <c r="K1221" i="16" s="1"/>
  <c r="I1221" i="16"/>
  <c r="AC1220" i="16"/>
  <c r="AA1220" i="16"/>
  <c r="AB1220" i="16" s="1"/>
  <c r="Q1220" i="16"/>
  <c r="P1220" i="16"/>
  <c r="N1220" i="16"/>
  <c r="L1220" i="16"/>
  <c r="M1220" i="16" s="1"/>
  <c r="J1220" i="16"/>
  <c r="K1220" i="16" s="1"/>
  <c r="I1220" i="16"/>
  <c r="AC1219" i="16"/>
  <c r="AA1219" i="16"/>
  <c r="AB1219" i="16" s="1"/>
  <c r="Q1219" i="16"/>
  <c r="P1219" i="16"/>
  <c r="N1219" i="16"/>
  <c r="L1219" i="16"/>
  <c r="M1219" i="16" s="1"/>
  <c r="J1219" i="16"/>
  <c r="K1219" i="16" s="1"/>
  <c r="I1219" i="16"/>
  <c r="AC1218" i="16"/>
  <c r="AA1218" i="16"/>
  <c r="AB1218" i="16" s="1"/>
  <c r="Q1218" i="16"/>
  <c r="P1218" i="16"/>
  <c r="N1218" i="16"/>
  <c r="L1218" i="16"/>
  <c r="M1218" i="16" s="1"/>
  <c r="J1218" i="16"/>
  <c r="K1218" i="16" s="1"/>
  <c r="I1218" i="16"/>
  <c r="AC1217" i="16"/>
  <c r="AA1217" i="16"/>
  <c r="AB1217" i="16" s="1"/>
  <c r="Q1217" i="16"/>
  <c r="P1217" i="16"/>
  <c r="N1217" i="16"/>
  <c r="L1217" i="16"/>
  <c r="M1217" i="16" s="1"/>
  <c r="J1217" i="16"/>
  <c r="K1217" i="16" s="1"/>
  <c r="I1217" i="16"/>
  <c r="AC1216" i="16"/>
  <c r="AA1216" i="16"/>
  <c r="AB1216" i="16" s="1"/>
  <c r="Q1216" i="16"/>
  <c r="P1216" i="16"/>
  <c r="N1216" i="16"/>
  <c r="L1216" i="16"/>
  <c r="M1216" i="16" s="1"/>
  <c r="J1216" i="16"/>
  <c r="K1216" i="16" s="1"/>
  <c r="I1216" i="16"/>
  <c r="AC1215" i="16"/>
  <c r="AA1215" i="16"/>
  <c r="AB1215" i="16" s="1"/>
  <c r="Q1215" i="16"/>
  <c r="P1215" i="16"/>
  <c r="N1215" i="16"/>
  <c r="L1215" i="16"/>
  <c r="M1215" i="16" s="1"/>
  <c r="J1215" i="16"/>
  <c r="K1215" i="16" s="1"/>
  <c r="I1215" i="16"/>
  <c r="AC1214" i="16"/>
  <c r="AA1214" i="16"/>
  <c r="AB1214" i="16" s="1"/>
  <c r="Q1214" i="16"/>
  <c r="P1214" i="16"/>
  <c r="N1214" i="16"/>
  <c r="L1214" i="16"/>
  <c r="M1214" i="16" s="1"/>
  <c r="J1214" i="16"/>
  <c r="K1214" i="16" s="1"/>
  <c r="I1214" i="16"/>
  <c r="AC1213" i="16"/>
  <c r="AA1213" i="16"/>
  <c r="AB1213" i="16" s="1"/>
  <c r="Q1213" i="16"/>
  <c r="P1213" i="16"/>
  <c r="N1213" i="16"/>
  <c r="L1213" i="16"/>
  <c r="M1213" i="16" s="1"/>
  <c r="J1213" i="16"/>
  <c r="K1213" i="16" s="1"/>
  <c r="I1213" i="16"/>
  <c r="AC1212" i="16"/>
  <c r="AA1212" i="16"/>
  <c r="AB1212" i="16" s="1"/>
  <c r="Q1212" i="16"/>
  <c r="P1212" i="16"/>
  <c r="N1212" i="16"/>
  <c r="L1212" i="16"/>
  <c r="M1212" i="16" s="1"/>
  <c r="J1212" i="16"/>
  <c r="K1212" i="16" s="1"/>
  <c r="I1212" i="16"/>
  <c r="AC1211" i="16"/>
  <c r="AA1211" i="16"/>
  <c r="AB1211" i="16" s="1"/>
  <c r="Q1211" i="16"/>
  <c r="P1211" i="16"/>
  <c r="N1211" i="16"/>
  <c r="L1211" i="16"/>
  <c r="M1211" i="16" s="1"/>
  <c r="J1211" i="16"/>
  <c r="K1211" i="16" s="1"/>
  <c r="I1211" i="16"/>
  <c r="AC1210" i="16"/>
  <c r="AA1210" i="16"/>
  <c r="AB1210" i="16" s="1"/>
  <c r="Q1210" i="16"/>
  <c r="P1210" i="16"/>
  <c r="N1210" i="16"/>
  <c r="L1210" i="16"/>
  <c r="M1210" i="16" s="1"/>
  <c r="J1210" i="16"/>
  <c r="K1210" i="16" s="1"/>
  <c r="I1210" i="16"/>
  <c r="AC1209" i="16"/>
  <c r="AA1209" i="16"/>
  <c r="AB1209" i="16" s="1"/>
  <c r="Q1209" i="16"/>
  <c r="P1209" i="16"/>
  <c r="N1209" i="16"/>
  <c r="L1209" i="16"/>
  <c r="M1209" i="16" s="1"/>
  <c r="J1209" i="16"/>
  <c r="K1209" i="16" s="1"/>
  <c r="I1209" i="16"/>
  <c r="AC1208" i="16"/>
  <c r="AA1208" i="16"/>
  <c r="AB1208" i="16" s="1"/>
  <c r="Q1208" i="16"/>
  <c r="P1208" i="16"/>
  <c r="N1208" i="16"/>
  <c r="L1208" i="16"/>
  <c r="M1208" i="16" s="1"/>
  <c r="J1208" i="16"/>
  <c r="K1208" i="16" s="1"/>
  <c r="I1208" i="16"/>
  <c r="AC1207" i="16"/>
  <c r="AA1207" i="16"/>
  <c r="AB1207" i="16" s="1"/>
  <c r="Q1207" i="16"/>
  <c r="P1207" i="16"/>
  <c r="N1207" i="16"/>
  <c r="L1207" i="16"/>
  <c r="M1207" i="16" s="1"/>
  <c r="J1207" i="16"/>
  <c r="K1207" i="16" s="1"/>
  <c r="I1207" i="16"/>
  <c r="AC1206" i="16"/>
  <c r="AA1206" i="16"/>
  <c r="AB1206" i="16" s="1"/>
  <c r="Q1206" i="16"/>
  <c r="P1206" i="16"/>
  <c r="N1206" i="16"/>
  <c r="L1206" i="16"/>
  <c r="M1206" i="16" s="1"/>
  <c r="J1206" i="16"/>
  <c r="K1206" i="16" s="1"/>
  <c r="I1206" i="16"/>
  <c r="AC1205" i="16"/>
  <c r="AA1205" i="16"/>
  <c r="AB1205" i="16" s="1"/>
  <c r="Q1205" i="16"/>
  <c r="P1205" i="16"/>
  <c r="N1205" i="16"/>
  <c r="L1205" i="16"/>
  <c r="M1205" i="16" s="1"/>
  <c r="J1205" i="16"/>
  <c r="K1205" i="16" s="1"/>
  <c r="I1205" i="16"/>
  <c r="AC1204" i="16"/>
  <c r="AA1204" i="16"/>
  <c r="AB1204" i="16" s="1"/>
  <c r="Q1204" i="16"/>
  <c r="P1204" i="16"/>
  <c r="N1204" i="16"/>
  <c r="L1204" i="16"/>
  <c r="M1204" i="16" s="1"/>
  <c r="J1204" i="16"/>
  <c r="K1204" i="16" s="1"/>
  <c r="I1204" i="16"/>
  <c r="AC1203" i="16"/>
  <c r="AA1203" i="16"/>
  <c r="AB1203" i="16" s="1"/>
  <c r="Q1203" i="16"/>
  <c r="P1203" i="16"/>
  <c r="N1203" i="16"/>
  <c r="L1203" i="16"/>
  <c r="M1203" i="16" s="1"/>
  <c r="J1203" i="16"/>
  <c r="K1203" i="16" s="1"/>
  <c r="I1203" i="16"/>
  <c r="AC1202" i="16"/>
  <c r="AA1202" i="16"/>
  <c r="AB1202" i="16" s="1"/>
  <c r="Q1202" i="16"/>
  <c r="P1202" i="16"/>
  <c r="N1202" i="16"/>
  <c r="L1202" i="16"/>
  <c r="M1202" i="16" s="1"/>
  <c r="J1202" i="16"/>
  <c r="K1202" i="16" s="1"/>
  <c r="I1202" i="16"/>
  <c r="AC1201" i="16"/>
  <c r="AA1201" i="16"/>
  <c r="AB1201" i="16" s="1"/>
  <c r="Q1201" i="16"/>
  <c r="P1201" i="16"/>
  <c r="N1201" i="16"/>
  <c r="L1201" i="16"/>
  <c r="M1201" i="16" s="1"/>
  <c r="J1201" i="16"/>
  <c r="K1201" i="16" s="1"/>
  <c r="I1201" i="16"/>
  <c r="AC1200" i="16"/>
  <c r="AA1200" i="16"/>
  <c r="AB1200" i="16" s="1"/>
  <c r="Q1200" i="16"/>
  <c r="P1200" i="16"/>
  <c r="N1200" i="16"/>
  <c r="L1200" i="16"/>
  <c r="M1200" i="16" s="1"/>
  <c r="J1200" i="16"/>
  <c r="K1200" i="16" s="1"/>
  <c r="I1200" i="16"/>
  <c r="AC1199" i="16"/>
  <c r="AA1199" i="16"/>
  <c r="AB1199" i="16" s="1"/>
  <c r="Q1199" i="16"/>
  <c r="P1199" i="16"/>
  <c r="N1199" i="16"/>
  <c r="L1199" i="16"/>
  <c r="M1199" i="16" s="1"/>
  <c r="J1199" i="16"/>
  <c r="K1199" i="16" s="1"/>
  <c r="I1199" i="16"/>
  <c r="AC1198" i="16"/>
  <c r="AA1198" i="16"/>
  <c r="AB1198" i="16" s="1"/>
  <c r="Q1198" i="16"/>
  <c r="P1198" i="16"/>
  <c r="N1198" i="16"/>
  <c r="L1198" i="16"/>
  <c r="M1198" i="16" s="1"/>
  <c r="J1198" i="16"/>
  <c r="K1198" i="16" s="1"/>
  <c r="I1198" i="16"/>
  <c r="AC1197" i="16"/>
  <c r="AA1197" i="16"/>
  <c r="AB1197" i="16" s="1"/>
  <c r="Q1197" i="16"/>
  <c r="P1197" i="16"/>
  <c r="N1197" i="16"/>
  <c r="L1197" i="16"/>
  <c r="M1197" i="16" s="1"/>
  <c r="J1197" i="16"/>
  <c r="K1197" i="16" s="1"/>
  <c r="I1197" i="16"/>
  <c r="AC1196" i="16"/>
  <c r="AA1196" i="16"/>
  <c r="AB1196" i="16" s="1"/>
  <c r="Q1196" i="16"/>
  <c r="P1196" i="16"/>
  <c r="N1196" i="16"/>
  <c r="L1196" i="16"/>
  <c r="M1196" i="16" s="1"/>
  <c r="J1196" i="16"/>
  <c r="K1196" i="16" s="1"/>
  <c r="I1196" i="16"/>
  <c r="AC1195" i="16"/>
  <c r="AA1195" i="16"/>
  <c r="AB1195" i="16" s="1"/>
  <c r="Q1195" i="16"/>
  <c r="P1195" i="16"/>
  <c r="N1195" i="16"/>
  <c r="L1195" i="16"/>
  <c r="M1195" i="16" s="1"/>
  <c r="J1195" i="16"/>
  <c r="K1195" i="16" s="1"/>
  <c r="I1195" i="16"/>
  <c r="AC1194" i="16"/>
  <c r="AA1194" i="16"/>
  <c r="AB1194" i="16" s="1"/>
  <c r="Q1194" i="16"/>
  <c r="P1194" i="16"/>
  <c r="N1194" i="16"/>
  <c r="L1194" i="16"/>
  <c r="M1194" i="16" s="1"/>
  <c r="J1194" i="16"/>
  <c r="K1194" i="16" s="1"/>
  <c r="I1194" i="16"/>
  <c r="AC1193" i="16"/>
  <c r="AA1193" i="16"/>
  <c r="AB1193" i="16" s="1"/>
  <c r="Q1193" i="16"/>
  <c r="P1193" i="16"/>
  <c r="N1193" i="16"/>
  <c r="L1193" i="16"/>
  <c r="M1193" i="16" s="1"/>
  <c r="J1193" i="16"/>
  <c r="K1193" i="16" s="1"/>
  <c r="I1193" i="16"/>
  <c r="AC1192" i="16"/>
  <c r="AA1192" i="16"/>
  <c r="AB1192" i="16" s="1"/>
  <c r="Q1192" i="16"/>
  <c r="P1192" i="16"/>
  <c r="N1192" i="16"/>
  <c r="L1192" i="16"/>
  <c r="M1192" i="16" s="1"/>
  <c r="J1192" i="16"/>
  <c r="K1192" i="16" s="1"/>
  <c r="I1192" i="16"/>
  <c r="AC1191" i="16"/>
  <c r="AA1191" i="16"/>
  <c r="AB1191" i="16" s="1"/>
  <c r="Q1191" i="16"/>
  <c r="P1191" i="16"/>
  <c r="N1191" i="16"/>
  <c r="L1191" i="16"/>
  <c r="M1191" i="16" s="1"/>
  <c r="J1191" i="16"/>
  <c r="K1191" i="16" s="1"/>
  <c r="I1191" i="16"/>
  <c r="AC1190" i="16"/>
  <c r="AA1190" i="16"/>
  <c r="AB1190" i="16" s="1"/>
  <c r="Q1190" i="16"/>
  <c r="P1190" i="16"/>
  <c r="N1190" i="16"/>
  <c r="L1190" i="16"/>
  <c r="M1190" i="16" s="1"/>
  <c r="J1190" i="16"/>
  <c r="K1190" i="16" s="1"/>
  <c r="I1190" i="16"/>
  <c r="AC1189" i="16"/>
  <c r="AA1189" i="16"/>
  <c r="AB1189" i="16" s="1"/>
  <c r="Q1189" i="16"/>
  <c r="P1189" i="16"/>
  <c r="N1189" i="16"/>
  <c r="L1189" i="16"/>
  <c r="M1189" i="16" s="1"/>
  <c r="J1189" i="16"/>
  <c r="K1189" i="16" s="1"/>
  <c r="I1189" i="16"/>
  <c r="AC1188" i="16"/>
  <c r="AA1188" i="16"/>
  <c r="AB1188" i="16" s="1"/>
  <c r="Q1188" i="16"/>
  <c r="P1188" i="16"/>
  <c r="N1188" i="16"/>
  <c r="L1188" i="16"/>
  <c r="M1188" i="16" s="1"/>
  <c r="J1188" i="16"/>
  <c r="K1188" i="16" s="1"/>
  <c r="I1188" i="16"/>
  <c r="AC1187" i="16"/>
  <c r="AA1187" i="16"/>
  <c r="AB1187" i="16" s="1"/>
  <c r="Q1187" i="16"/>
  <c r="P1187" i="16"/>
  <c r="N1187" i="16"/>
  <c r="L1187" i="16"/>
  <c r="M1187" i="16" s="1"/>
  <c r="J1187" i="16"/>
  <c r="K1187" i="16" s="1"/>
  <c r="I1187" i="16"/>
  <c r="AC1186" i="16"/>
  <c r="AA1186" i="16"/>
  <c r="AB1186" i="16" s="1"/>
  <c r="Q1186" i="16"/>
  <c r="P1186" i="16"/>
  <c r="N1186" i="16"/>
  <c r="L1186" i="16"/>
  <c r="M1186" i="16" s="1"/>
  <c r="J1186" i="16"/>
  <c r="K1186" i="16" s="1"/>
  <c r="I1186" i="16"/>
  <c r="AC1185" i="16"/>
  <c r="AA1185" i="16"/>
  <c r="AB1185" i="16" s="1"/>
  <c r="Q1185" i="16"/>
  <c r="P1185" i="16"/>
  <c r="N1185" i="16"/>
  <c r="L1185" i="16"/>
  <c r="M1185" i="16" s="1"/>
  <c r="J1185" i="16"/>
  <c r="K1185" i="16" s="1"/>
  <c r="I1185" i="16"/>
  <c r="AC1184" i="16"/>
  <c r="AA1184" i="16"/>
  <c r="AB1184" i="16" s="1"/>
  <c r="Q1184" i="16"/>
  <c r="P1184" i="16"/>
  <c r="N1184" i="16"/>
  <c r="L1184" i="16"/>
  <c r="M1184" i="16" s="1"/>
  <c r="J1184" i="16"/>
  <c r="K1184" i="16" s="1"/>
  <c r="I1184" i="16"/>
  <c r="AC1183" i="16"/>
  <c r="AA1183" i="16"/>
  <c r="AB1183" i="16" s="1"/>
  <c r="Q1183" i="16"/>
  <c r="P1183" i="16"/>
  <c r="N1183" i="16"/>
  <c r="L1183" i="16"/>
  <c r="M1183" i="16" s="1"/>
  <c r="J1183" i="16"/>
  <c r="K1183" i="16" s="1"/>
  <c r="I1183" i="16"/>
  <c r="AC1182" i="16"/>
  <c r="AA1182" i="16"/>
  <c r="AB1182" i="16" s="1"/>
  <c r="Q1182" i="16"/>
  <c r="P1182" i="16"/>
  <c r="N1182" i="16"/>
  <c r="L1182" i="16"/>
  <c r="M1182" i="16" s="1"/>
  <c r="J1182" i="16"/>
  <c r="K1182" i="16" s="1"/>
  <c r="I1182" i="16"/>
  <c r="AC1181" i="16"/>
  <c r="AA1181" i="16"/>
  <c r="AB1181" i="16" s="1"/>
  <c r="Q1181" i="16"/>
  <c r="P1181" i="16"/>
  <c r="N1181" i="16"/>
  <c r="L1181" i="16"/>
  <c r="M1181" i="16" s="1"/>
  <c r="J1181" i="16"/>
  <c r="K1181" i="16" s="1"/>
  <c r="I1181" i="16"/>
  <c r="AC1180" i="16"/>
  <c r="AA1180" i="16"/>
  <c r="AB1180" i="16" s="1"/>
  <c r="Q1180" i="16"/>
  <c r="P1180" i="16"/>
  <c r="N1180" i="16"/>
  <c r="L1180" i="16"/>
  <c r="M1180" i="16" s="1"/>
  <c r="J1180" i="16"/>
  <c r="K1180" i="16" s="1"/>
  <c r="I1180" i="16"/>
  <c r="AC1179" i="16"/>
  <c r="AA1179" i="16"/>
  <c r="AB1179" i="16" s="1"/>
  <c r="Q1179" i="16"/>
  <c r="P1179" i="16"/>
  <c r="N1179" i="16"/>
  <c r="L1179" i="16"/>
  <c r="M1179" i="16" s="1"/>
  <c r="J1179" i="16"/>
  <c r="K1179" i="16" s="1"/>
  <c r="I1179" i="16"/>
  <c r="AC1178" i="16"/>
  <c r="AA1178" i="16"/>
  <c r="AB1178" i="16" s="1"/>
  <c r="Q1178" i="16"/>
  <c r="P1178" i="16"/>
  <c r="N1178" i="16"/>
  <c r="L1178" i="16"/>
  <c r="M1178" i="16" s="1"/>
  <c r="J1178" i="16"/>
  <c r="K1178" i="16" s="1"/>
  <c r="I1178" i="16"/>
  <c r="AC1177" i="16"/>
  <c r="AA1177" i="16"/>
  <c r="AB1177" i="16" s="1"/>
  <c r="Q1177" i="16"/>
  <c r="P1177" i="16"/>
  <c r="N1177" i="16"/>
  <c r="L1177" i="16"/>
  <c r="M1177" i="16" s="1"/>
  <c r="J1177" i="16"/>
  <c r="K1177" i="16" s="1"/>
  <c r="I1177" i="16"/>
  <c r="AC1176" i="16"/>
  <c r="AA1176" i="16"/>
  <c r="AB1176" i="16" s="1"/>
  <c r="Q1176" i="16"/>
  <c r="P1176" i="16"/>
  <c r="N1176" i="16"/>
  <c r="L1176" i="16"/>
  <c r="M1176" i="16" s="1"/>
  <c r="J1176" i="16"/>
  <c r="K1176" i="16" s="1"/>
  <c r="I1176" i="16"/>
  <c r="AC1175" i="16"/>
  <c r="AA1175" i="16"/>
  <c r="AB1175" i="16" s="1"/>
  <c r="Q1175" i="16"/>
  <c r="P1175" i="16"/>
  <c r="N1175" i="16"/>
  <c r="L1175" i="16"/>
  <c r="M1175" i="16" s="1"/>
  <c r="J1175" i="16"/>
  <c r="K1175" i="16" s="1"/>
  <c r="I1175" i="16"/>
  <c r="AC1174" i="16"/>
  <c r="AA1174" i="16"/>
  <c r="AB1174" i="16" s="1"/>
  <c r="Q1174" i="16"/>
  <c r="P1174" i="16"/>
  <c r="N1174" i="16"/>
  <c r="L1174" i="16"/>
  <c r="M1174" i="16" s="1"/>
  <c r="J1174" i="16"/>
  <c r="K1174" i="16" s="1"/>
  <c r="I1174" i="16"/>
  <c r="AC1173" i="16"/>
  <c r="AA1173" i="16"/>
  <c r="AB1173" i="16" s="1"/>
  <c r="Q1173" i="16"/>
  <c r="P1173" i="16"/>
  <c r="N1173" i="16"/>
  <c r="L1173" i="16"/>
  <c r="M1173" i="16" s="1"/>
  <c r="J1173" i="16"/>
  <c r="K1173" i="16" s="1"/>
  <c r="I1173" i="16"/>
  <c r="AC1172" i="16"/>
  <c r="AA1172" i="16"/>
  <c r="AB1172" i="16" s="1"/>
  <c r="Q1172" i="16"/>
  <c r="P1172" i="16"/>
  <c r="N1172" i="16"/>
  <c r="L1172" i="16"/>
  <c r="M1172" i="16" s="1"/>
  <c r="J1172" i="16"/>
  <c r="K1172" i="16" s="1"/>
  <c r="I1172" i="16"/>
  <c r="AC1171" i="16"/>
  <c r="AA1171" i="16"/>
  <c r="AB1171" i="16" s="1"/>
  <c r="Q1171" i="16"/>
  <c r="P1171" i="16"/>
  <c r="N1171" i="16"/>
  <c r="L1171" i="16"/>
  <c r="M1171" i="16" s="1"/>
  <c r="J1171" i="16"/>
  <c r="K1171" i="16" s="1"/>
  <c r="I1171" i="16"/>
  <c r="AC1170" i="16"/>
  <c r="AA1170" i="16"/>
  <c r="AB1170" i="16" s="1"/>
  <c r="Q1170" i="16"/>
  <c r="P1170" i="16"/>
  <c r="N1170" i="16"/>
  <c r="L1170" i="16"/>
  <c r="M1170" i="16" s="1"/>
  <c r="J1170" i="16"/>
  <c r="K1170" i="16" s="1"/>
  <c r="I1170" i="16"/>
  <c r="AC1169" i="16"/>
  <c r="AA1169" i="16"/>
  <c r="AB1169" i="16" s="1"/>
  <c r="Q1169" i="16"/>
  <c r="P1169" i="16"/>
  <c r="N1169" i="16"/>
  <c r="L1169" i="16"/>
  <c r="M1169" i="16" s="1"/>
  <c r="J1169" i="16"/>
  <c r="K1169" i="16" s="1"/>
  <c r="I1169" i="16"/>
  <c r="AC1168" i="16"/>
  <c r="AA1168" i="16"/>
  <c r="AB1168" i="16" s="1"/>
  <c r="Q1168" i="16"/>
  <c r="P1168" i="16"/>
  <c r="N1168" i="16"/>
  <c r="L1168" i="16"/>
  <c r="M1168" i="16" s="1"/>
  <c r="J1168" i="16"/>
  <c r="K1168" i="16" s="1"/>
  <c r="I1168" i="16"/>
  <c r="AC1167" i="16"/>
  <c r="AA1167" i="16"/>
  <c r="AB1167" i="16" s="1"/>
  <c r="Q1167" i="16"/>
  <c r="P1167" i="16"/>
  <c r="N1167" i="16"/>
  <c r="L1167" i="16"/>
  <c r="M1167" i="16" s="1"/>
  <c r="J1167" i="16"/>
  <c r="K1167" i="16" s="1"/>
  <c r="I1167" i="16"/>
  <c r="AC1166" i="16"/>
  <c r="AA1166" i="16"/>
  <c r="AB1166" i="16" s="1"/>
  <c r="Q1166" i="16"/>
  <c r="P1166" i="16"/>
  <c r="N1166" i="16"/>
  <c r="L1166" i="16"/>
  <c r="M1166" i="16" s="1"/>
  <c r="J1166" i="16"/>
  <c r="K1166" i="16" s="1"/>
  <c r="I1166" i="16"/>
  <c r="AC1165" i="16"/>
  <c r="AA1165" i="16"/>
  <c r="AB1165" i="16" s="1"/>
  <c r="Q1165" i="16"/>
  <c r="P1165" i="16"/>
  <c r="N1165" i="16"/>
  <c r="L1165" i="16"/>
  <c r="M1165" i="16" s="1"/>
  <c r="J1165" i="16"/>
  <c r="K1165" i="16" s="1"/>
  <c r="I1165" i="16"/>
  <c r="AC1164" i="16"/>
  <c r="AA1164" i="16"/>
  <c r="AB1164" i="16" s="1"/>
  <c r="Q1164" i="16"/>
  <c r="P1164" i="16"/>
  <c r="N1164" i="16"/>
  <c r="L1164" i="16"/>
  <c r="M1164" i="16" s="1"/>
  <c r="J1164" i="16"/>
  <c r="K1164" i="16" s="1"/>
  <c r="I1164" i="16"/>
  <c r="AC1163" i="16"/>
  <c r="AA1163" i="16"/>
  <c r="AB1163" i="16" s="1"/>
  <c r="Q1163" i="16"/>
  <c r="P1163" i="16"/>
  <c r="N1163" i="16"/>
  <c r="L1163" i="16"/>
  <c r="M1163" i="16" s="1"/>
  <c r="J1163" i="16"/>
  <c r="K1163" i="16" s="1"/>
  <c r="I1163" i="16"/>
  <c r="AC1162" i="16"/>
  <c r="AA1162" i="16"/>
  <c r="AB1162" i="16" s="1"/>
  <c r="Q1162" i="16"/>
  <c r="P1162" i="16"/>
  <c r="N1162" i="16"/>
  <c r="L1162" i="16"/>
  <c r="M1162" i="16" s="1"/>
  <c r="J1162" i="16"/>
  <c r="K1162" i="16" s="1"/>
  <c r="I1162" i="16"/>
  <c r="AC1161" i="16"/>
  <c r="AA1161" i="16"/>
  <c r="AB1161" i="16" s="1"/>
  <c r="Q1161" i="16"/>
  <c r="P1161" i="16"/>
  <c r="N1161" i="16"/>
  <c r="L1161" i="16"/>
  <c r="M1161" i="16" s="1"/>
  <c r="J1161" i="16"/>
  <c r="K1161" i="16" s="1"/>
  <c r="I1161" i="16"/>
  <c r="AC1160" i="16"/>
  <c r="AA1160" i="16"/>
  <c r="AB1160" i="16" s="1"/>
  <c r="Q1160" i="16"/>
  <c r="P1160" i="16"/>
  <c r="N1160" i="16"/>
  <c r="L1160" i="16"/>
  <c r="M1160" i="16" s="1"/>
  <c r="J1160" i="16"/>
  <c r="K1160" i="16" s="1"/>
  <c r="I1160" i="16"/>
  <c r="AC1159" i="16"/>
  <c r="AA1159" i="16"/>
  <c r="AB1159" i="16" s="1"/>
  <c r="Q1159" i="16"/>
  <c r="P1159" i="16"/>
  <c r="N1159" i="16"/>
  <c r="L1159" i="16"/>
  <c r="M1159" i="16" s="1"/>
  <c r="J1159" i="16"/>
  <c r="K1159" i="16" s="1"/>
  <c r="I1159" i="16"/>
  <c r="AC1158" i="16"/>
  <c r="AA1158" i="16"/>
  <c r="AB1158" i="16" s="1"/>
  <c r="Q1158" i="16"/>
  <c r="P1158" i="16"/>
  <c r="N1158" i="16"/>
  <c r="L1158" i="16"/>
  <c r="M1158" i="16" s="1"/>
  <c r="J1158" i="16"/>
  <c r="K1158" i="16" s="1"/>
  <c r="I1158" i="16"/>
  <c r="AC1157" i="16"/>
  <c r="AA1157" i="16"/>
  <c r="AB1157" i="16" s="1"/>
  <c r="Q1157" i="16"/>
  <c r="P1157" i="16"/>
  <c r="N1157" i="16"/>
  <c r="L1157" i="16"/>
  <c r="M1157" i="16" s="1"/>
  <c r="J1157" i="16"/>
  <c r="K1157" i="16" s="1"/>
  <c r="I1157" i="16"/>
  <c r="AC1156" i="16"/>
  <c r="AA1156" i="16"/>
  <c r="AB1156" i="16" s="1"/>
  <c r="Q1156" i="16"/>
  <c r="P1156" i="16"/>
  <c r="N1156" i="16"/>
  <c r="L1156" i="16"/>
  <c r="M1156" i="16" s="1"/>
  <c r="J1156" i="16"/>
  <c r="K1156" i="16" s="1"/>
  <c r="I1156" i="16"/>
  <c r="AC1155" i="16"/>
  <c r="AA1155" i="16"/>
  <c r="AB1155" i="16" s="1"/>
  <c r="Q1155" i="16"/>
  <c r="P1155" i="16"/>
  <c r="N1155" i="16"/>
  <c r="L1155" i="16"/>
  <c r="M1155" i="16" s="1"/>
  <c r="J1155" i="16"/>
  <c r="K1155" i="16" s="1"/>
  <c r="I1155" i="16"/>
  <c r="AC1154" i="16"/>
  <c r="AA1154" i="16"/>
  <c r="AB1154" i="16" s="1"/>
  <c r="Q1154" i="16"/>
  <c r="P1154" i="16"/>
  <c r="N1154" i="16"/>
  <c r="L1154" i="16"/>
  <c r="M1154" i="16" s="1"/>
  <c r="J1154" i="16"/>
  <c r="K1154" i="16" s="1"/>
  <c r="I1154" i="16"/>
  <c r="AC1153" i="16"/>
  <c r="AA1153" i="16"/>
  <c r="AB1153" i="16" s="1"/>
  <c r="Q1153" i="16"/>
  <c r="P1153" i="16"/>
  <c r="N1153" i="16"/>
  <c r="L1153" i="16"/>
  <c r="M1153" i="16" s="1"/>
  <c r="J1153" i="16"/>
  <c r="K1153" i="16" s="1"/>
  <c r="I1153" i="16"/>
  <c r="AC1152" i="16"/>
  <c r="AA1152" i="16"/>
  <c r="AB1152" i="16" s="1"/>
  <c r="Q1152" i="16"/>
  <c r="P1152" i="16"/>
  <c r="N1152" i="16"/>
  <c r="L1152" i="16"/>
  <c r="M1152" i="16" s="1"/>
  <c r="J1152" i="16"/>
  <c r="K1152" i="16" s="1"/>
  <c r="I1152" i="16"/>
  <c r="AC1151" i="16"/>
  <c r="AA1151" i="16"/>
  <c r="AB1151" i="16" s="1"/>
  <c r="Q1151" i="16"/>
  <c r="P1151" i="16"/>
  <c r="N1151" i="16"/>
  <c r="L1151" i="16"/>
  <c r="M1151" i="16" s="1"/>
  <c r="J1151" i="16"/>
  <c r="K1151" i="16" s="1"/>
  <c r="I1151" i="16"/>
  <c r="AC1150" i="16"/>
  <c r="AA1150" i="16"/>
  <c r="AB1150" i="16" s="1"/>
  <c r="Q1150" i="16"/>
  <c r="P1150" i="16"/>
  <c r="N1150" i="16"/>
  <c r="L1150" i="16"/>
  <c r="M1150" i="16" s="1"/>
  <c r="J1150" i="16"/>
  <c r="K1150" i="16" s="1"/>
  <c r="I1150" i="16"/>
  <c r="AC1149" i="16"/>
  <c r="AA1149" i="16"/>
  <c r="AB1149" i="16" s="1"/>
  <c r="Q1149" i="16"/>
  <c r="P1149" i="16"/>
  <c r="N1149" i="16"/>
  <c r="L1149" i="16"/>
  <c r="M1149" i="16" s="1"/>
  <c r="J1149" i="16"/>
  <c r="K1149" i="16" s="1"/>
  <c r="I1149" i="16"/>
  <c r="AC1148" i="16"/>
  <c r="AA1148" i="16"/>
  <c r="AB1148" i="16" s="1"/>
  <c r="Q1148" i="16"/>
  <c r="P1148" i="16"/>
  <c r="N1148" i="16"/>
  <c r="L1148" i="16"/>
  <c r="M1148" i="16" s="1"/>
  <c r="J1148" i="16"/>
  <c r="K1148" i="16" s="1"/>
  <c r="I1148" i="16"/>
  <c r="AC1147" i="16"/>
  <c r="AA1147" i="16"/>
  <c r="AB1147" i="16" s="1"/>
  <c r="Q1147" i="16"/>
  <c r="P1147" i="16"/>
  <c r="N1147" i="16"/>
  <c r="L1147" i="16"/>
  <c r="M1147" i="16" s="1"/>
  <c r="J1147" i="16"/>
  <c r="K1147" i="16" s="1"/>
  <c r="I1147" i="16"/>
  <c r="AC1146" i="16"/>
  <c r="AA1146" i="16"/>
  <c r="AB1146" i="16" s="1"/>
  <c r="Q1146" i="16"/>
  <c r="P1146" i="16"/>
  <c r="N1146" i="16"/>
  <c r="L1146" i="16"/>
  <c r="M1146" i="16" s="1"/>
  <c r="J1146" i="16"/>
  <c r="K1146" i="16" s="1"/>
  <c r="I1146" i="16"/>
  <c r="AC1145" i="16"/>
  <c r="AA1145" i="16"/>
  <c r="AB1145" i="16" s="1"/>
  <c r="Q1145" i="16"/>
  <c r="P1145" i="16"/>
  <c r="N1145" i="16"/>
  <c r="L1145" i="16"/>
  <c r="M1145" i="16" s="1"/>
  <c r="J1145" i="16"/>
  <c r="K1145" i="16" s="1"/>
  <c r="I1145" i="16"/>
  <c r="AC1144" i="16"/>
  <c r="AA1144" i="16"/>
  <c r="AB1144" i="16" s="1"/>
  <c r="Q1144" i="16"/>
  <c r="P1144" i="16"/>
  <c r="N1144" i="16"/>
  <c r="L1144" i="16"/>
  <c r="M1144" i="16" s="1"/>
  <c r="J1144" i="16"/>
  <c r="K1144" i="16" s="1"/>
  <c r="I1144" i="16"/>
  <c r="AC1143" i="16"/>
  <c r="AA1143" i="16"/>
  <c r="AB1143" i="16" s="1"/>
  <c r="Q1143" i="16"/>
  <c r="P1143" i="16"/>
  <c r="N1143" i="16"/>
  <c r="L1143" i="16"/>
  <c r="M1143" i="16" s="1"/>
  <c r="J1143" i="16"/>
  <c r="K1143" i="16" s="1"/>
  <c r="I1143" i="16"/>
  <c r="AC1142" i="16"/>
  <c r="AA1142" i="16"/>
  <c r="AB1142" i="16" s="1"/>
  <c r="Q1142" i="16"/>
  <c r="P1142" i="16"/>
  <c r="N1142" i="16"/>
  <c r="L1142" i="16"/>
  <c r="M1142" i="16" s="1"/>
  <c r="J1142" i="16"/>
  <c r="K1142" i="16" s="1"/>
  <c r="I1142" i="16"/>
  <c r="AC1141" i="16"/>
  <c r="AA1141" i="16"/>
  <c r="AB1141" i="16" s="1"/>
  <c r="Q1141" i="16"/>
  <c r="P1141" i="16"/>
  <c r="N1141" i="16"/>
  <c r="L1141" i="16"/>
  <c r="M1141" i="16" s="1"/>
  <c r="J1141" i="16"/>
  <c r="K1141" i="16" s="1"/>
  <c r="I1141" i="16"/>
  <c r="AC1140" i="16"/>
  <c r="AA1140" i="16"/>
  <c r="AB1140" i="16" s="1"/>
  <c r="Q1140" i="16"/>
  <c r="P1140" i="16"/>
  <c r="N1140" i="16"/>
  <c r="L1140" i="16"/>
  <c r="M1140" i="16" s="1"/>
  <c r="J1140" i="16"/>
  <c r="K1140" i="16" s="1"/>
  <c r="I1140" i="16"/>
  <c r="AC1139" i="16"/>
  <c r="AA1139" i="16"/>
  <c r="AB1139" i="16" s="1"/>
  <c r="Q1139" i="16"/>
  <c r="P1139" i="16"/>
  <c r="N1139" i="16"/>
  <c r="L1139" i="16"/>
  <c r="M1139" i="16" s="1"/>
  <c r="J1139" i="16"/>
  <c r="K1139" i="16" s="1"/>
  <c r="I1139" i="16"/>
  <c r="AC1138" i="16"/>
  <c r="AA1138" i="16"/>
  <c r="AB1138" i="16" s="1"/>
  <c r="Q1138" i="16"/>
  <c r="P1138" i="16"/>
  <c r="N1138" i="16"/>
  <c r="L1138" i="16"/>
  <c r="M1138" i="16" s="1"/>
  <c r="J1138" i="16"/>
  <c r="K1138" i="16" s="1"/>
  <c r="I1138" i="16"/>
  <c r="AC1137" i="16"/>
  <c r="AA1137" i="16"/>
  <c r="AB1137" i="16" s="1"/>
  <c r="Q1137" i="16"/>
  <c r="P1137" i="16"/>
  <c r="N1137" i="16"/>
  <c r="L1137" i="16"/>
  <c r="M1137" i="16" s="1"/>
  <c r="J1137" i="16"/>
  <c r="K1137" i="16" s="1"/>
  <c r="I1137" i="16"/>
  <c r="AC1136" i="16"/>
  <c r="AA1136" i="16"/>
  <c r="AB1136" i="16" s="1"/>
  <c r="Q1136" i="16"/>
  <c r="P1136" i="16"/>
  <c r="N1136" i="16"/>
  <c r="L1136" i="16"/>
  <c r="M1136" i="16" s="1"/>
  <c r="J1136" i="16"/>
  <c r="K1136" i="16" s="1"/>
  <c r="I1136" i="16"/>
  <c r="AC1135" i="16"/>
  <c r="AA1135" i="16"/>
  <c r="AB1135" i="16" s="1"/>
  <c r="Q1135" i="16"/>
  <c r="P1135" i="16"/>
  <c r="N1135" i="16"/>
  <c r="L1135" i="16"/>
  <c r="M1135" i="16" s="1"/>
  <c r="J1135" i="16"/>
  <c r="K1135" i="16" s="1"/>
  <c r="I1135" i="16"/>
  <c r="AC1134" i="16"/>
  <c r="AA1134" i="16"/>
  <c r="AB1134" i="16" s="1"/>
  <c r="Q1134" i="16"/>
  <c r="P1134" i="16"/>
  <c r="N1134" i="16"/>
  <c r="L1134" i="16"/>
  <c r="M1134" i="16" s="1"/>
  <c r="J1134" i="16"/>
  <c r="K1134" i="16" s="1"/>
  <c r="I1134" i="16"/>
  <c r="AC1133" i="16"/>
  <c r="AA1133" i="16"/>
  <c r="AB1133" i="16" s="1"/>
  <c r="Q1133" i="16"/>
  <c r="P1133" i="16"/>
  <c r="N1133" i="16"/>
  <c r="L1133" i="16"/>
  <c r="M1133" i="16" s="1"/>
  <c r="J1133" i="16"/>
  <c r="K1133" i="16" s="1"/>
  <c r="I1133" i="16"/>
  <c r="AC1132" i="16"/>
  <c r="AA1132" i="16"/>
  <c r="AB1132" i="16" s="1"/>
  <c r="Q1132" i="16"/>
  <c r="P1132" i="16"/>
  <c r="N1132" i="16"/>
  <c r="L1132" i="16"/>
  <c r="M1132" i="16" s="1"/>
  <c r="J1132" i="16"/>
  <c r="K1132" i="16" s="1"/>
  <c r="I1132" i="16"/>
  <c r="AC1131" i="16"/>
  <c r="AA1131" i="16"/>
  <c r="AB1131" i="16" s="1"/>
  <c r="Q1131" i="16"/>
  <c r="P1131" i="16"/>
  <c r="N1131" i="16"/>
  <c r="L1131" i="16"/>
  <c r="M1131" i="16" s="1"/>
  <c r="J1131" i="16"/>
  <c r="K1131" i="16" s="1"/>
  <c r="I1131" i="16"/>
  <c r="AC1130" i="16"/>
  <c r="AA1130" i="16"/>
  <c r="AB1130" i="16" s="1"/>
  <c r="Q1130" i="16"/>
  <c r="P1130" i="16"/>
  <c r="N1130" i="16"/>
  <c r="L1130" i="16"/>
  <c r="M1130" i="16" s="1"/>
  <c r="J1130" i="16"/>
  <c r="K1130" i="16" s="1"/>
  <c r="I1130" i="16"/>
  <c r="AC1129" i="16"/>
  <c r="AA1129" i="16"/>
  <c r="AB1129" i="16" s="1"/>
  <c r="Q1129" i="16"/>
  <c r="P1129" i="16"/>
  <c r="N1129" i="16"/>
  <c r="L1129" i="16"/>
  <c r="M1129" i="16" s="1"/>
  <c r="J1129" i="16"/>
  <c r="K1129" i="16" s="1"/>
  <c r="I1129" i="16"/>
  <c r="AC1128" i="16"/>
  <c r="AA1128" i="16"/>
  <c r="AB1128" i="16" s="1"/>
  <c r="Q1128" i="16"/>
  <c r="P1128" i="16"/>
  <c r="N1128" i="16"/>
  <c r="L1128" i="16"/>
  <c r="M1128" i="16" s="1"/>
  <c r="J1128" i="16"/>
  <c r="K1128" i="16" s="1"/>
  <c r="I1128" i="16"/>
  <c r="AC1127" i="16"/>
  <c r="AA1127" i="16"/>
  <c r="AB1127" i="16" s="1"/>
  <c r="Q1127" i="16"/>
  <c r="P1127" i="16"/>
  <c r="N1127" i="16"/>
  <c r="L1127" i="16"/>
  <c r="M1127" i="16" s="1"/>
  <c r="J1127" i="16"/>
  <c r="K1127" i="16" s="1"/>
  <c r="I1127" i="16"/>
  <c r="AC1126" i="16"/>
  <c r="AA1126" i="16"/>
  <c r="AB1126" i="16" s="1"/>
  <c r="Q1126" i="16"/>
  <c r="P1126" i="16"/>
  <c r="N1126" i="16"/>
  <c r="L1126" i="16"/>
  <c r="M1126" i="16" s="1"/>
  <c r="J1126" i="16"/>
  <c r="K1126" i="16" s="1"/>
  <c r="I1126" i="16"/>
  <c r="AC1125" i="16"/>
  <c r="AA1125" i="16"/>
  <c r="AB1125" i="16" s="1"/>
  <c r="Q1125" i="16"/>
  <c r="P1125" i="16"/>
  <c r="N1125" i="16"/>
  <c r="L1125" i="16"/>
  <c r="M1125" i="16" s="1"/>
  <c r="J1125" i="16"/>
  <c r="K1125" i="16" s="1"/>
  <c r="I1125" i="16"/>
  <c r="AC1124" i="16"/>
  <c r="AA1124" i="16"/>
  <c r="AB1124" i="16" s="1"/>
  <c r="Q1124" i="16"/>
  <c r="P1124" i="16"/>
  <c r="N1124" i="16"/>
  <c r="L1124" i="16"/>
  <c r="M1124" i="16" s="1"/>
  <c r="J1124" i="16"/>
  <c r="K1124" i="16" s="1"/>
  <c r="I1124" i="16"/>
  <c r="AC1123" i="16"/>
  <c r="AA1123" i="16"/>
  <c r="AB1123" i="16" s="1"/>
  <c r="Q1123" i="16"/>
  <c r="P1123" i="16"/>
  <c r="N1123" i="16"/>
  <c r="L1123" i="16"/>
  <c r="M1123" i="16" s="1"/>
  <c r="J1123" i="16"/>
  <c r="K1123" i="16" s="1"/>
  <c r="I1123" i="16"/>
  <c r="AC1122" i="16"/>
  <c r="AA1122" i="16"/>
  <c r="AB1122" i="16" s="1"/>
  <c r="Q1122" i="16"/>
  <c r="P1122" i="16"/>
  <c r="N1122" i="16"/>
  <c r="L1122" i="16"/>
  <c r="M1122" i="16" s="1"/>
  <c r="J1122" i="16"/>
  <c r="K1122" i="16" s="1"/>
  <c r="I1122" i="16"/>
  <c r="AC1121" i="16"/>
  <c r="AA1121" i="16"/>
  <c r="AB1121" i="16" s="1"/>
  <c r="Q1121" i="16"/>
  <c r="P1121" i="16"/>
  <c r="N1121" i="16"/>
  <c r="L1121" i="16"/>
  <c r="M1121" i="16" s="1"/>
  <c r="J1121" i="16"/>
  <c r="K1121" i="16" s="1"/>
  <c r="I1121" i="16"/>
  <c r="AC1120" i="16"/>
  <c r="AA1120" i="16"/>
  <c r="AB1120" i="16" s="1"/>
  <c r="Q1120" i="16"/>
  <c r="P1120" i="16"/>
  <c r="N1120" i="16"/>
  <c r="L1120" i="16"/>
  <c r="M1120" i="16" s="1"/>
  <c r="J1120" i="16"/>
  <c r="K1120" i="16" s="1"/>
  <c r="I1120" i="16"/>
  <c r="AC1119" i="16"/>
  <c r="AA1119" i="16"/>
  <c r="AB1119" i="16" s="1"/>
  <c r="Q1119" i="16"/>
  <c r="P1119" i="16"/>
  <c r="N1119" i="16"/>
  <c r="L1119" i="16"/>
  <c r="M1119" i="16" s="1"/>
  <c r="J1119" i="16"/>
  <c r="K1119" i="16" s="1"/>
  <c r="I1119" i="16"/>
  <c r="AC1118" i="16"/>
  <c r="AA1118" i="16"/>
  <c r="AB1118" i="16" s="1"/>
  <c r="Q1118" i="16"/>
  <c r="P1118" i="16"/>
  <c r="N1118" i="16"/>
  <c r="L1118" i="16"/>
  <c r="M1118" i="16" s="1"/>
  <c r="J1118" i="16"/>
  <c r="K1118" i="16" s="1"/>
  <c r="I1118" i="16"/>
  <c r="AC1117" i="16"/>
  <c r="AA1117" i="16"/>
  <c r="AB1117" i="16" s="1"/>
  <c r="Q1117" i="16"/>
  <c r="P1117" i="16"/>
  <c r="N1117" i="16"/>
  <c r="L1117" i="16"/>
  <c r="M1117" i="16" s="1"/>
  <c r="J1117" i="16"/>
  <c r="K1117" i="16" s="1"/>
  <c r="I1117" i="16"/>
  <c r="AC1116" i="16"/>
  <c r="AA1116" i="16"/>
  <c r="AB1116" i="16" s="1"/>
  <c r="Q1116" i="16"/>
  <c r="P1116" i="16"/>
  <c r="N1116" i="16"/>
  <c r="L1116" i="16"/>
  <c r="M1116" i="16" s="1"/>
  <c r="J1116" i="16"/>
  <c r="K1116" i="16" s="1"/>
  <c r="I1116" i="16"/>
  <c r="AC1115" i="16"/>
  <c r="AA1115" i="16"/>
  <c r="AB1115" i="16" s="1"/>
  <c r="Q1115" i="16"/>
  <c r="P1115" i="16"/>
  <c r="N1115" i="16"/>
  <c r="L1115" i="16"/>
  <c r="M1115" i="16" s="1"/>
  <c r="J1115" i="16"/>
  <c r="K1115" i="16" s="1"/>
  <c r="I1115" i="16"/>
  <c r="AC1114" i="16"/>
  <c r="AA1114" i="16"/>
  <c r="AB1114" i="16" s="1"/>
  <c r="Q1114" i="16"/>
  <c r="P1114" i="16"/>
  <c r="N1114" i="16"/>
  <c r="L1114" i="16"/>
  <c r="M1114" i="16" s="1"/>
  <c r="J1114" i="16"/>
  <c r="K1114" i="16" s="1"/>
  <c r="I1114" i="16"/>
  <c r="AC1113" i="16"/>
  <c r="AA1113" i="16"/>
  <c r="AB1113" i="16" s="1"/>
  <c r="Q1113" i="16"/>
  <c r="P1113" i="16"/>
  <c r="N1113" i="16"/>
  <c r="L1113" i="16"/>
  <c r="M1113" i="16" s="1"/>
  <c r="J1113" i="16"/>
  <c r="K1113" i="16" s="1"/>
  <c r="I1113" i="16"/>
  <c r="AC1112" i="16"/>
  <c r="AA1112" i="16"/>
  <c r="AB1112" i="16" s="1"/>
  <c r="Q1112" i="16"/>
  <c r="P1112" i="16"/>
  <c r="N1112" i="16"/>
  <c r="L1112" i="16"/>
  <c r="M1112" i="16" s="1"/>
  <c r="J1112" i="16"/>
  <c r="K1112" i="16" s="1"/>
  <c r="I1112" i="16"/>
  <c r="AC1111" i="16"/>
  <c r="AA1111" i="16"/>
  <c r="AB1111" i="16" s="1"/>
  <c r="Q1111" i="16"/>
  <c r="P1111" i="16"/>
  <c r="N1111" i="16"/>
  <c r="L1111" i="16"/>
  <c r="M1111" i="16" s="1"/>
  <c r="J1111" i="16"/>
  <c r="K1111" i="16" s="1"/>
  <c r="I1111" i="16"/>
  <c r="AC1110" i="16"/>
  <c r="AA1110" i="16"/>
  <c r="AB1110" i="16" s="1"/>
  <c r="Q1110" i="16"/>
  <c r="P1110" i="16"/>
  <c r="N1110" i="16"/>
  <c r="L1110" i="16"/>
  <c r="M1110" i="16" s="1"/>
  <c r="J1110" i="16"/>
  <c r="K1110" i="16" s="1"/>
  <c r="I1110" i="16"/>
  <c r="AC1109" i="16"/>
  <c r="AA1109" i="16"/>
  <c r="AB1109" i="16" s="1"/>
  <c r="Q1109" i="16"/>
  <c r="P1109" i="16"/>
  <c r="N1109" i="16"/>
  <c r="L1109" i="16"/>
  <c r="M1109" i="16" s="1"/>
  <c r="J1109" i="16"/>
  <c r="K1109" i="16" s="1"/>
  <c r="I1109" i="16"/>
  <c r="AC1108" i="16"/>
  <c r="AA1108" i="16"/>
  <c r="AB1108" i="16" s="1"/>
  <c r="Q1108" i="16"/>
  <c r="P1108" i="16"/>
  <c r="N1108" i="16"/>
  <c r="L1108" i="16"/>
  <c r="M1108" i="16" s="1"/>
  <c r="J1108" i="16"/>
  <c r="K1108" i="16" s="1"/>
  <c r="I1108" i="16"/>
  <c r="AC1107" i="16"/>
  <c r="AA1107" i="16"/>
  <c r="AB1107" i="16" s="1"/>
  <c r="Q1107" i="16"/>
  <c r="P1107" i="16"/>
  <c r="N1107" i="16"/>
  <c r="L1107" i="16"/>
  <c r="M1107" i="16" s="1"/>
  <c r="J1107" i="16"/>
  <c r="K1107" i="16" s="1"/>
  <c r="I1107" i="16"/>
  <c r="AC1106" i="16"/>
  <c r="AA1106" i="16"/>
  <c r="AB1106" i="16" s="1"/>
  <c r="Q1106" i="16"/>
  <c r="P1106" i="16"/>
  <c r="N1106" i="16"/>
  <c r="L1106" i="16"/>
  <c r="M1106" i="16" s="1"/>
  <c r="J1106" i="16"/>
  <c r="K1106" i="16" s="1"/>
  <c r="I1106" i="16"/>
  <c r="AC1105" i="16"/>
  <c r="AA1105" i="16"/>
  <c r="AB1105" i="16" s="1"/>
  <c r="Q1105" i="16"/>
  <c r="P1105" i="16"/>
  <c r="N1105" i="16"/>
  <c r="L1105" i="16"/>
  <c r="M1105" i="16" s="1"/>
  <c r="J1105" i="16"/>
  <c r="K1105" i="16" s="1"/>
  <c r="I1105" i="16"/>
  <c r="AC1104" i="16"/>
  <c r="AA1104" i="16"/>
  <c r="AB1104" i="16" s="1"/>
  <c r="Q1104" i="16"/>
  <c r="P1104" i="16"/>
  <c r="N1104" i="16"/>
  <c r="L1104" i="16"/>
  <c r="M1104" i="16" s="1"/>
  <c r="J1104" i="16"/>
  <c r="K1104" i="16" s="1"/>
  <c r="I1104" i="16"/>
  <c r="AC1103" i="16"/>
  <c r="AA1103" i="16"/>
  <c r="AB1103" i="16" s="1"/>
  <c r="Q1103" i="16"/>
  <c r="P1103" i="16"/>
  <c r="N1103" i="16"/>
  <c r="L1103" i="16"/>
  <c r="M1103" i="16" s="1"/>
  <c r="J1103" i="16"/>
  <c r="K1103" i="16" s="1"/>
  <c r="I1103" i="16"/>
  <c r="AC1102" i="16"/>
  <c r="AA1102" i="16"/>
  <c r="AB1102" i="16" s="1"/>
  <c r="Q1102" i="16"/>
  <c r="P1102" i="16"/>
  <c r="N1102" i="16"/>
  <c r="L1102" i="16"/>
  <c r="M1102" i="16" s="1"/>
  <c r="J1102" i="16"/>
  <c r="K1102" i="16" s="1"/>
  <c r="I1102" i="16"/>
  <c r="AC1101" i="16"/>
  <c r="AA1101" i="16"/>
  <c r="AB1101" i="16" s="1"/>
  <c r="Q1101" i="16"/>
  <c r="P1101" i="16"/>
  <c r="N1101" i="16"/>
  <c r="L1101" i="16"/>
  <c r="M1101" i="16" s="1"/>
  <c r="J1101" i="16"/>
  <c r="K1101" i="16" s="1"/>
  <c r="I1101" i="16"/>
  <c r="AC1100" i="16"/>
  <c r="AA1100" i="16"/>
  <c r="AB1100" i="16" s="1"/>
  <c r="Q1100" i="16"/>
  <c r="P1100" i="16"/>
  <c r="N1100" i="16"/>
  <c r="L1100" i="16"/>
  <c r="M1100" i="16" s="1"/>
  <c r="J1100" i="16"/>
  <c r="K1100" i="16" s="1"/>
  <c r="I1100" i="16"/>
  <c r="AC1099" i="16"/>
  <c r="AA1099" i="16"/>
  <c r="AB1099" i="16" s="1"/>
  <c r="Q1099" i="16"/>
  <c r="P1099" i="16"/>
  <c r="N1099" i="16"/>
  <c r="L1099" i="16"/>
  <c r="M1099" i="16" s="1"/>
  <c r="J1099" i="16"/>
  <c r="K1099" i="16" s="1"/>
  <c r="I1099" i="16"/>
  <c r="AC1098" i="16"/>
  <c r="AA1098" i="16"/>
  <c r="AB1098" i="16" s="1"/>
  <c r="Q1098" i="16"/>
  <c r="P1098" i="16"/>
  <c r="N1098" i="16"/>
  <c r="L1098" i="16"/>
  <c r="M1098" i="16" s="1"/>
  <c r="J1098" i="16"/>
  <c r="K1098" i="16" s="1"/>
  <c r="I1098" i="16"/>
  <c r="AC1097" i="16"/>
  <c r="AA1097" i="16"/>
  <c r="AB1097" i="16" s="1"/>
  <c r="Q1097" i="16"/>
  <c r="P1097" i="16"/>
  <c r="N1097" i="16"/>
  <c r="L1097" i="16"/>
  <c r="M1097" i="16" s="1"/>
  <c r="J1097" i="16"/>
  <c r="K1097" i="16" s="1"/>
  <c r="I1097" i="16"/>
  <c r="AC1096" i="16"/>
  <c r="AA1096" i="16"/>
  <c r="AB1096" i="16" s="1"/>
  <c r="Q1096" i="16"/>
  <c r="P1096" i="16"/>
  <c r="N1096" i="16"/>
  <c r="L1096" i="16"/>
  <c r="M1096" i="16" s="1"/>
  <c r="J1096" i="16"/>
  <c r="K1096" i="16" s="1"/>
  <c r="I1096" i="16"/>
  <c r="AC1095" i="16"/>
  <c r="AA1095" i="16"/>
  <c r="AB1095" i="16" s="1"/>
  <c r="Q1095" i="16"/>
  <c r="P1095" i="16"/>
  <c r="N1095" i="16"/>
  <c r="L1095" i="16"/>
  <c r="M1095" i="16" s="1"/>
  <c r="J1095" i="16"/>
  <c r="K1095" i="16" s="1"/>
  <c r="I1095" i="16"/>
  <c r="AC1094" i="16"/>
  <c r="AA1094" i="16"/>
  <c r="AB1094" i="16" s="1"/>
  <c r="Q1094" i="16"/>
  <c r="P1094" i="16"/>
  <c r="N1094" i="16"/>
  <c r="L1094" i="16"/>
  <c r="M1094" i="16" s="1"/>
  <c r="J1094" i="16"/>
  <c r="K1094" i="16" s="1"/>
  <c r="I1094" i="16"/>
  <c r="AC1093" i="16"/>
  <c r="AA1093" i="16"/>
  <c r="AB1093" i="16" s="1"/>
  <c r="Q1093" i="16"/>
  <c r="P1093" i="16"/>
  <c r="N1093" i="16"/>
  <c r="L1093" i="16"/>
  <c r="M1093" i="16" s="1"/>
  <c r="J1093" i="16"/>
  <c r="K1093" i="16" s="1"/>
  <c r="I1093" i="16"/>
  <c r="AC1092" i="16"/>
  <c r="AA1092" i="16"/>
  <c r="AB1092" i="16" s="1"/>
  <c r="Q1092" i="16"/>
  <c r="P1092" i="16"/>
  <c r="N1092" i="16"/>
  <c r="L1092" i="16"/>
  <c r="M1092" i="16" s="1"/>
  <c r="J1092" i="16"/>
  <c r="K1092" i="16" s="1"/>
  <c r="I1092" i="16"/>
  <c r="AC1091" i="16"/>
  <c r="AA1091" i="16"/>
  <c r="AB1091" i="16" s="1"/>
  <c r="Q1091" i="16"/>
  <c r="P1091" i="16"/>
  <c r="N1091" i="16"/>
  <c r="L1091" i="16"/>
  <c r="M1091" i="16" s="1"/>
  <c r="J1091" i="16"/>
  <c r="K1091" i="16" s="1"/>
  <c r="I1091" i="16"/>
  <c r="AC1090" i="16"/>
  <c r="AA1090" i="16"/>
  <c r="AB1090" i="16" s="1"/>
  <c r="Q1090" i="16"/>
  <c r="P1090" i="16"/>
  <c r="N1090" i="16"/>
  <c r="L1090" i="16"/>
  <c r="M1090" i="16" s="1"/>
  <c r="J1090" i="16"/>
  <c r="K1090" i="16" s="1"/>
  <c r="I1090" i="16"/>
  <c r="AC1089" i="16"/>
  <c r="AA1089" i="16"/>
  <c r="AB1089" i="16" s="1"/>
  <c r="Q1089" i="16"/>
  <c r="P1089" i="16"/>
  <c r="N1089" i="16"/>
  <c r="L1089" i="16"/>
  <c r="M1089" i="16" s="1"/>
  <c r="J1089" i="16"/>
  <c r="K1089" i="16" s="1"/>
  <c r="I1089" i="16"/>
  <c r="AC1088" i="16"/>
  <c r="AA1088" i="16"/>
  <c r="AB1088" i="16" s="1"/>
  <c r="Q1088" i="16"/>
  <c r="P1088" i="16"/>
  <c r="N1088" i="16"/>
  <c r="L1088" i="16"/>
  <c r="M1088" i="16" s="1"/>
  <c r="J1088" i="16"/>
  <c r="K1088" i="16" s="1"/>
  <c r="I1088" i="16"/>
  <c r="AC1087" i="16"/>
  <c r="AA1087" i="16"/>
  <c r="AB1087" i="16" s="1"/>
  <c r="Q1087" i="16"/>
  <c r="P1087" i="16"/>
  <c r="N1087" i="16"/>
  <c r="L1087" i="16"/>
  <c r="M1087" i="16" s="1"/>
  <c r="J1087" i="16"/>
  <c r="K1087" i="16" s="1"/>
  <c r="I1087" i="16"/>
  <c r="AC1086" i="16"/>
  <c r="AA1086" i="16"/>
  <c r="AB1086" i="16" s="1"/>
  <c r="Q1086" i="16"/>
  <c r="P1086" i="16"/>
  <c r="N1086" i="16"/>
  <c r="L1086" i="16"/>
  <c r="M1086" i="16" s="1"/>
  <c r="J1086" i="16"/>
  <c r="K1086" i="16" s="1"/>
  <c r="I1086" i="16"/>
  <c r="AC1085" i="16"/>
  <c r="AA1085" i="16"/>
  <c r="AB1085" i="16" s="1"/>
  <c r="Q1085" i="16"/>
  <c r="P1085" i="16"/>
  <c r="N1085" i="16"/>
  <c r="L1085" i="16"/>
  <c r="M1085" i="16" s="1"/>
  <c r="J1085" i="16"/>
  <c r="K1085" i="16" s="1"/>
  <c r="I1085" i="16"/>
  <c r="AC1084" i="16"/>
  <c r="AA1084" i="16"/>
  <c r="AB1084" i="16" s="1"/>
  <c r="Q1084" i="16"/>
  <c r="P1084" i="16"/>
  <c r="N1084" i="16"/>
  <c r="L1084" i="16"/>
  <c r="M1084" i="16" s="1"/>
  <c r="J1084" i="16"/>
  <c r="K1084" i="16" s="1"/>
  <c r="I1084" i="16"/>
  <c r="AC1083" i="16"/>
  <c r="AA1083" i="16"/>
  <c r="AB1083" i="16" s="1"/>
  <c r="Q1083" i="16"/>
  <c r="P1083" i="16"/>
  <c r="N1083" i="16"/>
  <c r="L1083" i="16"/>
  <c r="M1083" i="16" s="1"/>
  <c r="J1083" i="16"/>
  <c r="K1083" i="16" s="1"/>
  <c r="I1083" i="16"/>
  <c r="AC1082" i="16"/>
  <c r="AA1082" i="16"/>
  <c r="AB1082" i="16" s="1"/>
  <c r="Q1082" i="16"/>
  <c r="P1082" i="16"/>
  <c r="N1082" i="16"/>
  <c r="L1082" i="16"/>
  <c r="M1082" i="16" s="1"/>
  <c r="J1082" i="16"/>
  <c r="K1082" i="16" s="1"/>
  <c r="I1082" i="16"/>
  <c r="AC1081" i="16"/>
  <c r="AA1081" i="16"/>
  <c r="AB1081" i="16" s="1"/>
  <c r="Q1081" i="16"/>
  <c r="P1081" i="16"/>
  <c r="N1081" i="16"/>
  <c r="L1081" i="16"/>
  <c r="M1081" i="16" s="1"/>
  <c r="J1081" i="16"/>
  <c r="K1081" i="16" s="1"/>
  <c r="I1081" i="16"/>
  <c r="AC1080" i="16"/>
  <c r="AA1080" i="16"/>
  <c r="AB1080" i="16" s="1"/>
  <c r="Q1080" i="16"/>
  <c r="P1080" i="16"/>
  <c r="N1080" i="16"/>
  <c r="L1080" i="16"/>
  <c r="M1080" i="16" s="1"/>
  <c r="J1080" i="16"/>
  <c r="K1080" i="16" s="1"/>
  <c r="I1080" i="16"/>
  <c r="AC1079" i="16"/>
  <c r="AA1079" i="16"/>
  <c r="AB1079" i="16" s="1"/>
  <c r="Q1079" i="16"/>
  <c r="P1079" i="16"/>
  <c r="N1079" i="16"/>
  <c r="L1079" i="16"/>
  <c r="M1079" i="16" s="1"/>
  <c r="J1079" i="16"/>
  <c r="K1079" i="16" s="1"/>
  <c r="I1079" i="16"/>
  <c r="AC1078" i="16"/>
  <c r="AA1078" i="16"/>
  <c r="AB1078" i="16" s="1"/>
  <c r="Q1078" i="16"/>
  <c r="P1078" i="16"/>
  <c r="N1078" i="16"/>
  <c r="L1078" i="16"/>
  <c r="M1078" i="16" s="1"/>
  <c r="J1078" i="16"/>
  <c r="K1078" i="16" s="1"/>
  <c r="I1078" i="16"/>
  <c r="AC1077" i="16"/>
  <c r="AA1077" i="16"/>
  <c r="AB1077" i="16" s="1"/>
  <c r="Q1077" i="16"/>
  <c r="P1077" i="16"/>
  <c r="N1077" i="16"/>
  <c r="L1077" i="16"/>
  <c r="M1077" i="16" s="1"/>
  <c r="J1077" i="16"/>
  <c r="K1077" i="16" s="1"/>
  <c r="I1077" i="16"/>
  <c r="AC1076" i="16"/>
  <c r="AA1076" i="16"/>
  <c r="AB1076" i="16" s="1"/>
  <c r="Q1076" i="16"/>
  <c r="P1076" i="16"/>
  <c r="N1076" i="16"/>
  <c r="L1076" i="16"/>
  <c r="M1076" i="16" s="1"/>
  <c r="J1076" i="16"/>
  <c r="K1076" i="16" s="1"/>
  <c r="I1076" i="16"/>
  <c r="AC1075" i="16"/>
  <c r="AA1075" i="16"/>
  <c r="AB1075" i="16" s="1"/>
  <c r="Q1075" i="16"/>
  <c r="P1075" i="16"/>
  <c r="N1075" i="16"/>
  <c r="L1075" i="16"/>
  <c r="M1075" i="16" s="1"/>
  <c r="J1075" i="16"/>
  <c r="K1075" i="16" s="1"/>
  <c r="I1075" i="16"/>
  <c r="AC1074" i="16"/>
  <c r="AA1074" i="16"/>
  <c r="AB1074" i="16" s="1"/>
  <c r="Q1074" i="16"/>
  <c r="P1074" i="16"/>
  <c r="N1074" i="16"/>
  <c r="L1074" i="16"/>
  <c r="M1074" i="16" s="1"/>
  <c r="J1074" i="16"/>
  <c r="K1074" i="16" s="1"/>
  <c r="I1074" i="16"/>
  <c r="AC1073" i="16"/>
  <c r="AA1073" i="16"/>
  <c r="AB1073" i="16" s="1"/>
  <c r="Q1073" i="16"/>
  <c r="P1073" i="16"/>
  <c r="N1073" i="16"/>
  <c r="L1073" i="16"/>
  <c r="M1073" i="16" s="1"/>
  <c r="J1073" i="16"/>
  <c r="K1073" i="16" s="1"/>
  <c r="I1073" i="16"/>
  <c r="AC1072" i="16"/>
  <c r="AA1072" i="16"/>
  <c r="AB1072" i="16" s="1"/>
  <c r="Q1072" i="16"/>
  <c r="P1072" i="16"/>
  <c r="N1072" i="16"/>
  <c r="L1072" i="16"/>
  <c r="M1072" i="16" s="1"/>
  <c r="J1072" i="16"/>
  <c r="K1072" i="16" s="1"/>
  <c r="I1072" i="16"/>
  <c r="AC1071" i="16"/>
  <c r="AA1071" i="16"/>
  <c r="AB1071" i="16" s="1"/>
  <c r="Q1071" i="16"/>
  <c r="P1071" i="16"/>
  <c r="N1071" i="16"/>
  <c r="L1071" i="16"/>
  <c r="M1071" i="16" s="1"/>
  <c r="J1071" i="16"/>
  <c r="K1071" i="16" s="1"/>
  <c r="I1071" i="16"/>
  <c r="AC1070" i="16"/>
  <c r="AA1070" i="16"/>
  <c r="AB1070" i="16" s="1"/>
  <c r="Q1070" i="16"/>
  <c r="P1070" i="16"/>
  <c r="N1070" i="16"/>
  <c r="L1070" i="16"/>
  <c r="M1070" i="16" s="1"/>
  <c r="J1070" i="16"/>
  <c r="K1070" i="16" s="1"/>
  <c r="I1070" i="16"/>
  <c r="AC1069" i="16"/>
  <c r="AA1069" i="16"/>
  <c r="AB1069" i="16" s="1"/>
  <c r="Q1069" i="16"/>
  <c r="P1069" i="16"/>
  <c r="N1069" i="16"/>
  <c r="L1069" i="16"/>
  <c r="M1069" i="16" s="1"/>
  <c r="J1069" i="16"/>
  <c r="K1069" i="16" s="1"/>
  <c r="I1069" i="16"/>
  <c r="AC1068" i="16"/>
  <c r="AA1068" i="16"/>
  <c r="AB1068" i="16" s="1"/>
  <c r="Q1068" i="16"/>
  <c r="P1068" i="16"/>
  <c r="N1068" i="16"/>
  <c r="L1068" i="16"/>
  <c r="M1068" i="16" s="1"/>
  <c r="J1068" i="16"/>
  <c r="K1068" i="16" s="1"/>
  <c r="I1068" i="16"/>
  <c r="AC1067" i="16"/>
  <c r="AA1067" i="16"/>
  <c r="AB1067" i="16" s="1"/>
  <c r="Q1067" i="16"/>
  <c r="P1067" i="16"/>
  <c r="N1067" i="16"/>
  <c r="L1067" i="16"/>
  <c r="M1067" i="16" s="1"/>
  <c r="J1067" i="16"/>
  <c r="K1067" i="16" s="1"/>
  <c r="I1067" i="16"/>
  <c r="AC1066" i="16"/>
  <c r="AA1066" i="16"/>
  <c r="AB1066" i="16" s="1"/>
  <c r="Q1066" i="16"/>
  <c r="P1066" i="16"/>
  <c r="N1066" i="16"/>
  <c r="L1066" i="16"/>
  <c r="M1066" i="16" s="1"/>
  <c r="J1066" i="16"/>
  <c r="K1066" i="16" s="1"/>
  <c r="I1066" i="16"/>
  <c r="AC1065" i="16"/>
  <c r="AA1065" i="16"/>
  <c r="AB1065" i="16" s="1"/>
  <c r="Q1065" i="16"/>
  <c r="P1065" i="16"/>
  <c r="N1065" i="16"/>
  <c r="L1065" i="16"/>
  <c r="M1065" i="16" s="1"/>
  <c r="J1065" i="16"/>
  <c r="K1065" i="16" s="1"/>
  <c r="I1065" i="16"/>
  <c r="AC1064" i="16"/>
  <c r="AA1064" i="16"/>
  <c r="AB1064" i="16" s="1"/>
  <c r="Q1064" i="16"/>
  <c r="P1064" i="16"/>
  <c r="N1064" i="16"/>
  <c r="L1064" i="16"/>
  <c r="M1064" i="16" s="1"/>
  <c r="J1064" i="16"/>
  <c r="K1064" i="16" s="1"/>
  <c r="I1064" i="16"/>
  <c r="AC1063" i="16"/>
  <c r="AA1063" i="16"/>
  <c r="AB1063" i="16" s="1"/>
  <c r="T1063" i="16"/>
  <c r="AE1063" i="16" s="1"/>
  <c r="R1063" i="16"/>
  <c r="Q1063" i="16"/>
  <c r="P1063" i="16"/>
  <c r="N1063" i="16"/>
  <c r="L1063" i="16"/>
  <c r="M1063" i="16" s="1"/>
  <c r="K1063" i="16"/>
  <c r="J1063" i="16"/>
  <c r="I1063" i="16"/>
  <c r="AC1062" i="16"/>
  <c r="AA1062" i="16"/>
  <c r="AB1062" i="16" s="1"/>
  <c r="Q1062" i="16"/>
  <c r="P1062" i="16"/>
  <c r="N1062" i="16"/>
  <c r="L1062" i="16"/>
  <c r="M1062" i="16" s="1"/>
  <c r="J1062" i="16"/>
  <c r="K1062" i="16" s="1"/>
  <c r="I1062" i="16"/>
  <c r="AC1061" i="16"/>
  <c r="AA1061" i="16"/>
  <c r="AB1061" i="16" s="1"/>
  <c r="Q1061" i="16"/>
  <c r="P1061" i="16"/>
  <c r="N1061" i="16"/>
  <c r="L1061" i="16"/>
  <c r="M1061" i="16" s="1"/>
  <c r="J1061" i="16"/>
  <c r="K1061" i="16" s="1"/>
  <c r="I1061" i="16"/>
  <c r="AC1060" i="16"/>
  <c r="AA1060" i="16"/>
  <c r="AB1060" i="16" s="1"/>
  <c r="Q1060" i="16"/>
  <c r="P1060" i="16"/>
  <c r="N1060" i="16"/>
  <c r="L1060" i="16"/>
  <c r="M1060" i="16" s="1"/>
  <c r="J1060" i="16"/>
  <c r="K1060" i="16" s="1"/>
  <c r="I1060" i="16"/>
  <c r="AC1059" i="16"/>
  <c r="AA1059" i="16"/>
  <c r="AB1059" i="16" s="1"/>
  <c r="Q1059" i="16"/>
  <c r="P1059" i="16"/>
  <c r="N1059" i="16"/>
  <c r="L1059" i="16"/>
  <c r="M1059" i="16" s="1"/>
  <c r="J1059" i="16"/>
  <c r="K1059" i="16" s="1"/>
  <c r="I1059" i="16"/>
  <c r="AC1058" i="16"/>
  <c r="AA1058" i="16"/>
  <c r="AB1058" i="16" s="1"/>
  <c r="Q1058" i="16"/>
  <c r="P1058" i="16"/>
  <c r="N1058" i="16"/>
  <c r="L1058" i="16"/>
  <c r="M1058" i="16" s="1"/>
  <c r="J1058" i="16"/>
  <c r="K1058" i="16" s="1"/>
  <c r="I1058" i="16"/>
  <c r="AC1057" i="16"/>
  <c r="AA1057" i="16"/>
  <c r="AB1057" i="16" s="1"/>
  <c r="Q1057" i="16"/>
  <c r="P1057" i="16"/>
  <c r="N1057" i="16"/>
  <c r="L1057" i="16"/>
  <c r="M1057" i="16" s="1"/>
  <c r="J1057" i="16"/>
  <c r="K1057" i="16" s="1"/>
  <c r="I1057" i="16"/>
  <c r="AC1056" i="16"/>
  <c r="AA1056" i="16"/>
  <c r="AB1056" i="16" s="1"/>
  <c r="Q1056" i="16"/>
  <c r="P1056" i="16"/>
  <c r="N1056" i="16"/>
  <c r="L1056" i="16"/>
  <c r="M1056" i="16" s="1"/>
  <c r="J1056" i="16"/>
  <c r="K1056" i="16" s="1"/>
  <c r="I1056" i="16"/>
  <c r="AC1055" i="16"/>
  <c r="AA1055" i="16"/>
  <c r="AB1055" i="16" s="1"/>
  <c r="T1055" i="16"/>
  <c r="AE1055" i="16" s="1"/>
  <c r="R1055" i="16"/>
  <c r="Q1055" i="16"/>
  <c r="P1055" i="16"/>
  <c r="N1055" i="16"/>
  <c r="L1055" i="16"/>
  <c r="M1055" i="16" s="1"/>
  <c r="K1055" i="16"/>
  <c r="J1055" i="16"/>
  <c r="I1055" i="16"/>
  <c r="AC1054" i="16"/>
  <c r="AA1054" i="16"/>
  <c r="AB1054" i="16" s="1"/>
  <c r="Q1054" i="16"/>
  <c r="P1054" i="16"/>
  <c r="N1054" i="16"/>
  <c r="L1054" i="16"/>
  <c r="M1054" i="16" s="1"/>
  <c r="J1054" i="16"/>
  <c r="K1054" i="16" s="1"/>
  <c r="I1054" i="16"/>
  <c r="AC1053" i="16"/>
  <c r="AA1053" i="16"/>
  <c r="AB1053" i="16" s="1"/>
  <c r="Q1053" i="16"/>
  <c r="P1053" i="16"/>
  <c r="N1053" i="16"/>
  <c r="L1053" i="16"/>
  <c r="M1053" i="16" s="1"/>
  <c r="J1053" i="16"/>
  <c r="K1053" i="16" s="1"/>
  <c r="I1053" i="16"/>
  <c r="AC1052" i="16"/>
  <c r="AA1052" i="16"/>
  <c r="AB1052" i="16" s="1"/>
  <c r="Q1052" i="16"/>
  <c r="P1052" i="16"/>
  <c r="N1052" i="16"/>
  <c r="L1052" i="16"/>
  <c r="M1052" i="16" s="1"/>
  <c r="J1052" i="16"/>
  <c r="K1052" i="16" s="1"/>
  <c r="I1052" i="16"/>
  <c r="AC1051" i="16"/>
  <c r="AA1051" i="16"/>
  <c r="AB1051" i="16" s="1"/>
  <c r="Q1051" i="16"/>
  <c r="P1051" i="16"/>
  <c r="N1051" i="16"/>
  <c r="L1051" i="16"/>
  <c r="M1051" i="16" s="1"/>
  <c r="J1051" i="16"/>
  <c r="K1051" i="16" s="1"/>
  <c r="I1051" i="16"/>
  <c r="AC1050" i="16"/>
  <c r="AA1050" i="16"/>
  <c r="AB1050" i="16" s="1"/>
  <c r="Q1050" i="16"/>
  <c r="P1050" i="16"/>
  <c r="N1050" i="16"/>
  <c r="L1050" i="16"/>
  <c r="M1050" i="16" s="1"/>
  <c r="J1050" i="16"/>
  <c r="K1050" i="16" s="1"/>
  <c r="I1050" i="16"/>
  <c r="AC1049" i="16"/>
  <c r="AA1049" i="16"/>
  <c r="AB1049" i="16" s="1"/>
  <c r="Q1049" i="16"/>
  <c r="P1049" i="16"/>
  <c r="N1049" i="16"/>
  <c r="L1049" i="16"/>
  <c r="M1049" i="16" s="1"/>
  <c r="J1049" i="16"/>
  <c r="K1049" i="16" s="1"/>
  <c r="I1049" i="16"/>
  <c r="AC1048" i="16"/>
  <c r="AA1048" i="16"/>
  <c r="AB1048" i="16" s="1"/>
  <c r="Q1048" i="16"/>
  <c r="P1048" i="16"/>
  <c r="N1048" i="16"/>
  <c r="L1048" i="16"/>
  <c r="M1048" i="16" s="1"/>
  <c r="J1048" i="16"/>
  <c r="K1048" i="16" s="1"/>
  <c r="I1048" i="16"/>
  <c r="AC1047" i="16"/>
  <c r="AA1047" i="16"/>
  <c r="AB1047" i="16" s="1"/>
  <c r="Q1047" i="16"/>
  <c r="P1047" i="16"/>
  <c r="N1047" i="16"/>
  <c r="L1047" i="16"/>
  <c r="M1047" i="16" s="1"/>
  <c r="J1047" i="16"/>
  <c r="K1047" i="16" s="1"/>
  <c r="I1047" i="16"/>
  <c r="AC1046" i="16"/>
  <c r="AA1046" i="16"/>
  <c r="AB1046" i="16" s="1"/>
  <c r="Q1046" i="16"/>
  <c r="P1046" i="16"/>
  <c r="N1046" i="16"/>
  <c r="L1046" i="16"/>
  <c r="M1046" i="16" s="1"/>
  <c r="J1046" i="16"/>
  <c r="K1046" i="16" s="1"/>
  <c r="I1046" i="16"/>
  <c r="AC1045" i="16"/>
  <c r="AA1045" i="16"/>
  <c r="AB1045" i="16" s="1"/>
  <c r="Q1045" i="16"/>
  <c r="P1045" i="16"/>
  <c r="N1045" i="16"/>
  <c r="L1045" i="16"/>
  <c r="M1045" i="16" s="1"/>
  <c r="J1045" i="16"/>
  <c r="K1045" i="16" s="1"/>
  <c r="I1045" i="16"/>
  <c r="AC1044" i="16"/>
  <c r="AA1044" i="16"/>
  <c r="AB1044" i="16" s="1"/>
  <c r="Q1044" i="16"/>
  <c r="P1044" i="16"/>
  <c r="N1044" i="16"/>
  <c r="L1044" i="16"/>
  <c r="M1044" i="16" s="1"/>
  <c r="J1044" i="16"/>
  <c r="K1044" i="16" s="1"/>
  <c r="I1044" i="16"/>
  <c r="AC1043" i="16"/>
  <c r="AA1043" i="16"/>
  <c r="AB1043" i="16" s="1"/>
  <c r="Q1043" i="16"/>
  <c r="P1043" i="16"/>
  <c r="N1043" i="16"/>
  <c r="L1043" i="16"/>
  <c r="M1043" i="16" s="1"/>
  <c r="J1043" i="16"/>
  <c r="K1043" i="16" s="1"/>
  <c r="I1043" i="16"/>
  <c r="AC1042" i="16"/>
  <c r="AA1042" i="16"/>
  <c r="AB1042" i="16" s="1"/>
  <c r="Q1042" i="16"/>
  <c r="P1042" i="16"/>
  <c r="N1042" i="16"/>
  <c r="L1042" i="16"/>
  <c r="M1042" i="16" s="1"/>
  <c r="J1042" i="16"/>
  <c r="K1042" i="16" s="1"/>
  <c r="I1042" i="16"/>
  <c r="AC1041" i="16"/>
  <c r="AA1041" i="16"/>
  <c r="AB1041" i="16" s="1"/>
  <c r="Q1041" i="16"/>
  <c r="P1041" i="16"/>
  <c r="N1041" i="16"/>
  <c r="L1041" i="16"/>
  <c r="M1041" i="16" s="1"/>
  <c r="J1041" i="16"/>
  <c r="K1041" i="16" s="1"/>
  <c r="I1041" i="16"/>
  <c r="AC1040" i="16"/>
  <c r="AA1040" i="16"/>
  <c r="AB1040" i="16" s="1"/>
  <c r="Q1040" i="16"/>
  <c r="P1040" i="16"/>
  <c r="N1040" i="16"/>
  <c r="L1040" i="16"/>
  <c r="M1040" i="16" s="1"/>
  <c r="J1040" i="16"/>
  <c r="K1040" i="16" s="1"/>
  <c r="I1040" i="16"/>
  <c r="AC1039" i="16"/>
  <c r="AA1039" i="16"/>
  <c r="AB1039" i="16" s="1"/>
  <c r="Q1039" i="16"/>
  <c r="P1039" i="16"/>
  <c r="N1039" i="16"/>
  <c r="L1039" i="16"/>
  <c r="M1039" i="16" s="1"/>
  <c r="J1039" i="16"/>
  <c r="K1039" i="16" s="1"/>
  <c r="I1039" i="16"/>
  <c r="AC1038" i="16"/>
  <c r="AA1038" i="16"/>
  <c r="AB1038" i="16" s="1"/>
  <c r="Q1038" i="16"/>
  <c r="P1038" i="16"/>
  <c r="N1038" i="16"/>
  <c r="L1038" i="16"/>
  <c r="M1038" i="16" s="1"/>
  <c r="J1038" i="16"/>
  <c r="K1038" i="16" s="1"/>
  <c r="I1038" i="16"/>
  <c r="AC1037" i="16"/>
  <c r="AA1037" i="16"/>
  <c r="AB1037" i="16" s="1"/>
  <c r="Q1037" i="16"/>
  <c r="P1037" i="16"/>
  <c r="N1037" i="16"/>
  <c r="L1037" i="16"/>
  <c r="M1037" i="16" s="1"/>
  <c r="J1037" i="16"/>
  <c r="K1037" i="16" s="1"/>
  <c r="I1037" i="16"/>
  <c r="AC1036" i="16"/>
  <c r="AA1036" i="16"/>
  <c r="AB1036" i="16" s="1"/>
  <c r="Q1036" i="16"/>
  <c r="P1036" i="16"/>
  <c r="N1036" i="16"/>
  <c r="L1036" i="16"/>
  <c r="M1036" i="16" s="1"/>
  <c r="J1036" i="16"/>
  <c r="K1036" i="16" s="1"/>
  <c r="I1036" i="16"/>
  <c r="AC1035" i="16"/>
  <c r="AA1035" i="16"/>
  <c r="AB1035" i="16" s="1"/>
  <c r="Q1035" i="16"/>
  <c r="P1035" i="16"/>
  <c r="N1035" i="16"/>
  <c r="L1035" i="16"/>
  <c r="M1035" i="16" s="1"/>
  <c r="J1035" i="16"/>
  <c r="K1035" i="16" s="1"/>
  <c r="I1035" i="16"/>
  <c r="AC1034" i="16"/>
  <c r="AA1034" i="16"/>
  <c r="AB1034" i="16" s="1"/>
  <c r="Q1034" i="16"/>
  <c r="P1034" i="16"/>
  <c r="N1034" i="16"/>
  <c r="L1034" i="16"/>
  <c r="M1034" i="16" s="1"/>
  <c r="J1034" i="16"/>
  <c r="K1034" i="16" s="1"/>
  <c r="I1034" i="16"/>
  <c r="AC1033" i="16"/>
  <c r="AA1033" i="16"/>
  <c r="AB1033" i="16" s="1"/>
  <c r="Q1033" i="16"/>
  <c r="P1033" i="16"/>
  <c r="N1033" i="16"/>
  <c r="L1033" i="16"/>
  <c r="M1033" i="16" s="1"/>
  <c r="J1033" i="16"/>
  <c r="K1033" i="16" s="1"/>
  <c r="I1033" i="16"/>
  <c r="AC1032" i="16"/>
  <c r="AA1032" i="16"/>
  <c r="AB1032" i="16" s="1"/>
  <c r="Q1032" i="16"/>
  <c r="P1032" i="16"/>
  <c r="N1032" i="16"/>
  <c r="L1032" i="16"/>
  <c r="M1032" i="16" s="1"/>
  <c r="J1032" i="16"/>
  <c r="K1032" i="16" s="1"/>
  <c r="I1032" i="16"/>
  <c r="AC1031" i="16"/>
  <c r="AA1031" i="16"/>
  <c r="AB1031" i="16" s="1"/>
  <c r="Q1031" i="16"/>
  <c r="P1031" i="16"/>
  <c r="N1031" i="16"/>
  <c r="L1031" i="16"/>
  <c r="M1031" i="16" s="1"/>
  <c r="J1031" i="16"/>
  <c r="K1031" i="16" s="1"/>
  <c r="I1031" i="16"/>
  <c r="AC1030" i="16"/>
  <c r="AA1030" i="16"/>
  <c r="AB1030" i="16" s="1"/>
  <c r="Q1030" i="16"/>
  <c r="P1030" i="16"/>
  <c r="N1030" i="16"/>
  <c r="L1030" i="16"/>
  <c r="M1030" i="16" s="1"/>
  <c r="J1030" i="16"/>
  <c r="K1030" i="16" s="1"/>
  <c r="I1030" i="16"/>
  <c r="AC1029" i="16"/>
  <c r="AA1029" i="16"/>
  <c r="AB1029" i="16" s="1"/>
  <c r="Q1029" i="16"/>
  <c r="P1029" i="16"/>
  <c r="N1029" i="16"/>
  <c r="L1029" i="16"/>
  <c r="M1029" i="16" s="1"/>
  <c r="J1029" i="16"/>
  <c r="K1029" i="16" s="1"/>
  <c r="I1029" i="16"/>
  <c r="AC1028" i="16"/>
  <c r="AA1028" i="16"/>
  <c r="AB1028" i="16" s="1"/>
  <c r="Q1028" i="16"/>
  <c r="P1028" i="16"/>
  <c r="N1028" i="16"/>
  <c r="L1028" i="16"/>
  <c r="M1028" i="16" s="1"/>
  <c r="J1028" i="16"/>
  <c r="K1028" i="16" s="1"/>
  <c r="I1028" i="16"/>
  <c r="AC1027" i="16"/>
  <c r="AA1027" i="16"/>
  <c r="AB1027" i="16" s="1"/>
  <c r="Q1027" i="16"/>
  <c r="P1027" i="16"/>
  <c r="N1027" i="16"/>
  <c r="L1027" i="16"/>
  <c r="M1027" i="16" s="1"/>
  <c r="J1027" i="16"/>
  <c r="K1027" i="16" s="1"/>
  <c r="I1027" i="16"/>
  <c r="AC1026" i="16"/>
  <c r="AA1026" i="16"/>
  <c r="AB1026" i="16" s="1"/>
  <c r="Q1026" i="16"/>
  <c r="P1026" i="16"/>
  <c r="N1026" i="16"/>
  <c r="L1026" i="16"/>
  <c r="M1026" i="16" s="1"/>
  <c r="J1026" i="16"/>
  <c r="K1026" i="16" s="1"/>
  <c r="I1026" i="16"/>
  <c r="AC1025" i="16"/>
  <c r="AA1025" i="16"/>
  <c r="AB1025" i="16" s="1"/>
  <c r="Q1025" i="16"/>
  <c r="P1025" i="16"/>
  <c r="N1025" i="16"/>
  <c r="L1025" i="16"/>
  <c r="M1025" i="16" s="1"/>
  <c r="J1025" i="16"/>
  <c r="K1025" i="16" s="1"/>
  <c r="I1025" i="16"/>
  <c r="AC1024" i="16"/>
  <c r="AA1024" i="16"/>
  <c r="AB1024" i="16" s="1"/>
  <c r="Q1024" i="16"/>
  <c r="P1024" i="16"/>
  <c r="N1024" i="16"/>
  <c r="L1024" i="16"/>
  <c r="M1024" i="16" s="1"/>
  <c r="J1024" i="16"/>
  <c r="K1024" i="16" s="1"/>
  <c r="I1024" i="16"/>
  <c r="AC1023" i="16"/>
  <c r="AA1023" i="16"/>
  <c r="AB1023" i="16" s="1"/>
  <c r="Q1023" i="16"/>
  <c r="P1023" i="16"/>
  <c r="N1023" i="16"/>
  <c r="L1023" i="16"/>
  <c r="M1023" i="16" s="1"/>
  <c r="J1023" i="16"/>
  <c r="K1023" i="16" s="1"/>
  <c r="I1023" i="16"/>
  <c r="AC1022" i="16"/>
  <c r="AA1022" i="16"/>
  <c r="AB1022" i="16" s="1"/>
  <c r="Q1022" i="16"/>
  <c r="P1022" i="16"/>
  <c r="N1022" i="16"/>
  <c r="L1022" i="16"/>
  <c r="M1022" i="16" s="1"/>
  <c r="J1022" i="16"/>
  <c r="K1022" i="16" s="1"/>
  <c r="I1022" i="16"/>
  <c r="AC1021" i="16"/>
  <c r="AA1021" i="16"/>
  <c r="AB1021" i="16" s="1"/>
  <c r="Q1021" i="16"/>
  <c r="P1021" i="16"/>
  <c r="N1021" i="16"/>
  <c r="L1021" i="16"/>
  <c r="M1021" i="16" s="1"/>
  <c r="J1021" i="16"/>
  <c r="K1021" i="16" s="1"/>
  <c r="I1021" i="16"/>
  <c r="AC1020" i="16"/>
  <c r="AA1020" i="16"/>
  <c r="AB1020" i="16" s="1"/>
  <c r="Q1020" i="16"/>
  <c r="P1020" i="16"/>
  <c r="N1020" i="16"/>
  <c r="L1020" i="16"/>
  <c r="M1020" i="16" s="1"/>
  <c r="J1020" i="16"/>
  <c r="K1020" i="16" s="1"/>
  <c r="I1020" i="16"/>
  <c r="AC1019" i="16"/>
  <c r="AA1019" i="16"/>
  <c r="AB1019" i="16" s="1"/>
  <c r="Q1019" i="16"/>
  <c r="P1019" i="16"/>
  <c r="N1019" i="16"/>
  <c r="L1019" i="16"/>
  <c r="M1019" i="16" s="1"/>
  <c r="J1019" i="16"/>
  <c r="K1019" i="16" s="1"/>
  <c r="I1019" i="16"/>
  <c r="AC1018" i="16"/>
  <c r="AA1018" i="16"/>
  <c r="AB1018" i="16" s="1"/>
  <c r="Q1018" i="16"/>
  <c r="P1018" i="16"/>
  <c r="N1018" i="16"/>
  <c r="L1018" i="16"/>
  <c r="M1018" i="16" s="1"/>
  <c r="J1018" i="16"/>
  <c r="K1018" i="16" s="1"/>
  <c r="I1018" i="16"/>
  <c r="AC1017" i="16"/>
  <c r="AA1017" i="16"/>
  <c r="AB1017" i="16" s="1"/>
  <c r="Q1017" i="16"/>
  <c r="P1017" i="16"/>
  <c r="N1017" i="16"/>
  <c r="L1017" i="16"/>
  <c r="M1017" i="16" s="1"/>
  <c r="J1017" i="16"/>
  <c r="K1017" i="16" s="1"/>
  <c r="I1017" i="16"/>
  <c r="AC1016" i="16"/>
  <c r="AA1016" i="16"/>
  <c r="AB1016" i="16" s="1"/>
  <c r="Q1016" i="16"/>
  <c r="P1016" i="16"/>
  <c r="N1016" i="16"/>
  <c r="L1016" i="16"/>
  <c r="M1016" i="16" s="1"/>
  <c r="J1016" i="16"/>
  <c r="K1016" i="16" s="1"/>
  <c r="I1016" i="16"/>
  <c r="AC1015" i="16"/>
  <c r="AA1015" i="16"/>
  <c r="AB1015" i="16" s="1"/>
  <c r="Q1015" i="16"/>
  <c r="P1015" i="16"/>
  <c r="N1015" i="16"/>
  <c r="L1015" i="16"/>
  <c r="M1015" i="16" s="1"/>
  <c r="J1015" i="16"/>
  <c r="K1015" i="16" s="1"/>
  <c r="I1015" i="16"/>
  <c r="AC1014" i="16"/>
  <c r="AA1014" i="16"/>
  <c r="AB1014" i="16" s="1"/>
  <c r="Q1014" i="16"/>
  <c r="P1014" i="16"/>
  <c r="N1014" i="16"/>
  <c r="L1014" i="16"/>
  <c r="M1014" i="16" s="1"/>
  <c r="J1014" i="16"/>
  <c r="K1014" i="16" s="1"/>
  <c r="I1014" i="16"/>
  <c r="AC1013" i="16"/>
  <c r="AA1013" i="16"/>
  <c r="AB1013" i="16" s="1"/>
  <c r="Q1013" i="16"/>
  <c r="P1013" i="16"/>
  <c r="N1013" i="16"/>
  <c r="L1013" i="16"/>
  <c r="M1013" i="16" s="1"/>
  <c r="J1013" i="16"/>
  <c r="K1013" i="16" s="1"/>
  <c r="I1013" i="16"/>
  <c r="AC1012" i="16"/>
  <c r="AA1012" i="16"/>
  <c r="AB1012" i="16" s="1"/>
  <c r="Q1012" i="16"/>
  <c r="P1012" i="16"/>
  <c r="N1012" i="16"/>
  <c r="L1012" i="16"/>
  <c r="M1012" i="16" s="1"/>
  <c r="J1012" i="16"/>
  <c r="K1012" i="16" s="1"/>
  <c r="I1012" i="16"/>
  <c r="AC1011" i="16"/>
  <c r="AA1011" i="16"/>
  <c r="AB1011" i="16" s="1"/>
  <c r="Q1011" i="16"/>
  <c r="P1011" i="16"/>
  <c r="N1011" i="16"/>
  <c r="L1011" i="16"/>
  <c r="M1011" i="16" s="1"/>
  <c r="J1011" i="16"/>
  <c r="K1011" i="16" s="1"/>
  <c r="I1011" i="16"/>
  <c r="AC1010" i="16"/>
  <c r="AA1010" i="16"/>
  <c r="AB1010" i="16" s="1"/>
  <c r="Q1010" i="16"/>
  <c r="P1010" i="16"/>
  <c r="N1010" i="16"/>
  <c r="L1010" i="16"/>
  <c r="M1010" i="16" s="1"/>
  <c r="J1010" i="16"/>
  <c r="K1010" i="16" s="1"/>
  <c r="I1010" i="16"/>
  <c r="AC1009" i="16"/>
  <c r="AA1009" i="16"/>
  <c r="AB1009" i="16" s="1"/>
  <c r="Q1009" i="16"/>
  <c r="P1009" i="16"/>
  <c r="N1009" i="16"/>
  <c r="L1009" i="16"/>
  <c r="M1009" i="16" s="1"/>
  <c r="J1009" i="16"/>
  <c r="K1009" i="16" s="1"/>
  <c r="I1009" i="16"/>
  <c r="AC1008" i="16"/>
  <c r="AA1008" i="16"/>
  <c r="AB1008" i="16" s="1"/>
  <c r="T1008" i="16"/>
  <c r="AE1008" i="16" s="1"/>
  <c r="R1008" i="16"/>
  <c r="Q1008" i="16"/>
  <c r="P1008" i="16"/>
  <c r="N1008" i="16"/>
  <c r="L1008" i="16"/>
  <c r="M1008" i="16" s="1"/>
  <c r="K1008" i="16"/>
  <c r="J1008" i="16"/>
  <c r="I1008" i="16"/>
  <c r="AC1007" i="16"/>
  <c r="AA1007" i="16"/>
  <c r="AB1007" i="16" s="1"/>
  <c r="Q1007" i="16"/>
  <c r="P1007" i="16"/>
  <c r="N1007" i="16"/>
  <c r="L1007" i="16"/>
  <c r="M1007" i="16" s="1"/>
  <c r="J1007" i="16"/>
  <c r="K1007" i="16" s="1"/>
  <c r="I1007" i="16"/>
  <c r="AC1006" i="16"/>
  <c r="AA1006" i="16"/>
  <c r="AB1006" i="16" s="1"/>
  <c r="Q1006" i="16"/>
  <c r="P1006" i="16"/>
  <c r="N1006" i="16"/>
  <c r="L1006" i="16"/>
  <c r="M1006" i="16" s="1"/>
  <c r="J1006" i="16"/>
  <c r="K1006" i="16" s="1"/>
  <c r="I1006" i="16"/>
  <c r="AC1005" i="16"/>
  <c r="AA1005" i="16"/>
  <c r="AB1005" i="16" s="1"/>
  <c r="Q1005" i="16"/>
  <c r="P1005" i="16"/>
  <c r="N1005" i="16"/>
  <c r="L1005" i="16"/>
  <c r="M1005" i="16" s="1"/>
  <c r="J1005" i="16"/>
  <c r="K1005" i="16" s="1"/>
  <c r="I1005" i="16"/>
  <c r="AC1004" i="16"/>
  <c r="AA1004" i="16"/>
  <c r="AB1004" i="16" s="1"/>
  <c r="Q1004" i="16"/>
  <c r="P1004" i="16"/>
  <c r="N1004" i="16"/>
  <c r="L1004" i="16"/>
  <c r="M1004" i="16" s="1"/>
  <c r="J1004" i="16"/>
  <c r="K1004" i="16" s="1"/>
  <c r="I1004" i="16"/>
  <c r="AC1003" i="16"/>
  <c r="AA1003" i="16"/>
  <c r="AB1003" i="16" s="1"/>
  <c r="Q1003" i="16"/>
  <c r="P1003" i="16"/>
  <c r="N1003" i="16"/>
  <c r="L1003" i="16"/>
  <c r="M1003" i="16" s="1"/>
  <c r="J1003" i="16"/>
  <c r="K1003" i="16" s="1"/>
  <c r="I1003" i="16"/>
  <c r="AC1002" i="16"/>
  <c r="AA1002" i="16"/>
  <c r="AB1002" i="16" s="1"/>
  <c r="Q1002" i="16"/>
  <c r="P1002" i="16"/>
  <c r="N1002" i="16"/>
  <c r="L1002" i="16"/>
  <c r="M1002" i="16" s="1"/>
  <c r="J1002" i="16"/>
  <c r="K1002" i="16" s="1"/>
  <c r="I1002" i="16"/>
  <c r="AC1001" i="16"/>
  <c r="AA1001" i="16"/>
  <c r="AB1001" i="16" s="1"/>
  <c r="Q1001" i="16"/>
  <c r="P1001" i="16"/>
  <c r="N1001" i="16"/>
  <c r="L1001" i="16"/>
  <c r="M1001" i="16" s="1"/>
  <c r="J1001" i="16"/>
  <c r="K1001" i="16" s="1"/>
  <c r="I1001" i="16"/>
  <c r="AC1000" i="16"/>
  <c r="AA1000" i="16"/>
  <c r="AB1000" i="16" s="1"/>
  <c r="Q1000" i="16"/>
  <c r="P1000" i="16"/>
  <c r="N1000" i="16"/>
  <c r="L1000" i="16"/>
  <c r="M1000" i="16" s="1"/>
  <c r="J1000" i="16"/>
  <c r="K1000" i="16" s="1"/>
  <c r="I1000" i="16"/>
  <c r="AC999" i="16"/>
  <c r="AA999" i="16"/>
  <c r="AB999" i="16" s="1"/>
  <c r="Q999" i="16"/>
  <c r="P999" i="16"/>
  <c r="N999" i="16"/>
  <c r="L999" i="16"/>
  <c r="M999" i="16" s="1"/>
  <c r="J999" i="16"/>
  <c r="K999" i="16" s="1"/>
  <c r="I999" i="16"/>
  <c r="AC998" i="16"/>
  <c r="AA998" i="16"/>
  <c r="AB998" i="16" s="1"/>
  <c r="Q998" i="16"/>
  <c r="P998" i="16"/>
  <c r="N998" i="16"/>
  <c r="L998" i="16"/>
  <c r="M998" i="16" s="1"/>
  <c r="J998" i="16"/>
  <c r="K998" i="16" s="1"/>
  <c r="I998" i="16"/>
  <c r="AC997" i="16"/>
  <c r="AA997" i="16"/>
  <c r="AB997" i="16" s="1"/>
  <c r="Q997" i="16"/>
  <c r="P997" i="16"/>
  <c r="N997" i="16"/>
  <c r="L997" i="16"/>
  <c r="M997" i="16" s="1"/>
  <c r="J997" i="16"/>
  <c r="K997" i="16" s="1"/>
  <c r="I997" i="16"/>
  <c r="AC996" i="16"/>
  <c r="AA996" i="16"/>
  <c r="AB996" i="16" s="1"/>
  <c r="Q996" i="16"/>
  <c r="P996" i="16"/>
  <c r="N996" i="16"/>
  <c r="L996" i="16"/>
  <c r="M996" i="16" s="1"/>
  <c r="J996" i="16"/>
  <c r="K996" i="16" s="1"/>
  <c r="I996" i="16"/>
  <c r="AC995" i="16"/>
  <c r="AA995" i="16"/>
  <c r="AB995" i="16" s="1"/>
  <c r="Q995" i="16"/>
  <c r="P995" i="16"/>
  <c r="N995" i="16"/>
  <c r="L995" i="16"/>
  <c r="M995" i="16" s="1"/>
  <c r="J995" i="16"/>
  <c r="K995" i="16" s="1"/>
  <c r="I995" i="16"/>
  <c r="AC994" i="16"/>
  <c r="AA994" i="16"/>
  <c r="AB994" i="16" s="1"/>
  <c r="Q994" i="16"/>
  <c r="P994" i="16"/>
  <c r="N994" i="16"/>
  <c r="L994" i="16"/>
  <c r="M994" i="16" s="1"/>
  <c r="J994" i="16"/>
  <c r="K994" i="16" s="1"/>
  <c r="I994" i="16"/>
  <c r="AC993" i="16"/>
  <c r="AA993" i="16"/>
  <c r="AB993" i="16" s="1"/>
  <c r="Q993" i="16"/>
  <c r="P993" i="16"/>
  <c r="N993" i="16"/>
  <c r="L993" i="16"/>
  <c r="M993" i="16" s="1"/>
  <c r="J993" i="16"/>
  <c r="K993" i="16" s="1"/>
  <c r="I993" i="16"/>
  <c r="AC992" i="16"/>
  <c r="AA992" i="16"/>
  <c r="AB992" i="16" s="1"/>
  <c r="Q992" i="16"/>
  <c r="P992" i="16"/>
  <c r="N992" i="16"/>
  <c r="L992" i="16"/>
  <c r="M992" i="16" s="1"/>
  <c r="J992" i="16"/>
  <c r="K992" i="16" s="1"/>
  <c r="I992" i="16"/>
  <c r="AC991" i="16"/>
  <c r="AA991" i="16"/>
  <c r="AB991" i="16" s="1"/>
  <c r="Q991" i="16"/>
  <c r="P991" i="16"/>
  <c r="N991" i="16"/>
  <c r="L991" i="16"/>
  <c r="M991" i="16" s="1"/>
  <c r="J991" i="16"/>
  <c r="K991" i="16" s="1"/>
  <c r="I991" i="16"/>
  <c r="AC990" i="16"/>
  <c r="AA990" i="16"/>
  <c r="AB990" i="16" s="1"/>
  <c r="Q990" i="16"/>
  <c r="P990" i="16"/>
  <c r="N990" i="16"/>
  <c r="L990" i="16"/>
  <c r="M990" i="16" s="1"/>
  <c r="J990" i="16"/>
  <c r="K990" i="16" s="1"/>
  <c r="I990" i="16"/>
  <c r="AC989" i="16"/>
  <c r="AA989" i="16"/>
  <c r="AB989" i="16" s="1"/>
  <c r="Q989" i="16"/>
  <c r="P989" i="16"/>
  <c r="N989" i="16"/>
  <c r="L989" i="16"/>
  <c r="M989" i="16" s="1"/>
  <c r="J989" i="16"/>
  <c r="K989" i="16" s="1"/>
  <c r="I989" i="16"/>
  <c r="AC988" i="16"/>
  <c r="AA988" i="16"/>
  <c r="AB988" i="16" s="1"/>
  <c r="Q988" i="16"/>
  <c r="P988" i="16"/>
  <c r="N988" i="16"/>
  <c r="L988" i="16"/>
  <c r="M988" i="16" s="1"/>
  <c r="J988" i="16"/>
  <c r="K988" i="16" s="1"/>
  <c r="I988" i="16"/>
  <c r="AC987" i="16"/>
  <c r="AA987" i="16"/>
  <c r="AB987" i="16" s="1"/>
  <c r="T987" i="16"/>
  <c r="AE987" i="16" s="1"/>
  <c r="R987" i="16"/>
  <c r="Q987" i="16"/>
  <c r="P987" i="16"/>
  <c r="N987" i="16"/>
  <c r="L987" i="16"/>
  <c r="M987" i="16" s="1"/>
  <c r="K987" i="16"/>
  <c r="J987" i="16"/>
  <c r="I987" i="16"/>
  <c r="AC986" i="16"/>
  <c r="AA986" i="16"/>
  <c r="AB986" i="16" s="1"/>
  <c r="Q986" i="16"/>
  <c r="P986" i="16"/>
  <c r="N986" i="16"/>
  <c r="L986" i="16"/>
  <c r="M986" i="16" s="1"/>
  <c r="J986" i="16"/>
  <c r="K986" i="16" s="1"/>
  <c r="I986" i="16"/>
  <c r="AC985" i="16"/>
  <c r="AA985" i="16"/>
  <c r="AB985" i="16" s="1"/>
  <c r="Q985" i="16"/>
  <c r="P985" i="16"/>
  <c r="N985" i="16"/>
  <c r="L985" i="16"/>
  <c r="M985" i="16" s="1"/>
  <c r="J985" i="16"/>
  <c r="K985" i="16" s="1"/>
  <c r="I985" i="16"/>
  <c r="AC984" i="16"/>
  <c r="AA984" i="16"/>
  <c r="AB984" i="16" s="1"/>
  <c r="Q984" i="16"/>
  <c r="P984" i="16"/>
  <c r="N984" i="16"/>
  <c r="L984" i="16"/>
  <c r="M984" i="16" s="1"/>
  <c r="J984" i="16"/>
  <c r="K984" i="16" s="1"/>
  <c r="I984" i="16"/>
  <c r="AC983" i="16"/>
  <c r="AA983" i="16"/>
  <c r="AB983" i="16" s="1"/>
  <c r="Q983" i="16"/>
  <c r="P983" i="16"/>
  <c r="N983" i="16"/>
  <c r="L983" i="16"/>
  <c r="M983" i="16" s="1"/>
  <c r="J983" i="16"/>
  <c r="K983" i="16" s="1"/>
  <c r="I983" i="16"/>
  <c r="AC982" i="16"/>
  <c r="AA982" i="16"/>
  <c r="AB982" i="16" s="1"/>
  <c r="Q982" i="16"/>
  <c r="P982" i="16"/>
  <c r="N982" i="16"/>
  <c r="L982" i="16"/>
  <c r="M982" i="16" s="1"/>
  <c r="J982" i="16"/>
  <c r="K982" i="16" s="1"/>
  <c r="I982" i="16"/>
  <c r="AC981" i="16"/>
  <c r="AA981" i="16"/>
  <c r="AB981" i="16" s="1"/>
  <c r="Q981" i="16"/>
  <c r="P981" i="16"/>
  <c r="N981" i="16"/>
  <c r="L981" i="16"/>
  <c r="M981" i="16" s="1"/>
  <c r="J981" i="16"/>
  <c r="K981" i="16" s="1"/>
  <c r="I981" i="16"/>
  <c r="AC980" i="16"/>
  <c r="AA980" i="16"/>
  <c r="AB980" i="16" s="1"/>
  <c r="Q980" i="16"/>
  <c r="P980" i="16"/>
  <c r="N980" i="16"/>
  <c r="L980" i="16"/>
  <c r="M980" i="16" s="1"/>
  <c r="J980" i="16"/>
  <c r="K980" i="16" s="1"/>
  <c r="I980" i="16"/>
  <c r="AC979" i="16"/>
  <c r="AA979" i="16"/>
  <c r="AB979" i="16" s="1"/>
  <c r="Q979" i="16"/>
  <c r="P979" i="16"/>
  <c r="N979" i="16"/>
  <c r="L979" i="16"/>
  <c r="M979" i="16" s="1"/>
  <c r="J979" i="16"/>
  <c r="K979" i="16" s="1"/>
  <c r="I979" i="16"/>
  <c r="AC978" i="16"/>
  <c r="AA978" i="16"/>
  <c r="AB978" i="16" s="1"/>
  <c r="Q978" i="16"/>
  <c r="P978" i="16"/>
  <c r="N978" i="16"/>
  <c r="L978" i="16"/>
  <c r="M978" i="16" s="1"/>
  <c r="J978" i="16"/>
  <c r="K978" i="16" s="1"/>
  <c r="I978" i="16"/>
  <c r="AC977" i="16"/>
  <c r="AA977" i="16"/>
  <c r="AB977" i="16" s="1"/>
  <c r="Q977" i="16"/>
  <c r="P977" i="16"/>
  <c r="N977" i="16"/>
  <c r="L977" i="16"/>
  <c r="M977" i="16" s="1"/>
  <c r="J977" i="16"/>
  <c r="K977" i="16" s="1"/>
  <c r="I977" i="16"/>
  <c r="AC976" i="16"/>
  <c r="AA976" i="16"/>
  <c r="AB976" i="16" s="1"/>
  <c r="Q976" i="16"/>
  <c r="P976" i="16"/>
  <c r="N976" i="16"/>
  <c r="L976" i="16"/>
  <c r="M976" i="16" s="1"/>
  <c r="J976" i="16"/>
  <c r="K976" i="16" s="1"/>
  <c r="I976" i="16"/>
  <c r="AC975" i="16"/>
  <c r="AA975" i="16"/>
  <c r="AB975" i="16" s="1"/>
  <c r="Q975" i="16"/>
  <c r="P975" i="16"/>
  <c r="N975" i="16"/>
  <c r="L975" i="16"/>
  <c r="M975" i="16" s="1"/>
  <c r="J975" i="16"/>
  <c r="K975" i="16" s="1"/>
  <c r="I975" i="16"/>
  <c r="AC974" i="16"/>
  <c r="AA974" i="16"/>
  <c r="AB974" i="16" s="1"/>
  <c r="Q974" i="16"/>
  <c r="P974" i="16"/>
  <c r="N974" i="16"/>
  <c r="L974" i="16"/>
  <c r="M974" i="16" s="1"/>
  <c r="J974" i="16"/>
  <c r="K974" i="16" s="1"/>
  <c r="I974" i="16"/>
  <c r="AC973" i="16"/>
  <c r="AA973" i="16"/>
  <c r="AB973" i="16" s="1"/>
  <c r="Q973" i="16"/>
  <c r="P973" i="16"/>
  <c r="N973" i="16"/>
  <c r="L973" i="16"/>
  <c r="M973" i="16" s="1"/>
  <c r="J973" i="16"/>
  <c r="K973" i="16" s="1"/>
  <c r="I973" i="16"/>
  <c r="AC972" i="16"/>
  <c r="AA972" i="16"/>
  <c r="AB972" i="16" s="1"/>
  <c r="Q972" i="16"/>
  <c r="P972" i="16"/>
  <c r="N972" i="16"/>
  <c r="L972" i="16"/>
  <c r="M972" i="16" s="1"/>
  <c r="J972" i="16"/>
  <c r="K972" i="16" s="1"/>
  <c r="I972" i="16"/>
  <c r="AC971" i="16"/>
  <c r="AA971" i="16"/>
  <c r="AB971" i="16" s="1"/>
  <c r="Q971" i="16"/>
  <c r="P971" i="16"/>
  <c r="N971" i="16"/>
  <c r="L971" i="16"/>
  <c r="M971" i="16" s="1"/>
  <c r="J971" i="16"/>
  <c r="K971" i="16" s="1"/>
  <c r="I971" i="16"/>
  <c r="AC970" i="16"/>
  <c r="AA970" i="16"/>
  <c r="AB970" i="16" s="1"/>
  <c r="Q970" i="16"/>
  <c r="P970" i="16"/>
  <c r="N970" i="16"/>
  <c r="L970" i="16"/>
  <c r="M970" i="16" s="1"/>
  <c r="J970" i="16"/>
  <c r="K970" i="16" s="1"/>
  <c r="I970" i="16"/>
  <c r="AC969" i="16"/>
  <c r="AA969" i="16"/>
  <c r="AB969" i="16" s="1"/>
  <c r="Q969" i="16"/>
  <c r="P969" i="16"/>
  <c r="N969" i="16"/>
  <c r="L969" i="16"/>
  <c r="M969" i="16" s="1"/>
  <c r="J969" i="16"/>
  <c r="K969" i="16" s="1"/>
  <c r="I969" i="16"/>
  <c r="AC968" i="16"/>
  <c r="AA968" i="16"/>
  <c r="AB968" i="16" s="1"/>
  <c r="Q968" i="16"/>
  <c r="P968" i="16"/>
  <c r="N968" i="16"/>
  <c r="L968" i="16"/>
  <c r="M968" i="16" s="1"/>
  <c r="J968" i="16"/>
  <c r="K968" i="16" s="1"/>
  <c r="I968" i="16"/>
  <c r="AC967" i="16"/>
  <c r="AA967" i="16"/>
  <c r="AB967" i="16" s="1"/>
  <c r="Q967" i="16"/>
  <c r="P967" i="16"/>
  <c r="N967" i="16"/>
  <c r="L967" i="16"/>
  <c r="M967" i="16" s="1"/>
  <c r="J967" i="16"/>
  <c r="K967" i="16" s="1"/>
  <c r="I967" i="16"/>
  <c r="AC966" i="16"/>
  <c r="AA966" i="16"/>
  <c r="AB966" i="16" s="1"/>
  <c r="Q966" i="16"/>
  <c r="P966" i="16"/>
  <c r="N966" i="16"/>
  <c r="L966" i="16"/>
  <c r="M966" i="16" s="1"/>
  <c r="J966" i="16"/>
  <c r="K966" i="16" s="1"/>
  <c r="I966" i="16"/>
  <c r="AC965" i="16"/>
  <c r="AA965" i="16"/>
  <c r="AB965" i="16" s="1"/>
  <c r="Q965" i="16"/>
  <c r="P965" i="16"/>
  <c r="N965" i="16"/>
  <c r="L965" i="16"/>
  <c r="M965" i="16" s="1"/>
  <c r="J965" i="16"/>
  <c r="K965" i="16" s="1"/>
  <c r="I965" i="16"/>
  <c r="AC964" i="16"/>
  <c r="AA964" i="16"/>
  <c r="AB964" i="16" s="1"/>
  <c r="T964" i="16"/>
  <c r="AE964" i="16" s="1"/>
  <c r="R964" i="16"/>
  <c r="Q964" i="16"/>
  <c r="P964" i="16"/>
  <c r="N964" i="16"/>
  <c r="L964" i="16"/>
  <c r="M964" i="16" s="1"/>
  <c r="K964" i="16"/>
  <c r="J964" i="16"/>
  <c r="I964" i="16"/>
  <c r="AC963" i="16"/>
  <c r="AA963" i="16"/>
  <c r="AB963" i="16" s="1"/>
  <c r="Q963" i="16"/>
  <c r="P963" i="16"/>
  <c r="N963" i="16"/>
  <c r="L963" i="16"/>
  <c r="M963" i="16" s="1"/>
  <c r="J963" i="16"/>
  <c r="K963" i="16" s="1"/>
  <c r="I963" i="16"/>
  <c r="AC962" i="16"/>
  <c r="AA962" i="16"/>
  <c r="AB962" i="16" s="1"/>
  <c r="Q962" i="16"/>
  <c r="P962" i="16"/>
  <c r="N962" i="16"/>
  <c r="L962" i="16"/>
  <c r="M962" i="16" s="1"/>
  <c r="J962" i="16"/>
  <c r="K962" i="16" s="1"/>
  <c r="I962" i="16"/>
  <c r="AC961" i="16"/>
  <c r="AA961" i="16"/>
  <c r="AB961" i="16" s="1"/>
  <c r="Q961" i="16"/>
  <c r="P961" i="16"/>
  <c r="N961" i="16"/>
  <c r="L961" i="16"/>
  <c r="M961" i="16" s="1"/>
  <c r="J961" i="16"/>
  <c r="K961" i="16" s="1"/>
  <c r="I961" i="16"/>
  <c r="AC960" i="16"/>
  <c r="AA960" i="16"/>
  <c r="AB960" i="16" s="1"/>
  <c r="Q960" i="16"/>
  <c r="P960" i="16"/>
  <c r="N960" i="16"/>
  <c r="L960" i="16"/>
  <c r="M960" i="16" s="1"/>
  <c r="J960" i="16"/>
  <c r="K960" i="16" s="1"/>
  <c r="I960" i="16"/>
  <c r="AC959" i="16"/>
  <c r="AA959" i="16"/>
  <c r="AB959" i="16" s="1"/>
  <c r="Q959" i="16"/>
  <c r="P959" i="16"/>
  <c r="N959" i="16"/>
  <c r="L959" i="16"/>
  <c r="M959" i="16" s="1"/>
  <c r="J959" i="16"/>
  <c r="K959" i="16" s="1"/>
  <c r="I959" i="16"/>
  <c r="AC958" i="16"/>
  <c r="AA958" i="16"/>
  <c r="AB958" i="16" s="1"/>
  <c r="Q958" i="16"/>
  <c r="P958" i="16"/>
  <c r="N958" i="16"/>
  <c r="L958" i="16"/>
  <c r="M958" i="16" s="1"/>
  <c r="J958" i="16"/>
  <c r="K958" i="16" s="1"/>
  <c r="I958" i="16"/>
  <c r="AC957" i="16"/>
  <c r="AA957" i="16"/>
  <c r="AB957" i="16" s="1"/>
  <c r="Q957" i="16"/>
  <c r="P957" i="16"/>
  <c r="N957" i="16"/>
  <c r="L957" i="16"/>
  <c r="M957" i="16" s="1"/>
  <c r="J957" i="16"/>
  <c r="K957" i="16" s="1"/>
  <c r="I957" i="16"/>
  <c r="AC956" i="16"/>
  <c r="AA956" i="16"/>
  <c r="AB956" i="16" s="1"/>
  <c r="Q956" i="16"/>
  <c r="P956" i="16"/>
  <c r="N956" i="16"/>
  <c r="L956" i="16"/>
  <c r="M956" i="16" s="1"/>
  <c r="J956" i="16"/>
  <c r="K956" i="16" s="1"/>
  <c r="I956" i="16"/>
  <c r="AC955" i="16"/>
  <c r="AA955" i="16"/>
  <c r="AB955" i="16" s="1"/>
  <c r="T955" i="16"/>
  <c r="AE955" i="16" s="1"/>
  <c r="R955" i="16"/>
  <c r="Q955" i="16"/>
  <c r="P955" i="16"/>
  <c r="N955" i="16"/>
  <c r="L955" i="16"/>
  <c r="M955" i="16" s="1"/>
  <c r="K955" i="16"/>
  <c r="J955" i="16"/>
  <c r="I955" i="16"/>
  <c r="AC954" i="16"/>
  <c r="AA954" i="16"/>
  <c r="AB954" i="16" s="1"/>
  <c r="Q954" i="16"/>
  <c r="P954" i="16"/>
  <c r="N954" i="16"/>
  <c r="L954" i="16"/>
  <c r="M954" i="16" s="1"/>
  <c r="J954" i="16"/>
  <c r="K954" i="16" s="1"/>
  <c r="I954" i="16"/>
  <c r="AC953" i="16"/>
  <c r="AA953" i="16"/>
  <c r="AB953" i="16" s="1"/>
  <c r="Q953" i="16"/>
  <c r="P953" i="16"/>
  <c r="N953" i="16"/>
  <c r="L953" i="16"/>
  <c r="M953" i="16" s="1"/>
  <c r="J953" i="16"/>
  <c r="K953" i="16" s="1"/>
  <c r="I953" i="16"/>
  <c r="AC952" i="16"/>
  <c r="AA952" i="16"/>
  <c r="AB952" i="16" s="1"/>
  <c r="Q952" i="16"/>
  <c r="P952" i="16"/>
  <c r="N952" i="16"/>
  <c r="L952" i="16"/>
  <c r="M952" i="16" s="1"/>
  <c r="J952" i="16"/>
  <c r="K952" i="16" s="1"/>
  <c r="I952" i="16"/>
  <c r="AC951" i="16"/>
  <c r="AA951" i="16"/>
  <c r="AB951" i="16" s="1"/>
  <c r="Q951" i="16"/>
  <c r="P951" i="16"/>
  <c r="N951" i="16"/>
  <c r="L951" i="16"/>
  <c r="M951" i="16" s="1"/>
  <c r="J951" i="16"/>
  <c r="K951" i="16" s="1"/>
  <c r="I951" i="16"/>
  <c r="AC950" i="16"/>
  <c r="AA950" i="16"/>
  <c r="AB950" i="16" s="1"/>
  <c r="Q950" i="16"/>
  <c r="P950" i="16"/>
  <c r="N950" i="16"/>
  <c r="L950" i="16"/>
  <c r="M950" i="16" s="1"/>
  <c r="J950" i="16"/>
  <c r="K950" i="16" s="1"/>
  <c r="I950" i="16"/>
  <c r="AC949" i="16"/>
  <c r="AA949" i="16"/>
  <c r="AB949" i="16" s="1"/>
  <c r="Q949" i="16"/>
  <c r="P949" i="16"/>
  <c r="N949" i="16"/>
  <c r="L949" i="16"/>
  <c r="M949" i="16" s="1"/>
  <c r="J949" i="16"/>
  <c r="K949" i="16" s="1"/>
  <c r="I949" i="16"/>
  <c r="AC948" i="16"/>
  <c r="AA948" i="16"/>
  <c r="AB948" i="16" s="1"/>
  <c r="Q948" i="16"/>
  <c r="P948" i="16"/>
  <c r="N948" i="16"/>
  <c r="L948" i="16"/>
  <c r="M948" i="16" s="1"/>
  <c r="J948" i="16"/>
  <c r="K948" i="16" s="1"/>
  <c r="I948" i="16"/>
  <c r="AC947" i="16"/>
  <c r="AA947" i="16"/>
  <c r="AB947" i="16" s="1"/>
  <c r="Q947" i="16"/>
  <c r="P947" i="16"/>
  <c r="N947" i="16"/>
  <c r="L947" i="16"/>
  <c r="M947" i="16" s="1"/>
  <c r="J947" i="16"/>
  <c r="K947" i="16" s="1"/>
  <c r="I947" i="16"/>
  <c r="AC946" i="16"/>
  <c r="AA946" i="16"/>
  <c r="AB946" i="16" s="1"/>
  <c r="Q946" i="16"/>
  <c r="P946" i="16"/>
  <c r="N946" i="16"/>
  <c r="L946" i="16"/>
  <c r="M946" i="16" s="1"/>
  <c r="J946" i="16"/>
  <c r="K946" i="16" s="1"/>
  <c r="I946" i="16"/>
  <c r="AC945" i="16"/>
  <c r="AA945" i="16"/>
  <c r="AB945" i="16" s="1"/>
  <c r="Q945" i="16"/>
  <c r="P945" i="16"/>
  <c r="N945" i="16"/>
  <c r="L945" i="16"/>
  <c r="M945" i="16" s="1"/>
  <c r="J945" i="16"/>
  <c r="K945" i="16" s="1"/>
  <c r="I945" i="16"/>
  <c r="AC944" i="16"/>
  <c r="AA944" i="16"/>
  <c r="AB944" i="16" s="1"/>
  <c r="Q944" i="16"/>
  <c r="P944" i="16"/>
  <c r="N944" i="16"/>
  <c r="L944" i="16"/>
  <c r="M944" i="16" s="1"/>
  <c r="J944" i="16"/>
  <c r="K944" i="16" s="1"/>
  <c r="I944" i="16"/>
  <c r="AC943" i="16"/>
  <c r="AA943" i="16"/>
  <c r="AB943" i="16" s="1"/>
  <c r="Q943" i="16"/>
  <c r="P943" i="16"/>
  <c r="N943" i="16"/>
  <c r="L943" i="16"/>
  <c r="M943" i="16" s="1"/>
  <c r="J943" i="16"/>
  <c r="K943" i="16" s="1"/>
  <c r="I943" i="16"/>
  <c r="AC942" i="16"/>
  <c r="AA942" i="16"/>
  <c r="AB942" i="16" s="1"/>
  <c r="Q942" i="16"/>
  <c r="P942" i="16"/>
  <c r="N942" i="16"/>
  <c r="L942" i="16"/>
  <c r="M942" i="16" s="1"/>
  <c r="J942" i="16"/>
  <c r="K942" i="16" s="1"/>
  <c r="I942" i="16"/>
  <c r="AC941" i="16"/>
  <c r="AA941" i="16"/>
  <c r="AB941" i="16" s="1"/>
  <c r="Q941" i="16"/>
  <c r="P941" i="16"/>
  <c r="N941" i="16"/>
  <c r="L941" i="16"/>
  <c r="M941" i="16" s="1"/>
  <c r="J941" i="16"/>
  <c r="K941" i="16" s="1"/>
  <c r="I941" i="16"/>
  <c r="AC940" i="16"/>
  <c r="AA940" i="16"/>
  <c r="AB940" i="16" s="1"/>
  <c r="Q940" i="16"/>
  <c r="P940" i="16"/>
  <c r="N940" i="16"/>
  <c r="L940" i="16"/>
  <c r="M940" i="16" s="1"/>
  <c r="J940" i="16"/>
  <c r="K940" i="16" s="1"/>
  <c r="I940" i="16"/>
  <c r="AC939" i="16"/>
  <c r="AA939" i="16"/>
  <c r="AB939" i="16" s="1"/>
  <c r="Q939" i="16"/>
  <c r="P939" i="16"/>
  <c r="N939" i="16"/>
  <c r="L939" i="16"/>
  <c r="M939" i="16" s="1"/>
  <c r="J939" i="16"/>
  <c r="K939" i="16" s="1"/>
  <c r="I939" i="16"/>
  <c r="AC938" i="16"/>
  <c r="AA938" i="16"/>
  <c r="AB938" i="16" s="1"/>
  <c r="Q938" i="16"/>
  <c r="P938" i="16"/>
  <c r="N938" i="16"/>
  <c r="L938" i="16"/>
  <c r="M938" i="16" s="1"/>
  <c r="J938" i="16"/>
  <c r="K938" i="16" s="1"/>
  <c r="I938" i="16"/>
  <c r="AC937" i="16"/>
  <c r="AA937" i="16"/>
  <c r="AB937" i="16" s="1"/>
  <c r="Q937" i="16"/>
  <c r="P937" i="16"/>
  <c r="N937" i="16"/>
  <c r="L937" i="16"/>
  <c r="M937" i="16" s="1"/>
  <c r="J937" i="16"/>
  <c r="K937" i="16" s="1"/>
  <c r="I937" i="16"/>
  <c r="AC936" i="16"/>
  <c r="AA936" i="16"/>
  <c r="AB936" i="16" s="1"/>
  <c r="Q936" i="16"/>
  <c r="P936" i="16"/>
  <c r="N936" i="16"/>
  <c r="L936" i="16"/>
  <c r="M936" i="16" s="1"/>
  <c r="J936" i="16"/>
  <c r="K936" i="16" s="1"/>
  <c r="I936" i="16"/>
  <c r="AC935" i="16"/>
  <c r="AA935" i="16"/>
  <c r="AB935" i="16" s="1"/>
  <c r="Q935" i="16"/>
  <c r="P935" i="16"/>
  <c r="N935" i="16"/>
  <c r="L935" i="16"/>
  <c r="M935" i="16" s="1"/>
  <c r="J935" i="16"/>
  <c r="K935" i="16" s="1"/>
  <c r="I935" i="16"/>
  <c r="AC934" i="16"/>
  <c r="AA934" i="16"/>
  <c r="AB934" i="16" s="1"/>
  <c r="Q934" i="16"/>
  <c r="P934" i="16"/>
  <c r="N934" i="16"/>
  <c r="L934" i="16"/>
  <c r="M934" i="16" s="1"/>
  <c r="J934" i="16"/>
  <c r="K934" i="16" s="1"/>
  <c r="I934" i="16"/>
  <c r="AC933" i="16"/>
  <c r="AA933" i="16"/>
  <c r="AB933" i="16" s="1"/>
  <c r="Q933" i="16"/>
  <c r="P933" i="16"/>
  <c r="N933" i="16"/>
  <c r="L933" i="16"/>
  <c r="M933" i="16" s="1"/>
  <c r="J933" i="16"/>
  <c r="K933" i="16" s="1"/>
  <c r="I933" i="16"/>
  <c r="AC932" i="16"/>
  <c r="AA932" i="16"/>
  <c r="AB932" i="16" s="1"/>
  <c r="Q932" i="16"/>
  <c r="P932" i="16"/>
  <c r="N932" i="16"/>
  <c r="L932" i="16"/>
  <c r="M932" i="16" s="1"/>
  <c r="J932" i="16"/>
  <c r="K932" i="16" s="1"/>
  <c r="I932" i="16"/>
  <c r="AC931" i="16"/>
  <c r="AA931" i="16"/>
  <c r="AB931" i="16" s="1"/>
  <c r="Q931" i="16"/>
  <c r="P931" i="16"/>
  <c r="N931" i="16"/>
  <c r="L931" i="16"/>
  <c r="M931" i="16" s="1"/>
  <c r="J931" i="16"/>
  <c r="K931" i="16" s="1"/>
  <c r="I931" i="16"/>
  <c r="AC930" i="16"/>
  <c r="AA930" i="16"/>
  <c r="AB930" i="16" s="1"/>
  <c r="Q930" i="16"/>
  <c r="P930" i="16"/>
  <c r="N930" i="16"/>
  <c r="L930" i="16"/>
  <c r="M930" i="16" s="1"/>
  <c r="J930" i="16"/>
  <c r="K930" i="16" s="1"/>
  <c r="I930" i="16"/>
  <c r="AC929" i="16"/>
  <c r="AA929" i="16"/>
  <c r="AB929" i="16" s="1"/>
  <c r="Q929" i="16"/>
  <c r="P929" i="16"/>
  <c r="N929" i="16"/>
  <c r="L929" i="16"/>
  <c r="M929" i="16" s="1"/>
  <c r="J929" i="16"/>
  <c r="K929" i="16" s="1"/>
  <c r="I929" i="16"/>
  <c r="AC928" i="16"/>
  <c r="AA928" i="16"/>
  <c r="AB928" i="16" s="1"/>
  <c r="Q928" i="16"/>
  <c r="P928" i="16"/>
  <c r="N928" i="16"/>
  <c r="L928" i="16"/>
  <c r="M928" i="16" s="1"/>
  <c r="J928" i="16"/>
  <c r="K928" i="16" s="1"/>
  <c r="I928" i="16"/>
  <c r="AC927" i="16"/>
  <c r="AA927" i="16"/>
  <c r="AB927" i="16" s="1"/>
  <c r="Q927" i="16"/>
  <c r="P927" i="16"/>
  <c r="N927" i="16"/>
  <c r="L927" i="16"/>
  <c r="M927" i="16" s="1"/>
  <c r="J927" i="16"/>
  <c r="K927" i="16" s="1"/>
  <c r="I927" i="16"/>
  <c r="AC926" i="16"/>
  <c r="AA926" i="16"/>
  <c r="AB926" i="16" s="1"/>
  <c r="Q926" i="16"/>
  <c r="P926" i="16"/>
  <c r="N926" i="16"/>
  <c r="L926" i="16"/>
  <c r="M926" i="16" s="1"/>
  <c r="J926" i="16"/>
  <c r="K926" i="16" s="1"/>
  <c r="I926" i="16"/>
  <c r="AC925" i="16"/>
  <c r="AA925" i="16"/>
  <c r="AB925" i="16" s="1"/>
  <c r="Q925" i="16"/>
  <c r="P925" i="16"/>
  <c r="N925" i="16"/>
  <c r="L925" i="16"/>
  <c r="M925" i="16" s="1"/>
  <c r="J925" i="16"/>
  <c r="K925" i="16" s="1"/>
  <c r="I925" i="16"/>
  <c r="AC924" i="16"/>
  <c r="AA924" i="16"/>
  <c r="AB924" i="16" s="1"/>
  <c r="Q924" i="16"/>
  <c r="P924" i="16"/>
  <c r="N924" i="16"/>
  <c r="L924" i="16"/>
  <c r="M924" i="16" s="1"/>
  <c r="J924" i="16"/>
  <c r="K924" i="16" s="1"/>
  <c r="I924" i="16"/>
  <c r="AC923" i="16"/>
  <c r="AA923" i="16"/>
  <c r="AB923" i="16" s="1"/>
  <c r="Q923" i="16"/>
  <c r="P923" i="16"/>
  <c r="N923" i="16"/>
  <c r="L923" i="16"/>
  <c r="M923" i="16" s="1"/>
  <c r="J923" i="16"/>
  <c r="K923" i="16" s="1"/>
  <c r="I923" i="16"/>
  <c r="AC922" i="16"/>
  <c r="AA922" i="16"/>
  <c r="AB922" i="16" s="1"/>
  <c r="Q922" i="16"/>
  <c r="P922" i="16"/>
  <c r="N922" i="16"/>
  <c r="L922" i="16"/>
  <c r="M922" i="16" s="1"/>
  <c r="J922" i="16"/>
  <c r="K922" i="16" s="1"/>
  <c r="I922" i="16"/>
  <c r="AC921" i="16"/>
  <c r="AA921" i="16"/>
  <c r="AB921" i="16" s="1"/>
  <c r="Q921" i="16"/>
  <c r="P921" i="16"/>
  <c r="N921" i="16"/>
  <c r="L921" i="16"/>
  <c r="M921" i="16" s="1"/>
  <c r="J921" i="16"/>
  <c r="K921" i="16" s="1"/>
  <c r="I921" i="16"/>
  <c r="AC920" i="16"/>
  <c r="AA920" i="16"/>
  <c r="AB920" i="16" s="1"/>
  <c r="Q920" i="16"/>
  <c r="P920" i="16"/>
  <c r="N920" i="16"/>
  <c r="L920" i="16"/>
  <c r="M920" i="16" s="1"/>
  <c r="J920" i="16"/>
  <c r="K920" i="16" s="1"/>
  <c r="I920" i="16"/>
  <c r="AC919" i="16"/>
  <c r="AA919" i="16"/>
  <c r="AB919" i="16" s="1"/>
  <c r="T919" i="16"/>
  <c r="AE919" i="16" s="1"/>
  <c r="R919" i="16"/>
  <c r="Q919" i="16"/>
  <c r="P919" i="16"/>
  <c r="N919" i="16"/>
  <c r="L919" i="16"/>
  <c r="M919" i="16" s="1"/>
  <c r="K919" i="16"/>
  <c r="J919" i="16"/>
  <c r="I919" i="16"/>
  <c r="AC918" i="16"/>
  <c r="AA918" i="16"/>
  <c r="AB918" i="16" s="1"/>
  <c r="Q918" i="16"/>
  <c r="P918" i="16"/>
  <c r="N918" i="16"/>
  <c r="L918" i="16"/>
  <c r="M918" i="16" s="1"/>
  <c r="J918" i="16"/>
  <c r="K918" i="16" s="1"/>
  <c r="I918" i="16"/>
  <c r="AC917" i="16"/>
  <c r="AA917" i="16"/>
  <c r="AB917" i="16" s="1"/>
  <c r="Q917" i="16"/>
  <c r="P917" i="16"/>
  <c r="N917" i="16"/>
  <c r="L917" i="16"/>
  <c r="M917" i="16" s="1"/>
  <c r="J917" i="16"/>
  <c r="K917" i="16" s="1"/>
  <c r="I917" i="16"/>
  <c r="AC916" i="16"/>
  <c r="AA916" i="16"/>
  <c r="AB916" i="16" s="1"/>
  <c r="Q916" i="16"/>
  <c r="P916" i="16"/>
  <c r="N916" i="16"/>
  <c r="L916" i="16"/>
  <c r="M916" i="16" s="1"/>
  <c r="J916" i="16"/>
  <c r="K916" i="16" s="1"/>
  <c r="I916" i="16"/>
  <c r="AC915" i="16"/>
  <c r="AA915" i="16"/>
  <c r="AB915" i="16" s="1"/>
  <c r="Q915" i="16"/>
  <c r="P915" i="16"/>
  <c r="N915" i="16"/>
  <c r="L915" i="16"/>
  <c r="M915" i="16" s="1"/>
  <c r="J915" i="16"/>
  <c r="K915" i="16" s="1"/>
  <c r="I915" i="16"/>
  <c r="AC914" i="16"/>
  <c r="AA914" i="16"/>
  <c r="AB914" i="16" s="1"/>
  <c r="Q914" i="16"/>
  <c r="P914" i="16"/>
  <c r="N914" i="16"/>
  <c r="L914" i="16"/>
  <c r="M914" i="16" s="1"/>
  <c r="J914" i="16"/>
  <c r="K914" i="16" s="1"/>
  <c r="I914" i="16"/>
  <c r="AC913" i="16"/>
  <c r="AA913" i="16"/>
  <c r="AB913" i="16" s="1"/>
  <c r="Q913" i="16"/>
  <c r="P913" i="16"/>
  <c r="N913" i="16"/>
  <c r="L913" i="16"/>
  <c r="M913" i="16" s="1"/>
  <c r="J913" i="16"/>
  <c r="K913" i="16" s="1"/>
  <c r="I913" i="16"/>
  <c r="AC912" i="16"/>
  <c r="AA912" i="16"/>
  <c r="AB912" i="16" s="1"/>
  <c r="Q912" i="16"/>
  <c r="P912" i="16"/>
  <c r="N912" i="16"/>
  <c r="L912" i="16"/>
  <c r="M912" i="16" s="1"/>
  <c r="J912" i="16"/>
  <c r="K912" i="16" s="1"/>
  <c r="I912" i="16"/>
  <c r="AC911" i="16"/>
  <c r="AA911" i="16"/>
  <c r="AB911" i="16" s="1"/>
  <c r="Q911" i="16"/>
  <c r="P911" i="16"/>
  <c r="N911" i="16"/>
  <c r="L911" i="16"/>
  <c r="M911" i="16" s="1"/>
  <c r="J911" i="16"/>
  <c r="K911" i="16" s="1"/>
  <c r="I911" i="16"/>
  <c r="AC910" i="16"/>
  <c r="AA910" i="16"/>
  <c r="AB910" i="16" s="1"/>
  <c r="Q910" i="16"/>
  <c r="P910" i="16"/>
  <c r="N910" i="16"/>
  <c r="L910" i="16"/>
  <c r="M910" i="16" s="1"/>
  <c r="J910" i="16"/>
  <c r="K910" i="16" s="1"/>
  <c r="I910" i="16"/>
  <c r="AC909" i="16"/>
  <c r="AA909" i="16"/>
  <c r="AB909" i="16" s="1"/>
  <c r="Q909" i="16"/>
  <c r="P909" i="16"/>
  <c r="N909" i="16"/>
  <c r="L909" i="16"/>
  <c r="M909" i="16" s="1"/>
  <c r="J909" i="16"/>
  <c r="K909" i="16" s="1"/>
  <c r="I909" i="16"/>
  <c r="AC908" i="16"/>
  <c r="AA908" i="16"/>
  <c r="AB908" i="16" s="1"/>
  <c r="Q908" i="16"/>
  <c r="P908" i="16"/>
  <c r="N908" i="16"/>
  <c r="L908" i="16"/>
  <c r="M908" i="16" s="1"/>
  <c r="J908" i="16"/>
  <c r="K908" i="16" s="1"/>
  <c r="I908" i="16"/>
  <c r="AC907" i="16"/>
  <c r="AA907" i="16"/>
  <c r="AB907" i="16" s="1"/>
  <c r="Q907" i="16"/>
  <c r="P907" i="16"/>
  <c r="N907" i="16"/>
  <c r="L907" i="16"/>
  <c r="M907" i="16" s="1"/>
  <c r="J907" i="16"/>
  <c r="K907" i="16" s="1"/>
  <c r="I907" i="16"/>
  <c r="AC906" i="16"/>
  <c r="AA906" i="16"/>
  <c r="AB906" i="16" s="1"/>
  <c r="Q906" i="16"/>
  <c r="P906" i="16"/>
  <c r="N906" i="16"/>
  <c r="L906" i="16"/>
  <c r="M906" i="16" s="1"/>
  <c r="J906" i="16"/>
  <c r="K906" i="16" s="1"/>
  <c r="I906" i="16"/>
  <c r="AC905" i="16"/>
  <c r="AA905" i="16"/>
  <c r="AB905" i="16" s="1"/>
  <c r="Q905" i="16"/>
  <c r="P905" i="16"/>
  <c r="N905" i="16"/>
  <c r="L905" i="16"/>
  <c r="M905" i="16" s="1"/>
  <c r="J905" i="16"/>
  <c r="K905" i="16" s="1"/>
  <c r="I905" i="16"/>
  <c r="AC904" i="16"/>
  <c r="AA904" i="16"/>
  <c r="AB904" i="16" s="1"/>
  <c r="Q904" i="16"/>
  <c r="P904" i="16"/>
  <c r="N904" i="16"/>
  <c r="L904" i="16"/>
  <c r="M904" i="16" s="1"/>
  <c r="J904" i="16"/>
  <c r="K904" i="16" s="1"/>
  <c r="I904" i="16"/>
  <c r="AC903" i="16"/>
  <c r="AA903" i="16"/>
  <c r="AB903" i="16" s="1"/>
  <c r="Q903" i="16"/>
  <c r="P903" i="16"/>
  <c r="N903" i="16"/>
  <c r="L903" i="16"/>
  <c r="M903" i="16" s="1"/>
  <c r="J903" i="16"/>
  <c r="K903" i="16" s="1"/>
  <c r="I903" i="16"/>
  <c r="AC902" i="16"/>
  <c r="AA902" i="16"/>
  <c r="AB902" i="16" s="1"/>
  <c r="Q902" i="16"/>
  <c r="P902" i="16"/>
  <c r="N902" i="16"/>
  <c r="L902" i="16"/>
  <c r="M902" i="16" s="1"/>
  <c r="J902" i="16"/>
  <c r="K902" i="16" s="1"/>
  <c r="I902" i="16"/>
  <c r="AC901" i="16"/>
  <c r="AA901" i="16"/>
  <c r="AB901" i="16" s="1"/>
  <c r="Q901" i="16"/>
  <c r="P901" i="16"/>
  <c r="N901" i="16"/>
  <c r="L901" i="16"/>
  <c r="M901" i="16" s="1"/>
  <c r="J901" i="16"/>
  <c r="K901" i="16" s="1"/>
  <c r="I901" i="16"/>
  <c r="AC900" i="16"/>
  <c r="AA900" i="16"/>
  <c r="AB900" i="16" s="1"/>
  <c r="Q900" i="16"/>
  <c r="P900" i="16"/>
  <c r="N900" i="16"/>
  <c r="L900" i="16"/>
  <c r="M900" i="16" s="1"/>
  <c r="J900" i="16"/>
  <c r="K900" i="16" s="1"/>
  <c r="I900" i="16"/>
  <c r="AC899" i="16"/>
  <c r="AA899" i="16"/>
  <c r="AB899" i="16" s="1"/>
  <c r="Q899" i="16"/>
  <c r="P899" i="16"/>
  <c r="N899" i="16"/>
  <c r="L899" i="16"/>
  <c r="M899" i="16" s="1"/>
  <c r="J899" i="16"/>
  <c r="K899" i="16" s="1"/>
  <c r="I899" i="16"/>
  <c r="AC898" i="16"/>
  <c r="AA898" i="16"/>
  <c r="AB898" i="16" s="1"/>
  <c r="Q898" i="16"/>
  <c r="P898" i="16"/>
  <c r="N898" i="16"/>
  <c r="L898" i="16"/>
  <c r="M898" i="16" s="1"/>
  <c r="J898" i="16"/>
  <c r="K898" i="16" s="1"/>
  <c r="I898" i="16"/>
  <c r="AC897" i="16"/>
  <c r="AA897" i="16"/>
  <c r="AB897" i="16" s="1"/>
  <c r="Q897" i="16"/>
  <c r="P897" i="16"/>
  <c r="N897" i="16"/>
  <c r="L897" i="16"/>
  <c r="M897" i="16" s="1"/>
  <c r="J897" i="16"/>
  <c r="K897" i="16" s="1"/>
  <c r="I897" i="16"/>
  <c r="AC896" i="16"/>
  <c r="AA896" i="16"/>
  <c r="AB896" i="16" s="1"/>
  <c r="Q896" i="16"/>
  <c r="P896" i="16"/>
  <c r="N896" i="16"/>
  <c r="L896" i="16"/>
  <c r="M896" i="16" s="1"/>
  <c r="J896" i="16"/>
  <c r="K896" i="16" s="1"/>
  <c r="I896" i="16"/>
  <c r="AC895" i="16"/>
  <c r="AA895" i="16"/>
  <c r="AB895" i="16" s="1"/>
  <c r="Q895" i="16"/>
  <c r="P895" i="16"/>
  <c r="N895" i="16"/>
  <c r="L895" i="16"/>
  <c r="M895" i="16" s="1"/>
  <c r="J895" i="16"/>
  <c r="K895" i="16" s="1"/>
  <c r="I895" i="16"/>
  <c r="AC894" i="16"/>
  <c r="AA894" i="16"/>
  <c r="AB894" i="16" s="1"/>
  <c r="Q894" i="16"/>
  <c r="P894" i="16"/>
  <c r="N894" i="16"/>
  <c r="L894" i="16"/>
  <c r="M894" i="16" s="1"/>
  <c r="J894" i="16"/>
  <c r="K894" i="16" s="1"/>
  <c r="I894" i="16"/>
  <c r="AC893" i="16"/>
  <c r="AA893" i="16"/>
  <c r="AB893" i="16" s="1"/>
  <c r="Q893" i="16"/>
  <c r="P893" i="16"/>
  <c r="N893" i="16"/>
  <c r="L893" i="16"/>
  <c r="M893" i="16" s="1"/>
  <c r="J893" i="16"/>
  <c r="K893" i="16" s="1"/>
  <c r="I893" i="16"/>
  <c r="AC892" i="16"/>
  <c r="AA892" i="16"/>
  <c r="AB892" i="16" s="1"/>
  <c r="Q892" i="16"/>
  <c r="P892" i="16"/>
  <c r="N892" i="16"/>
  <c r="L892" i="16"/>
  <c r="M892" i="16" s="1"/>
  <c r="J892" i="16"/>
  <c r="K892" i="16" s="1"/>
  <c r="I892" i="16"/>
  <c r="AC891" i="16"/>
  <c r="AA891" i="16"/>
  <c r="AB891" i="16" s="1"/>
  <c r="Q891" i="16"/>
  <c r="P891" i="16"/>
  <c r="N891" i="16"/>
  <c r="L891" i="16"/>
  <c r="M891" i="16" s="1"/>
  <c r="J891" i="16"/>
  <c r="K891" i="16" s="1"/>
  <c r="I891" i="16"/>
  <c r="AC890" i="16"/>
  <c r="AA890" i="16"/>
  <c r="AB890" i="16" s="1"/>
  <c r="Q890" i="16"/>
  <c r="P890" i="16"/>
  <c r="N890" i="16"/>
  <c r="L890" i="16"/>
  <c r="M890" i="16" s="1"/>
  <c r="J890" i="16"/>
  <c r="K890" i="16" s="1"/>
  <c r="I890" i="16"/>
  <c r="AC889" i="16"/>
  <c r="AA889" i="16"/>
  <c r="AB889" i="16" s="1"/>
  <c r="Q889" i="16"/>
  <c r="P889" i="16"/>
  <c r="N889" i="16"/>
  <c r="L889" i="16"/>
  <c r="M889" i="16" s="1"/>
  <c r="J889" i="16"/>
  <c r="K889" i="16" s="1"/>
  <c r="I889" i="16"/>
  <c r="AC888" i="16"/>
  <c r="AA888" i="16"/>
  <c r="AB888" i="16" s="1"/>
  <c r="Q888" i="16"/>
  <c r="P888" i="16"/>
  <c r="N888" i="16"/>
  <c r="L888" i="16"/>
  <c r="M888" i="16" s="1"/>
  <c r="J888" i="16"/>
  <c r="K888" i="16" s="1"/>
  <c r="I888" i="16"/>
  <c r="AC887" i="16"/>
  <c r="AA887" i="16"/>
  <c r="AB887" i="16" s="1"/>
  <c r="Q887" i="16"/>
  <c r="P887" i="16"/>
  <c r="N887" i="16"/>
  <c r="L887" i="16"/>
  <c r="M887" i="16" s="1"/>
  <c r="J887" i="16"/>
  <c r="K887" i="16" s="1"/>
  <c r="I887" i="16"/>
  <c r="AC886" i="16"/>
  <c r="AA886" i="16"/>
  <c r="AB886" i="16" s="1"/>
  <c r="Q886" i="16"/>
  <c r="P886" i="16"/>
  <c r="N886" i="16"/>
  <c r="L886" i="16"/>
  <c r="M886" i="16" s="1"/>
  <c r="J886" i="16"/>
  <c r="K886" i="16" s="1"/>
  <c r="I886" i="16"/>
  <c r="AC885" i="16"/>
  <c r="AA885" i="16"/>
  <c r="AB885" i="16" s="1"/>
  <c r="Q885" i="16"/>
  <c r="P885" i="16"/>
  <c r="N885" i="16"/>
  <c r="L885" i="16"/>
  <c r="M885" i="16" s="1"/>
  <c r="J885" i="16"/>
  <c r="K885" i="16" s="1"/>
  <c r="I885" i="16"/>
  <c r="AC884" i="16"/>
  <c r="AA884" i="16"/>
  <c r="AB884" i="16" s="1"/>
  <c r="Q884" i="16"/>
  <c r="P884" i="16"/>
  <c r="N884" i="16"/>
  <c r="L884" i="16"/>
  <c r="M884" i="16" s="1"/>
  <c r="J884" i="16"/>
  <c r="K884" i="16" s="1"/>
  <c r="I884" i="16"/>
  <c r="AC883" i="16"/>
  <c r="AA883" i="16"/>
  <c r="AB883" i="16" s="1"/>
  <c r="Q883" i="16"/>
  <c r="P883" i="16"/>
  <c r="N883" i="16"/>
  <c r="L883" i="16"/>
  <c r="M883" i="16" s="1"/>
  <c r="J883" i="16"/>
  <c r="K883" i="16" s="1"/>
  <c r="I883" i="16"/>
  <c r="AC882" i="16"/>
  <c r="AA882" i="16"/>
  <c r="AB882" i="16" s="1"/>
  <c r="Q882" i="16"/>
  <c r="P882" i="16"/>
  <c r="N882" i="16"/>
  <c r="L882" i="16"/>
  <c r="M882" i="16" s="1"/>
  <c r="J882" i="16"/>
  <c r="K882" i="16" s="1"/>
  <c r="I882" i="16"/>
  <c r="AC881" i="16"/>
  <c r="AA881" i="16"/>
  <c r="AB881" i="16" s="1"/>
  <c r="Q881" i="16"/>
  <c r="P881" i="16"/>
  <c r="N881" i="16"/>
  <c r="L881" i="16"/>
  <c r="M881" i="16" s="1"/>
  <c r="J881" i="16"/>
  <c r="K881" i="16" s="1"/>
  <c r="I881" i="16"/>
  <c r="AC880" i="16"/>
  <c r="AA880" i="16"/>
  <c r="AB880" i="16" s="1"/>
  <c r="Q880" i="16"/>
  <c r="P880" i="16"/>
  <c r="N880" i="16"/>
  <c r="L880" i="16"/>
  <c r="M880" i="16" s="1"/>
  <c r="J880" i="16"/>
  <c r="K880" i="16" s="1"/>
  <c r="I880" i="16"/>
  <c r="AC879" i="16"/>
  <c r="AA879" i="16"/>
  <c r="AB879" i="16" s="1"/>
  <c r="Q879" i="16"/>
  <c r="P879" i="16"/>
  <c r="N879" i="16"/>
  <c r="L879" i="16"/>
  <c r="M879" i="16" s="1"/>
  <c r="J879" i="16"/>
  <c r="K879" i="16" s="1"/>
  <c r="I879" i="16"/>
  <c r="AC878" i="16"/>
  <c r="AA878" i="16"/>
  <c r="AB878" i="16" s="1"/>
  <c r="Q878" i="16"/>
  <c r="P878" i="16"/>
  <c r="N878" i="16"/>
  <c r="L878" i="16"/>
  <c r="M878" i="16" s="1"/>
  <c r="J878" i="16"/>
  <c r="K878" i="16" s="1"/>
  <c r="I878" i="16"/>
  <c r="AC877" i="16"/>
  <c r="AA877" i="16"/>
  <c r="AB877" i="16" s="1"/>
  <c r="Q877" i="16"/>
  <c r="P877" i="16"/>
  <c r="N877" i="16"/>
  <c r="L877" i="16"/>
  <c r="M877" i="16" s="1"/>
  <c r="J877" i="16"/>
  <c r="K877" i="16" s="1"/>
  <c r="I877" i="16"/>
  <c r="AC876" i="16"/>
  <c r="AA876" i="16"/>
  <c r="AB876" i="16" s="1"/>
  <c r="Q876" i="16"/>
  <c r="P876" i="16"/>
  <c r="N876" i="16"/>
  <c r="L876" i="16"/>
  <c r="M876" i="16" s="1"/>
  <c r="J876" i="16"/>
  <c r="K876" i="16" s="1"/>
  <c r="I876" i="16"/>
  <c r="AC875" i="16"/>
  <c r="AA875" i="16"/>
  <c r="AB875" i="16" s="1"/>
  <c r="Q875" i="16"/>
  <c r="P875" i="16"/>
  <c r="N875" i="16"/>
  <c r="L875" i="16"/>
  <c r="M875" i="16" s="1"/>
  <c r="J875" i="16"/>
  <c r="K875" i="16" s="1"/>
  <c r="I875" i="16"/>
  <c r="AC874" i="16"/>
  <c r="AA874" i="16"/>
  <c r="AB874" i="16" s="1"/>
  <c r="Q874" i="16"/>
  <c r="P874" i="16"/>
  <c r="N874" i="16"/>
  <c r="L874" i="16"/>
  <c r="M874" i="16" s="1"/>
  <c r="J874" i="16"/>
  <c r="K874" i="16" s="1"/>
  <c r="I874" i="16"/>
  <c r="AC873" i="16"/>
  <c r="AA873" i="16"/>
  <c r="AB873" i="16" s="1"/>
  <c r="Q873" i="16"/>
  <c r="P873" i="16"/>
  <c r="N873" i="16"/>
  <c r="L873" i="16"/>
  <c r="M873" i="16" s="1"/>
  <c r="J873" i="16"/>
  <c r="K873" i="16" s="1"/>
  <c r="I873" i="16"/>
  <c r="AC872" i="16"/>
  <c r="AA872" i="16"/>
  <c r="AB872" i="16" s="1"/>
  <c r="Q872" i="16"/>
  <c r="P872" i="16"/>
  <c r="N872" i="16"/>
  <c r="L872" i="16"/>
  <c r="M872" i="16" s="1"/>
  <c r="J872" i="16"/>
  <c r="K872" i="16" s="1"/>
  <c r="I872" i="16"/>
  <c r="AC871" i="16"/>
  <c r="AA871" i="16"/>
  <c r="AB871" i="16" s="1"/>
  <c r="Q871" i="16"/>
  <c r="P871" i="16"/>
  <c r="N871" i="16"/>
  <c r="L871" i="16"/>
  <c r="M871" i="16" s="1"/>
  <c r="J871" i="16"/>
  <c r="K871" i="16" s="1"/>
  <c r="I871" i="16"/>
  <c r="AC870" i="16"/>
  <c r="AA870" i="16"/>
  <c r="AB870" i="16" s="1"/>
  <c r="Q870" i="16"/>
  <c r="P870" i="16"/>
  <c r="N870" i="16"/>
  <c r="L870" i="16"/>
  <c r="M870" i="16" s="1"/>
  <c r="J870" i="16"/>
  <c r="K870" i="16" s="1"/>
  <c r="I870" i="16"/>
  <c r="AC869" i="16"/>
  <c r="AA869" i="16"/>
  <c r="AB869" i="16" s="1"/>
  <c r="Q869" i="16"/>
  <c r="P869" i="16"/>
  <c r="N869" i="16"/>
  <c r="L869" i="16"/>
  <c r="M869" i="16" s="1"/>
  <c r="J869" i="16"/>
  <c r="K869" i="16" s="1"/>
  <c r="I869" i="16"/>
  <c r="AC868" i="16"/>
  <c r="AA868" i="16"/>
  <c r="AB868" i="16" s="1"/>
  <c r="Q868" i="16"/>
  <c r="P868" i="16"/>
  <c r="N868" i="16"/>
  <c r="L868" i="16"/>
  <c r="M868" i="16" s="1"/>
  <c r="J868" i="16"/>
  <c r="K868" i="16" s="1"/>
  <c r="I868" i="16"/>
  <c r="AC867" i="16"/>
  <c r="AA867" i="16"/>
  <c r="AB867" i="16" s="1"/>
  <c r="Q867" i="16"/>
  <c r="P867" i="16"/>
  <c r="N867" i="16"/>
  <c r="L867" i="16"/>
  <c r="M867" i="16" s="1"/>
  <c r="J867" i="16"/>
  <c r="K867" i="16" s="1"/>
  <c r="I867" i="16"/>
  <c r="AC866" i="16"/>
  <c r="AA866" i="16"/>
  <c r="AB866" i="16" s="1"/>
  <c r="Q866" i="16"/>
  <c r="P866" i="16"/>
  <c r="N866" i="16"/>
  <c r="L866" i="16"/>
  <c r="M866" i="16" s="1"/>
  <c r="J866" i="16"/>
  <c r="K866" i="16" s="1"/>
  <c r="I866" i="16"/>
  <c r="AC865" i="16"/>
  <c r="AA865" i="16"/>
  <c r="AB865" i="16" s="1"/>
  <c r="Q865" i="16"/>
  <c r="P865" i="16"/>
  <c r="N865" i="16"/>
  <c r="L865" i="16"/>
  <c r="M865" i="16" s="1"/>
  <c r="J865" i="16"/>
  <c r="K865" i="16" s="1"/>
  <c r="I865" i="16"/>
  <c r="AC864" i="16"/>
  <c r="AA864" i="16"/>
  <c r="AB864" i="16" s="1"/>
  <c r="Q864" i="16"/>
  <c r="P864" i="16"/>
  <c r="N864" i="16"/>
  <c r="L864" i="16"/>
  <c r="M864" i="16" s="1"/>
  <c r="J864" i="16"/>
  <c r="K864" i="16" s="1"/>
  <c r="I864" i="16"/>
  <c r="AC863" i="16"/>
  <c r="AA863" i="16"/>
  <c r="AB863" i="16" s="1"/>
  <c r="Q863" i="16"/>
  <c r="P863" i="16"/>
  <c r="N863" i="16"/>
  <c r="L863" i="16"/>
  <c r="M863" i="16" s="1"/>
  <c r="J863" i="16"/>
  <c r="K863" i="16" s="1"/>
  <c r="I863" i="16"/>
  <c r="AC862" i="16"/>
  <c r="AA862" i="16"/>
  <c r="AB862" i="16" s="1"/>
  <c r="Q862" i="16"/>
  <c r="P862" i="16"/>
  <c r="N862" i="16"/>
  <c r="L862" i="16"/>
  <c r="M862" i="16" s="1"/>
  <c r="J862" i="16"/>
  <c r="K862" i="16" s="1"/>
  <c r="I862" i="16"/>
  <c r="AC861" i="16"/>
  <c r="AA861" i="16"/>
  <c r="AB861" i="16" s="1"/>
  <c r="Q861" i="16"/>
  <c r="P861" i="16"/>
  <c r="N861" i="16"/>
  <c r="L861" i="16"/>
  <c r="M861" i="16" s="1"/>
  <c r="J861" i="16"/>
  <c r="K861" i="16" s="1"/>
  <c r="I861" i="16"/>
  <c r="AC860" i="16"/>
  <c r="AA860" i="16"/>
  <c r="AB860" i="16" s="1"/>
  <c r="Q860" i="16"/>
  <c r="P860" i="16"/>
  <c r="N860" i="16"/>
  <c r="L860" i="16"/>
  <c r="M860" i="16" s="1"/>
  <c r="J860" i="16"/>
  <c r="K860" i="16" s="1"/>
  <c r="I860" i="16"/>
  <c r="AC859" i="16"/>
  <c r="AA859" i="16"/>
  <c r="AB859" i="16" s="1"/>
  <c r="Q859" i="16"/>
  <c r="P859" i="16"/>
  <c r="N859" i="16"/>
  <c r="L859" i="16"/>
  <c r="M859" i="16" s="1"/>
  <c r="J859" i="16"/>
  <c r="K859" i="16" s="1"/>
  <c r="I859" i="16"/>
  <c r="AC858" i="16"/>
  <c r="AA858" i="16"/>
  <c r="AB858" i="16" s="1"/>
  <c r="Q858" i="16"/>
  <c r="P858" i="16"/>
  <c r="N858" i="16"/>
  <c r="L858" i="16"/>
  <c r="M858" i="16" s="1"/>
  <c r="J858" i="16"/>
  <c r="K858" i="16" s="1"/>
  <c r="I858" i="16"/>
  <c r="AC857" i="16"/>
  <c r="AA857" i="16"/>
  <c r="AB857" i="16" s="1"/>
  <c r="Q857" i="16"/>
  <c r="P857" i="16"/>
  <c r="N857" i="16"/>
  <c r="L857" i="16"/>
  <c r="M857" i="16" s="1"/>
  <c r="J857" i="16"/>
  <c r="K857" i="16" s="1"/>
  <c r="I857" i="16"/>
  <c r="AC856" i="16"/>
  <c r="AA856" i="16"/>
  <c r="AB856" i="16" s="1"/>
  <c r="Q856" i="16"/>
  <c r="P856" i="16"/>
  <c r="N856" i="16"/>
  <c r="L856" i="16"/>
  <c r="M856" i="16" s="1"/>
  <c r="J856" i="16"/>
  <c r="K856" i="16" s="1"/>
  <c r="I856" i="16"/>
  <c r="AC855" i="16"/>
  <c r="AA855" i="16"/>
  <c r="AB855" i="16" s="1"/>
  <c r="Q855" i="16"/>
  <c r="P855" i="16"/>
  <c r="N855" i="16"/>
  <c r="L855" i="16"/>
  <c r="M855" i="16" s="1"/>
  <c r="J855" i="16"/>
  <c r="K855" i="16" s="1"/>
  <c r="I855" i="16"/>
  <c r="AC854" i="16"/>
  <c r="AA854" i="16"/>
  <c r="AB854" i="16" s="1"/>
  <c r="Q854" i="16"/>
  <c r="P854" i="16"/>
  <c r="N854" i="16"/>
  <c r="L854" i="16"/>
  <c r="M854" i="16" s="1"/>
  <c r="J854" i="16"/>
  <c r="K854" i="16" s="1"/>
  <c r="I854" i="16"/>
  <c r="AC853" i="16"/>
  <c r="AA853" i="16"/>
  <c r="AB853" i="16" s="1"/>
  <c r="Q853" i="16"/>
  <c r="P853" i="16"/>
  <c r="N853" i="16"/>
  <c r="L853" i="16"/>
  <c r="M853" i="16" s="1"/>
  <c r="J853" i="16"/>
  <c r="K853" i="16" s="1"/>
  <c r="I853" i="16"/>
  <c r="AC852" i="16"/>
  <c r="AA852" i="16"/>
  <c r="AB852" i="16" s="1"/>
  <c r="Q852" i="16"/>
  <c r="P852" i="16"/>
  <c r="N852" i="16"/>
  <c r="L852" i="16"/>
  <c r="M852" i="16" s="1"/>
  <c r="J852" i="16"/>
  <c r="K852" i="16" s="1"/>
  <c r="I852" i="16"/>
  <c r="AC851" i="16"/>
  <c r="AA851" i="16"/>
  <c r="AB851" i="16" s="1"/>
  <c r="Q851" i="16"/>
  <c r="P851" i="16"/>
  <c r="N851" i="16"/>
  <c r="L851" i="16"/>
  <c r="M851" i="16" s="1"/>
  <c r="J851" i="16"/>
  <c r="K851" i="16" s="1"/>
  <c r="I851" i="16"/>
  <c r="AC850" i="16"/>
  <c r="AA850" i="16"/>
  <c r="AB850" i="16" s="1"/>
  <c r="Q850" i="16"/>
  <c r="P850" i="16"/>
  <c r="N850" i="16"/>
  <c r="L850" i="16"/>
  <c r="M850" i="16" s="1"/>
  <c r="J850" i="16"/>
  <c r="K850" i="16" s="1"/>
  <c r="I850" i="16"/>
  <c r="AC849" i="16"/>
  <c r="AA849" i="16"/>
  <c r="AB849" i="16" s="1"/>
  <c r="T849" i="16"/>
  <c r="AE849" i="16" s="1"/>
  <c r="R849" i="16"/>
  <c r="Q849" i="16"/>
  <c r="P849" i="16"/>
  <c r="N849" i="16"/>
  <c r="L849" i="16"/>
  <c r="M849" i="16" s="1"/>
  <c r="K849" i="16"/>
  <c r="J849" i="16"/>
  <c r="I849" i="16"/>
  <c r="AC848" i="16"/>
  <c r="AA848" i="16"/>
  <c r="AB848" i="16" s="1"/>
  <c r="Q848" i="16"/>
  <c r="P848" i="16"/>
  <c r="N848" i="16"/>
  <c r="L848" i="16"/>
  <c r="M848" i="16" s="1"/>
  <c r="J848" i="16"/>
  <c r="K848" i="16" s="1"/>
  <c r="I848" i="16"/>
  <c r="AC847" i="16"/>
  <c r="AA847" i="16"/>
  <c r="AB847" i="16" s="1"/>
  <c r="Q847" i="16"/>
  <c r="P847" i="16"/>
  <c r="N847" i="16"/>
  <c r="L847" i="16"/>
  <c r="M847" i="16" s="1"/>
  <c r="J847" i="16"/>
  <c r="K847" i="16" s="1"/>
  <c r="I847" i="16"/>
  <c r="AC846" i="16"/>
  <c r="AA846" i="16"/>
  <c r="AB846" i="16" s="1"/>
  <c r="Q846" i="16"/>
  <c r="P846" i="16"/>
  <c r="N846" i="16"/>
  <c r="L846" i="16"/>
  <c r="M846" i="16" s="1"/>
  <c r="J846" i="16"/>
  <c r="K846" i="16" s="1"/>
  <c r="I846" i="16"/>
  <c r="AC845" i="16"/>
  <c r="AA845" i="16"/>
  <c r="AB845" i="16" s="1"/>
  <c r="Q845" i="16"/>
  <c r="P845" i="16"/>
  <c r="N845" i="16"/>
  <c r="L845" i="16"/>
  <c r="M845" i="16" s="1"/>
  <c r="J845" i="16"/>
  <c r="K845" i="16" s="1"/>
  <c r="I845" i="16"/>
  <c r="AC844" i="16"/>
  <c r="AA844" i="16"/>
  <c r="AB844" i="16" s="1"/>
  <c r="Q844" i="16"/>
  <c r="P844" i="16"/>
  <c r="N844" i="16"/>
  <c r="L844" i="16"/>
  <c r="M844" i="16" s="1"/>
  <c r="J844" i="16"/>
  <c r="K844" i="16" s="1"/>
  <c r="I844" i="16"/>
  <c r="AC843" i="16"/>
  <c r="AA843" i="16"/>
  <c r="AB843" i="16" s="1"/>
  <c r="Q843" i="16"/>
  <c r="P843" i="16"/>
  <c r="N843" i="16"/>
  <c r="L843" i="16"/>
  <c r="M843" i="16" s="1"/>
  <c r="J843" i="16"/>
  <c r="K843" i="16" s="1"/>
  <c r="I843" i="16"/>
  <c r="AC842" i="16"/>
  <c r="AA842" i="16"/>
  <c r="AB842" i="16" s="1"/>
  <c r="Q842" i="16"/>
  <c r="P842" i="16"/>
  <c r="N842" i="16"/>
  <c r="L842" i="16"/>
  <c r="M842" i="16" s="1"/>
  <c r="J842" i="16"/>
  <c r="K842" i="16" s="1"/>
  <c r="I842" i="16"/>
  <c r="AC841" i="16"/>
  <c r="AA841" i="16"/>
  <c r="AB841" i="16" s="1"/>
  <c r="Q841" i="16"/>
  <c r="P841" i="16"/>
  <c r="N841" i="16"/>
  <c r="L841" i="16"/>
  <c r="M841" i="16" s="1"/>
  <c r="J841" i="16"/>
  <c r="K841" i="16" s="1"/>
  <c r="I841" i="16"/>
  <c r="AC840" i="16"/>
  <c r="AA840" i="16"/>
  <c r="AB840" i="16" s="1"/>
  <c r="Q840" i="16"/>
  <c r="P840" i="16"/>
  <c r="N840" i="16"/>
  <c r="L840" i="16"/>
  <c r="M840" i="16" s="1"/>
  <c r="J840" i="16"/>
  <c r="K840" i="16" s="1"/>
  <c r="I840" i="16"/>
  <c r="AC839" i="16"/>
  <c r="AA839" i="16"/>
  <c r="AB839" i="16" s="1"/>
  <c r="Q839" i="16"/>
  <c r="P839" i="16"/>
  <c r="N839" i="16"/>
  <c r="L839" i="16"/>
  <c r="M839" i="16" s="1"/>
  <c r="J839" i="16"/>
  <c r="K839" i="16" s="1"/>
  <c r="I839" i="16"/>
  <c r="AC838" i="16"/>
  <c r="AA838" i="16"/>
  <c r="AB838" i="16" s="1"/>
  <c r="Q838" i="16"/>
  <c r="P838" i="16"/>
  <c r="N838" i="16"/>
  <c r="L838" i="16"/>
  <c r="M838" i="16" s="1"/>
  <c r="J838" i="16"/>
  <c r="K838" i="16" s="1"/>
  <c r="I838" i="16"/>
  <c r="AC837" i="16"/>
  <c r="AA837" i="16"/>
  <c r="AB837" i="16" s="1"/>
  <c r="T837" i="16"/>
  <c r="AE837" i="16" s="1"/>
  <c r="R837" i="16"/>
  <c r="Q837" i="16"/>
  <c r="P837" i="16"/>
  <c r="N837" i="16"/>
  <c r="L837" i="16"/>
  <c r="M837" i="16" s="1"/>
  <c r="K837" i="16"/>
  <c r="J837" i="16"/>
  <c r="I837" i="16"/>
  <c r="AC836" i="16"/>
  <c r="AA836" i="16"/>
  <c r="AB836" i="16" s="1"/>
  <c r="R836" i="16"/>
  <c r="Q836" i="16"/>
  <c r="P836" i="16"/>
  <c r="N836" i="16"/>
  <c r="L836" i="16"/>
  <c r="M836" i="16" s="1"/>
  <c r="K836" i="16"/>
  <c r="J836" i="16"/>
  <c r="I836" i="16"/>
  <c r="AC835" i="16"/>
  <c r="AA835" i="16"/>
  <c r="AB835" i="16" s="1"/>
  <c r="R835" i="16"/>
  <c r="Q835" i="16"/>
  <c r="P835" i="16"/>
  <c r="N835" i="16"/>
  <c r="L835" i="16"/>
  <c r="M835" i="16" s="1"/>
  <c r="K835" i="16"/>
  <c r="J835" i="16"/>
  <c r="I835" i="16"/>
  <c r="AC834" i="16"/>
  <c r="AA834" i="16"/>
  <c r="AB834" i="16" s="1"/>
  <c r="R834" i="16"/>
  <c r="Q834" i="16"/>
  <c r="P834" i="16"/>
  <c r="N834" i="16"/>
  <c r="L834" i="16"/>
  <c r="M834" i="16" s="1"/>
  <c r="K834" i="16"/>
  <c r="J834" i="16"/>
  <c r="I834" i="16"/>
  <c r="AC833" i="16"/>
  <c r="AA833" i="16"/>
  <c r="AB833" i="16" s="1"/>
  <c r="T833" i="16"/>
  <c r="AE833" i="16" s="1"/>
  <c r="R833" i="16"/>
  <c r="Q833" i="16"/>
  <c r="P833" i="16"/>
  <c r="N833" i="16"/>
  <c r="L833" i="16"/>
  <c r="M833" i="16" s="1"/>
  <c r="K833" i="16"/>
  <c r="J833" i="16"/>
  <c r="I833" i="16"/>
  <c r="AC832" i="16"/>
  <c r="AA832" i="16"/>
  <c r="AB832" i="16" s="1"/>
  <c r="Q832" i="16"/>
  <c r="P832" i="16"/>
  <c r="N832" i="16"/>
  <c r="L832" i="16"/>
  <c r="M832" i="16" s="1"/>
  <c r="J832" i="16"/>
  <c r="K832" i="16" s="1"/>
  <c r="I832" i="16"/>
  <c r="AC831" i="16"/>
  <c r="AA831" i="16"/>
  <c r="AB831" i="16" s="1"/>
  <c r="Q831" i="16"/>
  <c r="P831" i="16"/>
  <c r="N831" i="16"/>
  <c r="L831" i="16"/>
  <c r="M831" i="16" s="1"/>
  <c r="J831" i="16"/>
  <c r="K831" i="16" s="1"/>
  <c r="I831" i="16"/>
  <c r="AC830" i="16"/>
  <c r="AA830" i="16"/>
  <c r="AB830" i="16" s="1"/>
  <c r="Q830" i="16"/>
  <c r="P830" i="16"/>
  <c r="N830" i="16"/>
  <c r="L830" i="16"/>
  <c r="M830" i="16" s="1"/>
  <c r="J830" i="16"/>
  <c r="K830" i="16" s="1"/>
  <c r="I830" i="16"/>
  <c r="AC829" i="16"/>
  <c r="AA829" i="16"/>
  <c r="AB829" i="16" s="1"/>
  <c r="Q829" i="16"/>
  <c r="P829" i="16"/>
  <c r="N829" i="16"/>
  <c r="L829" i="16"/>
  <c r="M829" i="16" s="1"/>
  <c r="J829" i="16"/>
  <c r="K829" i="16" s="1"/>
  <c r="I829" i="16"/>
  <c r="AC828" i="16"/>
  <c r="AA828" i="16"/>
  <c r="AB828" i="16" s="1"/>
  <c r="Q828" i="16"/>
  <c r="P828" i="16"/>
  <c r="N828" i="16"/>
  <c r="L828" i="16"/>
  <c r="M828" i="16" s="1"/>
  <c r="J828" i="16"/>
  <c r="K828" i="16" s="1"/>
  <c r="I828" i="16"/>
  <c r="AC827" i="16"/>
  <c r="AA827" i="16"/>
  <c r="AB827" i="16" s="1"/>
  <c r="Q827" i="16"/>
  <c r="P827" i="16"/>
  <c r="N827" i="16"/>
  <c r="L827" i="16"/>
  <c r="M827" i="16" s="1"/>
  <c r="J827" i="16"/>
  <c r="K827" i="16" s="1"/>
  <c r="I827" i="16"/>
  <c r="AC826" i="16"/>
  <c r="AA826" i="16"/>
  <c r="AB826" i="16" s="1"/>
  <c r="Q826" i="16"/>
  <c r="P826" i="16"/>
  <c r="N826" i="16"/>
  <c r="L826" i="16"/>
  <c r="M826" i="16" s="1"/>
  <c r="J826" i="16"/>
  <c r="K826" i="16" s="1"/>
  <c r="I826" i="16"/>
  <c r="AC825" i="16"/>
  <c r="AA825" i="16"/>
  <c r="AB825" i="16" s="1"/>
  <c r="Q825" i="16"/>
  <c r="P825" i="16"/>
  <c r="N825" i="16"/>
  <c r="L825" i="16"/>
  <c r="M825" i="16" s="1"/>
  <c r="J825" i="16"/>
  <c r="K825" i="16" s="1"/>
  <c r="I825" i="16"/>
  <c r="AC824" i="16"/>
  <c r="AA824" i="16"/>
  <c r="AB824" i="16" s="1"/>
  <c r="Q824" i="16"/>
  <c r="P824" i="16"/>
  <c r="N824" i="16"/>
  <c r="L824" i="16"/>
  <c r="M824" i="16" s="1"/>
  <c r="J824" i="16"/>
  <c r="K824" i="16" s="1"/>
  <c r="I824" i="16"/>
  <c r="AC823" i="16"/>
  <c r="AA823" i="16"/>
  <c r="AB823" i="16" s="1"/>
  <c r="Q823" i="16"/>
  <c r="P823" i="16"/>
  <c r="N823" i="16"/>
  <c r="L823" i="16"/>
  <c r="M823" i="16" s="1"/>
  <c r="J823" i="16"/>
  <c r="K823" i="16" s="1"/>
  <c r="I823" i="16"/>
  <c r="AC822" i="16"/>
  <c r="AA822" i="16"/>
  <c r="AB822" i="16" s="1"/>
  <c r="Q822" i="16"/>
  <c r="P822" i="16"/>
  <c r="N822" i="16"/>
  <c r="L822" i="16"/>
  <c r="M822" i="16" s="1"/>
  <c r="J822" i="16"/>
  <c r="K822" i="16" s="1"/>
  <c r="I822" i="16"/>
  <c r="AC821" i="16"/>
  <c r="AA821" i="16"/>
  <c r="AB821" i="16" s="1"/>
  <c r="Q821" i="16"/>
  <c r="P821" i="16"/>
  <c r="N821" i="16"/>
  <c r="L821" i="16"/>
  <c r="M821" i="16" s="1"/>
  <c r="J821" i="16"/>
  <c r="K821" i="16" s="1"/>
  <c r="I821" i="16"/>
  <c r="AC820" i="16"/>
  <c r="AA820" i="16"/>
  <c r="AB820" i="16" s="1"/>
  <c r="Q820" i="16"/>
  <c r="P820" i="16"/>
  <c r="N820" i="16"/>
  <c r="L820" i="16"/>
  <c r="M820" i="16" s="1"/>
  <c r="J820" i="16"/>
  <c r="K820" i="16" s="1"/>
  <c r="I820" i="16"/>
  <c r="AC819" i="16"/>
  <c r="AA819" i="16"/>
  <c r="AB819" i="16" s="1"/>
  <c r="Q819" i="16"/>
  <c r="P819" i="16"/>
  <c r="N819" i="16"/>
  <c r="L819" i="16"/>
  <c r="M819" i="16" s="1"/>
  <c r="J819" i="16"/>
  <c r="K819" i="16" s="1"/>
  <c r="I819" i="16"/>
  <c r="AC818" i="16"/>
  <c r="AA818" i="16"/>
  <c r="AB818" i="16" s="1"/>
  <c r="Q818" i="16"/>
  <c r="P818" i="16"/>
  <c r="N818" i="16"/>
  <c r="L818" i="16"/>
  <c r="M818" i="16" s="1"/>
  <c r="J818" i="16"/>
  <c r="K818" i="16" s="1"/>
  <c r="I818" i="16"/>
  <c r="AC817" i="16"/>
  <c r="AA817" i="16"/>
  <c r="AB817" i="16" s="1"/>
  <c r="Q817" i="16"/>
  <c r="P817" i="16"/>
  <c r="N817" i="16"/>
  <c r="L817" i="16"/>
  <c r="M817" i="16" s="1"/>
  <c r="J817" i="16"/>
  <c r="K817" i="16" s="1"/>
  <c r="I817" i="16"/>
  <c r="AC816" i="16"/>
  <c r="AA816" i="16"/>
  <c r="AB816" i="16" s="1"/>
  <c r="Q816" i="16"/>
  <c r="P816" i="16"/>
  <c r="N816" i="16"/>
  <c r="L816" i="16"/>
  <c r="M816" i="16" s="1"/>
  <c r="J816" i="16"/>
  <c r="K816" i="16" s="1"/>
  <c r="I816" i="16"/>
  <c r="AC815" i="16"/>
  <c r="AA815" i="16"/>
  <c r="AB815" i="16" s="1"/>
  <c r="Q815" i="16"/>
  <c r="P815" i="16"/>
  <c r="N815" i="16"/>
  <c r="L815" i="16"/>
  <c r="M815" i="16" s="1"/>
  <c r="J815" i="16"/>
  <c r="K815" i="16" s="1"/>
  <c r="I815" i="16"/>
  <c r="AC814" i="16"/>
  <c r="AA814" i="16"/>
  <c r="AB814" i="16" s="1"/>
  <c r="Q814" i="16"/>
  <c r="P814" i="16"/>
  <c r="N814" i="16"/>
  <c r="L814" i="16"/>
  <c r="M814" i="16" s="1"/>
  <c r="J814" i="16"/>
  <c r="K814" i="16" s="1"/>
  <c r="I814" i="16"/>
  <c r="AC813" i="16"/>
  <c r="AA813" i="16"/>
  <c r="AB813" i="16" s="1"/>
  <c r="Q813" i="16"/>
  <c r="P813" i="16"/>
  <c r="N813" i="16"/>
  <c r="L813" i="16"/>
  <c r="M813" i="16" s="1"/>
  <c r="J813" i="16"/>
  <c r="K813" i="16" s="1"/>
  <c r="I813" i="16"/>
  <c r="AC812" i="16"/>
  <c r="AA812" i="16"/>
  <c r="AB812" i="16" s="1"/>
  <c r="Q812" i="16"/>
  <c r="P812" i="16"/>
  <c r="N812" i="16"/>
  <c r="L812" i="16"/>
  <c r="M812" i="16" s="1"/>
  <c r="J812" i="16"/>
  <c r="K812" i="16" s="1"/>
  <c r="I812" i="16"/>
  <c r="AC811" i="16"/>
  <c r="AA811" i="16"/>
  <c r="AB811" i="16" s="1"/>
  <c r="Q811" i="16"/>
  <c r="P811" i="16"/>
  <c r="N811" i="16"/>
  <c r="L811" i="16"/>
  <c r="M811" i="16" s="1"/>
  <c r="J811" i="16"/>
  <c r="K811" i="16" s="1"/>
  <c r="I811" i="16"/>
  <c r="AC810" i="16"/>
  <c r="AA810" i="16"/>
  <c r="AB810" i="16" s="1"/>
  <c r="Q810" i="16"/>
  <c r="P810" i="16"/>
  <c r="N810" i="16"/>
  <c r="L810" i="16"/>
  <c r="M810" i="16" s="1"/>
  <c r="J810" i="16"/>
  <c r="K810" i="16" s="1"/>
  <c r="I810" i="16"/>
  <c r="AC809" i="16"/>
  <c r="AA809" i="16"/>
  <c r="AB809" i="16" s="1"/>
  <c r="Q809" i="16"/>
  <c r="P809" i="16"/>
  <c r="N809" i="16"/>
  <c r="L809" i="16"/>
  <c r="M809" i="16" s="1"/>
  <c r="J809" i="16"/>
  <c r="K809" i="16" s="1"/>
  <c r="I809" i="16"/>
  <c r="AC808" i="16"/>
  <c r="AA808" i="16"/>
  <c r="AB808" i="16" s="1"/>
  <c r="Q808" i="16"/>
  <c r="P808" i="16"/>
  <c r="N808" i="16"/>
  <c r="L808" i="16"/>
  <c r="M808" i="16" s="1"/>
  <c r="J808" i="16"/>
  <c r="K808" i="16" s="1"/>
  <c r="I808" i="16"/>
  <c r="AC807" i="16"/>
  <c r="AA807" i="16"/>
  <c r="AB807" i="16" s="1"/>
  <c r="Q807" i="16"/>
  <c r="P807" i="16"/>
  <c r="N807" i="16"/>
  <c r="L807" i="16"/>
  <c r="M807" i="16" s="1"/>
  <c r="J807" i="16"/>
  <c r="K807" i="16" s="1"/>
  <c r="I807" i="16"/>
  <c r="AC806" i="16"/>
  <c r="AA806" i="16"/>
  <c r="AB806" i="16" s="1"/>
  <c r="Q806" i="16"/>
  <c r="P806" i="16"/>
  <c r="N806" i="16"/>
  <c r="L806" i="16"/>
  <c r="M806" i="16" s="1"/>
  <c r="J806" i="16"/>
  <c r="K806" i="16" s="1"/>
  <c r="I806" i="16"/>
  <c r="AC805" i="16"/>
  <c r="AA805" i="16"/>
  <c r="AB805" i="16" s="1"/>
  <c r="Q805" i="16"/>
  <c r="P805" i="16"/>
  <c r="N805" i="16"/>
  <c r="L805" i="16"/>
  <c r="M805" i="16" s="1"/>
  <c r="J805" i="16"/>
  <c r="K805" i="16" s="1"/>
  <c r="I805" i="16"/>
  <c r="AC804" i="16"/>
  <c r="AA804" i="16"/>
  <c r="AB804" i="16" s="1"/>
  <c r="Q804" i="16"/>
  <c r="P804" i="16"/>
  <c r="N804" i="16"/>
  <c r="L804" i="16"/>
  <c r="M804" i="16" s="1"/>
  <c r="J804" i="16"/>
  <c r="K804" i="16" s="1"/>
  <c r="I804" i="16"/>
  <c r="AC803" i="16"/>
  <c r="AA803" i="16"/>
  <c r="AB803" i="16" s="1"/>
  <c r="Q803" i="16"/>
  <c r="P803" i="16"/>
  <c r="N803" i="16"/>
  <c r="L803" i="16"/>
  <c r="M803" i="16" s="1"/>
  <c r="J803" i="16"/>
  <c r="K803" i="16" s="1"/>
  <c r="I803" i="16"/>
  <c r="AC802" i="16"/>
  <c r="AA802" i="16"/>
  <c r="AB802" i="16" s="1"/>
  <c r="Q802" i="16"/>
  <c r="P802" i="16"/>
  <c r="N802" i="16"/>
  <c r="L802" i="16"/>
  <c r="M802" i="16" s="1"/>
  <c r="J802" i="16"/>
  <c r="K802" i="16" s="1"/>
  <c r="I802" i="16"/>
  <c r="AC801" i="16"/>
  <c r="AA801" i="16"/>
  <c r="AB801" i="16" s="1"/>
  <c r="Q801" i="16"/>
  <c r="P801" i="16"/>
  <c r="N801" i="16"/>
  <c r="L801" i="16"/>
  <c r="M801" i="16" s="1"/>
  <c r="J801" i="16"/>
  <c r="K801" i="16" s="1"/>
  <c r="I801" i="16"/>
  <c r="AC800" i="16"/>
  <c r="AA800" i="16"/>
  <c r="AB800" i="16" s="1"/>
  <c r="Q800" i="16"/>
  <c r="P800" i="16"/>
  <c r="N800" i="16"/>
  <c r="L800" i="16"/>
  <c r="M800" i="16" s="1"/>
  <c r="J800" i="16"/>
  <c r="K800" i="16" s="1"/>
  <c r="I800" i="16"/>
  <c r="AC799" i="16"/>
  <c r="AA799" i="16"/>
  <c r="AB799" i="16" s="1"/>
  <c r="Q799" i="16"/>
  <c r="P799" i="16"/>
  <c r="N799" i="16"/>
  <c r="L799" i="16"/>
  <c r="M799" i="16" s="1"/>
  <c r="J799" i="16"/>
  <c r="K799" i="16" s="1"/>
  <c r="I799" i="16"/>
  <c r="AC798" i="16"/>
  <c r="AA798" i="16"/>
  <c r="AB798" i="16" s="1"/>
  <c r="Q798" i="16"/>
  <c r="P798" i="16"/>
  <c r="N798" i="16"/>
  <c r="L798" i="16"/>
  <c r="M798" i="16" s="1"/>
  <c r="J798" i="16"/>
  <c r="K798" i="16" s="1"/>
  <c r="I798" i="16"/>
  <c r="AC797" i="16"/>
  <c r="AA797" i="16"/>
  <c r="AB797" i="16" s="1"/>
  <c r="Q797" i="16"/>
  <c r="P797" i="16"/>
  <c r="N797" i="16"/>
  <c r="L797" i="16"/>
  <c r="M797" i="16" s="1"/>
  <c r="J797" i="16"/>
  <c r="K797" i="16" s="1"/>
  <c r="I797" i="16"/>
  <c r="AC796" i="16"/>
  <c r="AA796" i="16"/>
  <c r="AB796" i="16" s="1"/>
  <c r="Q796" i="16"/>
  <c r="P796" i="16"/>
  <c r="N796" i="16"/>
  <c r="L796" i="16"/>
  <c r="M796" i="16" s="1"/>
  <c r="J796" i="16"/>
  <c r="K796" i="16" s="1"/>
  <c r="I796" i="16"/>
  <c r="AC795" i="16"/>
  <c r="AA795" i="16"/>
  <c r="AB795" i="16" s="1"/>
  <c r="Q795" i="16"/>
  <c r="P795" i="16"/>
  <c r="N795" i="16"/>
  <c r="L795" i="16"/>
  <c r="M795" i="16" s="1"/>
  <c r="J795" i="16"/>
  <c r="K795" i="16" s="1"/>
  <c r="I795" i="16"/>
  <c r="AC794" i="16"/>
  <c r="AA794" i="16"/>
  <c r="AB794" i="16" s="1"/>
  <c r="Q794" i="16"/>
  <c r="P794" i="16"/>
  <c r="N794" i="16"/>
  <c r="L794" i="16"/>
  <c r="M794" i="16" s="1"/>
  <c r="J794" i="16"/>
  <c r="K794" i="16" s="1"/>
  <c r="I794" i="16"/>
  <c r="AC793" i="16"/>
  <c r="AA793" i="16"/>
  <c r="AB793" i="16" s="1"/>
  <c r="Q793" i="16"/>
  <c r="P793" i="16"/>
  <c r="N793" i="16"/>
  <c r="L793" i="16"/>
  <c r="M793" i="16" s="1"/>
  <c r="J793" i="16"/>
  <c r="K793" i="16" s="1"/>
  <c r="I793" i="16"/>
  <c r="AC792" i="16"/>
  <c r="AA792" i="16"/>
  <c r="AB792" i="16" s="1"/>
  <c r="Q792" i="16"/>
  <c r="P792" i="16"/>
  <c r="N792" i="16"/>
  <c r="L792" i="16"/>
  <c r="M792" i="16" s="1"/>
  <c r="J792" i="16"/>
  <c r="K792" i="16" s="1"/>
  <c r="I792" i="16"/>
  <c r="AC791" i="16"/>
  <c r="AA791" i="16"/>
  <c r="AB791" i="16" s="1"/>
  <c r="Q791" i="16"/>
  <c r="P791" i="16"/>
  <c r="N791" i="16"/>
  <c r="L791" i="16"/>
  <c r="M791" i="16" s="1"/>
  <c r="J791" i="16"/>
  <c r="K791" i="16" s="1"/>
  <c r="I791" i="16"/>
  <c r="AC790" i="16"/>
  <c r="AA790" i="16"/>
  <c r="AB790" i="16" s="1"/>
  <c r="Q790" i="16"/>
  <c r="P790" i="16"/>
  <c r="N790" i="16"/>
  <c r="L790" i="16"/>
  <c r="M790" i="16" s="1"/>
  <c r="J790" i="16"/>
  <c r="K790" i="16" s="1"/>
  <c r="I790" i="16"/>
  <c r="AC789" i="16"/>
  <c r="AA789" i="16"/>
  <c r="AB789" i="16" s="1"/>
  <c r="Q789" i="16"/>
  <c r="P789" i="16"/>
  <c r="N789" i="16"/>
  <c r="L789" i="16"/>
  <c r="M789" i="16" s="1"/>
  <c r="J789" i="16"/>
  <c r="K789" i="16" s="1"/>
  <c r="I789" i="16"/>
  <c r="AC788" i="16"/>
  <c r="AA788" i="16"/>
  <c r="AB788" i="16" s="1"/>
  <c r="Q788" i="16"/>
  <c r="P788" i="16"/>
  <c r="N788" i="16"/>
  <c r="L788" i="16"/>
  <c r="M788" i="16" s="1"/>
  <c r="J788" i="16"/>
  <c r="K788" i="16" s="1"/>
  <c r="I788" i="16"/>
  <c r="AC787" i="16"/>
  <c r="AA787" i="16"/>
  <c r="AB787" i="16" s="1"/>
  <c r="Q787" i="16"/>
  <c r="P787" i="16"/>
  <c r="N787" i="16"/>
  <c r="L787" i="16"/>
  <c r="M787" i="16" s="1"/>
  <c r="J787" i="16"/>
  <c r="K787" i="16" s="1"/>
  <c r="I787" i="16"/>
  <c r="AC786" i="16"/>
  <c r="AA786" i="16"/>
  <c r="AB786" i="16" s="1"/>
  <c r="Q786" i="16"/>
  <c r="P786" i="16"/>
  <c r="N786" i="16"/>
  <c r="L786" i="16"/>
  <c r="M786" i="16" s="1"/>
  <c r="J786" i="16"/>
  <c r="K786" i="16" s="1"/>
  <c r="I786" i="16"/>
  <c r="AC785" i="16"/>
  <c r="AA785" i="16"/>
  <c r="AB785" i="16" s="1"/>
  <c r="Q785" i="16"/>
  <c r="P785" i="16"/>
  <c r="N785" i="16"/>
  <c r="L785" i="16"/>
  <c r="M785" i="16" s="1"/>
  <c r="J785" i="16"/>
  <c r="K785" i="16" s="1"/>
  <c r="I785" i="16"/>
  <c r="AC784" i="16"/>
  <c r="AA784" i="16"/>
  <c r="AB784" i="16" s="1"/>
  <c r="Q784" i="16"/>
  <c r="P784" i="16"/>
  <c r="N784" i="16"/>
  <c r="L784" i="16"/>
  <c r="M784" i="16" s="1"/>
  <c r="J784" i="16"/>
  <c r="K784" i="16" s="1"/>
  <c r="I784" i="16"/>
  <c r="AC783" i="16"/>
  <c r="AA783" i="16"/>
  <c r="AB783" i="16" s="1"/>
  <c r="Q783" i="16"/>
  <c r="P783" i="16"/>
  <c r="N783" i="16"/>
  <c r="L783" i="16"/>
  <c r="M783" i="16" s="1"/>
  <c r="J783" i="16"/>
  <c r="K783" i="16" s="1"/>
  <c r="I783" i="16"/>
  <c r="AC782" i="16"/>
  <c r="AA782" i="16"/>
  <c r="AB782" i="16" s="1"/>
  <c r="Q782" i="16"/>
  <c r="P782" i="16"/>
  <c r="N782" i="16"/>
  <c r="L782" i="16"/>
  <c r="M782" i="16" s="1"/>
  <c r="J782" i="16"/>
  <c r="K782" i="16" s="1"/>
  <c r="I782" i="16"/>
  <c r="AC781" i="16"/>
  <c r="AA781" i="16"/>
  <c r="AB781" i="16" s="1"/>
  <c r="Q781" i="16"/>
  <c r="P781" i="16"/>
  <c r="N781" i="16"/>
  <c r="L781" i="16"/>
  <c r="M781" i="16" s="1"/>
  <c r="J781" i="16"/>
  <c r="K781" i="16" s="1"/>
  <c r="I781" i="16"/>
  <c r="AC780" i="16"/>
  <c r="AA780" i="16"/>
  <c r="AB780" i="16" s="1"/>
  <c r="Q780" i="16"/>
  <c r="P780" i="16"/>
  <c r="N780" i="16"/>
  <c r="L780" i="16"/>
  <c r="M780" i="16" s="1"/>
  <c r="J780" i="16"/>
  <c r="K780" i="16" s="1"/>
  <c r="I780" i="16"/>
  <c r="AC779" i="16"/>
  <c r="AA779" i="16"/>
  <c r="AB779" i="16" s="1"/>
  <c r="Q779" i="16"/>
  <c r="P779" i="16"/>
  <c r="N779" i="16"/>
  <c r="L779" i="16"/>
  <c r="M779" i="16" s="1"/>
  <c r="J779" i="16"/>
  <c r="K779" i="16" s="1"/>
  <c r="I779" i="16"/>
  <c r="AC778" i="16"/>
  <c r="AA778" i="16"/>
  <c r="AB778" i="16" s="1"/>
  <c r="Q778" i="16"/>
  <c r="P778" i="16"/>
  <c r="N778" i="16"/>
  <c r="L778" i="16"/>
  <c r="M778" i="16" s="1"/>
  <c r="J778" i="16"/>
  <c r="K778" i="16" s="1"/>
  <c r="I778" i="16"/>
  <c r="AC777" i="16"/>
  <c r="AA777" i="16"/>
  <c r="AB777" i="16" s="1"/>
  <c r="Q777" i="16"/>
  <c r="P777" i="16"/>
  <c r="N777" i="16"/>
  <c r="L777" i="16"/>
  <c r="M777" i="16" s="1"/>
  <c r="J777" i="16"/>
  <c r="K777" i="16" s="1"/>
  <c r="I777" i="16"/>
  <c r="AC776" i="16"/>
  <c r="AA776" i="16"/>
  <c r="AB776" i="16" s="1"/>
  <c r="Q776" i="16"/>
  <c r="P776" i="16"/>
  <c r="N776" i="16"/>
  <c r="L776" i="16"/>
  <c r="M776" i="16" s="1"/>
  <c r="J776" i="16"/>
  <c r="K776" i="16" s="1"/>
  <c r="I776" i="16"/>
  <c r="AC775" i="16"/>
  <c r="AA775" i="16"/>
  <c r="AB775" i="16" s="1"/>
  <c r="Q775" i="16"/>
  <c r="P775" i="16"/>
  <c r="N775" i="16"/>
  <c r="L775" i="16"/>
  <c r="M775" i="16" s="1"/>
  <c r="J775" i="16"/>
  <c r="K775" i="16" s="1"/>
  <c r="I775" i="16"/>
  <c r="AC774" i="16"/>
  <c r="AA774" i="16"/>
  <c r="AB774" i="16" s="1"/>
  <c r="Q774" i="16"/>
  <c r="P774" i="16"/>
  <c r="N774" i="16"/>
  <c r="L774" i="16"/>
  <c r="M774" i="16" s="1"/>
  <c r="J774" i="16"/>
  <c r="K774" i="16" s="1"/>
  <c r="I774" i="16"/>
  <c r="AC773" i="16"/>
  <c r="AA773" i="16"/>
  <c r="AB773" i="16" s="1"/>
  <c r="Q773" i="16"/>
  <c r="P773" i="16"/>
  <c r="N773" i="16"/>
  <c r="L773" i="16"/>
  <c r="M773" i="16" s="1"/>
  <c r="J773" i="16"/>
  <c r="K773" i="16" s="1"/>
  <c r="I773" i="16"/>
  <c r="AC772" i="16"/>
  <c r="AA772" i="16"/>
  <c r="AB772" i="16" s="1"/>
  <c r="Q772" i="16"/>
  <c r="P772" i="16"/>
  <c r="N772" i="16"/>
  <c r="L772" i="16"/>
  <c r="M772" i="16" s="1"/>
  <c r="J772" i="16"/>
  <c r="K772" i="16" s="1"/>
  <c r="I772" i="16"/>
  <c r="AC771" i="16"/>
  <c r="AA771" i="16"/>
  <c r="AB771" i="16" s="1"/>
  <c r="Q771" i="16"/>
  <c r="P771" i="16"/>
  <c r="N771" i="16"/>
  <c r="L771" i="16"/>
  <c r="M771" i="16" s="1"/>
  <c r="J771" i="16"/>
  <c r="K771" i="16" s="1"/>
  <c r="I771" i="16"/>
  <c r="AC770" i="16"/>
  <c r="AA770" i="16"/>
  <c r="AB770" i="16" s="1"/>
  <c r="Q770" i="16"/>
  <c r="P770" i="16"/>
  <c r="N770" i="16"/>
  <c r="L770" i="16"/>
  <c r="M770" i="16" s="1"/>
  <c r="J770" i="16"/>
  <c r="K770" i="16" s="1"/>
  <c r="I770" i="16"/>
  <c r="AC769" i="16"/>
  <c r="AA769" i="16"/>
  <c r="AB769" i="16" s="1"/>
  <c r="Q769" i="16"/>
  <c r="P769" i="16"/>
  <c r="N769" i="16"/>
  <c r="L769" i="16"/>
  <c r="M769" i="16" s="1"/>
  <c r="J769" i="16"/>
  <c r="K769" i="16" s="1"/>
  <c r="I769" i="16"/>
  <c r="AC768" i="16"/>
  <c r="AA768" i="16"/>
  <c r="AB768" i="16" s="1"/>
  <c r="Q768" i="16"/>
  <c r="P768" i="16"/>
  <c r="N768" i="16"/>
  <c r="L768" i="16"/>
  <c r="M768" i="16" s="1"/>
  <c r="J768" i="16"/>
  <c r="K768" i="16" s="1"/>
  <c r="I768" i="16"/>
  <c r="AC767" i="16"/>
  <c r="AA767" i="16"/>
  <c r="AB767" i="16" s="1"/>
  <c r="Q767" i="16"/>
  <c r="P767" i="16"/>
  <c r="N767" i="16"/>
  <c r="L767" i="16"/>
  <c r="M767" i="16" s="1"/>
  <c r="J767" i="16"/>
  <c r="K767" i="16" s="1"/>
  <c r="I767" i="16"/>
  <c r="AC766" i="16"/>
  <c r="AA766" i="16"/>
  <c r="AB766" i="16" s="1"/>
  <c r="Q766" i="16"/>
  <c r="P766" i="16"/>
  <c r="N766" i="16"/>
  <c r="L766" i="16"/>
  <c r="M766" i="16" s="1"/>
  <c r="J766" i="16"/>
  <c r="K766" i="16" s="1"/>
  <c r="I766" i="16"/>
  <c r="AC765" i="16"/>
  <c r="AA765" i="16"/>
  <c r="AB765" i="16" s="1"/>
  <c r="Q765" i="16"/>
  <c r="P765" i="16"/>
  <c r="N765" i="16"/>
  <c r="L765" i="16"/>
  <c r="M765" i="16" s="1"/>
  <c r="J765" i="16"/>
  <c r="K765" i="16" s="1"/>
  <c r="I765" i="16"/>
  <c r="AC764" i="16"/>
  <c r="AA764" i="16"/>
  <c r="AB764" i="16" s="1"/>
  <c r="Q764" i="16"/>
  <c r="P764" i="16"/>
  <c r="N764" i="16"/>
  <c r="L764" i="16"/>
  <c r="M764" i="16" s="1"/>
  <c r="J764" i="16"/>
  <c r="K764" i="16" s="1"/>
  <c r="I764" i="16"/>
  <c r="AC763" i="16"/>
  <c r="AA763" i="16"/>
  <c r="AB763" i="16" s="1"/>
  <c r="Q763" i="16"/>
  <c r="P763" i="16"/>
  <c r="N763" i="16"/>
  <c r="L763" i="16"/>
  <c r="M763" i="16" s="1"/>
  <c r="J763" i="16"/>
  <c r="K763" i="16" s="1"/>
  <c r="I763" i="16"/>
  <c r="AC762" i="16"/>
  <c r="AA762" i="16"/>
  <c r="AB762" i="16" s="1"/>
  <c r="Q762" i="16"/>
  <c r="P762" i="16"/>
  <c r="N762" i="16"/>
  <c r="L762" i="16"/>
  <c r="M762" i="16" s="1"/>
  <c r="J762" i="16"/>
  <c r="K762" i="16" s="1"/>
  <c r="I762" i="16"/>
  <c r="AC761" i="16"/>
  <c r="AA761" i="16"/>
  <c r="AB761" i="16" s="1"/>
  <c r="Q761" i="16"/>
  <c r="P761" i="16"/>
  <c r="N761" i="16"/>
  <c r="L761" i="16"/>
  <c r="M761" i="16" s="1"/>
  <c r="J761" i="16"/>
  <c r="K761" i="16" s="1"/>
  <c r="I761" i="16"/>
  <c r="AC760" i="16"/>
  <c r="AA760" i="16"/>
  <c r="AB760" i="16" s="1"/>
  <c r="Q760" i="16"/>
  <c r="P760" i="16"/>
  <c r="N760" i="16"/>
  <c r="L760" i="16"/>
  <c r="M760" i="16" s="1"/>
  <c r="J760" i="16"/>
  <c r="K760" i="16" s="1"/>
  <c r="I760" i="16"/>
  <c r="AC759" i="16"/>
  <c r="AA759" i="16"/>
  <c r="AB759" i="16" s="1"/>
  <c r="Q759" i="16"/>
  <c r="P759" i="16"/>
  <c r="N759" i="16"/>
  <c r="L759" i="16"/>
  <c r="M759" i="16" s="1"/>
  <c r="J759" i="16"/>
  <c r="K759" i="16" s="1"/>
  <c r="I759" i="16"/>
  <c r="AC758" i="16"/>
  <c r="AA758" i="16"/>
  <c r="AB758" i="16" s="1"/>
  <c r="Q758" i="16"/>
  <c r="P758" i="16"/>
  <c r="N758" i="16"/>
  <c r="L758" i="16"/>
  <c r="M758" i="16" s="1"/>
  <c r="J758" i="16"/>
  <c r="K758" i="16" s="1"/>
  <c r="I758" i="16"/>
  <c r="AC757" i="16"/>
  <c r="AA757" i="16"/>
  <c r="AB757" i="16" s="1"/>
  <c r="Q757" i="16"/>
  <c r="P757" i="16"/>
  <c r="N757" i="16"/>
  <c r="L757" i="16"/>
  <c r="M757" i="16" s="1"/>
  <c r="J757" i="16"/>
  <c r="K757" i="16" s="1"/>
  <c r="I757" i="16"/>
  <c r="AC756" i="16"/>
  <c r="AA756" i="16"/>
  <c r="AB756" i="16" s="1"/>
  <c r="Q756" i="16"/>
  <c r="P756" i="16"/>
  <c r="N756" i="16"/>
  <c r="L756" i="16"/>
  <c r="M756" i="16" s="1"/>
  <c r="J756" i="16"/>
  <c r="K756" i="16" s="1"/>
  <c r="I756" i="16"/>
  <c r="AC755" i="16"/>
  <c r="AA755" i="16"/>
  <c r="AB755" i="16" s="1"/>
  <c r="Q755" i="16"/>
  <c r="P755" i="16"/>
  <c r="N755" i="16"/>
  <c r="L755" i="16"/>
  <c r="M755" i="16" s="1"/>
  <c r="J755" i="16"/>
  <c r="K755" i="16" s="1"/>
  <c r="I755" i="16"/>
  <c r="AC754" i="16"/>
  <c r="AA754" i="16"/>
  <c r="AB754" i="16" s="1"/>
  <c r="Q754" i="16"/>
  <c r="P754" i="16"/>
  <c r="N754" i="16"/>
  <c r="L754" i="16"/>
  <c r="M754" i="16" s="1"/>
  <c r="J754" i="16"/>
  <c r="K754" i="16" s="1"/>
  <c r="I754" i="16"/>
  <c r="AC753" i="16"/>
  <c r="AA753" i="16"/>
  <c r="AB753" i="16" s="1"/>
  <c r="Q753" i="16"/>
  <c r="P753" i="16"/>
  <c r="N753" i="16"/>
  <c r="L753" i="16"/>
  <c r="M753" i="16" s="1"/>
  <c r="J753" i="16"/>
  <c r="K753" i="16" s="1"/>
  <c r="I753" i="16"/>
  <c r="AC752" i="16"/>
  <c r="AA752" i="16"/>
  <c r="AB752" i="16" s="1"/>
  <c r="Q752" i="16"/>
  <c r="P752" i="16"/>
  <c r="N752" i="16"/>
  <c r="L752" i="16"/>
  <c r="M752" i="16" s="1"/>
  <c r="J752" i="16"/>
  <c r="K752" i="16" s="1"/>
  <c r="I752" i="16"/>
  <c r="AC751" i="16"/>
  <c r="AA751" i="16"/>
  <c r="AB751" i="16" s="1"/>
  <c r="Q751" i="16"/>
  <c r="P751" i="16"/>
  <c r="N751" i="16"/>
  <c r="L751" i="16"/>
  <c r="M751" i="16" s="1"/>
  <c r="J751" i="16"/>
  <c r="K751" i="16" s="1"/>
  <c r="I751" i="16"/>
  <c r="AC750" i="16"/>
  <c r="AA750" i="16"/>
  <c r="AB750" i="16" s="1"/>
  <c r="Q750" i="16"/>
  <c r="P750" i="16"/>
  <c r="N750" i="16"/>
  <c r="L750" i="16"/>
  <c r="M750" i="16" s="1"/>
  <c r="J750" i="16"/>
  <c r="K750" i="16" s="1"/>
  <c r="I750" i="16"/>
  <c r="AC749" i="16"/>
  <c r="AA749" i="16"/>
  <c r="AB749" i="16" s="1"/>
  <c r="Q749" i="16"/>
  <c r="P749" i="16"/>
  <c r="N749" i="16"/>
  <c r="L749" i="16"/>
  <c r="M749" i="16" s="1"/>
  <c r="J749" i="16"/>
  <c r="K749" i="16" s="1"/>
  <c r="I749" i="16"/>
  <c r="AC748" i="16"/>
  <c r="AA748" i="16"/>
  <c r="AB748" i="16" s="1"/>
  <c r="Q748" i="16"/>
  <c r="P748" i="16"/>
  <c r="N748" i="16"/>
  <c r="L748" i="16"/>
  <c r="M748" i="16" s="1"/>
  <c r="J748" i="16"/>
  <c r="K748" i="16" s="1"/>
  <c r="I748" i="16"/>
  <c r="AC747" i="16"/>
  <c r="AA747" i="16"/>
  <c r="AB747" i="16" s="1"/>
  <c r="Q747" i="16"/>
  <c r="P747" i="16"/>
  <c r="N747" i="16"/>
  <c r="L747" i="16"/>
  <c r="M747" i="16" s="1"/>
  <c r="J747" i="16"/>
  <c r="K747" i="16" s="1"/>
  <c r="I747" i="16"/>
  <c r="AC746" i="16"/>
  <c r="AA746" i="16"/>
  <c r="AB746" i="16" s="1"/>
  <c r="Q746" i="16"/>
  <c r="P746" i="16"/>
  <c r="N746" i="16"/>
  <c r="L746" i="16"/>
  <c r="M746" i="16" s="1"/>
  <c r="J746" i="16"/>
  <c r="K746" i="16" s="1"/>
  <c r="I746" i="16"/>
  <c r="AC745" i="16"/>
  <c r="AA745" i="16"/>
  <c r="AB745" i="16" s="1"/>
  <c r="Q745" i="16"/>
  <c r="P745" i="16"/>
  <c r="N745" i="16"/>
  <c r="L745" i="16"/>
  <c r="M745" i="16" s="1"/>
  <c r="J745" i="16"/>
  <c r="K745" i="16" s="1"/>
  <c r="I745" i="16"/>
  <c r="AC744" i="16"/>
  <c r="AA744" i="16"/>
  <c r="AB744" i="16" s="1"/>
  <c r="Q744" i="16"/>
  <c r="P744" i="16"/>
  <c r="N744" i="16"/>
  <c r="L744" i="16"/>
  <c r="M744" i="16" s="1"/>
  <c r="J744" i="16"/>
  <c r="K744" i="16" s="1"/>
  <c r="I744" i="16"/>
  <c r="AC743" i="16"/>
  <c r="AA743" i="16"/>
  <c r="AB743" i="16" s="1"/>
  <c r="Q743" i="16"/>
  <c r="P743" i="16"/>
  <c r="N743" i="16"/>
  <c r="L743" i="16"/>
  <c r="M743" i="16" s="1"/>
  <c r="J743" i="16"/>
  <c r="K743" i="16" s="1"/>
  <c r="I743" i="16"/>
  <c r="AC742" i="16"/>
  <c r="AA742" i="16"/>
  <c r="AB742" i="16" s="1"/>
  <c r="T742" i="16"/>
  <c r="AE742" i="16" s="1"/>
  <c r="R742" i="16"/>
  <c r="Q742" i="16"/>
  <c r="P742" i="16"/>
  <c r="N742" i="16"/>
  <c r="L742" i="16"/>
  <c r="M742" i="16" s="1"/>
  <c r="K742" i="16"/>
  <c r="J742" i="16"/>
  <c r="I742" i="16"/>
  <c r="AC741" i="16"/>
  <c r="AA741" i="16"/>
  <c r="AB741" i="16" s="1"/>
  <c r="Q741" i="16"/>
  <c r="P741" i="16"/>
  <c r="N741" i="16"/>
  <c r="L741" i="16"/>
  <c r="M741" i="16" s="1"/>
  <c r="J741" i="16"/>
  <c r="K741" i="16" s="1"/>
  <c r="I741" i="16"/>
  <c r="AC740" i="16"/>
  <c r="AA740" i="16"/>
  <c r="AB740" i="16" s="1"/>
  <c r="Q740" i="16"/>
  <c r="P740" i="16"/>
  <c r="N740" i="16"/>
  <c r="L740" i="16"/>
  <c r="M740" i="16" s="1"/>
  <c r="J740" i="16"/>
  <c r="K740" i="16" s="1"/>
  <c r="I740" i="16"/>
  <c r="AC739" i="16"/>
  <c r="AA739" i="16"/>
  <c r="AB739" i="16" s="1"/>
  <c r="Q739" i="16"/>
  <c r="P739" i="16"/>
  <c r="N739" i="16"/>
  <c r="L739" i="16"/>
  <c r="M739" i="16" s="1"/>
  <c r="J739" i="16"/>
  <c r="K739" i="16" s="1"/>
  <c r="I739" i="16"/>
  <c r="AC738" i="16"/>
  <c r="AA738" i="16"/>
  <c r="AB738" i="16" s="1"/>
  <c r="Q738" i="16"/>
  <c r="P738" i="16"/>
  <c r="N738" i="16"/>
  <c r="L738" i="16"/>
  <c r="M738" i="16" s="1"/>
  <c r="J738" i="16"/>
  <c r="K738" i="16" s="1"/>
  <c r="I738" i="16"/>
  <c r="AC737" i="16"/>
  <c r="AA737" i="16"/>
  <c r="AB737" i="16" s="1"/>
  <c r="T737" i="16"/>
  <c r="AE737" i="16" s="1"/>
  <c r="R737" i="16"/>
  <c r="Q737" i="16"/>
  <c r="P737" i="16"/>
  <c r="N737" i="16"/>
  <c r="L737" i="16"/>
  <c r="M737" i="16" s="1"/>
  <c r="K737" i="16"/>
  <c r="J737" i="16"/>
  <c r="I737" i="16"/>
  <c r="AC736" i="16"/>
  <c r="AA736" i="16"/>
  <c r="AB736" i="16" s="1"/>
  <c r="Q736" i="16"/>
  <c r="P736" i="16"/>
  <c r="N736" i="16"/>
  <c r="L736" i="16"/>
  <c r="M736" i="16" s="1"/>
  <c r="J736" i="16"/>
  <c r="K736" i="16" s="1"/>
  <c r="I736" i="16"/>
  <c r="AC735" i="16"/>
  <c r="AA735" i="16"/>
  <c r="AB735" i="16" s="1"/>
  <c r="Q735" i="16"/>
  <c r="P735" i="16"/>
  <c r="N735" i="16"/>
  <c r="L735" i="16"/>
  <c r="M735" i="16" s="1"/>
  <c r="J735" i="16"/>
  <c r="K735" i="16" s="1"/>
  <c r="I735" i="16"/>
  <c r="AC734" i="16"/>
  <c r="AA734" i="16"/>
  <c r="AB734" i="16" s="1"/>
  <c r="Q734" i="16"/>
  <c r="P734" i="16"/>
  <c r="N734" i="16"/>
  <c r="L734" i="16"/>
  <c r="M734" i="16" s="1"/>
  <c r="J734" i="16"/>
  <c r="K734" i="16" s="1"/>
  <c r="I734" i="16"/>
  <c r="AC733" i="16"/>
  <c r="AA733" i="16"/>
  <c r="AB733" i="16" s="1"/>
  <c r="Q733" i="16"/>
  <c r="P733" i="16"/>
  <c r="N733" i="16"/>
  <c r="L733" i="16"/>
  <c r="M733" i="16" s="1"/>
  <c r="J733" i="16"/>
  <c r="K733" i="16" s="1"/>
  <c r="I733" i="16"/>
  <c r="AC732" i="16"/>
  <c r="AA732" i="16"/>
  <c r="AB732" i="16" s="1"/>
  <c r="Q732" i="16"/>
  <c r="P732" i="16"/>
  <c r="N732" i="16"/>
  <c r="L732" i="16"/>
  <c r="M732" i="16" s="1"/>
  <c r="J732" i="16"/>
  <c r="K732" i="16" s="1"/>
  <c r="I732" i="16"/>
  <c r="AC731" i="16"/>
  <c r="AA731" i="16"/>
  <c r="AB731" i="16" s="1"/>
  <c r="Q731" i="16"/>
  <c r="P731" i="16"/>
  <c r="N731" i="16"/>
  <c r="L731" i="16"/>
  <c r="M731" i="16" s="1"/>
  <c r="J731" i="16"/>
  <c r="K731" i="16" s="1"/>
  <c r="I731" i="16"/>
  <c r="AC730" i="16"/>
  <c r="AA730" i="16"/>
  <c r="AB730" i="16" s="1"/>
  <c r="Q730" i="16"/>
  <c r="P730" i="16"/>
  <c r="N730" i="16"/>
  <c r="L730" i="16"/>
  <c r="M730" i="16" s="1"/>
  <c r="J730" i="16"/>
  <c r="K730" i="16" s="1"/>
  <c r="I730" i="16"/>
  <c r="AC729" i="16"/>
  <c r="AA729" i="16"/>
  <c r="AB729" i="16" s="1"/>
  <c r="Q729" i="16"/>
  <c r="P729" i="16"/>
  <c r="N729" i="16"/>
  <c r="L729" i="16"/>
  <c r="M729" i="16" s="1"/>
  <c r="J729" i="16"/>
  <c r="K729" i="16" s="1"/>
  <c r="I729" i="16"/>
  <c r="AC728" i="16"/>
  <c r="AA728" i="16"/>
  <c r="AB728" i="16" s="1"/>
  <c r="Q728" i="16"/>
  <c r="P728" i="16"/>
  <c r="N728" i="16"/>
  <c r="L728" i="16"/>
  <c r="M728" i="16" s="1"/>
  <c r="J728" i="16"/>
  <c r="K728" i="16" s="1"/>
  <c r="I728" i="16"/>
  <c r="AC727" i="16"/>
  <c r="AA727" i="16"/>
  <c r="AB727" i="16" s="1"/>
  <c r="Q727" i="16"/>
  <c r="P727" i="16"/>
  <c r="N727" i="16"/>
  <c r="L727" i="16"/>
  <c r="M727" i="16" s="1"/>
  <c r="J727" i="16"/>
  <c r="K727" i="16" s="1"/>
  <c r="I727" i="16"/>
  <c r="AC726" i="16"/>
  <c r="AA726" i="16"/>
  <c r="AB726" i="16" s="1"/>
  <c r="Q726" i="16"/>
  <c r="P726" i="16"/>
  <c r="N726" i="16"/>
  <c r="L726" i="16"/>
  <c r="M726" i="16" s="1"/>
  <c r="J726" i="16"/>
  <c r="K726" i="16" s="1"/>
  <c r="I726" i="16"/>
  <c r="AC725" i="16"/>
  <c r="AA725" i="16"/>
  <c r="AB725" i="16" s="1"/>
  <c r="Q725" i="16"/>
  <c r="P725" i="16"/>
  <c r="N725" i="16"/>
  <c r="L725" i="16"/>
  <c r="M725" i="16" s="1"/>
  <c r="J725" i="16"/>
  <c r="K725" i="16" s="1"/>
  <c r="I725" i="16"/>
  <c r="AC724" i="16"/>
  <c r="AA724" i="16"/>
  <c r="AB724" i="16" s="1"/>
  <c r="Q724" i="16"/>
  <c r="P724" i="16"/>
  <c r="N724" i="16"/>
  <c r="L724" i="16"/>
  <c r="M724" i="16" s="1"/>
  <c r="J724" i="16"/>
  <c r="K724" i="16" s="1"/>
  <c r="I724" i="16"/>
  <c r="AC723" i="16"/>
  <c r="AA723" i="16"/>
  <c r="AB723" i="16" s="1"/>
  <c r="T723" i="16"/>
  <c r="AE723" i="16" s="1"/>
  <c r="R723" i="16"/>
  <c r="Q723" i="16"/>
  <c r="P723" i="16"/>
  <c r="N723" i="16"/>
  <c r="L723" i="16"/>
  <c r="M723" i="16" s="1"/>
  <c r="K723" i="16"/>
  <c r="J723" i="16"/>
  <c r="I723" i="16"/>
  <c r="AC722" i="16"/>
  <c r="AA722" i="16"/>
  <c r="AB722" i="16" s="1"/>
  <c r="Q722" i="16"/>
  <c r="P722" i="16"/>
  <c r="N722" i="16"/>
  <c r="L722" i="16"/>
  <c r="M722" i="16" s="1"/>
  <c r="J722" i="16"/>
  <c r="K722" i="16" s="1"/>
  <c r="I722" i="16"/>
  <c r="AC721" i="16"/>
  <c r="AA721" i="16"/>
  <c r="AB721" i="16" s="1"/>
  <c r="Q721" i="16"/>
  <c r="P721" i="16"/>
  <c r="N721" i="16"/>
  <c r="L721" i="16"/>
  <c r="M721" i="16" s="1"/>
  <c r="J721" i="16"/>
  <c r="K721" i="16" s="1"/>
  <c r="I721" i="16"/>
  <c r="AC720" i="16"/>
  <c r="AA720" i="16"/>
  <c r="AB720" i="16" s="1"/>
  <c r="Q720" i="16"/>
  <c r="P720" i="16"/>
  <c r="N720" i="16"/>
  <c r="L720" i="16"/>
  <c r="M720" i="16" s="1"/>
  <c r="J720" i="16"/>
  <c r="K720" i="16" s="1"/>
  <c r="I720" i="16"/>
  <c r="AC719" i="16"/>
  <c r="AA719" i="16"/>
  <c r="AB719" i="16" s="1"/>
  <c r="Q719" i="16"/>
  <c r="P719" i="16"/>
  <c r="N719" i="16"/>
  <c r="L719" i="16"/>
  <c r="M719" i="16" s="1"/>
  <c r="J719" i="16"/>
  <c r="K719" i="16" s="1"/>
  <c r="I719" i="16"/>
  <c r="AC718" i="16"/>
  <c r="AA718" i="16"/>
  <c r="AB718" i="16" s="1"/>
  <c r="Q718" i="16"/>
  <c r="P718" i="16"/>
  <c r="N718" i="16"/>
  <c r="L718" i="16"/>
  <c r="M718" i="16" s="1"/>
  <c r="J718" i="16"/>
  <c r="K718" i="16" s="1"/>
  <c r="I718" i="16"/>
  <c r="AC717" i="16"/>
  <c r="AA717" i="16"/>
  <c r="AB717" i="16" s="1"/>
  <c r="Q717" i="16"/>
  <c r="P717" i="16"/>
  <c r="N717" i="16"/>
  <c r="L717" i="16"/>
  <c r="M717" i="16" s="1"/>
  <c r="J717" i="16"/>
  <c r="K717" i="16" s="1"/>
  <c r="I717" i="16"/>
  <c r="AC716" i="16"/>
  <c r="AA716" i="16"/>
  <c r="AB716" i="16" s="1"/>
  <c r="Q716" i="16"/>
  <c r="P716" i="16"/>
  <c r="N716" i="16"/>
  <c r="L716" i="16"/>
  <c r="M716" i="16" s="1"/>
  <c r="J716" i="16"/>
  <c r="K716" i="16" s="1"/>
  <c r="I716" i="16"/>
  <c r="AC715" i="16"/>
  <c r="AA715" i="16"/>
  <c r="AB715" i="16" s="1"/>
  <c r="Q715" i="16"/>
  <c r="P715" i="16"/>
  <c r="N715" i="16"/>
  <c r="L715" i="16"/>
  <c r="M715" i="16" s="1"/>
  <c r="J715" i="16"/>
  <c r="K715" i="16" s="1"/>
  <c r="I715" i="16"/>
  <c r="AC714" i="16"/>
  <c r="AA714" i="16"/>
  <c r="AB714" i="16" s="1"/>
  <c r="Q714" i="16"/>
  <c r="P714" i="16"/>
  <c r="N714" i="16"/>
  <c r="L714" i="16"/>
  <c r="M714" i="16" s="1"/>
  <c r="J714" i="16"/>
  <c r="K714" i="16" s="1"/>
  <c r="I714" i="16"/>
  <c r="AC713" i="16"/>
  <c r="AA713" i="16"/>
  <c r="AB713" i="16" s="1"/>
  <c r="Q713" i="16"/>
  <c r="P713" i="16"/>
  <c r="N713" i="16"/>
  <c r="L713" i="16"/>
  <c r="M713" i="16" s="1"/>
  <c r="J713" i="16"/>
  <c r="K713" i="16" s="1"/>
  <c r="I713" i="16"/>
  <c r="AC712" i="16"/>
  <c r="AA712" i="16"/>
  <c r="AB712" i="16" s="1"/>
  <c r="Q712" i="16"/>
  <c r="P712" i="16"/>
  <c r="N712" i="16"/>
  <c r="L712" i="16"/>
  <c r="M712" i="16" s="1"/>
  <c r="J712" i="16"/>
  <c r="K712" i="16" s="1"/>
  <c r="I712" i="16"/>
  <c r="AC711" i="16"/>
  <c r="AA711" i="16"/>
  <c r="AB711" i="16" s="1"/>
  <c r="Q711" i="16"/>
  <c r="P711" i="16"/>
  <c r="N711" i="16"/>
  <c r="L711" i="16"/>
  <c r="M711" i="16" s="1"/>
  <c r="J711" i="16"/>
  <c r="K711" i="16" s="1"/>
  <c r="I711" i="16"/>
  <c r="AC710" i="16"/>
  <c r="AA710" i="16"/>
  <c r="AB710" i="16" s="1"/>
  <c r="Q710" i="16"/>
  <c r="P710" i="16"/>
  <c r="N710" i="16"/>
  <c r="L710" i="16"/>
  <c r="M710" i="16" s="1"/>
  <c r="J710" i="16"/>
  <c r="K710" i="16" s="1"/>
  <c r="I710" i="16"/>
  <c r="AC709" i="16"/>
  <c r="AA709" i="16"/>
  <c r="AB709" i="16" s="1"/>
  <c r="Q709" i="16"/>
  <c r="P709" i="16"/>
  <c r="N709" i="16"/>
  <c r="L709" i="16"/>
  <c r="M709" i="16" s="1"/>
  <c r="J709" i="16"/>
  <c r="K709" i="16" s="1"/>
  <c r="I709" i="16"/>
  <c r="AC708" i="16"/>
  <c r="AA708" i="16"/>
  <c r="AB708" i="16" s="1"/>
  <c r="Q708" i="16"/>
  <c r="P708" i="16"/>
  <c r="N708" i="16"/>
  <c r="L708" i="16"/>
  <c r="M708" i="16" s="1"/>
  <c r="J708" i="16"/>
  <c r="K708" i="16" s="1"/>
  <c r="I708" i="16"/>
  <c r="AC707" i="16"/>
  <c r="AA707" i="16"/>
  <c r="AB707" i="16" s="1"/>
  <c r="Q707" i="16"/>
  <c r="P707" i="16"/>
  <c r="N707" i="16"/>
  <c r="L707" i="16"/>
  <c r="M707" i="16" s="1"/>
  <c r="J707" i="16"/>
  <c r="K707" i="16" s="1"/>
  <c r="I707" i="16"/>
  <c r="AC706" i="16"/>
  <c r="AA706" i="16"/>
  <c r="AB706" i="16" s="1"/>
  <c r="Q706" i="16"/>
  <c r="P706" i="16"/>
  <c r="N706" i="16"/>
  <c r="L706" i="16"/>
  <c r="M706" i="16" s="1"/>
  <c r="J706" i="16"/>
  <c r="K706" i="16" s="1"/>
  <c r="I706" i="16"/>
  <c r="AC705" i="16"/>
  <c r="AA705" i="16"/>
  <c r="AB705" i="16" s="1"/>
  <c r="Q705" i="16"/>
  <c r="P705" i="16"/>
  <c r="N705" i="16"/>
  <c r="L705" i="16"/>
  <c r="M705" i="16" s="1"/>
  <c r="J705" i="16"/>
  <c r="K705" i="16" s="1"/>
  <c r="I705" i="16"/>
  <c r="AC704" i="16"/>
  <c r="AA704" i="16"/>
  <c r="AB704" i="16" s="1"/>
  <c r="Q704" i="16"/>
  <c r="P704" i="16"/>
  <c r="N704" i="16"/>
  <c r="L704" i="16"/>
  <c r="M704" i="16" s="1"/>
  <c r="J704" i="16"/>
  <c r="K704" i="16" s="1"/>
  <c r="I704" i="16"/>
  <c r="AC703" i="16"/>
  <c r="AA703" i="16"/>
  <c r="AB703" i="16" s="1"/>
  <c r="Q703" i="16"/>
  <c r="P703" i="16"/>
  <c r="N703" i="16"/>
  <c r="L703" i="16"/>
  <c r="M703" i="16" s="1"/>
  <c r="J703" i="16"/>
  <c r="K703" i="16" s="1"/>
  <c r="I703" i="16"/>
  <c r="AC702" i="16"/>
  <c r="AA702" i="16"/>
  <c r="AB702" i="16" s="1"/>
  <c r="Q702" i="16"/>
  <c r="P702" i="16"/>
  <c r="N702" i="16"/>
  <c r="L702" i="16"/>
  <c r="M702" i="16" s="1"/>
  <c r="J702" i="16"/>
  <c r="K702" i="16" s="1"/>
  <c r="I702" i="16"/>
  <c r="AC701" i="16"/>
  <c r="AA701" i="16"/>
  <c r="AB701" i="16" s="1"/>
  <c r="Q701" i="16"/>
  <c r="P701" i="16"/>
  <c r="N701" i="16"/>
  <c r="L701" i="16"/>
  <c r="M701" i="16" s="1"/>
  <c r="J701" i="16"/>
  <c r="K701" i="16" s="1"/>
  <c r="I701" i="16"/>
  <c r="AC700" i="16"/>
  <c r="AA700" i="16"/>
  <c r="AB700" i="16" s="1"/>
  <c r="Q700" i="16"/>
  <c r="P700" i="16"/>
  <c r="N700" i="16"/>
  <c r="L700" i="16"/>
  <c r="M700" i="16" s="1"/>
  <c r="J700" i="16"/>
  <c r="K700" i="16" s="1"/>
  <c r="I700" i="16"/>
  <c r="AC699" i="16"/>
  <c r="AA699" i="16"/>
  <c r="AB699" i="16" s="1"/>
  <c r="Q699" i="16"/>
  <c r="P699" i="16"/>
  <c r="N699" i="16"/>
  <c r="L699" i="16"/>
  <c r="M699" i="16" s="1"/>
  <c r="J699" i="16"/>
  <c r="K699" i="16" s="1"/>
  <c r="I699" i="16"/>
  <c r="AC698" i="16"/>
  <c r="AA698" i="16"/>
  <c r="AB698" i="16" s="1"/>
  <c r="Q698" i="16"/>
  <c r="P698" i="16"/>
  <c r="N698" i="16"/>
  <c r="L698" i="16"/>
  <c r="M698" i="16" s="1"/>
  <c r="J698" i="16"/>
  <c r="K698" i="16" s="1"/>
  <c r="I698" i="16"/>
  <c r="AC697" i="16"/>
  <c r="AA697" i="16"/>
  <c r="AB697" i="16" s="1"/>
  <c r="Q697" i="16"/>
  <c r="P697" i="16"/>
  <c r="N697" i="16"/>
  <c r="L697" i="16"/>
  <c r="M697" i="16" s="1"/>
  <c r="J697" i="16"/>
  <c r="K697" i="16" s="1"/>
  <c r="I697" i="16"/>
  <c r="AC696" i="16"/>
  <c r="AA696" i="16"/>
  <c r="AB696" i="16" s="1"/>
  <c r="Q696" i="16"/>
  <c r="P696" i="16"/>
  <c r="N696" i="16"/>
  <c r="L696" i="16"/>
  <c r="M696" i="16" s="1"/>
  <c r="J696" i="16"/>
  <c r="K696" i="16" s="1"/>
  <c r="I696" i="16"/>
  <c r="AC695" i="16"/>
  <c r="AA695" i="16"/>
  <c r="AB695" i="16" s="1"/>
  <c r="T695" i="16"/>
  <c r="AE695" i="16" s="1"/>
  <c r="R695" i="16"/>
  <c r="Q695" i="16"/>
  <c r="P695" i="16"/>
  <c r="N695" i="16"/>
  <c r="L695" i="16"/>
  <c r="M695" i="16" s="1"/>
  <c r="K695" i="16"/>
  <c r="J695" i="16"/>
  <c r="I695" i="16"/>
  <c r="AC694" i="16"/>
  <c r="AA694" i="16"/>
  <c r="AB694" i="16" s="1"/>
  <c r="Q694" i="16"/>
  <c r="P694" i="16"/>
  <c r="N694" i="16"/>
  <c r="L694" i="16"/>
  <c r="M694" i="16" s="1"/>
  <c r="J694" i="16"/>
  <c r="K694" i="16" s="1"/>
  <c r="I694" i="16"/>
  <c r="AC693" i="16"/>
  <c r="AA693" i="16"/>
  <c r="AB693" i="16" s="1"/>
  <c r="Q693" i="16"/>
  <c r="P693" i="16"/>
  <c r="N693" i="16"/>
  <c r="L693" i="16"/>
  <c r="M693" i="16" s="1"/>
  <c r="J693" i="16"/>
  <c r="K693" i="16" s="1"/>
  <c r="I693" i="16"/>
  <c r="AC692" i="16"/>
  <c r="AA692" i="16"/>
  <c r="AB692" i="16" s="1"/>
  <c r="Q692" i="16"/>
  <c r="P692" i="16"/>
  <c r="N692" i="16"/>
  <c r="L692" i="16"/>
  <c r="M692" i="16" s="1"/>
  <c r="J692" i="16"/>
  <c r="K692" i="16" s="1"/>
  <c r="I692" i="16"/>
  <c r="AC691" i="16"/>
  <c r="AA691" i="16"/>
  <c r="AB691" i="16" s="1"/>
  <c r="Q691" i="16"/>
  <c r="P691" i="16"/>
  <c r="N691" i="16"/>
  <c r="L691" i="16"/>
  <c r="M691" i="16" s="1"/>
  <c r="J691" i="16"/>
  <c r="K691" i="16" s="1"/>
  <c r="I691" i="16"/>
  <c r="AC690" i="16"/>
  <c r="AA690" i="16"/>
  <c r="AB690" i="16" s="1"/>
  <c r="Q690" i="16"/>
  <c r="P690" i="16"/>
  <c r="N690" i="16"/>
  <c r="L690" i="16"/>
  <c r="M690" i="16" s="1"/>
  <c r="J690" i="16"/>
  <c r="K690" i="16" s="1"/>
  <c r="I690" i="16"/>
  <c r="AC689" i="16"/>
  <c r="AA689" i="16"/>
  <c r="AB689" i="16" s="1"/>
  <c r="Q689" i="16"/>
  <c r="P689" i="16"/>
  <c r="N689" i="16"/>
  <c r="L689" i="16"/>
  <c r="M689" i="16" s="1"/>
  <c r="J689" i="16"/>
  <c r="K689" i="16" s="1"/>
  <c r="I689" i="16"/>
  <c r="AC688" i="16"/>
  <c r="AA688" i="16"/>
  <c r="AB688" i="16" s="1"/>
  <c r="Q688" i="16"/>
  <c r="P688" i="16"/>
  <c r="N688" i="16"/>
  <c r="L688" i="16"/>
  <c r="M688" i="16" s="1"/>
  <c r="J688" i="16"/>
  <c r="K688" i="16" s="1"/>
  <c r="I688" i="16"/>
  <c r="AC687" i="16"/>
  <c r="AA687" i="16"/>
  <c r="AB687" i="16" s="1"/>
  <c r="Q687" i="16"/>
  <c r="P687" i="16"/>
  <c r="N687" i="16"/>
  <c r="L687" i="16"/>
  <c r="M687" i="16" s="1"/>
  <c r="J687" i="16"/>
  <c r="K687" i="16" s="1"/>
  <c r="I687" i="16"/>
  <c r="AC686" i="16"/>
  <c r="AA686" i="16"/>
  <c r="AB686" i="16" s="1"/>
  <c r="Q686" i="16"/>
  <c r="P686" i="16"/>
  <c r="N686" i="16"/>
  <c r="L686" i="16"/>
  <c r="M686" i="16" s="1"/>
  <c r="J686" i="16"/>
  <c r="K686" i="16" s="1"/>
  <c r="I686" i="16"/>
  <c r="AC685" i="16"/>
  <c r="AA685" i="16"/>
  <c r="AB685" i="16" s="1"/>
  <c r="Q685" i="16"/>
  <c r="P685" i="16"/>
  <c r="N685" i="16"/>
  <c r="L685" i="16"/>
  <c r="M685" i="16" s="1"/>
  <c r="J685" i="16"/>
  <c r="K685" i="16" s="1"/>
  <c r="I685" i="16"/>
  <c r="AC684" i="16"/>
  <c r="AA684" i="16"/>
  <c r="AB684" i="16" s="1"/>
  <c r="Q684" i="16"/>
  <c r="P684" i="16"/>
  <c r="N684" i="16"/>
  <c r="L684" i="16"/>
  <c r="M684" i="16" s="1"/>
  <c r="J684" i="16"/>
  <c r="K684" i="16" s="1"/>
  <c r="I684" i="16"/>
  <c r="AC683" i="16"/>
  <c r="AA683" i="16"/>
  <c r="AB683" i="16" s="1"/>
  <c r="Q683" i="16"/>
  <c r="P683" i="16"/>
  <c r="N683" i="16"/>
  <c r="L683" i="16"/>
  <c r="M683" i="16" s="1"/>
  <c r="J683" i="16"/>
  <c r="K683" i="16" s="1"/>
  <c r="I683" i="16"/>
  <c r="AC682" i="16"/>
  <c r="AA682" i="16"/>
  <c r="AB682" i="16" s="1"/>
  <c r="T682" i="16"/>
  <c r="AE682" i="16" s="1"/>
  <c r="R682" i="16"/>
  <c r="Q682" i="16"/>
  <c r="P682" i="16"/>
  <c r="N682" i="16"/>
  <c r="L682" i="16"/>
  <c r="M682" i="16" s="1"/>
  <c r="K682" i="16"/>
  <c r="J682" i="16"/>
  <c r="I682" i="16"/>
  <c r="AC681" i="16"/>
  <c r="AA681" i="16"/>
  <c r="AB681" i="16" s="1"/>
  <c r="Q681" i="16"/>
  <c r="P681" i="16"/>
  <c r="N681" i="16"/>
  <c r="L681" i="16"/>
  <c r="M681" i="16" s="1"/>
  <c r="J681" i="16"/>
  <c r="K681" i="16" s="1"/>
  <c r="I681" i="16"/>
  <c r="AC680" i="16"/>
  <c r="AA680" i="16"/>
  <c r="AB680" i="16" s="1"/>
  <c r="Q680" i="16"/>
  <c r="P680" i="16"/>
  <c r="N680" i="16"/>
  <c r="L680" i="16"/>
  <c r="M680" i="16" s="1"/>
  <c r="J680" i="16"/>
  <c r="K680" i="16" s="1"/>
  <c r="I680" i="16"/>
  <c r="AC679" i="16"/>
  <c r="AA679" i="16"/>
  <c r="AB679" i="16" s="1"/>
  <c r="Q679" i="16"/>
  <c r="P679" i="16"/>
  <c r="N679" i="16"/>
  <c r="L679" i="16"/>
  <c r="M679" i="16" s="1"/>
  <c r="J679" i="16"/>
  <c r="K679" i="16" s="1"/>
  <c r="I679" i="16"/>
  <c r="AC678" i="16"/>
  <c r="AA678" i="16"/>
  <c r="AB678" i="16" s="1"/>
  <c r="Q678" i="16"/>
  <c r="P678" i="16"/>
  <c r="N678" i="16"/>
  <c r="L678" i="16"/>
  <c r="M678" i="16" s="1"/>
  <c r="J678" i="16"/>
  <c r="K678" i="16" s="1"/>
  <c r="I678" i="16"/>
  <c r="AC677" i="16"/>
  <c r="AA677" i="16"/>
  <c r="AB677" i="16" s="1"/>
  <c r="Q677" i="16"/>
  <c r="P677" i="16"/>
  <c r="N677" i="16"/>
  <c r="L677" i="16"/>
  <c r="M677" i="16" s="1"/>
  <c r="J677" i="16"/>
  <c r="K677" i="16" s="1"/>
  <c r="I677" i="16"/>
  <c r="AC676" i="16"/>
  <c r="AA676" i="16"/>
  <c r="AB676" i="16" s="1"/>
  <c r="Q676" i="16"/>
  <c r="P676" i="16"/>
  <c r="N676" i="16"/>
  <c r="L676" i="16"/>
  <c r="M676" i="16" s="1"/>
  <c r="J676" i="16"/>
  <c r="K676" i="16" s="1"/>
  <c r="I676" i="16"/>
  <c r="AC675" i="16"/>
  <c r="AA675" i="16"/>
  <c r="AB675" i="16" s="1"/>
  <c r="Q675" i="16"/>
  <c r="P675" i="16"/>
  <c r="N675" i="16"/>
  <c r="L675" i="16"/>
  <c r="M675" i="16" s="1"/>
  <c r="J675" i="16"/>
  <c r="K675" i="16" s="1"/>
  <c r="I675" i="16"/>
  <c r="AC674" i="16"/>
  <c r="AA674" i="16"/>
  <c r="AB674" i="16" s="1"/>
  <c r="Q674" i="16"/>
  <c r="P674" i="16"/>
  <c r="N674" i="16"/>
  <c r="L674" i="16"/>
  <c r="M674" i="16" s="1"/>
  <c r="J674" i="16"/>
  <c r="K674" i="16" s="1"/>
  <c r="I674" i="16"/>
  <c r="AC673" i="16"/>
  <c r="AA673" i="16"/>
  <c r="AB673" i="16" s="1"/>
  <c r="Q673" i="16"/>
  <c r="P673" i="16"/>
  <c r="N673" i="16"/>
  <c r="L673" i="16"/>
  <c r="M673" i="16" s="1"/>
  <c r="J673" i="16"/>
  <c r="K673" i="16" s="1"/>
  <c r="I673" i="16"/>
  <c r="AC672" i="16"/>
  <c r="AA672" i="16"/>
  <c r="AB672" i="16" s="1"/>
  <c r="Q672" i="16"/>
  <c r="P672" i="16"/>
  <c r="N672" i="16"/>
  <c r="L672" i="16"/>
  <c r="M672" i="16" s="1"/>
  <c r="J672" i="16"/>
  <c r="K672" i="16" s="1"/>
  <c r="I672" i="16"/>
  <c r="AC671" i="16"/>
  <c r="AA671" i="16"/>
  <c r="AB671" i="16" s="1"/>
  <c r="Q671" i="16"/>
  <c r="P671" i="16"/>
  <c r="N671" i="16"/>
  <c r="L671" i="16"/>
  <c r="M671" i="16" s="1"/>
  <c r="J671" i="16"/>
  <c r="K671" i="16" s="1"/>
  <c r="I671" i="16"/>
  <c r="AC670" i="16"/>
  <c r="AA670" i="16"/>
  <c r="AB670" i="16" s="1"/>
  <c r="Q670" i="16"/>
  <c r="P670" i="16"/>
  <c r="N670" i="16"/>
  <c r="L670" i="16"/>
  <c r="M670" i="16" s="1"/>
  <c r="J670" i="16"/>
  <c r="K670" i="16" s="1"/>
  <c r="I670" i="16"/>
  <c r="AC669" i="16"/>
  <c r="AA669" i="16"/>
  <c r="AB669" i="16" s="1"/>
  <c r="Q669" i="16"/>
  <c r="P669" i="16"/>
  <c r="N669" i="16"/>
  <c r="L669" i="16"/>
  <c r="M669" i="16" s="1"/>
  <c r="J669" i="16"/>
  <c r="K669" i="16" s="1"/>
  <c r="I669" i="16"/>
  <c r="AC668" i="16"/>
  <c r="AA668" i="16"/>
  <c r="AB668" i="16" s="1"/>
  <c r="Q668" i="16"/>
  <c r="P668" i="16"/>
  <c r="N668" i="16"/>
  <c r="L668" i="16"/>
  <c r="M668" i="16" s="1"/>
  <c r="J668" i="16"/>
  <c r="K668" i="16" s="1"/>
  <c r="I668" i="16"/>
  <c r="AC667" i="16"/>
  <c r="AA667" i="16"/>
  <c r="AB667" i="16" s="1"/>
  <c r="Q667" i="16"/>
  <c r="P667" i="16"/>
  <c r="N667" i="16"/>
  <c r="L667" i="16"/>
  <c r="M667" i="16" s="1"/>
  <c r="J667" i="16"/>
  <c r="K667" i="16" s="1"/>
  <c r="I667" i="16"/>
  <c r="AC666" i="16"/>
  <c r="AA666" i="16"/>
  <c r="AB666" i="16" s="1"/>
  <c r="Q666" i="16"/>
  <c r="P666" i="16"/>
  <c r="N666" i="16"/>
  <c r="L666" i="16"/>
  <c r="M666" i="16" s="1"/>
  <c r="J666" i="16"/>
  <c r="K666" i="16" s="1"/>
  <c r="I666" i="16"/>
  <c r="AC665" i="16"/>
  <c r="AA665" i="16"/>
  <c r="AB665" i="16" s="1"/>
  <c r="Q665" i="16"/>
  <c r="P665" i="16"/>
  <c r="N665" i="16"/>
  <c r="L665" i="16"/>
  <c r="M665" i="16" s="1"/>
  <c r="J665" i="16"/>
  <c r="K665" i="16" s="1"/>
  <c r="I665" i="16"/>
  <c r="AC664" i="16"/>
  <c r="AA664" i="16"/>
  <c r="AB664" i="16" s="1"/>
  <c r="Q664" i="16"/>
  <c r="P664" i="16"/>
  <c r="N664" i="16"/>
  <c r="L664" i="16"/>
  <c r="M664" i="16" s="1"/>
  <c r="J664" i="16"/>
  <c r="K664" i="16" s="1"/>
  <c r="I664" i="16"/>
  <c r="AC663" i="16"/>
  <c r="AA663" i="16"/>
  <c r="AB663" i="16" s="1"/>
  <c r="Q663" i="16"/>
  <c r="P663" i="16"/>
  <c r="N663" i="16"/>
  <c r="L663" i="16"/>
  <c r="M663" i="16" s="1"/>
  <c r="J663" i="16"/>
  <c r="K663" i="16" s="1"/>
  <c r="I663" i="16"/>
  <c r="AC662" i="16"/>
  <c r="AA662" i="16"/>
  <c r="AB662" i="16" s="1"/>
  <c r="Q662" i="16"/>
  <c r="P662" i="16"/>
  <c r="N662" i="16"/>
  <c r="L662" i="16"/>
  <c r="M662" i="16" s="1"/>
  <c r="J662" i="16"/>
  <c r="K662" i="16" s="1"/>
  <c r="I662" i="16"/>
  <c r="AC661" i="16"/>
  <c r="AA661" i="16"/>
  <c r="AB661" i="16" s="1"/>
  <c r="Q661" i="16"/>
  <c r="P661" i="16"/>
  <c r="N661" i="16"/>
  <c r="L661" i="16"/>
  <c r="M661" i="16" s="1"/>
  <c r="J661" i="16"/>
  <c r="K661" i="16" s="1"/>
  <c r="I661" i="16"/>
  <c r="AC660" i="16"/>
  <c r="AA660" i="16"/>
  <c r="AB660" i="16" s="1"/>
  <c r="Q660" i="16"/>
  <c r="P660" i="16"/>
  <c r="N660" i="16"/>
  <c r="L660" i="16"/>
  <c r="M660" i="16" s="1"/>
  <c r="J660" i="16"/>
  <c r="K660" i="16" s="1"/>
  <c r="I660" i="16"/>
  <c r="AC659" i="16"/>
  <c r="AA659" i="16"/>
  <c r="AB659" i="16" s="1"/>
  <c r="Q659" i="16"/>
  <c r="P659" i="16"/>
  <c r="N659" i="16"/>
  <c r="L659" i="16"/>
  <c r="M659" i="16" s="1"/>
  <c r="J659" i="16"/>
  <c r="K659" i="16" s="1"/>
  <c r="I659" i="16"/>
  <c r="AC658" i="16"/>
  <c r="AA658" i="16"/>
  <c r="AB658" i="16" s="1"/>
  <c r="Q658" i="16"/>
  <c r="P658" i="16"/>
  <c r="N658" i="16"/>
  <c r="L658" i="16"/>
  <c r="M658" i="16" s="1"/>
  <c r="J658" i="16"/>
  <c r="K658" i="16" s="1"/>
  <c r="I658" i="16"/>
  <c r="AC657" i="16"/>
  <c r="AA657" i="16"/>
  <c r="AB657" i="16" s="1"/>
  <c r="Q657" i="16"/>
  <c r="P657" i="16"/>
  <c r="N657" i="16"/>
  <c r="L657" i="16"/>
  <c r="M657" i="16" s="1"/>
  <c r="J657" i="16"/>
  <c r="K657" i="16" s="1"/>
  <c r="I657" i="16"/>
  <c r="AC656" i="16"/>
  <c r="AA656" i="16"/>
  <c r="AB656" i="16" s="1"/>
  <c r="Q656" i="16"/>
  <c r="P656" i="16"/>
  <c r="N656" i="16"/>
  <c r="L656" i="16"/>
  <c r="M656" i="16" s="1"/>
  <c r="J656" i="16"/>
  <c r="K656" i="16" s="1"/>
  <c r="I656" i="16"/>
  <c r="AC655" i="16"/>
  <c r="AA655" i="16"/>
  <c r="AB655" i="16" s="1"/>
  <c r="Q655" i="16"/>
  <c r="P655" i="16"/>
  <c r="N655" i="16"/>
  <c r="L655" i="16"/>
  <c r="M655" i="16" s="1"/>
  <c r="J655" i="16"/>
  <c r="K655" i="16" s="1"/>
  <c r="I655" i="16"/>
  <c r="AC654" i="16"/>
  <c r="AA654" i="16"/>
  <c r="AB654" i="16" s="1"/>
  <c r="Q654" i="16"/>
  <c r="P654" i="16"/>
  <c r="N654" i="16"/>
  <c r="L654" i="16"/>
  <c r="M654" i="16" s="1"/>
  <c r="J654" i="16"/>
  <c r="K654" i="16" s="1"/>
  <c r="I654" i="16"/>
  <c r="AC653" i="16"/>
  <c r="AA653" i="16"/>
  <c r="AB653" i="16" s="1"/>
  <c r="Q653" i="16"/>
  <c r="P653" i="16"/>
  <c r="N653" i="16"/>
  <c r="L653" i="16"/>
  <c r="M653" i="16" s="1"/>
  <c r="J653" i="16"/>
  <c r="K653" i="16" s="1"/>
  <c r="I653" i="16"/>
  <c r="AC652" i="16"/>
  <c r="AA652" i="16"/>
  <c r="AB652" i="16" s="1"/>
  <c r="Q652" i="16"/>
  <c r="P652" i="16"/>
  <c r="N652" i="16"/>
  <c r="L652" i="16"/>
  <c r="M652" i="16" s="1"/>
  <c r="J652" i="16"/>
  <c r="K652" i="16" s="1"/>
  <c r="I652" i="16"/>
  <c r="AC651" i="16"/>
  <c r="AA651" i="16"/>
  <c r="AB651" i="16" s="1"/>
  <c r="Q651" i="16"/>
  <c r="P651" i="16"/>
  <c r="N651" i="16"/>
  <c r="L651" i="16"/>
  <c r="M651" i="16" s="1"/>
  <c r="J651" i="16"/>
  <c r="K651" i="16" s="1"/>
  <c r="I651" i="16"/>
  <c r="AC650" i="16"/>
  <c r="AA650" i="16"/>
  <c r="AB650" i="16" s="1"/>
  <c r="Q650" i="16"/>
  <c r="P650" i="16"/>
  <c r="N650" i="16"/>
  <c r="L650" i="16"/>
  <c r="M650" i="16" s="1"/>
  <c r="J650" i="16"/>
  <c r="K650" i="16" s="1"/>
  <c r="I650" i="16"/>
  <c r="AC649" i="16"/>
  <c r="AA649" i="16"/>
  <c r="AB649" i="16" s="1"/>
  <c r="Q649" i="16"/>
  <c r="P649" i="16"/>
  <c r="N649" i="16"/>
  <c r="L649" i="16"/>
  <c r="M649" i="16" s="1"/>
  <c r="J649" i="16"/>
  <c r="K649" i="16" s="1"/>
  <c r="I649" i="16"/>
  <c r="AC648" i="16"/>
  <c r="AA648" i="16"/>
  <c r="AB648" i="16" s="1"/>
  <c r="Q648" i="16"/>
  <c r="P648" i="16"/>
  <c r="N648" i="16"/>
  <c r="L648" i="16"/>
  <c r="M648" i="16" s="1"/>
  <c r="J648" i="16"/>
  <c r="K648" i="16" s="1"/>
  <c r="I648" i="16"/>
  <c r="AC647" i="16"/>
  <c r="AA647" i="16"/>
  <c r="AB647" i="16" s="1"/>
  <c r="Q647" i="16"/>
  <c r="P647" i="16"/>
  <c r="N647" i="16"/>
  <c r="L647" i="16"/>
  <c r="M647" i="16" s="1"/>
  <c r="J647" i="16"/>
  <c r="K647" i="16" s="1"/>
  <c r="I647" i="16"/>
  <c r="AC646" i="16"/>
  <c r="AA646" i="16"/>
  <c r="AB646" i="16" s="1"/>
  <c r="Q646" i="16"/>
  <c r="P646" i="16"/>
  <c r="N646" i="16"/>
  <c r="L646" i="16"/>
  <c r="M646" i="16" s="1"/>
  <c r="J646" i="16"/>
  <c r="K646" i="16" s="1"/>
  <c r="I646" i="16"/>
  <c r="AC645" i="16"/>
  <c r="AA645" i="16"/>
  <c r="AB645" i="16" s="1"/>
  <c r="Q645" i="16"/>
  <c r="P645" i="16"/>
  <c r="N645" i="16"/>
  <c r="L645" i="16"/>
  <c r="M645" i="16" s="1"/>
  <c r="J645" i="16"/>
  <c r="K645" i="16" s="1"/>
  <c r="I645" i="16"/>
  <c r="AC644" i="16"/>
  <c r="AA644" i="16"/>
  <c r="AB644" i="16" s="1"/>
  <c r="Q644" i="16"/>
  <c r="P644" i="16"/>
  <c r="N644" i="16"/>
  <c r="L644" i="16"/>
  <c r="M644" i="16" s="1"/>
  <c r="J644" i="16"/>
  <c r="K644" i="16" s="1"/>
  <c r="I644" i="16"/>
  <c r="AC643" i="16"/>
  <c r="AA643" i="16"/>
  <c r="AB643" i="16" s="1"/>
  <c r="Q643" i="16"/>
  <c r="P643" i="16"/>
  <c r="N643" i="16"/>
  <c r="L643" i="16"/>
  <c r="M643" i="16" s="1"/>
  <c r="J643" i="16"/>
  <c r="K643" i="16" s="1"/>
  <c r="I643" i="16"/>
  <c r="AC642" i="16"/>
  <c r="AA642" i="16"/>
  <c r="AB642" i="16" s="1"/>
  <c r="Q642" i="16"/>
  <c r="P642" i="16"/>
  <c r="N642" i="16"/>
  <c r="L642" i="16"/>
  <c r="M642" i="16" s="1"/>
  <c r="J642" i="16"/>
  <c r="K642" i="16" s="1"/>
  <c r="I642" i="16"/>
  <c r="AC641" i="16"/>
  <c r="AA641" i="16"/>
  <c r="AB641" i="16" s="1"/>
  <c r="Q641" i="16"/>
  <c r="P641" i="16"/>
  <c r="N641" i="16"/>
  <c r="L641" i="16"/>
  <c r="M641" i="16" s="1"/>
  <c r="J641" i="16"/>
  <c r="K641" i="16" s="1"/>
  <c r="I641" i="16"/>
  <c r="AC640" i="16"/>
  <c r="AA640" i="16"/>
  <c r="AB640" i="16" s="1"/>
  <c r="Q640" i="16"/>
  <c r="P640" i="16"/>
  <c r="N640" i="16"/>
  <c r="L640" i="16"/>
  <c r="M640" i="16" s="1"/>
  <c r="J640" i="16"/>
  <c r="K640" i="16" s="1"/>
  <c r="I640" i="16"/>
  <c r="AC639" i="16"/>
  <c r="AA639" i="16"/>
  <c r="AB639" i="16" s="1"/>
  <c r="Q639" i="16"/>
  <c r="P639" i="16"/>
  <c r="N639" i="16"/>
  <c r="L639" i="16"/>
  <c r="M639" i="16" s="1"/>
  <c r="J639" i="16"/>
  <c r="K639" i="16" s="1"/>
  <c r="I639" i="16"/>
  <c r="AC638" i="16"/>
  <c r="AA638" i="16"/>
  <c r="AB638" i="16" s="1"/>
  <c r="Q638" i="16"/>
  <c r="P638" i="16"/>
  <c r="N638" i="16"/>
  <c r="L638" i="16"/>
  <c r="M638" i="16" s="1"/>
  <c r="J638" i="16"/>
  <c r="K638" i="16" s="1"/>
  <c r="I638" i="16"/>
  <c r="AC637" i="16"/>
  <c r="AA637" i="16"/>
  <c r="AB637" i="16" s="1"/>
  <c r="Q637" i="16"/>
  <c r="P637" i="16"/>
  <c r="N637" i="16"/>
  <c r="L637" i="16"/>
  <c r="M637" i="16" s="1"/>
  <c r="J637" i="16"/>
  <c r="K637" i="16" s="1"/>
  <c r="I637" i="16"/>
  <c r="AC636" i="16"/>
  <c r="AA636" i="16"/>
  <c r="AB636" i="16" s="1"/>
  <c r="Q636" i="16"/>
  <c r="P636" i="16"/>
  <c r="N636" i="16"/>
  <c r="L636" i="16"/>
  <c r="M636" i="16" s="1"/>
  <c r="J636" i="16"/>
  <c r="K636" i="16" s="1"/>
  <c r="I636" i="16"/>
  <c r="AC635" i="16"/>
  <c r="AA635" i="16"/>
  <c r="AB635" i="16" s="1"/>
  <c r="Q635" i="16"/>
  <c r="P635" i="16"/>
  <c r="N635" i="16"/>
  <c r="L635" i="16"/>
  <c r="M635" i="16" s="1"/>
  <c r="J635" i="16"/>
  <c r="K635" i="16" s="1"/>
  <c r="I635" i="16"/>
  <c r="AC634" i="16"/>
  <c r="AA634" i="16"/>
  <c r="AB634" i="16" s="1"/>
  <c r="Q634" i="16"/>
  <c r="P634" i="16"/>
  <c r="N634" i="16"/>
  <c r="L634" i="16"/>
  <c r="M634" i="16" s="1"/>
  <c r="J634" i="16"/>
  <c r="K634" i="16" s="1"/>
  <c r="I634" i="16"/>
  <c r="AC633" i="16"/>
  <c r="AA633" i="16"/>
  <c r="AB633" i="16" s="1"/>
  <c r="Q633" i="16"/>
  <c r="P633" i="16"/>
  <c r="N633" i="16"/>
  <c r="L633" i="16"/>
  <c r="M633" i="16" s="1"/>
  <c r="J633" i="16"/>
  <c r="K633" i="16" s="1"/>
  <c r="I633" i="16"/>
  <c r="AC632" i="16"/>
  <c r="AA632" i="16"/>
  <c r="AB632" i="16" s="1"/>
  <c r="Q632" i="16"/>
  <c r="P632" i="16"/>
  <c r="N632" i="16"/>
  <c r="L632" i="16"/>
  <c r="M632" i="16" s="1"/>
  <c r="J632" i="16"/>
  <c r="K632" i="16" s="1"/>
  <c r="I632" i="16"/>
  <c r="AC631" i="16"/>
  <c r="AA631" i="16"/>
  <c r="AB631" i="16" s="1"/>
  <c r="Q631" i="16"/>
  <c r="P631" i="16"/>
  <c r="N631" i="16"/>
  <c r="L631" i="16"/>
  <c r="M631" i="16" s="1"/>
  <c r="J631" i="16"/>
  <c r="K631" i="16" s="1"/>
  <c r="I631" i="16"/>
  <c r="AC630" i="16"/>
  <c r="AA630" i="16"/>
  <c r="AB630" i="16" s="1"/>
  <c r="Q630" i="16"/>
  <c r="P630" i="16"/>
  <c r="N630" i="16"/>
  <c r="L630" i="16"/>
  <c r="M630" i="16" s="1"/>
  <c r="J630" i="16"/>
  <c r="K630" i="16" s="1"/>
  <c r="I630" i="16"/>
  <c r="AC629" i="16"/>
  <c r="AA629" i="16"/>
  <c r="AB629" i="16" s="1"/>
  <c r="Q629" i="16"/>
  <c r="P629" i="16"/>
  <c r="N629" i="16"/>
  <c r="L629" i="16"/>
  <c r="M629" i="16" s="1"/>
  <c r="J629" i="16"/>
  <c r="K629" i="16" s="1"/>
  <c r="I629" i="16"/>
  <c r="AC628" i="16"/>
  <c r="AA628" i="16"/>
  <c r="AB628" i="16" s="1"/>
  <c r="Q628" i="16"/>
  <c r="P628" i="16"/>
  <c r="N628" i="16"/>
  <c r="L628" i="16"/>
  <c r="M628" i="16" s="1"/>
  <c r="J628" i="16"/>
  <c r="K628" i="16" s="1"/>
  <c r="I628" i="16"/>
  <c r="AC627" i="16"/>
  <c r="AA627" i="16"/>
  <c r="AB627" i="16" s="1"/>
  <c r="Q627" i="16"/>
  <c r="P627" i="16"/>
  <c r="N627" i="16"/>
  <c r="L627" i="16"/>
  <c r="M627" i="16" s="1"/>
  <c r="J627" i="16"/>
  <c r="K627" i="16" s="1"/>
  <c r="I627" i="16"/>
  <c r="AC626" i="16"/>
  <c r="AA626" i="16"/>
  <c r="AB626" i="16" s="1"/>
  <c r="Q626" i="16"/>
  <c r="P626" i="16"/>
  <c r="N626" i="16"/>
  <c r="L626" i="16"/>
  <c r="M626" i="16" s="1"/>
  <c r="J626" i="16"/>
  <c r="K626" i="16" s="1"/>
  <c r="I626" i="16"/>
  <c r="AC625" i="16"/>
  <c r="AA625" i="16"/>
  <c r="AB625" i="16" s="1"/>
  <c r="Q625" i="16"/>
  <c r="P625" i="16"/>
  <c r="N625" i="16"/>
  <c r="L625" i="16"/>
  <c r="M625" i="16" s="1"/>
  <c r="J625" i="16"/>
  <c r="K625" i="16" s="1"/>
  <c r="I625" i="16"/>
  <c r="AC624" i="16"/>
  <c r="AA624" i="16"/>
  <c r="AB624" i="16" s="1"/>
  <c r="Q624" i="16"/>
  <c r="P624" i="16"/>
  <c r="N624" i="16"/>
  <c r="L624" i="16"/>
  <c r="M624" i="16" s="1"/>
  <c r="J624" i="16"/>
  <c r="K624" i="16" s="1"/>
  <c r="I624" i="16"/>
  <c r="AC623" i="16"/>
  <c r="AA623" i="16"/>
  <c r="AB623" i="16" s="1"/>
  <c r="Q623" i="16"/>
  <c r="P623" i="16"/>
  <c r="N623" i="16"/>
  <c r="L623" i="16"/>
  <c r="M623" i="16" s="1"/>
  <c r="J623" i="16"/>
  <c r="K623" i="16" s="1"/>
  <c r="I623" i="16"/>
  <c r="AC622" i="16"/>
  <c r="AA622" i="16"/>
  <c r="AB622" i="16" s="1"/>
  <c r="Q622" i="16"/>
  <c r="P622" i="16"/>
  <c r="N622" i="16"/>
  <c r="L622" i="16"/>
  <c r="M622" i="16" s="1"/>
  <c r="J622" i="16"/>
  <c r="K622" i="16" s="1"/>
  <c r="I622" i="16"/>
  <c r="AC621" i="16"/>
  <c r="AA621" i="16"/>
  <c r="AB621" i="16" s="1"/>
  <c r="Q621" i="16"/>
  <c r="P621" i="16"/>
  <c r="N621" i="16"/>
  <c r="L621" i="16"/>
  <c r="M621" i="16" s="1"/>
  <c r="J621" i="16"/>
  <c r="K621" i="16" s="1"/>
  <c r="I621" i="16"/>
  <c r="AC620" i="16"/>
  <c r="AA620" i="16"/>
  <c r="AB620" i="16" s="1"/>
  <c r="Q620" i="16"/>
  <c r="P620" i="16"/>
  <c r="N620" i="16"/>
  <c r="L620" i="16"/>
  <c r="M620" i="16" s="1"/>
  <c r="J620" i="16"/>
  <c r="K620" i="16" s="1"/>
  <c r="I620" i="16"/>
  <c r="AC619" i="16"/>
  <c r="AA619" i="16"/>
  <c r="AB619" i="16" s="1"/>
  <c r="Q619" i="16"/>
  <c r="P619" i="16"/>
  <c r="N619" i="16"/>
  <c r="L619" i="16"/>
  <c r="M619" i="16" s="1"/>
  <c r="J619" i="16"/>
  <c r="K619" i="16" s="1"/>
  <c r="I619" i="16"/>
  <c r="AC618" i="16"/>
  <c r="AA618" i="16"/>
  <c r="AB618" i="16" s="1"/>
  <c r="Q618" i="16"/>
  <c r="P618" i="16"/>
  <c r="N618" i="16"/>
  <c r="L618" i="16"/>
  <c r="M618" i="16" s="1"/>
  <c r="J618" i="16"/>
  <c r="K618" i="16" s="1"/>
  <c r="I618" i="16"/>
  <c r="AC617" i="16"/>
  <c r="AA617" i="16"/>
  <c r="AB617" i="16" s="1"/>
  <c r="Q617" i="16"/>
  <c r="P617" i="16"/>
  <c r="N617" i="16"/>
  <c r="L617" i="16"/>
  <c r="M617" i="16" s="1"/>
  <c r="J617" i="16"/>
  <c r="K617" i="16" s="1"/>
  <c r="I617" i="16"/>
  <c r="AC616" i="16"/>
  <c r="AA616" i="16"/>
  <c r="AB616" i="16" s="1"/>
  <c r="Q616" i="16"/>
  <c r="P616" i="16"/>
  <c r="N616" i="16"/>
  <c r="L616" i="16"/>
  <c r="M616" i="16" s="1"/>
  <c r="J616" i="16"/>
  <c r="K616" i="16" s="1"/>
  <c r="I616" i="16"/>
  <c r="AC615" i="16"/>
  <c r="AA615" i="16"/>
  <c r="AB615" i="16" s="1"/>
  <c r="Q615" i="16"/>
  <c r="P615" i="16"/>
  <c r="N615" i="16"/>
  <c r="L615" i="16"/>
  <c r="M615" i="16" s="1"/>
  <c r="J615" i="16"/>
  <c r="K615" i="16" s="1"/>
  <c r="I615" i="16"/>
  <c r="AC614" i="16"/>
  <c r="AA614" i="16"/>
  <c r="AB614" i="16" s="1"/>
  <c r="Q614" i="16"/>
  <c r="P614" i="16"/>
  <c r="N614" i="16"/>
  <c r="L614" i="16"/>
  <c r="M614" i="16" s="1"/>
  <c r="J614" i="16"/>
  <c r="K614" i="16" s="1"/>
  <c r="I614" i="16"/>
  <c r="AC613" i="16"/>
  <c r="AA613" i="16"/>
  <c r="AB613" i="16" s="1"/>
  <c r="Q613" i="16"/>
  <c r="P613" i="16"/>
  <c r="N613" i="16"/>
  <c r="L613" i="16"/>
  <c r="M613" i="16" s="1"/>
  <c r="J613" i="16"/>
  <c r="K613" i="16" s="1"/>
  <c r="I613" i="16"/>
  <c r="AC612" i="16"/>
  <c r="AA612" i="16"/>
  <c r="AB612" i="16" s="1"/>
  <c r="Q612" i="16"/>
  <c r="P612" i="16"/>
  <c r="N612" i="16"/>
  <c r="L612" i="16"/>
  <c r="M612" i="16" s="1"/>
  <c r="J612" i="16"/>
  <c r="K612" i="16" s="1"/>
  <c r="I612" i="16"/>
  <c r="AC611" i="16"/>
  <c r="AA611" i="16"/>
  <c r="AB611" i="16" s="1"/>
  <c r="Q611" i="16"/>
  <c r="P611" i="16"/>
  <c r="N611" i="16"/>
  <c r="L611" i="16"/>
  <c r="M611" i="16" s="1"/>
  <c r="J611" i="16"/>
  <c r="K611" i="16" s="1"/>
  <c r="I611" i="16"/>
  <c r="AC610" i="16"/>
  <c r="AA610" i="16"/>
  <c r="AB610" i="16" s="1"/>
  <c r="Q610" i="16"/>
  <c r="P610" i="16"/>
  <c r="N610" i="16"/>
  <c r="L610" i="16"/>
  <c r="M610" i="16" s="1"/>
  <c r="J610" i="16"/>
  <c r="K610" i="16" s="1"/>
  <c r="I610" i="16"/>
  <c r="AC609" i="16"/>
  <c r="AA609" i="16"/>
  <c r="AB609" i="16" s="1"/>
  <c r="Q609" i="16"/>
  <c r="P609" i="16"/>
  <c r="N609" i="16"/>
  <c r="L609" i="16"/>
  <c r="M609" i="16" s="1"/>
  <c r="J609" i="16"/>
  <c r="K609" i="16" s="1"/>
  <c r="I609" i="16"/>
  <c r="AC608" i="16"/>
  <c r="AA608" i="16"/>
  <c r="AB608" i="16" s="1"/>
  <c r="Q608" i="16"/>
  <c r="P608" i="16"/>
  <c r="N608" i="16"/>
  <c r="L608" i="16"/>
  <c r="M608" i="16" s="1"/>
  <c r="J608" i="16"/>
  <c r="K608" i="16" s="1"/>
  <c r="I608" i="16"/>
  <c r="AC607" i="16"/>
  <c r="AA607" i="16"/>
  <c r="AB607" i="16" s="1"/>
  <c r="Q607" i="16"/>
  <c r="P607" i="16"/>
  <c r="N607" i="16"/>
  <c r="L607" i="16"/>
  <c r="M607" i="16" s="1"/>
  <c r="J607" i="16"/>
  <c r="K607" i="16" s="1"/>
  <c r="I607" i="16"/>
  <c r="AC606" i="16"/>
  <c r="AA606" i="16"/>
  <c r="AB606" i="16" s="1"/>
  <c r="Q606" i="16"/>
  <c r="P606" i="16"/>
  <c r="N606" i="16"/>
  <c r="L606" i="16"/>
  <c r="M606" i="16" s="1"/>
  <c r="J606" i="16"/>
  <c r="K606" i="16" s="1"/>
  <c r="I606" i="16"/>
  <c r="AC605" i="16"/>
  <c r="AA605" i="16"/>
  <c r="AB605" i="16" s="1"/>
  <c r="Q605" i="16"/>
  <c r="P605" i="16"/>
  <c r="N605" i="16"/>
  <c r="L605" i="16"/>
  <c r="M605" i="16" s="1"/>
  <c r="J605" i="16"/>
  <c r="K605" i="16" s="1"/>
  <c r="I605" i="16"/>
  <c r="AC604" i="16"/>
  <c r="AA604" i="16"/>
  <c r="AB604" i="16" s="1"/>
  <c r="Q604" i="16"/>
  <c r="P604" i="16"/>
  <c r="N604" i="16"/>
  <c r="L604" i="16"/>
  <c r="M604" i="16" s="1"/>
  <c r="J604" i="16"/>
  <c r="K604" i="16" s="1"/>
  <c r="I604" i="16"/>
  <c r="AC603" i="16"/>
  <c r="AA603" i="16"/>
  <c r="AB603" i="16" s="1"/>
  <c r="Q603" i="16"/>
  <c r="P603" i="16"/>
  <c r="N603" i="16"/>
  <c r="L603" i="16"/>
  <c r="M603" i="16" s="1"/>
  <c r="J603" i="16"/>
  <c r="K603" i="16" s="1"/>
  <c r="I603" i="16"/>
  <c r="AC602" i="16"/>
  <c r="AA602" i="16"/>
  <c r="AB602" i="16" s="1"/>
  <c r="Q602" i="16"/>
  <c r="P602" i="16"/>
  <c r="N602" i="16"/>
  <c r="L602" i="16"/>
  <c r="M602" i="16" s="1"/>
  <c r="J602" i="16"/>
  <c r="K602" i="16" s="1"/>
  <c r="I602" i="16"/>
  <c r="AC601" i="16"/>
  <c r="AA601" i="16"/>
  <c r="AB601" i="16" s="1"/>
  <c r="Q601" i="16"/>
  <c r="P601" i="16"/>
  <c r="N601" i="16"/>
  <c r="L601" i="16"/>
  <c r="M601" i="16" s="1"/>
  <c r="J601" i="16"/>
  <c r="K601" i="16" s="1"/>
  <c r="I601" i="16"/>
  <c r="AC600" i="16"/>
  <c r="AA600" i="16"/>
  <c r="AB600" i="16" s="1"/>
  <c r="Q600" i="16"/>
  <c r="P600" i="16"/>
  <c r="N600" i="16"/>
  <c r="L600" i="16"/>
  <c r="M600" i="16" s="1"/>
  <c r="J600" i="16"/>
  <c r="K600" i="16" s="1"/>
  <c r="I600" i="16"/>
  <c r="AC599" i="16"/>
  <c r="AA599" i="16"/>
  <c r="AB599" i="16" s="1"/>
  <c r="Q599" i="16"/>
  <c r="P599" i="16"/>
  <c r="N599" i="16"/>
  <c r="L599" i="16"/>
  <c r="M599" i="16" s="1"/>
  <c r="J599" i="16"/>
  <c r="K599" i="16" s="1"/>
  <c r="I599" i="16"/>
  <c r="AC598" i="16"/>
  <c r="AA598" i="16"/>
  <c r="AB598" i="16" s="1"/>
  <c r="Q598" i="16"/>
  <c r="P598" i="16"/>
  <c r="N598" i="16"/>
  <c r="L598" i="16"/>
  <c r="M598" i="16" s="1"/>
  <c r="J598" i="16"/>
  <c r="K598" i="16" s="1"/>
  <c r="I598" i="16"/>
  <c r="AC597" i="16"/>
  <c r="AA597" i="16"/>
  <c r="AB597" i="16" s="1"/>
  <c r="Q597" i="16"/>
  <c r="P597" i="16"/>
  <c r="N597" i="16"/>
  <c r="L597" i="16"/>
  <c r="M597" i="16" s="1"/>
  <c r="J597" i="16"/>
  <c r="K597" i="16" s="1"/>
  <c r="I597" i="16"/>
  <c r="AC596" i="16"/>
  <c r="AA596" i="16"/>
  <c r="AB596" i="16" s="1"/>
  <c r="Q596" i="16"/>
  <c r="P596" i="16"/>
  <c r="N596" i="16"/>
  <c r="L596" i="16"/>
  <c r="M596" i="16" s="1"/>
  <c r="J596" i="16"/>
  <c r="K596" i="16" s="1"/>
  <c r="I596" i="16"/>
  <c r="AC595" i="16"/>
  <c r="AA595" i="16"/>
  <c r="AB595" i="16" s="1"/>
  <c r="Q595" i="16"/>
  <c r="P595" i="16"/>
  <c r="N595" i="16"/>
  <c r="L595" i="16"/>
  <c r="M595" i="16" s="1"/>
  <c r="J595" i="16"/>
  <c r="K595" i="16" s="1"/>
  <c r="I595" i="16"/>
  <c r="AC594" i="16"/>
  <c r="AA594" i="16"/>
  <c r="AB594" i="16" s="1"/>
  <c r="Q594" i="16"/>
  <c r="P594" i="16"/>
  <c r="N594" i="16"/>
  <c r="L594" i="16"/>
  <c r="M594" i="16" s="1"/>
  <c r="J594" i="16"/>
  <c r="K594" i="16" s="1"/>
  <c r="I594" i="16"/>
  <c r="AC593" i="16"/>
  <c r="AA593" i="16"/>
  <c r="AB593" i="16" s="1"/>
  <c r="Q593" i="16"/>
  <c r="P593" i="16"/>
  <c r="N593" i="16"/>
  <c r="L593" i="16"/>
  <c r="M593" i="16" s="1"/>
  <c r="J593" i="16"/>
  <c r="K593" i="16" s="1"/>
  <c r="I593" i="16"/>
  <c r="AC592" i="16"/>
  <c r="AA592" i="16"/>
  <c r="AB592" i="16" s="1"/>
  <c r="Q592" i="16"/>
  <c r="P592" i="16"/>
  <c r="N592" i="16"/>
  <c r="L592" i="16"/>
  <c r="M592" i="16" s="1"/>
  <c r="J592" i="16"/>
  <c r="K592" i="16" s="1"/>
  <c r="I592" i="16"/>
  <c r="AC591" i="16"/>
  <c r="AA591" i="16"/>
  <c r="AB591" i="16" s="1"/>
  <c r="Q591" i="16"/>
  <c r="P591" i="16"/>
  <c r="N591" i="16"/>
  <c r="L591" i="16"/>
  <c r="M591" i="16" s="1"/>
  <c r="J591" i="16"/>
  <c r="K591" i="16" s="1"/>
  <c r="I591" i="16"/>
  <c r="AC590" i="16"/>
  <c r="AA590" i="16"/>
  <c r="AB590" i="16" s="1"/>
  <c r="Q590" i="16"/>
  <c r="P590" i="16"/>
  <c r="N590" i="16"/>
  <c r="L590" i="16"/>
  <c r="M590" i="16" s="1"/>
  <c r="J590" i="16"/>
  <c r="K590" i="16" s="1"/>
  <c r="I590" i="16"/>
  <c r="AC589" i="16"/>
  <c r="AA589" i="16"/>
  <c r="AB589" i="16" s="1"/>
  <c r="Q589" i="16"/>
  <c r="P589" i="16"/>
  <c r="N589" i="16"/>
  <c r="L589" i="16"/>
  <c r="M589" i="16" s="1"/>
  <c r="J589" i="16"/>
  <c r="K589" i="16" s="1"/>
  <c r="I589" i="16"/>
  <c r="AC588" i="16"/>
  <c r="AA588" i="16"/>
  <c r="AB588" i="16" s="1"/>
  <c r="Q588" i="16"/>
  <c r="P588" i="16"/>
  <c r="N588" i="16"/>
  <c r="L588" i="16"/>
  <c r="M588" i="16" s="1"/>
  <c r="J588" i="16"/>
  <c r="K588" i="16" s="1"/>
  <c r="I588" i="16"/>
  <c r="AC587" i="16"/>
  <c r="AA587" i="16"/>
  <c r="AB587" i="16" s="1"/>
  <c r="Q587" i="16"/>
  <c r="P587" i="16"/>
  <c r="N587" i="16"/>
  <c r="L587" i="16"/>
  <c r="M587" i="16" s="1"/>
  <c r="J587" i="16"/>
  <c r="K587" i="16" s="1"/>
  <c r="I587" i="16"/>
  <c r="AC586" i="16"/>
  <c r="AA586" i="16"/>
  <c r="AB586" i="16" s="1"/>
  <c r="Q586" i="16"/>
  <c r="P586" i="16"/>
  <c r="N586" i="16"/>
  <c r="L586" i="16"/>
  <c r="M586" i="16" s="1"/>
  <c r="J586" i="16"/>
  <c r="K586" i="16" s="1"/>
  <c r="I586" i="16"/>
  <c r="AC585" i="16"/>
  <c r="AA585" i="16"/>
  <c r="AB585" i="16" s="1"/>
  <c r="Q585" i="16"/>
  <c r="P585" i="16"/>
  <c r="N585" i="16"/>
  <c r="L585" i="16"/>
  <c r="M585" i="16" s="1"/>
  <c r="J585" i="16"/>
  <c r="K585" i="16" s="1"/>
  <c r="I585" i="16"/>
  <c r="AC584" i="16"/>
  <c r="AA584" i="16"/>
  <c r="AB584" i="16" s="1"/>
  <c r="Q584" i="16"/>
  <c r="P584" i="16"/>
  <c r="N584" i="16"/>
  <c r="L584" i="16"/>
  <c r="M584" i="16" s="1"/>
  <c r="J584" i="16"/>
  <c r="K584" i="16" s="1"/>
  <c r="I584" i="16"/>
  <c r="AC583" i="16"/>
  <c r="AA583" i="16"/>
  <c r="AB583" i="16" s="1"/>
  <c r="Q583" i="16"/>
  <c r="P583" i="16"/>
  <c r="N583" i="16"/>
  <c r="L583" i="16"/>
  <c r="M583" i="16" s="1"/>
  <c r="J583" i="16"/>
  <c r="K583" i="16" s="1"/>
  <c r="I583" i="16"/>
  <c r="AC582" i="16"/>
  <c r="AA582" i="16"/>
  <c r="AB582" i="16" s="1"/>
  <c r="Q582" i="16"/>
  <c r="P582" i="16"/>
  <c r="N582" i="16"/>
  <c r="L582" i="16"/>
  <c r="M582" i="16" s="1"/>
  <c r="J582" i="16"/>
  <c r="K582" i="16" s="1"/>
  <c r="I582" i="16"/>
  <c r="AC581" i="16"/>
  <c r="AA581" i="16"/>
  <c r="AB581" i="16" s="1"/>
  <c r="Q581" i="16"/>
  <c r="P581" i="16"/>
  <c r="N581" i="16"/>
  <c r="L581" i="16"/>
  <c r="M581" i="16" s="1"/>
  <c r="J581" i="16"/>
  <c r="K581" i="16" s="1"/>
  <c r="I581" i="16"/>
  <c r="AC580" i="16"/>
  <c r="AA580" i="16"/>
  <c r="AB580" i="16" s="1"/>
  <c r="Q580" i="16"/>
  <c r="P580" i="16"/>
  <c r="N580" i="16"/>
  <c r="L580" i="16"/>
  <c r="M580" i="16" s="1"/>
  <c r="J580" i="16"/>
  <c r="K580" i="16" s="1"/>
  <c r="I580" i="16"/>
  <c r="AC579" i="16"/>
  <c r="AA579" i="16"/>
  <c r="AB579" i="16" s="1"/>
  <c r="Q579" i="16"/>
  <c r="P579" i="16"/>
  <c r="N579" i="16"/>
  <c r="L579" i="16"/>
  <c r="M579" i="16" s="1"/>
  <c r="J579" i="16"/>
  <c r="K579" i="16" s="1"/>
  <c r="I579" i="16"/>
  <c r="AC578" i="16"/>
  <c r="AA578" i="16"/>
  <c r="AB578" i="16" s="1"/>
  <c r="Q578" i="16"/>
  <c r="P578" i="16"/>
  <c r="N578" i="16"/>
  <c r="L578" i="16"/>
  <c r="M578" i="16" s="1"/>
  <c r="J578" i="16"/>
  <c r="K578" i="16" s="1"/>
  <c r="I578" i="16"/>
  <c r="AC577" i="16"/>
  <c r="AA577" i="16"/>
  <c r="AB577" i="16" s="1"/>
  <c r="Q577" i="16"/>
  <c r="P577" i="16"/>
  <c r="N577" i="16"/>
  <c r="L577" i="16"/>
  <c r="M577" i="16" s="1"/>
  <c r="J577" i="16"/>
  <c r="K577" i="16" s="1"/>
  <c r="I577" i="16"/>
  <c r="AC576" i="16"/>
  <c r="AA576" i="16"/>
  <c r="AB576" i="16" s="1"/>
  <c r="Q576" i="16"/>
  <c r="P576" i="16"/>
  <c r="N576" i="16"/>
  <c r="L576" i="16"/>
  <c r="M576" i="16" s="1"/>
  <c r="J576" i="16"/>
  <c r="K576" i="16" s="1"/>
  <c r="I576" i="16"/>
  <c r="AC575" i="16"/>
  <c r="AA575" i="16"/>
  <c r="AB575" i="16" s="1"/>
  <c r="Q575" i="16"/>
  <c r="P575" i="16"/>
  <c r="N575" i="16"/>
  <c r="L575" i="16"/>
  <c r="M575" i="16" s="1"/>
  <c r="J575" i="16"/>
  <c r="K575" i="16" s="1"/>
  <c r="I575" i="16"/>
  <c r="AC574" i="16"/>
  <c r="AA574" i="16"/>
  <c r="AB574" i="16" s="1"/>
  <c r="Q574" i="16"/>
  <c r="P574" i="16"/>
  <c r="N574" i="16"/>
  <c r="L574" i="16"/>
  <c r="M574" i="16" s="1"/>
  <c r="J574" i="16"/>
  <c r="K574" i="16" s="1"/>
  <c r="I574" i="16"/>
  <c r="AC573" i="16"/>
  <c r="AA573" i="16"/>
  <c r="AB573" i="16" s="1"/>
  <c r="Q573" i="16"/>
  <c r="P573" i="16"/>
  <c r="N573" i="16"/>
  <c r="L573" i="16"/>
  <c r="M573" i="16" s="1"/>
  <c r="J573" i="16"/>
  <c r="K573" i="16" s="1"/>
  <c r="I573" i="16"/>
  <c r="AC572" i="16"/>
  <c r="AA572" i="16"/>
  <c r="AB572" i="16" s="1"/>
  <c r="Q572" i="16"/>
  <c r="P572" i="16"/>
  <c r="N572" i="16"/>
  <c r="L572" i="16"/>
  <c r="M572" i="16" s="1"/>
  <c r="J572" i="16"/>
  <c r="K572" i="16" s="1"/>
  <c r="I572" i="16"/>
  <c r="AC571" i="16"/>
  <c r="AA571" i="16"/>
  <c r="AB571" i="16" s="1"/>
  <c r="Q571" i="16"/>
  <c r="P571" i="16"/>
  <c r="N571" i="16"/>
  <c r="L571" i="16"/>
  <c r="M571" i="16" s="1"/>
  <c r="J571" i="16"/>
  <c r="K571" i="16" s="1"/>
  <c r="I571" i="16"/>
  <c r="AC570" i="16"/>
  <c r="AA570" i="16"/>
  <c r="AB570" i="16" s="1"/>
  <c r="Q570" i="16"/>
  <c r="P570" i="16"/>
  <c r="N570" i="16"/>
  <c r="L570" i="16"/>
  <c r="M570" i="16" s="1"/>
  <c r="J570" i="16"/>
  <c r="K570" i="16" s="1"/>
  <c r="I570" i="16"/>
  <c r="AC569" i="16"/>
  <c r="AA569" i="16"/>
  <c r="AB569" i="16" s="1"/>
  <c r="Q569" i="16"/>
  <c r="P569" i="16"/>
  <c r="N569" i="16"/>
  <c r="L569" i="16"/>
  <c r="M569" i="16" s="1"/>
  <c r="J569" i="16"/>
  <c r="K569" i="16" s="1"/>
  <c r="I569" i="16"/>
  <c r="AC568" i="16"/>
  <c r="AA568" i="16"/>
  <c r="AB568" i="16" s="1"/>
  <c r="Q568" i="16"/>
  <c r="P568" i="16"/>
  <c r="N568" i="16"/>
  <c r="L568" i="16"/>
  <c r="M568" i="16" s="1"/>
  <c r="J568" i="16"/>
  <c r="K568" i="16" s="1"/>
  <c r="I568" i="16"/>
  <c r="AC567" i="16"/>
  <c r="AA567" i="16"/>
  <c r="AB567" i="16" s="1"/>
  <c r="Q567" i="16"/>
  <c r="P567" i="16"/>
  <c r="N567" i="16"/>
  <c r="L567" i="16"/>
  <c r="M567" i="16" s="1"/>
  <c r="J567" i="16"/>
  <c r="K567" i="16" s="1"/>
  <c r="I567" i="16"/>
  <c r="AC566" i="16"/>
  <c r="AA566" i="16"/>
  <c r="AB566" i="16" s="1"/>
  <c r="Q566" i="16"/>
  <c r="P566" i="16"/>
  <c r="N566" i="16"/>
  <c r="L566" i="16"/>
  <c r="M566" i="16" s="1"/>
  <c r="J566" i="16"/>
  <c r="K566" i="16" s="1"/>
  <c r="I566" i="16"/>
  <c r="AC565" i="16"/>
  <c r="AA565" i="16"/>
  <c r="AB565" i="16" s="1"/>
  <c r="Q565" i="16"/>
  <c r="P565" i="16"/>
  <c r="N565" i="16"/>
  <c r="L565" i="16"/>
  <c r="M565" i="16" s="1"/>
  <c r="J565" i="16"/>
  <c r="K565" i="16" s="1"/>
  <c r="I565" i="16"/>
  <c r="AC564" i="16"/>
  <c r="AA564" i="16"/>
  <c r="AB564" i="16" s="1"/>
  <c r="Q564" i="16"/>
  <c r="P564" i="16"/>
  <c r="N564" i="16"/>
  <c r="L564" i="16"/>
  <c r="M564" i="16" s="1"/>
  <c r="J564" i="16"/>
  <c r="K564" i="16" s="1"/>
  <c r="I564" i="16"/>
  <c r="AC563" i="16"/>
  <c r="AA563" i="16"/>
  <c r="AB563" i="16" s="1"/>
  <c r="Q563" i="16"/>
  <c r="P563" i="16"/>
  <c r="N563" i="16"/>
  <c r="L563" i="16"/>
  <c r="M563" i="16" s="1"/>
  <c r="J563" i="16"/>
  <c r="K563" i="16" s="1"/>
  <c r="I563" i="16"/>
  <c r="AC562" i="16"/>
  <c r="AA562" i="16"/>
  <c r="AB562" i="16" s="1"/>
  <c r="Q562" i="16"/>
  <c r="P562" i="16"/>
  <c r="N562" i="16"/>
  <c r="L562" i="16"/>
  <c r="M562" i="16" s="1"/>
  <c r="J562" i="16"/>
  <c r="K562" i="16" s="1"/>
  <c r="I562" i="16"/>
  <c r="AC561" i="16"/>
  <c r="AA561" i="16"/>
  <c r="AB561" i="16" s="1"/>
  <c r="Q561" i="16"/>
  <c r="P561" i="16"/>
  <c r="N561" i="16"/>
  <c r="L561" i="16"/>
  <c r="M561" i="16" s="1"/>
  <c r="J561" i="16"/>
  <c r="K561" i="16" s="1"/>
  <c r="I561" i="16"/>
  <c r="AC560" i="16"/>
  <c r="AA560" i="16"/>
  <c r="AB560" i="16" s="1"/>
  <c r="Q560" i="16"/>
  <c r="P560" i="16"/>
  <c r="N560" i="16"/>
  <c r="L560" i="16"/>
  <c r="M560" i="16" s="1"/>
  <c r="J560" i="16"/>
  <c r="K560" i="16" s="1"/>
  <c r="I560" i="16"/>
  <c r="AC559" i="16"/>
  <c r="AA559" i="16"/>
  <c r="AB559" i="16" s="1"/>
  <c r="Q559" i="16"/>
  <c r="P559" i="16"/>
  <c r="N559" i="16"/>
  <c r="L559" i="16"/>
  <c r="M559" i="16" s="1"/>
  <c r="J559" i="16"/>
  <c r="K559" i="16" s="1"/>
  <c r="I559" i="16"/>
  <c r="AC558" i="16"/>
  <c r="AA558" i="16"/>
  <c r="AB558" i="16" s="1"/>
  <c r="Q558" i="16"/>
  <c r="P558" i="16"/>
  <c r="N558" i="16"/>
  <c r="L558" i="16"/>
  <c r="M558" i="16" s="1"/>
  <c r="J558" i="16"/>
  <c r="K558" i="16" s="1"/>
  <c r="I558" i="16"/>
  <c r="AC557" i="16"/>
  <c r="AA557" i="16"/>
  <c r="AB557" i="16" s="1"/>
  <c r="Q557" i="16"/>
  <c r="P557" i="16"/>
  <c r="N557" i="16"/>
  <c r="L557" i="16"/>
  <c r="M557" i="16" s="1"/>
  <c r="J557" i="16"/>
  <c r="K557" i="16" s="1"/>
  <c r="I557" i="16"/>
  <c r="AC556" i="16"/>
  <c r="AA556" i="16"/>
  <c r="AB556" i="16" s="1"/>
  <c r="Q556" i="16"/>
  <c r="P556" i="16"/>
  <c r="N556" i="16"/>
  <c r="L556" i="16"/>
  <c r="M556" i="16" s="1"/>
  <c r="J556" i="16"/>
  <c r="K556" i="16" s="1"/>
  <c r="I556" i="16"/>
  <c r="AC555" i="16"/>
  <c r="AA555" i="16"/>
  <c r="AB555" i="16" s="1"/>
  <c r="Q555" i="16"/>
  <c r="P555" i="16"/>
  <c r="N555" i="16"/>
  <c r="L555" i="16"/>
  <c r="M555" i="16" s="1"/>
  <c r="J555" i="16"/>
  <c r="K555" i="16" s="1"/>
  <c r="I555" i="16"/>
  <c r="AC554" i="16"/>
  <c r="AA554" i="16"/>
  <c r="AB554" i="16" s="1"/>
  <c r="Q554" i="16"/>
  <c r="P554" i="16"/>
  <c r="N554" i="16"/>
  <c r="L554" i="16"/>
  <c r="M554" i="16" s="1"/>
  <c r="J554" i="16"/>
  <c r="K554" i="16" s="1"/>
  <c r="I554" i="16"/>
  <c r="AC553" i="16"/>
  <c r="AA553" i="16"/>
  <c r="AB553" i="16" s="1"/>
  <c r="Q553" i="16"/>
  <c r="P553" i="16"/>
  <c r="N553" i="16"/>
  <c r="L553" i="16"/>
  <c r="M553" i="16" s="1"/>
  <c r="J553" i="16"/>
  <c r="K553" i="16" s="1"/>
  <c r="I553" i="16"/>
  <c r="AC552" i="16"/>
  <c r="AA552" i="16"/>
  <c r="AB552" i="16" s="1"/>
  <c r="Q552" i="16"/>
  <c r="P552" i="16"/>
  <c r="N552" i="16"/>
  <c r="L552" i="16"/>
  <c r="M552" i="16" s="1"/>
  <c r="J552" i="16"/>
  <c r="K552" i="16" s="1"/>
  <c r="I552" i="16"/>
  <c r="AC551" i="16"/>
  <c r="AA551" i="16"/>
  <c r="AB551" i="16" s="1"/>
  <c r="Q551" i="16"/>
  <c r="P551" i="16"/>
  <c r="N551" i="16"/>
  <c r="L551" i="16"/>
  <c r="M551" i="16" s="1"/>
  <c r="J551" i="16"/>
  <c r="K551" i="16" s="1"/>
  <c r="I551" i="16"/>
  <c r="AC550" i="16"/>
  <c r="AA550" i="16"/>
  <c r="AB550" i="16" s="1"/>
  <c r="Q550" i="16"/>
  <c r="P550" i="16"/>
  <c r="N550" i="16"/>
  <c r="L550" i="16"/>
  <c r="M550" i="16" s="1"/>
  <c r="J550" i="16"/>
  <c r="K550" i="16" s="1"/>
  <c r="I550" i="16"/>
  <c r="AC549" i="16"/>
  <c r="AA549" i="16"/>
  <c r="AB549" i="16" s="1"/>
  <c r="Q549" i="16"/>
  <c r="P549" i="16"/>
  <c r="N549" i="16"/>
  <c r="L549" i="16"/>
  <c r="M549" i="16" s="1"/>
  <c r="J549" i="16"/>
  <c r="K549" i="16" s="1"/>
  <c r="I549" i="16"/>
  <c r="AC548" i="16"/>
  <c r="AA548" i="16"/>
  <c r="AB548" i="16" s="1"/>
  <c r="Q548" i="16"/>
  <c r="P548" i="16"/>
  <c r="N548" i="16"/>
  <c r="L548" i="16"/>
  <c r="M548" i="16" s="1"/>
  <c r="J548" i="16"/>
  <c r="K548" i="16" s="1"/>
  <c r="I548" i="16"/>
  <c r="AC547" i="16"/>
  <c r="AA547" i="16"/>
  <c r="AB547" i="16" s="1"/>
  <c r="Q547" i="16"/>
  <c r="P547" i="16"/>
  <c r="N547" i="16"/>
  <c r="L547" i="16"/>
  <c r="M547" i="16" s="1"/>
  <c r="J547" i="16"/>
  <c r="K547" i="16" s="1"/>
  <c r="I547" i="16"/>
  <c r="AC546" i="16"/>
  <c r="AA546" i="16"/>
  <c r="AB546" i="16" s="1"/>
  <c r="Q546" i="16"/>
  <c r="P546" i="16"/>
  <c r="N546" i="16"/>
  <c r="L546" i="16"/>
  <c r="M546" i="16" s="1"/>
  <c r="J546" i="16"/>
  <c r="K546" i="16" s="1"/>
  <c r="I546" i="16"/>
  <c r="AC545" i="16"/>
  <c r="AA545" i="16"/>
  <c r="AB545" i="16" s="1"/>
  <c r="Q545" i="16"/>
  <c r="P545" i="16"/>
  <c r="N545" i="16"/>
  <c r="L545" i="16"/>
  <c r="M545" i="16" s="1"/>
  <c r="J545" i="16"/>
  <c r="K545" i="16" s="1"/>
  <c r="I545" i="16"/>
  <c r="AC544" i="16"/>
  <c r="AA544" i="16"/>
  <c r="AB544" i="16" s="1"/>
  <c r="Q544" i="16"/>
  <c r="P544" i="16"/>
  <c r="N544" i="16"/>
  <c r="L544" i="16"/>
  <c r="M544" i="16" s="1"/>
  <c r="J544" i="16"/>
  <c r="K544" i="16" s="1"/>
  <c r="I544" i="16"/>
  <c r="AC543" i="16"/>
  <c r="AA543" i="16"/>
  <c r="AB543" i="16" s="1"/>
  <c r="Q543" i="16"/>
  <c r="P543" i="16"/>
  <c r="N543" i="16"/>
  <c r="L543" i="16"/>
  <c r="M543" i="16" s="1"/>
  <c r="J543" i="16"/>
  <c r="K543" i="16" s="1"/>
  <c r="I543" i="16"/>
  <c r="AC542" i="16"/>
  <c r="AA542" i="16"/>
  <c r="AB542" i="16" s="1"/>
  <c r="Q542" i="16"/>
  <c r="P542" i="16"/>
  <c r="N542" i="16"/>
  <c r="L542" i="16"/>
  <c r="M542" i="16" s="1"/>
  <c r="J542" i="16"/>
  <c r="K542" i="16" s="1"/>
  <c r="I542" i="16"/>
  <c r="AC541" i="16"/>
  <c r="AA541" i="16"/>
  <c r="AB541" i="16" s="1"/>
  <c r="Q541" i="16"/>
  <c r="P541" i="16"/>
  <c r="N541" i="16"/>
  <c r="L541" i="16"/>
  <c r="M541" i="16" s="1"/>
  <c r="J541" i="16"/>
  <c r="K541" i="16" s="1"/>
  <c r="I541" i="16"/>
  <c r="AC540" i="16"/>
  <c r="AA540" i="16"/>
  <c r="AB540" i="16" s="1"/>
  <c r="Q540" i="16"/>
  <c r="P540" i="16"/>
  <c r="N540" i="16"/>
  <c r="L540" i="16"/>
  <c r="M540" i="16" s="1"/>
  <c r="J540" i="16"/>
  <c r="K540" i="16" s="1"/>
  <c r="I540" i="16"/>
  <c r="AC539" i="16"/>
  <c r="AA539" i="16"/>
  <c r="AB539" i="16" s="1"/>
  <c r="Q539" i="16"/>
  <c r="P539" i="16"/>
  <c r="N539" i="16"/>
  <c r="L539" i="16"/>
  <c r="M539" i="16" s="1"/>
  <c r="J539" i="16"/>
  <c r="K539" i="16" s="1"/>
  <c r="I539" i="16"/>
  <c r="AC538" i="16"/>
  <c r="AA538" i="16"/>
  <c r="AB538" i="16" s="1"/>
  <c r="Q538" i="16"/>
  <c r="P538" i="16"/>
  <c r="N538" i="16"/>
  <c r="L538" i="16"/>
  <c r="M538" i="16" s="1"/>
  <c r="J538" i="16"/>
  <c r="K538" i="16" s="1"/>
  <c r="I538" i="16"/>
  <c r="AC537" i="16"/>
  <c r="AA537" i="16"/>
  <c r="AB537" i="16" s="1"/>
  <c r="Q537" i="16"/>
  <c r="P537" i="16"/>
  <c r="N537" i="16"/>
  <c r="L537" i="16"/>
  <c r="M537" i="16" s="1"/>
  <c r="J537" i="16"/>
  <c r="K537" i="16" s="1"/>
  <c r="I537" i="16"/>
  <c r="AC536" i="16"/>
  <c r="AA536" i="16"/>
  <c r="AB536" i="16" s="1"/>
  <c r="Q536" i="16"/>
  <c r="P536" i="16"/>
  <c r="N536" i="16"/>
  <c r="L536" i="16"/>
  <c r="M536" i="16" s="1"/>
  <c r="J536" i="16"/>
  <c r="K536" i="16" s="1"/>
  <c r="I536" i="16"/>
  <c r="AC535" i="16"/>
  <c r="AA535" i="16"/>
  <c r="AB535" i="16" s="1"/>
  <c r="Q535" i="16"/>
  <c r="P535" i="16"/>
  <c r="N535" i="16"/>
  <c r="L535" i="16"/>
  <c r="M535" i="16" s="1"/>
  <c r="J535" i="16"/>
  <c r="K535" i="16" s="1"/>
  <c r="I535" i="16"/>
  <c r="AC534" i="16"/>
  <c r="AA534" i="16"/>
  <c r="AB534" i="16" s="1"/>
  <c r="Q534" i="16"/>
  <c r="P534" i="16"/>
  <c r="N534" i="16"/>
  <c r="L534" i="16"/>
  <c r="M534" i="16" s="1"/>
  <c r="J534" i="16"/>
  <c r="K534" i="16" s="1"/>
  <c r="I534" i="16"/>
  <c r="AC533" i="16"/>
  <c r="AA533" i="16"/>
  <c r="AB533" i="16" s="1"/>
  <c r="Q533" i="16"/>
  <c r="P533" i="16"/>
  <c r="N533" i="16"/>
  <c r="L533" i="16"/>
  <c r="M533" i="16" s="1"/>
  <c r="J533" i="16"/>
  <c r="K533" i="16" s="1"/>
  <c r="I533" i="16"/>
  <c r="AC532" i="16"/>
  <c r="AA532" i="16"/>
  <c r="AB532" i="16" s="1"/>
  <c r="Q532" i="16"/>
  <c r="P532" i="16"/>
  <c r="N532" i="16"/>
  <c r="L532" i="16"/>
  <c r="M532" i="16" s="1"/>
  <c r="J532" i="16"/>
  <c r="K532" i="16" s="1"/>
  <c r="I532" i="16"/>
  <c r="AC531" i="16"/>
  <c r="AA531" i="16"/>
  <c r="AB531" i="16" s="1"/>
  <c r="Q531" i="16"/>
  <c r="P531" i="16"/>
  <c r="N531" i="16"/>
  <c r="L531" i="16"/>
  <c r="M531" i="16" s="1"/>
  <c r="J531" i="16"/>
  <c r="K531" i="16" s="1"/>
  <c r="I531" i="16"/>
  <c r="AC530" i="16"/>
  <c r="AA530" i="16"/>
  <c r="AB530" i="16" s="1"/>
  <c r="Q530" i="16"/>
  <c r="P530" i="16"/>
  <c r="N530" i="16"/>
  <c r="L530" i="16"/>
  <c r="M530" i="16" s="1"/>
  <c r="J530" i="16"/>
  <c r="K530" i="16" s="1"/>
  <c r="I530" i="16"/>
  <c r="AC529" i="16"/>
  <c r="AA529" i="16"/>
  <c r="AB529" i="16" s="1"/>
  <c r="Q529" i="16"/>
  <c r="P529" i="16"/>
  <c r="N529" i="16"/>
  <c r="L529" i="16"/>
  <c r="M529" i="16" s="1"/>
  <c r="J529" i="16"/>
  <c r="K529" i="16" s="1"/>
  <c r="I529" i="16"/>
  <c r="AC528" i="16"/>
  <c r="AA528" i="16"/>
  <c r="AB528" i="16" s="1"/>
  <c r="Q528" i="16"/>
  <c r="P528" i="16"/>
  <c r="N528" i="16"/>
  <c r="L528" i="16"/>
  <c r="M528" i="16" s="1"/>
  <c r="J528" i="16"/>
  <c r="K528" i="16" s="1"/>
  <c r="I528" i="16"/>
  <c r="AC527" i="16"/>
  <c r="AA527" i="16"/>
  <c r="AB527" i="16" s="1"/>
  <c r="Q527" i="16"/>
  <c r="P527" i="16"/>
  <c r="N527" i="16"/>
  <c r="L527" i="16"/>
  <c r="M527" i="16" s="1"/>
  <c r="J527" i="16"/>
  <c r="K527" i="16" s="1"/>
  <c r="I527" i="16"/>
  <c r="AC526" i="16"/>
  <c r="AA526" i="16"/>
  <c r="AB526" i="16" s="1"/>
  <c r="Q526" i="16"/>
  <c r="P526" i="16"/>
  <c r="N526" i="16"/>
  <c r="L526" i="16"/>
  <c r="M526" i="16" s="1"/>
  <c r="J526" i="16"/>
  <c r="K526" i="16" s="1"/>
  <c r="I526" i="16"/>
  <c r="AC525" i="16"/>
  <c r="AA525" i="16"/>
  <c r="AB525" i="16" s="1"/>
  <c r="Q525" i="16"/>
  <c r="P525" i="16"/>
  <c r="N525" i="16"/>
  <c r="L525" i="16"/>
  <c r="M525" i="16" s="1"/>
  <c r="J525" i="16"/>
  <c r="K525" i="16" s="1"/>
  <c r="I525" i="16"/>
  <c r="AC524" i="16"/>
  <c r="AA524" i="16"/>
  <c r="AB524" i="16" s="1"/>
  <c r="Q524" i="16"/>
  <c r="P524" i="16"/>
  <c r="N524" i="16"/>
  <c r="L524" i="16"/>
  <c r="M524" i="16" s="1"/>
  <c r="J524" i="16"/>
  <c r="K524" i="16" s="1"/>
  <c r="I524" i="16"/>
  <c r="AC523" i="16"/>
  <c r="AA523" i="16"/>
  <c r="AB523" i="16" s="1"/>
  <c r="Q523" i="16"/>
  <c r="P523" i="16"/>
  <c r="N523" i="16"/>
  <c r="L523" i="16"/>
  <c r="M523" i="16" s="1"/>
  <c r="J523" i="16"/>
  <c r="K523" i="16" s="1"/>
  <c r="I523" i="16"/>
  <c r="AC522" i="16"/>
  <c r="AA522" i="16"/>
  <c r="AB522" i="16" s="1"/>
  <c r="Q522" i="16"/>
  <c r="P522" i="16"/>
  <c r="N522" i="16"/>
  <c r="L522" i="16"/>
  <c r="M522" i="16" s="1"/>
  <c r="J522" i="16"/>
  <c r="K522" i="16" s="1"/>
  <c r="I522" i="16"/>
  <c r="AC521" i="16"/>
  <c r="AA521" i="16"/>
  <c r="AB521" i="16" s="1"/>
  <c r="Q521" i="16"/>
  <c r="P521" i="16"/>
  <c r="N521" i="16"/>
  <c r="L521" i="16"/>
  <c r="M521" i="16" s="1"/>
  <c r="J521" i="16"/>
  <c r="K521" i="16" s="1"/>
  <c r="I521" i="16"/>
  <c r="AC520" i="16"/>
  <c r="AA520" i="16"/>
  <c r="AB520" i="16" s="1"/>
  <c r="Q520" i="16"/>
  <c r="P520" i="16"/>
  <c r="N520" i="16"/>
  <c r="L520" i="16"/>
  <c r="M520" i="16" s="1"/>
  <c r="J520" i="16"/>
  <c r="K520" i="16" s="1"/>
  <c r="I520" i="16"/>
  <c r="AC519" i="16"/>
  <c r="AA519" i="16"/>
  <c r="AB519" i="16" s="1"/>
  <c r="Q519" i="16"/>
  <c r="P519" i="16"/>
  <c r="N519" i="16"/>
  <c r="L519" i="16"/>
  <c r="M519" i="16" s="1"/>
  <c r="J519" i="16"/>
  <c r="K519" i="16" s="1"/>
  <c r="I519" i="16"/>
  <c r="AC518" i="16"/>
  <c r="AA518" i="16"/>
  <c r="AB518" i="16" s="1"/>
  <c r="Q518" i="16"/>
  <c r="P518" i="16"/>
  <c r="N518" i="16"/>
  <c r="L518" i="16"/>
  <c r="M518" i="16" s="1"/>
  <c r="J518" i="16"/>
  <c r="K518" i="16" s="1"/>
  <c r="I518" i="16"/>
  <c r="AC517" i="16"/>
  <c r="AA517" i="16"/>
  <c r="AB517" i="16" s="1"/>
  <c r="Q517" i="16"/>
  <c r="P517" i="16"/>
  <c r="N517" i="16"/>
  <c r="L517" i="16"/>
  <c r="M517" i="16" s="1"/>
  <c r="J517" i="16"/>
  <c r="K517" i="16" s="1"/>
  <c r="I517" i="16"/>
  <c r="AC516" i="16"/>
  <c r="AA516" i="16"/>
  <c r="AB516" i="16" s="1"/>
  <c r="Q516" i="16"/>
  <c r="P516" i="16"/>
  <c r="N516" i="16"/>
  <c r="L516" i="16"/>
  <c r="M516" i="16" s="1"/>
  <c r="J516" i="16"/>
  <c r="K516" i="16" s="1"/>
  <c r="I516" i="16"/>
  <c r="AC515" i="16"/>
  <c r="AA515" i="16"/>
  <c r="AB515" i="16" s="1"/>
  <c r="Q515" i="16"/>
  <c r="P515" i="16"/>
  <c r="N515" i="16"/>
  <c r="L515" i="16"/>
  <c r="M515" i="16" s="1"/>
  <c r="J515" i="16"/>
  <c r="K515" i="16" s="1"/>
  <c r="I515" i="16"/>
  <c r="AC514" i="16"/>
  <c r="AA514" i="16"/>
  <c r="AB514" i="16" s="1"/>
  <c r="Q514" i="16"/>
  <c r="P514" i="16"/>
  <c r="N514" i="16"/>
  <c r="L514" i="16"/>
  <c r="M514" i="16" s="1"/>
  <c r="J514" i="16"/>
  <c r="K514" i="16" s="1"/>
  <c r="I514" i="16"/>
  <c r="AC513" i="16"/>
  <c r="AA513" i="16"/>
  <c r="AB513" i="16" s="1"/>
  <c r="Q513" i="16"/>
  <c r="P513" i="16"/>
  <c r="N513" i="16"/>
  <c r="L513" i="16"/>
  <c r="M513" i="16" s="1"/>
  <c r="J513" i="16"/>
  <c r="K513" i="16" s="1"/>
  <c r="I513" i="16"/>
  <c r="AC512" i="16"/>
  <c r="AA512" i="16"/>
  <c r="AB512" i="16" s="1"/>
  <c r="Q512" i="16"/>
  <c r="P512" i="16"/>
  <c r="N512" i="16"/>
  <c r="L512" i="16"/>
  <c r="M512" i="16" s="1"/>
  <c r="J512" i="16"/>
  <c r="K512" i="16" s="1"/>
  <c r="I512" i="16"/>
  <c r="AC511" i="16"/>
  <c r="AA511" i="16"/>
  <c r="AB511" i="16" s="1"/>
  <c r="Q511" i="16"/>
  <c r="P511" i="16"/>
  <c r="N511" i="16"/>
  <c r="L511" i="16"/>
  <c r="M511" i="16" s="1"/>
  <c r="J511" i="16"/>
  <c r="K511" i="16" s="1"/>
  <c r="I511" i="16"/>
  <c r="AC510" i="16"/>
  <c r="AA510" i="16"/>
  <c r="AB510" i="16" s="1"/>
  <c r="Q510" i="16"/>
  <c r="P510" i="16"/>
  <c r="N510" i="16"/>
  <c r="L510" i="16"/>
  <c r="M510" i="16" s="1"/>
  <c r="J510" i="16"/>
  <c r="K510" i="16" s="1"/>
  <c r="I510" i="16"/>
  <c r="AC509" i="16"/>
  <c r="AA509" i="16"/>
  <c r="AB509" i="16" s="1"/>
  <c r="Q509" i="16"/>
  <c r="P509" i="16"/>
  <c r="N509" i="16"/>
  <c r="L509" i="16"/>
  <c r="M509" i="16" s="1"/>
  <c r="J509" i="16"/>
  <c r="K509" i="16" s="1"/>
  <c r="I509" i="16"/>
  <c r="AC508" i="16"/>
  <c r="AA508" i="16"/>
  <c r="AB508" i="16" s="1"/>
  <c r="Q508" i="16"/>
  <c r="P508" i="16"/>
  <c r="N508" i="16"/>
  <c r="L508" i="16"/>
  <c r="M508" i="16" s="1"/>
  <c r="J508" i="16"/>
  <c r="K508" i="16" s="1"/>
  <c r="I508" i="16"/>
  <c r="AC507" i="16"/>
  <c r="AA507" i="16"/>
  <c r="AB507" i="16" s="1"/>
  <c r="Q507" i="16"/>
  <c r="P507" i="16"/>
  <c r="N507" i="16"/>
  <c r="L507" i="16"/>
  <c r="M507" i="16" s="1"/>
  <c r="J507" i="16"/>
  <c r="K507" i="16" s="1"/>
  <c r="I507" i="16"/>
  <c r="AC506" i="16"/>
  <c r="AA506" i="16"/>
  <c r="AB506" i="16" s="1"/>
  <c r="Q506" i="16"/>
  <c r="P506" i="16"/>
  <c r="N506" i="16"/>
  <c r="L506" i="16"/>
  <c r="M506" i="16" s="1"/>
  <c r="J506" i="16"/>
  <c r="K506" i="16" s="1"/>
  <c r="I506" i="16"/>
  <c r="AC505" i="16"/>
  <c r="AA505" i="16"/>
  <c r="AB505" i="16" s="1"/>
  <c r="Q505" i="16"/>
  <c r="P505" i="16"/>
  <c r="N505" i="16"/>
  <c r="L505" i="16"/>
  <c r="M505" i="16" s="1"/>
  <c r="J505" i="16"/>
  <c r="K505" i="16" s="1"/>
  <c r="I505" i="16"/>
  <c r="AC504" i="16"/>
  <c r="AA504" i="16"/>
  <c r="AB504" i="16" s="1"/>
  <c r="Q504" i="16"/>
  <c r="P504" i="16"/>
  <c r="N504" i="16"/>
  <c r="L504" i="16"/>
  <c r="M504" i="16" s="1"/>
  <c r="J504" i="16"/>
  <c r="K504" i="16" s="1"/>
  <c r="I504" i="16"/>
  <c r="AC503" i="16"/>
  <c r="AA503" i="16"/>
  <c r="AB503" i="16" s="1"/>
  <c r="Q503" i="16"/>
  <c r="P503" i="16"/>
  <c r="N503" i="16"/>
  <c r="L503" i="16"/>
  <c r="M503" i="16" s="1"/>
  <c r="J503" i="16"/>
  <c r="K503" i="16" s="1"/>
  <c r="I503" i="16"/>
  <c r="AC502" i="16"/>
  <c r="AA502" i="16"/>
  <c r="AB502" i="16" s="1"/>
  <c r="Q502" i="16"/>
  <c r="P502" i="16"/>
  <c r="N502" i="16"/>
  <c r="L502" i="16"/>
  <c r="M502" i="16" s="1"/>
  <c r="J502" i="16"/>
  <c r="K502" i="16" s="1"/>
  <c r="I502" i="16"/>
  <c r="AC501" i="16"/>
  <c r="AA501" i="16"/>
  <c r="AB501" i="16" s="1"/>
  <c r="Q501" i="16"/>
  <c r="P501" i="16"/>
  <c r="N501" i="16"/>
  <c r="L501" i="16"/>
  <c r="M501" i="16" s="1"/>
  <c r="J501" i="16"/>
  <c r="K501" i="16" s="1"/>
  <c r="I501" i="16"/>
  <c r="AC500" i="16"/>
  <c r="AA500" i="16"/>
  <c r="AB500" i="16" s="1"/>
  <c r="Q500" i="16"/>
  <c r="P500" i="16"/>
  <c r="N500" i="16"/>
  <c r="L500" i="16"/>
  <c r="M500" i="16" s="1"/>
  <c r="J500" i="16"/>
  <c r="K500" i="16" s="1"/>
  <c r="I500" i="16"/>
  <c r="AC499" i="16"/>
  <c r="AA499" i="16"/>
  <c r="AB499" i="16" s="1"/>
  <c r="Q499" i="16"/>
  <c r="P499" i="16"/>
  <c r="N499" i="16"/>
  <c r="L499" i="16"/>
  <c r="M499" i="16" s="1"/>
  <c r="J499" i="16"/>
  <c r="K499" i="16" s="1"/>
  <c r="I499" i="16"/>
  <c r="AC498" i="16"/>
  <c r="AA498" i="16"/>
  <c r="AB498" i="16" s="1"/>
  <c r="Q498" i="16"/>
  <c r="P498" i="16"/>
  <c r="N498" i="16"/>
  <c r="L498" i="16"/>
  <c r="M498" i="16" s="1"/>
  <c r="J498" i="16"/>
  <c r="K498" i="16" s="1"/>
  <c r="I498" i="16"/>
  <c r="AC497" i="16"/>
  <c r="AA497" i="16"/>
  <c r="AB497" i="16" s="1"/>
  <c r="Q497" i="16"/>
  <c r="P497" i="16"/>
  <c r="N497" i="16"/>
  <c r="L497" i="16"/>
  <c r="M497" i="16" s="1"/>
  <c r="J497" i="16"/>
  <c r="K497" i="16" s="1"/>
  <c r="I497" i="16"/>
  <c r="AC496" i="16"/>
  <c r="AA496" i="16"/>
  <c r="AB496" i="16" s="1"/>
  <c r="Q496" i="16"/>
  <c r="P496" i="16"/>
  <c r="N496" i="16"/>
  <c r="L496" i="16"/>
  <c r="M496" i="16" s="1"/>
  <c r="J496" i="16"/>
  <c r="K496" i="16" s="1"/>
  <c r="I496" i="16"/>
  <c r="AC495" i="16"/>
  <c r="AA495" i="16"/>
  <c r="AB495" i="16" s="1"/>
  <c r="Q495" i="16"/>
  <c r="P495" i="16"/>
  <c r="N495" i="16"/>
  <c r="L495" i="16"/>
  <c r="M495" i="16" s="1"/>
  <c r="J495" i="16"/>
  <c r="K495" i="16" s="1"/>
  <c r="I495" i="16"/>
  <c r="AC494" i="16"/>
  <c r="AA494" i="16"/>
  <c r="AB494" i="16" s="1"/>
  <c r="Q494" i="16"/>
  <c r="P494" i="16"/>
  <c r="N494" i="16"/>
  <c r="L494" i="16"/>
  <c r="M494" i="16" s="1"/>
  <c r="J494" i="16"/>
  <c r="K494" i="16" s="1"/>
  <c r="I494" i="16"/>
  <c r="AC493" i="16"/>
  <c r="AA493" i="16"/>
  <c r="AB493" i="16" s="1"/>
  <c r="Q493" i="16"/>
  <c r="P493" i="16"/>
  <c r="N493" i="16"/>
  <c r="L493" i="16"/>
  <c r="M493" i="16" s="1"/>
  <c r="J493" i="16"/>
  <c r="K493" i="16" s="1"/>
  <c r="I493" i="16"/>
  <c r="AC492" i="16"/>
  <c r="AA492" i="16"/>
  <c r="AB492" i="16" s="1"/>
  <c r="Q492" i="16"/>
  <c r="P492" i="16"/>
  <c r="N492" i="16"/>
  <c r="L492" i="16"/>
  <c r="M492" i="16" s="1"/>
  <c r="J492" i="16"/>
  <c r="K492" i="16" s="1"/>
  <c r="I492" i="16"/>
  <c r="AC491" i="16"/>
  <c r="AA491" i="16"/>
  <c r="AB491" i="16" s="1"/>
  <c r="Q491" i="16"/>
  <c r="P491" i="16"/>
  <c r="N491" i="16"/>
  <c r="L491" i="16"/>
  <c r="M491" i="16" s="1"/>
  <c r="J491" i="16"/>
  <c r="K491" i="16" s="1"/>
  <c r="I491" i="16"/>
  <c r="AC490" i="16"/>
  <c r="AA490" i="16"/>
  <c r="AB490" i="16" s="1"/>
  <c r="Q490" i="16"/>
  <c r="P490" i="16"/>
  <c r="N490" i="16"/>
  <c r="L490" i="16"/>
  <c r="M490" i="16" s="1"/>
  <c r="J490" i="16"/>
  <c r="K490" i="16" s="1"/>
  <c r="I490" i="16"/>
  <c r="AC489" i="16"/>
  <c r="AA489" i="16"/>
  <c r="AB489" i="16" s="1"/>
  <c r="Q489" i="16"/>
  <c r="P489" i="16"/>
  <c r="N489" i="16"/>
  <c r="L489" i="16"/>
  <c r="M489" i="16" s="1"/>
  <c r="J489" i="16"/>
  <c r="K489" i="16" s="1"/>
  <c r="I489" i="16"/>
  <c r="AC488" i="16"/>
  <c r="AA488" i="16"/>
  <c r="AB488" i="16" s="1"/>
  <c r="Q488" i="16"/>
  <c r="P488" i="16"/>
  <c r="N488" i="16"/>
  <c r="L488" i="16"/>
  <c r="M488" i="16" s="1"/>
  <c r="J488" i="16"/>
  <c r="K488" i="16" s="1"/>
  <c r="I488" i="16"/>
  <c r="AC487" i="16"/>
  <c r="AA487" i="16"/>
  <c r="AB487" i="16" s="1"/>
  <c r="Q487" i="16"/>
  <c r="P487" i="16"/>
  <c r="N487" i="16"/>
  <c r="L487" i="16"/>
  <c r="M487" i="16" s="1"/>
  <c r="J487" i="16"/>
  <c r="K487" i="16" s="1"/>
  <c r="I487" i="16"/>
  <c r="AC486" i="16"/>
  <c r="AA486" i="16"/>
  <c r="AB486" i="16" s="1"/>
  <c r="Q486" i="16"/>
  <c r="P486" i="16"/>
  <c r="N486" i="16"/>
  <c r="L486" i="16"/>
  <c r="M486" i="16" s="1"/>
  <c r="J486" i="16"/>
  <c r="K486" i="16" s="1"/>
  <c r="I486" i="16"/>
  <c r="AC485" i="16"/>
  <c r="AA485" i="16"/>
  <c r="AB485" i="16" s="1"/>
  <c r="Q485" i="16"/>
  <c r="P485" i="16"/>
  <c r="N485" i="16"/>
  <c r="L485" i="16"/>
  <c r="M485" i="16" s="1"/>
  <c r="J485" i="16"/>
  <c r="K485" i="16" s="1"/>
  <c r="I485" i="16"/>
  <c r="AC484" i="16"/>
  <c r="AA484" i="16"/>
  <c r="AB484" i="16" s="1"/>
  <c r="Q484" i="16"/>
  <c r="P484" i="16"/>
  <c r="N484" i="16"/>
  <c r="L484" i="16"/>
  <c r="M484" i="16" s="1"/>
  <c r="J484" i="16"/>
  <c r="K484" i="16" s="1"/>
  <c r="I484" i="16"/>
  <c r="AC483" i="16"/>
  <c r="AA483" i="16"/>
  <c r="AB483" i="16" s="1"/>
  <c r="Q483" i="16"/>
  <c r="P483" i="16"/>
  <c r="N483" i="16"/>
  <c r="L483" i="16"/>
  <c r="M483" i="16" s="1"/>
  <c r="J483" i="16"/>
  <c r="K483" i="16" s="1"/>
  <c r="I483" i="16"/>
  <c r="AC482" i="16"/>
  <c r="AA482" i="16"/>
  <c r="AB482" i="16" s="1"/>
  <c r="Q482" i="16"/>
  <c r="P482" i="16"/>
  <c r="N482" i="16"/>
  <c r="L482" i="16"/>
  <c r="M482" i="16" s="1"/>
  <c r="J482" i="16"/>
  <c r="K482" i="16" s="1"/>
  <c r="I482" i="16"/>
  <c r="AC481" i="16"/>
  <c r="AA481" i="16"/>
  <c r="AB481" i="16" s="1"/>
  <c r="Q481" i="16"/>
  <c r="P481" i="16"/>
  <c r="N481" i="16"/>
  <c r="L481" i="16"/>
  <c r="M481" i="16" s="1"/>
  <c r="J481" i="16"/>
  <c r="K481" i="16" s="1"/>
  <c r="I481" i="16"/>
  <c r="AC480" i="16"/>
  <c r="AA480" i="16"/>
  <c r="AB480" i="16" s="1"/>
  <c r="Q480" i="16"/>
  <c r="P480" i="16"/>
  <c r="N480" i="16"/>
  <c r="L480" i="16"/>
  <c r="M480" i="16" s="1"/>
  <c r="J480" i="16"/>
  <c r="K480" i="16" s="1"/>
  <c r="I480" i="16"/>
  <c r="AC479" i="16"/>
  <c r="AA479" i="16"/>
  <c r="AB479" i="16" s="1"/>
  <c r="Q479" i="16"/>
  <c r="P479" i="16"/>
  <c r="N479" i="16"/>
  <c r="L479" i="16"/>
  <c r="M479" i="16" s="1"/>
  <c r="J479" i="16"/>
  <c r="K479" i="16" s="1"/>
  <c r="I479" i="16"/>
  <c r="AC478" i="16"/>
  <c r="AA478" i="16"/>
  <c r="AB478" i="16" s="1"/>
  <c r="Q478" i="16"/>
  <c r="P478" i="16"/>
  <c r="N478" i="16"/>
  <c r="L478" i="16"/>
  <c r="M478" i="16" s="1"/>
  <c r="J478" i="16"/>
  <c r="K478" i="16" s="1"/>
  <c r="I478" i="16"/>
  <c r="AC477" i="16"/>
  <c r="AA477" i="16"/>
  <c r="AB477" i="16" s="1"/>
  <c r="Q477" i="16"/>
  <c r="P477" i="16"/>
  <c r="N477" i="16"/>
  <c r="L477" i="16"/>
  <c r="M477" i="16" s="1"/>
  <c r="J477" i="16"/>
  <c r="K477" i="16" s="1"/>
  <c r="I477" i="16"/>
  <c r="AC476" i="16"/>
  <c r="AA476" i="16"/>
  <c r="AB476" i="16" s="1"/>
  <c r="Q476" i="16"/>
  <c r="P476" i="16"/>
  <c r="N476" i="16"/>
  <c r="L476" i="16"/>
  <c r="M476" i="16" s="1"/>
  <c r="J476" i="16"/>
  <c r="K476" i="16" s="1"/>
  <c r="I476" i="16"/>
  <c r="AC475" i="16"/>
  <c r="AA475" i="16"/>
  <c r="AB475" i="16" s="1"/>
  <c r="Q475" i="16"/>
  <c r="P475" i="16"/>
  <c r="N475" i="16"/>
  <c r="L475" i="16"/>
  <c r="M475" i="16" s="1"/>
  <c r="J475" i="16"/>
  <c r="K475" i="16" s="1"/>
  <c r="I475" i="16"/>
  <c r="AC474" i="16"/>
  <c r="AA474" i="16"/>
  <c r="AB474" i="16" s="1"/>
  <c r="Q474" i="16"/>
  <c r="P474" i="16"/>
  <c r="N474" i="16"/>
  <c r="L474" i="16"/>
  <c r="M474" i="16" s="1"/>
  <c r="J474" i="16"/>
  <c r="K474" i="16" s="1"/>
  <c r="I474" i="16"/>
  <c r="AC473" i="16"/>
  <c r="AA473" i="16"/>
  <c r="AB473" i="16" s="1"/>
  <c r="Q473" i="16"/>
  <c r="P473" i="16"/>
  <c r="N473" i="16"/>
  <c r="L473" i="16"/>
  <c r="M473" i="16" s="1"/>
  <c r="J473" i="16"/>
  <c r="K473" i="16" s="1"/>
  <c r="I473" i="16"/>
  <c r="AC472" i="16"/>
  <c r="AA472" i="16"/>
  <c r="AB472" i="16" s="1"/>
  <c r="Q472" i="16"/>
  <c r="P472" i="16"/>
  <c r="N472" i="16"/>
  <c r="L472" i="16"/>
  <c r="M472" i="16" s="1"/>
  <c r="J472" i="16"/>
  <c r="K472" i="16" s="1"/>
  <c r="I472" i="16"/>
  <c r="AC471" i="16"/>
  <c r="AA471" i="16"/>
  <c r="AB471" i="16" s="1"/>
  <c r="Q471" i="16"/>
  <c r="P471" i="16"/>
  <c r="N471" i="16"/>
  <c r="L471" i="16"/>
  <c r="M471" i="16" s="1"/>
  <c r="J471" i="16"/>
  <c r="K471" i="16" s="1"/>
  <c r="I471" i="16"/>
  <c r="AC470" i="16"/>
  <c r="AA470" i="16"/>
  <c r="AB470" i="16" s="1"/>
  <c r="Q470" i="16"/>
  <c r="P470" i="16"/>
  <c r="N470" i="16"/>
  <c r="L470" i="16"/>
  <c r="M470" i="16" s="1"/>
  <c r="J470" i="16"/>
  <c r="K470" i="16" s="1"/>
  <c r="I470" i="16"/>
  <c r="AC469" i="16"/>
  <c r="AA469" i="16"/>
  <c r="AB469" i="16" s="1"/>
  <c r="Q469" i="16"/>
  <c r="P469" i="16"/>
  <c r="N469" i="16"/>
  <c r="L469" i="16"/>
  <c r="M469" i="16" s="1"/>
  <c r="J469" i="16"/>
  <c r="K469" i="16" s="1"/>
  <c r="I469" i="16"/>
  <c r="AC468" i="16"/>
  <c r="AA468" i="16"/>
  <c r="AB468" i="16" s="1"/>
  <c r="Q468" i="16"/>
  <c r="P468" i="16"/>
  <c r="N468" i="16"/>
  <c r="L468" i="16"/>
  <c r="M468" i="16" s="1"/>
  <c r="J468" i="16"/>
  <c r="K468" i="16" s="1"/>
  <c r="I468" i="16"/>
  <c r="AC467" i="16"/>
  <c r="AA467" i="16"/>
  <c r="AB467" i="16" s="1"/>
  <c r="Q467" i="16"/>
  <c r="P467" i="16"/>
  <c r="N467" i="16"/>
  <c r="L467" i="16"/>
  <c r="M467" i="16" s="1"/>
  <c r="J467" i="16"/>
  <c r="K467" i="16" s="1"/>
  <c r="I467" i="16"/>
  <c r="AC466" i="16"/>
  <c r="AA466" i="16"/>
  <c r="AB466" i="16" s="1"/>
  <c r="Q466" i="16"/>
  <c r="P466" i="16"/>
  <c r="N466" i="16"/>
  <c r="L466" i="16"/>
  <c r="M466" i="16" s="1"/>
  <c r="J466" i="16"/>
  <c r="K466" i="16" s="1"/>
  <c r="I466" i="16"/>
  <c r="AC465" i="16"/>
  <c r="AA465" i="16"/>
  <c r="AB465" i="16" s="1"/>
  <c r="Q465" i="16"/>
  <c r="P465" i="16"/>
  <c r="N465" i="16"/>
  <c r="L465" i="16"/>
  <c r="M465" i="16" s="1"/>
  <c r="J465" i="16"/>
  <c r="K465" i="16" s="1"/>
  <c r="I465" i="16"/>
  <c r="AC464" i="16"/>
  <c r="AA464" i="16"/>
  <c r="AB464" i="16" s="1"/>
  <c r="Q464" i="16"/>
  <c r="P464" i="16"/>
  <c r="N464" i="16"/>
  <c r="L464" i="16"/>
  <c r="M464" i="16" s="1"/>
  <c r="J464" i="16"/>
  <c r="K464" i="16" s="1"/>
  <c r="I464" i="16"/>
  <c r="AC463" i="16"/>
  <c r="AA463" i="16"/>
  <c r="AB463" i="16" s="1"/>
  <c r="Q463" i="16"/>
  <c r="P463" i="16"/>
  <c r="N463" i="16"/>
  <c r="L463" i="16"/>
  <c r="M463" i="16" s="1"/>
  <c r="J463" i="16"/>
  <c r="K463" i="16" s="1"/>
  <c r="I463" i="16"/>
  <c r="AC462" i="16"/>
  <c r="AA462" i="16"/>
  <c r="AB462" i="16" s="1"/>
  <c r="Q462" i="16"/>
  <c r="P462" i="16"/>
  <c r="N462" i="16"/>
  <c r="L462" i="16"/>
  <c r="M462" i="16" s="1"/>
  <c r="J462" i="16"/>
  <c r="K462" i="16" s="1"/>
  <c r="I462" i="16"/>
  <c r="AC461" i="16"/>
  <c r="AA461" i="16"/>
  <c r="AB461" i="16" s="1"/>
  <c r="Q461" i="16"/>
  <c r="P461" i="16"/>
  <c r="N461" i="16"/>
  <c r="L461" i="16"/>
  <c r="M461" i="16" s="1"/>
  <c r="J461" i="16"/>
  <c r="K461" i="16" s="1"/>
  <c r="I461" i="16"/>
  <c r="AC460" i="16"/>
  <c r="AA460" i="16"/>
  <c r="AB460" i="16" s="1"/>
  <c r="Q460" i="16"/>
  <c r="P460" i="16"/>
  <c r="N460" i="16"/>
  <c r="L460" i="16"/>
  <c r="M460" i="16" s="1"/>
  <c r="J460" i="16"/>
  <c r="K460" i="16" s="1"/>
  <c r="I460" i="16"/>
  <c r="AC459" i="16"/>
  <c r="AA459" i="16"/>
  <c r="AB459" i="16" s="1"/>
  <c r="Q459" i="16"/>
  <c r="P459" i="16"/>
  <c r="N459" i="16"/>
  <c r="L459" i="16"/>
  <c r="M459" i="16" s="1"/>
  <c r="J459" i="16"/>
  <c r="K459" i="16" s="1"/>
  <c r="I459" i="16"/>
  <c r="AC458" i="16"/>
  <c r="AA458" i="16"/>
  <c r="AB458" i="16" s="1"/>
  <c r="Q458" i="16"/>
  <c r="P458" i="16"/>
  <c r="N458" i="16"/>
  <c r="L458" i="16"/>
  <c r="M458" i="16" s="1"/>
  <c r="J458" i="16"/>
  <c r="K458" i="16" s="1"/>
  <c r="I458" i="16"/>
  <c r="AC457" i="16"/>
  <c r="AA457" i="16"/>
  <c r="AB457" i="16" s="1"/>
  <c r="Q457" i="16"/>
  <c r="P457" i="16"/>
  <c r="N457" i="16"/>
  <c r="L457" i="16"/>
  <c r="M457" i="16" s="1"/>
  <c r="J457" i="16"/>
  <c r="K457" i="16" s="1"/>
  <c r="I457" i="16"/>
  <c r="AC456" i="16"/>
  <c r="AA456" i="16"/>
  <c r="AB456" i="16" s="1"/>
  <c r="Q456" i="16"/>
  <c r="P456" i="16"/>
  <c r="N456" i="16"/>
  <c r="L456" i="16"/>
  <c r="M456" i="16" s="1"/>
  <c r="J456" i="16"/>
  <c r="K456" i="16" s="1"/>
  <c r="I456" i="16"/>
  <c r="AC455" i="16"/>
  <c r="AA455" i="16"/>
  <c r="AB455" i="16" s="1"/>
  <c r="Q455" i="16"/>
  <c r="P455" i="16"/>
  <c r="N455" i="16"/>
  <c r="L455" i="16"/>
  <c r="M455" i="16" s="1"/>
  <c r="J455" i="16"/>
  <c r="K455" i="16" s="1"/>
  <c r="I455" i="16"/>
  <c r="AC454" i="16"/>
  <c r="AA454" i="16"/>
  <c r="AB454" i="16" s="1"/>
  <c r="Q454" i="16"/>
  <c r="P454" i="16"/>
  <c r="N454" i="16"/>
  <c r="L454" i="16"/>
  <c r="M454" i="16" s="1"/>
  <c r="J454" i="16"/>
  <c r="K454" i="16" s="1"/>
  <c r="I454" i="16"/>
  <c r="AC453" i="16"/>
  <c r="AA453" i="16"/>
  <c r="AB453" i="16" s="1"/>
  <c r="Q453" i="16"/>
  <c r="P453" i="16"/>
  <c r="N453" i="16"/>
  <c r="L453" i="16"/>
  <c r="M453" i="16" s="1"/>
  <c r="J453" i="16"/>
  <c r="K453" i="16" s="1"/>
  <c r="I453" i="16"/>
  <c r="AC452" i="16"/>
  <c r="AA452" i="16"/>
  <c r="AB452" i="16" s="1"/>
  <c r="Q452" i="16"/>
  <c r="P452" i="16"/>
  <c r="N452" i="16"/>
  <c r="L452" i="16"/>
  <c r="M452" i="16" s="1"/>
  <c r="J452" i="16"/>
  <c r="K452" i="16" s="1"/>
  <c r="I452" i="16"/>
  <c r="AC451" i="16"/>
  <c r="AA451" i="16"/>
  <c r="AB451" i="16" s="1"/>
  <c r="Q451" i="16"/>
  <c r="P451" i="16"/>
  <c r="N451" i="16"/>
  <c r="L451" i="16"/>
  <c r="M451" i="16" s="1"/>
  <c r="J451" i="16"/>
  <c r="K451" i="16" s="1"/>
  <c r="I451" i="16"/>
  <c r="AC450" i="16"/>
  <c r="AA450" i="16"/>
  <c r="AB450" i="16" s="1"/>
  <c r="Q450" i="16"/>
  <c r="P450" i="16"/>
  <c r="N450" i="16"/>
  <c r="L450" i="16"/>
  <c r="M450" i="16" s="1"/>
  <c r="J450" i="16"/>
  <c r="K450" i="16" s="1"/>
  <c r="I450" i="16"/>
  <c r="AC449" i="16"/>
  <c r="AA449" i="16"/>
  <c r="AB449" i="16" s="1"/>
  <c r="Q449" i="16"/>
  <c r="P449" i="16"/>
  <c r="N449" i="16"/>
  <c r="L449" i="16"/>
  <c r="M449" i="16" s="1"/>
  <c r="J449" i="16"/>
  <c r="K449" i="16" s="1"/>
  <c r="I449" i="16"/>
  <c r="AC448" i="16"/>
  <c r="AA448" i="16"/>
  <c r="AB448" i="16" s="1"/>
  <c r="Q448" i="16"/>
  <c r="P448" i="16"/>
  <c r="N448" i="16"/>
  <c r="L448" i="16"/>
  <c r="M448" i="16" s="1"/>
  <c r="J448" i="16"/>
  <c r="K448" i="16" s="1"/>
  <c r="I448" i="16"/>
  <c r="AC447" i="16"/>
  <c r="AA447" i="16"/>
  <c r="AB447" i="16" s="1"/>
  <c r="Q447" i="16"/>
  <c r="P447" i="16"/>
  <c r="N447" i="16"/>
  <c r="L447" i="16"/>
  <c r="M447" i="16" s="1"/>
  <c r="J447" i="16"/>
  <c r="K447" i="16" s="1"/>
  <c r="I447" i="16"/>
  <c r="AC446" i="16"/>
  <c r="AA446" i="16"/>
  <c r="AB446" i="16" s="1"/>
  <c r="Q446" i="16"/>
  <c r="P446" i="16"/>
  <c r="N446" i="16"/>
  <c r="L446" i="16"/>
  <c r="M446" i="16" s="1"/>
  <c r="J446" i="16"/>
  <c r="K446" i="16" s="1"/>
  <c r="I446" i="16"/>
  <c r="AC445" i="16"/>
  <c r="AA445" i="16"/>
  <c r="AB445" i="16" s="1"/>
  <c r="Q445" i="16"/>
  <c r="P445" i="16"/>
  <c r="N445" i="16"/>
  <c r="L445" i="16"/>
  <c r="M445" i="16" s="1"/>
  <c r="J445" i="16"/>
  <c r="K445" i="16" s="1"/>
  <c r="I445" i="16"/>
  <c r="AC444" i="16"/>
  <c r="AA444" i="16"/>
  <c r="AB444" i="16" s="1"/>
  <c r="Q444" i="16"/>
  <c r="P444" i="16"/>
  <c r="N444" i="16"/>
  <c r="L444" i="16"/>
  <c r="M444" i="16" s="1"/>
  <c r="J444" i="16"/>
  <c r="K444" i="16" s="1"/>
  <c r="I444" i="16"/>
  <c r="AC443" i="16"/>
  <c r="AA443" i="16"/>
  <c r="AB443" i="16" s="1"/>
  <c r="Q443" i="16"/>
  <c r="P443" i="16"/>
  <c r="N443" i="16"/>
  <c r="L443" i="16"/>
  <c r="M443" i="16" s="1"/>
  <c r="J443" i="16"/>
  <c r="K443" i="16" s="1"/>
  <c r="I443" i="16"/>
  <c r="AC442" i="16"/>
  <c r="AA442" i="16"/>
  <c r="AB442" i="16" s="1"/>
  <c r="Q442" i="16"/>
  <c r="P442" i="16"/>
  <c r="N442" i="16"/>
  <c r="L442" i="16"/>
  <c r="M442" i="16" s="1"/>
  <c r="J442" i="16"/>
  <c r="K442" i="16" s="1"/>
  <c r="I442" i="16"/>
  <c r="AC441" i="16"/>
  <c r="AA441" i="16"/>
  <c r="AB441" i="16" s="1"/>
  <c r="Q441" i="16"/>
  <c r="P441" i="16"/>
  <c r="N441" i="16"/>
  <c r="L441" i="16"/>
  <c r="M441" i="16" s="1"/>
  <c r="J441" i="16"/>
  <c r="K441" i="16" s="1"/>
  <c r="I441" i="16"/>
  <c r="AC440" i="16"/>
  <c r="AA440" i="16"/>
  <c r="AB440" i="16" s="1"/>
  <c r="Q440" i="16"/>
  <c r="P440" i="16"/>
  <c r="N440" i="16"/>
  <c r="L440" i="16"/>
  <c r="M440" i="16" s="1"/>
  <c r="J440" i="16"/>
  <c r="K440" i="16" s="1"/>
  <c r="I440" i="16"/>
  <c r="AC439" i="16"/>
  <c r="AA439" i="16"/>
  <c r="AB439" i="16" s="1"/>
  <c r="Q439" i="16"/>
  <c r="P439" i="16"/>
  <c r="N439" i="16"/>
  <c r="L439" i="16"/>
  <c r="M439" i="16" s="1"/>
  <c r="J439" i="16"/>
  <c r="K439" i="16" s="1"/>
  <c r="I439" i="16"/>
  <c r="AC438" i="16"/>
  <c r="AA438" i="16"/>
  <c r="AB438" i="16" s="1"/>
  <c r="Q438" i="16"/>
  <c r="P438" i="16"/>
  <c r="N438" i="16"/>
  <c r="L438" i="16"/>
  <c r="M438" i="16" s="1"/>
  <c r="J438" i="16"/>
  <c r="K438" i="16" s="1"/>
  <c r="I438" i="16"/>
  <c r="AC437" i="16"/>
  <c r="AA437" i="16"/>
  <c r="AB437" i="16" s="1"/>
  <c r="Q437" i="16"/>
  <c r="P437" i="16"/>
  <c r="N437" i="16"/>
  <c r="L437" i="16"/>
  <c r="M437" i="16" s="1"/>
  <c r="J437" i="16"/>
  <c r="K437" i="16" s="1"/>
  <c r="I437" i="16"/>
  <c r="AC436" i="16"/>
  <c r="AA436" i="16"/>
  <c r="AB436" i="16" s="1"/>
  <c r="Q436" i="16"/>
  <c r="P436" i="16"/>
  <c r="N436" i="16"/>
  <c r="L436" i="16"/>
  <c r="M436" i="16" s="1"/>
  <c r="J436" i="16"/>
  <c r="K436" i="16" s="1"/>
  <c r="I436" i="16"/>
  <c r="AC435" i="16"/>
  <c r="AA435" i="16"/>
  <c r="AB435" i="16" s="1"/>
  <c r="Q435" i="16"/>
  <c r="P435" i="16"/>
  <c r="N435" i="16"/>
  <c r="L435" i="16"/>
  <c r="M435" i="16" s="1"/>
  <c r="J435" i="16"/>
  <c r="K435" i="16" s="1"/>
  <c r="I435" i="16"/>
  <c r="AC434" i="16"/>
  <c r="AA434" i="16"/>
  <c r="AB434" i="16" s="1"/>
  <c r="Q434" i="16"/>
  <c r="P434" i="16"/>
  <c r="N434" i="16"/>
  <c r="L434" i="16"/>
  <c r="M434" i="16" s="1"/>
  <c r="J434" i="16"/>
  <c r="K434" i="16" s="1"/>
  <c r="I434" i="16"/>
  <c r="AC433" i="16"/>
  <c r="AA433" i="16"/>
  <c r="AB433" i="16" s="1"/>
  <c r="Q433" i="16"/>
  <c r="P433" i="16"/>
  <c r="N433" i="16"/>
  <c r="L433" i="16"/>
  <c r="M433" i="16" s="1"/>
  <c r="J433" i="16"/>
  <c r="K433" i="16" s="1"/>
  <c r="I433" i="16"/>
  <c r="AC432" i="16"/>
  <c r="AA432" i="16"/>
  <c r="AB432" i="16" s="1"/>
  <c r="Q432" i="16"/>
  <c r="P432" i="16"/>
  <c r="N432" i="16"/>
  <c r="L432" i="16"/>
  <c r="M432" i="16" s="1"/>
  <c r="J432" i="16"/>
  <c r="K432" i="16" s="1"/>
  <c r="I432" i="16"/>
  <c r="AC431" i="16"/>
  <c r="AA431" i="16"/>
  <c r="AB431" i="16" s="1"/>
  <c r="Q431" i="16"/>
  <c r="P431" i="16"/>
  <c r="N431" i="16"/>
  <c r="L431" i="16"/>
  <c r="M431" i="16" s="1"/>
  <c r="J431" i="16"/>
  <c r="K431" i="16" s="1"/>
  <c r="I431" i="16"/>
  <c r="AC430" i="16"/>
  <c r="AA430" i="16"/>
  <c r="AB430" i="16" s="1"/>
  <c r="Q430" i="16"/>
  <c r="P430" i="16"/>
  <c r="N430" i="16"/>
  <c r="L430" i="16"/>
  <c r="M430" i="16" s="1"/>
  <c r="J430" i="16"/>
  <c r="K430" i="16" s="1"/>
  <c r="I430" i="16"/>
  <c r="AC429" i="16"/>
  <c r="AA429" i="16"/>
  <c r="AB429" i="16" s="1"/>
  <c r="Q429" i="16"/>
  <c r="P429" i="16"/>
  <c r="N429" i="16"/>
  <c r="L429" i="16"/>
  <c r="M429" i="16" s="1"/>
  <c r="J429" i="16"/>
  <c r="K429" i="16" s="1"/>
  <c r="I429" i="16"/>
  <c r="AC428" i="16"/>
  <c r="AA428" i="16"/>
  <c r="AB428" i="16" s="1"/>
  <c r="Q428" i="16"/>
  <c r="P428" i="16"/>
  <c r="N428" i="16"/>
  <c r="L428" i="16"/>
  <c r="M428" i="16" s="1"/>
  <c r="J428" i="16"/>
  <c r="K428" i="16" s="1"/>
  <c r="I428" i="16"/>
  <c r="AC427" i="16"/>
  <c r="AA427" i="16"/>
  <c r="AB427" i="16" s="1"/>
  <c r="Q427" i="16"/>
  <c r="P427" i="16"/>
  <c r="N427" i="16"/>
  <c r="L427" i="16"/>
  <c r="M427" i="16" s="1"/>
  <c r="J427" i="16"/>
  <c r="K427" i="16" s="1"/>
  <c r="I427" i="16"/>
  <c r="AC426" i="16"/>
  <c r="AA426" i="16"/>
  <c r="AB426" i="16" s="1"/>
  <c r="Q426" i="16"/>
  <c r="P426" i="16"/>
  <c r="N426" i="16"/>
  <c r="L426" i="16"/>
  <c r="M426" i="16" s="1"/>
  <c r="J426" i="16"/>
  <c r="K426" i="16" s="1"/>
  <c r="I426" i="16"/>
  <c r="AC425" i="16"/>
  <c r="AA425" i="16"/>
  <c r="AB425" i="16" s="1"/>
  <c r="Q425" i="16"/>
  <c r="P425" i="16"/>
  <c r="N425" i="16"/>
  <c r="L425" i="16"/>
  <c r="M425" i="16" s="1"/>
  <c r="J425" i="16"/>
  <c r="K425" i="16" s="1"/>
  <c r="I425" i="16"/>
  <c r="AC424" i="16"/>
  <c r="AA424" i="16"/>
  <c r="AB424" i="16" s="1"/>
  <c r="Q424" i="16"/>
  <c r="P424" i="16"/>
  <c r="N424" i="16"/>
  <c r="L424" i="16"/>
  <c r="M424" i="16" s="1"/>
  <c r="J424" i="16"/>
  <c r="K424" i="16" s="1"/>
  <c r="I424" i="16"/>
  <c r="AC423" i="16"/>
  <c r="AA423" i="16"/>
  <c r="AB423" i="16" s="1"/>
  <c r="Q423" i="16"/>
  <c r="P423" i="16"/>
  <c r="N423" i="16"/>
  <c r="L423" i="16"/>
  <c r="M423" i="16" s="1"/>
  <c r="J423" i="16"/>
  <c r="K423" i="16" s="1"/>
  <c r="I423" i="16"/>
  <c r="AC422" i="16"/>
  <c r="AA422" i="16"/>
  <c r="AB422" i="16" s="1"/>
  <c r="Q422" i="16"/>
  <c r="P422" i="16"/>
  <c r="N422" i="16"/>
  <c r="L422" i="16"/>
  <c r="M422" i="16" s="1"/>
  <c r="J422" i="16"/>
  <c r="K422" i="16" s="1"/>
  <c r="I422" i="16"/>
  <c r="AC421" i="16"/>
  <c r="AA421" i="16"/>
  <c r="AB421" i="16" s="1"/>
  <c r="Q421" i="16"/>
  <c r="P421" i="16"/>
  <c r="N421" i="16"/>
  <c r="L421" i="16"/>
  <c r="M421" i="16" s="1"/>
  <c r="J421" i="16"/>
  <c r="K421" i="16" s="1"/>
  <c r="I421" i="16"/>
  <c r="AC420" i="16"/>
  <c r="AA420" i="16"/>
  <c r="AB420" i="16" s="1"/>
  <c r="Q420" i="16"/>
  <c r="P420" i="16"/>
  <c r="N420" i="16"/>
  <c r="L420" i="16"/>
  <c r="M420" i="16" s="1"/>
  <c r="J420" i="16"/>
  <c r="K420" i="16" s="1"/>
  <c r="I420" i="16"/>
  <c r="AC419" i="16"/>
  <c r="AA419" i="16"/>
  <c r="AB419" i="16" s="1"/>
  <c r="Q419" i="16"/>
  <c r="P419" i="16"/>
  <c r="N419" i="16"/>
  <c r="L419" i="16"/>
  <c r="M419" i="16" s="1"/>
  <c r="J419" i="16"/>
  <c r="K419" i="16" s="1"/>
  <c r="I419" i="16"/>
  <c r="AC418" i="16"/>
  <c r="AA418" i="16"/>
  <c r="AB418" i="16" s="1"/>
  <c r="Q418" i="16"/>
  <c r="P418" i="16"/>
  <c r="N418" i="16"/>
  <c r="L418" i="16"/>
  <c r="M418" i="16" s="1"/>
  <c r="J418" i="16"/>
  <c r="K418" i="16" s="1"/>
  <c r="I418" i="16"/>
  <c r="AC417" i="16"/>
  <c r="AA417" i="16"/>
  <c r="AB417" i="16" s="1"/>
  <c r="Q417" i="16"/>
  <c r="P417" i="16"/>
  <c r="N417" i="16"/>
  <c r="L417" i="16"/>
  <c r="M417" i="16" s="1"/>
  <c r="J417" i="16"/>
  <c r="K417" i="16" s="1"/>
  <c r="I417" i="16"/>
  <c r="AC416" i="16"/>
  <c r="AA416" i="16"/>
  <c r="AB416" i="16" s="1"/>
  <c r="Q416" i="16"/>
  <c r="P416" i="16"/>
  <c r="N416" i="16"/>
  <c r="L416" i="16"/>
  <c r="M416" i="16" s="1"/>
  <c r="J416" i="16"/>
  <c r="K416" i="16" s="1"/>
  <c r="I416" i="16"/>
  <c r="AC415" i="16"/>
  <c r="AA415" i="16"/>
  <c r="AB415" i="16" s="1"/>
  <c r="Q415" i="16"/>
  <c r="P415" i="16"/>
  <c r="N415" i="16"/>
  <c r="L415" i="16"/>
  <c r="M415" i="16" s="1"/>
  <c r="J415" i="16"/>
  <c r="K415" i="16" s="1"/>
  <c r="I415" i="16"/>
  <c r="AC414" i="16"/>
  <c r="AA414" i="16"/>
  <c r="AB414" i="16" s="1"/>
  <c r="Q414" i="16"/>
  <c r="P414" i="16"/>
  <c r="N414" i="16"/>
  <c r="L414" i="16"/>
  <c r="M414" i="16" s="1"/>
  <c r="J414" i="16"/>
  <c r="K414" i="16" s="1"/>
  <c r="I414" i="16"/>
  <c r="AC413" i="16"/>
  <c r="AA413" i="16"/>
  <c r="AB413" i="16" s="1"/>
  <c r="Q413" i="16"/>
  <c r="P413" i="16"/>
  <c r="N413" i="16"/>
  <c r="L413" i="16"/>
  <c r="M413" i="16" s="1"/>
  <c r="J413" i="16"/>
  <c r="K413" i="16" s="1"/>
  <c r="I413" i="16"/>
  <c r="AC412" i="16"/>
  <c r="AA412" i="16"/>
  <c r="AB412" i="16" s="1"/>
  <c r="Q412" i="16"/>
  <c r="P412" i="16"/>
  <c r="N412" i="16"/>
  <c r="L412" i="16"/>
  <c r="M412" i="16" s="1"/>
  <c r="J412" i="16"/>
  <c r="K412" i="16" s="1"/>
  <c r="I412" i="16"/>
  <c r="AC411" i="16"/>
  <c r="AA411" i="16"/>
  <c r="AB411" i="16" s="1"/>
  <c r="Q411" i="16"/>
  <c r="P411" i="16"/>
  <c r="N411" i="16"/>
  <c r="L411" i="16"/>
  <c r="M411" i="16" s="1"/>
  <c r="J411" i="16"/>
  <c r="K411" i="16" s="1"/>
  <c r="I411" i="16"/>
  <c r="AC410" i="16"/>
  <c r="AA410" i="16"/>
  <c r="AB410" i="16" s="1"/>
  <c r="Q410" i="16"/>
  <c r="P410" i="16"/>
  <c r="N410" i="16"/>
  <c r="L410" i="16"/>
  <c r="M410" i="16" s="1"/>
  <c r="J410" i="16"/>
  <c r="K410" i="16" s="1"/>
  <c r="I410" i="16"/>
  <c r="AC409" i="16"/>
  <c r="AA409" i="16"/>
  <c r="AB409" i="16" s="1"/>
  <c r="Q409" i="16"/>
  <c r="P409" i="16"/>
  <c r="N409" i="16"/>
  <c r="L409" i="16"/>
  <c r="M409" i="16" s="1"/>
  <c r="J409" i="16"/>
  <c r="K409" i="16" s="1"/>
  <c r="I409" i="16"/>
  <c r="AC408" i="16"/>
  <c r="AA408" i="16"/>
  <c r="AB408" i="16" s="1"/>
  <c r="Q408" i="16"/>
  <c r="P408" i="16"/>
  <c r="N408" i="16"/>
  <c r="L408" i="16"/>
  <c r="M408" i="16" s="1"/>
  <c r="J408" i="16"/>
  <c r="K408" i="16" s="1"/>
  <c r="I408" i="16"/>
  <c r="AC407" i="16"/>
  <c r="AA407" i="16"/>
  <c r="AB407" i="16" s="1"/>
  <c r="Q407" i="16"/>
  <c r="P407" i="16"/>
  <c r="N407" i="16"/>
  <c r="L407" i="16"/>
  <c r="M407" i="16" s="1"/>
  <c r="J407" i="16"/>
  <c r="K407" i="16" s="1"/>
  <c r="I407" i="16"/>
  <c r="AC406" i="16"/>
  <c r="AA406" i="16"/>
  <c r="AB406" i="16" s="1"/>
  <c r="Q406" i="16"/>
  <c r="P406" i="16"/>
  <c r="N406" i="16"/>
  <c r="L406" i="16"/>
  <c r="M406" i="16" s="1"/>
  <c r="J406" i="16"/>
  <c r="K406" i="16" s="1"/>
  <c r="I406" i="16"/>
  <c r="AC405" i="16"/>
  <c r="AA405" i="16"/>
  <c r="AB405" i="16" s="1"/>
  <c r="Q405" i="16"/>
  <c r="P405" i="16"/>
  <c r="N405" i="16"/>
  <c r="L405" i="16"/>
  <c r="M405" i="16" s="1"/>
  <c r="J405" i="16"/>
  <c r="K405" i="16" s="1"/>
  <c r="I405" i="16"/>
  <c r="AC404" i="16"/>
  <c r="AA404" i="16"/>
  <c r="AB404" i="16" s="1"/>
  <c r="Q404" i="16"/>
  <c r="P404" i="16"/>
  <c r="N404" i="16"/>
  <c r="L404" i="16"/>
  <c r="M404" i="16" s="1"/>
  <c r="J404" i="16"/>
  <c r="K404" i="16" s="1"/>
  <c r="I404" i="16"/>
  <c r="AC403" i="16"/>
  <c r="AA403" i="16"/>
  <c r="AB403" i="16" s="1"/>
  <c r="Q403" i="16"/>
  <c r="P403" i="16"/>
  <c r="N403" i="16"/>
  <c r="L403" i="16"/>
  <c r="M403" i="16" s="1"/>
  <c r="J403" i="16"/>
  <c r="K403" i="16" s="1"/>
  <c r="I403" i="16"/>
  <c r="AC402" i="16"/>
  <c r="AA402" i="16"/>
  <c r="AB402" i="16" s="1"/>
  <c r="Q402" i="16"/>
  <c r="P402" i="16"/>
  <c r="N402" i="16"/>
  <c r="L402" i="16"/>
  <c r="M402" i="16" s="1"/>
  <c r="J402" i="16"/>
  <c r="K402" i="16" s="1"/>
  <c r="I402" i="16"/>
  <c r="AC401" i="16"/>
  <c r="AA401" i="16"/>
  <c r="AB401" i="16" s="1"/>
  <c r="Q401" i="16"/>
  <c r="P401" i="16"/>
  <c r="N401" i="16"/>
  <c r="L401" i="16"/>
  <c r="M401" i="16" s="1"/>
  <c r="J401" i="16"/>
  <c r="K401" i="16" s="1"/>
  <c r="I401" i="16"/>
  <c r="AC400" i="16"/>
  <c r="AA400" i="16"/>
  <c r="AB400" i="16" s="1"/>
  <c r="Q400" i="16"/>
  <c r="P400" i="16"/>
  <c r="N400" i="16"/>
  <c r="L400" i="16"/>
  <c r="M400" i="16" s="1"/>
  <c r="J400" i="16"/>
  <c r="K400" i="16" s="1"/>
  <c r="I400" i="16"/>
  <c r="AC399" i="16"/>
  <c r="AA399" i="16"/>
  <c r="AB399" i="16" s="1"/>
  <c r="Q399" i="16"/>
  <c r="P399" i="16"/>
  <c r="N399" i="16"/>
  <c r="L399" i="16"/>
  <c r="M399" i="16" s="1"/>
  <c r="J399" i="16"/>
  <c r="K399" i="16" s="1"/>
  <c r="I399" i="16"/>
  <c r="AC398" i="16"/>
  <c r="AA398" i="16"/>
  <c r="AB398" i="16" s="1"/>
  <c r="Q398" i="16"/>
  <c r="P398" i="16"/>
  <c r="N398" i="16"/>
  <c r="L398" i="16"/>
  <c r="M398" i="16" s="1"/>
  <c r="J398" i="16"/>
  <c r="K398" i="16" s="1"/>
  <c r="I398" i="16"/>
  <c r="AC397" i="16"/>
  <c r="AA397" i="16"/>
  <c r="AB397" i="16" s="1"/>
  <c r="Q397" i="16"/>
  <c r="P397" i="16"/>
  <c r="N397" i="16"/>
  <c r="L397" i="16"/>
  <c r="M397" i="16" s="1"/>
  <c r="J397" i="16"/>
  <c r="K397" i="16" s="1"/>
  <c r="I397" i="16"/>
  <c r="AC396" i="16"/>
  <c r="AA396" i="16"/>
  <c r="AB396" i="16" s="1"/>
  <c r="Q396" i="16"/>
  <c r="P396" i="16"/>
  <c r="N396" i="16"/>
  <c r="L396" i="16"/>
  <c r="M396" i="16" s="1"/>
  <c r="J396" i="16"/>
  <c r="K396" i="16" s="1"/>
  <c r="I396" i="16"/>
  <c r="AC395" i="16"/>
  <c r="AA395" i="16"/>
  <c r="AB395" i="16" s="1"/>
  <c r="Q395" i="16"/>
  <c r="P395" i="16"/>
  <c r="N395" i="16"/>
  <c r="L395" i="16"/>
  <c r="M395" i="16" s="1"/>
  <c r="J395" i="16"/>
  <c r="K395" i="16" s="1"/>
  <c r="I395" i="16"/>
  <c r="AC394" i="16"/>
  <c r="AA394" i="16"/>
  <c r="AB394" i="16" s="1"/>
  <c r="Q394" i="16"/>
  <c r="P394" i="16"/>
  <c r="N394" i="16"/>
  <c r="L394" i="16"/>
  <c r="M394" i="16" s="1"/>
  <c r="J394" i="16"/>
  <c r="K394" i="16" s="1"/>
  <c r="I394" i="16"/>
  <c r="AC393" i="16"/>
  <c r="AA393" i="16"/>
  <c r="AB393" i="16" s="1"/>
  <c r="Q393" i="16"/>
  <c r="P393" i="16"/>
  <c r="N393" i="16"/>
  <c r="L393" i="16"/>
  <c r="M393" i="16" s="1"/>
  <c r="J393" i="16"/>
  <c r="K393" i="16" s="1"/>
  <c r="I393" i="16"/>
  <c r="AC392" i="16"/>
  <c r="AA392" i="16"/>
  <c r="AB392" i="16" s="1"/>
  <c r="Q392" i="16"/>
  <c r="P392" i="16"/>
  <c r="N392" i="16"/>
  <c r="L392" i="16"/>
  <c r="M392" i="16" s="1"/>
  <c r="J392" i="16"/>
  <c r="K392" i="16" s="1"/>
  <c r="I392" i="16"/>
  <c r="AC391" i="16"/>
  <c r="AA391" i="16"/>
  <c r="AB391" i="16" s="1"/>
  <c r="Q391" i="16"/>
  <c r="P391" i="16"/>
  <c r="N391" i="16"/>
  <c r="L391" i="16"/>
  <c r="M391" i="16" s="1"/>
  <c r="J391" i="16"/>
  <c r="K391" i="16" s="1"/>
  <c r="I391" i="16"/>
  <c r="AC390" i="16"/>
  <c r="AA390" i="16"/>
  <c r="AB390" i="16" s="1"/>
  <c r="Q390" i="16"/>
  <c r="P390" i="16"/>
  <c r="N390" i="16"/>
  <c r="L390" i="16"/>
  <c r="M390" i="16" s="1"/>
  <c r="J390" i="16"/>
  <c r="K390" i="16" s="1"/>
  <c r="I390" i="16"/>
  <c r="AC389" i="16"/>
  <c r="AA389" i="16"/>
  <c r="AB389" i="16" s="1"/>
  <c r="Q389" i="16"/>
  <c r="P389" i="16"/>
  <c r="N389" i="16"/>
  <c r="L389" i="16"/>
  <c r="M389" i="16" s="1"/>
  <c r="J389" i="16"/>
  <c r="K389" i="16" s="1"/>
  <c r="I389" i="16"/>
  <c r="AC388" i="16"/>
  <c r="AA388" i="16"/>
  <c r="AB388" i="16" s="1"/>
  <c r="Q388" i="16"/>
  <c r="P388" i="16"/>
  <c r="N388" i="16"/>
  <c r="L388" i="16"/>
  <c r="M388" i="16" s="1"/>
  <c r="J388" i="16"/>
  <c r="K388" i="16" s="1"/>
  <c r="I388" i="16"/>
  <c r="AC387" i="16"/>
  <c r="AA387" i="16"/>
  <c r="AB387" i="16" s="1"/>
  <c r="Q387" i="16"/>
  <c r="P387" i="16"/>
  <c r="N387" i="16"/>
  <c r="L387" i="16"/>
  <c r="M387" i="16" s="1"/>
  <c r="J387" i="16"/>
  <c r="K387" i="16" s="1"/>
  <c r="I387" i="16"/>
  <c r="AC386" i="16"/>
  <c r="AA386" i="16"/>
  <c r="AB386" i="16" s="1"/>
  <c r="Q386" i="16"/>
  <c r="P386" i="16"/>
  <c r="N386" i="16"/>
  <c r="L386" i="16"/>
  <c r="M386" i="16" s="1"/>
  <c r="J386" i="16"/>
  <c r="K386" i="16" s="1"/>
  <c r="I386" i="16"/>
  <c r="AC385" i="16"/>
  <c r="AA385" i="16"/>
  <c r="AB385" i="16" s="1"/>
  <c r="Q385" i="16"/>
  <c r="P385" i="16"/>
  <c r="N385" i="16"/>
  <c r="L385" i="16"/>
  <c r="M385" i="16" s="1"/>
  <c r="J385" i="16"/>
  <c r="K385" i="16" s="1"/>
  <c r="I385" i="16"/>
  <c r="AC384" i="16"/>
  <c r="AA384" i="16"/>
  <c r="AB384" i="16" s="1"/>
  <c r="Q384" i="16"/>
  <c r="P384" i="16"/>
  <c r="N384" i="16"/>
  <c r="L384" i="16"/>
  <c r="M384" i="16" s="1"/>
  <c r="J384" i="16"/>
  <c r="K384" i="16" s="1"/>
  <c r="I384" i="16"/>
  <c r="AC383" i="16"/>
  <c r="AA383" i="16"/>
  <c r="AB383" i="16" s="1"/>
  <c r="Q383" i="16"/>
  <c r="P383" i="16"/>
  <c r="N383" i="16"/>
  <c r="L383" i="16"/>
  <c r="M383" i="16" s="1"/>
  <c r="J383" i="16"/>
  <c r="K383" i="16" s="1"/>
  <c r="I383" i="16"/>
  <c r="AC382" i="16"/>
  <c r="AA382" i="16"/>
  <c r="AB382" i="16" s="1"/>
  <c r="Q382" i="16"/>
  <c r="P382" i="16"/>
  <c r="N382" i="16"/>
  <c r="L382" i="16"/>
  <c r="M382" i="16" s="1"/>
  <c r="J382" i="16"/>
  <c r="K382" i="16" s="1"/>
  <c r="I382" i="16"/>
  <c r="AC381" i="16"/>
  <c r="AA381" i="16"/>
  <c r="AB381" i="16" s="1"/>
  <c r="Q381" i="16"/>
  <c r="P381" i="16"/>
  <c r="N381" i="16"/>
  <c r="L381" i="16"/>
  <c r="M381" i="16" s="1"/>
  <c r="J381" i="16"/>
  <c r="K381" i="16" s="1"/>
  <c r="I381" i="16"/>
  <c r="AC380" i="16"/>
  <c r="AA380" i="16"/>
  <c r="AB380" i="16" s="1"/>
  <c r="Q380" i="16"/>
  <c r="P380" i="16"/>
  <c r="N380" i="16"/>
  <c r="L380" i="16"/>
  <c r="M380" i="16" s="1"/>
  <c r="J380" i="16"/>
  <c r="K380" i="16" s="1"/>
  <c r="I380" i="16"/>
  <c r="AC379" i="16"/>
  <c r="AA379" i="16"/>
  <c r="AB379" i="16" s="1"/>
  <c r="Q379" i="16"/>
  <c r="P379" i="16"/>
  <c r="N379" i="16"/>
  <c r="L379" i="16"/>
  <c r="M379" i="16" s="1"/>
  <c r="J379" i="16"/>
  <c r="K379" i="16" s="1"/>
  <c r="I379" i="16"/>
  <c r="AC378" i="16"/>
  <c r="AA378" i="16"/>
  <c r="AB378" i="16" s="1"/>
  <c r="Q378" i="16"/>
  <c r="P378" i="16"/>
  <c r="N378" i="16"/>
  <c r="L378" i="16"/>
  <c r="M378" i="16" s="1"/>
  <c r="J378" i="16"/>
  <c r="K378" i="16" s="1"/>
  <c r="I378" i="16"/>
  <c r="AC377" i="16"/>
  <c r="AA377" i="16"/>
  <c r="AB377" i="16" s="1"/>
  <c r="Q377" i="16"/>
  <c r="P377" i="16"/>
  <c r="N377" i="16"/>
  <c r="L377" i="16"/>
  <c r="M377" i="16" s="1"/>
  <c r="J377" i="16"/>
  <c r="K377" i="16" s="1"/>
  <c r="I377" i="16"/>
  <c r="AC376" i="16"/>
  <c r="AA376" i="16"/>
  <c r="AB376" i="16" s="1"/>
  <c r="Q376" i="16"/>
  <c r="P376" i="16"/>
  <c r="N376" i="16"/>
  <c r="L376" i="16"/>
  <c r="M376" i="16" s="1"/>
  <c r="J376" i="16"/>
  <c r="K376" i="16" s="1"/>
  <c r="I376" i="16"/>
  <c r="AC375" i="16"/>
  <c r="AA375" i="16"/>
  <c r="AB375" i="16" s="1"/>
  <c r="Q375" i="16"/>
  <c r="P375" i="16"/>
  <c r="N375" i="16"/>
  <c r="L375" i="16"/>
  <c r="M375" i="16" s="1"/>
  <c r="J375" i="16"/>
  <c r="K375" i="16" s="1"/>
  <c r="I375" i="16"/>
  <c r="AC374" i="16"/>
  <c r="AA374" i="16"/>
  <c r="AB374" i="16" s="1"/>
  <c r="Q374" i="16"/>
  <c r="P374" i="16"/>
  <c r="N374" i="16"/>
  <c r="L374" i="16"/>
  <c r="M374" i="16" s="1"/>
  <c r="J374" i="16"/>
  <c r="K374" i="16" s="1"/>
  <c r="I374" i="16"/>
  <c r="AC373" i="16"/>
  <c r="AA373" i="16"/>
  <c r="AB373" i="16" s="1"/>
  <c r="Q373" i="16"/>
  <c r="P373" i="16"/>
  <c r="N373" i="16"/>
  <c r="L373" i="16"/>
  <c r="M373" i="16" s="1"/>
  <c r="J373" i="16"/>
  <c r="K373" i="16" s="1"/>
  <c r="I373" i="16"/>
  <c r="AC372" i="16"/>
  <c r="AA372" i="16"/>
  <c r="AB372" i="16" s="1"/>
  <c r="Q372" i="16"/>
  <c r="P372" i="16"/>
  <c r="N372" i="16"/>
  <c r="L372" i="16"/>
  <c r="M372" i="16" s="1"/>
  <c r="J372" i="16"/>
  <c r="K372" i="16" s="1"/>
  <c r="I372" i="16"/>
  <c r="AC371" i="16"/>
  <c r="AA371" i="16"/>
  <c r="AB371" i="16" s="1"/>
  <c r="Q371" i="16"/>
  <c r="P371" i="16"/>
  <c r="N371" i="16"/>
  <c r="L371" i="16"/>
  <c r="M371" i="16" s="1"/>
  <c r="J371" i="16"/>
  <c r="K371" i="16" s="1"/>
  <c r="I371" i="16"/>
  <c r="AC370" i="16"/>
  <c r="AA370" i="16"/>
  <c r="AB370" i="16" s="1"/>
  <c r="Q370" i="16"/>
  <c r="P370" i="16"/>
  <c r="N370" i="16"/>
  <c r="L370" i="16"/>
  <c r="M370" i="16" s="1"/>
  <c r="J370" i="16"/>
  <c r="K370" i="16" s="1"/>
  <c r="I370" i="16"/>
  <c r="AC369" i="16"/>
  <c r="AA369" i="16"/>
  <c r="AB369" i="16" s="1"/>
  <c r="Q369" i="16"/>
  <c r="P369" i="16"/>
  <c r="N369" i="16"/>
  <c r="L369" i="16"/>
  <c r="M369" i="16" s="1"/>
  <c r="J369" i="16"/>
  <c r="K369" i="16" s="1"/>
  <c r="I369" i="16"/>
  <c r="AC368" i="16"/>
  <c r="AA368" i="16"/>
  <c r="AB368" i="16" s="1"/>
  <c r="Q368" i="16"/>
  <c r="P368" i="16"/>
  <c r="N368" i="16"/>
  <c r="L368" i="16"/>
  <c r="M368" i="16" s="1"/>
  <c r="J368" i="16"/>
  <c r="K368" i="16" s="1"/>
  <c r="I368" i="16"/>
  <c r="AC367" i="16"/>
  <c r="AA367" i="16"/>
  <c r="AB367" i="16" s="1"/>
  <c r="Q367" i="16"/>
  <c r="P367" i="16"/>
  <c r="N367" i="16"/>
  <c r="L367" i="16"/>
  <c r="M367" i="16" s="1"/>
  <c r="J367" i="16"/>
  <c r="K367" i="16" s="1"/>
  <c r="I367" i="16"/>
  <c r="AC366" i="16"/>
  <c r="AA366" i="16"/>
  <c r="AB366" i="16" s="1"/>
  <c r="Q366" i="16"/>
  <c r="P366" i="16"/>
  <c r="N366" i="16"/>
  <c r="L366" i="16"/>
  <c r="M366" i="16" s="1"/>
  <c r="J366" i="16"/>
  <c r="K366" i="16" s="1"/>
  <c r="I366" i="16"/>
  <c r="AC365" i="16"/>
  <c r="AA365" i="16"/>
  <c r="AB365" i="16" s="1"/>
  <c r="Q365" i="16"/>
  <c r="P365" i="16"/>
  <c r="N365" i="16"/>
  <c r="L365" i="16"/>
  <c r="M365" i="16" s="1"/>
  <c r="J365" i="16"/>
  <c r="K365" i="16" s="1"/>
  <c r="I365" i="16"/>
  <c r="AC364" i="16"/>
  <c r="AA364" i="16"/>
  <c r="AB364" i="16" s="1"/>
  <c r="Q364" i="16"/>
  <c r="P364" i="16"/>
  <c r="N364" i="16"/>
  <c r="L364" i="16"/>
  <c r="M364" i="16" s="1"/>
  <c r="J364" i="16"/>
  <c r="K364" i="16" s="1"/>
  <c r="I364" i="16"/>
  <c r="AC363" i="16"/>
  <c r="AA363" i="16"/>
  <c r="AB363" i="16" s="1"/>
  <c r="Q363" i="16"/>
  <c r="P363" i="16"/>
  <c r="N363" i="16"/>
  <c r="L363" i="16"/>
  <c r="M363" i="16" s="1"/>
  <c r="J363" i="16"/>
  <c r="K363" i="16" s="1"/>
  <c r="I363" i="16"/>
  <c r="AC362" i="16"/>
  <c r="AA362" i="16"/>
  <c r="AB362" i="16" s="1"/>
  <c r="Q362" i="16"/>
  <c r="P362" i="16"/>
  <c r="N362" i="16"/>
  <c r="L362" i="16"/>
  <c r="M362" i="16" s="1"/>
  <c r="J362" i="16"/>
  <c r="K362" i="16" s="1"/>
  <c r="I362" i="16"/>
  <c r="AC361" i="16"/>
  <c r="AA361" i="16"/>
  <c r="AB361" i="16" s="1"/>
  <c r="Q361" i="16"/>
  <c r="P361" i="16"/>
  <c r="N361" i="16"/>
  <c r="L361" i="16"/>
  <c r="M361" i="16" s="1"/>
  <c r="J361" i="16"/>
  <c r="K361" i="16" s="1"/>
  <c r="I361" i="16"/>
  <c r="AC360" i="16"/>
  <c r="AA360" i="16"/>
  <c r="AB360" i="16" s="1"/>
  <c r="Q360" i="16"/>
  <c r="P360" i="16"/>
  <c r="N360" i="16"/>
  <c r="L360" i="16"/>
  <c r="M360" i="16" s="1"/>
  <c r="J360" i="16"/>
  <c r="K360" i="16" s="1"/>
  <c r="I360" i="16"/>
  <c r="AC359" i="16"/>
  <c r="AA359" i="16"/>
  <c r="AB359" i="16" s="1"/>
  <c r="Q359" i="16"/>
  <c r="P359" i="16"/>
  <c r="N359" i="16"/>
  <c r="L359" i="16"/>
  <c r="M359" i="16" s="1"/>
  <c r="J359" i="16"/>
  <c r="K359" i="16" s="1"/>
  <c r="I359" i="16"/>
  <c r="AC358" i="16"/>
  <c r="AA358" i="16"/>
  <c r="AB358" i="16" s="1"/>
  <c r="Q358" i="16"/>
  <c r="P358" i="16"/>
  <c r="N358" i="16"/>
  <c r="L358" i="16"/>
  <c r="M358" i="16" s="1"/>
  <c r="J358" i="16"/>
  <c r="K358" i="16" s="1"/>
  <c r="I358" i="16"/>
  <c r="AC357" i="16"/>
  <c r="AA357" i="16"/>
  <c r="AB357" i="16" s="1"/>
  <c r="Q357" i="16"/>
  <c r="P357" i="16"/>
  <c r="N357" i="16"/>
  <c r="L357" i="16"/>
  <c r="M357" i="16" s="1"/>
  <c r="J357" i="16"/>
  <c r="K357" i="16" s="1"/>
  <c r="I357" i="16"/>
  <c r="AC356" i="16"/>
  <c r="AA356" i="16"/>
  <c r="AB356" i="16" s="1"/>
  <c r="Q356" i="16"/>
  <c r="P356" i="16"/>
  <c r="N356" i="16"/>
  <c r="L356" i="16"/>
  <c r="M356" i="16" s="1"/>
  <c r="J356" i="16"/>
  <c r="K356" i="16" s="1"/>
  <c r="I356" i="16"/>
  <c r="AC355" i="16"/>
  <c r="AA355" i="16"/>
  <c r="AB355" i="16" s="1"/>
  <c r="Q355" i="16"/>
  <c r="P355" i="16"/>
  <c r="N355" i="16"/>
  <c r="L355" i="16"/>
  <c r="M355" i="16" s="1"/>
  <c r="J355" i="16"/>
  <c r="K355" i="16" s="1"/>
  <c r="I355" i="16"/>
  <c r="AC354" i="16"/>
  <c r="AA354" i="16"/>
  <c r="AB354" i="16" s="1"/>
  <c r="Q354" i="16"/>
  <c r="P354" i="16"/>
  <c r="N354" i="16"/>
  <c r="L354" i="16"/>
  <c r="M354" i="16" s="1"/>
  <c r="J354" i="16"/>
  <c r="K354" i="16" s="1"/>
  <c r="I354" i="16"/>
  <c r="AC353" i="16"/>
  <c r="AA353" i="16"/>
  <c r="AB353" i="16" s="1"/>
  <c r="Q353" i="16"/>
  <c r="P353" i="16"/>
  <c r="N353" i="16"/>
  <c r="L353" i="16"/>
  <c r="M353" i="16" s="1"/>
  <c r="J353" i="16"/>
  <c r="K353" i="16" s="1"/>
  <c r="I353" i="16"/>
  <c r="AC352" i="16"/>
  <c r="AA352" i="16"/>
  <c r="AB352" i="16" s="1"/>
  <c r="Q352" i="16"/>
  <c r="P352" i="16"/>
  <c r="N352" i="16"/>
  <c r="L352" i="16"/>
  <c r="M352" i="16" s="1"/>
  <c r="J352" i="16"/>
  <c r="K352" i="16" s="1"/>
  <c r="I352" i="16"/>
  <c r="AC351" i="16"/>
  <c r="AA351" i="16"/>
  <c r="AB351" i="16" s="1"/>
  <c r="Q351" i="16"/>
  <c r="P351" i="16"/>
  <c r="N351" i="16"/>
  <c r="L351" i="16"/>
  <c r="M351" i="16" s="1"/>
  <c r="J351" i="16"/>
  <c r="K351" i="16" s="1"/>
  <c r="I351" i="16"/>
  <c r="AC350" i="16"/>
  <c r="AA350" i="16"/>
  <c r="AB350" i="16" s="1"/>
  <c r="Q350" i="16"/>
  <c r="P350" i="16"/>
  <c r="N350" i="16"/>
  <c r="L350" i="16"/>
  <c r="M350" i="16" s="1"/>
  <c r="J350" i="16"/>
  <c r="K350" i="16" s="1"/>
  <c r="I350" i="16"/>
  <c r="AC349" i="16"/>
  <c r="AA349" i="16"/>
  <c r="AB349" i="16" s="1"/>
  <c r="Q349" i="16"/>
  <c r="P349" i="16"/>
  <c r="N349" i="16"/>
  <c r="L349" i="16"/>
  <c r="M349" i="16" s="1"/>
  <c r="J349" i="16"/>
  <c r="K349" i="16" s="1"/>
  <c r="I349" i="16"/>
  <c r="AC348" i="16"/>
  <c r="AA348" i="16"/>
  <c r="AB348" i="16" s="1"/>
  <c r="Q348" i="16"/>
  <c r="P348" i="16"/>
  <c r="N348" i="16"/>
  <c r="L348" i="16"/>
  <c r="M348" i="16" s="1"/>
  <c r="J348" i="16"/>
  <c r="K348" i="16" s="1"/>
  <c r="I348" i="16"/>
  <c r="AC347" i="16"/>
  <c r="AA347" i="16"/>
  <c r="AB347" i="16" s="1"/>
  <c r="Q347" i="16"/>
  <c r="P347" i="16"/>
  <c r="N347" i="16"/>
  <c r="L347" i="16"/>
  <c r="M347" i="16" s="1"/>
  <c r="J347" i="16"/>
  <c r="K347" i="16" s="1"/>
  <c r="I347" i="16"/>
  <c r="AC346" i="16"/>
  <c r="AA346" i="16"/>
  <c r="AB346" i="16" s="1"/>
  <c r="Q346" i="16"/>
  <c r="P346" i="16"/>
  <c r="N346" i="16"/>
  <c r="L346" i="16"/>
  <c r="M346" i="16" s="1"/>
  <c r="J346" i="16"/>
  <c r="K346" i="16" s="1"/>
  <c r="I346" i="16"/>
  <c r="AC345" i="16"/>
  <c r="AA345" i="16"/>
  <c r="AB345" i="16" s="1"/>
  <c r="Q345" i="16"/>
  <c r="P345" i="16"/>
  <c r="N345" i="16"/>
  <c r="L345" i="16"/>
  <c r="M345" i="16" s="1"/>
  <c r="J345" i="16"/>
  <c r="K345" i="16" s="1"/>
  <c r="I345" i="16"/>
  <c r="AC344" i="16"/>
  <c r="AA344" i="16"/>
  <c r="AB344" i="16" s="1"/>
  <c r="Q344" i="16"/>
  <c r="P344" i="16"/>
  <c r="N344" i="16"/>
  <c r="L344" i="16"/>
  <c r="M344" i="16" s="1"/>
  <c r="J344" i="16"/>
  <c r="K344" i="16" s="1"/>
  <c r="I344" i="16"/>
  <c r="AC343" i="16"/>
  <c r="AA343" i="16"/>
  <c r="AB343" i="16" s="1"/>
  <c r="Q343" i="16"/>
  <c r="P343" i="16"/>
  <c r="N343" i="16"/>
  <c r="L343" i="16"/>
  <c r="M343" i="16" s="1"/>
  <c r="J343" i="16"/>
  <c r="K343" i="16" s="1"/>
  <c r="I343" i="16"/>
  <c r="AC342" i="16"/>
  <c r="AA342" i="16"/>
  <c r="AB342" i="16" s="1"/>
  <c r="Q342" i="16"/>
  <c r="P342" i="16"/>
  <c r="N342" i="16"/>
  <c r="L342" i="16"/>
  <c r="M342" i="16" s="1"/>
  <c r="J342" i="16"/>
  <c r="K342" i="16" s="1"/>
  <c r="I342" i="16"/>
  <c r="AC341" i="16"/>
  <c r="AA341" i="16"/>
  <c r="AB341" i="16" s="1"/>
  <c r="Q341" i="16"/>
  <c r="P341" i="16"/>
  <c r="N341" i="16"/>
  <c r="L341" i="16"/>
  <c r="M341" i="16" s="1"/>
  <c r="J341" i="16"/>
  <c r="K341" i="16" s="1"/>
  <c r="I341" i="16"/>
  <c r="AC340" i="16"/>
  <c r="AA340" i="16"/>
  <c r="AB340" i="16" s="1"/>
  <c r="Q340" i="16"/>
  <c r="P340" i="16"/>
  <c r="N340" i="16"/>
  <c r="L340" i="16"/>
  <c r="M340" i="16" s="1"/>
  <c r="J340" i="16"/>
  <c r="K340" i="16" s="1"/>
  <c r="I340" i="16"/>
  <c r="AC339" i="16"/>
  <c r="AA339" i="16"/>
  <c r="AB339" i="16" s="1"/>
  <c r="Q339" i="16"/>
  <c r="P339" i="16"/>
  <c r="N339" i="16"/>
  <c r="L339" i="16"/>
  <c r="M339" i="16" s="1"/>
  <c r="J339" i="16"/>
  <c r="K339" i="16" s="1"/>
  <c r="I339" i="16"/>
  <c r="AC338" i="16"/>
  <c r="AA338" i="16"/>
  <c r="AB338" i="16" s="1"/>
  <c r="Q338" i="16"/>
  <c r="P338" i="16"/>
  <c r="N338" i="16"/>
  <c r="L338" i="16"/>
  <c r="M338" i="16" s="1"/>
  <c r="J338" i="16"/>
  <c r="K338" i="16" s="1"/>
  <c r="I338" i="16"/>
  <c r="AC337" i="16"/>
  <c r="AA337" i="16"/>
  <c r="AB337" i="16" s="1"/>
  <c r="Q337" i="16"/>
  <c r="P337" i="16"/>
  <c r="N337" i="16"/>
  <c r="L337" i="16"/>
  <c r="M337" i="16" s="1"/>
  <c r="J337" i="16"/>
  <c r="K337" i="16" s="1"/>
  <c r="I337" i="16"/>
  <c r="AC336" i="16"/>
  <c r="AA336" i="16"/>
  <c r="AB336" i="16" s="1"/>
  <c r="Q336" i="16"/>
  <c r="P336" i="16"/>
  <c r="N336" i="16"/>
  <c r="L336" i="16"/>
  <c r="M336" i="16" s="1"/>
  <c r="J336" i="16"/>
  <c r="K336" i="16" s="1"/>
  <c r="I336" i="16"/>
  <c r="AC335" i="16"/>
  <c r="AA335" i="16"/>
  <c r="AB335" i="16" s="1"/>
  <c r="Q335" i="16"/>
  <c r="P335" i="16"/>
  <c r="N335" i="16"/>
  <c r="L335" i="16"/>
  <c r="M335" i="16" s="1"/>
  <c r="J335" i="16"/>
  <c r="K335" i="16" s="1"/>
  <c r="I335" i="16"/>
  <c r="AC334" i="16"/>
  <c r="AA334" i="16"/>
  <c r="AB334" i="16" s="1"/>
  <c r="Q334" i="16"/>
  <c r="P334" i="16"/>
  <c r="N334" i="16"/>
  <c r="L334" i="16"/>
  <c r="M334" i="16" s="1"/>
  <c r="J334" i="16"/>
  <c r="K334" i="16" s="1"/>
  <c r="I334" i="16"/>
  <c r="AC333" i="16"/>
  <c r="AA333" i="16"/>
  <c r="AB333" i="16" s="1"/>
  <c r="Q333" i="16"/>
  <c r="P333" i="16"/>
  <c r="N333" i="16"/>
  <c r="L333" i="16"/>
  <c r="M333" i="16" s="1"/>
  <c r="J333" i="16"/>
  <c r="K333" i="16" s="1"/>
  <c r="I333" i="16"/>
  <c r="AC332" i="16"/>
  <c r="AA332" i="16"/>
  <c r="AB332" i="16" s="1"/>
  <c r="Q332" i="16"/>
  <c r="P332" i="16"/>
  <c r="N332" i="16"/>
  <c r="L332" i="16"/>
  <c r="M332" i="16" s="1"/>
  <c r="J332" i="16"/>
  <c r="K332" i="16" s="1"/>
  <c r="I332" i="16"/>
  <c r="AC331" i="16"/>
  <c r="AA331" i="16"/>
  <c r="AB331" i="16" s="1"/>
  <c r="Q331" i="16"/>
  <c r="P331" i="16"/>
  <c r="N331" i="16"/>
  <c r="L331" i="16"/>
  <c r="M331" i="16" s="1"/>
  <c r="J331" i="16"/>
  <c r="K331" i="16" s="1"/>
  <c r="I331" i="16"/>
  <c r="AC330" i="16"/>
  <c r="AA330" i="16"/>
  <c r="AB330" i="16" s="1"/>
  <c r="Q330" i="16"/>
  <c r="P330" i="16"/>
  <c r="N330" i="16"/>
  <c r="L330" i="16"/>
  <c r="M330" i="16" s="1"/>
  <c r="J330" i="16"/>
  <c r="K330" i="16" s="1"/>
  <c r="I330" i="16"/>
  <c r="AC329" i="16"/>
  <c r="AA329" i="16"/>
  <c r="AB329" i="16" s="1"/>
  <c r="Q329" i="16"/>
  <c r="P329" i="16"/>
  <c r="N329" i="16"/>
  <c r="L329" i="16"/>
  <c r="M329" i="16" s="1"/>
  <c r="J329" i="16"/>
  <c r="K329" i="16" s="1"/>
  <c r="I329" i="16"/>
  <c r="AC328" i="16"/>
  <c r="AA328" i="16"/>
  <c r="AB328" i="16" s="1"/>
  <c r="Q328" i="16"/>
  <c r="P328" i="16"/>
  <c r="N328" i="16"/>
  <c r="L328" i="16"/>
  <c r="M328" i="16" s="1"/>
  <c r="J328" i="16"/>
  <c r="K328" i="16" s="1"/>
  <c r="I328" i="16"/>
  <c r="AC327" i="16"/>
  <c r="AA327" i="16"/>
  <c r="AB327" i="16" s="1"/>
  <c r="Q327" i="16"/>
  <c r="P327" i="16"/>
  <c r="N327" i="16"/>
  <c r="L327" i="16"/>
  <c r="M327" i="16" s="1"/>
  <c r="J327" i="16"/>
  <c r="K327" i="16" s="1"/>
  <c r="I327" i="16"/>
  <c r="AC326" i="16"/>
  <c r="AA326" i="16"/>
  <c r="AB326" i="16" s="1"/>
  <c r="Q326" i="16"/>
  <c r="P326" i="16"/>
  <c r="N326" i="16"/>
  <c r="L326" i="16"/>
  <c r="M326" i="16" s="1"/>
  <c r="J326" i="16"/>
  <c r="K326" i="16" s="1"/>
  <c r="I326" i="16"/>
  <c r="AC325" i="16"/>
  <c r="AA325" i="16"/>
  <c r="AB325" i="16" s="1"/>
  <c r="Q325" i="16"/>
  <c r="P325" i="16"/>
  <c r="N325" i="16"/>
  <c r="L325" i="16"/>
  <c r="M325" i="16" s="1"/>
  <c r="J325" i="16"/>
  <c r="K325" i="16" s="1"/>
  <c r="I325" i="16"/>
  <c r="AC324" i="16"/>
  <c r="AA324" i="16"/>
  <c r="AB324" i="16" s="1"/>
  <c r="Q324" i="16"/>
  <c r="P324" i="16"/>
  <c r="N324" i="16"/>
  <c r="L324" i="16"/>
  <c r="M324" i="16" s="1"/>
  <c r="J324" i="16"/>
  <c r="K324" i="16" s="1"/>
  <c r="I324" i="16"/>
  <c r="AC323" i="16"/>
  <c r="AA323" i="16"/>
  <c r="AB323" i="16" s="1"/>
  <c r="Q323" i="16"/>
  <c r="P323" i="16"/>
  <c r="N323" i="16"/>
  <c r="L323" i="16"/>
  <c r="M323" i="16" s="1"/>
  <c r="J323" i="16"/>
  <c r="K323" i="16" s="1"/>
  <c r="I323" i="16"/>
  <c r="AC322" i="16"/>
  <c r="AA322" i="16"/>
  <c r="AB322" i="16" s="1"/>
  <c r="Q322" i="16"/>
  <c r="P322" i="16"/>
  <c r="N322" i="16"/>
  <c r="L322" i="16"/>
  <c r="M322" i="16" s="1"/>
  <c r="J322" i="16"/>
  <c r="K322" i="16" s="1"/>
  <c r="I322" i="16"/>
  <c r="AC321" i="16"/>
  <c r="AA321" i="16"/>
  <c r="AB321" i="16" s="1"/>
  <c r="Q321" i="16"/>
  <c r="P321" i="16"/>
  <c r="N321" i="16"/>
  <c r="L321" i="16"/>
  <c r="M321" i="16" s="1"/>
  <c r="J321" i="16"/>
  <c r="K321" i="16" s="1"/>
  <c r="I321" i="16"/>
  <c r="AC320" i="16"/>
  <c r="AA320" i="16"/>
  <c r="AB320" i="16" s="1"/>
  <c r="Q320" i="16"/>
  <c r="P320" i="16"/>
  <c r="N320" i="16"/>
  <c r="L320" i="16"/>
  <c r="M320" i="16" s="1"/>
  <c r="J320" i="16"/>
  <c r="K320" i="16" s="1"/>
  <c r="I320" i="16"/>
  <c r="AC319" i="16"/>
  <c r="AA319" i="16"/>
  <c r="AB319" i="16" s="1"/>
  <c r="Q319" i="16"/>
  <c r="P319" i="16"/>
  <c r="N319" i="16"/>
  <c r="L319" i="16"/>
  <c r="M319" i="16" s="1"/>
  <c r="J319" i="16"/>
  <c r="K319" i="16" s="1"/>
  <c r="I319" i="16"/>
  <c r="AC318" i="16"/>
  <c r="AA318" i="16"/>
  <c r="AB318" i="16" s="1"/>
  <c r="Q318" i="16"/>
  <c r="P318" i="16"/>
  <c r="N318" i="16"/>
  <c r="L318" i="16"/>
  <c r="M318" i="16" s="1"/>
  <c r="J318" i="16"/>
  <c r="K318" i="16" s="1"/>
  <c r="I318" i="16"/>
  <c r="AC317" i="16"/>
  <c r="AA317" i="16"/>
  <c r="AB317" i="16" s="1"/>
  <c r="Q317" i="16"/>
  <c r="P317" i="16"/>
  <c r="N317" i="16"/>
  <c r="L317" i="16"/>
  <c r="M317" i="16" s="1"/>
  <c r="J317" i="16"/>
  <c r="K317" i="16" s="1"/>
  <c r="I317" i="16"/>
  <c r="AC316" i="16"/>
  <c r="AA316" i="16"/>
  <c r="AB316" i="16" s="1"/>
  <c r="Q316" i="16"/>
  <c r="P316" i="16"/>
  <c r="N316" i="16"/>
  <c r="L316" i="16"/>
  <c r="M316" i="16" s="1"/>
  <c r="J316" i="16"/>
  <c r="K316" i="16" s="1"/>
  <c r="I316" i="16"/>
  <c r="AC315" i="16"/>
  <c r="AA315" i="16"/>
  <c r="AB315" i="16" s="1"/>
  <c r="Q315" i="16"/>
  <c r="P315" i="16"/>
  <c r="N315" i="16"/>
  <c r="L315" i="16"/>
  <c r="M315" i="16" s="1"/>
  <c r="J315" i="16"/>
  <c r="K315" i="16" s="1"/>
  <c r="I315" i="16"/>
  <c r="AC314" i="16"/>
  <c r="AA314" i="16"/>
  <c r="AB314" i="16" s="1"/>
  <c r="Q314" i="16"/>
  <c r="P314" i="16"/>
  <c r="N314" i="16"/>
  <c r="L314" i="16"/>
  <c r="M314" i="16" s="1"/>
  <c r="J314" i="16"/>
  <c r="K314" i="16" s="1"/>
  <c r="I314" i="16"/>
  <c r="AC313" i="16"/>
  <c r="AA313" i="16"/>
  <c r="AB313" i="16" s="1"/>
  <c r="Q313" i="16"/>
  <c r="P313" i="16"/>
  <c r="N313" i="16"/>
  <c r="L313" i="16"/>
  <c r="M313" i="16" s="1"/>
  <c r="J313" i="16"/>
  <c r="K313" i="16" s="1"/>
  <c r="I313" i="16"/>
  <c r="AC312" i="16"/>
  <c r="AA312" i="16"/>
  <c r="AB312" i="16" s="1"/>
  <c r="Q312" i="16"/>
  <c r="P312" i="16"/>
  <c r="N312" i="16"/>
  <c r="L312" i="16"/>
  <c r="M312" i="16" s="1"/>
  <c r="J312" i="16"/>
  <c r="K312" i="16" s="1"/>
  <c r="I312" i="16"/>
  <c r="AC311" i="16"/>
  <c r="AA311" i="16"/>
  <c r="AB311" i="16" s="1"/>
  <c r="Q311" i="16"/>
  <c r="P311" i="16"/>
  <c r="N311" i="16"/>
  <c r="L311" i="16"/>
  <c r="M311" i="16" s="1"/>
  <c r="J311" i="16"/>
  <c r="K311" i="16" s="1"/>
  <c r="I311" i="16"/>
  <c r="AC310" i="16"/>
  <c r="AA310" i="16"/>
  <c r="AB310" i="16" s="1"/>
  <c r="Q310" i="16"/>
  <c r="P310" i="16"/>
  <c r="N310" i="16"/>
  <c r="L310" i="16"/>
  <c r="M310" i="16" s="1"/>
  <c r="J310" i="16"/>
  <c r="K310" i="16" s="1"/>
  <c r="I310" i="16"/>
  <c r="AC309" i="16"/>
  <c r="AA309" i="16"/>
  <c r="AB309" i="16" s="1"/>
  <c r="Q309" i="16"/>
  <c r="P309" i="16"/>
  <c r="N309" i="16"/>
  <c r="L309" i="16"/>
  <c r="M309" i="16" s="1"/>
  <c r="J309" i="16"/>
  <c r="K309" i="16" s="1"/>
  <c r="I309" i="16"/>
  <c r="AC308" i="16"/>
  <c r="AA308" i="16"/>
  <c r="AB308" i="16" s="1"/>
  <c r="Q308" i="16"/>
  <c r="P308" i="16"/>
  <c r="N308" i="16"/>
  <c r="L308" i="16"/>
  <c r="M308" i="16" s="1"/>
  <c r="J308" i="16"/>
  <c r="K308" i="16" s="1"/>
  <c r="I308" i="16"/>
  <c r="AC307" i="16"/>
  <c r="AA307" i="16"/>
  <c r="AB307" i="16" s="1"/>
  <c r="Q307" i="16"/>
  <c r="P307" i="16"/>
  <c r="N307" i="16"/>
  <c r="L307" i="16"/>
  <c r="M307" i="16" s="1"/>
  <c r="J307" i="16"/>
  <c r="K307" i="16" s="1"/>
  <c r="I307" i="16"/>
  <c r="AC306" i="16"/>
  <c r="AA306" i="16"/>
  <c r="AB306" i="16" s="1"/>
  <c r="Q306" i="16"/>
  <c r="P306" i="16"/>
  <c r="N306" i="16"/>
  <c r="L306" i="16"/>
  <c r="M306" i="16" s="1"/>
  <c r="J306" i="16"/>
  <c r="K306" i="16" s="1"/>
  <c r="I306" i="16"/>
  <c r="AC305" i="16"/>
  <c r="AA305" i="16"/>
  <c r="AB305" i="16" s="1"/>
  <c r="Q305" i="16"/>
  <c r="P305" i="16"/>
  <c r="N305" i="16"/>
  <c r="L305" i="16"/>
  <c r="M305" i="16" s="1"/>
  <c r="J305" i="16"/>
  <c r="K305" i="16" s="1"/>
  <c r="I305" i="16"/>
  <c r="AC304" i="16"/>
  <c r="AA304" i="16"/>
  <c r="AB304" i="16" s="1"/>
  <c r="Q304" i="16"/>
  <c r="P304" i="16"/>
  <c r="N304" i="16"/>
  <c r="L304" i="16"/>
  <c r="M304" i="16" s="1"/>
  <c r="J304" i="16"/>
  <c r="K304" i="16" s="1"/>
  <c r="I304" i="16"/>
  <c r="AC303" i="16"/>
  <c r="AA303" i="16"/>
  <c r="AB303" i="16" s="1"/>
  <c r="Q303" i="16"/>
  <c r="P303" i="16"/>
  <c r="N303" i="16"/>
  <c r="L303" i="16"/>
  <c r="M303" i="16" s="1"/>
  <c r="J303" i="16"/>
  <c r="K303" i="16" s="1"/>
  <c r="I303" i="16"/>
  <c r="AC302" i="16"/>
  <c r="AA302" i="16"/>
  <c r="AB302" i="16" s="1"/>
  <c r="Q302" i="16"/>
  <c r="P302" i="16"/>
  <c r="N302" i="16"/>
  <c r="L302" i="16"/>
  <c r="M302" i="16" s="1"/>
  <c r="J302" i="16"/>
  <c r="K302" i="16" s="1"/>
  <c r="I302" i="16"/>
  <c r="AC301" i="16"/>
  <c r="AA301" i="16"/>
  <c r="AB301" i="16" s="1"/>
  <c r="Q301" i="16"/>
  <c r="P301" i="16"/>
  <c r="N301" i="16"/>
  <c r="L301" i="16"/>
  <c r="M301" i="16" s="1"/>
  <c r="J301" i="16"/>
  <c r="K301" i="16" s="1"/>
  <c r="I301" i="16"/>
  <c r="AC300" i="16"/>
  <c r="AA300" i="16"/>
  <c r="AB300" i="16" s="1"/>
  <c r="Q300" i="16"/>
  <c r="P300" i="16"/>
  <c r="N300" i="16"/>
  <c r="L300" i="16"/>
  <c r="M300" i="16" s="1"/>
  <c r="J300" i="16"/>
  <c r="K300" i="16" s="1"/>
  <c r="I300" i="16"/>
  <c r="AC299" i="16"/>
  <c r="AA299" i="16"/>
  <c r="AB299" i="16" s="1"/>
  <c r="Q299" i="16"/>
  <c r="P299" i="16"/>
  <c r="N299" i="16"/>
  <c r="L299" i="16"/>
  <c r="M299" i="16" s="1"/>
  <c r="J299" i="16"/>
  <c r="K299" i="16" s="1"/>
  <c r="I299" i="16"/>
  <c r="AC298" i="16"/>
  <c r="AA298" i="16"/>
  <c r="AB298" i="16" s="1"/>
  <c r="Q298" i="16"/>
  <c r="P298" i="16"/>
  <c r="N298" i="16"/>
  <c r="L298" i="16"/>
  <c r="M298" i="16" s="1"/>
  <c r="J298" i="16"/>
  <c r="K298" i="16" s="1"/>
  <c r="I298" i="16"/>
  <c r="AC297" i="16"/>
  <c r="AA297" i="16"/>
  <c r="AB297" i="16" s="1"/>
  <c r="Q297" i="16"/>
  <c r="P297" i="16"/>
  <c r="N297" i="16"/>
  <c r="L297" i="16"/>
  <c r="M297" i="16" s="1"/>
  <c r="J297" i="16"/>
  <c r="K297" i="16" s="1"/>
  <c r="I297" i="16"/>
  <c r="AC296" i="16"/>
  <c r="AA296" i="16"/>
  <c r="AB296" i="16" s="1"/>
  <c r="Q296" i="16"/>
  <c r="P296" i="16"/>
  <c r="N296" i="16"/>
  <c r="L296" i="16"/>
  <c r="M296" i="16" s="1"/>
  <c r="J296" i="16"/>
  <c r="K296" i="16" s="1"/>
  <c r="I296" i="16"/>
  <c r="AC295" i="16"/>
  <c r="AA295" i="16"/>
  <c r="AB295" i="16" s="1"/>
  <c r="Q295" i="16"/>
  <c r="P295" i="16"/>
  <c r="N295" i="16"/>
  <c r="L295" i="16"/>
  <c r="M295" i="16" s="1"/>
  <c r="J295" i="16"/>
  <c r="K295" i="16" s="1"/>
  <c r="I295" i="16"/>
  <c r="AC294" i="16"/>
  <c r="AA294" i="16"/>
  <c r="AB294" i="16" s="1"/>
  <c r="Q294" i="16"/>
  <c r="P294" i="16"/>
  <c r="N294" i="16"/>
  <c r="L294" i="16"/>
  <c r="M294" i="16" s="1"/>
  <c r="J294" i="16"/>
  <c r="K294" i="16" s="1"/>
  <c r="I294" i="16"/>
  <c r="AC293" i="16"/>
  <c r="AA293" i="16"/>
  <c r="AB293" i="16" s="1"/>
  <c r="Q293" i="16"/>
  <c r="P293" i="16"/>
  <c r="N293" i="16"/>
  <c r="L293" i="16"/>
  <c r="M293" i="16" s="1"/>
  <c r="J293" i="16"/>
  <c r="K293" i="16" s="1"/>
  <c r="I293" i="16"/>
  <c r="AC292" i="16"/>
  <c r="AA292" i="16"/>
  <c r="AB292" i="16" s="1"/>
  <c r="Q292" i="16"/>
  <c r="P292" i="16"/>
  <c r="N292" i="16"/>
  <c r="L292" i="16"/>
  <c r="M292" i="16" s="1"/>
  <c r="J292" i="16"/>
  <c r="K292" i="16" s="1"/>
  <c r="I292" i="16"/>
  <c r="AC291" i="16"/>
  <c r="AA291" i="16"/>
  <c r="AB291" i="16" s="1"/>
  <c r="Q291" i="16"/>
  <c r="P291" i="16"/>
  <c r="N291" i="16"/>
  <c r="L291" i="16"/>
  <c r="M291" i="16" s="1"/>
  <c r="J291" i="16"/>
  <c r="K291" i="16" s="1"/>
  <c r="I291" i="16"/>
  <c r="AC290" i="16"/>
  <c r="AA290" i="16"/>
  <c r="AB290" i="16" s="1"/>
  <c r="Q290" i="16"/>
  <c r="P290" i="16"/>
  <c r="N290" i="16"/>
  <c r="L290" i="16"/>
  <c r="M290" i="16" s="1"/>
  <c r="J290" i="16"/>
  <c r="K290" i="16" s="1"/>
  <c r="I290" i="16"/>
  <c r="AC289" i="16"/>
  <c r="AA289" i="16"/>
  <c r="AB289" i="16" s="1"/>
  <c r="Q289" i="16"/>
  <c r="P289" i="16"/>
  <c r="N289" i="16"/>
  <c r="L289" i="16"/>
  <c r="M289" i="16" s="1"/>
  <c r="J289" i="16"/>
  <c r="K289" i="16" s="1"/>
  <c r="I289" i="16"/>
  <c r="AC288" i="16"/>
  <c r="AA288" i="16"/>
  <c r="AB288" i="16" s="1"/>
  <c r="Q288" i="16"/>
  <c r="P288" i="16"/>
  <c r="N288" i="16"/>
  <c r="L288" i="16"/>
  <c r="M288" i="16" s="1"/>
  <c r="J288" i="16"/>
  <c r="K288" i="16" s="1"/>
  <c r="I288" i="16"/>
  <c r="AC287" i="16"/>
  <c r="AA287" i="16"/>
  <c r="AB287" i="16" s="1"/>
  <c r="Q287" i="16"/>
  <c r="P287" i="16"/>
  <c r="N287" i="16"/>
  <c r="L287" i="16"/>
  <c r="M287" i="16" s="1"/>
  <c r="J287" i="16"/>
  <c r="K287" i="16" s="1"/>
  <c r="I287" i="16"/>
  <c r="AC286" i="16"/>
  <c r="AA286" i="16"/>
  <c r="AB286" i="16" s="1"/>
  <c r="Q286" i="16"/>
  <c r="P286" i="16"/>
  <c r="N286" i="16"/>
  <c r="L286" i="16"/>
  <c r="M286" i="16" s="1"/>
  <c r="J286" i="16"/>
  <c r="K286" i="16" s="1"/>
  <c r="I286" i="16"/>
  <c r="AC285" i="16"/>
  <c r="AA285" i="16"/>
  <c r="AB285" i="16" s="1"/>
  <c r="Q285" i="16"/>
  <c r="P285" i="16"/>
  <c r="N285" i="16"/>
  <c r="L285" i="16"/>
  <c r="M285" i="16" s="1"/>
  <c r="J285" i="16"/>
  <c r="K285" i="16" s="1"/>
  <c r="I285" i="16"/>
  <c r="AC284" i="16"/>
  <c r="AA284" i="16"/>
  <c r="AB284" i="16" s="1"/>
  <c r="Q284" i="16"/>
  <c r="P284" i="16"/>
  <c r="N284" i="16"/>
  <c r="L284" i="16"/>
  <c r="M284" i="16" s="1"/>
  <c r="J284" i="16"/>
  <c r="K284" i="16" s="1"/>
  <c r="I284" i="16"/>
  <c r="AC283" i="16"/>
  <c r="AA283" i="16"/>
  <c r="AB283" i="16" s="1"/>
  <c r="Q283" i="16"/>
  <c r="P283" i="16"/>
  <c r="N283" i="16"/>
  <c r="L283" i="16"/>
  <c r="M283" i="16" s="1"/>
  <c r="J283" i="16"/>
  <c r="K283" i="16" s="1"/>
  <c r="I283" i="16"/>
  <c r="AC282" i="16"/>
  <c r="AA282" i="16"/>
  <c r="AB282" i="16" s="1"/>
  <c r="Q282" i="16"/>
  <c r="P282" i="16"/>
  <c r="N282" i="16"/>
  <c r="L282" i="16"/>
  <c r="M282" i="16" s="1"/>
  <c r="J282" i="16"/>
  <c r="K282" i="16" s="1"/>
  <c r="I282" i="16"/>
  <c r="AC281" i="16"/>
  <c r="AA281" i="16"/>
  <c r="AB281" i="16" s="1"/>
  <c r="Q281" i="16"/>
  <c r="P281" i="16"/>
  <c r="N281" i="16"/>
  <c r="L281" i="16"/>
  <c r="M281" i="16" s="1"/>
  <c r="J281" i="16"/>
  <c r="K281" i="16" s="1"/>
  <c r="I281" i="16"/>
  <c r="AC280" i="16"/>
  <c r="AA280" i="16"/>
  <c r="AB280" i="16" s="1"/>
  <c r="Q280" i="16"/>
  <c r="P280" i="16"/>
  <c r="N280" i="16"/>
  <c r="L280" i="16"/>
  <c r="M280" i="16" s="1"/>
  <c r="J280" i="16"/>
  <c r="K280" i="16" s="1"/>
  <c r="I280" i="16"/>
  <c r="AC279" i="16"/>
  <c r="AA279" i="16"/>
  <c r="AB279" i="16" s="1"/>
  <c r="Q279" i="16"/>
  <c r="P279" i="16"/>
  <c r="N279" i="16"/>
  <c r="L279" i="16"/>
  <c r="M279" i="16" s="1"/>
  <c r="J279" i="16"/>
  <c r="K279" i="16" s="1"/>
  <c r="I279" i="16"/>
  <c r="AC278" i="16"/>
  <c r="AA278" i="16"/>
  <c r="AB278" i="16" s="1"/>
  <c r="Q278" i="16"/>
  <c r="P278" i="16"/>
  <c r="N278" i="16"/>
  <c r="L278" i="16"/>
  <c r="M278" i="16" s="1"/>
  <c r="J278" i="16"/>
  <c r="K278" i="16" s="1"/>
  <c r="I278" i="16"/>
  <c r="AC277" i="16"/>
  <c r="AA277" i="16"/>
  <c r="AB277" i="16" s="1"/>
  <c r="Q277" i="16"/>
  <c r="P277" i="16"/>
  <c r="N277" i="16"/>
  <c r="L277" i="16"/>
  <c r="M277" i="16" s="1"/>
  <c r="J277" i="16"/>
  <c r="K277" i="16" s="1"/>
  <c r="I277" i="16"/>
  <c r="AC276" i="16"/>
  <c r="AA276" i="16"/>
  <c r="AB276" i="16" s="1"/>
  <c r="Q276" i="16"/>
  <c r="P276" i="16"/>
  <c r="N276" i="16"/>
  <c r="L276" i="16"/>
  <c r="M276" i="16" s="1"/>
  <c r="J276" i="16"/>
  <c r="K276" i="16" s="1"/>
  <c r="I276" i="16"/>
  <c r="AC275" i="16"/>
  <c r="AA275" i="16"/>
  <c r="AB275" i="16" s="1"/>
  <c r="Q275" i="16"/>
  <c r="P275" i="16"/>
  <c r="N275" i="16"/>
  <c r="L275" i="16"/>
  <c r="M275" i="16" s="1"/>
  <c r="J275" i="16"/>
  <c r="K275" i="16" s="1"/>
  <c r="I275" i="16"/>
  <c r="AC274" i="16"/>
  <c r="AA274" i="16"/>
  <c r="AB274" i="16" s="1"/>
  <c r="Q274" i="16"/>
  <c r="P274" i="16"/>
  <c r="N274" i="16"/>
  <c r="L274" i="16"/>
  <c r="M274" i="16" s="1"/>
  <c r="J274" i="16"/>
  <c r="K274" i="16" s="1"/>
  <c r="I274" i="16"/>
  <c r="AC273" i="16"/>
  <c r="AA273" i="16"/>
  <c r="AB273" i="16" s="1"/>
  <c r="Q273" i="16"/>
  <c r="P273" i="16"/>
  <c r="N273" i="16"/>
  <c r="L273" i="16"/>
  <c r="M273" i="16" s="1"/>
  <c r="J273" i="16"/>
  <c r="K273" i="16" s="1"/>
  <c r="I273" i="16"/>
  <c r="AC272" i="16"/>
  <c r="AA272" i="16"/>
  <c r="AB272" i="16" s="1"/>
  <c r="Q272" i="16"/>
  <c r="P272" i="16"/>
  <c r="N272" i="16"/>
  <c r="L272" i="16"/>
  <c r="M272" i="16" s="1"/>
  <c r="J272" i="16"/>
  <c r="K272" i="16" s="1"/>
  <c r="I272" i="16"/>
  <c r="AC271" i="16"/>
  <c r="AA271" i="16"/>
  <c r="AB271" i="16" s="1"/>
  <c r="Q271" i="16"/>
  <c r="P271" i="16"/>
  <c r="N271" i="16"/>
  <c r="L271" i="16"/>
  <c r="M271" i="16" s="1"/>
  <c r="J271" i="16"/>
  <c r="K271" i="16" s="1"/>
  <c r="I271" i="16"/>
  <c r="AC270" i="16"/>
  <c r="AA270" i="16"/>
  <c r="AB270" i="16" s="1"/>
  <c r="Q270" i="16"/>
  <c r="P270" i="16"/>
  <c r="N270" i="16"/>
  <c r="L270" i="16"/>
  <c r="M270" i="16" s="1"/>
  <c r="J270" i="16"/>
  <c r="K270" i="16" s="1"/>
  <c r="I270" i="16"/>
  <c r="AC269" i="16"/>
  <c r="AA269" i="16"/>
  <c r="AB269" i="16" s="1"/>
  <c r="Q269" i="16"/>
  <c r="P269" i="16"/>
  <c r="N269" i="16"/>
  <c r="L269" i="16"/>
  <c r="M269" i="16" s="1"/>
  <c r="J269" i="16"/>
  <c r="K269" i="16" s="1"/>
  <c r="I269" i="16"/>
  <c r="AC268" i="16"/>
  <c r="AA268" i="16"/>
  <c r="AB268" i="16" s="1"/>
  <c r="Q268" i="16"/>
  <c r="P268" i="16"/>
  <c r="N268" i="16"/>
  <c r="L268" i="16"/>
  <c r="M268" i="16" s="1"/>
  <c r="J268" i="16"/>
  <c r="K268" i="16" s="1"/>
  <c r="I268" i="16"/>
  <c r="AC267" i="16"/>
  <c r="AA267" i="16"/>
  <c r="AB267" i="16" s="1"/>
  <c r="Q267" i="16"/>
  <c r="P267" i="16"/>
  <c r="N267" i="16"/>
  <c r="L267" i="16"/>
  <c r="M267" i="16" s="1"/>
  <c r="J267" i="16"/>
  <c r="K267" i="16" s="1"/>
  <c r="I267" i="16"/>
  <c r="AC266" i="16"/>
  <c r="AA266" i="16"/>
  <c r="AB266" i="16" s="1"/>
  <c r="Q266" i="16"/>
  <c r="P266" i="16"/>
  <c r="N266" i="16"/>
  <c r="L266" i="16"/>
  <c r="M266" i="16" s="1"/>
  <c r="J266" i="16"/>
  <c r="K266" i="16" s="1"/>
  <c r="I266" i="16"/>
  <c r="AC265" i="16"/>
  <c r="AA265" i="16"/>
  <c r="AB265" i="16" s="1"/>
  <c r="Q265" i="16"/>
  <c r="P265" i="16"/>
  <c r="N265" i="16"/>
  <c r="L265" i="16"/>
  <c r="M265" i="16" s="1"/>
  <c r="J265" i="16"/>
  <c r="K265" i="16" s="1"/>
  <c r="I265" i="16"/>
  <c r="AC264" i="16"/>
  <c r="AA264" i="16"/>
  <c r="AB264" i="16" s="1"/>
  <c r="Q264" i="16"/>
  <c r="P264" i="16"/>
  <c r="N264" i="16"/>
  <c r="L264" i="16"/>
  <c r="M264" i="16" s="1"/>
  <c r="J264" i="16"/>
  <c r="K264" i="16" s="1"/>
  <c r="I264" i="16"/>
  <c r="AC263" i="16"/>
  <c r="AA263" i="16"/>
  <c r="AB263" i="16" s="1"/>
  <c r="Q263" i="16"/>
  <c r="P263" i="16"/>
  <c r="N263" i="16"/>
  <c r="L263" i="16"/>
  <c r="M263" i="16" s="1"/>
  <c r="J263" i="16"/>
  <c r="K263" i="16" s="1"/>
  <c r="I263" i="16"/>
  <c r="AC262" i="16"/>
  <c r="AA262" i="16"/>
  <c r="AB262" i="16" s="1"/>
  <c r="Q262" i="16"/>
  <c r="P262" i="16"/>
  <c r="N262" i="16"/>
  <c r="L262" i="16"/>
  <c r="M262" i="16" s="1"/>
  <c r="J262" i="16"/>
  <c r="K262" i="16" s="1"/>
  <c r="I262" i="16"/>
  <c r="AC261" i="16"/>
  <c r="AA261" i="16"/>
  <c r="AB261" i="16" s="1"/>
  <c r="Q261" i="16"/>
  <c r="P261" i="16"/>
  <c r="N261" i="16"/>
  <c r="L261" i="16"/>
  <c r="M261" i="16" s="1"/>
  <c r="J261" i="16"/>
  <c r="K261" i="16" s="1"/>
  <c r="I261" i="16"/>
  <c r="AC260" i="16"/>
  <c r="AA260" i="16"/>
  <c r="AB260" i="16" s="1"/>
  <c r="Q260" i="16"/>
  <c r="P260" i="16"/>
  <c r="N260" i="16"/>
  <c r="L260" i="16"/>
  <c r="M260" i="16" s="1"/>
  <c r="J260" i="16"/>
  <c r="K260" i="16" s="1"/>
  <c r="I260" i="16"/>
  <c r="AC259" i="16"/>
  <c r="AA259" i="16"/>
  <c r="AB259" i="16" s="1"/>
  <c r="Q259" i="16"/>
  <c r="P259" i="16"/>
  <c r="N259" i="16"/>
  <c r="L259" i="16"/>
  <c r="M259" i="16" s="1"/>
  <c r="J259" i="16"/>
  <c r="K259" i="16" s="1"/>
  <c r="I259" i="16"/>
  <c r="AC258" i="16"/>
  <c r="AA258" i="16"/>
  <c r="AB258" i="16" s="1"/>
  <c r="Q258" i="16"/>
  <c r="P258" i="16"/>
  <c r="N258" i="16"/>
  <c r="L258" i="16"/>
  <c r="M258" i="16" s="1"/>
  <c r="J258" i="16"/>
  <c r="K258" i="16" s="1"/>
  <c r="I258" i="16"/>
  <c r="AC257" i="16"/>
  <c r="AA257" i="16"/>
  <c r="AB257" i="16" s="1"/>
  <c r="Q257" i="16"/>
  <c r="P257" i="16"/>
  <c r="N257" i="16"/>
  <c r="L257" i="16"/>
  <c r="M257" i="16" s="1"/>
  <c r="J257" i="16"/>
  <c r="K257" i="16" s="1"/>
  <c r="I257" i="16"/>
  <c r="AC256" i="16"/>
  <c r="AA256" i="16"/>
  <c r="AB256" i="16" s="1"/>
  <c r="Q256" i="16"/>
  <c r="P256" i="16"/>
  <c r="N256" i="16"/>
  <c r="L256" i="16"/>
  <c r="M256" i="16" s="1"/>
  <c r="J256" i="16"/>
  <c r="K256" i="16" s="1"/>
  <c r="I256" i="16"/>
  <c r="AC255" i="16"/>
  <c r="AA255" i="16"/>
  <c r="AB255" i="16" s="1"/>
  <c r="Q255" i="16"/>
  <c r="P255" i="16"/>
  <c r="N255" i="16"/>
  <c r="L255" i="16"/>
  <c r="M255" i="16" s="1"/>
  <c r="J255" i="16"/>
  <c r="K255" i="16" s="1"/>
  <c r="I255" i="16"/>
  <c r="AC254" i="16"/>
  <c r="AA254" i="16"/>
  <c r="AB254" i="16" s="1"/>
  <c r="Q254" i="16"/>
  <c r="P254" i="16"/>
  <c r="N254" i="16"/>
  <c r="L254" i="16"/>
  <c r="M254" i="16" s="1"/>
  <c r="J254" i="16"/>
  <c r="K254" i="16" s="1"/>
  <c r="I254" i="16"/>
  <c r="AC253" i="16"/>
  <c r="AA253" i="16"/>
  <c r="AB253" i="16" s="1"/>
  <c r="Q253" i="16"/>
  <c r="P253" i="16"/>
  <c r="N253" i="16"/>
  <c r="L253" i="16"/>
  <c r="M253" i="16" s="1"/>
  <c r="J253" i="16"/>
  <c r="K253" i="16" s="1"/>
  <c r="I253" i="16"/>
  <c r="AC252" i="16"/>
  <c r="AA252" i="16"/>
  <c r="AB252" i="16" s="1"/>
  <c r="Q252" i="16"/>
  <c r="P252" i="16"/>
  <c r="N252" i="16"/>
  <c r="L252" i="16"/>
  <c r="M252" i="16" s="1"/>
  <c r="J252" i="16"/>
  <c r="K252" i="16" s="1"/>
  <c r="I252" i="16"/>
  <c r="AC251" i="16"/>
  <c r="AA251" i="16"/>
  <c r="AB251" i="16" s="1"/>
  <c r="Q251" i="16"/>
  <c r="P251" i="16"/>
  <c r="N251" i="16"/>
  <c r="L251" i="16"/>
  <c r="M251" i="16" s="1"/>
  <c r="J251" i="16"/>
  <c r="K251" i="16" s="1"/>
  <c r="I251" i="16"/>
  <c r="AC250" i="16"/>
  <c r="AA250" i="16"/>
  <c r="AB250" i="16" s="1"/>
  <c r="Q250" i="16"/>
  <c r="P250" i="16"/>
  <c r="N250" i="16"/>
  <c r="L250" i="16"/>
  <c r="M250" i="16" s="1"/>
  <c r="J250" i="16"/>
  <c r="K250" i="16" s="1"/>
  <c r="I250" i="16"/>
  <c r="AC249" i="16"/>
  <c r="AA249" i="16"/>
  <c r="AB249" i="16" s="1"/>
  <c r="Q249" i="16"/>
  <c r="P249" i="16"/>
  <c r="N249" i="16"/>
  <c r="L249" i="16"/>
  <c r="M249" i="16" s="1"/>
  <c r="J249" i="16"/>
  <c r="K249" i="16" s="1"/>
  <c r="I249" i="16"/>
  <c r="AC248" i="16"/>
  <c r="AA248" i="16"/>
  <c r="AB248" i="16" s="1"/>
  <c r="Q248" i="16"/>
  <c r="P248" i="16"/>
  <c r="N248" i="16"/>
  <c r="L248" i="16"/>
  <c r="M248" i="16" s="1"/>
  <c r="J248" i="16"/>
  <c r="K248" i="16" s="1"/>
  <c r="I248" i="16"/>
  <c r="AC247" i="16"/>
  <c r="AA247" i="16"/>
  <c r="AB247" i="16" s="1"/>
  <c r="Q247" i="16"/>
  <c r="P247" i="16"/>
  <c r="N247" i="16"/>
  <c r="L247" i="16"/>
  <c r="M247" i="16" s="1"/>
  <c r="J247" i="16"/>
  <c r="K247" i="16" s="1"/>
  <c r="I247" i="16"/>
  <c r="AC246" i="16"/>
  <c r="AA246" i="16"/>
  <c r="AB246" i="16" s="1"/>
  <c r="Q246" i="16"/>
  <c r="P246" i="16"/>
  <c r="N246" i="16"/>
  <c r="L246" i="16"/>
  <c r="M246" i="16" s="1"/>
  <c r="J246" i="16"/>
  <c r="K246" i="16" s="1"/>
  <c r="I246" i="16"/>
  <c r="AC245" i="16"/>
  <c r="AA245" i="16"/>
  <c r="AB245" i="16" s="1"/>
  <c r="Q245" i="16"/>
  <c r="P245" i="16"/>
  <c r="N245" i="16"/>
  <c r="L245" i="16"/>
  <c r="M245" i="16" s="1"/>
  <c r="J245" i="16"/>
  <c r="K245" i="16" s="1"/>
  <c r="I245" i="16"/>
  <c r="AC244" i="16"/>
  <c r="AA244" i="16"/>
  <c r="AB244" i="16" s="1"/>
  <c r="Q244" i="16"/>
  <c r="P244" i="16"/>
  <c r="N244" i="16"/>
  <c r="L244" i="16"/>
  <c r="M244" i="16" s="1"/>
  <c r="J244" i="16"/>
  <c r="K244" i="16" s="1"/>
  <c r="I244" i="16"/>
  <c r="AC243" i="16"/>
  <c r="AA243" i="16"/>
  <c r="AB243" i="16" s="1"/>
  <c r="Q243" i="16"/>
  <c r="P243" i="16"/>
  <c r="N243" i="16"/>
  <c r="L243" i="16"/>
  <c r="M243" i="16" s="1"/>
  <c r="J243" i="16"/>
  <c r="K243" i="16" s="1"/>
  <c r="I243" i="16"/>
  <c r="AC242" i="16"/>
  <c r="AA242" i="16"/>
  <c r="AB242" i="16" s="1"/>
  <c r="Q242" i="16"/>
  <c r="P242" i="16"/>
  <c r="N242" i="16"/>
  <c r="L242" i="16"/>
  <c r="M242" i="16" s="1"/>
  <c r="J242" i="16"/>
  <c r="K242" i="16" s="1"/>
  <c r="I242" i="16"/>
  <c r="AC241" i="16"/>
  <c r="AA241" i="16"/>
  <c r="AB241" i="16" s="1"/>
  <c r="Q241" i="16"/>
  <c r="P241" i="16"/>
  <c r="N241" i="16"/>
  <c r="L241" i="16"/>
  <c r="M241" i="16" s="1"/>
  <c r="J241" i="16"/>
  <c r="K241" i="16" s="1"/>
  <c r="I241" i="16"/>
  <c r="AC240" i="16"/>
  <c r="AA240" i="16"/>
  <c r="AB240" i="16" s="1"/>
  <c r="Q240" i="16"/>
  <c r="P240" i="16"/>
  <c r="N240" i="16"/>
  <c r="L240" i="16"/>
  <c r="J240" i="16"/>
  <c r="K240" i="16" s="1"/>
  <c r="I240" i="16"/>
  <c r="AC239" i="16"/>
  <c r="AA239" i="16"/>
  <c r="AB239" i="16" s="1"/>
  <c r="Q239" i="16"/>
  <c r="P239" i="16"/>
  <c r="N239" i="16"/>
  <c r="L239" i="16"/>
  <c r="M239" i="16" s="1"/>
  <c r="J239" i="16"/>
  <c r="K239" i="16" s="1"/>
  <c r="I239" i="16"/>
  <c r="AC238" i="16"/>
  <c r="AA238" i="16"/>
  <c r="AB238" i="16" s="1"/>
  <c r="Q238" i="16"/>
  <c r="P238" i="16"/>
  <c r="N238" i="16"/>
  <c r="L238" i="16"/>
  <c r="M238" i="16" s="1"/>
  <c r="J238" i="16"/>
  <c r="K238" i="16" s="1"/>
  <c r="I238" i="16"/>
  <c r="AC237" i="16"/>
  <c r="AA237" i="16"/>
  <c r="AB237" i="16" s="1"/>
  <c r="Q237" i="16"/>
  <c r="P237" i="16"/>
  <c r="N237" i="16"/>
  <c r="L237" i="16"/>
  <c r="M237" i="16" s="1"/>
  <c r="J237" i="16"/>
  <c r="K237" i="16" s="1"/>
  <c r="I237" i="16"/>
  <c r="AA236" i="16"/>
  <c r="AB236" i="16" s="1"/>
  <c r="P236" i="16"/>
  <c r="N236" i="16"/>
  <c r="L236" i="16"/>
  <c r="M236" i="16" s="1"/>
  <c r="J236" i="16"/>
  <c r="K236" i="16" s="1"/>
  <c r="I236" i="16"/>
  <c r="AA235" i="16"/>
  <c r="AB235" i="16" s="1"/>
  <c r="P235" i="16"/>
  <c r="N235" i="16"/>
  <c r="L235" i="16"/>
  <c r="M235" i="16" s="1"/>
  <c r="J235" i="16"/>
  <c r="K235" i="16" s="1"/>
  <c r="I235" i="16"/>
  <c r="AC234" i="16"/>
  <c r="AA234" i="16"/>
  <c r="AB234" i="16" s="1"/>
  <c r="Q234" i="16"/>
  <c r="P234" i="16"/>
  <c r="N234" i="16"/>
  <c r="L234" i="16"/>
  <c r="M234" i="16" s="1"/>
  <c r="J234" i="16"/>
  <c r="K234" i="16" s="1"/>
  <c r="I234" i="16"/>
  <c r="AC233" i="16"/>
  <c r="AA233" i="16"/>
  <c r="AB233" i="16" s="1"/>
  <c r="Q233" i="16"/>
  <c r="P233" i="16"/>
  <c r="N233" i="16"/>
  <c r="L233" i="16"/>
  <c r="M233" i="16" s="1"/>
  <c r="J233" i="16"/>
  <c r="K233" i="16" s="1"/>
  <c r="I233" i="16"/>
  <c r="AC232" i="16"/>
  <c r="AA232" i="16"/>
  <c r="AB232" i="16" s="1"/>
  <c r="Q232" i="16"/>
  <c r="P232" i="16"/>
  <c r="N232" i="16"/>
  <c r="L232" i="16"/>
  <c r="M232" i="16" s="1"/>
  <c r="J232" i="16"/>
  <c r="K232" i="16" s="1"/>
  <c r="I232" i="16"/>
  <c r="AC231" i="16"/>
  <c r="AA231" i="16"/>
  <c r="AB231" i="16" s="1"/>
  <c r="Q231" i="16"/>
  <c r="P231" i="16"/>
  <c r="N231" i="16"/>
  <c r="L231" i="16"/>
  <c r="M231" i="16" s="1"/>
  <c r="J231" i="16"/>
  <c r="K231" i="16" s="1"/>
  <c r="I231" i="16"/>
  <c r="AC230" i="16"/>
  <c r="AA230" i="16"/>
  <c r="AB230" i="16" s="1"/>
  <c r="Q230" i="16"/>
  <c r="P230" i="16"/>
  <c r="N230" i="16"/>
  <c r="L230" i="16"/>
  <c r="M230" i="16" s="1"/>
  <c r="J230" i="16"/>
  <c r="K230" i="16" s="1"/>
  <c r="I230" i="16"/>
  <c r="AC229" i="16"/>
  <c r="AA229" i="16"/>
  <c r="AB229" i="16" s="1"/>
  <c r="Q229" i="16"/>
  <c r="P229" i="16"/>
  <c r="N229" i="16"/>
  <c r="L229" i="16"/>
  <c r="M229" i="16" s="1"/>
  <c r="J229" i="16"/>
  <c r="K229" i="16" s="1"/>
  <c r="I229" i="16"/>
  <c r="AC228" i="16"/>
  <c r="AA228" i="16"/>
  <c r="AB228" i="16" s="1"/>
  <c r="Q228" i="16"/>
  <c r="P228" i="16"/>
  <c r="N228" i="16"/>
  <c r="L228" i="16"/>
  <c r="M228" i="16" s="1"/>
  <c r="J228" i="16"/>
  <c r="K228" i="16" s="1"/>
  <c r="I228" i="16"/>
  <c r="AC227" i="16"/>
  <c r="AA227" i="16"/>
  <c r="AB227" i="16" s="1"/>
  <c r="Q227" i="16"/>
  <c r="P227" i="16"/>
  <c r="N227" i="16"/>
  <c r="L227" i="16"/>
  <c r="M227" i="16" s="1"/>
  <c r="J227" i="16"/>
  <c r="K227" i="16" s="1"/>
  <c r="I227" i="16"/>
  <c r="AC226" i="16"/>
  <c r="AA226" i="16"/>
  <c r="AB226" i="16" s="1"/>
  <c r="Q226" i="16"/>
  <c r="P226" i="16"/>
  <c r="N226" i="16"/>
  <c r="L226" i="16"/>
  <c r="M226" i="16" s="1"/>
  <c r="J226" i="16"/>
  <c r="K226" i="16" s="1"/>
  <c r="I226" i="16"/>
  <c r="AC225" i="16"/>
  <c r="AA225" i="16"/>
  <c r="AB225" i="16" s="1"/>
  <c r="Q225" i="16"/>
  <c r="P225" i="16"/>
  <c r="N225" i="16"/>
  <c r="L225" i="16"/>
  <c r="M225" i="16" s="1"/>
  <c r="J225" i="16"/>
  <c r="K225" i="16" s="1"/>
  <c r="I225" i="16"/>
  <c r="AC224" i="16"/>
  <c r="AA224" i="16"/>
  <c r="AB224" i="16" s="1"/>
  <c r="Q224" i="16"/>
  <c r="P224" i="16"/>
  <c r="N224" i="16"/>
  <c r="L224" i="16"/>
  <c r="M224" i="16" s="1"/>
  <c r="J224" i="16"/>
  <c r="K224" i="16" s="1"/>
  <c r="I224" i="16"/>
  <c r="AC223" i="16"/>
  <c r="AA223" i="16"/>
  <c r="AB223" i="16" s="1"/>
  <c r="Q223" i="16"/>
  <c r="P223" i="16"/>
  <c r="N223" i="16"/>
  <c r="L223" i="16"/>
  <c r="M223" i="16" s="1"/>
  <c r="J223" i="16"/>
  <c r="K223" i="16" s="1"/>
  <c r="I223" i="16"/>
  <c r="AC222" i="16"/>
  <c r="AA222" i="16"/>
  <c r="AB222" i="16" s="1"/>
  <c r="Q222" i="16"/>
  <c r="P222" i="16"/>
  <c r="N222" i="16"/>
  <c r="L222" i="16"/>
  <c r="M222" i="16" s="1"/>
  <c r="J222" i="16"/>
  <c r="K222" i="16" s="1"/>
  <c r="I222" i="16"/>
  <c r="AC221" i="16"/>
  <c r="AA221" i="16"/>
  <c r="AB221" i="16" s="1"/>
  <c r="Q221" i="16"/>
  <c r="P221" i="16"/>
  <c r="N221" i="16"/>
  <c r="L221" i="16"/>
  <c r="M221" i="16" s="1"/>
  <c r="J221" i="16"/>
  <c r="K221" i="16" s="1"/>
  <c r="I221" i="16"/>
  <c r="AC220" i="16"/>
  <c r="AA220" i="16"/>
  <c r="AB220" i="16" s="1"/>
  <c r="Q220" i="16"/>
  <c r="P220" i="16"/>
  <c r="N220" i="16"/>
  <c r="L220" i="16"/>
  <c r="M220" i="16" s="1"/>
  <c r="J220" i="16"/>
  <c r="K220" i="16" s="1"/>
  <c r="I220" i="16"/>
  <c r="AC219" i="16"/>
  <c r="AA219" i="16"/>
  <c r="AB219" i="16" s="1"/>
  <c r="Q219" i="16"/>
  <c r="P219" i="16"/>
  <c r="N219" i="16"/>
  <c r="L219" i="16"/>
  <c r="M219" i="16" s="1"/>
  <c r="J219" i="16"/>
  <c r="K219" i="16" s="1"/>
  <c r="I219" i="16"/>
  <c r="AC218" i="16"/>
  <c r="AA218" i="16"/>
  <c r="AB218" i="16" s="1"/>
  <c r="Q218" i="16"/>
  <c r="P218" i="16"/>
  <c r="N218" i="16"/>
  <c r="L218" i="16"/>
  <c r="M218" i="16" s="1"/>
  <c r="J218" i="16"/>
  <c r="K218" i="16" s="1"/>
  <c r="I218" i="16"/>
  <c r="AC217" i="16"/>
  <c r="AA217" i="16"/>
  <c r="AB217" i="16" s="1"/>
  <c r="Q217" i="16"/>
  <c r="P217" i="16"/>
  <c r="N217" i="16"/>
  <c r="L217" i="16"/>
  <c r="M217" i="16" s="1"/>
  <c r="J217" i="16"/>
  <c r="K217" i="16" s="1"/>
  <c r="I217" i="16"/>
  <c r="AC216" i="16"/>
  <c r="AA216" i="16"/>
  <c r="AB216" i="16" s="1"/>
  <c r="Q216" i="16"/>
  <c r="P216" i="16"/>
  <c r="N216" i="16"/>
  <c r="L216" i="16"/>
  <c r="M216" i="16" s="1"/>
  <c r="J216" i="16"/>
  <c r="K216" i="16" s="1"/>
  <c r="I216" i="16"/>
  <c r="AC215" i="16"/>
  <c r="AA215" i="16"/>
  <c r="AB215" i="16" s="1"/>
  <c r="Q215" i="16"/>
  <c r="P215" i="16"/>
  <c r="N215" i="16"/>
  <c r="L215" i="16"/>
  <c r="M215" i="16" s="1"/>
  <c r="J215" i="16"/>
  <c r="K215" i="16" s="1"/>
  <c r="I215" i="16"/>
  <c r="AC214" i="16"/>
  <c r="AA214" i="16"/>
  <c r="AB214" i="16" s="1"/>
  <c r="Q214" i="16"/>
  <c r="P214" i="16"/>
  <c r="N214" i="16"/>
  <c r="L214" i="16"/>
  <c r="M214" i="16" s="1"/>
  <c r="J214" i="16"/>
  <c r="K214" i="16" s="1"/>
  <c r="I214" i="16"/>
  <c r="AC213" i="16"/>
  <c r="AA213" i="16"/>
  <c r="AB213" i="16" s="1"/>
  <c r="Q213" i="16"/>
  <c r="P213" i="16"/>
  <c r="N213" i="16"/>
  <c r="L213" i="16"/>
  <c r="M213" i="16" s="1"/>
  <c r="J213" i="16"/>
  <c r="K213" i="16" s="1"/>
  <c r="I213" i="16"/>
  <c r="AC212" i="16"/>
  <c r="AA212" i="16"/>
  <c r="AB212" i="16" s="1"/>
  <c r="Q212" i="16"/>
  <c r="P212" i="16"/>
  <c r="N212" i="16"/>
  <c r="L212" i="16"/>
  <c r="M212" i="16" s="1"/>
  <c r="J212" i="16"/>
  <c r="K212" i="16" s="1"/>
  <c r="I212" i="16"/>
  <c r="AC211" i="16"/>
  <c r="AA211" i="16"/>
  <c r="AB211" i="16" s="1"/>
  <c r="Q211" i="16"/>
  <c r="P211" i="16"/>
  <c r="N211" i="16"/>
  <c r="L211" i="16"/>
  <c r="M211" i="16" s="1"/>
  <c r="J211" i="16"/>
  <c r="K211" i="16" s="1"/>
  <c r="I211" i="16"/>
  <c r="AC210" i="16"/>
  <c r="AA210" i="16"/>
  <c r="AB210" i="16" s="1"/>
  <c r="Q210" i="16"/>
  <c r="P210" i="16"/>
  <c r="N210" i="16"/>
  <c r="L210" i="16"/>
  <c r="M210" i="16" s="1"/>
  <c r="J210" i="16"/>
  <c r="K210" i="16" s="1"/>
  <c r="I210" i="16"/>
  <c r="AC209" i="16"/>
  <c r="AA209" i="16"/>
  <c r="AB209" i="16" s="1"/>
  <c r="Q209" i="16"/>
  <c r="P209" i="16"/>
  <c r="N209" i="16"/>
  <c r="L209" i="16"/>
  <c r="M209" i="16" s="1"/>
  <c r="J209" i="16"/>
  <c r="K209" i="16" s="1"/>
  <c r="I209" i="16"/>
  <c r="AC208" i="16"/>
  <c r="AA208" i="16"/>
  <c r="AB208" i="16" s="1"/>
  <c r="Q208" i="16"/>
  <c r="P208" i="16"/>
  <c r="N208" i="16"/>
  <c r="L208" i="16"/>
  <c r="M208" i="16" s="1"/>
  <c r="J208" i="16"/>
  <c r="K208" i="16" s="1"/>
  <c r="I208" i="16"/>
  <c r="AC207" i="16"/>
  <c r="AA207" i="16"/>
  <c r="AB207" i="16" s="1"/>
  <c r="Q207" i="16"/>
  <c r="P207" i="16"/>
  <c r="N207" i="16"/>
  <c r="L207" i="16"/>
  <c r="M207" i="16" s="1"/>
  <c r="J207" i="16"/>
  <c r="K207" i="16" s="1"/>
  <c r="I207" i="16"/>
  <c r="AC206" i="16"/>
  <c r="AA206" i="16"/>
  <c r="AB206" i="16" s="1"/>
  <c r="Q206" i="16"/>
  <c r="P206" i="16"/>
  <c r="N206" i="16"/>
  <c r="L206" i="16"/>
  <c r="M206" i="16" s="1"/>
  <c r="J206" i="16"/>
  <c r="K206" i="16" s="1"/>
  <c r="I206" i="16"/>
  <c r="AC205" i="16"/>
  <c r="AA205" i="16"/>
  <c r="AB205" i="16" s="1"/>
  <c r="Q205" i="16"/>
  <c r="P205" i="16"/>
  <c r="N205" i="16"/>
  <c r="L205" i="16"/>
  <c r="M205" i="16" s="1"/>
  <c r="J205" i="16"/>
  <c r="K205" i="16" s="1"/>
  <c r="I205" i="16"/>
  <c r="AC204" i="16"/>
  <c r="AA204" i="16"/>
  <c r="AB204" i="16" s="1"/>
  <c r="Q204" i="16"/>
  <c r="P204" i="16"/>
  <c r="N204" i="16"/>
  <c r="L204" i="16"/>
  <c r="M204" i="16" s="1"/>
  <c r="J204" i="16"/>
  <c r="K204" i="16" s="1"/>
  <c r="I204" i="16"/>
  <c r="AC203" i="16"/>
  <c r="AA203" i="16"/>
  <c r="AB203" i="16" s="1"/>
  <c r="Q203" i="16"/>
  <c r="P203" i="16"/>
  <c r="N203" i="16"/>
  <c r="L203" i="16"/>
  <c r="M203" i="16" s="1"/>
  <c r="J203" i="16"/>
  <c r="K203" i="16" s="1"/>
  <c r="I203" i="16"/>
  <c r="AC202" i="16"/>
  <c r="AA202" i="16"/>
  <c r="AB202" i="16" s="1"/>
  <c r="Q202" i="16"/>
  <c r="P202" i="16"/>
  <c r="N202" i="16"/>
  <c r="L202" i="16"/>
  <c r="M202" i="16" s="1"/>
  <c r="J202" i="16"/>
  <c r="K202" i="16" s="1"/>
  <c r="I202" i="16"/>
  <c r="AC201" i="16"/>
  <c r="AA201" i="16"/>
  <c r="AB201" i="16" s="1"/>
  <c r="Q201" i="16"/>
  <c r="P201" i="16"/>
  <c r="N201" i="16"/>
  <c r="L201" i="16"/>
  <c r="M201" i="16" s="1"/>
  <c r="J201" i="16"/>
  <c r="K201" i="16" s="1"/>
  <c r="I201" i="16"/>
  <c r="AC200" i="16"/>
  <c r="AA200" i="16"/>
  <c r="AB200" i="16" s="1"/>
  <c r="Q200" i="16"/>
  <c r="P200" i="16"/>
  <c r="N200" i="16"/>
  <c r="L200" i="16"/>
  <c r="M200" i="16" s="1"/>
  <c r="J200" i="16"/>
  <c r="K200" i="16" s="1"/>
  <c r="I200" i="16"/>
  <c r="AC199" i="16"/>
  <c r="AA199" i="16"/>
  <c r="AB199" i="16" s="1"/>
  <c r="Q199" i="16"/>
  <c r="P199" i="16"/>
  <c r="N199" i="16"/>
  <c r="L199" i="16"/>
  <c r="M199" i="16" s="1"/>
  <c r="J199" i="16"/>
  <c r="K199" i="16" s="1"/>
  <c r="I199" i="16"/>
  <c r="AC198" i="16"/>
  <c r="AA198" i="16"/>
  <c r="AB198" i="16" s="1"/>
  <c r="Q198" i="16"/>
  <c r="P198" i="16"/>
  <c r="N198" i="16"/>
  <c r="L198" i="16"/>
  <c r="M198" i="16" s="1"/>
  <c r="J198" i="16"/>
  <c r="K198" i="16" s="1"/>
  <c r="I198" i="16"/>
  <c r="AC197" i="16"/>
  <c r="AA197" i="16"/>
  <c r="AB197" i="16" s="1"/>
  <c r="Q197" i="16"/>
  <c r="P197" i="16"/>
  <c r="N197" i="16"/>
  <c r="L197" i="16"/>
  <c r="M197" i="16" s="1"/>
  <c r="J197" i="16"/>
  <c r="K197" i="16" s="1"/>
  <c r="I197" i="16"/>
  <c r="AC196" i="16"/>
  <c r="AA196" i="16"/>
  <c r="AB196" i="16" s="1"/>
  <c r="Q196" i="16"/>
  <c r="P196" i="16"/>
  <c r="N196" i="16"/>
  <c r="L196" i="16"/>
  <c r="M196" i="16" s="1"/>
  <c r="J196" i="16"/>
  <c r="K196" i="16" s="1"/>
  <c r="I196" i="16"/>
  <c r="AC195" i="16"/>
  <c r="AA195" i="16"/>
  <c r="AB195" i="16" s="1"/>
  <c r="Q195" i="16"/>
  <c r="P195" i="16"/>
  <c r="N195" i="16"/>
  <c r="L195" i="16"/>
  <c r="M195" i="16" s="1"/>
  <c r="J195" i="16"/>
  <c r="K195" i="16" s="1"/>
  <c r="I195" i="16"/>
  <c r="AC194" i="16"/>
  <c r="AA194" i="16"/>
  <c r="AB194" i="16" s="1"/>
  <c r="Q194" i="16"/>
  <c r="P194" i="16"/>
  <c r="N194" i="16"/>
  <c r="L194" i="16"/>
  <c r="M194" i="16" s="1"/>
  <c r="J194" i="16"/>
  <c r="K194" i="16" s="1"/>
  <c r="I194" i="16"/>
  <c r="AC193" i="16"/>
  <c r="AA193" i="16"/>
  <c r="AB193" i="16" s="1"/>
  <c r="Q193" i="16"/>
  <c r="P193" i="16"/>
  <c r="N193" i="16"/>
  <c r="L193" i="16"/>
  <c r="M193" i="16" s="1"/>
  <c r="J193" i="16"/>
  <c r="K193" i="16" s="1"/>
  <c r="I193" i="16"/>
  <c r="AC192" i="16"/>
  <c r="AA192" i="16"/>
  <c r="AB192" i="16" s="1"/>
  <c r="Q192" i="16"/>
  <c r="P192" i="16"/>
  <c r="N192" i="16"/>
  <c r="L192" i="16"/>
  <c r="M192" i="16" s="1"/>
  <c r="J192" i="16"/>
  <c r="K192" i="16" s="1"/>
  <c r="I192" i="16"/>
  <c r="AC191" i="16"/>
  <c r="AA191" i="16"/>
  <c r="AB191" i="16" s="1"/>
  <c r="Q191" i="16"/>
  <c r="P191" i="16"/>
  <c r="N191" i="16"/>
  <c r="L191" i="16"/>
  <c r="M191" i="16" s="1"/>
  <c r="J191" i="16"/>
  <c r="K191" i="16" s="1"/>
  <c r="I191" i="16"/>
  <c r="AC190" i="16"/>
  <c r="AA190" i="16"/>
  <c r="AB190" i="16" s="1"/>
  <c r="Q190" i="16"/>
  <c r="P190" i="16"/>
  <c r="N190" i="16"/>
  <c r="L190" i="16"/>
  <c r="M190" i="16" s="1"/>
  <c r="J190" i="16"/>
  <c r="K190" i="16" s="1"/>
  <c r="I190" i="16"/>
  <c r="AC189" i="16"/>
  <c r="AA189" i="16"/>
  <c r="AB189" i="16" s="1"/>
  <c r="Q189" i="16"/>
  <c r="P189" i="16"/>
  <c r="N189" i="16"/>
  <c r="L189" i="16"/>
  <c r="M189" i="16" s="1"/>
  <c r="J189" i="16"/>
  <c r="K189" i="16" s="1"/>
  <c r="I189" i="16"/>
  <c r="AC188" i="16"/>
  <c r="AA188" i="16"/>
  <c r="AB188" i="16" s="1"/>
  <c r="Q188" i="16"/>
  <c r="P188" i="16"/>
  <c r="N188" i="16"/>
  <c r="L188" i="16"/>
  <c r="M188" i="16" s="1"/>
  <c r="J188" i="16"/>
  <c r="K188" i="16" s="1"/>
  <c r="I188" i="16"/>
  <c r="AC187" i="16"/>
  <c r="AA187" i="16"/>
  <c r="AB187" i="16" s="1"/>
  <c r="Q187" i="16"/>
  <c r="P187" i="16"/>
  <c r="N187" i="16"/>
  <c r="L187" i="16"/>
  <c r="M187" i="16" s="1"/>
  <c r="J187" i="16"/>
  <c r="K187" i="16" s="1"/>
  <c r="I187" i="16"/>
  <c r="AC186" i="16"/>
  <c r="AA186" i="16"/>
  <c r="AB186" i="16" s="1"/>
  <c r="Q186" i="16"/>
  <c r="P186" i="16"/>
  <c r="N186" i="16"/>
  <c r="L186" i="16"/>
  <c r="M186" i="16" s="1"/>
  <c r="J186" i="16"/>
  <c r="K186" i="16" s="1"/>
  <c r="I186" i="16"/>
  <c r="AC185" i="16"/>
  <c r="AA185" i="16"/>
  <c r="AB185" i="16" s="1"/>
  <c r="Q185" i="16"/>
  <c r="P185" i="16"/>
  <c r="N185" i="16"/>
  <c r="L185" i="16"/>
  <c r="M185" i="16" s="1"/>
  <c r="J185" i="16"/>
  <c r="K185" i="16" s="1"/>
  <c r="I185" i="16"/>
  <c r="AC184" i="16"/>
  <c r="AA184" i="16"/>
  <c r="AB184" i="16" s="1"/>
  <c r="Q184" i="16"/>
  <c r="P184" i="16"/>
  <c r="N184" i="16"/>
  <c r="L184" i="16"/>
  <c r="M184" i="16" s="1"/>
  <c r="J184" i="16"/>
  <c r="K184" i="16" s="1"/>
  <c r="I184" i="16"/>
  <c r="AC183" i="16"/>
  <c r="AA183" i="16"/>
  <c r="AB183" i="16" s="1"/>
  <c r="Q183" i="16"/>
  <c r="P183" i="16"/>
  <c r="N183" i="16"/>
  <c r="L183" i="16"/>
  <c r="M183" i="16" s="1"/>
  <c r="J183" i="16"/>
  <c r="K183" i="16" s="1"/>
  <c r="I183" i="16"/>
  <c r="AC182" i="16"/>
  <c r="AA182" i="16"/>
  <c r="AB182" i="16" s="1"/>
  <c r="Q182" i="16"/>
  <c r="P182" i="16"/>
  <c r="N182" i="16"/>
  <c r="L182" i="16"/>
  <c r="M182" i="16" s="1"/>
  <c r="J182" i="16"/>
  <c r="K182" i="16" s="1"/>
  <c r="I182" i="16"/>
  <c r="AC181" i="16"/>
  <c r="AA181" i="16"/>
  <c r="AB181" i="16" s="1"/>
  <c r="Q181" i="16"/>
  <c r="P181" i="16"/>
  <c r="N181" i="16"/>
  <c r="L181" i="16"/>
  <c r="M181" i="16" s="1"/>
  <c r="J181" i="16"/>
  <c r="K181" i="16" s="1"/>
  <c r="I181" i="16"/>
  <c r="AC180" i="16"/>
  <c r="AA180" i="16"/>
  <c r="AB180" i="16" s="1"/>
  <c r="Q180" i="16"/>
  <c r="P180" i="16"/>
  <c r="N180" i="16"/>
  <c r="L180" i="16"/>
  <c r="M180" i="16" s="1"/>
  <c r="J180" i="16"/>
  <c r="K180" i="16" s="1"/>
  <c r="I180" i="16"/>
  <c r="AC179" i="16"/>
  <c r="AA179" i="16"/>
  <c r="AB179" i="16" s="1"/>
  <c r="Q179" i="16"/>
  <c r="P179" i="16"/>
  <c r="N179" i="16"/>
  <c r="L179" i="16"/>
  <c r="M179" i="16" s="1"/>
  <c r="J179" i="16"/>
  <c r="K179" i="16" s="1"/>
  <c r="I179" i="16"/>
  <c r="AC178" i="16"/>
  <c r="AA178" i="16"/>
  <c r="AB178" i="16" s="1"/>
  <c r="Q178" i="16"/>
  <c r="P178" i="16"/>
  <c r="N178" i="16"/>
  <c r="L178" i="16"/>
  <c r="M178" i="16" s="1"/>
  <c r="J178" i="16"/>
  <c r="K178" i="16" s="1"/>
  <c r="I178" i="16"/>
  <c r="AC177" i="16"/>
  <c r="AA177" i="16"/>
  <c r="AB177" i="16" s="1"/>
  <c r="Q177" i="16"/>
  <c r="P177" i="16"/>
  <c r="N177" i="16"/>
  <c r="L177" i="16"/>
  <c r="M177" i="16" s="1"/>
  <c r="J177" i="16"/>
  <c r="K177" i="16" s="1"/>
  <c r="I177" i="16"/>
  <c r="AC176" i="16"/>
  <c r="AA176" i="16"/>
  <c r="AB176" i="16" s="1"/>
  <c r="Q176" i="16"/>
  <c r="P176" i="16"/>
  <c r="N176" i="16"/>
  <c r="L176" i="16"/>
  <c r="M176" i="16" s="1"/>
  <c r="J176" i="16"/>
  <c r="K176" i="16" s="1"/>
  <c r="I176" i="16"/>
  <c r="AC175" i="16"/>
  <c r="AA175" i="16"/>
  <c r="AB175" i="16" s="1"/>
  <c r="Q175" i="16"/>
  <c r="P175" i="16"/>
  <c r="N175" i="16"/>
  <c r="L175" i="16"/>
  <c r="M175" i="16" s="1"/>
  <c r="J175" i="16"/>
  <c r="K175" i="16" s="1"/>
  <c r="I175" i="16"/>
  <c r="AC174" i="16"/>
  <c r="AA174" i="16"/>
  <c r="AB174" i="16" s="1"/>
  <c r="Q174" i="16"/>
  <c r="P174" i="16"/>
  <c r="N174" i="16"/>
  <c r="L174" i="16"/>
  <c r="M174" i="16" s="1"/>
  <c r="J174" i="16"/>
  <c r="K174" i="16" s="1"/>
  <c r="I174" i="16"/>
  <c r="AC173" i="16"/>
  <c r="AA173" i="16"/>
  <c r="AB173" i="16" s="1"/>
  <c r="Q173" i="16"/>
  <c r="P173" i="16"/>
  <c r="N173" i="16"/>
  <c r="L173" i="16"/>
  <c r="M173" i="16" s="1"/>
  <c r="J173" i="16"/>
  <c r="K173" i="16" s="1"/>
  <c r="I173" i="16"/>
  <c r="AC172" i="16"/>
  <c r="AA172" i="16"/>
  <c r="AB172" i="16" s="1"/>
  <c r="Q172" i="16"/>
  <c r="P172" i="16"/>
  <c r="N172" i="16"/>
  <c r="L172" i="16"/>
  <c r="M172" i="16" s="1"/>
  <c r="J172" i="16"/>
  <c r="K172" i="16" s="1"/>
  <c r="I172" i="16"/>
  <c r="AC171" i="16"/>
  <c r="AA171" i="16"/>
  <c r="AB171" i="16" s="1"/>
  <c r="Q171" i="16"/>
  <c r="P171" i="16"/>
  <c r="N171" i="16"/>
  <c r="L171" i="16"/>
  <c r="M171" i="16" s="1"/>
  <c r="J171" i="16"/>
  <c r="K171" i="16" s="1"/>
  <c r="I171" i="16"/>
  <c r="AC170" i="16"/>
  <c r="AA170" i="16"/>
  <c r="AB170" i="16" s="1"/>
  <c r="Q170" i="16"/>
  <c r="P170" i="16"/>
  <c r="N170" i="16"/>
  <c r="L170" i="16"/>
  <c r="M170" i="16" s="1"/>
  <c r="J170" i="16"/>
  <c r="K170" i="16" s="1"/>
  <c r="I170" i="16"/>
  <c r="AC169" i="16"/>
  <c r="AA169" i="16"/>
  <c r="AB169" i="16" s="1"/>
  <c r="Q169" i="16"/>
  <c r="P169" i="16"/>
  <c r="N169" i="16"/>
  <c r="L169" i="16"/>
  <c r="M169" i="16" s="1"/>
  <c r="J169" i="16"/>
  <c r="K169" i="16" s="1"/>
  <c r="I169" i="16"/>
  <c r="AC168" i="16"/>
  <c r="AA168" i="16"/>
  <c r="AB168" i="16" s="1"/>
  <c r="Q168" i="16"/>
  <c r="P168" i="16"/>
  <c r="N168" i="16"/>
  <c r="L168" i="16"/>
  <c r="M168" i="16" s="1"/>
  <c r="J168" i="16"/>
  <c r="K168" i="16" s="1"/>
  <c r="I168" i="16"/>
  <c r="AC167" i="16"/>
  <c r="AA167" i="16"/>
  <c r="AB167" i="16" s="1"/>
  <c r="Q167" i="16"/>
  <c r="P167" i="16"/>
  <c r="N167" i="16"/>
  <c r="L167" i="16"/>
  <c r="M167" i="16" s="1"/>
  <c r="J167" i="16"/>
  <c r="K167" i="16" s="1"/>
  <c r="I167" i="16"/>
  <c r="AC166" i="16"/>
  <c r="AA166" i="16"/>
  <c r="AB166" i="16" s="1"/>
  <c r="Q166" i="16"/>
  <c r="P166" i="16"/>
  <c r="N166" i="16"/>
  <c r="L166" i="16"/>
  <c r="M166" i="16" s="1"/>
  <c r="J166" i="16"/>
  <c r="K166" i="16" s="1"/>
  <c r="I166" i="16"/>
  <c r="AC165" i="16"/>
  <c r="AA165" i="16"/>
  <c r="AB165" i="16" s="1"/>
  <c r="Q165" i="16"/>
  <c r="P165" i="16"/>
  <c r="N165" i="16"/>
  <c r="L165" i="16"/>
  <c r="M165" i="16" s="1"/>
  <c r="J165" i="16"/>
  <c r="K165" i="16" s="1"/>
  <c r="I165" i="16"/>
  <c r="AC164" i="16"/>
  <c r="AA164" i="16"/>
  <c r="AB164" i="16" s="1"/>
  <c r="Q164" i="16"/>
  <c r="P164" i="16"/>
  <c r="N164" i="16"/>
  <c r="L164" i="16"/>
  <c r="M164" i="16" s="1"/>
  <c r="J164" i="16"/>
  <c r="K164" i="16" s="1"/>
  <c r="I164" i="16"/>
  <c r="AC163" i="16"/>
  <c r="AA163" i="16"/>
  <c r="AB163" i="16" s="1"/>
  <c r="Q163" i="16"/>
  <c r="P163" i="16"/>
  <c r="N163" i="16"/>
  <c r="L163" i="16"/>
  <c r="M163" i="16" s="1"/>
  <c r="J163" i="16"/>
  <c r="K163" i="16" s="1"/>
  <c r="I163" i="16"/>
  <c r="AC162" i="16"/>
  <c r="AA162" i="16"/>
  <c r="AB162" i="16" s="1"/>
  <c r="Q162" i="16"/>
  <c r="P162" i="16"/>
  <c r="N162" i="16"/>
  <c r="L162" i="16"/>
  <c r="M162" i="16" s="1"/>
  <c r="J162" i="16"/>
  <c r="K162" i="16" s="1"/>
  <c r="I162" i="16"/>
  <c r="AC161" i="16"/>
  <c r="AA161" i="16"/>
  <c r="AB161" i="16" s="1"/>
  <c r="Q161" i="16"/>
  <c r="P161" i="16"/>
  <c r="N161" i="16"/>
  <c r="L161" i="16"/>
  <c r="M161" i="16" s="1"/>
  <c r="J161" i="16"/>
  <c r="K161" i="16" s="1"/>
  <c r="I161" i="16"/>
  <c r="AC160" i="16"/>
  <c r="AA160" i="16"/>
  <c r="AB160" i="16" s="1"/>
  <c r="Q160" i="16"/>
  <c r="P160" i="16"/>
  <c r="N160" i="16"/>
  <c r="L160" i="16"/>
  <c r="M160" i="16" s="1"/>
  <c r="J160" i="16"/>
  <c r="K160" i="16" s="1"/>
  <c r="I160" i="16"/>
  <c r="AC159" i="16"/>
  <c r="AA159" i="16"/>
  <c r="AB159" i="16" s="1"/>
  <c r="Q159" i="16"/>
  <c r="P159" i="16"/>
  <c r="N159" i="16"/>
  <c r="L159" i="16"/>
  <c r="M159" i="16" s="1"/>
  <c r="J159" i="16"/>
  <c r="K159" i="16" s="1"/>
  <c r="I159" i="16"/>
  <c r="AC158" i="16"/>
  <c r="AA158" i="16"/>
  <c r="AB158" i="16" s="1"/>
  <c r="Q158" i="16"/>
  <c r="P158" i="16"/>
  <c r="N158" i="16"/>
  <c r="L158" i="16"/>
  <c r="M158" i="16" s="1"/>
  <c r="J158" i="16"/>
  <c r="K158" i="16" s="1"/>
  <c r="I158" i="16"/>
  <c r="AC157" i="16"/>
  <c r="AA157" i="16"/>
  <c r="AB157" i="16" s="1"/>
  <c r="Q157" i="16"/>
  <c r="P157" i="16"/>
  <c r="N157" i="16"/>
  <c r="L157" i="16"/>
  <c r="M157" i="16" s="1"/>
  <c r="J157" i="16"/>
  <c r="K157" i="16" s="1"/>
  <c r="I157" i="16"/>
  <c r="AC156" i="16"/>
  <c r="AA156" i="16"/>
  <c r="AB156" i="16" s="1"/>
  <c r="Q156" i="16"/>
  <c r="P156" i="16"/>
  <c r="N156" i="16"/>
  <c r="L156" i="16"/>
  <c r="M156" i="16" s="1"/>
  <c r="J156" i="16"/>
  <c r="K156" i="16" s="1"/>
  <c r="I156" i="16"/>
  <c r="AC155" i="16"/>
  <c r="AA155" i="16"/>
  <c r="AB155" i="16" s="1"/>
  <c r="Q155" i="16"/>
  <c r="P155" i="16"/>
  <c r="N155" i="16"/>
  <c r="L155" i="16"/>
  <c r="M155" i="16" s="1"/>
  <c r="J155" i="16"/>
  <c r="K155" i="16" s="1"/>
  <c r="I155" i="16"/>
  <c r="AC154" i="16"/>
  <c r="AA154" i="16"/>
  <c r="AB154" i="16" s="1"/>
  <c r="Q154" i="16"/>
  <c r="P154" i="16"/>
  <c r="N154" i="16"/>
  <c r="L154" i="16"/>
  <c r="M154" i="16" s="1"/>
  <c r="J154" i="16"/>
  <c r="K154" i="16" s="1"/>
  <c r="I154" i="16"/>
  <c r="AC153" i="16"/>
  <c r="AA153" i="16"/>
  <c r="AB153" i="16" s="1"/>
  <c r="Q153" i="16"/>
  <c r="P153" i="16"/>
  <c r="N153" i="16"/>
  <c r="L153" i="16"/>
  <c r="M153" i="16" s="1"/>
  <c r="J153" i="16"/>
  <c r="K153" i="16" s="1"/>
  <c r="I153" i="16"/>
  <c r="AC152" i="16"/>
  <c r="AA152" i="16"/>
  <c r="AB152" i="16" s="1"/>
  <c r="Q152" i="16"/>
  <c r="P152" i="16"/>
  <c r="N152" i="16"/>
  <c r="L152" i="16"/>
  <c r="M152" i="16" s="1"/>
  <c r="J152" i="16"/>
  <c r="K152" i="16" s="1"/>
  <c r="I152" i="16"/>
  <c r="AC151" i="16"/>
  <c r="AA151" i="16"/>
  <c r="AB151" i="16" s="1"/>
  <c r="Q151" i="16"/>
  <c r="P151" i="16"/>
  <c r="N151" i="16"/>
  <c r="L151" i="16"/>
  <c r="M151" i="16" s="1"/>
  <c r="J151" i="16"/>
  <c r="K151" i="16" s="1"/>
  <c r="I151" i="16"/>
  <c r="AC150" i="16"/>
  <c r="AA150" i="16"/>
  <c r="AB150" i="16" s="1"/>
  <c r="Q150" i="16"/>
  <c r="P150" i="16"/>
  <c r="N150" i="16"/>
  <c r="L150" i="16"/>
  <c r="M150" i="16" s="1"/>
  <c r="J150" i="16"/>
  <c r="K150" i="16" s="1"/>
  <c r="I150" i="16"/>
  <c r="AC149" i="16"/>
  <c r="AA149" i="16"/>
  <c r="AB149" i="16" s="1"/>
  <c r="Q149" i="16"/>
  <c r="P149" i="16"/>
  <c r="N149" i="16"/>
  <c r="L149" i="16"/>
  <c r="M149" i="16" s="1"/>
  <c r="J149" i="16"/>
  <c r="K149" i="16" s="1"/>
  <c r="I149" i="16"/>
  <c r="AC148" i="16"/>
  <c r="AA148" i="16"/>
  <c r="AB148" i="16" s="1"/>
  <c r="Q148" i="16"/>
  <c r="P148" i="16"/>
  <c r="N148" i="16"/>
  <c r="L148" i="16"/>
  <c r="M148" i="16" s="1"/>
  <c r="J148" i="16"/>
  <c r="K148" i="16" s="1"/>
  <c r="I148" i="16"/>
  <c r="AC147" i="16"/>
  <c r="AA147" i="16"/>
  <c r="AB147" i="16" s="1"/>
  <c r="Q147" i="16"/>
  <c r="P147" i="16"/>
  <c r="N147" i="16"/>
  <c r="L147" i="16"/>
  <c r="M147" i="16" s="1"/>
  <c r="J147" i="16"/>
  <c r="K147" i="16" s="1"/>
  <c r="I147" i="16"/>
  <c r="AC146" i="16"/>
  <c r="AA146" i="16"/>
  <c r="AB146" i="16" s="1"/>
  <c r="Q146" i="16"/>
  <c r="P146" i="16"/>
  <c r="N146" i="16"/>
  <c r="L146" i="16"/>
  <c r="M146" i="16" s="1"/>
  <c r="J146" i="16"/>
  <c r="K146" i="16" s="1"/>
  <c r="I146" i="16"/>
  <c r="AC145" i="16"/>
  <c r="AA145" i="16"/>
  <c r="AB145" i="16" s="1"/>
  <c r="Q145" i="16"/>
  <c r="P145" i="16"/>
  <c r="N145" i="16"/>
  <c r="L145" i="16"/>
  <c r="M145" i="16" s="1"/>
  <c r="J145" i="16"/>
  <c r="K145" i="16" s="1"/>
  <c r="I145" i="16"/>
  <c r="AC144" i="16"/>
  <c r="AA144" i="16"/>
  <c r="AB144" i="16" s="1"/>
  <c r="Q144" i="16"/>
  <c r="P144" i="16"/>
  <c r="N144" i="16"/>
  <c r="L144" i="16"/>
  <c r="M144" i="16" s="1"/>
  <c r="J144" i="16"/>
  <c r="K144" i="16" s="1"/>
  <c r="I144" i="16"/>
  <c r="AC143" i="16"/>
  <c r="AA143" i="16"/>
  <c r="AB143" i="16" s="1"/>
  <c r="Q143" i="16"/>
  <c r="P143" i="16"/>
  <c r="N143" i="16"/>
  <c r="L143" i="16"/>
  <c r="M143" i="16" s="1"/>
  <c r="J143" i="16"/>
  <c r="K143" i="16" s="1"/>
  <c r="I143" i="16"/>
  <c r="AC142" i="16"/>
  <c r="AA142" i="16"/>
  <c r="AB142" i="16" s="1"/>
  <c r="Q142" i="16"/>
  <c r="P142" i="16"/>
  <c r="N142" i="16"/>
  <c r="L142" i="16"/>
  <c r="M142" i="16" s="1"/>
  <c r="J142" i="16"/>
  <c r="K142" i="16" s="1"/>
  <c r="I142" i="16"/>
  <c r="AC141" i="16"/>
  <c r="AA141" i="16"/>
  <c r="AB141" i="16" s="1"/>
  <c r="Q141" i="16"/>
  <c r="P141" i="16"/>
  <c r="N141" i="16"/>
  <c r="L141" i="16"/>
  <c r="M141" i="16" s="1"/>
  <c r="J141" i="16"/>
  <c r="K141" i="16" s="1"/>
  <c r="I141" i="16"/>
  <c r="AC140" i="16"/>
  <c r="AA140" i="16"/>
  <c r="AB140" i="16" s="1"/>
  <c r="Q140" i="16"/>
  <c r="P140" i="16"/>
  <c r="N140" i="16"/>
  <c r="L140" i="16"/>
  <c r="M140" i="16" s="1"/>
  <c r="J140" i="16"/>
  <c r="K140" i="16" s="1"/>
  <c r="I140" i="16"/>
  <c r="AC139" i="16"/>
  <c r="AA139" i="16"/>
  <c r="AB139" i="16" s="1"/>
  <c r="Q139" i="16"/>
  <c r="P139" i="16"/>
  <c r="N139" i="16"/>
  <c r="L139" i="16"/>
  <c r="M139" i="16" s="1"/>
  <c r="J139" i="16"/>
  <c r="K139" i="16" s="1"/>
  <c r="I139" i="16"/>
  <c r="AC138" i="16"/>
  <c r="AA138" i="16"/>
  <c r="AB138" i="16" s="1"/>
  <c r="Q138" i="16"/>
  <c r="P138" i="16"/>
  <c r="N138" i="16"/>
  <c r="L138" i="16"/>
  <c r="M138" i="16" s="1"/>
  <c r="J138" i="16"/>
  <c r="K138" i="16" s="1"/>
  <c r="I138" i="16"/>
  <c r="AC137" i="16"/>
  <c r="AA137" i="16"/>
  <c r="AB137" i="16" s="1"/>
  <c r="Q137" i="16"/>
  <c r="P137" i="16"/>
  <c r="N137" i="16"/>
  <c r="L137" i="16"/>
  <c r="M137" i="16" s="1"/>
  <c r="J137" i="16"/>
  <c r="K137" i="16" s="1"/>
  <c r="I137" i="16"/>
  <c r="AC136" i="16"/>
  <c r="AA136" i="16"/>
  <c r="AB136" i="16" s="1"/>
  <c r="Q136" i="16"/>
  <c r="P136" i="16"/>
  <c r="N136" i="16"/>
  <c r="L136" i="16"/>
  <c r="M136" i="16" s="1"/>
  <c r="J136" i="16"/>
  <c r="K136" i="16" s="1"/>
  <c r="I136" i="16"/>
  <c r="AC135" i="16"/>
  <c r="AA135" i="16"/>
  <c r="AB135" i="16" s="1"/>
  <c r="Q135" i="16"/>
  <c r="P135" i="16"/>
  <c r="N135" i="16"/>
  <c r="L135" i="16"/>
  <c r="M135" i="16" s="1"/>
  <c r="J135" i="16"/>
  <c r="K135" i="16" s="1"/>
  <c r="I135" i="16"/>
  <c r="AC134" i="16"/>
  <c r="AA134" i="16"/>
  <c r="AB134" i="16" s="1"/>
  <c r="Q134" i="16"/>
  <c r="P134" i="16"/>
  <c r="N134" i="16"/>
  <c r="L134" i="16"/>
  <c r="M134" i="16" s="1"/>
  <c r="J134" i="16"/>
  <c r="K134" i="16" s="1"/>
  <c r="I134" i="16"/>
  <c r="AC133" i="16"/>
  <c r="AA133" i="16"/>
  <c r="AB133" i="16" s="1"/>
  <c r="Q133" i="16"/>
  <c r="P133" i="16"/>
  <c r="N133" i="16"/>
  <c r="L133" i="16"/>
  <c r="M133" i="16" s="1"/>
  <c r="J133" i="16"/>
  <c r="K133" i="16" s="1"/>
  <c r="I133" i="16"/>
  <c r="AC132" i="16"/>
  <c r="AA132" i="16"/>
  <c r="AB132" i="16" s="1"/>
  <c r="Q132" i="16"/>
  <c r="P132" i="16"/>
  <c r="N132" i="16"/>
  <c r="L132" i="16"/>
  <c r="M132" i="16" s="1"/>
  <c r="J132" i="16"/>
  <c r="K132" i="16" s="1"/>
  <c r="I132" i="16"/>
  <c r="AC131" i="16"/>
  <c r="AA131" i="16"/>
  <c r="AB131" i="16" s="1"/>
  <c r="Q131" i="16"/>
  <c r="P131" i="16"/>
  <c r="N131" i="16"/>
  <c r="L131" i="16"/>
  <c r="M131" i="16" s="1"/>
  <c r="J131" i="16"/>
  <c r="K131" i="16" s="1"/>
  <c r="I131" i="16"/>
  <c r="AC130" i="16"/>
  <c r="AA130" i="16"/>
  <c r="AB130" i="16" s="1"/>
  <c r="Q130" i="16"/>
  <c r="P130" i="16"/>
  <c r="N130" i="16"/>
  <c r="L130" i="16"/>
  <c r="M130" i="16" s="1"/>
  <c r="J130" i="16"/>
  <c r="K130" i="16" s="1"/>
  <c r="I130" i="16"/>
  <c r="AC129" i="16"/>
  <c r="AA129" i="16"/>
  <c r="AB129" i="16" s="1"/>
  <c r="Q129" i="16"/>
  <c r="P129" i="16"/>
  <c r="N129" i="16"/>
  <c r="L129" i="16"/>
  <c r="M129" i="16" s="1"/>
  <c r="J129" i="16"/>
  <c r="K129" i="16" s="1"/>
  <c r="I129" i="16"/>
  <c r="AC128" i="16"/>
  <c r="AA128" i="16"/>
  <c r="AB128" i="16" s="1"/>
  <c r="Q128" i="16"/>
  <c r="P128" i="16"/>
  <c r="N128" i="16"/>
  <c r="L128" i="16"/>
  <c r="M128" i="16" s="1"/>
  <c r="J128" i="16"/>
  <c r="K128" i="16" s="1"/>
  <c r="I128" i="16"/>
  <c r="AC127" i="16"/>
  <c r="AA127" i="16"/>
  <c r="AB127" i="16" s="1"/>
  <c r="Q127" i="16"/>
  <c r="P127" i="16"/>
  <c r="N127" i="16"/>
  <c r="L127" i="16"/>
  <c r="M127" i="16" s="1"/>
  <c r="J127" i="16"/>
  <c r="K127" i="16" s="1"/>
  <c r="I127" i="16"/>
  <c r="AC126" i="16"/>
  <c r="AA126" i="16"/>
  <c r="AB126" i="16" s="1"/>
  <c r="Q126" i="16"/>
  <c r="P126" i="16"/>
  <c r="N126" i="16"/>
  <c r="L126" i="16"/>
  <c r="M126" i="16" s="1"/>
  <c r="J126" i="16"/>
  <c r="K126" i="16" s="1"/>
  <c r="I126" i="16"/>
  <c r="AC125" i="16"/>
  <c r="AA125" i="16"/>
  <c r="AB125" i="16" s="1"/>
  <c r="Q125" i="16"/>
  <c r="P125" i="16"/>
  <c r="N125" i="16"/>
  <c r="L125" i="16"/>
  <c r="M125" i="16" s="1"/>
  <c r="J125" i="16"/>
  <c r="K125" i="16" s="1"/>
  <c r="I125" i="16"/>
  <c r="AC124" i="16"/>
  <c r="AA124" i="16"/>
  <c r="AB124" i="16" s="1"/>
  <c r="Q124" i="16"/>
  <c r="P124" i="16"/>
  <c r="N124" i="16"/>
  <c r="L124" i="16"/>
  <c r="M124" i="16" s="1"/>
  <c r="J124" i="16"/>
  <c r="K124" i="16" s="1"/>
  <c r="I124" i="16"/>
  <c r="J64" i="5"/>
  <c r="H64" i="5"/>
  <c r="I64" i="5" s="1"/>
  <c r="J73" i="5"/>
  <c r="H73" i="5"/>
  <c r="I73" i="5" s="1"/>
  <c r="J72" i="5"/>
  <c r="H72" i="5"/>
  <c r="I72" i="5" s="1"/>
  <c r="J71" i="5"/>
  <c r="H71" i="5"/>
  <c r="I71" i="5" s="1"/>
  <c r="J70" i="5"/>
  <c r="H70" i="5"/>
  <c r="I70" i="5" s="1"/>
  <c r="J69" i="5"/>
  <c r="H69" i="5"/>
  <c r="I69" i="5" s="1"/>
  <c r="M240" i="16" l="1"/>
  <c r="R1241" i="16"/>
  <c r="R1242" i="16"/>
  <c r="R1244" i="16"/>
  <c r="R1240" i="16"/>
  <c r="AL784" i="16"/>
  <c r="AN784" i="16" s="1"/>
  <c r="R1243" i="16"/>
  <c r="R1245" i="16"/>
  <c r="R1269" i="16"/>
  <c r="R1285" i="16"/>
  <c r="R1286" i="16"/>
  <c r="R1287" i="16"/>
  <c r="R1288" i="16"/>
  <c r="R1289" i="16"/>
  <c r="R1293" i="16"/>
  <c r="R1301" i="16"/>
  <c r="R1302" i="16"/>
  <c r="R1303" i="16"/>
  <c r="R1261" i="16"/>
  <c r="R1265" i="16"/>
  <c r="R1270" i="16"/>
  <c r="R1271" i="16"/>
  <c r="R1272" i="16"/>
  <c r="R1273" i="16"/>
  <c r="R1277" i="16"/>
  <c r="R1281" i="16"/>
  <c r="R1274" i="16"/>
  <c r="R1275" i="16"/>
  <c r="R1276" i="16"/>
  <c r="R1290" i="16"/>
  <c r="R1291" i="16"/>
  <c r="R1292" i="16"/>
  <c r="R1304" i="16"/>
  <c r="R1305" i="16"/>
  <c r="R1306" i="16"/>
  <c r="R1307" i="16"/>
  <c r="R1262" i="16"/>
  <c r="R1263" i="16"/>
  <c r="R1264" i="16"/>
  <c r="R1278" i="16"/>
  <c r="R1279" i="16"/>
  <c r="R1280" i="16"/>
  <c r="R1294" i="16"/>
  <c r="R1295" i="16"/>
  <c r="R1296" i="16"/>
  <c r="R1297" i="16"/>
  <c r="R1266" i="16"/>
  <c r="R1267" i="16"/>
  <c r="R1268" i="16"/>
  <c r="R1282" i="16"/>
  <c r="R1283" i="16"/>
  <c r="R1284" i="16"/>
  <c r="R1298" i="16"/>
  <c r="R1299" i="16"/>
  <c r="R1300" i="16"/>
  <c r="M1301" i="16"/>
  <c r="O1301" i="16" s="1"/>
  <c r="S1301" i="16" s="1"/>
  <c r="T1301" i="16" s="1"/>
  <c r="AE1301" i="16" s="1"/>
  <c r="M1303" i="16"/>
  <c r="O1303" i="16" s="1"/>
  <c r="M1305" i="16"/>
  <c r="AL1305" i="16" s="1"/>
  <c r="AN1305" i="16" s="1"/>
  <c r="M1307" i="16"/>
  <c r="O1307" i="16" s="1"/>
  <c r="M1300" i="16"/>
  <c r="O1300" i="16" s="1"/>
  <c r="M1302" i="16"/>
  <c r="AL1302" i="16" s="1"/>
  <c r="AN1302" i="16" s="1"/>
  <c r="M1304" i="16"/>
  <c r="O1304" i="16" s="1"/>
  <c r="M1306" i="16"/>
  <c r="AL1306" i="16" s="1"/>
  <c r="AN1306" i="16" s="1"/>
  <c r="M1299" i="16"/>
  <c r="AL1299" i="16" s="1"/>
  <c r="AN1299" i="16" s="1"/>
  <c r="R1112" i="16"/>
  <c r="R1073" i="16"/>
  <c r="R1113" i="16"/>
  <c r="R1114" i="16"/>
  <c r="R1115" i="16"/>
  <c r="R1116" i="16"/>
  <c r="R1117" i="16"/>
  <c r="R1118" i="16"/>
  <c r="R1131" i="16"/>
  <c r="R1152" i="16"/>
  <c r="R1177" i="16"/>
  <c r="R1178" i="16"/>
  <c r="R1179" i="16"/>
  <c r="R1180" i="16"/>
  <c r="R1181" i="16"/>
  <c r="R1182" i="16"/>
  <c r="R1183" i="16"/>
  <c r="R1185" i="16"/>
  <c r="R1189" i="16"/>
  <c r="R1224" i="16"/>
  <c r="R1132" i="16"/>
  <c r="R1133" i="16"/>
  <c r="R1134" i="16"/>
  <c r="R1135" i="16"/>
  <c r="R1136" i="16"/>
  <c r="R1137" i="16"/>
  <c r="R1138" i="16"/>
  <c r="R1139" i="16"/>
  <c r="R1140" i="16"/>
  <c r="R1141" i="16"/>
  <c r="R1142" i="16"/>
  <c r="R1147" i="16"/>
  <c r="R1201" i="16"/>
  <c r="R1211" i="16"/>
  <c r="R1074" i="16"/>
  <c r="R1075" i="16"/>
  <c r="R1076" i="16"/>
  <c r="R1077" i="16"/>
  <c r="R1078" i="16"/>
  <c r="R1079" i="16"/>
  <c r="R1080" i="16"/>
  <c r="R1081" i="16"/>
  <c r="R1153" i="16"/>
  <c r="R1154" i="16"/>
  <c r="R1155" i="16"/>
  <c r="R1156" i="16"/>
  <c r="R1157" i="16"/>
  <c r="R1158" i="16"/>
  <c r="R1163" i="16"/>
  <c r="R1225" i="16"/>
  <c r="R1095" i="16"/>
  <c r="R1096" i="16"/>
  <c r="R1097" i="16"/>
  <c r="R1098" i="16"/>
  <c r="R1099" i="16"/>
  <c r="R1110" i="16"/>
  <c r="R1168" i="16"/>
  <c r="R1169" i="16"/>
  <c r="R1170" i="16"/>
  <c r="R1171" i="16"/>
  <c r="R1172" i="16"/>
  <c r="R1176" i="16"/>
  <c r="R1082" i="16"/>
  <c r="R1083" i="16"/>
  <c r="R1100" i="16"/>
  <c r="R1101" i="16"/>
  <c r="R1102" i="16"/>
  <c r="R1103" i="16"/>
  <c r="R1104" i="16"/>
  <c r="R1105" i="16"/>
  <c r="R1106" i="16"/>
  <c r="R1107" i="16"/>
  <c r="R1143" i="16"/>
  <c r="R1144" i="16"/>
  <c r="R1145" i="16"/>
  <c r="R1146" i="16"/>
  <c r="R1159" i="16"/>
  <c r="R1160" i="16"/>
  <c r="R1161" i="16"/>
  <c r="R1184" i="16"/>
  <c r="R1202" i="16"/>
  <c r="R1203" i="16"/>
  <c r="R1204" i="16"/>
  <c r="R1205" i="16"/>
  <c r="R1206" i="16"/>
  <c r="R1207" i="16"/>
  <c r="R1208" i="16"/>
  <c r="R1209" i="16"/>
  <c r="R1210" i="16"/>
  <c r="R1226" i="16"/>
  <c r="R1227" i="16"/>
  <c r="R1228" i="16"/>
  <c r="R1229" i="16"/>
  <c r="R1230" i="16"/>
  <c r="R1231" i="16"/>
  <c r="R1232" i="16"/>
  <c r="R1233" i="16"/>
  <c r="R1064" i="16"/>
  <c r="R1065" i="16"/>
  <c r="R1066" i="16"/>
  <c r="R1067" i="16"/>
  <c r="R1068" i="16"/>
  <c r="R1069" i="16"/>
  <c r="R1070" i="16"/>
  <c r="R1071" i="16"/>
  <c r="R1084" i="16"/>
  <c r="R1085" i="16"/>
  <c r="R1086" i="16"/>
  <c r="R1087" i="16"/>
  <c r="R1088" i="16"/>
  <c r="R1089" i="16"/>
  <c r="R1108" i="16"/>
  <c r="R1109" i="16"/>
  <c r="R1119" i="16"/>
  <c r="R1120" i="16"/>
  <c r="R1121" i="16"/>
  <c r="R1122" i="16"/>
  <c r="R1123" i="16"/>
  <c r="R1124" i="16"/>
  <c r="R1125" i="16"/>
  <c r="R1126" i="16"/>
  <c r="R1127" i="16"/>
  <c r="R1148" i="16"/>
  <c r="R1149" i="16"/>
  <c r="R1150" i="16"/>
  <c r="R1151" i="16"/>
  <c r="R1162" i="16"/>
  <c r="R1173" i="16"/>
  <c r="R1174" i="16"/>
  <c r="R1175" i="16"/>
  <c r="R1186" i="16"/>
  <c r="R1187" i="16"/>
  <c r="R1188" i="16"/>
  <c r="R1212" i="16"/>
  <c r="R1213" i="16"/>
  <c r="R1214" i="16"/>
  <c r="R1215" i="16"/>
  <c r="R1234" i="16"/>
  <c r="R1235" i="16"/>
  <c r="R1236" i="16"/>
  <c r="R1237" i="16"/>
  <c r="R1238" i="16"/>
  <c r="R1072" i="16"/>
  <c r="R1090" i="16"/>
  <c r="R1091" i="16"/>
  <c r="R1092" i="16"/>
  <c r="R1093" i="16"/>
  <c r="R1094" i="16"/>
  <c r="R1111" i="16"/>
  <c r="R1128" i="16"/>
  <c r="R1129" i="16"/>
  <c r="R1130" i="16"/>
  <c r="R1164" i="16"/>
  <c r="R1165" i="16"/>
  <c r="R1166" i="16"/>
  <c r="R1167" i="16"/>
  <c r="R1190" i="16"/>
  <c r="R1191" i="16"/>
  <c r="R1192" i="16"/>
  <c r="R1193" i="16"/>
  <c r="R1194" i="16"/>
  <c r="R1195" i="16"/>
  <c r="R1196" i="16"/>
  <c r="R1197" i="16"/>
  <c r="R1198" i="16"/>
  <c r="R1199" i="16"/>
  <c r="R1200" i="16"/>
  <c r="R1216" i="16"/>
  <c r="R1217" i="16"/>
  <c r="R1218" i="16"/>
  <c r="R1219" i="16"/>
  <c r="R1220" i="16"/>
  <c r="R1221" i="16"/>
  <c r="R1222" i="16"/>
  <c r="R1223" i="16"/>
  <c r="R1060" i="16"/>
  <c r="R1061" i="16"/>
  <c r="R1062" i="16"/>
  <c r="R1056" i="16"/>
  <c r="R1058" i="16"/>
  <c r="R1059" i="16"/>
  <c r="R1057" i="16"/>
  <c r="R958" i="16"/>
  <c r="R973" i="16"/>
  <c r="R974" i="16"/>
  <c r="R975" i="16"/>
  <c r="AD1776" i="16"/>
  <c r="AF1776" i="16" s="1"/>
  <c r="AG1776" i="16" s="1"/>
  <c r="O1778" i="16"/>
  <c r="S1778" i="16" s="1"/>
  <c r="O1794" i="16"/>
  <c r="S1794" i="16" s="1"/>
  <c r="O1826" i="16"/>
  <c r="S1826" i="16" s="1"/>
  <c r="AD1808" i="16"/>
  <c r="AF1808" i="16" s="1"/>
  <c r="AI1808" i="16" s="1"/>
  <c r="AJ1808" i="16" s="1"/>
  <c r="AD1816" i="16"/>
  <c r="AF1816" i="16" s="1"/>
  <c r="O1822" i="16"/>
  <c r="S1822" i="16" s="1"/>
  <c r="O2259" i="16"/>
  <c r="S2259" i="16" s="1"/>
  <c r="AL1487" i="16"/>
  <c r="AN1487" i="16" s="1"/>
  <c r="O1758" i="16"/>
  <c r="S1758" i="16" s="1"/>
  <c r="R865" i="16"/>
  <c r="R1015" i="16"/>
  <c r="R602" i="16"/>
  <c r="R989" i="16"/>
  <c r="R990" i="16"/>
  <c r="R993" i="16"/>
  <c r="R994" i="16"/>
  <c r="R997" i="16"/>
  <c r="R998" i="16"/>
  <c r="R1002" i="16"/>
  <c r="R1006" i="16"/>
  <c r="R1018" i="16"/>
  <c r="R1019" i="16"/>
  <c r="R1026" i="16"/>
  <c r="R946" i="16"/>
  <c r="R947" i="16"/>
  <c r="R948" i="16"/>
  <c r="R977" i="16"/>
  <c r="R978" i="16"/>
  <c r="R979" i="16"/>
  <c r="R980" i="16"/>
  <c r="R981" i="16"/>
  <c r="R982" i="16"/>
  <c r="R983" i="16"/>
  <c r="R984" i="16"/>
  <c r="O1834" i="16"/>
  <c r="S1834" i="16" s="1"/>
  <c r="O1842" i="16"/>
  <c r="S1842" i="16" s="1"/>
  <c r="O1922" i="16"/>
  <c r="S1922" i="16" s="1"/>
  <c r="O1930" i="16"/>
  <c r="S1930" i="16" s="1"/>
  <c r="O1942" i="16"/>
  <c r="S1942" i="16" s="1"/>
  <c r="O1950" i="16"/>
  <c r="S1950" i="16" s="1"/>
  <c r="O1962" i="16"/>
  <c r="S1962" i="16" s="1"/>
  <c r="O1974" i="16"/>
  <c r="S1974" i="16" s="1"/>
  <c r="R636" i="16"/>
  <c r="R637" i="16"/>
  <c r="R638" i="16"/>
  <c r="R639" i="16"/>
  <c r="R922" i="16"/>
  <c r="R923" i="16"/>
  <c r="R924" i="16"/>
  <c r="R925" i="16"/>
  <c r="R927" i="16"/>
  <c r="R1029" i="16"/>
  <c r="R1030" i="16"/>
  <c r="R1033" i="16"/>
  <c r="R1034" i="16"/>
  <c r="R1037" i="16"/>
  <c r="R1038" i="16"/>
  <c r="R1041" i="16"/>
  <c r="R1050" i="16"/>
  <c r="R1010" i="16"/>
  <c r="R1011" i="16"/>
  <c r="R1014" i="16"/>
  <c r="R1025" i="16"/>
  <c r="R668" i="16"/>
  <c r="R669" i="16"/>
  <c r="R670" i="16"/>
  <c r="R671" i="16"/>
  <c r="R672" i="16"/>
  <c r="R673" i="16"/>
  <c r="R674" i="16"/>
  <c r="R711" i="16"/>
  <c r="R712" i="16"/>
  <c r="R713" i="16"/>
  <c r="R714" i="16"/>
  <c r="R726" i="16"/>
  <c r="R727" i="16"/>
  <c r="R730" i="16"/>
  <c r="R732" i="16"/>
  <c r="R846" i="16"/>
  <c r="R847" i="16"/>
  <c r="R931" i="16"/>
  <c r="R932" i="16"/>
  <c r="R933" i="16"/>
  <c r="R934" i="16"/>
  <c r="R935" i="16"/>
  <c r="R936" i="16"/>
  <c r="R937" i="16"/>
  <c r="R938" i="16"/>
  <c r="R939" i="16"/>
  <c r="R949" i="16"/>
  <c r="R950" i="16"/>
  <c r="R951" i="16"/>
  <c r="R952" i="16"/>
  <c r="R953" i="16"/>
  <c r="R956" i="16"/>
  <c r="R957" i="16"/>
  <c r="R965" i="16"/>
  <c r="R966" i="16"/>
  <c r="R967" i="16"/>
  <c r="R968" i="16"/>
  <c r="R985" i="16"/>
  <c r="R986" i="16"/>
  <c r="R1022" i="16"/>
  <c r="R1023" i="16"/>
  <c r="R1042" i="16"/>
  <c r="R1045" i="16"/>
  <c r="R1046" i="16"/>
  <c r="R1049" i="16"/>
  <c r="R907" i="16"/>
  <c r="R920" i="16"/>
  <c r="R921" i="16"/>
  <c r="R926" i="16"/>
  <c r="R940" i="16"/>
  <c r="R954" i="16"/>
  <c r="R959" i="16"/>
  <c r="R960" i="16"/>
  <c r="R961" i="16"/>
  <c r="R962" i="16"/>
  <c r="R963" i="16"/>
  <c r="R969" i="16"/>
  <c r="R1012" i="16"/>
  <c r="R1013" i="16"/>
  <c r="R1053" i="16"/>
  <c r="R1054" i="16"/>
  <c r="R1007" i="16"/>
  <c r="R1039" i="16"/>
  <c r="R1040" i="16"/>
  <c r="R1024" i="16"/>
  <c r="R1020" i="16"/>
  <c r="R1031" i="16"/>
  <c r="R1032" i="16"/>
  <c r="R1047" i="16"/>
  <c r="R1048" i="16"/>
  <c r="R1021" i="16"/>
  <c r="R1009" i="16"/>
  <c r="R1016" i="16"/>
  <c r="R1017" i="16"/>
  <c r="R1027" i="16"/>
  <c r="R1028" i="16"/>
  <c r="R1035" i="16"/>
  <c r="R1036" i="16"/>
  <c r="R1043" i="16"/>
  <c r="R1044" i="16"/>
  <c r="R1051" i="16"/>
  <c r="R1052" i="16"/>
  <c r="R988" i="16"/>
  <c r="R991" i="16"/>
  <c r="R992" i="16"/>
  <c r="R995" i="16"/>
  <c r="R996" i="16"/>
  <c r="R999" i="16"/>
  <c r="R1000" i="16"/>
  <c r="R1001" i="16"/>
  <c r="R1003" i="16"/>
  <c r="R1004" i="16"/>
  <c r="R1005" i="16"/>
  <c r="R928" i="16"/>
  <c r="R929" i="16"/>
  <c r="R941" i="16"/>
  <c r="R942" i="16"/>
  <c r="R970" i="16"/>
  <c r="R971" i="16"/>
  <c r="R972" i="16"/>
  <c r="R930" i="16"/>
  <c r="R943" i="16"/>
  <c r="R944" i="16"/>
  <c r="R945" i="16"/>
  <c r="R976" i="16"/>
  <c r="AL1313" i="16"/>
  <c r="AN1313" i="16" s="1"/>
  <c r="R175" i="16"/>
  <c r="R176" i="16"/>
  <c r="R456" i="16"/>
  <c r="R502" i="16"/>
  <c r="R503" i="16"/>
  <c r="R504" i="16"/>
  <c r="R505" i="16"/>
  <c r="R506" i="16"/>
  <c r="R507" i="16"/>
  <c r="R508" i="16"/>
  <c r="R509" i="16"/>
  <c r="R510" i="16"/>
  <c r="R511" i="16"/>
  <c r="R790" i="16"/>
  <c r="R791" i="16"/>
  <c r="R792" i="16"/>
  <c r="R793" i="16"/>
  <c r="R830" i="16"/>
  <c r="R831" i="16"/>
  <c r="R832" i="16"/>
  <c r="R839" i="16"/>
  <c r="R844" i="16"/>
  <c r="R850" i="16"/>
  <c r="R851" i="16"/>
  <c r="R852" i="16"/>
  <c r="R853" i="16"/>
  <c r="R854" i="16"/>
  <c r="R866" i="16"/>
  <c r="R867" i="16"/>
  <c r="R868" i="16"/>
  <c r="R869" i="16"/>
  <c r="R870" i="16"/>
  <c r="R871" i="16"/>
  <c r="R908" i="16"/>
  <c r="R909" i="16"/>
  <c r="R193" i="16"/>
  <c r="R269" i="16"/>
  <c r="R302" i="16"/>
  <c r="R303" i="16"/>
  <c r="R304" i="16"/>
  <c r="R305" i="16"/>
  <c r="R306" i="16"/>
  <c r="R307" i="16"/>
  <c r="R308" i="16"/>
  <c r="R335" i="16"/>
  <c r="R371" i="16"/>
  <c r="R409" i="16"/>
  <c r="R427" i="16"/>
  <c r="R428" i="16"/>
  <c r="R810" i="16"/>
  <c r="R811" i="16"/>
  <c r="R812" i="16"/>
  <c r="R824" i="16"/>
  <c r="R842" i="16"/>
  <c r="R860" i="16"/>
  <c r="R876" i="16"/>
  <c r="R877" i="16"/>
  <c r="R878" i="16"/>
  <c r="R879" i="16"/>
  <c r="R880" i="16"/>
  <c r="R881" i="16"/>
  <c r="R882" i="16"/>
  <c r="R883" i="16"/>
  <c r="R884" i="16"/>
  <c r="R885" i="16"/>
  <c r="R886" i="16"/>
  <c r="R887" i="16"/>
  <c r="R888" i="16"/>
  <c r="R889" i="16"/>
  <c r="R890" i="16"/>
  <c r="R891" i="16"/>
  <c r="R892" i="16"/>
  <c r="R893" i="16"/>
  <c r="R894" i="16"/>
  <c r="R895" i="16"/>
  <c r="R896" i="16"/>
  <c r="R897" i="16"/>
  <c r="R898" i="16"/>
  <c r="R899" i="16"/>
  <c r="O1845" i="16"/>
  <c r="S1845" i="16" s="1"/>
  <c r="AD1887" i="16"/>
  <c r="AF1887" i="16" s="1"/>
  <c r="O1921" i="16"/>
  <c r="S1921" i="16" s="1"/>
  <c r="O923" i="16"/>
  <c r="O932" i="16"/>
  <c r="AD934" i="16"/>
  <c r="O1984" i="16"/>
  <c r="S1984" i="16" s="1"/>
  <c r="O1988" i="16"/>
  <c r="S1988" i="16" s="1"/>
  <c r="O2012" i="16"/>
  <c r="S2012" i="16" s="1"/>
  <c r="O2013" i="16"/>
  <c r="S2013" i="16" s="1"/>
  <c r="AD2043" i="16"/>
  <c r="AF2043" i="16" s="1"/>
  <c r="AG2043" i="16" s="1"/>
  <c r="O2257" i="16"/>
  <c r="S2257" i="16" s="1"/>
  <c r="AD1045" i="16"/>
  <c r="AD1053" i="16"/>
  <c r="O1111" i="16"/>
  <c r="O1131" i="16"/>
  <c r="O1163" i="16"/>
  <c r="O1263" i="16"/>
  <c r="O1267" i="16"/>
  <c r="O1275" i="16"/>
  <c r="O1447" i="16"/>
  <c r="S1447" i="16" s="1"/>
  <c r="O1455" i="16"/>
  <c r="S1455" i="16" s="1"/>
  <c r="O1475" i="16"/>
  <c r="S1475" i="16" s="1"/>
  <c r="O1491" i="16"/>
  <c r="S1491" i="16" s="1"/>
  <c r="O1499" i="16"/>
  <c r="S1499" i="16" s="1"/>
  <c r="O1519" i="16"/>
  <c r="S1519" i="16" s="1"/>
  <c r="O1523" i="16"/>
  <c r="S1523" i="16" s="1"/>
  <c r="O1551" i="16"/>
  <c r="S1551" i="16" s="1"/>
  <c r="O1559" i="16"/>
  <c r="S1559" i="16" s="1"/>
  <c r="O1659" i="16"/>
  <c r="S1659" i="16" s="1"/>
  <c r="O1679" i="16"/>
  <c r="S1679" i="16" s="1"/>
  <c r="AD1681" i="16"/>
  <c r="AF1681" i="16" s="1"/>
  <c r="AD1689" i="16"/>
  <c r="AF1689" i="16" s="1"/>
  <c r="O1699" i="16"/>
  <c r="S1699" i="16" s="1"/>
  <c r="AD1705" i="16"/>
  <c r="AF1705" i="16" s="1"/>
  <c r="O1707" i="16"/>
  <c r="S1707" i="16" s="1"/>
  <c r="O1975" i="16"/>
  <c r="S1975" i="16" s="1"/>
  <c r="O1999" i="16"/>
  <c r="S1999" i="16" s="1"/>
  <c r="AD2001" i="16"/>
  <c r="AF2001" i="16" s="1"/>
  <c r="AI2001" i="16" s="1"/>
  <c r="AJ2001" i="16" s="1"/>
  <c r="O2003" i="16"/>
  <c r="S2003" i="16" s="1"/>
  <c r="AD2009" i="16"/>
  <c r="AF2009" i="16" s="1"/>
  <c r="AI2009" i="16" s="1"/>
  <c r="AJ2009" i="16" s="1"/>
  <c r="O2060" i="16"/>
  <c r="S2060" i="16" s="1"/>
  <c r="O2064" i="16"/>
  <c r="S2064" i="16" s="1"/>
  <c r="O2072" i="16"/>
  <c r="S2072" i="16" s="1"/>
  <c r="O2076" i="16"/>
  <c r="S2076" i="16" s="1"/>
  <c r="O2080" i="16"/>
  <c r="S2080" i="16" s="1"/>
  <c r="O2256" i="16"/>
  <c r="S2256" i="16" s="1"/>
  <c r="R603" i="16"/>
  <c r="R604" i="16"/>
  <c r="R605" i="16"/>
  <c r="R617" i="16"/>
  <c r="R622" i="16"/>
  <c r="R680" i="16"/>
  <c r="R715" i="16"/>
  <c r="R735" i="16"/>
  <c r="R738" i="16"/>
  <c r="R739" i="16"/>
  <c r="R740" i="16"/>
  <c r="R741" i="16"/>
  <c r="R750" i="16"/>
  <c r="R751" i="16"/>
  <c r="R752" i="16"/>
  <c r="R753" i="16"/>
  <c r="R754" i="16"/>
  <c r="R755" i="16"/>
  <c r="R756" i="16"/>
  <c r="R757" i="16"/>
  <c r="R758" i="16"/>
  <c r="R759" i="16"/>
  <c r="R760" i="16"/>
  <c r="R761" i="16"/>
  <c r="R769" i="16"/>
  <c r="R804" i="16"/>
  <c r="R838" i="16"/>
  <c r="R841" i="16"/>
  <c r="R845" i="16"/>
  <c r="R861" i="16"/>
  <c r="R862" i="16"/>
  <c r="R863" i="16"/>
  <c r="R864" i="16"/>
  <c r="R900" i="16"/>
  <c r="R901" i="16"/>
  <c r="R902" i="16"/>
  <c r="R903" i="16"/>
  <c r="R904" i="16"/>
  <c r="R905" i="16"/>
  <c r="R906" i="16"/>
  <c r="R265" i="16"/>
  <c r="R300" i="16"/>
  <c r="R421" i="16"/>
  <c r="R458" i="16"/>
  <c r="R512" i="16"/>
  <c r="R513" i="16"/>
  <c r="R514" i="16"/>
  <c r="R515" i="16"/>
  <c r="R516" i="16"/>
  <c r="R517" i="16"/>
  <c r="R532" i="16"/>
  <c r="R533" i="16"/>
  <c r="R534" i="16"/>
  <c r="R535" i="16"/>
  <c r="R536" i="16"/>
  <c r="R537" i="16"/>
  <c r="R538" i="16"/>
  <c r="R539" i="16"/>
  <c r="R540" i="16"/>
  <c r="R541" i="16"/>
  <c r="R542" i="16"/>
  <c r="R543" i="16"/>
  <c r="R544" i="16"/>
  <c r="R545" i="16"/>
  <c r="R546" i="16"/>
  <c r="R547" i="16"/>
  <c r="R548" i="16"/>
  <c r="R667" i="16"/>
  <c r="R787" i="16"/>
  <c r="R843" i="16"/>
  <c r="R848" i="16"/>
  <c r="R855" i="16"/>
  <c r="R856" i="16"/>
  <c r="R857" i="16"/>
  <c r="R858" i="16"/>
  <c r="R859" i="16"/>
  <c r="R872" i="16"/>
  <c r="R873" i="16"/>
  <c r="R874" i="16"/>
  <c r="R875" i="16"/>
  <c r="R910" i="16"/>
  <c r="R911" i="16"/>
  <c r="R912" i="16"/>
  <c r="R913" i="16"/>
  <c r="R914" i="16"/>
  <c r="R915" i="16"/>
  <c r="R916" i="16"/>
  <c r="R917" i="16"/>
  <c r="R918" i="16"/>
  <c r="AD823" i="16"/>
  <c r="O1031" i="16"/>
  <c r="AD1642" i="16"/>
  <c r="AF1642" i="16" s="1"/>
  <c r="AI1642" i="16" s="1"/>
  <c r="AJ1642" i="16" s="1"/>
  <c r="O1025" i="16"/>
  <c r="O1029" i="16"/>
  <c r="AD1052" i="16"/>
  <c r="O1105" i="16"/>
  <c r="S1105" i="16" s="1"/>
  <c r="T1105" i="16" s="1"/>
  <c r="AE1105" i="16" s="1"/>
  <c r="O1161" i="16"/>
  <c r="S1161" i="16" s="1"/>
  <c r="T1161" i="16" s="1"/>
  <c r="AE1161" i="16" s="1"/>
  <c r="O1273" i="16"/>
  <c r="S1273" i="16" s="1"/>
  <c r="T1273" i="16" s="1"/>
  <c r="AE1273" i="16" s="1"/>
  <c r="AD1303" i="16"/>
  <c r="O1385" i="16"/>
  <c r="S1385" i="16" s="1"/>
  <c r="O1445" i="16"/>
  <c r="S1445" i="16" s="1"/>
  <c r="O1577" i="16"/>
  <c r="S1577" i="16" s="1"/>
  <c r="AD1579" i="16"/>
  <c r="AF1579" i="16" s="1"/>
  <c r="AG1579" i="16" s="1"/>
  <c r="O1593" i="16"/>
  <c r="S1593" i="16" s="1"/>
  <c r="O1605" i="16"/>
  <c r="S1605" i="16" s="1"/>
  <c r="O1673" i="16"/>
  <c r="S1673" i="16" s="1"/>
  <c r="O1697" i="16"/>
  <c r="S1697" i="16" s="1"/>
  <c r="O1713" i="16"/>
  <c r="S1713" i="16" s="1"/>
  <c r="O1745" i="16"/>
  <c r="S1745" i="16" s="1"/>
  <c r="O1754" i="16"/>
  <c r="S1754" i="16" s="1"/>
  <c r="O1755" i="16"/>
  <c r="S1755" i="16" s="1"/>
  <c r="O1756" i="16"/>
  <c r="S1756" i="16" s="1"/>
  <c r="O1780" i="16"/>
  <c r="S1780" i="16" s="1"/>
  <c r="O1788" i="16"/>
  <c r="S1788" i="16" s="1"/>
  <c r="AL2016" i="16"/>
  <c r="AN2016" i="16" s="1"/>
  <c r="O2162" i="16"/>
  <c r="S2162" i="16" s="1"/>
  <c r="O2163" i="16"/>
  <c r="S2163" i="16" s="1"/>
  <c r="O2171" i="16"/>
  <c r="S2171" i="16" s="1"/>
  <c r="AD2229" i="16"/>
  <c r="AF2229" i="16" s="1"/>
  <c r="O2231" i="16"/>
  <c r="S2231" i="16" s="1"/>
  <c r="AL936" i="16"/>
  <c r="AN936" i="16" s="1"/>
  <c r="O946" i="16"/>
  <c r="O962" i="16"/>
  <c r="O990" i="16"/>
  <c r="O1030" i="16"/>
  <c r="AD1080" i="16"/>
  <c r="O1150" i="16"/>
  <c r="O1202" i="16"/>
  <c r="O1222" i="16"/>
  <c r="O1234" i="16"/>
  <c r="O1238" i="16"/>
  <c r="O1254" i="16"/>
  <c r="O1258" i="16"/>
  <c r="AD1345" i="16"/>
  <c r="AF1345" i="16" s="1"/>
  <c r="O1346" i="16"/>
  <c r="S1346" i="16" s="1"/>
  <c r="O1354" i="16"/>
  <c r="S1354" i="16" s="1"/>
  <c r="O1386" i="16"/>
  <c r="S1386" i="16" s="1"/>
  <c r="O1486" i="16"/>
  <c r="S1486" i="16" s="1"/>
  <c r="O1490" i="16"/>
  <c r="S1490" i="16" s="1"/>
  <c r="O1494" i="16"/>
  <c r="S1494" i="16" s="1"/>
  <c r="O1514" i="16"/>
  <c r="S1514" i="16" s="1"/>
  <c r="O1550" i="16"/>
  <c r="S1550" i="16" s="1"/>
  <c r="O1554" i="16"/>
  <c r="S1554" i="16" s="1"/>
  <c r="O1586" i="16"/>
  <c r="S1586" i="16" s="1"/>
  <c r="O1594" i="16"/>
  <c r="S1594" i="16" s="1"/>
  <c r="O1606" i="16"/>
  <c r="S1606" i="16" s="1"/>
  <c r="O1618" i="16"/>
  <c r="S1618" i="16" s="1"/>
  <c r="O1634" i="16"/>
  <c r="S1634" i="16" s="1"/>
  <c r="AL1636" i="16"/>
  <c r="AN1636" i="16" s="1"/>
  <c r="O1642" i="16"/>
  <c r="S1642" i="16" s="1"/>
  <c r="O1666" i="16"/>
  <c r="S1666" i="16" s="1"/>
  <c r="O1674" i="16"/>
  <c r="S1674" i="16" s="1"/>
  <c r="O1678" i="16"/>
  <c r="S1678" i="16" s="1"/>
  <c r="O1682" i="16"/>
  <c r="S1682" i="16" s="1"/>
  <c r="O1698" i="16"/>
  <c r="S1698" i="16" s="1"/>
  <c r="O1702" i="16"/>
  <c r="S1702" i="16" s="1"/>
  <c r="AL1899" i="16"/>
  <c r="AN1899" i="16" s="1"/>
  <c r="AL1907" i="16"/>
  <c r="AN1907" i="16" s="1"/>
  <c r="AD2082" i="16"/>
  <c r="AF2082" i="16" s="1"/>
  <c r="AI2082" i="16" s="1"/>
  <c r="AJ2082" i="16" s="1"/>
  <c r="AD2091" i="16"/>
  <c r="AF2091" i="16" s="1"/>
  <c r="O2116" i="16"/>
  <c r="S2116" i="16" s="1"/>
  <c r="O2144" i="16"/>
  <c r="S2144" i="16" s="1"/>
  <c r="O2153" i="16"/>
  <c r="S2153" i="16" s="1"/>
  <c r="AD2164" i="16"/>
  <c r="AF2164" i="16" s="1"/>
  <c r="AI2164" i="16" s="1"/>
  <c r="AJ2164" i="16" s="1"/>
  <c r="O2202" i="16"/>
  <c r="S2202" i="16" s="1"/>
  <c r="O2210" i="16"/>
  <c r="S2210" i="16" s="1"/>
  <c r="O2214" i="16"/>
  <c r="S2214" i="16" s="1"/>
  <c r="O2230" i="16"/>
  <c r="S2230" i="16" s="1"/>
  <c r="O731" i="16"/>
  <c r="O732" i="16"/>
  <c r="O844" i="16"/>
  <c r="AD891" i="16"/>
  <c r="AD922" i="16"/>
  <c r="AL1255" i="16"/>
  <c r="AN1255" i="16" s="1"/>
  <c r="O1836" i="16"/>
  <c r="S1836" i="16" s="1"/>
  <c r="O1904" i="16"/>
  <c r="S1904" i="16" s="1"/>
  <c r="O1956" i="16"/>
  <c r="S1956" i="16" s="1"/>
  <c r="O1960" i="16"/>
  <c r="S1960" i="16" s="1"/>
  <c r="O1961" i="16"/>
  <c r="S1961" i="16" s="1"/>
  <c r="AD1971" i="16"/>
  <c r="AF1971" i="16" s="1"/>
  <c r="O1982" i="16"/>
  <c r="S1982" i="16" s="1"/>
  <c r="O1994" i="16"/>
  <c r="S1994" i="16" s="1"/>
  <c r="AD2049" i="16"/>
  <c r="AF2049" i="16" s="1"/>
  <c r="O2071" i="16"/>
  <c r="S2071" i="16" s="1"/>
  <c r="O2075" i="16"/>
  <c r="S2075" i="16" s="1"/>
  <c r="O2095" i="16"/>
  <c r="S2095" i="16" s="1"/>
  <c r="O2103" i="16"/>
  <c r="S2103" i="16" s="1"/>
  <c r="AL2121" i="16"/>
  <c r="AN2121" i="16" s="1"/>
  <c r="AD2129" i="16"/>
  <c r="AF2129" i="16" s="1"/>
  <c r="AI2129" i="16" s="1"/>
  <c r="AJ2129" i="16" s="1"/>
  <c r="AD2137" i="16"/>
  <c r="AF2137" i="16" s="1"/>
  <c r="AG2137" i="16" s="1"/>
  <c r="O2173" i="16"/>
  <c r="S2173" i="16" s="1"/>
  <c r="AD2207" i="16"/>
  <c r="AF2207" i="16" s="1"/>
  <c r="O2213" i="16"/>
  <c r="S2213" i="16" s="1"/>
  <c r="O1000" i="16"/>
  <c r="AD1234" i="16"/>
  <c r="O1236" i="16"/>
  <c r="O1244" i="16"/>
  <c r="O1260" i="16"/>
  <c r="O1316" i="16"/>
  <c r="S1316" i="16" s="1"/>
  <c r="O1412" i="16"/>
  <c r="S1412" i="16" s="1"/>
  <c r="O1416" i="16"/>
  <c r="S1416" i="16" s="1"/>
  <c r="O1436" i="16"/>
  <c r="S1436" i="16" s="1"/>
  <c r="O1456" i="16"/>
  <c r="S1456" i="16" s="1"/>
  <c r="O1460" i="16"/>
  <c r="S1460" i="16" s="1"/>
  <c r="AD1466" i="16"/>
  <c r="AF1466" i="16" s="1"/>
  <c r="AI1466" i="16" s="1"/>
  <c r="AJ1466" i="16" s="1"/>
  <c r="AD1498" i="16"/>
  <c r="AF1498" i="16" s="1"/>
  <c r="O1504" i="16"/>
  <c r="S1504" i="16" s="1"/>
  <c r="O1516" i="16"/>
  <c r="S1516" i="16" s="1"/>
  <c r="O1520" i="16"/>
  <c r="S1520" i="16" s="1"/>
  <c r="O1528" i="16"/>
  <c r="S1528" i="16" s="1"/>
  <c r="O1536" i="16"/>
  <c r="S1536" i="16" s="1"/>
  <c r="O1552" i="16"/>
  <c r="S1552" i="16" s="1"/>
  <c r="O1556" i="16"/>
  <c r="S1556" i="16" s="1"/>
  <c r="O1564" i="16"/>
  <c r="S1564" i="16" s="1"/>
  <c r="O1568" i="16"/>
  <c r="S1568" i="16" s="1"/>
  <c r="O1572" i="16"/>
  <c r="S1572" i="16" s="1"/>
  <c r="O1576" i="16"/>
  <c r="S1576" i="16" s="1"/>
  <c r="O1588" i="16"/>
  <c r="S1588" i="16" s="1"/>
  <c r="O1596" i="16"/>
  <c r="S1596" i="16" s="1"/>
  <c r="O1600" i="16"/>
  <c r="S1600" i="16" s="1"/>
  <c r="O1624" i="16"/>
  <c r="S1624" i="16" s="1"/>
  <c r="O1632" i="16"/>
  <c r="S1632" i="16" s="1"/>
  <c r="O1648" i="16"/>
  <c r="S1648" i="16" s="1"/>
  <c r="O1664" i="16"/>
  <c r="S1664" i="16" s="1"/>
  <c r="O1672" i="16"/>
  <c r="S1672" i="16" s="1"/>
  <c r="O1684" i="16"/>
  <c r="S1684" i="16" s="1"/>
  <c r="O1696" i="16"/>
  <c r="S1696" i="16" s="1"/>
  <c r="O1779" i="16"/>
  <c r="S1779" i="16" s="1"/>
  <c r="O1843" i="16"/>
  <c r="S1843" i="16" s="1"/>
  <c r="O1855" i="16"/>
  <c r="S1855" i="16" s="1"/>
  <c r="O1863" i="16"/>
  <c r="S1863" i="16" s="1"/>
  <c r="O1883" i="16"/>
  <c r="S1883" i="16" s="1"/>
  <c r="O1887" i="16"/>
  <c r="S1887" i="16" s="1"/>
  <c r="AD1953" i="16"/>
  <c r="AF1953" i="16" s="1"/>
  <c r="AG1953" i="16" s="1"/>
  <c r="O1955" i="16"/>
  <c r="S1955" i="16" s="1"/>
  <c r="AD1957" i="16"/>
  <c r="AF1957" i="16" s="1"/>
  <c r="AI1957" i="16" s="1"/>
  <c r="AJ1957" i="16" s="1"/>
  <c r="O1959" i="16"/>
  <c r="S1959" i="16" s="1"/>
  <c r="O1989" i="16"/>
  <c r="S1989" i="16" s="1"/>
  <c r="O2014" i="16"/>
  <c r="S2014" i="16" s="1"/>
  <c r="O2042" i="16"/>
  <c r="S2042" i="16" s="1"/>
  <c r="O2058" i="16"/>
  <c r="S2058" i="16" s="1"/>
  <c r="O2062" i="16"/>
  <c r="S2062" i="16" s="1"/>
  <c r="O2070" i="16"/>
  <c r="S2070" i="16" s="1"/>
  <c r="O2126" i="16"/>
  <c r="S2126" i="16" s="1"/>
  <c r="O2255" i="16"/>
  <c r="S2255" i="16" s="1"/>
  <c r="O1155" i="16"/>
  <c r="AD1468" i="16"/>
  <c r="AF1468" i="16" s="1"/>
  <c r="AD1962" i="16"/>
  <c r="AF1962" i="16" s="1"/>
  <c r="AL1001" i="16"/>
  <c r="AN1001" i="16" s="1"/>
  <c r="AL1141" i="16"/>
  <c r="AN1141" i="16" s="1"/>
  <c r="AL1668" i="16"/>
  <c r="AN1668" i="16" s="1"/>
  <c r="AL1968" i="16"/>
  <c r="AN1968" i="16" s="1"/>
  <c r="AL2160" i="16"/>
  <c r="AN2160" i="16" s="1"/>
  <c r="AD1228" i="16"/>
  <c r="AL1265" i="16"/>
  <c r="AN1265" i="16" s="1"/>
  <c r="AL1333" i="16"/>
  <c r="AN1333" i="16" s="1"/>
  <c r="AL1510" i="16"/>
  <c r="AN1510" i="16" s="1"/>
  <c r="AL1760" i="16"/>
  <c r="AN1760" i="16" s="1"/>
  <c r="AL1925" i="16"/>
  <c r="AN1925" i="16" s="1"/>
  <c r="AL1996" i="16"/>
  <c r="AN1996" i="16" s="1"/>
  <c r="AL2078" i="16"/>
  <c r="AN2078" i="16" s="1"/>
  <c r="AL2073" i="16"/>
  <c r="AN2073" i="16" s="1"/>
  <c r="O913" i="16"/>
  <c r="O917" i="16"/>
  <c r="O887" i="16"/>
  <c r="O899" i="16"/>
  <c r="O909" i="16"/>
  <c r="O854" i="16"/>
  <c r="O862" i="16"/>
  <c r="AL872" i="16"/>
  <c r="AN872" i="16" s="1"/>
  <c r="O874" i="16"/>
  <c r="AL860" i="16"/>
  <c r="AN860" i="16" s="1"/>
  <c r="AL864" i="16"/>
  <c r="AN864" i="16" s="1"/>
  <c r="R840" i="16"/>
  <c r="O834" i="16"/>
  <c r="S834" i="16" s="1"/>
  <c r="T834" i="16" s="1"/>
  <c r="AE834" i="16" s="1"/>
  <c r="R208" i="16"/>
  <c r="R210" i="16"/>
  <c r="R212" i="16"/>
  <c r="R279" i="16"/>
  <c r="R287" i="16"/>
  <c r="R385" i="16"/>
  <c r="R387" i="16"/>
  <c r="R389" i="16"/>
  <c r="R207" i="16"/>
  <c r="R209" i="16"/>
  <c r="R211" i="16"/>
  <c r="R384" i="16"/>
  <c r="R386" i="16"/>
  <c r="R388" i="16"/>
  <c r="R397" i="16"/>
  <c r="R794" i="16"/>
  <c r="R825" i="16"/>
  <c r="R429" i="16"/>
  <c r="R478" i="16"/>
  <c r="R480" i="16"/>
  <c r="R564" i="16"/>
  <c r="R566" i="16"/>
  <c r="R568" i="16"/>
  <c r="R736" i="16"/>
  <c r="R763" i="16"/>
  <c r="R765" i="16"/>
  <c r="R771" i="16"/>
  <c r="R773" i="16"/>
  <c r="R774" i="16"/>
  <c r="R776" i="16"/>
  <c r="R777" i="16"/>
  <c r="R778" i="16"/>
  <c r="R779" i="16"/>
  <c r="R780" i="16"/>
  <c r="R781" i="16"/>
  <c r="R782" i="16"/>
  <c r="R813" i="16"/>
  <c r="R814" i="16"/>
  <c r="R221" i="16"/>
  <c r="R222" i="16"/>
  <c r="R223" i="16"/>
  <c r="R224" i="16"/>
  <c r="R225" i="16"/>
  <c r="R234" i="16"/>
  <c r="R248" i="16"/>
  <c r="R289" i="16"/>
  <c r="R398" i="16"/>
  <c r="R431" i="16"/>
  <c r="R482" i="16"/>
  <c r="R483" i="16"/>
  <c r="R484" i="16"/>
  <c r="R485" i="16"/>
  <c r="R486" i="16"/>
  <c r="R493" i="16"/>
  <c r="R583" i="16"/>
  <c r="R584" i="16"/>
  <c r="R585" i="16"/>
  <c r="R597" i="16"/>
  <c r="R598" i="16"/>
  <c r="R599" i="16"/>
  <c r="R600" i="16"/>
  <c r="R601" i="16"/>
  <c r="R699" i="16"/>
  <c r="R724" i="16"/>
  <c r="R766" i="16"/>
  <c r="R767" i="16"/>
  <c r="R783" i="16"/>
  <c r="R784" i="16"/>
  <c r="R785" i="16"/>
  <c r="R786" i="16"/>
  <c r="R795" i="16"/>
  <c r="R796" i="16"/>
  <c r="R797" i="16"/>
  <c r="R798" i="16"/>
  <c r="R799" i="16"/>
  <c r="R800" i="16"/>
  <c r="R801" i="16"/>
  <c r="R802" i="16"/>
  <c r="R803" i="16"/>
  <c r="R815" i="16"/>
  <c r="R816" i="16"/>
  <c r="R817" i="16"/>
  <c r="R818" i="16"/>
  <c r="R819" i="16"/>
  <c r="R820" i="16"/>
  <c r="R821" i="16"/>
  <c r="R822" i="16"/>
  <c r="R826" i="16"/>
  <c r="R827" i="16"/>
  <c r="R828" i="16"/>
  <c r="R829" i="16"/>
  <c r="R430" i="16"/>
  <c r="R479" i="16"/>
  <c r="R481" i="16"/>
  <c r="R563" i="16"/>
  <c r="R565" i="16"/>
  <c r="R567" i="16"/>
  <c r="R651" i="16"/>
  <c r="R762" i="16"/>
  <c r="R764" i="16"/>
  <c r="R770" i="16"/>
  <c r="R772" i="16"/>
  <c r="R775" i="16"/>
  <c r="R144" i="16"/>
  <c r="R145" i="16"/>
  <c r="R153" i="16"/>
  <c r="R177" i="16"/>
  <c r="R178" i="16"/>
  <c r="R179" i="16"/>
  <c r="R180" i="16"/>
  <c r="R181" i="16"/>
  <c r="R182" i="16"/>
  <c r="R183" i="16"/>
  <c r="R184" i="16"/>
  <c r="R418" i="16"/>
  <c r="R419" i="16"/>
  <c r="R420" i="16"/>
  <c r="R424" i="16"/>
  <c r="R464" i="16"/>
  <c r="R555" i="16"/>
  <c r="R731" i="16"/>
  <c r="R743" i="16"/>
  <c r="R744" i="16"/>
  <c r="R745" i="16"/>
  <c r="R746" i="16"/>
  <c r="R747" i="16"/>
  <c r="R748" i="16"/>
  <c r="R749" i="16"/>
  <c r="R768" i="16"/>
  <c r="R788" i="16"/>
  <c r="R789" i="16"/>
  <c r="R805" i="16"/>
  <c r="R806" i="16"/>
  <c r="R807" i="16"/>
  <c r="R808" i="16"/>
  <c r="R809" i="16"/>
  <c r="R823" i="16"/>
  <c r="AD834" i="16"/>
  <c r="O835" i="16"/>
  <c r="S835" i="16" s="1"/>
  <c r="T835" i="16" s="1"/>
  <c r="AE835" i="16" s="1"/>
  <c r="O839" i="16"/>
  <c r="AD845" i="16"/>
  <c r="O851" i="16"/>
  <c r="O852" i="16"/>
  <c r="AD918" i="16"/>
  <c r="O949" i="16"/>
  <c r="O961" i="16"/>
  <c r="AD982" i="16"/>
  <c r="O999" i="16"/>
  <c r="O1007" i="16"/>
  <c r="O1020" i="16"/>
  <c r="O1024" i="16"/>
  <c r="AD1040" i="16"/>
  <c r="O1042" i="16"/>
  <c r="O1092" i="16"/>
  <c r="O1128" i="16"/>
  <c r="O1147" i="16"/>
  <c r="O1158" i="16"/>
  <c r="O1179" i="16"/>
  <c r="O1195" i="16"/>
  <c r="O1203" i="16"/>
  <c r="AD1226" i="16"/>
  <c r="AD1235" i="16"/>
  <c r="O1237" i="16"/>
  <c r="O1241" i="16"/>
  <c r="S1241" i="16" s="1"/>
  <c r="T1241" i="16" s="1"/>
  <c r="AE1241" i="16" s="1"/>
  <c r="O1245" i="16"/>
  <c r="O1253" i="16"/>
  <c r="O1257" i="16"/>
  <c r="O1261" i="16"/>
  <c r="S1261" i="16" s="1"/>
  <c r="T1261" i="16" s="1"/>
  <c r="AE1261" i="16" s="1"/>
  <c r="O1262" i="16"/>
  <c r="O1274" i="16"/>
  <c r="S1274" i="16" s="1"/>
  <c r="T1274" i="16" s="1"/>
  <c r="AE1274" i="16" s="1"/>
  <c r="O1278" i="16"/>
  <c r="O1315" i="16"/>
  <c r="S1315" i="16" s="1"/>
  <c r="AL984" i="16"/>
  <c r="AN984" i="16" s="1"/>
  <c r="AL1188" i="16"/>
  <c r="AN1188" i="16" s="1"/>
  <c r="AL1200" i="16"/>
  <c r="AN1200" i="16" s="1"/>
  <c r="AL1975" i="16"/>
  <c r="AN1975" i="16" s="1"/>
  <c r="AD516" i="16"/>
  <c r="AD532" i="16"/>
  <c r="AD538" i="16"/>
  <c r="AD540" i="16"/>
  <c r="O875" i="16"/>
  <c r="AD877" i="16"/>
  <c r="O879" i="16"/>
  <c r="S879" i="16" s="1"/>
  <c r="T879" i="16" s="1"/>
  <c r="AE879" i="16" s="1"/>
  <c r="O898" i="16"/>
  <c r="AL933" i="16"/>
  <c r="AN933" i="16" s="1"/>
  <c r="O951" i="16"/>
  <c r="O964" i="16"/>
  <c r="S964" i="16" s="1"/>
  <c r="O989" i="16"/>
  <c r="AD1009" i="16"/>
  <c r="AD1031" i="16"/>
  <c r="O1036" i="16"/>
  <c r="O1073" i="16"/>
  <c r="O1122" i="16"/>
  <c r="AL1175" i="16"/>
  <c r="AN1175" i="16" s="1"/>
  <c r="O1201" i="16"/>
  <c r="O1217" i="16"/>
  <c r="O1337" i="16"/>
  <c r="S1337" i="16" s="1"/>
  <c r="AD1683" i="16"/>
  <c r="AF1683" i="16" s="1"/>
  <c r="O1448" i="16"/>
  <c r="S1448" i="16" s="1"/>
  <c r="AD1474" i="16"/>
  <c r="AF1474" i="16" s="1"/>
  <c r="O1476" i="16"/>
  <c r="S1476" i="16" s="1"/>
  <c r="O1477" i="16"/>
  <c r="S1477" i="16" s="1"/>
  <c r="O1485" i="16"/>
  <c r="S1485" i="16" s="1"/>
  <c r="O1710" i="16"/>
  <c r="S1710" i="16" s="1"/>
  <c r="O1742" i="16"/>
  <c r="S1742" i="16" s="1"/>
  <c r="AD1904" i="16"/>
  <c r="AF1904" i="16" s="1"/>
  <c r="AG1904" i="16" s="1"/>
  <c r="O2011" i="16"/>
  <c r="S2011" i="16" s="1"/>
  <c r="AD2213" i="16"/>
  <c r="AF2213" i="16" s="1"/>
  <c r="AI2213" i="16" s="1"/>
  <c r="AJ2213" i="16" s="1"/>
  <c r="O2252" i="16"/>
  <c r="S2252" i="16" s="1"/>
  <c r="AL1366" i="16"/>
  <c r="AN1366" i="16" s="1"/>
  <c r="AL1370" i="16"/>
  <c r="AN1370" i="16" s="1"/>
  <c r="AL1383" i="16"/>
  <c r="AN1383" i="16" s="1"/>
  <c r="AL1751" i="16"/>
  <c r="AN1751" i="16" s="1"/>
  <c r="AL1840" i="16"/>
  <c r="AN1840" i="16" s="1"/>
  <c r="AL1857" i="16"/>
  <c r="AN1857" i="16" s="1"/>
  <c r="AL1865" i="16"/>
  <c r="AN1865" i="16" s="1"/>
  <c r="AL2034" i="16"/>
  <c r="AN2034" i="16" s="1"/>
  <c r="AL2217" i="16"/>
  <c r="AN2217" i="16" s="1"/>
  <c r="AL2252" i="16"/>
  <c r="AN2252" i="16" s="1"/>
  <c r="AL1318" i="16"/>
  <c r="AN1318" i="16" s="1"/>
  <c r="O1332" i="16"/>
  <c r="S1332" i="16" s="1"/>
  <c r="O1341" i="16"/>
  <c r="S1341" i="16" s="1"/>
  <c r="O1359" i="16"/>
  <c r="S1359" i="16" s="1"/>
  <c r="O1405" i="16"/>
  <c r="S1405" i="16" s="1"/>
  <c r="O1409" i="16"/>
  <c r="S1409" i="16" s="1"/>
  <c r="O1413" i="16"/>
  <c r="S1413" i="16" s="1"/>
  <c r="AD1444" i="16"/>
  <c r="AF1444" i="16" s="1"/>
  <c r="O1446" i="16"/>
  <c r="S1446" i="16" s="1"/>
  <c r="AD1507" i="16"/>
  <c r="AF1507" i="16" s="1"/>
  <c r="O1537" i="16"/>
  <c r="S1537" i="16" s="1"/>
  <c r="AD1547" i="16"/>
  <c r="AF1547" i="16" s="1"/>
  <c r="AD1560" i="16"/>
  <c r="AF1560" i="16" s="1"/>
  <c r="AD1563" i="16"/>
  <c r="AF1563" i="16" s="1"/>
  <c r="O1569" i="16"/>
  <c r="S1569" i="16" s="1"/>
  <c r="O1582" i="16"/>
  <c r="S1582" i="16" s="1"/>
  <c r="O1583" i="16"/>
  <c r="S1583" i="16" s="1"/>
  <c r="O1587" i="16"/>
  <c r="S1587" i="16" s="1"/>
  <c r="AD1589" i="16"/>
  <c r="AF1589" i="16" s="1"/>
  <c r="O1591" i="16"/>
  <c r="S1591" i="16" s="1"/>
  <c r="O1650" i="16"/>
  <c r="S1650" i="16" s="1"/>
  <c r="O1658" i="16"/>
  <c r="S1658" i="16" s="1"/>
  <c r="O1720" i="16"/>
  <c r="S1720" i="16" s="1"/>
  <c r="O1744" i="16"/>
  <c r="S1744" i="16" s="1"/>
  <c r="O1752" i="16"/>
  <c r="S1752" i="16" s="1"/>
  <c r="O1767" i="16"/>
  <c r="S1767" i="16" s="1"/>
  <c r="O1786" i="16"/>
  <c r="S1786" i="16" s="1"/>
  <c r="O1789" i="16"/>
  <c r="S1789" i="16" s="1"/>
  <c r="O1793" i="16"/>
  <c r="S1793" i="16" s="1"/>
  <c r="O1805" i="16"/>
  <c r="S1805" i="16" s="1"/>
  <c r="AD1811" i="16"/>
  <c r="AF1811" i="16" s="1"/>
  <c r="O1813" i="16"/>
  <c r="S1813" i="16" s="1"/>
  <c r="O1821" i="16"/>
  <c r="S1821" i="16" s="1"/>
  <c r="O1825" i="16"/>
  <c r="S1825" i="16" s="1"/>
  <c r="AL1831" i="16"/>
  <c r="AN1831" i="16" s="1"/>
  <c r="AD1835" i="16"/>
  <c r="AF1835" i="16" s="1"/>
  <c r="O1882" i="16"/>
  <c r="S1882" i="16" s="1"/>
  <c r="O1886" i="16"/>
  <c r="S1886" i="16" s="1"/>
  <c r="AD1946" i="16"/>
  <c r="AF1946" i="16" s="1"/>
  <c r="AI1946" i="16" s="1"/>
  <c r="AJ1946" i="16" s="1"/>
  <c r="AD1961" i="16"/>
  <c r="AF1961" i="16" s="1"/>
  <c r="O1963" i="16"/>
  <c r="S1963" i="16" s="1"/>
  <c r="AD1965" i="16"/>
  <c r="AF1965" i="16" s="1"/>
  <c r="AD1969" i="16"/>
  <c r="AF1969" i="16" s="1"/>
  <c r="AI1969" i="16" s="1"/>
  <c r="AJ1969" i="16" s="1"/>
  <c r="AD1973" i="16"/>
  <c r="AF1973" i="16" s="1"/>
  <c r="AD1974" i="16"/>
  <c r="AF1974" i="16" s="1"/>
  <c r="AG1974" i="16" s="1"/>
  <c r="AD1979" i="16"/>
  <c r="AF1979" i="16" s="1"/>
  <c r="AG1979" i="16" s="1"/>
  <c r="O1990" i="16"/>
  <c r="S1990" i="16" s="1"/>
  <c r="O1991" i="16"/>
  <c r="S1991" i="16" s="1"/>
  <c r="O2004" i="16"/>
  <c r="S2004" i="16" s="1"/>
  <c r="O2005" i="16"/>
  <c r="S2005" i="16" s="1"/>
  <c r="O2027" i="16"/>
  <c r="S2027" i="16" s="1"/>
  <c r="AD2067" i="16"/>
  <c r="AF2067" i="16" s="1"/>
  <c r="O2101" i="16"/>
  <c r="S2101" i="16" s="1"/>
  <c r="AL2107" i="16"/>
  <c r="AN2107" i="16" s="1"/>
  <c r="AD2112" i="16"/>
  <c r="AF2112" i="16" s="1"/>
  <c r="AI2112" i="16" s="1"/>
  <c r="AJ2112" i="16" s="1"/>
  <c r="O2113" i="16"/>
  <c r="S2113" i="16" s="1"/>
  <c r="AL2115" i="16"/>
  <c r="AN2115" i="16" s="1"/>
  <c r="O2117" i="16"/>
  <c r="S2117" i="16" s="1"/>
  <c r="O2125" i="16"/>
  <c r="S2125" i="16" s="1"/>
  <c r="AD2162" i="16"/>
  <c r="AF2162" i="16" s="1"/>
  <c r="AD2163" i="16"/>
  <c r="AF2163" i="16" s="1"/>
  <c r="AL2164" i="16"/>
  <c r="AN2164" i="16" s="1"/>
  <c r="O2172" i="16"/>
  <c r="S2172" i="16" s="1"/>
  <c r="AL2174" i="16"/>
  <c r="AN2174" i="16" s="1"/>
  <c r="AL2178" i="16"/>
  <c r="AN2178" i="16" s="1"/>
  <c r="O2204" i="16"/>
  <c r="S2204" i="16" s="1"/>
  <c r="O2212" i="16"/>
  <c r="S2212" i="16" s="1"/>
  <c r="O2216" i="16"/>
  <c r="S2216" i="16" s="1"/>
  <c r="O2232" i="16"/>
  <c r="S2232" i="16" s="1"/>
  <c r="O2236" i="16"/>
  <c r="S2236" i="16" s="1"/>
  <c r="O2240" i="16"/>
  <c r="S2240" i="16" s="1"/>
  <c r="AD2243" i="16"/>
  <c r="AF2243" i="16" s="1"/>
  <c r="AG2243" i="16" s="1"/>
  <c r="AD1244" i="16"/>
  <c r="AD2216" i="16"/>
  <c r="AF2216" i="16" s="1"/>
  <c r="AI2216" i="16" s="1"/>
  <c r="AD835" i="16"/>
  <c r="O838" i="16"/>
  <c r="AL840" i="16"/>
  <c r="AN840" i="16" s="1"/>
  <c r="O842" i="16"/>
  <c r="O850" i="16"/>
  <c r="AD853" i="16"/>
  <c r="O855" i="16"/>
  <c r="AD866" i="16"/>
  <c r="O873" i="16"/>
  <c r="O905" i="16"/>
  <c r="O906" i="16"/>
  <c r="O910" i="16"/>
  <c r="O919" i="16"/>
  <c r="S919" i="16" s="1"/>
  <c r="O924" i="16"/>
  <c r="O1106" i="16"/>
  <c r="S1106" i="16" s="1"/>
  <c r="T1106" i="16" s="1"/>
  <c r="AE1106" i="16" s="1"/>
  <c r="O1108" i="16"/>
  <c r="O1177" i="16"/>
  <c r="S1177" i="16" s="1"/>
  <c r="T1177" i="16" s="1"/>
  <c r="AE1177" i="16" s="1"/>
  <c r="O1187" i="16"/>
  <c r="AD1213" i="16"/>
  <c r="AL1355" i="16"/>
  <c r="AN1355" i="16" s="1"/>
  <c r="O1365" i="16"/>
  <c r="S1365" i="16" s="1"/>
  <c r="O1373" i="16"/>
  <c r="S1373" i="16" s="1"/>
  <c r="O1457" i="16"/>
  <c r="S1457" i="16" s="1"/>
  <c r="O1458" i="16"/>
  <c r="S1458" i="16" s="1"/>
  <c r="O1483" i="16"/>
  <c r="S1483" i="16" s="1"/>
  <c r="O1484" i="16"/>
  <c r="S1484" i="16" s="1"/>
  <c r="O1570" i="16"/>
  <c r="S1570" i="16" s="1"/>
  <c r="AD1658" i="16"/>
  <c r="AF1658" i="16" s="1"/>
  <c r="AD1672" i="16"/>
  <c r="AF1672" i="16" s="1"/>
  <c r="AG1672" i="16" s="1"/>
  <c r="AD679" i="16"/>
  <c r="AD842" i="16"/>
  <c r="AD226" i="16"/>
  <c r="AD763" i="16"/>
  <c r="AD843" i="16"/>
  <c r="O849" i="16"/>
  <c r="S849" i="16" s="1"/>
  <c r="O863" i="16"/>
  <c r="O871" i="16"/>
  <c r="AD874" i="16"/>
  <c r="O876" i="16"/>
  <c r="O969" i="16"/>
  <c r="AD1064" i="16"/>
  <c r="O1066" i="16"/>
  <c r="O1074" i="16"/>
  <c r="S1074" i="16" s="1"/>
  <c r="T1074" i="16" s="1"/>
  <c r="AE1074" i="16" s="1"/>
  <c r="O1076" i="16"/>
  <c r="O1088" i="16"/>
  <c r="O1284" i="16"/>
  <c r="O1338" i="16"/>
  <c r="S1338" i="16" s="1"/>
  <c r="O1489" i="16"/>
  <c r="S1489" i="16" s="1"/>
  <c r="O1521" i="16"/>
  <c r="S1521" i="16" s="1"/>
  <c r="AD878" i="16"/>
  <c r="O881" i="16"/>
  <c r="AD883" i="16"/>
  <c r="O886" i="16"/>
  <c r="O889" i="16"/>
  <c r="AD901" i="16"/>
  <c r="O903" i="16"/>
  <c r="AD966" i="16"/>
  <c r="O993" i="16"/>
  <c r="O1006" i="16"/>
  <c r="AL1017" i="16"/>
  <c r="AN1017" i="16" s="1"/>
  <c r="AL1019" i="16"/>
  <c r="AN1019" i="16" s="1"/>
  <c r="AD1048" i="16"/>
  <c r="O1050" i="16"/>
  <c r="AD1077" i="16"/>
  <c r="AL1092" i="16"/>
  <c r="AN1092" i="16" s="1"/>
  <c r="AL1102" i="16"/>
  <c r="AN1102" i="16" s="1"/>
  <c r="O1121" i="16"/>
  <c r="O1136" i="16"/>
  <c r="O1162" i="16"/>
  <c r="S1162" i="16" s="1"/>
  <c r="T1162" i="16" s="1"/>
  <c r="AE1162" i="16" s="1"/>
  <c r="AD1208" i="16"/>
  <c r="AL1242" i="16"/>
  <c r="AN1242" i="16" s="1"/>
  <c r="AL1246" i="16"/>
  <c r="AN1246" i="16" s="1"/>
  <c r="O1252" i="16"/>
  <c r="O1270" i="16"/>
  <c r="O1281" i="16"/>
  <c r="O1282" i="16"/>
  <c r="AL1289" i="16"/>
  <c r="AN1289" i="16" s="1"/>
  <c r="AD1343" i="16"/>
  <c r="AF1343" i="16" s="1"/>
  <c r="AG1343" i="16" s="1"/>
  <c r="AL1377" i="16"/>
  <c r="AN1377" i="16" s="1"/>
  <c r="AD1378" i="16"/>
  <c r="AF1378" i="16" s="1"/>
  <c r="AG1378" i="16" s="1"/>
  <c r="O1380" i="16"/>
  <c r="S1380" i="16" s="1"/>
  <c r="AL1382" i="16"/>
  <c r="AN1382" i="16" s="1"/>
  <c r="AD1427" i="16"/>
  <c r="AF1427" i="16" s="1"/>
  <c r="AI1427" i="16" s="1"/>
  <c r="AD1467" i="16"/>
  <c r="AF1467" i="16" s="1"/>
  <c r="AI1467" i="16" s="1"/>
  <c r="AJ1467" i="16" s="1"/>
  <c r="AD1488" i="16"/>
  <c r="AF1488" i="16" s="1"/>
  <c r="AL1521" i="16"/>
  <c r="AN1521" i="16" s="1"/>
  <c r="AL1529" i="16"/>
  <c r="AN1529" i="16" s="1"/>
  <c r="AD1788" i="16"/>
  <c r="AF1788" i="16" s="1"/>
  <c r="AI1788" i="16" s="1"/>
  <c r="AJ1788" i="16" s="1"/>
  <c r="AD2046" i="16"/>
  <c r="AF2046" i="16" s="1"/>
  <c r="AG2046" i="16" s="1"/>
  <c r="AD2056" i="16"/>
  <c r="AF2056" i="16" s="1"/>
  <c r="AG2056" i="16" s="1"/>
  <c r="O2224" i="16"/>
  <c r="S2224" i="16" s="1"/>
  <c r="O891" i="16"/>
  <c r="O897" i="16"/>
  <c r="O907" i="16"/>
  <c r="O911" i="16"/>
  <c r="AD941" i="16"/>
  <c r="O947" i="16"/>
  <c r="O948" i="16"/>
  <c r="AD954" i="16"/>
  <c r="AL958" i="16"/>
  <c r="AN958" i="16" s="1"/>
  <c r="O965" i="16"/>
  <c r="O988" i="16"/>
  <c r="O997" i="16"/>
  <c r="AL1012" i="16"/>
  <c r="AN1012" i="16" s="1"/>
  <c r="O1026" i="16"/>
  <c r="O1027" i="16"/>
  <c r="AD1056" i="16"/>
  <c r="O1058" i="16"/>
  <c r="AD1069" i="16"/>
  <c r="O1077" i="16"/>
  <c r="AD1096" i="16"/>
  <c r="AD1101" i="16"/>
  <c r="O1118" i="16"/>
  <c r="O1129" i="16"/>
  <c r="S1129" i="16" s="1"/>
  <c r="T1129" i="16" s="1"/>
  <c r="AE1129" i="16" s="1"/>
  <c r="O1140" i="16"/>
  <c r="O1160" i="16"/>
  <c r="AD1186" i="16"/>
  <c r="O1208" i="16"/>
  <c r="S1208" i="16" s="1"/>
  <c r="T1208" i="16" s="1"/>
  <c r="AE1208" i="16" s="1"/>
  <c r="AD1210" i="16"/>
  <c r="O1216" i="16"/>
  <c r="O1243" i="16"/>
  <c r="S1243" i="16" s="1"/>
  <c r="T1243" i="16" s="1"/>
  <c r="AE1243" i="16" s="1"/>
  <c r="O1255" i="16"/>
  <c r="O1259" i="16"/>
  <c r="O1276" i="16"/>
  <c r="O1290" i="16"/>
  <c r="O1291" i="16"/>
  <c r="S1291" i="16" s="1"/>
  <c r="T1291" i="16" s="1"/>
  <c r="AE1291" i="16" s="1"/>
  <c r="O1295" i="16"/>
  <c r="AL1319" i="16"/>
  <c r="AN1319" i="16" s="1"/>
  <c r="O1333" i="16"/>
  <c r="S1333" i="16" s="1"/>
  <c r="O1334" i="16"/>
  <c r="S1334" i="16" s="1"/>
  <c r="AD1338" i="16"/>
  <c r="AF1338" i="16" s="1"/>
  <c r="AG1338" i="16" s="1"/>
  <c r="O1343" i="16"/>
  <c r="S1343" i="16" s="1"/>
  <c r="O1362" i="16"/>
  <c r="S1362" i="16" s="1"/>
  <c r="O1378" i="16"/>
  <c r="S1378" i="16" s="1"/>
  <c r="AD1381" i="16"/>
  <c r="AF1381" i="16" s="1"/>
  <c r="AI1381" i="16" s="1"/>
  <c r="AJ1381" i="16" s="1"/>
  <c r="AL1394" i="16"/>
  <c r="AN1394" i="16" s="1"/>
  <c r="O1410" i="16"/>
  <c r="S1410" i="16" s="1"/>
  <c r="AL1412" i="16"/>
  <c r="AN1412" i="16" s="1"/>
  <c r="AD1413" i="16"/>
  <c r="AF1413" i="16" s="1"/>
  <c r="O1444" i="16"/>
  <c r="S1444" i="16" s="1"/>
  <c r="O1451" i="16"/>
  <c r="S1451" i="16" s="1"/>
  <c r="O1454" i="16"/>
  <c r="S1454" i="16" s="1"/>
  <c r="O1459" i="16"/>
  <c r="S1459" i="16" s="1"/>
  <c r="O1467" i="16"/>
  <c r="S1467" i="16" s="1"/>
  <c r="O1488" i="16"/>
  <c r="S1488" i="16" s="1"/>
  <c r="O1493" i="16"/>
  <c r="S1493" i="16" s="1"/>
  <c r="O1497" i="16"/>
  <c r="S1497" i="16" s="1"/>
  <c r="AD1501" i="16"/>
  <c r="AF1501" i="16" s="1"/>
  <c r="AG1501" i="16" s="1"/>
  <c r="O1513" i="16"/>
  <c r="S1513" i="16" s="1"/>
  <c r="O1526" i="16"/>
  <c r="S1526" i="16" s="1"/>
  <c r="O1530" i="16"/>
  <c r="S1530" i="16" s="1"/>
  <c r="O1542" i="16"/>
  <c r="S1542" i="16" s="1"/>
  <c r="AD1544" i="16"/>
  <c r="AF1544" i="16" s="1"/>
  <c r="O1546" i="16"/>
  <c r="S1546" i="16" s="1"/>
  <c r="O1589" i="16"/>
  <c r="S1589" i="16" s="1"/>
  <c r="O1643" i="16"/>
  <c r="S1643" i="16" s="1"/>
  <c r="O1680" i="16"/>
  <c r="S1680" i="16" s="1"/>
  <c r="O1712" i="16"/>
  <c r="S1712" i="16" s="1"/>
  <c r="O1897" i="16"/>
  <c r="S1897" i="16" s="1"/>
  <c r="O1905" i="16"/>
  <c r="S1905" i="16" s="1"/>
  <c r="O2041" i="16"/>
  <c r="S2041" i="16" s="1"/>
  <c r="O2089" i="16"/>
  <c r="S2089" i="16" s="1"/>
  <c r="O2097" i="16"/>
  <c r="S2097" i="16" s="1"/>
  <c r="AD2133" i="16"/>
  <c r="AF2133" i="16" s="1"/>
  <c r="AG2133" i="16" s="1"/>
  <c r="AD2225" i="16"/>
  <c r="AF2225" i="16" s="1"/>
  <c r="AL1597" i="16"/>
  <c r="AN1597" i="16" s="1"/>
  <c r="AD1640" i="16"/>
  <c r="AF1640" i="16" s="1"/>
  <c r="AD1815" i="16"/>
  <c r="AF1815" i="16" s="1"/>
  <c r="AI1815" i="16" s="1"/>
  <c r="AJ1815" i="16" s="1"/>
  <c r="AL1830" i="16"/>
  <c r="AN1830" i="16" s="1"/>
  <c r="AL1991" i="16"/>
  <c r="AN1991" i="16" s="1"/>
  <c r="AL2033" i="16"/>
  <c r="AN2033" i="16" s="1"/>
  <c r="O2035" i="16"/>
  <c r="S2035" i="16" s="1"/>
  <c r="AL2066" i="16"/>
  <c r="AN2066" i="16" s="1"/>
  <c r="AD2085" i="16"/>
  <c r="AF2085" i="16" s="1"/>
  <c r="AL2089" i="16"/>
  <c r="AN2089" i="16" s="1"/>
  <c r="AD2128" i="16"/>
  <c r="AF2128" i="16" s="1"/>
  <c r="AG2128" i="16" s="1"/>
  <c r="AD2140" i="16"/>
  <c r="AF2140" i="16" s="1"/>
  <c r="AL2186" i="16"/>
  <c r="AN2186" i="16" s="1"/>
  <c r="AD2194" i="16"/>
  <c r="AF2194" i="16" s="1"/>
  <c r="AI2194" i="16" s="1"/>
  <c r="AJ2194" i="16" s="1"/>
  <c r="O2201" i="16"/>
  <c r="S2201" i="16" s="1"/>
  <c r="O1531" i="16"/>
  <c r="S1531" i="16" s="1"/>
  <c r="O1535" i="16"/>
  <c r="S1535" i="16" s="1"/>
  <c r="AL1537" i="16"/>
  <c r="AN1537" i="16" s="1"/>
  <c r="AD1541" i="16"/>
  <c r="AF1541" i="16" s="1"/>
  <c r="AG1541" i="16" s="1"/>
  <c r="O1543" i="16"/>
  <c r="S1543" i="16" s="1"/>
  <c r="O1590" i="16"/>
  <c r="S1590" i="16" s="1"/>
  <c r="AD1605" i="16"/>
  <c r="AF1605" i="16" s="1"/>
  <c r="AG1605" i="16" s="1"/>
  <c r="O1607" i="16"/>
  <c r="S1607" i="16" s="1"/>
  <c r="AD1624" i="16"/>
  <c r="AF1624" i="16" s="1"/>
  <c r="O1640" i="16"/>
  <c r="S1640" i="16" s="1"/>
  <c r="AD1675" i="16"/>
  <c r="AF1675" i="16" s="1"/>
  <c r="O1676" i="16"/>
  <c r="S1676" i="16" s="1"/>
  <c r="O1677" i="16"/>
  <c r="S1677" i="16" s="1"/>
  <c r="O1686" i="16"/>
  <c r="S1686" i="16" s="1"/>
  <c r="O1701" i="16"/>
  <c r="S1701" i="16" s="1"/>
  <c r="AD1703" i="16"/>
  <c r="AF1703" i="16" s="1"/>
  <c r="AG1703" i="16" s="1"/>
  <c r="AL1707" i="16"/>
  <c r="AN1707" i="16" s="1"/>
  <c r="AD1716" i="16"/>
  <c r="AF1716" i="16" s="1"/>
  <c r="AD1717" i="16"/>
  <c r="AF1717" i="16" s="1"/>
  <c r="AI1717" i="16" s="1"/>
  <c r="AJ1717" i="16" s="1"/>
  <c r="AL1729" i="16"/>
  <c r="AN1729" i="16" s="1"/>
  <c r="O1739" i="16"/>
  <c r="S1739" i="16" s="1"/>
  <c r="O1743" i="16"/>
  <c r="S1743" i="16" s="1"/>
  <c r="O1747" i="16"/>
  <c r="S1747" i="16" s="1"/>
  <c r="O1751" i="16"/>
  <c r="S1751" i="16" s="1"/>
  <c r="O1760" i="16"/>
  <c r="S1760" i="16" s="1"/>
  <c r="O1782" i="16"/>
  <c r="S1782" i="16" s="1"/>
  <c r="AD1784" i="16"/>
  <c r="AF1784" i="16" s="1"/>
  <c r="AI1784" i="16" s="1"/>
  <c r="AJ1784" i="16" s="1"/>
  <c r="O1795" i="16"/>
  <c r="S1795" i="16" s="1"/>
  <c r="O1807" i="16"/>
  <c r="S1807" i="16" s="1"/>
  <c r="O1815" i="16"/>
  <c r="S1815" i="16" s="1"/>
  <c r="O1823" i="16"/>
  <c r="S1823" i="16" s="1"/>
  <c r="AL1875" i="16"/>
  <c r="AN1875" i="16" s="1"/>
  <c r="O1892" i="16"/>
  <c r="S1892" i="16" s="1"/>
  <c r="AL1917" i="16"/>
  <c r="AN1917" i="16" s="1"/>
  <c r="O1929" i="16"/>
  <c r="S1929" i="16" s="1"/>
  <c r="O1958" i="16"/>
  <c r="S1958" i="16" s="1"/>
  <c r="O1964" i="16"/>
  <c r="S1964" i="16" s="1"/>
  <c r="AD1985" i="16"/>
  <c r="AF1985" i="16" s="1"/>
  <c r="O1987" i="16"/>
  <c r="S1987" i="16" s="1"/>
  <c r="O2006" i="16"/>
  <c r="S2006" i="16" s="1"/>
  <c r="O2028" i="16"/>
  <c r="S2028" i="16" s="1"/>
  <c r="O2029" i="16"/>
  <c r="S2029" i="16" s="1"/>
  <c r="O2030" i="16"/>
  <c r="S2030" i="16" s="1"/>
  <c r="O2044" i="16"/>
  <c r="S2044" i="16" s="1"/>
  <c r="O2045" i="16"/>
  <c r="S2045" i="16" s="1"/>
  <c r="AD2053" i="16"/>
  <c r="AF2053" i="16" s="1"/>
  <c r="O2068" i="16"/>
  <c r="S2068" i="16" s="1"/>
  <c r="O2081" i="16"/>
  <c r="S2081" i="16" s="1"/>
  <c r="AD2088" i="16"/>
  <c r="AF2088" i="16" s="1"/>
  <c r="O2094" i="16"/>
  <c r="S2094" i="16" s="1"/>
  <c r="O2099" i="16"/>
  <c r="S2099" i="16" s="1"/>
  <c r="O2100" i="16"/>
  <c r="S2100" i="16" s="1"/>
  <c r="O2106" i="16"/>
  <c r="S2106" i="16" s="1"/>
  <c r="O2115" i="16"/>
  <c r="S2115" i="16" s="1"/>
  <c r="O2128" i="16"/>
  <c r="S2128" i="16" s="1"/>
  <c r="O2136" i="16"/>
  <c r="S2136" i="16" s="1"/>
  <c r="O2150" i="16"/>
  <c r="S2150" i="16" s="1"/>
  <c r="O2191" i="16"/>
  <c r="S2191" i="16" s="1"/>
  <c r="O2203" i="16"/>
  <c r="S2203" i="16" s="1"/>
  <c r="AD2209" i="16"/>
  <c r="AF2209" i="16" s="1"/>
  <c r="AL2235" i="16"/>
  <c r="AN2235" i="16" s="1"/>
  <c r="AL2236" i="16"/>
  <c r="AN2236" i="16" s="1"/>
  <c r="O2238" i="16"/>
  <c r="S2238" i="16" s="1"/>
  <c r="O2239" i="16"/>
  <c r="S2239" i="16" s="1"/>
  <c r="O2244" i="16"/>
  <c r="S2244" i="16" s="1"/>
  <c r="AD896" i="16"/>
  <c r="AL965" i="16"/>
  <c r="AN965" i="16" s="1"/>
  <c r="AD970" i="16"/>
  <c r="O972" i="16"/>
  <c r="AD1294" i="16"/>
  <c r="AD1307" i="16"/>
  <c r="O1427" i="16"/>
  <c r="S1427" i="16" s="1"/>
  <c r="AD2203" i="16"/>
  <c r="AF2203" i="16" s="1"/>
  <c r="AI2203" i="16" s="1"/>
  <c r="AJ2203" i="16" s="1"/>
  <c r="AL723" i="16"/>
  <c r="AN723" i="16" s="1"/>
  <c r="AL876" i="16"/>
  <c r="AN876" i="16" s="1"/>
  <c r="AL1003" i="16"/>
  <c r="AN1003" i="16" s="1"/>
  <c r="AD897" i="16"/>
  <c r="AD1131" i="16"/>
  <c r="AD1941" i="16"/>
  <c r="AF1941" i="16" s="1"/>
  <c r="AD1959" i="16"/>
  <c r="AF1959" i="16" s="1"/>
  <c r="AL915" i="16"/>
  <c r="AN915" i="16" s="1"/>
  <c r="AD925" i="16"/>
  <c r="AD950" i="16"/>
  <c r="AD957" i="16"/>
  <c r="AL960" i="16"/>
  <c r="AN960" i="16" s="1"/>
  <c r="AD969" i="16"/>
  <c r="AD974" i="16"/>
  <c r="AL977" i="16"/>
  <c r="AN977" i="16" s="1"/>
  <c r="AD989" i="16"/>
  <c r="AD998" i="16"/>
  <c r="AL1011" i="16"/>
  <c r="AN1011" i="16" s="1"/>
  <c r="AD1020" i="16"/>
  <c r="AL1023" i="16"/>
  <c r="AN1023" i="16" s="1"/>
  <c r="AL1041" i="16"/>
  <c r="AN1041" i="16" s="1"/>
  <c r="AL1049" i="16"/>
  <c r="AN1049" i="16" s="1"/>
  <c r="AL1051" i="16"/>
  <c r="AN1051" i="16" s="1"/>
  <c r="O1060" i="16"/>
  <c r="AL1091" i="16"/>
  <c r="AN1091" i="16" s="1"/>
  <c r="O1115" i="16"/>
  <c r="AD1140" i="16"/>
  <c r="AL1163" i="16"/>
  <c r="AN1163" i="16" s="1"/>
  <c r="AL1174" i="16"/>
  <c r="AN1174" i="16" s="1"/>
  <c r="AD1207" i="16"/>
  <c r="AL1214" i="16"/>
  <c r="AN1214" i="16" s="1"/>
  <c r="AD1273" i="16"/>
  <c r="AD1305" i="16"/>
  <c r="AL1317" i="16"/>
  <c r="AN1317" i="16" s="1"/>
  <c r="AD1323" i="16"/>
  <c r="AF1323" i="16" s="1"/>
  <c r="AD1327" i="16"/>
  <c r="AF1327" i="16" s="1"/>
  <c r="AL1342" i="16"/>
  <c r="AN1342" i="16" s="1"/>
  <c r="AL1351" i="16"/>
  <c r="AN1351" i="16" s="1"/>
  <c r="AD1359" i="16"/>
  <c r="AF1359" i="16" s="1"/>
  <c r="AI1359" i="16" s="1"/>
  <c r="AJ1359" i="16" s="1"/>
  <c r="AD1373" i="16"/>
  <c r="AF1373" i="16" s="1"/>
  <c r="AD1399" i="16"/>
  <c r="AF1399" i="16" s="1"/>
  <c r="AD1418" i="16"/>
  <c r="AF1418" i="16" s="1"/>
  <c r="AL1422" i="16"/>
  <c r="AN1422" i="16" s="1"/>
  <c r="AL1434" i="16"/>
  <c r="AN1434" i="16" s="1"/>
  <c r="AD1435" i="16"/>
  <c r="AF1435" i="16" s="1"/>
  <c r="AG1435" i="16" s="1"/>
  <c r="AL1453" i="16"/>
  <c r="AN1453" i="16" s="1"/>
  <c r="AL1463" i="16"/>
  <c r="AN1463" i="16" s="1"/>
  <c r="AD1475" i="16"/>
  <c r="AF1475" i="16" s="1"/>
  <c r="AG1475" i="16" s="1"/>
  <c r="AL1752" i="16"/>
  <c r="AN1752" i="16" s="1"/>
  <c r="AD910" i="16"/>
  <c r="AL928" i="16"/>
  <c r="AN928" i="16" s="1"/>
  <c r="AD949" i="16"/>
  <c r="O953" i="16"/>
  <c r="AL976" i="16"/>
  <c r="AN976" i="16" s="1"/>
  <c r="AD992" i="16"/>
  <c r="AD997" i="16"/>
  <c r="AD1036" i="16"/>
  <c r="AL1065" i="16"/>
  <c r="AN1065" i="16" s="1"/>
  <c r="AL1094" i="16"/>
  <c r="AN1094" i="16" s="1"/>
  <c r="AL1115" i="16"/>
  <c r="AN1115" i="16" s="1"/>
  <c r="AD1116" i="16"/>
  <c r="O1123" i="16"/>
  <c r="AL1142" i="16"/>
  <c r="AN1142" i="16" s="1"/>
  <c r="AL1173" i="16"/>
  <c r="AN1173" i="16" s="1"/>
  <c r="AL1194" i="16"/>
  <c r="AN1194" i="16" s="1"/>
  <c r="AL1198" i="16"/>
  <c r="AN1198" i="16" s="1"/>
  <c r="AL1203" i="16"/>
  <c r="AN1203" i="16" s="1"/>
  <c r="AL1213" i="16"/>
  <c r="AN1213" i="16" s="1"/>
  <c r="O1294" i="16"/>
  <c r="S1294" i="16" s="1"/>
  <c r="T1294" i="16" s="1"/>
  <c r="AE1294" i="16" s="1"/>
  <c r="AD1302" i="16"/>
  <c r="AL1329" i="16"/>
  <c r="AN1329" i="16" s="1"/>
  <c r="AD1337" i="16"/>
  <c r="AF1337" i="16" s="1"/>
  <c r="AI1337" i="16" s="1"/>
  <c r="AJ1337" i="16" s="1"/>
  <c r="AL1361" i="16"/>
  <c r="AN1361" i="16" s="1"/>
  <c r="AL1371" i="16"/>
  <c r="AN1371" i="16" s="1"/>
  <c r="AD1386" i="16"/>
  <c r="AF1386" i="16" s="1"/>
  <c r="AI1386" i="16" s="1"/>
  <c r="AJ1386" i="16" s="1"/>
  <c r="AL1391" i="16"/>
  <c r="AN1391" i="16" s="1"/>
  <c r="AL1395" i="16"/>
  <c r="AN1395" i="16" s="1"/>
  <c r="AD1396" i="16"/>
  <c r="AF1396" i="16" s="1"/>
  <c r="AG1396" i="16" s="1"/>
  <c r="AD1398" i="16"/>
  <c r="AF1398" i="16" s="1"/>
  <c r="AL1407" i="16"/>
  <c r="AN1407" i="16" s="1"/>
  <c r="AL1415" i="16"/>
  <c r="AN1415" i="16" s="1"/>
  <c r="AL1421" i="16"/>
  <c r="AN1421" i="16" s="1"/>
  <c r="AL1426" i="16"/>
  <c r="AN1426" i="16" s="1"/>
  <c r="AD1990" i="16"/>
  <c r="AF1990" i="16" s="1"/>
  <c r="AI1990" i="16" s="1"/>
  <c r="AJ1990" i="16" s="1"/>
  <c r="AD2161" i="16"/>
  <c r="AF2161" i="16" s="1"/>
  <c r="AI2161" i="16" s="1"/>
  <c r="AJ2161" i="16" s="1"/>
  <c r="AD1436" i="16"/>
  <c r="AF1436" i="16" s="1"/>
  <c r="AI1436" i="16" s="1"/>
  <c r="AJ1436" i="16" s="1"/>
  <c r="AL1439" i="16"/>
  <c r="AN1439" i="16" s="1"/>
  <c r="O1471" i="16"/>
  <c r="S1471" i="16" s="1"/>
  <c r="AL1479" i="16"/>
  <c r="AN1479" i="16" s="1"/>
  <c r="AD1542" i="16"/>
  <c r="AF1542" i="16" s="1"/>
  <c r="AI1542" i="16" s="1"/>
  <c r="AJ1542" i="16" s="1"/>
  <c r="AD1588" i="16"/>
  <c r="AF1588" i="16" s="1"/>
  <c r="AD1626" i="16"/>
  <c r="AF1626" i="16" s="1"/>
  <c r="AG1626" i="16" s="1"/>
  <c r="AD1656" i="16"/>
  <c r="AF1656" i="16" s="1"/>
  <c r="AL1709" i="16"/>
  <c r="AN1709" i="16" s="1"/>
  <c r="AD1767" i="16"/>
  <c r="AF1767" i="16" s="1"/>
  <c r="AI1767" i="16" s="1"/>
  <c r="AJ1767" i="16" s="1"/>
  <c r="AL1774" i="16"/>
  <c r="AN1774" i="16" s="1"/>
  <c r="AD1790" i="16"/>
  <c r="AF1790" i="16" s="1"/>
  <c r="AG1790" i="16" s="1"/>
  <c r="AD1791" i="16"/>
  <c r="AF1791" i="16" s="1"/>
  <c r="AL1799" i="16"/>
  <c r="AN1799" i="16" s="1"/>
  <c r="O1802" i="16"/>
  <c r="S1802" i="16" s="1"/>
  <c r="AD1836" i="16"/>
  <c r="AF1836" i="16" s="1"/>
  <c r="AI1836" i="16" s="1"/>
  <c r="AJ1836" i="16" s="1"/>
  <c r="AD1883" i="16"/>
  <c r="AF1883" i="16" s="1"/>
  <c r="AD1948" i="16"/>
  <c r="AF1948" i="16" s="1"/>
  <c r="AL1983" i="16"/>
  <c r="AN1983" i="16" s="1"/>
  <c r="AD2026" i="16"/>
  <c r="AF2026" i="16" s="1"/>
  <c r="AI2026" i="16" s="1"/>
  <c r="AD2027" i="16"/>
  <c r="AF2027" i="16" s="1"/>
  <c r="AL2032" i="16"/>
  <c r="AN2032" i="16" s="1"/>
  <c r="AD2093" i="16"/>
  <c r="AF2093" i="16" s="1"/>
  <c r="AD2097" i="16"/>
  <c r="AF2097" i="16" s="1"/>
  <c r="AI2097" i="16" s="1"/>
  <c r="AJ2097" i="16" s="1"/>
  <c r="AD2125" i="16"/>
  <c r="AF2125" i="16" s="1"/>
  <c r="AI2125" i="16" s="1"/>
  <c r="AJ2125" i="16" s="1"/>
  <c r="AL2143" i="16"/>
  <c r="AN2143" i="16" s="1"/>
  <c r="AD2146" i="16"/>
  <c r="AF2146" i="16" s="1"/>
  <c r="AI2146" i="16" s="1"/>
  <c r="AJ2146" i="16" s="1"/>
  <c r="AL2159" i="16"/>
  <c r="AN2159" i="16" s="1"/>
  <c r="O2193" i="16"/>
  <c r="S2193" i="16" s="1"/>
  <c r="AD2202" i="16"/>
  <c r="AF2202" i="16" s="1"/>
  <c r="AI2202" i="16" s="1"/>
  <c r="AJ2202" i="16" s="1"/>
  <c r="AL2223" i="16"/>
  <c r="AN2223" i="16" s="1"/>
  <c r="AL1526" i="16"/>
  <c r="AN1526" i="16" s="1"/>
  <c r="AD1527" i="16"/>
  <c r="AF1527" i="16" s="1"/>
  <c r="AI1527" i="16" s="1"/>
  <c r="AJ1527" i="16" s="1"/>
  <c r="AD1553" i="16"/>
  <c r="AF1553" i="16" s="1"/>
  <c r="AI1553" i="16" s="1"/>
  <c r="AJ1553" i="16" s="1"/>
  <c r="AD1577" i="16"/>
  <c r="AF1577" i="16" s="1"/>
  <c r="AD1590" i="16"/>
  <c r="AF1590" i="16" s="1"/>
  <c r="AG1590" i="16" s="1"/>
  <c r="AL1601" i="16"/>
  <c r="AN1601" i="16" s="1"/>
  <c r="AD1616" i="16"/>
  <c r="AF1616" i="16" s="1"/>
  <c r="AL1732" i="16"/>
  <c r="AN1732" i="16" s="1"/>
  <c r="AL1761" i="16"/>
  <c r="AN1761" i="16" s="1"/>
  <c r="AL1773" i="16"/>
  <c r="AN1773" i="16" s="1"/>
  <c r="AL1777" i="16"/>
  <c r="AN1777" i="16" s="1"/>
  <c r="AL1783" i="16"/>
  <c r="AN1783" i="16" s="1"/>
  <c r="AD1807" i="16"/>
  <c r="AF1807" i="16" s="1"/>
  <c r="AD1825" i="16"/>
  <c r="AF1825" i="16" s="1"/>
  <c r="AL1838" i="16"/>
  <c r="AN1838" i="16" s="1"/>
  <c r="AL1862" i="16"/>
  <c r="AN1862" i="16" s="1"/>
  <c r="AD1863" i="16"/>
  <c r="AF1863" i="16" s="1"/>
  <c r="AL1909" i="16"/>
  <c r="AN1909" i="16" s="1"/>
  <c r="AL1933" i="16"/>
  <c r="AN1933" i="16" s="1"/>
  <c r="AD1998" i="16"/>
  <c r="AF1998" i="16" s="1"/>
  <c r="AG1998" i="16" s="1"/>
  <c r="AL2008" i="16"/>
  <c r="AN2008" i="16" s="1"/>
  <c r="AL2035" i="16"/>
  <c r="AN2035" i="16" s="1"/>
  <c r="AL2051" i="16"/>
  <c r="AN2051" i="16" s="1"/>
  <c r="AL2095" i="16"/>
  <c r="AN2095" i="16" s="1"/>
  <c r="AD2124" i="16"/>
  <c r="AF2124" i="16" s="1"/>
  <c r="AI2124" i="16" s="1"/>
  <c r="AJ2124" i="16" s="1"/>
  <c r="AD2144" i="16"/>
  <c r="AF2144" i="16" s="1"/>
  <c r="AD2145" i="16"/>
  <c r="AF2145" i="16" s="1"/>
  <c r="AL2176" i="16"/>
  <c r="AN2176" i="16" s="1"/>
  <c r="AL2233" i="16"/>
  <c r="AN2233" i="16" s="1"/>
  <c r="AD759" i="16"/>
  <c r="AD795" i="16"/>
  <c r="AD779" i="16"/>
  <c r="AD805" i="16"/>
  <c r="AD819" i="16"/>
  <c r="O775" i="16"/>
  <c r="AD771" i="16"/>
  <c r="AD773" i="16"/>
  <c r="AL776" i="16"/>
  <c r="AN776" i="16" s="1"/>
  <c r="O785" i="16"/>
  <c r="O786" i="16"/>
  <c r="O807" i="16"/>
  <c r="O811" i="16"/>
  <c r="S811" i="16" s="1"/>
  <c r="T811" i="16" s="1"/>
  <c r="AE811" i="16" s="1"/>
  <c r="O812" i="16"/>
  <c r="O759" i="16"/>
  <c r="O760" i="16"/>
  <c r="O761" i="16"/>
  <c r="O746" i="16"/>
  <c r="O758" i="16"/>
  <c r="O769" i="16"/>
  <c r="O770" i="16"/>
  <c r="O806" i="16"/>
  <c r="AL750" i="16"/>
  <c r="AN750" i="16" s="1"/>
  <c r="O756" i="16"/>
  <c r="O757" i="16"/>
  <c r="O767" i="16"/>
  <c r="O823" i="16"/>
  <c r="O824" i="16"/>
  <c r="O826" i="16"/>
  <c r="O827" i="16"/>
  <c r="O828" i="16"/>
  <c r="AL831" i="16"/>
  <c r="AN831" i="16" s="1"/>
  <c r="O751" i="16"/>
  <c r="O762" i="16"/>
  <c r="O777" i="16"/>
  <c r="O778" i="16"/>
  <c r="O817" i="16"/>
  <c r="AL774" i="16"/>
  <c r="AN774" i="16" s="1"/>
  <c r="AL798" i="16"/>
  <c r="AN798" i="16" s="1"/>
  <c r="AL810" i="16"/>
  <c r="AN810" i="16" s="1"/>
  <c r="AL816" i="16"/>
  <c r="AN816" i="16" s="1"/>
  <c r="O798" i="16"/>
  <c r="AL832" i="16"/>
  <c r="AN832" i="16" s="1"/>
  <c r="AL739" i="16"/>
  <c r="AN739" i="16" s="1"/>
  <c r="O741" i="16"/>
  <c r="O740" i="16"/>
  <c r="R734" i="16"/>
  <c r="AD733" i="16"/>
  <c r="R725" i="16"/>
  <c r="R728" i="16"/>
  <c r="R729" i="16"/>
  <c r="R733" i="16"/>
  <c r="O734" i="16"/>
  <c r="O733" i="16"/>
  <c r="R197" i="16"/>
  <c r="R247" i="16"/>
  <c r="R274" i="16"/>
  <c r="R337" i="16"/>
  <c r="R399" i="16"/>
  <c r="R410" i="16"/>
  <c r="R413" i="16"/>
  <c r="R422" i="16"/>
  <c r="R460" i="16"/>
  <c r="R489" i="16"/>
  <c r="R491" i="16"/>
  <c r="R549" i="16"/>
  <c r="R570" i="16"/>
  <c r="R571" i="16"/>
  <c r="R573" i="16"/>
  <c r="R575" i="16"/>
  <c r="R577" i="16"/>
  <c r="R619" i="16"/>
  <c r="R621" i="16"/>
  <c r="R652" i="16"/>
  <c r="R654" i="16"/>
  <c r="R656" i="16"/>
  <c r="R683" i="16"/>
  <c r="R685" i="16"/>
  <c r="R720" i="16"/>
  <c r="R721" i="16"/>
  <c r="AD730" i="16"/>
  <c r="AD731" i="16"/>
  <c r="AD785" i="16"/>
  <c r="O822" i="16"/>
  <c r="AD855" i="16"/>
  <c r="AD905" i="16"/>
  <c r="AD1568" i="16"/>
  <c r="AF1568" i="16" s="1"/>
  <c r="AI1568" i="16" s="1"/>
  <c r="AJ1568" i="16" s="1"/>
  <c r="AD1619" i="16"/>
  <c r="AF1619" i="16" s="1"/>
  <c r="R160" i="16"/>
  <c r="R195" i="16"/>
  <c r="R199" i="16"/>
  <c r="R272" i="16"/>
  <c r="R275" i="16"/>
  <c r="R293" i="16"/>
  <c r="R339" i="16"/>
  <c r="R342" i="16"/>
  <c r="R400" i="16"/>
  <c r="R412" i="16"/>
  <c r="R461" i="16"/>
  <c r="R490" i="16"/>
  <c r="R492" i="16"/>
  <c r="R569" i="16"/>
  <c r="R572" i="16"/>
  <c r="R574" i="16"/>
  <c r="R576" i="16"/>
  <c r="R578" i="16"/>
  <c r="R618" i="16"/>
  <c r="R620" i="16"/>
  <c r="R653" i="16"/>
  <c r="R655" i="16"/>
  <c r="R657" i="16"/>
  <c r="R675" i="16"/>
  <c r="R681" i="16"/>
  <c r="R684" i="16"/>
  <c r="R719" i="16"/>
  <c r="R722" i="16"/>
  <c r="AD754" i="16"/>
  <c r="AD772" i="16"/>
  <c r="AD968" i="16"/>
  <c r="O1364" i="16"/>
  <c r="S1364" i="16" s="1"/>
  <c r="AD1492" i="16"/>
  <c r="AF1492" i="16" s="1"/>
  <c r="AD1500" i="16"/>
  <c r="AF1500" i="16" s="1"/>
  <c r="AD1593" i="16"/>
  <c r="AF1593" i="16" s="1"/>
  <c r="R135" i="16"/>
  <c r="R161" i="16"/>
  <c r="R164" i="16"/>
  <c r="R202" i="16"/>
  <c r="R203" i="16"/>
  <c r="R204" i="16"/>
  <c r="R205" i="16"/>
  <c r="R206" i="16"/>
  <c r="R249" i="16"/>
  <c r="R250" i="16"/>
  <c r="R251" i="16"/>
  <c r="R259" i="16"/>
  <c r="R277" i="16"/>
  <c r="R294" i="16"/>
  <c r="R295" i="16"/>
  <c r="R296" i="16"/>
  <c r="AD364" i="16"/>
  <c r="R372" i="16"/>
  <c r="R373" i="16"/>
  <c r="R374" i="16"/>
  <c r="R375" i="16"/>
  <c r="R376" i="16"/>
  <c r="R377" i="16"/>
  <c r="R416" i="16"/>
  <c r="R425" i="16"/>
  <c r="R451" i="16"/>
  <c r="R452" i="16"/>
  <c r="R453" i="16"/>
  <c r="R454" i="16"/>
  <c r="R455" i="16"/>
  <c r="R465" i="16"/>
  <c r="R466" i="16"/>
  <c r="R467" i="16"/>
  <c r="AD489" i="16"/>
  <c r="R494" i="16"/>
  <c r="R495" i="16"/>
  <c r="R496" i="16"/>
  <c r="R497" i="16"/>
  <c r="R554" i="16"/>
  <c r="R581" i="16"/>
  <c r="R596" i="16"/>
  <c r="R623" i="16"/>
  <c r="R624" i="16"/>
  <c r="R625" i="16"/>
  <c r="R627" i="16"/>
  <c r="R662" i="16"/>
  <c r="R678" i="16"/>
  <c r="R700" i="16"/>
  <c r="R701" i="16"/>
  <c r="R702" i="16"/>
  <c r="R703" i="16"/>
  <c r="AD724" i="16"/>
  <c r="AD729" i="16"/>
  <c r="O730" i="16"/>
  <c r="AD741" i="16"/>
  <c r="O743" i="16"/>
  <c r="O745" i="16"/>
  <c r="AD747" i="16"/>
  <c r="O748" i="16"/>
  <c r="AL752" i="16"/>
  <c r="AN752" i="16" s="1"/>
  <c r="O754" i="16"/>
  <c r="AL762" i="16"/>
  <c r="AN762" i="16" s="1"/>
  <c r="O764" i="16"/>
  <c r="O765" i="16"/>
  <c r="O766" i="16"/>
  <c r="O772" i="16"/>
  <c r="O774" i="16"/>
  <c r="AL778" i="16"/>
  <c r="AN778" i="16" s="1"/>
  <c r="AD782" i="16"/>
  <c r="O783" i="16"/>
  <c r="AD787" i="16"/>
  <c r="O800" i="16"/>
  <c r="O801" i="16"/>
  <c r="AD803" i="16"/>
  <c r="AD813" i="16"/>
  <c r="O818" i="16"/>
  <c r="O819" i="16"/>
  <c r="O820" i="16"/>
  <c r="AL828" i="16"/>
  <c r="AN828" i="16" s="1"/>
  <c r="O831" i="16"/>
  <c r="AL839" i="16"/>
  <c r="AN839" i="16" s="1"/>
  <c r="O843" i="16"/>
  <c r="O848" i="16"/>
  <c r="O867" i="16"/>
  <c r="AD871" i="16"/>
  <c r="O878" i="16"/>
  <c r="AD961" i="16"/>
  <c r="AD980" i="16"/>
  <c r="O1028" i="16"/>
  <c r="O1045" i="16"/>
  <c r="O1046" i="16"/>
  <c r="O1052" i="16"/>
  <c r="O1053" i="16"/>
  <c r="O1054" i="16"/>
  <c r="O1059" i="16"/>
  <c r="O1061" i="16"/>
  <c r="O1062" i="16"/>
  <c r="O1109" i="16"/>
  <c r="O1110" i="16"/>
  <c r="O1113" i="16"/>
  <c r="S1113" i="16" s="1"/>
  <c r="T1113" i="16" s="1"/>
  <c r="AE1113" i="16" s="1"/>
  <c r="O1124" i="16"/>
  <c r="S1124" i="16" s="1"/>
  <c r="T1124" i="16" s="1"/>
  <c r="AE1124" i="16" s="1"/>
  <c r="O1132" i="16"/>
  <c r="O1137" i="16"/>
  <c r="O1138" i="16"/>
  <c r="S1138" i="16" s="1"/>
  <c r="T1138" i="16" s="1"/>
  <c r="AE1138" i="16" s="1"/>
  <c r="O1139" i="16"/>
  <c r="AD1159" i="16"/>
  <c r="AD1160" i="16"/>
  <c r="O1169" i="16"/>
  <c r="O1170" i="16"/>
  <c r="S1170" i="16" s="1"/>
  <c r="T1170" i="16" s="1"/>
  <c r="AE1170" i="16" s="1"/>
  <c r="AL1191" i="16"/>
  <c r="AN1191" i="16" s="1"/>
  <c r="O1199" i="16"/>
  <c r="O1207" i="16"/>
  <c r="AD1243" i="16"/>
  <c r="O1268" i="16"/>
  <c r="AD1271" i="16"/>
  <c r="O1292" i="16"/>
  <c r="O1323" i="16"/>
  <c r="S1323" i="16" s="1"/>
  <c r="O1324" i="16"/>
  <c r="S1324" i="16" s="1"/>
  <c r="O1326" i="16"/>
  <c r="S1326" i="16" s="1"/>
  <c r="O1327" i="16"/>
  <c r="S1327" i="16" s="1"/>
  <c r="AD1335" i="16"/>
  <c r="AF1335" i="16" s="1"/>
  <c r="O1533" i="16"/>
  <c r="S1533" i="16" s="1"/>
  <c r="O1544" i="16"/>
  <c r="S1544" i="16" s="1"/>
  <c r="R194" i="16"/>
  <c r="R196" i="16"/>
  <c r="R198" i="16"/>
  <c r="R271" i="16"/>
  <c r="R273" i="16"/>
  <c r="R336" i="16"/>
  <c r="R338" i="16"/>
  <c r="R401" i="16"/>
  <c r="R411" i="16"/>
  <c r="R414" i="16"/>
  <c r="R423" i="16"/>
  <c r="R442" i="16"/>
  <c r="R459" i="16"/>
  <c r="R462" i="16"/>
  <c r="R550" i="16"/>
  <c r="AD259" i="16"/>
  <c r="AD380" i="16"/>
  <c r="R531" i="16"/>
  <c r="O695" i="16"/>
  <c r="S695" i="16" s="1"/>
  <c r="O724" i="16"/>
  <c r="O725" i="16"/>
  <c r="AD725" i="16"/>
  <c r="O727" i="16"/>
  <c r="O728" i="16"/>
  <c r="O729" i="16"/>
  <c r="O737" i="16"/>
  <c r="S737" i="16" s="1"/>
  <c r="O738" i="16"/>
  <c r="AD755" i="16"/>
  <c r="AL767" i="16"/>
  <c r="AN767" i="16" s="1"/>
  <c r="AL768" i="16"/>
  <c r="AN768" i="16" s="1"/>
  <c r="O780" i="16"/>
  <c r="O781" i="16"/>
  <c r="O782" i="16"/>
  <c r="O791" i="16"/>
  <c r="O792" i="16"/>
  <c r="O793" i="16"/>
  <c r="AD793" i="16"/>
  <c r="O794" i="16"/>
  <c r="O795" i="16"/>
  <c r="O796" i="16"/>
  <c r="O799" i="16"/>
  <c r="AL802" i="16"/>
  <c r="AN802" i="16" s="1"/>
  <c r="O809" i="16"/>
  <c r="AD821" i="16"/>
  <c r="AD827" i="16"/>
  <c r="O830" i="16"/>
  <c r="AL848" i="16"/>
  <c r="AN848" i="16" s="1"/>
  <c r="AD851" i="16"/>
  <c r="AD873" i="16"/>
  <c r="AL888" i="16"/>
  <c r="AN888" i="16" s="1"/>
  <c r="AD890" i="16"/>
  <c r="O892" i="16"/>
  <c r="AL916" i="16"/>
  <c r="AN916" i="16" s="1"/>
  <c r="O921" i="16"/>
  <c r="O955" i="16"/>
  <c r="S955" i="16" s="1"/>
  <c r="O956" i="16"/>
  <c r="AL969" i="16"/>
  <c r="AN969" i="16" s="1"/>
  <c r="O1008" i="16"/>
  <c r="S1008" i="16" s="1"/>
  <c r="O1009" i="16"/>
  <c r="O1089" i="16"/>
  <c r="S1089" i="16" s="1"/>
  <c r="T1089" i="16" s="1"/>
  <c r="AE1089" i="16" s="1"/>
  <c r="AL1190" i="16"/>
  <c r="AN1190" i="16" s="1"/>
  <c r="AL1199" i="16"/>
  <c r="AN1199" i="16" s="1"/>
  <c r="O1209" i="16"/>
  <c r="AL1245" i="16"/>
  <c r="AN1245" i="16" s="1"/>
  <c r="O1478" i="16"/>
  <c r="S1478" i="16" s="1"/>
  <c r="O1524" i="16"/>
  <c r="S1524" i="16" s="1"/>
  <c r="AD1536" i="16"/>
  <c r="AF1536" i="16" s="1"/>
  <c r="AG1536" i="16" s="1"/>
  <c r="AD1557" i="16"/>
  <c r="AF1557" i="16" s="1"/>
  <c r="AL1557" i="16"/>
  <c r="AN1557" i="16" s="1"/>
  <c r="O1573" i="16"/>
  <c r="S1573" i="16" s="1"/>
  <c r="O1578" i="16"/>
  <c r="S1578" i="16" s="1"/>
  <c r="O1579" i="16"/>
  <c r="S1579" i="16" s="1"/>
  <c r="O859" i="16"/>
  <c r="O860" i="16"/>
  <c r="AL863" i="16"/>
  <c r="AN863" i="16" s="1"/>
  <c r="O870" i="16"/>
  <c r="O882" i="16"/>
  <c r="AD889" i="16"/>
  <c r="O890" i="16"/>
  <c r="AL913" i="16"/>
  <c r="AN913" i="16" s="1"/>
  <c r="AL926" i="16"/>
  <c r="AN926" i="16" s="1"/>
  <c r="O929" i="16"/>
  <c r="AD929" i="16"/>
  <c r="O930" i="16"/>
  <c r="O933" i="16"/>
  <c r="AL953" i="16"/>
  <c r="AN953" i="16" s="1"/>
  <c r="AL957" i="16"/>
  <c r="AN957" i="16" s="1"/>
  <c r="O959" i="16"/>
  <c r="O970" i="16"/>
  <c r="AL972" i="16"/>
  <c r="AN972" i="16" s="1"/>
  <c r="O977" i="16"/>
  <c r="O1002" i="16"/>
  <c r="O1013" i="16"/>
  <c r="O1018" i="16"/>
  <c r="AD1022" i="16"/>
  <c r="O1023" i="16"/>
  <c r="AL1028" i="16"/>
  <c r="AN1028" i="16" s="1"/>
  <c r="O1040" i="16"/>
  <c r="O1041" i="16"/>
  <c r="AL1044" i="16"/>
  <c r="AN1044" i="16" s="1"/>
  <c r="AL1047" i="16"/>
  <c r="AN1047" i="16" s="1"/>
  <c r="AL1060" i="16"/>
  <c r="AN1060" i="16" s="1"/>
  <c r="AL1063" i="16"/>
  <c r="AN1063" i="16" s="1"/>
  <c r="AL1067" i="16"/>
  <c r="AN1067" i="16" s="1"/>
  <c r="AL1077" i="16"/>
  <c r="AN1077" i="16" s="1"/>
  <c r="AD1079" i="16"/>
  <c r="O1080" i="16"/>
  <c r="AD1084" i="16"/>
  <c r="O1085" i="16"/>
  <c r="S1085" i="16" s="1"/>
  <c r="T1085" i="16" s="1"/>
  <c r="AE1085" i="16" s="1"/>
  <c r="O1086" i="16"/>
  <c r="AL1089" i="16"/>
  <c r="AN1089" i="16" s="1"/>
  <c r="AD1093" i="16"/>
  <c r="O1094" i="16"/>
  <c r="AD1114" i="16"/>
  <c r="AL1123" i="16"/>
  <c r="AN1123" i="16" s="1"/>
  <c r="AD1134" i="16"/>
  <c r="O1143" i="16"/>
  <c r="AD1146" i="16"/>
  <c r="AD1151" i="16"/>
  <c r="O1152" i="16"/>
  <c r="AD1152" i="16"/>
  <c r="O1153" i="16"/>
  <c r="S1153" i="16" s="1"/>
  <c r="T1153" i="16" s="1"/>
  <c r="AE1153" i="16" s="1"/>
  <c r="O1154" i="16"/>
  <c r="O1164" i="16"/>
  <c r="AD1164" i="16"/>
  <c r="O1165" i="16"/>
  <c r="O1166" i="16"/>
  <c r="S1166" i="16" s="1"/>
  <c r="T1166" i="16" s="1"/>
  <c r="AE1166" i="16" s="1"/>
  <c r="AL1168" i="16"/>
  <c r="AN1168" i="16" s="1"/>
  <c r="AD1180" i="16"/>
  <c r="AL1187" i="16"/>
  <c r="AN1187" i="16" s="1"/>
  <c r="AL1206" i="16"/>
  <c r="AN1206" i="16" s="1"/>
  <c r="AL1211" i="16"/>
  <c r="AN1211" i="16" s="1"/>
  <c r="AD1215" i="16"/>
  <c r="AD1216" i="16"/>
  <c r="AL1221" i="16"/>
  <c r="AN1221" i="16" s="1"/>
  <c r="AL1224" i="16"/>
  <c r="AN1224" i="16" s="1"/>
  <c r="AD1227" i="16"/>
  <c r="O1235" i="16"/>
  <c r="S1235" i="16" s="1"/>
  <c r="T1235" i="16" s="1"/>
  <c r="AE1235" i="16" s="1"/>
  <c r="AD1274" i="16"/>
  <c r="AL1277" i="16"/>
  <c r="AN1277" i="16" s="1"/>
  <c r="O1308" i="16"/>
  <c r="S1308" i="16" s="1"/>
  <c r="O1389" i="16"/>
  <c r="S1389" i="16" s="1"/>
  <c r="O1399" i="16"/>
  <c r="S1399" i="16" s="1"/>
  <c r="O1400" i="16"/>
  <c r="S1400" i="16" s="1"/>
  <c r="O1443" i="16"/>
  <c r="S1443" i="16" s="1"/>
  <c r="AD1471" i="16"/>
  <c r="AF1471" i="16" s="1"/>
  <c r="AI1471" i="16" s="1"/>
  <c r="AJ1471" i="16" s="1"/>
  <c r="AD1497" i="16"/>
  <c r="AF1497" i="16" s="1"/>
  <c r="AI1497" i="16" s="1"/>
  <c r="AJ1497" i="16" s="1"/>
  <c r="AD1514" i="16"/>
  <c r="AF1514" i="16" s="1"/>
  <c r="AI1514" i="16" s="1"/>
  <c r="AJ1514" i="16" s="1"/>
  <c r="AD1639" i="16"/>
  <c r="AF1639" i="16" s="1"/>
  <c r="AD1671" i="16"/>
  <c r="AF1671" i="16" s="1"/>
  <c r="AD1701" i="16"/>
  <c r="AF1701" i="16" s="1"/>
  <c r="AG1701" i="16" s="1"/>
  <c r="AL1839" i="16"/>
  <c r="AN1839" i="16" s="1"/>
  <c r="AD893" i="16"/>
  <c r="AD899" i="16"/>
  <c r="O901" i="16"/>
  <c r="AL904" i="16"/>
  <c r="AN904" i="16" s="1"/>
  <c r="AL906" i="16"/>
  <c r="AN906" i="16" s="1"/>
  <c r="AD907" i="16"/>
  <c r="O916" i="16"/>
  <c r="AL921" i="16"/>
  <c r="AN921" i="16" s="1"/>
  <c r="AL925" i="16"/>
  <c r="AN925" i="16" s="1"/>
  <c r="O927" i="16"/>
  <c r="O934" i="16"/>
  <c r="O935" i="16"/>
  <c r="O937" i="16"/>
  <c r="AD937" i="16"/>
  <c r="O938" i="16"/>
  <c r="O942" i="16"/>
  <c r="O943" i="16"/>
  <c r="O944" i="16"/>
  <c r="S944" i="16" s="1"/>
  <c r="T944" i="16" s="1"/>
  <c r="AE944" i="16" s="1"/>
  <c r="AL949" i="16"/>
  <c r="AN949" i="16" s="1"/>
  <c r="AL973" i="16"/>
  <c r="AN973" i="16" s="1"/>
  <c r="O975" i="16"/>
  <c r="AD979" i="16"/>
  <c r="O983" i="16"/>
  <c r="AL988" i="16"/>
  <c r="AN988" i="16" s="1"/>
  <c r="O994" i="16"/>
  <c r="AL996" i="16"/>
  <c r="AN996" i="16" s="1"/>
  <c r="O1001" i="16"/>
  <c r="O1010" i="16"/>
  <c r="AL1014" i="16"/>
  <c r="AN1014" i="16" s="1"/>
  <c r="AL1025" i="16"/>
  <c r="AN1025" i="16" s="1"/>
  <c r="AL1027" i="16"/>
  <c r="AN1027" i="16" s="1"/>
  <c r="O1032" i="16"/>
  <c r="O1037" i="16"/>
  <c r="O1038" i="16"/>
  <c r="O1039" i="16"/>
  <c r="AL1043" i="16"/>
  <c r="AN1043" i="16" s="1"/>
  <c r="O1048" i="16"/>
  <c r="AL1059" i="16"/>
  <c r="AN1059" i="16" s="1"/>
  <c r="AL1062" i="16"/>
  <c r="AN1062" i="16" s="1"/>
  <c r="O1064" i="16"/>
  <c r="O1069" i="16"/>
  <c r="S1069" i="16" s="1"/>
  <c r="T1069" i="16" s="1"/>
  <c r="AE1069" i="16" s="1"/>
  <c r="O1070" i="16"/>
  <c r="O1079" i="16"/>
  <c r="O1084" i="16"/>
  <c r="AD1088" i="16"/>
  <c r="O1090" i="16"/>
  <c r="O1091" i="16"/>
  <c r="O1093" i="16"/>
  <c r="S1093" i="16" s="1"/>
  <c r="T1093" i="16" s="1"/>
  <c r="AE1093" i="16" s="1"/>
  <c r="O1095" i="16"/>
  <c r="S1095" i="16" s="1"/>
  <c r="T1095" i="16" s="1"/>
  <c r="AE1095" i="16" s="1"/>
  <c r="AL1097" i="16"/>
  <c r="AN1097" i="16" s="1"/>
  <c r="O1100" i="16"/>
  <c r="O1101" i="16"/>
  <c r="O1102" i="16"/>
  <c r="S1102" i="16" s="1"/>
  <c r="T1102" i="16" s="1"/>
  <c r="AE1102" i="16" s="1"/>
  <c r="AL1107" i="16"/>
  <c r="AN1107" i="16" s="1"/>
  <c r="AL1108" i="16"/>
  <c r="AN1108" i="16" s="1"/>
  <c r="AL1111" i="16"/>
  <c r="AN1111" i="16" s="1"/>
  <c r="AL1119" i="16"/>
  <c r="AN1119" i="16" s="1"/>
  <c r="AL1120" i="16"/>
  <c r="AN1120" i="16" s="1"/>
  <c r="O1126" i="16"/>
  <c r="O1134" i="16"/>
  <c r="S1134" i="16" s="1"/>
  <c r="T1134" i="16" s="1"/>
  <c r="AE1134" i="16" s="1"/>
  <c r="AD1138" i="16"/>
  <c r="AL1139" i="16"/>
  <c r="AN1139" i="16" s="1"/>
  <c r="O1141" i="16"/>
  <c r="AL1144" i="16"/>
  <c r="AN1144" i="16" s="1"/>
  <c r="O1148" i="16"/>
  <c r="S1148" i="16" s="1"/>
  <c r="T1148" i="16" s="1"/>
  <c r="AE1148" i="16" s="1"/>
  <c r="O1175" i="16"/>
  <c r="AL1179" i="16"/>
  <c r="AN1179" i="16" s="1"/>
  <c r="O1182" i="16"/>
  <c r="AD1183" i="16"/>
  <c r="O1184" i="16"/>
  <c r="AD1184" i="16"/>
  <c r="O1185" i="16"/>
  <c r="O1186" i="16"/>
  <c r="S1186" i="16" s="1"/>
  <c r="T1186" i="16" s="1"/>
  <c r="AE1186" i="16" s="1"/>
  <c r="O1191" i="16"/>
  <c r="AL1195" i="16"/>
  <c r="AN1195" i="16" s="1"/>
  <c r="AL1204" i="16"/>
  <c r="AN1204" i="16" s="1"/>
  <c r="AD1205" i="16"/>
  <c r="O1215" i="16"/>
  <c r="S1215" i="16" s="1"/>
  <c r="T1215" i="16" s="1"/>
  <c r="AE1215" i="16" s="1"/>
  <c r="AD1220" i="16"/>
  <c r="AD1222" i="16"/>
  <c r="O1227" i="16"/>
  <c r="S1227" i="16" s="1"/>
  <c r="T1227" i="16" s="1"/>
  <c r="AE1227" i="16" s="1"/>
  <c r="O1228" i="16"/>
  <c r="O1229" i="16"/>
  <c r="O1230" i="16"/>
  <c r="AL1232" i="16"/>
  <c r="AN1232" i="16" s="1"/>
  <c r="AD1233" i="16"/>
  <c r="O1242" i="16"/>
  <c r="S1242" i="16" s="1"/>
  <c r="T1242" i="16" s="1"/>
  <c r="AE1242" i="16" s="1"/>
  <c r="O1417" i="16"/>
  <c r="S1417" i="16" s="1"/>
  <c r="O1418" i="16"/>
  <c r="S1418" i="16" s="1"/>
  <c r="O1419" i="16"/>
  <c r="S1419" i="16" s="1"/>
  <c r="O1449" i="16"/>
  <c r="S1449" i="16" s="1"/>
  <c r="AD1484" i="16"/>
  <c r="AF1484" i="16" s="1"/>
  <c r="AD1520" i="16"/>
  <c r="AF1520" i="16" s="1"/>
  <c r="AG1520" i="16" s="1"/>
  <c r="O1548" i="16"/>
  <c r="S1548" i="16" s="1"/>
  <c r="O1549" i="16"/>
  <c r="S1549" i="16" s="1"/>
  <c r="AD1571" i="16"/>
  <c r="AF1571" i="16" s="1"/>
  <c r="AI1571" i="16" s="1"/>
  <c r="AJ1571" i="16" s="1"/>
  <c r="O1580" i="16"/>
  <c r="S1580" i="16" s="1"/>
  <c r="AD1581" i="16"/>
  <c r="AF1581" i="16" s="1"/>
  <c r="AD1584" i="16"/>
  <c r="AF1584" i="16" s="1"/>
  <c r="AI1584" i="16" s="1"/>
  <c r="AJ1584" i="16" s="1"/>
  <c r="AL1596" i="16"/>
  <c r="AN1596" i="16" s="1"/>
  <c r="O1626" i="16"/>
  <c r="S1626" i="16" s="1"/>
  <c r="O1656" i="16"/>
  <c r="S1656" i="16" s="1"/>
  <c r="O1706" i="16"/>
  <c r="S1706" i="16" s="1"/>
  <c r="AD1709" i="16"/>
  <c r="AF1709" i="16" s="1"/>
  <c r="AL1748" i="16"/>
  <c r="AN1748" i="16" s="1"/>
  <c r="O1775" i="16"/>
  <c r="S1775" i="16" s="1"/>
  <c r="AL1832" i="16"/>
  <c r="AN1832" i="16" s="1"/>
  <c r="AL1607" i="16"/>
  <c r="AN1607" i="16" s="1"/>
  <c r="AD1608" i="16"/>
  <c r="AF1608" i="16" s="1"/>
  <c r="AG1608" i="16" s="1"/>
  <c r="AD1647" i="16"/>
  <c r="AF1647" i="16" s="1"/>
  <c r="O1651" i="16"/>
  <c r="S1651" i="16" s="1"/>
  <c r="AD1676" i="16"/>
  <c r="AF1676" i="16" s="1"/>
  <c r="AI1676" i="16" s="1"/>
  <c r="AJ1676" i="16" s="1"/>
  <c r="AD1720" i="16"/>
  <c r="AF1720" i="16" s="1"/>
  <c r="AI1720" i="16" s="1"/>
  <c r="AJ1720" i="16" s="1"/>
  <c r="AD1733" i="16"/>
  <c r="AF1733" i="16" s="1"/>
  <c r="AD1743" i="16"/>
  <c r="AF1743" i="16" s="1"/>
  <c r="AD1766" i="16"/>
  <c r="AF1766" i="16" s="1"/>
  <c r="AG1766" i="16" s="1"/>
  <c r="AL1775" i="16"/>
  <c r="AN1775" i="16" s="1"/>
  <c r="AD1785" i="16"/>
  <c r="AF1785" i="16" s="1"/>
  <c r="AI1785" i="16" s="1"/>
  <c r="AJ1785" i="16" s="1"/>
  <c r="O1792" i="16"/>
  <c r="S1792" i="16" s="1"/>
  <c r="AD1795" i="16"/>
  <c r="AF1795" i="16" s="1"/>
  <c r="AD1804" i="16"/>
  <c r="AF1804" i="16" s="1"/>
  <c r="AD1812" i="16"/>
  <c r="AF1812" i="16" s="1"/>
  <c r="AG1812" i="16" s="1"/>
  <c r="AD1833" i="16"/>
  <c r="AF1833" i="16" s="1"/>
  <c r="AD1841" i="16"/>
  <c r="AF1841" i="16" s="1"/>
  <c r="AI1841" i="16" s="1"/>
  <c r="AJ1841" i="16" s="1"/>
  <c r="AD1854" i="16"/>
  <c r="AF1854" i="16" s="1"/>
  <c r="AG1854" i="16" s="1"/>
  <c r="AD1855" i="16"/>
  <c r="AF1855" i="16" s="1"/>
  <c r="AD1857" i="16"/>
  <c r="AF1857" i="16" s="1"/>
  <c r="AD1878" i="16"/>
  <c r="AF1878" i="16" s="1"/>
  <c r="AI1878" i="16" s="1"/>
  <c r="AJ1878" i="16" s="1"/>
  <c r="AD2069" i="16"/>
  <c r="AF2069" i="16" s="1"/>
  <c r="O1246" i="16"/>
  <c r="S1246" i="16" s="1"/>
  <c r="O1251" i="16"/>
  <c r="O1264" i="16"/>
  <c r="S1264" i="16" s="1"/>
  <c r="T1264" i="16" s="1"/>
  <c r="AE1264" i="16" s="1"/>
  <c r="O1269" i="16"/>
  <c r="S1269" i="16" s="1"/>
  <c r="T1269" i="16" s="1"/>
  <c r="AE1269" i="16" s="1"/>
  <c r="O1279" i="16"/>
  <c r="O1288" i="16"/>
  <c r="O1289" i="16"/>
  <c r="O1331" i="16"/>
  <c r="S1331" i="16" s="1"/>
  <c r="AD1333" i="16"/>
  <c r="AF1333" i="16" s="1"/>
  <c r="AG1333" i="16" s="1"/>
  <c r="AD1349" i="16"/>
  <c r="AF1349" i="16" s="1"/>
  <c r="AG1349" i="16" s="1"/>
  <c r="AL1358" i="16"/>
  <c r="AN1358" i="16" s="1"/>
  <c r="AL1365" i="16"/>
  <c r="AN1365" i="16" s="1"/>
  <c r="AL1375" i="16"/>
  <c r="AN1375" i="16" s="1"/>
  <c r="AL1379" i="16"/>
  <c r="AN1379" i="16" s="1"/>
  <c r="O1384" i="16"/>
  <c r="S1384" i="16" s="1"/>
  <c r="AL1389" i="16"/>
  <c r="AN1389" i="16" s="1"/>
  <c r="AD1401" i="16"/>
  <c r="AF1401" i="16" s="1"/>
  <c r="AD1403" i="16"/>
  <c r="AF1403" i="16" s="1"/>
  <c r="O1404" i="16"/>
  <c r="S1404" i="16" s="1"/>
  <c r="AL1406" i="16"/>
  <c r="AN1406" i="16" s="1"/>
  <c r="O1414" i="16"/>
  <c r="S1414" i="16" s="1"/>
  <c r="O1428" i="16"/>
  <c r="S1428" i="16" s="1"/>
  <c r="AD1440" i="16"/>
  <c r="AF1440" i="16" s="1"/>
  <c r="AL1461" i="16"/>
  <c r="AN1461" i="16" s="1"/>
  <c r="AD1513" i="16"/>
  <c r="AF1513" i="16" s="1"/>
  <c r="AL1524" i="16"/>
  <c r="AN1524" i="16" s="1"/>
  <c r="AD1528" i="16"/>
  <c r="AF1528" i="16" s="1"/>
  <c r="AG1528" i="16" s="1"/>
  <c r="AD1558" i="16"/>
  <c r="AF1558" i="16" s="1"/>
  <c r="AD1582" i="16"/>
  <c r="AF1582" i="16" s="1"/>
  <c r="AD1591" i="16"/>
  <c r="AF1591" i="16" s="1"/>
  <c r="AD1600" i="16"/>
  <c r="AF1600" i="16" s="1"/>
  <c r="AI1600" i="16" s="1"/>
  <c r="AJ1600" i="16" s="1"/>
  <c r="AD1606" i="16"/>
  <c r="AF1606" i="16" s="1"/>
  <c r="AG1606" i="16" s="1"/>
  <c r="AL1610" i="16"/>
  <c r="AN1610" i="16" s="1"/>
  <c r="AL1611" i="16"/>
  <c r="AN1611" i="16" s="1"/>
  <c r="AL1613" i="16"/>
  <c r="AN1613" i="16" s="1"/>
  <c r="AD1623" i="16"/>
  <c r="AF1623" i="16" s="1"/>
  <c r="AG1623" i="16" s="1"/>
  <c r="AL1652" i="16"/>
  <c r="AN1652" i="16" s="1"/>
  <c r="AD1655" i="16"/>
  <c r="AF1655" i="16" s="1"/>
  <c r="AL1680" i="16"/>
  <c r="AN1680" i="16" s="1"/>
  <c r="AD1684" i="16"/>
  <c r="AF1684" i="16" s="1"/>
  <c r="AI1684" i="16" s="1"/>
  <c r="AJ1684" i="16" s="1"/>
  <c r="AL1704" i="16"/>
  <c r="AN1704" i="16" s="1"/>
  <c r="AD1706" i="16"/>
  <c r="AF1706" i="16" s="1"/>
  <c r="AD1715" i="16"/>
  <c r="AF1715" i="16" s="1"/>
  <c r="AD1719" i="16"/>
  <c r="AF1719" i="16" s="1"/>
  <c r="AL1730" i="16"/>
  <c r="AN1730" i="16" s="1"/>
  <c r="AD1744" i="16"/>
  <c r="AF1744" i="16" s="1"/>
  <c r="AL1749" i="16"/>
  <c r="AN1749" i="16" s="1"/>
  <c r="AL1764" i="16"/>
  <c r="AN1764" i="16" s="1"/>
  <c r="AL1768" i="16"/>
  <c r="AN1768" i="16" s="1"/>
  <c r="AL1782" i="16"/>
  <c r="AN1782" i="16" s="1"/>
  <c r="O1800" i="16"/>
  <c r="S1800" i="16" s="1"/>
  <c r="O1804" i="16"/>
  <c r="S1804" i="16" s="1"/>
  <c r="O1812" i="16"/>
  <c r="S1812" i="16" s="1"/>
  <c r="AL1835" i="16"/>
  <c r="AN1835" i="16" s="1"/>
  <c r="AD1848" i="16"/>
  <c r="AF1848" i="16" s="1"/>
  <c r="AI1848" i="16" s="1"/>
  <c r="AJ1848" i="16" s="1"/>
  <c r="O1849" i="16"/>
  <c r="S1849" i="16" s="1"/>
  <c r="O1850" i="16"/>
  <c r="S1850" i="16" s="1"/>
  <c r="AL1852" i="16"/>
  <c r="AN1852" i="16" s="1"/>
  <c r="O1854" i="16"/>
  <c r="S1854" i="16" s="1"/>
  <c r="O1856" i="16"/>
  <c r="S1856" i="16" s="1"/>
  <c r="AD1856" i="16"/>
  <c r="AF1856" i="16" s="1"/>
  <c r="AI1856" i="16" s="1"/>
  <c r="AJ1856" i="16" s="1"/>
  <c r="AD1867" i="16"/>
  <c r="AF1867" i="16" s="1"/>
  <c r="O1868" i="16"/>
  <c r="S1868" i="16" s="1"/>
  <c r="AL1870" i="16"/>
  <c r="AN1870" i="16" s="1"/>
  <c r="AD1873" i="16"/>
  <c r="AF1873" i="16" s="1"/>
  <c r="AI1873" i="16" s="1"/>
  <c r="AJ1873" i="16" s="1"/>
  <c r="AD1876" i="16"/>
  <c r="AF1876" i="16" s="1"/>
  <c r="O1891" i="16"/>
  <c r="S1891" i="16" s="1"/>
  <c r="AD1891" i="16"/>
  <c r="AF1891" i="16" s="1"/>
  <c r="O1902" i="16"/>
  <c r="S1902" i="16" s="1"/>
  <c r="O1903" i="16"/>
  <c r="S1903" i="16" s="1"/>
  <c r="O1913" i="16"/>
  <c r="S1913" i="16" s="1"/>
  <c r="O1914" i="16"/>
  <c r="S1914" i="16" s="1"/>
  <c r="O1943" i="16"/>
  <c r="S1943" i="16" s="1"/>
  <c r="AL1976" i="16"/>
  <c r="AN1976" i="16" s="1"/>
  <c r="O2050" i="16"/>
  <c r="S2050" i="16" s="1"/>
  <c r="AL1290" i="16"/>
  <c r="AN1290" i="16" s="1"/>
  <c r="AL1291" i="16"/>
  <c r="AN1291" i="16" s="1"/>
  <c r="AD1298" i="16"/>
  <c r="AL1309" i="16"/>
  <c r="AN1309" i="16" s="1"/>
  <c r="AL1321" i="16"/>
  <c r="AN1321" i="16" s="1"/>
  <c r="O1328" i="16"/>
  <c r="S1328" i="16" s="1"/>
  <c r="O1329" i="16"/>
  <c r="S1329" i="16" s="1"/>
  <c r="O1348" i="16"/>
  <c r="S1348" i="16" s="1"/>
  <c r="O1349" i="16"/>
  <c r="S1349" i="16" s="1"/>
  <c r="AL1357" i="16"/>
  <c r="AN1357" i="16" s="1"/>
  <c r="AL1362" i="16"/>
  <c r="AN1362" i="16" s="1"/>
  <c r="AL1363" i="16"/>
  <c r="AN1363" i="16" s="1"/>
  <c r="O1370" i="16"/>
  <c r="S1370" i="16" s="1"/>
  <c r="O1381" i="16"/>
  <c r="S1381" i="16" s="1"/>
  <c r="O1382" i="16"/>
  <c r="S1382" i="16" s="1"/>
  <c r="O1394" i="16"/>
  <c r="S1394" i="16" s="1"/>
  <c r="AL1405" i="16"/>
  <c r="AN1405" i="16" s="1"/>
  <c r="O1421" i="16"/>
  <c r="S1421" i="16" s="1"/>
  <c r="O1429" i="16"/>
  <c r="S1429" i="16" s="1"/>
  <c r="O1430" i="16"/>
  <c r="S1430" i="16" s="1"/>
  <c r="O1431" i="16"/>
  <c r="S1431" i="16" s="1"/>
  <c r="O1432" i="16"/>
  <c r="S1432" i="16" s="1"/>
  <c r="AD1432" i="16"/>
  <c r="AF1432" i="16" s="1"/>
  <c r="AG1432" i="16" s="1"/>
  <c r="O1433" i="16"/>
  <c r="S1433" i="16" s="1"/>
  <c r="AL1437" i="16"/>
  <c r="AN1437" i="16" s="1"/>
  <c r="O1441" i="16"/>
  <c r="S1441" i="16" s="1"/>
  <c r="O1442" i="16"/>
  <c r="S1442" i="16" s="1"/>
  <c r="O1452" i="16"/>
  <c r="S1452" i="16" s="1"/>
  <c r="AL1457" i="16"/>
  <c r="AN1457" i="16" s="1"/>
  <c r="AD1458" i="16"/>
  <c r="AF1458" i="16" s="1"/>
  <c r="AI1458" i="16" s="1"/>
  <c r="AJ1458" i="16" s="1"/>
  <c r="O1462" i="16"/>
  <c r="S1462" i="16" s="1"/>
  <c r="AL1465" i="16"/>
  <c r="AN1465" i="16" s="1"/>
  <c r="AL1473" i="16"/>
  <c r="AN1473" i="16" s="1"/>
  <c r="AL1477" i="16"/>
  <c r="AN1477" i="16" s="1"/>
  <c r="AL1485" i="16"/>
  <c r="AN1485" i="16" s="1"/>
  <c r="O1503" i="16"/>
  <c r="S1503" i="16" s="1"/>
  <c r="O1525" i="16"/>
  <c r="S1525" i="16" s="1"/>
  <c r="O1527" i="16"/>
  <c r="S1527" i="16" s="1"/>
  <c r="O1532" i="16"/>
  <c r="S1532" i="16" s="1"/>
  <c r="AL1545" i="16"/>
  <c r="AN1545" i="16" s="1"/>
  <c r="O1565" i="16"/>
  <c r="S1565" i="16" s="1"/>
  <c r="O1567" i="16"/>
  <c r="S1567" i="16" s="1"/>
  <c r="AD1573" i="16"/>
  <c r="AF1573" i="16" s="1"/>
  <c r="AL1580" i="16"/>
  <c r="AN1580" i="16" s="1"/>
  <c r="AD1592" i="16"/>
  <c r="AF1592" i="16" s="1"/>
  <c r="AG1592" i="16" s="1"/>
  <c r="AL1609" i="16"/>
  <c r="AN1609" i="16" s="1"/>
  <c r="O1612" i="16"/>
  <c r="S1612" i="16" s="1"/>
  <c r="AD1612" i="16"/>
  <c r="AF1612" i="16" s="1"/>
  <c r="AD1615" i="16"/>
  <c r="AF1615" i="16" s="1"/>
  <c r="O1616" i="16"/>
  <c r="S1616" i="16" s="1"/>
  <c r="AD1618" i="16"/>
  <c r="AF1618" i="16" s="1"/>
  <c r="AI1618" i="16" s="1"/>
  <c r="AJ1618" i="16" s="1"/>
  <c r="AD1631" i="16"/>
  <c r="AF1631" i="16" s="1"/>
  <c r="AG1631" i="16" s="1"/>
  <c r="AD1663" i="16"/>
  <c r="AF1663" i="16" s="1"/>
  <c r="AG1663" i="16" s="1"/>
  <c r="O1667" i="16"/>
  <c r="S1667" i="16" s="1"/>
  <c r="AL1675" i="16"/>
  <c r="AN1675" i="16" s="1"/>
  <c r="AL1688" i="16"/>
  <c r="AN1688" i="16" s="1"/>
  <c r="O1691" i="16"/>
  <c r="S1691" i="16" s="1"/>
  <c r="AL1698" i="16"/>
  <c r="AN1698" i="16" s="1"/>
  <c r="O1714" i="16"/>
  <c r="S1714" i="16" s="1"/>
  <c r="AD1714" i="16"/>
  <c r="AF1714" i="16" s="1"/>
  <c r="AI1714" i="16" s="1"/>
  <c r="AJ1714" i="16" s="1"/>
  <c r="O1715" i="16"/>
  <c r="S1715" i="16" s="1"/>
  <c r="AL1721" i="16"/>
  <c r="AN1721" i="16" s="1"/>
  <c r="O1725" i="16"/>
  <c r="S1725" i="16" s="1"/>
  <c r="AL1728" i="16"/>
  <c r="AN1728" i="16" s="1"/>
  <c r="AD1735" i="16"/>
  <c r="AF1735" i="16" s="1"/>
  <c r="AI1735" i="16" s="1"/>
  <c r="AJ1735" i="16" s="1"/>
  <c r="O1736" i="16"/>
  <c r="S1736" i="16" s="1"/>
  <c r="O1738" i="16"/>
  <c r="S1738" i="16" s="1"/>
  <c r="O1740" i="16"/>
  <c r="S1740" i="16" s="1"/>
  <c r="AD1740" i="16"/>
  <c r="AF1740" i="16" s="1"/>
  <c r="AG1740" i="16" s="1"/>
  <c r="O1741" i="16"/>
  <c r="S1741" i="16" s="1"/>
  <c r="AL1753" i="16"/>
  <c r="AN1753" i="16" s="1"/>
  <c r="AL1757" i="16"/>
  <c r="AN1757" i="16" s="1"/>
  <c r="O1759" i="16"/>
  <c r="S1759" i="16" s="1"/>
  <c r="AL1781" i="16"/>
  <c r="AN1781" i="16" s="1"/>
  <c r="O1798" i="16"/>
  <c r="S1798" i="16" s="1"/>
  <c r="AD1800" i="16"/>
  <c r="AF1800" i="16" s="1"/>
  <c r="AG1800" i="16" s="1"/>
  <c r="O1809" i="16"/>
  <c r="S1809" i="16" s="1"/>
  <c r="O1817" i="16"/>
  <c r="S1817" i="16" s="1"/>
  <c r="O1828" i="16"/>
  <c r="S1828" i="16" s="1"/>
  <c r="O1829" i="16"/>
  <c r="S1829" i="16" s="1"/>
  <c r="O1840" i="16"/>
  <c r="S1840" i="16" s="1"/>
  <c r="AL1844" i="16"/>
  <c r="AN1844" i="16" s="1"/>
  <c r="AL1851" i="16"/>
  <c r="AN1851" i="16" s="1"/>
  <c r="O1873" i="16"/>
  <c r="S1873" i="16" s="1"/>
  <c r="O1874" i="16"/>
  <c r="S1874" i="16" s="1"/>
  <c r="O1890" i="16"/>
  <c r="S1890" i="16" s="1"/>
  <c r="AD1893" i="16"/>
  <c r="AF1893" i="16" s="1"/>
  <c r="O1899" i="16"/>
  <c r="S1899" i="16" s="1"/>
  <c r="O1937" i="16"/>
  <c r="S1937" i="16" s="1"/>
  <c r="O1938" i="16"/>
  <c r="S1938" i="16" s="1"/>
  <c r="AD1983" i="16"/>
  <c r="AF1983" i="16" s="1"/>
  <c r="AL1970" i="16"/>
  <c r="AN1970" i="16" s="1"/>
  <c r="AL1972" i="16"/>
  <c r="AN1972" i="16" s="1"/>
  <c r="AD1989" i="16"/>
  <c r="AF1989" i="16" s="1"/>
  <c r="AD2054" i="16"/>
  <c r="AF2054" i="16" s="1"/>
  <c r="AD2068" i="16"/>
  <c r="AF2068" i="16" s="1"/>
  <c r="AI2068" i="16" s="1"/>
  <c r="AJ2068" i="16" s="1"/>
  <c r="AD2079" i="16"/>
  <c r="AF2079" i="16" s="1"/>
  <c r="AD2080" i="16"/>
  <c r="AF2080" i="16" s="1"/>
  <c r="AL1896" i="16"/>
  <c r="AN1896" i="16" s="1"/>
  <c r="AL1901" i="16"/>
  <c r="AN1901" i="16" s="1"/>
  <c r="AL1915" i="16"/>
  <c r="AN1915" i="16" s="1"/>
  <c r="AL1931" i="16"/>
  <c r="AN1931" i="16" s="1"/>
  <c r="AL1943" i="16"/>
  <c r="AN1943" i="16" s="1"/>
  <c r="AD1966" i="16"/>
  <c r="AF1966" i="16" s="1"/>
  <c r="AL1978" i="16"/>
  <c r="AN1978" i="16" s="1"/>
  <c r="AD2007" i="16"/>
  <c r="AF2007" i="16" s="1"/>
  <c r="O2010" i="16"/>
  <c r="S2010" i="16" s="1"/>
  <c r="O2017" i="16"/>
  <c r="S2017" i="16" s="1"/>
  <c r="O2018" i="16"/>
  <c r="S2018" i="16" s="1"/>
  <c r="AL2019" i="16"/>
  <c r="AN2019" i="16" s="1"/>
  <c r="AL2039" i="16"/>
  <c r="AN2039" i="16" s="1"/>
  <c r="AD2041" i="16"/>
  <c r="AF2041" i="16" s="1"/>
  <c r="O2079" i="16"/>
  <c r="S2079" i="16" s="1"/>
  <c r="AD2107" i="16"/>
  <c r="AF2107" i="16" s="1"/>
  <c r="O1878" i="16"/>
  <c r="S1878" i="16" s="1"/>
  <c r="AL1880" i="16"/>
  <c r="AN1880" i="16" s="1"/>
  <c r="AL1881" i="16"/>
  <c r="AN1881" i="16" s="1"/>
  <c r="AL1889" i="16"/>
  <c r="AN1889" i="16" s="1"/>
  <c r="AD1890" i="16"/>
  <c r="AF1890" i="16" s="1"/>
  <c r="AI1890" i="16" s="1"/>
  <c r="AJ1890" i="16" s="1"/>
  <c r="AL1894" i="16"/>
  <c r="AN1894" i="16" s="1"/>
  <c r="AD1895" i="16"/>
  <c r="AF1895" i="16" s="1"/>
  <c r="AI1895" i="16" s="1"/>
  <c r="AJ1895" i="16" s="1"/>
  <c r="O1906" i="16"/>
  <c r="S1906" i="16" s="1"/>
  <c r="O1907" i="16"/>
  <c r="S1907" i="16" s="1"/>
  <c r="AD1912" i="16"/>
  <c r="AF1912" i="16" s="1"/>
  <c r="AD1920" i="16"/>
  <c r="AF1920" i="16" s="1"/>
  <c r="AI1920" i="16" s="1"/>
  <c r="AJ1920" i="16" s="1"/>
  <c r="AD1928" i="16"/>
  <c r="AF1928" i="16" s="1"/>
  <c r="AD1936" i="16"/>
  <c r="AF1936" i="16" s="1"/>
  <c r="AL1949" i="16"/>
  <c r="AN1949" i="16" s="1"/>
  <c r="O1951" i="16"/>
  <c r="S1951" i="16" s="1"/>
  <c r="O1952" i="16"/>
  <c r="S1952" i="16" s="1"/>
  <c r="AD1964" i="16"/>
  <c r="AF1964" i="16" s="1"/>
  <c r="AI1964" i="16" s="1"/>
  <c r="AJ1964" i="16" s="1"/>
  <c r="O1967" i="16"/>
  <c r="S1967" i="16" s="1"/>
  <c r="AD1967" i="16"/>
  <c r="AF1967" i="16" s="1"/>
  <c r="AI1967" i="16" s="1"/>
  <c r="AJ1967" i="16" s="1"/>
  <c r="AL1974" i="16"/>
  <c r="AN1974" i="16" s="1"/>
  <c r="AD1977" i="16"/>
  <c r="AF1977" i="16" s="1"/>
  <c r="AG1977" i="16" s="1"/>
  <c r="AD1980" i="16"/>
  <c r="AF1980" i="16" s="1"/>
  <c r="AI1980" i="16" s="1"/>
  <c r="AD1981" i="16"/>
  <c r="AF1981" i="16" s="1"/>
  <c r="AD1993" i="16"/>
  <c r="AF1993" i="16" s="1"/>
  <c r="AI1993" i="16" s="1"/>
  <c r="AJ1993" i="16" s="1"/>
  <c r="AL2000" i="16"/>
  <c r="AN2000" i="16" s="1"/>
  <c r="AL2004" i="16"/>
  <c r="AN2004" i="16" s="1"/>
  <c r="O2008" i="16"/>
  <c r="S2008" i="16" s="1"/>
  <c r="O2009" i="16"/>
  <c r="S2009" i="16" s="1"/>
  <c r="AL2014" i="16"/>
  <c r="AN2014" i="16" s="1"/>
  <c r="AL2018" i="16"/>
  <c r="AN2018" i="16" s="1"/>
  <c r="O2020" i="16"/>
  <c r="S2020" i="16" s="1"/>
  <c r="O2021" i="16"/>
  <c r="S2021" i="16" s="1"/>
  <c r="O2022" i="16"/>
  <c r="S2022" i="16" s="1"/>
  <c r="AL2027" i="16"/>
  <c r="AN2027" i="16" s="1"/>
  <c r="O2040" i="16"/>
  <c r="S2040" i="16" s="1"/>
  <c r="AD2048" i="16"/>
  <c r="AF2048" i="16" s="1"/>
  <c r="O2051" i="16"/>
  <c r="S2051" i="16" s="1"/>
  <c r="AD2055" i="16"/>
  <c r="AF2055" i="16" s="1"/>
  <c r="AD2061" i="16"/>
  <c r="AF2061" i="16" s="1"/>
  <c r="AD2094" i="16"/>
  <c r="AF2094" i="16" s="1"/>
  <c r="AD2102" i="16"/>
  <c r="AF2102" i="16" s="1"/>
  <c r="AD2106" i="16"/>
  <c r="AF2106" i="16" s="1"/>
  <c r="AG2106" i="16" s="1"/>
  <c r="AL2228" i="16"/>
  <c r="AN2228" i="16" s="1"/>
  <c r="O2242" i="16"/>
  <c r="S2242" i="16" s="1"/>
  <c r="AL2109" i="16"/>
  <c r="AN2109" i="16" s="1"/>
  <c r="AD2113" i="16"/>
  <c r="AF2113" i="16" s="1"/>
  <c r="AI2113" i="16" s="1"/>
  <c r="AJ2113" i="16" s="1"/>
  <c r="AD2149" i="16"/>
  <c r="AF2149" i="16" s="1"/>
  <c r="AG2149" i="16" s="1"/>
  <c r="AD2150" i="16"/>
  <c r="AF2150" i="16" s="1"/>
  <c r="AI2150" i="16" s="1"/>
  <c r="AJ2150" i="16" s="1"/>
  <c r="AD2153" i="16"/>
  <c r="AF2153" i="16" s="1"/>
  <c r="AI2153" i="16" s="1"/>
  <c r="AJ2153" i="16" s="1"/>
  <c r="AL2221" i="16"/>
  <c r="AN2221" i="16" s="1"/>
  <c r="AL2249" i="16"/>
  <c r="AN2249" i="16" s="1"/>
  <c r="O2258" i="16"/>
  <c r="S2258" i="16" s="1"/>
  <c r="O2065" i="16"/>
  <c r="S2065" i="16" s="1"/>
  <c r="O2066" i="16"/>
  <c r="S2066" i="16" s="1"/>
  <c r="AD2081" i="16"/>
  <c r="AF2081" i="16" s="1"/>
  <c r="AI2081" i="16" s="1"/>
  <c r="AJ2081" i="16" s="1"/>
  <c r="AD2090" i="16"/>
  <c r="AF2090" i="16" s="1"/>
  <c r="AG2090" i="16" s="1"/>
  <c r="AL2091" i="16"/>
  <c r="AN2091" i="16" s="1"/>
  <c r="O2093" i="16"/>
  <c r="S2093" i="16" s="1"/>
  <c r="AD2096" i="16"/>
  <c r="AF2096" i="16" s="1"/>
  <c r="AD2109" i="16"/>
  <c r="AF2109" i="16" s="1"/>
  <c r="O2110" i="16"/>
  <c r="S2110" i="16" s="1"/>
  <c r="AD2110" i="16"/>
  <c r="AF2110" i="16" s="1"/>
  <c r="AG2110" i="16" s="1"/>
  <c r="O2111" i="16"/>
  <c r="S2111" i="16" s="1"/>
  <c r="O2132" i="16"/>
  <c r="S2132" i="16" s="1"/>
  <c r="AL2134" i="16"/>
  <c r="AN2134" i="16" s="1"/>
  <c r="AL2136" i="16"/>
  <c r="AN2136" i="16" s="1"/>
  <c r="O2138" i="16"/>
  <c r="S2138" i="16" s="1"/>
  <c r="O2139" i="16"/>
  <c r="S2139" i="16" s="1"/>
  <c r="AL2142" i="16"/>
  <c r="AN2142" i="16" s="1"/>
  <c r="O2149" i="16"/>
  <c r="S2149" i="16" s="1"/>
  <c r="O2158" i="16"/>
  <c r="S2158" i="16" s="1"/>
  <c r="O2159" i="16"/>
  <c r="S2159" i="16" s="1"/>
  <c r="O2160" i="16"/>
  <c r="S2160" i="16" s="1"/>
  <c r="AD2166" i="16"/>
  <c r="AF2166" i="16" s="1"/>
  <c r="AI2166" i="16" s="1"/>
  <c r="AJ2166" i="16" s="1"/>
  <c r="O2177" i="16"/>
  <c r="S2177" i="16" s="1"/>
  <c r="O2178" i="16"/>
  <c r="S2178" i="16" s="1"/>
  <c r="AD2184" i="16"/>
  <c r="AF2184" i="16" s="1"/>
  <c r="AG2184" i="16" s="1"/>
  <c r="O2186" i="16"/>
  <c r="S2186" i="16" s="1"/>
  <c r="O2189" i="16"/>
  <c r="S2189" i="16" s="1"/>
  <c r="AD2189" i="16"/>
  <c r="AF2189" i="16" s="1"/>
  <c r="AI2189" i="16" s="1"/>
  <c r="AJ2189" i="16" s="1"/>
  <c r="O2190" i="16"/>
  <c r="S2190" i="16" s="1"/>
  <c r="O2192" i="16"/>
  <c r="S2192" i="16" s="1"/>
  <c r="AD2192" i="16"/>
  <c r="AF2192" i="16" s="1"/>
  <c r="AI2192" i="16" s="1"/>
  <c r="AJ2192" i="16" s="1"/>
  <c r="AL2201" i="16"/>
  <c r="AN2201" i="16" s="1"/>
  <c r="AL2204" i="16"/>
  <c r="AN2204" i="16" s="1"/>
  <c r="AD2205" i="16"/>
  <c r="AF2205" i="16" s="1"/>
  <c r="AD2206" i="16"/>
  <c r="AF2206" i="16" s="1"/>
  <c r="AD2208" i="16"/>
  <c r="AF2208" i="16" s="1"/>
  <c r="O2215" i="16"/>
  <c r="S2215" i="16" s="1"/>
  <c r="AD2219" i="16"/>
  <c r="AF2219" i="16" s="1"/>
  <c r="AG2219" i="16" s="1"/>
  <c r="O2226" i="16"/>
  <c r="S2226" i="16" s="1"/>
  <c r="AL2232" i="16"/>
  <c r="AN2232" i="16" s="1"/>
  <c r="O2235" i="16"/>
  <c r="S2235" i="16" s="1"/>
  <c r="AL2241" i="16"/>
  <c r="AN2241" i="16" s="1"/>
  <c r="O2245" i="16"/>
  <c r="S2245" i="16" s="1"/>
  <c r="AD2245" i="16"/>
  <c r="AF2245" i="16" s="1"/>
  <c r="AI2245" i="16" s="1"/>
  <c r="AJ2245" i="16" s="1"/>
  <c r="O2251" i="16"/>
  <c r="S2251" i="16" s="1"/>
  <c r="AL2259" i="16"/>
  <c r="AN2259" i="16" s="1"/>
  <c r="O2118" i="16"/>
  <c r="S2118" i="16" s="1"/>
  <c r="AD2118" i="16"/>
  <c r="AF2118" i="16" s="1"/>
  <c r="O2119" i="16"/>
  <c r="S2119" i="16" s="1"/>
  <c r="O2120" i="16"/>
  <c r="S2120" i="16" s="1"/>
  <c r="AD2121" i="16"/>
  <c r="AF2121" i="16" s="1"/>
  <c r="AI2121" i="16" s="1"/>
  <c r="AJ2121" i="16" s="1"/>
  <c r="O2135" i="16"/>
  <c r="S2135" i="16" s="1"/>
  <c r="O2148" i="16"/>
  <c r="S2148" i="16" s="1"/>
  <c r="O2157" i="16"/>
  <c r="S2157" i="16" s="1"/>
  <c r="AD2172" i="16"/>
  <c r="AF2172" i="16" s="1"/>
  <c r="AI2172" i="16" s="1"/>
  <c r="AJ2172" i="16" s="1"/>
  <c r="O2174" i="16"/>
  <c r="S2174" i="16" s="1"/>
  <c r="AD2181" i="16"/>
  <c r="AF2181" i="16" s="1"/>
  <c r="O2185" i="16"/>
  <c r="S2185" i="16" s="1"/>
  <c r="O2198" i="16"/>
  <c r="S2198" i="16" s="1"/>
  <c r="O2199" i="16"/>
  <c r="S2199" i="16" s="1"/>
  <c r="AL2205" i="16"/>
  <c r="AN2205" i="16" s="1"/>
  <c r="O2206" i="16"/>
  <c r="S2206" i="16" s="1"/>
  <c r="AL2212" i="16"/>
  <c r="AN2212" i="16" s="1"/>
  <c r="O2218" i="16"/>
  <c r="S2218" i="16" s="1"/>
  <c r="O2220" i="16"/>
  <c r="S2220" i="16" s="1"/>
  <c r="AD2220" i="16"/>
  <c r="AF2220" i="16" s="1"/>
  <c r="AD2221" i="16"/>
  <c r="AF2221" i="16" s="1"/>
  <c r="O2222" i="16"/>
  <c r="S2222" i="16" s="1"/>
  <c r="O2223" i="16"/>
  <c r="S2223" i="16" s="1"/>
  <c r="O2234" i="16"/>
  <c r="S2234" i="16" s="1"/>
  <c r="O2250" i="16"/>
  <c r="S2250" i="16" s="1"/>
  <c r="AL2258" i="16"/>
  <c r="AN2258" i="16" s="1"/>
  <c r="K70" i="5"/>
  <c r="K72" i="5"/>
  <c r="R125" i="16"/>
  <c r="R128" i="16"/>
  <c r="R130" i="16"/>
  <c r="R132" i="16"/>
  <c r="R147" i="16"/>
  <c r="R150" i="16"/>
  <c r="R152" i="16"/>
  <c r="R162" i="16"/>
  <c r="R186" i="16"/>
  <c r="R189" i="16"/>
  <c r="R191" i="16"/>
  <c r="R213" i="16"/>
  <c r="R226" i="16"/>
  <c r="R227" i="16"/>
  <c r="R252" i="16"/>
  <c r="R253" i="16"/>
  <c r="R254" i="16"/>
  <c r="R255" i="16"/>
  <c r="R266" i="16"/>
  <c r="R290" i="16"/>
  <c r="R297" i="16"/>
  <c r="R378" i="16"/>
  <c r="R379" i="16"/>
  <c r="R380" i="16"/>
  <c r="R381" i="16"/>
  <c r="R382" i="16"/>
  <c r="R383" i="16"/>
  <c r="R402" i="16"/>
  <c r="R403" i="16"/>
  <c r="R404" i="16"/>
  <c r="R405" i="16"/>
  <c r="R406" i="16"/>
  <c r="AD829" i="16"/>
  <c r="AL829" i="16"/>
  <c r="AN829" i="16" s="1"/>
  <c r="AD861" i="16"/>
  <c r="AL861" i="16"/>
  <c r="AN861" i="16" s="1"/>
  <c r="AL920" i="16"/>
  <c r="AN920" i="16" s="1"/>
  <c r="AL952" i="16"/>
  <c r="AN952" i="16" s="1"/>
  <c r="AL1712" i="16"/>
  <c r="AN1712" i="16" s="1"/>
  <c r="AD1712" i="16"/>
  <c r="AF1712" i="16" s="1"/>
  <c r="AG1712" i="16" s="1"/>
  <c r="R124" i="16"/>
  <c r="R126" i="16"/>
  <c r="R127" i="16"/>
  <c r="R129" i="16"/>
  <c r="R131" i="16"/>
  <c r="R133" i="16"/>
  <c r="R134" i="16"/>
  <c r="R146" i="16"/>
  <c r="R148" i="16"/>
  <c r="R149" i="16"/>
  <c r="R151" i="16"/>
  <c r="R163" i="16"/>
  <c r="R185" i="16"/>
  <c r="R187" i="16"/>
  <c r="R188" i="16"/>
  <c r="R190" i="16"/>
  <c r="R200" i="16"/>
  <c r="R136" i="16"/>
  <c r="R137" i="16"/>
  <c r="R138" i="16"/>
  <c r="R139" i="16"/>
  <c r="R140" i="16"/>
  <c r="R141" i="16"/>
  <c r="R142" i="16"/>
  <c r="R143" i="16"/>
  <c r="R154" i="16"/>
  <c r="R155" i="16"/>
  <c r="R156" i="16"/>
  <c r="R157" i="16"/>
  <c r="R158" i="16"/>
  <c r="R159" i="16"/>
  <c r="R165" i="16"/>
  <c r="R166" i="16"/>
  <c r="R167" i="16"/>
  <c r="R168" i="16"/>
  <c r="R169" i="16"/>
  <c r="R170" i="16"/>
  <c r="R171" i="16"/>
  <c r="R172" i="16"/>
  <c r="R173" i="16"/>
  <c r="R174" i="16"/>
  <c r="R192" i="16"/>
  <c r="R201" i="16"/>
  <c r="R214" i="16"/>
  <c r="R215" i="16"/>
  <c r="R216" i="16"/>
  <c r="R217" i="16"/>
  <c r="R218" i="16"/>
  <c r="R219" i="16"/>
  <c r="R228" i="16"/>
  <c r="R237" i="16"/>
  <c r="R238" i="16"/>
  <c r="R239" i="16"/>
  <c r="R240" i="16"/>
  <c r="R241" i="16"/>
  <c r="R242" i="16"/>
  <c r="R243" i="16"/>
  <c r="R244" i="16"/>
  <c r="R245" i="16"/>
  <c r="R246" i="16"/>
  <c r="R256" i="16"/>
  <c r="R257" i="16"/>
  <c r="R258" i="16"/>
  <c r="R267" i="16"/>
  <c r="R280" i="16"/>
  <c r="R281" i="16"/>
  <c r="R282" i="16"/>
  <c r="R283" i="16"/>
  <c r="R284" i="16"/>
  <c r="R285" i="16"/>
  <c r="R286" i="16"/>
  <c r="R291" i="16"/>
  <c r="R340" i="16"/>
  <c r="R341" i="16"/>
  <c r="R457" i="16"/>
  <c r="AD757" i="16"/>
  <c r="AL757" i="16"/>
  <c r="AN757" i="16" s="1"/>
  <c r="AL824" i="16"/>
  <c r="AN824" i="16" s="1"/>
  <c r="AL856" i="16"/>
  <c r="AN856" i="16" s="1"/>
  <c r="R220" i="16"/>
  <c r="R229" i="16"/>
  <c r="R230" i="16"/>
  <c r="R231" i="16"/>
  <c r="R232" i="16"/>
  <c r="R233" i="16"/>
  <c r="R260" i="16"/>
  <c r="R261" i="16"/>
  <c r="R262" i="16"/>
  <c r="R263" i="16"/>
  <c r="R264" i="16"/>
  <c r="R268" i="16"/>
  <c r="R276" i="16"/>
  <c r="R288" i="16"/>
  <c r="AD300" i="16"/>
  <c r="R301" i="16"/>
  <c r="R343" i="16"/>
  <c r="R344" i="16"/>
  <c r="R345" i="16"/>
  <c r="R346" i="16"/>
  <c r="R347" i="16"/>
  <c r="R348" i="16"/>
  <c r="R349" i="16"/>
  <c r="R350" i="16"/>
  <c r="R351" i="16"/>
  <c r="O411" i="16"/>
  <c r="R415" i="16"/>
  <c r="AD885" i="16"/>
  <c r="AL885" i="16"/>
  <c r="AN885" i="16" s="1"/>
  <c r="AD1347" i="16"/>
  <c r="AF1347" i="16" s="1"/>
  <c r="AL1347" i="16"/>
  <c r="AN1347" i="16" s="1"/>
  <c r="AL2104" i="16"/>
  <c r="AN2104" i="16" s="1"/>
  <c r="AD2104" i="16"/>
  <c r="AF2104" i="16" s="1"/>
  <c r="R432" i="16"/>
  <c r="R433" i="16"/>
  <c r="R434" i="16"/>
  <c r="R435" i="16"/>
  <c r="R436" i="16"/>
  <c r="R437" i="16"/>
  <c r="R438" i="16"/>
  <c r="R439" i="16"/>
  <c r="R440" i="16"/>
  <c r="R441" i="16"/>
  <c r="R463" i="16"/>
  <c r="R468" i="16"/>
  <c r="R469" i="16"/>
  <c r="R487" i="16"/>
  <c r="R518" i="16"/>
  <c r="R519" i="16"/>
  <c r="R520" i="16"/>
  <c r="R521" i="16"/>
  <c r="R522" i="16"/>
  <c r="R551" i="16"/>
  <c r="R556" i="16"/>
  <c r="R579" i="16"/>
  <c r="R586" i="16"/>
  <c r="R587" i="16"/>
  <c r="R588" i="16"/>
  <c r="R589" i="16"/>
  <c r="R590" i="16"/>
  <c r="R591" i="16"/>
  <c r="R606" i="16"/>
  <c r="R607" i="16"/>
  <c r="R608" i="16"/>
  <c r="R609" i="16"/>
  <c r="R640" i="16"/>
  <c r="R641" i="16"/>
  <c r="R642" i="16"/>
  <c r="R643" i="16"/>
  <c r="R646" i="16"/>
  <c r="R663" i="16"/>
  <c r="AL760" i="16"/>
  <c r="AN760" i="16" s="1"/>
  <c r="AD775" i="16"/>
  <c r="AD828" i="16"/>
  <c r="O858" i="16"/>
  <c r="AD859" i="16"/>
  <c r="AD860" i="16"/>
  <c r="O866" i="16"/>
  <c r="AD867" i="16"/>
  <c r="AD869" i="16"/>
  <c r="AD875" i="16"/>
  <c r="O880" i="16"/>
  <c r="O900" i="16"/>
  <c r="AD908" i="16"/>
  <c r="AL908" i="16"/>
  <c r="AN908" i="16" s="1"/>
  <c r="AD921" i="16"/>
  <c r="O922" i="16"/>
  <c r="AL924" i="16"/>
  <c r="AN924" i="16" s="1"/>
  <c r="AD928" i="16"/>
  <c r="AL929" i="16"/>
  <c r="AN929" i="16" s="1"/>
  <c r="AL932" i="16"/>
  <c r="AN932" i="16" s="1"/>
  <c r="AL937" i="16"/>
  <c r="AN937" i="16" s="1"/>
  <c r="AD938" i="16"/>
  <c r="AD953" i="16"/>
  <c r="O954" i="16"/>
  <c r="AL956" i="16"/>
  <c r="AN956" i="16" s="1"/>
  <c r="AD960" i="16"/>
  <c r="AL961" i="16"/>
  <c r="AN961" i="16" s="1"/>
  <c r="AL964" i="16"/>
  <c r="AN964" i="16" s="1"/>
  <c r="O973" i="16"/>
  <c r="AD975" i="16"/>
  <c r="AD978" i="16"/>
  <c r="AL980" i="16"/>
  <c r="AN980" i="16" s="1"/>
  <c r="AD983" i="16"/>
  <c r="AD985" i="16"/>
  <c r="O986" i="16"/>
  <c r="O991" i="16"/>
  <c r="O992" i="16"/>
  <c r="AL992" i="16"/>
  <c r="AN992" i="16" s="1"/>
  <c r="O995" i="16"/>
  <c r="AD1008" i="16"/>
  <c r="AF1008" i="16" s="1"/>
  <c r="AD1024" i="16"/>
  <c r="AD1032" i="16"/>
  <c r="O1033" i="16"/>
  <c r="O1034" i="16"/>
  <c r="O1055" i="16"/>
  <c r="S1055" i="16" s="1"/>
  <c r="O1071" i="16"/>
  <c r="O1081" i="16"/>
  <c r="O1082" i="16"/>
  <c r="S1082" i="16" s="1"/>
  <c r="T1082" i="16" s="1"/>
  <c r="AE1082" i="16" s="1"/>
  <c r="AD1086" i="16"/>
  <c r="O1087" i="16"/>
  <c r="AD1104" i="16"/>
  <c r="AD1111" i="16"/>
  <c r="O1112" i="16"/>
  <c r="AL1552" i="16"/>
  <c r="AN1552" i="16" s="1"/>
  <c r="AD1552" i="16"/>
  <c r="AF1552" i="16" s="1"/>
  <c r="R270" i="16"/>
  <c r="R278" i="16"/>
  <c r="R292" i="16"/>
  <c r="R298" i="16"/>
  <c r="R299" i="16"/>
  <c r="R309" i="16"/>
  <c r="R310" i="16"/>
  <c r="R311" i="16"/>
  <c r="R312" i="16"/>
  <c r="R313" i="16"/>
  <c r="R314" i="16"/>
  <c r="R315" i="16"/>
  <c r="R316" i="16"/>
  <c r="R317" i="16"/>
  <c r="R318" i="16"/>
  <c r="R319" i="16"/>
  <c r="R320" i="16"/>
  <c r="R321" i="16"/>
  <c r="R322" i="16"/>
  <c r="R323" i="16"/>
  <c r="R324" i="16"/>
  <c r="R325" i="16"/>
  <c r="R326" i="16"/>
  <c r="R327" i="16"/>
  <c r="R328" i="16"/>
  <c r="R329" i="16"/>
  <c r="R330" i="16"/>
  <c r="R331" i="16"/>
  <c r="R332" i="16"/>
  <c r="R333" i="16"/>
  <c r="R334" i="16"/>
  <c r="R352" i="16"/>
  <c r="R353" i="16"/>
  <c r="R354" i="16"/>
  <c r="R355" i="16"/>
  <c r="R356" i="16"/>
  <c r="R357" i="16"/>
  <c r="R358" i="16"/>
  <c r="R359" i="16"/>
  <c r="R360" i="16"/>
  <c r="R361" i="16"/>
  <c r="R362" i="16"/>
  <c r="R363" i="16"/>
  <c r="R364" i="16"/>
  <c r="R365" i="16"/>
  <c r="R366" i="16"/>
  <c r="R367" i="16"/>
  <c r="R368" i="16"/>
  <c r="R369" i="16"/>
  <c r="R370" i="16"/>
  <c r="R390" i="16"/>
  <c r="R391" i="16"/>
  <c r="R392" i="16"/>
  <c r="R393" i="16"/>
  <c r="R394" i="16"/>
  <c r="R395" i="16"/>
  <c r="R396" i="16"/>
  <c r="R407" i="16"/>
  <c r="R408" i="16"/>
  <c r="R417" i="16"/>
  <c r="R426" i="16"/>
  <c r="R443" i="16"/>
  <c r="R444" i="16"/>
  <c r="R445" i="16"/>
  <c r="R446" i="16"/>
  <c r="R447" i="16"/>
  <c r="R448" i="16"/>
  <c r="R449" i="16"/>
  <c r="R450" i="16"/>
  <c r="R470" i="16"/>
  <c r="R471" i="16"/>
  <c r="R472" i="16"/>
  <c r="R473" i="16"/>
  <c r="R474" i="16"/>
  <c r="R475" i="16"/>
  <c r="R476" i="16"/>
  <c r="R477" i="16"/>
  <c r="R488" i="16"/>
  <c r="R498" i="16"/>
  <c r="R499" i="16"/>
  <c r="R500" i="16"/>
  <c r="R501" i="16"/>
  <c r="R523" i="16"/>
  <c r="R524" i="16"/>
  <c r="R525" i="16"/>
  <c r="R526" i="16"/>
  <c r="R527" i="16"/>
  <c r="R528" i="16"/>
  <c r="R529" i="16"/>
  <c r="R530" i="16"/>
  <c r="R552" i="16"/>
  <c r="R553" i="16"/>
  <c r="AD556" i="16"/>
  <c r="R557" i="16"/>
  <c r="R558" i="16"/>
  <c r="R559" i="16"/>
  <c r="R560" i="16"/>
  <c r="R561" i="16"/>
  <c r="R562" i="16"/>
  <c r="R580" i="16"/>
  <c r="R592" i="16"/>
  <c r="R704" i="16"/>
  <c r="R705" i="16"/>
  <c r="R706" i="16"/>
  <c r="R707" i="16"/>
  <c r="R708" i="16"/>
  <c r="AL744" i="16"/>
  <c r="AN744" i="16" s="1"/>
  <c r="AL748" i="16"/>
  <c r="AN748" i="16" s="1"/>
  <c r="AL751" i="16"/>
  <c r="AN751" i="16" s="1"/>
  <c r="AD753" i="16"/>
  <c r="AD760" i="16"/>
  <c r="AD761" i="16"/>
  <c r="AD762" i="16"/>
  <c r="AD766" i="16"/>
  <c r="AD769" i="16"/>
  <c r="AD777" i="16"/>
  <c r="AL792" i="16"/>
  <c r="AN792" i="16" s="1"/>
  <c r="AL794" i="16"/>
  <c r="AN794" i="16" s="1"/>
  <c r="AL800" i="16"/>
  <c r="AN800" i="16" s="1"/>
  <c r="AD802" i="16"/>
  <c r="AL808" i="16"/>
  <c r="AN808" i="16" s="1"/>
  <c r="AD810" i="16"/>
  <c r="AL812" i="16"/>
  <c r="AN812" i="16" s="1"/>
  <c r="AD816" i="16"/>
  <c r="AD848" i="16"/>
  <c r="AL880" i="16"/>
  <c r="AN880" i="16" s="1"/>
  <c r="AL882" i="16"/>
  <c r="AN882" i="16" s="1"/>
  <c r="O931" i="16"/>
  <c r="AL931" i="16"/>
  <c r="AN931" i="16" s="1"/>
  <c r="AL940" i="16"/>
  <c r="AN940" i="16" s="1"/>
  <c r="AL944" i="16"/>
  <c r="AN944" i="16" s="1"/>
  <c r="O963" i="16"/>
  <c r="AL963" i="16"/>
  <c r="AN963" i="16" s="1"/>
  <c r="AL1038" i="16"/>
  <c r="AN1038" i="16" s="1"/>
  <c r="AL1039" i="16"/>
  <c r="AN1039" i="16" s="1"/>
  <c r="AL1075" i="16"/>
  <c r="AN1075" i="16" s="1"/>
  <c r="AL1293" i="16"/>
  <c r="AN1293" i="16" s="1"/>
  <c r="AD1428" i="16"/>
  <c r="AF1428" i="16" s="1"/>
  <c r="AG1428" i="16" s="1"/>
  <c r="AL1428" i="16"/>
  <c r="AN1428" i="16" s="1"/>
  <c r="AD1595" i="16"/>
  <c r="AF1595" i="16" s="1"/>
  <c r="AI1595" i="16" s="1"/>
  <c r="AJ1595" i="16" s="1"/>
  <c r="AL1595" i="16"/>
  <c r="AN1595" i="16" s="1"/>
  <c r="AL1651" i="16"/>
  <c r="AN1651" i="16" s="1"/>
  <c r="AD1651" i="16"/>
  <c r="AF1651" i="16" s="1"/>
  <c r="AG1651" i="16" s="1"/>
  <c r="AD426" i="16"/>
  <c r="O476" i="16"/>
  <c r="AD562" i="16"/>
  <c r="O682" i="16"/>
  <c r="S682" i="16" s="1"/>
  <c r="AL725" i="16"/>
  <c r="AN725" i="16" s="1"/>
  <c r="AL730" i="16"/>
  <c r="AN730" i="16" s="1"/>
  <c r="AL732" i="16"/>
  <c r="AN732" i="16" s="1"/>
  <c r="AL733" i="16"/>
  <c r="AN733" i="16" s="1"/>
  <c r="AL741" i="16"/>
  <c r="AN741" i="16" s="1"/>
  <c r="AD744" i="16"/>
  <c r="AL747" i="16"/>
  <c r="AN747" i="16" s="1"/>
  <c r="AD749" i="16"/>
  <c r="AL749" i="16"/>
  <c r="AN749" i="16" s="1"/>
  <c r="O753" i="16"/>
  <c r="O763" i="16"/>
  <c r="O771" i="16"/>
  <c r="AD781" i="16"/>
  <c r="AD783" i="16"/>
  <c r="O784" i="16"/>
  <c r="O788" i="16"/>
  <c r="AD789" i="16"/>
  <c r="AL793" i="16"/>
  <c r="AN793" i="16" s="1"/>
  <c r="AD797" i="16"/>
  <c r="AL797" i="16"/>
  <c r="AN797" i="16" s="1"/>
  <c r="O802" i="16"/>
  <c r="O803" i="16"/>
  <c r="O804" i="16"/>
  <c r="AL805" i="16"/>
  <c r="AN805" i="16" s="1"/>
  <c r="O810" i="16"/>
  <c r="AD811" i="16"/>
  <c r="O814" i="16"/>
  <c r="O815" i="16"/>
  <c r="AL818" i="16"/>
  <c r="AN818" i="16" s="1"/>
  <c r="AL820" i="16"/>
  <c r="AN820" i="16" s="1"/>
  <c r="O836" i="16"/>
  <c r="S836" i="16" s="1"/>
  <c r="T836" i="16" s="1"/>
  <c r="AE836" i="16" s="1"/>
  <c r="O837" i="16"/>
  <c r="S837" i="16" s="1"/>
  <c r="AD837" i="16"/>
  <c r="AF837" i="16" s="1"/>
  <c r="AL837" i="16"/>
  <c r="AN837" i="16" s="1"/>
  <c r="AD838" i="16"/>
  <c r="O846" i="16"/>
  <c r="O847" i="16"/>
  <c r="AL850" i="16"/>
  <c r="AN850" i="16" s="1"/>
  <c r="AL852" i="16"/>
  <c r="AN852" i="16" s="1"/>
  <c r="O868" i="16"/>
  <c r="AL869" i="16"/>
  <c r="AN869" i="16" s="1"/>
  <c r="AD879" i="16"/>
  <c r="O884" i="16"/>
  <c r="O894" i="16"/>
  <c r="O895" i="16"/>
  <c r="AL896" i="16"/>
  <c r="AN896" i="16" s="1"/>
  <c r="AL900" i="16"/>
  <c r="AN900" i="16" s="1"/>
  <c r="O904" i="16"/>
  <c r="O908" i="16"/>
  <c r="AD909" i="16"/>
  <c r="AL912" i="16"/>
  <c r="AN912" i="16" s="1"/>
  <c r="O925" i="16"/>
  <c r="AD940" i="16"/>
  <c r="AL948" i="16"/>
  <c r="AN948" i="16" s="1"/>
  <c r="O957" i="16"/>
  <c r="O967" i="16"/>
  <c r="AL968" i="16"/>
  <c r="AN968" i="16" s="1"/>
  <c r="AD972" i="16"/>
  <c r="AD987" i="16"/>
  <c r="AF987" i="16" s="1"/>
  <c r="AG987" i="16" s="1"/>
  <c r="AL991" i="16"/>
  <c r="AN991" i="16" s="1"/>
  <c r="AD1005" i="16"/>
  <c r="AD1013" i="16"/>
  <c r="O1015" i="16"/>
  <c r="O1021" i="16"/>
  <c r="O1022" i="16"/>
  <c r="AL1035" i="16"/>
  <c r="AN1035" i="16" s="1"/>
  <c r="AD1038" i="16"/>
  <c r="AD1046" i="16"/>
  <c r="O1047" i="16"/>
  <c r="AD1062" i="16"/>
  <c r="O1063" i="16"/>
  <c r="S1063" i="16" s="1"/>
  <c r="O1068" i="16"/>
  <c r="AD1072" i="16"/>
  <c r="AD1076" i="16"/>
  <c r="AL1083" i="16"/>
  <c r="AN1083" i="16" s="1"/>
  <c r="AL1087" i="16"/>
  <c r="AN1087" i="16" s="1"/>
  <c r="O1098" i="16"/>
  <c r="O1103" i="16"/>
  <c r="AL1109" i="16"/>
  <c r="AN1109" i="16" s="1"/>
  <c r="AL1231" i="16"/>
  <c r="AN1231" i="16" s="1"/>
  <c r="AL1512" i="16"/>
  <c r="AN1512" i="16" s="1"/>
  <c r="AD1512" i="16"/>
  <c r="AF1512" i="16" s="1"/>
  <c r="AD1112" i="16"/>
  <c r="AD1136" i="16"/>
  <c r="AD1154" i="16"/>
  <c r="AL1154" i="16"/>
  <c r="AN1154" i="16" s="1"/>
  <c r="O1183" i="16"/>
  <c r="AD1212" i="16"/>
  <c r="AL1223" i="16"/>
  <c r="AN1223" i="16" s="1"/>
  <c r="AD1290" i="16"/>
  <c r="AD1311" i="16"/>
  <c r="AF1311" i="16" s="1"/>
  <c r="AD1317" i="16"/>
  <c r="AF1317" i="16" s="1"/>
  <c r="AI1317" i="16" s="1"/>
  <c r="AJ1317" i="16" s="1"/>
  <c r="AD1356" i="16"/>
  <c r="AF1356" i="16" s="1"/>
  <c r="AG1356" i="16" s="1"/>
  <c r="AD1383" i="16"/>
  <c r="AF1383" i="16" s="1"/>
  <c r="AI1383" i="16" s="1"/>
  <c r="AJ1383" i="16" s="1"/>
  <c r="AD1515" i="16"/>
  <c r="AF1515" i="16" s="1"/>
  <c r="AL1515" i="16"/>
  <c r="AN1515" i="16" s="1"/>
  <c r="AL1517" i="16"/>
  <c r="AN1517" i="16" s="1"/>
  <c r="AD1517" i="16"/>
  <c r="AF1517" i="16" s="1"/>
  <c r="AL1627" i="16"/>
  <c r="AN1627" i="16" s="1"/>
  <c r="AD1627" i="16"/>
  <c r="AF1627" i="16" s="1"/>
  <c r="AL1659" i="16"/>
  <c r="AN1659" i="16" s="1"/>
  <c r="AD1659" i="16"/>
  <c r="AF1659" i="16" s="1"/>
  <c r="AL1699" i="16"/>
  <c r="AN1699" i="16" s="1"/>
  <c r="AD1699" i="16"/>
  <c r="AF1699" i="16" s="1"/>
  <c r="AD1707" i="16"/>
  <c r="AF1707" i="16" s="1"/>
  <c r="AI1707" i="16" s="1"/>
  <c r="AJ1707" i="16" s="1"/>
  <c r="AD1757" i="16"/>
  <c r="AF1757" i="16" s="1"/>
  <c r="AD1760" i="16"/>
  <c r="AF1760" i="16" s="1"/>
  <c r="AG1760" i="16" s="1"/>
  <c r="AL2114" i="16"/>
  <c r="AN2114" i="16" s="1"/>
  <c r="AD2114" i="16"/>
  <c r="AF2114" i="16" s="1"/>
  <c r="AG2114" i="16" s="1"/>
  <c r="AL2165" i="16"/>
  <c r="AN2165" i="16" s="1"/>
  <c r="O2165" i="16"/>
  <c r="S2165" i="16" s="1"/>
  <c r="R626" i="16"/>
  <c r="R644" i="16"/>
  <c r="R645" i="16"/>
  <c r="R658" i="16"/>
  <c r="R659" i="16"/>
  <c r="R660" i="16"/>
  <c r="R664" i="16"/>
  <c r="R665" i="16"/>
  <c r="R666" i="16"/>
  <c r="R676" i="16"/>
  <c r="R679" i="16"/>
  <c r="R686" i="16"/>
  <c r="R687" i="16"/>
  <c r="R688" i="16"/>
  <c r="R689" i="16"/>
  <c r="R709" i="16"/>
  <c r="R716" i="16"/>
  <c r="R717" i="16"/>
  <c r="AD723" i="16"/>
  <c r="AF723" i="16" s="1"/>
  <c r="AD732" i="16"/>
  <c r="AD734" i="16"/>
  <c r="AL737" i="16"/>
  <c r="AN737" i="16" s="1"/>
  <c r="AL758" i="16"/>
  <c r="AN758" i="16" s="1"/>
  <c r="AD768" i="16"/>
  <c r="AL770" i="16"/>
  <c r="AN770" i="16" s="1"/>
  <c r="AL788" i="16"/>
  <c r="AN788" i="16" s="1"/>
  <c r="AD790" i="16"/>
  <c r="AL791" i="16"/>
  <c r="AN791" i="16" s="1"/>
  <c r="AD801" i="16"/>
  <c r="AD809" i="16"/>
  <c r="AL815" i="16"/>
  <c r="AN815" i="16" s="1"/>
  <c r="AD820" i="16"/>
  <c r="AL834" i="16"/>
  <c r="AN834" i="16" s="1"/>
  <c r="AL842" i="16"/>
  <c r="AN842" i="16" s="1"/>
  <c r="AL844" i="16"/>
  <c r="AN844" i="16" s="1"/>
  <c r="AL847" i="16"/>
  <c r="AN847" i="16" s="1"/>
  <c r="AD852" i="16"/>
  <c r="O856" i="16"/>
  <c r="AL866" i="16"/>
  <c r="AN866" i="16" s="1"/>
  <c r="AD872" i="16"/>
  <c r="AL874" i="16"/>
  <c r="AN874" i="16" s="1"/>
  <c r="AD881" i="16"/>
  <c r="AD888" i="16"/>
  <c r="AL892" i="16"/>
  <c r="AN892" i="16" s="1"/>
  <c r="AL894" i="16"/>
  <c r="AN894" i="16" s="1"/>
  <c r="O896" i="16"/>
  <c r="AD902" i="16"/>
  <c r="AD913" i="16"/>
  <c r="AD917" i="16"/>
  <c r="AD920" i="16"/>
  <c r="AD933" i="16"/>
  <c r="AD936" i="16"/>
  <c r="O940" i="16"/>
  <c r="AD952" i="16"/>
  <c r="AD965" i="16"/>
  <c r="AD973" i="16"/>
  <c r="AD977" i="16"/>
  <c r="O980" i="16"/>
  <c r="AD981" i="16"/>
  <c r="AD991" i="16"/>
  <c r="AD993" i="16"/>
  <c r="AD1000" i="16"/>
  <c r="AL1006" i="16"/>
  <c r="AN1006" i="16" s="1"/>
  <c r="AD1014" i="16"/>
  <c r="AL1015" i="16"/>
  <c r="AN1015" i="16" s="1"/>
  <c r="AL1029" i="16"/>
  <c r="AN1029" i="16" s="1"/>
  <c r="AL1037" i="16"/>
  <c r="AN1037" i="16" s="1"/>
  <c r="AL1045" i="16"/>
  <c r="AN1045" i="16" s="1"/>
  <c r="AD1054" i="16"/>
  <c r="AL1055" i="16"/>
  <c r="AN1055" i="16" s="1"/>
  <c r="AL1068" i="16"/>
  <c r="AN1068" i="16" s="1"/>
  <c r="AD1070" i="16"/>
  <c r="AL1071" i="16"/>
  <c r="AN1071" i="16" s="1"/>
  <c r="AL1073" i="16"/>
  <c r="AN1073" i="16" s="1"/>
  <c r="AD1087" i="16"/>
  <c r="AD1091" i="16"/>
  <c r="AD1094" i="16"/>
  <c r="AL1095" i="16"/>
  <c r="AN1095" i="16" s="1"/>
  <c r="AD1097" i="16"/>
  <c r="AD1102" i="16"/>
  <c r="AL1103" i="16"/>
  <c r="AN1103" i="16" s="1"/>
  <c r="AD1110" i="16"/>
  <c r="AL1118" i="16"/>
  <c r="AN1118" i="16" s="1"/>
  <c r="AL1126" i="16"/>
  <c r="AN1126" i="16" s="1"/>
  <c r="AL1128" i="16"/>
  <c r="AN1128" i="16" s="1"/>
  <c r="AD1135" i="16"/>
  <c r="O1151" i="16"/>
  <c r="AL1167" i="16"/>
  <c r="AN1167" i="16" s="1"/>
  <c r="AD1172" i="16"/>
  <c r="AD1197" i="16"/>
  <c r="AD1218" i="16"/>
  <c r="AL1218" i="16"/>
  <c r="AN1218" i="16" s="1"/>
  <c r="O1223" i="16"/>
  <c r="S1223" i="16" s="1"/>
  <c r="T1223" i="16" s="1"/>
  <c r="AE1223" i="16" s="1"/>
  <c r="AD1223" i="16"/>
  <c r="AL1234" i="16"/>
  <c r="AN1234" i="16" s="1"/>
  <c r="AL1253" i="16"/>
  <c r="AN1253" i="16" s="1"/>
  <c r="AD1266" i="16"/>
  <c r="AL1269" i="16"/>
  <c r="AN1269" i="16" s="1"/>
  <c r="AD1278" i="16"/>
  <c r="AL1346" i="16"/>
  <c r="AN1346" i="16" s="1"/>
  <c r="AD1370" i="16"/>
  <c r="AF1370" i="16" s="1"/>
  <c r="AG1370" i="16" s="1"/>
  <c r="AD1382" i="16"/>
  <c r="AF1382" i="16" s="1"/>
  <c r="AL1404" i="16"/>
  <c r="AN1404" i="16" s="1"/>
  <c r="AD1414" i="16"/>
  <c r="AF1414" i="16" s="1"/>
  <c r="AG1414" i="16" s="1"/>
  <c r="AD1433" i="16"/>
  <c r="AF1433" i="16" s="1"/>
  <c r="AI1433" i="16" s="1"/>
  <c r="AJ1433" i="16" s="1"/>
  <c r="AL1447" i="16"/>
  <c r="AN1447" i="16" s="1"/>
  <c r="AD1465" i="16"/>
  <c r="AF1465" i="16" s="1"/>
  <c r="AI1465" i="16" s="1"/>
  <c r="AJ1465" i="16" s="1"/>
  <c r="AD1476" i="16"/>
  <c r="AF1476" i="16" s="1"/>
  <c r="AL1504" i="16"/>
  <c r="AN1504" i="16" s="1"/>
  <c r="AD1506" i="16"/>
  <c r="AF1506" i="16" s="1"/>
  <c r="AD1529" i="16"/>
  <c r="AF1529" i="16" s="1"/>
  <c r="AD1569" i="16"/>
  <c r="AF1569" i="16" s="1"/>
  <c r="AL1635" i="16"/>
  <c r="AN1635" i="16" s="1"/>
  <c r="AD1635" i="16"/>
  <c r="AF1635" i="16" s="1"/>
  <c r="AL1667" i="16"/>
  <c r="AN1667" i="16" s="1"/>
  <c r="AD1667" i="16"/>
  <c r="AF1667" i="16" s="1"/>
  <c r="AI1667" i="16" s="1"/>
  <c r="AJ1667" i="16" s="1"/>
  <c r="AD1698" i="16"/>
  <c r="AF1698" i="16" s="1"/>
  <c r="AG1698" i="16" s="1"/>
  <c r="AD1751" i="16"/>
  <c r="AF1751" i="16" s="1"/>
  <c r="AG1751" i="16" s="1"/>
  <c r="AD1801" i="16"/>
  <c r="AF1801" i="16" s="1"/>
  <c r="R582" i="16"/>
  <c r="R593" i="16"/>
  <c r="R594" i="16"/>
  <c r="R595" i="16"/>
  <c r="R610" i="16"/>
  <c r="R611" i="16"/>
  <c r="R612" i="16"/>
  <c r="R613" i="16"/>
  <c r="R614" i="16"/>
  <c r="R615" i="16"/>
  <c r="R616" i="16"/>
  <c r="R628" i="16"/>
  <c r="R629" i="16"/>
  <c r="R630" i="16"/>
  <c r="R631" i="16"/>
  <c r="R632" i="16"/>
  <c r="R633" i="16"/>
  <c r="R634" i="16"/>
  <c r="R635" i="16"/>
  <c r="R647" i="16"/>
  <c r="R648" i="16"/>
  <c r="R649" i="16"/>
  <c r="R650" i="16"/>
  <c r="R661" i="16"/>
  <c r="R677" i="16"/>
  <c r="R690" i="16"/>
  <c r="R691" i="16"/>
  <c r="R692" i="16"/>
  <c r="R693" i="16"/>
  <c r="R694" i="16"/>
  <c r="R696" i="16"/>
  <c r="R697" i="16"/>
  <c r="R698" i="16"/>
  <c r="R710" i="16"/>
  <c r="R718" i="16"/>
  <c r="AL724" i="16"/>
  <c r="AN724" i="16" s="1"/>
  <c r="O726" i="16"/>
  <c r="AD726" i="16"/>
  <c r="O735" i="16"/>
  <c r="O736" i="16"/>
  <c r="AD738" i="16"/>
  <c r="O739" i="16"/>
  <c r="AD739" i="16"/>
  <c r="AL740" i="16"/>
  <c r="AN740" i="16" s="1"/>
  <c r="O742" i="16"/>
  <c r="S742" i="16" s="1"/>
  <c r="AD742" i="16"/>
  <c r="AF742" i="16" s="1"/>
  <c r="O749" i="16"/>
  <c r="O750" i="16"/>
  <c r="AL754" i="16"/>
  <c r="AN754" i="16" s="1"/>
  <c r="O755" i="16"/>
  <c r="AL756" i="16"/>
  <c r="AN756" i="16" s="1"/>
  <c r="AL764" i="16"/>
  <c r="AN764" i="16" s="1"/>
  <c r="AL772" i="16"/>
  <c r="AN772" i="16" s="1"/>
  <c r="O779" i="16"/>
  <c r="O787" i="16"/>
  <c r="AD788" i="16"/>
  <c r="O790" i="16"/>
  <c r="AD796" i="16"/>
  <c r="AL799" i="16"/>
  <c r="AN799" i="16" s="1"/>
  <c r="O805" i="16"/>
  <c r="AL806" i="16"/>
  <c r="AN806" i="16" s="1"/>
  <c r="AL807" i="16"/>
  <c r="AN807" i="16" s="1"/>
  <c r="O813" i="16"/>
  <c r="AD814" i="16"/>
  <c r="AD817" i="16"/>
  <c r="AD822" i="16"/>
  <c r="O825" i="16"/>
  <c r="AD825" i="16"/>
  <c r="AL830" i="16"/>
  <c r="AN830" i="16" s="1"/>
  <c r="O833" i="16"/>
  <c r="S833" i="16" s="1"/>
  <c r="AD833" i="16"/>
  <c r="AF833" i="16" s="1"/>
  <c r="AI833" i="16" s="1"/>
  <c r="AJ833" i="16" s="1"/>
  <c r="O840" i="16"/>
  <c r="O841" i="16"/>
  <c r="AD841" i="16"/>
  <c r="AD844" i="16"/>
  <c r="AD846" i="16"/>
  <c r="AD849" i="16"/>
  <c r="AF849" i="16" s="1"/>
  <c r="AD854" i="16"/>
  <c r="O857" i="16"/>
  <c r="AD857" i="16"/>
  <c r="AL862" i="16"/>
  <c r="AN862" i="16" s="1"/>
  <c r="O864" i="16"/>
  <c r="O865" i="16"/>
  <c r="AD865" i="16"/>
  <c r="O869" i="16"/>
  <c r="AL870" i="16"/>
  <c r="AN870" i="16" s="1"/>
  <c r="O872" i="16"/>
  <c r="O883" i="16"/>
  <c r="AL886" i="16"/>
  <c r="AN886" i="16" s="1"/>
  <c r="O888" i="16"/>
  <c r="AL890" i="16"/>
  <c r="AN890" i="16" s="1"/>
  <c r="O893" i="16"/>
  <c r="O902" i="16"/>
  <c r="O914" i="16"/>
  <c r="O918" i="16"/>
  <c r="O926" i="16"/>
  <c r="AD931" i="16"/>
  <c r="O941" i="16"/>
  <c r="O945" i="16"/>
  <c r="AD945" i="16"/>
  <c r="O950" i="16"/>
  <c r="O958" i="16"/>
  <c r="AD963" i="16"/>
  <c r="O966" i="16"/>
  <c r="O974" i="16"/>
  <c r="AD976" i="16"/>
  <c r="O978" i="16"/>
  <c r="O981" i="16"/>
  <c r="O982" i="16"/>
  <c r="AD984" i="16"/>
  <c r="O985" i="16"/>
  <c r="O996" i="16"/>
  <c r="AD996" i="16"/>
  <c r="AL997" i="16"/>
  <c r="AN997" i="16" s="1"/>
  <c r="O998" i="16"/>
  <c r="AL999" i="16"/>
  <c r="AN999" i="16" s="1"/>
  <c r="O1004" i="16"/>
  <c r="AD1004" i="16"/>
  <c r="O1005" i="16"/>
  <c r="AL1007" i="16"/>
  <c r="AN1007" i="16" s="1"/>
  <c r="AL1009" i="16"/>
  <c r="AN1009" i="16" s="1"/>
  <c r="O1012" i="16"/>
  <c r="O1014" i="16"/>
  <c r="O1016" i="16"/>
  <c r="AD1016" i="16"/>
  <c r="O1017" i="16"/>
  <c r="AD1019" i="16"/>
  <c r="AD1030" i="16"/>
  <c r="AL1031" i="16"/>
  <c r="AN1031" i="16" s="1"/>
  <c r="O1044" i="16"/>
  <c r="O1049" i="16"/>
  <c r="AL1053" i="16"/>
  <c r="AN1053" i="16" s="1"/>
  <c r="AD1055" i="16"/>
  <c r="AF1055" i="16" s="1"/>
  <c r="AG1055" i="16" s="1"/>
  <c r="O1056" i="16"/>
  <c r="S1056" i="16" s="1"/>
  <c r="T1056" i="16" s="1"/>
  <c r="AE1056" i="16" s="1"/>
  <c r="O1057" i="16"/>
  <c r="AL1061" i="16"/>
  <c r="AN1061" i="16" s="1"/>
  <c r="O1065" i="16"/>
  <c r="S1065" i="16" s="1"/>
  <c r="T1065" i="16" s="1"/>
  <c r="AE1065" i="16" s="1"/>
  <c r="AL1069" i="16"/>
  <c r="AN1069" i="16" s="1"/>
  <c r="O1072" i="16"/>
  <c r="S1072" i="16" s="1"/>
  <c r="T1072" i="16" s="1"/>
  <c r="AE1072" i="16" s="1"/>
  <c r="O1078" i="16"/>
  <c r="S1078" i="16" s="1"/>
  <c r="T1078" i="16" s="1"/>
  <c r="AE1078" i="16" s="1"/>
  <c r="AD1078" i="16"/>
  <c r="AL1079" i="16"/>
  <c r="AN1079" i="16" s="1"/>
  <c r="AL1085" i="16"/>
  <c r="AN1085" i="16" s="1"/>
  <c r="AL1093" i="16"/>
  <c r="AN1093" i="16" s="1"/>
  <c r="O1096" i="16"/>
  <c r="O1097" i="16"/>
  <c r="AD1099" i="16"/>
  <c r="AL1100" i="16"/>
  <c r="AN1100" i="16" s="1"/>
  <c r="AL1101" i="16"/>
  <c r="AN1101" i="16" s="1"/>
  <c r="O1104" i="16"/>
  <c r="AD1105" i="16"/>
  <c r="O1116" i="16"/>
  <c r="O1117" i="16"/>
  <c r="S1117" i="16" s="1"/>
  <c r="T1117" i="16" s="1"/>
  <c r="AE1117" i="16" s="1"/>
  <c r="AD1118" i="16"/>
  <c r="O1119" i="16"/>
  <c r="AD1119" i="16"/>
  <c r="O1120" i="16"/>
  <c r="S1120" i="16" s="1"/>
  <c r="T1120" i="16" s="1"/>
  <c r="AE1120" i="16" s="1"/>
  <c r="AD1120" i="16"/>
  <c r="AL1124" i="16"/>
  <c r="AN1124" i="16" s="1"/>
  <c r="AD1128" i="16"/>
  <c r="AD1130" i="16"/>
  <c r="O1133" i="16"/>
  <c r="O1135" i="16"/>
  <c r="O1142" i="16"/>
  <c r="S1142" i="16" s="1"/>
  <c r="T1142" i="16" s="1"/>
  <c r="AE1142" i="16" s="1"/>
  <c r="O1145" i="16"/>
  <c r="S1145" i="16" s="1"/>
  <c r="T1145" i="16" s="1"/>
  <c r="AE1145" i="16" s="1"/>
  <c r="O1156" i="16"/>
  <c r="O1159" i="16"/>
  <c r="AL1166" i="16"/>
  <c r="AN1166" i="16" s="1"/>
  <c r="AD1170" i="16"/>
  <c r="AD1171" i="16"/>
  <c r="O1193" i="16"/>
  <c r="O1194" i="16"/>
  <c r="AL1237" i="16"/>
  <c r="AN1237" i="16" s="1"/>
  <c r="AD1239" i="16"/>
  <c r="AF1239" i="16" s="1"/>
  <c r="AI1239" i="16" s="1"/>
  <c r="AJ1239" i="16" s="1"/>
  <c r="O1240" i="16"/>
  <c r="S1240" i="16" s="1"/>
  <c r="T1240" i="16" s="1"/>
  <c r="AE1240" i="16" s="1"/>
  <c r="O1248" i="16"/>
  <c r="O1249" i="16"/>
  <c r="AL1254" i="16"/>
  <c r="AN1254" i="16" s="1"/>
  <c r="AL1261" i="16"/>
  <c r="AN1261" i="16" s="1"/>
  <c r="AD1263" i="16"/>
  <c r="O1265" i="16"/>
  <c r="AD1269" i="16"/>
  <c r="AD1270" i="16"/>
  <c r="O1271" i="16"/>
  <c r="O1272" i="16"/>
  <c r="S1272" i="16" s="1"/>
  <c r="T1272" i="16" s="1"/>
  <c r="AE1272" i="16" s="1"/>
  <c r="AD1275" i="16"/>
  <c r="O1283" i="16"/>
  <c r="S1283" i="16" s="1"/>
  <c r="T1283" i="16" s="1"/>
  <c r="AE1283" i="16" s="1"/>
  <c r="AL1285" i="16"/>
  <c r="AN1285" i="16" s="1"/>
  <c r="O1297" i="16"/>
  <c r="O1298" i="16"/>
  <c r="S1298" i="16" s="1"/>
  <c r="T1298" i="16" s="1"/>
  <c r="AE1298" i="16" s="1"/>
  <c r="AD1326" i="16"/>
  <c r="AF1326" i="16" s="1"/>
  <c r="AD1339" i="16"/>
  <c r="AF1339" i="16" s="1"/>
  <c r="AG1339" i="16" s="1"/>
  <c r="O1344" i="16"/>
  <c r="S1344" i="16" s="1"/>
  <c r="AD1369" i="16"/>
  <c r="AF1369" i="16" s="1"/>
  <c r="O1372" i="16"/>
  <c r="S1372" i="16" s="1"/>
  <c r="AL1387" i="16"/>
  <c r="AN1387" i="16" s="1"/>
  <c r="AD1388" i="16"/>
  <c r="AF1388" i="16" s="1"/>
  <c r="AD1393" i="16"/>
  <c r="AF1393" i="16" s="1"/>
  <c r="O1396" i="16"/>
  <c r="S1396" i="16" s="1"/>
  <c r="O1397" i="16"/>
  <c r="S1397" i="16" s="1"/>
  <c r="O1398" i="16"/>
  <c r="S1398" i="16" s="1"/>
  <c r="O1401" i="16"/>
  <c r="S1401" i="16" s="1"/>
  <c r="O1402" i="16"/>
  <c r="S1402" i="16" s="1"/>
  <c r="O1403" i="16"/>
  <c r="S1403" i="16" s="1"/>
  <c r="AL1411" i="16"/>
  <c r="AN1411" i="16" s="1"/>
  <c r="AL1419" i="16"/>
  <c r="AN1419" i="16" s="1"/>
  <c r="AD1420" i="16"/>
  <c r="AF1420" i="16" s="1"/>
  <c r="AG1420" i="16" s="1"/>
  <c r="AD1425" i="16"/>
  <c r="AF1425" i="16" s="1"/>
  <c r="AI1425" i="16" s="1"/>
  <c r="O1435" i="16"/>
  <c r="S1435" i="16" s="1"/>
  <c r="O1440" i="16"/>
  <c r="S1440" i="16" s="1"/>
  <c r="AD1442" i="16"/>
  <c r="AF1442" i="16" s="1"/>
  <c r="AI1442" i="16" s="1"/>
  <c r="AJ1442" i="16" s="1"/>
  <c r="AD1448" i="16"/>
  <c r="AF1448" i="16" s="1"/>
  <c r="AD1453" i="16"/>
  <c r="AF1453" i="16" s="1"/>
  <c r="AD1461" i="16"/>
  <c r="AF1461" i="16" s="1"/>
  <c r="AI1461" i="16" s="1"/>
  <c r="AJ1461" i="16" s="1"/>
  <c r="O1463" i="16"/>
  <c r="S1463" i="16" s="1"/>
  <c r="O1469" i="16"/>
  <c r="S1469" i="16" s="1"/>
  <c r="O1470" i="16"/>
  <c r="S1470" i="16" s="1"/>
  <c r="AL1491" i="16"/>
  <c r="AN1491" i="16" s="1"/>
  <c r="O1500" i="16"/>
  <c r="S1500" i="16" s="1"/>
  <c r="O1501" i="16"/>
  <c r="S1501" i="16" s="1"/>
  <c r="O1502" i="16"/>
  <c r="S1502" i="16" s="1"/>
  <c r="AD1504" i="16"/>
  <c r="AF1504" i="16" s="1"/>
  <c r="AD1539" i="16"/>
  <c r="AF1539" i="16" s="1"/>
  <c r="AL1539" i="16"/>
  <c r="AN1539" i="16" s="1"/>
  <c r="O1558" i="16"/>
  <c r="S1558" i="16" s="1"/>
  <c r="O1575" i="16"/>
  <c r="S1575" i="16" s="1"/>
  <c r="O1602" i="16"/>
  <c r="S1602" i="16" s="1"/>
  <c r="O1604" i="16"/>
  <c r="S1604" i="16" s="1"/>
  <c r="AL1606" i="16"/>
  <c r="AN1606" i="16" s="1"/>
  <c r="O1614" i="16"/>
  <c r="S1614" i="16" s="1"/>
  <c r="O1615" i="16"/>
  <c r="S1615" i="16" s="1"/>
  <c r="AL1643" i="16"/>
  <c r="AN1643" i="16" s="1"/>
  <c r="AD1643" i="16"/>
  <c r="AF1643" i="16" s="1"/>
  <c r="AL1691" i="16"/>
  <c r="AN1691" i="16" s="1"/>
  <c r="O1733" i="16"/>
  <c r="S1733" i="16" s="1"/>
  <c r="AL1736" i="16"/>
  <c r="AN1736" i="16" s="1"/>
  <c r="AL1787" i="16"/>
  <c r="AN1787" i="16" s="1"/>
  <c r="AD1787" i="16"/>
  <c r="AF1787" i="16" s="1"/>
  <c r="AL1117" i="16"/>
  <c r="AN1117" i="16" s="1"/>
  <c r="O1125" i="16"/>
  <c r="O1127" i="16"/>
  <c r="AD1127" i="16"/>
  <c r="AL1132" i="16"/>
  <c r="AN1132" i="16" s="1"/>
  <c r="AD1133" i="16"/>
  <c r="AL1134" i="16"/>
  <c r="AN1134" i="16" s="1"/>
  <c r="AD1143" i="16"/>
  <c r="O1144" i="16"/>
  <c r="AD1144" i="16"/>
  <c r="AL1147" i="16"/>
  <c r="AN1147" i="16" s="1"/>
  <c r="AL1148" i="16"/>
  <c r="AN1148" i="16" s="1"/>
  <c r="AL1150" i="16"/>
  <c r="AN1150" i="16" s="1"/>
  <c r="AL1155" i="16"/>
  <c r="AN1155" i="16" s="1"/>
  <c r="AD1157" i="16"/>
  <c r="O1171" i="16"/>
  <c r="O1172" i="16"/>
  <c r="O1173" i="16"/>
  <c r="AL1182" i="16"/>
  <c r="AN1182" i="16" s="1"/>
  <c r="O1189" i="16"/>
  <c r="S1189" i="16" s="1"/>
  <c r="T1189" i="16" s="1"/>
  <c r="AE1189" i="16" s="1"/>
  <c r="O1197" i="16"/>
  <c r="O1205" i="16"/>
  <c r="AD1206" i="16"/>
  <c r="O1211" i="16"/>
  <c r="O1212" i="16"/>
  <c r="O1213" i="16"/>
  <c r="S1213" i="16" s="1"/>
  <c r="T1213" i="16" s="1"/>
  <c r="AE1213" i="16" s="1"/>
  <c r="AD1214" i="16"/>
  <c r="AD1219" i="16"/>
  <c r="AL1222" i="16"/>
  <c r="AN1222" i="16" s="1"/>
  <c r="O1224" i="16"/>
  <c r="AD1224" i="16"/>
  <c r="AL1229" i="16"/>
  <c r="AN1229" i="16" s="1"/>
  <c r="O1231" i="16"/>
  <c r="S1231" i="16" s="1"/>
  <c r="T1231" i="16" s="1"/>
  <c r="AE1231" i="16" s="1"/>
  <c r="AD1231" i="16"/>
  <c r="O1232" i="16"/>
  <c r="AD1232" i="16"/>
  <c r="AD1246" i="16"/>
  <c r="AF1246" i="16" s="1"/>
  <c r="AI1246" i="16" s="1"/>
  <c r="AJ1246" i="16" s="1"/>
  <c r="AD1262" i="16"/>
  <c r="AD1277" i="16"/>
  <c r="AL1279" i="16"/>
  <c r="AN1279" i="16" s="1"/>
  <c r="AL1281" i="16"/>
  <c r="AN1281" i="16" s="1"/>
  <c r="AD1282" i="16"/>
  <c r="AD1289" i="16"/>
  <c r="AL1295" i="16"/>
  <c r="AN1295" i="16" s="1"/>
  <c r="AL1297" i="16"/>
  <c r="AN1297" i="16" s="1"/>
  <c r="AD1301" i="16"/>
  <c r="AD1306" i="16"/>
  <c r="O1310" i="16"/>
  <c r="S1310" i="16" s="1"/>
  <c r="AD1310" i="16"/>
  <c r="AF1310" i="16" s="1"/>
  <c r="O1311" i="16"/>
  <c r="S1311" i="16" s="1"/>
  <c r="O1312" i="16"/>
  <c r="S1312" i="16" s="1"/>
  <c r="AD1313" i="16"/>
  <c r="AF1313" i="16" s="1"/>
  <c r="AI1313" i="16" s="1"/>
  <c r="AJ1313" i="16" s="1"/>
  <c r="O1320" i="16"/>
  <c r="S1320" i="16" s="1"/>
  <c r="O1330" i="16"/>
  <c r="S1330" i="16" s="1"/>
  <c r="AL1331" i="16"/>
  <c r="AN1331" i="16" s="1"/>
  <c r="AL1337" i="16"/>
  <c r="AN1337" i="16" s="1"/>
  <c r="AD1340" i="16"/>
  <c r="AF1340" i="16" s="1"/>
  <c r="AD1341" i="16"/>
  <c r="AF1341" i="16" s="1"/>
  <c r="AG1341" i="16" s="1"/>
  <c r="O1347" i="16"/>
  <c r="S1347" i="16" s="1"/>
  <c r="AL1348" i="16"/>
  <c r="AN1348" i="16" s="1"/>
  <c r="O1350" i="16"/>
  <c r="S1350" i="16" s="1"/>
  <c r="AD1350" i="16"/>
  <c r="AF1350" i="16" s="1"/>
  <c r="AG1350" i="16" s="1"/>
  <c r="AL1354" i="16"/>
  <c r="AN1354" i="16" s="1"/>
  <c r="O1356" i="16"/>
  <c r="S1356" i="16" s="1"/>
  <c r="AL1359" i="16"/>
  <c r="AN1359" i="16" s="1"/>
  <c r="O1361" i="16"/>
  <c r="S1361" i="16" s="1"/>
  <c r="O1363" i="16"/>
  <c r="S1363" i="16" s="1"/>
  <c r="AL1364" i="16"/>
  <c r="AN1364" i="16" s="1"/>
  <c r="O1366" i="16"/>
  <c r="S1366" i="16" s="1"/>
  <c r="AD1366" i="16"/>
  <c r="AF1366" i="16" s="1"/>
  <c r="O1368" i="16"/>
  <c r="S1368" i="16" s="1"/>
  <c r="O1369" i="16"/>
  <c r="S1369" i="16" s="1"/>
  <c r="AL1372" i="16"/>
  <c r="AN1372" i="16" s="1"/>
  <c r="O1374" i="16"/>
  <c r="S1374" i="16" s="1"/>
  <c r="AD1374" i="16"/>
  <c r="AF1374" i="16" s="1"/>
  <c r="AI1374" i="16" s="1"/>
  <c r="AJ1374" i="16" s="1"/>
  <c r="O1376" i="16"/>
  <c r="S1376" i="16" s="1"/>
  <c r="O1377" i="16"/>
  <c r="S1377" i="16" s="1"/>
  <c r="O1379" i="16"/>
  <c r="S1379" i="16" s="1"/>
  <c r="AD1379" i="16"/>
  <c r="AF1379" i="16" s="1"/>
  <c r="AI1379" i="16" s="1"/>
  <c r="AJ1379" i="16" s="1"/>
  <c r="AL1380" i="16"/>
  <c r="AN1380" i="16" s="1"/>
  <c r="AL1381" i="16"/>
  <c r="AN1381" i="16" s="1"/>
  <c r="O1383" i="16"/>
  <c r="S1383" i="16" s="1"/>
  <c r="O1388" i="16"/>
  <c r="S1388" i="16" s="1"/>
  <c r="O1390" i="16"/>
  <c r="S1390" i="16" s="1"/>
  <c r="AD1390" i="16"/>
  <c r="AF1390" i="16" s="1"/>
  <c r="O1392" i="16"/>
  <c r="S1392" i="16" s="1"/>
  <c r="O1393" i="16"/>
  <c r="S1393" i="16" s="1"/>
  <c r="AL1397" i="16"/>
  <c r="AN1397" i="16" s="1"/>
  <c r="AL1401" i="16"/>
  <c r="AN1401" i="16" s="1"/>
  <c r="AL1402" i="16"/>
  <c r="AN1402" i="16" s="1"/>
  <c r="O1406" i="16"/>
  <c r="S1406" i="16" s="1"/>
  <c r="AD1406" i="16"/>
  <c r="AF1406" i="16" s="1"/>
  <c r="AD1407" i="16"/>
  <c r="AF1407" i="16" s="1"/>
  <c r="AG1407" i="16" s="1"/>
  <c r="O1408" i="16"/>
  <c r="S1408" i="16" s="1"/>
  <c r="AL1413" i="16"/>
  <c r="AN1413" i="16" s="1"/>
  <c r="O1415" i="16"/>
  <c r="S1415" i="16" s="1"/>
  <c r="O1420" i="16"/>
  <c r="S1420" i="16" s="1"/>
  <c r="O1422" i="16"/>
  <c r="S1422" i="16" s="1"/>
  <c r="AD1422" i="16"/>
  <c r="AF1422" i="16" s="1"/>
  <c r="O1424" i="16"/>
  <c r="S1424" i="16" s="1"/>
  <c r="O1425" i="16"/>
  <c r="S1425" i="16" s="1"/>
  <c r="AD1426" i="16"/>
  <c r="AF1426" i="16" s="1"/>
  <c r="AG1426" i="16" s="1"/>
  <c r="AL1431" i="16"/>
  <c r="AN1431" i="16" s="1"/>
  <c r="O1434" i="16"/>
  <c r="S1434" i="16" s="1"/>
  <c r="O1437" i="16"/>
  <c r="S1437" i="16" s="1"/>
  <c r="O1438" i="16"/>
  <c r="S1438" i="16" s="1"/>
  <c r="AD1439" i="16"/>
  <c r="AF1439" i="16" s="1"/>
  <c r="AG1439" i="16" s="1"/>
  <c r="AL1443" i="16"/>
  <c r="AN1443" i="16" s="1"/>
  <c r="O1450" i="16"/>
  <c r="S1450" i="16" s="1"/>
  <c r="AL1451" i="16"/>
  <c r="AN1451" i="16" s="1"/>
  <c r="AD1452" i="16"/>
  <c r="AF1452" i="16" s="1"/>
  <c r="AI1452" i="16" s="1"/>
  <c r="AJ1452" i="16" s="1"/>
  <c r="AD1456" i="16"/>
  <c r="AF1456" i="16" s="1"/>
  <c r="AI1456" i="16" s="1"/>
  <c r="AJ1456" i="16" s="1"/>
  <c r="AD1460" i="16"/>
  <c r="AF1460" i="16" s="1"/>
  <c r="AG1460" i="16" s="1"/>
  <c r="O1464" i="16"/>
  <c r="S1464" i="16" s="1"/>
  <c r="AD1464" i="16"/>
  <c r="AF1464" i="16" s="1"/>
  <c r="O1465" i="16"/>
  <c r="S1465" i="16" s="1"/>
  <c r="O1466" i="16"/>
  <c r="S1466" i="16" s="1"/>
  <c r="AL1467" i="16"/>
  <c r="AN1467" i="16" s="1"/>
  <c r="O1473" i="16"/>
  <c r="S1473" i="16" s="1"/>
  <c r="O1474" i="16"/>
  <c r="S1474" i="16" s="1"/>
  <c r="AL1475" i="16"/>
  <c r="AN1475" i="16" s="1"/>
  <c r="AD1480" i="16"/>
  <c r="AF1480" i="16" s="1"/>
  <c r="AD1482" i="16"/>
  <c r="AF1482" i="16" s="1"/>
  <c r="O1492" i="16"/>
  <c r="S1492" i="16" s="1"/>
  <c r="AL1493" i="16"/>
  <c r="AN1493" i="16" s="1"/>
  <c r="O1498" i="16"/>
  <c r="S1498" i="16" s="1"/>
  <c r="AL1499" i="16"/>
  <c r="AN1499" i="16" s="1"/>
  <c r="AL1505" i="16"/>
  <c r="AN1505" i="16" s="1"/>
  <c r="O1505" i="16"/>
  <c r="S1505" i="16" s="1"/>
  <c r="AD1505" i="16"/>
  <c r="AF1505" i="16" s="1"/>
  <c r="O1507" i="16"/>
  <c r="S1507" i="16" s="1"/>
  <c r="O1508" i="16"/>
  <c r="S1508" i="16" s="1"/>
  <c r="O1510" i="16"/>
  <c r="S1510" i="16" s="1"/>
  <c r="AD1510" i="16"/>
  <c r="AF1510" i="16" s="1"/>
  <c r="AL1518" i="16"/>
  <c r="AN1518" i="16" s="1"/>
  <c r="O1529" i="16"/>
  <c r="S1529" i="16" s="1"/>
  <c r="AL1541" i="16"/>
  <c r="AN1541" i="16" s="1"/>
  <c r="O1553" i="16"/>
  <c r="S1553" i="16" s="1"/>
  <c r="O1555" i="16"/>
  <c r="S1555" i="16" s="1"/>
  <c r="AL1556" i="16"/>
  <c r="AN1556" i="16" s="1"/>
  <c r="O1560" i="16"/>
  <c r="S1560" i="16" s="1"/>
  <c r="AL1568" i="16"/>
  <c r="AN1568" i="16" s="1"/>
  <c r="AL1573" i="16"/>
  <c r="AN1573" i="16" s="1"/>
  <c r="O1584" i="16"/>
  <c r="S1584" i="16" s="1"/>
  <c r="AL1584" i="16"/>
  <c r="AN1584" i="16" s="1"/>
  <c r="O1592" i="16"/>
  <c r="S1592" i="16" s="1"/>
  <c r="AL1592" i="16"/>
  <c r="AN1592" i="16" s="1"/>
  <c r="AL1600" i="16"/>
  <c r="AN1600" i="16" s="1"/>
  <c r="O1608" i="16"/>
  <c r="S1608" i="16" s="1"/>
  <c r="AL1619" i="16"/>
  <c r="AN1619" i="16" s="1"/>
  <c r="AL1626" i="16"/>
  <c r="AN1626" i="16" s="1"/>
  <c r="AL1634" i="16"/>
  <c r="AN1634" i="16" s="1"/>
  <c r="AL1642" i="16"/>
  <c r="AN1642" i="16" s="1"/>
  <c r="AL1650" i="16"/>
  <c r="AN1650" i="16" s="1"/>
  <c r="AL1658" i="16"/>
  <c r="AN1658" i="16" s="1"/>
  <c r="AL1666" i="16"/>
  <c r="AN1666" i="16" s="1"/>
  <c r="AD1679" i="16"/>
  <c r="AF1679" i="16" s="1"/>
  <c r="O1690" i="16"/>
  <c r="S1690" i="16" s="1"/>
  <c r="AD1691" i="16"/>
  <c r="AF1691" i="16" s="1"/>
  <c r="AL1715" i="16"/>
  <c r="AN1715" i="16" s="1"/>
  <c r="AL1720" i="16"/>
  <c r="AN1720" i="16" s="1"/>
  <c r="AD1745" i="16"/>
  <c r="AF1745" i="16" s="1"/>
  <c r="AG1745" i="16" s="1"/>
  <c r="AD1756" i="16"/>
  <c r="AF1756" i="16" s="1"/>
  <c r="AG1756" i="16" s="1"/>
  <c r="AL1767" i="16"/>
  <c r="AN1767" i="16" s="1"/>
  <c r="AD1783" i="16"/>
  <c r="AF1783" i="16" s="1"/>
  <c r="O1790" i="16"/>
  <c r="S1790" i="16" s="1"/>
  <c r="O1791" i="16"/>
  <c r="S1791" i="16" s="1"/>
  <c r="AL1795" i="16"/>
  <c r="AN1795" i="16" s="1"/>
  <c r="O1797" i="16"/>
  <c r="S1797" i="16" s="1"/>
  <c r="AD1806" i="16"/>
  <c r="AF1806" i="16" s="1"/>
  <c r="AG1806" i="16" s="1"/>
  <c r="AD1814" i="16"/>
  <c r="AF1814" i="16" s="1"/>
  <c r="AG1814" i="16" s="1"/>
  <c r="O1898" i="16"/>
  <c r="S1898" i="16" s="1"/>
  <c r="AD1899" i="16"/>
  <c r="AF1899" i="16" s="1"/>
  <c r="AI1899" i="16" s="1"/>
  <c r="AJ1899" i="16" s="1"/>
  <c r="O1966" i="16"/>
  <c r="S1966" i="16" s="1"/>
  <c r="O1149" i="16"/>
  <c r="AL1151" i="16"/>
  <c r="AN1151" i="16" s="1"/>
  <c r="O1157" i="16"/>
  <c r="S1157" i="16" s="1"/>
  <c r="T1157" i="16" s="1"/>
  <c r="AE1157" i="16" s="1"/>
  <c r="AL1159" i="16"/>
  <c r="AN1159" i="16" s="1"/>
  <c r="AL1160" i="16"/>
  <c r="AN1160" i="16" s="1"/>
  <c r="AL1165" i="16"/>
  <c r="AN1165" i="16" s="1"/>
  <c r="O1167" i="16"/>
  <c r="AD1167" i="16"/>
  <c r="O1168" i="16"/>
  <c r="AD1168" i="16"/>
  <c r="O1174" i="16"/>
  <c r="AD1175" i="16"/>
  <c r="O1176" i="16"/>
  <c r="AD1176" i="16"/>
  <c r="AD1178" i="16"/>
  <c r="O1180" i="16"/>
  <c r="O1181" i="16"/>
  <c r="S1181" i="16" s="1"/>
  <c r="T1181" i="16" s="1"/>
  <c r="AE1181" i="16" s="1"/>
  <c r="AL1183" i="16"/>
  <c r="AN1183" i="16" s="1"/>
  <c r="O1188" i="16"/>
  <c r="O1190" i="16"/>
  <c r="AD1191" i="16"/>
  <c r="O1192" i="16"/>
  <c r="S1192" i="16" s="1"/>
  <c r="T1192" i="16" s="1"/>
  <c r="AE1192" i="16" s="1"/>
  <c r="AD1192" i="16"/>
  <c r="AD1194" i="16"/>
  <c r="O1196" i="16"/>
  <c r="S1196" i="16" s="1"/>
  <c r="T1196" i="16" s="1"/>
  <c r="AE1196" i="16" s="1"/>
  <c r="O1198" i="16"/>
  <c r="AD1199" i="16"/>
  <c r="O1200" i="16"/>
  <c r="S1200" i="16" s="1"/>
  <c r="T1200" i="16" s="1"/>
  <c r="AE1200" i="16" s="1"/>
  <c r="AD1200" i="16"/>
  <c r="O1204" i="16"/>
  <c r="S1204" i="16" s="1"/>
  <c r="T1204" i="16" s="1"/>
  <c r="AE1204" i="16" s="1"/>
  <c r="O1206" i="16"/>
  <c r="AL1207" i="16"/>
  <c r="AN1207" i="16" s="1"/>
  <c r="AL1208" i="16"/>
  <c r="AN1208" i="16" s="1"/>
  <c r="O1214" i="16"/>
  <c r="AL1215" i="16"/>
  <c r="AN1215" i="16" s="1"/>
  <c r="AL1216" i="16"/>
  <c r="AN1216" i="16" s="1"/>
  <c r="O1219" i="16"/>
  <c r="S1219" i="16" s="1"/>
  <c r="T1219" i="16" s="1"/>
  <c r="AE1219" i="16" s="1"/>
  <c r="O1220" i="16"/>
  <c r="O1221" i="16"/>
  <c r="O1225" i="16"/>
  <c r="AL1230" i="16"/>
  <c r="AN1230" i="16" s="1"/>
  <c r="AD1240" i="16"/>
  <c r="AL1241" i="16"/>
  <c r="AN1241" i="16" s="1"/>
  <c r="O1247" i="16"/>
  <c r="AL1251" i="16"/>
  <c r="AN1251" i="16" s="1"/>
  <c r="O1256" i="16"/>
  <c r="O1266" i="16"/>
  <c r="S1266" i="16" s="1"/>
  <c r="T1266" i="16" s="1"/>
  <c r="AE1266" i="16" s="1"/>
  <c r="AL1267" i="16"/>
  <c r="AN1267" i="16" s="1"/>
  <c r="AL1273" i="16"/>
  <c r="AN1273" i="16" s="1"/>
  <c r="O1280" i="16"/>
  <c r="AD1281" i="16"/>
  <c r="AD1283" i="16"/>
  <c r="O1286" i="16"/>
  <c r="S1286" i="16" s="1"/>
  <c r="T1286" i="16" s="1"/>
  <c r="AE1286" i="16" s="1"/>
  <c r="AD1286" i="16"/>
  <c r="O1287" i="16"/>
  <c r="O1296" i="16"/>
  <c r="O1313" i="16"/>
  <c r="S1313" i="16" s="1"/>
  <c r="O1314" i="16"/>
  <c r="S1314" i="16" s="1"/>
  <c r="AD1314" i="16"/>
  <c r="AF1314" i="16" s="1"/>
  <c r="AG1314" i="16" s="1"/>
  <c r="O1318" i="16"/>
  <c r="S1318" i="16" s="1"/>
  <c r="AD1318" i="16"/>
  <c r="AF1318" i="16" s="1"/>
  <c r="AI1318" i="16" s="1"/>
  <c r="AJ1318" i="16" s="1"/>
  <c r="O1319" i="16"/>
  <c r="S1319" i="16" s="1"/>
  <c r="O1321" i="16"/>
  <c r="S1321" i="16" s="1"/>
  <c r="O1322" i="16"/>
  <c r="S1322" i="16" s="1"/>
  <c r="AD1322" i="16"/>
  <c r="AF1322" i="16" s="1"/>
  <c r="AI1322" i="16" s="1"/>
  <c r="AJ1322" i="16" s="1"/>
  <c r="AL1325" i="16"/>
  <c r="AN1325" i="16" s="1"/>
  <c r="AD1330" i="16"/>
  <c r="AF1330" i="16" s="1"/>
  <c r="AD1334" i="16"/>
  <c r="AF1334" i="16" s="1"/>
  <c r="O1335" i="16"/>
  <c r="S1335" i="16" s="1"/>
  <c r="O1336" i="16"/>
  <c r="S1336" i="16" s="1"/>
  <c r="O1340" i="16"/>
  <c r="S1340" i="16" s="1"/>
  <c r="O1342" i="16"/>
  <c r="S1342" i="16" s="1"/>
  <c r="AL1345" i="16"/>
  <c r="AN1345" i="16" s="1"/>
  <c r="AL1349" i="16"/>
  <c r="AN1349" i="16" s="1"/>
  <c r="O1351" i="16"/>
  <c r="S1351" i="16" s="1"/>
  <c r="O1352" i="16"/>
  <c r="S1352" i="16" s="1"/>
  <c r="O1353" i="16"/>
  <c r="S1353" i="16" s="1"/>
  <c r="AD1353" i="16"/>
  <c r="AF1353" i="16" s="1"/>
  <c r="AD1355" i="16"/>
  <c r="AF1355" i="16" s="1"/>
  <c r="AI1355" i="16" s="1"/>
  <c r="AJ1355" i="16" s="1"/>
  <c r="O1357" i="16"/>
  <c r="S1357" i="16" s="1"/>
  <c r="O1358" i="16"/>
  <c r="S1358" i="16" s="1"/>
  <c r="AD1358" i="16"/>
  <c r="AF1358" i="16" s="1"/>
  <c r="AG1358" i="16" s="1"/>
  <c r="O1360" i="16"/>
  <c r="S1360" i="16" s="1"/>
  <c r="O1367" i="16"/>
  <c r="S1367" i="16" s="1"/>
  <c r="AL1373" i="16"/>
  <c r="AN1373" i="16" s="1"/>
  <c r="O1375" i="16"/>
  <c r="S1375" i="16" s="1"/>
  <c r="AL1385" i="16"/>
  <c r="AN1385" i="16" s="1"/>
  <c r="O1391" i="16"/>
  <c r="S1391" i="16" s="1"/>
  <c r="O1407" i="16"/>
  <c r="S1407" i="16" s="1"/>
  <c r="AL1409" i="16"/>
  <c r="AN1409" i="16" s="1"/>
  <c r="AL1410" i="16"/>
  <c r="AN1410" i="16" s="1"/>
  <c r="O1423" i="16"/>
  <c r="S1423" i="16" s="1"/>
  <c r="O1426" i="16"/>
  <c r="S1426" i="16" s="1"/>
  <c r="AL1432" i="16"/>
  <c r="AN1432" i="16" s="1"/>
  <c r="AL1441" i="16"/>
  <c r="AN1441" i="16" s="1"/>
  <c r="AL1455" i="16"/>
  <c r="AN1455" i="16" s="1"/>
  <c r="AL1471" i="16"/>
  <c r="AN1471" i="16" s="1"/>
  <c r="O1480" i="16"/>
  <c r="S1480" i="16" s="1"/>
  <c r="O1481" i="16"/>
  <c r="S1481" i="16" s="1"/>
  <c r="O1482" i="16"/>
  <c r="S1482" i="16" s="1"/>
  <c r="AL1483" i="16"/>
  <c r="AN1483" i="16" s="1"/>
  <c r="AD1487" i="16"/>
  <c r="AF1487" i="16" s="1"/>
  <c r="AI1487" i="16" s="1"/>
  <c r="AJ1487" i="16" s="1"/>
  <c r="AD1490" i="16"/>
  <c r="AF1490" i="16" s="1"/>
  <c r="AL1495" i="16"/>
  <c r="AN1495" i="16" s="1"/>
  <c r="AL1497" i="16"/>
  <c r="AN1497" i="16" s="1"/>
  <c r="AL1503" i="16"/>
  <c r="AN1503" i="16" s="1"/>
  <c r="O1511" i="16"/>
  <c r="S1511" i="16" s="1"/>
  <c r="O1512" i="16"/>
  <c r="S1512" i="16" s="1"/>
  <c r="O1518" i="16"/>
  <c r="S1518" i="16" s="1"/>
  <c r="AL1519" i="16"/>
  <c r="AN1519" i="16" s="1"/>
  <c r="AL1520" i="16"/>
  <c r="AN1520" i="16" s="1"/>
  <c r="AD1521" i="16"/>
  <c r="AF1521" i="16" s="1"/>
  <c r="O1522" i="16"/>
  <c r="S1522" i="16" s="1"/>
  <c r="AL1528" i="16"/>
  <c r="AN1528" i="16" s="1"/>
  <c r="O1534" i="16"/>
  <c r="S1534" i="16" s="1"/>
  <c r="AL1535" i="16"/>
  <c r="AN1535" i="16" s="1"/>
  <c r="AL1536" i="16"/>
  <c r="AN1536" i="16" s="1"/>
  <c r="AD1537" i="16"/>
  <c r="AF1537" i="16" s="1"/>
  <c r="O1538" i="16"/>
  <c r="S1538" i="16" s="1"/>
  <c r="O1540" i="16"/>
  <c r="S1540" i="16" s="1"/>
  <c r="AD1549" i="16"/>
  <c r="AF1549" i="16" s="1"/>
  <c r="AL1549" i="16"/>
  <c r="AN1549" i="16" s="1"/>
  <c r="AL1565" i="16"/>
  <c r="AN1565" i="16" s="1"/>
  <c r="AD1565" i="16"/>
  <c r="AF1565" i="16" s="1"/>
  <c r="AI1565" i="16" s="1"/>
  <c r="AJ1565" i="16" s="1"/>
  <c r="AL1576" i="16"/>
  <c r="AN1576" i="16" s="1"/>
  <c r="AD1576" i="16"/>
  <c r="AF1576" i="16" s="1"/>
  <c r="AG1576" i="16" s="1"/>
  <c r="O1581" i="16"/>
  <c r="S1581" i="16" s="1"/>
  <c r="AL1582" i="16"/>
  <c r="AN1582" i="16" s="1"/>
  <c r="O1599" i="16"/>
  <c r="S1599" i="16" s="1"/>
  <c r="AD1617" i="16"/>
  <c r="AF1617" i="16" s="1"/>
  <c r="AI1617" i="16" s="1"/>
  <c r="AJ1617" i="16" s="1"/>
  <c r="AL1617" i="16"/>
  <c r="AN1617" i="16" s="1"/>
  <c r="O1622" i="16"/>
  <c r="S1622" i="16" s="1"/>
  <c r="O1623" i="16"/>
  <c r="S1623" i="16" s="1"/>
  <c r="O1625" i="16"/>
  <c r="S1625" i="16" s="1"/>
  <c r="O1629" i="16"/>
  <c r="S1629" i="16" s="1"/>
  <c r="O1630" i="16"/>
  <c r="S1630" i="16" s="1"/>
  <c r="O1631" i="16"/>
  <c r="S1631" i="16" s="1"/>
  <c r="O1633" i="16"/>
  <c r="S1633" i="16" s="1"/>
  <c r="O1637" i="16"/>
  <c r="S1637" i="16" s="1"/>
  <c r="O1638" i="16"/>
  <c r="S1638" i="16" s="1"/>
  <c r="O1639" i="16"/>
  <c r="S1639" i="16" s="1"/>
  <c r="O1641" i="16"/>
  <c r="S1641" i="16" s="1"/>
  <c r="O1645" i="16"/>
  <c r="S1645" i="16" s="1"/>
  <c r="O1646" i="16"/>
  <c r="S1646" i="16" s="1"/>
  <c r="O1647" i="16"/>
  <c r="S1647" i="16" s="1"/>
  <c r="O1649" i="16"/>
  <c r="S1649" i="16" s="1"/>
  <c r="O1653" i="16"/>
  <c r="S1653" i="16" s="1"/>
  <c r="O1654" i="16"/>
  <c r="S1654" i="16" s="1"/>
  <c r="O1655" i="16"/>
  <c r="S1655" i="16" s="1"/>
  <c r="O1657" i="16"/>
  <c r="S1657" i="16" s="1"/>
  <c r="O1661" i="16"/>
  <c r="S1661" i="16" s="1"/>
  <c r="O1662" i="16"/>
  <c r="S1662" i="16" s="1"/>
  <c r="O1663" i="16"/>
  <c r="S1663" i="16" s="1"/>
  <c r="O1665" i="16"/>
  <c r="S1665" i="16" s="1"/>
  <c r="O1669" i="16"/>
  <c r="S1669" i="16" s="1"/>
  <c r="O1670" i="16"/>
  <c r="S1670" i="16" s="1"/>
  <c r="O1671" i="16"/>
  <c r="S1671" i="16" s="1"/>
  <c r="AD1673" i="16"/>
  <c r="AF1673" i="16" s="1"/>
  <c r="AL1674" i="16"/>
  <c r="AN1674" i="16" s="1"/>
  <c r="O1683" i="16"/>
  <c r="S1683" i="16" s="1"/>
  <c r="O1717" i="16"/>
  <c r="S1717" i="16" s="1"/>
  <c r="O1723" i="16"/>
  <c r="S1723" i="16" s="1"/>
  <c r="O1724" i="16"/>
  <c r="S1724" i="16" s="1"/>
  <c r="O1726" i="16"/>
  <c r="S1726" i="16" s="1"/>
  <c r="O1770" i="16"/>
  <c r="S1770" i="16" s="1"/>
  <c r="O1771" i="16"/>
  <c r="S1771" i="16" s="1"/>
  <c r="O1772" i="16"/>
  <c r="S1772" i="16" s="1"/>
  <c r="AL1803" i="16"/>
  <c r="AN1803" i="16" s="1"/>
  <c r="AD1803" i="16"/>
  <c r="AF1803" i="16" s="1"/>
  <c r="AL1827" i="16"/>
  <c r="AN1827" i="16" s="1"/>
  <c r="AD1827" i="16"/>
  <c r="AF1827" i="16" s="1"/>
  <c r="AI1827" i="16" s="1"/>
  <c r="AJ1827" i="16" s="1"/>
  <c r="O1837" i="16"/>
  <c r="S1837" i="16" s="1"/>
  <c r="AL1445" i="16"/>
  <c r="AN1445" i="16" s="1"/>
  <c r="AL1449" i="16"/>
  <c r="AN1449" i="16" s="1"/>
  <c r="AD1451" i="16"/>
  <c r="AF1451" i="16" s="1"/>
  <c r="AI1451" i="16" s="1"/>
  <c r="AJ1451" i="16" s="1"/>
  <c r="O1453" i="16"/>
  <c r="S1453" i="16" s="1"/>
  <c r="AL1459" i="16"/>
  <c r="AN1459" i="16" s="1"/>
  <c r="O1461" i="16"/>
  <c r="S1461" i="16" s="1"/>
  <c r="AD1463" i="16"/>
  <c r="AF1463" i="16" s="1"/>
  <c r="AI1463" i="16" s="1"/>
  <c r="AJ1463" i="16" s="1"/>
  <c r="O1468" i="16"/>
  <c r="S1468" i="16" s="1"/>
  <c r="AL1469" i="16"/>
  <c r="AN1469" i="16" s="1"/>
  <c r="O1472" i="16"/>
  <c r="S1472" i="16" s="1"/>
  <c r="AD1472" i="16"/>
  <c r="AF1472" i="16" s="1"/>
  <c r="O1479" i="16"/>
  <c r="S1479" i="16" s="1"/>
  <c r="AL1481" i="16"/>
  <c r="AN1481" i="16" s="1"/>
  <c r="O1487" i="16"/>
  <c r="S1487" i="16" s="1"/>
  <c r="AD1491" i="16"/>
  <c r="AF1491" i="16" s="1"/>
  <c r="AG1491" i="16" s="1"/>
  <c r="O1495" i="16"/>
  <c r="S1495" i="16" s="1"/>
  <c r="O1496" i="16"/>
  <c r="S1496" i="16" s="1"/>
  <c r="AD1496" i="16"/>
  <c r="AF1496" i="16" s="1"/>
  <c r="O1506" i="16"/>
  <c r="S1506" i="16" s="1"/>
  <c r="AL1508" i="16"/>
  <c r="AN1508" i="16" s="1"/>
  <c r="AD1511" i="16"/>
  <c r="AF1511" i="16" s="1"/>
  <c r="AI1511" i="16" s="1"/>
  <c r="AJ1511" i="16" s="1"/>
  <c r="AL1514" i="16"/>
  <c r="AN1514" i="16" s="1"/>
  <c r="AL1527" i="16"/>
  <c r="AN1527" i="16" s="1"/>
  <c r="O1539" i="16"/>
  <c r="S1539" i="16" s="1"/>
  <c r="AL1543" i="16"/>
  <c r="AN1543" i="16" s="1"/>
  <c r="O1547" i="16"/>
  <c r="S1547" i="16" s="1"/>
  <c r="O1561" i="16"/>
  <c r="S1561" i="16" s="1"/>
  <c r="AD1561" i="16"/>
  <c r="AF1561" i="16" s="1"/>
  <c r="AI1561" i="16" s="1"/>
  <c r="O1563" i="16"/>
  <c r="S1563" i="16" s="1"/>
  <c r="AL1572" i="16"/>
  <c r="AN1572" i="16" s="1"/>
  <c r="O1574" i="16"/>
  <c r="S1574" i="16" s="1"/>
  <c r="AD1574" i="16"/>
  <c r="AF1574" i="16" s="1"/>
  <c r="AL1591" i="16"/>
  <c r="AN1591" i="16" s="1"/>
  <c r="O1598" i="16"/>
  <c r="S1598" i="16" s="1"/>
  <c r="AD1598" i="16"/>
  <c r="AF1598" i="16" s="1"/>
  <c r="AL1604" i="16"/>
  <c r="AN1604" i="16" s="1"/>
  <c r="O1610" i="16"/>
  <c r="S1610" i="16" s="1"/>
  <c r="AL1618" i="16"/>
  <c r="AN1618" i="16" s="1"/>
  <c r="O1619" i="16"/>
  <c r="S1619" i="16" s="1"/>
  <c r="O1620" i="16"/>
  <c r="S1620" i="16" s="1"/>
  <c r="AD1620" i="16"/>
  <c r="AF1620" i="16" s="1"/>
  <c r="O1681" i="16"/>
  <c r="S1681" i="16" s="1"/>
  <c r="AL1682" i="16"/>
  <c r="AN1682" i="16" s="1"/>
  <c r="O1685" i="16"/>
  <c r="S1685" i="16" s="1"/>
  <c r="O1687" i="16"/>
  <c r="S1687" i="16" s="1"/>
  <c r="AD1687" i="16"/>
  <c r="AF1687" i="16" s="1"/>
  <c r="AI1687" i="16" s="1"/>
  <c r="AJ1687" i="16" s="1"/>
  <c r="AD1688" i="16"/>
  <c r="AF1688" i="16" s="1"/>
  <c r="AI1688" i="16" s="1"/>
  <c r="AJ1688" i="16" s="1"/>
  <c r="O1692" i="16"/>
  <c r="S1692" i="16" s="1"/>
  <c r="AD1692" i="16"/>
  <c r="AF1692" i="16" s="1"/>
  <c r="AI1692" i="16" s="1"/>
  <c r="AJ1692" i="16" s="1"/>
  <c r="AL1696" i="16"/>
  <c r="AN1696" i="16" s="1"/>
  <c r="O1703" i="16"/>
  <c r="S1703" i="16" s="1"/>
  <c r="AD1704" i="16"/>
  <c r="AF1704" i="16" s="1"/>
  <c r="AI1704" i="16" s="1"/>
  <c r="O1708" i="16"/>
  <c r="S1708" i="16" s="1"/>
  <c r="AD1708" i="16"/>
  <c r="AF1708" i="16" s="1"/>
  <c r="AL1717" i="16"/>
  <c r="AN1717" i="16" s="1"/>
  <c r="O1719" i="16"/>
  <c r="S1719" i="16" s="1"/>
  <c r="AD1721" i="16"/>
  <c r="AF1721" i="16" s="1"/>
  <c r="O1729" i="16"/>
  <c r="S1729" i="16" s="1"/>
  <c r="AD1729" i="16"/>
  <c r="AF1729" i="16" s="1"/>
  <c r="AG1729" i="16" s="1"/>
  <c r="AL1733" i="16"/>
  <c r="AN1733" i="16" s="1"/>
  <c r="O1735" i="16"/>
  <c r="S1735" i="16" s="1"/>
  <c r="AD1736" i="16"/>
  <c r="AF1736" i="16" s="1"/>
  <c r="AI1736" i="16" s="1"/>
  <c r="AJ1736" i="16" s="1"/>
  <c r="AL1743" i="16"/>
  <c r="AN1743" i="16" s="1"/>
  <c r="O1746" i="16"/>
  <c r="S1746" i="16" s="1"/>
  <c r="O1748" i="16"/>
  <c r="S1748" i="16" s="1"/>
  <c r="AD1748" i="16"/>
  <c r="AF1748" i="16" s="1"/>
  <c r="AI1748" i="16" s="1"/>
  <c r="AJ1748" i="16" s="1"/>
  <c r="O1750" i="16"/>
  <c r="S1750" i="16" s="1"/>
  <c r="AD1752" i="16"/>
  <c r="AF1752" i="16" s="1"/>
  <c r="AI1752" i="16" s="1"/>
  <c r="AJ1752" i="16" s="1"/>
  <c r="O1757" i="16"/>
  <c r="S1757" i="16" s="1"/>
  <c r="O1761" i="16"/>
  <c r="S1761" i="16" s="1"/>
  <c r="AD1761" i="16"/>
  <c r="AF1761" i="16" s="1"/>
  <c r="AI1761" i="16" s="1"/>
  <c r="AJ1761" i="16" s="1"/>
  <c r="O1766" i="16"/>
  <c r="S1766" i="16" s="1"/>
  <c r="AD1768" i="16"/>
  <c r="AF1768" i="16" s="1"/>
  <c r="AI1768" i="16" s="1"/>
  <c r="AJ1768" i="16" s="1"/>
  <c r="AL1772" i="16"/>
  <c r="AN1772" i="16" s="1"/>
  <c r="O1774" i="16"/>
  <c r="S1774" i="16" s="1"/>
  <c r="AD1774" i="16"/>
  <c r="AF1774" i="16" s="1"/>
  <c r="AD1781" i="16"/>
  <c r="AF1781" i="16" s="1"/>
  <c r="AD1782" i="16"/>
  <c r="AF1782" i="16" s="1"/>
  <c r="AG1782" i="16" s="1"/>
  <c r="O1783" i="16"/>
  <c r="S1783" i="16" s="1"/>
  <c r="O1784" i="16"/>
  <c r="S1784" i="16" s="1"/>
  <c r="O1785" i="16"/>
  <c r="S1785" i="16" s="1"/>
  <c r="O1801" i="16"/>
  <c r="S1801" i="16" s="1"/>
  <c r="O1806" i="16"/>
  <c r="S1806" i="16" s="1"/>
  <c r="O1814" i="16"/>
  <c r="S1814" i="16" s="1"/>
  <c r="O1846" i="16"/>
  <c r="S1846" i="16" s="1"/>
  <c r="O1847" i="16"/>
  <c r="S1847" i="16" s="1"/>
  <c r="O1848" i="16"/>
  <c r="S1848" i="16" s="1"/>
  <c r="AL1863" i="16"/>
  <c r="AN1863" i="16" s="1"/>
  <c r="O1871" i="16"/>
  <c r="S1871" i="16" s="1"/>
  <c r="O1872" i="16"/>
  <c r="S1872" i="16" s="1"/>
  <c r="O1885" i="16"/>
  <c r="S1885" i="16" s="1"/>
  <c r="AD1885" i="16"/>
  <c r="AF1885" i="16" s="1"/>
  <c r="AD1907" i="16"/>
  <c r="AF1907" i="16" s="1"/>
  <c r="AG1907" i="16" s="1"/>
  <c r="O1910" i="16"/>
  <c r="S1910" i="16" s="1"/>
  <c r="O1911" i="16"/>
  <c r="S1911" i="16" s="1"/>
  <c r="O1912" i="16"/>
  <c r="S1912" i="16" s="1"/>
  <c r="AD1914" i="16"/>
  <c r="AF1914" i="16" s="1"/>
  <c r="AI1914" i="16" s="1"/>
  <c r="AJ1914" i="16" s="1"/>
  <c r="O1918" i="16"/>
  <c r="S1918" i="16" s="1"/>
  <c r="O1919" i="16"/>
  <c r="S1919" i="16" s="1"/>
  <c r="O1920" i="16"/>
  <c r="S1920" i="16" s="1"/>
  <c r="AD1922" i="16"/>
  <c r="AF1922" i="16" s="1"/>
  <c r="AI1922" i="16" s="1"/>
  <c r="AJ1922" i="16" s="1"/>
  <c r="O1926" i="16"/>
  <c r="S1926" i="16" s="1"/>
  <c r="O1927" i="16"/>
  <c r="S1927" i="16" s="1"/>
  <c r="O1928" i="16"/>
  <c r="S1928" i="16" s="1"/>
  <c r="AD1930" i="16"/>
  <c r="AF1930" i="16" s="1"/>
  <c r="AI1930" i="16" s="1"/>
  <c r="AJ1930" i="16" s="1"/>
  <c r="O1934" i="16"/>
  <c r="S1934" i="16" s="1"/>
  <c r="O1935" i="16"/>
  <c r="S1935" i="16" s="1"/>
  <c r="O1936" i="16"/>
  <c r="S1936" i="16" s="1"/>
  <c r="AD1938" i="16"/>
  <c r="AF1938" i="16" s="1"/>
  <c r="AI1938" i="16" s="1"/>
  <c r="AJ1938" i="16" s="1"/>
  <c r="AD1939" i="16"/>
  <c r="AF1939" i="16" s="1"/>
  <c r="AI1939" i="16" s="1"/>
  <c r="AJ1939" i="16" s="1"/>
  <c r="AL1942" i="16"/>
  <c r="AN1942" i="16" s="1"/>
  <c r="AD1951" i="16"/>
  <c r="AF1951" i="16" s="1"/>
  <c r="AD2004" i="16"/>
  <c r="AF2004" i="16" s="1"/>
  <c r="AI2004" i="16" s="1"/>
  <c r="AJ2004" i="16" s="1"/>
  <c r="AD2051" i="16"/>
  <c r="AF2051" i="16" s="1"/>
  <c r="AG2051" i="16" s="1"/>
  <c r="AL2059" i="16"/>
  <c r="AN2059" i="16" s="1"/>
  <c r="AD2059" i="16"/>
  <c r="AF2059" i="16" s="1"/>
  <c r="AI2059" i="16" s="1"/>
  <c r="AJ2059" i="16" s="1"/>
  <c r="AL1544" i="16"/>
  <c r="AN1544" i="16" s="1"/>
  <c r="O1545" i="16"/>
  <c r="S1545" i="16" s="1"/>
  <c r="AD1545" i="16"/>
  <c r="AF1545" i="16" s="1"/>
  <c r="AI1545" i="16" s="1"/>
  <c r="AJ1545" i="16" s="1"/>
  <c r="AL1548" i="16"/>
  <c r="AN1548" i="16" s="1"/>
  <c r="AD1550" i="16"/>
  <c r="AF1550" i="16" s="1"/>
  <c r="AD1555" i="16"/>
  <c r="AF1555" i="16" s="1"/>
  <c r="AI1555" i="16" s="1"/>
  <c r="O1557" i="16"/>
  <c r="S1557" i="16" s="1"/>
  <c r="AL1560" i="16"/>
  <c r="AN1560" i="16" s="1"/>
  <c r="O1562" i="16"/>
  <c r="S1562" i="16" s="1"/>
  <c r="AL1564" i="16"/>
  <c r="AN1564" i="16" s="1"/>
  <c r="O1566" i="16"/>
  <c r="S1566" i="16" s="1"/>
  <c r="AD1566" i="16"/>
  <c r="AF1566" i="16" s="1"/>
  <c r="AL1581" i="16"/>
  <c r="AN1581" i="16" s="1"/>
  <c r="O1585" i="16"/>
  <c r="S1585" i="16" s="1"/>
  <c r="AD1585" i="16"/>
  <c r="AF1585" i="16" s="1"/>
  <c r="AD1587" i="16"/>
  <c r="AF1587" i="16" s="1"/>
  <c r="AL1589" i="16"/>
  <c r="AN1589" i="16" s="1"/>
  <c r="AL1593" i="16"/>
  <c r="AN1593" i="16" s="1"/>
  <c r="O1597" i="16"/>
  <c r="S1597" i="16" s="1"/>
  <c r="AL1599" i="16"/>
  <c r="AN1599" i="16" s="1"/>
  <c r="O1601" i="16"/>
  <c r="S1601" i="16" s="1"/>
  <c r="AD1601" i="16"/>
  <c r="AF1601" i="16" s="1"/>
  <c r="AD1603" i="16"/>
  <c r="AF1603" i="16" s="1"/>
  <c r="AI1603" i="16" s="1"/>
  <c r="AJ1603" i="16" s="1"/>
  <c r="AL1605" i="16"/>
  <c r="AN1605" i="16" s="1"/>
  <c r="AD1607" i="16"/>
  <c r="AF1607" i="16" s="1"/>
  <c r="O1611" i="16"/>
  <c r="S1611" i="16" s="1"/>
  <c r="AD1611" i="16"/>
  <c r="AF1611" i="16" s="1"/>
  <c r="AI1611" i="16" s="1"/>
  <c r="AJ1611" i="16" s="1"/>
  <c r="O1613" i="16"/>
  <c r="S1613" i="16" s="1"/>
  <c r="AL1615" i="16"/>
  <c r="AN1615" i="16" s="1"/>
  <c r="O1621" i="16"/>
  <c r="S1621" i="16" s="1"/>
  <c r="AL1623" i="16"/>
  <c r="AN1623" i="16" s="1"/>
  <c r="AL1624" i="16"/>
  <c r="AN1624" i="16" s="1"/>
  <c r="AD1625" i="16"/>
  <c r="AF1625" i="16" s="1"/>
  <c r="AG1625" i="16" s="1"/>
  <c r="O1627" i="16"/>
  <c r="S1627" i="16" s="1"/>
  <c r="O1628" i="16"/>
  <c r="S1628" i="16" s="1"/>
  <c r="AD1628" i="16"/>
  <c r="AF1628" i="16" s="1"/>
  <c r="AI1628" i="16" s="1"/>
  <c r="AJ1628" i="16" s="1"/>
  <c r="AL1632" i="16"/>
  <c r="AN1632" i="16" s="1"/>
  <c r="AD1633" i="16"/>
  <c r="AF1633" i="16" s="1"/>
  <c r="O1635" i="16"/>
  <c r="S1635" i="16" s="1"/>
  <c r="O1636" i="16"/>
  <c r="S1636" i="16" s="1"/>
  <c r="AD1636" i="16"/>
  <c r="AF1636" i="16" s="1"/>
  <c r="AI1636" i="16" s="1"/>
  <c r="AJ1636" i="16" s="1"/>
  <c r="AL1639" i="16"/>
  <c r="AN1639" i="16" s="1"/>
  <c r="AL1640" i="16"/>
  <c r="AN1640" i="16" s="1"/>
  <c r="AD1641" i="16"/>
  <c r="AF1641" i="16" s="1"/>
  <c r="AI1641" i="16" s="1"/>
  <c r="AJ1641" i="16" s="1"/>
  <c r="O1644" i="16"/>
  <c r="S1644" i="16" s="1"/>
  <c r="AD1644" i="16"/>
  <c r="AF1644" i="16" s="1"/>
  <c r="AI1644" i="16" s="1"/>
  <c r="AJ1644" i="16" s="1"/>
  <c r="AL1648" i="16"/>
  <c r="AN1648" i="16" s="1"/>
  <c r="AD1649" i="16"/>
  <c r="AF1649" i="16" s="1"/>
  <c r="O1652" i="16"/>
  <c r="S1652" i="16" s="1"/>
  <c r="AD1652" i="16"/>
  <c r="AF1652" i="16" s="1"/>
  <c r="AG1652" i="16" s="1"/>
  <c r="AL1655" i="16"/>
  <c r="AN1655" i="16" s="1"/>
  <c r="AL1656" i="16"/>
  <c r="AN1656" i="16" s="1"/>
  <c r="AD1657" i="16"/>
  <c r="AF1657" i="16" s="1"/>
  <c r="AG1657" i="16" s="1"/>
  <c r="O1660" i="16"/>
  <c r="S1660" i="16" s="1"/>
  <c r="AD1660" i="16"/>
  <c r="AF1660" i="16" s="1"/>
  <c r="AI1660" i="16" s="1"/>
  <c r="AJ1660" i="16" s="1"/>
  <c r="AL1664" i="16"/>
  <c r="AN1664" i="16" s="1"/>
  <c r="AD1665" i="16"/>
  <c r="AF1665" i="16" s="1"/>
  <c r="O1668" i="16"/>
  <c r="S1668" i="16" s="1"/>
  <c r="AD1668" i="16"/>
  <c r="AF1668" i="16" s="1"/>
  <c r="AI1668" i="16" s="1"/>
  <c r="AJ1668" i="16" s="1"/>
  <c r="AL1671" i="16"/>
  <c r="AN1671" i="16" s="1"/>
  <c r="AL1672" i="16"/>
  <c r="AN1672" i="16" s="1"/>
  <c r="O1675" i="16"/>
  <c r="S1675" i="16" s="1"/>
  <c r="AL1676" i="16"/>
  <c r="AN1676" i="16" s="1"/>
  <c r="AL1683" i="16"/>
  <c r="AN1683" i="16" s="1"/>
  <c r="O1688" i="16"/>
  <c r="S1688" i="16" s="1"/>
  <c r="O1689" i="16"/>
  <c r="S1689" i="16" s="1"/>
  <c r="AL1690" i="16"/>
  <c r="AN1690" i="16" s="1"/>
  <c r="O1693" i="16"/>
  <c r="S1693" i="16" s="1"/>
  <c r="O1694" i="16"/>
  <c r="S1694" i="16" s="1"/>
  <c r="O1695" i="16"/>
  <c r="S1695" i="16" s="1"/>
  <c r="AD1695" i="16"/>
  <c r="AF1695" i="16" s="1"/>
  <c r="AG1695" i="16" s="1"/>
  <c r="AD1697" i="16"/>
  <c r="AF1697" i="16" s="1"/>
  <c r="AG1697" i="16" s="1"/>
  <c r="O1700" i="16"/>
  <c r="S1700" i="16" s="1"/>
  <c r="AD1700" i="16"/>
  <c r="AF1700" i="16" s="1"/>
  <c r="AI1700" i="16" s="1"/>
  <c r="AJ1700" i="16" s="1"/>
  <c r="O1704" i="16"/>
  <c r="S1704" i="16" s="1"/>
  <c r="O1705" i="16"/>
  <c r="S1705" i="16" s="1"/>
  <c r="AL1706" i="16"/>
  <c r="AN1706" i="16" s="1"/>
  <c r="O1709" i="16"/>
  <c r="S1709" i="16" s="1"/>
  <c r="O1716" i="16"/>
  <c r="S1716" i="16" s="1"/>
  <c r="O1718" i="16"/>
  <c r="S1718" i="16" s="1"/>
  <c r="O1721" i="16"/>
  <c r="S1721" i="16" s="1"/>
  <c r="O1722" i="16"/>
  <c r="S1722" i="16" s="1"/>
  <c r="AD1722" i="16"/>
  <c r="AF1722" i="16" s="1"/>
  <c r="AG1722" i="16" s="1"/>
  <c r="AD1724" i="16"/>
  <c r="AF1724" i="16" s="1"/>
  <c r="AG1724" i="16" s="1"/>
  <c r="O1727" i="16"/>
  <c r="S1727" i="16" s="1"/>
  <c r="O1728" i="16"/>
  <c r="S1728" i="16" s="1"/>
  <c r="O1730" i="16"/>
  <c r="S1730" i="16" s="1"/>
  <c r="O1731" i="16"/>
  <c r="S1731" i="16" s="1"/>
  <c r="O1732" i="16"/>
  <c r="S1732" i="16" s="1"/>
  <c r="AD1732" i="16"/>
  <c r="AF1732" i="16" s="1"/>
  <c r="AI1732" i="16" s="1"/>
  <c r="AJ1732" i="16" s="1"/>
  <c r="O1734" i="16"/>
  <c r="S1734" i="16" s="1"/>
  <c r="O1737" i="16"/>
  <c r="S1737" i="16" s="1"/>
  <c r="AD1737" i="16"/>
  <c r="AF1737" i="16" s="1"/>
  <c r="AI1737" i="16" s="1"/>
  <c r="AJ1737" i="16" s="1"/>
  <c r="AL1740" i="16"/>
  <c r="AN1740" i="16" s="1"/>
  <c r="AL1744" i="16"/>
  <c r="AN1744" i="16" s="1"/>
  <c r="O1749" i="16"/>
  <c r="S1749" i="16" s="1"/>
  <c r="O1753" i="16"/>
  <c r="S1753" i="16" s="1"/>
  <c r="AD1753" i="16"/>
  <c r="AF1753" i="16" s="1"/>
  <c r="AI1753" i="16" s="1"/>
  <c r="AJ1753" i="16" s="1"/>
  <c r="AL1759" i="16"/>
  <c r="AN1759" i="16" s="1"/>
  <c r="O1762" i="16"/>
  <c r="S1762" i="16" s="1"/>
  <c r="O1763" i="16"/>
  <c r="S1763" i="16" s="1"/>
  <c r="O1764" i="16"/>
  <c r="S1764" i="16" s="1"/>
  <c r="O1765" i="16"/>
  <c r="S1765" i="16" s="1"/>
  <c r="O1768" i="16"/>
  <c r="S1768" i="16" s="1"/>
  <c r="O1769" i="16"/>
  <c r="S1769" i="16" s="1"/>
  <c r="AD1769" i="16"/>
  <c r="AF1769" i="16" s="1"/>
  <c r="AI1769" i="16" s="1"/>
  <c r="AJ1769" i="16" s="1"/>
  <c r="O1773" i="16"/>
  <c r="S1773" i="16" s="1"/>
  <c r="AD1792" i="16"/>
  <c r="AF1792" i="16" s="1"/>
  <c r="O1799" i="16"/>
  <c r="S1799" i="16" s="1"/>
  <c r="O1810" i="16"/>
  <c r="S1810" i="16" s="1"/>
  <c r="O1811" i="16"/>
  <c r="S1811" i="16" s="1"/>
  <c r="O1818" i="16"/>
  <c r="S1818" i="16" s="1"/>
  <c r="O1819" i="16"/>
  <c r="S1819" i="16" s="1"/>
  <c r="AL1824" i="16"/>
  <c r="AN1824" i="16" s="1"/>
  <c r="O1833" i="16"/>
  <c r="S1833" i="16" s="1"/>
  <c r="O1841" i="16"/>
  <c r="S1841" i="16" s="1"/>
  <c r="AD1843" i="16"/>
  <c r="AF1843" i="16" s="1"/>
  <c r="AI1843" i="16" s="1"/>
  <c r="AJ1843" i="16" s="1"/>
  <c r="AL1856" i="16"/>
  <c r="AN1856" i="16" s="1"/>
  <c r="O1860" i="16"/>
  <c r="S1860" i="16" s="1"/>
  <c r="O1866" i="16"/>
  <c r="S1866" i="16" s="1"/>
  <c r="O1867" i="16"/>
  <c r="S1867" i="16" s="1"/>
  <c r="O1869" i="16"/>
  <c r="S1869" i="16" s="1"/>
  <c r="O1876" i="16"/>
  <c r="S1876" i="16" s="1"/>
  <c r="O1877" i="16"/>
  <c r="S1877" i="16" s="1"/>
  <c r="O1879" i="16"/>
  <c r="S1879" i="16" s="1"/>
  <c r="O1947" i="16"/>
  <c r="S1947" i="16" s="1"/>
  <c r="O1948" i="16"/>
  <c r="S1948" i="16" s="1"/>
  <c r="AD1955" i="16"/>
  <c r="AF1955" i="16" s="1"/>
  <c r="AL1967" i="16"/>
  <c r="AN1967" i="16" s="1"/>
  <c r="AD1991" i="16"/>
  <c r="AF1991" i="16" s="1"/>
  <c r="O2025" i="16"/>
  <c r="S2025" i="16" s="1"/>
  <c r="O2026" i="16"/>
  <c r="S2026" i="16" s="1"/>
  <c r="AD1793" i="16"/>
  <c r="AF1793" i="16" s="1"/>
  <c r="AD1796" i="16"/>
  <c r="AF1796" i="16" s="1"/>
  <c r="AD1798" i="16"/>
  <c r="AF1798" i="16" s="1"/>
  <c r="AG1798" i="16" s="1"/>
  <c r="O1808" i="16"/>
  <c r="S1808" i="16" s="1"/>
  <c r="AD1809" i="16"/>
  <c r="AF1809" i="16" s="1"/>
  <c r="AI1809" i="16" s="1"/>
  <c r="AJ1809" i="16" s="1"/>
  <c r="O1816" i="16"/>
  <c r="S1816" i="16" s="1"/>
  <c r="AD1817" i="16"/>
  <c r="AF1817" i="16" s="1"/>
  <c r="AI1817" i="16" s="1"/>
  <c r="AJ1817" i="16" s="1"/>
  <c r="O1827" i="16"/>
  <c r="S1827" i="16" s="1"/>
  <c r="AL1828" i="16"/>
  <c r="AN1828" i="16" s="1"/>
  <c r="AD1830" i="16"/>
  <c r="AF1830" i="16" s="1"/>
  <c r="AD1839" i="16"/>
  <c r="AF1839" i="16" s="1"/>
  <c r="O1844" i="16"/>
  <c r="S1844" i="16" s="1"/>
  <c r="AL1847" i="16"/>
  <c r="AN1847" i="16" s="1"/>
  <c r="O1851" i="16"/>
  <c r="S1851" i="16" s="1"/>
  <c r="AD1851" i="16"/>
  <c r="AF1851" i="16" s="1"/>
  <c r="AG1851" i="16" s="1"/>
  <c r="O1853" i="16"/>
  <c r="S1853" i="16" s="1"/>
  <c r="O1857" i="16"/>
  <c r="S1857" i="16" s="1"/>
  <c r="AL1860" i="16"/>
  <c r="AN1860" i="16" s="1"/>
  <c r="O1862" i="16"/>
  <c r="S1862" i="16" s="1"/>
  <c r="O1864" i="16"/>
  <c r="S1864" i="16" s="1"/>
  <c r="AD1864" i="16"/>
  <c r="AF1864" i="16" s="1"/>
  <c r="AG1864" i="16" s="1"/>
  <c r="AL1871" i="16"/>
  <c r="AN1871" i="16" s="1"/>
  <c r="O1875" i="16"/>
  <c r="S1875" i="16" s="1"/>
  <c r="AD1875" i="16"/>
  <c r="AF1875" i="16" s="1"/>
  <c r="AI1875" i="16" s="1"/>
  <c r="AJ1875" i="16" s="1"/>
  <c r="AL1884" i="16"/>
  <c r="AN1884" i="16" s="1"/>
  <c r="O1888" i="16"/>
  <c r="S1888" i="16" s="1"/>
  <c r="AD1888" i="16"/>
  <c r="AF1888" i="16" s="1"/>
  <c r="O1893" i="16"/>
  <c r="S1893" i="16" s="1"/>
  <c r="AL1902" i="16"/>
  <c r="AN1902" i="16" s="1"/>
  <c r="AL1910" i="16"/>
  <c r="AN1910" i="16" s="1"/>
  <c r="O1915" i="16"/>
  <c r="S1915" i="16" s="1"/>
  <c r="AL1918" i="16"/>
  <c r="AN1918" i="16" s="1"/>
  <c r="O1923" i="16"/>
  <c r="S1923" i="16" s="1"/>
  <c r="AL1926" i="16"/>
  <c r="AN1926" i="16" s="1"/>
  <c r="O1931" i="16"/>
  <c r="S1931" i="16" s="1"/>
  <c r="AL1934" i="16"/>
  <c r="AN1934" i="16" s="1"/>
  <c r="O1939" i="16"/>
  <c r="S1939" i="16" s="1"/>
  <c r="O1940" i="16"/>
  <c r="S1940" i="16" s="1"/>
  <c r="O1941" i="16"/>
  <c r="S1941" i="16" s="1"/>
  <c r="AD1943" i="16"/>
  <c r="AF1943" i="16" s="1"/>
  <c r="AI1943" i="16" s="1"/>
  <c r="AJ1943" i="16" s="1"/>
  <c r="O1944" i="16"/>
  <c r="S1944" i="16" s="1"/>
  <c r="AD1944" i="16"/>
  <c r="AF1944" i="16" s="1"/>
  <c r="AG1944" i="16" s="1"/>
  <c r="O1949" i="16"/>
  <c r="S1949" i="16" s="1"/>
  <c r="O1954" i="16"/>
  <c r="S1954" i="16" s="1"/>
  <c r="O1957" i="16"/>
  <c r="S1957" i="16" s="1"/>
  <c r="AL1958" i="16"/>
  <c r="AN1958" i="16" s="1"/>
  <c r="AL1964" i="16"/>
  <c r="AN1964" i="16" s="1"/>
  <c r="O1968" i="16"/>
  <c r="S1968" i="16" s="1"/>
  <c r="O1970" i="16"/>
  <c r="S1970" i="16" s="1"/>
  <c r="O1972" i="16"/>
  <c r="S1972" i="16" s="1"/>
  <c r="O1973" i="16"/>
  <c r="S1973" i="16" s="1"/>
  <c r="AD1975" i="16"/>
  <c r="AF1975" i="16" s="1"/>
  <c r="AI1975" i="16" s="1"/>
  <c r="AJ1975" i="16" s="1"/>
  <c r="O1978" i="16"/>
  <c r="S1978" i="16" s="1"/>
  <c r="O1985" i="16"/>
  <c r="S1985" i="16" s="1"/>
  <c r="O1986" i="16"/>
  <c r="S1986" i="16" s="1"/>
  <c r="O1992" i="16"/>
  <c r="S1992" i="16" s="1"/>
  <c r="O1993" i="16"/>
  <c r="S1993" i="16" s="1"/>
  <c r="O1998" i="16"/>
  <c r="S1998" i="16" s="1"/>
  <c r="AD1999" i="16"/>
  <c r="AF1999" i="16" s="1"/>
  <c r="AG1999" i="16" s="1"/>
  <c r="O2000" i="16"/>
  <c r="S2000" i="16" s="1"/>
  <c r="AD2008" i="16"/>
  <c r="AF2008" i="16" s="1"/>
  <c r="AI2008" i="16" s="1"/>
  <c r="AD2010" i="16"/>
  <c r="AF2010" i="16" s="1"/>
  <c r="AD2013" i="16"/>
  <c r="AF2013" i="16" s="1"/>
  <c r="AL2017" i="16"/>
  <c r="AN2017" i="16" s="1"/>
  <c r="AD2019" i="16"/>
  <c r="AF2019" i="16" s="1"/>
  <c r="AI2019" i="16" s="1"/>
  <c r="AJ2019" i="16" s="1"/>
  <c r="O2023" i="16"/>
  <c r="S2023" i="16" s="1"/>
  <c r="AL2025" i="16"/>
  <c r="AN2025" i="16" s="1"/>
  <c r="O2033" i="16"/>
  <c r="S2033" i="16" s="1"/>
  <c r="O2034" i="16"/>
  <c r="S2034" i="16" s="1"/>
  <c r="AD2034" i="16"/>
  <c r="AF2034" i="16" s="1"/>
  <c r="AG2034" i="16" s="1"/>
  <c r="AD2035" i="16"/>
  <c r="AF2035" i="16" s="1"/>
  <c r="AL2040" i="16"/>
  <c r="AN2040" i="16" s="1"/>
  <c r="AL2041" i="16"/>
  <c r="AN2041" i="16" s="1"/>
  <c r="AL2042" i="16"/>
  <c r="AN2042" i="16" s="1"/>
  <c r="O2048" i="16"/>
  <c r="S2048" i="16" s="1"/>
  <c r="AL2060" i="16"/>
  <c r="AN2060" i="16" s="1"/>
  <c r="O2087" i="16"/>
  <c r="S2087" i="16" s="1"/>
  <c r="O2105" i="16"/>
  <c r="S2105" i="16" s="1"/>
  <c r="O1776" i="16"/>
  <c r="S1776" i="16" s="1"/>
  <c r="O1777" i="16"/>
  <c r="S1777" i="16" s="1"/>
  <c r="AD1777" i="16"/>
  <c r="AF1777" i="16" s="1"/>
  <c r="AI1777" i="16" s="1"/>
  <c r="AJ1777" i="16" s="1"/>
  <c r="O1781" i="16"/>
  <c r="S1781" i="16" s="1"/>
  <c r="O1787" i="16"/>
  <c r="S1787" i="16" s="1"/>
  <c r="AL1791" i="16"/>
  <c r="AN1791" i="16" s="1"/>
  <c r="O1796" i="16"/>
  <c r="S1796" i="16" s="1"/>
  <c r="O1803" i="16"/>
  <c r="S1803" i="16" s="1"/>
  <c r="AL1807" i="16"/>
  <c r="AN1807" i="16" s="1"/>
  <c r="AL1815" i="16"/>
  <c r="AN1815" i="16" s="1"/>
  <c r="O1820" i="16"/>
  <c r="S1820" i="16" s="1"/>
  <c r="AL1822" i="16"/>
  <c r="AN1822" i="16" s="1"/>
  <c r="AL1823" i="16"/>
  <c r="AN1823" i="16" s="1"/>
  <c r="O1830" i="16"/>
  <c r="S1830" i="16" s="1"/>
  <c r="O1831" i="16"/>
  <c r="S1831" i="16" s="1"/>
  <c r="O1832" i="16"/>
  <c r="S1832" i="16" s="1"/>
  <c r="AD1832" i="16"/>
  <c r="AF1832" i="16" s="1"/>
  <c r="AI1832" i="16" s="1"/>
  <c r="AJ1832" i="16" s="1"/>
  <c r="O1835" i="16"/>
  <c r="S1835" i="16" s="1"/>
  <c r="O1838" i="16"/>
  <c r="S1838" i="16" s="1"/>
  <c r="O1839" i="16"/>
  <c r="S1839" i="16" s="1"/>
  <c r="AD1840" i="16"/>
  <c r="AF1840" i="16" s="1"/>
  <c r="AI1840" i="16" s="1"/>
  <c r="AJ1840" i="16" s="1"/>
  <c r="O1852" i="16"/>
  <c r="S1852" i="16" s="1"/>
  <c r="AL1855" i="16"/>
  <c r="AN1855" i="16" s="1"/>
  <c r="O1858" i="16"/>
  <c r="S1858" i="16" s="1"/>
  <c r="O1859" i="16"/>
  <c r="S1859" i="16" s="1"/>
  <c r="AD1859" i="16"/>
  <c r="AF1859" i="16" s="1"/>
  <c r="AG1859" i="16" s="1"/>
  <c r="O1861" i="16"/>
  <c r="S1861" i="16" s="1"/>
  <c r="O1865" i="16"/>
  <c r="S1865" i="16" s="1"/>
  <c r="O1870" i="16"/>
  <c r="S1870" i="16" s="1"/>
  <c r="AD1870" i="16"/>
  <c r="AF1870" i="16" s="1"/>
  <c r="AD1872" i="16"/>
  <c r="AF1872" i="16" s="1"/>
  <c r="AG1872" i="16" s="1"/>
  <c r="AD1877" i="16"/>
  <c r="AF1877" i="16" s="1"/>
  <c r="AI1877" i="16" s="1"/>
  <c r="AJ1877" i="16" s="1"/>
  <c r="O1880" i="16"/>
  <c r="S1880" i="16" s="1"/>
  <c r="O1881" i="16"/>
  <c r="S1881" i="16" s="1"/>
  <c r="AL1882" i="16"/>
  <c r="AN1882" i="16" s="1"/>
  <c r="O1884" i="16"/>
  <c r="S1884" i="16" s="1"/>
  <c r="O1889" i="16"/>
  <c r="S1889" i="16" s="1"/>
  <c r="AL1891" i="16"/>
  <c r="AN1891" i="16" s="1"/>
  <c r="O1894" i="16"/>
  <c r="S1894" i="16" s="1"/>
  <c r="O1895" i="16"/>
  <c r="S1895" i="16" s="1"/>
  <c r="O1896" i="16"/>
  <c r="S1896" i="16" s="1"/>
  <c r="AD1896" i="16"/>
  <c r="AF1896" i="16" s="1"/>
  <c r="AD1898" i="16"/>
  <c r="AF1898" i="16" s="1"/>
  <c r="AI1898" i="16" s="1"/>
  <c r="O1900" i="16"/>
  <c r="S1900" i="16" s="1"/>
  <c r="O1901" i="16"/>
  <c r="S1901" i="16" s="1"/>
  <c r="AD1901" i="16"/>
  <c r="AF1901" i="16" s="1"/>
  <c r="AD1903" i="16"/>
  <c r="AF1903" i="16" s="1"/>
  <c r="AD1906" i="16"/>
  <c r="AF1906" i="16" s="1"/>
  <c r="O1908" i="16"/>
  <c r="S1908" i="16" s="1"/>
  <c r="O1909" i="16"/>
  <c r="S1909" i="16" s="1"/>
  <c r="AD1909" i="16"/>
  <c r="AF1909" i="16" s="1"/>
  <c r="AD1911" i="16"/>
  <c r="AF1911" i="16" s="1"/>
  <c r="O1916" i="16"/>
  <c r="S1916" i="16" s="1"/>
  <c r="O1917" i="16"/>
  <c r="S1917" i="16" s="1"/>
  <c r="AD1917" i="16"/>
  <c r="AF1917" i="16" s="1"/>
  <c r="AD1919" i="16"/>
  <c r="AF1919" i="16" s="1"/>
  <c r="O1924" i="16"/>
  <c r="S1924" i="16" s="1"/>
  <c r="O1925" i="16"/>
  <c r="S1925" i="16" s="1"/>
  <c r="AD1925" i="16"/>
  <c r="AF1925" i="16" s="1"/>
  <c r="AD1927" i="16"/>
  <c r="AF1927" i="16" s="1"/>
  <c r="AL1928" i="16"/>
  <c r="AN1928" i="16" s="1"/>
  <c r="O1932" i="16"/>
  <c r="S1932" i="16" s="1"/>
  <c r="O1933" i="16"/>
  <c r="S1933" i="16" s="1"/>
  <c r="AD1933" i="16"/>
  <c r="AF1933" i="16" s="1"/>
  <c r="AD1935" i="16"/>
  <c r="AF1935" i="16" s="1"/>
  <c r="O1945" i="16"/>
  <c r="S1945" i="16" s="1"/>
  <c r="O1946" i="16"/>
  <c r="S1946" i="16" s="1"/>
  <c r="AL1948" i="16"/>
  <c r="AN1948" i="16" s="1"/>
  <c r="AL1960" i="16"/>
  <c r="AN1960" i="16" s="1"/>
  <c r="AL1962" i="16"/>
  <c r="AN1962" i="16" s="1"/>
  <c r="AD1963" i="16"/>
  <c r="AF1963" i="16" s="1"/>
  <c r="O1976" i="16"/>
  <c r="S1976" i="16" s="1"/>
  <c r="O1977" i="16"/>
  <c r="S1977" i="16" s="1"/>
  <c r="O1980" i="16"/>
  <c r="S1980" i="16" s="1"/>
  <c r="O1981" i="16"/>
  <c r="S1981" i="16" s="1"/>
  <c r="AL1982" i="16"/>
  <c r="AN1982" i="16" s="1"/>
  <c r="AL1990" i="16"/>
  <c r="AN1990" i="16" s="1"/>
  <c r="O1996" i="16"/>
  <c r="S1996" i="16" s="1"/>
  <c r="O2007" i="16"/>
  <c r="S2007" i="16" s="1"/>
  <c r="O2019" i="16"/>
  <c r="S2019" i="16" s="1"/>
  <c r="AL2026" i="16"/>
  <c r="AN2026" i="16" s="1"/>
  <c r="O2032" i="16"/>
  <c r="S2032" i="16" s="1"/>
  <c r="O2036" i="16"/>
  <c r="S2036" i="16" s="1"/>
  <c r="O2037" i="16"/>
  <c r="S2037" i="16" s="1"/>
  <c r="O2046" i="16"/>
  <c r="S2046" i="16" s="1"/>
  <c r="AL2074" i="16"/>
  <c r="AN2074" i="16" s="1"/>
  <c r="AD2074" i="16"/>
  <c r="AF2074" i="16" s="1"/>
  <c r="AI2074" i="16" s="1"/>
  <c r="AJ2074" i="16" s="1"/>
  <c r="AL2098" i="16"/>
  <c r="AN2098" i="16" s="1"/>
  <c r="AD2098" i="16"/>
  <c r="AF2098" i="16" s="1"/>
  <c r="AI2098" i="16" s="1"/>
  <c r="AJ2098" i="16" s="1"/>
  <c r="AL2119" i="16"/>
  <c r="AN2119" i="16" s="1"/>
  <c r="AD2119" i="16"/>
  <c r="AF2119" i="16" s="1"/>
  <c r="AL2177" i="16"/>
  <c r="AN2177" i="16" s="1"/>
  <c r="O2054" i="16"/>
  <c r="S2054" i="16" s="1"/>
  <c r="O2056" i="16"/>
  <c r="S2056" i="16" s="1"/>
  <c r="O2057" i="16"/>
  <c r="S2057" i="16" s="1"/>
  <c r="AL2058" i="16"/>
  <c r="AN2058" i="16" s="1"/>
  <c r="O2063" i="16"/>
  <c r="S2063" i="16" s="1"/>
  <c r="AD2065" i="16"/>
  <c r="AF2065" i="16" s="1"/>
  <c r="AG2065" i="16" s="1"/>
  <c r="O2069" i="16"/>
  <c r="S2069" i="16" s="1"/>
  <c r="AL2070" i="16"/>
  <c r="AN2070" i="16" s="1"/>
  <c r="AD2071" i="16"/>
  <c r="AF2071" i="16" s="1"/>
  <c r="O2077" i="16"/>
  <c r="S2077" i="16" s="1"/>
  <c r="O2082" i="16"/>
  <c r="S2082" i="16" s="1"/>
  <c r="O2084" i="16"/>
  <c r="S2084" i="16" s="1"/>
  <c r="O2085" i="16"/>
  <c r="S2085" i="16" s="1"/>
  <c r="O2088" i="16"/>
  <c r="S2088" i="16" s="1"/>
  <c r="AL2093" i="16"/>
  <c r="AN2093" i="16" s="1"/>
  <c r="AL2097" i="16"/>
  <c r="AN2097" i="16" s="1"/>
  <c r="O2102" i="16"/>
  <c r="S2102" i="16" s="1"/>
  <c r="AL2103" i="16"/>
  <c r="AN2103" i="16" s="1"/>
  <c r="AL2106" i="16"/>
  <c r="AN2106" i="16" s="1"/>
  <c r="AL2111" i="16"/>
  <c r="AN2111" i="16" s="1"/>
  <c r="AL2117" i="16"/>
  <c r="AN2117" i="16" s="1"/>
  <c r="AL2118" i="16"/>
  <c r="AN2118" i="16" s="1"/>
  <c r="O2152" i="16"/>
  <c r="S2152" i="16" s="1"/>
  <c r="AL1988" i="16"/>
  <c r="AN1988" i="16" s="1"/>
  <c r="AL1992" i="16"/>
  <c r="AN1992" i="16" s="1"/>
  <c r="AL1994" i="16"/>
  <c r="AN1994" i="16" s="1"/>
  <c r="AD1996" i="16"/>
  <c r="AF1996" i="16" s="1"/>
  <c r="AD2005" i="16"/>
  <c r="AF2005" i="16" s="1"/>
  <c r="AL2006" i="16"/>
  <c r="AN2006" i="16" s="1"/>
  <c r="AD2014" i="16"/>
  <c r="AF2014" i="16" s="1"/>
  <c r="AG2014" i="16" s="1"/>
  <c r="O2039" i="16"/>
  <c r="S2039" i="16" s="1"/>
  <c r="AL2046" i="16"/>
  <c r="AN2046" i="16" s="1"/>
  <c r="AL2048" i="16"/>
  <c r="AN2048" i="16" s="1"/>
  <c r="AL2056" i="16"/>
  <c r="AN2056" i="16" s="1"/>
  <c r="O2059" i="16"/>
  <c r="S2059" i="16" s="1"/>
  <c r="AL2068" i="16"/>
  <c r="AN2068" i="16" s="1"/>
  <c r="AD2073" i="16"/>
  <c r="AF2073" i="16" s="1"/>
  <c r="AI2073" i="16" s="1"/>
  <c r="AJ2073" i="16" s="1"/>
  <c r="AL2081" i="16"/>
  <c r="AN2081" i="16" s="1"/>
  <c r="AD2083" i="16"/>
  <c r="AF2083" i="16" s="1"/>
  <c r="AG2083" i="16" s="1"/>
  <c r="O2091" i="16"/>
  <c r="S2091" i="16" s="1"/>
  <c r="O2092" i="16"/>
  <c r="S2092" i="16" s="1"/>
  <c r="O2098" i="16"/>
  <c r="S2098" i="16" s="1"/>
  <c r="O2104" i="16"/>
  <c r="S2104" i="16" s="1"/>
  <c r="O2109" i="16"/>
  <c r="S2109" i="16" s="1"/>
  <c r="O2112" i="16"/>
  <c r="S2112" i="16" s="1"/>
  <c r="AL2113" i="16"/>
  <c r="AN2113" i="16" s="1"/>
  <c r="O2122" i="16"/>
  <c r="S2122" i="16" s="1"/>
  <c r="O2123" i="16"/>
  <c r="S2123" i="16" s="1"/>
  <c r="AL2125" i="16"/>
  <c r="AN2125" i="16" s="1"/>
  <c r="AL2127" i="16"/>
  <c r="AN2127" i="16" s="1"/>
  <c r="O2130" i="16"/>
  <c r="S2130" i="16" s="1"/>
  <c r="O2131" i="16"/>
  <c r="S2131" i="16" s="1"/>
  <c r="AD2135" i="16"/>
  <c r="AF2135" i="16" s="1"/>
  <c r="AI2135" i="16" s="1"/>
  <c r="AJ2135" i="16" s="1"/>
  <c r="O2141" i="16"/>
  <c r="S2141" i="16" s="1"/>
  <c r="O2142" i="16"/>
  <c r="S2142" i="16" s="1"/>
  <c r="AL2145" i="16"/>
  <c r="AN2145" i="16" s="1"/>
  <c r="AD2156" i="16"/>
  <c r="AF2156" i="16" s="1"/>
  <c r="AI2156" i="16" s="1"/>
  <c r="AJ2156" i="16" s="1"/>
  <c r="AD2159" i="16"/>
  <c r="AF2159" i="16" s="1"/>
  <c r="AD2177" i="16"/>
  <c r="AF2177" i="16" s="1"/>
  <c r="AI2177" i="16" s="1"/>
  <c r="AJ2177" i="16" s="1"/>
  <c r="AD2178" i="16"/>
  <c r="AF2178" i="16" s="1"/>
  <c r="AG2178" i="16" s="1"/>
  <c r="AL2185" i="16"/>
  <c r="AN2185" i="16" s="1"/>
  <c r="AL2200" i="16"/>
  <c r="AN2200" i="16" s="1"/>
  <c r="AD2223" i="16"/>
  <c r="AF2223" i="16" s="1"/>
  <c r="AG2223" i="16" s="1"/>
  <c r="AD2240" i="16"/>
  <c r="AF2240" i="16" s="1"/>
  <c r="AI2240" i="16" s="1"/>
  <c r="AL2253" i="16"/>
  <c r="AN2253" i="16" s="1"/>
  <c r="AD2253" i="16"/>
  <c r="AF2253" i="16" s="1"/>
  <c r="AL1956" i="16"/>
  <c r="AN1956" i="16" s="1"/>
  <c r="O1965" i="16"/>
  <c r="S1965" i="16" s="1"/>
  <c r="AL1966" i="16"/>
  <c r="AN1966" i="16" s="1"/>
  <c r="O1969" i="16"/>
  <c r="S1969" i="16" s="1"/>
  <c r="AD1970" i="16"/>
  <c r="AF1970" i="16" s="1"/>
  <c r="AG1970" i="16" s="1"/>
  <c r="O1971" i="16"/>
  <c r="S1971" i="16" s="1"/>
  <c r="AD1972" i="16"/>
  <c r="AF1972" i="16" s="1"/>
  <c r="AI1972" i="16" s="1"/>
  <c r="AJ1972" i="16" s="1"/>
  <c r="O1979" i="16"/>
  <c r="S1979" i="16" s="1"/>
  <c r="AL1980" i="16"/>
  <c r="AN1980" i="16" s="1"/>
  <c r="O1983" i="16"/>
  <c r="S1983" i="16" s="1"/>
  <c r="AL1984" i="16"/>
  <c r="AN1984" i="16" s="1"/>
  <c r="AL1986" i="16"/>
  <c r="AN1986" i="16" s="1"/>
  <c r="AD1988" i="16"/>
  <c r="AF1988" i="16" s="1"/>
  <c r="O1995" i="16"/>
  <c r="S1995" i="16" s="1"/>
  <c r="O1997" i="16"/>
  <c r="S1997" i="16" s="1"/>
  <c r="AD1997" i="16"/>
  <c r="AF1997" i="16" s="1"/>
  <c r="AI1997" i="16" s="1"/>
  <c r="AJ1997" i="16" s="1"/>
  <c r="AL1998" i="16"/>
  <c r="AN1998" i="16" s="1"/>
  <c r="O2001" i="16"/>
  <c r="S2001" i="16" s="1"/>
  <c r="O2002" i="16"/>
  <c r="S2002" i="16" s="1"/>
  <c r="AD2006" i="16"/>
  <c r="AF2006" i="16" s="1"/>
  <c r="AL2012" i="16"/>
  <c r="AN2012" i="16" s="1"/>
  <c r="O2016" i="16"/>
  <c r="S2016" i="16" s="1"/>
  <c r="AL2022" i="16"/>
  <c r="AN2022" i="16" s="1"/>
  <c r="AD2023" i="16"/>
  <c r="AF2023" i="16" s="1"/>
  <c r="O2024" i="16"/>
  <c r="S2024" i="16" s="1"/>
  <c r="AD2025" i="16"/>
  <c r="AF2025" i="16" s="1"/>
  <c r="AG2025" i="16" s="1"/>
  <c r="AD2030" i="16"/>
  <c r="AF2030" i="16" s="1"/>
  <c r="AI2030" i="16" s="1"/>
  <c r="AJ2030" i="16" s="1"/>
  <c r="O2031" i="16"/>
  <c r="S2031" i="16" s="1"/>
  <c r="AD2033" i="16"/>
  <c r="AF2033" i="16" s="1"/>
  <c r="O2038" i="16"/>
  <c r="S2038" i="16" s="1"/>
  <c r="O2043" i="16"/>
  <c r="S2043" i="16" s="1"/>
  <c r="AL2044" i="16"/>
  <c r="AN2044" i="16" s="1"/>
  <c r="O2047" i="16"/>
  <c r="S2047" i="16" s="1"/>
  <c r="AD2047" i="16"/>
  <c r="AF2047" i="16" s="1"/>
  <c r="O2049" i="16"/>
  <c r="S2049" i="16" s="1"/>
  <c r="AL2050" i="16"/>
  <c r="AN2050" i="16" s="1"/>
  <c r="O2052" i="16"/>
  <c r="S2052" i="16" s="1"/>
  <c r="O2053" i="16"/>
  <c r="S2053" i="16" s="1"/>
  <c r="O2055" i="16"/>
  <c r="S2055" i="16" s="1"/>
  <c r="AD2057" i="16"/>
  <c r="AF2057" i="16" s="1"/>
  <c r="O2061" i="16"/>
  <c r="S2061" i="16" s="1"/>
  <c r="AL2062" i="16"/>
  <c r="AN2062" i="16" s="1"/>
  <c r="AD2063" i="16"/>
  <c r="AF2063" i="16" s="1"/>
  <c r="AL2064" i="16"/>
  <c r="AN2064" i="16" s="1"/>
  <c r="O2067" i="16"/>
  <c r="S2067" i="16" s="1"/>
  <c r="AL2069" i="16"/>
  <c r="AN2069" i="16" s="1"/>
  <c r="AL2072" i="16"/>
  <c r="AN2072" i="16" s="1"/>
  <c r="O2073" i="16"/>
  <c r="S2073" i="16" s="1"/>
  <c r="O2074" i="16"/>
  <c r="S2074" i="16" s="1"/>
  <c r="AL2082" i="16"/>
  <c r="AN2082" i="16" s="1"/>
  <c r="O2083" i="16"/>
  <c r="S2083" i="16" s="1"/>
  <c r="O2086" i="16"/>
  <c r="S2086" i="16" s="1"/>
  <c r="AD2086" i="16"/>
  <c r="AF2086" i="16" s="1"/>
  <c r="AL2087" i="16"/>
  <c r="AN2087" i="16" s="1"/>
  <c r="AL2088" i="16"/>
  <c r="AN2088" i="16" s="1"/>
  <c r="O2090" i="16"/>
  <c r="S2090" i="16" s="1"/>
  <c r="O2096" i="16"/>
  <c r="S2096" i="16" s="1"/>
  <c r="AL2099" i="16"/>
  <c r="AN2099" i="16" s="1"/>
  <c r="AL2101" i="16"/>
  <c r="AN2101" i="16" s="1"/>
  <c r="AL2102" i="16"/>
  <c r="AN2102" i="16" s="1"/>
  <c r="AL2105" i="16"/>
  <c r="AN2105" i="16" s="1"/>
  <c r="O2127" i="16"/>
  <c r="S2127" i="16" s="1"/>
  <c r="AL2128" i="16"/>
  <c r="AN2128" i="16" s="1"/>
  <c r="O2134" i="16"/>
  <c r="S2134" i="16" s="1"/>
  <c r="O2137" i="16"/>
  <c r="S2137" i="16" s="1"/>
  <c r="O2140" i="16"/>
  <c r="S2140" i="16" s="1"/>
  <c r="O2145" i="16"/>
  <c r="S2145" i="16" s="1"/>
  <c r="AL2153" i="16"/>
  <c r="AN2153" i="16" s="1"/>
  <c r="O2169" i="16"/>
  <c r="S2169" i="16" s="1"/>
  <c r="O2187" i="16"/>
  <c r="S2187" i="16" s="1"/>
  <c r="AD2188" i="16"/>
  <c r="AF2188" i="16" s="1"/>
  <c r="AG2188" i="16" s="1"/>
  <c r="AL2189" i="16"/>
  <c r="AN2189" i="16" s="1"/>
  <c r="AL2192" i="16"/>
  <c r="AN2192" i="16" s="1"/>
  <c r="O2195" i="16"/>
  <c r="S2195" i="16" s="1"/>
  <c r="O2196" i="16"/>
  <c r="S2196" i="16" s="1"/>
  <c r="AL2196" i="16"/>
  <c r="AN2196" i="16" s="1"/>
  <c r="O2197" i="16"/>
  <c r="S2197" i="16" s="1"/>
  <c r="O2205" i="16"/>
  <c r="S2205" i="16" s="1"/>
  <c r="O2208" i="16"/>
  <c r="S2208" i="16" s="1"/>
  <c r="AL2226" i="16"/>
  <c r="AN2226" i="16" s="1"/>
  <c r="AD2227" i="16"/>
  <c r="AF2227" i="16" s="1"/>
  <c r="AG2227" i="16" s="1"/>
  <c r="AL2227" i="16"/>
  <c r="AN2227" i="16" s="1"/>
  <c r="AL2237" i="16"/>
  <c r="AN2237" i="16" s="1"/>
  <c r="AD2237" i="16"/>
  <c r="AF2237" i="16" s="1"/>
  <c r="AG2237" i="16" s="1"/>
  <c r="O2107" i="16"/>
  <c r="S2107" i="16" s="1"/>
  <c r="O2108" i="16"/>
  <c r="S2108" i="16" s="1"/>
  <c r="O2114" i="16"/>
  <c r="S2114" i="16" s="1"/>
  <c r="O2121" i="16"/>
  <c r="S2121" i="16" s="1"/>
  <c r="O2124" i="16"/>
  <c r="S2124" i="16" s="1"/>
  <c r="O2129" i="16"/>
  <c r="S2129" i="16" s="1"/>
  <c r="O2133" i="16"/>
  <c r="S2133" i="16" s="1"/>
  <c r="AL2140" i="16"/>
  <c r="AN2140" i="16" s="1"/>
  <c r="AD2142" i="16"/>
  <c r="AF2142" i="16" s="1"/>
  <c r="O2143" i="16"/>
  <c r="S2143" i="16" s="1"/>
  <c r="AD2143" i="16"/>
  <c r="AF2143" i="16" s="1"/>
  <c r="AI2143" i="16" s="1"/>
  <c r="AJ2143" i="16" s="1"/>
  <c r="AL2144" i="16"/>
  <c r="AN2144" i="16" s="1"/>
  <c r="O2146" i="16"/>
  <c r="S2146" i="16" s="1"/>
  <c r="O2147" i="16"/>
  <c r="S2147" i="16" s="1"/>
  <c r="AL2149" i="16"/>
  <c r="AN2149" i="16" s="1"/>
  <c r="AL2150" i="16"/>
  <c r="AN2150" i="16" s="1"/>
  <c r="O2156" i="16"/>
  <c r="S2156" i="16" s="1"/>
  <c r="O2164" i="16"/>
  <c r="S2164" i="16" s="1"/>
  <c r="O2167" i="16"/>
  <c r="S2167" i="16" s="1"/>
  <c r="AL2168" i="16"/>
  <c r="AN2168" i="16" s="1"/>
  <c r="O2175" i="16"/>
  <c r="S2175" i="16" s="1"/>
  <c r="O2179" i="16"/>
  <c r="S2179" i="16" s="1"/>
  <c r="AD2180" i="16"/>
  <c r="AF2180" i="16" s="1"/>
  <c r="AI2180" i="16" s="1"/>
  <c r="AJ2180" i="16" s="1"/>
  <c r="AL2184" i="16"/>
  <c r="AN2184" i="16" s="1"/>
  <c r="AD2185" i="16"/>
  <c r="AF2185" i="16" s="1"/>
  <c r="AG2185" i="16" s="1"/>
  <c r="AL2187" i="16"/>
  <c r="AN2187" i="16" s="1"/>
  <c r="AL2193" i="16"/>
  <c r="AN2193" i="16" s="1"/>
  <c r="AL2194" i="16"/>
  <c r="AN2194" i="16" s="1"/>
  <c r="AD2196" i="16"/>
  <c r="AF2196" i="16" s="1"/>
  <c r="AI2196" i="16" s="1"/>
  <c r="AJ2196" i="16" s="1"/>
  <c r="AL2213" i="16"/>
  <c r="AN2213" i="16" s="1"/>
  <c r="AD2217" i="16"/>
  <c r="AF2217" i="16" s="1"/>
  <c r="AG2217" i="16" s="1"/>
  <c r="AL2218" i="16"/>
  <c r="AN2218" i="16" s="1"/>
  <c r="AL2219" i="16"/>
  <c r="AN2219" i="16" s="1"/>
  <c r="O2228" i="16"/>
  <c r="S2228" i="16" s="1"/>
  <c r="AD2228" i="16"/>
  <c r="AF2228" i="16" s="1"/>
  <c r="AG2228" i="16" s="1"/>
  <c r="AL2244" i="16"/>
  <c r="AN2244" i="16" s="1"/>
  <c r="AD2250" i="16"/>
  <c r="AF2250" i="16" s="1"/>
  <c r="O2254" i="16"/>
  <c r="S2254" i="16" s="1"/>
  <c r="AL2257" i="16"/>
  <c r="AN2257" i="16" s="1"/>
  <c r="O2151" i="16"/>
  <c r="S2151" i="16" s="1"/>
  <c r="AD2151" i="16"/>
  <c r="AF2151" i="16" s="1"/>
  <c r="AG2151" i="16" s="1"/>
  <c r="AL2152" i="16"/>
  <c r="AN2152" i="16" s="1"/>
  <c r="O2154" i="16"/>
  <c r="S2154" i="16" s="1"/>
  <c r="O2155" i="16"/>
  <c r="S2155" i="16" s="1"/>
  <c r="AL2157" i="16"/>
  <c r="AN2157" i="16" s="1"/>
  <c r="AL2158" i="16"/>
  <c r="AN2158" i="16" s="1"/>
  <c r="AL2162" i="16"/>
  <c r="AN2162" i="16" s="1"/>
  <c r="AL2169" i="16"/>
  <c r="AN2169" i="16" s="1"/>
  <c r="AL2171" i="16"/>
  <c r="AN2171" i="16" s="1"/>
  <c r="AD2173" i="16"/>
  <c r="AF2173" i="16" s="1"/>
  <c r="AI2173" i="16" s="1"/>
  <c r="AJ2173" i="16" s="1"/>
  <c r="O2181" i="16"/>
  <c r="S2181" i="16" s="1"/>
  <c r="O2182" i="16"/>
  <c r="S2182" i="16" s="1"/>
  <c r="O2183" i="16"/>
  <c r="S2183" i="16" s="1"/>
  <c r="AD2186" i="16"/>
  <c r="AF2186" i="16" s="1"/>
  <c r="AL2190" i="16"/>
  <c r="AN2190" i="16" s="1"/>
  <c r="O2194" i="16"/>
  <c r="S2194" i="16" s="1"/>
  <c r="AL2197" i="16"/>
  <c r="AN2197" i="16" s="1"/>
  <c r="AL2198" i="16"/>
  <c r="AN2198" i="16" s="1"/>
  <c r="AL2202" i="16"/>
  <c r="AN2202" i="16" s="1"/>
  <c r="AL2203" i="16"/>
  <c r="AN2203" i="16" s="1"/>
  <c r="AD2204" i="16"/>
  <c r="AF2204" i="16" s="1"/>
  <c r="AG2204" i="16" s="1"/>
  <c r="O2207" i="16"/>
  <c r="S2207" i="16" s="1"/>
  <c r="O2209" i="16"/>
  <c r="S2209" i="16" s="1"/>
  <c r="O2211" i="16"/>
  <c r="S2211" i="16" s="1"/>
  <c r="AD2215" i="16"/>
  <c r="AF2215" i="16" s="1"/>
  <c r="AG2215" i="16" s="1"/>
  <c r="AL2220" i="16"/>
  <c r="AN2220" i="16" s="1"/>
  <c r="O2237" i="16"/>
  <c r="S2237" i="16" s="1"/>
  <c r="O2248" i="16"/>
  <c r="S2248" i="16" s="1"/>
  <c r="AD2212" i="16"/>
  <c r="AF2212" i="16" s="1"/>
  <c r="AD2241" i="16"/>
  <c r="AF2241" i="16" s="1"/>
  <c r="AL2242" i="16"/>
  <c r="AN2242" i="16" s="1"/>
  <c r="AD2248" i="16"/>
  <c r="AF2248" i="16" s="1"/>
  <c r="AG2248" i="16" s="1"/>
  <c r="AD2165" i="16"/>
  <c r="AF2165" i="16" s="1"/>
  <c r="AG2165" i="16" s="1"/>
  <c r="O2166" i="16"/>
  <c r="S2166" i="16" s="1"/>
  <c r="O2170" i="16"/>
  <c r="S2170" i="16" s="1"/>
  <c r="AD2170" i="16"/>
  <c r="AF2170" i="16" s="1"/>
  <c r="AG2170" i="16" s="1"/>
  <c r="AD2179" i="16"/>
  <c r="AF2179" i="16" s="1"/>
  <c r="AL2182" i="16"/>
  <c r="AN2182" i="16" s="1"/>
  <c r="AD2197" i="16"/>
  <c r="AF2197" i="16" s="1"/>
  <c r="AD2201" i="16"/>
  <c r="AF2201" i="16" s="1"/>
  <c r="AI2201" i="16" s="1"/>
  <c r="AJ2201" i="16" s="1"/>
  <c r="AL2206" i="16"/>
  <c r="AN2206" i="16" s="1"/>
  <c r="O2221" i="16"/>
  <c r="S2221" i="16" s="1"/>
  <c r="AL2224" i="16"/>
  <c r="AN2224" i="16" s="1"/>
  <c r="O2227" i="16"/>
  <c r="S2227" i="16" s="1"/>
  <c r="O2229" i="16"/>
  <c r="S2229" i="16" s="1"/>
  <c r="O2233" i="16"/>
  <c r="S2233" i="16" s="1"/>
  <c r="AD2233" i="16"/>
  <c r="AF2233" i="16" s="1"/>
  <c r="AL2234" i="16"/>
  <c r="AN2234" i="16" s="1"/>
  <c r="AD2236" i="16"/>
  <c r="AF2236" i="16" s="1"/>
  <c r="AI2236" i="16" s="1"/>
  <c r="AJ2236" i="16" s="1"/>
  <c r="AD2244" i="16"/>
  <c r="AF2244" i="16" s="1"/>
  <c r="AI2244" i="16" s="1"/>
  <c r="AJ2244" i="16" s="1"/>
  <c r="O2246" i="16"/>
  <c r="S2246" i="16" s="1"/>
  <c r="O2247" i="16"/>
  <c r="S2247" i="16" s="1"/>
  <c r="O2253" i="16"/>
  <c r="S2253" i="16" s="1"/>
  <c r="K69" i="5"/>
  <c r="K71" i="5"/>
  <c r="K73" i="5"/>
  <c r="K64" i="5"/>
  <c r="AD721" i="16"/>
  <c r="AD717" i="16"/>
  <c r="AL717" i="16"/>
  <c r="AN717" i="16" s="1"/>
  <c r="AD700" i="16"/>
  <c r="AD701" i="16"/>
  <c r="AD706" i="16"/>
  <c r="AD710" i="16"/>
  <c r="AD716" i="16"/>
  <c r="AD718" i="16"/>
  <c r="AD705" i="16"/>
  <c r="AD714" i="16"/>
  <c r="AL701" i="16"/>
  <c r="AN701" i="16" s="1"/>
  <c r="AD702" i="16"/>
  <c r="AL707" i="16"/>
  <c r="AN707" i="16" s="1"/>
  <c r="AD707" i="16"/>
  <c r="AD722" i="16"/>
  <c r="O696" i="16"/>
  <c r="O709" i="16"/>
  <c r="O718" i="16"/>
  <c r="O702" i="16"/>
  <c r="AL711" i="16"/>
  <c r="AN711" i="16" s="1"/>
  <c r="O713" i="16"/>
  <c r="O722" i="16"/>
  <c r="O703" i="16"/>
  <c r="O704" i="16"/>
  <c r="O705" i="16"/>
  <c r="O712" i="16"/>
  <c r="AL715" i="16"/>
  <c r="AN715" i="16" s="1"/>
  <c r="O708" i="16"/>
  <c r="O710" i="16"/>
  <c r="O711" i="16"/>
  <c r="AL713" i="16"/>
  <c r="AN713" i="16" s="1"/>
  <c r="O716" i="16"/>
  <c r="O700" i="16"/>
  <c r="O706" i="16"/>
  <c r="O714" i="16"/>
  <c r="O719" i="16"/>
  <c r="O720" i="16"/>
  <c r="O721" i="16"/>
  <c r="AL703" i="16"/>
  <c r="AN703" i="16" s="1"/>
  <c r="AL708" i="16"/>
  <c r="AN708" i="16" s="1"/>
  <c r="AL719" i="16"/>
  <c r="AN719" i="16" s="1"/>
  <c r="O697" i="16"/>
  <c r="O698" i="16"/>
  <c r="AL705" i="16"/>
  <c r="AN705" i="16" s="1"/>
  <c r="AL709" i="16"/>
  <c r="AN709" i="16" s="1"/>
  <c r="AL721" i="16"/>
  <c r="AN721" i="16" s="1"/>
  <c r="O692" i="16"/>
  <c r="O693" i="16"/>
  <c r="AD690" i="16"/>
  <c r="AD689" i="16"/>
  <c r="AD685" i="16"/>
  <c r="O694" i="16"/>
  <c r="O686" i="16"/>
  <c r="O690" i="16"/>
  <c r="AL687" i="16"/>
  <c r="AN687" i="16" s="1"/>
  <c r="O689" i="16"/>
  <c r="O684" i="16"/>
  <c r="O688" i="16"/>
  <c r="O683" i="16"/>
  <c r="O687" i="16"/>
  <c r="AD686" i="16"/>
  <c r="AL691" i="16"/>
  <c r="AN691" i="16" s="1"/>
  <c r="AD286" i="16"/>
  <c r="AD602" i="16"/>
  <c r="AD604" i="16"/>
  <c r="AD605" i="16"/>
  <c r="AD678" i="16"/>
  <c r="AD238" i="16"/>
  <c r="AD652" i="16"/>
  <c r="AD669" i="16"/>
  <c r="AD691" i="16"/>
  <c r="AD682" i="16"/>
  <c r="AF682" i="16" s="1"/>
  <c r="AD684" i="16"/>
  <c r="AD694" i="16"/>
  <c r="AD173" i="16"/>
  <c r="AD174" i="16"/>
  <c r="AD698" i="16"/>
  <c r="AD246" i="16"/>
  <c r="AD310" i="16"/>
  <c r="AD318" i="16"/>
  <c r="AD323" i="16"/>
  <c r="AD422" i="16"/>
  <c r="AD504" i="16"/>
  <c r="AD577" i="16"/>
  <c r="AD593" i="16"/>
  <c r="AD594" i="16"/>
  <c r="AD618" i="16"/>
  <c r="AD631" i="16"/>
  <c r="AD634" i="16"/>
  <c r="AD278" i="16"/>
  <c r="AD606" i="16"/>
  <c r="AD658" i="16"/>
  <c r="AD666" i="16"/>
  <c r="AD151" i="16"/>
  <c r="AD481" i="16"/>
  <c r="AD513" i="16"/>
  <c r="AD599" i="16"/>
  <c r="AD647" i="16"/>
  <c r="AD141" i="16"/>
  <c r="AD142" i="16"/>
  <c r="AD182" i="16"/>
  <c r="AD160" i="16"/>
  <c r="AD223" i="16"/>
  <c r="AL249" i="16"/>
  <c r="AN249" i="16" s="1"/>
  <c r="AD267" i="16"/>
  <c r="AD476" i="16"/>
  <c r="AD227" i="16"/>
  <c r="AD189" i="16"/>
  <c r="AD190" i="16"/>
  <c r="AD239" i="16"/>
  <c r="AD299" i="16"/>
  <c r="AD198" i="16"/>
  <c r="AD225" i="16"/>
  <c r="AL244" i="16"/>
  <c r="AN244" i="16" s="1"/>
  <c r="AD254" i="16"/>
  <c r="AD272" i="16"/>
  <c r="AD291" i="16"/>
  <c r="AL337" i="16"/>
  <c r="AN337" i="16" s="1"/>
  <c r="AD372" i="16"/>
  <c r="AD505" i="16"/>
  <c r="AD521" i="16"/>
  <c r="AD524" i="16"/>
  <c r="AD561" i="16"/>
  <c r="AD569" i="16"/>
  <c r="AD572" i="16"/>
  <c r="AD249" i="16"/>
  <c r="O256" i="16"/>
  <c r="AD284" i="16"/>
  <c r="AD292" i="16"/>
  <c r="AD305" i="16"/>
  <c r="AD622" i="16"/>
  <c r="AD324" i="16"/>
  <c r="AD340" i="16"/>
  <c r="AD350" i="16"/>
  <c r="AD368" i="16"/>
  <c r="AD414" i="16"/>
  <c r="AD431" i="16"/>
  <c r="AD530" i="16"/>
  <c r="AD546" i="16"/>
  <c r="AD548" i="16"/>
  <c r="AD588" i="16"/>
  <c r="AL332" i="16"/>
  <c r="AN332" i="16" s="1"/>
  <c r="AD134" i="16"/>
  <c r="AD158" i="16"/>
  <c r="AD166" i="16"/>
  <c r="AD177" i="16"/>
  <c r="AD213" i="16"/>
  <c r="AD331" i="16"/>
  <c r="AD337" i="16"/>
  <c r="AD342" i="16"/>
  <c r="AD357" i="16"/>
  <c r="AD473" i="16"/>
  <c r="AD514" i="16"/>
  <c r="AD522" i="16"/>
  <c r="AD314" i="16"/>
  <c r="AD133" i="16"/>
  <c r="O157" i="16"/>
  <c r="AD169" i="16"/>
  <c r="AD243" i="16"/>
  <c r="O267" i="16"/>
  <c r="AD268" i="16"/>
  <c r="AD304" i="16"/>
  <c r="AD338" i="16"/>
  <c r="AD384" i="16"/>
  <c r="AD446" i="16"/>
  <c r="AD537" i="16"/>
  <c r="AD553" i="16"/>
  <c r="AD317" i="16"/>
  <c r="AD150" i="16"/>
  <c r="AD260" i="16"/>
  <c r="AD276" i="16"/>
  <c r="AD365" i="16"/>
  <c r="O430" i="16"/>
  <c r="AD348" i="16"/>
  <c r="AD355" i="16"/>
  <c r="AD362" i="16"/>
  <c r="AD363" i="16"/>
  <c r="AD411" i="16"/>
  <c r="AD415" i="16"/>
  <c r="AD461" i="16"/>
  <c r="AD497" i="16"/>
  <c r="AD557" i="16"/>
  <c r="O583" i="16"/>
  <c r="AD610" i="16"/>
  <c r="AD615" i="16"/>
  <c r="AD621" i="16"/>
  <c r="AD626" i="16"/>
  <c r="AD388" i="16"/>
  <c r="AD396" i="16"/>
  <c r="AD404" i="16"/>
  <c r="O409" i="16"/>
  <c r="AD412" i="16"/>
  <c r="AD418" i="16"/>
  <c r="AD533" i="16"/>
  <c r="AD545" i="16"/>
  <c r="AD574" i="16"/>
  <c r="AL582" i="16"/>
  <c r="AN582" i="16" s="1"/>
  <c r="AD637" i="16"/>
  <c r="AD564" i="16"/>
  <c r="AD571" i="16"/>
  <c r="AD589" i="16"/>
  <c r="O596" i="16"/>
  <c r="AD653" i="16"/>
  <c r="AD663" i="16"/>
  <c r="AD673" i="16"/>
  <c r="AD125" i="16"/>
  <c r="AD135" i="16"/>
  <c r="AD144" i="16"/>
  <c r="AD145" i="16"/>
  <c r="AD148" i="16"/>
  <c r="AD161" i="16"/>
  <c r="AD200" i="16"/>
  <c r="AD208" i="16"/>
  <c r="AL212" i="16"/>
  <c r="AN212" i="16" s="1"/>
  <c r="AD228" i="16"/>
  <c r="AD128" i="16"/>
  <c r="AD136" i="16"/>
  <c r="AD132" i="16"/>
  <c r="AD153" i="16"/>
  <c r="AD185" i="16"/>
  <c r="AL200" i="16"/>
  <c r="AN200" i="16" s="1"/>
  <c r="AD204" i="16"/>
  <c r="AD201" i="16"/>
  <c r="AD129" i="16"/>
  <c r="AD137" i="16"/>
  <c r="AD149" i="16"/>
  <c r="AL152" i="16"/>
  <c r="AN152" i="16" s="1"/>
  <c r="AD152" i="16"/>
  <c r="O155" i="16"/>
  <c r="AD168" i="16"/>
  <c r="AD176" i="16"/>
  <c r="AD184" i="16"/>
  <c r="AL204" i="16"/>
  <c r="AN204" i="16" s="1"/>
  <c r="AD207" i="16"/>
  <c r="AD266" i="16"/>
  <c r="AL268" i="16"/>
  <c r="AN268" i="16" s="1"/>
  <c r="AD269" i="16"/>
  <c r="AD277" i="16"/>
  <c r="AD282" i="16"/>
  <c r="AD285" i="16"/>
  <c r="AL313" i="16"/>
  <c r="AN313" i="16" s="1"/>
  <c r="AD313" i="16"/>
  <c r="AD322" i="16"/>
  <c r="AD336" i="16"/>
  <c r="AD346" i="16"/>
  <c r="AD349" i="16"/>
  <c r="AL364" i="16"/>
  <c r="AN364" i="16" s="1"/>
  <c r="AD369" i="16"/>
  <c r="AD441" i="16"/>
  <c r="AD157" i="16"/>
  <c r="AD192" i="16"/>
  <c r="AD193" i="16"/>
  <c r="AD209" i="16"/>
  <c r="AD217" i="16"/>
  <c r="AD220" i="16"/>
  <c r="AL233" i="16"/>
  <c r="AN233" i="16" s="1"/>
  <c r="AD233" i="16"/>
  <c r="AD237" i="16"/>
  <c r="AD248" i="16"/>
  <c r="AD258" i="16"/>
  <c r="AL300" i="16"/>
  <c r="AN300" i="16" s="1"/>
  <c r="AD301" i="16"/>
  <c r="AD312" i="16"/>
  <c r="AD325" i="16"/>
  <c r="AD330" i="16"/>
  <c r="AD354" i="16"/>
  <c r="AD386" i="16"/>
  <c r="AD417" i="16"/>
  <c r="AD457" i="16"/>
  <c r="AD216" i="16"/>
  <c r="AD230" i="16"/>
  <c r="AL236" i="16"/>
  <c r="AN236" i="16" s="1"/>
  <c r="AD242" i="16"/>
  <c r="AD261" i="16"/>
  <c r="AD274" i="16"/>
  <c r="AD298" i="16"/>
  <c r="AD306" i="16"/>
  <c r="AD308" i="16"/>
  <c r="AD309" i="16"/>
  <c r="AD332" i="16"/>
  <c r="AD333" i="16"/>
  <c r="AD356" i="16"/>
  <c r="O222" i="16"/>
  <c r="AD224" i="16"/>
  <c r="AD244" i="16"/>
  <c r="AD250" i="16"/>
  <c r="AD253" i="16"/>
  <c r="AL273" i="16"/>
  <c r="AN273" i="16" s="1"/>
  <c r="AD273" i="16"/>
  <c r="AD290" i="16"/>
  <c r="AD293" i="16"/>
  <c r="AD341" i="16"/>
  <c r="AD370" i="16"/>
  <c r="AD373" i="16"/>
  <c r="AD449" i="16"/>
  <c r="AD465" i="16"/>
  <c r="AD413" i="16"/>
  <c r="AD439" i="16"/>
  <c r="AD455" i="16"/>
  <c r="AD456" i="16"/>
  <c r="AD378" i="16"/>
  <c r="AD381" i="16"/>
  <c r="AD400" i="16"/>
  <c r="AD408" i="16"/>
  <c r="AD436" i="16"/>
  <c r="AD448" i="16"/>
  <c r="AD452" i="16"/>
  <c r="O472" i="16"/>
  <c r="AD472" i="16"/>
  <c r="AD480" i="16"/>
  <c r="AD554" i="16"/>
  <c r="AD389" i="16"/>
  <c r="AD394" i="16"/>
  <c r="AD397" i="16"/>
  <c r="AD424" i="16"/>
  <c r="AD425" i="16"/>
  <c r="AD433" i="16"/>
  <c r="AD444" i="16"/>
  <c r="AL447" i="16"/>
  <c r="AN447" i="16" s="1"/>
  <c r="AD447" i="16"/>
  <c r="AD460" i="16"/>
  <c r="AD464" i="16"/>
  <c r="AD468" i="16"/>
  <c r="O471" i="16"/>
  <c r="O475" i="16"/>
  <c r="O477" i="16"/>
  <c r="AD479" i="16"/>
  <c r="AD376" i="16"/>
  <c r="O402" i="16"/>
  <c r="AD402" i="16"/>
  <c r="AD405" i="16"/>
  <c r="AD410" i="16"/>
  <c r="O414" i="16"/>
  <c r="O423" i="16"/>
  <c r="AD428" i="16"/>
  <c r="AD437" i="16"/>
  <c r="AD440" i="16"/>
  <c r="AL479" i="16"/>
  <c r="AN479" i="16" s="1"/>
  <c r="AD484" i="16"/>
  <c r="AD529" i="16"/>
  <c r="AD536" i="16"/>
  <c r="AL543" i="16"/>
  <c r="AN543" i="16" s="1"/>
  <c r="AD543" i="16"/>
  <c r="AD552" i="16"/>
  <c r="AD493" i="16"/>
  <c r="AD496" i="16"/>
  <c r="AD500" i="16"/>
  <c r="AD512" i="16"/>
  <c r="AD520" i="16"/>
  <c r="AD525" i="16"/>
  <c r="AD528" i="16"/>
  <c r="AL535" i="16"/>
  <c r="AN535" i="16" s="1"/>
  <c r="AD535" i="16"/>
  <c r="AL495" i="16"/>
  <c r="AN495" i="16" s="1"/>
  <c r="AL511" i="16"/>
  <c r="AN511" i="16" s="1"/>
  <c r="AD511" i="16"/>
  <c r="AD527" i="16"/>
  <c r="AD560" i="16"/>
  <c r="AD568" i="16"/>
  <c r="AD487" i="16"/>
  <c r="AD488" i="16"/>
  <c r="AD492" i="16"/>
  <c r="AD508" i="16"/>
  <c r="O544" i="16"/>
  <c r="AD544" i="16"/>
  <c r="AD559" i="16"/>
  <c r="AL567" i="16"/>
  <c r="AN567" i="16" s="1"/>
  <c r="AD567" i="16"/>
  <c r="AD581" i="16"/>
  <c r="AD582" i="16"/>
  <c r="AL643" i="16"/>
  <c r="AN643" i="16" s="1"/>
  <c r="AD643" i="16"/>
  <c r="AD646" i="16"/>
  <c r="AD620" i="16"/>
  <c r="AD638" i="16"/>
  <c r="AD642" i="16"/>
  <c r="AD650" i="16"/>
  <c r="AD657" i="16"/>
  <c r="AD662" i="16"/>
  <c r="AD670" i="16"/>
  <c r="AD674" i="16"/>
  <c r="AL675" i="16"/>
  <c r="AN675" i="16" s="1"/>
  <c r="AD675" i="16"/>
  <c r="AD578" i="16"/>
  <c r="AD579" i="16"/>
  <c r="AD590" i="16"/>
  <c r="AL595" i="16"/>
  <c r="AN595" i="16" s="1"/>
  <c r="AD595" i="16"/>
  <c r="AD598" i="16"/>
  <c r="AD609" i="16"/>
  <c r="O612" i="16"/>
  <c r="AD625" i="16"/>
  <c r="AD636" i="16"/>
  <c r="AD668" i="16"/>
  <c r="AL585" i="16"/>
  <c r="AN585" i="16" s="1"/>
  <c r="AL611" i="16"/>
  <c r="AN611" i="16" s="1"/>
  <c r="AD611" i="16"/>
  <c r="AD614" i="16"/>
  <c r="AL627" i="16"/>
  <c r="AN627" i="16" s="1"/>
  <c r="AD627" i="16"/>
  <c r="AD630" i="16"/>
  <c r="AD641" i="16"/>
  <c r="AD654" i="16"/>
  <c r="AL659" i="16"/>
  <c r="AN659" i="16" s="1"/>
  <c r="AD659" i="16"/>
  <c r="AL693" i="16"/>
  <c r="AN693" i="16" s="1"/>
  <c r="AL683" i="16"/>
  <c r="AN683" i="16" s="1"/>
  <c r="AL689" i="16"/>
  <c r="AN689" i="16" s="1"/>
  <c r="AL685" i="16"/>
  <c r="AN685" i="16" s="1"/>
  <c r="AL692" i="16"/>
  <c r="AN692" i="16" s="1"/>
  <c r="AL695" i="16"/>
  <c r="AN695" i="16" s="1"/>
  <c r="AL697" i="16"/>
  <c r="AN697" i="16" s="1"/>
  <c r="AL699" i="16"/>
  <c r="AN699" i="16" s="1"/>
  <c r="O685" i="16"/>
  <c r="O127" i="16"/>
  <c r="O187" i="16"/>
  <c r="O252" i="16"/>
  <c r="O253" i="16"/>
  <c r="O254" i="16"/>
  <c r="O255" i="16"/>
  <c r="O396" i="16"/>
  <c r="O496" i="16"/>
  <c r="O536" i="16"/>
  <c r="O537" i="16"/>
  <c r="O626" i="16"/>
  <c r="AL671" i="16"/>
  <c r="AN671" i="16" s="1"/>
  <c r="O149" i="16"/>
  <c r="O175" i="16"/>
  <c r="O178" i="16"/>
  <c r="AL221" i="16"/>
  <c r="AN221" i="16" s="1"/>
  <c r="O338" i="16"/>
  <c r="O360" i="16"/>
  <c r="O454" i="16"/>
  <c r="O482" i="16"/>
  <c r="O644" i="16"/>
  <c r="O660" i="16"/>
  <c r="O124" i="16"/>
  <c r="O389" i="16"/>
  <c r="O460" i="16"/>
  <c r="O504" i="16"/>
  <c r="O515" i="16"/>
  <c r="O529" i="16"/>
  <c r="O547" i="16"/>
  <c r="O561" i="16"/>
  <c r="O387" i="16"/>
  <c r="O179" i="16"/>
  <c r="O181" i="16"/>
  <c r="O257" i="16"/>
  <c r="O259" i="16"/>
  <c r="O260" i="16"/>
  <c r="O261" i="16"/>
  <c r="O312" i="16"/>
  <c r="O622" i="16"/>
  <c r="O216" i="16"/>
  <c r="O370" i="16"/>
  <c r="O384" i="16"/>
  <c r="O388" i="16"/>
  <c r="O408" i="16"/>
  <c r="O478" i="16"/>
  <c r="O551" i="16"/>
  <c r="O552" i="16"/>
  <c r="O580" i="16"/>
  <c r="O130" i="16"/>
  <c r="O154" i="16"/>
  <c r="O173" i="16"/>
  <c r="O185" i="16"/>
  <c r="O251" i="16"/>
  <c r="O272" i="16"/>
  <c r="O363" i="16"/>
  <c r="O365" i="16"/>
  <c r="O366" i="16"/>
  <c r="O380" i="16"/>
  <c r="O440" i="16"/>
  <c r="O441" i="16"/>
  <c r="O456" i="16"/>
  <c r="O459" i="16"/>
  <c r="S459" i="16" s="1"/>
  <c r="T459" i="16" s="1"/>
  <c r="AE459" i="16" s="1"/>
  <c r="O538" i="16"/>
  <c r="O597" i="16"/>
  <c r="O598" i="16"/>
  <c r="O599" i="16"/>
  <c r="AL603" i="16"/>
  <c r="AN603" i="16" s="1"/>
  <c r="O636" i="16"/>
  <c r="O639" i="16"/>
  <c r="O640" i="16"/>
  <c r="O641" i="16"/>
  <c r="O658" i="16"/>
  <c r="O160" i="16"/>
  <c r="O243" i="16"/>
  <c r="O135" i="16"/>
  <c r="O131" i="16"/>
  <c r="O132" i="16"/>
  <c r="O133" i="16"/>
  <c r="O141" i="16"/>
  <c r="O161" i="16"/>
  <c r="O198" i="16"/>
  <c r="O199" i="16"/>
  <c r="O231" i="16"/>
  <c r="O213" i="16"/>
  <c r="AL215" i="16"/>
  <c r="AN215" i="16" s="1"/>
  <c r="O410" i="16"/>
  <c r="O582" i="16"/>
  <c r="AL655" i="16"/>
  <c r="AN655" i="16" s="1"/>
  <c r="O162" i="16"/>
  <c r="AL165" i="16"/>
  <c r="AN165" i="16" s="1"/>
  <c r="AL222" i="16"/>
  <c r="AN222" i="16" s="1"/>
  <c r="O225" i="16"/>
  <c r="O250" i="16"/>
  <c r="AL262" i="16"/>
  <c r="AN262" i="16" s="1"/>
  <c r="O264" i="16"/>
  <c r="O269" i="16"/>
  <c r="O280" i="16"/>
  <c r="O289" i="16"/>
  <c r="O306" i="16"/>
  <c r="O307" i="16"/>
  <c r="O310" i="16"/>
  <c r="O311" i="16"/>
  <c r="O314" i="16"/>
  <c r="O315" i="16"/>
  <c r="O325" i="16"/>
  <c r="O344" i="16"/>
  <c r="O355" i="16"/>
  <c r="O371" i="16"/>
  <c r="O378" i="16"/>
  <c r="O379" i="16"/>
  <c r="O382" i="16"/>
  <c r="O392" i="16"/>
  <c r="O394" i="16"/>
  <c r="O400" i="16"/>
  <c r="O421" i="16"/>
  <c r="AL424" i="16"/>
  <c r="AN424" i="16" s="1"/>
  <c r="O428" i="16"/>
  <c r="O436" i="16"/>
  <c r="O437" i="16"/>
  <c r="O442" i="16"/>
  <c r="O443" i="16"/>
  <c r="O444" i="16"/>
  <c r="O448" i="16"/>
  <c r="O449" i="16"/>
  <c r="AL465" i="16"/>
  <c r="AN465" i="16" s="1"/>
  <c r="O470" i="16"/>
  <c r="O505" i="16"/>
  <c r="O513" i="16"/>
  <c r="O518" i="16"/>
  <c r="O521" i="16"/>
  <c r="O545" i="16"/>
  <c r="O550" i="16"/>
  <c r="O553" i="16"/>
  <c r="O572" i="16"/>
  <c r="O594" i="16"/>
  <c r="O608" i="16"/>
  <c r="O609" i="16"/>
  <c r="AL617" i="16"/>
  <c r="AN617" i="16" s="1"/>
  <c r="O638" i="16"/>
  <c r="O665" i="16"/>
  <c r="O274" i="16"/>
  <c r="O275" i="16"/>
  <c r="O277" i="16"/>
  <c r="O278" i="16"/>
  <c r="O288" i="16"/>
  <c r="O293" i="16"/>
  <c r="O294" i="16"/>
  <c r="O304" i="16"/>
  <c r="O356" i="16"/>
  <c r="O358" i="16"/>
  <c r="O368" i="16"/>
  <c r="AL397" i="16"/>
  <c r="AN397" i="16" s="1"/>
  <c r="O399" i="16"/>
  <c r="O403" i="16"/>
  <c r="O404" i="16"/>
  <c r="O406" i="16"/>
  <c r="O416" i="16"/>
  <c r="O418" i="16"/>
  <c r="O431" i="16"/>
  <c r="O434" i="16"/>
  <c r="O450" i="16"/>
  <c r="O451" i="16"/>
  <c r="O462" i="16"/>
  <c r="O464" i="16"/>
  <c r="O467" i="16"/>
  <c r="O468" i="16"/>
  <c r="O469" i="16"/>
  <c r="AL497" i="16"/>
  <c r="AN497" i="16" s="1"/>
  <c r="O512" i="16"/>
  <c r="O520" i="16"/>
  <c r="O568" i="16"/>
  <c r="O569" i="16"/>
  <c r="O571" i="16"/>
  <c r="AL586" i="16"/>
  <c r="AN586" i="16" s="1"/>
  <c r="O593" i="16"/>
  <c r="O606" i="16"/>
  <c r="O607" i="16"/>
  <c r="O618" i="16"/>
  <c r="O663" i="16"/>
  <c r="O664" i="16"/>
  <c r="AL667" i="16"/>
  <c r="AN667" i="16" s="1"/>
  <c r="AL681" i="16"/>
  <c r="AN681" i="16" s="1"/>
  <c r="AL132" i="16"/>
  <c r="AN132" i="16" s="1"/>
  <c r="O143" i="16"/>
  <c r="O145" i="16"/>
  <c r="O146" i="16"/>
  <c r="O147" i="16"/>
  <c r="O148" i="16"/>
  <c r="O150" i="16"/>
  <c r="O158" i="16"/>
  <c r="O159" i="16"/>
  <c r="O182" i="16"/>
  <c r="O210" i="16"/>
  <c r="O211" i="16"/>
  <c r="O235" i="16"/>
  <c r="O236" i="16"/>
  <c r="O239" i="16"/>
  <c r="O240" i="16"/>
  <c r="O265" i="16"/>
  <c r="O271" i="16"/>
  <c r="O281" i="16"/>
  <c r="O282" i="16"/>
  <c r="O283" i="16"/>
  <c r="O285" i="16"/>
  <c r="AL294" i="16"/>
  <c r="AN294" i="16" s="1"/>
  <c r="O298" i="16"/>
  <c r="O299" i="16"/>
  <c r="O348" i="16"/>
  <c r="O292" i="16"/>
  <c r="O295" i="16"/>
  <c r="O296" i="16"/>
  <c r="O301" i="16"/>
  <c r="O316" i="16"/>
  <c r="O317" i="16"/>
  <c r="O318" i="16"/>
  <c r="O322" i="16"/>
  <c r="O323" i="16"/>
  <c r="AL164" i="16"/>
  <c r="AN164" i="16" s="1"/>
  <c r="AL188" i="16"/>
  <c r="AN188" i="16" s="1"/>
  <c r="O197" i="16"/>
  <c r="O201" i="16"/>
  <c r="AL206" i="16"/>
  <c r="AN206" i="16" s="1"/>
  <c r="O125" i="16"/>
  <c r="O163" i="16"/>
  <c r="O167" i="16"/>
  <c r="AL181" i="16"/>
  <c r="AN181" i="16" s="1"/>
  <c r="O191" i="16"/>
  <c r="AL199" i="16"/>
  <c r="AN199" i="16" s="1"/>
  <c r="O215" i="16"/>
  <c r="O218" i="16"/>
  <c r="O219" i="16"/>
  <c r="O224" i="16"/>
  <c r="O226" i="16"/>
  <c r="AL270" i="16"/>
  <c r="AN270" i="16" s="1"/>
  <c r="AL318" i="16"/>
  <c r="AN318" i="16" s="1"/>
  <c r="O342" i="16"/>
  <c r="O357" i="16"/>
  <c r="O372" i="16"/>
  <c r="O373" i="16"/>
  <c r="AL381" i="16"/>
  <c r="AN381" i="16" s="1"/>
  <c r="O383" i="16"/>
  <c r="O386" i="16"/>
  <c r="O661" i="16"/>
  <c r="O676" i="16"/>
  <c r="O678" i="16"/>
  <c r="O679" i="16"/>
  <c r="AL485" i="16"/>
  <c r="AN485" i="16" s="1"/>
  <c r="O516" i="16"/>
  <c r="O517" i="16"/>
  <c r="O522" i="16"/>
  <c r="AL525" i="16"/>
  <c r="AN525" i="16" s="1"/>
  <c r="AL591" i="16"/>
  <c r="AN591" i="16" s="1"/>
  <c r="O330" i="16"/>
  <c r="O331" i="16"/>
  <c r="AL339" i="16"/>
  <c r="AN339" i="16" s="1"/>
  <c r="O346" i="16"/>
  <c r="O347" i="16"/>
  <c r="O349" i="16"/>
  <c r="O351" i="16"/>
  <c r="O376" i="16"/>
  <c r="O398" i="16"/>
  <c r="AL405" i="16"/>
  <c r="AN405" i="16" s="1"/>
  <c r="O407" i="16"/>
  <c r="O422" i="16"/>
  <c r="O425" i="16"/>
  <c r="AL430" i="16"/>
  <c r="AN430" i="16" s="1"/>
  <c r="AL453" i="16"/>
  <c r="AN453" i="16" s="1"/>
  <c r="AL457" i="16"/>
  <c r="AN457" i="16" s="1"/>
  <c r="O480" i="16"/>
  <c r="O486" i="16"/>
  <c r="O488" i="16"/>
  <c r="O499" i="16"/>
  <c r="O500" i="16"/>
  <c r="O501" i="16"/>
  <c r="O502" i="16"/>
  <c r="O503" i="16"/>
  <c r="O526" i="16"/>
  <c r="O528" i="16"/>
  <c r="O548" i="16"/>
  <c r="O549" i="16"/>
  <c r="O554" i="16"/>
  <c r="AL557" i="16"/>
  <c r="AN557" i="16" s="1"/>
  <c r="O570" i="16"/>
  <c r="O574" i="16"/>
  <c r="O576" i="16"/>
  <c r="AL580" i="16"/>
  <c r="AN580" i="16" s="1"/>
  <c r="AL601" i="16"/>
  <c r="AN601" i="16" s="1"/>
  <c r="O625" i="16"/>
  <c r="O651" i="16"/>
  <c r="O652" i="16"/>
  <c r="AL665" i="16"/>
  <c r="AN665" i="16" s="1"/>
  <c r="O667" i="16"/>
  <c r="O668" i="16"/>
  <c r="O558" i="16"/>
  <c r="O560" i="16"/>
  <c r="O584" i="16"/>
  <c r="AL587" i="16"/>
  <c r="AN587" i="16" s="1"/>
  <c r="O590" i="16"/>
  <c r="O604" i="16"/>
  <c r="O610" i="16"/>
  <c r="O614" i="16"/>
  <c r="O615" i="16"/>
  <c r="AL619" i="16"/>
  <c r="AN619" i="16" s="1"/>
  <c r="O629" i="16"/>
  <c r="O630" i="16"/>
  <c r="O642" i="16"/>
  <c r="O645" i="16"/>
  <c r="O648" i="16"/>
  <c r="O649" i="16"/>
  <c r="O650" i="16"/>
  <c r="O654" i="16"/>
  <c r="O655" i="16"/>
  <c r="O656" i="16"/>
  <c r="O666" i="16"/>
  <c r="O670" i="16"/>
  <c r="AL136" i="16"/>
  <c r="AN136" i="16" s="1"/>
  <c r="AL124" i="16"/>
  <c r="AN124" i="16" s="1"/>
  <c r="AL126" i="16"/>
  <c r="AN126" i="16" s="1"/>
  <c r="AL144" i="16"/>
  <c r="AN144" i="16" s="1"/>
  <c r="AL151" i="16"/>
  <c r="AN151" i="16" s="1"/>
  <c r="O152" i="16"/>
  <c r="AL176" i="16"/>
  <c r="AN176" i="16" s="1"/>
  <c r="AL183" i="16"/>
  <c r="AN183" i="16" s="1"/>
  <c r="O184" i="16"/>
  <c r="AL223" i="16"/>
  <c r="AN223" i="16" s="1"/>
  <c r="AL159" i="16"/>
  <c r="AN159" i="16" s="1"/>
  <c r="AL168" i="16"/>
  <c r="AN168" i="16" s="1"/>
  <c r="AL128" i="16"/>
  <c r="AN128" i="16" s="1"/>
  <c r="AL125" i="16"/>
  <c r="AN125" i="16" s="1"/>
  <c r="AL127" i="16"/>
  <c r="AN127" i="16" s="1"/>
  <c r="O128" i="16"/>
  <c r="O134" i="16"/>
  <c r="AL135" i="16"/>
  <c r="AN135" i="16" s="1"/>
  <c r="O136" i="16"/>
  <c r="AL140" i="16"/>
  <c r="AN140" i="16" s="1"/>
  <c r="AL160" i="16"/>
  <c r="AN160" i="16" s="1"/>
  <c r="O165" i="16"/>
  <c r="O166" i="16"/>
  <c r="AL167" i="16"/>
  <c r="AN167" i="16" s="1"/>
  <c r="O168" i="16"/>
  <c r="O169" i="16"/>
  <c r="AL172" i="16"/>
  <c r="AN172" i="16" s="1"/>
  <c r="O186" i="16"/>
  <c r="O190" i="16"/>
  <c r="AL191" i="16"/>
  <c r="AN191" i="16" s="1"/>
  <c r="O192" i="16"/>
  <c r="O193" i="16"/>
  <c r="O200" i="16"/>
  <c r="O203" i="16"/>
  <c r="O206" i="16"/>
  <c r="O214" i="16"/>
  <c r="O227" i="16"/>
  <c r="O228" i="16"/>
  <c r="AL231" i="16"/>
  <c r="AN231" i="16" s="1"/>
  <c r="O297" i="16"/>
  <c r="AL297" i="16"/>
  <c r="AN297" i="16" s="1"/>
  <c r="O126" i="16"/>
  <c r="O129" i="16"/>
  <c r="O137" i="16"/>
  <c r="O138" i="16"/>
  <c r="O139" i="16"/>
  <c r="O140" i="16"/>
  <c r="O142" i="16"/>
  <c r="AL143" i="16"/>
  <c r="AN143" i="16" s="1"/>
  <c r="O144" i="16"/>
  <c r="AL148" i="16"/>
  <c r="AN148" i="16" s="1"/>
  <c r="O151" i="16"/>
  <c r="O153" i="16"/>
  <c r="AL156" i="16"/>
  <c r="AN156" i="16" s="1"/>
  <c r="O170" i="16"/>
  <c r="O171" i="16"/>
  <c r="O174" i="16"/>
  <c r="AL175" i="16"/>
  <c r="AN175" i="16" s="1"/>
  <c r="O176" i="16"/>
  <c r="O177" i="16"/>
  <c r="AL180" i="16"/>
  <c r="AN180" i="16" s="1"/>
  <c r="O183" i="16"/>
  <c r="AL184" i="16"/>
  <c r="AN184" i="16" s="1"/>
  <c r="O189" i="16"/>
  <c r="O194" i="16"/>
  <c r="O195" i="16"/>
  <c r="O205" i="16"/>
  <c r="O207" i="16"/>
  <c r="AL208" i="16"/>
  <c r="AN208" i="16" s="1"/>
  <c r="O217" i="16"/>
  <c r="O223" i="16"/>
  <c r="O229" i="16"/>
  <c r="AL230" i="16"/>
  <c r="AN230" i="16" s="1"/>
  <c r="O241" i="16"/>
  <c r="AL241" i="16"/>
  <c r="AN241" i="16" s="1"/>
  <c r="AL256" i="16"/>
  <c r="AN256" i="16" s="1"/>
  <c r="AL192" i="16"/>
  <c r="AN192" i="16" s="1"/>
  <c r="O220" i="16"/>
  <c r="AL220" i="16"/>
  <c r="AN220" i="16" s="1"/>
  <c r="O276" i="16"/>
  <c r="AL276" i="16"/>
  <c r="AN276" i="16" s="1"/>
  <c r="O234" i="16"/>
  <c r="O237" i="16"/>
  <c r="O238" i="16"/>
  <c r="AL240" i="16"/>
  <c r="AN240" i="16" s="1"/>
  <c r="O242" i="16"/>
  <c r="O245" i="16"/>
  <c r="O246" i="16"/>
  <c r="O247" i="16"/>
  <c r="O248" i="16"/>
  <c r="AL254" i="16"/>
  <c r="AN254" i="16" s="1"/>
  <c r="O258" i="16"/>
  <c r="O266" i="16"/>
  <c r="AL275" i="16"/>
  <c r="AN275" i="16" s="1"/>
  <c r="O284" i="16"/>
  <c r="O287" i="16"/>
  <c r="O291" i="16"/>
  <c r="AL296" i="16"/>
  <c r="AN296" i="16" s="1"/>
  <c r="O302" i="16"/>
  <c r="AL307" i="16"/>
  <c r="AN307" i="16" s="1"/>
  <c r="O309" i="16"/>
  <c r="O320" i="16"/>
  <c r="O321" i="16"/>
  <c r="O324" i="16"/>
  <c r="O326" i="16"/>
  <c r="O327" i="16"/>
  <c r="O328" i="16"/>
  <c r="O329" i="16"/>
  <c r="O334" i="16"/>
  <c r="O340" i="16"/>
  <c r="AL340" i="16"/>
  <c r="AN340" i="16" s="1"/>
  <c r="O345" i="16"/>
  <c r="O361" i="16"/>
  <c r="AL361" i="16"/>
  <c r="AN361" i="16" s="1"/>
  <c r="O415" i="16"/>
  <c r="AL417" i="16"/>
  <c r="AN417" i="16" s="1"/>
  <c r="O417" i="16"/>
  <c r="AL439" i="16"/>
  <c r="AN439" i="16" s="1"/>
  <c r="O439" i="16"/>
  <c r="AL440" i="16"/>
  <c r="AN440" i="16" s="1"/>
  <c r="AL264" i="16"/>
  <c r="AN264" i="16" s="1"/>
  <c r="AL283" i="16"/>
  <c r="AN283" i="16" s="1"/>
  <c r="O353" i="16"/>
  <c r="AL353" i="16"/>
  <c r="AN353" i="16" s="1"/>
  <c r="AL216" i="16"/>
  <c r="AN216" i="16" s="1"/>
  <c r="O230" i="16"/>
  <c r="AL245" i="16"/>
  <c r="AN245" i="16" s="1"/>
  <c r="AL247" i="16"/>
  <c r="AN247" i="16" s="1"/>
  <c r="AL257" i="16"/>
  <c r="AN257" i="16" s="1"/>
  <c r="AL265" i="16"/>
  <c r="AN265" i="16" s="1"/>
  <c r="AL305" i="16"/>
  <c r="AN305" i="16" s="1"/>
  <c r="AL320" i="16"/>
  <c r="AN320" i="16" s="1"/>
  <c r="AL328" i="16"/>
  <c r="AN328" i="16" s="1"/>
  <c r="O333" i="16"/>
  <c r="O352" i="16"/>
  <c r="AL393" i="16"/>
  <c r="AN393" i="16" s="1"/>
  <c r="O446" i="16"/>
  <c r="O455" i="16"/>
  <c r="AL455" i="16"/>
  <c r="AN455" i="16" s="1"/>
  <c r="AL456" i="16"/>
  <c r="AN456" i="16" s="1"/>
  <c r="O463" i="16"/>
  <c r="AL463" i="16"/>
  <c r="AN463" i="16" s="1"/>
  <c r="AL196" i="16"/>
  <c r="AN196" i="16" s="1"/>
  <c r="AL197" i="16"/>
  <c r="AN197" i="16" s="1"/>
  <c r="O202" i="16"/>
  <c r="O204" i="16"/>
  <c r="AL205" i="16"/>
  <c r="AN205" i="16" s="1"/>
  <c r="AL207" i="16"/>
  <c r="AN207" i="16" s="1"/>
  <c r="O208" i="16"/>
  <c r="O209" i="16"/>
  <c r="AL214" i="16"/>
  <c r="AN214" i="16" s="1"/>
  <c r="O221" i="16"/>
  <c r="AL224" i="16"/>
  <c r="AN224" i="16" s="1"/>
  <c r="AL234" i="16"/>
  <c r="AN234" i="16" s="1"/>
  <c r="AL235" i="16"/>
  <c r="AN235" i="16" s="1"/>
  <c r="O262" i="16"/>
  <c r="O263" i="16"/>
  <c r="O270" i="16"/>
  <c r="O279" i="16"/>
  <c r="AL281" i="16"/>
  <c r="AN281" i="16" s="1"/>
  <c r="O286" i="16"/>
  <c r="AL288" i="16"/>
  <c r="AN288" i="16" s="1"/>
  <c r="AL289" i="16"/>
  <c r="AN289" i="16" s="1"/>
  <c r="O290" i="16"/>
  <c r="O303" i="16"/>
  <c r="O319" i="16"/>
  <c r="AL321" i="16"/>
  <c r="AN321" i="16" s="1"/>
  <c r="AL326" i="16"/>
  <c r="AN326" i="16" s="1"/>
  <c r="AL329" i="16"/>
  <c r="AN329" i="16" s="1"/>
  <c r="O335" i="16"/>
  <c r="O336" i="16"/>
  <c r="O339" i="16"/>
  <c r="AL369" i="16"/>
  <c r="AN369" i="16" s="1"/>
  <c r="O395" i="16"/>
  <c r="O487" i="16"/>
  <c r="AL487" i="16"/>
  <c r="AN487" i="16" s="1"/>
  <c r="O343" i="16"/>
  <c r="AL345" i="16"/>
  <c r="AN345" i="16" s="1"/>
  <c r="O350" i="16"/>
  <c r="AL352" i="16"/>
  <c r="AN352" i="16" s="1"/>
  <c r="O354" i="16"/>
  <c r="O367" i="16"/>
  <c r="AL373" i="16"/>
  <c r="AN373" i="16" s="1"/>
  <c r="O390" i="16"/>
  <c r="O391" i="16"/>
  <c r="AL395" i="16"/>
  <c r="AN395" i="16" s="1"/>
  <c r="O397" i="16"/>
  <c r="AL401" i="16"/>
  <c r="AN401" i="16" s="1"/>
  <c r="O405" i="16"/>
  <c r="AL409" i="16"/>
  <c r="AN409" i="16" s="1"/>
  <c r="O419" i="16"/>
  <c r="O420" i="16"/>
  <c r="O432" i="16"/>
  <c r="O433" i="16"/>
  <c r="AL434" i="16"/>
  <c r="AN434" i="16" s="1"/>
  <c r="AL445" i="16"/>
  <c r="AN445" i="16" s="1"/>
  <c r="O447" i="16"/>
  <c r="O452" i="16"/>
  <c r="O453" i="16"/>
  <c r="O458" i="16"/>
  <c r="AL461" i="16"/>
  <c r="AN461" i="16" s="1"/>
  <c r="O465" i="16"/>
  <c r="O474" i="16"/>
  <c r="O481" i="16"/>
  <c r="AL488" i="16"/>
  <c r="AN488" i="16" s="1"/>
  <c r="O527" i="16"/>
  <c r="AL527" i="16"/>
  <c r="AN527" i="16" s="1"/>
  <c r="AL358" i="16"/>
  <c r="AN358" i="16" s="1"/>
  <c r="AL360" i="16"/>
  <c r="AN360" i="16" s="1"/>
  <c r="AL377" i="16"/>
  <c r="AN377" i="16" s="1"/>
  <c r="AL423" i="16"/>
  <c r="AN423" i="16" s="1"/>
  <c r="O424" i="16"/>
  <c r="AL464" i="16"/>
  <c r="AN464" i="16" s="1"/>
  <c r="AL469" i="16"/>
  <c r="AN469" i="16" s="1"/>
  <c r="AL472" i="16"/>
  <c r="AN472" i="16" s="1"/>
  <c r="O559" i="16"/>
  <c r="AL559" i="16"/>
  <c r="AN559" i="16" s="1"/>
  <c r="AL334" i="16"/>
  <c r="AN334" i="16" s="1"/>
  <c r="O341" i="16"/>
  <c r="AL347" i="16"/>
  <c r="AN347" i="16" s="1"/>
  <c r="O359" i="16"/>
  <c r="O362" i="16"/>
  <c r="O374" i="16"/>
  <c r="O375" i="16"/>
  <c r="AL379" i="16"/>
  <c r="AN379" i="16" s="1"/>
  <c r="O381" i="16"/>
  <c r="AL385" i="16"/>
  <c r="AN385" i="16" s="1"/>
  <c r="AL416" i="16"/>
  <c r="AN416" i="16" s="1"/>
  <c r="AL421" i="16"/>
  <c r="AN421" i="16" s="1"/>
  <c r="O426" i="16"/>
  <c r="O427" i="16"/>
  <c r="O429" i="16"/>
  <c r="AL432" i="16"/>
  <c r="AN432" i="16" s="1"/>
  <c r="O435" i="16"/>
  <c r="O445" i="16"/>
  <c r="AL448" i="16"/>
  <c r="AN448" i="16" s="1"/>
  <c r="O457" i="16"/>
  <c r="O461" i="16"/>
  <c r="O466" i="16"/>
  <c r="AL471" i="16"/>
  <c r="AN471" i="16" s="1"/>
  <c r="AL480" i="16"/>
  <c r="AN480" i="16" s="1"/>
  <c r="O483" i="16"/>
  <c r="O489" i="16"/>
  <c r="O581" i="16"/>
  <c r="AL581" i="16"/>
  <c r="AN581" i="16" s="1"/>
  <c r="AL528" i="16"/>
  <c r="AN528" i="16" s="1"/>
  <c r="AL529" i="16"/>
  <c r="AN529" i="16" s="1"/>
  <c r="AL560" i="16"/>
  <c r="AN560" i="16" s="1"/>
  <c r="AL561" i="16"/>
  <c r="AN561" i="16" s="1"/>
  <c r="AL572" i="16"/>
  <c r="AN572" i="16" s="1"/>
  <c r="AL579" i="16"/>
  <c r="AN579" i="16" s="1"/>
  <c r="O473" i="16"/>
  <c r="O484" i="16"/>
  <c r="O485" i="16"/>
  <c r="O490" i="16"/>
  <c r="AL493" i="16"/>
  <c r="AN493" i="16" s="1"/>
  <c r="O497" i="16"/>
  <c r="O514" i="16"/>
  <c r="AL521" i="16"/>
  <c r="AN521" i="16" s="1"/>
  <c r="O525" i="16"/>
  <c r="AL536" i="16"/>
  <c r="AN536" i="16" s="1"/>
  <c r="AL537" i="16"/>
  <c r="AN537" i="16" s="1"/>
  <c r="O546" i="16"/>
  <c r="AL553" i="16"/>
  <c r="AN553" i="16" s="1"/>
  <c r="O557" i="16"/>
  <c r="AL568" i="16"/>
  <c r="AN568" i="16" s="1"/>
  <c r="AL569" i="16"/>
  <c r="AN569" i="16" s="1"/>
  <c r="AL573" i="16"/>
  <c r="AN573" i="16" s="1"/>
  <c r="AL584" i="16"/>
  <c r="AN584" i="16" s="1"/>
  <c r="O586" i="16"/>
  <c r="O613" i="16"/>
  <c r="AL489" i="16"/>
  <c r="AN489" i="16" s="1"/>
  <c r="O491" i="16"/>
  <c r="O492" i="16"/>
  <c r="AL496" i="16"/>
  <c r="AN496" i="16" s="1"/>
  <c r="AL501" i="16"/>
  <c r="AN501" i="16" s="1"/>
  <c r="AL504" i="16"/>
  <c r="AN504" i="16" s="1"/>
  <c r="O506" i="16"/>
  <c r="AL512" i="16"/>
  <c r="AN512" i="16" s="1"/>
  <c r="AL513" i="16"/>
  <c r="AN513" i="16" s="1"/>
  <c r="AL517" i="16"/>
  <c r="AN517" i="16" s="1"/>
  <c r="AL520" i="16"/>
  <c r="AN520" i="16" s="1"/>
  <c r="AL530" i="16"/>
  <c r="AN530" i="16" s="1"/>
  <c r="O531" i="16"/>
  <c r="O532" i="16"/>
  <c r="O533" i="16"/>
  <c r="O534" i="16"/>
  <c r="O535" i="16"/>
  <c r="AL544" i="16"/>
  <c r="AN544" i="16" s="1"/>
  <c r="AL545" i="16"/>
  <c r="AN545" i="16" s="1"/>
  <c r="AL549" i="16"/>
  <c r="AN549" i="16" s="1"/>
  <c r="AL552" i="16"/>
  <c r="AN552" i="16" s="1"/>
  <c r="AL562" i="16"/>
  <c r="AN562" i="16" s="1"/>
  <c r="O563" i="16"/>
  <c r="O564" i="16"/>
  <c r="O565" i="16"/>
  <c r="O566" i="16"/>
  <c r="O567" i="16"/>
  <c r="O578" i="16"/>
  <c r="O588" i="16"/>
  <c r="O591" i="16"/>
  <c r="O592" i="16"/>
  <c r="O493" i="16"/>
  <c r="O494" i="16"/>
  <c r="O495" i="16"/>
  <c r="O498" i="16"/>
  <c r="AL503" i="16"/>
  <c r="AN503" i="16" s="1"/>
  <c r="O507" i="16"/>
  <c r="O508" i="16"/>
  <c r="O509" i="16"/>
  <c r="O510" i="16"/>
  <c r="AL519" i="16"/>
  <c r="AN519" i="16" s="1"/>
  <c r="O523" i="16"/>
  <c r="O524" i="16"/>
  <c r="O530" i="16"/>
  <c r="AL538" i="16"/>
  <c r="AN538" i="16" s="1"/>
  <c r="O539" i="16"/>
  <c r="O540" i="16"/>
  <c r="O541" i="16"/>
  <c r="O542" i="16"/>
  <c r="AL551" i="16"/>
  <c r="AN551" i="16" s="1"/>
  <c r="O555" i="16"/>
  <c r="O556" i="16"/>
  <c r="O562" i="16"/>
  <c r="O573" i="16"/>
  <c r="AL574" i="16"/>
  <c r="AN574" i="16" s="1"/>
  <c r="O577" i="16"/>
  <c r="O602" i="16"/>
  <c r="O628" i="16"/>
  <c r="AL570" i="16"/>
  <c r="AN570" i="16" s="1"/>
  <c r="O575" i="16"/>
  <c r="AL583" i="16"/>
  <c r="AN583" i="16" s="1"/>
  <c r="O585" i="16"/>
  <c r="O587" i="16"/>
  <c r="AL589" i="16"/>
  <c r="AN589" i="16" s="1"/>
  <c r="AL593" i="16"/>
  <c r="AN593" i="16" s="1"/>
  <c r="AL597" i="16"/>
  <c r="AN597" i="16" s="1"/>
  <c r="O600" i="16"/>
  <c r="O601" i="16"/>
  <c r="O603" i="16"/>
  <c r="AL605" i="16"/>
  <c r="AN605" i="16" s="1"/>
  <c r="AL609" i="16"/>
  <c r="AN609" i="16" s="1"/>
  <c r="AL613" i="16"/>
  <c r="AN613" i="16" s="1"/>
  <c r="O616" i="16"/>
  <c r="O617" i="16"/>
  <c r="O619" i="16"/>
  <c r="AL621" i="16"/>
  <c r="AN621" i="16" s="1"/>
  <c r="AL628" i="16"/>
  <c r="AN628" i="16" s="1"/>
  <c r="O631" i="16"/>
  <c r="AL635" i="16"/>
  <c r="AN635" i="16" s="1"/>
  <c r="AL639" i="16"/>
  <c r="AN639" i="16" s="1"/>
  <c r="O646" i="16"/>
  <c r="AL649" i="16"/>
  <c r="AN649" i="16" s="1"/>
  <c r="O657" i="16"/>
  <c r="O671" i="16"/>
  <c r="O672" i="16"/>
  <c r="AL677" i="16"/>
  <c r="AN677" i="16" s="1"/>
  <c r="O680" i="16"/>
  <c r="O681" i="16"/>
  <c r="O620" i="16"/>
  <c r="O623" i="16"/>
  <c r="O624" i="16"/>
  <c r="AL629" i="16"/>
  <c r="AN629" i="16" s="1"/>
  <c r="O632" i="16"/>
  <c r="O633" i="16"/>
  <c r="O634" i="16"/>
  <c r="O635" i="16"/>
  <c r="AL637" i="16"/>
  <c r="AN637" i="16" s="1"/>
  <c r="AL644" i="16"/>
  <c r="AN644" i="16" s="1"/>
  <c r="O647" i="16"/>
  <c r="AL651" i="16"/>
  <c r="AN651" i="16" s="1"/>
  <c r="O662" i="16"/>
  <c r="O673" i="16"/>
  <c r="O674" i="16"/>
  <c r="O677" i="16"/>
  <c r="AL645" i="16"/>
  <c r="AN645" i="16" s="1"/>
  <c r="AL653" i="16"/>
  <c r="AN653" i="16" s="1"/>
  <c r="AL660" i="16"/>
  <c r="AN660" i="16" s="1"/>
  <c r="AL596" i="16"/>
  <c r="AN596" i="16" s="1"/>
  <c r="AL607" i="16"/>
  <c r="AN607" i="16" s="1"/>
  <c r="AL612" i="16"/>
  <c r="AN612" i="16" s="1"/>
  <c r="AL623" i="16"/>
  <c r="AN623" i="16" s="1"/>
  <c r="AL633" i="16"/>
  <c r="AN633" i="16" s="1"/>
  <c r="AL661" i="16"/>
  <c r="AN661" i="16" s="1"/>
  <c r="AL669" i="16"/>
  <c r="AN669" i="16" s="1"/>
  <c r="AL676" i="16"/>
  <c r="AN676" i="16" s="1"/>
  <c r="AD138" i="16"/>
  <c r="AL138" i="16"/>
  <c r="AN138" i="16" s="1"/>
  <c r="AL145" i="16"/>
  <c r="AN145" i="16" s="1"/>
  <c r="AD232" i="16"/>
  <c r="AL232" i="16"/>
  <c r="AN232" i="16" s="1"/>
  <c r="AD1018" i="16"/>
  <c r="AL1018" i="16"/>
  <c r="AN1018" i="16" s="1"/>
  <c r="AD131" i="16"/>
  <c r="AL131" i="16"/>
  <c r="AN131" i="16" s="1"/>
  <c r="AL134" i="16"/>
  <c r="AN134" i="16" s="1"/>
  <c r="AL141" i="16"/>
  <c r="AN141" i="16" s="1"/>
  <c r="AL147" i="16"/>
  <c r="AN147" i="16" s="1"/>
  <c r="AD147" i="16"/>
  <c r="AL150" i="16"/>
  <c r="AN150" i="16" s="1"/>
  <c r="AD154" i="16"/>
  <c r="AL154" i="16"/>
  <c r="AN154" i="16" s="1"/>
  <c r="AL161" i="16"/>
  <c r="AN161" i="16" s="1"/>
  <c r="O164" i="16"/>
  <c r="AD164" i="16"/>
  <c r="AD167" i="16"/>
  <c r="AD170" i="16"/>
  <c r="AL170" i="16"/>
  <c r="AN170" i="16" s="1"/>
  <c r="AL177" i="16"/>
  <c r="AN177" i="16" s="1"/>
  <c r="O180" i="16"/>
  <c r="AD180" i="16"/>
  <c r="AD183" i="16"/>
  <c r="AD186" i="16"/>
  <c r="AL186" i="16"/>
  <c r="AN186" i="16" s="1"/>
  <c r="AL193" i="16"/>
  <c r="AN193" i="16" s="1"/>
  <c r="O196" i="16"/>
  <c r="AD196" i="16"/>
  <c r="AD199" i="16"/>
  <c r="AD206" i="16"/>
  <c r="AD222" i="16"/>
  <c r="AL229" i="16"/>
  <c r="AN229" i="16" s="1"/>
  <c r="AL330" i="16"/>
  <c r="AN330" i="16" s="1"/>
  <c r="AD126" i="16"/>
  <c r="AL157" i="16"/>
  <c r="AN157" i="16" s="1"/>
  <c r="AD163" i="16"/>
  <c r="AL163" i="16"/>
  <c r="AN163" i="16" s="1"/>
  <c r="AL166" i="16"/>
  <c r="AN166" i="16" s="1"/>
  <c r="AL173" i="16"/>
  <c r="AN173" i="16" s="1"/>
  <c r="AD179" i="16"/>
  <c r="AL179" i="16"/>
  <c r="AN179" i="16" s="1"/>
  <c r="AL182" i="16"/>
  <c r="AN182" i="16" s="1"/>
  <c r="AL189" i="16"/>
  <c r="AN189" i="16" s="1"/>
  <c r="AD195" i="16"/>
  <c r="AL195" i="16"/>
  <c r="AN195" i="16" s="1"/>
  <c r="AL198" i="16"/>
  <c r="AN198" i="16" s="1"/>
  <c r="AD202" i="16"/>
  <c r="AL202" i="16"/>
  <c r="AN202" i="16" s="1"/>
  <c r="AL209" i="16"/>
  <c r="AN209" i="16" s="1"/>
  <c r="O212" i="16"/>
  <c r="AD212" i="16"/>
  <c r="AD215" i="16"/>
  <c r="AD218" i="16"/>
  <c r="AL218" i="16"/>
  <c r="AN218" i="16" s="1"/>
  <c r="AL266" i="16"/>
  <c r="AN266" i="16" s="1"/>
  <c r="AD316" i="16"/>
  <c r="AL316" i="16"/>
  <c r="AN316" i="16" s="1"/>
  <c r="AD211" i="16"/>
  <c r="AL211" i="16"/>
  <c r="AN211" i="16" s="1"/>
  <c r="AL225" i="16"/>
  <c r="AN225" i="16" s="1"/>
  <c r="AD252" i="16"/>
  <c r="AL252" i="16"/>
  <c r="AN252" i="16" s="1"/>
  <c r="AL366" i="16"/>
  <c r="AN366" i="16" s="1"/>
  <c r="AD366" i="16"/>
  <c r="AL371" i="16"/>
  <c r="AN371" i="16" s="1"/>
  <c r="AD371" i="16"/>
  <c r="AL403" i="16"/>
  <c r="AN403" i="16" s="1"/>
  <c r="AD403" i="16"/>
  <c r="AL420" i="16"/>
  <c r="AN420" i="16" s="1"/>
  <c r="AD130" i="16"/>
  <c r="AL130" i="16"/>
  <c r="AN130" i="16" s="1"/>
  <c r="AL137" i="16"/>
  <c r="AN137" i="16" s="1"/>
  <c r="AD140" i="16"/>
  <c r="AD143" i="16"/>
  <c r="AD146" i="16"/>
  <c r="AL146" i="16"/>
  <c r="AN146" i="16" s="1"/>
  <c r="AD205" i="16"/>
  <c r="AD221" i="16"/>
  <c r="AL302" i="16"/>
  <c r="AN302" i="16" s="1"/>
  <c r="AD302" i="16"/>
  <c r="AL315" i="16"/>
  <c r="AN315" i="16" s="1"/>
  <c r="AD315" i="16"/>
  <c r="AD343" i="16"/>
  <c r="AL343" i="16"/>
  <c r="AN343" i="16" s="1"/>
  <c r="AD124" i="16"/>
  <c r="AL133" i="16"/>
  <c r="AN133" i="16" s="1"/>
  <c r="AL139" i="16"/>
  <c r="AN139" i="16" s="1"/>
  <c r="AD139" i="16"/>
  <c r="AL142" i="16"/>
  <c r="AN142" i="16" s="1"/>
  <c r="AL149" i="16"/>
  <c r="AN149" i="16" s="1"/>
  <c r="AL153" i="16"/>
  <c r="AN153" i="16" s="1"/>
  <c r="O156" i="16"/>
  <c r="AD156" i="16"/>
  <c r="AD159" i="16"/>
  <c r="AD162" i="16"/>
  <c r="AL162" i="16"/>
  <c r="AN162" i="16" s="1"/>
  <c r="AL169" i="16"/>
  <c r="AN169" i="16" s="1"/>
  <c r="O172" i="16"/>
  <c r="AD172" i="16"/>
  <c r="AD175" i="16"/>
  <c r="AD178" i="16"/>
  <c r="AL178" i="16"/>
  <c r="AN178" i="16" s="1"/>
  <c r="AL185" i="16"/>
  <c r="AN185" i="16" s="1"/>
  <c r="O188" i="16"/>
  <c r="AD188" i="16"/>
  <c r="AD191" i="16"/>
  <c r="AD194" i="16"/>
  <c r="AL194" i="16"/>
  <c r="AN194" i="16" s="1"/>
  <c r="AD214" i="16"/>
  <c r="AL251" i="16"/>
  <c r="AN251" i="16" s="1"/>
  <c r="AD251" i="16"/>
  <c r="AD279" i="16"/>
  <c r="AL279" i="16"/>
  <c r="AN279" i="16" s="1"/>
  <c r="AL129" i="16"/>
  <c r="AN129" i="16" s="1"/>
  <c r="AD155" i="16"/>
  <c r="AL155" i="16"/>
  <c r="AN155" i="16" s="1"/>
  <c r="AL158" i="16"/>
  <c r="AN158" i="16" s="1"/>
  <c r="AD171" i="16"/>
  <c r="AL171" i="16"/>
  <c r="AN171" i="16" s="1"/>
  <c r="AL174" i="16"/>
  <c r="AN174" i="16" s="1"/>
  <c r="AD187" i="16"/>
  <c r="AL187" i="16"/>
  <c r="AN187" i="16" s="1"/>
  <c r="AL190" i="16"/>
  <c r="AN190" i="16" s="1"/>
  <c r="AL201" i="16"/>
  <c r="AN201" i="16" s="1"/>
  <c r="AD210" i="16"/>
  <c r="AL210" i="16"/>
  <c r="AN210" i="16" s="1"/>
  <c r="AL217" i="16"/>
  <c r="AN217" i="16" s="1"/>
  <c r="AD127" i="16"/>
  <c r="AD165" i="16"/>
  <c r="AD181" i="16"/>
  <c r="AD197" i="16"/>
  <c r="AD203" i="16"/>
  <c r="AL203" i="16"/>
  <c r="AN203" i="16" s="1"/>
  <c r="AL213" i="16"/>
  <c r="AN213" i="16" s="1"/>
  <c r="AD219" i="16"/>
  <c r="AL219" i="16"/>
  <c r="AN219" i="16" s="1"/>
  <c r="AL228" i="16"/>
  <c r="AN228" i="16" s="1"/>
  <c r="AL309" i="16"/>
  <c r="AN309" i="16" s="1"/>
  <c r="AL387" i="16"/>
  <c r="AN387" i="16" s="1"/>
  <c r="AD387" i="16"/>
  <c r="AL258" i="16"/>
  <c r="AN258" i="16" s="1"/>
  <c r="AD271" i="16"/>
  <c r="AL271" i="16"/>
  <c r="AN271" i="16" s="1"/>
  <c r="AL322" i="16"/>
  <c r="AN322" i="16" s="1"/>
  <c r="AD328" i="16"/>
  <c r="AL365" i="16"/>
  <c r="AN365" i="16" s="1"/>
  <c r="AD475" i="16"/>
  <c r="AL475" i="16"/>
  <c r="AN475" i="16" s="1"/>
  <c r="AD245" i="16"/>
  <c r="AL301" i="16"/>
  <c r="AN301" i="16" s="1"/>
  <c r="AD329" i="16"/>
  <c r="AD335" i="16"/>
  <c r="AL335" i="16"/>
  <c r="AN335" i="16" s="1"/>
  <c r="AD406" i="16"/>
  <c r="AL406" i="16"/>
  <c r="AN406" i="16" s="1"/>
  <c r="AD409" i="16"/>
  <c r="AD510" i="16"/>
  <c r="AL510" i="16"/>
  <c r="AN510" i="16" s="1"/>
  <c r="AL238" i="16"/>
  <c r="AN238" i="16" s="1"/>
  <c r="AL248" i="16"/>
  <c r="AN248" i="16" s="1"/>
  <c r="O249" i="16"/>
  <c r="AL250" i="16"/>
  <c r="AN250" i="16" s="1"/>
  <c r="AD256" i="16"/>
  <c r="AD257" i="16"/>
  <c r="AL260" i="16"/>
  <c r="AN260" i="16" s="1"/>
  <c r="AD263" i="16"/>
  <c r="AL263" i="16"/>
  <c r="AN263" i="16" s="1"/>
  <c r="AL286" i="16"/>
  <c r="AN286" i="16" s="1"/>
  <c r="AL293" i="16"/>
  <c r="AN293" i="16" s="1"/>
  <c r="AL299" i="16"/>
  <c r="AN299" i="16" s="1"/>
  <c r="O308" i="16"/>
  <c r="AL312" i="16"/>
  <c r="AN312" i="16" s="1"/>
  <c r="O313" i="16"/>
  <c r="AL314" i="16"/>
  <c r="AN314" i="16" s="1"/>
  <c r="AD320" i="16"/>
  <c r="AD321" i="16"/>
  <c r="AL324" i="16"/>
  <c r="AN324" i="16" s="1"/>
  <c r="AD327" i="16"/>
  <c r="AL327" i="16"/>
  <c r="AN327" i="16" s="1"/>
  <c r="AL350" i="16"/>
  <c r="AN350" i="16" s="1"/>
  <c r="AL357" i="16"/>
  <c r="AN357" i="16" s="1"/>
  <c r="AL363" i="16"/>
  <c r="AN363" i="16" s="1"/>
  <c r="AD374" i="16"/>
  <c r="AL374" i="16"/>
  <c r="AN374" i="16" s="1"/>
  <c r="O377" i="16"/>
  <c r="AD377" i="16"/>
  <c r="AD383" i="16"/>
  <c r="AL383" i="16"/>
  <c r="AN383" i="16" s="1"/>
  <c r="AD390" i="16"/>
  <c r="AL390" i="16"/>
  <c r="AN390" i="16" s="1"/>
  <c r="O393" i="16"/>
  <c r="AD393" i="16"/>
  <c r="AD399" i="16"/>
  <c r="AL399" i="16"/>
  <c r="AN399" i="16" s="1"/>
  <c r="AL408" i="16"/>
  <c r="AN408" i="16" s="1"/>
  <c r="AL414" i="16"/>
  <c r="AN414" i="16" s="1"/>
  <c r="AL429" i="16"/>
  <c r="AN429" i="16" s="1"/>
  <c r="AD432" i="16"/>
  <c r="AD539" i="16"/>
  <c r="AL539" i="16"/>
  <c r="AN539" i="16" s="1"/>
  <c r="AD231" i="16"/>
  <c r="AD264" i="16"/>
  <c r="AD265" i="16"/>
  <c r="AL227" i="16"/>
  <c r="AN227" i="16" s="1"/>
  <c r="O232" i="16"/>
  <c r="O233" i="16"/>
  <c r="AL237" i="16"/>
  <c r="AN237" i="16" s="1"/>
  <c r="AL243" i="16"/>
  <c r="AN243" i="16" s="1"/>
  <c r="O244" i="16"/>
  <c r="AD255" i="16"/>
  <c r="AL255" i="16"/>
  <c r="AN255" i="16" s="1"/>
  <c r="AL278" i="16"/>
  <c r="AN278" i="16" s="1"/>
  <c r="AL285" i="16"/>
  <c r="AN285" i="16" s="1"/>
  <c r="AL291" i="16"/>
  <c r="AN291" i="16" s="1"/>
  <c r="AD294" i="16"/>
  <c r="O300" i="16"/>
  <c r="AL304" i="16"/>
  <c r="AN304" i="16" s="1"/>
  <c r="O305" i="16"/>
  <c r="AL306" i="16"/>
  <c r="AN306" i="16" s="1"/>
  <c r="AD307" i="16"/>
  <c r="AD319" i="16"/>
  <c r="AL319" i="16"/>
  <c r="AN319" i="16" s="1"/>
  <c r="AL342" i="16"/>
  <c r="AN342" i="16" s="1"/>
  <c r="AL349" i="16"/>
  <c r="AN349" i="16" s="1"/>
  <c r="AL355" i="16"/>
  <c r="AN355" i="16" s="1"/>
  <c r="AD358" i="16"/>
  <c r="O364" i="16"/>
  <c r="AL368" i="16"/>
  <c r="AN368" i="16" s="1"/>
  <c r="O369" i="16"/>
  <c r="AL370" i="16"/>
  <c r="AN370" i="16" s="1"/>
  <c r="AL376" i="16"/>
  <c r="AN376" i="16" s="1"/>
  <c r="AL386" i="16"/>
  <c r="AN386" i="16" s="1"/>
  <c r="AL392" i="16"/>
  <c r="AN392" i="16" s="1"/>
  <c r="AL402" i="16"/>
  <c r="AN402" i="16" s="1"/>
  <c r="AL277" i="16"/>
  <c r="AN277" i="16" s="1"/>
  <c r="AL308" i="16"/>
  <c r="AN308" i="16" s="1"/>
  <c r="AD311" i="16"/>
  <c r="AL311" i="16"/>
  <c r="AN311" i="16" s="1"/>
  <c r="AL341" i="16"/>
  <c r="AN341" i="16" s="1"/>
  <c r="AL362" i="16"/>
  <c r="AN362" i="16" s="1"/>
  <c r="AL389" i="16"/>
  <c r="AN389" i="16" s="1"/>
  <c r="AD392" i="16"/>
  <c r="AD423" i="16"/>
  <c r="AD438" i="16"/>
  <c r="AL438" i="16"/>
  <c r="AN438" i="16" s="1"/>
  <c r="AL298" i="16"/>
  <c r="AN298" i="16" s="1"/>
  <c r="AD234" i="16"/>
  <c r="AD247" i="16"/>
  <c r="AL269" i="16"/>
  <c r="AN269" i="16" s="1"/>
  <c r="AD360" i="16"/>
  <c r="AD361" i="16"/>
  <c r="AD367" i="16"/>
  <c r="AL367" i="16"/>
  <c r="AN367" i="16" s="1"/>
  <c r="AD407" i="16"/>
  <c r="AL407" i="16"/>
  <c r="AN407" i="16" s="1"/>
  <c r="AD478" i="16"/>
  <c r="AL478" i="16"/>
  <c r="AN478" i="16" s="1"/>
  <c r="AD507" i="16"/>
  <c r="AL507" i="16"/>
  <c r="AN507" i="16" s="1"/>
  <c r="AD303" i="16"/>
  <c r="AL303" i="16"/>
  <c r="AN303" i="16" s="1"/>
  <c r="AL333" i="16"/>
  <c r="AN333" i="16" s="1"/>
  <c r="AL354" i="16"/>
  <c r="AN354" i="16" s="1"/>
  <c r="AD240" i="16"/>
  <c r="AD241" i="16"/>
  <c r="AL261" i="16"/>
  <c r="AN261" i="16" s="1"/>
  <c r="AL267" i="16"/>
  <c r="AN267" i="16" s="1"/>
  <c r="AD270" i="16"/>
  <c r="AL280" i="16"/>
  <c r="AN280" i="16" s="1"/>
  <c r="AL282" i="16"/>
  <c r="AN282" i="16" s="1"/>
  <c r="AD283" i="16"/>
  <c r="AD288" i="16"/>
  <c r="AD289" i="16"/>
  <c r="AL292" i="16"/>
  <c r="AN292" i="16" s="1"/>
  <c r="AD295" i="16"/>
  <c r="AL295" i="16"/>
  <c r="AN295" i="16" s="1"/>
  <c r="AL325" i="16"/>
  <c r="AN325" i="16" s="1"/>
  <c r="AL331" i="16"/>
  <c r="AN331" i="16" s="1"/>
  <c r="AD334" i="16"/>
  <c r="AL344" i="16"/>
  <c r="AN344" i="16" s="1"/>
  <c r="AL346" i="16"/>
  <c r="AN346" i="16" s="1"/>
  <c r="AD347" i="16"/>
  <c r="AD352" i="16"/>
  <c r="AD353" i="16"/>
  <c r="AL356" i="16"/>
  <c r="AN356" i="16" s="1"/>
  <c r="AD359" i="16"/>
  <c r="AL359" i="16"/>
  <c r="AN359" i="16" s="1"/>
  <c r="AD375" i="16"/>
  <c r="AL375" i="16"/>
  <c r="AN375" i="16" s="1"/>
  <c r="AD379" i="16"/>
  <c r="AD382" i="16"/>
  <c r="AL382" i="16"/>
  <c r="AN382" i="16" s="1"/>
  <c r="O385" i="16"/>
  <c r="AD385" i="16"/>
  <c r="AD391" i="16"/>
  <c r="AL391" i="16"/>
  <c r="AN391" i="16" s="1"/>
  <c r="AD395" i="16"/>
  <c r="AD398" i="16"/>
  <c r="AL398" i="16"/>
  <c r="AN398" i="16" s="1"/>
  <c r="O401" i="16"/>
  <c r="AD401" i="16"/>
  <c r="AL410" i="16"/>
  <c r="AN410" i="16" s="1"/>
  <c r="O413" i="16"/>
  <c r="AL413" i="16"/>
  <c r="AN413" i="16" s="1"/>
  <c r="AD416" i="16"/>
  <c r="AD542" i="16"/>
  <c r="AL542" i="16"/>
  <c r="AN542" i="16" s="1"/>
  <c r="AL571" i="16"/>
  <c r="AN571" i="16" s="1"/>
  <c r="AL226" i="16"/>
  <c r="AN226" i="16" s="1"/>
  <c r="AL242" i="16"/>
  <c r="AN242" i="16" s="1"/>
  <c r="AL290" i="16"/>
  <c r="AN290" i="16" s="1"/>
  <c r="AD296" i="16"/>
  <c r="AD297" i="16"/>
  <c r="AD229" i="16"/>
  <c r="AL239" i="16"/>
  <c r="AN239" i="16" s="1"/>
  <c r="AL246" i="16"/>
  <c r="AN246" i="16" s="1"/>
  <c r="AL253" i="16"/>
  <c r="AN253" i="16" s="1"/>
  <c r="AL259" i="16"/>
  <c r="AN259" i="16" s="1"/>
  <c r="AD262" i="16"/>
  <c r="O268" i="16"/>
  <c r="AL272" i="16"/>
  <c r="AN272" i="16" s="1"/>
  <c r="O273" i="16"/>
  <c r="S273" i="16" s="1"/>
  <c r="T273" i="16" s="1"/>
  <c r="AE273" i="16" s="1"/>
  <c r="AL274" i="16"/>
  <c r="AN274" i="16" s="1"/>
  <c r="AD275" i="16"/>
  <c r="AD280" i="16"/>
  <c r="AD281" i="16"/>
  <c r="AL284" i="16"/>
  <c r="AN284" i="16" s="1"/>
  <c r="AD287" i="16"/>
  <c r="AL287" i="16"/>
  <c r="AN287" i="16" s="1"/>
  <c r="AL310" i="16"/>
  <c r="AN310" i="16" s="1"/>
  <c r="AL317" i="16"/>
  <c r="AN317" i="16" s="1"/>
  <c r="AL323" i="16"/>
  <c r="AN323" i="16" s="1"/>
  <c r="AD326" i="16"/>
  <c r="O332" i="16"/>
  <c r="AL336" i="16"/>
  <c r="AN336" i="16" s="1"/>
  <c r="O337" i="16"/>
  <c r="AL338" i="16"/>
  <c r="AN338" i="16" s="1"/>
  <c r="AD339" i="16"/>
  <c r="AD344" i="16"/>
  <c r="AD345" i="16"/>
  <c r="AL348" i="16"/>
  <c r="AN348" i="16" s="1"/>
  <c r="AD351" i="16"/>
  <c r="AL351" i="16"/>
  <c r="AN351" i="16" s="1"/>
  <c r="AL378" i="16"/>
  <c r="AN378" i="16" s="1"/>
  <c r="AL384" i="16"/>
  <c r="AN384" i="16" s="1"/>
  <c r="AL394" i="16"/>
  <c r="AN394" i="16" s="1"/>
  <c r="AL400" i="16"/>
  <c r="AN400" i="16" s="1"/>
  <c r="AL422" i="16"/>
  <c r="AN422" i="16" s="1"/>
  <c r="AL433" i="16"/>
  <c r="AN433" i="16" s="1"/>
  <c r="AD435" i="16"/>
  <c r="AL435" i="16"/>
  <c r="AN435" i="16" s="1"/>
  <c r="AL436" i="16"/>
  <c r="AN436" i="16" s="1"/>
  <c r="AD445" i="16"/>
  <c r="AD450" i="16"/>
  <c r="AL450" i="16"/>
  <c r="AN450" i="16" s="1"/>
  <c r="AL468" i="16"/>
  <c r="AN468" i="16" s="1"/>
  <c r="AD471" i="16"/>
  <c r="AD482" i="16"/>
  <c r="AL482" i="16"/>
  <c r="AN482" i="16" s="1"/>
  <c r="AL500" i="16"/>
  <c r="AN500" i="16" s="1"/>
  <c r="AD503" i="16"/>
  <c r="O519" i="16"/>
  <c r="AD519" i="16"/>
  <c r="AL533" i="16"/>
  <c r="AN533" i="16" s="1"/>
  <c r="AD551" i="16"/>
  <c r="AL565" i="16"/>
  <c r="AN565" i="16" s="1"/>
  <c r="AL418" i="16"/>
  <c r="AN418" i="16" s="1"/>
  <c r="AD420" i="16"/>
  <c r="AL425" i="16"/>
  <c r="AN425" i="16" s="1"/>
  <c r="AD429" i="16"/>
  <c r="AL431" i="16"/>
  <c r="AN431" i="16" s="1"/>
  <c r="AD443" i="16"/>
  <c r="AL443" i="16"/>
  <c r="AN443" i="16" s="1"/>
  <c r="AL444" i="16"/>
  <c r="AN444" i="16" s="1"/>
  <c r="AL446" i="16"/>
  <c r="AN446" i="16" s="1"/>
  <c r="AD453" i="16"/>
  <c r="AD467" i="16"/>
  <c r="AL467" i="16"/>
  <c r="AN467" i="16" s="1"/>
  <c r="AD470" i="16"/>
  <c r="AL470" i="16"/>
  <c r="AN470" i="16" s="1"/>
  <c r="AD485" i="16"/>
  <c r="AD499" i="16"/>
  <c r="AL499" i="16"/>
  <c r="AN499" i="16" s="1"/>
  <c r="AD502" i="16"/>
  <c r="AL502" i="16"/>
  <c r="AN502" i="16" s="1"/>
  <c r="AD515" i="16"/>
  <c r="AL515" i="16"/>
  <c r="AN515" i="16" s="1"/>
  <c r="AD518" i="16"/>
  <c r="AL518" i="16"/>
  <c r="AN518" i="16" s="1"/>
  <c r="AD547" i="16"/>
  <c r="AL547" i="16"/>
  <c r="AN547" i="16" s="1"/>
  <c r="AD550" i="16"/>
  <c r="AL550" i="16"/>
  <c r="AN550" i="16" s="1"/>
  <c r="AD565" i="16"/>
  <c r="AD728" i="16"/>
  <c r="AL728" i="16"/>
  <c r="AN728" i="16" s="1"/>
  <c r="AL743" i="16"/>
  <c r="AN743" i="16" s="1"/>
  <c r="AD743" i="16"/>
  <c r="AL411" i="16"/>
  <c r="AN411" i="16" s="1"/>
  <c r="AL415" i="16"/>
  <c r="AN415" i="16" s="1"/>
  <c r="AL426" i="16"/>
  <c r="AN426" i="16" s="1"/>
  <c r="AD434" i="16"/>
  <c r="AD442" i="16"/>
  <c r="AL442" i="16"/>
  <c r="AN442" i="16" s="1"/>
  <c r="AL460" i="16"/>
  <c r="AN460" i="16" s="1"/>
  <c r="AD463" i="16"/>
  <c r="AD474" i="16"/>
  <c r="AL474" i="16"/>
  <c r="AN474" i="16" s="1"/>
  <c r="AL477" i="16"/>
  <c r="AN477" i="16" s="1"/>
  <c r="AL492" i="16"/>
  <c r="AN492" i="16" s="1"/>
  <c r="AD495" i="16"/>
  <c r="AD506" i="16"/>
  <c r="AL506" i="16"/>
  <c r="AN506" i="16" s="1"/>
  <c r="AL509" i="16"/>
  <c r="AN509" i="16" s="1"/>
  <c r="AL541" i="16"/>
  <c r="AN541" i="16" s="1"/>
  <c r="AD430" i="16"/>
  <c r="AL449" i="16"/>
  <c r="AN449" i="16" s="1"/>
  <c r="AD459" i="16"/>
  <c r="AL459" i="16"/>
  <c r="AN459" i="16" s="1"/>
  <c r="AD462" i="16"/>
  <c r="AL462" i="16"/>
  <c r="AN462" i="16" s="1"/>
  <c r="AD477" i="16"/>
  <c r="AL481" i="16"/>
  <c r="AN481" i="16" s="1"/>
  <c r="AD491" i="16"/>
  <c r="AL491" i="16"/>
  <c r="AN491" i="16" s="1"/>
  <c r="AD494" i="16"/>
  <c r="AL494" i="16"/>
  <c r="AN494" i="16" s="1"/>
  <c r="AD509" i="16"/>
  <c r="AL514" i="16"/>
  <c r="AN514" i="16" s="1"/>
  <c r="AD523" i="16"/>
  <c r="AL523" i="16"/>
  <c r="AN523" i="16" s="1"/>
  <c r="AD526" i="16"/>
  <c r="AL526" i="16"/>
  <c r="AN526" i="16" s="1"/>
  <c r="AD541" i="16"/>
  <c r="AL546" i="16"/>
  <c r="AN546" i="16" s="1"/>
  <c r="AD555" i="16"/>
  <c r="AL555" i="16"/>
  <c r="AN555" i="16" s="1"/>
  <c r="AD558" i="16"/>
  <c r="AL558" i="16"/>
  <c r="AN558" i="16" s="1"/>
  <c r="AD573" i="16"/>
  <c r="AL372" i="16"/>
  <c r="AN372" i="16" s="1"/>
  <c r="AL380" i="16"/>
  <c r="AN380" i="16" s="1"/>
  <c r="AL388" i="16"/>
  <c r="AN388" i="16" s="1"/>
  <c r="AL396" i="16"/>
  <c r="AN396" i="16" s="1"/>
  <c r="AL404" i="16"/>
  <c r="AN404" i="16" s="1"/>
  <c r="AL419" i="16"/>
  <c r="AN419" i="16" s="1"/>
  <c r="AD427" i="16"/>
  <c r="AL427" i="16"/>
  <c r="AN427" i="16" s="1"/>
  <c r="AL452" i="16"/>
  <c r="AN452" i="16" s="1"/>
  <c r="AD466" i="16"/>
  <c r="AL466" i="16"/>
  <c r="AN466" i="16" s="1"/>
  <c r="AL484" i="16"/>
  <c r="AN484" i="16" s="1"/>
  <c r="AD498" i="16"/>
  <c r="AL498" i="16"/>
  <c r="AN498" i="16" s="1"/>
  <c r="AD887" i="16"/>
  <c r="AL887" i="16"/>
  <c r="AN887" i="16" s="1"/>
  <c r="AL412" i="16"/>
  <c r="AN412" i="16" s="1"/>
  <c r="AL441" i="16"/>
  <c r="AN441" i="16" s="1"/>
  <c r="AD451" i="16"/>
  <c r="AL451" i="16"/>
  <c r="AN451" i="16" s="1"/>
  <c r="AD454" i="16"/>
  <c r="AL454" i="16"/>
  <c r="AN454" i="16" s="1"/>
  <c r="AD469" i="16"/>
  <c r="AL473" i="16"/>
  <c r="AN473" i="16" s="1"/>
  <c r="AD483" i="16"/>
  <c r="AL483" i="16"/>
  <c r="AN483" i="16" s="1"/>
  <c r="AD486" i="16"/>
  <c r="AL486" i="16"/>
  <c r="AN486" i="16" s="1"/>
  <c r="AD501" i="16"/>
  <c r="AL505" i="16"/>
  <c r="AN505" i="16" s="1"/>
  <c r="AD517" i="16"/>
  <c r="AL522" i="16"/>
  <c r="AN522" i="16" s="1"/>
  <c r="AD531" i="16"/>
  <c r="AL531" i="16"/>
  <c r="AN531" i="16" s="1"/>
  <c r="AD534" i="16"/>
  <c r="AL534" i="16"/>
  <c r="AN534" i="16" s="1"/>
  <c r="AD549" i="16"/>
  <c r="AL554" i="16"/>
  <c r="AN554" i="16" s="1"/>
  <c r="AD563" i="16"/>
  <c r="AL563" i="16"/>
  <c r="AN563" i="16" s="1"/>
  <c r="AD566" i="16"/>
  <c r="AL566" i="16"/>
  <c r="AN566" i="16" s="1"/>
  <c r="O412" i="16"/>
  <c r="AD419" i="16"/>
  <c r="AD421" i="16"/>
  <c r="AL428" i="16"/>
  <c r="AN428" i="16" s="1"/>
  <c r="AL437" i="16"/>
  <c r="AN437" i="16" s="1"/>
  <c r="O438" i="16"/>
  <c r="AD458" i="16"/>
  <c r="AL458" i="16"/>
  <c r="AN458" i="16" s="1"/>
  <c r="AL476" i="16"/>
  <c r="AN476" i="16" s="1"/>
  <c r="O479" i="16"/>
  <c r="AD490" i="16"/>
  <c r="AL490" i="16"/>
  <c r="AN490" i="16" s="1"/>
  <c r="AL508" i="16"/>
  <c r="AN508" i="16" s="1"/>
  <c r="O511" i="16"/>
  <c r="O543" i="16"/>
  <c r="AL731" i="16"/>
  <c r="AN731" i="16" s="1"/>
  <c r="AL575" i="16"/>
  <c r="AN575" i="16" s="1"/>
  <c r="AD587" i="16"/>
  <c r="AD603" i="16"/>
  <c r="AD619" i="16"/>
  <c r="AD635" i="16"/>
  <c r="AD651" i="16"/>
  <c r="AD667" i="16"/>
  <c r="AD683" i="16"/>
  <c r="AD695" i="16"/>
  <c r="AF695" i="16" s="1"/>
  <c r="O699" i="16"/>
  <c r="AD699" i="16"/>
  <c r="AD711" i="16"/>
  <c r="O715" i="16"/>
  <c r="AD715" i="16"/>
  <c r="AL734" i="16"/>
  <c r="AN734" i="16" s="1"/>
  <c r="AD737" i="16"/>
  <c r="AF737" i="16" s="1"/>
  <c r="AD740" i="16"/>
  <c r="O747" i="16"/>
  <c r="AD765" i="16"/>
  <c r="AL765" i="16"/>
  <c r="AN765" i="16" s="1"/>
  <c r="AD947" i="16"/>
  <c r="AL947" i="16"/>
  <c r="AN947" i="16" s="1"/>
  <c r="AL576" i="16"/>
  <c r="AN576" i="16" s="1"/>
  <c r="AD580" i="16"/>
  <c r="AD585" i="16"/>
  <c r="AD586" i="16"/>
  <c r="AD592" i="16"/>
  <c r="AL592" i="16"/>
  <c r="AN592" i="16" s="1"/>
  <c r="AL598" i="16"/>
  <c r="AN598" i="16" s="1"/>
  <c r="AL602" i="16"/>
  <c r="AN602" i="16" s="1"/>
  <c r="AD608" i="16"/>
  <c r="AL608" i="16"/>
  <c r="AN608" i="16" s="1"/>
  <c r="AL614" i="16"/>
  <c r="AN614" i="16" s="1"/>
  <c r="AL618" i="16"/>
  <c r="AN618" i="16" s="1"/>
  <c r="AD624" i="16"/>
  <c r="AL624" i="16"/>
  <c r="AN624" i="16" s="1"/>
  <c r="AL630" i="16"/>
  <c r="AN630" i="16" s="1"/>
  <c r="AL634" i="16"/>
  <c r="AN634" i="16" s="1"/>
  <c r="AD640" i="16"/>
  <c r="AL640" i="16"/>
  <c r="AN640" i="16" s="1"/>
  <c r="AL646" i="16"/>
  <c r="AN646" i="16" s="1"/>
  <c r="AL650" i="16"/>
  <c r="AN650" i="16" s="1"/>
  <c r="AD656" i="16"/>
  <c r="AL656" i="16"/>
  <c r="AN656" i="16" s="1"/>
  <c r="AL662" i="16"/>
  <c r="AN662" i="16" s="1"/>
  <c r="AL666" i="16"/>
  <c r="AN666" i="16" s="1"/>
  <c r="AD672" i="16"/>
  <c r="AL672" i="16"/>
  <c r="AN672" i="16" s="1"/>
  <c r="AL678" i="16"/>
  <c r="AN678" i="16" s="1"/>
  <c r="AL682" i="16"/>
  <c r="AN682" i="16" s="1"/>
  <c r="AD688" i="16"/>
  <c r="AL688" i="16"/>
  <c r="AN688" i="16" s="1"/>
  <c r="AL694" i="16"/>
  <c r="AN694" i="16" s="1"/>
  <c r="AL698" i="16"/>
  <c r="AN698" i="16" s="1"/>
  <c r="AD704" i="16"/>
  <c r="AL704" i="16"/>
  <c r="AN704" i="16" s="1"/>
  <c r="AL710" i="16"/>
  <c r="AN710" i="16" s="1"/>
  <c r="AL714" i="16"/>
  <c r="AN714" i="16" s="1"/>
  <c r="AD720" i="16"/>
  <c r="AL720" i="16"/>
  <c r="AN720" i="16" s="1"/>
  <c r="AD727" i="16"/>
  <c r="AL727" i="16"/>
  <c r="AN727" i="16" s="1"/>
  <c r="AD746" i="16"/>
  <c r="AL746" i="16"/>
  <c r="AN746" i="16" s="1"/>
  <c r="AL516" i="16"/>
  <c r="AN516" i="16" s="1"/>
  <c r="AL524" i="16"/>
  <c r="AN524" i="16" s="1"/>
  <c r="AL532" i="16"/>
  <c r="AN532" i="16" s="1"/>
  <c r="AL540" i="16"/>
  <c r="AN540" i="16" s="1"/>
  <c r="AL548" i="16"/>
  <c r="AN548" i="16" s="1"/>
  <c r="AL556" i="16"/>
  <c r="AN556" i="16" s="1"/>
  <c r="AL564" i="16"/>
  <c r="AN564" i="16" s="1"/>
  <c r="AD575" i="16"/>
  <c r="AD736" i="16"/>
  <c r="AL736" i="16"/>
  <c r="AN736" i="16" s="1"/>
  <c r="AL826" i="16"/>
  <c r="AN826" i="16" s="1"/>
  <c r="AD826" i="16"/>
  <c r="AL898" i="16"/>
  <c r="AN898" i="16" s="1"/>
  <c r="AD898" i="16"/>
  <c r="AD576" i="16"/>
  <c r="AL577" i="16"/>
  <c r="AN577" i="16" s="1"/>
  <c r="AD596" i="16"/>
  <c r="AD597" i="16"/>
  <c r="AD601" i="16"/>
  <c r="AD612" i="16"/>
  <c r="AD613" i="16"/>
  <c r="AD617" i="16"/>
  <c r="AD628" i="16"/>
  <c r="AD629" i="16"/>
  <c r="AD633" i="16"/>
  <c r="AD644" i="16"/>
  <c r="AD645" i="16"/>
  <c r="AD649" i="16"/>
  <c r="AD660" i="16"/>
  <c r="AD661" i="16"/>
  <c r="AD665" i="16"/>
  <c r="AD676" i="16"/>
  <c r="AD677" i="16"/>
  <c r="AD681" i="16"/>
  <c r="AD692" i="16"/>
  <c r="AD693" i="16"/>
  <c r="AD697" i="16"/>
  <c r="AD708" i="16"/>
  <c r="AD709" i="16"/>
  <c r="AD713" i="16"/>
  <c r="AL905" i="16"/>
  <c r="AN905" i="16" s="1"/>
  <c r="AD570" i="16"/>
  <c r="AL578" i="16"/>
  <c r="AN578" i="16" s="1"/>
  <c r="AD583" i="16"/>
  <c r="AD584" i="16"/>
  <c r="AD591" i="16"/>
  <c r="O595" i="16"/>
  <c r="AD607" i="16"/>
  <c r="O611" i="16"/>
  <c r="AD623" i="16"/>
  <c r="O627" i="16"/>
  <c r="AD639" i="16"/>
  <c r="O643" i="16"/>
  <c r="AD655" i="16"/>
  <c r="O659" i="16"/>
  <c r="AD671" i="16"/>
  <c r="O675" i="16"/>
  <c r="AD687" i="16"/>
  <c r="O691" i="16"/>
  <c r="AD703" i="16"/>
  <c r="O707" i="16"/>
  <c r="AD719" i="16"/>
  <c r="O723" i="16"/>
  <c r="S723" i="16" s="1"/>
  <c r="AL729" i="16"/>
  <c r="AN729" i="16" s="1"/>
  <c r="AD735" i="16"/>
  <c r="AL735" i="16"/>
  <c r="AN735" i="16" s="1"/>
  <c r="AL738" i="16"/>
  <c r="AN738" i="16" s="1"/>
  <c r="AL745" i="16"/>
  <c r="AN745" i="16" s="1"/>
  <c r="AL786" i="16"/>
  <c r="AN786" i="16" s="1"/>
  <c r="AD786" i="16"/>
  <c r="AL590" i="16"/>
  <c r="AN590" i="16" s="1"/>
  <c r="AL594" i="16"/>
  <c r="AN594" i="16" s="1"/>
  <c r="AD600" i="16"/>
  <c r="AL600" i="16"/>
  <c r="AN600" i="16" s="1"/>
  <c r="AL606" i="16"/>
  <c r="AN606" i="16" s="1"/>
  <c r="AL610" i="16"/>
  <c r="AN610" i="16" s="1"/>
  <c r="AD616" i="16"/>
  <c r="AL616" i="16"/>
  <c r="AN616" i="16" s="1"/>
  <c r="AL622" i="16"/>
  <c r="AN622" i="16" s="1"/>
  <c r="AL626" i="16"/>
  <c r="AN626" i="16" s="1"/>
  <c r="AD632" i="16"/>
  <c r="AL632" i="16"/>
  <c r="AN632" i="16" s="1"/>
  <c r="AL638" i="16"/>
  <c r="AN638" i="16" s="1"/>
  <c r="AL642" i="16"/>
  <c r="AN642" i="16" s="1"/>
  <c r="AD648" i="16"/>
  <c r="AL648" i="16"/>
  <c r="AN648" i="16" s="1"/>
  <c r="AL654" i="16"/>
  <c r="AN654" i="16" s="1"/>
  <c r="AL658" i="16"/>
  <c r="AN658" i="16" s="1"/>
  <c r="AD664" i="16"/>
  <c r="AL664" i="16"/>
  <c r="AN664" i="16" s="1"/>
  <c r="AL670" i="16"/>
  <c r="AN670" i="16" s="1"/>
  <c r="AL674" i="16"/>
  <c r="AN674" i="16" s="1"/>
  <c r="AD680" i="16"/>
  <c r="AL680" i="16"/>
  <c r="AN680" i="16" s="1"/>
  <c r="AL686" i="16"/>
  <c r="AN686" i="16" s="1"/>
  <c r="AL690" i="16"/>
  <c r="AN690" i="16" s="1"/>
  <c r="AD696" i="16"/>
  <c r="AL696" i="16"/>
  <c r="AN696" i="16" s="1"/>
  <c r="AL702" i="16"/>
  <c r="AN702" i="16" s="1"/>
  <c r="AL706" i="16"/>
  <c r="AN706" i="16" s="1"/>
  <c r="AD712" i="16"/>
  <c r="AL712" i="16"/>
  <c r="AN712" i="16" s="1"/>
  <c r="AL718" i="16"/>
  <c r="AN718" i="16" s="1"/>
  <c r="AL722" i="16"/>
  <c r="AN722" i="16" s="1"/>
  <c r="AL726" i="16"/>
  <c r="AN726" i="16" s="1"/>
  <c r="AL858" i="16"/>
  <c r="AN858" i="16" s="1"/>
  <c r="AD858" i="16"/>
  <c r="O579" i="16"/>
  <c r="AL588" i="16"/>
  <c r="AN588" i="16" s="1"/>
  <c r="O589" i="16"/>
  <c r="AL599" i="16"/>
  <c r="AN599" i="16" s="1"/>
  <c r="AL604" i="16"/>
  <c r="AN604" i="16" s="1"/>
  <c r="O605" i="16"/>
  <c r="S605" i="16" s="1"/>
  <c r="T605" i="16" s="1"/>
  <c r="AE605" i="16" s="1"/>
  <c r="AL615" i="16"/>
  <c r="AN615" i="16" s="1"/>
  <c r="AL620" i="16"/>
  <c r="AN620" i="16" s="1"/>
  <c r="O621" i="16"/>
  <c r="AL625" i="16"/>
  <c r="AN625" i="16" s="1"/>
  <c r="AL631" i="16"/>
  <c r="AN631" i="16" s="1"/>
  <c r="AL636" i="16"/>
  <c r="AN636" i="16" s="1"/>
  <c r="O637" i="16"/>
  <c r="AL641" i="16"/>
  <c r="AN641" i="16" s="1"/>
  <c r="AL647" i="16"/>
  <c r="AN647" i="16" s="1"/>
  <c r="AL652" i="16"/>
  <c r="AN652" i="16" s="1"/>
  <c r="O653" i="16"/>
  <c r="AL657" i="16"/>
  <c r="AN657" i="16" s="1"/>
  <c r="AL663" i="16"/>
  <c r="AN663" i="16" s="1"/>
  <c r="AL668" i="16"/>
  <c r="AN668" i="16" s="1"/>
  <c r="O669" i="16"/>
  <c r="AL673" i="16"/>
  <c r="AN673" i="16" s="1"/>
  <c r="AL679" i="16"/>
  <c r="AN679" i="16" s="1"/>
  <c r="AL684" i="16"/>
  <c r="AN684" i="16" s="1"/>
  <c r="AL700" i="16"/>
  <c r="AN700" i="16" s="1"/>
  <c r="O701" i="16"/>
  <c r="AL716" i="16"/>
  <c r="AN716" i="16" s="1"/>
  <c r="O717" i="16"/>
  <c r="AD745" i="16"/>
  <c r="AD751" i="16"/>
  <c r="AD758" i="16"/>
  <c r="AD764" i="16"/>
  <c r="AL785" i="16"/>
  <c r="AN785" i="16" s="1"/>
  <c r="AL789" i="16"/>
  <c r="AN789" i="16" s="1"/>
  <c r="AD794" i="16"/>
  <c r="AD800" i="16"/>
  <c r="AD807" i="16"/>
  <c r="AL825" i="16"/>
  <c r="AN825" i="16" s="1"/>
  <c r="O832" i="16"/>
  <c r="AD832" i="16"/>
  <c r="AL838" i="16"/>
  <c r="AN838" i="16" s="1"/>
  <c r="AD839" i="16"/>
  <c r="O845" i="16"/>
  <c r="AL857" i="16"/>
  <c r="AN857" i="16" s="1"/>
  <c r="AD864" i="16"/>
  <c r="AD870" i="16"/>
  <c r="AD876" i="16"/>
  <c r="AD894" i="16"/>
  <c r="AD923" i="16"/>
  <c r="AL923" i="16"/>
  <c r="AN923" i="16" s="1"/>
  <c r="O1099" i="16"/>
  <c r="S1099" i="16" s="1"/>
  <c r="T1099" i="16" s="1"/>
  <c r="AE1099" i="16" s="1"/>
  <c r="AL1099" i="16"/>
  <c r="AN1099" i="16" s="1"/>
  <c r="AD748" i="16"/>
  <c r="AD750" i="16"/>
  <c r="AD756" i="16"/>
  <c r="AL777" i="16"/>
  <c r="AN777" i="16" s="1"/>
  <c r="AL781" i="16"/>
  <c r="AN781" i="16" s="1"/>
  <c r="AD792" i="16"/>
  <c r="AD806" i="16"/>
  <c r="AD812" i="16"/>
  <c r="AL821" i="16"/>
  <c r="AN821" i="16" s="1"/>
  <c r="AL853" i="16"/>
  <c r="AN853" i="16" s="1"/>
  <c r="AL877" i="16"/>
  <c r="AN877" i="16" s="1"/>
  <c r="AL881" i="16"/>
  <c r="AN881" i="16" s="1"/>
  <c r="AD903" i="16"/>
  <c r="AL903" i="16"/>
  <c r="AN903" i="16" s="1"/>
  <c r="AD904" i="16"/>
  <c r="AD911" i="16"/>
  <c r="AL911" i="16"/>
  <c r="AN911" i="16" s="1"/>
  <c r="AL769" i="16"/>
  <c r="AN769" i="16" s="1"/>
  <c r="AL773" i="16"/>
  <c r="AN773" i="16" s="1"/>
  <c r="AD778" i="16"/>
  <c r="AL783" i="16"/>
  <c r="AN783" i="16" s="1"/>
  <c r="AD784" i="16"/>
  <c r="AD799" i="16"/>
  <c r="AL804" i="16"/>
  <c r="AN804" i="16" s="1"/>
  <c r="AL817" i="16"/>
  <c r="AN817" i="16" s="1"/>
  <c r="AL823" i="16"/>
  <c r="AN823" i="16" s="1"/>
  <c r="AD824" i="16"/>
  <c r="AD831" i="16"/>
  <c r="AL836" i="16"/>
  <c r="AN836" i="16" s="1"/>
  <c r="AL849" i="16"/>
  <c r="AN849" i="16" s="1"/>
  <c r="AL855" i="16"/>
  <c r="AN855" i="16" s="1"/>
  <c r="AD856" i="16"/>
  <c r="AD863" i="16"/>
  <c r="AL868" i="16"/>
  <c r="AN868" i="16" s="1"/>
  <c r="AL879" i="16"/>
  <c r="AN879" i="16" s="1"/>
  <c r="AD882" i="16"/>
  <c r="AL897" i="16"/>
  <c r="AN897" i="16" s="1"/>
  <c r="AL946" i="16"/>
  <c r="AN946" i="16" s="1"/>
  <c r="AD946" i="16"/>
  <c r="AD971" i="16"/>
  <c r="AL971" i="16"/>
  <c r="AN971" i="16" s="1"/>
  <c r="AL990" i="16"/>
  <c r="AN990" i="16" s="1"/>
  <c r="AD990" i="16"/>
  <c r="AL761" i="16"/>
  <c r="AN761" i="16" s="1"/>
  <c r="AD770" i="16"/>
  <c r="AL775" i="16"/>
  <c r="AN775" i="16" s="1"/>
  <c r="O776" i="16"/>
  <c r="AD776" i="16"/>
  <c r="AL790" i="16"/>
  <c r="AN790" i="16" s="1"/>
  <c r="AD791" i="16"/>
  <c r="AL796" i="16"/>
  <c r="AN796" i="16" s="1"/>
  <c r="O797" i="16"/>
  <c r="AD798" i="16"/>
  <c r="AD804" i="16"/>
  <c r="AL813" i="16"/>
  <c r="AN813" i="16" s="1"/>
  <c r="AD818" i="16"/>
  <c r="AD830" i="16"/>
  <c r="AD836" i="16"/>
  <c r="AL845" i="16"/>
  <c r="AN845" i="16" s="1"/>
  <c r="AD850" i="16"/>
  <c r="AD862" i="16"/>
  <c r="AD868" i="16"/>
  <c r="AL873" i="16"/>
  <c r="AN873" i="16" s="1"/>
  <c r="AD880" i="16"/>
  <c r="AD886" i="16"/>
  <c r="AD900" i="16"/>
  <c r="AL742" i="16"/>
  <c r="AN742" i="16" s="1"/>
  <c r="O744" i="16"/>
  <c r="AL753" i="16"/>
  <c r="AN753" i="16" s="1"/>
  <c r="O768" i="16"/>
  <c r="AL782" i="16"/>
  <c r="AN782" i="16" s="1"/>
  <c r="O789" i="16"/>
  <c r="AL809" i="16"/>
  <c r="AN809" i="16" s="1"/>
  <c r="O816" i="16"/>
  <c r="AL822" i="16"/>
  <c r="AN822" i="16" s="1"/>
  <c r="O829" i="16"/>
  <c r="AL841" i="16"/>
  <c r="AN841" i="16" s="1"/>
  <c r="AL854" i="16"/>
  <c r="AN854" i="16" s="1"/>
  <c r="O861" i="16"/>
  <c r="AL878" i="16"/>
  <c r="AN878" i="16" s="1"/>
  <c r="O885" i="16"/>
  <c r="AD895" i="16"/>
  <c r="AL895" i="16"/>
  <c r="AN895" i="16" s="1"/>
  <c r="AL902" i="16"/>
  <c r="AN902" i="16" s="1"/>
  <c r="AD995" i="16"/>
  <c r="AL995" i="16"/>
  <c r="AN995" i="16" s="1"/>
  <c r="AL1021" i="16"/>
  <c r="AN1021" i="16" s="1"/>
  <c r="AD1021" i="16"/>
  <c r="AL759" i="16"/>
  <c r="AN759" i="16" s="1"/>
  <c r="AL780" i="16"/>
  <c r="AN780" i="16" s="1"/>
  <c r="AL871" i="16"/>
  <c r="AN871" i="16" s="1"/>
  <c r="AL884" i="16"/>
  <c r="AN884" i="16" s="1"/>
  <c r="AL889" i="16"/>
  <c r="AN889" i="16" s="1"/>
  <c r="AD939" i="16"/>
  <c r="AL939" i="16"/>
  <c r="AN939" i="16" s="1"/>
  <c r="O979" i="16"/>
  <c r="AL979" i="16"/>
  <c r="AN979" i="16" s="1"/>
  <c r="O752" i="16"/>
  <c r="S752" i="16" s="1"/>
  <c r="T752" i="16" s="1"/>
  <c r="AE752" i="16" s="1"/>
  <c r="AD752" i="16"/>
  <c r="AL766" i="16"/>
  <c r="AN766" i="16" s="1"/>
  <c r="AD767" i="16"/>
  <c r="O773" i="16"/>
  <c r="AD774" i="16"/>
  <c r="AD780" i="16"/>
  <c r="AL801" i="16"/>
  <c r="AN801" i="16" s="1"/>
  <c r="O808" i="16"/>
  <c r="AD808" i="16"/>
  <c r="AL814" i="16"/>
  <c r="AN814" i="16" s="1"/>
  <c r="AD815" i="16"/>
  <c r="O821" i="16"/>
  <c r="AL833" i="16"/>
  <c r="AN833" i="16" s="1"/>
  <c r="AD840" i="16"/>
  <c r="AL846" i="16"/>
  <c r="AN846" i="16" s="1"/>
  <c r="AD847" i="16"/>
  <c r="O853" i="16"/>
  <c r="AL865" i="16"/>
  <c r="AN865" i="16" s="1"/>
  <c r="O877" i="16"/>
  <c r="AD884" i="16"/>
  <c r="AD892" i="16"/>
  <c r="AD906" i="16"/>
  <c r="AD915" i="16"/>
  <c r="AL942" i="16"/>
  <c r="AN942" i="16" s="1"/>
  <c r="AD942" i="16"/>
  <c r="AD955" i="16"/>
  <c r="AF955" i="16" s="1"/>
  <c r="AL955" i="16"/>
  <c r="AN955" i="16" s="1"/>
  <c r="AL981" i="16"/>
  <c r="AN981" i="16" s="1"/>
  <c r="AD1050" i="16"/>
  <c r="AL1050" i="16"/>
  <c r="AN1050" i="16" s="1"/>
  <c r="AD1074" i="16"/>
  <c r="AL1074" i="16"/>
  <c r="AN1074" i="16" s="1"/>
  <c r="AD916" i="16"/>
  <c r="AD919" i="16"/>
  <c r="AF919" i="16" s="1"/>
  <c r="AL919" i="16"/>
  <c r="AN919" i="16" s="1"/>
  <c r="AL941" i="16"/>
  <c r="AN941" i="16" s="1"/>
  <c r="AD944" i="16"/>
  <c r="AL945" i="16"/>
  <c r="AN945" i="16" s="1"/>
  <c r="AD951" i="16"/>
  <c r="AL951" i="16"/>
  <c r="AN951" i="16" s="1"/>
  <c r="AD1001" i="16"/>
  <c r="AD1007" i="16"/>
  <c r="AD1027" i="16"/>
  <c r="AD1041" i="16"/>
  <c r="AD1059" i="16"/>
  <c r="AD1065" i="16"/>
  <c r="AD1098" i="16"/>
  <c r="AL1098" i="16"/>
  <c r="AN1098" i="16" s="1"/>
  <c r="AD1108" i="16"/>
  <c r="O1114" i="16"/>
  <c r="AL1114" i="16"/>
  <c r="AN1114" i="16" s="1"/>
  <c r="AD1162" i="16"/>
  <c r="AL1162" i="16"/>
  <c r="AN1162" i="16" s="1"/>
  <c r="AD1202" i="16"/>
  <c r="AL1202" i="16"/>
  <c r="AN1202" i="16" s="1"/>
  <c r="O1239" i="16"/>
  <c r="S1239" i="16" s="1"/>
  <c r="AL1239" i="16"/>
  <c r="AN1239" i="16" s="1"/>
  <c r="O912" i="16"/>
  <c r="AL917" i="16"/>
  <c r="AN917" i="16" s="1"/>
  <c r="AL918" i="16"/>
  <c r="AN918" i="16" s="1"/>
  <c r="O920" i="16"/>
  <c r="AL922" i="16"/>
  <c r="AN922" i="16" s="1"/>
  <c r="AD948" i="16"/>
  <c r="AL950" i="16"/>
  <c r="AN950" i="16" s="1"/>
  <c r="O952" i="16"/>
  <c r="AL954" i="16"/>
  <c r="AN954" i="16" s="1"/>
  <c r="AL989" i="16"/>
  <c r="AN989" i="16" s="1"/>
  <c r="AL1004" i="16"/>
  <c r="AN1004" i="16" s="1"/>
  <c r="AD1015" i="16"/>
  <c r="AD1026" i="16"/>
  <c r="AL1026" i="16"/>
  <c r="AN1026" i="16" s="1"/>
  <c r="AL1032" i="16"/>
  <c r="AN1032" i="16" s="1"/>
  <c r="O1035" i="16"/>
  <c r="AD1035" i="16"/>
  <c r="AD1044" i="16"/>
  <c r="AD1047" i="16"/>
  <c r="AD1068" i="16"/>
  <c r="AD1071" i="16"/>
  <c r="O1083" i="16"/>
  <c r="AD1083" i="16"/>
  <c r="AL1086" i="16"/>
  <c r="AN1086" i="16" s="1"/>
  <c r="AD1089" i="16"/>
  <c r="AD1122" i="16"/>
  <c r="AL1122" i="16"/>
  <c r="AN1122" i="16" s="1"/>
  <c r="AL893" i="16"/>
  <c r="AN893" i="16" s="1"/>
  <c r="AL901" i="16"/>
  <c r="AN901" i="16" s="1"/>
  <c r="AD912" i="16"/>
  <c r="AD927" i="16"/>
  <c r="AL927" i="16"/>
  <c r="AN927" i="16" s="1"/>
  <c r="AD959" i="16"/>
  <c r="AL959" i="16"/>
  <c r="AN959" i="16" s="1"/>
  <c r="AD994" i="16"/>
  <c r="AL994" i="16"/>
  <c r="AN994" i="16" s="1"/>
  <c r="AD1034" i="16"/>
  <c r="AL1034" i="16"/>
  <c r="AN1034" i="16" s="1"/>
  <c r="AD1058" i="16"/>
  <c r="AL1058" i="16"/>
  <c r="AN1058" i="16" s="1"/>
  <c r="AD1082" i="16"/>
  <c r="AL1082" i="16"/>
  <c r="AN1082" i="16" s="1"/>
  <c r="AD1092" i="16"/>
  <c r="AD1095" i="16"/>
  <c r="O1107" i="16"/>
  <c r="AD1107" i="16"/>
  <c r="AL1110" i="16"/>
  <c r="AN1110" i="16" s="1"/>
  <c r="AD924" i="16"/>
  <c r="O928" i="16"/>
  <c r="AL930" i="16"/>
  <c r="AN930" i="16" s="1"/>
  <c r="AD956" i="16"/>
  <c r="O960" i="16"/>
  <c r="AL962" i="16"/>
  <c r="AN962" i="16" s="1"/>
  <c r="AD986" i="16"/>
  <c r="AL986" i="16"/>
  <c r="AN986" i="16" s="1"/>
  <c r="O987" i="16"/>
  <c r="S987" i="16" s="1"/>
  <c r="AD988" i="16"/>
  <c r="AL1000" i="16"/>
  <c r="AN1000" i="16" s="1"/>
  <c r="O1003" i="16"/>
  <c r="AD1003" i="16"/>
  <c r="AD1006" i="16"/>
  <c r="AD1012" i="16"/>
  <c r="AD1017" i="16"/>
  <c r="AL1020" i="16"/>
  <c r="AN1020" i="16" s="1"/>
  <c r="AD1023" i="16"/>
  <c r="AD1029" i="16"/>
  <c r="O1043" i="16"/>
  <c r="AD1043" i="16"/>
  <c r="AL1046" i="16"/>
  <c r="AN1046" i="16" s="1"/>
  <c r="AD1049" i="16"/>
  <c r="AL1052" i="16"/>
  <c r="AN1052" i="16" s="1"/>
  <c r="O1067" i="16"/>
  <c r="AD1067" i="16"/>
  <c r="AL1070" i="16"/>
  <c r="AN1070" i="16" s="1"/>
  <c r="AD1073" i="16"/>
  <c r="AL1076" i="16"/>
  <c r="AN1076" i="16" s="1"/>
  <c r="AD1106" i="16"/>
  <c r="AL1106" i="16"/>
  <c r="AN1106" i="16" s="1"/>
  <c r="AL755" i="16"/>
  <c r="AN755" i="16" s="1"/>
  <c r="AL763" i="16"/>
  <c r="AN763" i="16" s="1"/>
  <c r="AL771" i="16"/>
  <c r="AN771" i="16" s="1"/>
  <c r="AL779" i="16"/>
  <c r="AN779" i="16" s="1"/>
  <c r="AL787" i="16"/>
  <c r="AN787" i="16" s="1"/>
  <c r="AL795" i="16"/>
  <c r="AN795" i="16" s="1"/>
  <c r="AL803" i="16"/>
  <c r="AN803" i="16" s="1"/>
  <c r="AL811" i="16"/>
  <c r="AN811" i="16" s="1"/>
  <c r="AL819" i="16"/>
  <c r="AN819" i="16" s="1"/>
  <c r="AL827" i="16"/>
  <c r="AN827" i="16" s="1"/>
  <c r="AL835" i="16"/>
  <c r="AN835" i="16" s="1"/>
  <c r="AL843" i="16"/>
  <c r="AN843" i="16" s="1"/>
  <c r="AL851" i="16"/>
  <c r="AN851" i="16" s="1"/>
  <c r="AL859" i="16"/>
  <c r="AN859" i="16" s="1"/>
  <c r="AL867" i="16"/>
  <c r="AN867" i="16" s="1"/>
  <c r="AL875" i="16"/>
  <c r="AN875" i="16" s="1"/>
  <c r="AL883" i="16"/>
  <c r="AN883" i="16" s="1"/>
  <c r="AL891" i="16"/>
  <c r="AN891" i="16" s="1"/>
  <c r="AL899" i="16"/>
  <c r="AN899" i="16" s="1"/>
  <c r="AL907" i="16"/>
  <c r="AN907" i="16" s="1"/>
  <c r="AL914" i="16"/>
  <c r="AN914" i="16" s="1"/>
  <c r="AD935" i="16"/>
  <c r="AL935" i="16"/>
  <c r="AN935" i="16" s="1"/>
  <c r="AD967" i="16"/>
  <c r="AL967" i="16"/>
  <c r="AN967" i="16" s="1"/>
  <c r="AL993" i="16"/>
  <c r="AN993" i="16" s="1"/>
  <c r="AD1002" i="16"/>
  <c r="AL1002" i="16"/>
  <c r="AN1002" i="16" s="1"/>
  <c r="AD1037" i="16"/>
  <c r="AD1042" i="16"/>
  <c r="AL1042" i="16"/>
  <c r="AN1042" i="16" s="1"/>
  <c r="AD1061" i="16"/>
  <c r="AD1066" i="16"/>
  <c r="AL1066" i="16"/>
  <c r="AN1066" i="16" s="1"/>
  <c r="O1178" i="16"/>
  <c r="AL1178" i="16"/>
  <c r="AN1178" i="16" s="1"/>
  <c r="O1233" i="16"/>
  <c r="AL1233" i="16"/>
  <c r="AN1233" i="16" s="1"/>
  <c r="AL909" i="16"/>
  <c r="AN909" i="16" s="1"/>
  <c r="AD926" i="16"/>
  <c r="AD930" i="16"/>
  <c r="AD932" i="16"/>
  <c r="AL934" i="16"/>
  <c r="AN934" i="16" s="1"/>
  <c r="O936" i="16"/>
  <c r="AL938" i="16"/>
  <c r="AN938" i="16" s="1"/>
  <c r="AD958" i="16"/>
  <c r="AD962" i="16"/>
  <c r="AD964" i="16"/>
  <c r="AF964" i="16" s="1"/>
  <c r="AL966" i="16"/>
  <c r="AN966" i="16" s="1"/>
  <c r="O968" i="16"/>
  <c r="AL970" i="16"/>
  <c r="AN970" i="16" s="1"/>
  <c r="AL975" i="16"/>
  <c r="AN975" i="16" s="1"/>
  <c r="AL983" i="16"/>
  <c r="AN983" i="16" s="1"/>
  <c r="AL985" i="16"/>
  <c r="AN985" i="16" s="1"/>
  <c r="AD999" i="16"/>
  <c r="AL1005" i="16"/>
  <c r="AN1005" i="16" s="1"/>
  <c r="AL1008" i="16"/>
  <c r="AN1008" i="16" s="1"/>
  <c r="O1011" i="16"/>
  <c r="AD1011" i="16"/>
  <c r="AL1022" i="16"/>
  <c r="AN1022" i="16" s="1"/>
  <c r="AD1025" i="16"/>
  <c r="AL1033" i="16"/>
  <c r="AN1033" i="16" s="1"/>
  <c r="AL1057" i="16"/>
  <c r="AN1057" i="16" s="1"/>
  <c r="AL1081" i="16"/>
  <c r="AN1081" i="16" s="1"/>
  <c r="AD1085" i="16"/>
  <c r="AD1090" i="16"/>
  <c r="AL1090" i="16"/>
  <c r="AN1090" i="16" s="1"/>
  <c r="AD1100" i="16"/>
  <c r="AD1103" i="16"/>
  <c r="AL910" i="16"/>
  <c r="AN910" i="16" s="1"/>
  <c r="AD914" i="16"/>
  <c r="O915" i="16"/>
  <c r="O939" i="16"/>
  <c r="AD943" i="16"/>
  <c r="AL943" i="16"/>
  <c r="AN943" i="16" s="1"/>
  <c r="O971" i="16"/>
  <c r="AL974" i="16"/>
  <c r="AN974" i="16" s="1"/>
  <c r="O976" i="16"/>
  <c r="AL978" i="16"/>
  <c r="AN978" i="16" s="1"/>
  <c r="AL982" i="16"/>
  <c r="AN982" i="16" s="1"/>
  <c r="O984" i="16"/>
  <c r="AL987" i="16"/>
  <c r="AN987" i="16" s="1"/>
  <c r="AL998" i="16"/>
  <c r="AN998" i="16" s="1"/>
  <c r="AD1010" i="16"/>
  <c r="AL1010" i="16"/>
  <c r="AN1010" i="16" s="1"/>
  <c r="AL1013" i="16"/>
  <c r="AN1013" i="16" s="1"/>
  <c r="AL1016" i="16"/>
  <c r="AN1016" i="16" s="1"/>
  <c r="O1019" i="16"/>
  <c r="AD1028" i="16"/>
  <c r="AL1030" i="16"/>
  <c r="AN1030" i="16" s="1"/>
  <c r="AD1033" i="16"/>
  <c r="AL1036" i="16"/>
  <c r="AN1036" i="16" s="1"/>
  <c r="AD1039" i="16"/>
  <c r="O1051" i="16"/>
  <c r="AD1051" i="16"/>
  <c r="AL1054" i="16"/>
  <c r="AN1054" i="16" s="1"/>
  <c r="AD1057" i="16"/>
  <c r="AD1060" i="16"/>
  <c r="AD1063" i="16"/>
  <c r="AF1063" i="16" s="1"/>
  <c r="O1075" i="16"/>
  <c r="AD1075" i="16"/>
  <c r="AL1078" i="16"/>
  <c r="AN1078" i="16" s="1"/>
  <c r="AD1081" i="16"/>
  <c r="AL1084" i="16"/>
  <c r="AN1084" i="16" s="1"/>
  <c r="AL1105" i="16"/>
  <c r="AN1105" i="16" s="1"/>
  <c r="AD1109" i="16"/>
  <c r="AL1156" i="16"/>
  <c r="AN1156" i="16" s="1"/>
  <c r="AD1156" i="16"/>
  <c r="AL1196" i="16"/>
  <c r="AN1196" i="16" s="1"/>
  <c r="AD1196" i="16"/>
  <c r="AD1217" i="16"/>
  <c r="AL1217" i="16"/>
  <c r="AN1217" i="16" s="1"/>
  <c r="AD1113" i="16"/>
  <c r="AL1113" i="16"/>
  <c r="AN1113" i="16" s="1"/>
  <c r="AL1116" i="16"/>
  <c r="AN1116" i="16" s="1"/>
  <c r="AL1127" i="16"/>
  <c r="AN1127" i="16" s="1"/>
  <c r="AD1139" i="16"/>
  <c r="AD1141" i="16"/>
  <c r="AL1149" i="16"/>
  <c r="AN1149" i="16" s="1"/>
  <c r="AD1158" i="16"/>
  <c r="AL1158" i="16"/>
  <c r="AN1158" i="16" s="1"/>
  <c r="AD1165" i="16"/>
  <c r="AD1174" i="16"/>
  <c r="AD1177" i="16"/>
  <c r="AL1177" i="16"/>
  <c r="AN1177" i="16" s="1"/>
  <c r="AD1187" i="16"/>
  <c r="AD1189" i="16"/>
  <c r="AL1189" i="16"/>
  <c r="AN1189" i="16" s="1"/>
  <c r="AL1220" i="16"/>
  <c r="AN1220" i="16" s="1"/>
  <c r="AD1229" i="16"/>
  <c r="AD1121" i="16"/>
  <c r="AL1121" i="16"/>
  <c r="AN1121" i="16" s="1"/>
  <c r="O1130" i="16"/>
  <c r="AL1135" i="16"/>
  <c r="AN1135" i="16" s="1"/>
  <c r="AD1147" i="16"/>
  <c r="AD1149" i="16"/>
  <c r="AL1152" i="16"/>
  <c r="AN1152" i="16" s="1"/>
  <c r="AD1161" i="16"/>
  <c r="AL1161" i="16"/>
  <c r="AN1161" i="16" s="1"/>
  <c r="AL1171" i="16"/>
  <c r="AN1171" i="16" s="1"/>
  <c r="AL1180" i="16"/>
  <c r="AN1180" i="16" s="1"/>
  <c r="AL1192" i="16"/>
  <c r="AN1192" i="16" s="1"/>
  <c r="AD1198" i="16"/>
  <c r="AD1201" i="16"/>
  <c r="AL1201" i="16"/>
  <c r="AN1201" i="16" s="1"/>
  <c r="AD1211" i="16"/>
  <c r="O1226" i="16"/>
  <c r="AL1238" i="16"/>
  <c r="AN1238" i="16" s="1"/>
  <c r="AL1287" i="16"/>
  <c r="AN1287" i="16" s="1"/>
  <c r="AD1287" i="16"/>
  <c r="AD1320" i="16"/>
  <c r="AF1320" i="16" s="1"/>
  <c r="AL1320" i="16"/>
  <c r="AN1320" i="16" s="1"/>
  <c r="AL1024" i="16"/>
  <c r="AN1024" i="16" s="1"/>
  <c r="AL1040" i="16"/>
  <c r="AN1040" i="16" s="1"/>
  <c r="AL1048" i="16"/>
  <c r="AN1048" i="16" s="1"/>
  <c r="AL1056" i="16"/>
  <c r="AN1056" i="16" s="1"/>
  <c r="AL1064" i="16"/>
  <c r="AN1064" i="16" s="1"/>
  <c r="AL1072" i="16"/>
  <c r="AN1072" i="16" s="1"/>
  <c r="AL1080" i="16"/>
  <c r="AN1080" i="16" s="1"/>
  <c r="AL1088" i="16"/>
  <c r="AN1088" i="16" s="1"/>
  <c r="AL1096" i="16"/>
  <c r="AN1096" i="16" s="1"/>
  <c r="AL1104" i="16"/>
  <c r="AN1104" i="16" s="1"/>
  <c r="AD1129" i="16"/>
  <c r="AL1129" i="16"/>
  <c r="AN1129" i="16" s="1"/>
  <c r="AL1143" i="16"/>
  <c r="AN1143" i="16" s="1"/>
  <c r="AD1225" i="16"/>
  <c r="AL1225" i="16"/>
  <c r="AN1225" i="16" s="1"/>
  <c r="AD1308" i="16"/>
  <c r="AF1308" i="16" s="1"/>
  <c r="AL1308" i="16"/>
  <c r="AN1308" i="16" s="1"/>
  <c r="AL1112" i="16"/>
  <c r="AN1112" i="16" s="1"/>
  <c r="AD1124" i="16"/>
  <c r="AD1126" i="16"/>
  <c r="AL1130" i="16"/>
  <c r="AN1130" i="16" s="1"/>
  <c r="AD1137" i="16"/>
  <c r="AL1137" i="16"/>
  <c r="AN1137" i="16" s="1"/>
  <c r="AL1140" i="16"/>
  <c r="AN1140" i="16" s="1"/>
  <c r="O1146" i="16"/>
  <c r="AD1155" i="16"/>
  <c r="AL1157" i="16"/>
  <c r="AN1157" i="16" s="1"/>
  <c r="AL1164" i="16"/>
  <c r="AN1164" i="16" s="1"/>
  <c r="AD1173" i="16"/>
  <c r="AL1176" i="16"/>
  <c r="AN1176" i="16" s="1"/>
  <c r="AD1182" i="16"/>
  <c r="AD1185" i="16"/>
  <c r="AL1185" i="16"/>
  <c r="AN1185" i="16" s="1"/>
  <c r="AD1195" i="16"/>
  <c r="AL1197" i="16"/>
  <c r="AN1197" i="16" s="1"/>
  <c r="O1210" i="16"/>
  <c r="AL1219" i="16"/>
  <c r="AN1219" i="16" s="1"/>
  <c r="AL1226" i="16"/>
  <c r="AN1226" i="16" s="1"/>
  <c r="AL1228" i="16"/>
  <c r="AN1228" i="16" s="1"/>
  <c r="AD1132" i="16"/>
  <c r="AL1138" i="16"/>
  <c r="AN1138" i="16" s="1"/>
  <c r="AD1145" i="16"/>
  <c r="AL1145" i="16"/>
  <c r="AN1145" i="16" s="1"/>
  <c r="AL1186" i="16"/>
  <c r="AN1186" i="16" s="1"/>
  <c r="AD1204" i="16"/>
  <c r="AD1209" i="16"/>
  <c r="AL1209" i="16"/>
  <c r="AN1209" i="16" s="1"/>
  <c r="AD1115" i="16"/>
  <c r="AD1117" i="16"/>
  <c r="AL1125" i="16"/>
  <c r="AN1125" i="16" s="1"/>
  <c r="AD1142" i="16"/>
  <c r="AF1142" i="16" s="1"/>
  <c r="AL1146" i="16"/>
  <c r="AN1146" i="16" s="1"/>
  <c r="AD1166" i="16"/>
  <c r="AD1169" i="16"/>
  <c r="AL1169" i="16"/>
  <c r="AN1169" i="16" s="1"/>
  <c r="AD1179" i="16"/>
  <c r="AL1181" i="16"/>
  <c r="AN1181" i="16" s="1"/>
  <c r="AL1210" i="16"/>
  <c r="AN1210" i="16" s="1"/>
  <c r="AL1212" i="16"/>
  <c r="AN1212" i="16" s="1"/>
  <c r="AD1221" i="16"/>
  <c r="AD1230" i="16"/>
  <c r="AD1123" i="16"/>
  <c r="AD1125" i="16"/>
  <c r="AL1131" i="16"/>
  <c r="AN1131" i="16" s="1"/>
  <c r="AL1133" i="16"/>
  <c r="AN1133" i="16" s="1"/>
  <c r="AL1136" i="16"/>
  <c r="AN1136" i="16" s="1"/>
  <c r="AD1148" i="16"/>
  <c r="AD1150" i="16"/>
  <c r="AD1153" i="16"/>
  <c r="AL1153" i="16"/>
  <c r="AN1153" i="16" s="1"/>
  <c r="AD1163" i="16"/>
  <c r="AL1170" i="16"/>
  <c r="AN1170" i="16" s="1"/>
  <c r="AL1172" i="16"/>
  <c r="AN1172" i="16" s="1"/>
  <c r="AD1181" i="16"/>
  <c r="AL1184" i="16"/>
  <c r="AN1184" i="16" s="1"/>
  <c r="AD1188" i="16"/>
  <c r="AD1190" i="16"/>
  <c r="AD1193" i="16"/>
  <c r="AL1193" i="16"/>
  <c r="AN1193" i="16" s="1"/>
  <c r="AD1203" i="16"/>
  <c r="AL1205" i="16"/>
  <c r="AN1205" i="16" s="1"/>
  <c r="O1218" i="16"/>
  <c r="AL1227" i="16"/>
  <c r="AN1227" i="16" s="1"/>
  <c r="AL1256" i="16"/>
  <c r="AN1256" i="16" s="1"/>
  <c r="AL1235" i="16"/>
  <c r="AN1235" i="16" s="1"/>
  <c r="AD1237" i="16"/>
  <c r="AL1248" i="16"/>
  <c r="AN1248" i="16" s="1"/>
  <c r="AL1252" i="16"/>
  <c r="AN1252" i="16" s="1"/>
  <c r="AL1259" i="16"/>
  <c r="AN1259" i="16" s="1"/>
  <c r="AD1265" i="16"/>
  <c r="AD1268" i="16"/>
  <c r="AL1268" i="16"/>
  <c r="AN1268" i="16" s="1"/>
  <c r="AL1278" i="16"/>
  <c r="AN1278" i="16" s="1"/>
  <c r="AD1280" i="16"/>
  <c r="AL1280" i="16"/>
  <c r="AN1280" i="16" s="1"/>
  <c r="O1293" i="16"/>
  <c r="S1293" i="16" s="1"/>
  <c r="T1293" i="16" s="1"/>
  <c r="AE1293" i="16" s="1"/>
  <c r="AD1293" i="16"/>
  <c r="AD1299" i="16"/>
  <c r="AL1311" i="16"/>
  <c r="AN1311" i="16" s="1"/>
  <c r="AL1314" i="16"/>
  <c r="AN1314" i="16" s="1"/>
  <c r="AL1323" i="16"/>
  <c r="AN1323" i="16" s="1"/>
  <c r="AD1329" i="16"/>
  <c r="AF1329" i="16" s="1"/>
  <c r="AD1332" i="16"/>
  <c r="AF1332" i="16" s="1"/>
  <c r="AL1332" i="16"/>
  <c r="AN1332" i="16" s="1"/>
  <c r="AL1339" i="16"/>
  <c r="AN1339" i="16" s="1"/>
  <c r="O1339" i="16"/>
  <c r="S1339" i="16" s="1"/>
  <c r="AD1376" i="16"/>
  <c r="AF1376" i="16" s="1"/>
  <c r="AL1376" i="16"/>
  <c r="AN1376" i="16" s="1"/>
  <c r="AL1271" i="16"/>
  <c r="AN1271" i="16" s="1"/>
  <c r="AL1274" i="16"/>
  <c r="AN1274" i="16" s="1"/>
  <c r="AL1283" i="16"/>
  <c r="AN1283" i="16" s="1"/>
  <c r="AD1292" i="16"/>
  <c r="AL1292" i="16"/>
  <c r="AN1292" i="16" s="1"/>
  <c r="AD1304" i="16"/>
  <c r="O1317" i="16"/>
  <c r="S1317" i="16" s="1"/>
  <c r="AL1335" i="16"/>
  <c r="AN1335" i="16" s="1"/>
  <c r="AL1338" i="16"/>
  <c r="AN1338" i="16" s="1"/>
  <c r="AL1262" i="16"/>
  <c r="AN1262" i="16" s="1"/>
  <c r="AD1264" i="16"/>
  <c r="AF1264" i="16" s="1"/>
  <c r="AL1264" i="16"/>
  <c r="AN1264" i="16" s="1"/>
  <c r="O1277" i="16"/>
  <c r="S1277" i="16" s="1"/>
  <c r="T1277" i="16" s="1"/>
  <c r="AE1277" i="16" s="1"/>
  <c r="AL1298" i="16"/>
  <c r="AN1298" i="16" s="1"/>
  <c r="AD1316" i="16"/>
  <c r="AF1316" i="16" s="1"/>
  <c r="AL1316" i="16"/>
  <c r="AN1316" i="16" s="1"/>
  <c r="AL1326" i="16"/>
  <c r="AN1326" i="16" s="1"/>
  <c r="AD1328" i="16"/>
  <c r="AF1328" i="16" s="1"/>
  <c r="AL1328" i="16"/>
  <c r="AN1328" i="16" s="1"/>
  <c r="AL1236" i="16"/>
  <c r="AN1236" i="16" s="1"/>
  <c r="AL1247" i="16"/>
  <c r="AN1247" i="16" s="1"/>
  <c r="AL1258" i="16"/>
  <c r="AN1258" i="16" s="1"/>
  <c r="AD1276" i="16"/>
  <c r="AL1276" i="16"/>
  <c r="AN1276" i="16" s="1"/>
  <c r="AL1286" i="16"/>
  <c r="AN1286" i="16" s="1"/>
  <c r="AD1288" i="16"/>
  <c r="AL1288" i="16"/>
  <c r="AN1288" i="16" s="1"/>
  <c r="AL1322" i="16"/>
  <c r="AN1322" i="16" s="1"/>
  <c r="AL1240" i="16"/>
  <c r="AN1240" i="16" s="1"/>
  <c r="AL1257" i="16"/>
  <c r="AN1257" i="16" s="1"/>
  <c r="AD1261" i="16"/>
  <c r="AD1267" i="16"/>
  <c r="AL1282" i="16"/>
  <c r="AN1282" i="16" s="1"/>
  <c r="AD1295" i="16"/>
  <c r="AD1297" i="16"/>
  <c r="AD1300" i="16"/>
  <c r="AL1310" i="16"/>
  <c r="AN1310" i="16" s="1"/>
  <c r="AD1312" i="16"/>
  <c r="AF1312" i="16" s="1"/>
  <c r="AL1312" i="16"/>
  <c r="AN1312" i="16" s="1"/>
  <c r="O1325" i="16"/>
  <c r="S1325" i="16" s="1"/>
  <c r="AD1325" i="16"/>
  <c r="AF1325" i="16" s="1"/>
  <c r="AD1331" i="16"/>
  <c r="AF1331" i="16" s="1"/>
  <c r="AD1236" i="16"/>
  <c r="AD1238" i="16"/>
  <c r="AL1244" i="16"/>
  <c r="AN1244" i="16" s="1"/>
  <c r="AD1245" i="16"/>
  <c r="AL1260" i="16"/>
  <c r="AN1260" i="16" s="1"/>
  <c r="AL1270" i="16"/>
  <c r="AN1270" i="16" s="1"/>
  <c r="AD1272" i="16"/>
  <c r="AL1272" i="16"/>
  <c r="AN1272" i="16" s="1"/>
  <c r="O1285" i="16"/>
  <c r="S1285" i="16" s="1"/>
  <c r="T1285" i="16" s="1"/>
  <c r="AE1285" i="16" s="1"/>
  <c r="AD1285" i="16"/>
  <c r="AD1291" i="16"/>
  <c r="AL1315" i="16"/>
  <c r="AN1315" i="16" s="1"/>
  <c r="AD1319" i="16"/>
  <c r="AF1319" i="16" s="1"/>
  <c r="AD1321" i="16"/>
  <c r="AF1321" i="16" s="1"/>
  <c r="AD1324" i="16"/>
  <c r="AF1324" i="16" s="1"/>
  <c r="AL1324" i="16"/>
  <c r="AN1324" i="16" s="1"/>
  <c r="AL1334" i="16"/>
  <c r="AN1334" i="16" s="1"/>
  <c r="AD1336" i="16"/>
  <c r="AF1336" i="16" s="1"/>
  <c r="AL1336" i="16"/>
  <c r="AN1336" i="16" s="1"/>
  <c r="AD1241" i="16"/>
  <c r="AD1242" i="16"/>
  <c r="AL1243" i="16"/>
  <c r="AN1243" i="16" s="1"/>
  <c r="AL1249" i="16"/>
  <c r="AN1249" i="16" s="1"/>
  <c r="O1250" i="16"/>
  <c r="AL1250" i="16"/>
  <c r="AN1250" i="16" s="1"/>
  <c r="AL1263" i="16"/>
  <c r="AN1263" i="16" s="1"/>
  <c r="AL1266" i="16"/>
  <c r="AN1266" i="16" s="1"/>
  <c r="AL1275" i="16"/>
  <c r="AN1275" i="16" s="1"/>
  <c r="AD1279" i="16"/>
  <c r="AD1284" i="16"/>
  <c r="AL1284" i="16"/>
  <c r="AN1284" i="16" s="1"/>
  <c r="AL1294" i="16"/>
  <c r="AN1294" i="16" s="1"/>
  <c r="AD1296" i="16"/>
  <c r="AL1296" i="16"/>
  <c r="AN1296" i="16" s="1"/>
  <c r="O1309" i="16"/>
  <c r="S1309" i="16" s="1"/>
  <c r="AD1309" i="16"/>
  <c r="AF1309" i="16" s="1"/>
  <c r="AD1315" i="16"/>
  <c r="AF1315" i="16" s="1"/>
  <c r="AL1327" i="16"/>
  <c r="AN1327" i="16" s="1"/>
  <c r="AL1330" i="16"/>
  <c r="AN1330" i="16" s="1"/>
  <c r="AD1352" i="16"/>
  <c r="AF1352" i="16" s="1"/>
  <c r="AL1352" i="16"/>
  <c r="AN1352" i="16" s="1"/>
  <c r="AD1361" i="16"/>
  <c r="AF1361" i="16" s="1"/>
  <c r="AD1365" i="16"/>
  <c r="AF1365" i="16" s="1"/>
  <c r="AL1367" i="16"/>
  <c r="AN1367" i="16" s="1"/>
  <c r="AL1378" i="16"/>
  <c r="AN1378" i="16" s="1"/>
  <c r="AD1384" i="16"/>
  <c r="AF1384" i="16" s="1"/>
  <c r="AL1384" i="16"/>
  <c r="AN1384" i="16" s="1"/>
  <c r="O1387" i="16"/>
  <c r="S1387" i="16" s="1"/>
  <c r="AD1387" i="16"/>
  <c r="AF1387" i="16" s="1"/>
  <c r="AL1390" i="16"/>
  <c r="AN1390" i="16" s="1"/>
  <c r="AD1404" i="16"/>
  <c r="AF1404" i="16" s="1"/>
  <c r="AD1409" i="16"/>
  <c r="AF1409" i="16" s="1"/>
  <c r="AD1415" i="16"/>
  <c r="AF1415" i="16" s="1"/>
  <c r="AL1417" i="16"/>
  <c r="AN1417" i="16" s="1"/>
  <c r="AD1421" i="16"/>
  <c r="AF1421" i="16" s="1"/>
  <c r="AL1423" i="16"/>
  <c r="AN1423" i="16" s="1"/>
  <c r="AD1342" i="16"/>
  <c r="AF1342" i="16" s="1"/>
  <c r="O1355" i="16"/>
  <c r="S1355" i="16" s="1"/>
  <c r="AD1364" i="16"/>
  <c r="AF1364" i="16" s="1"/>
  <c r="AD1367" i="16"/>
  <c r="AF1367" i="16" s="1"/>
  <c r="AL1369" i="16"/>
  <c r="AN1369" i="16" s="1"/>
  <c r="AL1386" i="16"/>
  <c r="AN1386" i="16" s="1"/>
  <c r="AD1392" i="16"/>
  <c r="AF1392" i="16" s="1"/>
  <c r="AL1392" i="16"/>
  <c r="AN1392" i="16" s="1"/>
  <c r="O1395" i="16"/>
  <c r="S1395" i="16" s="1"/>
  <c r="AD1395" i="16"/>
  <c r="AF1395" i="16" s="1"/>
  <c r="AL1398" i="16"/>
  <c r="AN1398" i="16" s="1"/>
  <c r="AD1412" i="16"/>
  <c r="AF1412" i="16" s="1"/>
  <c r="AD1417" i="16"/>
  <c r="AF1417" i="16" s="1"/>
  <c r="AL1420" i="16"/>
  <c r="AN1420" i="16" s="1"/>
  <c r="AD1423" i="16"/>
  <c r="AF1423" i="16" s="1"/>
  <c r="AL1425" i="16"/>
  <c r="AN1425" i="16" s="1"/>
  <c r="AD1400" i="16"/>
  <c r="AF1400" i="16" s="1"/>
  <c r="AL1400" i="16"/>
  <c r="AN1400" i="16" s="1"/>
  <c r="AL1340" i="16"/>
  <c r="AN1340" i="16" s="1"/>
  <c r="AL1343" i="16"/>
  <c r="AN1343" i="16" s="1"/>
  <c r="AD1348" i="16"/>
  <c r="AF1348" i="16" s="1"/>
  <c r="AD1351" i="16"/>
  <c r="AF1351" i="16" s="1"/>
  <c r="AD1354" i="16"/>
  <c r="AF1354" i="16" s="1"/>
  <c r="AD1360" i="16"/>
  <c r="AF1360" i="16" s="1"/>
  <c r="AL1360" i="16"/>
  <c r="AN1360" i="16" s="1"/>
  <c r="AD1363" i="16"/>
  <c r="AF1363" i="16" s="1"/>
  <c r="AD1372" i="16"/>
  <c r="AF1372" i="16" s="1"/>
  <c r="AD1375" i="16"/>
  <c r="AF1375" i="16" s="1"/>
  <c r="AD1394" i="16"/>
  <c r="AF1394" i="16" s="1"/>
  <c r="AD1408" i="16"/>
  <c r="AF1408" i="16" s="1"/>
  <c r="AL1408" i="16"/>
  <c r="AN1408" i="16" s="1"/>
  <c r="O1411" i="16"/>
  <c r="S1411" i="16" s="1"/>
  <c r="AD1411" i="16"/>
  <c r="AF1411" i="16" s="1"/>
  <c r="AL1414" i="16"/>
  <c r="AN1414" i="16" s="1"/>
  <c r="AD1450" i="16"/>
  <c r="AF1450" i="16" s="1"/>
  <c r="AL1450" i="16"/>
  <c r="AN1450" i="16" s="1"/>
  <c r="AD1470" i="16"/>
  <c r="AF1470" i="16" s="1"/>
  <c r="AL1470" i="16"/>
  <c r="AN1470" i="16" s="1"/>
  <c r="AL1344" i="16"/>
  <c r="AN1344" i="16" s="1"/>
  <c r="AD1377" i="16"/>
  <c r="AF1377" i="16" s="1"/>
  <c r="AD1389" i="16"/>
  <c r="AF1389" i="16" s="1"/>
  <c r="AD1402" i="16"/>
  <c r="AF1402" i="16" s="1"/>
  <c r="AL1403" i="16"/>
  <c r="AN1403" i="16" s="1"/>
  <c r="AD1416" i="16"/>
  <c r="AF1416" i="16" s="1"/>
  <c r="AL1416" i="16"/>
  <c r="AN1416" i="16" s="1"/>
  <c r="AD1419" i="16"/>
  <c r="AF1419" i="16" s="1"/>
  <c r="AD1531" i="16"/>
  <c r="AF1531" i="16" s="1"/>
  <c r="AL1531" i="16"/>
  <c r="AN1531" i="16" s="1"/>
  <c r="AL1533" i="16"/>
  <c r="AN1533" i="16" s="1"/>
  <c r="AD1533" i="16"/>
  <c r="AF1533" i="16" s="1"/>
  <c r="AD1346" i="16"/>
  <c r="AF1346" i="16" s="1"/>
  <c r="AL1353" i="16"/>
  <c r="AN1353" i="16" s="1"/>
  <c r="AD1362" i="16"/>
  <c r="AF1362" i="16" s="1"/>
  <c r="AD1368" i="16"/>
  <c r="AF1368" i="16" s="1"/>
  <c r="AL1368" i="16"/>
  <c r="AN1368" i="16" s="1"/>
  <c r="O1371" i="16"/>
  <c r="S1371" i="16" s="1"/>
  <c r="AD1371" i="16"/>
  <c r="AF1371" i="16" s="1"/>
  <c r="AD1380" i="16"/>
  <c r="AF1380" i="16" s="1"/>
  <c r="AD1385" i="16"/>
  <c r="AF1385" i="16" s="1"/>
  <c r="AL1388" i="16"/>
  <c r="AN1388" i="16" s="1"/>
  <c r="AD1391" i="16"/>
  <c r="AF1391" i="16" s="1"/>
  <c r="AL1393" i="16"/>
  <c r="AN1393" i="16" s="1"/>
  <c r="AD1397" i="16"/>
  <c r="AF1397" i="16" s="1"/>
  <c r="AL1399" i="16"/>
  <c r="AN1399" i="16" s="1"/>
  <c r="AD1410" i="16"/>
  <c r="AF1410" i="16" s="1"/>
  <c r="AL1418" i="16"/>
  <c r="AN1418" i="16" s="1"/>
  <c r="AD1424" i="16"/>
  <c r="AF1424" i="16" s="1"/>
  <c r="AL1424" i="16"/>
  <c r="AN1424" i="16" s="1"/>
  <c r="AL1430" i="16"/>
  <c r="AN1430" i="16" s="1"/>
  <c r="AD1430" i="16"/>
  <c r="AF1430" i="16" s="1"/>
  <c r="AL1433" i="16"/>
  <c r="AN1433" i="16" s="1"/>
  <c r="AL1444" i="16"/>
  <c r="AN1444" i="16" s="1"/>
  <c r="AL1341" i="16"/>
  <c r="AN1341" i="16" s="1"/>
  <c r="AD1344" i="16"/>
  <c r="AF1344" i="16" s="1"/>
  <c r="O1345" i="16"/>
  <c r="S1345" i="16" s="1"/>
  <c r="AL1350" i="16"/>
  <c r="AN1350" i="16" s="1"/>
  <c r="AL1356" i="16"/>
  <c r="AN1356" i="16" s="1"/>
  <c r="AD1357" i="16"/>
  <c r="AF1357" i="16" s="1"/>
  <c r="AL1374" i="16"/>
  <c r="AN1374" i="16" s="1"/>
  <c r="AL1396" i="16"/>
  <c r="AN1396" i="16" s="1"/>
  <c r="AD1405" i="16"/>
  <c r="AF1405" i="16" s="1"/>
  <c r="AL1489" i="16"/>
  <c r="AN1489" i="16" s="1"/>
  <c r="AD1489" i="16"/>
  <c r="AF1489" i="16" s="1"/>
  <c r="AD1443" i="16"/>
  <c r="AF1443" i="16" s="1"/>
  <c r="AD1455" i="16"/>
  <c r="AF1455" i="16" s="1"/>
  <c r="AD1459" i="16"/>
  <c r="AF1459" i="16" s="1"/>
  <c r="AD1462" i="16"/>
  <c r="AF1462" i="16" s="1"/>
  <c r="AL1462" i="16"/>
  <c r="AN1462" i="16" s="1"/>
  <c r="AD1493" i="16"/>
  <c r="AF1493" i="16" s="1"/>
  <c r="AD1454" i="16"/>
  <c r="AF1454" i="16" s="1"/>
  <c r="AL1454" i="16"/>
  <c r="AN1454" i="16" s="1"/>
  <c r="AD1485" i="16"/>
  <c r="AF1485" i="16" s="1"/>
  <c r="AL1496" i="16"/>
  <c r="AN1496" i="16" s="1"/>
  <c r="AL1500" i="16"/>
  <c r="AN1500" i="16" s="1"/>
  <c r="AD1523" i="16"/>
  <c r="AF1523" i="16" s="1"/>
  <c r="AL1523" i="16"/>
  <c r="AN1523" i="16" s="1"/>
  <c r="AL1525" i="16"/>
  <c r="AN1525" i="16" s="1"/>
  <c r="AD1525" i="16"/>
  <c r="AF1525" i="16" s="1"/>
  <c r="AL1538" i="16"/>
  <c r="AN1538" i="16" s="1"/>
  <c r="AD1538" i="16"/>
  <c r="AF1538" i="16" s="1"/>
  <c r="AD1434" i="16"/>
  <c r="AF1434" i="16" s="1"/>
  <c r="AD1446" i="16"/>
  <c r="AF1446" i="16" s="1"/>
  <c r="AL1446" i="16"/>
  <c r="AN1446" i="16" s="1"/>
  <c r="AL1448" i="16"/>
  <c r="AN1448" i="16" s="1"/>
  <c r="AD1449" i="16"/>
  <c r="AF1449" i="16" s="1"/>
  <c r="AD1477" i="16"/>
  <c r="AF1477" i="16" s="1"/>
  <c r="AD1481" i="16"/>
  <c r="AF1481" i="16" s="1"/>
  <c r="AL1488" i="16"/>
  <c r="AN1488" i="16" s="1"/>
  <c r="AL1492" i="16"/>
  <c r="AN1492" i="16" s="1"/>
  <c r="AD1503" i="16"/>
  <c r="AF1503" i="16" s="1"/>
  <c r="AL1532" i="16"/>
  <c r="AN1532" i="16" s="1"/>
  <c r="AD1535" i="16"/>
  <c r="AF1535" i="16" s="1"/>
  <c r="AL1551" i="16"/>
  <c r="AN1551" i="16" s="1"/>
  <c r="AD1551" i="16"/>
  <c r="AF1551" i="16" s="1"/>
  <c r="AD1431" i="16"/>
  <c r="AF1431" i="16" s="1"/>
  <c r="AL1435" i="16"/>
  <c r="AN1435" i="16" s="1"/>
  <c r="AD1438" i="16"/>
  <c r="AF1438" i="16" s="1"/>
  <c r="AL1438" i="16"/>
  <c r="AN1438" i="16" s="1"/>
  <c r="O1439" i="16"/>
  <c r="S1439" i="16" s="1"/>
  <c r="AL1440" i="16"/>
  <c r="AN1440" i="16" s="1"/>
  <c r="AD1441" i="16"/>
  <c r="AF1441" i="16" s="1"/>
  <c r="AL1442" i="16"/>
  <c r="AN1442" i="16" s="1"/>
  <c r="AD1447" i="16"/>
  <c r="AF1447" i="16" s="1"/>
  <c r="AD1469" i="16"/>
  <c r="AF1469" i="16" s="1"/>
  <c r="AD1473" i="16"/>
  <c r="AF1473" i="16" s="1"/>
  <c r="AL1480" i="16"/>
  <c r="AN1480" i="16" s="1"/>
  <c r="AL1484" i="16"/>
  <c r="AN1484" i="16" s="1"/>
  <c r="AD1495" i="16"/>
  <c r="AF1495" i="16" s="1"/>
  <c r="AD1499" i="16"/>
  <c r="AF1499" i="16" s="1"/>
  <c r="AD1502" i="16"/>
  <c r="AF1502" i="16" s="1"/>
  <c r="AL1502" i="16"/>
  <c r="AN1502" i="16" s="1"/>
  <c r="AL1530" i="16"/>
  <c r="AN1530" i="16" s="1"/>
  <c r="AD1530" i="16"/>
  <c r="AF1530" i="16" s="1"/>
  <c r="AL1534" i="16"/>
  <c r="AN1534" i="16" s="1"/>
  <c r="AL1429" i="16"/>
  <c r="AN1429" i="16" s="1"/>
  <c r="AL1472" i="16"/>
  <c r="AN1472" i="16" s="1"/>
  <c r="AL1476" i="16"/>
  <c r="AN1476" i="16" s="1"/>
  <c r="AD1494" i="16"/>
  <c r="AF1494" i="16" s="1"/>
  <c r="AL1494" i="16"/>
  <c r="AN1494" i="16" s="1"/>
  <c r="AD1509" i="16"/>
  <c r="AF1509" i="16" s="1"/>
  <c r="AL1509" i="16"/>
  <c r="AN1509" i="16" s="1"/>
  <c r="AL1427" i="16"/>
  <c r="AN1427" i="16" s="1"/>
  <c r="AD1429" i="16"/>
  <c r="AF1429" i="16" s="1"/>
  <c r="AL1436" i="16"/>
  <c r="AN1436" i="16" s="1"/>
  <c r="AD1437" i="16"/>
  <c r="AF1437" i="16" s="1"/>
  <c r="AD1445" i="16"/>
  <c r="AF1445" i="16" s="1"/>
  <c r="AD1457" i="16"/>
  <c r="AF1457" i="16" s="1"/>
  <c r="AL1464" i="16"/>
  <c r="AN1464" i="16" s="1"/>
  <c r="AL1468" i="16"/>
  <c r="AN1468" i="16" s="1"/>
  <c r="AD1479" i="16"/>
  <c r="AF1479" i="16" s="1"/>
  <c r="AD1483" i="16"/>
  <c r="AF1483" i="16" s="1"/>
  <c r="AD1486" i="16"/>
  <c r="AF1486" i="16" s="1"/>
  <c r="AL1486" i="16"/>
  <c r="AN1486" i="16" s="1"/>
  <c r="AL1522" i="16"/>
  <c r="AN1522" i="16" s="1"/>
  <c r="AD1522" i="16"/>
  <c r="AF1522" i="16" s="1"/>
  <c r="AL1542" i="16"/>
  <c r="AN1542" i="16" s="1"/>
  <c r="AL1559" i="16"/>
  <c r="AN1559" i="16" s="1"/>
  <c r="AD1559" i="16"/>
  <c r="AF1559" i="16" s="1"/>
  <c r="AL1452" i="16"/>
  <c r="AN1452" i="16" s="1"/>
  <c r="AL1456" i="16"/>
  <c r="AN1456" i="16" s="1"/>
  <c r="AL1460" i="16"/>
  <c r="AN1460" i="16" s="1"/>
  <c r="AD1478" i="16"/>
  <c r="AF1478" i="16" s="1"/>
  <c r="AL1478" i="16"/>
  <c r="AN1478" i="16" s="1"/>
  <c r="AL1501" i="16"/>
  <c r="AN1501" i="16" s="1"/>
  <c r="AD1519" i="16"/>
  <c r="AF1519" i="16" s="1"/>
  <c r="AL1506" i="16"/>
  <c r="AN1506" i="16" s="1"/>
  <c r="AD1518" i="16"/>
  <c r="AF1518" i="16" s="1"/>
  <c r="AD1524" i="16"/>
  <c r="AF1524" i="16" s="1"/>
  <c r="AD1526" i="16"/>
  <c r="AF1526" i="16" s="1"/>
  <c r="AD1532" i="16"/>
  <c r="AF1532" i="16" s="1"/>
  <c r="AD1534" i="16"/>
  <c r="AF1534" i="16" s="1"/>
  <c r="AL1540" i="16"/>
  <c r="AN1540" i="16" s="1"/>
  <c r="AD1543" i="16"/>
  <c r="AF1543" i="16" s="1"/>
  <c r="AL1550" i="16"/>
  <c r="AN1550" i="16" s="1"/>
  <c r="AL1558" i="16"/>
  <c r="AN1558" i="16" s="1"/>
  <c r="AD1596" i="16"/>
  <c r="AF1596" i="16" s="1"/>
  <c r="AD1599" i="16"/>
  <c r="AF1599" i="16" s="1"/>
  <c r="AD1508" i="16"/>
  <c r="AF1508" i="16" s="1"/>
  <c r="AL1513" i="16"/>
  <c r="AN1513" i="16" s="1"/>
  <c r="AD1540" i="16"/>
  <c r="AF1540" i="16" s="1"/>
  <c r="O1541" i="16"/>
  <c r="S1541" i="16" s="1"/>
  <c r="AL1569" i="16"/>
  <c r="AN1569" i="16" s="1"/>
  <c r="AL1577" i="16"/>
  <c r="AN1577" i="16" s="1"/>
  <c r="AL1585" i="16"/>
  <c r="AN1585" i="16" s="1"/>
  <c r="AL1588" i="16"/>
  <c r="AN1588" i="16" s="1"/>
  <c r="AL1598" i="16"/>
  <c r="AN1598" i="16" s="1"/>
  <c r="O1603" i="16"/>
  <c r="S1603" i="16" s="1"/>
  <c r="AL1602" i="16"/>
  <c r="AN1602" i="16" s="1"/>
  <c r="AD1602" i="16"/>
  <c r="AF1602" i="16" s="1"/>
  <c r="AL1603" i="16"/>
  <c r="AN1603" i="16" s="1"/>
  <c r="AL1507" i="16"/>
  <c r="AN1507" i="16" s="1"/>
  <c r="O1509" i="16"/>
  <c r="S1509" i="16" s="1"/>
  <c r="O1515" i="16"/>
  <c r="S1515" i="16" s="1"/>
  <c r="AD1548" i="16"/>
  <c r="AF1548" i="16" s="1"/>
  <c r="AD1556" i="16"/>
  <c r="AF1556" i="16" s="1"/>
  <c r="AD1564" i="16"/>
  <c r="AF1564" i="16" s="1"/>
  <c r="AD1567" i="16"/>
  <c r="AF1567" i="16" s="1"/>
  <c r="AL1567" i="16"/>
  <c r="AN1567" i="16" s="1"/>
  <c r="AD1572" i="16"/>
  <c r="AF1572" i="16" s="1"/>
  <c r="AD1575" i="16"/>
  <c r="AF1575" i="16" s="1"/>
  <c r="AL1575" i="16"/>
  <c r="AN1575" i="16" s="1"/>
  <c r="AD1580" i="16"/>
  <c r="AF1580" i="16" s="1"/>
  <c r="AD1583" i="16"/>
  <c r="AF1583" i="16" s="1"/>
  <c r="AL1583" i="16"/>
  <c r="AN1583" i="16" s="1"/>
  <c r="AL1590" i="16"/>
  <c r="AN1590" i="16" s="1"/>
  <c r="O1595" i="16"/>
  <c r="S1595" i="16" s="1"/>
  <c r="AL1458" i="16"/>
  <c r="AN1458" i="16" s="1"/>
  <c r="AL1466" i="16"/>
  <c r="AN1466" i="16" s="1"/>
  <c r="AL1474" i="16"/>
  <c r="AN1474" i="16" s="1"/>
  <c r="AL1482" i="16"/>
  <c r="AN1482" i="16" s="1"/>
  <c r="AL1490" i="16"/>
  <c r="AN1490" i="16" s="1"/>
  <c r="AL1498" i="16"/>
  <c r="AN1498" i="16" s="1"/>
  <c r="AL1516" i="16"/>
  <c r="AN1516" i="16" s="1"/>
  <c r="AL1546" i="16"/>
  <c r="AN1546" i="16" s="1"/>
  <c r="AD1546" i="16"/>
  <c r="AF1546" i="16" s="1"/>
  <c r="AL1594" i="16"/>
  <c r="AN1594" i="16" s="1"/>
  <c r="AD1594" i="16"/>
  <c r="AF1594" i="16" s="1"/>
  <c r="AD1622" i="16"/>
  <c r="AF1622" i="16" s="1"/>
  <c r="AL1622" i="16"/>
  <c r="AN1622" i="16" s="1"/>
  <c r="AD1629" i="16"/>
  <c r="AF1629" i="16" s="1"/>
  <c r="AL1629" i="16"/>
  <c r="AN1629" i="16" s="1"/>
  <c r="AD1638" i="16"/>
  <c r="AF1638" i="16" s="1"/>
  <c r="AL1638" i="16"/>
  <c r="AN1638" i="16" s="1"/>
  <c r="AD1645" i="16"/>
  <c r="AF1645" i="16" s="1"/>
  <c r="AL1645" i="16"/>
  <c r="AN1645" i="16" s="1"/>
  <c r="AD1654" i="16"/>
  <c r="AF1654" i="16" s="1"/>
  <c r="AL1654" i="16"/>
  <c r="AN1654" i="16" s="1"/>
  <c r="AD1661" i="16"/>
  <c r="AF1661" i="16" s="1"/>
  <c r="AL1661" i="16"/>
  <c r="AN1661" i="16" s="1"/>
  <c r="AD1670" i="16"/>
  <c r="AF1670" i="16" s="1"/>
  <c r="AL1670" i="16"/>
  <c r="AN1670" i="16" s="1"/>
  <c r="AD1516" i="16"/>
  <c r="AF1516" i="16" s="1"/>
  <c r="AL1554" i="16"/>
  <c r="AN1554" i="16" s="1"/>
  <c r="AD1554" i="16"/>
  <c r="AF1554" i="16" s="1"/>
  <c r="AL1562" i="16"/>
  <c r="AN1562" i="16" s="1"/>
  <c r="AD1562" i="16"/>
  <c r="AF1562" i="16" s="1"/>
  <c r="AL1566" i="16"/>
  <c r="AN1566" i="16" s="1"/>
  <c r="O1571" i="16"/>
  <c r="S1571" i="16" s="1"/>
  <c r="AL1574" i="16"/>
  <c r="AN1574" i="16" s="1"/>
  <c r="AL1511" i="16"/>
  <c r="AN1511" i="16" s="1"/>
  <c r="O1517" i="16"/>
  <c r="S1517" i="16" s="1"/>
  <c r="AL1547" i="16"/>
  <c r="AN1547" i="16" s="1"/>
  <c r="AL1553" i="16"/>
  <c r="AN1553" i="16" s="1"/>
  <c r="AL1555" i="16"/>
  <c r="AN1555" i="16" s="1"/>
  <c r="AL1561" i="16"/>
  <c r="AN1561" i="16" s="1"/>
  <c r="AL1563" i="16"/>
  <c r="AN1563" i="16" s="1"/>
  <c r="AL1570" i="16"/>
  <c r="AN1570" i="16" s="1"/>
  <c r="AD1570" i="16"/>
  <c r="AF1570" i="16" s="1"/>
  <c r="AL1571" i="16"/>
  <c r="AN1571" i="16" s="1"/>
  <c r="AL1578" i="16"/>
  <c r="AN1578" i="16" s="1"/>
  <c r="AD1578" i="16"/>
  <c r="AF1578" i="16" s="1"/>
  <c r="AL1579" i="16"/>
  <c r="AN1579" i="16" s="1"/>
  <c r="AL1586" i="16"/>
  <c r="AN1586" i="16" s="1"/>
  <c r="AD1586" i="16"/>
  <c r="AF1586" i="16" s="1"/>
  <c r="AL1587" i="16"/>
  <c r="AN1587" i="16" s="1"/>
  <c r="AD1597" i="16"/>
  <c r="AF1597" i="16" s="1"/>
  <c r="AD1604" i="16"/>
  <c r="AF1604" i="16" s="1"/>
  <c r="AD1621" i="16"/>
  <c r="AF1621" i="16" s="1"/>
  <c r="AL1621" i="16"/>
  <c r="AN1621" i="16" s="1"/>
  <c r="AD1693" i="16"/>
  <c r="AF1693" i="16" s="1"/>
  <c r="AL1693" i="16"/>
  <c r="AN1693" i="16" s="1"/>
  <c r="AL1708" i="16"/>
  <c r="AN1708" i="16" s="1"/>
  <c r="O1711" i="16"/>
  <c r="S1711" i="16" s="1"/>
  <c r="AL1711" i="16"/>
  <c r="AN1711" i="16" s="1"/>
  <c r="AD1609" i="16"/>
  <c r="AF1609" i="16" s="1"/>
  <c r="AL1628" i="16"/>
  <c r="AN1628" i="16" s="1"/>
  <c r="AD1630" i="16"/>
  <c r="AF1630" i="16" s="1"/>
  <c r="AL1630" i="16"/>
  <c r="AN1630" i="16" s="1"/>
  <c r="AD1637" i="16"/>
  <c r="AF1637" i="16" s="1"/>
  <c r="AL1637" i="16"/>
  <c r="AN1637" i="16" s="1"/>
  <c r="AL1644" i="16"/>
  <c r="AN1644" i="16" s="1"/>
  <c r="AD1646" i="16"/>
  <c r="AF1646" i="16" s="1"/>
  <c r="AL1646" i="16"/>
  <c r="AN1646" i="16" s="1"/>
  <c r="AD1653" i="16"/>
  <c r="AF1653" i="16" s="1"/>
  <c r="AL1653" i="16"/>
  <c r="AN1653" i="16" s="1"/>
  <c r="AL1660" i="16"/>
  <c r="AN1660" i="16" s="1"/>
  <c r="AD1662" i="16"/>
  <c r="AF1662" i="16" s="1"/>
  <c r="AL1662" i="16"/>
  <c r="AN1662" i="16" s="1"/>
  <c r="AD1669" i="16"/>
  <c r="AF1669" i="16" s="1"/>
  <c r="AL1669" i="16"/>
  <c r="AN1669" i="16" s="1"/>
  <c r="AD1674" i="16"/>
  <c r="AF1674" i="16" s="1"/>
  <c r="AL1695" i="16"/>
  <c r="AN1695" i="16" s="1"/>
  <c r="AL1700" i="16"/>
  <c r="AN1700" i="16" s="1"/>
  <c r="AD1614" i="16"/>
  <c r="AF1614" i="16" s="1"/>
  <c r="AL1614" i="16"/>
  <c r="AN1614" i="16" s="1"/>
  <c r="AD1678" i="16"/>
  <c r="AF1678" i="16" s="1"/>
  <c r="AL1678" i="16"/>
  <c r="AN1678" i="16" s="1"/>
  <c r="AD1710" i="16"/>
  <c r="AF1710" i="16" s="1"/>
  <c r="AL1710" i="16"/>
  <c r="AN1710" i="16" s="1"/>
  <c r="AD1713" i="16"/>
  <c r="AF1713" i="16" s="1"/>
  <c r="AL1713" i="16"/>
  <c r="AN1713" i="16" s="1"/>
  <c r="AL1608" i="16"/>
  <c r="AN1608" i="16" s="1"/>
  <c r="AL1612" i="16"/>
  <c r="AN1612" i="16" s="1"/>
  <c r="AD1632" i="16"/>
  <c r="AF1632" i="16" s="1"/>
  <c r="AD1648" i="16"/>
  <c r="AF1648" i="16" s="1"/>
  <c r="AD1664" i="16"/>
  <c r="AF1664" i="16" s="1"/>
  <c r="AD1685" i="16"/>
  <c r="AF1685" i="16" s="1"/>
  <c r="AL1685" i="16"/>
  <c r="AN1685" i="16" s="1"/>
  <c r="AD1690" i="16"/>
  <c r="AF1690" i="16" s="1"/>
  <c r="AD1702" i="16"/>
  <c r="AF1702" i="16" s="1"/>
  <c r="AL1702" i="16"/>
  <c r="AN1702" i="16" s="1"/>
  <c r="AD1610" i="16"/>
  <c r="AF1610" i="16" s="1"/>
  <c r="AD1613" i="16"/>
  <c r="AF1613" i="16" s="1"/>
  <c r="O1617" i="16"/>
  <c r="S1617" i="16" s="1"/>
  <c r="AL1620" i="16"/>
  <c r="AN1620" i="16" s="1"/>
  <c r="AD1634" i="16"/>
  <c r="AF1634" i="16" s="1"/>
  <c r="AD1650" i="16"/>
  <c r="AF1650" i="16" s="1"/>
  <c r="AD1666" i="16"/>
  <c r="AF1666" i="16" s="1"/>
  <c r="AD1680" i="16"/>
  <c r="AF1680" i="16" s="1"/>
  <c r="AL1687" i="16"/>
  <c r="AN1687" i="16" s="1"/>
  <c r="AL1692" i="16"/>
  <c r="AN1692" i="16" s="1"/>
  <c r="AD1694" i="16"/>
  <c r="AF1694" i="16" s="1"/>
  <c r="AL1694" i="16"/>
  <c r="AN1694" i="16" s="1"/>
  <c r="AL1616" i="16"/>
  <c r="AN1616" i="16" s="1"/>
  <c r="AL1631" i="16"/>
  <c r="AN1631" i="16" s="1"/>
  <c r="AL1647" i="16"/>
  <c r="AN1647" i="16" s="1"/>
  <c r="AL1663" i="16"/>
  <c r="AN1663" i="16" s="1"/>
  <c r="AD1677" i="16"/>
  <c r="AF1677" i="16" s="1"/>
  <c r="AL1677" i="16"/>
  <c r="AN1677" i="16" s="1"/>
  <c r="AD1682" i="16"/>
  <c r="AF1682" i="16" s="1"/>
  <c r="AD1696" i="16"/>
  <c r="AF1696" i="16" s="1"/>
  <c r="AL1701" i="16"/>
  <c r="AN1701" i="16" s="1"/>
  <c r="O1609" i="16"/>
  <c r="S1609" i="16" s="1"/>
  <c r="AL1679" i="16"/>
  <c r="AN1679" i="16" s="1"/>
  <c r="AL1684" i="16"/>
  <c r="AN1684" i="16" s="1"/>
  <c r="AD1686" i="16"/>
  <c r="AF1686" i="16" s="1"/>
  <c r="AL1686" i="16"/>
  <c r="AN1686" i="16" s="1"/>
  <c r="AL1625" i="16"/>
  <c r="AN1625" i="16" s="1"/>
  <c r="AL1633" i="16"/>
  <c r="AN1633" i="16" s="1"/>
  <c r="AL1641" i="16"/>
  <c r="AN1641" i="16" s="1"/>
  <c r="AL1649" i="16"/>
  <c r="AN1649" i="16" s="1"/>
  <c r="AL1657" i="16"/>
  <c r="AN1657" i="16" s="1"/>
  <c r="AL1665" i="16"/>
  <c r="AN1665" i="16" s="1"/>
  <c r="AL1673" i="16"/>
  <c r="AN1673" i="16" s="1"/>
  <c r="AL1681" i="16"/>
  <c r="AN1681" i="16" s="1"/>
  <c r="AL1689" i="16"/>
  <c r="AN1689" i="16" s="1"/>
  <c r="AL1697" i="16"/>
  <c r="AN1697" i="16" s="1"/>
  <c r="AL1705" i="16"/>
  <c r="AN1705" i="16" s="1"/>
  <c r="AD1718" i="16"/>
  <c r="AF1718" i="16" s="1"/>
  <c r="AL1718" i="16"/>
  <c r="AN1718" i="16" s="1"/>
  <c r="AD1734" i="16"/>
  <c r="AF1734" i="16" s="1"/>
  <c r="AL1734" i="16"/>
  <c r="AN1734" i="16" s="1"/>
  <c r="AL1762" i="16"/>
  <c r="AN1762" i="16" s="1"/>
  <c r="AD1762" i="16"/>
  <c r="AF1762" i="16" s="1"/>
  <c r="AL1722" i="16"/>
  <c r="AN1722" i="16" s="1"/>
  <c r="AD1726" i="16"/>
  <c r="AF1726" i="16" s="1"/>
  <c r="AL1726" i="16"/>
  <c r="AN1726" i="16" s="1"/>
  <c r="AD1728" i="16"/>
  <c r="AF1728" i="16" s="1"/>
  <c r="AD1730" i="16"/>
  <c r="AF1730" i="16" s="1"/>
  <c r="AL1738" i="16"/>
  <c r="AN1738" i="16" s="1"/>
  <c r="AD1738" i="16"/>
  <c r="AF1738" i="16" s="1"/>
  <c r="AD1742" i="16"/>
  <c r="AF1742" i="16" s="1"/>
  <c r="AL1742" i="16"/>
  <c r="AN1742" i="16" s="1"/>
  <c r="AD1749" i="16"/>
  <c r="AF1749" i="16" s="1"/>
  <c r="AD1764" i="16"/>
  <c r="AF1764" i="16" s="1"/>
  <c r="AL1770" i="16"/>
  <c r="AN1770" i="16" s="1"/>
  <c r="AD1770" i="16"/>
  <c r="AF1770" i="16" s="1"/>
  <c r="AD1797" i="16"/>
  <c r="AF1797" i="16" s="1"/>
  <c r="AL1797" i="16"/>
  <c r="AN1797" i="16" s="1"/>
  <c r="AL1802" i="16"/>
  <c r="AN1802" i="16" s="1"/>
  <c r="AD1802" i="16"/>
  <c r="AF1802" i="16" s="1"/>
  <c r="AL1809" i="16"/>
  <c r="AN1809" i="16" s="1"/>
  <c r="AL1703" i="16"/>
  <c r="AN1703" i="16" s="1"/>
  <c r="AD1755" i="16"/>
  <c r="AF1755" i="16" s="1"/>
  <c r="AL1755" i="16"/>
  <c r="AN1755" i="16" s="1"/>
  <c r="AD1772" i="16"/>
  <c r="AF1772" i="16" s="1"/>
  <c r="AL1778" i="16"/>
  <c r="AN1778" i="16" s="1"/>
  <c r="AD1778" i="16"/>
  <c r="AF1778" i="16" s="1"/>
  <c r="AL1780" i="16"/>
  <c r="AN1780" i="16" s="1"/>
  <c r="AD1799" i="16"/>
  <c r="AF1799" i="16" s="1"/>
  <c r="AL1818" i="16"/>
  <c r="AN1818" i="16" s="1"/>
  <c r="AD1818" i="16"/>
  <c r="AF1818" i="16" s="1"/>
  <c r="AD1711" i="16"/>
  <c r="AF1711" i="16" s="1"/>
  <c r="AL1719" i="16"/>
  <c r="AN1719" i="16" s="1"/>
  <c r="AL1735" i="16"/>
  <c r="AN1735" i="16" s="1"/>
  <c r="AL1746" i="16"/>
  <c r="AN1746" i="16" s="1"/>
  <c r="AD1746" i="16"/>
  <c r="AF1746" i="16" s="1"/>
  <c r="AD1750" i="16"/>
  <c r="AF1750" i="16" s="1"/>
  <c r="AL1750" i="16"/>
  <c r="AN1750" i="16" s="1"/>
  <c r="AD1759" i="16"/>
  <c r="AF1759" i="16" s="1"/>
  <c r="AD1780" i="16"/>
  <c r="AF1780" i="16" s="1"/>
  <c r="AD1789" i="16"/>
  <c r="AF1789" i="16" s="1"/>
  <c r="AL1789" i="16"/>
  <c r="AN1789" i="16" s="1"/>
  <c r="AL1794" i="16"/>
  <c r="AN1794" i="16" s="1"/>
  <c r="AD1794" i="16"/>
  <c r="AF1794" i="16" s="1"/>
  <c r="AL1801" i="16"/>
  <c r="AN1801" i="16" s="1"/>
  <c r="AL1804" i="16"/>
  <c r="AN1804" i="16" s="1"/>
  <c r="AL1806" i="16"/>
  <c r="AN1806" i="16" s="1"/>
  <c r="AD1813" i="16"/>
  <c r="AF1813" i="16" s="1"/>
  <c r="AL1813" i="16"/>
  <c r="AN1813" i="16" s="1"/>
  <c r="AL1727" i="16"/>
  <c r="AN1727" i="16" s="1"/>
  <c r="AD1731" i="16"/>
  <c r="AF1731" i="16" s="1"/>
  <c r="AL1731" i="16"/>
  <c r="AN1731" i="16" s="1"/>
  <c r="AD1763" i="16"/>
  <c r="AF1763" i="16" s="1"/>
  <c r="AL1763" i="16"/>
  <c r="AN1763" i="16" s="1"/>
  <c r="AL1765" i="16"/>
  <c r="AN1765" i="16" s="1"/>
  <c r="AL1714" i="16"/>
  <c r="AN1714" i="16" s="1"/>
  <c r="AD1723" i="16"/>
  <c r="AF1723" i="16" s="1"/>
  <c r="AL1723" i="16"/>
  <c r="AN1723" i="16" s="1"/>
  <c r="AD1727" i="16"/>
  <c r="AF1727" i="16" s="1"/>
  <c r="AL1737" i="16"/>
  <c r="AN1737" i="16" s="1"/>
  <c r="AD1739" i="16"/>
  <c r="AF1739" i="16" s="1"/>
  <c r="AL1739" i="16"/>
  <c r="AN1739" i="16" s="1"/>
  <c r="AL1754" i="16"/>
  <c r="AN1754" i="16" s="1"/>
  <c r="AD1754" i="16"/>
  <c r="AF1754" i="16" s="1"/>
  <c r="AD1765" i="16"/>
  <c r="AF1765" i="16" s="1"/>
  <c r="AL1769" i="16"/>
  <c r="AN1769" i="16" s="1"/>
  <c r="AD1771" i="16"/>
  <c r="AF1771" i="16" s="1"/>
  <c r="AL1771" i="16"/>
  <c r="AN1771" i="16" s="1"/>
  <c r="AD1773" i="16"/>
  <c r="AF1773" i="16" s="1"/>
  <c r="AD1775" i="16"/>
  <c r="AF1775" i="16" s="1"/>
  <c r="AL1786" i="16"/>
  <c r="AN1786" i="16" s="1"/>
  <c r="AD1786" i="16"/>
  <c r="AF1786" i="16" s="1"/>
  <c r="AL1793" i="16"/>
  <c r="AN1793" i="16" s="1"/>
  <c r="AL1796" i="16"/>
  <c r="AN1796" i="16" s="1"/>
  <c r="AL1798" i="16"/>
  <c r="AN1798" i="16" s="1"/>
  <c r="AL1817" i="16"/>
  <c r="AN1817" i="16" s="1"/>
  <c r="AL1725" i="16"/>
  <c r="AN1725" i="16" s="1"/>
  <c r="AL1741" i="16"/>
  <c r="AN1741" i="16" s="1"/>
  <c r="AD1758" i="16"/>
  <c r="AF1758" i="16" s="1"/>
  <c r="AL1758" i="16"/>
  <c r="AN1758" i="16" s="1"/>
  <c r="AD1779" i="16"/>
  <c r="AF1779" i="16" s="1"/>
  <c r="AL1779" i="16"/>
  <c r="AN1779" i="16" s="1"/>
  <c r="AL1810" i="16"/>
  <c r="AN1810" i="16" s="1"/>
  <c r="AD1810" i="16"/>
  <c r="AF1810" i="16" s="1"/>
  <c r="AD1725" i="16"/>
  <c r="AF1725" i="16" s="1"/>
  <c r="AD1741" i="16"/>
  <c r="AF1741" i="16" s="1"/>
  <c r="AL1745" i="16"/>
  <c r="AN1745" i="16" s="1"/>
  <c r="AD1747" i="16"/>
  <c r="AF1747" i="16" s="1"/>
  <c r="AL1747" i="16"/>
  <c r="AN1747" i="16" s="1"/>
  <c r="AL1756" i="16"/>
  <c r="AN1756" i="16" s="1"/>
  <c r="AL1766" i="16"/>
  <c r="AN1766" i="16" s="1"/>
  <c r="AL1785" i="16"/>
  <c r="AN1785" i="16" s="1"/>
  <c r="AL1788" i="16"/>
  <c r="AN1788" i="16" s="1"/>
  <c r="AL1790" i="16"/>
  <c r="AN1790" i="16" s="1"/>
  <c r="AD1805" i="16"/>
  <c r="AF1805" i="16" s="1"/>
  <c r="AL1805" i="16"/>
  <c r="AN1805" i="16" s="1"/>
  <c r="AL1812" i="16"/>
  <c r="AN1812" i="16" s="1"/>
  <c r="AL1814" i="16"/>
  <c r="AN1814" i="16" s="1"/>
  <c r="AL1776" i="16"/>
  <c r="AN1776" i="16" s="1"/>
  <c r="AL1784" i="16"/>
  <c r="AN1784" i="16" s="1"/>
  <c r="AL1792" i="16"/>
  <c r="AN1792" i="16" s="1"/>
  <c r="AL1800" i="16"/>
  <c r="AN1800" i="16" s="1"/>
  <c r="AL1808" i="16"/>
  <c r="AN1808" i="16" s="1"/>
  <c r="AL1816" i="16"/>
  <c r="AN1816" i="16" s="1"/>
  <c r="AL1826" i="16"/>
  <c r="AN1826" i="16" s="1"/>
  <c r="AD1826" i="16"/>
  <c r="AF1826" i="16" s="1"/>
  <c r="AL1850" i="16"/>
  <c r="AN1850" i="16" s="1"/>
  <c r="AD1850" i="16"/>
  <c r="AF1850" i="16" s="1"/>
  <c r="AD1821" i="16"/>
  <c r="AF1821" i="16" s="1"/>
  <c r="AL1821" i="16"/>
  <c r="AN1821" i="16" s="1"/>
  <c r="O1824" i="16"/>
  <c r="S1824" i="16" s="1"/>
  <c r="AD1824" i="16"/>
  <c r="AF1824" i="16" s="1"/>
  <c r="AD1844" i="16"/>
  <c r="AF1844" i="16" s="1"/>
  <c r="AL1858" i="16"/>
  <c r="AN1858" i="16" s="1"/>
  <c r="AD1858" i="16"/>
  <c r="AF1858" i="16" s="1"/>
  <c r="AD1862" i="16"/>
  <c r="AF1862" i="16" s="1"/>
  <c r="AL1864" i="16"/>
  <c r="AN1864" i="16" s="1"/>
  <c r="AD1837" i="16"/>
  <c r="AF1837" i="16" s="1"/>
  <c r="AL1837" i="16"/>
  <c r="AN1837" i="16" s="1"/>
  <c r="AD1852" i="16"/>
  <c r="AF1852" i="16" s="1"/>
  <c r="AL1866" i="16"/>
  <c r="AN1866" i="16" s="1"/>
  <c r="AD1866" i="16"/>
  <c r="AF1866" i="16" s="1"/>
  <c r="AD1879" i="16"/>
  <c r="AF1879" i="16" s="1"/>
  <c r="AL1879" i="16"/>
  <c r="AN1879" i="16" s="1"/>
  <c r="AD1881" i="16"/>
  <c r="AF1881" i="16" s="1"/>
  <c r="AL1820" i="16"/>
  <c r="AN1820" i="16" s="1"/>
  <c r="AD1823" i="16"/>
  <c r="AF1823" i="16" s="1"/>
  <c r="AD1828" i="16"/>
  <c r="AF1828" i="16" s="1"/>
  <c r="AL1841" i="16"/>
  <c r="AN1841" i="16" s="1"/>
  <c r="AD1845" i="16"/>
  <c r="AF1845" i="16" s="1"/>
  <c r="AL1845" i="16"/>
  <c r="AN1845" i="16" s="1"/>
  <c r="AD1847" i="16"/>
  <c r="AF1847" i="16" s="1"/>
  <c r="AL1849" i="16"/>
  <c r="AN1849" i="16" s="1"/>
  <c r="AD1860" i="16"/>
  <c r="AF1860" i="16" s="1"/>
  <c r="AL1868" i="16"/>
  <c r="AN1868" i="16" s="1"/>
  <c r="AL1716" i="16"/>
  <c r="AN1716" i="16" s="1"/>
  <c r="AL1724" i="16"/>
  <c r="AN1724" i="16" s="1"/>
  <c r="AL1819" i="16"/>
  <c r="AN1819" i="16" s="1"/>
  <c r="AD1820" i="16"/>
  <c r="AF1820" i="16" s="1"/>
  <c r="AL1825" i="16"/>
  <c r="AN1825" i="16" s="1"/>
  <c r="AD1849" i="16"/>
  <c r="AF1849" i="16" s="1"/>
  <c r="AD1853" i="16"/>
  <c r="AF1853" i="16" s="1"/>
  <c r="AL1853" i="16"/>
  <c r="AN1853" i="16" s="1"/>
  <c r="AD1868" i="16"/>
  <c r="AF1868" i="16" s="1"/>
  <c r="AL1874" i="16"/>
  <c r="AN1874" i="16" s="1"/>
  <c r="AD1874" i="16"/>
  <c r="AF1874" i="16" s="1"/>
  <c r="AL1811" i="16"/>
  <c r="AN1811" i="16" s="1"/>
  <c r="AL1834" i="16"/>
  <c r="AN1834" i="16" s="1"/>
  <c r="AD1834" i="16"/>
  <c r="AF1834" i="16" s="1"/>
  <c r="AD1861" i="16"/>
  <c r="AF1861" i="16" s="1"/>
  <c r="AL1861" i="16"/>
  <c r="AN1861" i="16" s="1"/>
  <c r="AD1819" i="16"/>
  <c r="AF1819" i="16" s="1"/>
  <c r="AD1822" i="16"/>
  <c r="AF1822" i="16" s="1"/>
  <c r="AD1829" i="16"/>
  <c r="AF1829" i="16" s="1"/>
  <c r="AL1829" i="16"/>
  <c r="AN1829" i="16" s="1"/>
  <c r="AD1831" i="16"/>
  <c r="AF1831" i="16" s="1"/>
  <c r="AD1838" i="16"/>
  <c r="AF1838" i="16" s="1"/>
  <c r="AL1846" i="16"/>
  <c r="AN1846" i="16" s="1"/>
  <c r="AL1859" i="16"/>
  <c r="AN1859" i="16" s="1"/>
  <c r="AD1865" i="16"/>
  <c r="AF1865" i="16" s="1"/>
  <c r="AD1869" i="16"/>
  <c r="AF1869" i="16" s="1"/>
  <c r="AL1869" i="16"/>
  <c r="AN1869" i="16" s="1"/>
  <c r="AL1833" i="16"/>
  <c r="AN1833" i="16" s="1"/>
  <c r="AL1836" i="16"/>
  <c r="AN1836" i="16" s="1"/>
  <c r="AL1842" i="16"/>
  <c r="AN1842" i="16" s="1"/>
  <c r="AD1842" i="16"/>
  <c r="AF1842" i="16" s="1"/>
  <c r="AD1846" i="16"/>
  <c r="AF1846" i="16" s="1"/>
  <c r="AL1848" i="16"/>
  <c r="AN1848" i="16" s="1"/>
  <c r="AL1854" i="16"/>
  <c r="AN1854" i="16" s="1"/>
  <c r="AL1867" i="16"/>
  <c r="AN1867" i="16" s="1"/>
  <c r="AD1871" i="16"/>
  <c r="AF1871" i="16" s="1"/>
  <c r="AL1873" i="16"/>
  <c r="AN1873" i="16" s="1"/>
  <c r="AL1872" i="16"/>
  <c r="AN1872" i="16" s="1"/>
  <c r="AD1880" i="16"/>
  <c r="AF1880" i="16" s="1"/>
  <c r="AL1892" i="16"/>
  <c r="AN1892" i="16" s="1"/>
  <c r="AD1892" i="16"/>
  <c r="AF1892" i="16" s="1"/>
  <c r="AL1940" i="16"/>
  <c r="AN1940" i="16" s="1"/>
  <c r="AD1940" i="16"/>
  <c r="AF1940" i="16" s="1"/>
  <c r="AL1951" i="16"/>
  <c r="AN1951" i="16" s="1"/>
  <c r="AL1878" i="16"/>
  <c r="AN1878" i="16" s="1"/>
  <c r="AL1908" i="16"/>
  <c r="AN1908" i="16" s="1"/>
  <c r="AD1908" i="16"/>
  <c r="AF1908" i="16" s="1"/>
  <c r="AD1915" i="16"/>
  <c r="AF1915" i="16" s="1"/>
  <c r="AL1924" i="16"/>
  <c r="AN1924" i="16" s="1"/>
  <c r="AD1924" i="16"/>
  <c r="AF1924" i="16" s="1"/>
  <c r="AD1931" i="16"/>
  <c r="AF1931" i="16" s="1"/>
  <c r="AD1942" i="16"/>
  <c r="AF1942" i="16" s="1"/>
  <c r="AL1944" i="16"/>
  <c r="AN1944" i="16" s="1"/>
  <c r="AD1949" i="16"/>
  <c r="AF1949" i="16" s="1"/>
  <c r="AL1876" i="16"/>
  <c r="AN1876" i="16" s="1"/>
  <c r="AD1889" i="16"/>
  <c r="AF1889" i="16" s="1"/>
  <c r="AD1894" i="16"/>
  <c r="AF1894" i="16" s="1"/>
  <c r="AL1888" i="16"/>
  <c r="AN1888" i="16" s="1"/>
  <c r="AD1905" i="16"/>
  <c r="AF1905" i="16" s="1"/>
  <c r="AL1905" i="16"/>
  <c r="AN1905" i="16" s="1"/>
  <c r="AD1910" i="16"/>
  <c r="AF1910" i="16" s="1"/>
  <c r="AL1912" i="16"/>
  <c r="AN1912" i="16" s="1"/>
  <c r="AD1921" i="16"/>
  <c r="AF1921" i="16" s="1"/>
  <c r="AL1921" i="16"/>
  <c r="AN1921" i="16" s="1"/>
  <c r="AD1926" i="16"/>
  <c r="AF1926" i="16" s="1"/>
  <c r="AD1937" i="16"/>
  <c r="AF1937" i="16" s="1"/>
  <c r="AL1937" i="16"/>
  <c r="AN1937" i="16" s="1"/>
  <c r="AL1877" i="16"/>
  <c r="AN1877" i="16" s="1"/>
  <c r="AL1883" i="16"/>
  <c r="AN1883" i="16" s="1"/>
  <c r="AL1886" i="16"/>
  <c r="AN1886" i="16" s="1"/>
  <c r="AL1923" i="16"/>
  <c r="AN1923" i="16" s="1"/>
  <c r="AL1939" i="16"/>
  <c r="AN1939" i="16" s="1"/>
  <c r="AL1941" i="16"/>
  <c r="AN1941" i="16" s="1"/>
  <c r="AD1950" i="16"/>
  <c r="AF1950" i="16" s="1"/>
  <c r="AL1950" i="16"/>
  <c r="AN1950" i="16" s="1"/>
  <c r="AL1843" i="16"/>
  <c r="AN1843" i="16" s="1"/>
  <c r="AD1882" i="16"/>
  <c r="AF1882" i="16" s="1"/>
  <c r="AD1886" i="16"/>
  <c r="AF1886" i="16" s="1"/>
  <c r="AL1900" i="16"/>
  <c r="AN1900" i="16" s="1"/>
  <c r="AD1900" i="16"/>
  <c r="AF1900" i="16" s="1"/>
  <c r="AL1916" i="16"/>
  <c r="AN1916" i="16" s="1"/>
  <c r="AD1916" i="16"/>
  <c r="AF1916" i="16" s="1"/>
  <c r="AD1923" i="16"/>
  <c r="AF1923" i="16" s="1"/>
  <c r="AL1932" i="16"/>
  <c r="AN1932" i="16" s="1"/>
  <c r="AD1932" i="16"/>
  <c r="AF1932" i="16" s="1"/>
  <c r="AD1945" i="16"/>
  <c r="AF1945" i="16" s="1"/>
  <c r="AL1945" i="16"/>
  <c r="AN1945" i="16" s="1"/>
  <c r="AD1884" i="16"/>
  <c r="AF1884" i="16" s="1"/>
  <c r="AD1897" i="16"/>
  <c r="AF1897" i="16" s="1"/>
  <c r="AL1897" i="16"/>
  <c r="AN1897" i="16" s="1"/>
  <c r="AL1947" i="16"/>
  <c r="AN1947" i="16" s="1"/>
  <c r="AL1887" i="16"/>
  <c r="AN1887" i="16" s="1"/>
  <c r="AD1902" i="16"/>
  <c r="AF1902" i="16" s="1"/>
  <c r="AL1904" i="16"/>
  <c r="AN1904" i="16" s="1"/>
  <c r="AD1913" i="16"/>
  <c r="AF1913" i="16" s="1"/>
  <c r="AL1913" i="16"/>
  <c r="AN1913" i="16" s="1"/>
  <c r="AD1918" i="16"/>
  <c r="AF1918" i="16" s="1"/>
  <c r="AL1920" i="16"/>
  <c r="AN1920" i="16" s="1"/>
  <c r="AD1929" i="16"/>
  <c r="AF1929" i="16" s="1"/>
  <c r="AL1929" i="16"/>
  <c r="AN1929" i="16" s="1"/>
  <c r="AD1934" i="16"/>
  <c r="AF1934" i="16" s="1"/>
  <c r="AL1936" i="16"/>
  <c r="AN1936" i="16" s="1"/>
  <c r="AD1947" i="16"/>
  <c r="AF1947" i="16" s="1"/>
  <c r="AL1890" i="16"/>
  <c r="AN1890" i="16" s="1"/>
  <c r="AL1898" i="16"/>
  <c r="AN1898" i="16" s="1"/>
  <c r="AL1906" i="16"/>
  <c r="AN1906" i="16" s="1"/>
  <c r="AL1914" i="16"/>
  <c r="AN1914" i="16" s="1"/>
  <c r="AL1922" i="16"/>
  <c r="AN1922" i="16" s="1"/>
  <c r="AL1930" i="16"/>
  <c r="AN1930" i="16" s="1"/>
  <c r="AL1938" i="16"/>
  <c r="AN1938" i="16" s="1"/>
  <c r="AL1946" i="16"/>
  <c r="AN1946" i="16" s="1"/>
  <c r="AL1952" i="16"/>
  <c r="AN1952" i="16" s="1"/>
  <c r="O2015" i="16"/>
  <c r="S2015" i="16" s="1"/>
  <c r="AL2015" i="16"/>
  <c r="AN2015" i="16" s="1"/>
  <c r="AD1952" i="16"/>
  <c r="AF1952" i="16" s="1"/>
  <c r="AL1981" i="16"/>
  <c r="AN1981" i="16" s="1"/>
  <c r="AD1984" i="16"/>
  <c r="AF1984" i="16" s="1"/>
  <c r="AD1986" i="16"/>
  <c r="AF1986" i="16" s="1"/>
  <c r="AL1999" i="16"/>
  <c r="AN1999" i="16" s="1"/>
  <c r="AD2003" i="16"/>
  <c r="AF2003" i="16" s="1"/>
  <c r="AL2003" i="16"/>
  <c r="AN2003" i="16" s="1"/>
  <c r="AL2010" i="16"/>
  <c r="AN2010" i="16" s="1"/>
  <c r="AD2012" i="16"/>
  <c r="AF2012" i="16" s="1"/>
  <c r="O1953" i="16"/>
  <c r="S1953" i="16" s="1"/>
  <c r="AD1956" i="16"/>
  <c r="AF1956" i="16" s="1"/>
  <c r="AL1957" i="16"/>
  <c r="AN1957" i="16" s="1"/>
  <c r="AD1960" i="16"/>
  <c r="AF1960" i="16" s="1"/>
  <c r="AL2005" i="16"/>
  <c r="AN2005" i="16" s="1"/>
  <c r="AL1895" i="16"/>
  <c r="AN1895" i="16" s="1"/>
  <c r="AL1903" i="16"/>
  <c r="AN1903" i="16" s="1"/>
  <c r="AL1911" i="16"/>
  <c r="AN1911" i="16" s="1"/>
  <c r="AL1919" i="16"/>
  <c r="AN1919" i="16" s="1"/>
  <c r="AL1927" i="16"/>
  <c r="AN1927" i="16" s="1"/>
  <c r="AL1935" i="16"/>
  <c r="AN1935" i="16" s="1"/>
  <c r="AD1987" i="16"/>
  <c r="AF1987" i="16" s="1"/>
  <c r="AL1987" i="16"/>
  <c r="AN1987" i="16" s="1"/>
  <c r="AL1954" i="16"/>
  <c r="AN1954" i="16" s="1"/>
  <c r="AL1959" i="16"/>
  <c r="AN1959" i="16" s="1"/>
  <c r="AD1976" i="16"/>
  <c r="AF1976" i="16" s="1"/>
  <c r="AD1978" i="16"/>
  <c r="AF1978" i="16" s="1"/>
  <c r="AL1989" i="16"/>
  <c r="AN1989" i="16" s="1"/>
  <c r="AD1992" i="16"/>
  <c r="AF1992" i="16" s="1"/>
  <c r="AD1994" i="16"/>
  <c r="AF1994" i="16" s="1"/>
  <c r="AL2007" i="16"/>
  <c r="AN2007" i="16" s="1"/>
  <c r="AD2011" i="16"/>
  <c r="AF2011" i="16" s="1"/>
  <c r="AL2011" i="16"/>
  <c r="AN2011" i="16" s="1"/>
  <c r="AL1885" i="16"/>
  <c r="AN1885" i="16" s="1"/>
  <c r="AL1893" i="16"/>
  <c r="AN1893" i="16" s="1"/>
  <c r="AD1954" i="16"/>
  <c r="AF1954" i="16" s="1"/>
  <c r="AL1955" i="16"/>
  <c r="AN1955" i="16" s="1"/>
  <c r="AL2013" i="16"/>
  <c r="AN2013" i="16" s="1"/>
  <c r="AD1995" i="16"/>
  <c r="AF1995" i="16" s="1"/>
  <c r="AL1995" i="16"/>
  <c r="AN1995" i="16" s="1"/>
  <c r="AL2002" i="16"/>
  <c r="AN2002" i="16" s="1"/>
  <c r="AL1953" i="16"/>
  <c r="AN1953" i="16" s="1"/>
  <c r="AD1958" i="16"/>
  <c r="AF1958" i="16" s="1"/>
  <c r="AD1968" i="16"/>
  <c r="AF1968" i="16" s="1"/>
  <c r="AL1979" i="16"/>
  <c r="AN1979" i="16" s="1"/>
  <c r="AD1982" i="16"/>
  <c r="AF1982" i="16" s="1"/>
  <c r="AL1997" i="16"/>
  <c r="AN1997" i="16" s="1"/>
  <c r="AD2000" i="16"/>
  <c r="AF2000" i="16" s="1"/>
  <c r="AD2002" i="16"/>
  <c r="AF2002" i="16" s="1"/>
  <c r="AL1965" i="16"/>
  <c r="AN1965" i="16" s="1"/>
  <c r="AL1973" i="16"/>
  <c r="AN1973" i="16" s="1"/>
  <c r="AD2021" i="16"/>
  <c r="AF2021" i="16" s="1"/>
  <c r="AL2021" i="16"/>
  <c r="AN2021" i="16" s="1"/>
  <c r="AD2045" i="16"/>
  <c r="AF2045" i="16" s="1"/>
  <c r="AL2045" i="16"/>
  <c r="AN2045" i="16" s="1"/>
  <c r="AD2062" i="16"/>
  <c r="AF2062" i="16" s="1"/>
  <c r="AD2064" i="16"/>
  <c r="AF2064" i="16" s="1"/>
  <c r="AD2072" i="16"/>
  <c r="AF2072" i="16" s="1"/>
  <c r="AL1963" i="16"/>
  <c r="AN1963" i="16" s="1"/>
  <c r="AL1971" i="16"/>
  <c r="AN1971" i="16" s="1"/>
  <c r="AD2016" i="16"/>
  <c r="AF2016" i="16" s="1"/>
  <c r="AD2017" i="16"/>
  <c r="AF2017" i="16" s="1"/>
  <c r="AD2018" i="16"/>
  <c r="AF2018" i="16" s="1"/>
  <c r="AL2024" i="16"/>
  <c r="AN2024" i="16" s="1"/>
  <c r="AL2031" i="16"/>
  <c r="AN2031" i="16" s="1"/>
  <c r="AL2038" i="16"/>
  <c r="AN2038" i="16" s="1"/>
  <c r="AD2040" i="16"/>
  <c r="AF2040" i="16" s="1"/>
  <c r="AD2058" i="16"/>
  <c r="AF2058" i="16" s="1"/>
  <c r="AD2070" i="16"/>
  <c r="AF2070" i="16" s="1"/>
  <c r="AD2024" i="16"/>
  <c r="AF2024" i="16" s="1"/>
  <c r="AD2029" i="16"/>
  <c r="AF2029" i="16" s="1"/>
  <c r="AL2029" i="16"/>
  <c r="AN2029" i="16" s="1"/>
  <c r="AD2031" i="16"/>
  <c r="AF2031" i="16" s="1"/>
  <c r="AD2036" i="16"/>
  <c r="AF2036" i="16" s="1"/>
  <c r="AL2036" i="16"/>
  <c r="AN2036" i="16" s="1"/>
  <c r="AD2038" i="16"/>
  <c r="AF2038" i="16" s="1"/>
  <c r="AD2042" i="16"/>
  <c r="AF2042" i="16" s="1"/>
  <c r="AL2053" i="16"/>
  <c r="AN2053" i="16" s="1"/>
  <c r="AL2061" i="16"/>
  <c r="AN2061" i="16" s="1"/>
  <c r="AD2066" i="16"/>
  <c r="AF2066" i="16" s="1"/>
  <c r="AL1961" i="16"/>
  <c r="AN1961" i="16" s="1"/>
  <c r="AL1969" i="16"/>
  <c r="AN1969" i="16" s="1"/>
  <c r="AL1977" i="16"/>
  <c r="AN1977" i="16" s="1"/>
  <c r="AL1985" i="16"/>
  <c r="AN1985" i="16" s="1"/>
  <c r="AL1993" i="16"/>
  <c r="AN1993" i="16" s="1"/>
  <c r="AL2001" i="16"/>
  <c r="AN2001" i="16" s="1"/>
  <c r="AL2009" i="16"/>
  <c r="AN2009" i="16" s="1"/>
  <c r="AD2020" i="16"/>
  <c r="AF2020" i="16" s="1"/>
  <c r="AL2020" i="16"/>
  <c r="AN2020" i="16" s="1"/>
  <c r="AD2022" i="16"/>
  <c r="AF2022" i="16" s="1"/>
  <c r="AD2044" i="16"/>
  <c r="AF2044" i="16" s="1"/>
  <c r="AD2050" i="16"/>
  <c r="AF2050" i="16" s="1"/>
  <c r="AD2039" i="16"/>
  <c r="AF2039" i="16" s="1"/>
  <c r="AL2052" i="16"/>
  <c r="AN2052" i="16" s="1"/>
  <c r="AD2015" i="16"/>
  <c r="AF2015" i="16" s="1"/>
  <c r="AL2023" i="16"/>
  <c r="AN2023" i="16" s="1"/>
  <c r="AD2028" i="16"/>
  <c r="AF2028" i="16" s="1"/>
  <c r="AL2028" i="16"/>
  <c r="AN2028" i="16" s="1"/>
  <c r="AL2030" i="16"/>
  <c r="AN2030" i="16" s="1"/>
  <c r="AD2032" i="16"/>
  <c r="AF2032" i="16" s="1"/>
  <c r="AD2037" i="16"/>
  <c r="AF2037" i="16" s="1"/>
  <c r="AL2037" i="16"/>
  <c r="AN2037" i="16" s="1"/>
  <c r="AL2043" i="16"/>
  <c r="AN2043" i="16" s="1"/>
  <c r="AL2047" i="16"/>
  <c r="AN2047" i="16" s="1"/>
  <c r="AD2052" i="16"/>
  <c r="AF2052" i="16" s="1"/>
  <c r="AL2054" i="16"/>
  <c r="AN2054" i="16" s="1"/>
  <c r="AD2060" i="16"/>
  <c r="AF2060" i="16" s="1"/>
  <c r="AL2067" i="16"/>
  <c r="AN2067" i="16" s="1"/>
  <c r="AL2049" i="16"/>
  <c r="AN2049" i="16" s="1"/>
  <c r="AL2057" i="16"/>
  <c r="AN2057" i="16" s="1"/>
  <c r="AL2065" i="16"/>
  <c r="AN2065" i="16" s="1"/>
  <c r="AD2076" i="16"/>
  <c r="AF2076" i="16" s="1"/>
  <c r="AL2076" i="16"/>
  <c r="AN2076" i="16" s="1"/>
  <c r="AL2077" i="16"/>
  <c r="AN2077" i="16" s="1"/>
  <c r="AD2100" i="16"/>
  <c r="AF2100" i="16" s="1"/>
  <c r="AL2100" i="16"/>
  <c r="AN2100" i="16" s="1"/>
  <c r="AL2071" i="16"/>
  <c r="AN2071" i="16" s="1"/>
  <c r="AD2075" i="16"/>
  <c r="AF2075" i="16" s="1"/>
  <c r="AL2075" i="16"/>
  <c r="AN2075" i="16" s="1"/>
  <c r="AD2077" i="16"/>
  <c r="AF2077" i="16" s="1"/>
  <c r="AD2087" i="16"/>
  <c r="AF2087" i="16" s="1"/>
  <c r="AD2092" i="16"/>
  <c r="AF2092" i="16" s="1"/>
  <c r="AL2092" i="16"/>
  <c r="AN2092" i="16" s="1"/>
  <c r="AL2094" i="16"/>
  <c r="AN2094" i="16" s="1"/>
  <c r="AD2105" i="16"/>
  <c r="AF2105" i="16" s="1"/>
  <c r="AL2112" i="16"/>
  <c r="AN2112" i="16" s="1"/>
  <c r="AL2055" i="16"/>
  <c r="AN2055" i="16" s="1"/>
  <c r="AL2063" i="16"/>
  <c r="AN2063" i="16" s="1"/>
  <c r="AD2084" i="16"/>
  <c r="AF2084" i="16" s="1"/>
  <c r="AL2084" i="16"/>
  <c r="AN2084" i="16" s="1"/>
  <c r="AD2120" i="16"/>
  <c r="AF2120" i="16" s="1"/>
  <c r="AL2120" i="16"/>
  <c r="AN2120" i="16" s="1"/>
  <c r="AL2080" i="16"/>
  <c r="AN2080" i="16" s="1"/>
  <c r="AL2086" i="16"/>
  <c r="AN2086" i="16" s="1"/>
  <c r="AD2089" i="16"/>
  <c r="AF2089" i="16" s="1"/>
  <c r="AL2096" i="16"/>
  <c r="AN2096" i="16" s="1"/>
  <c r="AD2115" i="16"/>
  <c r="AF2115" i="16" s="1"/>
  <c r="AD2117" i="16"/>
  <c r="AF2117" i="16" s="1"/>
  <c r="AL2079" i="16"/>
  <c r="AN2079" i="16" s="1"/>
  <c r="AL2083" i="16"/>
  <c r="AN2083" i="16" s="1"/>
  <c r="AD2099" i="16"/>
  <c r="AF2099" i="16" s="1"/>
  <c r="AD2101" i="16"/>
  <c r="AF2101" i="16" s="1"/>
  <c r="AD2111" i="16"/>
  <c r="AF2111" i="16" s="1"/>
  <c r="AD2103" i="16"/>
  <c r="AF2103" i="16" s="1"/>
  <c r="AD2116" i="16"/>
  <c r="AF2116" i="16" s="1"/>
  <c r="AL2116" i="16"/>
  <c r="AN2116" i="16" s="1"/>
  <c r="O2078" i="16"/>
  <c r="S2078" i="16" s="1"/>
  <c r="AD2078" i="16"/>
  <c r="AF2078" i="16" s="1"/>
  <c r="AL2085" i="16"/>
  <c r="AN2085" i="16" s="1"/>
  <c r="AL2090" i="16"/>
  <c r="AN2090" i="16" s="1"/>
  <c r="AD2095" i="16"/>
  <c r="AF2095" i="16" s="1"/>
  <c r="AD2108" i="16"/>
  <c r="AF2108" i="16" s="1"/>
  <c r="AL2108" i="16"/>
  <c r="AN2108" i="16" s="1"/>
  <c r="AL2110" i="16"/>
  <c r="AN2110" i="16" s="1"/>
  <c r="AD2123" i="16"/>
  <c r="AF2123" i="16" s="1"/>
  <c r="AL2123" i="16"/>
  <c r="AN2123" i="16" s="1"/>
  <c r="AD2131" i="16"/>
  <c r="AF2131" i="16" s="1"/>
  <c r="AL2131" i="16"/>
  <c r="AN2131" i="16" s="1"/>
  <c r="AL2141" i="16"/>
  <c r="AN2141" i="16" s="1"/>
  <c r="AL2154" i="16"/>
  <c r="AN2154" i="16" s="1"/>
  <c r="AL2122" i="16"/>
  <c r="AN2122" i="16" s="1"/>
  <c r="AL2137" i="16"/>
  <c r="AN2137" i="16" s="1"/>
  <c r="AD2141" i="16"/>
  <c r="AF2141" i="16" s="1"/>
  <c r="AL2151" i="16"/>
  <c r="AN2151" i="16" s="1"/>
  <c r="AD2154" i="16"/>
  <c r="AF2154" i="16" s="1"/>
  <c r="AD2139" i="16"/>
  <c r="AF2139" i="16" s="1"/>
  <c r="AL2139" i="16"/>
  <c r="AN2139" i="16" s="1"/>
  <c r="AD2122" i="16"/>
  <c r="AF2122" i="16" s="1"/>
  <c r="AD2147" i="16"/>
  <c r="AF2147" i="16" s="1"/>
  <c r="AL2147" i="16"/>
  <c r="AN2147" i="16" s="1"/>
  <c r="AD2157" i="16"/>
  <c r="AF2157" i="16" s="1"/>
  <c r="AD2127" i="16"/>
  <c r="AF2127" i="16" s="1"/>
  <c r="AL2130" i="16"/>
  <c r="AN2130" i="16" s="1"/>
  <c r="AL2132" i="16"/>
  <c r="AN2132" i="16" s="1"/>
  <c r="AD2134" i="16"/>
  <c r="AF2134" i="16" s="1"/>
  <c r="AD2155" i="16"/>
  <c r="AF2155" i="16" s="1"/>
  <c r="AL2155" i="16"/>
  <c r="AN2155" i="16" s="1"/>
  <c r="AL2124" i="16"/>
  <c r="AN2124" i="16" s="1"/>
  <c r="AD2130" i="16"/>
  <c r="AF2130" i="16" s="1"/>
  <c r="AD2132" i="16"/>
  <c r="AF2132" i="16" s="1"/>
  <c r="AD2136" i="16"/>
  <c r="AF2136" i="16" s="1"/>
  <c r="AL2126" i="16"/>
  <c r="AN2126" i="16" s="1"/>
  <c r="AL2138" i="16"/>
  <c r="AN2138" i="16" s="1"/>
  <c r="AL2148" i="16"/>
  <c r="AN2148" i="16" s="1"/>
  <c r="O2161" i="16"/>
  <c r="S2161" i="16" s="1"/>
  <c r="AL2161" i="16"/>
  <c r="AN2161" i="16" s="1"/>
  <c r="AD2126" i="16"/>
  <c r="AF2126" i="16" s="1"/>
  <c r="AL2129" i="16"/>
  <c r="AN2129" i="16" s="1"/>
  <c r="AL2133" i="16"/>
  <c r="AN2133" i="16" s="1"/>
  <c r="AL2135" i="16"/>
  <c r="AN2135" i="16" s="1"/>
  <c r="AD2138" i="16"/>
  <c r="AF2138" i="16" s="1"/>
  <c r="AL2146" i="16"/>
  <c r="AN2146" i="16" s="1"/>
  <c r="AD2148" i="16"/>
  <c r="AF2148" i="16" s="1"/>
  <c r="AD2152" i="16"/>
  <c r="AF2152" i="16" s="1"/>
  <c r="AL2156" i="16"/>
  <c r="AN2156" i="16" s="1"/>
  <c r="AD2158" i="16"/>
  <c r="AF2158" i="16" s="1"/>
  <c r="AD2160" i="16"/>
  <c r="AF2160" i="16" s="1"/>
  <c r="AD2199" i="16"/>
  <c r="AF2199" i="16" s="1"/>
  <c r="AL2199" i="16"/>
  <c r="AN2199" i="16" s="1"/>
  <c r="AD2214" i="16"/>
  <c r="AF2214" i="16" s="1"/>
  <c r="AL2214" i="16"/>
  <c r="AN2214" i="16" s="1"/>
  <c r="O2243" i="16"/>
  <c r="S2243" i="16" s="1"/>
  <c r="AL2243" i="16"/>
  <c r="AN2243" i="16" s="1"/>
  <c r="AL2170" i="16"/>
  <c r="AN2170" i="16" s="1"/>
  <c r="AL2173" i="16"/>
  <c r="AN2173" i="16" s="1"/>
  <c r="O2188" i="16"/>
  <c r="S2188" i="16" s="1"/>
  <c r="AD2169" i="16"/>
  <c r="AF2169" i="16" s="1"/>
  <c r="AD2171" i="16"/>
  <c r="AF2171" i="16" s="1"/>
  <c r="AD2174" i="16"/>
  <c r="AF2174" i="16" s="1"/>
  <c r="AD2182" i="16"/>
  <c r="AF2182" i="16" s="1"/>
  <c r="AD2187" i="16"/>
  <c r="AF2187" i="16" s="1"/>
  <c r="AL2181" i="16"/>
  <c r="AN2181" i="16" s="1"/>
  <c r="AL2188" i="16"/>
  <c r="AN2188" i="16" s="1"/>
  <c r="AD2191" i="16"/>
  <c r="AF2191" i="16" s="1"/>
  <c r="AL2191" i="16"/>
  <c r="AN2191" i="16" s="1"/>
  <c r="AD2193" i="16"/>
  <c r="AF2193" i="16" s="1"/>
  <c r="O2225" i="16"/>
  <c r="S2225" i="16" s="1"/>
  <c r="AL2225" i="16"/>
  <c r="AN2225" i="16" s="1"/>
  <c r="AL2163" i="16"/>
  <c r="AN2163" i="16" s="1"/>
  <c r="AL2172" i="16"/>
  <c r="AN2172" i="16" s="1"/>
  <c r="AL2179" i="16"/>
  <c r="AN2179" i="16" s="1"/>
  <c r="O2180" i="16"/>
  <c r="S2180" i="16" s="1"/>
  <c r="AD2198" i="16"/>
  <c r="AF2198" i="16" s="1"/>
  <c r="AL2211" i="16"/>
  <c r="AN2211" i="16" s="1"/>
  <c r="AD2211" i="16"/>
  <c r="AF2211" i="16" s="1"/>
  <c r="O2184" i="16"/>
  <c r="S2184" i="16" s="1"/>
  <c r="AD2247" i="16"/>
  <c r="AF2247" i="16" s="1"/>
  <c r="AL2247" i="16"/>
  <c r="AN2247" i="16" s="1"/>
  <c r="AD2167" i="16"/>
  <c r="AF2167" i="16" s="1"/>
  <c r="AL2167" i="16"/>
  <c r="AN2167" i="16" s="1"/>
  <c r="AL2180" i="16"/>
  <c r="AN2180" i="16" s="1"/>
  <c r="AD2183" i="16"/>
  <c r="AF2183" i="16" s="1"/>
  <c r="AL2183" i="16"/>
  <c r="AN2183" i="16" s="1"/>
  <c r="AL2195" i="16"/>
  <c r="AN2195" i="16" s="1"/>
  <c r="AL2166" i="16"/>
  <c r="AN2166" i="16" s="1"/>
  <c r="O2168" i="16"/>
  <c r="S2168" i="16" s="1"/>
  <c r="AD2168" i="16"/>
  <c r="AF2168" i="16" s="1"/>
  <c r="AD2175" i="16"/>
  <c r="AF2175" i="16" s="1"/>
  <c r="AL2175" i="16"/>
  <c r="AN2175" i="16" s="1"/>
  <c r="O2176" i="16"/>
  <c r="S2176" i="16" s="1"/>
  <c r="AD2176" i="16"/>
  <c r="AF2176" i="16" s="1"/>
  <c r="AD2190" i="16"/>
  <c r="AF2190" i="16" s="1"/>
  <c r="AD2195" i="16"/>
  <c r="AF2195" i="16" s="1"/>
  <c r="O2200" i="16"/>
  <c r="S2200" i="16" s="1"/>
  <c r="AD2200" i="16"/>
  <c r="AF2200" i="16" s="1"/>
  <c r="AL2210" i="16"/>
  <c r="AN2210" i="16" s="1"/>
  <c r="AD2218" i="16"/>
  <c r="AF2218" i="16" s="1"/>
  <c r="AD2255" i="16"/>
  <c r="AF2255" i="16" s="1"/>
  <c r="AL2255" i="16"/>
  <c r="AN2255" i="16" s="1"/>
  <c r="AL2207" i="16"/>
  <c r="AN2207" i="16" s="1"/>
  <c r="O2217" i="16"/>
  <c r="S2217" i="16" s="1"/>
  <c r="AD2224" i="16"/>
  <c r="AF2224" i="16" s="1"/>
  <c r="AD2230" i="16"/>
  <c r="AF2230" i="16" s="1"/>
  <c r="AL2230" i="16"/>
  <c r="AN2230" i="16" s="1"/>
  <c r="AD2242" i="16"/>
  <c r="AF2242" i="16" s="1"/>
  <c r="AD2252" i="16"/>
  <c r="AF2252" i="16" s="1"/>
  <c r="AD2258" i="16"/>
  <c r="AF2258" i="16" s="1"/>
  <c r="AL2208" i="16"/>
  <c r="AN2208" i="16" s="1"/>
  <c r="AL2216" i="16"/>
  <c r="AN2216" i="16" s="1"/>
  <c r="AD2222" i="16"/>
  <c r="AF2222" i="16" s="1"/>
  <c r="AL2222" i="16"/>
  <c r="AN2222" i="16" s="1"/>
  <c r="AL2229" i="16"/>
  <c r="AN2229" i="16" s="1"/>
  <c r="AL2240" i="16"/>
  <c r="AN2240" i="16" s="1"/>
  <c r="O2241" i="16"/>
  <c r="S2241" i="16" s="1"/>
  <c r="AD2246" i="16"/>
  <c r="AF2246" i="16" s="1"/>
  <c r="AL2246" i="16"/>
  <c r="AN2246" i="16" s="1"/>
  <c r="AL2251" i="16"/>
  <c r="AN2251" i="16" s="1"/>
  <c r="AD2239" i="16"/>
  <c r="AF2239" i="16" s="1"/>
  <c r="AL2239" i="16"/>
  <c r="AN2239" i="16" s="1"/>
  <c r="AD2254" i="16"/>
  <c r="AF2254" i="16" s="1"/>
  <c r="AL2254" i="16"/>
  <c r="AN2254" i="16" s="1"/>
  <c r="AD2210" i="16"/>
  <c r="AF2210" i="16" s="1"/>
  <c r="AD2234" i="16"/>
  <c r="AF2234" i="16" s="1"/>
  <c r="AD2235" i="16"/>
  <c r="AF2235" i="16" s="1"/>
  <c r="AL2245" i="16"/>
  <c r="AN2245" i="16" s="1"/>
  <c r="AL2250" i="16"/>
  <c r="AN2250" i="16" s="1"/>
  <c r="AD2251" i="16"/>
  <c r="AF2251" i="16" s="1"/>
  <c r="AD2257" i="16"/>
  <c r="AF2257" i="16" s="1"/>
  <c r="AL2256" i="16"/>
  <c r="AN2256" i="16" s="1"/>
  <c r="AL2209" i="16"/>
  <c r="AN2209" i="16" s="1"/>
  <c r="O2219" i="16"/>
  <c r="S2219" i="16" s="1"/>
  <c r="AD2226" i="16"/>
  <c r="AF2226" i="16" s="1"/>
  <c r="AD2231" i="16"/>
  <c r="AF2231" i="16" s="1"/>
  <c r="AL2231" i="16"/>
  <c r="AN2231" i="16" s="1"/>
  <c r="AD2232" i="16"/>
  <c r="AF2232" i="16" s="1"/>
  <c r="AD2238" i="16"/>
  <c r="AF2238" i="16" s="1"/>
  <c r="AL2238" i="16"/>
  <c r="AN2238" i="16" s="1"/>
  <c r="AL2248" i="16"/>
  <c r="AN2248" i="16" s="1"/>
  <c r="O2249" i="16"/>
  <c r="S2249" i="16" s="1"/>
  <c r="AD2249" i="16"/>
  <c r="AF2249" i="16" s="1"/>
  <c r="AD2256" i="16"/>
  <c r="AF2256" i="16" s="1"/>
  <c r="AD2259" i="16"/>
  <c r="AF2259" i="16" s="1"/>
  <c r="AL2215" i="16"/>
  <c r="AN2215" i="16" s="1"/>
  <c r="J329" i="39"/>
  <c r="H329" i="39"/>
  <c r="J328" i="39"/>
  <c r="H328" i="39"/>
  <c r="J327" i="39"/>
  <c r="H327" i="39"/>
  <c r="J326" i="39"/>
  <c r="H326" i="39"/>
  <c r="J325" i="39"/>
  <c r="H325" i="39"/>
  <c r="J324" i="39"/>
  <c r="H324" i="39"/>
  <c r="J323" i="39"/>
  <c r="H323" i="39"/>
  <c r="J322" i="39"/>
  <c r="H322" i="39"/>
  <c r="J321" i="39"/>
  <c r="H321" i="39"/>
  <c r="J320" i="39"/>
  <c r="H320" i="39"/>
  <c r="J37" i="5"/>
  <c r="H37" i="5"/>
  <c r="I37" i="5" s="1"/>
  <c r="J36" i="5"/>
  <c r="H36" i="5"/>
  <c r="I36" i="5" s="1"/>
  <c r="J484" i="11"/>
  <c r="H484" i="11"/>
  <c r="I484" i="11" s="1"/>
  <c r="J483" i="11"/>
  <c r="H483" i="11"/>
  <c r="I483" i="11" s="1"/>
  <c r="J482" i="11"/>
  <c r="H482" i="11"/>
  <c r="I482" i="11" s="1"/>
  <c r="J481" i="11"/>
  <c r="H481" i="11"/>
  <c r="I481" i="11" s="1"/>
  <c r="J480" i="11"/>
  <c r="H480" i="11"/>
  <c r="I480" i="11" s="1"/>
  <c r="J479" i="11"/>
  <c r="H479" i="11"/>
  <c r="I479" i="11" s="1"/>
  <c r="J478" i="11"/>
  <c r="H478" i="11"/>
  <c r="I478" i="11" s="1"/>
  <c r="J477" i="11"/>
  <c r="H477" i="11"/>
  <c r="I477" i="11" s="1"/>
  <c r="J476" i="11"/>
  <c r="H476" i="11"/>
  <c r="I476" i="11" s="1"/>
  <c r="J475" i="11"/>
  <c r="H475" i="11"/>
  <c r="I475" i="11" s="1"/>
  <c r="J474" i="11"/>
  <c r="H474" i="11"/>
  <c r="I474" i="11" s="1"/>
  <c r="J473" i="11"/>
  <c r="H473" i="11"/>
  <c r="I473" i="11" s="1"/>
  <c r="J472" i="11"/>
  <c r="H472" i="11"/>
  <c r="I472" i="11" s="1"/>
  <c r="J21" i="5"/>
  <c r="H21" i="5"/>
  <c r="I21" i="5" s="1"/>
  <c r="J20" i="5"/>
  <c r="H20" i="5"/>
  <c r="I20" i="5" s="1"/>
  <c r="J526" i="11"/>
  <c r="H526" i="11"/>
  <c r="I526" i="11" s="1"/>
  <c r="J525" i="11"/>
  <c r="H525" i="11"/>
  <c r="I525" i="11" s="1"/>
  <c r="J13" i="5"/>
  <c r="H13" i="5"/>
  <c r="I13" i="5" s="1"/>
  <c r="J35" i="11"/>
  <c r="H35" i="11"/>
  <c r="I35" i="11" s="1"/>
  <c r="J34" i="11"/>
  <c r="H34" i="11"/>
  <c r="I34" i="11" s="1"/>
  <c r="J33" i="11"/>
  <c r="H33" i="11"/>
  <c r="I33" i="11" s="1"/>
  <c r="J32" i="11"/>
  <c r="H32" i="11"/>
  <c r="I32" i="11" s="1"/>
  <c r="J31" i="11"/>
  <c r="H31" i="11"/>
  <c r="I31" i="11" s="1"/>
  <c r="J30" i="11"/>
  <c r="H30" i="11"/>
  <c r="I30" i="11" s="1"/>
  <c r="J29" i="11"/>
  <c r="H29" i="11"/>
  <c r="I29" i="11" s="1"/>
  <c r="J28" i="11"/>
  <c r="H28" i="11"/>
  <c r="I28" i="11" s="1"/>
  <c r="J27" i="11"/>
  <c r="H27" i="11"/>
  <c r="I27" i="11" s="1"/>
  <c r="J26" i="11"/>
  <c r="H26" i="11"/>
  <c r="I26" i="11" s="1"/>
  <c r="J25" i="11"/>
  <c r="H25" i="11"/>
  <c r="I25" i="11" s="1"/>
  <c r="J24" i="11"/>
  <c r="H24" i="11"/>
  <c r="I24" i="11" s="1"/>
  <c r="AF1129" i="16" l="1"/>
  <c r="S1244" i="16"/>
  <c r="T1244" i="16" s="1"/>
  <c r="AE1244" i="16" s="1"/>
  <c r="S1245" i="16"/>
  <c r="T1245" i="16" s="1"/>
  <c r="AE1245" i="16" s="1"/>
  <c r="AF1245" i="16" s="1"/>
  <c r="AF1113" i="16"/>
  <c r="S1287" i="16"/>
  <c r="T1287" i="16" s="1"/>
  <c r="AE1287" i="16" s="1"/>
  <c r="AC235" i="16"/>
  <c r="AD235" i="16" s="1"/>
  <c r="Q235" i="16"/>
  <c r="R235" i="16" s="1"/>
  <c r="S1303" i="16"/>
  <c r="T1303" i="16" s="1"/>
  <c r="AE1303" i="16" s="1"/>
  <c r="AF1303" i="16" s="1"/>
  <c r="AG1303" i="16" s="1"/>
  <c r="AF1240" i="16"/>
  <c r="S1296" i="16"/>
  <c r="T1296" i="16" s="1"/>
  <c r="AE1296" i="16" s="1"/>
  <c r="AF1296" i="16" s="1"/>
  <c r="S1183" i="16"/>
  <c r="T1183" i="16" s="1"/>
  <c r="AE1183" i="16" s="1"/>
  <c r="S1112" i="16"/>
  <c r="T1112" i="16" s="1"/>
  <c r="AE1112" i="16" s="1"/>
  <c r="AF1112" i="16" s="1"/>
  <c r="AG1112" i="16" s="1"/>
  <c r="S1270" i="16"/>
  <c r="T1270" i="16" s="1"/>
  <c r="AE1270" i="16" s="1"/>
  <c r="S1237" i="16"/>
  <c r="T1237" i="16" s="1"/>
  <c r="AE1237" i="16" s="1"/>
  <c r="AL1303" i="16"/>
  <c r="AN1303" i="16" s="1"/>
  <c r="S1288" i="16"/>
  <c r="T1288" i="16" s="1"/>
  <c r="AE1288" i="16" s="1"/>
  <c r="AF1288" i="16" s="1"/>
  <c r="O1302" i="16"/>
  <c r="S1302" i="16" s="1"/>
  <c r="T1302" i="16" s="1"/>
  <c r="AE1302" i="16" s="1"/>
  <c r="S1059" i="16"/>
  <c r="T1059" i="16" s="1"/>
  <c r="AE1059" i="16" s="1"/>
  <c r="S848" i="16"/>
  <c r="T848" i="16" s="1"/>
  <c r="AE848" i="16" s="1"/>
  <c r="S1279" i="16"/>
  <c r="T1279" i="16" s="1"/>
  <c r="AE1279" i="16" s="1"/>
  <c r="AF1279" i="16" s="1"/>
  <c r="AI1279" i="16" s="1"/>
  <c r="AJ1279" i="16" s="1"/>
  <c r="S1080" i="16"/>
  <c r="T1080" i="16" s="1"/>
  <c r="AE1080" i="16" s="1"/>
  <c r="S1041" i="16"/>
  <c r="T1041" i="16" s="1"/>
  <c r="AE1041" i="16" s="1"/>
  <c r="S1268" i="16"/>
  <c r="T1268" i="16" s="1"/>
  <c r="AE1268" i="16" s="1"/>
  <c r="AF1268" i="16" s="1"/>
  <c r="S1276" i="16"/>
  <c r="T1276" i="16" s="1"/>
  <c r="AE1276" i="16" s="1"/>
  <c r="AF1276" i="16" s="1"/>
  <c r="S852" i="16"/>
  <c r="T852" i="16" s="1"/>
  <c r="AE852" i="16" s="1"/>
  <c r="S897" i="16"/>
  <c r="T897" i="16" s="1"/>
  <c r="AE897" i="16" s="1"/>
  <c r="AF897" i="16" s="1"/>
  <c r="S770" i="16"/>
  <c r="T770" i="16" s="1"/>
  <c r="AE770" i="16" s="1"/>
  <c r="S722" i="16"/>
  <c r="T722" i="16" s="1"/>
  <c r="AE722" i="16" s="1"/>
  <c r="S1281" i="16"/>
  <c r="T1281" i="16" s="1"/>
  <c r="AE1281" i="16" s="1"/>
  <c r="S1073" i="16"/>
  <c r="T1073" i="16" s="1"/>
  <c r="AE1073" i="16" s="1"/>
  <c r="S1203" i="16"/>
  <c r="T1203" i="16" s="1"/>
  <c r="AE1203" i="16" s="1"/>
  <c r="AF1203" i="16" s="1"/>
  <c r="AI1203" i="16" s="1"/>
  <c r="AJ1203" i="16" s="1"/>
  <c r="S1238" i="16"/>
  <c r="T1238" i="16" s="1"/>
  <c r="AE1238" i="16" s="1"/>
  <c r="AF1238" i="16" s="1"/>
  <c r="AI1238" i="16" s="1"/>
  <c r="AJ1238" i="16" s="1"/>
  <c r="S1199" i="16"/>
  <c r="T1199" i="16" s="1"/>
  <c r="AE1199" i="16" s="1"/>
  <c r="S1137" i="16"/>
  <c r="T1137" i="16" s="1"/>
  <c r="AE1137" i="16" s="1"/>
  <c r="AF1137" i="16" s="1"/>
  <c r="AI1137" i="16" s="1"/>
  <c r="AJ1137" i="16" s="1"/>
  <c r="S1290" i="16"/>
  <c r="T1290" i="16" s="1"/>
  <c r="AE1290" i="16" s="1"/>
  <c r="AF1290" i="16" s="1"/>
  <c r="O1305" i="16"/>
  <c r="S1305" i="16" s="1"/>
  <c r="T1305" i="16" s="1"/>
  <c r="AE1305" i="16" s="1"/>
  <c r="AF1305" i="16" s="1"/>
  <c r="S1141" i="16"/>
  <c r="T1141" i="16" s="1"/>
  <c r="AE1141" i="16" s="1"/>
  <c r="S1300" i="16"/>
  <c r="T1300" i="16" s="1"/>
  <c r="AE1300" i="16" s="1"/>
  <c r="AL1300" i="16"/>
  <c r="AN1300" i="16" s="1"/>
  <c r="AF1270" i="16"/>
  <c r="S1304" i="16"/>
  <c r="T1304" i="16" s="1"/>
  <c r="AE1304" i="16" s="1"/>
  <c r="AF1287" i="16"/>
  <c r="AF1204" i="16"/>
  <c r="S795" i="16"/>
  <c r="T795" i="16" s="1"/>
  <c r="AE795" i="16" s="1"/>
  <c r="S1030" i="16"/>
  <c r="T1030" i="16" s="1"/>
  <c r="AE1030" i="16" s="1"/>
  <c r="AF1030" i="16" s="1"/>
  <c r="AG1030" i="16" s="1"/>
  <c r="S1265" i="16"/>
  <c r="T1265" i="16" s="1"/>
  <c r="AE1265" i="16" s="1"/>
  <c r="AF1265" i="16" s="1"/>
  <c r="AI1265" i="16" s="1"/>
  <c r="AJ1265" i="16" s="1"/>
  <c r="S1295" i="16"/>
  <c r="T1295" i="16" s="1"/>
  <c r="AE1295" i="16" s="1"/>
  <c r="S1178" i="16"/>
  <c r="T1178" i="16" s="1"/>
  <c r="AE1178" i="16" s="1"/>
  <c r="S1114" i="16"/>
  <c r="T1114" i="16" s="1"/>
  <c r="AE1114" i="16" s="1"/>
  <c r="AF1114" i="16" s="1"/>
  <c r="AG1114" i="16" s="1"/>
  <c r="S913" i="16"/>
  <c r="T913" i="16" s="1"/>
  <c r="AE913" i="16" s="1"/>
  <c r="AF913" i="16" s="1"/>
  <c r="AG913" i="16" s="1"/>
  <c r="AF1295" i="16"/>
  <c r="S1292" i="16"/>
  <c r="T1292" i="16" s="1"/>
  <c r="AE1292" i="16" s="1"/>
  <c r="AF1292" i="16" s="1"/>
  <c r="AI1292" i="16" s="1"/>
  <c r="AJ1292" i="16" s="1"/>
  <c r="S1275" i="16"/>
  <c r="T1275" i="16" s="1"/>
  <c r="AE1275" i="16" s="1"/>
  <c r="AF1275" i="16" s="1"/>
  <c r="AG1275" i="16" s="1"/>
  <c r="AF1301" i="16"/>
  <c r="AG1301" i="16" s="1"/>
  <c r="AG2121" i="16"/>
  <c r="AL1301" i="16"/>
  <c r="AN1301" i="16" s="1"/>
  <c r="S1121" i="16"/>
  <c r="T1121" i="16" s="1"/>
  <c r="AE1121" i="16" s="1"/>
  <c r="AF1121" i="16" s="1"/>
  <c r="AI1121" i="16" s="1"/>
  <c r="AJ1121" i="16" s="1"/>
  <c r="AF1244" i="16"/>
  <c r="AI1244" i="16" s="1"/>
  <c r="AJ1244" i="16" s="1"/>
  <c r="S1267" i="16"/>
  <c r="T1267" i="16" s="1"/>
  <c r="AE1267" i="16" s="1"/>
  <c r="AF1267" i="16" s="1"/>
  <c r="AG1267" i="16" s="1"/>
  <c r="O1299" i="16"/>
  <c r="S1299" i="16" s="1"/>
  <c r="T1299" i="16" s="1"/>
  <c r="AE1299" i="16" s="1"/>
  <c r="AF1299" i="16" s="1"/>
  <c r="AG1299" i="16" s="1"/>
  <c r="S1086" i="16"/>
  <c r="T1086" i="16" s="1"/>
  <c r="AE1086" i="16" s="1"/>
  <c r="AF1086" i="16" s="1"/>
  <c r="AG1086" i="16" s="1"/>
  <c r="S1018" i="16"/>
  <c r="T1018" i="16" s="1"/>
  <c r="AE1018" i="16" s="1"/>
  <c r="S730" i="16"/>
  <c r="T730" i="16" s="1"/>
  <c r="AE730" i="16" s="1"/>
  <c r="S1058" i="16"/>
  <c r="T1058" i="16" s="1"/>
  <c r="AE1058" i="16" s="1"/>
  <c r="AF1058" i="16" s="1"/>
  <c r="S1284" i="16"/>
  <c r="T1284" i="16" s="1"/>
  <c r="AE1284" i="16" s="1"/>
  <c r="AF1284" i="16" s="1"/>
  <c r="S1278" i="16"/>
  <c r="T1278" i="16" s="1"/>
  <c r="AE1278" i="16" s="1"/>
  <c r="AF1278" i="16" s="1"/>
  <c r="AI1278" i="16" s="1"/>
  <c r="AJ1278" i="16" s="1"/>
  <c r="S1307" i="16"/>
  <c r="T1307" i="16" s="1"/>
  <c r="AE1307" i="16" s="1"/>
  <c r="AF1307" i="16" s="1"/>
  <c r="AG1307" i="16" s="1"/>
  <c r="AL1304" i="16"/>
  <c r="AN1304" i="16" s="1"/>
  <c r="S1176" i="16"/>
  <c r="T1176" i="16" s="1"/>
  <c r="AE1176" i="16" s="1"/>
  <c r="S1127" i="16"/>
  <c r="T1127" i="16" s="1"/>
  <c r="AE1127" i="16" s="1"/>
  <c r="S1156" i="16"/>
  <c r="T1156" i="16" s="1"/>
  <c r="AE1156" i="16" s="1"/>
  <c r="AF1156" i="16" s="1"/>
  <c r="AG1156" i="16" s="1"/>
  <c r="S1133" i="16"/>
  <c r="T1133" i="16" s="1"/>
  <c r="AE1133" i="16" s="1"/>
  <c r="AF1133" i="16" s="1"/>
  <c r="AG1133" i="16" s="1"/>
  <c r="S1098" i="16"/>
  <c r="T1098" i="16" s="1"/>
  <c r="AE1098" i="16" s="1"/>
  <c r="AF1098" i="16" s="1"/>
  <c r="AG1098" i="16" s="1"/>
  <c r="S1081" i="16"/>
  <c r="T1081" i="16" s="1"/>
  <c r="AE1081" i="16" s="1"/>
  <c r="AF1242" i="16"/>
  <c r="AI1242" i="16" s="1"/>
  <c r="AJ1242" i="16" s="1"/>
  <c r="S1289" i="16"/>
  <c r="T1289" i="16" s="1"/>
  <c r="AE1289" i="16" s="1"/>
  <c r="AF1289" i="16" s="1"/>
  <c r="S1271" i="16"/>
  <c r="T1271" i="16" s="1"/>
  <c r="AE1271" i="16" s="1"/>
  <c r="AF1241" i="16"/>
  <c r="AI1241" i="16" s="1"/>
  <c r="AJ1241" i="16" s="1"/>
  <c r="S1226" i="16"/>
  <c r="T1226" i="16" s="1"/>
  <c r="AE1226" i="16" s="1"/>
  <c r="AF1226" i="16" s="1"/>
  <c r="AG1226" i="16" s="1"/>
  <c r="S1225" i="16"/>
  <c r="T1225" i="16" s="1"/>
  <c r="AE1225" i="16" s="1"/>
  <c r="AF1225" i="16" s="1"/>
  <c r="S1180" i="16"/>
  <c r="T1180" i="16" s="1"/>
  <c r="AE1180" i="16" s="1"/>
  <c r="AF1180" i="16" s="1"/>
  <c r="AI1180" i="16" s="1"/>
  <c r="AJ1180" i="16" s="1"/>
  <c r="S1297" i="16"/>
  <c r="T1297" i="16" s="1"/>
  <c r="AE1297" i="16" s="1"/>
  <c r="AF1297" i="16" s="1"/>
  <c r="AI1297" i="16" s="1"/>
  <c r="AJ1297" i="16" s="1"/>
  <c r="S1068" i="16"/>
  <c r="T1068" i="16" s="1"/>
  <c r="AE1068" i="16" s="1"/>
  <c r="AF1068" i="16" s="1"/>
  <c r="AI1068" i="16" s="1"/>
  <c r="AJ1068" i="16" s="1"/>
  <c r="S1191" i="16"/>
  <c r="T1191" i="16" s="1"/>
  <c r="AE1191" i="16" s="1"/>
  <c r="S1175" i="16"/>
  <c r="T1175" i="16" s="1"/>
  <c r="AE1175" i="16" s="1"/>
  <c r="AF1175" i="16" s="1"/>
  <c r="S1165" i="16"/>
  <c r="T1165" i="16" s="1"/>
  <c r="AE1165" i="16" s="1"/>
  <c r="AF1165" i="16" s="1"/>
  <c r="AI1165" i="16" s="1"/>
  <c r="AJ1165" i="16" s="1"/>
  <c r="S1160" i="16"/>
  <c r="T1160" i="16" s="1"/>
  <c r="AE1160" i="16" s="1"/>
  <c r="AF1160" i="16" s="1"/>
  <c r="S1195" i="16"/>
  <c r="T1195" i="16" s="1"/>
  <c r="AE1195" i="16" s="1"/>
  <c r="S1128" i="16"/>
  <c r="T1128" i="16" s="1"/>
  <c r="AE1128" i="16" s="1"/>
  <c r="AF1128" i="16" s="1"/>
  <c r="AG1128" i="16" s="1"/>
  <c r="S1234" i="16"/>
  <c r="T1234" i="16" s="1"/>
  <c r="AE1234" i="16" s="1"/>
  <c r="AF1234" i="16" s="1"/>
  <c r="AI1234" i="16" s="1"/>
  <c r="AJ1234" i="16" s="1"/>
  <c r="S1263" i="16"/>
  <c r="T1263" i="16" s="1"/>
  <c r="AE1263" i="16" s="1"/>
  <c r="AF1263" i="16" s="1"/>
  <c r="S1218" i="16"/>
  <c r="T1218" i="16" s="1"/>
  <c r="AE1218" i="16" s="1"/>
  <c r="AF1141" i="16"/>
  <c r="AI1141" i="16" s="1"/>
  <c r="AJ1141" i="16" s="1"/>
  <c r="S1212" i="16"/>
  <c r="T1212" i="16" s="1"/>
  <c r="AE1212" i="16" s="1"/>
  <c r="AF1212" i="16" s="1"/>
  <c r="AI1212" i="16" s="1"/>
  <c r="AJ1212" i="16" s="1"/>
  <c r="S1144" i="16"/>
  <c r="T1144" i="16" s="1"/>
  <c r="AE1144" i="16" s="1"/>
  <c r="AF1144" i="16" s="1"/>
  <c r="AI1144" i="16" s="1"/>
  <c r="AJ1144" i="16" s="1"/>
  <c r="S1116" i="16"/>
  <c r="T1116" i="16" s="1"/>
  <c r="AE1116" i="16" s="1"/>
  <c r="S1151" i="16"/>
  <c r="T1151" i="16" s="1"/>
  <c r="AE1151" i="16" s="1"/>
  <c r="AF1151" i="16" s="1"/>
  <c r="AI1151" i="16" s="1"/>
  <c r="AJ1151" i="16" s="1"/>
  <c r="S975" i="16"/>
  <c r="T975" i="16" s="1"/>
  <c r="AE975" i="16" s="1"/>
  <c r="AF975" i="16" s="1"/>
  <c r="AG975" i="16" s="1"/>
  <c r="AF1243" i="16"/>
  <c r="AI1243" i="16" s="1"/>
  <c r="AJ1243" i="16" s="1"/>
  <c r="S1062" i="16"/>
  <c r="T1062" i="16" s="1"/>
  <c r="AE1062" i="16" s="1"/>
  <c r="S1123" i="16"/>
  <c r="T1123" i="16" s="1"/>
  <c r="AE1123" i="16" s="1"/>
  <c r="AF1123" i="16" s="1"/>
  <c r="AG1123" i="16" s="1"/>
  <c r="S1088" i="16"/>
  <c r="T1088" i="16" s="1"/>
  <c r="AE1088" i="16" s="1"/>
  <c r="AF1088" i="16" s="1"/>
  <c r="AG1088" i="16" s="1"/>
  <c r="S1092" i="16"/>
  <c r="T1092" i="16" s="1"/>
  <c r="AE1092" i="16" s="1"/>
  <c r="AF1092" i="16" s="1"/>
  <c r="AG1092" i="16" s="1"/>
  <c r="S1222" i="16"/>
  <c r="T1222" i="16" s="1"/>
  <c r="AE1222" i="16" s="1"/>
  <c r="AI1998" i="16"/>
  <c r="AJ1998" i="16" s="1"/>
  <c r="AF1261" i="16"/>
  <c r="AG1261" i="16" s="1"/>
  <c r="S1280" i="16"/>
  <c r="T1280" i="16" s="1"/>
  <c r="AE1280" i="16" s="1"/>
  <c r="AF1280" i="16" s="1"/>
  <c r="AI1280" i="16" s="1"/>
  <c r="AJ1280" i="16" s="1"/>
  <c r="S1211" i="16"/>
  <c r="T1211" i="16" s="1"/>
  <c r="AE1211" i="16" s="1"/>
  <c r="S1119" i="16"/>
  <c r="T1119" i="16" s="1"/>
  <c r="AE1119" i="16" s="1"/>
  <c r="AF1119" i="16" s="1"/>
  <c r="AF1105" i="16"/>
  <c r="AG1105" i="16" s="1"/>
  <c r="S1057" i="16"/>
  <c r="T1057" i="16" s="1"/>
  <c r="AE1057" i="16" s="1"/>
  <c r="AF1057" i="16" s="1"/>
  <c r="AG1057" i="16" s="1"/>
  <c r="S1034" i="16"/>
  <c r="T1034" i="16" s="1"/>
  <c r="AE1034" i="16" s="1"/>
  <c r="S991" i="16"/>
  <c r="T991" i="16" s="1"/>
  <c r="AE991" i="16" s="1"/>
  <c r="AF991" i="16" s="1"/>
  <c r="AG991" i="16" s="1"/>
  <c r="S922" i="16"/>
  <c r="T922" i="16" s="1"/>
  <c r="AE922" i="16" s="1"/>
  <c r="AF922" i="16" s="1"/>
  <c r="AG922" i="16" s="1"/>
  <c r="S1230" i="16"/>
  <c r="T1230" i="16" s="1"/>
  <c r="AE1230" i="16" s="1"/>
  <c r="AF1230" i="16" s="1"/>
  <c r="AI1230" i="16" s="1"/>
  <c r="AJ1230" i="16" s="1"/>
  <c r="S1185" i="16"/>
  <c r="T1185" i="16" s="1"/>
  <c r="AE1185" i="16" s="1"/>
  <c r="S1101" i="16"/>
  <c r="T1101" i="16" s="1"/>
  <c r="AE1101" i="16" s="1"/>
  <c r="AF1101" i="16" s="1"/>
  <c r="AI1101" i="16" s="1"/>
  <c r="AJ1101" i="16" s="1"/>
  <c r="S1084" i="16"/>
  <c r="T1084" i="16" s="1"/>
  <c r="AE1084" i="16" s="1"/>
  <c r="AF1084" i="16" s="1"/>
  <c r="AI1084" i="16" s="1"/>
  <c r="AJ1084" i="16" s="1"/>
  <c r="S1064" i="16"/>
  <c r="T1064" i="16" s="1"/>
  <c r="AE1064" i="16" s="1"/>
  <c r="AF1064" i="16" s="1"/>
  <c r="AI1064" i="16" s="1"/>
  <c r="AJ1064" i="16" s="1"/>
  <c r="S1152" i="16"/>
  <c r="T1152" i="16" s="1"/>
  <c r="AE1152" i="16" s="1"/>
  <c r="S1207" i="16"/>
  <c r="T1207" i="16" s="1"/>
  <c r="AE1207" i="16" s="1"/>
  <c r="AF1207" i="16" s="1"/>
  <c r="AI1207" i="16" s="1"/>
  <c r="AJ1207" i="16" s="1"/>
  <c r="S1169" i="16"/>
  <c r="T1169" i="16" s="1"/>
  <c r="AE1169" i="16" s="1"/>
  <c r="AF1169" i="16" s="1"/>
  <c r="S1077" i="16"/>
  <c r="T1077" i="16" s="1"/>
  <c r="AE1077" i="16" s="1"/>
  <c r="AF1077" i="16" s="1"/>
  <c r="AI1077" i="16" s="1"/>
  <c r="AJ1077" i="16" s="1"/>
  <c r="S1282" i="16"/>
  <c r="T1282" i="16" s="1"/>
  <c r="AE1282" i="16" s="1"/>
  <c r="S1262" i="16"/>
  <c r="T1262" i="16" s="1"/>
  <c r="AE1262" i="16" s="1"/>
  <c r="AF1262" i="16" s="1"/>
  <c r="AI1262" i="16" s="1"/>
  <c r="AJ1262" i="16" s="1"/>
  <c r="AF1274" i="16"/>
  <c r="AG1274" i="16" s="1"/>
  <c r="AF1273" i="16"/>
  <c r="AG1273" i="16" s="1"/>
  <c r="AF1304" i="16"/>
  <c r="AI1304" i="16" s="1"/>
  <c r="AJ1304" i="16" s="1"/>
  <c r="AF1283" i="16"/>
  <c r="AI1283" i="16" s="1"/>
  <c r="AF1286" i="16"/>
  <c r="AI1286" i="16" s="1"/>
  <c r="AJ1286" i="16" s="1"/>
  <c r="AL1307" i="16"/>
  <c r="AN1307" i="16" s="1"/>
  <c r="O1306" i="16"/>
  <c r="S1306" i="16" s="1"/>
  <c r="T1306" i="16" s="1"/>
  <c r="AE1306" i="16" s="1"/>
  <c r="AF1306" i="16" s="1"/>
  <c r="AG1306" i="16" s="1"/>
  <c r="AF1285" i="16"/>
  <c r="AI1285" i="16" s="1"/>
  <c r="AJ1285" i="16" s="1"/>
  <c r="AF1281" i="16"/>
  <c r="AI1281" i="16" s="1"/>
  <c r="AJ1281" i="16" s="1"/>
  <c r="AF1294" i="16"/>
  <c r="AG1294" i="16" s="1"/>
  <c r="AC1254" i="16"/>
  <c r="AD1254" i="16" s="1"/>
  <c r="Q1254" i="16"/>
  <c r="R1254" i="16" s="1"/>
  <c r="S1254" i="16" s="1"/>
  <c r="T1254" i="16" s="1"/>
  <c r="AE1254" i="16" s="1"/>
  <c r="AF1293" i="16"/>
  <c r="AG1293" i="16" s="1"/>
  <c r="AF1266" i="16"/>
  <c r="AI1266" i="16" s="1"/>
  <c r="AJ1266" i="16" s="1"/>
  <c r="AF1298" i="16"/>
  <c r="AI1298" i="16" s="1"/>
  <c r="AJ1298" i="16" s="1"/>
  <c r="AF1271" i="16"/>
  <c r="AI1271" i="16" s="1"/>
  <c r="AJ1271" i="16" s="1"/>
  <c r="AC1257" i="16"/>
  <c r="AD1257" i="16" s="1"/>
  <c r="Q1257" i="16"/>
  <c r="R1257" i="16" s="1"/>
  <c r="S1257" i="16" s="1"/>
  <c r="T1257" i="16" s="1"/>
  <c r="AE1257" i="16" s="1"/>
  <c r="AC1259" i="16"/>
  <c r="AD1259" i="16" s="1"/>
  <c r="Q1259" i="16"/>
  <c r="R1259" i="16" s="1"/>
  <c r="S1259" i="16" s="1"/>
  <c r="T1259" i="16" s="1"/>
  <c r="AE1259" i="16" s="1"/>
  <c r="AF1300" i="16"/>
  <c r="AG1300" i="16" s="1"/>
  <c r="AF1277" i="16"/>
  <c r="AI1277" i="16" s="1"/>
  <c r="AJ1277" i="16" s="1"/>
  <c r="AC1247" i="16"/>
  <c r="AD1247" i="16" s="1"/>
  <c r="Q1247" i="16"/>
  <c r="R1247" i="16" s="1"/>
  <c r="S1247" i="16" s="1"/>
  <c r="T1247" i="16" s="1"/>
  <c r="AE1247" i="16" s="1"/>
  <c r="AC1255" i="16"/>
  <c r="AD1255" i="16" s="1"/>
  <c r="Q1255" i="16"/>
  <c r="R1255" i="16" s="1"/>
  <c r="S1255" i="16" s="1"/>
  <c r="T1255" i="16" s="1"/>
  <c r="AE1255" i="16" s="1"/>
  <c r="AC1249" i="16"/>
  <c r="AD1249" i="16" s="1"/>
  <c r="Q1249" i="16"/>
  <c r="R1249" i="16" s="1"/>
  <c r="S1249" i="16" s="1"/>
  <c r="T1249" i="16" s="1"/>
  <c r="AE1249" i="16" s="1"/>
  <c r="AC1256" i="16"/>
  <c r="AD1256" i="16" s="1"/>
  <c r="Q1256" i="16"/>
  <c r="R1256" i="16" s="1"/>
  <c r="S1256" i="16" s="1"/>
  <c r="T1256" i="16" s="1"/>
  <c r="AE1256" i="16" s="1"/>
  <c r="AC1250" i="16"/>
  <c r="AD1250" i="16" s="1"/>
  <c r="Q1250" i="16"/>
  <c r="R1250" i="16" s="1"/>
  <c r="S1250" i="16" s="1"/>
  <c r="T1250" i="16" s="1"/>
  <c r="AE1250" i="16" s="1"/>
  <c r="AC1253" i="16"/>
  <c r="AD1253" i="16" s="1"/>
  <c r="Q1253" i="16"/>
  <c r="R1253" i="16" s="1"/>
  <c r="S1253" i="16" s="1"/>
  <c r="T1253" i="16" s="1"/>
  <c r="AE1253" i="16" s="1"/>
  <c r="AF1291" i="16"/>
  <c r="AI1291" i="16" s="1"/>
  <c r="AJ1291" i="16" s="1"/>
  <c r="AF1272" i="16"/>
  <c r="AI1272" i="16" s="1"/>
  <c r="AJ1272" i="16" s="1"/>
  <c r="AF1282" i="16"/>
  <c r="AG1282" i="16" s="1"/>
  <c r="AF1269" i="16"/>
  <c r="AG1269" i="16" s="1"/>
  <c r="AF1302" i="16"/>
  <c r="AG1302" i="16" s="1"/>
  <c r="AG2213" i="16"/>
  <c r="S1135" i="16"/>
  <c r="T1135" i="16" s="1"/>
  <c r="AE1135" i="16" s="1"/>
  <c r="AF1135" i="16" s="1"/>
  <c r="AG1135" i="16" s="1"/>
  <c r="S1075" i="16"/>
  <c r="T1075" i="16" s="1"/>
  <c r="AE1075" i="16" s="1"/>
  <c r="S1083" i="16"/>
  <c r="T1083" i="16" s="1"/>
  <c r="AE1083" i="16" s="1"/>
  <c r="AF1083" i="16" s="1"/>
  <c r="AI1083" i="16" s="1"/>
  <c r="AJ1083" i="16" s="1"/>
  <c r="S1182" i="16"/>
  <c r="T1182" i="16" s="1"/>
  <c r="AE1182" i="16" s="1"/>
  <c r="AF1182" i="16" s="1"/>
  <c r="AI1182" i="16" s="1"/>
  <c r="AJ1182" i="16" s="1"/>
  <c r="S935" i="16"/>
  <c r="T935" i="16" s="1"/>
  <c r="AE935" i="16" s="1"/>
  <c r="AF935" i="16" s="1"/>
  <c r="AI935" i="16" s="1"/>
  <c r="AJ935" i="16" s="1"/>
  <c r="AG1767" i="16"/>
  <c r="AF1148" i="16"/>
  <c r="AI1148" i="16" s="1"/>
  <c r="AJ1148" i="16" s="1"/>
  <c r="S180" i="16"/>
  <c r="T180" i="16" s="1"/>
  <c r="AE180" i="16" s="1"/>
  <c r="AF180" i="16" s="1"/>
  <c r="AI180" i="16" s="1"/>
  <c r="AJ180" i="16" s="1"/>
  <c r="S680" i="16"/>
  <c r="T680" i="16" s="1"/>
  <c r="AE680" i="16" s="1"/>
  <c r="AF680" i="16" s="1"/>
  <c r="AI680" i="16" s="1"/>
  <c r="AJ680" i="16" s="1"/>
  <c r="S506" i="16"/>
  <c r="T506" i="16" s="1"/>
  <c r="AE506" i="16" s="1"/>
  <c r="S195" i="16"/>
  <c r="T195" i="16" s="1"/>
  <c r="AE195" i="16" s="1"/>
  <c r="AF195" i="16" s="1"/>
  <c r="S576" i="16"/>
  <c r="T576" i="16" s="1"/>
  <c r="AE576" i="16" s="1"/>
  <c r="AF576" i="16" s="1"/>
  <c r="S1096" i="16"/>
  <c r="T1096" i="16" s="1"/>
  <c r="AE1096" i="16" s="1"/>
  <c r="AF1096" i="16" s="1"/>
  <c r="AI1096" i="16" s="1"/>
  <c r="AJ1096" i="16" s="1"/>
  <c r="AF1078" i="16"/>
  <c r="AI1078" i="16" s="1"/>
  <c r="AJ1078" i="16" s="1"/>
  <c r="AF1095" i="16"/>
  <c r="AI1095" i="16" s="1"/>
  <c r="AJ1095" i="16" s="1"/>
  <c r="S1224" i="16"/>
  <c r="T1224" i="16" s="1"/>
  <c r="AE1224" i="16" s="1"/>
  <c r="AF1224" i="16" s="1"/>
  <c r="S1205" i="16"/>
  <c r="T1205" i="16" s="1"/>
  <c r="AE1205" i="16" s="1"/>
  <c r="AF1205" i="16" s="1"/>
  <c r="AG1205" i="16" s="1"/>
  <c r="S1173" i="16"/>
  <c r="T1173" i="16" s="1"/>
  <c r="AE1173" i="16" s="1"/>
  <c r="AF1173" i="16" s="1"/>
  <c r="AG1173" i="16" s="1"/>
  <c r="S1125" i="16"/>
  <c r="T1125" i="16" s="1"/>
  <c r="AE1125" i="16" s="1"/>
  <c r="AF1125" i="16" s="1"/>
  <c r="S1118" i="16"/>
  <c r="T1118" i="16" s="1"/>
  <c r="AE1118" i="16" s="1"/>
  <c r="AF1118" i="16" s="1"/>
  <c r="AG1118" i="16" s="1"/>
  <c r="S1031" i="16"/>
  <c r="T1031" i="16" s="1"/>
  <c r="AE1031" i="16" s="1"/>
  <c r="AF1031" i="16" s="1"/>
  <c r="AG1031" i="16" s="1"/>
  <c r="S1122" i="16"/>
  <c r="T1122" i="16" s="1"/>
  <c r="AE1122" i="16" s="1"/>
  <c r="AF1122" i="16" s="1"/>
  <c r="AI1122" i="16" s="1"/>
  <c r="AJ1122" i="16" s="1"/>
  <c r="S1136" i="16"/>
  <c r="T1136" i="16" s="1"/>
  <c r="AE1136" i="16" s="1"/>
  <c r="AF1136" i="16" s="1"/>
  <c r="AG1136" i="16" s="1"/>
  <c r="S1210" i="16"/>
  <c r="T1210" i="16" s="1"/>
  <c r="AE1210" i="16" s="1"/>
  <c r="AF1210" i="16" s="1"/>
  <c r="AI1210" i="16" s="1"/>
  <c r="AJ1210" i="16" s="1"/>
  <c r="S1019" i="16"/>
  <c r="T1019" i="16" s="1"/>
  <c r="AE1019" i="16" s="1"/>
  <c r="AF1019" i="16" s="1"/>
  <c r="AG1019" i="16" s="1"/>
  <c r="S971" i="16"/>
  <c r="T971" i="16" s="1"/>
  <c r="AE971" i="16" s="1"/>
  <c r="AF971" i="16" s="1"/>
  <c r="AI971" i="16" s="1"/>
  <c r="AJ971" i="16" s="1"/>
  <c r="S936" i="16"/>
  <c r="T936" i="16" s="1"/>
  <c r="AE936" i="16" s="1"/>
  <c r="AF936" i="16" s="1"/>
  <c r="AI936" i="16" s="1"/>
  <c r="AJ936" i="16" s="1"/>
  <c r="S1033" i="16"/>
  <c r="T1033" i="16" s="1"/>
  <c r="AE1033" i="16" s="1"/>
  <c r="AF1033" i="16" s="1"/>
  <c r="AI1033" i="16" s="1"/>
  <c r="AJ1033" i="16" s="1"/>
  <c r="S986" i="16"/>
  <c r="T986" i="16" s="1"/>
  <c r="AE986" i="16" s="1"/>
  <c r="AF986" i="16" s="1"/>
  <c r="AG986" i="16" s="1"/>
  <c r="S1076" i="16"/>
  <c r="T1076" i="16" s="1"/>
  <c r="AE1076" i="16" s="1"/>
  <c r="AF1076" i="16" s="1"/>
  <c r="AF1080" i="16"/>
  <c r="AI1080" i="16" s="1"/>
  <c r="AJ1080" i="16" s="1"/>
  <c r="S732" i="16"/>
  <c r="T732" i="16" s="1"/>
  <c r="AE732" i="16" s="1"/>
  <c r="AF732" i="16" s="1"/>
  <c r="AI732" i="16" s="1"/>
  <c r="AJ732" i="16" s="1"/>
  <c r="S1155" i="16"/>
  <c r="T1155" i="16" s="1"/>
  <c r="AE1155" i="16" s="1"/>
  <c r="AF1155" i="16" s="1"/>
  <c r="AI1155" i="16" s="1"/>
  <c r="AJ1155" i="16" s="1"/>
  <c r="S241" i="16"/>
  <c r="T241" i="16" s="1"/>
  <c r="AE241" i="16" s="1"/>
  <c r="AF241" i="16" s="1"/>
  <c r="AI241" i="16" s="1"/>
  <c r="AJ241" i="16" s="1"/>
  <c r="S217" i="16"/>
  <c r="T217" i="16" s="1"/>
  <c r="AE217" i="16" s="1"/>
  <c r="AF217" i="16" s="1"/>
  <c r="AI217" i="16" s="1"/>
  <c r="AJ217" i="16" s="1"/>
  <c r="S201" i="16"/>
  <c r="T201" i="16" s="1"/>
  <c r="AE201" i="16" s="1"/>
  <c r="AF201" i="16" s="1"/>
  <c r="AG201" i="16" s="1"/>
  <c r="S127" i="16"/>
  <c r="T127" i="16" s="1"/>
  <c r="AE127" i="16" s="1"/>
  <c r="AF127" i="16" s="1"/>
  <c r="AI127" i="16" s="1"/>
  <c r="AJ127" i="16" s="1"/>
  <c r="S974" i="16"/>
  <c r="T974" i="16" s="1"/>
  <c r="AE974" i="16" s="1"/>
  <c r="AI1420" i="16"/>
  <c r="AJ1420" i="16" s="1"/>
  <c r="S511" i="16"/>
  <c r="T511" i="16" s="1"/>
  <c r="AE511" i="16" s="1"/>
  <c r="AF511" i="16" s="1"/>
  <c r="AI511" i="16" s="1"/>
  <c r="AJ511" i="16" s="1"/>
  <c r="S532" i="16"/>
  <c r="T532" i="16" s="1"/>
  <c r="AE532" i="16" s="1"/>
  <c r="AF532" i="16" s="1"/>
  <c r="AI532" i="16" s="1"/>
  <c r="AJ532" i="16" s="1"/>
  <c r="S503" i="16"/>
  <c r="T503" i="16" s="1"/>
  <c r="AE503" i="16" s="1"/>
  <c r="AF503" i="16" s="1"/>
  <c r="AI503" i="16" s="1"/>
  <c r="AJ503" i="16" s="1"/>
  <c r="S269" i="16"/>
  <c r="T269" i="16" s="1"/>
  <c r="AE269" i="16" s="1"/>
  <c r="AF269" i="16" s="1"/>
  <c r="AI269" i="16" s="1"/>
  <c r="AJ269" i="16" s="1"/>
  <c r="S1168" i="16"/>
  <c r="T1168" i="16" s="1"/>
  <c r="AE1168" i="16" s="1"/>
  <c r="AF1168" i="16" s="1"/>
  <c r="AF1231" i="16"/>
  <c r="AG1231" i="16" s="1"/>
  <c r="S1194" i="16"/>
  <c r="T1194" i="16" s="1"/>
  <c r="AE1194" i="16" s="1"/>
  <c r="AF1194" i="16" s="1"/>
  <c r="AI1194" i="16" s="1"/>
  <c r="AJ1194" i="16" s="1"/>
  <c r="AG2216" i="16"/>
  <c r="AF1181" i="16"/>
  <c r="AG1181" i="16" s="1"/>
  <c r="S877" i="16"/>
  <c r="T877" i="16" s="1"/>
  <c r="AE877" i="16" s="1"/>
  <c r="AF877" i="16" s="1"/>
  <c r="AG877" i="16" s="1"/>
  <c r="S715" i="16"/>
  <c r="T715" i="16" s="1"/>
  <c r="AE715" i="16" s="1"/>
  <c r="AF715" i="16" s="1"/>
  <c r="S507" i="16"/>
  <c r="T507" i="16" s="1"/>
  <c r="AE507" i="16" s="1"/>
  <c r="AF507" i="16" s="1"/>
  <c r="AG507" i="16" s="1"/>
  <c r="S548" i="16"/>
  <c r="T548" i="16" s="1"/>
  <c r="AE548" i="16" s="1"/>
  <c r="AF548" i="16" s="1"/>
  <c r="AG548" i="16" s="1"/>
  <c r="S714" i="16"/>
  <c r="T714" i="16" s="1"/>
  <c r="AE714" i="16" s="1"/>
  <c r="AF714" i="16" s="1"/>
  <c r="AI714" i="16" s="1"/>
  <c r="S1221" i="16"/>
  <c r="T1221" i="16" s="1"/>
  <c r="AE1221" i="16" s="1"/>
  <c r="AF1221" i="16" s="1"/>
  <c r="S1206" i="16"/>
  <c r="T1206" i="16" s="1"/>
  <c r="AE1206" i="16" s="1"/>
  <c r="AF1206" i="16" s="1"/>
  <c r="AG1206" i="16" s="1"/>
  <c r="AF1199" i="16"/>
  <c r="AI1199" i="16" s="1"/>
  <c r="AJ1199" i="16" s="1"/>
  <c r="S1190" i="16"/>
  <c r="T1190" i="16" s="1"/>
  <c r="AE1190" i="16" s="1"/>
  <c r="AF1190" i="16" s="1"/>
  <c r="AG1190" i="16" s="1"/>
  <c r="S1172" i="16"/>
  <c r="T1172" i="16" s="1"/>
  <c r="AE1172" i="16" s="1"/>
  <c r="AF1172" i="16" s="1"/>
  <c r="AI1172" i="16" s="1"/>
  <c r="AJ1172" i="16" s="1"/>
  <c r="S1159" i="16"/>
  <c r="T1159" i="16" s="1"/>
  <c r="AE1159" i="16" s="1"/>
  <c r="AF1159" i="16" s="1"/>
  <c r="AG1159" i="16" s="1"/>
  <c r="S996" i="16"/>
  <c r="T996" i="16" s="1"/>
  <c r="AE996" i="16" s="1"/>
  <c r="AF996" i="16" s="1"/>
  <c r="S966" i="16"/>
  <c r="T966" i="16" s="1"/>
  <c r="AE966" i="16" s="1"/>
  <c r="AF966" i="16" s="1"/>
  <c r="S893" i="16"/>
  <c r="T893" i="16" s="1"/>
  <c r="AE893" i="16" s="1"/>
  <c r="AF893" i="16" s="1"/>
  <c r="AI893" i="16" s="1"/>
  <c r="AJ893" i="16" s="1"/>
  <c r="S840" i="16"/>
  <c r="T840" i="16" s="1"/>
  <c r="AE840" i="16" s="1"/>
  <c r="AF840" i="16" s="1"/>
  <c r="AI840" i="16" s="1"/>
  <c r="AJ840" i="16" s="1"/>
  <c r="S980" i="16"/>
  <c r="T980" i="16" s="1"/>
  <c r="AE980" i="16" s="1"/>
  <c r="AF980" i="16" s="1"/>
  <c r="AI980" i="16" s="1"/>
  <c r="AJ980" i="16" s="1"/>
  <c r="S1087" i="16"/>
  <c r="T1087" i="16" s="1"/>
  <c r="AE1087" i="16" s="1"/>
  <c r="AF1087" i="16" s="1"/>
  <c r="AI1087" i="16" s="1"/>
  <c r="AJ1087" i="16" s="1"/>
  <c r="S1071" i="16"/>
  <c r="T1071" i="16" s="1"/>
  <c r="AE1071" i="16" s="1"/>
  <c r="AF1071" i="16" s="1"/>
  <c r="S929" i="16"/>
  <c r="T929" i="16" s="1"/>
  <c r="AE929" i="16" s="1"/>
  <c r="AF929" i="16" s="1"/>
  <c r="AG929" i="16" s="1"/>
  <c r="S1132" i="16"/>
  <c r="T1132" i="16" s="1"/>
  <c r="AE1132" i="16" s="1"/>
  <c r="AF1132" i="16" s="1"/>
  <c r="S1109" i="16"/>
  <c r="T1109" i="16" s="1"/>
  <c r="AE1109" i="16" s="1"/>
  <c r="AF1109" i="16" s="1"/>
  <c r="S1045" i="16"/>
  <c r="T1045" i="16" s="1"/>
  <c r="AE1045" i="16" s="1"/>
  <c r="AF1045" i="16" s="1"/>
  <c r="AI1045" i="16" s="1"/>
  <c r="AJ1045" i="16" s="1"/>
  <c r="S740" i="16"/>
  <c r="T740" i="16" s="1"/>
  <c r="AE740" i="16" s="1"/>
  <c r="AF740" i="16" s="1"/>
  <c r="AI740" i="16" s="1"/>
  <c r="AJ740" i="16" s="1"/>
  <c r="S775" i="16"/>
  <c r="T775" i="16" s="1"/>
  <c r="AE775" i="16" s="1"/>
  <c r="AF775" i="16" s="1"/>
  <c r="AG775" i="16" s="1"/>
  <c r="S1217" i="16"/>
  <c r="T1217" i="16" s="1"/>
  <c r="AE1217" i="16" s="1"/>
  <c r="AF1217" i="16" s="1"/>
  <c r="AI1217" i="16" s="1"/>
  <c r="AJ1217" i="16" s="1"/>
  <c r="S1179" i="16"/>
  <c r="T1179" i="16" s="1"/>
  <c r="AE1179" i="16" s="1"/>
  <c r="AF1179" i="16" s="1"/>
  <c r="S1163" i="16"/>
  <c r="T1163" i="16" s="1"/>
  <c r="AE1163" i="16" s="1"/>
  <c r="AF1163" i="16" s="1"/>
  <c r="AI1163" i="16" s="1"/>
  <c r="AJ1163" i="16" s="1"/>
  <c r="S1216" i="16"/>
  <c r="T1216" i="16" s="1"/>
  <c r="AE1216" i="16" s="1"/>
  <c r="AF1216" i="16" s="1"/>
  <c r="AG1216" i="16" s="1"/>
  <c r="AF1166" i="16"/>
  <c r="AG1166" i="16" s="1"/>
  <c r="AF1117" i="16"/>
  <c r="AG1117" i="16" s="1"/>
  <c r="AF1195" i="16"/>
  <c r="AI1195" i="16" s="1"/>
  <c r="AJ1195" i="16" s="1"/>
  <c r="S1067" i="16"/>
  <c r="T1067" i="16" s="1"/>
  <c r="AE1067" i="16" s="1"/>
  <c r="AF1067" i="16" s="1"/>
  <c r="S912" i="16"/>
  <c r="T912" i="16" s="1"/>
  <c r="AE912" i="16" s="1"/>
  <c r="AF912" i="16" s="1"/>
  <c r="AG912" i="16" s="1"/>
  <c r="S305" i="16"/>
  <c r="T305" i="16" s="1"/>
  <c r="AE305" i="16" s="1"/>
  <c r="AF305" i="16" s="1"/>
  <c r="AG305" i="16" s="1"/>
  <c r="S175" i="16"/>
  <c r="T175" i="16" s="1"/>
  <c r="AE175" i="16" s="1"/>
  <c r="AF175" i="16" s="1"/>
  <c r="AG175" i="16" s="1"/>
  <c r="S544" i="16"/>
  <c r="T544" i="16" s="1"/>
  <c r="AE544" i="16" s="1"/>
  <c r="AF544" i="16" s="1"/>
  <c r="AG544" i="16" s="1"/>
  <c r="S1198" i="16"/>
  <c r="T1198" i="16" s="1"/>
  <c r="AE1198" i="16" s="1"/>
  <c r="AF1198" i="16" s="1"/>
  <c r="AI1198" i="16" s="1"/>
  <c r="AJ1198" i="16" s="1"/>
  <c r="S1188" i="16"/>
  <c r="T1188" i="16" s="1"/>
  <c r="AE1188" i="16" s="1"/>
  <c r="AF1188" i="16" s="1"/>
  <c r="S1174" i="16"/>
  <c r="T1174" i="16" s="1"/>
  <c r="AE1174" i="16" s="1"/>
  <c r="AF1174" i="16" s="1"/>
  <c r="AG1174" i="16" s="1"/>
  <c r="S1014" i="16"/>
  <c r="T1014" i="16" s="1"/>
  <c r="AE1014" i="16" s="1"/>
  <c r="AF1014" i="16" s="1"/>
  <c r="AI1014" i="16" s="1"/>
  <c r="AJ1014" i="16" s="1"/>
  <c r="S998" i="16"/>
  <c r="T998" i="16" s="1"/>
  <c r="AE998" i="16" s="1"/>
  <c r="AF998" i="16" s="1"/>
  <c r="AI998" i="16" s="1"/>
  <c r="AJ998" i="16" s="1"/>
  <c r="S865" i="16"/>
  <c r="T865" i="16" s="1"/>
  <c r="AE865" i="16" s="1"/>
  <c r="AF865" i="16" s="1"/>
  <c r="AI865" i="16" s="1"/>
  <c r="AJ865" i="16" s="1"/>
  <c r="S1021" i="16"/>
  <c r="T1021" i="16" s="1"/>
  <c r="AE1021" i="16" s="1"/>
  <c r="AF1021" i="16" s="1"/>
  <c r="AI1021" i="16" s="1"/>
  <c r="AJ1021" i="16" s="1"/>
  <c r="S925" i="16"/>
  <c r="T925" i="16" s="1"/>
  <c r="AE925" i="16" s="1"/>
  <c r="AF925" i="16" s="1"/>
  <c r="AG925" i="16" s="1"/>
  <c r="S771" i="16"/>
  <c r="T771" i="16" s="1"/>
  <c r="AE771" i="16" s="1"/>
  <c r="AF771" i="16" s="1"/>
  <c r="AG771" i="16" s="1"/>
  <c r="AF1222" i="16"/>
  <c r="AI1222" i="16" s="1"/>
  <c r="AJ1222" i="16" s="1"/>
  <c r="S1143" i="16"/>
  <c r="T1143" i="16" s="1"/>
  <c r="AE1143" i="16" s="1"/>
  <c r="AF1143" i="16" s="1"/>
  <c r="S1013" i="16"/>
  <c r="T1013" i="16" s="1"/>
  <c r="AE1013" i="16" s="1"/>
  <c r="AF1013" i="16" s="1"/>
  <c r="AI1013" i="16" s="1"/>
  <c r="S1115" i="16"/>
  <c r="T1115" i="16" s="1"/>
  <c r="AE1115" i="16" s="1"/>
  <c r="AF1115" i="16" s="1"/>
  <c r="AI1115" i="16" s="1"/>
  <c r="AJ1115" i="16" s="1"/>
  <c r="S1140" i="16"/>
  <c r="T1140" i="16" s="1"/>
  <c r="AE1140" i="16" s="1"/>
  <c r="AF1140" i="16" s="1"/>
  <c r="AI1140" i="16" s="1"/>
  <c r="AJ1140" i="16" s="1"/>
  <c r="S889" i="16"/>
  <c r="T889" i="16" s="1"/>
  <c r="AE889" i="16" s="1"/>
  <c r="AF889" i="16" s="1"/>
  <c r="AI889" i="16" s="1"/>
  <c r="AJ889" i="16" s="1"/>
  <c r="S1201" i="16"/>
  <c r="T1201" i="16" s="1"/>
  <c r="AE1201" i="16" s="1"/>
  <c r="AF1201" i="16" s="1"/>
  <c r="AI1201" i="16" s="1"/>
  <c r="AJ1201" i="16" s="1"/>
  <c r="S949" i="16"/>
  <c r="T949" i="16" s="1"/>
  <c r="AE949" i="16" s="1"/>
  <c r="AF949" i="16" s="1"/>
  <c r="AI949" i="16" s="1"/>
  <c r="AJ949" i="16" s="1"/>
  <c r="S1202" i="16"/>
  <c r="T1202" i="16" s="1"/>
  <c r="AE1202" i="16" s="1"/>
  <c r="AF1202" i="16" s="1"/>
  <c r="S990" i="16"/>
  <c r="T990" i="16" s="1"/>
  <c r="AE990" i="16" s="1"/>
  <c r="AF990" i="16" s="1"/>
  <c r="AI990" i="16" s="1"/>
  <c r="AJ990" i="16" s="1"/>
  <c r="S1131" i="16"/>
  <c r="T1131" i="16" s="1"/>
  <c r="AE1131" i="16" s="1"/>
  <c r="AF1131" i="16" s="1"/>
  <c r="AG1131" i="16" s="1"/>
  <c r="S885" i="16"/>
  <c r="T885" i="16" s="1"/>
  <c r="AE885" i="16" s="1"/>
  <c r="AF885" i="16" s="1"/>
  <c r="AG885" i="16" s="1"/>
  <c r="S670" i="16"/>
  <c r="T670" i="16" s="1"/>
  <c r="AE670" i="16" s="1"/>
  <c r="AF670" i="16" s="1"/>
  <c r="S421" i="16"/>
  <c r="T421" i="16" s="1"/>
  <c r="AE421" i="16" s="1"/>
  <c r="AF421" i="16" s="1"/>
  <c r="AG421" i="16" s="1"/>
  <c r="S984" i="16"/>
  <c r="T984" i="16" s="1"/>
  <c r="AE984" i="16" s="1"/>
  <c r="AF984" i="16" s="1"/>
  <c r="AI984" i="16" s="1"/>
  <c r="AJ984" i="16" s="1"/>
  <c r="S1233" i="16"/>
  <c r="T1233" i="16" s="1"/>
  <c r="AE1233" i="16" s="1"/>
  <c r="AF1233" i="16" s="1"/>
  <c r="AI1233" i="16" s="1"/>
  <c r="AJ1233" i="16" s="1"/>
  <c r="S1043" i="16"/>
  <c r="T1043" i="16" s="1"/>
  <c r="AE1043" i="16" s="1"/>
  <c r="AF1043" i="16" s="1"/>
  <c r="AI1043" i="16" s="1"/>
  <c r="AJ1043" i="16" s="1"/>
  <c r="S1003" i="16"/>
  <c r="T1003" i="16" s="1"/>
  <c r="AE1003" i="16" s="1"/>
  <c r="AF1003" i="16" s="1"/>
  <c r="AI1003" i="16" s="1"/>
  <c r="AJ1003" i="16" s="1"/>
  <c r="S920" i="16"/>
  <c r="T920" i="16" s="1"/>
  <c r="AE920" i="16" s="1"/>
  <c r="AF920" i="16" s="1"/>
  <c r="AI920" i="16" s="1"/>
  <c r="AJ920" i="16" s="1"/>
  <c r="S674" i="16"/>
  <c r="T674" i="16" s="1"/>
  <c r="AE674" i="16" s="1"/>
  <c r="AF674" i="16" s="1"/>
  <c r="AI674" i="16" s="1"/>
  <c r="AJ674" i="16" s="1"/>
  <c r="S540" i="16"/>
  <c r="T540" i="16" s="1"/>
  <c r="AE540" i="16" s="1"/>
  <c r="AF540" i="16" s="1"/>
  <c r="AI540" i="16" s="1"/>
  <c r="AJ540" i="16" s="1"/>
  <c r="S563" i="16"/>
  <c r="T563" i="16" s="1"/>
  <c r="AE563" i="16" s="1"/>
  <c r="AF563" i="16" s="1"/>
  <c r="AI563" i="16" s="1"/>
  <c r="AJ563" i="16" s="1"/>
  <c r="S514" i="16"/>
  <c r="T514" i="16" s="1"/>
  <c r="AE514" i="16" s="1"/>
  <c r="AF514" i="16" s="1"/>
  <c r="AI514" i="16" s="1"/>
  <c r="AJ514" i="16" s="1"/>
  <c r="S335" i="16"/>
  <c r="T335" i="16" s="1"/>
  <c r="AE335" i="16" s="1"/>
  <c r="AF335" i="16" s="1"/>
  <c r="S398" i="16"/>
  <c r="T398" i="16" s="1"/>
  <c r="AE398" i="16" s="1"/>
  <c r="AF398" i="16" s="1"/>
  <c r="AI398" i="16" s="1"/>
  <c r="AJ398" i="16" s="1"/>
  <c r="S399" i="16"/>
  <c r="T399" i="16" s="1"/>
  <c r="AE399" i="16" s="1"/>
  <c r="AF399" i="16" s="1"/>
  <c r="AG399" i="16" s="1"/>
  <c r="S428" i="16"/>
  <c r="T428" i="16" s="1"/>
  <c r="AE428" i="16" s="1"/>
  <c r="AF428" i="16" s="1"/>
  <c r="S639" i="16"/>
  <c r="T639" i="16" s="1"/>
  <c r="AE639" i="16" s="1"/>
  <c r="AF639" i="16" s="1"/>
  <c r="AG639" i="16" s="1"/>
  <c r="S598" i="16"/>
  <c r="T598" i="16" s="1"/>
  <c r="AE598" i="16" s="1"/>
  <c r="AF598" i="16" s="1"/>
  <c r="AI598" i="16" s="1"/>
  <c r="AJ598" i="16" s="1"/>
  <c r="S478" i="16"/>
  <c r="T478" i="16" s="1"/>
  <c r="AE478" i="16" s="1"/>
  <c r="AF478" i="16" s="1"/>
  <c r="AI478" i="16" s="1"/>
  <c r="AJ478" i="16" s="1"/>
  <c r="S181" i="16"/>
  <c r="T181" i="16" s="1"/>
  <c r="AE181" i="16" s="1"/>
  <c r="AF181" i="16" s="1"/>
  <c r="AI181" i="16" s="1"/>
  <c r="AJ181" i="16" s="1"/>
  <c r="S536" i="16"/>
  <c r="T536" i="16" s="1"/>
  <c r="AE536" i="16" s="1"/>
  <c r="AF536" i="16" s="1"/>
  <c r="AI536" i="16" s="1"/>
  <c r="AJ536" i="16" s="1"/>
  <c r="AF1200" i="16"/>
  <c r="AG1200" i="16" s="1"/>
  <c r="S1104" i="16"/>
  <c r="T1104" i="16" s="1"/>
  <c r="AE1104" i="16" s="1"/>
  <c r="AF1104" i="16" s="1"/>
  <c r="AI1104" i="16" s="1"/>
  <c r="AJ1104" i="16" s="1"/>
  <c r="S1097" i="16"/>
  <c r="T1097" i="16" s="1"/>
  <c r="AE1097" i="16" s="1"/>
  <c r="AF1097" i="16" s="1"/>
  <c r="AG1097" i="16" s="1"/>
  <c r="AF1102" i="16"/>
  <c r="AI1102" i="16" s="1"/>
  <c r="AJ1102" i="16" s="1"/>
  <c r="S954" i="16"/>
  <c r="T954" i="16" s="1"/>
  <c r="AE954" i="16" s="1"/>
  <c r="AF954" i="16" s="1"/>
  <c r="AG954" i="16" s="1"/>
  <c r="S858" i="16"/>
  <c r="T858" i="16" s="1"/>
  <c r="AE858" i="16" s="1"/>
  <c r="AF858" i="16" s="1"/>
  <c r="AI858" i="16" s="1"/>
  <c r="AJ858" i="16" s="1"/>
  <c r="S1229" i="16"/>
  <c r="T1229" i="16" s="1"/>
  <c r="AE1229" i="16" s="1"/>
  <c r="AF1229" i="16" s="1"/>
  <c r="S1126" i="16"/>
  <c r="T1126" i="16" s="1"/>
  <c r="AE1126" i="16" s="1"/>
  <c r="AF1126" i="16" s="1"/>
  <c r="AI1126" i="16" s="1"/>
  <c r="AJ1126" i="16" s="1"/>
  <c r="S1100" i="16"/>
  <c r="T1100" i="16" s="1"/>
  <c r="AE1100" i="16" s="1"/>
  <c r="AF1100" i="16" s="1"/>
  <c r="AI1100" i="16" s="1"/>
  <c r="AJ1100" i="16" s="1"/>
  <c r="S1091" i="16"/>
  <c r="T1091" i="16" s="1"/>
  <c r="AE1091" i="16" s="1"/>
  <c r="AF1091" i="16" s="1"/>
  <c r="S1039" i="16"/>
  <c r="T1039" i="16" s="1"/>
  <c r="AE1039" i="16" s="1"/>
  <c r="AF1039" i="16" s="1"/>
  <c r="AG1039" i="16" s="1"/>
  <c r="S916" i="16"/>
  <c r="T916" i="16" s="1"/>
  <c r="AE916" i="16" s="1"/>
  <c r="AF916" i="16" s="1"/>
  <c r="AI916" i="16" s="1"/>
  <c r="AJ916" i="16" s="1"/>
  <c r="S901" i="16"/>
  <c r="T901" i="16" s="1"/>
  <c r="AE901" i="16" s="1"/>
  <c r="AF901" i="16" s="1"/>
  <c r="S1164" i="16"/>
  <c r="T1164" i="16" s="1"/>
  <c r="AE1164" i="16" s="1"/>
  <c r="AF1164" i="16" s="1"/>
  <c r="AG1164" i="16" s="1"/>
  <c r="S793" i="16"/>
  <c r="T793" i="16" s="1"/>
  <c r="AE793" i="16" s="1"/>
  <c r="AF793" i="16" s="1"/>
  <c r="S1061" i="16"/>
  <c r="T1061" i="16" s="1"/>
  <c r="AE1061" i="16" s="1"/>
  <c r="AF1061" i="16" s="1"/>
  <c r="AG1061" i="16" s="1"/>
  <c r="S867" i="16"/>
  <c r="T867" i="16" s="1"/>
  <c r="AE867" i="16" s="1"/>
  <c r="AF867" i="16" s="1"/>
  <c r="S824" i="16"/>
  <c r="T824" i="16" s="1"/>
  <c r="AE824" i="16" s="1"/>
  <c r="AF824" i="16" s="1"/>
  <c r="AI824" i="16" s="1"/>
  <c r="AJ824" i="16" s="1"/>
  <c r="S756" i="16"/>
  <c r="T756" i="16" s="1"/>
  <c r="AE756" i="16" s="1"/>
  <c r="AF756" i="16" s="1"/>
  <c r="AI756" i="16" s="1"/>
  <c r="AJ756" i="16" s="1"/>
  <c r="S760" i="16"/>
  <c r="T760" i="16" s="1"/>
  <c r="AE760" i="16" s="1"/>
  <c r="AF760" i="16" s="1"/>
  <c r="AI760" i="16" s="1"/>
  <c r="AJ760" i="16" s="1"/>
  <c r="S953" i="16"/>
  <c r="T953" i="16" s="1"/>
  <c r="AE953" i="16" s="1"/>
  <c r="AF953" i="16" s="1"/>
  <c r="AI953" i="16" s="1"/>
  <c r="AJ953" i="16" s="1"/>
  <c r="S1027" i="16"/>
  <c r="T1027" i="16" s="1"/>
  <c r="AE1027" i="16" s="1"/>
  <c r="AF1027" i="16" s="1"/>
  <c r="AI1027" i="16" s="1"/>
  <c r="AJ1027" i="16" s="1"/>
  <c r="S988" i="16"/>
  <c r="T988" i="16" s="1"/>
  <c r="AE988" i="16" s="1"/>
  <c r="AF988" i="16" s="1"/>
  <c r="AI988" i="16" s="1"/>
  <c r="AJ988" i="16" s="1"/>
  <c r="S948" i="16"/>
  <c r="T948" i="16" s="1"/>
  <c r="AE948" i="16" s="1"/>
  <c r="AF948" i="16" s="1"/>
  <c r="AI948" i="16" s="1"/>
  <c r="AJ948" i="16" s="1"/>
  <c r="S871" i="16"/>
  <c r="T871" i="16" s="1"/>
  <c r="AE871" i="16" s="1"/>
  <c r="AF871" i="16" s="1"/>
  <c r="AI871" i="16" s="1"/>
  <c r="AJ871" i="16" s="1"/>
  <c r="S1150" i="16"/>
  <c r="T1150" i="16" s="1"/>
  <c r="AE1150" i="16" s="1"/>
  <c r="AF1150" i="16" s="1"/>
  <c r="AI1150" i="16" s="1"/>
  <c r="AJ1150" i="16" s="1"/>
  <c r="S962" i="16"/>
  <c r="T962" i="16" s="1"/>
  <c r="AE962" i="16" s="1"/>
  <c r="AF962" i="16" s="1"/>
  <c r="AG962" i="16" s="1"/>
  <c r="S1111" i="16"/>
  <c r="T1111" i="16" s="1"/>
  <c r="AE1111" i="16" s="1"/>
  <c r="AF1111" i="16" s="1"/>
  <c r="AG1111" i="16" s="1"/>
  <c r="AG2192" i="16"/>
  <c r="S1146" i="16"/>
  <c r="T1146" i="16" s="1"/>
  <c r="AE1146" i="16" s="1"/>
  <c r="AF1146" i="16" s="1"/>
  <c r="AI1146" i="16" s="1"/>
  <c r="AJ1146" i="16" s="1"/>
  <c r="S1107" i="16"/>
  <c r="T1107" i="16" s="1"/>
  <c r="AE1107" i="16" s="1"/>
  <c r="AF1107" i="16" s="1"/>
  <c r="AI1107" i="16" s="1"/>
  <c r="AJ1107" i="16" s="1"/>
  <c r="AF1082" i="16"/>
  <c r="AG1082" i="16" s="1"/>
  <c r="AF1074" i="16"/>
  <c r="AI1074" i="16" s="1"/>
  <c r="AJ1074" i="16" s="1"/>
  <c r="S747" i="16"/>
  <c r="T747" i="16" s="1"/>
  <c r="AE747" i="16" s="1"/>
  <c r="AF747" i="16" s="1"/>
  <c r="AI747" i="16" s="1"/>
  <c r="AJ747" i="16" s="1"/>
  <c r="S188" i="16"/>
  <c r="T188" i="16" s="1"/>
  <c r="AE188" i="16" s="1"/>
  <c r="AF188" i="16" s="1"/>
  <c r="AG188" i="16" s="1"/>
  <c r="S457" i="16"/>
  <c r="T457" i="16" s="1"/>
  <c r="AE457" i="16" s="1"/>
  <c r="AF457" i="16" s="1"/>
  <c r="AI457" i="16" s="1"/>
  <c r="AJ457" i="16" s="1"/>
  <c r="S286" i="16"/>
  <c r="T286" i="16" s="1"/>
  <c r="AE286" i="16" s="1"/>
  <c r="AF286" i="16" s="1"/>
  <c r="AG286" i="16" s="1"/>
  <c r="S153" i="16"/>
  <c r="T153" i="16" s="1"/>
  <c r="AE153" i="16" s="1"/>
  <c r="AF153" i="16" s="1"/>
  <c r="S168" i="16"/>
  <c r="T168" i="16" s="1"/>
  <c r="AE168" i="16" s="1"/>
  <c r="AF168" i="16" s="1"/>
  <c r="S134" i="16"/>
  <c r="T134" i="16" s="1"/>
  <c r="AE134" i="16" s="1"/>
  <c r="AF134" i="16" s="1"/>
  <c r="AG134" i="16" s="1"/>
  <c r="S184" i="16"/>
  <c r="T184" i="16" s="1"/>
  <c r="AE184" i="16" s="1"/>
  <c r="AF184" i="16" s="1"/>
  <c r="S549" i="16"/>
  <c r="T549" i="16" s="1"/>
  <c r="AE549" i="16" s="1"/>
  <c r="AF549" i="16" s="1"/>
  <c r="AG549" i="16" s="1"/>
  <c r="S422" i="16"/>
  <c r="T422" i="16" s="1"/>
  <c r="AE422" i="16" s="1"/>
  <c r="AF422" i="16" s="1"/>
  <c r="AG422" i="16" s="1"/>
  <c r="S685" i="16"/>
  <c r="T685" i="16" s="1"/>
  <c r="AE685" i="16" s="1"/>
  <c r="AF685" i="16" s="1"/>
  <c r="AG685" i="16" s="1"/>
  <c r="S1149" i="16"/>
  <c r="T1149" i="16" s="1"/>
  <c r="AE1149" i="16" s="1"/>
  <c r="AF1149" i="16" s="1"/>
  <c r="AI1149" i="16" s="1"/>
  <c r="AJ1149" i="16" s="1"/>
  <c r="S1197" i="16"/>
  <c r="T1197" i="16" s="1"/>
  <c r="AE1197" i="16" s="1"/>
  <c r="AF1197" i="16" s="1"/>
  <c r="AI1197" i="16" s="1"/>
  <c r="AJ1197" i="16" s="1"/>
  <c r="S1193" i="16"/>
  <c r="T1193" i="16" s="1"/>
  <c r="AE1193" i="16" s="1"/>
  <c r="AF1193" i="16" s="1"/>
  <c r="S940" i="16"/>
  <c r="T940" i="16" s="1"/>
  <c r="AE940" i="16" s="1"/>
  <c r="AF940" i="16" s="1"/>
  <c r="AI940" i="16" s="1"/>
  <c r="AJ940" i="16" s="1"/>
  <c r="S1079" i="16"/>
  <c r="T1079" i="16" s="1"/>
  <c r="AE1079" i="16" s="1"/>
  <c r="AF1079" i="16" s="1"/>
  <c r="S1094" i="16"/>
  <c r="T1094" i="16" s="1"/>
  <c r="AE1094" i="16" s="1"/>
  <c r="AF1094" i="16" s="1"/>
  <c r="AI1094" i="16" s="1"/>
  <c r="AJ1094" i="16" s="1"/>
  <c r="S1139" i="16"/>
  <c r="T1139" i="16" s="1"/>
  <c r="AE1139" i="16" s="1"/>
  <c r="AF1139" i="16" s="1"/>
  <c r="AI1139" i="16" s="1"/>
  <c r="AJ1139" i="16" s="1"/>
  <c r="S1066" i="16"/>
  <c r="T1066" i="16" s="1"/>
  <c r="AE1066" i="16" s="1"/>
  <c r="AF1066" i="16" s="1"/>
  <c r="AI1066" i="16" s="1"/>
  <c r="AJ1066" i="16" s="1"/>
  <c r="S1187" i="16"/>
  <c r="T1187" i="16" s="1"/>
  <c r="AE1187" i="16" s="1"/>
  <c r="AF1187" i="16" s="1"/>
  <c r="S924" i="16"/>
  <c r="T924" i="16" s="1"/>
  <c r="AE924" i="16" s="1"/>
  <c r="AF924" i="16" s="1"/>
  <c r="AI924" i="16" s="1"/>
  <c r="AJ924" i="16" s="1"/>
  <c r="S1036" i="16"/>
  <c r="T1036" i="16" s="1"/>
  <c r="AE1036" i="16" s="1"/>
  <c r="AF1036" i="16" s="1"/>
  <c r="AI1036" i="16" s="1"/>
  <c r="AJ1036" i="16" s="1"/>
  <c r="S1158" i="16"/>
  <c r="T1158" i="16" s="1"/>
  <c r="AE1158" i="16" s="1"/>
  <c r="AF1158" i="16" s="1"/>
  <c r="AI1158" i="16" s="1"/>
  <c r="AJ1158" i="16" s="1"/>
  <c r="S1042" i="16"/>
  <c r="T1042" i="16" s="1"/>
  <c r="AE1042" i="16" s="1"/>
  <c r="AF1042" i="16" s="1"/>
  <c r="AI1042" i="16" s="1"/>
  <c r="AJ1042" i="16" s="1"/>
  <c r="S1007" i="16"/>
  <c r="T1007" i="16" s="1"/>
  <c r="AE1007" i="16" s="1"/>
  <c r="AF1007" i="16" s="1"/>
  <c r="AI1007" i="16" s="1"/>
  <c r="AJ1007" i="16" s="1"/>
  <c r="S1236" i="16"/>
  <c r="T1236" i="16" s="1"/>
  <c r="AE1236" i="16" s="1"/>
  <c r="AF1236" i="16" s="1"/>
  <c r="AI1236" i="16" s="1"/>
  <c r="AJ1236" i="16" s="1"/>
  <c r="AI1432" i="16"/>
  <c r="AJ1432" i="16" s="1"/>
  <c r="AF1153" i="16"/>
  <c r="AI1153" i="16" s="1"/>
  <c r="AJ1153" i="16" s="1"/>
  <c r="AF1185" i="16"/>
  <c r="AG1185" i="16" s="1"/>
  <c r="AF1196" i="16"/>
  <c r="AI1196" i="16" s="1"/>
  <c r="AJ1196" i="16" s="1"/>
  <c r="S1011" i="16"/>
  <c r="T1011" i="16" s="1"/>
  <c r="AE1011" i="16" s="1"/>
  <c r="AF1011" i="16" s="1"/>
  <c r="AI1011" i="16" s="1"/>
  <c r="AJ1011" i="16" s="1"/>
  <c r="AF1065" i="16"/>
  <c r="AG1065" i="16" s="1"/>
  <c r="S669" i="16"/>
  <c r="T669" i="16" s="1"/>
  <c r="AE669" i="16" s="1"/>
  <c r="AF669" i="16" s="1"/>
  <c r="AG669" i="16" s="1"/>
  <c r="S424" i="16"/>
  <c r="T424" i="16" s="1"/>
  <c r="AE424" i="16" s="1"/>
  <c r="AF424" i="16" s="1"/>
  <c r="AI424" i="16" s="1"/>
  <c r="AJ424" i="16" s="1"/>
  <c r="S258" i="16"/>
  <c r="T258" i="16" s="1"/>
  <c r="AE258" i="16" s="1"/>
  <c r="AF258" i="16" s="1"/>
  <c r="S151" i="16"/>
  <c r="T151" i="16" s="1"/>
  <c r="AE151" i="16" s="1"/>
  <c r="AF151" i="16" s="1"/>
  <c r="AI151" i="16" s="1"/>
  <c r="AJ151" i="16" s="1"/>
  <c r="S137" i="16"/>
  <c r="T137" i="16" s="1"/>
  <c r="AE137" i="16" s="1"/>
  <c r="AF137" i="16" s="1"/>
  <c r="S159" i="16"/>
  <c r="T159" i="16" s="1"/>
  <c r="AE159" i="16" s="1"/>
  <c r="AF159" i="16" s="1"/>
  <c r="AG159" i="16" s="1"/>
  <c r="S141" i="16"/>
  <c r="T141" i="16" s="1"/>
  <c r="AE141" i="16" s="1"/>
  <c r="AF141" i="16" s="1"/>
  <c r="AG141" i="16" s="1"/>
  <c r="S155" i="16"/>
  <c r="T155" i="16" s="1"/>
  <c r="AE155" i="16" s="1"/>
  <c r="AF155" i="16" s="1"/>
  <c r="AI155" i="16" s="1"/>
  <c r="AJ155" i="16" s="1"/>
  <c r="S1171" i="16"/>
  <c r="T1171" i="16" s="1"/>
  <c r="AE1171" i="16" s="1"/>
  <c r="AF1171" i="16" s="1"/>
  <c r="AI1171" i="16" s="1"/>
  <c r="AJ1171" i="16" s="1"/>
  <c r="S985" i="16"/>
  <c r="T985" i="16" s="1"/>
  <c r="AE985" i="16" s="1"/>
  <c r="AF985" i="16" s="1"/>
  <c r="AG985" i="16" s="1"/>
  <c r="S857" i="16"/>
  <c r="T857" i="16" s="1"/>
  <c r="AE857" i="16" s="1"/>
  <c r="AF857" i="16" s="1"/>
  <c r="AG857" i="16" s="1"/>
  <c r="S788" i="16"/>
  <c r="T788" i="16" s="1"/>
  <c r="AE788" i="16" s="1"/>
  <c r="AF788" i="16" s="1"/>
  <c r="AI788" i="16" s="1"/>
  <c r="AJ788" i="16" s="1"/>
  <c r="S1228" i="16"/>
  <c r="T1228" i="16" s="1"/>
  <c r="AE1228" i="16" s="1"/>
  <c r="AF1228" i="16" s="1"/>
  <c r="AG1228" i="16" s="1"/>
  <c r="S1184" i="16"/>
  <c r="T1184" i="16" s="1"/>
  <c r="AE1184" i="16" s="1"/>
  <c r="AF1184" i="16" s="1"/>
  <c r="AG1184" i="16" s="1"/>
  <c r="S1090" i="16"/>
  <c r="T1090" i="16" s="1"/>
  <c r="AE1090" i="16" s="1"/>
  <c r="AF1090" i="16" s="1"/>
  <c r="S1070" i="16"/>
  <c r="T1070" i="16" s="1"/>
  <c r="AE1070" i="16" s="1"/>
  <c r="AF1070" i="16" s="1"/>
  <c r="AG1070" i="16" s="1"/>
  <c r="S907" i="16"/>
  <c r="T907" i="16" s="1"/>
  <c r="AE907" i="16" s="1"/>
  <c r="AF907" i="16" s="1"/>
  <c r="AI907" i="16" s="1"/>
  <c r="AJ907" i="16" s="1"/>
  <c r="S1147" i="16"/>
  <c r="T1147" i="16" s="1"/>
  <c r="AE1147" i="16" s="1"/>
  <c r="AF1147" i="16" s="1"/>
  <c r="AI1147" i="16" s="1"/>
  <c r="AJ1147" i="16" s="1"/>
  <c r="AI1974" i="16"/>
  <c r="AJ1974" i="16" s="1"/>
  <c r="AI1812" i="16"/>
  <c r="AJ1812" i="16" s="1"/>
  <c r="AF1145" i="16"/>
  <c r="AI1145" i="16" s="1"/>
  <c r="AJ1145" i="16" s="1"/>
  <c r="S1130" i="16"/>
  <c r="T1130" i="16" s="1"/>
  <c r="AE1130" i="16" s="1"/>
  <c r="AF1130" i="16" s="1"/>
  <c r="AI1130" i="16" s="1"/>
  <c r="AJ1130" i="16" s="1"/>
  <c r="S939" i="16"/>
  <c r="T939" i="16" s="1"/>
  <c r="AE939" i="16" s="1"/>
  <c r="AF939" i="16" s="1"/>
  <c r="AI939" i="16" s="1"/>
  <c r="AJ939" i="16" s="1"/>
  <c r="AF1073" i="16"/>
  <c r="AI1073" i="16" s="1"/>
  <c r="AJ1073" i="16" s="1"/>
  <c r="S952" i="16"/>
  <c r="T952" i="16" s="1"/>
  <c r="AE952" i="16" s="1"/>
  <c r="AF952" i="16" s="1"/>
  <c r="AI952" i="16" s="1"/>
  <c r="AJ952" i="16" s="1"/>
  <c r="S861" i="16"/>
  <c r="T861" i="16" s="1"/>
  <c r="AE861" i="16" s="1"/>
  <c r="AF861" i="16" s="1"/>
  <c r="AI861" i="16" s="1"/>
  <c r="AJ861" i="16" s="1"/>
  <c r="S172" i="16"/>
  <c r="T172" i="16" s="1"/>
  <c r="AE172" i="16" s="1"/>
  <c r="AF172" i="16" s="1"/>
  <c r="S350" i="16"/>
  <c r="T350" i="16" s="1"/>
  <c r="AE350" i="16" s="1"/>
  <c r="AF350" i="16" s="1"/>
  <c r="AG350" i="16" s="1"/>
  <c r="S245" i="16"/>
  <c r="T245" i="16" s="1"/>
  <c r="AE245" i="16" s="1"/>
  <c r="AF245" i="16" s="1"/>
  <c r="AG245" i="16" s="1"/>
  <c r="S237" i="16"/>
  <c r="T237" i="16" s="1"/>
  <c r="AE237" i="16" s="1"/>
  <c r="AF237" i="16" s="1"/>
  <c r="AI237" i="16" s="1"/>
  <c r="AJ237" i="16" s="1"/>
  <c r="S282" i="16"/>
  <c r="T282" i="16" s="1"/>
  <c r="AE282" i="16" s="1"/>
  <c r="AF282" i="16" s="1"/>
  <c r="AG282" i="16" s="1"/>
  <c r="S1220" i="16"/>
  <c r="T1220" i="16" s="1"/>
  <c r="AE1220" i="16" s="1"/>
  <c r="AF1220" i="16" s="1"/>
  <c r="AI1220" i="16" s="1"/>
  <c r="AJ1220" i="16" s="1"/>
  <c r="S1214" i="16"/>
  <c r="T1214" i="16" s="1"/>
  <c r="AE1214" i="16" s="1"/>
  <c r="AF1214" i="16" s="1"/>
  <c r="AG1214" i="16" s="1"/>
  <c r="S1167" i="16"/>
  <c r="T1167" i="16" s="1"/>
  <c r="AE1167" i="16" s="1"/>
  <c r="AF1167" i="16" s="1"/>
  <c r="AI1167" i="16" s="1"/>
  <c r="AJ1167" i="16" s="1"/>
  <c r="S1232" i="16"/>
  <c r="T1232" i="16" s="1"/>
  <c r="AE1232" i="16" s="1"/>
  <c r="AF1232" i="16" s="1"/>
  <c r="AI1232" i="16" s="1"/>
  <c r="S1103" i="16"/>
  <c r="T1103" i="16" s="1"/>
  <c r="AE1103" i="16" s="1"/>
  <c r="AF1103" i="16" s="1"/>
  <c r="S973" i="16"/>
  <c r="T973" i="16" s="1"/>
  <c r="AE973" i="16" s="1"/>
  <c r="AF973" i="16" s="1"/>
  <c r="AI973" i="16" s="1"/>
  <c r="AJ973" i="16" s="1"/>
  <c r="S1154" i="16"/>
  <c r="T1154" i="16" s="1"/>
  <c r="AE1154" i="16" s="1"/>
  <c r="AF1154" i="16" s="1"/>
  <c r="S1209" i="16"/>
  <c r="T1209" i="16" s="1"/>
  <c r="AE1209" i="16" s="1"/>
  <c r="AF1209" i="16" s="1"/>
  <c r="S1110" i="16"/>
  <c r="T1110" i="16" s="1"/>
  <c r="AE1110" i="16" s="1"/>
  <c r="AF1110" i="16" s="1"/>
  <c r="S1060" i="16"/>
  <c r="T1060" i="16" s="1"/>
  <c r="AE1060" i="16" s="1"/>
  <c r="AF1060" i="16" s="1"/>
  <c r="AG1060" i="16" s="1"/>
  <c r="S1108" i="16"/>
  <c r="T1108" i="16" s="1"/>
  <c r="AE1108" i="16" s="1"/>
  <c r="AF1108" i="16" s="1"/>
  <c r="AI1108" i="16" s="1"/>
  <c r="AJ1108" i="16" s="1"/>
  <c r="AF1176" i="16"/>
  <c r="AG1176" i="16" s="1"/>
  <c r="AF1127" i="16"/>
  <c r="AG1127" i="16" s="1"/>
  <c r="AF1124" i="16"/>
  <c r="AI1124" i="16" s="1"/>
  <c r="AJ1124" i="16" s="1"/>
  <c r="AF1170" i="16"/>
  <c r="AG1170" i="16" s="1"/>
  <c r="AF1177" i="16"/>
  <c r="AI1177" i="16" s="1"/>
  <c r="AJ1177" i="16" s="1"/>
  <c r="AF1162" i="16"/>
  <c r="AG1162" i="16" s="1"/>
  <c r="AF1138" i="16"/>
  <c r="AI1138" i="16" s="1"/>
  <c r="AJ1138" i="16" s="1"/>
  <c r="AF1237" i="16"/>
  <c r="AG1237" i="16" s="1"/>
  <c r="AF1085" i="16"/>
  <c r="AG1085" i="16" s="1"/>
  <c r="AF1211" i="16"/>
  <c r="AG1211" i="16" s="1"/>
  <c r="AF1161" i="16"/>
  <c r="AI1161" i="16" s="1"/>
  <c r="AJ1161" i="16" s="1"/>
  <c r="AF1189" i="16"/>
  <c r="AI1189" i="16" s="1"/>
  <c r="AJ1189" i="16" s="1"/>
  <c r="AF1081" i="16"/>
  <c r="AG1081" i="16" s="1"/>
  <c r="AF1106" i="16"/>
  <c r="AG1106" i="16" s="1"/>
  <c r="AF1089" i="16"/>
  <c r="AI1089" i="16" s="1"/>
  <c r="AJ1089" i="16" s="1"/>
  <c r="AF1191" i="16"/>
  <c r="AG1191" i="16" s="1"/>
  <c r="AF1219" i="16"/>
  <c r="AG1219" i="16" s="1"/>
  <c r="AF1099" i="16"/>
  <c r="AI1099" i="16" s="1"/>
  <c r="AJ1099" i="16" s="1"/>
  <c r="AF1218" i="16"/>
  <c r="AI1218" i="16" s="1"/>
  <c r="AJ1218" i="16" s="1"/>
  <c r="AF1227" i="16"/>
  <c r="AI1227" i="16" s="1"/>
  <c r="AJ1227" i="16" s="1"/>
  <c r="AF1215" i="16"/>
  <c r="AG1215" i="16" s="1"/>
  <c r="AF1152" i="16"/>
  <c r="AG1152" i="16" s="1"/>
  <c r="AF1208" i="16"/>
  <c r="AG1208" i="16" s="1"/>
  <c r="AF1075" i="16"/>
  <c r="AI1075" i="16" s="1"/>
  <c r="AJ1075" i="16" s="1"/>
  <c r="AF1192" i="16"/>
  <c r="AG1192" i="16" s="1"/>
  <c r="AF1178" i="16"/>
  <c r="AI1178" i="16" s="1"/>
  <c r="AJ1178" i="16" s="1"/>
  <c r="AF1157" i="16"/>
  <c r="AI1157" i="16" s="1"/>
  <c r="AJ1157" i="16" s="1"/>
  <c r="AF1120" i="16"/>
  <c r="AG1120" i="16" s="1"/>
  <c r="AF1223" i="16"/>
  <c r="AG1223" i="16" s="1"/>
  <c r="AF1134" i="16"/>
  <c r="AI1134" i="16" s="1"/>
  <c r="AJ1134" i="16" s="1"/>
  <c r="AF1093" i="16"/>
  <c r="AI1093" i="16" s="1"/>
  <c r="AJ1093" i="16" s="1"/>
  <c r="AF1116" i="16"/>
  <c r="AI1116" i="16" s="1"/>
  <c r="AJ1116" i="16" s="1"/>
  <c r="AF1183" i="16"/>
  <c r="AI1183" i="16" s="1"/>
  <c r="AJ1183" i="16" s="1"/>
  <c r="AF1186" i="16"/>
  <c r="AI1186" i="16" s="1"/>
  <c r="AJ1186" i="16" s="1"/>
  <c r="AF1069" i="16"/>
  <c r="AI1069" i="16" s="1"/>
  <c r="AJ1069" i="16" s="1"/>
  <c r="AF1072" i="16"/>
  <c r="AG1072" i="16" s="1"/>
  <c r="AF1213" i="16"/>
  <c r="AI1213" i="16" s="1"/>
  <c r="AJ1213" i="16" s="1"/>
  <c r="AF1235" i="16"/>
  <c r="AI1235" i="16" s="1"/>
  <c r="AJ1235" i="16" s="1"/>
  <c r="S411" i="16"/>
  <c r="T411" i="16" s="1"/>
  <c r="AE411" i="16" s="1"/>
  <c r="AF411" i="16" s="1"/>
  <c r="AI411" i="16" s="1"/>
  <c r="AJ411" i="16" s="1"/>
  <c r="S743" i="16"/>
  <c r="T743" i="16" s="1"/>
  <c r="AE743" i="16" s="1"/>
  <c r="AF743" i="16" s="1"/>
  <c r="AG743" i="16" s="1"/>
  <c r="S807" i="16"/>
  <c r="T807" i="16" s="1"/>
  <c r="AE807" i="16" s="1"/>
  <c r="AF807" i="16" s="1"/>
  <c r="AG807" i="16" s="1"/>
  <c r="S827" i="16"/>
  <c r="T827" i="16" s="1"/>
  <c r="AE827" i="16" s="1"/>
  <c r="AF827" i="16" s="1"/>
  <c r="AG827" i="16" s="1"/>
  <c r="S785" i="16"/>
  <c r="T785" i="16" s="1"/>
  <c r="AE785" i="16" s="1"/>
  <c r="AF785" i="16" s="1"/>
  <c r="AG1975" i="16"/>
  <c r="S203" i="16"/>
  <c r="T203" i="16" s="1"/>
  <c r="AE203" i="16" s="1"/>
  <c r="AF203" i="16" s="1"/>
  <c r="AI203" i="16" s="1"/>
  <c r="AJ203" i="16" s="1"/>
  <c r="S425" i="16"/>
  <c r="T425" i="16" s="1"/>
  <c r="AE425" i="16" s="1"/>
  <c r="AF425" i="16" s="1"/>
  <c r="AI425" i="16" s="1"/>
  <c r="AJ425" i="16" s="1"/>
  <c r="S467" i="16"/>
  <c r="T467" i="16" s="1"/>
  <c r="AE467" i="16" s="1"/>
  <c r="AF467" i="16" s="1"/>
  <c r="AI467" i="16" s="1"/>
  <c r="AJ467" i="16" s="1"/>
  <c r="S160" i="16"/>
  <c r="T160" i="16" s="1"/>
  <c r="AE160" i="16" s="1"/>
  <c r="AF160" i="16" s="1"/>
  <c r="AF1062" i="16"/>
  <c r="AI1062" i="16" s="1"/>
  <c r="AJ1062" i="16" s="1"/>
  <c r="S930" i="16"/>
  <c r="T930" i="16" s="1"/>
  <c r="AE930" i="16" s="1"/>
  <c r="AF930" i="16" s="1"/>
  <c r="AG930" i="16" s="1"/>
  <c r="S831" i="16"/>
  <c r="T831" i="16" s="1"/>
  <c r="AE831" i="16" s="1"/>
  <c r="AF831" i="16" s="1"/>
  <c r="AG831" i="16" s="1"/>
  <c r="S194" i="16"/>
  <c r="T194" i="16" s="1"/>
  <c r="AE194" i="16" s="1"/>
  <c r="AF194" i="16" s="1"/>
  <c r="AI194" i="16" s="1"/>
  <c r="AJ194" i="16" s="1"/>
  <c r="S574" i="16"/>
  <c r="T574" i="16" s="1"/>
  <c r="AE574" i="16" s="1"/>
  <c r="AF574" i="16" s="1"/>
  <c r="AI574" i="16" s="1"/>
  <c r="AJ574" i="16" s="1"/>
  <c r="S342" i="16"/>
  <c r="T342" i="16" s="1"/>
  <c r="AE342" i="16" s="1"/>
  <c r="AF342" i="16" s="1"/>
  <c r="S854" i="16"/>
  <c r="T854" i="16" s="1"/>
  <c r="AE854" i="16" s="1"/>
  <c r="AF854" i="16" s="1"/>
  <c r="AI854" i="16" s="1"/>
  <c r="AJ854" i="16" s="1"/>
  <c r="AI1977" i="16"/>
  <c r="AJ1977" i="16" s="1"/>
  <c r="AI2223" i="16"/>
  <c r="AJ2223" i="16" s="1"/>
  <c r="AG1856" i="16"/>
  <c r="S364" i="16"/>
  <c r="T364" i="16" s="1"/>
  <c r="AE364" i="16" s="1"/>
  <c r="AF364" i="16" s="1"/>
  <c r="AG364" i="16" s="1"/>
  <c r="S559" i="16"/>
  <c r="T559" i="16" s="1"/>
  <c r="AE559" i="16" s="1"/>
  <c r="AF559" i="16" s="1"/>
  <c r="AG559" i="16" s="1"/>
  <c r="S368" i="16"/>
  <c r="T368" i="16" s="1"/>
  <c r="AE368" i="16" s="1"/>
  <c r="AF368" i="16" s="1"/>
  <c r="AI1970" i="16"/>
  <c r="AJ1970" i="16" s="1"/>
  <c r="AI2219" i="16"/>
  <c r="AJ2219" i="16" s="1"/>
  <c r="AG1785" i="16"/>
  <c r="AI2188" i="16"/>
  <c r="AJ2188" i="16" s="1"/>
  <c r="S126" i="16"/>
  <c r="T126" i="16" s="1"/>
  <c r="AE126" i="16" s="1"/>
  <c r="AF126" i="16" s="1"/>
  <c r="AI126" i="16" s="1"/>
  <c r="AJ126" i="16" s="1"/>
  <c r="S228" i="16"/>
  <c r="T228" i="16" s="1"/>
  <c r="AE228" i="16" s="1"/>
  <c r="AF228" i="16" s="1"/>
  <c r="AG228" i="16" s="1"/>
  <c r="S167" i="16"/>
  <c r="T167" i="16" s="1"/>
  <c r="AE167" i="16" s="1"/>
  <c r="AF167" i="16" s="1"/>
  <c r="S281" i="16"/>
  <c r="T281" i="16" s="1"/>
  <c r="AE281" i="16" s="1"/>
  <c r="AF281" i="16" s="1"/>
  <c r="S378" i="16"/>
  <c r="T378" i="16" s="1"/>
  <c r="AE378" i="16" s="1"/>
  <c r="AF378" i="16" s="1"/>
  <c r="AI378" i="16" s="1"/>
  <c r="AJ378" i="16" s="1"/>
  <c r="S130" i="16"/>
  <c r="T130" i="16" s="1"/>
  <c r="AE130" i="16" s="1"/>
  <c r="AF130" i="16" s="1"/>
  <c r="AG130" i="16" s="1"/>
  <c r="S149" i="16"/>
  <c r="T149" i="16" s="1"/>
  <c r="AE149" i="16" s="1"/>
  <c r="AF149" i="16" s="1"/>
  <c r="AG149" i="16" s="1"/>
  <c r="AG1595" i="16"/>
  <c r="S923" i="16"/>
  <c r="T923" i="16" s="1"/>
  <c r="AE923" i="16" s="1"/>
  <c r="AF923" i="16" s="1"/>
  <c r="AI923" i="16" s="1"/>
  <c r="AJ923" i="16" s="1"/>
  <c r="S856" i="16"/>
  <c r="T856" i="16" s="1"/>
  <c r="AE856" i="16" s="1"/>
  <c r="AF856" i="16" s="1"/>
  <c r="AI856" i="16" s="1"/>
  <c r="AJ856" i="16" s="1"/>
  <c r="AF1056" i="16"/>
  <c r="AI1056" i="16" s="1"/>
  <c r="AJ1056" i="16" s="1"/>
  <c r="S707" i="16"/>
  <c r="T707" i="16" s="1"/>
  <c r="AE707" i="16" s="1"/>
  <c r="AF707" i="16" s="1"/>
  <c r="S643" i="16"/>
  <c r="T643" i="16" s="1"/>
  <c r="AE643" i="16" s="1"/>
  <c r="AF643" i="16" s="1"/>
  <c r="AG643" i="16" s="1"/>
  <c r="S591" i="16"/>
  <c r="T591" i="16" s="1"/>
  <c r="AE591" i="16" s="1"/>
  <c r="AF591" i="16" s="1"/>
  <c r="AI591" i="16" s="1"/>
  <c r="AJ591" i="16" s="1"/>
  <c r="S1023" i="16"/>
  <c r="T1023" i="16" s="1"/>
  <c r="AE1023" i="16" s="1"/>
  <c r="AF1023" i="16" s="1"/>
  <c r="AI1023" i="16" s="1"/>
  <c r="AJ1023" i="16" s="1"/>
  <c r="AG1843" i="16"/>
  <c r="AG1451" i="16"/>
  <c r="S797" i="16"/>
  <c r="T797" i="16" s="1"/>
  <c r="AE797" i="16" s="1"/>
  <c r="AF797" i="16" s="1"/>
  <c r="AG797" i="16" s="1"/>
  <c r="S637" i="16"/>
  <c r="T637" i="16" s="1"/>
  <c r="AE637" i="16" s="1"/>
  <c r="AF637" i="16" s="1"/>
  <c r="S621" i="16"/>
  <c r="T621" i="16" s="1"/>
  <c r="AE621" i="16" s="1"/>
  <c r="AF621" i="16" s="1"/>
  <c r="S672" i="16"/>
  <c r="T672" i="16" s="1"/>
  <c r="AE672" i="16" s="1"/>
  <c r="AF672" i="16" s="1"/>
  <c r="AI672" i="16" s="1"/>
  <c r="AJ672" i="16" s="1"/>
  <c r="S603" i="16"/>
  <c r="T603" i="16" s="1"/>
  <c r="AE603" i="16" s="1"/>
  <c r="AF603" i="16" s="1"/>
  <c r="AG603" i="16" s="1"/>
  <c r="S602" i="16"/>
  <c r="T602" i="16" s="1"/>
  <c r="AE602" i="16" s="1"/>
  <c r="AF602" i="16" s="1"/>
  <c r="AI602" i="16" s="1"/>
  <c r="AJ602" i="16" s="1"/>
  <c r="S542" i="16"/>
  <c r="T542" i="16" s="1"/>
  <c r="AE542" i="16" s="1"/>
  <c r="AF542" i="16" s="1"/>
  <c r="AI542" i="16" s="1"/>
  <c r="AJ542" i="16" s="1"/>
  <c r="S287" i="16"/>
  <c r="T287" i="16" s="1"/>
  <c r="AE287" i="16" s="1"/>
  <c r="AF287" i="16" s="1"/>
  <c r="AG287" i="16" s="1"/>
  <c r="S207" i="16"/>
  <c r="T207" i="16" s="1"/>
  <c r="AE207" i="16" s="1"/>
  <c r="AF207" i="16" s="1"/>
  <c r="AI207" i="16" s="1"/>
  <c r="AJ207" i="16" s="1"/>
  <c r="S265" i="16"/>
  <c r="T265" i="16" s="1"/>
  <c r="AE265" i="16" s="1"/>
  <c r="AF265" i="16" s="1"/>
  <c r="AI265" i="16" s="1"/>
  <c r="AJ265" i="16" s="1"/>
  <c r="S505" i="16"/>
  <c r="T505" i="16" s="1"/>
  <c r="AE505" i="16" s="1"/>
  <c r="AF505" i="16" s="1"/>
  <c r="AI505" i="16" s="1"/>
  <c r="AJ505" i="16" s="1"/>
  <c r="S538" i="16"/>
  <c r="T538" i="16" s="1"/>
  <c r="AE538" i="16" s="1"/>
  <c r="AF538" i="16" s="1"/>
  <c r="AI538" i="16" s="1"/>
  <c r="AJ538" i="16" s="1"/>
  <c r="S622" i="16"/>
  <c r="T622" i="16" s="1"/>
  <c r="AE622" i="16" s="1"/>
  <c r="AF622" i="16" s="1"/>
  <c r="AG622" i="16" s="1"/>
  <c r="S698" i="16"/>
  <c r="T698" i="16" s="1"/>
  <c r="AE698" i="16" s="1"/>
  <c r="AF698" i="16" s="1"/>
  <c r="AI698" i="16" s="1"/>
  <c r="S1016" i="16"/>
  <c r="T1016" i="16" s="1"/>
  <c r="AE1016" i="16" s="1"/>
  <c r="AF1016" i="16" s="1"/>
  <c r="AI1016" i="16" s="1"/>
  <c r="AJ1016" i="16" s="1"/>
  <c r="S926" i="16"/>
  <c r="T926" i="16" s="1"/>
  <c r="AE926" i="16" s="1"/>
  <c r="AF926" i="16" s="1"/>
  <c r="AG926" i="16" s="1"/>
  <c r="S883" i="16"/>
  <c r="T883" i="16" s="1"/>
  <c r="AE883" i="16" s="1"/>
  <c r="AF883" i="16" s="1"/>
  <c r="S750" i="16"/>
  <c r="T750" i="16" s="1"/>
  <c r="AE750" i="16" s="1"/>
  <c r="AF750" i="16" s="1"/>
  <c r="AI750" i="16" s="1"/>
  <c r="AJ750" i="16" s="1"/>
  <c r="S957" i="16"/>
  <c r="T957" i="16" s="1"/>
  <c r="AE957" i="16" s="1"/>
  <c r="AF957" i="16" s="1"/>
  <c r="S763" i="16"/>
  <c r="T763" i="16" s="1"/>
  <c r="AE763" i="16" s="1"/>
  <c r="AF763" i="16" s="1"/>
  <c r="S992" i="16"/>
  <c r="T992" i="16" s="1"/>
  <c r="AE992" i="16" s="1"/>
  <c r="AF992" i="16" s="1"/>
  <c r="AI992" i="16" s="1"/>
  <c r="AJ992" i="16" s="1"/>
  <c r="AG1603" i="16"/>
  <c r="S519" i="16"/>
  <c r="T519" i="16" s="1"/>
  <c r="AE519" i="16" s="1"/>
  <c r="AF519" i="16" s="1"/>
  <c r="AI519" i="16" s="1"/>
  <c r="AJ519" i="16" s="1"/>
  <c r="S332" i="16"/>
  <c r="T332" i="16" s="1"/>
  <c r="AE332" i="16" s="1"/>
  <c r="AF332" i="16" s="1"/>
  <c r="AG332" i="16" s="1"/>
  <c r="S439" i="16"/>
  <c r="T439" i="16" s="1"/>
  <c r="AE439" i="16" s="1"/>
  <c r="AF439" i="16" s="1"/>
  <c r="AI439" i="16" s="1"/>
  <c r="AJ439" i="16" s="1"/>
  <c r="S468" i="16"/>
  <c r="T468" i="16" s="1"/>
  <c r="AE468" i="16" s="1"/>
  <c r="AF468" i="16" s="1"/>
  <c r="AI468" i="16" s="1"/>
  <c r="AJ468" i="16" s="1"/>
  <c r="S551" i="16"/>
  <c r="T551" i="16" s="1"/>
  <c r="AE551" i="16" s="1"/>
  <c r="AF551" i="16" s="1"/>
  <c r="AI551" i="16" s="1"/>
  <c r="AJ551" i="16" s="1"/>
  <c r="S1047" i="16"/>
  <c r="T1047" i="16" s="1"/>
  <c r="AE1047" i="16" s="1"/>
  <c r="AF1047" i="16" s="1"/>
  <c r="AI1047" i="16" s="1"/>
  <c r="AJ1047" i="16" s="1"/>
  <c r="AI1698" i="16"/>
  <c r="AJ1698" i="16" s="1"/>
  <c r="AG1600" i="16"/>
  <c r="S587" i="16"/>
  <c r="T587" i="16" s="1"/>
  <c r="AE587" i="16" s="1"/>
  <c r="AF587" i="16" s="1"/>
  <c r="AI587" i="16" s="1"/>
  <c r="AJ587" i="16" s="1"/>
  <c r="S435" i="16"/>
  <c r="T435" i="16" s="1"/>
  <c r="AE435" i="16" s="1"/>
  <c r="AF435" i="16" s="1"/>
  <c r="AI435" i="16" s="1"/>
  <c r="AJ435" i="16" s="1"/>
  <c r="S609" i="16"/>
  <c r="T609" i="16" s="1"/>
  <c r="AE609" i="16" s="1"/>
  <c r="AF609" i="16" s="1"/>
  <c r="AI609" i="16" s="1"/>
  <c r="AJ609" i="16" s="1"/>
  <c r="S712" i="16"/>
  <c r="T712" i="16" s="1"/>
  <c r="AE712" i="16" s="1"/>
  <c r="AF712" i="16" s="1"/>
  <c r="AG712" i="16" s="1"/>
  <c r="S1049" i="16"/>
  <c r="T1049" i="16" s="1"/>
  <c r="AE1049" i="16" s="1"/>
  <c r="AF1049" i="16" s="1"/>
  <c r="AI1049" i="16" s="1"/>
  <c r="AJ1049" i="16" s="1"/>
  <c r="S978" i="16"/>
  <c r="T978" i="16" s="1"/>
  <c r="AE978" i="16" s="1"/>
  <c r="AF978" i="16" s="1"/>
  <c r="AG978" i="16" s="1"/>
  <c r="S918" i="16"/>
  <c r="T918" i="16" s="1"/>
  <c r="AE918" i="16" s="1"/>
  <c r="AF918" i="16" s="1"/>
  <c r="AG918" i="16" s="1"/>
  <c r="S872" i="16"/>
  <c r="T872" i="16" s="1"/>
  <c r="AE872" i="16" s="1"/>
  <c r="AF872" i="16" s="1"/>
  <c r="AG872" i="16" s="1"/>
  <c r="S825" i="16"/>
  <c r="T825" i="16" s="1"/>
  <c r="AE825" i="16" s="1"/>
  <c r="AF825" i="16" s="1"/>
  <c r="AI825" i="16" s="1"/>
  <c r="AJ825" i="16" s="1"/>
  <c r="S813" i="16"/>
  <c r="T813" i="16" s="1"/>
  <c r="AE813" i="16" s="1"/>
  <c r="AF813" i="16" s="1"/>
  <c r="AI813" i="16" s="1"/>
  <c r="AJ813" i="16" s="1"/>
  <c r="S787" i="16"/>
  <c r="T787" i="16" s="1"/>
  <c r="AE787" i="16" s="1"/>
  <c r="AF787" i="16" s="1"/>
  <c r="AI787" i="16" s="1"/>
  <c r="AJ787" i="16" s="1"/>
  <c r="S1037" i="16"/>
  <c r="T1037" i="16" s="1"/>
  <c r="AE1037" i="16" s="1"/>
  <c r="AF1037" i="16" s="1"/>
  <c r="AI1037" i="16" s="1"/>
  <c r="AJ1037" i="16" s="1"/>
  <c r="S994" i="16"/>
  <c r="T994" i="16" s="1"/>
  <c r="AE994" i="16" s="1"/>
  <c r="AF994" i="16" s="1"/>
  <c r="AI994" i="16" s="1"/>
  <c r="AJ994" i="16" s="1"/>
  <c r="S738" i="16"/>
  <c r="T738" i="16" s="1"/>
  <c r="AE738" i="16" s="1"/>
  <c r="AF738" i="16" s="1"/>
  <c r="S727" i="16"/>
  <c r="T727" i="16" s="1"/>
  <c r="AE727" i="16" s="1"/>
  <c r="AF727" i="16" s="1"/>
  <c r="AG727" i="16" s="1"/>
  <c r="S850" i="16"/>
  <c r="T850" i="16" s="1"/>
  <c r="AE850" i="16" s="1"/>
  <c r="AF850" i="16" s="1"/>
  <c r="AG850" i="16" s="1"/>
  <c r="S951" i="16"/>
  <c r="T951" i="16" s="1"/>
  <c r="AE951" i="16" s="1"/>
  <c r="AF951" i="16" s="1"/>
  <c r="AG1584" i="16"/>
  <c r="S816" i="16"/>
  <c r="T816" i="16" s="1"/>
  <c r="AE816" i="16" s="1"/>
  <c r="AF816" i="16" s="1"/>
  <c r="AG816" i="16" s="1"/>
  <c r="AI1999" i="16"/>
  <c r="AJ1999" i="16" s="1"/>
  <c r="AI1854" i="16"/>
  <c r="AJ1854" i="16" s="1"/>
  <c r="S1051" i="16"/>
  <c r="T1051" i="16" s="1"/>
  <c r="AE1051" i="16" s="1"/>
  <c r="AF1051" i="16" s="1"/>
  <c r="AI1051" i="16" s="1"/>
  <c r="AJ1051" i="16" s="1"/>
  <c r="S968" i="16"/>
  <c r="T968" i="16" s="1"/>
  <c r="AE968" i="16" s="1"/>
  <c r="AF968" i="16" s="1"/>
  <c r="AI968" i="16" s="1"/>
  <c r="AJ968" i="16" s="1"/>
  <c r="S845" i="16"/>
  <c r="T845" i="16" s="1"/>
  <c r="AE845" i="16" s="1"/>
  <c r="AF845" i="16" s="1"/>
  <c r="AI845" i="16" s="1"/>
  <c r="AJ845" i="16" s="1"/>
  <c r="S657" i="16"/>
  <c r="T657" i="16" s="1"/>
  <c r="AE657" i="16" s="1"/>
  <c r="AF657" i="16" s="1"/>
  <c r="AG657" i="16" s="1"/>
  <c r="S600" i="16"/>
  <c r="T600" i="16" s="1"/>
  <c r="AE600" i="16" s="1"/>
  <c r="AF600" i="16" s="1"/>
  <c r="AI600" i="16" s="1"/>
  <c r="AJ600" i="16" s="1"/>
  <c r="S509" i="16"/>
  <c r="T509" i="16" s="1"/>
  <c r="AE509" i="16" s="1"/>
  <c r="AF509" i="16" s="1"/>
  <c r="AG509" i="16" s="1"/>
  <c r="S461" i="16"/>
  <c r="T461" i="16" s="1"/>
  <c r="AE461" i="16" s="1"/>
  <c r="AF461" i="16" s="1"/>
  <c r="AG461" i="16" s="1"/>
  <c r="S248" i="16"/>
  <c r="T248" i="16" s="1"/>
  <c r="AE248" i="16" s="1"/>
  <c r="AF248" i="16" s="1"/>
  <c r="S668" i="16"/>
  <c r="T668" i="16" s="1"/>
  <c r="AE668" i="16" s="1"/>
  <c r="AF668" i="16" s="1"/>
  <c r="AI668" i="16" s="1"/>
  <c r="AJ668" i="16" s="1"/>
  <c r="S512" i="16"/>
  <c r="T512" i="16" s="1"/>
  <c r="AE512" i="16" s="1"/>
  <c r="AF512" i="16" s="1"/>
  <c r="AG512" i="16" s="1"/>
  <c r="S416" i="16"/>
  <c r="T416" i="16" s="1"/>
  <c r="AE416" i="16" s="1"/>
  <c r="AF416" i="16" s="1"/>
  <c r="S274" i="16"/>
  <c r="T274" i="16" s="1"/>
  <c r="AE274" i="16" s="1"/>
  <c r="AF274" i="16" s="1"/>
  <c r="AI274" i="16" s="1"/>
  <c r="AJ274" i="16" s="1"/>
  <c r="S456" i="16"/>
  <c r="T456" i="16" s="1"/>
  <c r="AE456" i="16" s="1"/>
  <c r="AF456" i="16" s="1"/>
  <c r="S409" i="16"/>
  <c r="T409" i="16" s="1"/>
  <c r="AE409" i="16" s="1"/>
  <c r="AF409" i="16" s="1"/>
  <c r="AI409" i="16" s="1"/>
  <c r="AJ409" i="16" s="1"/>
  <c r="S958" i="16"/>
  <c r="T958" i="16" s="1"/>
  <c r="AE958" i="16" s="1"/>
  <c r="AF958" i="16" s="1"/>
  <c r="AG958" i="16" s="1"/>
  <c r="S914" i="16"/>
  <c r="T914" i="16" s="1"/>
  <c r="AE914" i="16" s="1"/>
  <c r="AF914" i="16" s="1"/>
  <c r="AG914" i="16" s="1"/>
  <c r="S864" i="16"/>
  <c r="T864" i="16" s="1"/>
  <c r="AE864" i="16" s="1"/>
  <c r="AF864" i="16" s="1"/>
  <c r="AI864" i="16" s="1"/>
  <c r="AJ864" i="16" s="1"/>
  <c r="S779" i="16"/>
  <c r="T779" i="16" s="1"/>
  <c r="AE779" i="16" s="1"/>
  <c r="AF779" i="16" s="1"/>
  <c r="AG779" i="16" s="1"/>
  <c r="S895" i="16"/>
  <c r="T895" i="16" s="1"/>
  <c r="AE895" i="16" s="1"/>
  <c r="AF895" i="16" s="1"/>
  <c r="S847" i="16"/>
  <c r="T847" i="16" s="1"/>
  <c r="AE847" i="16" s="1"/>
  <c r="AF847" i="16" s="1"/>
  <c r="S1010" i="16"/>
  <c r="T1010" i="16" s="1"/>
  <c r="AE1010" i="16" s="1"/>
  <c r="AF1010" i="16" s="1"/>
  <c r="AG1010" i="16" s="1"/>
  <c r="S942" i="16"/>
  <c r="T942" i="16" s="1"/>
  <c r="AE942" i="16" s="1"/>
  <c r="AF942" i="16" s="1"/>
  <c r="AI942" i="16" s="1"/>
  <c r="AJ942" i="16" s="1"/>
  <c r="S860" i="16"/>
  <c r="T860" i="16" s="1"/>
  <c r="AE860" i="16" s="1"/>
  <c r="AF860" i="16" s="1"/>
  <c r="S791" i="16"/>
  <c r="T791" i="16" s="1"/>
  <c r="AE791" i="16" s="1"/>
  <c r="AF791" i="16" s="1"/>
  <c r="AG791" i="16" s="1"/>
  <c r="S1054" i="16"/>
  <c r="T1054" i="16" s="1"/>
  <c r="AE1054" i="16" s="1"/>
  <c r="AF1054" i="16" s="1"/>
  <c r="AG1054" i="16" s="1"/>
  <c r="S820" i="16"/>
  <c r="T820" i="16" s="1"/>
  <c r="AE820" i="16" s="1"/>
  <c r="AF820" i="16" s="1"/>
  <c r="AI820" i="16" s="1"/>
  <c r="AJ820" i="16" s="1"/>
  <c r="S758" i="16"/>
  <c r="T758" i="16" s="1"/>
  <c r="AE758" i="16" s="1"/>
  <c r="AF758" i="16" s="1"/>
  <c r="AI758" i="16" s="1"/>
  <c r="AJ758" i="16" s="1"/>
  <c r="S969" i="16"/>
  <c r="T969" i="16" s="1"/>
  <c r="AE969" i="16" s="1"/>
  <c r="AF969" i="16" s="1"/>
  <c r="AG969" i="16" s="1"/>
  <c r="S1024" i="16"/>
  <c r="T1024" i="16" s="1"/>
  <c r="AE1024" i="16" s="1"/>
  <c r="AF1024" i="16" s="1"/>
  <c r="AG1024" i="16" s="1"/>
  <c r="S946" i="16"/>
  <c r="T946" i="16" s="1"/>
  <c r="AE946" i="16" s="1"/>
  <c r="AF946" i="16" s="1"/>
  <c r="S1035" i="16"/>
  <c r="T1035" i="16" s="1"/>
  <c r="AE1035" i="16" s="1"/>
  <c r="AF1035" i="16" s="1"/>
  <c r="AI1035" i="16" s="1"/>
  <c r="AJ1035" i="16" s="1"/>
  <c r="S564" i="16"/>
  <c r="T564" i="16" s="1"/>
  <c r="AE564" i="16" s="1"/>
  <c r="AF564" i="16" s="1"/>
  <c r="AG564" i="16" s="1"/>
  <c r="S534" i="16"/>
  <c r="T534" i="16" s="1"/>
  <c r="AE534" i="16" s="1"/>
  <c r="AF534" i="16" s="1"/>
  <c r="AI534" i="16" s="1"/>
  <c r="AJ534" i="16" s="1"/>
  <c r="S546" i="16"/>
  <c r="T546" i="16" s="1"/>
  <c r="AE546" i="16" s="1"/>
  <c r="AF546" i="16" s="1"/>
  <c r="AG546" i="16" s="1"/>
  <c r="S223" i="16"/>
  <c r="T223" i="16" s="1"/>
  <c r="AE223" i="16" s="1"/>
  <c r="AF223" i="16" s="1"/>
  <c r="AI223" i="16" s="1"/>
  <c r="AJ223" i="16" s="1"/>
  <c r="S486" i="16"/>
  <c r="T486" i="16" s="1"/>
  <c r="AE486" i="16" s="1"/>
  <c r="AF486" i="16" s="1"/>
  <c r="AI486" i="16" s="1"/>
  <c r="AJ486" i="16" s="1"/>
  <c r="S386" i="16"/>
  <c r="T386" i="16" s="1"/>
  <c r="AE386" i="16" s="1"/>
  <c r="AF386" i="16" s="1"/>
  <c r="AG386" i="16" s="1"/>
  <c r="S960" i="16"/>
  <c r="T960" i="16" s="1"/>
  <c r="AE960" i="16" s="1"/>
  <c r="AF960" i="16" s="1"/>
  <c r="AG960" i="16" s="1"/>
  <c r="S585" i="16"/>
  <c r="T585" i="16" s="1"/>
  <c r="AE585" i="16" s="1"/>
  <c r="AF585" i="16" s="1"/>
  <c r="S303" i="16"/>
  <c r="T303" i="16" s="1"/>
  <c r="AE303" i="16" s="1"/>
  <c r="AF303" i="16" s="1"/>
  <c r="AG303" i="16" s="1"/>
  <c r="S208" i="16"/>
  <c r="T208" i="16" s="1"/>
  <c r="AE208" i="16" s="1"/>
  <c r="AF208" i="16" s="1"/>
  <c r="AG208" i="16" s="1"/>
  <c r="S516" i="16"/>
  <c r="T516" i="16" s="1"/>
  <c r="AE516" i="16" s="1"/>
  <c r="AF516" i="16" s="1"/>
  <c r="S307" i="16"/>
  <c r="T307" i="16" s="1"/>
  <c r="AE307" i="16" s="1"/>
  <c r="AF307" i="16" s="1"/>
  <c r="AG307" i="16" s="1"/>
  <c r="S482" i="16"/>
  <c r="T482" i="16" s="1"/>
  <c r="AE482" i="16" s="1"/>
  <c r="AF482" i="16" s="1"/>
  <c r="AG482" i="16" s="1"/>
  <c r="S982" i="16"/>
  <c r="T982" i="16" s="1"/>
  <c r="AE982" i="16" s="1"/>
  <c r="AF982" i="16" s="1"/>
  <c r="AI982" i="16" s="1"/>
  <c r="AJ982" i="16" s="1"/>
  <c r="S869" i="16"/>
  <c r="T869" i="16" s="1"/>
  <c r="AE869" i="16" s="1"/>
  <c r="AF869" i="16" s="1"/>
  <c r="AI869" i="16" s="1"/>
  <c r="AJ869" i="16" s="1"/>
  <c r="S938" i="16"/>
  <c r="T938" i="16" s="1"/>
  <c r="AE938" i="16" s="1"/>
  <c r="AF938" i="16" s="1"/>
  <c r="AG938" i="16" s="1"/>
  <c r="S934" i="16"/>
  <c r="T934" i="16" s="1"/>
  <c r="AE934" i="16" s="1"/>
  <c r="AF934" i="16" s="1"/>
  <c r="AG934" i="16" s="1"/>
  <c r="S801" i="16"/>
  <c r="T801" i="16" s="1"/>
  <c r="AE801" i="16" s="1"/>
  <c r="AF801" i="16" s="1"/>
  <c r="AG801" i="16" s="1"/>
  <c r="S766" i="16"/>
  <c r="T766" i="16" s="1"/>
  <c r="AE766" i="16" s="1"/>
  <c r="AF766" i="16" s="1"/>
  <c r="S754" i="16"/>
  <c r="T754" i="16" s="1"/>
  <c r="AE754" i="16" s="1"/>
  <c r="AF754" i="16" s="1"/>
  <c r="AG754" i="16" s="1"/>
  <c r="S891" i="16"/>
  <c r="T891" i="16" s="1"/>
  <c r="AE891" i="16" s="1"/>
  <c r="AF891" i="16" s="1"/>
  <c r="AI891" i="16" s="1"/>
  <c r="AJ891" i="16" s="1"/>
  <c r="S1006" i="16"/>
  <c r="T1006" i="16" s="1"/>
  <c r="AE1006" i="16" s="1"/>
  <c r="AF1006" i="16" s="1"/>
  <c r="AI1006" i="16" s="1"/>
  <c r="AJ1006" i="16" s="1"/>
  <c r="S1029" i="16"/>
  <c r="T1029" i="16" s="1"/>
  <c r="AE1029" i="16" s="1"/>
  <c r="AF1029" i="16" s="1"/>
  <c r="AG1029" i="16" s="1"/>
  <c r="AI2178" i="16"/>
  <c r="AJ2178" i="16" s="1"/>
  <c r="AG2156" i="16"/>
  <c r="AG1461" i="16"/>
  <c r="AG1381" i="16"/>
  <c r="S445" i="16"/>
  <c r="T445" i="16" s="1"/>
  <c r="AE445" i="16" s="1"/>
  <c r="AF445" i="16" s="1"/>
  <c r="AG445" i="16" s="1"/>
  <c r="S352" i="16"/>
  <c r="T352" i="16" s="1"/>
  <c r="AE352" i="16" s="1"/>
  <c r="AF352" i="16" s="1"/>
  <c r="AG352" i="16" s="1"/>
  <c r="S528" i="16"/>
  <c r="T528" i="16" s="1"/>
  <c r="AE528" i="16" s="1"/>
  <c r="AF528" i="16" s="1"/>
  <c r="S331" i="16"/>
  <c r="T331" i="16" s="1"/>
  <c r="AE331" i="16" s="1"/>
  <c r="AF331" i="16" s="1"/>
  <c r="S298" i="16"/>
  <c r="T298" i="16" s="1"/>
  <c r="AE298" i="16" s="1"/>
  <c r="AF298" i="16" s="1"/>
  <c r="AG298" i="16" s="1"/>
  <c r="S311" i="16"/>
  <c r="T311" i="16" s="1"/>
  <c r="AE311" i="16" s="1"/>
  <c r="AF311" i="16" s="1"/>
  <c r="AG311" i="16" s="1"/>
  <c r="S360" i="16"/>
  <c r="T360" i="16" s="1"/>
  <c r="AE360" i="16" s="1"/>
  <c r="AF360" i="16" s="1"/>
  <c r="S472" i="16"/>
  <c r="T472" i="16" s="1"/>
  <c r="AE472" i="16" s="1"/>
  <c r="AF472" i="16" s="1"/>
  <c r="AI472" i="16" s="1"/>
  <c r="AJ472" i="16" s="1"/>
  <c r="S688" i="16"/>
  <c r="T688" i="16" s="1"/>
  <c r="AE688" i="16" s="1"/>
  <c r="AF688" i="16" s="1"/>
  <c r="AI688" i="16" s="1"/>
  <c r="AJ688" i="16" s="1"/>
  <c r="S706" i="16"/>
  <c r="T706" i="16" s="1"/>
  <c r="AE706" i="16" s="1"/>
  <c r="AF706" i="16" s="1"/>
  <c r="AG706" i="16" s="1"/>
  <c r="AG1687" i="16"/>
  <c r="S524" i="16"/>
  <c r="T524" i="16" s="1"/>
  <c r="AE524" i="16" s="1"/>
  <c r="AF524" i="16" s="1"/>
  <c r="AI524" i="16" s="1"/>
  <c r="AJ524" i="16" s="1"/>
  <c r="S395" i="16"/>
  <c r="T395" i="16" s="1"/>
  <c r="AE395" i="16" s="1"/>
  <c r="AF395" i="16" s="1"/>
  <c r="AI395" i="16" s="1"/>
  <c r="AJ395" i="16" s="1"/>
  <c r="S319" i="16"/>
  <c r="T319" i="16" s="1"/>
  <c r="AE319" i="16" s="1"/>
  <c r="AF319" i="16" s="1"/>
  <c r="AG319" i="16" s="1"/>
  <c r="S327" i="16"/>
  <c r="T327" i="16" s="1"/>
  <c r="AE327" i="16" s="1"/>
  <c r="AF327" i="16" s="1"/>
  <c r="AI327" i="16" s="1"/>
  <c r="AJ327" i="16" s="1"/>
  <c r="S323" i="16"/>
  <c r="T323" i="16" s="1"/>
  <c r="AE323" i="16" s="1"/>
  <c r="AF323" i="16" s="1"/>
  <c r="AI323" i="16" s="1"/>
  <c r="AJ323" i="16" s="1"/>
  <c r="S356" i="16"/>
  <c r="T356" i="16" s="1"/>
  <c r="AE356" i="16" s="1"/>
  <c r="AF356" i="16" s="1"/>
  <c r="AI356" i="16" s="1"/>
  <c r="AJ356" i="16" s="1"/>
  <c r="S288" i="16"/>
  <c r="T288" i="16" s="1"/>
  <c r="AE288" i="16" s="1"/>
  <c r="AF288" i="16" s="1"/>
  <c r="AI288" i="16" s="1"/>
  <c r="AJ288" i="16" s="1"/>
  <c r="S553" i="16"/>
  <c r="T553" i="16" s="1"/>
  <c r="AE553" i="16" s="1"/>
  <c r="AF553" i="16" s="1"/>
  <c r="AI553" i="16" s="1"/>
  <c r="AJ553" i="16" s="1"/>
  <c r="S644" i="16"/>
  <c r="T644" i="16" s="1"/>
  <c r="AE644" i="16" s="1"/>
  <c r="AF644" i="16" s="1"/>
  <c r="AI644" i="16" s="1"/>
  <c r="AJ644" i="16" s="1"/>
  <c r="AI1756" i="16"/>
  <c r="AJ1756" i="16" s="1"/>
  <c r="AG1322" i="16"/>
  <c r="S391" i="16"/>
  <c r="T391" i="16" s="1"/>
  <c r="AE391" i="16" s="1"/>
  <c r="AF391" i="16" s="1"/>
  <c r="AI391" i="16" s="1"/>
  <c r="AJ391" i="16" s="1"/>
  <c r="S417" i="16"/>
  <c r="T417" i="16" s="1"/>
  <c r="AE417" i="16" s="1"/>
  <c r="AF417" i="16" s="1"/>
  <c r="AG417" i="16" s="1"/>
  <c r="S499" i="16"/>
  <c r="T499" i="16" s="1"/>
  <c r="AE499" i="16" s="1"/>
  <c r="AF499" i="16" s="1"/>
  <c r="S676" i="16"/>
  <c r="T676" i="16" s="1"/>
  <c r="AE676" i="16" s="1"/>
  <c r="AF676" i="16" s="1"/>
  <c r="AI676" i="16" s="1"/>
  <c r="AJ676" i="16" s="1"/>
  <c r="S449" i="16"/>
  <c r="T449" i="16" s="1"/>
  <c r="AE449" i="16" s="1"/>
  <c r="AF449" i="16" s="1"/>
  <c r="AG449" i="16" s="1"/>
  <c r="S315" i="16"/>
  <c r="T315" i="16" s="1"/>
  <c r="AE315" i="16" s="1"/>
  <c r="AF315" i="16" s="1"/>
  <c r="AI315" i="16" s="1"/>
  <c r="AJ315" i="16" s="1"/>
  <c r="S580" i="16"/>
  <c r="T580" i="16" s="1"/>
  <c r="AE580" i="16" s="1"/>
  <c r="AF580" i="16" s="1"/>
  <c r="S476" i="16"/>
  <c r="T476" i="16" s="1"/>
  <c r="AE476" i="16" s="1"/>
  <c r="AF476" i="16" s="1"/>
  <c r="AG1374" i="16"/>
  <c r="AG1379" i="16"/>
  <c r="AI1576" i="16"/>
  <c r="AJ1576" i="16" s="1"/>
  <c r="AF1059" i="16"/>
  <c r="AI1059" i="16" s="1"/>
  <c r="AJ1059" i="16" s="1"/>
  <c r="AG2112" i="16"/>
  <c r="AG1817" i="16"/>
  <c r="AI1798" i="16"/>
  <c r="AJ1798" i="16" s="1"/>
  <c r="AG1969" i="16"/>
  <c r="AI1697" i="16"/>
  <c r="AJ1697" i="16" s="1"/>
  <c r="AI1349" i="16"/>
  <c r="AJ1349" i="16" s="1"/>
  <c r="S489" i="16"/>
  <c r="T489" i="16" s="1"/>
  <c r="AE489" i="16" s="1"/>
  <c r="AF489" i="16" s="1"/>
  <c r="AG489" i="16" s="1"/>
  <c r="S205" i="16"/>
  <c r="T205" i="16" s="1"/>
  <c r="AE205" i="16" s="1"/>
  <c r="AF205" i="16" s="1"/>
  <c r="S295" i="16"/>
  <c r="T295" i="16" s="1"/>
  <c r="AE295" i="16" s="1"/>
  <c r="AF295" i="16" s="1"/>
  <c r="S410" i="16"/>
  <c r="T410" i="16" s="1"/>
  <c r="AE410" i="16" s="1"/>
  <c r="AF410" i="16" s="1"/>
  <c r="AG410" i="16" s="1"/>
  <c r="AG2124" i="16"/>
  <c r="AI2106" i="16"/>
  <c r="AJ2106" i="16" s="1"/>
  <c r="AI1608" i="16"/>
  <c r="AJ1608" i="16" s="1"/>
  <c r="S711" i="16"/>
  <c r="T711" i="16" s="1"/>
  <c r="AE711" i="16" s="1"/>
  <c r="AF711" i="16" s="1"/>
  <c r="AG711" i="16" s="1"/>
  <c r="AI2185" i="16"/>
  <c r="AJ2185" i="16" s="1"/>
  <c r="AG2081" i="16"/>
  <c r="AI1127" i="16"/>
  <c r="AJ1127" i="16" s="1"/>
  <c r="S232" i="16"/>
  <c r="T232" i="16" s="1"/>
  <c r="AE232" i="16" s="1"/>
  <c r="AF232" i="16" s="1"/>
  <c r="AG232" i="16" s="1"/>
  <c r="S634" i="16"/>
  <c r="T634" i="16" s="1"/>
  <c r="AE634" i="16" s="1"/>
  <c r="AF634" i="16" s="1"/>
  <c r="AI634" i="16" s="1"/>
  <c r="AJ634" i="16" s="1"/>
  <c r="S533" i="16"/>
  <c r="T533" i="16" s="1"/>
  <c r="AE533" i="16" s="1"/>
  <c r="AF533" i="16" s="1"/>
  <c r="S485" i="16"/>
  <c r="T485" i="16" s="1"/>
  <c r="AE485" i="16" s="1"/>
  <c r="AF485" i="16" s="1"/>
  <c r="AG485" i="16" s="1"/>
  <c r="S234" i="16"/>
  <c r="T234" i="16" s="1"/>
  <c r="AE234" i="16" s="1"/>
  <c r="AF234" i="16" s="1"/>
  <c r="AI234" i="16" s="1"/>
  <c r="AJ234" i="16" s="1"/>
  <c r="S220" i="16"/>
  <c r="T220" i="16" s="1"/>
  <c r="AE220" i="16" s="1"/>
  <c r="AF220" i="16" s="1"/>
  <c r="AI220" i="16" s="1"/>
  <c r="AJ220" i="16" s="1"/>
  <c r="S144" i="16"/>
  <c r="T144" i="16" s="1"/>
  <c r="AE144" i="16" s="1"/>
  <c r="AF144" i="16" s="1"/>
  <c r="AI144" i="16" s="1"/>
  <c r="AJ144" i="16" s="1"/>
  <c r="S630" i="16"/>
  <c r="T630" i="16" s="1"/>
  <c r="AE630" i="16" s="1"/>
  <c r="AF630" i="16" s="1"/>
  <c r="AI630" i="16" s="1"/>
  <c r="AJ630" i="16" s="1"/>
  <c r="S347" i="16"/>
  <c r="T347" i="16" s="1"/>
  <c r="AE347" i="16" s="1"/>
  <c r="AF347" i="16" s="1"/>
  <c r="AG347" i="16" s="1"/>
  <c r="S607" i="16"/>
  <c r="T607" i="16" s="1"/>
  <c r="AE607" i="16" s="1"/>
  <c r="AF607" i="16" s="1"/>
  <c r="S690" i="16"/>
  <c r="T690" i="16" s="1"/>
  <c r="AE690" i="16" s="1"/>
  <c r="AF690" i="16" s="1"/>
  <c r="AG690" i="16" s="1"/>
  <c r="S1026" i="16"/>
  <c r="T1026" i="16" s="1"/>
  <c r="AE1026" i="16" s="1"/>
  <c r="AF1026" i="16" s="1"/>
  <c r="AG2236" i="16"/>
  <c r="AG2150" i="16"/>
  <c r="AG1899" i="16"/>
  <c r="AI1740" i="16"/>
  <c r="AJ1740" i="16" s="1"/>
  <c r="AG1565" i="16"/>
  <c r="S1015" i="16"/>
  <c r="T1015" i="16" s="1"/>
  <c r="AE1015" i="16" s="1"/>
  <c r="AF1015" i="16" s="1"/>
  <c r="S894" i="16"/>
  <c r="T894" i="16" s="1"/>
  <c r="AE894" i="16" s="1"/>
  <c r="AF894" i="16" s="1"/>
  <c r="S868" i="16"/>
  <c r="T868" i="16" s="1"/>
  <c r="AE868" i="16" s="1"/>
  <c r="AF868" i="16" s="1"/>
  <c r="AG868" i="16" s="1"/>
  <c r="S846" i="16"/>
  <c r="T846" i="16" s="1"/>
  <c r="AE846" i="16" s="1"/>
  <c r="AF846" i="16" s="1"/>
  <c r="AI846" i="16" s="1"/>
  <c r="AJ846" i="16" s="1"/>
  <c r="S945" i="16"/>
  <c r="T945" i="16" s="1"/>
  <c r="AE945" i="16" s="1"/>
  <c r="AF945" i="16" s="1"/>
  <c r="S735" i="16"/>
  <c r="T735" i="16" s="1"/>
  <c r="AE735" i="16" s="1"/>
  <c r="AF735" i="16" s="1"/>
  <c r="AG735" i="16" s="1"/>
  <c r="S1002" i="16"/>
  <c r="T1002" i="16" s="1"/>
  <c r="AE1002" i="16" s="1"/>
  <c r="AF1002" i="16" s="1"/>
  <c r="AG1002" i="16" s="1"/>
  <c r="S993" i="16"/>
  <c r="T993" i="16" s="1"/>
  <c r="AE993" i="16" s="1"/>
  <c r="AF993" i="16" s="1"/>
  <c r="AI993" i="16" s="1"/>
  <c r="AJ993" i="16" s="1"/>
  <c r="S842" i="16"/>
  <c r="T842" i="16" s="1"/>
  <c r="AE842" i="16" s="1"/>
  <c r="AF842" i="16" s="1"/>
  <c r="AG842" i="16" s="1"/>
  <c r="S745" i="16"/>
  <c r="T745" i="16" s="1"/>
  <c r="AE745" i="16" s="1"/>
  <c r="AF745" i="16" s="1"/>
  <c r="AI745" i="16" s="1"/>
  <c r="AJ745" i="16" s="1"/>
  <c r="AF848" i="16"/>
  <c r="AG848" i="16" s="1"/>
  <c r="S731" i="16"/>
  <c r="T731" i="16" s="1"/>
  <c r="AE731" i="16" s="1"/>
  <c r="AF731" i="16" s="1"/>
  <c r="AG731" i="16" s="1"/>
  <c r="S909" i="16"/>
  <c r="T909" i="16" s="1"/>
  <c r="AE909" i="16" s="1"/>
  <c r="AF909" i="16" s="1"/>
  <c r="S903" i="16"/>
  <c r="T903" i="16" s="1"/>
  <c r="AE903" i="16" s="1"/>
  <c r="AF903" i="16" s="1"/>
  <c r="S910" i="16"/>
  <c r="T910" i="16" s="1"/>
  <c r="AE910" i="16" s="1"/>
  <c r="AF910" i="16" s="1"/>
  <c r="AG910" i="16" s="1"/>
  <c r="S874" i="16"/>
  <c r="T874" i="16" s="1"/>
  <c r="AE874" i="16" s="1"/>
  <c r="AF874" i="16" s="1"/>
  <c r="S1020" i="16"/>
  <c r="T1020" i="16" s="1"/>
  <c r="AE1020" i="16" s="1"/>
  <c r="AF1020" i="16" s="1"/>
  <c r="AI2162" i="16"/>
  <c r="AJ2162" i="16" s="1"/>
  <c r="AG2162" i="16"/>
  <c r="AI1689" i="16"/>
  <c r="AJ1689" i="16" s="1"/>
  <c r="AG1689" i="16"/>
  <c r="AG1676" i="16"/>
  <c r="S673" i="16"/>
  <c r="T673" i="16" s="1"/>
  <c r="AE673" i="16" s="1"/>
  <c r="AF673" i="16" s="1"/>
  <c r="S343" i="16"/>
  <c r="T343" i="16" s="1"/>
  <c r="AE343" i="16" s="1"/>
  <c r="AF343" i="16" s="1"/>
  <c r="AG343" i="16" s="1"/>
  <c r="S304" i="16"/>
  <c r="T304" i="16" s="1"/>
  <c r="AE304" i="16" s="1"/>
  <c r="AF304" i="16" s="1"/>
  <c r="AG304" i="16" s="1"/>
  <c r="S713" i="16"/>
  <c r="T713" i="16" s="1"/>
  <c r="AE713" i="16" s="1"/>
  <c r="AF713" i="16" s="1"/>
  <c r="S1012" i="16"/>
  <c r="T1012" i="16" s="1"/>
  <c r="AE1012" i="16" s="1"/>
  <c r="AF1012" i="16" s="1"/>
  <c r="S888" i="16"/>
  <c r="T888" i="16" s="1"/>
  <c r="AE888" i="16" s="1"/>
  <c r="AF888" i="16" s="1"/>
  <c r="AG888" i="16" s="1"/>
  <c r="S739" i="16"/>
  <c r="T739" i="16" s="1"/>
  <c r="AE739" i="16" s="1"/>
  <c r="AF739" i="16" s="1"/>
  <c r="AI739" i="16" s="1"/>
  <c r="AJ739" i="16" s="1"/>
  <c r="S884" i="16"/>
  <c r="T884" i="16" s="1"/>
  <c r="AE884" i="16" s="1"/>
  <c r="AF884" i="16" s="1"/>
  <c r="S880" i="16"/>
  <c r="T880" i="16" s="1"/>
  <c r="AE880" i="16" s="1"/>
  <c r="AF880" i="16" s="1"/>
  <c r="AG880" i="16" s="1"/>
  <c r="S866" i="16"/>
  <c r="T866" i="16" s="1"/>
  <c r="AE866" i="16" s="1"/>
  <c r="AF866" i="16" s="1"/>
  <c r="S983" i="16"/>
  <c r="T983" i="16" s="1"/>
  <c r="AE983" i="16" s="1"/>
  <c r="AF983" i="16" s="1"/>
  <c r="AI983" i="16" s="1"/>
  <c r="S970" i="16"/>
  <c r="T970" i="16" s="1"/>
  <c r="AE970" i="16" s="1"/>
  <c r="AF970" i="16" s="1"/>
  <c r="S806" i="16"/>
  <c r="T806" i="16" s="1"/>
  <c r="AE806" i="16" s="1"/>
  <c r="AF806" i="16" s="1"/>
  <c r="AG806" i="16" s="1"/>
  <c r="S746" i="16"/>
  <c r="T746" i="16" s="1"/>
  <c r="AE746" i="16" s="1"/>
  <c r="AF746" i="16" s="1"/>
  <c r="S812" i="16"/>
  <c r="T812" i="16" s="1"/>
  <c r="AE812" i="16" s="1"/>
  <c r="AF812" i="16" s="1"/>
  <c r="AI812" i="16" s="1"/>
  <c r="AJ812" i="16" s="1"/>
  <c r="S965" i="16"/>
  <c r="T965" i="16" s="1"/>
  <c r="AE965" i="16" s="1"/>
  <c r="AF965" i="16" s="1"/>
  <c r="AI965" i="16" s="1"/>
  <c r="AJ965" i="16" s="1"/>
  <c r="S947" i="16"/>
  <c r="T947" i="16" s="1"/>
  <c r="AE947" i="16" s="1"/>
  <c r="AF947" i="16" s="1"/>
  <c r="AG2173" i="16"/>
  <c r="AI1766" i="16"/>
  <c r="AJ1766" i="16" s="1"/>
  <c r="AI2014" i="16"/>
  <c r="AJ2014" i="16" s="1"/>
  <c r="AI1806" i="16"/>
  <c r="AJ1806" i="16" s="1"/>
  <c r="AI1782" i="16"/>
  <c r="AJ1782" i="16" s="1"/>
  <c r="S928" i="16"/>
  <c r="T928" i="16" s="1"/>
  <c r="AE928" i="16" s="1"/>
  <c r="AF928" i="16" s="1"/>
  <c r="S979" i="16"/>
  <c r="T979" i="16" s="1"/>
  <c r="AE979" i="16" s="1"/>
  <c r="AF979" i="16" s="1"/>
  <c r="AG979" i="16" s="1"/>
  <c r="S832" i="16"/>
  <c r="T832" i="16" s="1"/>
  <c r="AE832" i="16" s="1"/>
  <c r="AF832" i="16" s="1"/>
  <c r="AI832" i="16" s="1"/>
  <c r="AJ832" i="16" s="1"/>
  <c r="S308" i="16"/>
  <c r="T308" i="16" s="1"/>
  <c r="AE308" i="16" s="1"/>
  <c r="AF308" i="16" s="1"/>
  <c r="AI308" i="16" s="1"/>
  <c r="AJ308" i="16" s="1"/>
  <c r="S262" i="16"/>
  <c r="T262" i="16" s="1"/>
  <c r="AE262" i="16" s="1"/>
  <c r="AF262" i="16" s="1"/>
  <c r="AI262" i="16" s="1"/>
  <c r="AJ262" i="16" s="1"/>
  <c r="S276" i="16"/>
  <c r="T276" i="16" s="1"/>
  <c r="AE276" i="16" s="1"/>
  <c r="AF276" i="16" s="1"/>
  <c r="AI276" i="16" s="1"/>
  <c r="AJ276" i="16" s="1"/>
  <c r="S193" i="16"/>
  <c r="T193" i="16" s="1"/>
  <c r="AE193" i="16" s="1"/>
  <c r="AF193" i="16" s="1"/>
  <c r="AI193" i="16" s="1"/>
  <c r="AJ193" i="16" s="1"/>
  <c r="S604" i="16"/>
  <c r="T604" i="16" s="1"/>
  <c r="AE604" i="16" s="1"/>
  <c r="AF604" i="16" s="1"/>
  <c r="AI604" i="16" s="1"/>
  <c r="AJ604" i="16" s="1"/>
  <c r="S502" i="16"/>
  <c r="T502" i="16" s="1"/>
  <c r="AE502" i="16" s="1"/>
  <c r="AF502" i="16" s="1"/>
  <c r="AG502" i="16" s="1"/>
  <c r="S351" i="16"/>
  <c r="T351" i="16" s="1"/>
  <c r="AE351" i="16" s="1"/>
  <c r="AF351" i="16" s="1"/>
  <c r="AG351" i="16" s="1"/>
  <c r="S638" i="16"/>
  <c r="T638" i="16" s="1"/>
  <c r="AE638" i="16" s="1"/>
  <c r="AF638" i="16" s="1"/>
  <c r="AI638" i="16" s="1"/>
  <c r="AJ638" i="16" s="1"/>
  <c r="S931" i="16"/>
  <c r="T931" i="16" s="1"/>
  <c r="AE931" i="16" s="1"/>
  <c r="AF931" i="16" s="1"/>
  <c r="S1038" i="16"/>
  <c r="T1038" i="16" s="1"/>
  <c r="AE1038" i="16" s="1"/>
  <c r="AF1038" i="16" s="1"/>
  <c r="AI1038" i="16" s="1"/>
  <c r="AJ1038" i="16" s="1"/>
  <c r="S870" i="16"/>
  <c r="T870" i="16" s="1"/>
  <c r="AE870" i="16" s="1"/>
  <c r="AF870" i="16" s="1"/>
  <c r="S892" i="16"/>
  <c r="T892" i="16" s="1"/>
  <c r="AE892" i="16" s="1"/>
  <c r="AF892" i="16" s="1"/>
  <c r="S1052" i="16"/>
  <c r="T1052" i="16" s="1"/>
  <c r="AE1052" i="16" s="1"/>
  <c r="AF1052" i="16" s="1"/>
  <c r="AI1052" i="16" s="1"/>
  <c r="AJ1052" i="16" s="1"/>
  <c r="S876" i="16"/>
  <c r="T876" i="16" s="1"/>
  <c r="AE876" i="16" s="1"/>
  <c r="AF876" i="16" s="1"/>
  <c r="AI876" i="16" s="1"/>
  <c r="AJ876" i="16" s="1"/>
  <c r="AF834" i="16"/>
  <c r="AG834" i="16" s="1"/>
  <c r="AI1343" i="16"/>
  <c r="AJ1343" i="16" s="1"/>
  <c r="AI1907" i="16"/>
  <c r="AJ1907" i="16" s="1"/>
  <c r="AG1832" i="16"/>
  <c r="S510" i="16"/>
  <c r="T510" i="16" s="1"/>
  <c r="AE510" i="16" s="1"/>
  <c r="AF510" i="16" s="1"/>
  <c r="S427" i="16"/>
  <c r="T427" i="16" s="1"/>
  <c r="AE427" i="16" s="1"/>
  <c r="AF427" i="16" s="1"/>
  <c r="S403" i="16"/>
  <c r="T403" i="16" s="1"/>
  <c r="AE403" i="16" s="1"/>
  <c r="AF403" i="16" s="1"/>
  <c r="AG403" i="16" s="1"/>
  <c r="S896" i="16"/>
  <c r="T896" i="16" s="1"/>
  <c r="AE896" i="16" s="1"/>
  <c r="AF896" i="16" s="1"/>
  <c r="S1048" i="16"/>
  <c r="T1048" i="16" s="1"/>
  <c r="AE1048" i="16" s="1"/>
  <c r="AF1048" i="16" s="1"/>
  <c r="AI1048" i="16" s="1"/>
  <c r="AJ1048" i="16" s="1"/>
  <c r="S943" i="16"/>
  <c r="T943" i="16" s="1"/>
  <c r="AE943" i="16" s="1"/>
  <c r="AF943" i="16" s="1"/>
  <c r="S792" i="16"/>
  <c r="T792" i="16" s="1"/>
  <c r="AE792" i="16" s="1"/>
  <c r="AF792" i="16" s="1"/>
  <c r="S997" i="16"/>
  <c r="T997" i="16" s="1"/>
  <c r="AE997" i="16" s="1"/>
  <c r="AF997" i="16" s="1"/>
  <c r="S911" i="16"/>
  <c r="T911" i="16" s="1"/>
  <c r="AE911" i="16" s="1"/>
  <c r="AF911" i="16" s="1"/>
  <c r="AG911" i="16" s="1"/>
  <c r="S989" i="16"/>
  <c r="T989" i="16" s="1"/>
  <c r="AE989" i="16" s="1"/>
  <c r="AF989" i="16" s="1"/>
  <c r="AI989" i="16" s="1"/>
  <c r="AJ989" i="16" s="1"/>
  <c r="S961" i="16"/>
  <c r="T961" i="16" s="1"/>
  <c r="AE961" i="16" s="1"/>
  <c r="AF961" i="16" s="1"/>
  <c r="S851" i="16"/>
  <c r="T851" i="16" s="1"/>
  <c r="AE851" i="16" s="1"/>
  <c r="AF851" i="16" s="1"/>
  <c r="AI2025" i="16"/>
  <c r="AJ2025" i="16" s="1"/>
  <c r="AG1555" i="16"/>
  <c r="S959" i="16"/>
  <c r="T959" i="16" s="1"/>
  <c r="AE959" i="16" s="1"/>
  <c r="AF959" i="16" s="1"/>
  <c r="AI2248" i="16"/>
  <c r="AJ2248" i="16" s="1"/>
  <c r="AG2019" i="16"/>
  <c r="AG1752" i="16"/>
  <c r="AG1487" i="16"/>
  <c r="S809" i="16"/>
  <c r="T809" i="16" s="1"/>
  <c r="AE809" i="16" s="1"/>
  <c r="AF809" i="16" s="1"/>
  <c r="AG809" i="16" s="1"/>
  <c r="S774" i="16"/>
  <c r="T774" i="16" s="1"/>
  <c r="AE774" i="16" s="1"/>
  <c r="AF774" i="16" s="1"/>
  <c r="AI774" i="16" s="1"/>
  <c r="AJ774" i="16" s="1"/>
  <c r="S769" i="16"/>
  <c r="T769" i="16" s="1"/>
  <c r="AE769" i="16" s="1"/>
  <c r="AF769" i="16" s="1"/>
  <c r="AI769" i="16" s="1"/>
  <c r="AJ769" i="16" s="1"/>
  <c r="S899" i="16"/>
  <c r="T899" i="16" s="1"/>
  <c r="AE899" i="16" s="1"/>
  <c r="AF899" i="16" s="1"/>
  <c r="AG2098" i="16"/>
  <c r="S887" i="16"/>
  <c r="T887" i="16" s="1"/>
  <c r="AE887" i="16" s="1"/>
  <c r="AF887" i="16" s="1"/>
  <c r="AI887" i="16" s="1"/>
  <c r="AJ887" i="16" s="1"/>
  <c r="S1046" i="16"/>
  <c r="T1046" i="16" s="1"/>
  <c r="AE1046" i="16" s="1"/>
  <c r="AF1046" i="16" s="1"/>
  <c r="S1050" i="16"/>
  <c r="T1050" i="16" s="1"/>
  <c r="AE1050" i="16" s="1"/>
  <c r="AF1050" i="16" s="1"/>
  <c r="AI1050" i="16" s="1"/>
  <c r="AJ1050" i="16" s="1"/>
  <c r="AG2102" i="16"/>
  <c r="AI2102" i="16"/>
  <c r="AJ2102" i="16" s="1"/>
  <c r="AI1825" i="16"/>
  <c r="AJ1825" i="16" s="1"/>
  <c r="AG1825" i="16"/>
  <c r="AI2229" i="16"/>
  <c r="AJ2229" i="16" s="1"/>
  <c r="AG2229" i="16"/>
  <c r="AG2205" i="16"/>
  <c r="AI2205" i="16"/>
  <c r="AJ2205" i="16" s="1"/>
  <c r="AG2166" i="16"/>
  <c r="AI2110" i="16"/>
  <c r="AJ2110" i="16" s="1"/>
  <c r="AG2004" i="16"/>
  <c r="AG1878" i="16"/>
  <c r="AG1700" i="16"/>
  <c r="AG1644" i="16"/>
  <c r="AI1491" i="16"/>
  <c r="AJ1491" i="16" s="1"/>
  <c r="AI1378" i="16"/>
  <c r="AJ1378" i="16" s="1"/>
  <c r="AI1356" i="16"/>
  <c r="AJ1356" i="16" s="1"/>
  <c r="AI1426" i="16"/>
  <c r="AJ1426" i="16" s="1"/>
  <c r="AF1034" i="16"/>
  <c r="AI1034" i="16" s="1"/>
  <c r="AJ1034" i="16" s="1"/>
  <c r="S401" i="16"/>
  <c r="T401" i="16" s="1"/>
  <c r="AE401" i="16" s="1"/>
  <c r="AF401" i="16" s="1"/>
  <c r="AG401" i="16" s="1"/>
  <c r="S617" i="16"/>
  <c r="T617" i="16" s="1"/>
  <c r="AE617" i="16" s="1"/>
  <c r="AF617" i="16" s="1"/>
  <c r="S508" i="16"/>
  <c r="T508" i="16" s="1"/>
  <c r="AE508" i="16" s="1"/>
  <c r="AF508" i="16" s="1"/>
  <c r="S495" i="16"/>
  <c r="T495" i="16" s="1"/>
  <c r="AE495" i="16" s="1"/>
  <c r="AF495" i="16" s="1"/>
  <c r="AG495" i="16" s="1"/>
  <c r="S263" i="16"/>
  <c r="T263" i="16" s="1"/>
  <c r="AE263" i="16" s="1"/>
  <c r="AF263" i="16" s="1"/>
  <c r="AG263" i="16" s="1"/>
  <c r="S202" i="16"/>
  <c r="T202" i="16" s="1"/>
  <c r="AE202" i="16" s="1"/>
  <c r="AF202" i="16" s="1"/>
  <c r="S667" i="16"/>
  <c r="T667" i="16" s="1"/>
  <c r="AE667" i="16" s="1"/>
  <c r="AF667" i="16" s="1"/>
  <c r="S625" i="16"/>
  <c r="T625" i="16" s="1"/>
  <c r="AE625" i="16" s="1"/>
  <c r="AF625" i="16" s="1"/>
  <c r="AG625" i="16" s="1"/>
  <c r="S348" i="16"/>
  <c r="T348" i="16" s="1"/>
  <c r="AE348" i="16" s="1"/>
  <c r="AF348" i="16" s="1"/>
  <c r="AI348" i="16" s="1"/>
  <c r="AJ348" i="16" s="1"/>
  <c r="S271" i="16"/>
  <c r="T271" i="16" s="1"/>
  <c r="AE271" i="16" s="1"/>
  <c r="AF271" i="16" s="1"/>
  <c r="AG271" i="16" s="1"/>
  <c r="S442" i="16"/>
  <c r="T442" i="16" s="1"/>
  <c r="AE442" i="16" s="1"/>
  <c r="AF442" i="16" s="1"/>
  <c r="AI442" i="16" s="1"/>
  <c r="AJ442" i="16" s="1"/>
  <c r="S371" i="16"/>
  <c r="T371" i="16" s="1"/>
  <c r="AE371" i="16" s="1"/>
  <c r="AF371" i="16" s="1"/>
  <c r="S636" i="16"/>
  <c r="T636" i="16" s="1"/>
  <c r="AE636" i="16" s="1"/>
  <c r="AF636" i="16" s="1"/>
  <c r="AI636" i="16" s="1"/>
  <c r="AJ636" i="16" s="1"/>
  <c r="S1044" i="16"/>
  <c r="T1044" i="16" s="1"/>
  <c r="AE1044" i="16" s="1"/>
  <c r="AF1044" i="16" s="1"/>
  <c r="S941" i="16"/>
  <c r="T941" i="16" s="1"/>
  <c r="AE941" i="16" s="1"/>
  <c r="AF941" i="16" s="1"/>
  <c r="AG941" i="16" s="1"/>
  <c r="S977" i="16"/>
  <c r="T977" i="16" s="1"/>
  <c r="AE977" i="16" s="1"/>
  <c r="AF977" i="16" s="1"/>
  <c r="S875" i="16"/>
  <c r="T875" i="16" s="1"/>
  <c r="AE875" i="16" s="1"/>
  <c r="AF875" i="16" s="1"/>
  <c r="AG875" i="16" s="1"/>
  <c r="AI2149" i="16"/>
  <c r="AJ2149" i="16" s="1"/>
  <c r="AI2128" i="16"/>
  <c r="AJ2128" i="16" s="1"/>
  <c r="AG1777" i="16"/>
  <c r="AI1623" i="16"/>
  <c r="AJ1623" i="16" s="1"/>
  <c r="AI1606" i="16"/>
  <c r="AJ1606" i="16" s="1"/>
  <c r="AG1497" i="16"/>
  <c r="AI1460" i="16"/>
  <c r="AJ1460" i="16" s="1"/>
  <c r="S413" i="16"/>
  <c r="T413" i="16" s="1"/>
  <c r="AE413" i="16" s="1"/>
  <c r="AF413" i="16" s="1"/>
  <c r="AI413" i="16" s="1"/>
  <c r="AJ413" i="16" s="1"/>
  <c r="S339" i="16"/>
  <c r="T339" i="16" s="1"/>
  <c r="AE339" i="16" s="1"/>
  <c r="AF339" i="16" s="1"/>
  <c r="AI339" i="16" s="1"/>
  <c r="AJ339" i="16" s="1"/>
  <c r="S235" i="16"/>
  <c r="T235" i="16" s="1"/>
  <c r="AE235" i="16" s="1"/>
  <c r="AF235" i="16" s="1"/>
  <c r="S306" i="16"/>
  <c r="T306" i="16" s="1"/>
  <c r="AE306" i="16" s="1"/>
  <c r="AF306" i="16" s="1"/>
  <c r="AG306" i="16" s="1"/>
  <c r="S626" i="16"/>
  <c r="T626" i="16" s="1"/>
  <c r="AE626" i="16" s="1"/>
  <c r="AF626" i="16" s="1"/>
  <c r="AI626" i="16" s="1"/>
  <c r="AJ626" i="16" s="1"/>
  <c r="S687" i="16"/>
  <c r="T687" i="16" s="1"/>
  <c r="AE687" i="16" s="1"/>
  <c r="AF687" i="16" s="1"/>
  <c r="AG687" i="16" s="1"/>
  <c r="S719" i="16"/>
  <c r="T719" i="16" s="1"/>
  <c r="AE719" i="16" s="1"/>
  <c r="AF719" i="16" s="1"/>
  <c r="AG719" i="16" s="1"/>
  <c r="S716" i="16"/>
  <c r="T716" i="16" s="1"/>
  <c r="AE716" i="16" s="1"/>
  <c r="AF716" i="16" s="1"/>
  <c r="AI716" i="16" s="1"/>
  <c r="AJ716" i="16" s="1"/>
  <c r="S1004" i="16"/>
  <c r="T1004" i="16" s="1"/>
  <c r="AE1004" i="16" s="1"/>
  <c r="AF1004" i="16" s="1"/>
  <c r="AG1004" i="16" s="1"/>
  <c r="S950" i="16"/>
  <c r="T950" i="16" s="1"/>
  <c r="AE950" i="16" s="1"/>
  <c r="AF950" i="16" s="1"/>
  <c r="AG950" i="16" s="1"/>
  <c r="S790" i="16"/>
  <c r="T790" i="16" s="1"/>
  <c r="AE790" i="16" s="1"/>
  <c r="AF790" i="16" s="1"/>
  <c r="AI790" i="16" s="1"/>
  <c r="AJ790" i="16" s="1"/>
  <c r="S726" i="16"/>
  <c r="T726" i="16" s="1"/>
  <c r="AE726" i="16" s="1"/>
  <c r="AF726" i="16" s="1"/>
  <c r="AG726" i="16" s="1"/>
  <c r="S1022" i="16"/>
  <c r="T1022" i="16" s="1"/>
  <c r="AE1022" i="16" s="1"/>
  <c r="AF1022" i="16" s="1"/>
  <c r="AI1022" i="16" s="1"/>
  <c r="AJ1022" i="16" s="1"/>
  <c r="S963" i="16"/>
  <c r="T963" i="16" s="1"/>
  <c r="AE963" i="16" s="1"/>
  <c r="AF963" i="16" s="1"/>
  <c r="S921" i="16"/>
  <c r="T921" i="16" s="1"/>
  <c r="AE921" i="16" s="1"/>
  <c r="AF921" i="16" s="1"/>
  <c r="AI921" i="16" s="1"/>
  <c r="AJ921" i="16" s="1"/>
  <c r="S830" i="16"/>
  <c r="T830" i="16" s="1"/>
  <c r="AE830" i="16" s="1"/>
  <c r="AF830" i="16" s="1"/>
  <c r="AG830" i="16" s="1"/>
  <c r="S878" i="16"/>
  <c r="T878" i="16" s="1"/>
  <c r="AE878" i="16" s="1"/>
  <c r="AF878" i="16" s="1"/>
  <c r="AG878" i="16" s="1"/>
  <c r="S927" i="16"/>
  <c r="T927" i="16" s="1"/>
  <c r="AE927" i="16" s="1"/>
  <c r="AF927" i="16" s="1"/>
  <c r="S844" i="16"/>
  <c r="T844" i="16" s="1"/>
  <c r="AE844" i="16" s="1"/>
  <c r="AF844" i="16" s="1"/>
  <c r="AI2043" i="16"/>
  <c r="AJ2043" i="16" s="1"/>
  <c r="AI1652" i="16"/>
  <c r="AJ1652" i="16" s="1"/>
  <c r="AI1358" i="16"/>
  <c r="AJ1358" i="16" s="1"/>
  <c r="S853" i="16"/>
  <c r="T853" i="16" s="1"/>
  <c r="AE853" i="16" s="1"/>
  <c r="AF853" i="16" s="1"/>
  <c r="AI853" i="16" s="1"/>
  <c r="AJ853" i="16" s="1"/>
  <c r="S659" i="16"/>
  <c r="T659" i="16" s="1"/>
  <c r="AE659" i="16" s="1"/>
  <c r="AF659" i="16" s="1"/>
  <c r="AG659" i="16" s="1"/>
  <c r="S671" i="16"/>
  <c r="T671" i="16" s="1"/>
  <c r="AE671" i="16" s="1"/>
  <c r="AF671" i="16" s="1"/>
  <c r="S541" i="16"/>
  <c r="T541" i="16" s="1"/>
  <c r="AE541" i="16" s="1"/>
  <c r="AF541" i="16" s="1"/>
  <c r="AG541" i="16" s="1"/>
  <c r="S302" i="16"/>
  <c r="T302" i="16" s="1"/>
  <c r="AE302" i="16" s="1"/>
  <c r="AF302" i="16" s="1"/>
  <c r="AI302" i="16" s="1"/>
  <c r="AJ302" i="16" s="1"/>
  <c r="S176" i="16"/>
  <c r="T176" i="16" s="1"/>
  <c r="AE176" i="16" s="1"/>
  <c r="AF176" i="16" s="1"/>
  <c r="AI176" i="16" s="1"/>
  <c r="AJ176" i="16" s="1"/>
  <c r="S666" i="16"/>
  <c r="T666" i="16" s="1"/>
  <c r="AE666" i="16" s="1"/>
  <c r="AF666" i="16" s="1"/>
  <c r="S522" i="16"/>
  <c r="T522" i="16" s="1"/>
  <c r="AE522" i="16" s="1"/>
  <c r="AF522" i="16" s="1"/>
  <c r="AG522" i="16" s="1"/>
  <c r="S618" i="16"/>
  <c r="T618" i="16" s="1"/>
  <c r="AE618" i="16" s="1"/>
  <c r="AF618" i="16" s="1"/>
  <c r="AI618" i="16" s="1"/>
  <c r="AJ618" i="16" s="1"/>
  <c r="S572" i="16"/>
  <c r="T572" i="16" s="1"/>
  <c r="AE572" i="16" s="1"/>
  <c r="AF572" i="16" s="1"/>
  <c r="S599" i="16"/>
  <c r="T599" i="16" s="1"/>
  <c r="AE599" i="16" s="1"/>
  <c r="AF599" i="16" s="1"/>
  <c r="AI599" i="16" s="1"/>
  <c r="AJ599" i="16" s="1"/>
  <c r="S504" i="16"/>
  <c r="T504" i="16" s="1"/>
  <c r="AE504" i="16" s="1"/>
  <c r="AF504" i="16" s="1"/>
  <c r="AI504" i="16" s="1"/>
  <c r="AJ504" i="16" s="1"/>
  <c r="S537" i="16"/>
  <c r="T537" i="16" s="1"/>
  <c r="AE537" i="16" s="1"/>
  <c r="AF537" i="16" s="1"/>
  <c r="S430" i="16"/>
  <c r="T430" i="16" s="1"/>
  <c r="AE430" i="16" s="1"/>
  <c r="AF430" i="16" s="1"/>
  <c r="AI430" i="16" s="1"/>
  <c r="AJ430" i="16" s="1"/>
  <c r="S683" i="16"/>
  <c r="T683" i="16" s="1"/>
  <c r="AE683" i="16" s="1"/>
  <c r="AF683" i="16" s="1"/>
  <c r="S981" i="16"/>
  <c r="T981" i="16" s="1"/>
  <c r="AE981" i="16" s="1"/>
  <c r="AF981" i="16" s="1"/>
  <c r="S967" i="16"/>
  <c r="T967" i="16" s="1"/>
  <c r="AE967" i="16" s="1"/>
  <c r="AF967" i="16" s="1"/>
  <c r="AI967" i="16" s="1"/>
  <c r="AJ967" i="16" s="1"/>
  <c r="S908" i="16"/>
  <c r="T908" i="16" s="1"/>
  <c r="AE908" i="16" s="1"/>
  <c r="AF908" i="16" s="1"/>
  <c r="AI908" i="16" s="1"/>
  <c r="AJ908" i="16" s="1"/>
  <c r="S810" i="16"/>
  <c r="T810" i="16" s="1"/>
  <c r="AE810" i="16" s="1"/>
  <c r="AF810" i="16" s="1"/>
  <c r="AG810" i="16" s="1"/>
  <c r="S933" i="16"/>
  <c r="T933" i="16" s="1"/>
  <c r="AE933" i="16" s="1"/>
  <c r="AF933" i="16" s="1"/>
  <c r="S882" i="16"/>
  <c r="T882" i="16" s="1"/>
  <c r="AE882" i="16" s="1"/>
  <c r="AF882" i="16" s="1"/>
  <c r="AI882" i="16" s="1"/>
  <c r="AJ882" i="16" s="1"/>
  <c r="S859" i="16"/>
  <c r="T859" i="16" s="1"/>
  <c r="AE859" i="16" s="1"/>
  <c r="AF859" i="16" s="1"/>
  <c r="S972" i="16"/>
  <c r="T972" i="16" s="1"/>
  <c r="AE972" i="16" s="1"/>
  <c r="AF972" i="16" s="1"/>
  <c r="S1025" i="16"/>
  <c r="T1025" i="16" s="1"/>
  <c r="AE1025" i="16" s="1"/>
  <c r="AF1025" i="16" s="1"/>
  <c r="AI1883" i="16"/>
  <c r="AJ1883" i="16" s="1"/>
  <c r="AG1883" i="16"/>
  <c r="AG1791" i="16"/>
  <c r="AI1791" i="16"/>
  <c r="AJ1791" i="16" s="1"/>
  <c r="AG1658" i="16"/>
  <c r="AI1658" i="16"/>
  <c r="AJ1658" i="16" s="1"/>
  <c r="AI1563" i="16"/>
  <c r="AJ1563" i="16" s="1"/>
  <c r="AG1563" i="16"/>
  <c r="AG1468" i="16"/>
  <c r="AI1468" i="16"/>
  <c r="AJ1468" i="16" s="1"/>
  <c r="AI1705" i="16"/>
  <c r="AJ1705" i="16" s="1"/>
  <c r="AG1705" i="16"/>
  <c r="AG1498" i="16"/>
  <c r="AI1498" i="16"/>
  <c r="AJ1498" i="16" s="1"/>
  <c r="AI2067" i="16"/>
  <c r="AJ2067" i="16" s="1"/>
  <c r="AG2067" i="16"/>
  <c r="AG1444" i="16"/>
  <c r="AI1444" i="16"/>
  <c r="AJ1444" i="16" s="1"/>
  <c r="S381" i="16"/>
  <c r="T381" i="16" s="1"/>
  <c r="AE381" i="16" s="1"/>
  <c r="AF381" i="16" s="1"/>
  <c r="S527" i="16"/>
  <c r="T527" i="16" s="1"/>
  <c r="AE527" i="16" s="1"/>
  <c r="AF527" i="16" s="1"/>
  <c r="AG527" i="16" s="1"/>
  <c r="S367" i="16"/>
  <c r="T367" i="16" s="1"/>
  <c r="AE367" i="16" s="1"/>
  <c r="AF367" i="16" s="1"/>
  <c r="S340" i="16"/>
  <c r="T340" i="16" s="1"/>
  <c r="AE340" i="16" s="1"/>
  <c r="AF340" i="16" s="1"/>
  <c r="AG340" i="16" s="1"/>
  <c r="S330" i="16"/>
  <c r="T330" i="16" s="1"/>
  <c r="AE330" i="16" s="1"/>
  <c r="AF330" i="16" s="1"/>
  <c r="S292" i="16"/>
  <c r="T292" i="16" s="1"/>
  <c r="AE292" i="16" s="1"/>
  <c r="AF292" i="16" s="1"/>
  <c r="S150" i="16"/>
  <c r="T150" i="16" s="1"/>
  <c r="AE150" i="16" s="1"/>
  <c r="AF150" i="16" s="1"/>
  <c r="AI150" i="16" s="1"/>
  <c r="AJ150" i="16" s="1"/>
  <c r="S394" i="16"/>
  <c r="T394" i="16" s="1"/>
  <c r="AE394" i="16" s="1"/>
  <c r="AF394" i="16" s="1"/>
  <c r="AI394" i="16" s="1"/>
  <c r="AJ394" i="16" s="1"/>
  <c r="S310" i="16"/>
  <c r="T310" i="16" s="1"/>
  <c r="AE310" i="16" s="1"/>
  <c r="AF310" i="16" s="1"/>
  <c r="AI310" i="16" s="1"/>
  <c r="AJ310" i="16" s="1"/>
  <c r="S261" i="16"/>
  <c r="T261" i="16" s="1"/>
  <c r="AE261" i="16" s="1"/>
  <c r="AF261" i="16" s="1"/>
  <c r="S460" i="16"/>
  <c r="T460" i="16" s="1"/>
  <c r="AE460" i="16" s="1"/>
  <c r="AF460" i="16" s="1"/>
  <c r="AI460" i="16" s="1"/>
  <c r="AJ460" i="16" s="1"/>
  <c r="S254" i="16"/>
  <c r="T254" i="16" s="1"/>
  <c r="AE254" i="16" s="1"/>
  <c r="AF254" i="16" s="1"/>
  <c r="AI254" i="16" s="1"/>
  <c r="AJ254" i="16" s="1"/>
  <c r="S471" i="16"/>
  <c r="T471" i="16" s="1"/>
  <c r="AE471" i="16" s="1"/>
  <c r="AF471" i="16" s="1"/>
  <c r="S902" i="16"/>
  <c r="T902" i="16" s="1"/>
  <c r="AE902" i="16" s="1"/>
  <c r="AF902" i="16" s="1"/>
  <c r="AG902" i="16" s="1"/>
  <c r="S815" i="16"/>
  <c r="T815" i="16" s="1"/>
  <c r="AE815" i="16" s="1"/>
  <c r="AF815" i="16" s="1"/>
  <c r="AG815" i="16" s="1"/>
  <c r="S937" i="16"/>
  <c r="T937" i="16" s="1"/>
  <c r="AE937" i="16" s="1"/>
  <c r="AF937" i="16" s="1"/>
  <c r="AG937" i="16" s="1"/>
  <c r="S1053" i="16"/>
  <c r="T1053" i="16" s="1"/>
  <c r="AE1053" i="16" s="1"/>
  <c r="AF1053" i="16" s="1"/>
  <c r="AG1053" i="16" s="1"/>
  <c r="S1028" i="16"/>
  <c r="T1028" i="16" s="1"/>
  <c r="AE1028" i="16" s="1"/>
  <c r="AF1028" i="16" s="1"/>
  <c r="AI1028" i="16" s="1"/>
  <c r="AJ1028" i="16" s="1"/>
  <c r="S819" i="16"/>
  <c r="T819" i="16" s="1"/>
  <c r="AE819" i="16" s="1"/>
  <c r="AF819" i="16" s="1"/>
  <c r="AI819" i="16" s="1"/>
  <c r="AJ819" i="16" s="1"/>
  <c r="S886" i="16"/>
  <c r="T886" i="16" s="1"/>
  <c r="AE886" i="16" s="1"/>
  <c r="AF886" i="16" s="1"/>
  <c r="S906" i="16"/>
  <c r="T906" i="16" s="1"/>
  <c r="AE906" i="16" s="1"/>
  <c r="AF906" i="16" s="1"/>
  <c r="AI906" i="16" s="1"/>
  <c r="AJ906" i="16" s="1"/>
  <c r="S855" i="16"/>
  <c r="T855" i="16" s="1"/>
  <c r="AE855" i="16" s="1"/>
  <c r="AF855" i="16" s="1"/>
  <c r="AI855" i="16" s="1"/>
  <c r="AJ855" i="16" s="1"/>
  <c r="S898" i="16"/>
  <c r="T898" i="16" s="1"/>
  <c r="AE898" i="16" s="1"/>
  <c r="AF898" i="16" s="1"/>
  <c r="AG898" i="16" s="1"/>
  <c r="AG2129" i="16"/>
  <c r="AI1790" i="16"/>
  <c r="AJ1790" i="16" s="1"/>
  <c r="AI1428" i="16"/>
  <c r="AJ1428" i="16" s="1"/>
  <c r="AG1436" i="16"/>
  <c r="AG1383" i="16"/>
  <c r="S268" i="16"/>
  <c r="T268" i="16" s="1"/>
  <c r="AE268" i="16" s="1"/>
  <c r="AF268" i="16" s="1"/>
  <c r="AI268" i="16" s="1"/>
  <c r="AJ268" i="16" s="1"/>
  <c r="S227" i="16"/>
  <c r="T227" i="16" s="1"/>
  <c r="AE227" i="16" s="1"/>
  <c r="AF227" i="16" s="1"/>
  <c r="S584" i="16"/>
  <c r="T584" i="16" s="1"/>
  <c r="AE584" i="16" s="1"/>
  <c r="AF584" i="16" s="1"/>
  <c r="S346" i="16"/>
  <c r="T346" i="16" s="1"/>
  <c r="AE346" i="16" s="1"/>
  <c r="AF346" i="16" s="1"/>
  <c r="AG346" i="16" s="1"/>
  <c r="S464" i="16"/>
  <c r="T464" i="16" s="1"/>
  <c r="AE464" i="16" s="1"/>
  <c r="AF464" i="16" s="1"/>
  <c r="AG464" i="16" s="1"/>
  <c r="S222" i="16"/>
  <c r="T222" i="16" s="1"/>
  <c r="AE222" i="16" s="1"/>
  <c r="AF222" i="16" s="1"/>
  <c r="AG222" i="16" s="1"/>
  <c r="S841" i="16"/>
  <c r="T841" i="16" s="1"/>
  <c r="AE841" i="16" s="1"/>
  <c r="AF841" i="16" s="1"/>
  <c r="S784" i="16"/>
  <c r="T784" i="16" s="1"/>
  <c r="AE784" i="16" s="1"/>
  <c r="AF784" i="16" s="1"/>
  <c r="AI784" i="16" s="1"/>
  <c r="AJ784" i="16" s="1"/>
  <c r="S1032" i="16"/>
  <c r="T1032" i="16" s="1"/>
  <c r="AE1032" i="16" s="1"/>
  <c r="AF1032" i="16" s="1"/>
  <c r="S890" i="16"/>
  <c r="T890" i="16" s="1"/>
  <c r="AE890" i="16" s="1"/>
  <c r="AF890" i="16" s="1"/>
  <c r="AI890" i="16" s="1"/>
  <c r="AJ890" i="16" s="1"/>
  <c r="S956" i="16"/>
  <c r="T956" i="16" s="1"/>
  <c r="AE956" i="16" s="1"/>
  <c r="AF956" i="16" s="1"/>
  <c r="S796" i="16"/>
  <c r="T796" i="16" s="1"/>
  <c r="AE796" i="16" s="1"/>
  <c r="AF796" i="16" s="1"/>
  <c r="AG796" i="16" s="1"/>
  <c r="S724" i="16"/>
  <c r="T724" i="16" s="1"/>
  <c r="AE724" i="16" s="1"/>
  <c r="AF724" i="16" s="1"/>
  <c r="AI724" i="16" s="1"/>
  <c r="AJ724" i="16" s="1"/>
  <c r="S800" i="16"/>
  <c r="T800" i="16" s="1"/>
  <c r="AE800" i="16" s="1"/>
  <c r="AF800" i="16" s="1"/>
  <c r="S762" i="16"/>
  <c r="T762" i="16" s="1"/>
  <c r="AE762" i="16" s="1"/>
  <c r="AF762" i="16" s="1"/>
  <c r="AG762" i="16" s="1"/>
  <c r="S863" i="16"/>
  <c r="T863" i="16" s="1"/>
  <c r="AE863" i="16" s="1"/>
  <c r="AF863" i="16" s="1"/>
  <c r="S905" i="16"/>
  <c r="T905" i="16" s="1"/>
  <c r="AE905" i="16" s="1"/>
  <c r="AF905" i="16" s="1"/>
  <c r="S838" i="16"/>
  <c r="T838" i="16" s="1"/>
  <c r="AE838" i="16" s="1"/>
  <c r="AF838" i="16" s="1"/>
  <c r="AI838" i="16" s="1"/>
  <c r="AJ838" i="16" s="1"/>
  <c r="S862" i="16"/>
  <c r="T862" i="16" s="1"/>
  <c r="AE862" i="16" s="1"/>
  <c r="AF862" i="16" s="1"/>
  <c r="AI862" i="16" s="1"/>
  <c r="AJ862" i="16" s="1"/>
  <c r="S932" i="16"/>
  <c r="T932" i="16" s="1"/>
  <c r="AE932" i="16" s="1"/>
  <c r="AF932" i="16" s="1"/>
  <c r="AG932" i="16" s="1"/>
  <c r="AG1914" i="16"/>
  <c r="AI1703" i="16"/>
  <c r="AJ1703" i="16" s="1"/>
  <c r="AG1542" i="16"/>
  <c r="S458" i="16"/>
  <c r="T458" i="16" s="1"/>
  <c r="AE458" i="16" s="1"/>
  <c r="AF458" i="16" s="1"/>
  <c r="AI458" i="16" s="1"/>
  <c r="AJ458" i="16" s="1"/>
  <c r="S189" i="16"/>
  <c r="T189" i="16" s="1"/>
  <c r="AE189" i="16" s="1"/>
  <c r="AF189" i="16" s="1"/>
  <c r="AI189" i="16" s="1"/>
  <c r="AJ189" i="16" s="1"/>
  <c r="S297" i="16"/>
  <c r="T297" i="16" s="1"/>
  <c r="AE297" i="16" s="1"/>
  <c r="AF297" i="16" s="1"/>
  <c r="AG297" i="16" s="1"/>
  <c r="S128" i="16"/>
  <c r="T128" i="16" s="1"/>
  <c r="AE128" i="16" s="1"/>
  <c r="AF128" i="16" s="1"/>
  <c r="S431" i="16"/>
  <c r="T431" i="16" s="1"/>
  <c r="AE431" i="16" s="1"/>
  <c r="AF431" i="16" s="1"/>
  <c r="AI431" i="16" s="1"/>
  <c r="AJ431" i="16" s="1"/>
  <c r="S545" i="16"/>
  <c r="T545" i="16" s="1"/>
  <c r="AE545" i="16" s="1"/>
  <c r="AF545" i="16" s="1"/>
  <c r="AI545" i="16" s="1"/>
  <c r="AJ545" i="16" s="1"/>
  <c r="S515" i="16"/>
  <c r="T515" i="16" s="1"/>
  <c r="AE515" i="16" s="1"/>
  <c r="AF515" i="16" s="1"/>
  <c r="S753" i="16"/>
  <c r="T753" i="16" s="1"/>
  <c r="AE753" i="16" s="1"/>
  <c r="AF753" i="16" s="1"/>
  <c r="AG753" i="16" s="1"/>
  <c r="S1040" i="16"/>
  <c r="T1040" i="16" s="1"/>
  <c r="AE1040" i="16" s="1"/>
  <c r="AF1040" i="16" s="1"/>
  <c r="S1009" i="16"/>
  <c r="T1009" i="16" s="1"/>
  <c r="AE1009" i="16" s="1"/>
  <c r="AF1009" i="16" s="1"/>
  <c r="AG1009" i="16" s="1"/>
  <c r="S741" i="16"/>
  <c r="T741" i="16" s="1"/>
  <c r="AE741" i="16" s="1"/>
  <c r="AF741" i="16" s="1"/>
  <c r="AI741" i="16" s="1"/>
  <c r="AJ741" i="16" s="1"/>
  <c r="S826" i="16"/>
  <c r="T826" i="16" s="1"/>
  <c r="AE826" i="16" s="1"/>
  <c r="AF826" i="16" s="1"/>
  <c r="AI826" i="16" s="1"/>
  <c r="AJ826" i="16" s="1"/>
  <c r="S757" i="16"/>
  <c r="T757" i="16" s="1"/>
  <c r="AE757" i="16" s="1"/>
  <c r="AF757" i="16" s="1"/>
  <c r="AI757" i="16" s="1"/>
  <c r="AJ757" i="16" s="1"/>
  <c r="S761" i="16"/>
  <c r="T761" i="16" s="1"/>
  <c r="AE761" i="16" s="1"/>
  <c r="AF761" i="16" s="1"/>
  <c r="AI761" i="16" s="1"/>
  <c r="AJ761" i="16" s="1"/>
  <c r="S881" i="16"/>
  <c r="T881" i="16" s="1"/>
  <c r="AE881" i="16" s="1"/>
  <c r="AF881" i="16" s="1"/>
  <c r="S839" i="16"/>
  <c r="T839" i="16" s="1"/>
  <c r="AE839" i="16" s="1"/>
  <c r="AF839" i="16" s="1"/>
  <c r="S1017" i="16"/>
  <c r="T1017" i="16" s="1"/>
  <c r="AE1017" i="16" s="1"/>
  <c r="AF1017" i="16" s="1"/>
  <c r="AI1055" i="16"/>
  <c r="AJ1055" i="16" s="1"/>
  <c r="AF1041" i="16"/>
  <c r="AG1041" i="16" s="1"/>
  <c r="AF1018" i="16"/>
  <c r="AI1018" i="16" s="1"/>
  <c r="AJ1018" i="16" s="1"/>
  <c r="S995" i="16"/>
  <c r="T995" i="16" s="1"/>
  <c r="AE995" i="16" s="1"/>
  <c r="AF995" i="16" s="1"/>
  <c r="S1001" i="16"/>
  <c r="T1001" i="16" s="1"/>
  <c r="AE1001" i="16" s="1"/>
  <c r="AF1001" i="16" s="1"/>
  <c r="AG1001" i="16" s="1"/>
  <c r="S999" i="16"/>
  <c r="T999" i="16" s="1"/>
  <c r="AE999" i="16" s="1"/>
  <c r="AF999" i="16" s="1"/>
  <c r="AG999" i="16" s="1"/>
  <c r="S1000" i="16"/>
  <c r="T1000" i="16" s="1"/>
  <c r="AE1000" i="16" s="1"/>
  <c r="AF1000" i="16" s="1"/>
  <c r="AI1000" i="16" s="1"/>
  <c r="AJ1000" i="16" s="1"/>
  <c r="S1005" i="16"/>
  <c r="T1005" i="16" s="1"/>
  <c r="AE1005" i="16" s="1"/>
  <c r="AF1005" i="16" s="1"/>
  <c r="S976" i="16"/>
  <c r="T976" i="16" s="1"/>
  <c r="AE976" i="16" s="1"/>
  <c r="AF976" i="16" s="1"/>
  <c r="AI976" i="16" s="1"/>
  <c r="AJ976" i="16" s="1"/>
  <c r="AF974" i="16"/>
  <c r="AI974" i="16" s="1"/>
  <c r="AF944" i="16"/>
  <c r="AI944" i="16" s="1"/>
  <c r="AJ944" i="16" s="1"/>
  <c r="AG2177" i="16"/>
  <c r="AG2009" i="16"/>
  <c r="AG1930" i="16"/>
  <c r="AG1735" i="16"/>
  <c r="AI1625" i="16"/>
  <c r="AJ1625" i="16" s="1"/>
  <c r="AG1688" i="16"/>
  <c r="AG1318" i="16"/>
  <c r="S768" i="16"/>
  <c r="T768" i="16" s="1"/>
  <c r="AE768" i="16" s="1"/>
  <c r="AF768" i="16" s="1"/>
  <c r="AG768" i="16" s="1"/>
  <c r="S543" i="16"/>
  <c r="T543" i="16" s="1"/>
  <c r="AE543" i="16" s="1"/>
  <c r="AF543" i="16" s="1"/>
  <c r="S385" i="16"/>
  <c r="T385" i="16" s="1"/>
  <c r="AE385" i="16" s="1"/>
  <c r="AF385" i="16" s="1"/>
  <c r="S377" i="16"/>
  <c r="T377" i="16" s="1"/>
  <c r="AE377" i="16" s="1"/>
  <c r="AF377" i="16" s="1"/>
  <c r="AI377" i="16" s="1"/>
  <c r="AJ377" i="16" s="1"/>
  <c r="S624" i="16"/>
  <c r="T624" i="16" s="1"/>
  <c r="AE624" i="16" s="1"/>
  <c r="AF624" i="16" s="1"/>
  <c r="AI624" i="16" s="1"/>
  <c r="AJ624" i="16" s="1"/>
  <c r="S619" i="16"/>
  <c r="T619" i="16" s="1"/>
  <c r="AE619" i="16" s="1"/>
  <c r="AF619" i="16" s="1"/>
  <c r="S592" i="16"/>
  <c r="T592" i="16" s="1"/>
  <c r="AE592" i="16" s="1"/>
  <c r="AF592" i="16" s="1"/>
  <c r="AI592" i="16" s="1"/>
  <c r="AJ592" i="16" s="1"/>
  <c r="S465" i="16"/>
  <c r="T465" i="16" s="1"/>
  <c r="AE465" i="16" s="1"/>
  <c r="AF465" i="16" s="1"/>
  <c r="S452" i="16"/>
  <c r="T452" i="16" s="1"/>
  <c r="AE452" i="16" s="1"/>
  <c r="AF452" i="16" s="1"/>
  <c r="AG452" i="16" s="1"/>
  <c r="S209" i="16"/>
  <c r="T209" i="16" s="1"/>
  <c r="AE209" i="16" s="1"/>
  <c r="AF209" i="16" s="1"/>
  <c r="AI209" i="16" s="1"/>
  <c r="AJ209" i="16" s="1"/>
  <c r="S320" i="16"/>
  <c r="T320" i="16" s="1"/>
  <c r="AE320" i="16" s="1"/>
  <c r="AF320" i="16" s="1"/>
  <c r="S183" i="16"/>
  <c r="T183" i="16" s="1"/>
  <c r="AE183" i="16" s="1"/>
  <c r="AF183" i="16" s="1"/>
  <c r="AI183" i="16" s="1"/>
  <c r="AJ183" i="16" s="1"/>
  <c r="S656" i="16"/>
  <c r="T656" i="16" s="1"/>
  <c r="AE656" i="16" s="1"/>
  <c r="AF656" i="16" s="1"/>
  <c r="S651" i="16"/>
  <c r="T651" i="16" s="1"/>
  <c r="AE651" i="16" s="1"/>
  <c r="AF651" i="16" s="1"/>
  <c r="AG651" i="16" s="1"/>
  <c r="S554" i="16"/>
  <c r="T554" i="16" s="1"/>
  <c r="AE554" i="16" s="1"/>
  <c r="AF554" i="16" s="1"/>
  <c r="AI554" i="16" s="1"/>
  <c r="AJ554" i="16" s="1"/>
  <c r="S517" i="16"/>
  <c r="T517" i="16" s="1"/>
  <c r="AE517" i="16" s="1"/>
  <c r="AF517" i="16" s="1"/>
  <c r="S678" i="16"/>
  <c r="T678" i="16" s="1"/>
  <c r="AE678" i="16" s="1"/>
  <c r="AF678" i="16" s="1"/>
  <c r="AI678" i="16" s="1"/>
  <c r="AJ678" i="16" s="1"/>
  <c r="S226" i="16"/>
  <c r="T226" i="16" s="1"/>
  <c r="AE226" i="16" s="1"/>
  <c r="AF226" i="16" s="1"/>
  <c r="AG226" i="16" s="1"/>
  <c r="S316" i="16"/>
  <c r="T316" i="16" s="1"/>
  <c r="AE316" i="16" s="1"/>
  <c r="AF316" i="16" s="1"/>
  <c r="AI316" i="16" s="1"/>
  <c r="AJ316" i="16" s="1"/>
  <c r="S210" i="16"/>
  <c r="T210" i="16" s="1"/>
  <c r="AE210" i="16" s="1"/>
  <c r="AF210" i="16" s="1"/>
  <c r="AG210" i="16" s="1"/>
  <c r="S145" i="16"/>
  <c r="T145" i="16" s="1"/>
  <c r="AE145" i="16" s="1"/>
  <c r="AF145" i="16" s="1"/>
  <c r="S571" i="16"/>
  <c r="T571" i="16" s="1"/>
  <c r="AE571" i="16" s="1"/>
  <c r="AF571" i="16" s="1"/>
  <c r="AI571" i="16" s="1"/>
  <c r="AJ571" i="16" s="1"/>
  <c r="S450" i="16"/>
  <c r="T450" i="16" s="1"/>
  <c r="AE450" i="16" s="1"/>
  <c r="AF450" i="16" s="1"/>
  <c r="S518" i="16"/>
  <c r="T518" i="16" s="1"/>
  <c r="AE518" i="16" s="1"/>
  <c r="AF518" i="16" s="1"/>
  <c r="S251" i="16"/>
  <c r="T251" i="16" s="1"/>
  <c r="AE251" i="16" s="1"/>
  <c r="AF251" i="16" s="1"/>
  <c r="S547" i="16"/>
  <c r="T547" i="16" s="1"/>
  <c r="AE547" i="16" s="1"/>
  <c r="AF547" i="16" s="1"/>
  <c r="AI547" i="16" s="1"/>
  <c r="AJ547" i="16" s="1"/>
  <c r="S703" i="16"/>
  <c r="T703" i="16" s="1"/>
  <c r="AE703" i="16" s="1"/>
  <c r="AF703" i="16" s="1"/>
  <c r="AI703" i="16" s="1"/>
  <c r="AJ703" i="16" s="1"/>
  <c r="S725" i="16"/>
  <c r="T725" i="16" s="1"/>
  <c r="AE725" i="16" s="1"/>
  <c r="AF725" i="16" s="1"/>
  <c r="AG725" i="16" s="1"/>
  <c r="S843" i="16"/>
  <c r="T843" i="16" s="1"/>
  <c r="AE843" i="16" s="1"/>
  <c r="AF843" i="16" s="1"/>
  <c r="AG843" i="16" s="1"/>
  <c r="S772" i="16"/>
  <c r="T772" i="16" s="1"/>
  <c r="AE772" i="16" s="1"/>
  <c r="AF772" i="16" s="1"/>
  <c r="AI772" i="16" s="1"/>
  <c r="AJ772" i="16" s="1"/>
  <c r="S817" i="16"/>
  <c r="T817" i="16" s="1"/>
  <c r="AE817" i="16" s="1"/>
  <c r="AF817" i="16" s="1"/>
  <c r="S751" i="16"/>
  <c r="T751" i="16" s="1"/>
  <c r="AE751" i="16" s="1"/>
  <c r="AF751" i="16" s="1"/>
  <c r="AI751" i="16" s="1"/>
  <c r="AJ751" i="16" s="1"/>
  <c r="S873" i="16"/>
  <c r="T873" i="16" s="1"/>
  <c r="AE873" i="16" s="1"/>
  <c r="AF873" i="16" s="1"/>
  <c r="S917" i="16"/>
  <c r="T917" i="16" s="1"/>
  <c r="AE917" i="16" s="1"/>
  <c r="AF917" i="16" s="1"/>
  <c r="AI917" i="16" s="1"/>
  <c r="AJ917" i="16" s="1"/>
  <c r="AG2153" i="16"/>
  <c r="AG2001" i="16"/>
  <c r="AI1953" i="16"/>
  <c r="AJ1953" i="16" s="1"/>
  <c r="AG1841" i="16"/>
  <c r="AI1724" i="16"/>
  <c r="AJ1724" i="16" s="1"/>
  <c r="AG1736" i="16"/>
  <c r="AG1642" i="16"/>
  <c r="AI1605" i="16"/>
  <c r="AJ1605" i="16" s="1"/>
  <c r="S915" i="16"/>
  <c r="T915" i="16" s="1"/>
  <c r="AE915" i="16" s="1"/>
  <c r="AF915" i="16" s="1"/>
  <c r="AI915" i="16" s="1"/>
  <c r="AJ915" i="16" s="1"/>
  <c r="S300" i="16"/>
  <c r="T300" i="16" s="1"/>
  <c r="AE300" i="16" s="1"/>
  <c r="AF300" i="16" s="1"/>
  <c r="AI300" i="16" s="1"/>
  <c r="AJ300" i="16" s="1"/>
  <c r="S628" i="16"/>
  <c r="T628" i="16" s="1"/>
  <c r="AE628" i="16" s="1"/>
  <c r="AF628" i="16" s="1"/>
  <c r="AG628" i="16" s="1"/>
  <c r="S539" i="16"/>
  <c r="T539" i="16" s="1"/>
  <c r="AE539" i="16" s="1"/>
  <c r="AF539" i="16" s="1"/>
  <c r="AI539" i="16" s="1"/>
  <c r="AJ539" i="16" s="1"/>
  <c r="S566" i="16"/>
  <c r="T566" i="16" s="1"/>
  <c r="AE566" i="16" s="1"/>
  <c r="AF566" i="16" s="1"/>
  <c r="S361" i="16"/>
  <c r="T361" i="16" s="1"/>
  <c r="AE361" i="16" s="1"/>
  <c r="AF361" i="16" s="1"/>
  <c r="AI361" i="16" s="1"/>
  <c r="AJ361" i="16" s="1"/>
  <c r="S291" i="16"/>
  <c r="T291" i="16" s="1"/>
  <c r="AE291" i="16" s="1"/>
  <c r="AF291" i="16" s="1"/>
  <c r="AI291" i="16" s="1"/>
  <c r="AJ291" i="16" s="1"/>
  <c r="S247" i="16"/>
  <c r="T247" i="16" s="1"/>
  <c r="AE247" i="16" s="1"/>
  <c r="AF247" i="16" s="1"/>
  <c r="AG247" i="16" s="1"/>
  <c r="S138" i="16"/>
  <c r="T138" i="16" s="1"/>
  <c r="AE138" i="16" s="1"/>
  <c r="AF138" i="16" s="1"/>
  <c r="AI138" i="16" s="1"/>
  <c r="AJ138" i="16" s="1"/>
  <c r="S224" i="16"/>
  <c r="T224" i="16" s="1"/>
  <c r="AE224" i="16" s="1"/>
  <c r="AF224" i="16" s="1"/>
  <c r="S513" i="16"/>
  <c r="T513" i="16" s="1"/>
  <c r="AE513" i="16" s="1"/>
  <c r="AF513" i="16" s="1"/>
  <c r="S392" i="16"/>
  <c r="T392" i="16" s="1"/>
  <c r="AE392" i="16" s="1"/>
  <c r="AF392" i="16" s="1"/>
  <c r="AI392" i="16" s="1"/>
  <c r="AJ392" i="16" s="1"/>
  <c r="S597" i="16"/>
  <c r="T597" i="16" s="1"/>
  <c r="AE597" i="16" s="1"/>
  <c r="AF597" i="16" s="1"/>
  <c r="S365" i="16"/>
  <c r="T365" i="16" s="1"/>
  <c r="AE365" i="16" s="1"/>
  <c r="AF365" i="16" s="1"/>
  <c r="S179" i="16"/>
  <c r="T179" i="16" s="1"/>
  <c r="AE179" i="16" s="1"/>
  <c r="AF179" i="16" s="1"/>
  <c r="AI179" i="16" s="1"/>
  <c r="AJ179" i="16" s="1"/>
  <c r="S529" i="16"/>
  <c r="T529" i="16" s="1"/>
  <c r="AE529" i="16" s="1"/>
  <c r="AF529" i="16" s="1"/>
  <c r="AI529" i="16" s="1"/>
  <c r="AJ529" i="16" s="1"/>
  <c r="S697" i="16"/>
  <c r="T697" i="16" s="1"/>
  <c r="AE697" i="16" s="1"/>
  <c r="AF697" i="16" s="1"/>
  <c r="AI697" i="16" s="1"/>
  <c r="AJ697" i="16" s="1"/>
  <c r="S721" i="16"/>
  <c r="T721" i="16" s="1"/>
  <c r="AE721" i="16" s="1"/>
  <c r="AF721" i="16" s="1"/>
  <c r="S755" i="16"/>
  <c r="T755" i="16" s="1"/>
  <c r="AE755" i="16" s="1"/>
  <c r="AF755" i="16" s="1"/>
  <c r="AI755" i="16" s="1"/>
  <c r="AJ755" i="16" s="1"/>
  <c r="S904" i="16"/>
  <c r="T904" i="16" s="1"/>
  <c r="AE904" i="16" s="1"/>
  <c r="AF904" i="16" s="1"/>
  <c r="AG1895" i="16"/>
  <c r="AI1657" i="16"/>
  <c r="AJ1657" i="16" s="1"/>
  <c r="AI1592" i="16"/>
  <c r="AJ1592" i="16" s="1"/>
  <c r="S776" i="16"/>
  <c r="T776" i="16" s="1"/>
  <c r="AE776" i="16" s="1"/>
  <c r="AF776" i="16" s="1"/>
  <c r="S164" i="16"/>
  <c r="T164" i="16" s="1"/>
  <c r="AE164" i="16" s="1"/>
  <c r="AF164" i="16" s="1"/>
  <c r="AI164" i="16" s="1"/>
  <c r="AJ164" i="16" s="1"/>
  <c r="S494" i="16"/>
  <c r="T494" i="16" s="1"/>
  <c r="AE494" i="16" s="1"/>
  <c r="AF494" i="16" s="1"/>
  <c r="AI494" i="16" s="1"/>
  <c r="AJ494" i="16" s="1"/>
  <c r="S535" i="16"/>
  <c r="T535" i="16" s="1"/>
  <c r="AE535" i="16" s="1"/>
  <c r="AF535" i="16" s="1"/>
  <c r="AI535" i="16" s="1"/>
  <c r="AJ535" i="16" s="1"/>
  <c r="S525" i="16"/>
  <c r="T525" i="16" s="1"/>
  <c r="AE525" i="16" s="1"/>
  <c r="AF525" i="16" s="1"/>
  <c r="S473" i="16"/>
  <c r="T473" i="16" s="1"/>
  <c r="AE473" i="16" s="1"/>
  <c r="AF473" i="16" s="1"/>
  <c r="S429" i="16"/>
  <c r="T429" i="16" s="1"/>
  <c r="AE429" i="16" s="1"/>
  <c r="AF429" i="16" s="1"/>
  <c r="AG429" i="16" s="1"/>
  <c r="S481" i="16"/>
  <c r="T481" i="16" s="1"/>
  <c r="AE481" i="16" s="1"/>
  <c r="AF481" i="16" s="1"/>
  <c r="AG481" i="16" s="1"/>
  <c r="S420" i="16"/>
  <c r="T420" i="16" s="1"/>
  <c r="AE420" i="16" s="1"/>
  <c r="AF420" i="16" s="1"/>
  <c r="AG420" i="16" s="1"/>
  <c r="S142" i="16"/>
  <c r="T142" i="16" s="1"/>
  <c r="AE142" i="16" s="1"/>
  <c r="AF142" i="16" s="1"/>
  <c r="S214" i="16"/>
  <c r="T214" i="16" s="1"/>
  <c r="AE214" i="16" s="1"/>
  <c r="AF214" i="16" s="1"/>
  <c r="AI214" i="16" s="1"/>
  <c r="AJ214" i="16" s="1"/>
  <c r="S560" i="16"/>
  <c r="T560" i="16" s="1"/>
  <c r="AE560" i="16" s="1"/>
  <c r="AF560" i="16" s="1"/>
  <c r="AI560" i="16" s="1"/>
  <c r="AJ560" i="16" s="1"/>
  <c r="S373" i="16"/>
  <c r="T373" i="16" s="1"/>
  <c r="AE373" i="16" s="1"/>
  <c r="AF373" i="16" s="1"/>
  <c r="AI373" i="16" s="1"/>
  <c r="AJ373" i="16" s="1"/>
  <c r="S388" i="16"/>
  <c r="T388" i="16" s="1"/>
  <c r="AE388" i="16" s="1"/>
  <c r="AF388" i="16" s="1"/>
  <c r="AI388" i="16" s="1"/>
  <c r="AJ388" i="16" s="1"/>
  <c r="S396" i="16"/>
  <c r="T396" i="16" s="1"/>
  <c r="AE396" i="16" s="1"/>
  <c r="AF396" i="16" s="1"/>
  <c r="S814" i="16"/>
  <c r="T814" i="16" s="1"/>
  <c r="AE814" i="16" s="1"/>
  <c r="AF814" i="16" s="1"/>
  <c r="AG814" i="16" s="1"/>
  <c r="S804" i="16"/>
  <c r="T804" i="16" s="1"/>
  <c r="AE804" i="16" s="1"/>
  <c r="AF804" i="16" s="1"/>
  <c r="AI804" i="16" s="1"/>
  <c r="AJ804" i="16" s="1"/>
  <c r="S900" i="16"/>
  <c r="T900" i="16" s="1"/>
  <c r="AE900" i="16" s="1"/>
  <c r="AF900" i="16" s="1"/>
  <c r="S780" i="16"/>
  <c r="T780" i="16" s="1"/>
  <c r="AE780" i="16" s="1"/>
  <c r="AF780" i="16" s="1"/>
  <c r="S765" i="16"/>
  <c r="T765" i="16" s="1"/>
  <c r="AE765" i="16" s="1"/>
  <c r="AF765" i="16" s="1"/>
  <c r="AG765" i="16" s="1"/>
  <c r="S823" i="16"/>
  <c r="T823" i="16" s="1"/>
  <c r="AE823" i="16" s="1"/>
  <c r="AF823" i="16" s="1"/>
  <c r="AG823" i="16" s="1"/>
  <c r="S759" i="16"/>
  <c r="T759" i="16" s="1"/>
  <c r="AE759" i="16" s="1"/>
  <c r="AF759" i="16" s="1"/>
  <c r="AG2069" i="16"/>
  <c r="AI2069" i="16"/>
  <c r="AJ2069" i="16" s="1"/>
  <c r="AI1681" i="16"/>
  <c r="AJ1681" i="16" s="1"/>
  <c r="AG1681" i="16"/>
  <c r="AF795" i="16"/>
  <c r="AG795" i="16" s="1"/>
  <c r="AG1398" i="16"/>
  <c r="AI1398" i="16"/>
  <c r="AJ1398" i="16" s="1"/>
  <c r="AI1639" i="16"/>
  <c r="AJ1639" i="16" s="1"/>
  <c r="AG1639" i="16"/>
  <c r="AG1936" i="16"/>
  <c r="AI1936" i="16"/>
  <c r="AJ1936" i="16" s="1"/>
  <c r="AG2240" i="16"/>
  <c r="AG2143" i="16"/>
  <c r="AI2046" i="16"/>
  <c r="AJ2046" i="16" s="1"/>
  <c r="AG1660" i="16"/>
  <c r="AG1611" i="16"/>
  <c r="AJ1898" i="16"/>
  <c r="AF273" i="16"/>
  <c r="AI273" i="16" s="1"/>
  <c r="AJ273" i="16" s="1"/>
  <c r="AG1537" i="16"/>
  <c r="AI1537" i="16"/>
  <c r="AJ1537" i="16" s="1"/>
  <c r="AG1863" i="16"/>
  <c r="AI1863" i="16"/>
  <c r="AJ1863" i="16" s="1"/>
  <c r="AI2027" i="16"/>
  <c r="AJ2027" i="16" s="1"/>
  <c r="AG2027" i="16"/>
  <c r="AI1807" i="16"/>
  <c r="AJ1807" i="16" s="1"/>
  <c r="AG1807" i="16"/>
  <c r="AI1962" i="16"/>
  <c r="AJ1962" i="16" s="1"/>
  <c r="AG1962" i="16"/>
  <c r="AI2207" i="16"/>
  <c r="AJ2207" i="16" s="1"/>
  <c r="AG2207" i="16"/>
  <c r="AI1971" i="16"/>
  <c r="AJ1971" i="16" s="1"/>
  <c r="AG1971" i="16"/>
  <c r="AG2091" i="16"/>
  <c r="AI2091" i="16"/>
  <c r="AJ2091" i="16" s="1"/>
  <c r="AG2140" i="16"/>
  <c r="AI2140" i="16"/>
  <c r="AJ2140" i="16" s="1"/>
  <c r="AG1544" i="16"/>
  <c r="AI1544" i="16"/>
  <c r="AJ1544" i="16" s="1"/>
  <c r="AI1811" i="16"/>
  <c r="AJ1811" i="16" s="1"/>
  <c r="AG1811" i="16"/>
  <c r="AI2227" i="16"/>
  <c r="AJ2227" i="16" s="1"/>
  <c r="AG2164" i="16"/>
  <c r="AI2165" i="16"/>
  <c r="AJ2165" i="16" s="1"/>
  <c r="AI2137" i="16"/>
  <c r="AJ2137" i="16" s="1"/>
  <c r="AG2125" i="16"/>
  <c r="AG1957" i="16"/>
  <c r="AG2244" i="16"/>
  <c r="AG2172" i="16"/>
  <c r="AI1904" i="16"/>
  <c r="AJ1904" i="16" s="1"/>
  <c r="AG1667" i="16"/>
  <c r="AG1465" i="16"/>
  <c r="AI1339" i="16"/>
  <c r="AJ1339" i="16" s="1"/>
  <c r="AG833" i="16"/>
  <c r="AI2237" i="16"/>
  <c r="AJ2237" i="16" s="1"/>
  <c r="AI2217" i="16"/>
  <c r="AJ2217" i="16" s="1"/>
  <c r="AG2135" i="16"/>
  <c r="AI1859" i="16"/>
  <c r="AJ1859" i="16" s="1"/>
  <c r="AI1695" i="16"/>
  <c r="AJ1695" i="16" s="1"/>
  <c r="AG1714" i="16"/>
  <c r="AI1501" i="16"/>
  <c r="AJ1501" i="16" s="1"/>
  <c r="S475" i="16"/>
  <c r="T475" i="16" s="1"/>
  <c r="AE475" i="16" s="1"/>
  <c r="AF475" i="16" s="1"/>
  <c r="AI475" i="16" s="1"/>
  <c r="AJ475" i="16" s="1"/>
  <c r="S614" i="16"/>
  <c r="T614" i="16" s="1"/>
  <c r="AE614" i="16" s="1"/>
  <c r="AF614" i="16" s="1"/>
  <c r="S480" i="16"/>
  <c r="T480" i="16" s="1"/>
  <c r="AE480" i="16" s="1"/>
  <c r="AF480" i="16" s="1"/>
  <c r="AI480" i="16" s="1"/>
  <c r="AJ480" i="16" s="1"/>
  <c r="S692" i="16"/>
  <c r="T692" i="16" s="1"/>
  <c r="AE692" i="16" s="1"/>
  <c r="AF692" i="16" s="1"/>
  <c r="AI692" i="16" s="1"/>
  <c r="AJ692" i="16" s="1"/>
  <c r="S767" i="16"/>
  <c r="T767" i="16" s="1"/>
  <c r="AE767" i="16" s="1"/>
  <c r="AF767" i="16" s="1"/>
  <c r="AI767" i="16" s="1"/>
  <c r="AJ767" i="16" s="1"/>
  <c r="S568" i="16"/>
  <c r="T568" i="16" s="1"/>
  <c r="AE568" i="16" s="1"/>
  <c r="AF568" i="16" s="1"/>
  <c r="S387" i="16"/>
  <c r="T387" i="16" s="1"/>
  <c r="AE387" i="16" s="1"/>
  <c r="AF387" i="16" s="1"/>
  <c r="AG387" i="16" s="1"/>
  <c r="AF879" i="16"/>
  <c r="AI879" i="16" s="1"/>
  <c r="AJ879" i="16" s="1"/>
  <c r="AF852" i="16"/>
  <c r="AI852" i="16" s="1"/>
  <c r="AJ852" i="16" s="1"/>
  <c r="AF836" i="16"/>
  <c r="AF835" i="16"/>
  <c r="AG2202" i="16"/>
  <c r="AI1979" i="16"/>
  <c r="AJ1979" i="16" s="1"/>
  <c r="AI1712" i="16"/>
  <c r="AJ1712" i="16" s="1"/>
  <c r="AG1636" i="16"/>
  <c r="S438" i="16"/>
  <c r="T438" i="16" s="1"/>
  <c r="AE438" i="16" s="1"/>
  <c r="AF438" i="16" s="1"/>
  <c r="AI438" i="16" s="1"/>
  <c r="AJ438" i="16" s="1"/>
  <c r="S633" i="16"/>
  <c r="T633" i="16" s="1"/>
  <c r="AE633" i="16" s="1"/>
  <c r="AF633" i="16" s="1"/>
  <c r="AG633" i="16" s="1"/>
  <c r="S523" i="16"/>
  <c r="T523" i="16" s="1"/>
  <c r="AE523" i="16" s="1"/>
  <c r="AF523" i="16" s="1"/>
  <c r="S484" i="16"/>
  <c r="T484" i="16" s="1"/>
  <c r="AE484" i="16" s="1"/>
  <c r="AF484" i="16" s="1"/>
  <c r="AI484" i="16" s="1"/>
  <c r="AJ484" i="16" s="1"/>
  <c r="S359" i="16"/>
  <c r="T359" i="16" s="1"/>
  <c r="AE359" i="16" s="1"/>
  <c r="AF359" i="16" s="1"/>
  <c r="S463" i="16"/>
  <c r="T463" i="16" s="1"/>
  <c r="AE463" i="16" s="1"/>
  <c r="AF463" i="16" s="1"/>
  <c r="AI463" i="16" s="1"/>
  <c r="AJ463" i="16" s="1"/>
  <c r="S334" i="16"/>
  <c r="T334" i="16" s="1"/>
  <c r="AE334" i="16" s="1"/>
  <c r="AF334" i="16" s="1"/>
  <c r="AG334" i="16" s="1"/>
  <c r="S629" i="16"/>
  <c r="T629" i="16" s="1"/>
  <c r="AE629" i="16" s="1"/>
  <c r="AF629" i="16" s="1"/>
  <c r="S197" i="16"/>
  <c r="T197" i="16" s="1"/>
  <c r="AE197" i="16" s="1"/>
  <c r="AF197" i="16" s="1"/>
  <c r="AG197" i="16" s="1"/>
  <c r="S322" i="16"/>
  <c r="T322" i="16" s="1"/>
  <c r="AE322" i="16" s="1"/>
  <c r="AF322" i="16" s="1"/>
  <c r="AG322" i="16" s="1"/>
  <c r="S285" i="16"/>
  <c r="T285" i="16" s="1"/>
  <c r="AE285" i="16" s="1"/>
  <c r="AF285" i="16" s="1"/>
  <c r="S408" i="16"/>
  <c r="T408" i="16" s="1"/>
  <c r="AE408" i="16" s="1"/>
  <c r="AF408" i="16" s="1"/>
  <c r="S216" i="16"/>
  <c r="T216" i="16" s="1"/>
  <c r="AE216" i="16" s="1"/>
  <c r="AF216" i="16" s="1"/>
  <c r="AG216" i="16" s="1"/>
  <c r="S253" i="16"/>
  <c r="T253" i="16" s="1"/>
  <c r="AE253" i="16" s="1"/>
  <c r="AF253" i="16" s="1"/>
  <c r="AG253" i="16" s="1"/>
  <c r="S583" i="16"/>
  <c r="T583" i="16" s="1"/>
  <c r="AE583" i="16" s="1"/>
  <c r="AF583" i="16" s="1"/>
  <c r="AI583" i="16" s="1"/>
  <c r="AJ583" i="16" s="1"/>
  <c r="S805" i="16"/>
  <c r="T805" i="16" s="1"/>
  <c r="AE805" i="16" s="1"/>
  <c r="AF805" i="16" s="1"/>
  <c r="AG805" i="16" s="1"/>
  <c r="S736" i="16"/>
  <c r="T736" i="16" s="1"/>
  <c r="AE736" i="16" s="1"/>
  <c r="AF736" i="16" s="1"/>
  <c r="AG1474" i="16"/>
  <c r="AI1474" i="16"/>
  <c r="AJ1474" i="16" s="1"/>
  <c r="S794" i="16"/>
  <c r="T794" i="16" s="1"/>
  <c r="AE794" i="16" s="1"/>
  <c r="AF794" i="16" s="1"/>
  <c r="AI794" i="16" s="1"/>
  <c r="AJ794" i="16" s="1"/>
  <c r="S818" i="16"/>
  <c r="T818" i="16" s="1"/>
  <c r="AE818" i="16" s="1"/>
  <c r="AF818" i="16" s="1"/>
  <c r="AI818" i="16" s="1"/>
  <c r="AJ818" i="16" s="1"/>
  <c r="S778" i="16"/>
  <c r="T778" i="16" s="1"/>
  <c r="AE778" i="16" s="1"/>
  <c r="AF778" i="16" s="1"/>
  <c r="AG778" i="16" s="1"/>
  <c r="AI2228" i="16"/>
  <c r="AJ2228" i="16" s="1"/>
  <c r="AI2184" i="16"/>
  <c r="AJ2184" i="16" s="1"/>
  <c r="AG2180" i="16"/>
  <c r="AG2161" i="16"/>
  <c r="AI2170" i="16"/>
  <c r="AJ2170" i="16" s="1"/>
  <c r="AG2074" i="16"/>
  <c r="AG2059" i="16"/>
  <c r="AG1972" i="16"/>
  <c r="AG1890" i="16"/>
  <c r="AG1827" i="16"/>
  <c r="AG1836" i="16"/>
  <c r="AG1761" i="16"/>
  <c r="AI1729" i="16"/>
  <c r="AJ1729" i="16" s="1"/>
  <c r="AG1784" i="16"/>
  <c r="AG1753" i="16"/>
  <c r="AI1760" i="16"/>
  <c r="AJ1760" i="16" s="1"/>
  <c r="AG1617" i="16"/>
  <c r="AG1641" i="16"/>
  <c r="AI1626" i="16"/>
  <c r="AJ1626" i="16" s="1"/>
  <c r="AJ1555" i="16"/>
  <c r="AG1553" i="16"/>
  <c r="AG1514" i="16"/>
  <c r="AG1452" i="16"/>
  <c r="AI1475" i="16"/>
  <c r="AJ1475" i="16" s="1"/>
  <c r="AG1433" i="16"/>
  <c r="AG1386" i="16"/>
  <c r="AG1355" i="16"/>
  <c r="AI1396" i="16"/>
  <c r="AJ1396" i="16" s="1"/>
  <c r="AI1407" i="16"/>
  <c r="AJ1407" i="16" s="1"/>
  <c r="AG1239" i="16"/>
  <c r="S701" i="16"/>
  <c r="T701" i="16" s="1"/>
  <c r="AE701" i="16" s="1"/>
  <c r="AF701" i="16" s="1"/>
  <c r="AI701" i="16" s="1"/>
  <c r="AJ701" i="16" s="1"/>
  <c r="S249" i="16"/>
  <c r="T249" i="16" s="1"/>
  <c r="AE249" i="16" s="1"/>
  <c r="AF249" i="16" s="1"/>
  <c r="AG249" i="16" s="1"/>
  <c r="S196" i="16"/>
  <c r="T196" i="16" s="1"/>
  <c r="AE196" i="16" s="1"/>
  <c r="AF196" i="16" s="1"/>
  <c r="S632" i="16"/>
  <c r="T632" i="16" s="1"/>
  <c r="AE632" i="16" s="1"/>
  <c r="AF632" i="16" s="1"/>
  <c r="AG632" i="16" s="1"/>
  <c r="S620" i="16"/>
  <c r="T620" i="16" s="1"/>
  <c r="AE620" i="16" s="1"/>
  <c r="AF620" i="16" s="1"/>
  <c r="AI620" i="16" s="1"/>
  <c r="AJ620" i="16" s="1"/>
  <c r="S562" i="16"/>
  <c r="T562" i="16" s="1"/>
  <c r="AE562" i="16" s="1"/>
  <c r="AF562" i="16" s="1"/>
  <c r="S565" i="16"/>
  <c r="T565" i="16" s="1"/>
  <c r="AE565" i="16" s="1"/>
  <c r="AF565" i="16" s="1"/>
  <c r="S531" i="16"/>
  <c r="T531" i="16" s="1"/>
  <c r="AE531" i="16" s="1"/>
  <c r="AF531" i="16" s="1"/>
  <c r="S581" i="16"/>
  <c r="T581" i="16" s="1"/>
  <c r="AE581" i="16" s="1"/>
  <c r="AF581" i="16" s="1"/>
  <c r="AI581" i="16" s="1"/>
  <c r="AJ581" i="16" s="1"/>
  <c r="S375" i="16"/>
  <c r="T375" i="16" s="1"/>
  <c r="AE375" i="16" s="1"/>
  <c r="AF375" i="16" s="1"/>
  <c r="AG375" i="16" s="1"/>
  <c r="AG1240" i="16"/>
  <c r="AI1240" i="16"/>
  <c r="AJ1240" i="16" s="1"/>
  <c r="AG1327" i="16"/>
  <c r="AI1327" i="16"/>
  <c r="AJ1327" i="16" s="1"/>
  <c r="AI1373" i="16"/>
  <c r="AJ1373" i="16" s="1"/>
  <c r="AG1373" i="16"/>
  <c r="AG1980" i="16"/>
  <c r="AG1717" i="16"/>
  <c r="AI1672" i="16"/>
  <c r="AJ1672" i="16" s="1"/>
  <c r="AI1631" i="16"/>
  <c r="AJ1631" i="16" s="1"/>
  <c r="AG1568" i="16"/>
  <c r="AI1536" i="16"/>
  <c r="AJ1536" i="16" s="1"/>
  <c r="AG1359" i="16"/>
  <c r="AI1338" i="16"/>
  <c r="AJ1338" i="16" s="1"/>
  <c r="S479" i="16"/>
  <c r="T479" i="16" s="1"/>
  <c r="AE479" i="16" s="1"/>
  <c r="AF479" i="16" s="1"/>
  <c r="S326" i="16"/>
  <c r="T326" i="16" s="1"/>
  <c r="AE326" i="16" s="1"/>
  <c r="AF326" i="16" s="1"/>
  <c r="AG326" i="16" s="1"/>
  <c r="S648" i="16"/>
  <c r="T648" i="16" s="1"/>
  <c r="AE648" i="16" s="1"/>
  <c r="AF648" i="16" s="1"/>
  <c r="AI648" i="16" s="1"/>
  <c r="AJ648" i="16" s="1"/>
  <c r="S610" i="16"/>
  <c r="T610" i="16" s="1"/>
  <c r="AE610" i="16" s="1"/>
  <c r="AF610" i="16" s="1"/>
  <c r="AI610" i="16" s="1"/>
  <c r="AJ610" i="16" s="1"/>
  <c r="S182" i="16"/>
  <c r="T182" i="16" s="1"/>
  <c r="AE182" i="16" s="1"/>
  <c r="AF182" i="16" s="1"/>
  <c r="AI182" i="16" s="1"/>
  <c r="AJ182" i="16" s="1"/>
  <c r="S434" i="16"/>
  <c r="T434" i="16" s="1"/>
  <c r="AE434" i="16" s="1"/>
  <c r="AF434" i="16" s="1"/>
  <c r="AI434" i="16" s="1"/>
  <c r="AJ434" i="16" s="1"/>
  <c r="S406" i="16"/>
  <c r="T406" i="16" s="1"/>
  <c r="AE406" i="16" s="1"/>
  <c r="AF406" i="16" s="1"/>
  <c r="AI406" i="16" s="1"/>
  <c r="AJ406" i="16" s="1"/>
  <c r="S608" i="16"/>
  <c r="T608" i="16" s="1"/>
  <c r="AE608" i="16" s="1"/>
  <c r="AF608" i="16" s="1"/>
  <c r="AI608" i="16" s="1"/>
  <c r="AJ608" i="16" s="1"/>
  <c r="S225" i="16"/>
  <c r="T225" i="16" s="1"/>
  <c r="AE225" i="16" s="1"/>
  <c r="AF225" i="16" s="1"/>
  <c r="AI225" i="16" s="1"/>
  <c r="AJ225" i="16" s="1"/>
  <c r="S389" i="16"/>
  <c r="T389" i="16" s="1"/>
  <c r="AE389" i="16" s="1"/>
  <c r="AF389" i="16" s="1"/>
  <c r="S496" i="16"/>
  <c r="T496" i="16" s="1"/>
  <c r="AE496" i="16" s="1"/>
  <c r="AF496" i="16" s="1"/>
  <c r="AI496" i="16" s="1"/>
  <c r="AJ496" i="16" s="1"/>
  <c r="AJ2240" i="16"/>
  <c r="AJ2216" i="16"/>
  <c r="AG2203" i="16"/>
  <c r="AG1967" i="16"/>
  <c r="AG1769" i="16"/>
  <c r="AG1466" i="16"/>
  <c r="S699" i="16"/>
  <c r="T699" i="16" s="1"/>
  <c r="AE699" i="16" s="1"/>
  <c r="AF699" i="16" s="1"/>
  <c r="AG699" i="16" s="1"/>
  <c r="S821" i="16"/>
  <c r="T821" i="16" s="1"/>
  <c r="AE821" i="16" s="1"/>
  <c r="AF821" i="16" s="1"/>
  <c r="AI821" i="16" s="1"/>
  <c r="AJ821" i="16" s="1"/>
  <c r="S808" i="16"/>
  <c r="T808" i="16" s="1"/>
  <c r="AE808" i="16" s="1"/>
  <c r="AF808" i="16" s="1"/>
  <c r="AI808" i="16" s="1"/>
  <c r="AJ808" i="16" s="1"/>
  <c r="S773" i="16"/>
  <c r="T773" i="16" s="1"/>
  <c r="AE773" i="16" s="1"/>
  <c r="AF773" i="16" s="1"/>
  <c r="AG773" i="16" s="1"/>
  <c r="S653" i="16"/>
  <c r="T653" i="16" s="1"/>
  <c r="AE653" i="16" s="1"/>
  <c r="AF653" i="16" s="1"/>
  <c r="S627" i="16"/>
  <c r="T627" i="16" s="1"/>
  <c r="AE627" i="16" s="1"/>
  <c r="AF627" i="16" s="1"/>
  <c r="S595" i="16"/>
  <c r="T595" i="16" s="1"/>
  <c r="AE595" i="16" s="1"/>
  <c r="AF595" i="16" s="1"/>
  <c r="AI595" i="16" s="1"/>
  <c r="AJ595" i="16" s="1"/>
  <c r="S337" i="16"/>
  <c r="T337" i="16" s="1"/>
  <c r="AE337" i="16" s="1"/>
  <c r="AF337" i="16" s="1"/>
  <c r="AG337" i="16" s="1"/>
  <c r="S233" i="16"/>
  <c r="T233" i="16" s="1"/>
  <c r="AE233" i="16" s="1"/>
  <c r="AF233" i="16" s="1"/>
  <c r="AG233" i="16" s="1"/>
  <c r="S212" i="16"/>
  <c r="T212" i="16" s="1"/>
  <c r="AE212" i="16" s="1"/>
  <c r="AF212" i="16" s="1"/>
  <c r="AG212" i="16" s="1"/>
  <c r="S677" i="16"/>
  <c r="T677" i="16" s="1"/>
  <c r="AE677" i="16" s="1"/>
  <c r="AF677" i="16" s="1"/>
  <c r="AG677" i="16" s="1"/>
  <c r="S681" i="16"/>
  <c r="T681" i="16" s="1"/>
  <c r="AE681" i="16" s="1"/>
  <c r="AF681" i="16" s="1"/>
  <c r="AG681" i="16" s="1"/>
  <c r="S601" i="16"/>
  <c r="T601" i="16" s="1"/>
  <c r="AE601" i="16" s="1"/>
  <c r="AF601" i="16" s="1"/>
  <c r="S575" i="16"/>
  <c r="T575" i="16" s="1"/>
  <c r="AE575" i="16" s="1"/>
  <c r="AF575" i="16" s="1"/>
  <c r="S577" i="16"/>
  <c r="T577" i="16" s="1"/>
  <c r="AE577" i="16" s="1"/>
  <c r="AF577" i="16" s="1"/>
  <c r="S493" i="16"/>
  <c r="T493" i="16" s="1"/>
  <c r="AE493" i="16" s="1"/>
  <c r="AF493" i="16" s="1"/>
  <c r="AI493" i="16" s="1"/>
  <c r="AJ493" i="16" s="1"/>
  <c r="S613" i="16"/>
  <c r="T613" i="16" s="1"/>
  <c r="AE613" i="16" s="1"/>
  <c r="AF613" i="16" s="1"/>
  <c r="AG613" i="16" s="1"/>
  <c r="S490" i="16"/>
  <c r="T490" i="16" s="1"/>
  <c r="AE490" i="16" s="1"/>
  <c r="AF490" i="16" s="1"/>
  <c r="AG490" i="16" s="1"/>
  <c r="S466" i="16"/>
  <c r="T466" i="16" s="1"/>
  <c r="AE466" i="16" s="1"/>
  <c r="AF466" i="16" s="1"/>
  <c r="S374" i="16"/>
  <c r="T374" i="16" s="1"/>
  <c r="AE374" i="16" s="1"/>
  <c r="AF374" i="16" s="1"/>
  <c r="S341" i="16"/>
  <c r="T341" i="16" s="1"/>
  <c r="AE341" i="16" s="1"/>
  <c r="AF341" i="16" s="1"/>
  <c r="AG341" i="16" s="1"/>
  <c r="S390" i="16"/>
  <c r="T390" i="16" s="1"/>
  <c r="AE390" i="16" s="1"/>
  <c r="AF390" i="16" s="1"/>
  <c r="S290" i="16"/>
  <c r="T290" i="16" s="1"/>
  <c r="AE290" i="16" s="1"/>
  <c r="AF290" i="16" s="1"/>
  <c r="AI290" i="16" s="1"/>
  <c r="AJ290" i="16" s="1"/>
  <c r="S221" i="16"/>
  <c r="T221" i="16" s="1"/>
  <c r="AE221" i="16" s="1"/>
  <c r="AF221" i="16" s="1"/>
  <c r="S229" i="16"/>
  <c r="T229" i="16" s="1"/>
  <c r="AE229" i="16" s="1"/>
  <c r="AF229" i="16" s="1"/>
  <c r="S177" i="16"/>
  <c r="T177" i="16" s="1"/>
  <c r="AE177" i="16" s="1"/>
  <c r="AF177" i="16" s="1"/>
  <c r="S171" i="16"/>
  <c r="T171" i="16" s="1"/>
  <c r="AE171" i="16" s="1"/>
  <c r="AF171" i="16" s="1"/>
  <c r="S186" i="16"/>
  <c r="T186" i="16" s="1"/>
  <c r="AE186" i="16" s="1"/>
  <c r="AF186" i="16" s="1"/>
  <c r="AG186" i="16" s="1"/>
  <c r="S654" i="16"/>
  <c r="T654" i="16" s="1"/>
  <c r="AE654" i="16" s="1"/>
  <c r="AF654" i="16" s="1"/>
  <c r="AG654" i="16" s="1"/>
  <c r="S570" i="16"/>
  <c r="T570" i="16" s="1"/>
  <c r="AE570" i="16" s="1"/>
  <c r="AF570" i="16" s="1"/>
  <c r="AI570" i="16" s="1"/>
  <c r="AJ570" i="16" s="1"/>
  <c r="S661" i="16"/>
  <c r="T661" i="16" s="1"/>
  <c r="AE661" i="16" s="1"/>
  <c r="AF661" i="16" s="1"/>
  <c r="S125" i="16"/>
  <c r="T125" i="16" s="1"/>
  <c r="AE125" i="16" s="1"/>
  <c r="AF125" i="16" s="1"/>
  <c r="S318" i="16"/>
  <c r="T318" i="16" s="1"/>
  <c r="AE318" i="16" s="1"/>
  <c r="AF318" i="16" s="1"/>
  <c r="AI318" i="16" s="1"/>
  <c r="AJ318" i="16" s="1"/>
  <c r="S296" i="16"/>
  <c r="T296" i="16" s="1"/>
  <c r="AE296" i="16" s="1"/>
  <c r="AF296" i="16" s="1"/>
  <c r="AI296" i="16" s="1"/>
  <c r="AJ296" i="16" s="1"/>
  <c r="S147" i="16"/>
  <c r="T147" i="16" s="1"/>
  <c r="AE147" i="16" s="1"/>
  <c r="AF147" i="16" s="1"/>
  <c r="AG147" i="16" s="1"/>
  <c r="S462" i="16"/>
  <c r="T462" i="16" s="1"/>
  <c r="AE462" i="16" s="1"/>
  <c r="AF462" i="16" s="1"/>
  <c r="AI462" i="16" s="1"/>
  <c r="AJ462" i="16" s="1"/>
  <c r="S277" i="16"/>
  <c r="T277" i="16" s="1"/>
  <c r="AE277" i="16" s="1"/>
  <c r="AF277" i="16" s="1"/>
  <c r="AI277" i="16" s="1"/>
  <c r="AJ277" i="16" s="1"/>
  <c r="S448" i="16"/>
  <c r="T448" i="16" s="1"/>
  <c r="AE448" i="16" s="1"/>
  <c r="AF448" i="16" s="1"/>
  <c r="AG448" i="16" s="1"/>
  <c r="S355" i="16"/>
  <c r="T355" i="16" s="1"/>
  <c r="AE355" i="16" s="1"/>
  <c r="AF355" i="16" s="1"/>
  <c r="AI355" i="16" s="1"/>
  <c r="S314" i="16"/>
  <c r="T314" i="16" s="1"/>
  <c r="AE314" i="16" s="1"/>
  <c r="AF314" i="16" s="1"/>
  <c r="S582" i="16"/>
  <c r="T582" i="16" s="1"/>
  <c r="AE582" i="16" s="1"/>
  <c r="AF582" i="16" s="1"/>
  <c r="AI582" i="16" s="1"/>
  <c r="AJ582" i="16" s="1"/>
  <c r="S135" i="16"/>
  <c r="T135" i="16" s="1"/>
  <c r="AE135" i="16" s="1"/>
  <c r="AF135" i="16" s="1"/>
  <c r="AI135" i="16" s="1"/>
  <c r="AJ135" i="16" s="1"/>
  <c r="S363" i="16"/>
  <c r="T363" i="16" s="1"/>
  <c r="AE363" i="16" s="1"/>
  <c r="AF363" i="16" s="1"/>
  <c r="AI363" i="16" s="1"/>
  <c r="AJ363" i="16" s="1"/>
  <c r="S552" i="16"/>
  <c r="T552" i="16" s="1"/>
  <c r="AE552" i="16" s="1"/>
  <c r="AF552" i="16" s="1"/>
  <c r="S259" i="16"/>
  <c r="T259" i="16" s="1"/>
  <c r="AE259" i="16" s="1"/>
  <c r="AF259" i="16" s="1"/>
  <c r="AI259" i="16" s="1"/>
  <c r="AJ259" i="16" s="1"/>
  <c r="S454" i="16"/>
  <c r="T454" i="16" s="1"/>
  <c r="AE454" i="16" s="1"/>
  <c r="AF454" i="16" s="1"/>
  <c r="S178" i="16"/>
  <c r="T178" i="16" s="1"/>
  <c r="AE178" i="16" s="1"/>
  <c r="AF178" i="16" s="1"/>
  <c r="S596" i="16"/>
  <c r="T596" i="16" s="1"/>
  <c r="AE596" i="16" s="1"/>
  <c r="AF596" i="16" s="1"/>
  <c r="AI596" i="16" s="1"/>
  <c r="AJ596" i="16" s="1"/>
  <c r="S720" i="16"/>
  <c r="T720" i="16" s="1"/>
  <c r="AE720" i="16" s="1"/>
  <c r="AF720" i="16" s="1"/>
  <c r="AG720" i="16" s="1"/>
  <c r="S700" i="16"/>
  <c r="T700" i="16" s="1"/>
  <c r="AE700" i="16" s="1"/>
  <c r="AF700" i="16" s="1"/>
  <c r="AI700" i="16" s="1"/>
  <c r="AJ700" i="16" s="1"/>
  <c r="S705" i="16"/>
  <c r="T705" i="16" s="1"/>
  <c r="AE705" i="16" s="1"/>
  <c r="AF705" i="16" s="1"/>
  <c r="AI705" i="16" s="1"/>
  <c r="AJ705" i="16" s="1"/>
  <c r="S749" i="16"/>
  <c r="T749" i="16" s="1"/>
  <c r="AE749" i="16" s="1"/>
  <c r="AF749" i="16" s="1"/>
  <c r="AG749" i="16" s="1"/>
  <c r="S803" i="16"/>
  <c r="T803" i="16" s="1"/>
  <c r="AE803" i="16" s="1"/>
  <c r="AF803" i="16" s="1"/>
  <c r="AI803" i="16" s="1"/>
  <c r="AJ803" i="16" s="1"/>
  <c r="S799" i="16"/>
  <c r="T799" i="16" s="1"/>
  <c r="AE799" i="16" s="1"/>
  <c r="AF799" i="16" s="1"/>
  <c r="AI799" i="16" s="1"/>
  <c r="AJ799" i="16" s="1"/>
  <c r="S782" i="16"/>
  <c r="T782" i="16" s="1"/>
  <c r="AE782" i="16" s="1"/>
  <c r="AF782" i="16" s="1"/>
  <c r="AG782" i="16" s="1"/>
  <c r="S764" i="16"/>
  <c r="T764" i="16" s="1"/>
  <c r="AE764" i="16" s="1"/>
  <c r="AF764" i="16" s="1"/>
  <c r="AG764" i="16" s="1"/>
  <c r="S748" i="16"/>
  <c r="T748" i="16" s="1"/>
  <c r="AE748" i="16" s="1"/>
  <c r="AF748" i="16" s="1"/>
  <c r="AG748" i="16" s="1"/>
  <c r="S733" i="16"/>
  <c r="T733" i="16" s="1"/>
  <c r="AE733" i="16" s="1"/>
  <c r="AF733" i="16" s="1"/>
  <c r="AG733" i="16" s="1"/>
  <c r="S777" i="16"/>
  <c r="T777" i="16" s="1"/>
  <c r="AE777" i="16" s="1"/>
  <c r="AF777" i="16" s="1"/>
  <c r="AI777" i="16" s="1"/>
  <c r="AJ777" i="16" s="1"/>
  <c r="S828" i="16"/>
  <c r="T828" i="16" s="1"/>
  <c r="AE828" i="16" s="1"/>
  <c r="AF828" i="16" s="1"/>
  <c r="AI828" i="16" s="1"/>
  <c r="AJ828" i="16" s="1"/>
  <c r="S786" i="16"/>
  <c r="T786" i="16" s="1"/>
  <c r="AE786" i="16" s="1"/>
  <c r="AF786" i="16" s="1"/>
  <c r="AI786" i="16" s="1"/>
  <c r="AJ786" i="16" s="1"/>
  <c r="S829" i="16"/>
  <c r="T829" i="16" s="1"/>
  <c r="AE829" i="16" s="1"/>
  <c r="AF829" i="16" s="1"/>
  <c r="AI829" i="16" s="1"/>
  <c r="AJ829" i="16" s="1"/>
  <c r="S789" i="16"/>
  <c r="T789" i="16" s="1"/>
  <c r="AE789" i="16" s="1"/>
  <c r="AF789" i="16" s="1"/>
  <c r="AG789" i="16" s="1"/>
  <c r="S744" i="16"/>
  <c r="T744" i="16" s="1"/>
  <c r="AE744" i="16" s="1"/>
  <c r="AF744" i="16" s="1"/>
  <c r="AG744" i="16" s="1"/>
  <c r="S675" i="16"/>
  <c r="T675" i="16" s="1"/>
  <c r="AE675" i="16" s="1"/>
  <c r="AF675" i="16" s="1"/>
  <c r="S244" i="16"/>
  <c r="T244" i="16" s="1"/>
  <c r="AE244" i="16" s="1"/>
  <c r="AF244" i="16" s="1"/>
  <c r="AI244" i="16" s="1"/>
  <c r="AJ244" i="16" s="1"/>
  <c r="S647" i="16"/>
  <c r="T647" i="16" s="1"/>
  <c r="AE647" i="16" s="1"/>
  <c r="AF647" i="16" s="1"/>
  <c r="AG647" i="16" s="1"/>
  <c r="S555" i="16"/>
  <c r="T555" i="16" s="1"/>
  <c r="AE555" i="16" s="1"/>
  <c r="AF555" i="16" s="1"/>
  <c r="S498" i="16"/>
  <c r="T498" i="16" s="1"/>
  <c r="AE498" i="16" s="1"/>
  <c r="AF498" i="16" s="1"/>
  <c r="AI498" i="16" s="1"/>
  <c r="AJ498" i="16" s="1"/>
  <c r="S567" i="16"/>
  <c r="T567" i="16" s="1"/>
  <c r="AE567" i="16" s="1"/>
  <c r="AF567" i="16" s="1"/>
  <c r="S492" i="16"/>
  <c r="T492" i="16" s="1"/>
  <c r="AE492" i="16" s="1"/>
  <c r="AF492" i="16" s="1"/>
  <c r="AI492" i="16" s="1"/>
  <c r="AJ492" i="16" s="1"/>
  <c r="S586" i="16"/>
  <c r="T586" i="16" s="1"/>
  <c r="AE586" i="16" s="1"/>
  <c r="AF586" i="16" s="1"/>
  <c r="S483" i="16"/>
  <c r="T483" i="16" s="1"/>
  <c r="AE483" i="16" s="1"/>
  <c r="AF483" i="16" s="1"/>
  <c r="AI483" i="16" s="1"/>
  <c r="AJ483" i="16" s="1"/>
  <c r="S453" i="16"/>
  <c r="T453" i="16" s="1"/>
  <c r="AE453" i="16" s="1"/>
  <c r="AF453" i="16" s="1"/>
  <c r="S419" i="16"/>
  <c r="T419" i="16" s="1"/>
  <c r="AE419" i="16" s="1"/>
  <c r="AF419" i="16" s="1"/>
  <c r="S397" i="16"/>
  <c r="T397" i="16" s="1"/>
  <c r="AE397" i="16" s="1"/>
  <c r="AF397" i="16" s="1"/>
  <c r="AI397" i="16" s="1"/>
  <c r="AJ397" i="16" s="1"/>
  <c r="S487" i="16"/>
  <c r="T487" i="16" s="1"/>
  <c r="AE487" i="16" s="1"/>
  <c r="AF487" i="16" s="1"/>
  <c r="AG487" i="16" s="1"/>
  <c r="S336" i="16"/>
  <c r="T336" i="16" s="1"/>
  <c r="AE336" i="16" s="1"/>
  <c r="AF336" i="16" s="1"/>
  <c r="AI336" i="16" s="1"/>
  <c r="AJ336" i="16" s="1"/>
  <c r="S279" i="16"/>
  <c r="T279" i="16" s="1"/>
  <c r="AE279" i="16" s="1"/>
  <c r="AF279" i="16" s="1"/>
  <c r="AI279" i="16" s="1"/>
  <c r="AJ279" i="16" s="1"/>
  <c r="S140" i="16"/>
  <c r="T140" i="16" s="1"/>
  <c r="AE140" i="16" s="1"/>
  <c r="AF140" i="16" s="1"/>
  <c r="AG140" i="16" s="1"/>
  <c r="S206" i="16"/>
  <c r="T206" i="16" s="1"/>
  <c r="AE206" i="16" s="1"/>
  <c r="AF206" i="16" s="1"/>
  <c r="S192" i="16"/>
  <c r="T192" i="16" s="1"/>
  <c r="AE192" i="16" s="1"/>
  <c r="AF192" i="16" s="1"/>
  <c r="AG192" i="16" s="1"/>
  <c r="S136" i="16"/>
  <c r="T136" i="16" s="1"/>
  <c r="AE136" i="16" s="1"/>
  <c r="AF136" i="16" s="1"/>
  <c r="AG136" i="16" s="1"/>
  <c r="S642" i="16"/>
  <c r="T642" i="16" s="1"/>
  <c r="AE642" i="16" s="1"/>
  <c r="AF642" i="16" s="1"/>
  <c r="AI642" i="16" s="1"/>
  <c r="S590" i="16"/>
  <c r="T590" i="16" s="1"/>
  <c r="AE590" i="16" s="1"/>
  <c r="AF590" i="16" s="1"/>
  <c r="AI590" i="16" s="1"/>
  <c r="AJ590" i="16" s="1"/>
  <c r="S558" i="16"/>
  <c r="T558" i="16" s="1"/>
  <c r="AE558" i="16" s="1"/>
  <c r="AF558" i="16" s="1"/>
  <c r="S652" i="16"/>
  <c r="T652" i="16" s="1"/>
  <c r="AE652" i="16" s="1"/>
  <c r="AF652" i="16" s="1"/>
  <c r="S240" i="16"/>
  <c r="T240" i="16" s="1"/>
  <c r="AE240" i="16" s="1"/>
  <c r="AF240" i="16" s="1"/>
  <c r="S211" i="16"/>
  <c r="T211" i="16" s="1"/>
  <c r="AE211" i="16" s="1"/>
  <c r="AF211" i="16" s="1"/>
  <c r="S158" i="16"/>
  <c r="T158" i="16" s="1"/>
  <c r="AE158" i="16" s="1"/>
  <c r="AF158" i="16" s="1"/>
  <c r="AI158" i="16" s="1"/>
  <c r="AJ158" i="16" s="1"/>
  <c r="S418" i="16"/>
  <c r="T418" i="16" s="1"/>
  <c r="AE418" i="16" s="1"/>
  <c r="AF418" i="16" s="1"/>
  <c r="AG418" i="16" s="1"/>
  <c r="S275" i="16"/>
  <c r="T275" i="16" s="1"/>
  <c r="AE275" i="16" s="1"/>
  <c r="AF275" i="16" s="1"/>
  <c r="AG275" i="16" s="1"/>
  <c r="S444" i="16"/>
  <c r="T444" i="16" s="1"/>
  <c r="AE444" i="16" s="1"/>
  <c r="AF444" i="16" s="1"/>
  <c r="AI444" i="16" s="1"/>
  <c r="AJ444" i="16" s="1"/>
  <c r="S400" i="16"/>
  <c r="T400" i="16" s="1"/>
  <c r="AE400" i="16" s="1"/>
  <c r="AF400" i="16" s="1"/>
  <c r="AI400" i="16" s="1"/>
  <c r="AJ400" i="16" s="1"/>
  <c r="S344" i="16"/>
  <c r="T344" i="16" s="1"/>
  <c r="AE344" i="16" s="1"/>
  <c r="AF344" i="16" s="1"/>
  <c r="AI344" i="16" s="1"/>
  <c r="AJ344" i="16" s="1"/>
  <c r="S289" i="16"/>
  <c r="T289" i="16" s="1"/>
  <c r="AE289" i="16" s="1"/>
  <c r="AF289" i="16" s="1"/>
  <c r="AG289" i="16" s="1"/>
  <c r="S133" i="16"/>
  <c r="T133" i="16" s="1"/>
  <c r="AE133" i="16" s="1"/>
  <c r="AF133" i="16" s="1"/>
  <c r="S380" i="16"/>
  <c r="T380" i="16" s="1"/>
  <c r="AE380" i="16" s="1"/>
  <c r="AF380" i="16" s="1"/>
  <c r="S272" i="16"/>
  <c r="T272" i="16" s="1"/>
  <c r="AE272" i="16" s="1"/>
  <c r="AF272" i="16" s="1"/>
  <c r="AI272" i="16" s="1"/>
  <c r="AJ272" i="16" s="1"/>
  <c r="S154" i="16"/>
  <c r="T154" i="16" s="1"/>
  <c r="AE154" i="16" s="1"/>
  <c r="AF154" i="16" s="1"/>
  <c r="AG154" i="16" s="1"/>
  <c r="S384" i="16"/>
  <c r="T384" i="16" s="1"/>
  <c r="AE384" i="16" s="1"/>
  <c r="AF384" i="16" s="1"/>
  <c r="AI384" i="16" s="1"/>
  <c r="AJ384" i="16" s="1"/>
  <c r="S257" i="16"/>
  <c r="T257" i="16" s="1"/>
  <c r="AE257" i="16" s="1"/>
  <c r="AF257" i="16" s="1"/>
  <c r="AI257" i="16" s="1"/>
  <c r="AJ257" i="16" s="1"/>
  <c r="S187" i="16"/>
  <c r="T187" i="16" s="1"/>
  <c r="AE187" i="16" s="1"/>
  <c r="AF187" i="16" s="1"/>
  <c r="S414" i="16"/>
  <c r="T414" i="16" s="1"/>
  <c r="AE414" i="16" s="1"/>
  <c r="AF414" i="16" s="1"/>
  <c r="S402" i="16"/>
  <c r="T402" i="16" s="1"/>
  <c r="AE402" i="16" s="1"/>
  <c r="AF402" i="16" s="1"/>
  <c r="AI402" i="16" s="1"/>
  <c r="AJ402" i="16" s="1"/>
  <c r="S693" i="16"/>
  <c r="T693" i="16" s="1"/>
  <c r="AE693" i="16" s="1"/>
  <c r="AF693" i="16" s="1"/>
  <c r="AG693" i="16" s="1"/>
  <c r="S802" i="16"/>
  <c r="T802" i="16" s="1"/>
  <c r="AE802" i="16" s="1"/>
  <c r="AF802" i="16" s="1"/>
  <c r="AI802" i="16" s="1"/>
  <c r="AJ802" i="16" s="1"/>
  <c r="S781" i="16"/>
  <c r="T781" i="16" s="1"/>
  <c r="AE781" i="16" s="1"/>
  <c r="AF781" i="16" s="1"/>
  <c r="AG781" i="16" s="1"/>
  <c r="S783" i="16"/>
  <c r="T783" i="16" s="1"/>
  <c r="AE783" i="16" s="1"/>
  <c r="AF783" i="16" s="1"/>
  <c r="AG783" i="16" s="1"/>
  <c r="S822" i="16"/>
  <c r="T822" i="16" s="1"/>
  <c r="AE822" i="16" s="1"/>
  <c r="AF822" i="16" s="1"/>
  <c r="S734" i="16"/>
  <c r="T734" i="16" s="1"/>
  <c r="AE734" i="16" s="1"/>
  <c r="AF734" i="16" s="1"/>
  <c r="AI734" i="16" s="1"/>
  <c r="AJ734" i="16" s="1"/>
  <c r="S798" i="16"/>
  <c r="T798" i="16" s="1"/>
  <c r="AE798" i="16" s="1"/>
  <c r="AF798" i="16" s="1"/>
  <c r="AI1891" i="16"/>
  <c r="AJ1891" i="16" s="1"/>
  <c r="AG1891" i="16"/>
  <c r="AI1655" i="16"/>
  <c r="AJ1655" i="16" s="1"/>
  <c r="AG1655" i="16"/>
  <c r="AG1513" i="16"/>
  <c r="AI1513" i="16"/>
  <c r="AJ1513" i="16" s="1"/>
  <c r="AI1403" i="16"/>
  <c r="AJ1403" i="16" s="1"/>
  <c r="AG1403" i="16"/>
  <c r="AG1671" i="16"/>
  <c r="AI1671" i="16"/>
  <c r="AJ1671" i="16" s="1"/>
  <c r="AI1335" i="16"/>
  <c r="AJ1335" i="16" s="1"/>
  <c r="AG1335" i="16"/>
  <c r="AG1948" i="16"/>
  <c r="AI1948" i="16"/>
  <c r="AJ1948" i="16" s="1"/>
  <c r="AI2053" i="16"/>
  <c r="AJ2053" i="16" s="1"/>
  <c r="AG2053" i="16"/>
  <c r="AG1716" i="16"/>
  <c r="AI1716" i="16"/>
  <c r="AJ1716" i="16" s="1"/>
  <c r="AI2085" i="16"/>
  <c r="AJ2085" i="16" s="1"/>
  <c r="AG2085" i="16"/>
  <c r="AI2253" i="16"/>
  <c r="AJ2253" i="16" s="1"/>
  <c r="AG2253" i="16"/>
  <c r="AI2208" i="16"/>
  <c r="AJ2208" i="16" s="1"/>
  <c r="AG2208" i="16"/>
  <c r="AI2054" i="16"/>
  <c r="AJ2054" i="16" s="1"/>
  <c r="AG1876" i="16"/>
  <c r="AI1876" i="16"/>
  <c r="AJ1876" i="16" s="1"/>
  <c r="AG2189" i="16"/>
  <c r="AG1990" i="16"/>
  <c r="AG1808" i="16"/>
  <c r="AJ1704" i="16"/>
  <c r="AI1541" i="16"/>
  <c r="AJ1541" i="16" s="1"/>
  <c r="AG1527" i="16"/>
  <c r="AG1561" i="16"/>
  <c r="AG1458" i="16"/>
  <c r="AG1467" i="16"/>
  <c r="AG1313" i="16"/>
  <c r="AG1244" i="16"/>
  <c r="AI2114" i="16"/>
  <c r="AJ2114" i="16" s="1"/>
  <c r="AG1946" i="16"/>
  <c r="AG2245" i="16"/>
  <c r="AI2204" i="16"/>
  <c r="AJ2204" i="16" s="1"/>
  <c r="AG2097" i="16"/>
  <c r="AG1943" i="16"/>
  <c r="AG1939" i="16"/>
  <c r="AG1920" i="16"/>
  <c r="AG1815" i="16"/>
  <c r="AG1788" i="16"/>
  <c r="AI1751" i="16"/>
  <c r="AJ1751" i="16" s="1"/>
  <c r="AG1720" i="16"/>
  <c r="AI1651" i="16"/>
  <c r="AJ1651" i="16" s="1"/>
  <c r="AG1628" i="16"/>
  <c r="AG1704" i="16"/>
  <c r="AI1590" i="16"/>
  <c r="AJ1590" i="16" s="1"/>
  <c r="AG1571" i="16"/>
  <c r="AI1439" i="16"/>
  <c r="AJ1439" i="16" s="1"/>
  <c r="AG1246" i="16"/>
  <c r="K321" i="39"/>
  <c r="K323" i="39"/>
  <c r="K325" i="39"/>
  <c r="K327" i="39"/>
  <c r="K329" i="39"/>
  <c r="AI2034" i="16"/>
  <c r="AJ2034" i="16" s="1"/>
  <c r="AG1875" i="16"/>
  <c r="AI1814" i="16"/>
  <c r="AJ1814" i="16" s="1"/>
  <c r="AG1618" i="16"/>
  <c r="AI1528" i="16"/>
  <c r="AJ1528" i="16" s="1"/>
  <c r="AG1545" i="16"/>
  <c r="AI1414" i="16"/>
  <c r="AJ1414" i="16" s="1"/>
  <c r="AI1399" i="16"/>
  <c r="AJ1399" i="16" s="1"/>
  <c r="AG1399" i="16"/>
  <c r="AI1615" i="16"/>
  <c r="AJ1615" i="16" s="1"/>
  <c r="AG1615" i="16"/>
  <c r="S260" i="16"/>
  <c r="T260" i="16" s="1"/>
  <c r="AE260" i="16" s="1"/>
  <c r="AF260" i="16" s="1"/>
  <c r="AI260" i="16" s="1"/>
  <c r="AJ260" i="16" s="1"/>
  <c r="S696" i="16"/>
  <c r="T696" i="16" s="1"/>
  <c r="AE696" i="16" s="1"/>
  <c r="AF696" i="16" s="1"/>
  <c r="AI696" i="16" s="1"/>
  <c r="AJ696" i="16" s="1"/>
  <c r="S256" i="16"/>
  <c r="T256" i="16" s="1"/>
  <c r="AE256" i="16" s="1"/>
  <c r="AF256" i="16" s="1"/>
  <c r="AI256" i="16" s="1"/>
  <c r="AJ256" i="16" s="1"/>
  <c r="S124" i="16"/>
  <c r="T124" i="16" s="1"/>
  <c r="AE124" i="16" s="1"/>
  <c r="AF124" i="16" s="1"/>
  <c r="AG124" i="16" s="1"/>
  <c r="S252" i="16"/>
  <c r="T252" i="16" s="1"/>
  <c r="AE252" i="16" s="1"/>
  <c r="AF252" i="16" s="1"/>
  <c r="AI252" i="16" s="1"/>
  <c r="AJ252" i="16" s="1"/>
  <c r="S704" i="16"/>
  <c r="T704" i="16" s="1"/>
  <c r="AE704" i="16" s="1"/>
  <c r="AF704" i="16" s="1"/>
  <c r="AI704" i="16" s="1"/>
  <c r="AJ704" i="16" s="1"/>
  <c r="S317" i="16"/>
  <c r="T317" i="16" s="1"/>
  <c r="AE317" i="16" s="1"/>
  <c r="AF317" i="16" s="1"/>
  <c r="AG317" i="16" s="1"/>
  <c r="S655" i="16"/>
  <c r="T655" i="16" s="1"/>
  <c r="AE655" i="16" s="1"/>
  <c r="AF655" i="16" s="1"/>
  <c r="S573" i="16"/>
  <c r="T573" i="16" s="1"/>
  <c r="AE573" i="16" s="1"/>
  <c r="AF573" i="16" s="1"/>
  <c r="AI573" i="16" s="1"/>
  <c r="AJ573" i="16" s="1"/>
  <c r="AF811" i="16"/>
  <c r="AG811" i="16" s="1"/>
  <c r="AF770" i="16"/>
  <c r="AI770" i="16" s="1"/>
  <c r="AJ770" i="16" s="1"/>
  <c r="AF752" i="16"/>
  <c r="AI752" i="16" s="1"/>
  <c r="AJ752" i="16" s="1"/>
  <c r="S728" i="16"/>
  <c r="T728" i="16" s="1"/>
  <c r="AE728" i="16" s="1"/>
  <c r="AF728" i="16" s="1"/>
  <c r="S729" i="16"/>
  <c r="T729" i="16" s="1"/>
  <c r="AE729" i="16" s="1"/>
  <c r="AF729" i="16" s="1"/>
  <c r="AF730" i="16"/>
  <c r="AG730" i="16" s="1"/>
  <c r="AI2107" i="16"/>
  <c r="AJ2107" i="16" s="1"/>
  <c r="AG2107" i="16"/>
  <c r="AI1966" i="16"/>
  <c r="AJ1966" i="16" s="1"/>
  <c r="AG1966" i="16"/>
  <c r="AG1855" i="16"/>
  <c r="AI1855" i="16"/>
  <c r="AJ1855" i="16" s="1"/>
  <c r="AI1816" i="16"/>
  <c r="AJ1816" i="16" s="1"/>
  <c r="AG1816" i="16"/>
  <c r="AG1996" i="16"/>
  <c r="AI1996" i="16"/>
  <c r="AJ1996" i="16" s="1"/>
  <c r="AG1757" i="16"/>
  <c r="AI1757" i="16"/>
  <c r="AJ1757" i="16" s="1"/>
  <c r="AI1906" i="16"/>
  <c r="AJ1906" i="16" s="1"/>
  <c r="AG1906" i="16"/>
  <c r="AG2008" i="16"/>
  <c r="AJ2008" i="16"/>
  <c r="AI1673" i="16"/>
  <c r="AJ1673" i="16" s="1"/>
  <c r="AG1673" i="16"/>
  <c r="AG2094" i="16"/>
  <c r="AI2094" i="16"/>
  <c r="AJ2094" i="16" s="1"/>
  <c r="AI1857" i="16"/>
  <c r="AJ1857" i="16" s="1"/>
  <c r="AG1857" i="16"/>
  <c r="AI1835" i="16"/>
  <c r="AJ1835" i="16" s="1"/>
  <c r="AG1835" i="16"/>
  <c r="AG2194" i="16"/>
  <c r="AI2051" i="16"/>
  <c r="AJ2051" i="16" s="1"/>
  <c r="AG1964" i="16"/>
  <c r="AI1800" i="16"/>
  <c r="AJ1800" i="16" s="1"/>
  <c r="AI1776" i="16"/>
  <c r="AJ1776" i="16" s="1"/>
  <c r="AG1768" i="16"/>
  <c r="AI1579" i="16"/>
  <c r="AJ1579" i="16" s="1"/>
  <c r="AG1317" i="16"/>
  <c r="AG1337" i="16"/>
  <c r="AI2047" i="16"/>
  <c r="AJ2047" i="16" s="1"/>
  <c r="AG2047" i="16"/>
  <c r="AG2023" i="16"/>
  <c r="AI2023" i="16"/>
  <c r="AJ2023" i="16" s="1"/>
  <c r="AI2006" i="16"/>
  <c r="AJ2006" i="16" s="1"/>
  <c r="AG2006" i="16"/>
  <c r="AG2144" i="16"/>
  <c r="AI2144" i="16"/>
  <c r="AJ2144" i="16" s="1"/>
  <c r="AI2145" i="16"/>
  <c r="AJ2145" i="16" s="1"/>
  <c r="AG2145" i="16"/>
  <c r="AG2026" i="16"/>
  <c r="AJ2026" i="16"/>
  <c r="AI1991" i="16"/>
  <c r="AJ1991" i="16" s="1"/>
  <c r="AG1991" i="16"/>
  <c r="AG1792" i="16"/>
  <c r="AI1792" i="16"/>
  <c r="AJ1792" i="16" s="1"/>
  <c r="AI1504" i="16"/>
  <c r="AJ1504" i="16" s="1"/>
  <c r="AG1504" i="16"/>
  <c r="AI1418" i="16"/>
  <c r="AJ1418" i="16" s="1"/>
  <c r="AG1418" i="16"/>
  <c r="AI1369" i="16"/>
  <c r="AJ1369" i="16" s="1"/>
  <c r="AG1369" i="16"/>
  <c r="AI1326" i="16"/>
  <c r="AJ1326" i="16" s="1"/>
  <c r="AG1326" i="16"/>
  <c r="S357" i="16"/>
  <c r="T357" i="16" s="1"/>
  <c r="AE357" i="16" s="1"/>
  <c r="AF357" i="16" s="1"/>
  <c r="AI2061" i="16"/>
  <c r="AJ2061" i="16" s="1"/>
  <c r="AG2061" i="16"/>
  <c r="AG1981" i="16"/>
  <c r="AI1981" i="16"/>
  <c r="AJ1981" i="16" s="1"/>
  <c r="AI1867" i="16"/>
  <c r="AJ1867" i="16" s="1"/>
  <c r="AG1867" i="16"/>
  <c r="AI1744" i="16"/>
  <c r="AJ1744" i="16" s="1"/>
  <c r="AG1744" i="16"/>
  <c r="AI1833" i="16"/>
  <c r="AJ1833" i="16" s="1"/>
  <c r="AG1833" i="16"/>
  <c r="AG1795" i="16"/>
  <c r="AI1795" i="16"/>
  <c r="AJ1795" i="16" s="1"/>
  <c r="AI1647" i="16"/>
  <c r="AJ1647" i="16" s="1"/>
  <c r="AG1647" i="16"/>
  <c r="AI1330" i="16"/>
  <c r="AJ1330" i="16" s="1"/>
  <c r="AG1330" i="16"/>
  <c r="AI1801" i="16"/>
  <c r="AJ1801" i="16" s="1"/>
  <c r="AG1801" i="16"/>
  <c r="AG1413" i="16"/>
  <c r="AI1413" i="16"/>
  <c r="AJ1413" i="16" s="1"/>
  <c r="AG2146" i="16"/>
  <c r="AI1988" i="16"/>
  <c r="AJ1988" i="16" s="1"/>
  <c r="AG1988" i="16"/>
  <c r="AI2035" i="16"/>
  <c r="AJ2035" i="16" s="1"/>
  <c r="AG2035" i="16"/>
  <c r="AI1340" i="16"/>
  <c r="AJ1340" i="16" s="1"/>
  <c r="AG1340" i="16"/>
  <c r="AG2221" i="16"/>
  <c r="AI2221" i="16"/>
  <c r="AJ2221" i="16" s="1"/>
  <c r="AG2048" i="16"/>
  <c r="AI2048" i="16"/>
  <c r="AJ2048" i="16" s="1"/>
  <c r="AI1612" i="16"/>
  <c r="AJ1612" i="16" s="1"/>
  <c r="AG1612" i="16"/>
  <c r="AI1591" i="16"/>
  <c r="AJ1591" i="16" s="1"/>
  <c r="AG1591" i="16"/>
  <c r="AI1547" i="16"/>
  <c r="AJ1547" i="16" s="1"/>
  <c r="AG1547" i="16"/>
  <c r="AG1401" i="16"/>
  <c r="AI1401" i="16"/>
  <c r="AJ1401" i="16" s="1"/>
  <c r="AI1804" i="16"/>
  <c r="AJ1804" i="16" s="1"/>
  <c r="AG1804" i="16"/>
  <c r="AI1733" i="16"/>
  <c r="AJ1733" i="16" s="1"/>
  <c r="AG1733" i="16"/>
  <c r="AG1993" i="16"/>
  <c r="AG1877" i="16"/>
  <c r="S578" i="16"/>
  <c r="T578" i="16" s="1"/>
  <c r="AE578" i="16" s="1"/>
  <c r="AF578" i="16" s="1"/>
  <c r="S174" i="16"/>
  <c r="T174" i="16" s="1"/>
  <c r="AE174" i="16" s="1"/>
  <c r="AF174" i="16" s="1"/>
  <c r="AI174" i="16" s="1"/>
  <c r="AJ174" i="16" s="1"/>
  <c r="S200" i="16"/>
  <c r="T200" i="16" s="1"/>
  <c r="AE200" i="16" s="1"/>
  <c r="AF200" i="16" s="1"/>
  <c r="S376" i="16"/>
  <c r="T376" i="16" s="1"/>
  <c r="AE376" i="16" s="1"/>
  <c r="AF376" i="16" s="1"/>
  <c r="AG376" i="16" s="1"/>
  <c r="S383" i="16"/>
  <c r="T383" i="16" s="1"/>
  <c r="AE383" i="16" s="1"/>
  <c r="AF383" i="16" s="1"/>
  <c r="S215" i="16"/>
  <c r="T215" i="16" s="1"/>
  <c r="AE215" i="16" s="1"/>
  <c r="AF215" i="16" s="1"/>
  <c r="S239" i="16"/>
  <c r="T239" i="16" s="1"/>
  <c r="AE239" i="16" s="1"/>
  <c r="AF239" i="16" s="1"/>
  <c r="AI239" i="16" s="1"/>
  <c r="AJ239" i="16" s="1"/>
  <c r="S443" i="16"/>
  <c r="T443" i="16" s="1"/>
  <c r="AE443" i="16" s="1"/>
  <c r="AF443" i="16" s="1"/>
  <c r="AI443" i="16" s="1"/>
  <c r="AJ443" i="16" s="1"/>
  <c r="S325" i="16"/>
  <c r="T325" i="16" s="1"/>
  <c r="AE325" i="16" s="1"/>
  <c r="AF325" i="16" s="1"/>
  <c r="AI325" i="16" s="1"/>
  <c r="AJ325" i="16" s="1"/>
  <c r="S280" i="16"/>
  <c r="T280" i="16" s="1"/>
  <c r="AE280" i="16" s="1"/>
  <c r="AF280" i="16" s="1"/>
  <c r="AI280" i="16" s="1"/>
  <c r="AJ280" i="16" s="1"/>
  <c r="S250" i="16"/>
  <c r="T250" i="16" s="1"/>
  <c r="AE250" i="16" s="1"/>
  <c r="AF250" i="16" s="1"/>
  <c r="S162" i="16"/>
  <c r="T162" i="16" s="1"/>
  <c r="AE162" i="16" s="1"/>
  <c r="AF162" i="16" s="1"/>
  <c r="S198" i="16"/>
  <c r="T198" i="16" s="1"/>
  <c r="AE198" i="16" s="1"/>
  <c r="AF198" i="16" s="1"/>
  <c r="S132" i="16"/>
  <c r="T132" i="16" s="1"/>
  <c r="AE132" i="16" s="1"/>
  <c r="AF132" i="16" s="1"/>
  <c r="S366" i="16"/>
  <c r="T366" i="16" s="1"/>
  <c r="AE366" i="16" s="1"/>
  <c r="AF366" i="16" s="1"/>
  <c r="S370" i="16"/>
  <c r="T370" i="16" s="1"/>
  <c r="AE370" i="16" s="1"/>
  <c r="AF370" i="16" s="1"/>
  <c r="AG370" i="16" s="1"/>
  <c r="S338" i="16"/>
  <c r="T338" i="16" s="1"/>
  <c r="AE338" i="16" s="1"/>
  <c r="AF338" i="16" s="1"/>
  <c r="AI338" i="16" s="1"/>
  <c r="AJ338" i="16" s="1"/>
  <c r="S702" i="16"/>
  <c r="T702" i="16" s="1"/>
  <c r="AE702" i="16" s="1"/>
  <c r="AF702" i="16" s="1"/>
  <c r="AI702" i="16" s="1"/>
  <c r="AJ702" i="16" s="1"/>
  <c r="AI2065" i="16"/>
  <c r="AJ2065" i="16" s="1"/>
  <c r="AI1951" i="16"/>
  <c r="AJ1951" i="16" s="1"/>
  <c r="AG1951" i="16"/>
  <c r="AI1721" i="16"/>
  <c r="AJ1721" i="16" s="1"/>
  <c r="AG1721" i="16"/>
  <c r="AG1708" i="16"/>
  <c r="AI1708" i="16"/>
  <c r="AJ1708" i="16" s="1"/>
  <c r="AI1620" i="16"/>
  <c r="AJ1620" i="16" s="1"/>
  <c r="AG1620" i="16"/>
  <c r="AI1709" i="16"/>
  <c r="AJ1709" i="16" s="1"/>
  <c r="AG1709" i="16"/>
  <c r="AI1635" i="16"/>
  <c r="AJ1635" i="16" s="1"/>
  <c r="AG1635" i="16"/>
  <c r="AG1529" i="16"/>
  <c r="AI1529" i="16"/>
  <c r="AJ1529" i="16" s="1"/>
  <c r="AG1512" i="16"/>
  <c r="AI1512" i="16"/>
  <c r="AJ1512" i="16" s="1"/>
  <c r="S309" i="16"/>
  <c r="T309" i="16" s="1"/>
  <c r="AE309" i="16" s="1"/>
  <c r="AF309" i="16" s="1"/>
  <c r="AG309" i="16" s="1"/>
  <c r="S266" i="16"/>
  <c r="T266" i="16" s="1"/>
  <c r="AE266" i="16" s="1"/>
  <c r="AF266" i="16" s="1"/>
  <c r="AG266" i="16" s="1"/>
  <c r="S301" i="16"/>
  <c r="T301" i="16" s="1"/>
  <c r="AE301" i="16" s="1"/>
  <c r="AF301" i="16" s="1"/>
  <c r="S143" i="16"/>
  <c r="T143" i="16" s="1"/>
  <c r="AE143" i="16" s="1"/>
  <c r="AF143" i="16" s="1"/>
  <c r="AI143" i="16" s="1"/>
  <c r="AJ143" i="16" s="1"/>
  <c r="S550" i="16"/>
  <c r="T550" i="16" s="1"/>
  <c r="AE550" i="16" s="1"/>
  <c r="AF550" i="16" s="1"/>
  <c r="S161" i="16"/>
  <c r="T161" i="16" s="1"/>
  <c r="AE161" i="16" s="1"/>
  <c r="AF161" i="16" s="1"/>
  <c r="S131" i="16"/>
  <c r="T131" i="16" s="1"/>
  <c r="AE131" i="16" s="1"/>
  <c r="AF131" i="16" s="1"/>
  <c r="S441" i="16"/>
  <c r="T441" i="16" s="1"/>
  <c r="AE441" i="16" s="1"/>
  <c r="AF441" i="16" s="1"/>
  <c r="AI441" i="16" s="1"/>
  <c r="AJ441" i="16" s="1"/>
  <c r="S185" i="16"/>
  <c r="T185" i="16" s="1"/>
  <c r="AE185" i="16" s="1"/>
  <c r="AF185" i="16" s="1"/>
  <c r="S718" i="16"/>
  <c r="T718" i="16" s="1"/>
  <c r="AE718" i="16" s="1"/>
  <c r="AF718" i="16" s="1"/>
  <c r="AI718" i="16" s="1"/>
  <c r="AJ718" i="16" s="1"/>
  <c r="S606" i="16"/>
  <c r="T606" i="16" s="1"/>
  <c r="AE606" i="16" s="1"/>
  <c r="AF606" i="16" s="1"/>
  <c r="AI606" i="16" s="1"/>
  <c r="AJ606" i="16" s="1"/>
  <c r="AI2243" i="16"/>
  <c r="AJ2243" i="16" s="1"/>
  <c r="AI2215" i="16"/>
  <c r="AJ2215" i="16" s="1"/>
  <c r="AG2196" i="16"/>
  <c r="AI2151" i="16"/>
  <c r="AJ2151" i="16" s="1"/>
  <c r="AI2083" i="16"/>
  <c r="AJ2083" i="16" s="1"/>
  <c r="AG2082" i="16"/>
  <c r="AG2054" i="16"/>
  <c r="AG1898" i="16"/>
  <c r="AG1922" i="16"/>
  <c r="AG1748" i="16"/>
  <c r="AI1722" i="16"/>
  <c r="AJ1722" i="16" s="1"/>
  <c r="AG1707" i="16"/>
  <c r="AG1456" i="16"/>
  <c r="S623" i="16"/>
  <c r="T623" i="16" s="1"/>
  <c r="AE623" i="16" s="1"/>
  <c r="AF623" i="16" s="1"/>
  <c r="AI623" i="16" s="1"/>
  <c r="AJ623" i="16" s="1"/>
  <c r="S631" i="16"/>
  <c r="T631" i="16" s="1"/>
  <c r="AE631" i="16" s="1"/>
  <c r="AF631" i="16" s="1"/>
  <c r="S491" i="16"/>
  <c r="T491" i="16" s="1"/>
  <c r="AE491" i="16" s="1"/>
  <c r="AF491" i="16" s="1"/>
  <c r="S557" i="16"/>
  <c r="T557" i="16" s="1"/>
  <c r="AE557" i="16" s="1"/>
  <c r="AF557" i="16" s="1"/>
  <c r="AI557" i="16" s="1"/>
  <c r="AJ557" i="16" s="1"/>
  <c r="S405" i="16"/>
  <c r="T405" i="16" s="1"/>
  <c r="AE405" i="16" s="1"/>
  <c r="AF405" i="16" s="1"/>
  <c r="AG405" i="16" s="1"/>
  <c r="S270" i="16"/>
  <c r="T270" i="16" s="1"/>
  <c r="AE270" i="16" s="1"/>
  <c r="AF270" i="16" s="1"/>
  <c r="S204" i="16"/>
  <c r="T204" i="16" s="1"/>
  <c r="AE204" i="16" s="1"/>
  <c r="AF204" i="16" s="1"/>
  <c r="AI204" i="16" s="1"/>
  <c r="AJ204" i="16" s="1"/>
  <c r="S455" i="16"/>
  <c r="T455" i="16" s="1"/>
  <c r="AE455" i="16" s="1"/>
  <c r="AF455" i="16" s="1"/>
  <c r="AI455" i="16" s="1"/>
  <c r="AJ455" i="16" s="1"/>
  <c r="S353" i="16"/>
  <c r="T353" i="16" s="1"/>
  <c r="AE353" i="16" s="1"/>
  <c r="AF353" i="16" s="1"/>
  <c r="AI353" i="16" s="1"/>
  <c r="AJ353" i="16" s="1"/>
  <c r="S324" i="16"/>
  <c r="T324" i="16" s="1"/>
  <c r="AE324" i="16" s="1"/>
  <c r="AF324" i="16" s="1"/>
  <c r="AI324" i="16" s="1"/>
  <c r="AJ324" i="16" s="1"/>
  <c r="S170" i="16"/>
  <c r="T170" i="16" s="1"/>
  <c r="AE170" i="16" s="1"/>
  <c r="AF170" i="16" s="1"/>
  <c r="AG170" i="16" s="1"/>
  <c r="S166" i="16"/>
  <c r="T166" i="16" s="1"/>
  <c r="AE166" i="16" s="1"/>
  <c r="AF166" i="16" s="1"/>
  <c r="S615" i="16"/>
  <c r="T615" i="16" s="1"/>
  <c r="AE615" i="16" s="1"/>
  <c r="AF615" i="16" s="1"/>
  <c r="AI615" i="16" s="1"/>
  <c r="AJ615" i="16" s="1"/>
  <c r="S219" i="16"/>
  <c r="T219" i="16" s="1"/>
  <c r="AE219" i="16" s="1"/>
  <c r="AF219" i="16" s="1"/>
  <c r="AG219" i="16" s="1"/>
  <c r="S299" i="16"/>
  <c r="T299" i="16" s="1"/>
  <c r="AE299" i="16" s="1"/>
  <c r="AF299" i="16" s="1"/>
  <c r="S663" i="16"/>
  <c r="T663" i="16" s="1"/>
  <c r="AE663" i="16" s="1"/>
  <c r="AF663" i="16" s="1"/>
  <c r="AI663" i="16" s="1"/>
  <c r="AJ663" i="16" s="1"/>
  <c r="S593" i="16"/>
  <c r="T593" i="16" s="1"/>
  <c r="AE593" i="16" s="1"/>
  <c r="AF593" i="16" s="1"/>
  <c r="S294" i="16"/>
  <c r="T294" i="16" s="1"/>
  <c r="AE294" i="16" s="1"/>
  <c r="AF294" i="16" s="1"/>
  <c r="AG294" i="16" s="1"/>
  <c r="S437" i="16"/>
  <c r="T437" i="16" s="1"/>
  <c r="AE437" i="16" s="1"/>
  <c r="AF437" i="16" s="1"/>
  <c r="S231" i="16"/>
  <c r="T231" i="16" s="1"/>
  <c r="AE231" i="16" s="1"/>
  <c r="AF231" i="16" s="1"/>
  <c r="AI231" i="16" s="1"/>
  <c r="AJ231" i="16" s="1"/>
  <c r="S641" i="16"/>
  <c r="T641" i="16" s="1"/>
  <c r="AE641" i="16" s="1"/>
  <c r="AF641" i="16" s="1"/>
  <c r="S423" i="16"/>
  <c r="T423" i="16" s="1"/>
  <c r="AE423" i="16" s="1"/>
  <c r="AF423" i="16" s="1"/>
  <c r="S477" i="16"/>
  <c r="T477" i="16" s="1"/>
  <c r="AE477" i="16" s="1"/>
  <c r="AF477" i="16" s="1"/>
  <c r="AI477" i="16" s="1"/>
  <c r="AJ477" i="16" s="1"/>
  <c r="S157" i="16"/>
  <c r="T157" i="16" s="1"/>
  <c r="AE157" i="16" s="1"/>
  <c r="AF157" i="16" s="1"/>
  <c r="S684" i="16"/>
  <c r="T684" i="16" s="1"/>
  <c r="AE684" i="16" s="1"/>
  <c r="AF684" i="16" s="1"/>
  <c r="AI684" i="16" s="1"/>
  <c r="AJ684" i="16" s="1"/>
  <c r="S710" i="16"/>
  <c r="T710" i="16" s="1"/>
  <c r="AE710" i="16" s="1"/>
  <c r="AF710" i="16" s="1"/>
  <c r="S579" i="16"/>
  <c r="T579" i="16" s="1"/>
  <c r="AE579" i="16" s="1"/>
  <c r="AF579" i="16" s="1"/>
  <c r="AI579" i="16" s="1"/>
  <c r="AJ579" i="16" s="1"/>
  <c r="S433" i="16"/>
  <c r="T433" i="16" s="1"/>
  <c r="AE433" i="16" s="1"/>
  <c r="AF433" i="16" s="1"/>
  <c r="AI433" i="16" s="1"/>
  <c r="AJ433" i="16" s="1"/>
  <c r="S645" i="16"/>
  <c r="T645" i="16" s="1"/>
  <c r="AE645" i="16" s="1"/>
  <c r="AF645" i="16" s="1"/>
  <c r="AI645" i="16" s="1"/>
  <c r="AJ645" i="16" s="1"/>
  <c r="S488" i="16"/>
  <c r="T488" i="16" s="1"/>
  <c r="AE488" i="16" s="1"/>
  <c r="AF488" i="16" s="1"/>
  <c r="AI488" i="16" s="1"/>
  <c r="AJ488" i="16" s="1"/>
  <c r="S407" i="16"/>
  <c r="T407" i="16" s="1"/>
  <c r="AE407" i="16" s="1"/>
  <c r="AF407" i="16" s="1"/>
  <c r="S148" i="16"/>
  <c r="T148" i="16" s="1"/>
  <c r="AE148" i="16" s="1"/>
  <c r="AF148" i="16" s="1"/>
  <c r="S664" i="16"/>
  <c r="T664" i="16" s="1"/>
  <c r="AE664" i="16" s="1"/>
  <c r="AF664" i="16" s="1"/>
  <c r="S569" i="16"/>
  <c r="T569" i="16" s="1"/>
  <c r="AE569" i="16" s="1"/>
  <c r="AF569" i="16" s="1"/>
  <c r="AG569" i="16" s="1"/>
  <c r="S213" i="16"/>
  <c r="T213" i="16" s="1"/>
  <c r="AE213" i="16" s="1"/>
  <c r="AF213" i="16" s="1"/>
  <c r="AF722" i="16"/>
  <c r="AI722" i="16" s="1"/>
  <c r="AJ722" i="16" s="1"/>
  <c r="AJ1980" i="16"/>
  <c r="AI2090" i="16"/>
  <c r="AJ2090" i="16" s="1"/>
  <c r="AI1701" i="16"/>
  <c r="AJ1701" i="16" s="1"/>
  <c r="S717" i="16"/>
  <c r="T717" i="16" s="1"/>
  <c r="AE717" i="16" s="1"/>
  <c r="AF717" i="16" s="1"/>
  <c r="AG717" i="16" s="1"/>
  <c r="S589" i="16"/>
  <c r="T589" i="16" s="1"/>
  <c r="AE589" i="16" s="1"/>
  <c r="AF589" i="16" s="1"/>
  <c r="AI589" i="16" s="1"/>
  <c r="AJ589" i="16" s="1"/>
  <c r="S611" i="16"/>
  <c r="T611" i="16" s="1"/>
  <c r="AE611" i="16" s="1"/>
  <c r="AF611" i="16" s="1"/>
  <c r="AG611" i="16" s="1"/>
  <c r="S412" i="16"/>
  <c r="T412" i="16" s="1"/>
  <c r="AE412" i="16" s="1"/>
  <c r="AF412" i="16" s="1"/>
  <c r="AI412" i="16" s="1"/>
  <c r="AJ412" i="16" s="1"/>
  <c r="S369" i="16"/>
  <c r="T369" i="16" s="1"/>
  <c r="AE369" i="16" s="1"/>
  <c r="AF369" i="16" s="1"/>
  <c r="AI369" i="16" s="1"/>
  <c r="AJ369" i="16" s="1"/>
  <c r="S662" i="16"/>
  <c r="T662" i="16" s="1"/>
  <c r="AE662" i="16" s="1"/>
  <c r="AF662" i="16" s="1"/>
  <c r="AI662" i="16" s="1"/>
  <c r="AJ662" i="16" s="1"/>
  <c r="S497" i="16"/>
  <c r="T497" i="16" s="1"/>
  <c r="AE497" i="16" s="1"/>
  <c r="AF497" i="16" s="1"/>
  <c r="AG497" i="16" s="1"/>
  <c r="S426" i="16"/>
  <c r="T426" i="16" s="1"/>
  <c r="AE426" i="16" s="1"/>
  <c r="AF426" i="16" s="1"/>
  <c r="AG426" i="16" s="1"/>
  <c r="S474" i="16"/>
  <c r="T474" i="16" s="1"/>
  <c r="AE474" i="16" s="1"/>
  <c r="AF474" i="16" s="1"/>
  <c r="AG474" i="16" s="1"/>
  <c r="S446" i="16"/>
  <c r="T446" i="16" s="1"/>
  <c r="AE446" i="16" s="1"/>
  <c r="AF446" i="16" s="1"/>
  <c r="S328" i="16"/>
  <c r="T328" i="16" s="1"/>
  <c r="AE328" i="16" s="1"/>
  <c r="AF328" i="16" s="1"/>
  <c r="AI328" i="16" s="1"/>
  <c r="AJ328" i="16" s="1"/>
  <c r="S284" i="16"/>
  <c r="T284" i="16" s="1"/>
  <c r="AE284" i="16" s="1"/>
  <c r="AF284" i="16" s="1"/>
  <c r="S139" i="16"/>
  <c r="T139" i="16" s="1"/>
  <c r="AE139" i="16" s="1"/>
  <c r="AF139" i="16" s="1"/>
  <c r="AG139" i="16" s="1"/>
  <c r="S649" i="16"/>
  <c r="T649" i="16" s="1"/>
  <c r="AE649" i="16" s="1"/>
  <c r="AF649" i="16" s="1"/>
  <c r="S500" i="16"/>
  <c r="T500" i="16" s="1"/>
  <c r="AE500" i="16" s="1"/>
  <c r="AF500" i="16" s="1"/>
  <c r="AI500" i="16" s="1"/>
  <c r="AJ500" i="16" s="1"/>
  <c r="S679" i="16"/>
  <c r="T679" i="16" s="1"/>
  <c r="AE679" i="16" s="1"/>
  <c r="AF679" i="16" s="1"/>
  <c r="S372" i="16"/>
  <c r="T372" i="16" s="1"/>
  <c r="AE372" i="16" s="1"/>
  <c r="AF372" i="16" s="1"/>
  <c r="S451" i="16"/>
  <c r="T451" i="16" s="1"/>
  <c r="AE451" i="16" s="1"/>
  <c r="AF451" i="16" s="1"/>
  <c r="AI451" i="16" s="1"/>
  <c r="AJ451" i="16" s="1"/>
  <c r="S293" i="16"/>
  <c r="T293" i="16" s="1"/>
  <c r="AE293" i="16" s="1"/>
  <c r="AF293" i="16" s="1"/>
  <c r="AI293" i="16" s="1"/>
  <c r="AJ293" i="16" s="1"/>
  <c r="S521" i="16"/>
  <c r="T521" i="16" s="1"/>
  <c r="AE521" i="16" s="1"/>
  <c r="AF521" i="16" s="1"/>
  <c r="S379" i="16"/>
  <c r="T379" i="16" s="1"/>
  <c r="AE379" i="16" s="1"/>
  <c r="AF379" i="16" s="1"/>
  <c r="AI379" i="16" s="1"/>
  <c r="AJ379" i="16" s="1"/>
  <c r="S199" i="16"/>
  <c r="T199" i="16" s="1"/>
  <c r="AE199" i="16" s="1"/>
  <c r="AF199" i="16" s="1"/>
  <c r="AI199" i="16" s="1"/>
  <c r="AJ199" i="16" s="1"/>
  <c r="S243" i="16"/>
  <c r="T243" i="16" s="1"/>
  <c r="AE243" i="16" s="1"/>
  <c r="AF243" i="16" s="1"/>
  <c r="AG243" i="16" s="1"/>
  <c r="S312" i="16"/>
  <c r="T312" i="16" s="1"/>
  <c r="AE312" i="16" s="1"/>
  <c r="AF312" i="16" s="1"/>
  <c r="S660" i="16"/>
  <c r="T660" i="16" s="1"/>
  <c r="AE660" i="16" s="1"/>
  <c r="AF660" i="16" s="1"/>
  <c r="S689" i="16"/>
  <c r="T689" i="16" s="1"/>
  <c r="AE689" i="16" s="1"/>
  <c r="AF689" i="16" s="1"/>
  <c r="AI689" i="16" s="1"/>
  <c r="AJ689" i="16" s="1"/>
  <c r="S694" i="16"/>
  <c r="T694" i="16" s="1"/>
  <c r="AE694" i="16" s="1"/>
  <c r="AF694" i="16" s="1"/>
  <c r="AI694" i="16" s="1"/>
  <c r="AJ694" i="16" s="1"/>
  <c r="S708" i="16"/>
  <c r="T708" i="16" s="1"/>
  <c r="AE708" i="16" s="1"/>
  <c r="AF708" i="16" s="1"/>
  <c r="K320" i="39"/>
  <c r="K322" i="39"/>
  <c r="K324" i="39"/>
  <c r="K326" i="39"/>
  <c r="K328" i="39"/>
  <c r="K13" i="5"/>
  <c r="K20" i="5"/>
  <c r="AG1803" i="16"/>
  <c r="AI1803" i="16"/>
  <c r="AJ1803" i="16" s="1"/>
  <c r="AI1521" i="16"/>
  <c r="AJ1521" i="16" s="1"/>
  <c r="AG1521" i="16"/>
  <c r="AG1607" i="16"/>
  <c r="AI1607" i="16"/>
  <c r="AJ1607" i="16" s="1"/>
  <c r="AI1787" i="16"/>
  <c r="AJ1787" i="16" s="1"/>
  <c r="AG1787" i="16"/>
  <c r="AG2113" i="16"/>
  <c r="AG2073" i="16"/>
  <c r="AI2056" i="16"/>
  <c r="AJ2056" i="16" s="1"/>
  <c r="AG1997" i="16"/>
  <c r="AI1944" i="16"/>
  <c r="AJ1944" i="16" s="1"/>
  <c r="AG1938" i="16"/>
  <c r="AI1851" i="16"/>
  <c r="AJ1851" i="16" s="1"/>
  <c r="AI1872" i="16"/>
  <c r="AJ1872" i="16" s="1"/>
  <c r="AI1864" i="16"/>
  <c r="AJ1864" i="16" s="1"/>
  <c r="AG1873" i="16"/>
  <c r="AG1848" i="16"/>
  <c r="AG1793" i="16"/>
  <c r="AG1809" i="16"/>
  <c r="AI1745" i="16"/>
  <c r="AJ1745" i="16" s="1"/>
  <c r="AG1587" i="16"/>
  <c r="AJ1561" i="16"/>
  <c r="AG1511" i="16"/>
  <c r="AG1463" i="16"/>
  <c r="AG1427" i="16"/>
  <c r="AJ1425" i="16"/>
  <c r="AG1505" i="16"/>
  <c r="AI1370" i="16"/>
  <c r="AJ1370" i="16" s="1"/>
  <c r="AI1350" i="16"/>
  <c r="AJ1350" i="16" s="1"/>
  <c r="AI1341" i="16"/>
  <c r="AJ1341" i="16" s="1"/>
  <c r="AG1347" i="16"/>
  <c r="AI1314" i="16"/>
  <c r="AJ1314" i="16" s="1"/>
  <c r="AI987" i="16"/>
  <c r="AJ987" i="16" s="1"/>
  <c r="AI1333" i="16"/>
  <c r="AJ1333" i="16" s="1"/>
  <c r="AG849" i="16"/>
  <c r="AG1078" i="16"/>
  <c r="S646" i="16"/>
  <c r="T646" i="16" s="1"/>
  <c r="AE646" i="16" s="1"/>
  <c r="AF646" i="16" s="1"/>
  <c r="AG646" i="16" s="1"/>
  <c r="S616" i="16"/>
  <c r="T616" i="16" s="1"/>
  <c r="AE616" i="16" s="1"/>
  <c r="AF616" i="16" s="1"/>
  <c r="AI616" i="16" s="1"/>
  <c r="AJ616" i="16" s="1"/>
  <c r="S530" i="16"/>
  <c r="T530" i="16" s="1"/>
  <c r="AE530" i="16" s="1"/>
  <c r="AF530" i="16" s="1"/>
  <c r="S588" i="16"/>
  <c r="T588" i="16" s="1"/>
  <c r="AE588" i="16" s="1"/>
  <c r="AF588" i="16" s="1"/>
  <c r="AI588" i="16" s="1"/>
  <c r="AJ588" i="16" s="1"/>
  <c r="S333" i="16"/>
  <c r="T333" i="16" s="1"/>
  <c r="AE333" i="16" s="1"/>
  <c r="AF333" i="16" s="1"/>
  <c r="S415" i="16"/>
  <c r="T415" i="16" s="1"/>
  <c r="AE415" i="16" s="1"/>
  <c r="AF415" i="16" s="1"/>
  <c r="S345" i="16"/>
  <c r="T345" i="16" s="1"/>
  <c r="AE345" i="16" s="1"/>
  <c r="AF345" i="16" s="1"/>
  <c r="AI345" i="16" s="1"/>
  <c r="AJ345" i="16" s="1"/>
  <c r="S329" i="16"/>
  <c r="T329" i="16" s="1"/>
  <c r="AE329" i="16" s="1"/>
  <c r="AF329" i="16" s="1"/>
  <c r="S246" i="16"/>
  <c r="T246" i="16" s="1"/>
  <c r="AE246" i="16" s="1"/>
  <c r="AF246" i="16" s="1"/>
  <c r="S238" i="16"/>
  <c r="T238" i="16" s="1"/>
  <c r="AE238" i="16" s="1"/>
  <c r="AF238" i="16" s="1"/>
  <c r="AI238" i="16" s="1"/>
  <c r="AJ238" i="16" s="1"/>
  <c r="S129" i="16"/>
  <c r="T129" i="16" s="1"/>
  <c r="AE129" i="16" s="1"/>
  <c r="AF129" i="16" s="1"/>
  <c r="AG129" i="16" s="1"/>
  <c r="S650" i="16"/>
  <c r="T650" i="16" s="1"/>
  <c r="AE650" i="16" s="1"/>
  <c r="AF650" i="16" s="1"/>
  <c r="AI650" i="16" s="1"/>
  <c r="AJ650" i="16" s="1"/>
  <c r="S501" i="16"/>
  <c r="T501" i="16" s="1"/>
  <c r="AE501" i="16" s="1"/>
  <c r="AF501" i="16" s="1"/>
  <c r="S163" i="16"/>
  <c r="T163" i="16" s="1"/>
  <c r="AE163" i="16" s="1"/>
  <c r="AF163" i="16" s="1"/>
  <c r="AI163" i="16" s="1"/>
  <c r="AJ163" i="16" s="1"/>
  <c r="S278" i="16"/>
  <c r="T278" i="16" s="1"/>
  <c r="AE278" i="16" s="1"/>
  <c r="AF278" i="16" s="1"/>
  <c r="S665" i="16"/>
  <c r="T665" i="16" s="1"/>
  <c r="AE665" i="16" s="1"/>
  <c r="AF665" i="16" s="1"/>
  <c r="S658" i="16"/>
  <c r="T658" i="16" s="1"/>
  <c r="AE658" i="16" s="1"/>
  <c r="AF658" i="16" s="1"/>
  <c r="AI658" i="16" s="1"/>
  <c r="AJ658" i="16" s="1"/>
  <c r="S612" i="16"/>
  <c r="T612" i="16" s="1"/>
  <c r="AE612" i="16" s="1"/>
  <c r="AF612" i="16" s="1"/>
  <c r="AG612" i="16" s="1"/>
  <c r="S709" i="16"/>
  <c r="T709" i="16" s="1"/>
  <c r="AE709" i="16" s="1"/>
  <c r="AF709" i="16" s="1"/>
  <c r="AI709" i="16" s="1"/>
  <c r="AJ709" i="16" s="1"/>
  <c r="AI2133" i="16"/>
  <c r="AJ2133" i="16" s="1"/>
  <c r="AG2030" i="16"/>
  <c r="AG2068" i="16"/>
  <c r="AG1840" i="16"/>
  <c r="AI1793" i="16"/>
  <c r="AJ1793" i="16" s="1"/>
  <c r="AG1737" i="16"/>
  <c r="AG1732" i="16"/>
  <c r="AI1663" i="16"/>
  <c r="AJ1663" i="16" s="1"/>
  <c r="AG1668" i="16"/>
  <c r="AG1684" i="16"/>
  <c r="AG1692" i="16"/>
  <c r="AI1587" i="16"/>
  <c r="AJ1587" i="16" s="1"/>
  <c r="AI1520" i="16"/>
  <c r="AJ1520" i="16" s="1"/>
  <c r="AG1471" i="16"/>
  <c r="AG1442" i="16"/>
  <c r="AJ1427" i="16"/>
  <c r="AG1425" i="16"/>
  <c r="AI1505" i="16"/>
  <c r="AJ1505" i="16" s="1"/>
  <c r="AI1435" i="16"/>
  <c r="AJ1435" i="16" s="1"/>
  <c r="AI1347" i="16"/>
  <c r="AJ1347" i="16" s="1"/>
  <c r="AI849" i="16"/>
  <c r="AJ849" i="16" s="1"/>
  <c r="S691" i="16"/>
  <c r="T691" i="16" s="1"/>
  <c r="AE691" i="16" s="1"/>
  <c r="AF691" i="16" s="1"/>
  <c r="AG691" i="16" s="1"/>
  <c r="S313" i="16"/>
  <c r="T313" i="16" s="1"/>
  <c r="AE313" i="16" s="1"/>
  <c r="AF313" i="16" s="1"/>
  <c r="AG313" i="16" s="1"/>
  <c r="S635" i="16"/>
  <c r="T635" i="16" s="1"/>
  <c r="AE635" i="16" s="1"/>
  <c r="AF635" i="16" s="1"/>
  <c r="S362" i="16"/>
  <c r="T362" i="16" s="1"/>
  <c r="AE362" i="16" s="1"/>
  <c r="AF362" i="16" s="1"/>
  <c r="AI362" i="16" s="1"/>
  <c r="AJ362" i="16" s="1"/>
  <c r="S230" i="16"/>
  <c r="T230" i="16" s="1"/>
  <c r="AE230" i="16" s="1"/>
  <c r="AF230" i="16" s="1"/>
  <c r="AI230" i="16" s="1"/>
  <c r="AJ230" i="16" s="1"/>
  <c r="S321" i="16"/>
  <c r="T321" i="16" s="1"/>
  <c r="AE321" i="16" s="1"/>
  <c r="AF321" i="16" s="1"/>
  <c r="AI321" i="16" s="1"/>
  <c r="AJ321" i="16" s="1"/>
  <c r="S169" i="16"/>
  <c r="T169" i="16" s="1"/>
  <c r="AE169" i="16" s="1"/>
  <c r="AF169" i="16" s="1"/>
  <c r="AI169" i="16" s="1"/>
  <c r="AJ169" i="16" s="1"/>
  <c r="S165" i="16"/>
  <c r="T165" i="16" s="1"/>
  <c r="AE165" i="16" s="1"/>
  <c r="AF165" i="16" s="1"/>
  <c r="S152" i="16"/>
  <c r="T152" i="16" s="1"/>
  <c r="AE152" i="16" s="1"/>
  <c r="AF152" i="16" s="1"/>
  <c r="AI152" i="16" s="1"/>
  <c r="AJ152" i="16" s="1"/>
  <c r="S526" i="16"/>
  <c r="T526" i="16" s="1"/>
  <c r="AE526" i="16" s="1"/>
  <c r="AF526" i="16" s="1"/>
  <c r="S349" i="16"/>
  <c r="T349" i="16" s="1"/>
  <c r="AE349" i="16" s="1"/>
  <c r="AF349" i="16" s="1"/>
  <c r="S191" i="16"/>
  <c r="T191" i="16" s="1"/>
  <c r="AE191" i="16" s="1"/>
  <c r="AF191" i="16" s="1"/>
  <c r="AG191" i="16" s="1"/>
  <c r="S283" i="16"/>
  <c r="T283" i="16" s="1"/>
  <c r="AE283" i="16" s="1"/>
  <c r="AF283" i="16" s="1"/>
  <c r="AI283" i="16" s="1"/>
  <c r="AJ283" i="16" s="1"/>
  <c r="S469" i="16"/>
  <c r="T469" i="16" s="1"/>
  <c r="AE469" i="16" s="1"/>
  <c r="AF469" i="16" s="1"/>
  <c r="AG469" i="16" s="1"/>
  <c r="S404" i="16"/>
  <c r="T404" i="16" s="1"/>
  <c r="AE404" i="16" s="1"/>
  <c r="AF404" i="16" s="1"/>
  <c r="AI404" i="16" s="1"/>
  <c r="AJ404" i="16" s="1"/>
  <c r="S594" i="16"/>
  <c r="T594" i="16" s="1"/>
  <c r="AE594" i="16" s="1"/>
  <c r="AF594" i="16" s="1"/>
  <c r="AG594" i="16" s="1"/>
  <c r="S382" i="16"/>
  <c r="T382" i="16" s="1"/>
  <c r="AE382" i="16" s="1"/>
  <c r="AF382" i="16" s="1"/>
  <c r="S264" i="16"/>
  <c r="T264" i="16" s="1"/>
  <c r="AE264" i="16" s="1"/>
  <c r="AF264" i="16" s="1"/>
  <c r="S440" i="16"/>
  <c r="T440" i="16" s="1"/>
  <c r="AE440" i="16" s="1"/>
  <c r="AF440" i="16" s="1"/>
  <c r="AI440" i="16" s="1"/>
  <c r="AJ440" i="16" s="1"/>
  <c r="S173" i="16"/>
  <c r="T173" i="16" s="1"/>
  <c r="AE173" i="16" s="1"/>
  <c r="AF173" i="16" s="1"/>
  <c r="AI173" i="16" s="1"/>
  <c r="AJ173" i="16" s="1"/>
  <c r="S267" i="16"/>
  <c r="T267" i="16" s="1"/>
  <c r="AE267" i="16" s="1"/>
  <c r="AF267" i="16" s="1"/>
  <c r="AG267" i="16" s="1"/>
  <c r="S686" i="16"/>
  <c r="T686" i="16" s="1"/>
  <c r="AE686" i="16" s="1"/>
  <c r="AF686" i="16" s="1"/>
  <c r="K484" i="11"/>
  <c r="AG2201" i="16"/>
  <c r="S393" i="16"/>
  <c r="T393" i="16" s="1"/>
  <c r="AE393" i="16" s="1"/>
  <c r="AF393" i="16" s="1"/>
  <c r="AI393" i="16" s="1"/>
  <c r="AJ393" i="16" s="1"/>
  <c r="S156" i="16"/>
  <c r="T156" i="16" s="1"/>
  <c r="AE156" i="16" s="1"/>
  <c r="AF156" i="16" s="1"/>
  <c r="S556" i="16"/>
  <c r="T556" i="16" s="1"/>
  <c r="AE556" i="16" s="1"/>
  <c r="AF556" i="16" s="1"/>
  <c r="AI556" i="16" s="1"/>
  <c r="AJ556" i="16" s="1"/>
  <c r="S447" i="16"/>
  <c r="T447" i="16" s="1"/>
  <c r="AE447" i="16" s="1"/>
  <c r="AF447" i="16" s="1"/>
  <c r="AI447" i="16" s="1"/>
  <c r="AJ447" i="16" s="1"/>
  <c r="S432" i="16"/>
  <c r="T432" i="16" s="1"/>
  <c r="AE432" i="16" s="1"/>
  <c r="AF432" i="16" s="1"/>
  <c r="AI432" i="16" s="1"/>
  <c r="AJ432" i="16" s="1"/>
  <c r="S354" i="16"/>
  <c r="T354" i="16" s="1"/>
  <c r="AE354" i="16" s="1"/>
  <c r="AF354" i="16" s="1"/>
  <c r="AG354" i="16" s="1"/>
  <c r="S242" i="16"/>
  <c r="T242" i="16" s="1"/>
  <c r="AE242" i="16" s="1"/>
  <c r="AF242" i="16" s="1"/>
  <c r="AI242" i="16" s="1"/>
  <c r="AJ242" i="16" s="1"/>
  <c r="S190" i="16"/>
  <c r="T190" i="16" s="1"/>
  <c r="AE190" i="16" s="1"/>
  <c r="AF190" i="16" s="1"/>
  <c r="AI190" i="16" s="1"/>
  <c r="AJ190" i="16" s="1"/>
  <c r="S218" i="16"/>
  <c r="T218" i="16" s="1"/>
  <c r="AE218" i="16" s="1"/>
  <c r="AF218" i="16" s="1"/>
  <c r="AG218" i="16" s="1"/>
  <c r="S146" i="16"/>
  <c r="T146" i="16" s="1"/>
  <c r="AE146" i="16" s="1"/>
  <c r="AF146" i="16" s="1"/>
  <c r="AG146" i="16" s="1"/>
  <c r="S520" i="16"/>
  <c r="T520" i="16" s="1"/>
  <c r="AE520" i="16" s="1"/>
  <c r="AF520" i="16" s="1"/>
  <c r="AI520" i="16" s="1"/>
  <c r="AJ520" i="16" s="1"/>
  <c r="S358" i="16"/>
  <c r="T358" i="16" s="1"/>
  <c r="AE358" i="16" s="1"/>
  <c r="AF358" i="16" s="1"/>
  <c r="AI358" i="16" s="1"/>
  <c r="AJ358" i="16" s="1"/>
  <c r="S470" i="16"/>
  <c r="T470" i="16" s="1"/>
  <c r="AE470" i="16" s="1"/>
  <c r="AF470" i="16" s="1"/>
  <c r="S436" i="16"/>
  <c r="T436" i="16" s="1"/>
  <c r="AE436" i="16" s="1"/>
  <c r="AF436" i="16" s="1"/>
  <c r="AG436" i="16" s="1"/>
  <c r="S640" i="16"/>
  <c r="T640" i="16" s="1"/>
  <c r="AE640" i="16" s="1"/>
  <c r="AF640" i="16" s="1"/>
  <c r="AI640" i="16" s="1"/>
  <c r="AJ640" i="16" s="1"/>
  <c r="S561" i="16"/>
  <c r="T561" i="16" s="1"/>
  <c r="AE561" i="16" s="1"/>
  <c r="AF561" i="16" s="1"/>
  <c r="AI561" i="16" s="1"/>
  <c r="AJ561" i="16" s="1"/>
  <c r="S255" i="16"/>
  <c r="T255" i="16" s="1"/>
  <c r="AE255" i="16" s="1"/>
  <c r="AF255" i="16" s="1"/>
  <c r="K25" i="11"/>
  <c r="K27" i="11"/>
  <c r="K29" i="11"/>
  <c r="K31" i="11"/>
  <c r="K33" i="11"/>
  <c r="K35" i="11"/>
  <c r="K525" i="11"/>
  <c r="K526" i="11"/>
  <c r="K472" i="11"/>
  <c r="K474" i="11"/>
  <c r="K476" i="11"/>
  <c r="AF459" i="16"/>
  <c r="AI459" i="16" s="1"/>
  <c r="AJ459" i="16" s="1"/>
  <c r="AF605" i="16"/>
  <c r="AF506" i="16"/>
  <c r="AI506" i="16" s="1"/>
  <c r="AJ506" i="16" s="1"/>
  <c r="AI964" i="16"/>
  <c r="AJ964" i="16" s="1"/>
  <c r="AG964" i="16"/>
  <c r="AI837" i="16"/>
  <c r="AJ837" i="16" s="1"/>
  <c r="AG837" i="16"/>
  <c r="AI695" i="16"/>
  <c r="AJ695" i="16" s="1"/>
  <c r="AG695" i="16"/>
  <c r="AI1794" i="16"/>
  <c r="AJ1794" i="16" s="1"/>
  <c r="AG1794" i="16"/>
  <c r="AI1738" i="16"/>
  <c r="AJ1738" i="16" s="1"/>
  <c r="AG1738" i="16"/>
  <c r="AG1734" i="16"/>
  <c r="AI1734" i="16"/>
  <c r="AJ1734" i="16" s="1"/>
  <c r="AI1682" i="16"/>
  <c r="AJ1682" i="16" s="1"/>
  <c r="AG1682" i="16"/>
  <c r="AI1670" i="16"/>
  <c r="AJ1670" i="16" s="1"/>
  <c r="AG1670" i="16"/>
  <c r="AI1599" i="16"/>
  <c r="AJ1599" i="16" s="1"/>
  <c r="AG1599" i="16"/>
  <c r="AI1438" i="16"/>
  <c r="AJ1438" i="16" s="1"/>
  <c r="AG1438" i="16"/>
  <c r="AG1361" i="16"/>
  <c r="AI1361" i="16"/>
  <c r="AJ1361" i="16" s="1"/>
  <c r="AI1334" i="16"/>
  <c r="AJ1334" i="16" s="1"/>
  <c r="AG1334" i="16"/>
  <c r="AI2130" i="16"/>
  <c r="AJ2130" i="16" s="1"/>
  <c r="AG2130" i="16"/>
  <c r="AI2155" i="16"/>
  <c r="AJ2155" i="16" s="1"/>
  <c r="AG2155" i="16"/>
  <c r="AG2157" i="16"/>
  <c r="AI2157" i="16"/>
  <c r="AJ2157" i="16" s="1"/>
  <c r="AG2086" i="16"/>
  <c r="AI2086" i="16"/>
  <c r="AJ2086" i="16" s="1"/>
  <c r="AI2087" i="16"/>
  <c r="AJ2087" i="16" s="1"/>
  <c r="AG2087" i="16"/>
  <c r="AI2100" i="16"/>
  <c r="AJ2100" i="16" s="1"/>
  <c r="AG2100" i="16"/>
  <c r="AI2050" i="16"/>
  <c r="AJ2050" i="16" s="1"/>
  <c r="AG2050" i="16"/>
  <c r="AI2057" i="16"/>
  <c r="AJ2057" i="16" s="1"/>
  <c r="AG2057" i="16"/>
  <c r="AI2020" i="16"/>
  <c r="AJ2020" i="16" s="1"/>
  <c r="AG2020" i="16"/>
  <c r="AI2066" i="16"/>
  <c r="AJ2066" i="16" s="1"/>
  <c r="AG2066" i="16"/>
  <c r="AI2038" i="16"/>
  <c r="AJ2038" i="16" s="1"/>
  <c r="AG2038" i="16"/>
  <c r="AG2072" i="16"/>
  <c r="AI2072" i="16"/>
  <c r="AJ2072" i="16" s="1"/>
  <c r="AI2021" i="16"/>
  <c r="AJ2021" i="16" s="1"/>
  <c r="AG2021" i="16"/>
  <c r="AI2013" i="16"/>
  <c r="AJ2013" i="16" s="1"/>
  <c r="AG2013" i="16"/>
  <c r="AI1961" i="16"/>
  <c r="AJ1961" i="16" s="1"/>
  <c r="AG1961" i="16"/>
  <c r="AI1985" i="16"/>
  <c r="AJ1985" i="16" s="1"/>
  <c r="AG1985" i="16"/>
  <c r="AG2011" i="16"/>
  <c r="AI2011" i="16"/>
  <c r="AJ2011" i="16" s="1"/>
  <c r="AI1929" i="16"/>
  <c r="AJ1929" i="16" s="1"/>
  <c r="AG1929" i="16"/>
  <c r="AI1909" i="16"/>
  <c r="AJ1909" i="16" s="1"/>
  <c r="AG1909" i="16"/>
  <c r="AI1882" i="16"/>
  <c r="AJ1882" i="16" s="1"/>
  <c r="AG1882" i="16"/>
  <c r="AI1933" i="16"/>
  <c r="AJ1933" i="16" s="1"/>
  <c r="AG1933" i="16"/>
  <c r="AI1889" i="16"/>
  <c r="AJ1889" i="16" s="1"/>
  <c r="AG1889" i="16"/>
  <c r="AI1908" i="16"/>
  <c r="AJ1908" i="16" s="1"/>
  <c r="AG1908" i="16"/>
  <c r="AI1940" i="16"/>
  <c r="AJ1940" i="16" s="1"/>
  <c r="AG1940" i="16"/>
  <c r="AI1865" i="16"/>
  <c r="AJ1865" i="16" s="1"/>
  <c r="AG1865" i="16"/>
  <c r="AI1860" i="16"/>
  <c r="AJ1860" i="16" s="1"/>
  <c r="AG1860" i="16"/>
  <c r="AI1852" i="16"/>
  <c r="AJ1852" i="16" s="1"/>
  <c r="AG1852" i="16"/>
  <c r="AI1821" i="16"/>
  <c r="AJ1821" i="16" s="1"/>
  <c r="AG1821" i="16"/>
  <c r="AI1826" i="16"/>
  <c r="AJ1826" i="16" s="1"/>
  <c r="AG1826" i="16"/>
  <c r="AI1747" i="16"/>
  <c r="AJ1747" i="16" s="1"/>
  <c r="AG1747" i="16"/>
  <c r="AI1783" i="16"/>
  <c r="AJ1783" i="16" s="1"/>
  <c r="AG1783" i="16"/>
  <c r="AG1758" i="16"/>
  <c r="AI1758" i="16"/>
  <c r="AJ1758" i="16" s="1"/>
  <c r="AI1746" i="16"/>
  <c r="AJ1746" i="16" s="1"/>
  <c r="AG1746" i="16"/>
  <c r="AI1762" i="16"/>
  <c r="AJ1762" i="16" s="1"/>
  <c r="AG1762" i="16"/>
  <c r="AI1640" i="16"/>
  <c r="AJ1640" i="16" s="1"/>
  <c r="AG1640" i="16"/>
  <c r="AI1616" i="16"/>
  <c r="AJ1616" i="16" s="1"/>
  <c r="AG1616" i="16"/>
  <c r="AI1613" i="16"/>
  <c r="AJ1613" i="16" s="1"/>
  <c r="AG1613" i="16"/>
  <c r="AI1690" i="16"/>
  <c r="AJ1690" i="16" s="1"/>
  <c r="AG1690" i="16"/>
  <c r="AI1648" i="16"/>
  <c r="AJ1648" i="16" s="1"/>
  <c r="AG1648" i="16"/>
  <c r="AI1691" i="16"/>
  <c r="AJ1691" i="16" s="1"/>
  <c r="AG1691" i="16"/>
  <c r="AI1669" i="16"/>
  <c r="AJ1669" i="16" s="1"/>
  <c r="AG1669" i="16"/>
  <c r="AI1646" i="16"/>
  <c r="AJ1646" i="16" s="1"/>
  <c r="AG1646" i="16"/>
  <c r="AI1619" i="16"/>
  <c r="AJ1619" i="16" s="1"/>
  <c r="AG1619" i="16"/>
  <c r="AG1510" i="16"/>
  <c r="AI1510" i="16"/>
  <c r="AJ1510" i="16" s="1"/>
  <c r="AI1594" i="16"/>
  <c r="AJ1594" i="16" s="1"/>
  <c r="AG1594" i="16"/>
  <c r="AI1583" i="16"/>
  <c r="AJ1583" i="16" s="1"/>
  <c r="AG1583" i="16"/>
  <c r="AG1550" i="16"/>
  <c r="AI1550" i="16"/>
  <c r="AJ1550" i="16" s="1"/>
  <c r="AI1596" i="16"/>
  <c r="AJ1596" i="16" s="1"/>
  <c r="AG1596" i="16"/>
  <c r="AI1464" i="16"/>
  <c r="AJ1464" i="16" s="1"/>
  <c r="AG1464" i="16"/>
  <c r="AI1509" i="16"/>
  <c r="AJ1509" i="16" s="1"/>
  <c r="AG1509" i="16"/>
  <c r="AI1488" i="16"/>
  <c r="AJ1488" i="16" s="1"/>
  <c r="AG1488" i="16"/>
  <c r="AG1448" i="16"/>
  <c r="AI1448" i="16"/>
  <c r="AJ1448" i="16" s="1"/>
  <c r="AI1503" i="16"/>
  <c r="AJ1503" i="16" s="1"/>
  <c r="AG1503" i="16"/>
  <c r="AI1557" i="16"/>
  <c r="AJ1557" i="16" s="1"/>
  <c r="AG1557" i="16"/>
  <c r="AI1462" i="16"/>
  <c r="AJ1462" i="16" s="1"/>
  <c r="AG1462" i="16"/>
  <c r="AI1344" i="16"/>
  <c r="AJ1344" i="16" s="1"/>
  <c r="AG1344" i="16"/>
  <c r="AI1397" i="16"/>
  <c r="AJ1397" i="16" s="1"/>
  <c r="AG1397" i="16"/>
  <c r="AI1419" i="16"/>
  <c r="AJ1419" i="16" s="1"/>
  <c r="AG1419" i="16"/>
  <c r="AI1411" i="16"/>
  <c r="AJ1411" i="16" s="1"/>
  <c r="AG1411" i="16"/>
  <c r="AI1363" i="16"/>
  <c r="AJ1363" i="16" s="1"/>
  <c r="AG1363" i="16"/>
  <c r="AI1348" i="16"/>
  <c r="AJ1348" i="16" s="1"/>
  <c r="AG1348" i="16"/>
  <c r="AI1342" i="16"/>
  <c r="AJ1342" i="16" s="1"/>
  <c r="AG1342" i="16"/>
  <c r="AG1409" i="16"/>
  <c r="AI1409" i="16"/>
  <c r="AJ1409" i="16" s="1"/>
  <c r="AI1384" i="16"/>
  <c r="AJ1384" i="16" s="1"/>
  <c r="AG1384" i="16"/>
  <c r="AI1319" i="16"/>
  <c r="AJ1319" i="16" s="1"/>
  <c r="AG1319" i="16"/>
  <c r="AI1312" i="16"/>
  <c r="AJ1312" i="16" s="1"/>
  <c r="AG1312" i="16"/>
  <c r="AI1295" i="16"/>
  <c r="AJ1295" i="16" s="1"/>
  <c r="AG1295" i="16"/>
  <c r="AI1659" i="16"/>
  <c r="AJ1659" i="16" s="1"/>
  <c r="AG1659" i="16"/>
  <c r="AI1586" i="16"/>
  <c r="AJ1586" i="16" s="1"/>
  <c r="AG1586" i="16"/>
  <c r="AI1638" i="16"/>
  <c r="AJ1638" i="16" s="1"/>
  <c r="AG1638" i="16"/>
  <c r="AG1569" i="16"/>
  <c r="AI1569" i="16"/>
  <c r="AJ1569" i="16" s="1"/>
  <c r="AI1559" i="16"/>
  <c r="AJ1559" i="16" s="1"/>
  <c r="AG1559" i="16"/>
  <c r="AI1402" i="16"/>
  <c r="AJ1402" i="16" s="1"/>
  <c r="AG1402" i="16"/>
  <c r="AI1261" i="16"/>
  <c r="AJ1261" i="16" s="1"/>
  <c r="AI1328" i="16"/>
  <c r="AJ1328" i="16" s="1"/>
  <c r="AG1328" i="16"/>
  <c r="AI2187" i="16"/>
  <c r="AJ2187" i="16" s="1"/>
  <c r="AG2187" i="16"/>
  <c r="AI2126" i="16"/>
  <c r="AJ2126" i="16" s="1"/>
  <c r="AG2126" i="16"/>
  <c r="AI2108" i="16"/>
  <c r="AJ2108" i="16" s="1"/>
  <c r="AG2108" i="16"/>
  <c r="AI2089" i="16"/>
  <c r="AJ2089" i="16" s="1"/>
  <c r="AG2089" i="16"/>
  <c r="AI2105" i="16"/>
  <c r="AJ2105" i="16" s="1"/>
  <c r="AG2105" i="16"/>
  <c r="AI2077" i="16"/>
  <c r="AJ2077" i="16" s="1"/>
  <c r="AG2077" i="16"/>
  <c r="AI2052" i="16"/>
  <c r="AJ2052" i="16" s="1"/>
  <c r="AG2052" i="16"/>
  <c r="AI2041" i="16"/>
  <c r="AJ2041" i="16" s="1"/>
  <c r="AG2041" i="16"/>
  <c r="AI2044" i="16"/>
  <c r="AJ2044" i="16" s="1"/>
  <c r="AG2044" i="16"/>
  <c r="AI1982" i="16"/>
  <c r="AJ1982" i="16" s="1"/>
  <c r="AG1982" i="16"/>
  <c r="AI1959" i="16"/>
  <c r="AJ1959" i="16" s="1"/>
  <c r="AG1959" i="16"/>
  <c r="AI1983" i="16"/>
  <c r="AJ1983" i="16" s="1"/>
  <c r="AG1983" i="16"/>
  <c r="AI1978" i="16"/>
  <c r="AJ1978" i="16" s="1"/>
  <c r="AG1978" i="16"/>
  <c r="AI1960" i="16"/>
  <c r="AJ1960" i="16" s="1"/>
  <c r="AG1960" i="16"/>
  <c r="AG2003" i="16"/>
  <c r="AI2003" i="16"/>
  <c r="AJ2003" i="16" s="1"/>
  <c r="AI1952" i="16"/>
  <c r="AJ1952" i="16" s="1"/>
  <c r="AG1952" i="16"/>
  <c r="AI1927" i="16"/>
  <c r="AJ1927" i="16" s="1"/>
  <c r="AG1927" i="16"/>
  <c r="AI1945" i="16"/>
  <c r="AJ1945" i="16" s="1"/>
  <c r="AG1945" i="16"/>
  <c r="AI1900" i="16"/>
  <c r="AJ1900" i="16" s="1"/>
  <c r="AG1900" i="16"/>
  <c r="AG1888" i="16"/>
  <c r="AI1888" i="16"/>
  <c r="AJ1888" i="16" s="1"/>
  <c r="AI1926" i="16"/>
  <c r="AJ1926" i="16" s="1"/>
  <c r="AG1926" i="16"/>
  <c r="AI1905" i="16"/>
  <c r="AJ1905" i="16" s="1"/>
  <c r="AG1905" i="16"/>
  <c r="AI1949" i="16"/>
  <c r="AJ1949" i="16" s="1"/>
  <c r="AG1949" i="16"/>
  <c r="AI1892" i="16"/>
  <c r="AJ1892" i="16" s="1"/>
  <c r="AG1892" i="16"/>
  <c r="AI1871" i="16"/>
  <c r="AJ1871" i="16" s="1"/>
  <c r="AG1871" i="16"/>
  <c r="AG1838" i="16"/>
  <c r="AI1838" i="16"/>
  <c r="AJ1838" i="16" s="1"/>
  <c r="AI1861" i="16"/>
  <c r="AJ1861" i="16" s="1"/>
  <c r="AG1861" i="16"/>
  <c r="AI1874" i="16"/>
  <c r="AJ1874" i="16" s="1"/>
  <c r="AG1874" i="16"/>
  <c r="AI1839" i="16"/>
  <c r="AJ1839" i="16" s="1"/>
  <c r="AG1839" i="16"/>
  <c r="AI1781" i="16"/>
  <c r="AJ1781" i="16" s="1"/>
  <c r="AG1781" i="16"/>
  <c r="AI1743" i="16"/>
  <c r="AJ1743" i="16" s="1"/>
  <c r="AG1743" i="16"/>
  <c r="AI1775" i="16"/>
  <c r="AJ1775" i="16" s="1"/>
  <c r="AG1775" i="16"/>
  <c r="AI1799" i="16"/>
  <c r="AJ1799" i="16" s="1"/>
  <c r="AG1799" i="16"/>
  <c r="AI1755" i="16"/>
  <c r="AJ1755" i="16" s="1"/>
  <c r="AG1755" i="16"/>
  <c r="AI1797" i="16"/>
  <c r="AJ1797" i="16" s="1"/>
  <c r="AG1797" i="16"/>
  <c r="AI1675" i="16"/>
  <c r="AJ1675" i="16" s="1"/>
  <c r="AG1675" i="16"/>
  <c r="AI1677" i="16"/>
  <c r="AJ1677" i="16" s="1"/>
  <c r="AG1677" i="16"/>
  <c r="AI1633" i="16"/>
  <c r="AJ1633" i="16" s="1"/>
  <c r="AG1633" i="16"/>
  <c r="AI1710" i="16"/>
  <c r="AJ1710" i="16" s="1"/>
  <c r="AG1710" i="16"/>
  <c r="AI1609" i="16"/>
  <c r="AJ1609" i="16" s="1"/>
  <c r="AG1609" i="16"/>
  <c r="AI1621" i="16"/>
  <c r="AJ1621" i="16" s="1"/>
  <c r="AG1621" i="16"/>
  <c r="AG1574" i="16"/>
  <c r="AI1574" i="16"/>
  <c r="AJ1574" i="16" s="1"/>
  <c r="AI1661" i="16"/>
  <c r="AJ1661" i="16" s="1"/>
  <c r="AG1661" i="16"/>
  <c r="AI1629" i="16"/>
  <c r="AJ1629" i="16" s="1"/>
  <c r="AG1629" i="16"/>
  <c r="AI1580" i="16"/>
  <c r="AJ1580" i="16" s="1"/>
  <c r="AG1580" i="16"/>
  <c r="AG1593" i="16"/>
  <c r="AI1593" i="16"/>
  <c r="AJ1593" i="16" s="1"/>
  <c r="AI1539" i="16"/>
  <c r="AJ1539" i="16" s="1"/>
  <c r="AG1539" i="16"/>
  <c r="AI1482" i="16"/>
  <c r="AJ1482" i="16" s="1"/>
  <c r="AG1482" i="16"/>
  <c r="AI1486" i="16"/>
  <c r="AJ1486" i="16" s="1"/>
  <c r="AG1486" i="16"/>
  <c r="AI1447" i="16"/>
  <c r="AJ1447" i="16" s="1"/>
  <c r="AG1447" i="16"/>
  <c r="AI1431" i="16"/>
  <c r="AJ1431" i="16" s="1"/>
  <c r="AG1431" i="16"/>
  <c r="AI1496" i="16"/>
  <c r="AJ1496" i="16" s="1"/>
  <c r="AG1496" i="16"/>
  <c r="AI1523" i="16"/>
  <c r="AJ1523" i="16" s="1"/>
  <c r="AG1523" i="16"/>
  <c r="AI1357" i="16"/>
  <c r="AJ1357" i="16" s="1"/>
  <c r="AG1357" i="16"/>
  <c r="AI1368" i="16"/>
  <c r="AJ1368" i="16" s="1"/>
  <c r="AG1368" i="16"/>
  <c r="AI1531" i="16"/>
  <c r="AJ1531" i="16" s="1"/>
  <c r="AG1531" i="16"/>
  <c r="AI1389" i="16"/>
  <c r="AJ1389" i="16" s="1"/>
  <c r="AG1389" i="16"/>
  <c r="AI1400" i="16"/>
  <c r="AJ1400" i="16" s="1"/>
  <c r="AG1400" i="16"/>
  <c r="AI1423" i="16"/>
  <c r="AJ1423" i="16" s="1"/>
  <c r="AG1423" i="16"/>
  <c r="AI1395" i="16"/>
  <c r="AJ1395" i="16" s="1"/>
  <c r="AG1395" i="16"/>
  <c r="AI1404" i="16"/>
  <c r="AJ1404" i="16" s="1"/>
  <c r="AG1404" i="16"/>
  <c r="AI1382" i="16"/>
  <c r="AJ1382" i="16" s="1"/>
  <c r="AG1382" i="16"/>
  <c r="AI1336" i="16"/>
  <c r="AJ1336" i="16" s="1"/>
  <c r="AG1336" i="16"/>
  <c r="AG1331" i="16"/>
  <c r="AI1331" i="16"/>
  <c r="AJ1331" i="16" s="1"/>
  <c r="AI1264" i="16"/>
  <c r="AJ1264" i="16" s="1"/>
  <c r="AG1264" i="16"/>
  <c r="AI1204" i="16"/>
  <c r="AJ1204" i="16" s="1"/>
  <c r="AG1204" i="16"/>
  <c r="AI1113" i="16"/>
  <c r="AJ1113" i="16" s="1"/>
  <c r="AG1113" i="16"/>
  <c r="AI919" i="16"/>
  <c r="AJ919" i="16" s="1"/>
  <c r="AG919" i="16"/>
  <c r="AI955" i="16"/>
  <c r="AJ955" i="16" s="1"/>
  <c r="AG955" i="16"/>
  <c r="AI2234" i="16"/>
  <c r="AJ2234" i="16" s="1"/>
  <c r="AG2234" i="16"/>
  <c r="AG2190" i="16"/>
  <c r="AI2190" i="16"/>
  <c r="AJ2190" i="16" s="1"/>
  <c r="AG1726" i="16"/>
  <c r="AI1726" i="16"/>
  <c r="AJ1726" i="16" s="1"/>
  <c r="AI1564" i="16"/>
  <c r="AJ1564" i="16" s="1"/>
  <c r="AG1564" i="16"/>
  <c r="AG1493" i="16"/>
  <c r="AI1493" i="16"/>
  <c r="AJ1493" i="16" s="1"/>
  <c r="AG1430" i="16"/>
  <c r="AI1430" i="16"/>
  <c r="AJ1430" i="16" s="1"/>
  <c r="AI1351" i="16"/>
  <c r="AJ1351" i="16" s="1"/>
  <c r="AG1351" i="16"/>
  <c r="AI2148" i="16"/>
  <c r="AJ2148" i="16" s="1"/>
  <c r="AG2148" i="16"/>
  <c r="AI2232" i="16"/>
  <c r="AJ2232" i="16" s="1"/>
  <c r="AG2232" i="16"/>
  <c r="AI2252" i="16"/>
  <c r="AJ2252" i="16" s="1"/>
  <c r="AG2252" i="16"/>
  <c r="AI2176" i="16"/>
  <c r="AJ2176" i="16" s="1"/>
  <c r="AG2176" i="16"/>
  <c r="AI2183" i="16"/>
  <c r="AJ2183" i="16" s="1"/>
  <c r="AG2183" i="16"/>
  <c r="AG2247" i="16"/>
  <c r="AI2247" i="16"/>
  <c r="AJ2247" i="16" s="1"/>
  <c r="AI2127" i="16"/>
  <c r="AJ2127" i="16" s="1"/>
  <c r="AG2127" i="16"/>
  <c r="AI2147" i="16"/>
  <c r="AJ2147" i="16" s="1"/>
  <c r="AG2147" i="16"/>
  <c r="AI2116" i="16"/>
  <c r="AJ2116" i="16" s="1"/>
  <c r="AG2116" i="16"/>
  <c r="AI2101" i="16"/>
  <c r="AJ2101" i="16" s="1"/>
  <c r="AG2101" i="16"/>
  <c r="AI2109" i="16"/>
  <c r="AJ2109" i="16" s="1"/>
  <c r="AG2109" i="16"/>
  <c r="AI2117" i="16"/>
  <c r="AJ2117" i="16" s="1"/>
  <c r="AG2117" i="16"/>
  <c r="AI2049" i="16"/>
  <c r="AJ2049" i="16" s="1"/>
  <c r="AG2049" i="16"/>
  <c r="AI2028" i="16"/>
  <c r="AJ2028" i="16" s="1"/>
  <c r="AG2028" i="16"/>
  <c r="AG2039" i="16"/>
  <c r="AI2039" i="16"/>
  <c r="AJ2039" i="16" s="1"/>
  <c r="AI2033" i="16"/>
  <c r="AJ2033" i="16" s="1"/>
  <c r="AG2033" i="16"/>
  <c r="AG2055" i="16"/>
  <c r="AI2055" i="16"/>
  <c r="AJ2055" i="16" s="1"/>
  <c r="AI2036" i="16"/>
  <c r="AJ2036" i="16" s="1"/>
  <c r="AG2036" i="16"/>
  <c r="AI2045" i="16"/>
  <c r="AJ2045" i="16" s="1"/>
  <c r="AG2045" i="16"/>
  <c r="AI1976" i="16"/>
  <c r="AJ1976" i="16" s="1"/>
  <c r="AG1976" i="16"/>
  <c r="AI2005" i="16"/>
  <c r="AJ2005" i="16" s="1"/>
  <c r="AG2005" i="16"/>
  <c r="AI1925" i="16"/>
  <c r="AJ1925" i="16" s="1"/>
  <c r="AG1925" i="16"/>
  <c r="AI1941" i="16"/>
  <c r="AJ1941" i="16" s="1"/>
  <c r="AG1941" i="16"/>
  <c r="AI1923" i="16"/>
  <c r="AJ1923" i="16" s="1"/>
  <c r="AG1923" i="16"/>
  <c r="AI1903" i="16"/>
  <c r="AJ1903" i="16" s="1"/>
  <c r="AG1903" i="16"/>
  <c r="AG1846" i="16"/>
  <c r="AI1846" i="16"/>
  <c r="AJ1846" i="16" s="1"/>
  <c r="AI1831" i="16"/>
  <c r="AJ1831" i="16" s="1"/>
  <c r="AG1831" i="16"/>
  <c r="AI1853" i="16"/>
  <c r="AJ1853" i="16" s="1"/>
  <c r="AG1853" i="16"/>
  <c r="AI1828" i="16"/>
  <c r="AJ1828" i="16" s="1"/>
  <c r="AG1828" i="16"/>
  <c r="AI1773" i="16"/>
  <c r="AJ1773" i="16" s="1"/>
  <c r="AG1773" i="16"/>
  <c r="AI1715" i="16"/>
  <c r="AJ1715" i="16" s="1"/>
  <c r="AG1715" i="16"/>
  <c r="AI1719" i="16"/>
  <c r="AJ1719" i="16" s="1"/>
  <c r="AG1719" i="16"/>
  <c r="AI1789" i="16"/>
  <c r="AJ1789" i="16" s="1"/>
  <c r="AG1789" i="16"/>
  <c r="AI1778" i="16"/>
  <c r="AJ1778" i="16" s="1"/>
  <c r="AG1778" i="16"/>
  <c r="AI1656" i="16"/>
  <c r="AJ1656" i="16" s="1"/>
  <c r="AG1656" i="16"/>
  <c r="AI1694" i="16"/>
  <c r="AJ1694" i="16" s="1"/>
  <c r="AG1694" i="16"/>
  <c r="AI1666" i="16"/>
  <c r="AJ1666" i="16" s="1"/>
  <c r="AG1666" i="16"/>
  <c r="AG1610" i="16"/>
  <c r="AI1610" i="16"/>
  <c r="AJ1610" i="16" s="1"/>
  <c r="AI1685" i="16"/>
  <c r="AJ1685" i="16" s="1"/>
  <c r="AG1685" i="16"/>
  <c r="AI1662" i="16"/>
  <c r="AJ1662" i="16" s="1"/>
  <c r="AG1662" i="16"/>
  <c r="AG1515" i="16"/>
  <c r="AI1515" i="16"/>
  <c r="AJ1515" i="16" s="1"/>
  <c r="AI1588" i="16"/>
  <c r="AJ1588" i="16" s="1"/>
  <c r="AG1588" i="16"/>
  <c r="AG1540" i="16"/>
  <c r="AI1540" i="16"/>
  <c r="AJ1540" i="16" s="1"/>
  <c r="AI1589" i="16"/>
  <c r="AJ1589" i="16" s="1"/>
  <c r="AG1589" i="16"/>
  <c r="AG1534" i="16"/>
  <c r="AI1534" i="16"/>
  <c r="AJ1534" i="16" s="1"/>
  <c r="AI1484" i="16"/>
  <c r="AJ1484" i="16" s="1"/>
  <c r="AG1484" i="16"/>
  <c r="AI1429" i="16"/>
  <c r="AJ1429" i="16" s="1"/>
  <c r="AG1429" i="16"/>
  <c r="AI1480" i="16"/>
  <c r="AJ1480" i="16" s="1"/>
  <c r="AG1480" i="16"/>
  <c r="AI1507" i="16"/>
  <c r="AJ1507" i="16" s="1"/>
  <c r="AG1507" i="16"/>
  <c r="AI1446" i="16"/>
  <c r="AJ1446" i="16" s="1"/>
  <c r="AG1446" i="16"/>
  <c r="AG1393" i="16"/>
  <c r="AI1393" i="16"/>
  <c r="AJ1393" i="16" s="1"/>
  <c r="AI1424" i="16"/>
  <c r="AJ1424" i="16" s="1"/>
  <c r="AG1424" i="16"/>
  <c r="AI1391" i="16"/>
  <c r="AJ1391" i="16" s="1"/>
  <c r="AG1391" i="16"/>
  <c r="AI1366" i="16"/>
  <c r="AJ1366" i="16" s="1"/>
  <c r="AG1366" i="16"/>
  <c r="AI1416" i="16"/>
  <c r="AJ1416" i="16" s="1"/>
  <c r="AG1416" i="16"/>
  <c r="AI1470" i="16"/>
  <c r="AJ1470" i="16" s="1"/>
  <c r="AG1470" i="16"/>
  <c r="AI1360" i="16"/>
  <c r="AJ1360" i="16" s="1"/>
  <c r="AG1360" i="16"/>
  <c r="AI1325" i="16"/>
  <c r="AJ1325" i="16" s="1"/>
  <c r="AG1325" i="16"/>
  <c r="AI1316" i="16"/>
  <c r="AJ1316" i="16" s="1"/>
  <c r="AG1316" i="16"/>
  <c r="AG1323" i="16"/>
  <c r="AI1323" i="16"/>
  <c r="AJ1323" i="16" s="1"/>
  <c r="AI1332" i="16"/>
  <c r="AJ1332" i="16" s="1"/>
  <c r="AG1332" i="16"/>
  <c r="AI1142" i="16"/>
  <c r="AJ1142" i="16" s="1"/>
  <c r="AG1142" i="16"/>
  <c r="AI1308" i="16"/>
  <c r="AJ1308" i="16" s="1"/>
  <c r="AG1308" i="16"/>
  <c r="AG2209" i="16"/>
  <c r="AI2209" i="16"/>
  <c r="AJ2209" i="16" s="1"/>
  <c r="AI2179" i="16"/>
  <c r="AJ2179" i="16" s="1"/>
  <c r="AG2179" i="16"/>
  <c r="AI1786" i="16"/>
  <c r="AJ1786" i="16" s="1"/>
  <c r="AG1786" i="16"/>
  <c r="AG1750" i="16"/>
  <c r="AI1750" i="16"/>
  <c r="AJ1750" i="16" s="1"/>
  <c r="AI1693" i="16"/>
  <c r="AJ1693" i="16" s="1"/>
  <c r="AG1693" i="16"/>
  <c r="AI1548" i="16"/>
  <c r="AJ1548" i="16" s="1"/>
  <c r="AG1548" i="16"/>
  <c r="AI1552" i="16"/>
  <c r="AJ1552" i="16" s="1"/>
  <c r="AG1552" i="16"/>
  <c r="AI1517" i="16"/>
  <c r="AJ1517" i="16" s="1"/>
  <c r="AG1517" i="16"/>
  <c r="AI1437" i="16"/>
  <c r="AJ1437" i="16" s="1"/>
  <c r="AG1437" i="16"/>
  <c r="AG1440" i="16"/>
  <c r="AI1440" i="16"/>
  <c r="AJ1440" i="16" s="1"/>
  <c r="AI1443" i="16"/>
  <c r="AJ1443" i="16" s="1"/>
  <c r="AG1443" i="16"/>
  <c r="AI2224" i="16"/>
  <c r="AJ2224" i="16" s="1"/>
  <c r="AG2224" i="16"/>
  <c r="AI2259" i="16"/>
  <c r="AJ2259" i="16" s="1"/>
  <c r="AG2259" i="16"/>
  <c r="AI2160" i="16"/>
  <c r="AJ2160" i="16" s="1"/>
  <c r="AG2160" i="16"/>
  <c r="AI2256" i="16"/>
  <c r="AJ2256" i="16" s="1"/>
  <c r="AG2256" i="16"/>
  <c r="AI2250" i="16"/>
  <c r="AJ2250" i="16" s="1"/>
  <c r="AG2250" i="16"/>
  <c r="AG2198" i="16"/>
  <c r="AI2198" i="16"/>
  <c r="AJ2198" i="16" s="1"/>
  <c r="AI2174" i="16"/>
  <c r="AJ2174" i="16" s="1"/>
  <c r="AG2174" i="16"/>
  <c r="AI2199" i="16"/>
  <c r="AJ2199" i="16" s="1"/>
  <c r="AG2199" i="16"/>
  <c r="AG2141" i="16"/>
  <c r="AI2141" i="16"/>
  <c r="AJ2141" i="16" s="1"/>
  <c r="AI2131" i="16"/>
  <c r="AJ2131" i="16" s="1"/>
  <c r="AG2131" i="16"/>
  <c r="AI2095" i="16"/>
  <c r="AJ2095" i="16" s="1"/>
  <c r="AG2095" i="16"/>
  <c r="AI2088" i="16"/>
  <c r="AJ2088" i="16" s="1"/>
  <c r="AG2088" i="16"/>
  <c r="AI2099" i="16"/>
  <c r="AJ2099" i="16" s="1"/>
  <c r="AG2099" i="16"/>
  <c r="AI2115" i="16"/>
  <c r="AJ2115" i="16" s="1"/>
  <c r="AG2115" i="16"/>
  <c r="AI2075" i="16"/>
  <c r="AJ2075" i="16" s="1"/>
  <c r="AG2075" i="16"/>
  <c r="AG2031" i="16"/>
  <c r="AI2031" i="16"/>
  <c r="AJ2031" i="16" s="1"/>
  <c r="AI2058" i="16"/>
  <c r="AJ2058" i="16" s="1"/>
  <c r="AG2058" i="16"/>
  <c r="AI2018" i="16"/>
  <c r="AJ2018" i="16" s="1"/>
  <c r="AG2018" i="16"/>
  <c r="AI1968" i="16"/>
  <c r="AJ1968" i="16" s="1"/>
  <c r="AG1968" i="16"/>
  <c r="AG1995" i="16"/>
  <c r="AI1995" i="16"/>
  <c r="AJ1995" i="16" s="1"/>
  <c r="AI1954" i="16"/>
  <c r="AJ1954" i="16" s="1"/>
  <c r="AG1954" i="16"/>
  <c r="AI1973" i="16"/>
  <c r="AJ1973" i="16" s="1"/>
  <c r="AG1973" i="16"/>
  <c r="AI2010" i="16"/>
  <c r="AJ2010" i="16" s="1"/>
  <c r="AG2010" i="16"/>
  <c r="AI1956" i="16"/>
  <c r="AJ1956" i="16" s="1"/>
  <c r="AG1956" i="16"/>
  <c r="AI1986" i="16"/>
  <c r="AJ1986" i="16" s="1"/>
  <c r="AG1986" i="16"/>
  <c r="AI1947" i="16"/>
  <c r="AJ1947" i="16" s="1"/>
  <c r="AG1947" i="16"/>
  <c r="AI1897" i="16"/>
  <c r="AJ1897" i="16" s="1"/>
  <c r="AG1897" i="16"/>
  <c r="AI1884" i="16"/>
  <c r="AJ1884" i="16" s="1"/>
  <c r="AG1884" i="16"/>
  <c r="AI1916" i="16"/>
  <c r="AJ1916" i="16" s="1"/>
  <c r="AG1916" i="16"/>
  <c r="AI1950" i="16"/>
  <c r="AJ1950" i="16" s="1"/>
  <c r="AG1950" i="16"/>
  <c r="AG1912" i="16"/>
  <c r="AI1912" i="16"/>
  <c r="AJ1912" i="16" s="1"/>
  <c r="AI1921" i="16"/>
  <c r="AJ1921" i="16" s="1"/>
  <c r="AG1921" i="16"/>
  <c r="AI1901" i="16"/>
  <c r="AJ1901" i="16" s="1"/>
  <c r="AG1901" i="16"/>
  <c r="AI1942" i="16"/>
  <c r="AJ1942" i="16" s="1"/>
  <c r="AG1942" i="16"/>
  <c r="AG1880" i="16"/>
  <c r="AI1880" i="16"/>
  <c r="AJ1880" i="16" s="1"/>
  <c r="AI1842" i="16"/>
  <c r="AJ1842" i="16" s="1"/>
  <c r="AG1842" i="16"/>
  <c r="AI1834" i="16"/>
  <c r="AJ1834" i="16" s="1"/>
  <c r="AG1834" i="16"/>
  <c r="AI1849" i="16"/>
  <c r="AJ1849" i="16" s="1"/>
  <c r="AG1849" i="16"/>
  <c r="AI1847" i="16"/>
  <c r="AJ1847" i="16" s="1"/>
  <c r="AG1847" i="16"/>
  <c r="AI1823" i="16"/>
  <c r="AJ1823" i="16" s="1"/>
  <c r="AG1823" i="16"/>
  <c r="AI1866" i="16"/>
  <c r="AJ1866" i="16" s="1"/>
  <c r="AG1866" i="16"/>
  <c r="AI1837" i="16"/>
  <c r="AJ1837" i="16" s="1"/>
  <c r="AG1837" i="16"/>
  <c r="AI1805" i="16"/>
  <c r="AJ1805" i="16" s="1"/>
  <c r="AG1805" i="16"/>
  <c r="AI1741" i="16"/>
  <c r="AJ1741" i="16" s="1"/>
  <c r="AG1741" i="16"/>
  <c r="AI1810" i="16"/>
  <c r="AJ1810" i="16" s="1"/>
  <c r="AG1810" i="16"/>
  <c r="AI1779" i="16"/>
  <c r="AJ1779" i="16" s="1"/>
  <c r="AG1779" i="16"/>
  <c r="AI1754" i="16"/>
  <c r="AJ1754" i="16" s="1"/>
  <c r="AG1754" i="16"/>
  <c r="AI1780" i="16"/>
  <c r="AJ1780" i="16" s="1"/>
  <c r="AG1780" i="16"/>
  <c r="AI1711" i="16"/>
  <c r="AJ1711" i="16" s="1"/>
  <c r="AG1711" i="16"/>
  <c r="AI1764" i="16"/>
  <c r="AJ1764" i="16" s="1"/>
  <c r="AG1764" i="16"/>
  <c r="AI1706" i="16"/>
  <c r="AJ1706" i="16" s="1"/>
  <c r="AG1706" i="16"/>
  <c r="AI1699" i="16"/>
  <c r="AJ1699" i="16" s="1"/>
  <c r="AG1699" i="16"/>
  <c r="AI1649" i="16"/>
  <c r="AJ1649" i="16" s="1"/>
  <c r="AG1649" i="16"/>
  <c r="AI1627" i="16"/>
  <c r="AJ1627" i="16" s="1"/>
  <c r="AG1627" i="16"/>
  <c r="AI1650" i="16"/>
  <c r="AJ1650" i="16" s="1"/>
  <c r="AG1650" i="16"/>
  <c r="AI1604" i="16"/>
  <c r="AJ1604" i="16" s="1"/>
  <c r="AG1604" i="16"/>
  <c r="AG1582" i="16"/>
  <c r="AI1582" i="16"/>
  <c r="AJ1582" i="16" s="1"/>
  <c r="AI1570" i="16"/>
  <c r="AJ1570" i="16" s="1"/>
  <c r="AG1570" i="16"/>
  <c r="AI1654" i="16"/>
  <c r="AJ1654" i="16" s="1"/>
  <c r="AG1654" i="16"/>
  <c r="AI1622" i="16"/>
  <c r="AJ1622" i="16" s="1"/>
  <c r="AG1622" i="16"/>
  <c r="AI1575" i="16"/>
  <c r="AJ1575" i="16" s="1"/>
  <c r="AG1575" i="16"/>
  <c r="AI1556" i="16"/>
  <c r="AJ1556" i="16" s="1"/>
  <c r="AG1556" i="16"/>
  <c r="AG1598" i="16"/>
  <c r="AI1598" i="16"/>
  <c r="AJ1598" i="16" s="1"/>
  <c r="AG1585" i="16"/>
  <c r="AI1585" i="16"/>
  <c r="AJ1585" i="16" s="1"/>
  <c r="AG1532" i="16"/>
  <c r="AI1532" i="16"/>
  <c r="AJ1532" i="16" s="1"/>
  <c r="AI1478" i="16"/>
  <c r="AJ1478" i="16" s="1"/>
  <c r="AG1478" i="16"/>
  <c r="AI1483" i="16"/>
  <c r="AJ1483" i="16" s="1"/>
  <c r="AG1483" i="16"/>
  <c r="AI1457" i="16"/>
  <c r="AJ1457" i="16" s="1"/>
  <c r="AG1457" i="16"/>
  <c r="AI1441" i="16"/>
  <c r="AJ1441" i="16" s="1"/>
  <c r="AG1441" i="16"/>
  <c r="AI1551" i="16"/>
  <c r="AJ1551" i="16" s="1"/>
  <c r="AG1551" i="16"/>
  <c r="AI1454" i="16"/>
  <c r="AJ1454" i="16" s="1"/>
  <c r="AG1454" i="16"/>
  <c r="AI1459" i="16"/>
  <c r="AJ1459" i="16" s="1"/>
  <c r="AG1459" i="16"/>
  <c r="AI1388" i="16"/>
  <c r="AJ1388" i="16" s="1"/>
  <c r="AG1388" i="16"/>
  <c r="AG1353" i="16"/>
  <c r="AI1353" i="16"/>
  <c r="AJ1353" i="16" s="1"/>
  <c r="AI1422" i="16"/>
  <c r="AJ1422" i="16" s="1"/>
  <c r="AG1422" i="16"/>
  <c r="AI1362" i="16"/>
  <c r="AJ1362" i="16" s="1"/>
  <c r="AG1362" i="16"/>
  <c r="AG1377" i="16"/>
  <c r="AI1377" i="16"/>
  <c r="AJ1377" i="16" s="1"/>
  <c r="AI1408" i="16"/>
  <c r="AJ1408" i="16" s="1"/>
  <c r="AG1408" i="16"/>
  <c r="AI1310" i="16"/>
  <c r="AJ1310" i="16" s="1"/>
  <c r="AG1310" i="16"/>
  <c r="AI1311" i="16"/>
  <c r="AJ1311" i="16" s="1"/>
  <c r="AG1311" i="16"/>
  <c r="AI1329" i="16"/>
  <c r="AJ1329" i="16" s="1"/>
  <c r="AG1329" i="16"/>
  <c r="AI1320" i="16"/>
  <c r="AJ1320" i="16" s="1"/>
  <c r="AG1320" i="16"/>
  <c r="AI742" i="16"/>
  <c r="AJ742" i="16" s="1"/>
  <c r="AG742" i="16"/>
  <c r="AI2218" i="16"/>
  <c r="AJ2218" i="16" s="1"/>
  <c r="AG2218" i="16"/>
  <c r="AG2163" i="16"/>
  <c r="AI2163" i="16"/>
  <c r="AJ2163" i="16" s="1"/>
  <c r="AI2238" i="16"/>
  <c r="AJ2238" i="16" s="1"/>
  <c r="AG2238" i="16"/>
  <c r="AG2239" i="16"/>
  <c r="AI2239" i="16"/>
  <c r="AJ2239" i="16" s="1"/>
  <c r="AI2258" i="16"/>
  <c r="AJ2258" i="16" s="1"/>
  <c r="AG2258" i="16"/>
  <c r="AI2210" i="16"/>
  <c r="AJ2210" i="16" s="1"/>
  <c r="AG2210" i="16"/>
  <c r="AG2249" i="16"/>
  <c r="AI2249" i="16"/>
  <c r="AJ2249" i="16" s="1"/>
  <c r="AG2231" i="16"/>
  <c r="AI2231" i="16"/>
  <c r="AJ2231" i="16" s="1"/>
  <c r="AI2242" i="16"/>
  <c r="AJ2242" i="16" s="1"/>
  <c r="AG2242" i="16"/>
  <c r="AG2255" i="16"/>
  <c r="AI2255" i="16"/>
  <c r="AJ2255" i="16" s="1"/>
  <c r="AI2200" i="16"/>
  <c r="AJ2200" i="16" s="1"/>
  <c r="AG2200" i="16"/>
  <c r="AI2197" i="16"/>
  <c r="AJ2197" i="16" s="1"/>
  <c r="AG2197" i="16"/>
  <c r="AI2212" i="16"/>
  <c r="AJ2212" i="16" s="1"/>
  <c r="AG2212" i="16"/>
  <c r="AI2171" i="16"/>
  <c r="AJ2171" i="16" s="1"/>
  <c r="AG2171" i="16"/>
  <c r="AI2138" i="16"/>
  <c r="AJ2138" i="16" s="1"/>
  <c r="AG2138" i="16"/>
  <c r="AI2142" i="16"/>
  <c r="AJ2142" i="16" s="1"/>
  <c r="AG2142" i="16"/>
  <c r="AI2103" i="16"/>
  <c r="AJ2103" i="16" s="1"/>
  <c r="AG2103" i="16"/>
  <c r="AI2096" i="16"/>
  <c r="AJ2096" i="16" s="1"/>
  <c r="AG2096" i="16"/>
  <c r="AI2071" i="16"/>
  <c r="AJ2071" i="16" s="1"/>
  <c r="AG2071" i="16"/>
  <c r="AI2022" i="16"/>
  <c r="AJ2022" i="16" s="1"/>
  <c r="AG2022" i="16"/>
  <c r="AI2040" i="16"/>
  <c r="AJ2040" i="16" s="1"/>
  <c r="AG2040" i="16"/>
  <c r="AI2017" i="16"/>
  <c r="AJ2017" i="16" s="1"/>
  <c r="AG2017" i="16"/>
  <c r="AI2064" i="16"/>
  <c r="AJ2064" i="16" s="1"/>
  <c r="AG2064" i="16"/>
  <c r="AI1965" i="16"/>
  <c r="AJ1965" i="16" s="1"/>
  <c r="AG1965" i="16"/>
  <c r="AI2007" i="16"/>
  <c r="AJ2007" i="16" s="1"/>
  <c r="AG2007" i="16"/>
  <c r="AG1955" i="16"/>
  <c r="AI1955" i="16"/>
  <c r="AJ1955" i="16" s="1"/>
  <c r="AI1984" i="16"/>
  <c r="AJ1984" i="16" s="1"/>
  <c r="AG1984" i="16"/>
  <c r="AI1918" i="16"/>
  <c r="AJ1918" i="16" s="1"/>
  <c r="AG1918" i="16"/>
  <c r="AI1893" i="16"/>
  <c r="AJ1893" i="16" s="1"/>
  <c r="AG1893" i="16"/>
  <c r="AG1928" i="16"/>
  <c r="AI1928" i="16"/>
  <c r="AJ1928" i="16" s="1"/>
  <c r="AI1919" i="16"/>
  <c r="AJ1919" i="16" s="1"/>
  <c r="AG1919" i="16"/>
  <c r="AI1931" i="16"/>
  <c r="AJ1931" i="16" s="1"/>
  <c r="AG1931" i="16"/>
  <c r="AI1829" i="16"/>
  <c r="AJ1829" i="16" s="1"/>
  <c r="AG1829" i="16"/>
  <c r="AI1868" i="16"/>
  <c r="AJ1868" i="16" s="1"/>
  <c r="AG1868" i="16"/>
  <c r="AI1820" i="16"/>
  <c r="AJ1820" i="16" s="1"/>
  <c r="AG1820" i="16"/>
  <c r="AG1830" i="16"/>
  <c r="AI1830" i="16"/>
  <c r="AJ1830" i="16" s="1"/>
  <c r="AI1844" i="16"/>
  <c r="AJ1844" i="16" s="1"/>
  <c r="AG1844" i="16"/>
  <c r="AI1796" i="16"/>
  <c r="AJ1796" i="16" s="1"/>
  <c r="AG1796" i="16"/>
  <c r="AI1771" i="16"/>
  <c r="AJ1771" i="16" s="1"/>
  <c r="AG1771" i="16"/>
  <c r="AI1727" i="16"/>
  <c r="AJ1727" i="16" s="1"/>
  <c r="AG1727" i="16"/>
  <c r="AI1813" i="16"/>
  <c r="AJ1813" i="16" s="1"/>
  <c r="AG1813" i="16"/>
  <c r="AI1818" i="16"/>
  <c r="AJ1818" i="16" s="1"/>
  <c r="AG1818" i="16"/>
  <c r="AI1749" i="16"/>
  <c r="AJ1749" i="16" s="1"/>
  <c r="AG1749" i="16"/>
  <c r="AI1730" i="16"/>
  <c r="AJ1730" i="16" s="1"/>
  <c r="AG1730" i="16"/>
  <c r="AG1718" i="16"/>
  <c r="AI1718" i="16"/>
  <c r="AJ1718" i="16" s="1"/>
  <c r="AI1696" i="16"/>
  <c r="AJ1696" i="16" s="1"/>
  <c r="AG1696" i="16"/>
  <c r="AI1634" i="16"/>
  <c r="AJ1634" i="16" s="1"/>
  <c r="AG1634" i="16"/>
  <c r="AI1664" i="16"/>
  <c r="AJ1664" i="16" s="1"/>
  <c r="AG1664" i="16"/>
  <c r="AI1632" i="16"/>
  <c r="AJ1632" i="16" s="1"/>
  <c r="AG1632" i="16"/>
  <c r="AI1678" i="16"/>
  <c r="AJ1678" i="16" s="1"/>
  <c r="AG1678" i="16"/>
  <c r="AI1637" i="16"/>
  <c r="AJ1637" i="16" s="1"/>
  <c r="AG1637" i="16"/>
  <c r="AG1601" i="16"/>
  <c r="AI1601" i="16"/>
  <c r="AJ1601" i="16" s="1"/>
  <c r="AI1562" i="16"/>
  <c r="AJ1562" i="16" s="1"/>
  <c r="AG1562" i="16"/>
  <c r="AI1546" i="16"/>
  <c r="AJ1546" i="16" s="1"/>
  <c r="AG1546" i="16"/>
  <c r="AI1572" i="16"/>
  <c r="AJ1572" i="16" s="1"/>
  <c r="AG1572" i="16"/>
  <c r="AI1581" i="16"/>
  <c r="AJ1581" i="16" s="1"/>
  <c r="AG1581" i="16"/>
  <c r="AG1508" i="16"/>
  <c r="AI1508" i="16"/>
  <c r="AJ1508" i="16" s="1"/>
  <c r="AI1543" i="16"/>
  <c r="AJ1543" i="16" s="1"/>
  <c r="AG1543" i="16"/>
  <c r="AG1526" i="16"/>
  <c r="AI1526" i="16"/>
  <c r="AJ1526" i="16" s="1"/>
  <c r="AI1549" i="16"/>
  <c r="AJ1549" i="16" s="1"/>
  <c r="AG1549" i="16"/>
  <c r="AI1476" i="16"/>
  <c r="AJ1476" i="16" s="1"/>
  <c r="AG1476" i="16"/>
  <c r="AI1479" i="16"/>
  <c r="AJ1479" i="16" s="1"/>
  <c r="AG1479" i="16"/>
  <c r="AG1445" i="16"/>
  <c r="AI1445" i="16"/>
  <c r="AJ1445" i="16" s="1"/>
  <c r="AG1453" i="16"/>
  <c r="AI1453" i="16"/>
  <c r="AJ1453" i="16" s="1"/>
  <c r="AI1502" i="16"/>
  <c r="AJ1502" i="16" s="1"/>
  <c r="AG1502" i="16"/>
  <c r="AI1481" i="16"/>
  <c r="AJ1481" i="16" s="1"/>
  <c r="AG1481" i="16"/>
  <c r="AG1434" i="16"/>
  <c r="AI1434" i="16"/>
  <c r="AJ1434" i="16" s="1"/>
  <c r="AI1538" i="16"/>
  <c r="AJ1538" i="16" s="1"/>
  <c r="AG1538" i="16"/>
  <c r="AG1485" i="16"/>
  <c r="AI1485" i="16"/>
  <c r="AJ1485" i="16" s="1"/>
  <c r="AI1455" i="16"/>
  <c r="AJ1455" i="16" s="1"/>
  <c r="AG1455" i="16"/>
  <c r="AI1489" i="16"/>
  <c r="AJ1489" i="16" s="1"/>
  <c r="AG1489" i="16"/>
  <c r="AG1385" i="16"/>
  <c r="AI1385" i="16"/>
  <c r="AJ1385" i="16" s="1"/>
  <c r="AI1450" i="16"/>
  <c r="AJ1450" i="16" s="1"/>
  <c r="AG1450" i="16"/>
  <c r="AI1406" i="16"/>
  <c r="AJ1406" i="16" s="1"/>
  <c r="AG1406" i="16"/>
  <c r="AI1375" i="16"/>
  <c r="AJ1375" i="16" s="1"/>
  <c r="AG1375" i="16"/>
  <c r="AG1417" i="16"/>
  <c r="AI1417" i="16"/>
  <c r="AJ1417" i="16" s="1"/>
  <c r="AI1392" i="16"/>
  <c r="AJ1392" i="16" s="1"/>
  <c r="AG1392" i="16"/>
  <c r="AI1367" i="16"/>
  <c r="AJ1367" i="16" s="1"/>
  <c r="AG1367" i="16"/>
  <c r="AI1421" i="16"/>
  <c r="AJ1421" i="16" s="1"/>
  <c r="AG1421" i="16"/>
  <c r="AG1315" i="16"/>
  <c r="AI1315" i="16"/>
  <c r="AJ1315" i="16" s="1"/>
  <c r="AI1270" i="16"/>
  <c r="AJ1270" i="16" s="1"/>
  <c r="AG1270" i="16"/>
  <c r="AI1287" i="16"/>
  <c r="AJ1287" i="16" s="1"/>
  <c r="AG1287" i="16"/>
  <c r="AI723" i="16"/>
  <c r="AJ723" i="16" s="1"/>
  <c r="AG723" i="16"/>
  <c r="AI2220" i="16"/>
  <c r="AJ2220" i="16" s="1"/>
  <c r="AG2220" i="16"/>
  <c r="AI2230" i="16"/>
  <c r="AJ2230" i="16" s="1"/>
  <c r="AG2230" i="16"/>
  <c r="AG2167" i="16"/>
  <c r="AI2167" i="16"/>
  <c r="AJ2167" i="16" s="1"/>
  <c r="AI2152" i="16"/>
  <c r="AJ2152" i="16" s="1"/>
  <c r="AG2152" i="16"/>
  <c r="AI2132" i="16"/>
  <c r="AJ2132" i="16" s="1"/>
  <c r="AG2132" i="16"/>
  <c r="AI2122" i="16"/>
  <c r="AJ2122" i="16" s="1"/>
  <c r="AG2122" i="16"/>
  <c r="AI2139" i="16"/>
  <c r="AJ2139" i="16" s="1"/>
  <c r="AG2139" i="16"/>
  <c r="AI1765" i="16"/>
  <c r="AJ1765" i="16" s="1"/>
  <c r="AG1765" i="16"/>
  <c r="AI1702" i="16"/>
  <c r="AJ1702" i="16" s="1"/>
  <c r="AG1702" i="16"/>
  <c r="AG1566" i="16"/>
  <c r="AI1566" i="16"/>
  <c r="AJ1566" i="16" s="1"/>
  <c r="AI1530" i="16"/>
  <c r="AJ1530" i="16" s="1"/>
  <c r="AG1530" i="16"/>
  <c r="AI1405" i="16"/>
  <c r="AJ1405" i="16" s="1"/>
  <c r="AG1405" i="16"/>
  <c r="AI2226" i="16"/>
  <c r="AJ2226" i="16" s="1"/>
  <c r="AG2226" i="16"/>
  <c r="AG2233" i="16"/>
  <c r="AI2233" i="16"/>
  <c r="AJ2233" i="16" s="1"/>
  <c r="AI2246" i="16"/>
  <c r="AJ2246" i="16" s="1"/>
  <c r="AG2246" i="16"/>
  <c r="AI2175" i="16"/>
  <c r="AJ2175" i="16" s="1"/>
  <c r="AG2175" i="16"/>
  <c r="AG2186" i="16"/>
  <c r="AI2186" i="16"/>
  <c r="AJ2186" i="16" s="1"/>
  <c r="AI2211" i="16"/>
  <c r="AJ2211" i="16" s="1"/>
  <c r="AG2211" i="16"/>
  <c r="AI2181" i="16"/>
  <c r="AJ2181" i="16" s="1"/>
  <c r="AG2181" i="16"/>
  <c r="AI2169" i="16"/>
  <c r="AJ2169" i="16" s="1"/>
  <c r="AG2169" i="16"/>
  <c r="AI2214" i="16"/>
  <c r="AJ2214" i="16" s="1"/>
  <c r="AG2214" i="16"/>
  <c r="AI2158" i="16"/>
  <c r="AJ2158" i="16" s="1"/>
  <c r="AG2158" i="16"/>
  <c r="AI2136" i="16"/>
  <c r="AJ2136" i="16" s="1"/>
  <c r="AG2136" i="16"/>
  <c r="AG2119" i="16"/>
  <c r="AI2119" i="16"/>
  <c r="AJ2119" i="16" s="1"/>
  <c r="AI2123" i="16"/>
  <c r="AJ2123" i="16" s="1"/>
  <c r="AG2123" i="16"/>
  <c r="AI2120" i="16"/>
  <c r="AJ2120" i="16" s="1"/>
  <c r="AG2120" i="16"/>
  <c r="AI2015" i="16"/>
  <c r="AJ2015" i="16" s="1"/>
  <c r="AG2015" i="16"/>
  <c r="AI2029" i="16"/>
  <c r="AJ2029" i="16" s="1"/>
  <c r="AG2029" i="16"/>
  <c r="AG2016" i="16"/>
  <c r="AI2016" i="16"/>
  <c r="AJ2016" i="16" s="1"/>
  <c r="AI2062" i="16"/>
  <c r="AJ2062" i="16" s="1"/>
  <c r="AG2062" i="16"/>
  <c r="AI1958" i="16"/>
  <c r="AJ1958" i="16" s="1"/>
  <c r="AG1958" i="16"/>
  <c r="AI1994" i="16"/>
  <c r="AJ1994" i="16" s="1"/>
  <c r="AG1994" i="16"/>
  <c r="AG1987" i="16"/>
  <c r="AI1987" i="16"/>
  <c r="AJ1987" i="16" s="1"/>
  <c r="AI1902" i="16"/>
  <c r="AJ1902" i="16" s="1"/>
  <c r="AG1902" i="16"/>
  <c r="AI1887" i="16"/>
  <c r="AJ1887" i="16" s="1"/>
  <c r="AG1887" i="16"/>
  <c r="AI1917" i="16"/>
  <c r="AJ1917" i="16" s="1"/>
  <c r="AG1917" i="16"/>
  <c r="AI1924" i="16"/>
  <c r="AJ1924" i="16" s="1"/>
  <c r="AG1924" i="16"/>
  <c r="AI1845" i="16"/>
  <c r="AJ1845" i="16" s="1"/>
  <c r="AG1845" i="16"/>
  <c r="AI1881" i="16"/>
  <c r="AJ1881" i="16" s="1"/>
  <c r="AG1881" i="16"/>
  <c r="AI1824" i="16"/>
  <c r="AJ1824" i="16" s="1"/>
  <c r="AG1824" i="16"/>
  <c r="AI1850" i="16"/>
  <c r="AJ1850" i="16" s="1"/>
  <c r="AG1850" i="16"/>
  <c r="AI1763" i="16"/>
  <c r="AJ1763" i="16" s="1"/>
  <c r="AG1763" i="16"/>
  <c r="AI1759" i="16"/>
  <c r="AJ1759" i="16" s="1"/>
  <c r="AG1759" i="16"/>
  <c r="AI1772" i="16"/>
  <c r="AJ1772" i="16" s="1"/>
  <c r="AG1772" i="16"/>
  <c r="AG1774" i="16"/>
  <c r="AI1774" i="16"/>
  <c r="AJ1774" i="16" s="1"/>
  <c r="AI1728" i="16"/>
  <c r="AJ1728" i="16" s="1"/>
  <c r="AG1728" i="16"/>
  <c r="AI1686" i="16"/>
  <c r="AJ1686" i="16" s="1"/>
  <c r="AG1686" i="16"/>
  <c r="AI1665" i="16"/>
  <c r="AJ1665" i="16" s="1"/>
  <c r="AG1665" i="16"/>
  <c r="AI1643" i="16"/>
  <c r="AJ1643" i="16" s="1"/>
  <c r="AG1643" i="16"/>
  <c r="AI1597" i="16"/>
  <c r="AJ1597" i="16" s="1"/>
  <c r="AG1597" i="16"/>
  <c r="AI1578" i="16"/>
  <c r="AJ1578" i="16" s="1"/>
  <c r="AG1578" i="16"/>
  <c r="AG1516" i="16"/>
  <c r="AI1516" i="16"/>
  <c r="AJ1516" i="16" s="1"/>
  <c r="AI1645" i="16"/>
  <c r="AJ1645" i="16" s="1"/>
  <c r="AG1645" i="16"/>
  <c r="AG1577" i="16"/>
  <c r="AI1577" i="16"/>
  <c r="AJ1577" i="16" s="1"/>
  <c r="AI1560" i="16"/>
  <c r="AJ1560" i="16" s="1"/>
  <c r="AG1560" i="16"/>
  <c r="AG1524" i="16"/>
  <c r="AI1524" i="16"/>
  <c r="AJ1524" i="16" s="1"/>
  <c r="AI1519" i="16"/>
  <c r="AJ1519" i="16" s="1"/>
  <c r="AG1519" i="16"/>
  <c r="AI1522" i="16"/>
  <c r="AJ1522" i="16" s="1"/>
  <c r="AG1522" i="16"/>
  <c r="AI1472" i="16"/>
  <c r="AJ1472" i="16" s="1"/>
  <c r="AG1472" i="16"/>
  <c r="AI1494" i="16"/>
  <c r="AJ1494" i="16" s="1"/>
  <c r="AG1494" i="16"/>
  <c r="AI1500" i="16"/>
  <c r="AJ1500" i="16" s="1"/>
  <c r="AG1500" i="16"/>
  <c r="AI1473" i="16"/>
  <c r="AJ1473" i="16" s="1"/>
  <c r="AG1473" i="16"/>
  <c r="AI1535" i="16"/>
  <c r="AJ1535" i="16" s="1"/>
  <c r="AG1535" i="16"/>
  <c r="AG1477" i="16"/>
  <c r="AI1477" i="16"/>
  <c r="AJ1477" i="16" s="1"/>
  <c r="AI1410" i="16"/>
  <c r="AJ1410" i="16" s="1"/>
  <c r="AG1410" i="16"/>
  <c r="AI1380" i="16"/>
  <c r="AJ1380" i="16" s="1"/>
  <c r="AG1380" i="16"/>
  <c r="AI1346" i="16"/>
  <c r="AJ1346" i="16" s="1"/>
  <c r="AG1346" i="16"/>
  <c r="AI1412" i="16"/>
  <c r="AJ1412" i="16" s="1"/>
  <c r="AG1412" i="16"/>
  <c r="AI1390" i="16"/>
  <c r="AJ1390" i="16" s="1"/>
  <c r="AG1390" i="16"/>
  <c r="AI1387" i="16"/>
  <c r="AJ1387" i="16" s="1"/>
  <c r="AG1387" i="16"/>
  <c r="AI1352" i="16"/>
  <c r="AJ1352" i="16" s="1"/>
  <c r="AG1352" i="16"/>
  <c r="AI1309" i="16"/>
  <c r="AJ1309" i="16" s="1"/>
  <c r="AG1309" i="16"/>
  <c r="AI1324" i="16"/>
  <c r="AJ1324" i="16" s="1"/>
  <c r="AG1324" i="16"/>
  <c r="AI1300" i="16"/>
  <c r="AJ1300" i="16" s="1"/>
  <c r="AI1129" i="16"/>
  <c r="AJ1129" i="16" s="1"/>
  <c r="AG1129" i="16"/>
  <c r="AG737" i="16"/>
  <c r="AI737" i="16"/>
  <c r="AJ737" i="16" s="1"/>
  <c r="AI2206" i="16"/>
  <c r="AJ2206" i="16" s="1"/>
  <c r="AG2206" i="16"/>
  <c r="AG2078" i="16"/>
  <c r="AI2078" i="16"/>
  <c r="AJ2078" i="16" s="1"/>
  <c r="AI2093" i="16"/>
  <c r="AJ2093" i="16" s="1"/>
  <c r="AG2093" i="16"/>
  <c r="AI2111" i="16"/>
  <c r="AJ2111" i="16" s="1"/>
  <c r="AG2111" i="16"/>
  <c r="AI2092" i="16"/>
  <c r="AJ2092" i="16" s="1"/>
  <c r="AG2092" i="16"/>
  <c r="AI2060" i="16"/>
  <c r="AJ2060" i="16" s="1"/>
  <c r="AG2060" i="16"/>
  <c r="AI2032" i="16"/>
  <c r="AJ2032" i="16" s="1"/>
  <c r="AG2032" i="16"/>
  <c r="AG2063" i="16"/>
  <c r="AI2063" i="16"/>
  <c r="AJ2063" i="16" s="1"/>
  <c r="AI2042" i="16"/>
  <c r="AJ2042" i="16" s="1"/>
  <c r="AG2042" i="16"/>
  <c r="AI2070" i="16"/>
  <c r="AJ2070" i="16" s="1"/>
  <c r="AG2070" i="16"/>
  <c r="AI2000" i="16"/>
  <c r="AJ2000" i="16" s="1"/>
  <c r="AG2000" i="16"/>
  <c r="AG1963" i="16"/>
  <c r="AI1963" i="16"/>
  <c r="AJ1963" i="16" s="1"/>
  <c r="AI1989" i="16"/>
  <c r="AJ1989" i="16" s="1"/>
  <c r="AG1989" i="16"/>
  <c r="AI1911" i="16"/>
  <c r="AJ1911" i="16" s="1"/>
  <c r="AG1911" i="16"/>
  <c r="AI1932" i="16"/>
  <c r="AJ1932" i="16" s="1"/>
  <c r="AG1932" i="16"/>
  <c r="AI1885" i="16"/>
  <c r="AJ1885" i="16" s="1"/>
  <c r="AG1885" i="16"/>
  <c r="AI1935" i="16"/>
  <c r="AJ1935" i="16" s="1"/>
  <c r="AG1935" i="16"/>
  <c r="AI1910" i="16"/>
  <c r="AJ1910" i="16" s="1"/>
  <c r="AG1910" i="16"/>
  <c r="AG1896" i="16"/>
  <c r="AI1896" i="16"/>
  <c r="AJ1896" i="16" s="1"/>
  <c r="AI1894" i="16"/>
  <c r="AJ1894" i="16" s="1"/>
  <c r="AG1894" i="16"/>
  <c r="AI1915" i="16"/>
  <c r="AJ1915" i="16" s="1"/>
  <c r="AG1915" i="16"/>
  <c r="AI1869" i="16"/>
  <c r="AJ1869" i="16" s="1"/>
  <c r="AG1869" i="16"/>
  <c r="AI1819" i="16"/>
  <c r="AJ1819" i="16" s="1"/>
  <c r="AG1819" i="16"/>
  <c r="AG1879" i="16"/>
  <c r="AI1879" i="16"/>
  <c r="AJ1879" i="16" s="1"/>
  <c r="AI1858" i="16"/>
  <c r="AJ1858" i="16" s="1"/>
  <c r="AG1858" i="16"/>
  <c r="AI1731" i="16"/>
  <c r="AJ1731" i="16" s="1"/>
  <c r="AG1731" i="16"/>
  <c r="AI1680" i="16"/>
  <c r="AJ1680" i="16" s="1"/>
  <c r="AG1680" i="16"/>
  <c r="AI1713" i="16"/>
  <c r="AJ1713" i="16" s="1"/>
  <c r="AG1713" i="16"/>
  <c r="AI1602" i="16"/>
  <c r="AJ1602" i="16" s="1"/>
  <c r="AG1602" i="16"/>
  <c r="AI1490" i="16"/>
  <c r="AJ1490" i="16" s="1"/>
  <c r="AG1490" i="16"/>
  <c r="AI1495" i="16"/>
  <c r="AJ1495" i="16" s="1"/>
  <c r="AG1495" i="16"/>
  <c r="AI1449" i="16"/>
  <c r="AJ1449" i="16" s="1"/>
  <c r="AG1449" i="16"/>
  <c r="AI2191" i="16"/>
  <c r="AJ2191" i="16" s="1"/>
  <c r="AG2191" i="16"/>
  <c r="AG2182" i="16"/>
  <c r="AI2182" i="16"/>
  <c r="AJ2182" i="16" s="1"/>
  <c r="AI2257" i="16"/>
  <c r="AJ2257" i="16" s="1"/>
  <c r="AG2257" i="16"/>
  <c r="AI2251" i="16"/>
  <c r="AJ2251" i="16" s="1"/>
  <c r="AG2251" i="16"/>
  <c r="AI2222" i="16"/>
  <c r="AJ2222" i="16" s="1"/>
  <c r="AG2222" i="16"/>
  <c r="AG2225" i="16"/>
  <c r="AI2225" i="16"/>
  <c r="AJ2225" i="16" s="1"/>
  <c r="AI2235" i="16"/>
  <c r="AJ2235" i="16" s="1"/>
  <c r="AG2235" i="16"/>
  <c r="AI2254" i="16"/>
  <c r="AJ2254" i="16" s="1"/>
  <c r="AG2254" i="16"/>
  <c r="AG2241" i="16"/>
  <c r="AI2241" i="16"/>
  <c r="AJ2241" i="16" s="1"/>
  <c r="AI2195" i="16"/>
  <c r="AJ2195" i="16" s="1"/>
  <c r="AG2195" i="16"/>
  <c r="AI2168" i="16"/>
  <c r="AJ2168" i="16" s="1"/>
  <c r="AG2168" i="16"/>
  <c r="AI2193" i="16"/>
  <c r="AJ2193" i="16" s="1"/>
  <c r="AG2193" i="16"/>
  <c r="AI2159" i="16"/>
  <c r="AJ2159" i="16" s="1"/>
  <c r="AG2159" i="16"/>
  <c r="AI2134" i="16"/>
  <c r="AJ2134" i="16" s="1"/>
  <c r="AG2134" i="16"/>
  <c r="AI2154" i="16"/>
  <c r="AJ2154" i="16" s="1"/>
  <c r="AG2154" i="16"/>
  <c r="AG2118" i="16"/>
  <c r="AI2118" i="16"/>
  <c r="AJ2118" i="16" s="1"/>
  <c r="AI2079" i="16"/>
  <c r="AJ2079" i="16" s="1"/>
  <c r="AG2079" i="16"/>
  <c r="AI2080" i="16"/>
  <c r="AJ2080" i="16" s="1"/>
  <c r="AG2080" i="16"/>
  <c r="AI2104" i="16"/>
  <c r="AJ2104" i="16" s="1"/>
  <c r="AG2104" i="16"/>
  <c r="AG2084" i="16"/>
  <c r="AI2084" i="16"/>
  <c r="AJ2084" i="16" s="1"/>
  <c r="AI2076" i="16"/>
  <c r="AJ2076" i="16" s="1"/>
  <c r="AG2076" i="16"/>
  <c r="AI2037" i="16"/>
  <c r="AJ2037" i="16" s="1"/>
  <c r="AG2037" i="16"/>
  <c r="AI2024" i="16"/>
  <c r="AJ2024" i="16" s="1"/>
  <c r="AG2024" i="16"/>
  <c r="AI2002" i="16"/>
  <c r="AJ2002" i="16" s="1"/>
  <c r="AG2002" i="16"/>
  <c r="AI1992" i="16"/>
  <c r="AJ1992" i="16" s="1"/>
  <c r="AG1992" i="16"/>
  <c r="AI2012" i="16"/>
  <c r="AJ2012" i="16" s="1"/>
  <c r="AG2012" i="16"/>
  <c r="AI1934" i="16"/>
  <c r="AJ1934" i="16" s="1"/>
  <c r="AG1934" i="16"/>
  <c r="AI1913" i="16"/>
  <c r="AJ1913" i="16" s="1"/>
  <c r="AG1913" i="16"/>
  <c r="AG1886" i="16"/>
  <c r="AI1886" i="16"/>
  <c r="AJ1886" i="16" s="1"/>
  <c r="AI1937" i="16"/>
  <c r="AJ1937" i="16" s="1"/>
  <c r="AG1937" i="16"/>
  <c r="AG1822" i="16"/>
  <c r="AI1822" i="16"/>
  <c r="AJ1822" i="16" s="1"/>
  <c r="AG1870" i="16"/>
  <c r="AI1870" i="16"/>
  <c r="AJ1870" i="16" s="1"/>
  <c r="AG1862" i="16"/>
  <c r="AI1862" i="16"/>
  <c r="AJ1862" i="16" s="1"/>
  <c r="AI1725" i="16"/>
  <c r="AJ1725" i="16" s="1"/>
  <c r="AG1725" i="16"/>
  <c r="AI1739" i="16"/>
  <c r="AJ1739" i="16" s="1"/>
  <c r="AG1739" i="16"/>
  <c r="AI1723" i="16"/>
  <c r="AJ1723" i="16" s="1"/>
  <c r="AG1723" i="16"/>
  <c r="AI1802" i="16"/>
  <c r="AJ1802" i="16" s="1"/>
  <c r="AG1802" i="16"/>
  <c r="AI1770" i="16"/>
  <c r="AJ1770" i="16" s="1"/>
  <c r="AG1770" i="16"/>
  <c r="AG1742" i="16"/>
  <c r="AI1742" i="16"/>
  <c r="AJ1742" i="16" s="1"/>
  <c r="AI1624" i="16"/>
  <c r="AJ1624" i="16" s="1"/>
  <c r="AG1624" i="16"/>
  <c r="AI1683" i="16"/>
  <c r="AJ1683" i="16" s="1"/>
  <c r="AG1683" i="16"/>
  <c r="AI1614" i="16"/>
  <c r="AJ1614" i="16" s="1"/>
  <c r="AG1614" i="16"/>
  <c r="AI1674" i="16"/>
  <c r="AJ1674" i="16" s="1"/>
  <c r="AG1674" i="16"/>
  <c r="AI1653" i="16"/>
  <c r="AJ1653" i="16" s="1"/>
  <c r="AG1653" i="16"/>
  <c r="AI1630" i="16"/>
  <c r="AJ1630" i="16" s="1"/>
  <c r="AG1630" i="16"/>
  <c r="AG1679" i="16"/>
  <c r="AI1679" i="16"/>
  <c r="AJ1679" i="16" s="1"/>
  <c r="AI1554" i="16"/>
  <c r="AJ1554" i="16" s="1"/>
  <c r="AG1554" i="16"/>
  <c r="AI1567" i="16"/>
  <c r="AJ1567" i="16" s="1"/>
  <c r="AG1567" i="16"/>
  <c r="AI1573" i="16"/>
  <c r="AJ1573" i="16" s="1"/>
  <c r="AG1573" i="16"/>
  <c r="AG1558" i="16"/>
  <c r="AI1558" i="16"/>
  <c r="AJ1558" i="16" s="1"/>
  <c r="AG1518" i="16"/>
  <c r="AI1518" i="16"/>
  <c r="AJ1518" i="16" s="1"/>
  <c r="AI1506" i="16"/>
  <c r="AJ1506" i="16" s="1"/>
  <c r="AG1506" i="16"/>
  <c r="AI1492" i="16"/>
  <c r="AJ1492" i="16" s="1"/>
  <c r="AG1492" i="16"/>
  <c r="AI1499" i="16"/>
  <c r="AJ1499" i="16" s="1"/>
  <c r="AG1499" i="16"/>
  <c r="AG1469" i="16"/>
  <c r="AI1469" i="16"/>
  <c r="AJ1469" i="16" s="1"/>
  <c r="AI1525" i="16"/>
  <c r="AJ1525" i="16" s="1"/>
  <c r="AG1525" i="16"/>
  <c r="AG1345" i="16"/>
  <c r="AI1345" i="16"/>
  <c r="AJ1345" i="16" s="1"/>
  <c r="AI1371" i="16"/>
  <c r="AJ1371" i="16" s="1"/>
  <c r="AG1371" i="16"/>
  <c r="AI1533" i="16"/>
  <c r="AJ1533" i="16" s="1"/>
  <c r="AG1533" i="16"/>
  <c r="AI1394" i="16"/>
  <c r="AJ1394" i="16" s="1"/>
  <c r="AG1394" i="16"/>
  <c r="AI1372" i="16"/>
  <c r="AJ1372" i="16" s="1"/>
  <c r="AG1372" i="16"/>
  <c r="AI1354" i="16"/>
  <c r="AJ1354" i="16" s="1"/>
  <c r="AG1354" i="16"/>
  <c r="AI1364" i="16"/>
  <c r="AJ1364" i="16" s="1"/>
  <c r="AG1364" i="16"/>
  <c r="AI1415" i="16"/>
  <c r="AJ1415" i="16" s="1"/>
  <c r="AG1415" i="16"/>
  <c r="AI1365" i="16"/>
  <c r="AJ1365" i="16" s="1"/>
  <c r="AG1365" i="16"/>
  <c r="AI1321" i="16"/>
  <c r="AJ1321" i="16" s="1"/>
  <c r="AG1321" i="16"/>
  <c r="AI1376" i="16"/>
  <c r="AJ1376" i="16" s="1"/>
  <c r="AG1376" i="16"/>
  <c r="AI1063" i="16"/>
  <c r="AJ1063" i="16" s="1"/>
  <c r="AG1063" i="16"/>
  <c r="AI1008" i="16"/>
  <c r="AJ1008" i="16" s="1"/>
  <c r="AG1008" i="16"/>
  <c r="AI682" i="16"/>
  <c r="AJ682" i="16" s="1"/>
  <c r="AG682" i="16"/>
  <c r="K37" i="5"/>
  <c r="K36" i="5"/>
  <c r="I324" i="39"/>
  <c r="I320" i="39"/>
  <c r="I321" i="39"/>
  <c r="I322" i="39"/>
  <c r="I323" i="39"/>
  <c r="I325" i="39"/>
  <c r="I326" i="39"/>
  <c r="I327" i="39"/>
  <c r="I328" i="39"/>
  <c r="I329" i="39"/>
  <c r="K483" i="11"/>
  <c r="K482" i="11"/>
  <c r="K481" i="11"/>
  <c r="K480" i="11"/>
  <c r="K479" i="11"/>
  <c r="K478" i="11"/>
  <c r="K477" i="11"/>
  <c r="K475" i="11"/>
  <c r="K473" i="11"/>
  <c r="K21" i="5"/>
  <c r="K24" i="11"/>
  <c r="K26" i="11"/>
  <c r="K28" i="11"/>
  <c r="K30" i="11"/>
  <c r="K32" i="11"/>
  <c r="K34" i="11"/>
  <c r="AI1305" i="16" l="1"/>
  <c r="AJ1305" i="16" s="1"/>
  <c r="AG1305" i="16"/>
  <c r="AI1245" i="16"/>
  <c r="AJ1245" i="16" s="1"/>
  <c r="AG1245" i="16"/>
  <c r="AC236" i="16"/>
  <c r="AD236" i="16" s="1"/>
  <c r="Q236" i="16"/>
  <c r="R236" i="16" s="1"/>
  <c r="S236" i="16" s="1"/>
  <c r="T236" i="16" s="1"/>
  <c r="AE236" i="16" s="1"/>
  <c r="AI1296" i="16"/>
  <c r="AJ1296" i="16" s="1"/>
  <c r="AG1296" i="16"/>
  <c r="AG1290" i="16"/>
  <c r="AI1290" i="16"/>
  <c r="AJ1290" i="16" s="1"/>
  <c r="AI1288" i="16"/>
  <c r="AJ1288" i="16" s="1"/>
  <c r="AG1288" i="16"/>
  <c r="AI1276" i="16"/>
  <c r="AJ1276" i="16" s="1"/>
  <c r="AG1276" i="16"/>
  <c r="AI1268" i="16"/>
  <c r="AJ1268" i="16" s="1"/>
  <c r="AG1268" i="16"/>
  <c r="AG897" i="16"/>
  <c r="AI897" i="16"/>
  <c r="AJ897" i="16" s="1"/>
  <c r="AI1166" i="16"/>
  <c r="AJ1166" i="16" s="1"/>
  <c r="AI1301" i="16"/>
  <c r="AJ1301" i="16" s="1"/>
  <c r="AI1173" i="16"/>
  <c r="AJ1173" i="16" s="1"/>
  <c r="AI1082" i="16"/>
  <c r="AJ1082" i="16" s="1"/>
  <c r="AG1199" i="16"/>
  <c r="AG1241" i="16"/>
  <c r="AG1058" i="16"/>
  <c r="AI1058" i="16"/>
  <c r="AJ1058" i="16" s="1"/>
  <c r="AG1180" i="16"/>
  <c r="AG1279" i="16"/>
  <c r="AG1099" i="16"/>
  <c r="AG1073" i="16"/>
  <c r="AG1175" i="16"/>
  <c r="AI1175" i="16"/>
  <c r="AJ1175" i="16" s="1"/>
  <c r="AG1238" i="16"/>
  <c r="AG1141" i="16"/>
  <c r="AG1203" i="16"/>
  <c r="AG1242" i="16"/>
  <c r="AG1145" i="16"/>
  <c r="AI1185" i="16"/>
  <c r="AJ1185" i="16" s="1"/>
  <c r="AI1284" i="16"/>
  <c r="AJ1284" i="16" s="1"/>
  <c r="AG1284" i="16"/>
  <c r="AI1289" i="16"/>
  <c r="AJ1289" i="16" s="1"/>
  <c r="AG1289" i="16"/>
  <c r="AG1283" i="16"/>
  <c r="AI1105" i="16"/>
  <c r="AJ1105" i="16" s="1"/>
  <c r="AI1303" i="16"/>
  <c r="AJ1303" i="16" s="1"/>
  <c r="AJ1283" i="16"/>
  <c r="AI1274" i="16"/>
  <c r="AJ1274" i="16" s="1"/>
  <c r="AI1106" i="16"/>
  <c r="AJ1106" i="16" s="1"/>
  <c r="AI1267" i="16"/>
  <c r="AJ1267" i="16" s="1"/>
  <c r="AI1181" i="16"/>
  <c r="AJ1181" i="16" s="1"/>
  <c r="AG1272" i="16"/>
  <c r="AI1117" i="16"/>
  <c r="AJ1117" i="16" s="1"/>
  <c r="AI1294" i="16"/>
  <c r="AJ1294" i="16" s="1"/>
  <c r="AG1266" i="16"/>
  <c r="AI1098" i="16"/>
  <c r="AJ1098" i="16" s="1"/>
  <c r="AG1165" i="16"/>
  <c r="AG1243" i="16"/>
  <c r="AG1084" i="16"/>
  <c r="AG1102" i="16"/>
  <c r="AI1273" i="16"/>
  <c r="AJ1273" i="16" s="1"/>
  <c r="AG1160" i="16"/>
  <c r="AI1160" i="16"/>
  <c r="AJ1160" i="16" s="1"/>
  <c r="AI1169" i="16"/>
  <c r="AJ1169" i="16" s="1"/>
  <c r="AG1169" i="16"/>
  <c r="AG1263" i="16"/>
  <c r="AI1263" i="16"/>
  <c r="AJ1263" i="16" s="1"/>
  <c r="AI1225" i="16"/>
  <c r="AJ1225" i="16" s="1"/>
  <c r="AG1225" i="16"/>
  <c r="AI1128" i="16"/>
  <c r="AJ1128" i="16" s="1"/>
  <c r="AG1298" i="16"/>
  <c r="AG1262" i="16"/>
  <c r="AI1231" i="16"/>
  <c r="AJ1231" i="16" s="1"/>
  <c r="AI1302" i="16"/>
  <c r="AJ1302" i="16" s="1"/>
  <c r="AG1281" i="16"/>
  <c r="AG1292" i="16"/>
  <c r="AG1304" i="16"/>
  <c r="AI1299" i="16"/>
  <c r="AJ1299" i="16" s="1"/>
  <c r="AG1297" i="16"/>
  <c r="AI1282" i="16"/>
  <c r="AJ1282" i="16" s="1"/>
  <c r="AG1286" i="16"/>
  <c r="AI1293" i="16"/>
  <c r="AJ1293" i="16" s="1"/>
  <c r="AG1277" i="16"/>
  <c r="AG1265" i="16"/>
  <c r="AI1306" i="16"/>
  <c r="AJ1306" i="16" s="1"/>
  <c r="AI1269" i="16"/>
  <c r="AJ1269" i="16" s="1"/>
  <c r="AI1275" i="16"/>
  <c r="AJ1275" i="16" s="1"/>
  <c r="AF1249" i="16"/>
  <c r="AF1259" i="16"/>
  <c r="AF1254" i="16"/>
  <c r="AI1254" i="16" s="1"/>
  <c r="AJ1254" i="16" s="1"/>
  <c r="AG1285" i="16"/>
  <c r="AG1280" i="16"/>
  <c r="AG1271" i="16"/>
  <c r="AF1255" i="16"/>
  <c r="AG1291" i="16"/>
  <c r="AI1307" i="16"/>
  <c r="AJ1307" i="16" s="1"/>
  <c r="AF1253" i="16"/>
  <c r="AC1251" i="16"/>
  <c r="AD1251" i="16" s="1"/>
  <c r="Q1251" i="16"/>
  <c r="R1251" i="16" s="1"/>
  <c r="S1251" i="16" s="1"/>
  <c r="T1251" i="16" s="1"/>
  <c r="AE1251" i="16" s="1"/>
  <c r="AF1247" i="16"/>
  <c r="AG1278" i="16"/>
  <c r="AC1248" i="16"/>
  <c r="AD1248" i="16" s="1"/>
  <c r="Q1248" i="16"/>
  <c r="R1248" i="16" s="1"/>
  <c r="S1248" i="16" s="1"/>
  <c r="T1248" i="16" s="1"/>
  <c r="AE1248" i="16" s="1"/>
  <c r="AC1260" i="16"/>
  <c r="AD1260" i="16" s="1"/>
  <c r="Q1260" i="16"/>
  <c r="R1260" i="16" s="1"/>
  <c r="S1260" i="16" s="1"/>
  <c r="T1260" i="16" s="1"/>
  <c r="AE1260" i="16" s="1"/>
  <c r="AF1256" i="16"/>
  <c r="AF1250" i="16"/>
  <c r="AF1257" i="16"/>
  <c r="AC1258" i="16"/>
  <c r="AD1258" i="16" s="1"/>
  <c r="Q1258" i="16"/>
  <c r="R1258" i="16" s="1"/>
  <c r="S1258" i="16" s="1"/>
  <c r="T1258" i="16" s="1"/>
  <c r="AE1258" i="16" s="1"/>
  <c r="AI1164" i="16"/>
  <c r="AJ1164" i="16" s="1"/>
  <c r="AI1092" i="16"/>
  <c r="AJ1092" i="16" s="1"/>
  <c r="AG966" i="16"/>
  <c r="AI966" i="16"/>
  <c r="AJ966" i="16" s="1"/>
  <c r="AI1191" i="16"/>
  <c r="AJ1191" i="16" s="1"/>
  <c r="AG1095" i="16"/>
  <c r="AG1137" i="16"/>
  <c r="AG1148" i="16"/>
  <c r="AG1080" i="16"/>
  <c r="AG1222" i="16"/>
  <c r="AG1163" i="16"/>
  <c r="AG540" i="16"/>
  <c r="AI1200" i="16"/>
  <c r="AJ1200" i="16" s="1"/>
  <c r="AI1088" i="16"/>
  <c r="AJ1088" i="16" s="1"/>
  <c r="AG1179" i="16"/>
  <c r="AI1179" i="16"/>
  <c r="AJ1179" i="16" s="1"/>
  <c r="AI1168" i="16"/>
  <c r="AJ1168" i="16" s="1"/>
  <c r="AG1168" i="16"/>
  <c r="AG1224" i="16"/>
  <c r="AI1224" i="16"/>
  <c r="AJ1224" i="16" s="1"/>
  <c r="AG1187" i="16"/>
  <c r="AI1187" i="16"/>
  <c r="AJ1187" i="16" s="1"/>
  <c r="AI1079" i="16"/>
  <c r="AJ1079" i="16" s="1"/>
  <c r="AG1079" i="16"/>
  <c r="AI1109" i="16"/>
  <c r="AJ1109" i="16" s="1"/>
  <c r="AG1109" i="16"/>
  <c r="AI1125" i="16"/>
  <c r="AJ1125" i="16" s="1"/>
  <c r="AG1125" i="16"/>
  <c r="AI1065" i="16"/>
  <c r="AJ1065" i="16" s="1"/>
  <c r="AG1153" i="16"/>
  <c r="AG1212" i="16"/>
  <c r="AG1074" i="16"/>
  <c r="AG1121" i="16"/>
  <c r="AI1123" i="16"/>
  <c r="AJ1123" i="16" s="1"/>
  <c r="AG1144" i="16"/>
  <c r="AI1076" i="16"/>
  <c r="AJ1076" i="16" s="1"/>
  <c r="AG1076" i="16"/>
  <c r="AI901" i="16"/>
  <c r="AJ901" i="16" s="1"/>
  <c r="AG901" i="16"/>
  <c r="AI1132" i="16"/>
  <c r="AJ1132" i="16" s="1"/>
  <c r="AG1132" i="16"/>
  <c r="AI1221" i="16"/>
  <c r="AJ1221" i="16" s="1"/>
  <c r="AG1221" i="16"/>
  <c r="AG1087" i="16"/>
  <c r="AI1072" i="16"/>
  <c r="AJ1072" i="16" s="1"/>
  <c r="AI1228" i="16"/>
  <c r="AJ1228" i="16" s="1"/>
  <c r="AG1067" i="16"/>
  <c r="AI1067" i="16"/>
  <c r="AJ1067" i="16" s="1"/>
  <c r="AI137" i="16"/>
  <c r="AJ137" i="16" s="1"/>
  <c r="AG137" i="16"/>
  <c r="AI1229" i="16"/>
  <c r="AJ1229" i="16" s="1"/>
  <c r="AG1229" i="16"/>
  <c r="AI1143" i="16"/>
  <c r="AJ1143" i="16" s="1"/>
  <c r="AG1143" i="16"/>
  <c r="AI1071" i="16"/>
  <c r="AJ1071" i="16" s="1"/>
  <c r="AG1071" i="16"/>
  <c r="AI1091" i="16"/>
  <c r="AJ1091" i="16" s="1"/>
  <c r="AG1091" i="16"/>
  <c r="AG1202" i="16"/>
  <c r="AI1202" i="16"/>
  <c r="AJ1202" i="16" s="1"/>
  <c r="AG1188" i="16"/>
  <c r="AI1188" i="16"/>
  <c r="AJ1188" i="16" s="1"/>
  <c r="AG1155" i="16"/>
  <c r="AG1195" i="16"/>
  <c r="AG1149" i="16"/>
  <c r="AI1070" i="16"/>
  <c r="AJ1070" i="16" s="1"/>
  <c r="AG1100" i="16"/>
  <c r="AG1150" i="16"/>
  <c r="AI1136" i="16"/>
  <c r="AJ1136" i="16" s="1"/>
  <c r="AG1194" i="16"/>
  <c r="AG1154" i="16"/>
  <c r="AI1154" i="16"/>
  <c r="AJ1154" i="16" s="1"/>
  <c r="AG1193" i="16"/>
  <c r="AI1193" i="16"/>
  <c r="AJ1193" i="16" s="1"/>
  <c r="AG1090" i="16"/>
  <c r="AI1090" i="16"/>
  <c r="AJ1090" i="16" s="1"/>
  <c r="AI1110" i="16"/>
  <c r="AJ1110" i="16" s="1"/>
  <c r="AG1110" i="16"/>
  <c r="AI1209" i="16"/>
  <c r="AJ1209" i="16" s="1"/>
  <c r="AG1209" i="16"/>
  <c r="AI1103" i="16"/>
  <c r="AJ1103" i="16" s="1"/>
  <c r="AG1103" i="16"/>
  <c r="AG1196" i="16"/>
  <c r="AG1230" i="16"/>
  <c r="AG1182" i="16"/>
  <c r="AG1104" i="16"/>
  <c r="AG893" i="16"/>
  <c r="AG1108" i="16"/>
  <c r="AG1126" i="16"/>
  <c r="AI1086" i="16"/>
  <c r="AJ1086" i="16" s="1"/>
  <c r="AI1190" i="16"/>
  <c r="AJ1190" i="16" s="1"/>
  <c r="AG1218" i="16"/>
  <c r="AG1177" i="16"/>
  <c r="AI1162" i="16"/>
  <c r="AJ1162" i="16" s="1"/>
  <c r="AI1176" i="16"/>
  <c r="AJ1176" i="16" s="1"/>
  <c r="AI1152" i="16"/>
  <c r="AJ1152" i="16" s="1"/>
  <c r="AG1107" i="16"/>
  <c r="AI1211" i="16"/>
  <c r="AJ1211" i="16" s="1"/>
  <c r="AG1198" i="16"/>
  <c r="AG1151" i="16"/>
  <c r="AG1167" i="16"/>
  <c r="AI1237" i="16"/>
  <c r="AJ1237" i="16" s="1"/>
  <c r="AG1064" i="16"/>
  <c r="AG1220" i="16"/>
  <c r="AG1134" i="16"/>
  <c r="AI1114" i="16"/>
  <c r="AJ1114" i="16" s="1"/>
  <c r="AI1156" i="16"/>
  <c r="AJ1156" i="16" s="1"/>
  <c r="AG1161" i="16"/>
  <c r="AG1147" i="16"/>
  <c r="AG1083" i="16"/>
  <c r="AG1138" i="16"/>
  <c r="AI1184" i="16"/>
  <c r="AJ1184" i="16" s="1"/>
  <c r="AG1232" i="16"/>
  <c r="AJ1232" i="16"/>
  <c r="AI1214" i="16"/>
  <c r="AJ1214" i="16" s="1"/>
  <c r="AG1236" i="16"/>
  <c r="AI1223" i="16"/>
  <c r="AJ1223" i="16" s="1"/>
  <c r="AG1096" i="16"/>
  <c r="AG1234" i="16"/>
  <c r="AG1186" i="16"/>
  <c r="AG1093" i="16"/>
  <c r="AI1118" i="16"/>
  <c r="AJ1118" i="16" s="1"/>
  <c r="AI1159" i="16"/>
  <c r="AJ1159" i="16" s="1"/>
  <c r="AI1131" i="16"/>
  <c r="AJ1131" i="16" s="1"/>
  <c r="AI1215" i="16"/>
  <c r="AJ1215" i="16" s="1"/>
  <c r="AG1217" i="16"/>
  <c r="AG1068" i="16"/>
  <c r="AG1130" i="16"/>
  <c r="AG1158" i="16"/>
  <c r="AG1089" i="16"/>
  <c r="AI1174" i="16"/>
  <c r="AJ1174" i="16" s="1"/>
  <c r="AI1133" i="16"/>
  <c r="AJ1133" i="16" s="1"/>
  <c r="AI1226" i="16"/>
  <c r="AJ1226" i="16" s="1"/>
  <c r="AG1116" i="16"/>
  <c r="AG1124" i="16"/>
  <c r="AI1112" i="16"/>
  <c r="AJ1112" i="16" s="1"/>
  <c r="AG1146" i="16"/>
  <c r="AI1085" i="16"/>
  <c r="AJ1085" i="16" s="1"/>
  <c r="AG1157" i="16"/>
  <c r="AG1069" i="16"/>
  <c r="AG1140" i="16"/>
  <c r="AG1139" i="16"/>
  <c r="AI1192" i="16"/>
  <c r="AJ1192" i="16" s="1"/>
  <c r="AI1206" i="16"/>
  <c r="AJ1206" i="16" s="1"/>
  <c r="AG1094" i="16"/>
  <c r="AI1205" i="16"/>
  <c r="AJ1205" i="16" s="1"/>
  <c r="AG1122" i="16"/>
  <c r="AG1189" i="16"/>
  <c r="AG1201" i="16"/>
  <c r="AI1216" i="16"/>
  <c r="AJ1216" i="16" s="1"/>
  <c r="AI1208" i="16"/>
  <c r="AJ1208" i="16" s="1"/>
  <c r="AG1227" i="16"/>
  <c r="AG1101" i="16"/>
  <c r="AI1097" i="16"/>
  <c r="AJ1097" i="16" s="1"/>
  <c r="AG1066" i="16"/>
  <c r="AI1081" i="16"/>
  <c r="AJ1081" i="16" s="1"/>
  <c r="AI1120" i="16"/>
  <c r="AJ1120" i="16" s="1"/>
  <c r="AG1197" i="16"/>
  <c r="AI1170" i="16"/>
  <c r="AJ1170" i="16" s="1"/>
  <c r="AI1135" i="16"/>
  <c r="AJ1135" i="16" s="1"/>
  <c r="AG1075" i="16"/>
  <c r="AG1183" i="16"/>
  <c r="AG1207" i="16"/>
  <c r="AG1115" i="16"/>
  <c r="AG1172" i="16"/>
  <c r="AG1233" i="16"/>
  <c r="AG1210" i="16"/>
  <c r="AI1219" i="16"/>
  <c r="AJ1219" i="16" s="1"/>
  <c r="AG1077" i="16"/>
  <c r="AG1213" i="16"/>
  <c r="AI1111" i="16"/>
  <c r="AJ1111" i="16" s="1"/>
  <c r="AG1235" i="16"/>
  <c r="AG1178" i="16"/>
  <c r="AG1171" i="16"/>
  <c r="AI1119" i="16"/>
  <c r="AJ1119" i="16" s="1"/>
  <c r="AG1119" i="16"/>
  <c r="AG1056" i="16"/>
  <c r="AG1037" i="16"/>
  <c r="AI1057" i="16"/>
  <c r="AJ1057" i="16" s="1"/>
  <c r="AG1062" i="16"/>
  <c r="AI426" i="16"/>
  <c r="AJ426" i="16" s="1"/>
  <c r="AI975" i="16"/>
  <c r="AJ975" i="16" s="1"/>
  <c r="AG254" i="16"/>
  <c r="AI934" i="16"/>
  <c r="AJ934" i="16" s="1"/>
  <c r="AI1060" i="16"/>
  <c r="AJ1060" i="16" s="1"/>
  <c r="AG942" i="16"/>
  <c r="AI792" i="16"/>
  <c r="AJ792" i="16" s="1"/>
  <c r="AG792" i="16"/>
  <c r="AG607" i="16"/>
  <c r="AI607" i="16"/>
  <c r="AJ607" i="16" s="1"/>
  <c r="AI515" i="16"/>
  <c r="AJ515" i="16" s="1"/>
  <c r="AG515" i="16"/>
  <c r="AI386" i="16"/>
  <c r="AJ386" i="16" s="1"/>
  <c r="AI544" i="16"/>
  <c r="AJ544" i="16" s="1"/>
  <c r="AI448" i="16"/>
  <c r="AJ448" i="16" s="1"/>
  <c r="AG126" i="16"/>
  <c r="AG944" i="16"/>
  <c r="AG194" i="16"/>
  <c r="AI201" i="16"/>
  <c r="AJ201" i="16" s="1"/>
  <c r="AG579" i="16"/>
  <c r="AI848" i="16"/>
  <c r="AJ848" i="16" s="1"/>
  <c r="AI1061" i="16"/>
  <c r="AJ1061" i="16" s="1"/>
  <c r="AG949" i="16"/>
  <c r="AI957" i="16"/>
  <c r="AJ957" i="16" s="1"/>
  <c r="AG957" i="16"/>
  <c r="AI1041" i="16"/>
  <c r="AJ1041" i="16" s="1"/>
  <c r="AG273" i="16"/>
  <c r="AI985" i="16"/>
  <c r="AJ985" i="16" s="1"/>
  <c r="AI512" i="16"/>
  <c r="AJ512" i="16" s="1"/>
  <c r="AG598" i="16"/>
  <c r="AG746" i="16"/>
  <c r="AI746" i="16"/>
  <c r="AJ746" i="16" s="1"/>
  <c r="AG763" i="16"/>
  <c r="AI763" i="16"/>
  <c r="AJ763" i="16" s="1"/>
  <c r="AI951" i="16"/>
  <c r="AJ951" i="16" s="1"/>
  <c r="AG951" i="16"/>
  <c r="AI929" i="16"/>
  <c r="AJ929" i="16" s="1"/>
  <c r="AG1021" i="16"/>
  <c r="AI364" i="16"/>
  <c r="AJ364" i="16" s="1"/>
  <c r="AG587" i="16"/>
  <c r="AG971" i="16"/>
  <c r="AG935" i="16"/>
  <c r="AG1033" i="16"/>
  <c r="AG840" i="16"/>
  <c r="AG538" i="16"/>
  <c r="AI926" i="16"/>
  <c r="AJ926" i="16" s="1"/>
  <c r="AG953" i="16"/>
  <c r="AG585" i="16"/>
  <c r="AI585" i="16"/>
  <c r="AJ585" i="16" s="1"/>
  <c r="AG916" i="16"/>
  <c r="AG1059" i="16"/>
  <c r="AG634" i="16"/>
  <c r="AG348" i="16"/>
  <c r="AG952" i="16"/>
  <c r="AI263" i="16"/>
  <c r="AJ263" i="16" s="1"/>
  <c r="AI456" i="16"/>
  <c r="AJ456" i="16" s="1"/>
  <c r="AG456" i="16"/>
  <c r="AG471" i="16"/>
  <c r="AI471" i="16"/>
  <c r="AJ471" i="16" s="1"/>
  <c r="AG330" i="16"/>
  <c r="AI330" i="16"/>
  <c r="AJ330" i="16" s="1"/>
  <c r="AG443" i="16"/>
  <c r="AG310" i="16"/>
  <c r="AG604" i="16"/>
  <c r="AG1013" i="16"/>
  <c r="AI925" i="16"/>
  <c r="AJ925" i="16" s="1"/>
  <c r="AI370" i="16"/>
  <c r="AJ370" i="16" s="1"/>
  <c r="AG308" i="16"/>
  <c r="AI834" i="16"/>
  <c r="AJ834" i="16" s="1"/>
  <c r="AI331" i="16"/>
  <c r="AJ331" i="16" s="1"/>
  <c r="AG331" i="16"/>
  <c r="AG847" i="16"/>
  <c r="AI847" i="16"/>
  <c r="AJ847" i="16" s="1"/>
  <c r="AI945" i="16"/>
  <c r="AJ945" i="16" s="1"/>
  <c r="AG945" i="16"/>
  <c r="AG533" i="16"/>
  <c r="AI533" i="16"/>
  <c r="AJ533" i="16" s="1"/>
  <c r="AI516" i="16"/>
  <c r="AJ516" i="16" s="1"/>
  <c r="AG516" i="16"/>
  <c r="AI895" i="16"/>
  <c r="AJ895" i="16" s="1"/>
  <c r="AG895" i="16"/>
  <c r="AG946" i="16"/>
  <c r="AI946" i="16"/>
  <c r="AJ946" i="16" s="1"/>
  <c r="AI659" i="16"/>
  <c r="AJ659" i="16" s="1"/>
  <c r="AI911" i="16"/>
  <c r="AJ911" i="16" s="1"/>
  <c r="AG1052" i="16"/>
  <c r="AI912" i="16"/>
  <c r="AJ912" i="16" s="1"/>
  <c r="AI1010" i="16"/>
  <c r="AJ1010" i="16" s="1"/>
  <c r="AG1034" i="16"/>
  <c r="AI958" i="16"/>
  <c r="AJ958" i="16" s="1"/>
  <c r="AG411" i="16"/>
  <c r="AI233" i="16"/>
  <c r="AJ233" i="16" s="1"/>
  <c r="AI941" i="16"/>
  <c r="AJ941" i="16" s="1"/>
  <c r="AI877" i="16"/>
  <c r="AJ877" i="16" s="1"/>
  <c r="AI843" i="16"/>
  <c r="AJ843" i="16" s="1"/>
  <c r="AI922" i="16"/>
  <c r="AJ922" i="16" s="1"/>
  <c r="AG907" i="16"/>
  <c r="AG431" i="16"/>
  <c r="AI960" i="16"/>
  <c r="AJ960" i="16" s="1"/>
  <c r="AI928" i="16"/>
  <c r="AJ928" i="16" s="1"/>
  <c r="AG928" i="16"/>
  <c r="AI673" i="16"/>
  <c r="AJ673" i="16" s="1"/>
  <c r="AG673" i="16"/>
  <c r="AI878" i="16"/>
  <c r="AJ878" i="16" s="1"/>
  <c r="AG866" i="16"/>
  <c r="AI866" i="16"/>
  <c r="AJ866" i="16" s="1"/>
  <c r="AI251" i="16"/>
  <c r="AJ251" i="16" s="1"/>
  <c r="AG251" i="16"/>
  <c r="AI909" i="16"/>
  <c r="AJ909" i="16" s="1"/>
  <c r="AG909" i="16"/>
  <c r="AG1015" i="16"/>
  <c r="AI1015" i="16"/>
  <c r="AJ1015" i="16" s="1"/>
  <c r="AG874" i="16"/>
  <c r="AI874" i="16"/>
  <c r="AJ874" i="16" s="1"/>
  <c r="AG745" i="16"/>
  <c r="AG993" i="16"/>
  <c r="AG636" i="16"/>
  <c r="AG217" i="16"/>
  <c r="AG1011" i="16"/>
  <c r="AG674" i="16"/>
  <c r="AG536" i="16"/>
  <c r="AI991" i="16"/>
  <c r="AJ991" i="16" s="1"/>
  <c r="AI1026" i="16"/>
  <c r="AJ1026" i="16" s="1"/>
  <c r="AG1026" i="16"/>
  <c r="AI436" i="16"/>
  <c r="AJ436" i="16" s="1"/>
  <c r="AI643" i="16"/>
  <c r="AJ643" i="16" s="1"/>
  <c r="AG547" i="16"/>
  <c r="AG732" i="16"/>
  <c r="AI639" i="16"/>
  <c r="AJ639" i="16" s="1"/>
  <c r="AI129" i="16"/>
  <c r="AJ129" i="16" s="1"/>
  <c r="AI340" i="16"/>
  <c r="AJ340" i="16" s="1"/>
  <c r="AI1012" i="16"/>
  <c r="AJ1012" i="16" s="1"/>
  <c r="AG1012" i="16"/>
  <c r="AI977" i="16"/>
  <c r="AJ977" i="16" s="1"/>
  <c r="AG884" i="16"/>
  <c r="AI884" i="16"/>
  <c r="AJ884" i="16" s="1"/>
  <c r="AG871" i="16"/>
  <c r="AI1025" i="16"/>
  <c r="AJ1025" i="16" s="1"/>
  <c r="AG1025" i="16"/>
  <c r="AI1054" i="16"/>
  <c r="AJ1054" i="16" s="1"/>
  <c r="AI243" i="16"/>
  <c r="AJ243" i="16" s="1"/>
  <c r="AG144" i="16"/>
  <c r="AI267" i="16"/>
  <c r="AJ267" i="16" s="1"/>
  <c r="AG852" i="16"/>
  <c r="AG433" i="16"/>
  <c r="AI903" i="16"/>
  <c r="AJ903" i="16" s="1"/>
  <c r="AG903" i="16"/>
  <c r="AI507" i="16"/>
  <c r="AJ507" i="16" s="1"/>
  <c r="AG534" i="16"/>
  <c r="AG879" i="16"/>
  <c r="AI646" i="16"/>
  <c r="AJ646" i="16" s="1"/>
  <c r="AG514" i="16"/>
  <c r="AG511" i="16"/>
  <c r="AI780" i="16"/>
  <c r="AJ780" i="16" s="1"/>
  <c r="AG780" i="16"/>
  <c r="AI1020" i="16"/>
  <c r="AJ1020" i="16" s="1"/>
  <c r="AG1020" i="16"/>
  <c r="AG870" i="16"/>
  <c r="AI870" i="16"/>
  <c r="AJ870" i="16" s="1"/>
  <c r="AG556" i="16"/>
  <c r="AG409" i="16"/>
  <c r="AG638" i="16"/>
  <c r="AI872" i="16"/>
  <c r="AJ872" i="16" s="1"/>
  <c r="AI956" i="16"/>
  <c r="AJ956" i="16" s="1"/>
  <c r="AG956" i="16"/>
  <c r="AI931" i="16"/>
  <c r="AJ931" i="16" s="1"/>
  <c r="AG931" i="16"/>
  <c r="AI717" i="16"/>
  <c r="AJ717" i="16" s="1"/>
  <c r="AG395" i="16"/>
  <c r="AI224" i="16"/>
  <c r="AJ224" i="16" s="1"/>
  <c r="AG224" i="16"/>
  <c r="AI320" i="16"/>
  <c r="AJ320" i="16" s="1"/>
  <c r="AG320" i="16"/>
  <c r="AG851" i="16"/>
  <c r="AI851" i="16"/>
  <c r="AJ851" i="16" s="1"/>
  <c r="AI997" i="16"/>
  <c r="AJ997" i="16" s="1"/>
  <c r="AG997" i="16"/>
  <c r="AI892" i="16"/>
  <c r="AJ892" i="16" s="1"/>
  <c r="AG892" i="16"/>
  <c r="AI947" i="16"/>
  <c r="AJ947" i="16" s="1"/>
  <c r="AG947" i="16"/>
  <c r="AG961" i="16"/>
  <c r="AI961" i="16"/>
  <c r="AJ961" i="16" s="1"/>
  <c r="AI943" i="16"/>
  <c r="AJ943" i="16" s="1"/>
  <c r="AG943" i="16"/>
  <c r="AG427" i="16"/>
  <c r="AI427" i="16"/>
  <c r="AJ427" i="16" s="1"/>
  <c r="AG819" i="16"/>
  <c r="AG948" i="16"/>
  <c r="AG988" i="16"/>
  <c r="AI375" i="16"/>
  <c r="AJ375" i="16" s="1"/>
  <c r="AG591" i="16"/>
  <c r="AI918" i="16"/>
  <c r="AJ918" i="16" s="1"/>
  <c r="AG447" i="16"/>
  <c r="AG457" i="16"/>
  <c r="AG630" i="16"/>
  <c r="AG269" i="16"/>
  <c r="AG992" i="16"/>
  <c r="AI978" i="16"/>
  <c r="AJ978" i="16" s="1"/>
  <c r="AI885" i="16"/>
  <c r="AJ885" i="16" s="1"/>
  <c r="AI954" i="16"/>
  <c r="AJ954" i="16" s="1"/>
  <c r="AG923" i="16"/>
  <c r="AG920" i="16"/>
  <c r="AG1048" i="16"/>
  <c r="AG353" i="16"/>
  <c r="AG242" i="16"/>
  <c r="AG472" i="16"/>
  <c r="AG378" i="16"/>
  <c r="AG973" i="16"/>
  <c r="AG1036" i="16"/>
  <c r="AG845" i="16"/>
  <c r="AG750" i="16"/>
  <c r="AG965" i="16"/>
  <c r="AI817" i="16"/>
  <c r="AJ817" i="16" s="1"/>
  <c r="AG817" i="16"/>
  <c r="AG367" i="16"/>
  <c r="AI367" i="16"/>
  <c r="AJ367" i="16" s="1"/>
  <c r="AI666" i="16"/>
  <c r="AJ666" i="16" s="1"/>
  <c r="AG666" i="16"/>
  <c r="AI671" i="16"/>
  <c r="AJ671" i="16" s="1"/>
  <c r="AG671" i="16"/>
  <c r="AG899" i="16"/>
  <c r="AI899" i="16"/>
  <c r="AJ899" i="16" s="1"/>
  <c r="AG959" i="16"/>
  <c r="AI959" i="16"/>
  <c r="AJ959" i="16" s="1"/>
  <c r="AG736" i="16"/>
  <c r="AI736" i="16"/>
  <c r="AJ736" i="16" s="1"/>
  <c r="AG800" i="16"/>
  <c r="AI800" i="16"/>
  <c r="AJ800" i="16" s="1"/>
  <c r="AI859" i="16"/>
  <c r="AJ859" i="16" s="1"/>
  <c r="AG859" i="16"/>
  <c r="AI683" i="16"/>
  <c r="AJ683" i="16" s="1"/>
  <c r="AG683" i="16"/>
  <c r="AG196" i="16"/>
  <c r="AI196" i="16"/>
  <c r="AJ196" i="16" s="1"/>
  <c r="AI346" i="16"/>
  <c r="AJ346" i="16" s="1"/>
  <c r="AG462" i="16"/>
  <c r="AG1042" i="16"/>
  <c r="AI343" i="16"/>
  <c r="AJ343" i="16" s="1"/>
  <c r="AG435" i="16"/>
  <c r="AG1043" i="16"/>
  <c r="AI914" i="16"/>
  <c r="AJ914" i="16" s="1"/>
  <c r="AG608" i="16"/>
  <c r="AI930" i="16"/>
  <c r="AJ930" i="16" s="1"/>
  <c r="AG1049" i="16"/>
  <c r="AG615" i="16"/>
  <c r="AG220" i="16"/>
  <c r="AG413" i="16"/>
  <c r="AG535" i="16"/>
  <c r="AJ983" i="16"/>
  <c r="AG846" i="16"/>
  <c r="AI622" i="16"/>
  <c r="AJ622" i="16" s="1"/>
  <c r="AI352" i="16"/>
  <c r="AJ352" i="16" s="1"/>
  <c r="AG755" i="16"/>
  <c r="AI247" i="16"/>
  <c r="AJ247" i="16" s="1"/>
  <c r="AG392" i="16"/>
  <c r="AG739" i="16"/>
  <c r="AG402" i="16"/>
  <c r="AG672" i="16"/>
  <c r="AI962" i="16"/>
  <c r="AJ962" i="16" s="1"/>
  <c r="AG394" i="16"/>
  <c r="AG323" i="16"/>
  <c r="AG441" i="16"/>
  <c r="AG983" i="16"/>
  <c r="AG265" i="16"/>
  <c r="AI175" i="16"/>
  <c r="AJ175" i="16" s="1"/>
  <c r="AI611" i="16"/>
  <c r="AJ611" i="16" s="1"/>
  <c r="AI1039" i="16"/>
  <c r="AJ1039" i="16" s="1"/>
  <c r="AG223" i="16"/>
  <c r="AG152" i="16"/>
  <c r="AG977" i="16"/>
  <c r="AJ1013" i="16"/>
  <c r="AI1046" i="16"/>
  <c r="AJ1046" i="16" s="1"/>
  <c r="AG1046" i="16"/>
  <c r="AG1022" i="16"/>
  <c r="AG1028" i="16"/>
  <c r="AG1047" i="16"/>
  <c r="AG1027" i="16"/>
  <c r="AI1009" i="16"/>
  <c r="AJ1009" i="16" s="1"/>
  <c r="AG617" i="16"/>
  <c r="AI617" i="16"/>
  <c r="AJ617" i="16" s="1"/>
  <c r="AG177" i="16"/>
  <c r="AI177" i="16"/>
  <c r="AJ177" i="16" s="1"/>
  <c r="AI575" i="16"/>
  <c r="AJ575" i="16" s="1"/>
  <c r="AG575" i="16"/>
  <c r="AG389" i="16"/>
  <c r="AI389" i="16"/>
  <c r="AJ389" i="16" s="1"/>
  <c r="AI292" i="16"/>
  <c r="AJ292" i="16" s="1"/>
  <c r="AG292" i="16"/>
  <c r="AG145" i="16"/>
  <c r="AI145" i="16"/>
  <c r="AJ145" i="16" s="1"/>
  <c r="AI656" i="16"/>
  <c r="AJ656" i="16" s="1"/>
  <c r="AG656" i="16"/>
  <c r="AG839" i="16"/>
  <c r="AI839" i="16"/>
  <c r="AJ839" i="16" s="1"/>
  <c r="AG1040" i="16"/>
  <c r="AI1040" i="16"/>
  <c r="AJ1040" i="16" s="1"/>
  <c r="AI863" i="16"/>
  <c r="AJ863" i="16" s="1"/>
  <c r="AG863" i="16"/>
  <c r="AG1032" i="16"/>
  <c r="AI1032" i="16"/>
  <c r="AJ1032" i="16" s="1"/>
  <c r="AI933" i="16"/>
  <c r="AJ933" i="16" s="1"/>
  <c r="AG933" i="16"/>
  <c r="AI927" i="16"/>
  <c r="AJ927" i="16" s="1"/>
  <c r="AG927" i="16"/>
  <c r="AG963" i="16"/>
  <c r="AI963" i="16"/>
  <c r="AJ963" i="16" s="1"/>
  <c r="AG1044" i="16"/>
  <c r="AI1044" i="16"/>
  <c r="AJ1044" i="16" s="1"/>
  <c r="AI513" i="16"/>
  <c r="AJ513" i="16" s="1"/>
  <c r="AG513" i="16"/>
  <c r="AG972" i="16"/>
  <c r="AI972" i="16"/>
  <c r="AJ972" i="16" s="1"/>
  <c r="AG486" i="16"/>
  <c r="AI986" i="16"/>
  <c r="AJ986" i="16" s="1"/>
  <c r="AG787" i="16"/>
  <c r="AG838" i="16"/>
  <c r="AI497" i="16"/>
  <c r="AJ497" i="16" s="1"/>
  <c r="AG581" i="16"/>
  <c r="AG678" i="16"/>
  <c r="AI910" i="16"/>
  <c r="AJ910" i="16" s="1"/>
  <c r="AG324" i="16"/>
  <c r="AG921" i="16"/>
  <c r="AG460" i="16"/>
  <c r="AG882" i="16"/>
  <c r="AI418" i="16"/>
  <c r="AJ418" i="16" s="1"/>
  <c r="AI541" i="16"/>
  <c r="AJ541" i="16" s="1"/>
  <c r="AG406" i="16"/>
  <c r="AI410" i="16"/>
  <c r="AJ410" i="16" s="1"/>
  <c r="AG864" i="16"/>
  <c r="AG770" i="16"/>
  <c r="AG424" i="16"/>
  <c r="AI527" i="16"/>
  <c r="AJ527" i="16" s="1"/>
  <c r="AI1024" i="16"/>
  <c r="AJ1024" i="16" s="1"/>
  <c r="AI1053" i="16"/>
  <c r="AJ1053" i="16" s="1"/>
  <c r="AG982" i="16"/>
  <c r="AI795" i="16"/>
  <c r="AJ795" i="16" s="1"/>
  <c r="AI880" i="16"/>
  <c r="AJ880" i="16" s="1"/>
  <c r="AG650" i="16"/>
  <c r="AG327" i="16"/>
  <c r="AI898" i="16"/>
  <c r="AJ898" i="16" s="1"/>
  <c r="AI979" i="16"/>
  <c r="AJ979" i="16" s="1"/>
  <c r="AG520" i="16"/>
  <c r="AG174" i="16"/>
  <c r="AI823" i="16"/>
  <c r="AJ823" i="16" s="1"/>
  <c r="AG989" i="16"/>
  <c r="AG998" i="16"/>
  <c r="AI913" i="16"/>
  <c r="AJ913" i="16" s="1"/>
  <c r="AI721" i="16"/>
  <c r="AJ721" i="16" s="1"/>
  <c r="AG721" i="16"/>
  <c r="AI881" i="16"/>
  <c r="AJ881" i="16" s="1"/>
  <c r="AG881" i="16"/>
  <c r="AI904" i="16"/>
  <c r="AJ904" i="16" s="1"/>
  <c r="AG904" i="16"/>
  <c r="AI995" i="16"/>
  <c r="AJ995" i="16" s="1"/>
  <c r="AG995" i="16"/>
  <c r="AG905" i="16"/>
  <c r="AI905" i="16"/>
  <c r="AJ905" i="16" s="1"/>
  <c r="AG396" i="16"/>
  <c r="AI396" i="16"/>
  <c r="AJ396" i="16" s="1"/>
  <c r="AG724" i="16"/>
  <c r="AI1029" i="16"/>
  <c r="AJ1029" i="16" s="1"/>
  <c r="AG1038" i="16"/>
  <c r="AG1051" i="16"/>
  <c r="AG1014" i="16"/>
  <c r="AG1045" i="16"/>
  <c r="AI1030" i="16"/>
  <c r="AJ1030" i="16" s="1"/>
  <c r="AG1050" i="16"/>
  <c r="AI1019" i="16"/>
  <c r="AJ1019" i="16" s="1"/>
  <c r="AG1017" i="16"/>
  <c r="AI1017" i="16"/>
  <c r="AJ1017" i="16" s="1"/>
  <c r="AG1023" i="16"/>
  <c r="AG1035" i="16"/>
  <c r="AI1031" i="16"/>
  <c r="AJ1031" i="16" s="1"/>
  <c r="AG1018" i="16"/>
  <c r="AG1016" i="16"/>
  <c r="AG990" i="16"/>
  <c r="AI1002" i="16"/>
  <c r="AJ1002" i="16" s="1"/>
  <c r="AG1006" i="16"/>
  <c r="AG1007" i="16"/>
  <c r="AI1005" i="16"/>
  <c r="AJ1005" i="16" s="1"/>
  <c r="AG1005" i="16"/>
  <c r="AG1003" i="16"/>
  <c r="AG994" i="16"/>
  <c r="AI1004" i="16"/>
  <c r="AJ1004" i="16" s="1"/>
  <c r="AG1000" i="16"/>
  <c r="AI1001" i="16"/>
  <c r="AJ1001" i="16" s="1"/>
  <c r="AI999" i="16"/>
  <c r="AJ999" i="16" s="1"/>
  <c r="AG996" i="16"/>
  <c r="AI996" i="16"/>
  <c r="AJ996" i="16" s="1"/>
  <c r="AG974" i="16"/>
  <c r="AG908" i="16"/>
  <c r="AG980" i="16"/>
  <c r="AG968" i="16"/>
  <c r="AJ974" i="16"/>
  <c r="AG984" i="16"/>
  <c r="AG967" i="16"/>
  <c r="AI969" i="16"/>
  <c r="AJ969" i="16" s="1"/>
  <c r="AG976" i="16"/>
  <c r="AG970" i="16"/>
  <c r="AI970" i="16"/>
  <c r="AJ970" i="16" s="1"/>
  <c r="AG981" i="16"/>
  <c r="AI981" i="16"/>
  <c r="AJ981" i="16" s="1"/>
  <c r="AI950" i="16"/>
  <c r="AJ950" i="16" s="1"/>
  <c r="AG924" i="16"/>
  <c r="AG939" i="16"/>
  <c r="AI932" i="16"/>
  <c r="AJ932" i="16" s="1"/>
  <c r="AI938" i="16"/>
  <c r="AJ938" i="16" s="1"/>
  <c r="AI937" i="16"/>
  <c r="AJ937" i="16" s="1"/>
  <c r="AG940" i="16"/>
  <c r="AG936" i="16"/>
  <c r="AG900" i="16"/>
  <c r="AI900" i="16"/>
  <c r="AJ900" i="16" s="1"/>
  <c r="AI142" i="16"/>
  <c r="AJ142" i="16" s="1"/>
  <c r="AG142" i="16"/>
  <c r="AI473" i="16"/>
  <c r="AJ473" i="16" s="1"/>
  <c r="AG473" i="16"/>
  <c r="AG566" i="16"/>
  <c r="AI566" i="16"/>
  <c r="AJ566" i="16" s="1"/>
  <c r="AI517" i="16"/>
  <c r="AJ517" i="16" s="1"/>
  <c r="AG517" i="16"/>
  <c r="AG244" i="16"/>
  <c r="AG484" i="16"/>
  <c r="AI306" i="16"/>
  <c r="AJ306" i="16" s="1"/>
  <c r="AI779" i="16"/>
  <c r="AJ779" i="16" s="1"/>
  <c r="AI875" i="16"/>
  <c r="AJ875" i="16" s="1"/>
  <c r="AI401" i="16"/>
  <c r="AJ401" i="16" s="1"/>
  <c r="AI287" i="16"/>
  <c r="AJ287" i="16" s="1"/>
  <c r="AG862" i="16"/>
  <c r="AG532" i="16"/>
  <c r="AG398" i="16"/>
  <c r="AG268" i="16"/>
  <c r="AG887" i="16"/>
  <c r="AG592" i="16"/>
  <c r="AG602" i="16"/>
  <c r="AG876" i="16"/>
  <c r="AG388" i="16"/>
  <c r="AG209" i="16"/>
  <c r="AG494" i="16"/>
  <c r="AG425" i="16"/>
  <c r="AG189" i="16"/>
  <c r="AI208" i="16"/>
  <c r="AJ208" i="16" s="1"/>
  <c r="AG589" i="16"/>
  <c r="AG553" i="16"/>
  <c r="AI326" i="16"/>
  <c r="AJ326" i="16" s="1"/>
  <c r="AG231" i="16"/>
  <c r="AG277" i="16"/>
  <c r="AG156" i="16"/>
  <c r="AI156" i="16"/>
  <c r="AJ156" i="16" s="1"/>
  <c r="AI629" i="16"/>
  <c r="AJ629" i="16" s="1"/>
  <c r="AG629" i="16"/>
  <c r="AG688" i="16"/>
  <c r="AI403" i="16"/>
  <c r="AJ403" i="16" s="1"/>
  <c r="AI726" i="16"/>
  <c r="AJ726" i="16" s="1"/>
  <c r="AG658" i="16"/>
  <c r="AG158" i="16"/>
  <c r="AG400" i="16"/>
  <c r="AI376" i="16"/>
  <c r="AJ376" i="16" s="1"/>
  <c r="AG259" i="16"/>
  <c r="AI191" i="16"/>
  <c r="AJ191" i="16" s="1"/>
  <c r="AI350" i="16"/>
  <c r="AJ350" i="16" s="1"/>
  <c r="AG404" i="16"/>
  <c r="AG539" i="16"/>
  <c r="AG339" i="16"/>
  <c r="AG318" i="16"/>
  <c r="AG336" i="16"/>
  <c r="AG890" i="16"/>
  <c r="AI297" i="16"/>
  <c r="AJ297" i="16" s="1"/>
  <c r="AI266" i="16"/>
  <c r="AJ266" i="16" s="1"/>
  <c r="AI453" i="16"/>
  <c r="AJ453" i="16" s="1"/>
  <c r="AG453" i="16"/>
  <c r="AI229" i="16"/>
  <c r="AJ229" i="16" s="1"/>
  <c r="AG229" i="16"/>
  <c r="AG601" i="16"/>
  <c r="AI601" i="16"/>
  <c r="AJ601" i="16" s="1"/>
  <c r="AG382" i="16"/>
  <c r="AI382" i="16"/>
  <c r="AJ382" i="16" s="1"/>
  <c r="AG383" i="16"/>
  <c r="AI383" i="16"/>
  <c r="AJ383" i="16" s="1"/>
  <c r="AG563" i="16"/>
  <c r="AI452" i="16"/>
  <c r="AJ452" i="16" s="1"/>
  <c r="AI319" i="16"/>
  <c r="AJ319" i="16" s="1"/>
  <c r="AI502" i="16"/>
  <c r="AJ502" i="16" s="1"/>
  <c r="AI490" i="16"/>
  <c r="AJ490" i="16" s="1"/>
  <c r="AG173" i="16"/>
  <c r="AG855" i="16"/>
  <c r="AG891" i="16"/>
  <c r="AG551" i="16"/>
  <c r="AG590" i="16"/>
  <c r="AI569" i="16"/>
  <c r="AJ569" i="16" s="1"/>
  <c r="AG488" i="16"/>
  <c r="AG338" i="16"/>
  <c r="AI801" i="16"/>
  <c r="AJ801" i="16" s="1"/>
  <c r="AG917" i="16"/>
  <c r="AI654" i="16"/>
  <c r="AJ654" i="16" s="1"/>
  <c r="AI374" i="16"/>
  <c r="AJ374" i="16" s="1"/>
  <c r="AG374" i="16"/>
  <c r="AI562" i="16"/>
  <c r="AJ562" i="16" s="1"/>
  <c r="AG562" i="16"/>
  <c r="AG586" i="16"/>
  <c r="AI586" i="16"/>
  <c r="AJ586" i="16" s="1"/>
  <c r="AI627" i="16"/>
  <c r="AJ627" i="16" s="1"/>
  <c r="AG627" i="16"/>
  <c r="AI206" i="16"/>
  <c r="AJ206" i="16" s="1"/>
  <c r="AG206" i="16"/>
  <c r="AI552" i="16"/>
  <c r="AJ552" i="16" s="1"/>
  <c r="AG552" i="16"/>
  <c r="AI523" i="16"/>
  <c r="AJ523" i="16" s="1"/>
  <c r="AG523" i="16"/>
  <c r="AG555" i="16"/>
  <c r="AI555" i="16"/>
  <c r="AJ555" i="16" s="1"/>
  <c r="AG131" i="16"/>
  <c r="AI131" i="16"/>
  <c r="AJ131" i="16" s="1"/>
  <c r="AI499" i="16"/>
  <c r="AJ499" i="16" s="1"/>
  <c r="AG499" i="16"/>
  <c r="AG707" i="16"/>
  <c r="AI707" i="16"/>
  <c r="AJ707" i="16" s="1"/>
  <c r="AI518" i="16"/>
  <c r="AJ518" i="16" s="1"/>
  <c r="AG518" i="16"/>
  <c r="AG759" i="16"/>
  <c r="AI759" i="16"/>
  <c r="AJ759" i="16" s="1"/>
  <c r="AI125" i="16"/>
  <c r="AJ125" i="16" s="1"/>
  <c r="AG125" i="16"/>
  <c r="AI221" i="16"/>
  <c r="AJ221" i="16" s="1"/>
  <c r="AG221" i="16"/>
  <c r="AG766" i="16"/>
  <c r="AI766" i="16"/>
  <c r="AJ766" i="16" s="1"/>
  <c r="AI883" i="16"/>
  <c r="AJ883" i="16" s="1"/>
  <c r="AG883" i="16"/>
  <c r="AI886" i="16"/>
  <c r="AJ886" i="16" s="1"/>
  <c r="AG886" i="16"/>
  <c r="AI738" i="16"/>
  <c r="AJ738" i="16" s="1"/>
  <c r="AG738" i="16"/>
  <c r="AI347" i="16"/>
  <c r="AJ347" i="16" s="1"/>
  <c r="AI628" i="16"/>
  <c r="AJ628" i="16" s="1"/>
  <c r="AG444" i="16"/>
  <c r="AG856" i="16"/>
  <c r="AG391" i="16"/>
  <c r="AI186" i="16"/>
  <c r="AJ186" i="16" s="1"/>
  <c r="AG915" i="16"/>
  <c r="AG493" i="16"/>
  <c r="AI528" i="16"/>
  <c r="AJ528" i="16" s="1"/>
  <c r="AG528" i="16"/>
  <c r="AI715" i="16"/>
  <c r="AJ715" i="16" s="1"/>
  <c r="AG715" i="16"/>
  <c r="AG198" i="16"/>
  <c r="AI198" i="16"/>
  <c r="AJ198" i="16" s="1"/>
  <c r="AI357" i="16"/>
  <c r="AJ357" i="16" s="1"/>
  <c r="AG357" i="16"/>
  <c r="AI414" i="16"/>
  <c r="AJ414" i="16" s="1"/>
  <c r="AG414" i="16"/>
  <c r="AI896" i="16"/>
  <c r="AJ896" i="16" s="1"/>
  <c r="AG896" i="16"/>
  <c r="AI860" i="16"/>
  <c r="AJ860" i="16" s="1"/>
  <c r="AG860" i="16"/>
  <c r="AG894" i="16"/>
  <c r="AI894" i="16"/>
  <c r="AJ894" i="16" s="1"/>
  <c r="AI614" i="16"/>
  <c r="AJ614" i="16" s="1"/>
  <c r="AG614" i="16"/>
  <c r="AI868" i="16"/>
  <c r="AJ868" i="16" s="1"/>
  <c r="AG583" i="16"/>
  <c r="AG181" i="16"/>
  <c r="AI850" i="16"/>
  <c r="AJ850" i="16" s="1"/>
  <c r="AG858" i="16"/>
  <c r="AI218" i="16"/>
  <c r="AJ218" i="16" s="1"/>
  <c r="AG459" i="16"/>
  <c r="AG554" i="16"/>
  <c r="AG190" i="16"/>
  <c r="AG135" i="16"/>
  <c r="AI580" i="16"/>
  <c r="AJ580" i="16" s="1"/>
  <c r="AG580" i="16"/>
  <c r="AG505" i="16"/>
  <c r="AI508" i="16"/>
  <c r="AJ508" i="16" s="1"/>
  <c r="AG508" i="16"/>
  <c r="AI360" i="16"/>
  <c r="AJ360" i="16" s="1"/>
  <c r="AG360" i="16"/>
  <c r="AG235" i="16"/>
  <c r="AI235" i="16"/>
  <c r="AJ235" i="16" s="1"/>
  <c r="AI857" i="16"/>
  <c r="AJ857" i="16" s="1"/>
  <c r="AG670" i="16"/>
  <c r="AI670" i="16"/>
  <c r="AJ670" i="16" s="1"/>
  <c r="AG776" i="16"/>
  <c r="AI776" i="16"/>
  <c r="AJ776" i="16" s="1"/>
  <c r="AI597" i="16"/>
  <c r="AJ597" i="16" s="1"/>
  <c r="AG597" i="16"/>
  <c r="AG530" i="16"/>
  <c r="AI530" i="16"/>
  <c r="AJ530" i="16" s="1"/>
  <c r="AI281" i="16"/>
  <c r="AJ281" i="16" s="1"/>
  <c r="AG281" i="16"/>
  <c r="AI450" i="16"/>
  <c r="AJ450" i="16" s="1"/>
  <c r="AG450" i="16"/>
  <c r="AG133" i="16"/>
  <c r="AI133" i="16"/>
  <c r="AJ133" i="16" s="1"/>
  <c r="AI314" i="16"/>
  <c r="AJ314" i="16" s="1"/>
  <c r="AG314" i="16"/>
  <c r="AG576" i="16"/>
  <c r="AI576" i="16"/>
  <c r="AJ576" i="16" s="1"/>
  <c r="AI836" i="16"/>
  <c r="AJ836" i="16" s="1"/>
  <c r="AG836" i="16"/>
  <c r="AI873" i="16"/>
  <c r="AJ873" i="16" s="1"/>
  <c r="AG873" i="16"/>
  <c r="AG610" i="16"/>
  <c r="AI172" i="16"/>
  <c r="AJ172" i="16" s="1"/>
  <c r="AG172" i="16"/>
  <c r="AI249" i="16"/>
  <c r="AJ249" i="16" s="1"/>
  <c r="AG195" i="16"/>
  <c r="AI195" i="16"/>
  <c r="AJ195" i="16" s="1"/>
  <c r="AI153" i="16"/>
  <c r="AJ153" i="16" s="1"/>
  <c r="AG153" i="16"/>
  <c r="AI605" i="16"/>
  <c r="AJ605" i="16" s="1"/>
  <c r="AG605" i="16"/>
  <c r="AG295" i="16"/>
  <c r="AI295" i="16"/>
  <c r="AJ295" i="16" s="1"/>
  <c r="AI567" i="16"/>
  <c r="AJ567" i="16" s="1"/>
  <c r="AG567" i="16"/>
  <c r="AI408" i="16"/>
  <c r="AJ408" i="16" s="1"/>
  <c r="AG408" i="16"/>
  <c r="AI572" i="16"/>
  <c r="AJ572" i="16" s="1"/>
  <c r="AG572" i="16"/>
  <c r="AI867" i="16"/>
  <c r="AJ867" i="16" s="1"/>
  <c r="AG867" i="16"/>
  <c r="AI568" i="16"/>
  <c r="AJ568" i="16" s="1"/>
  <c r="AG568" i="16"/>
  <c r="AI222" i="16"/>
  <c r="AJ222" i="16" s="1"/>
  <c r="AI546" i="16"/>
  <c r="AJ546" i="16" s="1"/>
  <c r="AG697" i="16"/>
  <c r="AG279" i="16"/>
  <c r="AI693" i="16"/>
  <c r="AJ693" i="16" s="1"/>
  <c r="AI141" i="16"/>
  <c r="AJ141" i="16" s="1"/>
  <c r="AI354" i="16"/>
  <c r="AJ354" i="16" s="1"/>
  <c r="AG199" i="16"/>
  <c r="AI334" i="16"/>
  <c r="AJ334" i="16" s="1"/>
  <c r="AI548" i="16"/>
  <c r="AJ548" i="16" s="1"/>
  <c r="AG257" i="16"/>
  <c r="AG225" i="16"/>
  <c r="AI304" i="16"/>
  <c r="AJ304" i="16" s="1"/>
  <c r="AG335" i="16"/>
  <c r="AI335" i="16"/>
  <c r="AJ335" i="16" s="1"/>
  <c r="AI205" i="16"/>
  <c r="AJ205" i="16" s="1"/>
  <c r="AG205" i="16"/>
  <c r="AG465" i="16"/>
  <c r="AI465" i="16"/>
  <c r="AJ465" i="16" s="1"/>
  <c r="AG619" i="16"/>
  <c r="AI619" i="16"/>
  <c r="AJ619" i="16" s="1"/>
  <c r="AG258" i="16"/>
  <c r="AI258" i="16"/>
  <c r="AJ258" i="16" s="1"/>
  <c r="AG854" i="16"/>
  <c r="AI464" i="16"/>
  <c r="AJ464" i="16" s="1"/>
  <c r="AI461" i="16"/>
  <c r="AJ461" i="16" s="1"/>
  <c r="AG853" i="16"/>
  <c r="AI888" i="16"/>
  <c r="AJ888" i="16" s="1"/>
  <c r="AI902" i="16"/>
  <c r="AJ902" i="16" s="1"/>
  <c r="AG889" i="16"/>
  <c r="AG861" i="16"/>
  <c r="AG869" i="16"/>
  <c r="AG906" i="16"/>
  <c r="AG865" i="16"/>
  <c r="AG844" i="16"/>
  <c r="AI844" i="16"/>
  <c r="AJ844" i="16" s="1"/>
  <c r="AI842" i="16"/>
  <c r="AJ842" i="16" s="1"/>
  <c r="AG841" i="16"/>
  <c r="AI841" i="16"/>
  <c r="AJ841" i="16" s="1"/>
  <c r="AI835" i="16"/>
  <c r="AJ835" i="16" s="1"/>
  <c r="AG835" i="16"/>
  <c r="AI822" i="16"/>
  <c r="AJ822" i="16" s="1"/>
  <c r="AG822" i="16"/>
  <c r="AG380" i="16"/>
  <c r="AI380" i="16"/>
  <c r="AJ380" i="16" s="1"/>
  <c r="AI558" i="16"/>
  <c r="AJ558" i="16" s="1"/>
  <c r="AG558" i="16"/>
  <c r="AI479" i="16"/>
  <c r="AJ479" i="16" s="1"/>
  <c r="AG479" i="16"/>
  <c r="AG565" i="16"/>
  <c r="AI565" i="16"/>
  <c r="AJ565" i="16" s="1"/>
  <c r="AI211" i="16"/>
  <c r="AJ211" i="16" s="1"/>
  <c r="AG211" i="16"/>
  <c r="AG148" i="16"/>
  <c r="AI148" i="16"/>
  <c r="AJ148" i="16" s="1"/>
  <c r="AI423" i="16"/>
  <c r="AJ423" i="16" s="1"/>
  <c r="AG423" i="16"/>
  <c r="AG578" i="16"/>
  <c r="AI578" i="16"/>
  <c r="AJ578" i="16" s="1"/>
  <c r="AG798" i="16"/>
  <c r="AI798" i="16"/>
  <c r="AJ798" i="16" s="1"/>
  <c r="AG240" i="16"/>
  <c r="AI240" i="16"/>
  <c r="AJ240" i="16" s="1"/>
  <c r="AI178" i="16"/>
  <c r="AJ178" i="16" s="1"/>
  <c r="AG178" i="16"/>
  <c r="AG661" i="16"/>
  <c r="AI661" i="16"/>
  <c r="AJ661" i="16" s="1"/>
  <c r="AG171" i="16"/>
  <c r="AI171" i="16"/>
  <c r="AJ171" i="16" s="1"/>
  <c r="AG466" i="16"/>
  <c r="AI466" i="16"/>
  <c r="AJ466" i="16" s="1"/>
  <c r="AG372" i="16"/>
  <c r="AI372" i="16"/>
  <c r="AJ372" i="16" s="1"/>
  <c r="AG641" i="16"/>
  <c r="AI641" i="16"/>
  <c r="AJ641" i="16" s="1"/>
  <c r="AG270" i="16"/>
  <c r="AI270" i="16"/>
  <c r="AJ270" i="16" s="1"/>
  <c r="AI491" i="16"/>
  <c r="AJ491" i="16" s="1"/>
  <c r="AG491" i="16"/>
  <c r="AI187" i="16"/>
  <c r="AJ187" i="16" s="1"/>
  <c r="AG187" i="16"/>
  <c r="AI652" i="16"/>
  <c r="AJ652" i="16" s="1"/>
  <c r="AG652" i="16"/>
  <c r="AG419" i="16"/>
  <c r="AI419" i="16"/>
  <c r="AJ419" i="16" s="1"/>
  <c r="AI454" i="16"/>
  <c r="AJ454" i="16" s="1"/>
  <c r="AG454" i="16"/>
  <c r="AI531" i="16"/>
  <c r="AJ531" i="16" s="1"/>
  <c r="AG531" i="16"/>
  <c r="AG359" i="16"/>
  <c r="AI359" i="16"/>
  <c r="AJ359" i="16" s="1"/>
  <c r="AG163" i="16"/>
  <c r="AI469" i="16"/>
  <c r="AJ469" i="16" s="1"/>
  <c r="AG784" i="16"/>
  <c r="AI311" i="16"/>
  <c r="AJ311" i="16" s="1"/>
  <c r="AG260" i="16"/>
  <c r="AI351" i="16"/>
  <c r="AJ351" i="16" s="1"/>
  <c r="AG571" i="16"/>
  <c r="AI332" i="16"/>
  <c r="AJ332" i="16" s="1"/>
  <c r="AG262" i="16"/>
  <c r="AI691" i="16"/>
  <c r="AJ691" i="16" s="1"/>
  <c r="AG704" i="16"/>
  <c r="AI134" i="16"/>
  <c r="AJ134" i="16" s="1"/>
  <c r="AG529" i="16"/>
  <c r="AI228" i="16"/>
  <c r="AJ228" i="16" s="1"/>
  <c r="AI449" i="16"/>
  <c r="AJ449" i="16" s="1"/>
  <c r="AG272" i="16"/>
  <c r="AG599" i="16"/>
  <c r="AG574" i="16"/>
  <c r="AG363" i="16"/>
  <c r="AI226" i="16"/>
  <c r="AJ226" i="16" s="1"/>
  <c r="AG722" i="16"/>
  <c r="AI797" i="16"/>
  <c r="AJ797" i="16" s="1"/>
  <c r="AG577" i="16"/>
  <c r="AI577" i="16"/>
  <c r="AJ577" i="16" s="1"/>
  <c r="AG127" i="16"/>
  <c r="AI289" i="16"/>
  <c r="AJ289" i="16" s="1"/>
  <c r="AG506" i="16"/>
  <c r="AI399" i="16"/>
  <c r="AJ399" i="16" s="1"/>
  <c r="AI613" i="16"/>
  <c r="AJ613" i="16" s="1"/>
  <c r="AG316" i="16"/>
  <c r="AG467" i="16"/>
  <c r="AG442" i="16"/>
  <c r="AI651" i="16"/>
  <c r="AJ651" i="16" s="1"/>
  <c r="AG624" i="16"/>
  <c r="AG193" i="16"/>
  <c r="AG606" i="16"/>
  <c r="AG468" i="16"/>
  <c r="AG492" i="16"/>
  <c r="AI159" i="16"/>
  <c r="AJ159" i="16" s="1"/>
  <c r="AI677" i="16"/>
  <c r="AJ677" i="16" s="1"/>
  <c r="AI210" i="16"/>
  <c r="AJ210" i="16" s="1"/>
  <c r="AG648" i="16"/>
  <c r="AG626" i="16"/>
  <c r="AI669" i="16"/>
  <c r="AJ669" i="16" s="1"/>
  <c r="AI481" i="16"/>
  <c r="AJ481" i="16" s="1"/>
  <c r="AI625" i="16"/>
  <c r="AJ625" i="16" s="1"/>
  <c r="AI298" i="16"/>
  <c r="AJ298" i="16" s="1"/>
  <c r="AI136" i="16"/>
  <c r="AJ136" i="16" s="1"/>
  <c r="AI417" i="16"/>
  <c r="AJ417" i="16" s="1"/>
  <c r="AI487" i="16"/>
  <c r="AJ487" i="16" s="1"/>
  <c r="AG325" i="16"/>
  <c r="AG377" i="16"/>
  <c r="AI286" i="16"/>
  <c r="AJ286" i="16" s="1"/>
  <c r="AI124" i="16"/>
  <c r="AJ124" i="16" s="1"/>
  <c r="AI495" i="16"/>
  <c r="AJ495" i="16" s="1"/>
  <c r="AG151" i="16"/>
  <c r="AI564" i="16"/>
  <c r="AJ564" i="16" s="1"/>
  <c r="AG504" i="16"/>
  <c r="AG369" i="16"/>
  <c r="AG446" i="16"/>
  <c r="AI446" i="16"/>
  <c r="AJ446" i="16" s="1"/>
  <c r="AI470" i="16"/>
  <c r="AJ470" i="16" s="1"/>
  <c r="AG470" i="16"/>
  <c r="AI550" i="16"/>
  <c r="AJ550" i="16" s="1"/>
  <c r="AG550" i="16"/>
  <c r="AG252" i="16"/>
  <c r="AG276" i="16"/>
  <c r="AI421" i="16"/>
  <c r="AJ421" i="16" s="1"/>
  <c r="AI149" i="16"/>
  <c r="AJ149" i="16" s="1"/>
  <c r="AG561" i="16"/>
  <c r="AI660" i="16"/>
  <c r="AJ660" i="16" s="1"/>
  <c r="AG660" i="16"/>
  <c r="AG664" i="16"/>
  <c r="AI664" i="16"/>
  <c r="AJ664" i="16" s="1"/>
  <c r="AG437" i="16"/>
  <c r="AI437" i="16"/>
  <c r="AJ437" i="16" s="1"/>
  <c r="AI166" i="16"/>
  <c r="AJ166" i="16" s="1"/>
  <c r="AG166" i="16"/>
  <c r="AI366" i="16"/>
  <c r="AJ366" i="16" s="1"/>
  <c r="AG366" i="16"/>
  <c r="AI250" i="16"/>
  <c r="AJ250" i="16" s="1"/>
  <c r="AG250" i="16"/>
  <c r="AI200" i="16"/>
  <c r="AJ200" i="16" s="1"/>
  <c r="AG200" i="16"/>
  <c r="AI655" i="16"/>
  <c r="AJ655" i="16" s="1"/>
  <c r="AG655" i="16"/>
  <c r="AG415" i="16"/>
  <c r="AI415" i="16"/>
  <c r="AJ415" i="16" s="1"/>
  <c r="AG813" i="16"/>
  <c r="AG734" i="16"/>
  <c r="AG300" i="16"/>
  <c r="AG234" i="16"/>
  <c r="AG696" i="16"/>
  <c r="AG393" i="16"/>
  <c r="AI712" i="16"/>
  <c r="AJ712" i="16" s="1"/>
  <c r="AI685" i="16"/>
  <c r="AJ685" i="16" s="1"/>
  <c r="AI341" i="16"/>
  <c r="AJ341" i="16" s="1"/>
  <c r="AI489" i="16"/>
  <c r="AJ489" i="16" s="1"/>
  <c r="AI522" i="16"/>
  <c r="AJ522" i="16" s="1"/>
  <c r="AG662" i="16"/>
  <c r="AG642" i="16"/>
  <c r="AG239" i="16"/>
  <c r="AG345" i="16"/>
  <c r="AG570" i="16"/>
  <c r="AG214" i="16"/>
  <c r="AG169" i="16"/>
  <c r="AG618" i="16"/>
  <c r="AI612" i="16"/>
  <c r="AJ612" i="16" s="1"/>
  <c r="AG475" i="16"/>
  <c r="AI275" i="16"/>
  <c r="AJ275" i="16" s="1"/>
  <c r="AG595" i="16"/>
  <c r="AI307" i="16"/>
  <c r="AJ307" i="16" s="1"/>
  <c r="AI322" i="16"/>
  <c r="AJ322" i="16" s="1"/>
  <c r="AG451" i="16"/>
  <c r="AI632" i="16"/>
  <c r="AJ632" i="16" s="1"/>
  <c r="AI212" i="16"/>
  <c r="AJ212" i="16" s="1"/>
  <c r="AG477" i="16"/>
  <c r="AG676" i="16"/>
  <c r="AG183" i="16"/>
  <c r="AI139" i="16"/>
  <c r="AJ139" i="16" s="1"/>
  <c r="AG238" i="16"/>
  <c r="AG503" i="16"/>
  <c r="AI509" i="16"/>
  <c r="AJ509" i="16" s="1"/>
  <c r="AG616" i="16"/>
  <c r="AG373" i="16"/>
  <c r="AJ642" i="16"/>
  <c r="AG663" i="16"/>
  <c r="AG440" i="16"/>
  <c r="AI594" i="16"/>
  <c r="AJ594" i="16" s="1"/>
  <c r="AI192" i="16"/>
  <c r="AJ192" i="16" s="1"/>
  <c r="AG150" i="16"/>
  <c r="AG714" i="16"/>
  <c r="AG430" i="16"/>
  <c r="AG290" i="16"/>
  <c r="AG500" i="16"/>
  <c r="AI219" i="16"/>
  <c r="AJ219" i="16" s="1"/>
  <c r="AG519" i="16"/>
  <c r="AI309" i="16"/>
  <c r="AJ309" i="16" s="1"/>
  <c r="AG524" i="16"/>
  <c r="AG412" i="16"/>
  <c r="AG274" i="16"/>
  <c r="AG182" i="16"/>
  <c r="AJ714" i="16"/>
  <c r="AG828" i="16"/>
  <c r="AI299" i="16"/>
  <c r="AJ299" i="16" s="1"/>
  <c r="AG299" i="16"/>
  <c r="AI157" i="16"/>
  <c r="AJ157" i="16" s="1"/>
  <c r="AG157" i="16"/>
  <c r="AI649" i="16"/>
  <c r="AJ649" i="16" s="1"/>
  <c r="AG649" i="16"/>
  <c r="AG716" i="16"/>
  <c r="AI216" i="16"/>
  <c r="AJ216" i="16" s="1"/>
  <c r="AG769" i="16"/>
  <c r="AI809" i="16"/>
  <c r="AJ809" i="16" s="1"/>
  <c r="AG820" i="16"/>
  <c r="AI771" i="16"/>
  <c r="AJ771" i="16" s="1"/>
  <c r="AG794" i="16"/>
  <c r="AG758" i="16"/>
  <c r="AI791" i="16"/>
  <c r="AJ791" i="16" s="1"/>
  <c r="AI831" i="16"/>
  <c r="AJ831" i="16" s="1"/>
  <c r="AI816" i="16"/>
  <c r="AJ816" i="16" s="1"/>
  <c r="AG808" i="16"/>
  <c r="AI783" i="16"/>
  <c r="AJ783" i="16" s="1"/>
  <c r="AI830" i="16"/>
  <c r="AJ830" i="16" s="1"/>
  <c r="AG824" i="16"/>
  <c r="AI806" i="16"/>
  <c r="AJ806" i="16" s="1"/>
  <c r="AG747" i="16"/>
  <c r="AI743" i="16"/>
  <c r="AJ743" i="16" s="1"/>
  <c r="AI781" i="16"/>
  <c r="AJ781" i="16" s="1"/>
  <c r="AI805" i="16"/>
  <c r="AJ805" i="16" s="1"/>
  <c r="AI827" i="16"/>
  <c r="AJ827" i="16" s="1"/>
  <c r="AI811" i="16"/>
  <c r="AJ811" i="16" s="1"/>
  <c r="AG832" i="16"/>
  <c r="AI764" i="16"/>
  <c r="AJ764" i="16" s="1"/>
  <c r="AG774" i="16"/>
  <c r="AG777" i="16"/>
  <c r="AG829" i="16"/>
  <c r="AG825" i="16"/>
  <c r="AG757" i="16"/>
  <c r="AG752" i="16"/>
  <c r="AG821" i="16"/>
  <c r="AG799" i="16"/>
  <c r="AI778" i="16"/>
  <c r="AJ778" i="16" s="1"/>
  <c r="AG760" i="16"/>
  <c r="AI762" i="16"/>
  <c r="AJ762" i="16" s="1"/>
  <c r="AG761" i="16"/>
  <c r="AI765" i="16"/>
  <c r="AJ765" i="16" s="1"/>
  <c r="AG756" i="16"/>
  <c r="AI815" i="16"/>
  <c r="AJ815" i="16" s="1"/>
  <c r="AI768" i="16"/>
  <c r="AJ768" i="16" s="1"/>
  <c r="AG818" i="16"/>
  <c r="AI807" i="16"/>
  <c r="AJ807" i="16" s="1"/>
  <c r="AI810" i="16"/>
  <c r="AJ810" i="16" s="1"/>
  <c r="AI753" i="16"/>
  <c r="AJ753" i="16" s="1"/>
  <c r="AG790" i="16"/>
  <c r="AI782" i="16"/>
  <c r="AJ782" i="16" s="1"/>
  <c r="AG804" i="16"/>
  <c r="AG786" i="16"/>
  <c r="AI744" i="16"/>
  <c r="AJ744" i="16" s="1"/>
  <c r="AI754" i="16"/>
  <c r="AJ754" i="16" s="1"/>
  <c r="AI773" i="16"/>
  <c r="AJ773" i="16" s="1"/>
  <c r="AG767" i="16"/>
  <c r="AG751" i="16"/>
  <c r="AG812" i="16"/>
  <c r="AI748" i="16"/>
  <c r="AJ748" i="16" s="1"/>
  <c r="AG826" i="16"/>
  <c r="AI775" i="16"/>
  <c r="AJ775" i="16" s="1"/>
  <c r="AG788" i="16"/>
  <c r="AI749" i="16"/>
  <c r="AJ749" i="16" s="1"/>
  <c r="AI796" i="16"/>
  <c r="AJ796" i="16" s="1"/>
  <c r="AI789" i="16"/>
  <c r="AJ789" i="16" s="1"/>
  <c r="AG772" i="16"/>
  <c r="AG802" i="16"/>
  <c r="AI785" i="16"/>
  <c r="AJ785" i="16" s="1"/>
  <c r="AG785" i="16"/>
  <c r="AG803" i="16"/>
  <c r="AG793" i="16"/>
  <c r="AI793" i="16"/>
  <c r="AJ793" i="16" s="1"/>
  <c r="AI814" i="16"/>
  <c r="AJ814" i="16" s="1"/>
  <c r="AG740" i="16"/>
  <c r="AG741" i="16"/>
  <c r="AI728" i="16"/>
  <c r="AJ728" i="16" s="1"/>
  <c r="AG728" i="16"/>
  <c r="AI733" i="16"/>
  <c r="AJ733" i="16" s="1"/>
  <c r="AI727" i="16"/>
  <c r="AJ727" i="16" s="1"/>
  <c r="AI731" i="16"/>
  <c r="AJ731" i="16" s="1"/>
  <c r="AI735" i="16"/>
  <c r="AJ735" i="16" s="1"/>
  <c r="AI729" i="16"/>
  <c r="AJ729" i="16" s="1"/>
  <c r="AG729" i="16"/>
  <c r="AI730" i="16"/>
  <c r="AJ730" i="16" s="1"/>
  <c r="AI725" i="16"/>
  <c r="AJ725" i="16" s="1"/>
  <c r="AG246" i="16"/>
  <c r="AI246" i="16"/>
  <c r="AJ246" i="16" s="1"/>
  <c r="AI385" i="16"/>
  <c r="AJ385" i="16" s="1"/>
  <c r="AG385" i="16"/>
  <c r="AI342" i="16"/>
  <c r="AJ342" i="16" s="1"/>
  <c r="AG342" i="16"/>
  <c r="AI185" i="16"/>
  <c r="AJ185" i="16" s="1"/>
  <c r="AG185" i="16"/>
  <c r="AI215" i="16"/>
  <c r="AJ215" i="16" s="1"/>
  <c r="AG215" i="16"/>
  <c r="AG280" i="16"/>
  <c r="AG416" i="16"/>
  <c r="AI416" i="16"/>
  <c r="AJ416" i="16" s="1"/>
  <c r="AG667" i="16"/>
  <c r="AI667" i="16"/>
  <c r="AJ667" i="16" s="1"/>
  <c r="AI637" i="16"/>
  <c r="AJ637" i="16" s="1"/>
  <c r="AG637" i="16"/>
  <c r="AI690" i="16"/>
  <c r="AJ690" i="16" s="1"/>
  <c r="AG278" i="16"/>
  <c r="AI278" i="16"/>
  <c r="AJ278" i="16" s="1"/>
  <c r="AI584" i="16"/>
  <c r="AJ584" i="16" s="1"/>
  <c r="AG584" i="16"/>
  <c r="AG213" i="16"/>
  <c r="AI213" i="16"/>
  <c r="AJ213" i="16" s="1"/>
  <c r="AG407" i="16"/>
  <c r="AI407" i="16"/>
  <c r="AJ407" i="16" s="1"/>
  <c r="AG128" i="16"/>
  <c r="AI128" i="16"/>
  <c r="AJ128" i="16" s="1"/>
  <c r="AI621" i="16"/>
  <c r="AJ621" i="16" s="1"/>
  <c r="AG621" i="16"/>
  <c r="AI167" i="16"/>
  <c r="AJ167" i="16" s="1"/>
  <c r="AG167" i="16"/>
  <c r="AI420" i="16"/>
  <c r="AJ420" i="16" s="1"/>
  <c r="AI371" i="16"/>
  <c r="AJ371" i="16" s="1"/>
  <c r="AG371" i="16"/>
  <c r="AI381" i="16"/>
  <c r="AJ381" i="16" s="1"/>
  <c r="AG381" i="16"/>
  <c r="AI653" i="16"/>
  <c r="AJ653" i="16" s="1"/>
  <c r="AG653" i="16"/>
  <c r="AI537" i="16"/>
  <c r="AJ537" i="16" s="1"/>
  <c r="AG537" i="16"/>
  <c r="AI184" i="16"/>
  <c r="AJ184" i="16" s="1"/>
  <c r="AG184" i="16"/>
  <c r="AG227" i="16"/>
  <c r="AI227" i="16"/>
  <c r="AJ227" i="16" s="1"/>
  <c r="AI264" i="16"/>
  <c r="AJ264" i="16" s="1"/>
  <c r="AG264" i="16"/>
  <c r="AI368" i="16"/>
  <c r="AJ368" i="16" s="1"/>
  <c r="AG368" i="16"/>
  <c r="AI349" i="16"/>
  <c r="AJ349" i="16" s="1"/>
  <c r="AG349" i="16"/>
  <c r="AI708" i="16"/>
  <c r="AJ708" i="16" s="1"/>
  <c r="AG708" i="16"/>
  <c r="AG521" i="16"/>
  <c r="AI521" i="16"/>
  <c r="AJ521" i="16" s="1"/>
  <c r="AI679" i="16"/>
  <c r="AJ679" i="16" s="1"/>
  <c r="AG679" i="16"/>
  <c r="AI284" i="16"/>
  <c r="AJ284" i="16" s="1"/>
  <c r="AG284" i="16"/>
  <c r="AG162" i="16"/>
  <c r="AI162" i="16"/>
  <c r="AJ162" i="16" s="1"/>
  <c r="AI510" i="16"/>
  <c r="AJ510" i="16" s="1"/>
  <c r="AG510" i="16"/>
  <c r="AI476" i="16"/>
  <c r="AJ476" i="16" s="1"/>
  <c r="AG476" i="16"/>
  <c r="AG665" i="16"/>
  <c r="AI665" i="16"/>
  <c r="AJ665" i="16" s="1"/>
  <c r="AI285" i="16"/>
  <c r="AJ285" i="16" s="1"/>
  <c r="AG285" i="16"/>
  <c r="AI333" i="16"/>
  <c r="AJ333" i="16" s="1"/>
  <c r="AG333" i="16"/>
  <c r="AG132" i="16"/>
  <c r="AI132" i="16"/>
  <c r="AJ132" i="16" s="1"/>
  <c r="AI549" i="16"/>
  <c r="AJ549" i="16" s="1"/>
  <c r="AG588" i="16"/>
  <c r="AG496" i="16"/>
  <c r="AG525" i="16"/>
  <c r="AI525" i="16"/>
  <c r="AJ525" i="16" s="1"/>
  <c r="AI168" i="16"/>
  <c r="AJ168" i="16" s="1"/>
  <c r="AG168" i="16"/>
  <c r="AI202" i="16"/>
  <c r="AJ202" i="16" s="1"/>
  <c r="AG202" i="16"/>
  <c r="AG543" i="16"/>
  <c r="AI543" i="16"/>
  <c r="AJ543" i="16" s="1"/>
  <c r="AG675" i="16"/>
  <c r="AI675" i="16"/>
  <c r="AJ675" i="16" s="1"/>
  <c r="AI390" i="16"/>
  <c r="AJ390" i="16" s="1"/>
  <c r="AG390" i="16"/>
  <c r="AG428" i="16"/>
  <c r="AI428" i="16"/>
  <c r="AJ428" i="16" s="1"/>
  <c r="AI161" i="16"/>
  <c r="AJ161" i="16" s="1"/>
  <c r="AG161" i="16"/>
  <c r="AG160" i="16"/>
  <c r="AI160" i="16"/>
  <c r="AJ160" i="16" s="1"/>
  <c r="AG713" i="16"/>
  <c r="AI713" i="16"/>
  <c r="AJ713" i="16" s="1"/>
  <c r="AI710" i="16"/>
  <c r="AJ710" i="16" s="1"/>
  <c r="AG710" i="16"/>
  <c r="AI593" i="16"/>
  <c r="AJ593" i="16" s="1"/>
  <c r="AG593" i="16"/>
  <c r="AI405" i="16"/>
  <c r="AJ405" i="16" s="1"/>
  <c r="AI631" i="16"/>
  <c r="AJ631" i="16" s="1"/>
  <c r="AG631" i="16"/>
  <c r="AI526" i="16"/>
  <c r="AJ526" i="16" s="1"/>
  <c r="AG526" i="16"/>
  <c r="AG329" i="16"/>
  <c r="AI329" i="16"/>
  <c r="AJ329" i="16" s="1"/>
  <c r="AG501" i="16"/>
  <c r="AI501" i="16"/>
  <c r="AJ501" i="16" s="1"/>
  <c r="AG255" i="16"/>
  <c r="AI255" i="16"/>
  <c r="AJ255" i="16" s="1"/>
  <c r="AG686" i="16"/>
  <c r="AI686" i="16"/>
  <c r="AJ686" i="16" s="1"/>
  <c r="AG165" i="16"/>
  <c r="AI165" i="16"/>
  <c r="AJ165" i="16" s="1"/>
  <c r="AI635" i="16"/>
  <c r="AJ635" i="16" s="1"/>
  <c r="AG635" i="16"/>
  <c r="AI313" i="16"/>
  <c r="AJ313" i="16" s="1"/>
  <c r="AG620" i="16"/>
  <c r="AG557" i="16"/>
  <c r="AI706" i="16"/>
  <c r="AJ706" i="16" s="1"/>
  <c r="AG204" i="16"/>
  <c r="AI317" i="16"/>
  <c r="AJ317" i="16" s="1"/>
  <c r="AG291" i="16"/>
  <c r="AG384" i="16"/>
  <c r="AG700" i="16"/>
  <c r="AI711" i="16"/>
  <c r="AJ711" i="16" s="1"/>
  <c r="AI720" i="16"/>
  <c r="AJ720" i="16" s="1"/>
  <c r="AG703" i="16"/>
  <c r="AG718" i="16"/>
  <c r="AG705" i="16"/>
  <c r="AI719" i="16"/>
  <c r="AJ719" i="16" s="1"/>
  <c r="AJ698" i="16"/>
  <c r="AG702" i="16"/>
  <c r="AG698" i="16"/>
  <c r="AG709" i="16"/>
  <c r="AG701" i="16"/>
  <c r="AI699" i="16"/>
  <c r="AJ699" i="16" s="1"/>
  <c r="AG692" i="16"/>
  <c r="AG689" i="16"/>
  <c r="AI687" i="16"/>
  <c r="AJ687" i="16" s="1"/>
  <c r="AG684" i="16"/>
  <c r="AG694" i="16"/>
  <c r="AI170" i="16"/>
  <c r="AJ170" i="16" s="1"/>
  <c r="AG542" i="16"/>
  <c r="AG203" i="16"/>
  <c r="AG498" i="16"/>
  <c r="AI188" i="16"/>
  <c r="AJ188" i="16" s="1"/>
  <c r="AG321" i="16"/>
  <c r="AG623" i="16"/>
  <c r="AI294" i="16"/>
  <c r="AJ294" i="16" s="1"/>
  <c r="AG179" i="16"/>
  <c r="AI429" i="16"/>
  <c r="AJ429" i="16" s="1"/>
  <c r="AI681" i="16"/>
  <c r="AJ681" i="16" s="1"/>
  <c r="AG432" i="16"/>
  <c r="AG358" i="16"/>
  <c r="AG379" i="16"/>
  <c r="AG344" i="16"/>
  <c r="AG645" i="16"/>
  <c r="AG680" i="16"/>
  <c r="AI253" i="16"/>
  <c r="AJ253" i="16" s="1"/>
  <c r="AG230" i="16"/>
  <c r="AG455" i="16"/>
  <c r="AG434" i="16"/>
  <c r="AI387" i="16"/>
  <c r="AJ387" i="16" s="1"/>
  <c r="AG361" i="16"/>
  <c r="AG143" i="16"/>
  <c r="AI282" i="16"/>
  <c r="AJ282" i="16" s="1"/>
  <c r="AG241" i="16"/>
  <c r="AI474" i="16"/>
  <c r="AJ474" i="16" s="1"/>
  <c r="AG458" i="16"/>
  <c r="AI245" i="16"/>
  <c r="AJ245" i="16" s="1"/>
  <c r="AG483" i="16"/>
  <c r="AG138" i="16"/>
  <c r="AI603" i="16"/>
  <c r="AJ603" i="16" s="1"/>
  <c r="AG545" i="16"/>
  <c r="AI305" i="16"/>
  <c r="AJ305" i="16" s="1"/>
  <c r="AI647" i="16"/>
  <c r="AJ647" i="16" s="1"/>
  <c r="AG560" i="16"/>
  <c r="AI146" i="16"/>
  <c r="AJ146" i="16" s="1"/>
  <c r="AI147" i="16"/>
  <c r="AJ147" i="16" s="1"/>
  <c r="AJ355" i="16"/>
  <c r="AG355" i="16"/>
  <c r="AG176" i="16"/>
  <c r="AG237" i="16"/>
  <c r="AG362" i="16"/>
  <c r="AG480" i="16"/>
  <c r="AI271" i="16"/>
  <c r="AJ271" i="16" s="1"/>
  <c r="AG315" i="16"/>
  <c r="AI445" i="16"/>
  <c r="AJ445" i="16" s="1"/>
  <c r="AG256" i="16"/>
  <c r="AG478" i="16"/>
  <c r="AG356" i="16"/>
  <c r="AG283" i="16"/>
  <c r="AG640" i="16"/>
  <c r="AI232" i="16"/>
  <c r="AJ232" i="16" s="1"/>
  <c r="AI130" i="16"/>
  <c r="AJ130" i="16" s="1"/>
  <c r="AG302" i="16"/>
  <c r="AI197" i="16"/>
  <c r="AJ197" i="16" s="1"/>
  <c r="AG288" i="16"/>
  <c r="AG293" i="16"/>
  <c r="AI365" i="16"/>
  <c r="AJ365" i="16" s="1"/>
  <c r="AG365" i="16"/>
  <c r="AG582" i="16"/>
  <c r="AG463" i="16"/>
  <c r="AI482" i="16"/>
  <c r="AJ482" i="16" s="1"/>
  <c r="AG600" i="16"/>
  <c r="AI303" i="16"/>
  <c r="AJ303" i="16" s="1"/>
  <c r="AI633" i="16"/>
  <c r="AJ633" i="16" s="1"/>
  <c r="AG164" i="16"/>
  <c r="AI422" i="16"/>
  <c r="AJ422" i="16" s="1"/>
  <c r="AI657" i="16"/>
  <c r="AJ657" i="16" s="1"/>
  <c r="AG397" i="16"/>
  <c r="AG312" i="16"/>
  <c r="AI312" i="16"/>
  <c r="AJ312" i="16" s="1"/>
  <c r="AG248" i="16"/>
  <c r="AI248" i="16"/>
  <c r="AJ248" i="16" s="1"/>
  <c r="AG668" i="16"/>
  <c r="AG207" i="16"/>
  <c r="AI559" i="16"/>
  <c r="AJ559" i="16" s="1"/>
  <c r="AI154" i="16"/>
  <c r="AJ154" i="16" s="1"/>
  <c r="AG438" i="16"/>
  <c r="AI140" i="16"/>
  <c r="AJ140" i="16" s="1"/>
  <c r="AG328" i="16"/>
  <c r="AG573" i="16"/>
  <c r="AG596" i="16"/>
  <c r="AI485" i="16"/>
  <c r="AJ485" i="16" s="1"/>
  <c r="AG439" i="16"/>
  <c r="AG609" i="16"/>
  <c r="AG261" i="16"/>
  <c r="AI261" i="16"/>
  <c r="AJ261" i="16" s="1"/>
  <c r="AG180" i="16"/>
  <c r="AG155" i="16"/>
  <c r="AG296" i="16"/>
  <c r="AG644" i="16"/>
  <c r="AI301" i="16"/>
  <c r="AJ301" i="16" s="1"/>
  <c r="AG301" i="16"/>
  <c r="AI337" i="16"/>
  <c r="AJ337" i="16" s="1"/>
  <c r="J136" i="39"/>
  <c r="H136" i="39"/>
  <c r="J135" i="39"/>
  <c r="H135" i="39"/>
  <c r="J134" i="39"/>
  <c r="H134" i="39"/>
  <c r="J133" i="39"/>
  <c r="H133" i="39"/>
  <c r="J132" i="39"/>
  <c r="H132" i="39"/>
  <c r="J131" i="39"/>
  <c r="H131" i="39"/>
  <c r="J130" i="39"/>
  <c r="H130" i="39"/>
  <c r="J129" i="39"/>
  <c r="H129" i="39"/>
  <c r="J128" i="39"/>
  <c r="H128" i="39"/>
  <c r="J127" i="39"/>
  <c r="H127" i="39"/>
  <c r="J126" i="39"/>
  <c r="H126" i="39"/>
  <c r="J125" i="39"/>
  <c r="H125" i="39"/>
  <c r="J124" i="39"/>
  <c r="H124" i="39"/>
  <c r="J123" i="39"/>
  <c r="H123" i="39"/>
  <c r="J122" i="39"/>
  <c r="H122" i="39"/>
  <c r="J121" i="39"/>
  <c r="H121" i="39"/>
  <c r="J120" i="39"/>
  <c r="H120" i="39"/>
  <c r="J119" i="39"/>
  <c r="H119" i="39"/>
  <c r="J118" i="39"/>
  <c r="H118" i="39"/>
  <c r="J117" i="39"/>
  <c r="H117" i="39"/>
  <c r="J116" i="39"/>
  <c r="H116" i="39"/>
  <c r="J115" i="39"/>
  <c r="H115" i="39"/>
  <c r="J114" i="39"/>
  <c r="H114" i="39"/>
  <c r="J113" i="39"/>
  <c r="H113" i="39"/>
  <c r="J112" i="39"/>
  <c r="H112" i="39"/>
  <c r="J111" i="39"/>
  <c r="H111" i="39"/>
  <c r="J110" i="39"/>
  <c r="H110" i="39"/>
  <c r="J109" i="39"/>
  <c r="H109" i="39"/>
  <c r="J108" i="39"/>
  <c r="H108" i="39"/>
  <c r="J107" i="39"/>
  <c r="H107" i="39"/>
  <c r="J106" i="39"/>
  <c r="H106" i="39"/>
  <c r="J105" i="39"/>
  <c r="H105" i="39"/>
  <c r="J104" i="39"/>
  <c r="H104" i="39"/>
  <c r="J103" i="39"/>
  <c r="H103" i="39"/>
  <c r="J102" i="39"/>
  <c r="H102" i="39"/>
  <c r="J101" i="39"/>
  <c r="H101" i="39"/>
  <c r="J100" i="39"/>
  <c r="H100" i="39"/>
  <c r="J99" i="39"/>
  <c r="H99" i="39"/>
  <c r="J98" i="39"/>
  <c r="H98" i="39"/>
  <c r="J301" i="11"/>
  <c r="H301" i="11"/>
  <c r="I301" i="11" s="1"/>
  <c r="J300" i="11"/>
  <c r="H300" i="11"/>
  <c r="I300" i="11" s="1"/>
  <c r="J299" i="11"/>
  <c r="H299" i="11"/>
  <c r="I299" i="11" s="1"/>
  <c r="J298" i="11"/>
  <c r="H298" i="11"/>
  <c r="I298" i="11" s="1"/>
  <c r="J297" i="11"/>
  <c r="H297" i="11"/>
  <c r="I297" i="11" s="1"/>
  <c r="J296" i="11"/>
  <c r="H296" i="11"/>
  <c r="I296" i="11" s="1"/>
  <c r="J295" i="11"/>
  <c r="H295" i="11"/>
  <c r="I295" i="11" s="1"/>
  <c r="J294" i="11"/>
  <c r="H294" i="11"/>
  <c r="I294" i="11" s="1"/>
  <c r="J293" i="11"/>
  <c r="H293" i="11"/>
  <c r="I293" i="11" s="1"/>
  <c r="J292" i="11"/>
  <c r="H292" i="11"/>
  <c r="I292" i="11" s="1"/>
  <c r="J291" i="11"/>
  <c r="H291" i="11"/>
  <c r="I291" i="11" s="1"/>
  <c r="J290" i="11"/>
  <c r="H290" i="11"/>
  <c r="I290" i="11" s="1"/>
  <c r="J289" i="11"/>
  <c r="H289" i="11"/>
  <c r="I289" i="11" s="1"/>
  <c r="J288" i="11"/>
  <c r="H288" i="11"/>
  <c r="I288" i="11" s="1"/>
  <c r="J287" i="11"/>
  <c r="H287" i="11"/>
  <c r="I287" i="11" s="1"/>
  <c r="J286" i="11"/>
  <c r="H286" i="11"/>
  <c r="I286" i="11" s="1"/>
  <c r="J285" i="11"/>
  <c r="H285" i="11"/>
  <c r="I285" i="11" s="1"/>
  <c r="J284" i="11"/>
  <c r="H284" i="11"/>
  <c r="I284" i="11" s="1"/>
  <c r="J283" i="11"/>
  <c r="H283" i="11"/>
  <c r="I283" i="11" s="1"/>
  <c r="J282" i="11"/>
  <c r="H282" i="11"/>
  <c r="I282" i="11" s="1"/>
  <c r="J281" i="11"/>
  <c r="H281" i="11"/>
  <c r="I281" i="11" s="1"/>
  <c r="J280" i="11"/>
  <c r="H280" i="11"/>
  <c r="I280" i="11" s="1"/>
  <c r="J279" i="11"/>
  <c r="H279" i="11"/>
  <c r="I279" i="11" s="1"/>
  <c r="J278" i="11"/>
  <c r="H278" i="11"/>
  <c r="I278" i="11" s="1"/>
  <c r="J277" i="11"/>
  <c r="H277" i="11"/>
  <c r="I277" i="11" s="1"/>
  <c r="J276" i="11"/>
  <c r="H276" i="11"/>
  <c r="I276" i="11" s="1"/>
  <c r="J275" i="11"/>
  <c r="H275" i="11"/>
  <c r="I275" i="11" s="1"/>
  <c r="J274" i="11"/>
  <c r="H274" i="11"/>
  <c r="I274" i="11" s="1"/>
  <c r="J273" i="11"/>
  <c r="H273" i="11"/>
  <c r="I273" i="11" s="1"/>
  <c r="J272" i="11"/>
  <c r="H272" i="11"/>
  <c r="I272" i="11" s="1"/>
  <c r="J271" i="11"/>
  <c r="H271" i="11"/>
  <c r="I271" i="11" s="1"/>
  <c r="J270" i="11"/>
  <c r="H270" i="11"/>
  <c r="I270" i="11" s="1"/>
  <c r="J269" i="11"/>
  <c r="H269" i="11"/>
  <c r="I269" i="11" s="1"/>
  <c r="J268" i="11"/>
  <c r="H268" i="11"/>
  <c r="I268" i="11" s="1"/>
  <c r="J267" i="11"/>
  <c r="H267" i="11"/>
  <c r="I267" i="11" s="1"/>
  <c r="J266" i="11"/>
  <c r="H266" i="11"/>
  <c r="I266" i="11" s="1"/>
  <c r="J265" i="11"/>
  <c r="H265" i="11"/>
  <c r="I265" i="11" s="1"/>
  <c r="J264" i="11"/>
  <c r="H264" i="11"/>
  <c r="I264" i="11" s="1"/>
  <c r="J263" i="11"/>
  <c r="H263" i="11"/>
  <c r="I263" i="11" s="1"/>
  <c r="J262" i="11"/>
  <c r="H262" i="11"/>
  <c r="I262" i="11" s="1"/>
  <c r="J524" i="11"/>
  <c r="H524" i="11"/>
  <c r="I524" i="11" s="1"/>
  <c r="J523" i="11"/>
  <c r="H523" i="11"/>
  <c r="I523" i="11" s="1"/>
  <c r="J522" i="11"/>
  <c r="H522" i="11"/>
  <c r="I522" i="11" s="1"/>
  <c r="J521" i="11"/>
  <c r="H521" i="11"/>
  <c r="I521" i="11" s="1"/>
  <c r="J63" i="5"/>
  <c r="H63" i="5"/>
  <c r="I63" i="5" s="1"/>
  <c r="J62" i="5"/>
  <c r="H62" i="5"/>
  <c r="I62" i="5" s="1"/>
  <c r="J61" i="5"/>
  <c r="H61" i="5"/>
  <c r="I61" i="5" s="1"/>
  <c r="J60" i="5"/>
  <c r="H60" i="5"/>
  <c r="I60" i="5" s="1"/>
  <c r="J59" i="5"/>
  <c r="H59" i="5"/>
  <c r="I59" i="5" s="1"/>
  <c r="J57" i="5"/>
  <c r="H57" i="5"/>
  <c r="I57" i="5" s="1"/>
  <c r="J56" i="5"/>
  <c r="H56" i="5"/>
  <c r="I56" i="5" s="1"/>
  <c r="J51" i="5"/>
  <c r="H51" i="5"/>
  <c r="I51" i="5" s="1"/>
  <c r="AF236" i="16" l="1"/>
  <c r="AI236" i="16"/>
  <c r="AJ236" i="16" s="1"/>
  <c r="AG236" i="16"/>
  <c r="AG1254" i="16"/>
  <c r="AF1248" i="16"/>
  <c r="AG1248" i="16" s="1"/>
  <c r="AF1251" i="16"/>
  <c r="AI1251" i="16" s="1"/>
  <c r="AJ1251" i="16" s="1"/>
  <c r="AG1259" i="16"/>
  <c r="AI1259" i="16"/>
  <c r="AJ1259" i="16" s="1"/>
  <c r="AG1249" i="16"/>
  <c r="AI1249" i="16"/>
  <c r="AJ1249" i="16" s="1"/>
  <c r="AG1255" i="16"/>
  <c r="AI1255" i="16"/>
  <c r="AJ1255" i="16" s="1"/>
  <c r="AI1257" i="16"/>
  <c r="AJ1257" i="16" s="1"/>
  <c r="AG1257" i="16"/>
  <c r="AC1252" i="16"/>
  <c r="AD1252" i="16" s="1"/>
  <c r="Q1252" i="16"/>
  <c r="R1252" i="16" s="1"/>
  <c r="S1252" i="16" s="1"/>
  <c r="T1252" i="16" s="1"/>
  <c r="AE1252" i="16" s="1"/>
  <c r="AI1250" i="16"/>
  <c r="AJ1250" i="16" s="1"/>
  <c r="AG1250" i="16"/>
  <c r="AF1260" i="16"/>
  <c r="AI1247" i="16"/>
  <c r="AJ1247" i="16" s="1"/>
  <c r="AG1247" i="16"/>
  <c r="AI1253" i="16"/>
  <c r="AJ1253" i="16" s="1"/>
  <c r="AG1253" i="16"/>
  <c r="AF1258" i="16"/>
  <c r="AG1256" i="16"/>
  <c r="AI1256" i="16"/>
  <c r="AJ1256" i="16" s="1"/>
  <c r="AI1248" i="16"/>
  <c r="AJ1248" i="16" s="1"/>
  <c r="K289" i="11"/>
  <c r="K291" i="11"/>
  <c r="K293" i="11"/>
  <c r="K295" i="11"/>
  <c r="K297" i="11"/>
  <c r="K299" i="11"/>
  <c r="K99" i="39"/>
  <c r="K101" i="39"/>
  <c r="K103" i="39"/>
  <c r="K105" i="39"/>
  <c r="K107" i="39"/>
  <c r="K109" i="39"/>
  <c r="K111" i="39"/>
  <c r="K113" i="39"/>
  <c r="K115" i="39"/>
  <c r="K59" i="5"/>
  <c r="K61" i="5"/>
  <c r="K63" i="5"/>
  <c r="K117" i="39"/>
  <c r="K119" i="39"/>
  <c r="K121" i="39"/>
  <c r="K123" i="39"/>
  <c r="K125" i="39"/>
  <c r="K129" i="39"/>
  <c r="K131" i="39"/>
  <c r="K133" i="39"/>
  <c r="K98" i="39"/>
  <c r="K100" i="39"/>
  <c r="K102" i="39"/>
  <c r="K104" i="39"/>
  <c r="K106" i="39"/>
  <c r="K108" i="39"/>
  <c r="K110" i="39"/>
  <c r="K112" i="39"/>
  <c r="K114" i="39"/>
  <c r="K116" i="39"/>
  <c r="K118" i="39"/>
  <c r="K120" i="39"/>
  <c r="K122" i="39"/>
  <c r="K124" i="39"/>
  <c r="K126" i="39"/>
  <c r="K128" i="39"/>
  <c r="K130" i="39"/>
  <c r="K132" i="39"/>
  <c r="K134" i="39"/>
  <c r="K136" i="39"/>
  <c r="K301" i="11"/>
  <c r="K290" i="11"/>
  <c r="K292" i="11"/>
  <c r="K294" i="11"/>
  <c r="K296" i="11"/>
  <c r="K298" i="11"/>
  <c r="K57" i="5"/>
  <c r="K60" i="5"/>
  <c r="K62" i="5"/>
  <c r="K51" i="5"/>
  <c r="K127" i="39"/>
  <c r="K135" i="39"/>
  <c r="K521" i="11"/>
  <c r="K524" i="11"/>
  <c r="K263" i="11"/>
  <c r="K265" i="11"/>
  <c r="K267" i="11"/>
  <c r="K269" i="11"/>
  <c r="K271" i="11"/>
  <c r="K273" i="11"/>
  <c r="K275" i="11"/>
  <c r="K277" i="11"/>
  <c r="K279" i="11"/>
  <c r="K281" i="11"/>
  <c r="K283" i="11"/>
  <c r="K285" i="11"/>
  <c r="K287" i="11"/>
  <c r="K522" i="11"/>
  <c r="K523" i="11"/>
  <c r="K262" i="11"/>
  <c r="K264" i="11"/>
  <c r="K266" i="11"/>
  <c r="K268" i="11"/>
  <c r="K270" i="11"/>
  <c r="K272" i="11"/>
  <c r="K274" i="11"/>
  <c r="K276" i="11"/>
  <c r="K278" i="11"/>
  <c r="K280" i="11"/>
  <c r="K282" i="11"/>
  <c r="K284" i="11"/>
  <c r="K286" i="11"/>
  <c r="K288" i="11"/>
  <c r="K300" i="11"/>
  <c r="K56" i="5"/>
  <c r="I98" i="39"/>
  <c r="I99" i="39"/>
  <c r="I100" i="39"/>
  <c r="I101" i="39"/>
  <c r="I102" i="39"/>
  <c r="I103" i="39"/>
  <c r="I104" i="39"/>
  <c r="I105" i="39"/>
  <c r="I106" i="39"/>
  <c r="I107" i="39"/>
  <c r="I108" i="39"/>
  <c r="I109" i="39"/>
  <c r="I110" i="39"/>
  <c r="I111" i="39"/>
  <c r="I112" i="39"/>
  <c r="I113" i="39"/>
  <c r="I114" i="39"/>
  <c r="I115" i="39"/>
  <c r="I116" i="39"/>
  <c r="I117" i="39"/>
  <c r="I118" i="39"/>
  <c r="I119" i="39"/>
  <c r="I120" i="39"/>
  <c r="I121" i="39"/>
  <c r="I122" i="39"/>
  <c r="I123" i="39"/>
  <c r="I124" i="39"/>
  <c r="I125" i="39"/>
  <c r="I126" i="39"/>
  <c r="I127" i="39"/>
  <c r="I128" i="39"/>
  <c r="I129" i="39"/>
  <c r="I130" i="39"/>
  <c r="I131" i="39"/>
  <c r="I132" i="39"/>
  <c r="I133" i="39"/>
  <c r="I134" i="39"/>
  <c r="I135" i="39"/>
  <c r="I136" i="39"/>
  <c r="J50" i="5"/>
  <c r="H50" i="5"/>
  <c r="I50" i="5" s="1"/>
  <c r="J49" i="5"/>
  <c r="H49" i="5"/>
  <c r="I49" i="5" s="1"/>
  <c r="J48" i="5"/>
  <c r="H48" i="5"/>
  <c r="I48" i="5" s="1"/>
  <c r="J47" i="5"/>
  <c r="H47" i="5"/>
  <c r="I47" i="5" s="1"/>
  <c r="J46" i="5"/>
  <c r="H46" i="5"/>
  <c r="I46" i="5" s="1"/>
  <c r="J33" i="5"/>
  <c r="H33" i="5"/>
  <c r="I33" i="5" s="1"/>
  <c r="J32" i="5"/>
  <c r="H32" i="5"/>
  <c r="I32" i="5" s="1"/>
  <c r="J31" i="5"/>
  <c r="H31" i="5"/>
  <c r="I31" i="5" s="1"/>
  <c r="J30" i="5"/>
  <c r="H30" i="5"/>
  <c r="I30" i="5" s="1"/>
  <c r="J29" i="5"/>
  <c r="H29" i="5"/>
  <c r="I29" i="5" s="1"/>
  <c r="J28" i="5"/>
  <c r="H28" i="5"/>
  <c r="I28" i="5" s="1"/>
  <c r="J27" i="5"/>
  <c r="H27" i="5"/>
  <c r="I27" i="5" s="1"/>
  <c r="J26" i="5"/>
  <c r="H26" i="5"/>
  <c r="I26" i="5" s="1"/>
  <c r="J19" i="5"/>
  <c r="H19" i="5"/>
  <c r="I19" i="5" s="1"/>
  <c r="J18" i="5"/>
  <c r="H18" i="5"/>
  <c r="I18" i="5" s="1"/>
  <c r="AG1251" i="16" l="1"/>
  <c r="AG1260" i="16"/>
  <c r="AI1260" i="16"/>
  <c r="AJ1260" i="16" s="1"/>
  <c r="AF1252" i="16"/>
  <c r="AI1258" i="16"/>
  <c r="AJ1258" i="16" s="1"/>
  <c r="AG1258" i="16"/>
  <c r="K19" i="5"/>
  <c r="K27" i="5"/>
  <c r="K29" i="5"/>
  <c r="K31" i="5"/>
  <c r="K33" i="5"/>
  <c r="K47" i="5"/>
  <c r="K49" i="5"/>
  <c r="K18" i="5"/>
  <c r="K26" i="5"/>
  <c r="K28" i="5"/>
  <c r="K30" i="5"/>
  <c r="K32" i="5"/>
  <c r="K46" i="5"/>
  <c r="K48" i="5"/>
  <c r="K50" i="5"/>
  <c r="J384" i="39"/>
  <c r="H384" i="39"/>
  <c r="J383" i="39"/>
  <c r="H383" i="39"/>
  <c r="J382" i="39"/>
  <c r="H382" i="39"/>
  <c r="I382" i="39" s="1"/>
  <c r="J381" i="39"/>
  <c r="H381" i="39"/>
  <c r="J380" i="39"/>
  <c r="H380" i="39"/>
  <c r="J379" i="39"/>
  <c r="H379" i="39"/>
  <c r="J369" i="39"/>
  <c r="H369" i="39"/>
  <c r="J368" i="39"/>
  <c r="H368" i="39"/>
  <c r="J367" i="39"/>
  <c r="H367" i="39"/>
  <c r="J366" i="39"/>
  <c r="H366" i="39"/>
  <c r="I366" i="39" s="1"/>
  <c r="J365" i="39"/>
  <c r="H365" i="39"/>
  <c r="J364" i="39"/>
  <c r="H364" i="39"/>
  <c r="J363" i="39"/>
  <c r="H363" i="39"/>
  <c r="J362" i="39"/>
  <c r="H362" i="39"/>
  <c r="I362" i="39" s="1"/>
  <c r="J361" i="39"/>
  <c r="H361" i="39"/>
  <c r="J360" i="39"/>
  <c r="H360" i="39"/>
  <c r="J359" i="39"/>
  <c r="H359" i="39"/>
  <c r="J358" i="39"/>
  <c r="H358" i="39"/>
  <c r="I358" i="39" s="1"/>
  <c r="J357" i="39"/>
  <c r="H357" i="39"/>
  <c r="J356" i="39"/>
  <c r="H356" i="39"/>
  <c r="J319" i="39"/>
  <c r="H319" i="39"/>
  <c r="I319" i="39" s="1"/>
  <c r="J318" i="39"/>
  <c r="H318" i="39"/>
  <c r="J317" i="39"/>
  <c r="H317" i="39"/>
  <c r="J316" i="39"/>
  <c r="H316" i="39"/>
  <c r="J315" i="39"/>
  <c r="H315" i="39"/>
  <c r="I315" i="39" s="1"/>
  <c r="J314" i="39"/>
  <c r="H314" i="39"/>
  <c r="J313" i="39"/>
  <c r="H313" i="39"/>
  <c r="J312" i="39"/>
  <c r="H312" i="39"/>
  <c r="J311" i="39"/>
  <c r="H311" i="39"/>
  <c r="I311" i="39" s="1"/>
  <c r="J310" i="39"/>
  <c r="H310" i="39"/>
  <c r="J309" i="39"/>
  <c r="H309" i="39"/>
  <c r="J308" i="39"/>
  <c r="H308" i="39"/>
  <c r="J307" i="39"/>
  <c r="H307" i="39"/>
  <c r="I307" i="39" s="1"/>
  <c r="J306" i="39"/>
  <c r="H306" i="39"/>
  <c r="J305" i="39"/>
  <c r="H305" i="39"/>
  <c r="J304" i="39"/>
  <c r="H304" i="39"/>
  <c r="J303" i="39"/>
  <c r="H303" i="39"/>
  <c r="I303" i="39" s="1"/>
  <c r="J302" i="39"/>
  <c r="H302" i="39"/>
  <c r="J301" i="39"/>
  <c r="H301" i="39"/>
  <c r="J300" i="39"/>
  <c r="H300" i="39"/>
  <c r="J299" i="39"/>
  <c r="H299" i="39"/>
  <c r="I299" i="39" s="1"/>
  <c r="J298" i="39"/>
  <c r="H298" i="39"/>
  <c r="J297" i="39"/>
  <c r="H297" i="39"/>
  <c r="J296" i="39"/>
  <c r="H296" i="39"/>
  <c r="J295" i="39"/>
  <c r="H295" i="39"/>
  <c r="I295" i="39" s="1"/>
  <c r="J294" i="39"/>
  <c r="H294" i="39"/>
  <c r="J293" i="39"/>
  <c r="H293" i="39"/>
  <c r="J292" i="39"/>
  <c r="H292" i="39"/>
  <c r="J291" i="39"/>
  <c r="H291" i="39"/>
  <c r="I291" i="39" s="1"/>
  <c r="J290" i="39"/>
  <c r="H290" i="39"/>
  <c r="J289" i="39"/>
  <c r="H289" i="39"/>
  <c r="J288" i="39"/>
  <c r="H288" i="39"/>
  <c r="J287" i="39"/>
  <c r="H287" i="39"/>
  <c r="I287" i="39" s="1"/>
  <c r="J286" i="39"/>
  <c r="H286" i="39"/>
  <c r="J285" i="39"/>
  <c r="H285" i="39"/>
  <c r="J284" i="39"/>
  <c r="H284" i="39"/>
  <c r="J283" i="39"/>
  <c r="H283" i="39"/>
  <c r="I283" i="39" s="1"/>
  <c r="J282" i="39"/>
  <c r="H282" i="39"/>
  <c r="J281" i="39"/>
  <c r="H281" i="39"/>
  <c r="J280" i="39"/>
  <c r="H280" i="39"/>
  <c r="J279" i="39"/>
  <c r="H279" i="39"/>
  <c r="I279" i="39" s="1"/>
  <c r="J278" i="39"/>
  <c r="H278" i="39"/>
  <c r="J97" i="39"/>
  <c r="H97" i="39"/>
  <c r="J96" i="39"/>
  <c r="H96" i="39"/>
  <c r="J95" i="39"/>
  <c r="H95" i="39"/>
  <c r="I95" i="39" s="1"/>
  <c r="J94" i="39"/>
  <c r="H94" i="39"/>
  <c r="J93" i="39"/>
  <c r="H93" i="39"/>
  <c r="J92" i="39"/>
  <c r="H92" i="39"/>
  <c r="J91" i="39"/>
  <c r="H91" i="39"/>
  <c r="I91" i="39" s="1"/>
  <c r="J90" i="39"/>
  <c r="H90" i="39"/>
  <c r="J89" i="39"/>
  <c r="H89" i="39"/>
  <c r="J88" i="39"/>
  <c r="H88" i="39"/>
  <c r="J87" i="39"/>
  <c r="H87" i="39"/>
  <c r="I87" i="39" s="1"/>
  <c r="J86" i="39"/>
  <c r="H86" i="39"/>
  <c r="J85" i="39"/>
  <c r="H85" i="39"/>
  <c r="J84" i="39"/>
  <c r="H84" i="39"/>
  <c r="J83" i="39"/>
  <c r="H83" i="39"/>
  <c r="I83" i="39" s="1"/>
  <c r="J82" i="39"/>
  <c r="H82" i="39"/>
  <c r="J81" i="39"/>
  <c r="H81" i="39"/>
  <c r="J80" i="39"/>
  <c r="H80" i="39"/>
  <c r="J79" i="39"/>
  <c r="H79" i="39"/>
  <c r="I79" i="39" s="1"/>
  <c r="J78" i="39"/>
  <c r="H78" i="39"/>
  <c r="J77" i="39"/>
  <c r="H77" i="39"/>
  <c r="J76" i="39"/>
  <c r="H76" i="39"/>
  <c r="I76" i="39" s="1"/>
  <c r="J75" i="39"/>
  <c r="H75" i="39"/>
  <c r="I75" i="39" s="1"/>
  <c r="J74" i="39"/>
  <c r="H74" i="39"/>
  <c r="I74" i="39" s="1"/>
  <c r="J73" i="39"/>
  <c r="H73" i="39"/>
  <c r="I73" i="39" s="1"/>
  <c r="J72" i="39"/>
  <c r="H72" i="39"/>
  <c r="I72" i="39" s="1"/>
  <c r="J71" i="39"/>
  <c r="H71" i="39"/>
  <c r="I71" i="39" s="1"/>
  <c r="J70" i="39"/>
  <c r="H70" i="39"/>
  <c r="I70" i="39" s="1"/>
  <c r="J69" i="39"/>
  <c r="H69" i="39"/>
  <c r="I69" i="39" s="1"/>
  <c r="J68" i="39"/>
  <c r="H68" i="39"/>
  <c r="I68" i="39" s="1"/>
  <c r="J67" i="39"/>
  <c r="H67" i="39"/>
  <c r="I67" i="39" s="1"/>
  <c r="J66" i="39"/>
  <c r="H66" i="39"/>
  <c r="I66" i="39" s="1"/>
  <c r="J65" i="39"/>
  <c r="H65" i="39"/>
  <c r="I65" i="39" s="1"/>
  <c r="J64" i="39"/>
  <c r="H64" i="39"/>
  <c r="I64" i="39" s="1"/>
  <c r="J63" i="39"/>
  <c r="H63" i="39"/>
  <c r="I63" i="39" s="1"/>
  <c r="J62" i="39"/>
  <c r="H62" i="39"/>
  <c r="I62" i="39" s="1"/>
  <c r="J61" i="39"/>
  <c r="H61" i="39"/>
  <c r="I61" i="39" s="1"/>
  <c r="J60" i="39"/>
  <c r="H60" i="39"/>
  <c r="I60" i="39" s="1"/>
  <c r="J59" i="39"/>
  <c r="H59" i="39"/>
  <c r="I59" i="39" s="1"/>
  <c r="J58" i="39"/>
  <c r="H58" i="39"/>
  <c r="I58" i="39" s="1"/>
  <c r="J57" i="39"/>
  <c r="H57" i="39"/>
  <c r="I57" i="39" s="1"/>
  <c r="J56" i="39"/>
  <c r="H56" i="39"/>
  <c r="I56" i="39" s="1"/>
  <c r="J55" i="39"/>
  <c r="H55" i="39"/>
  <c r="I55" i="39" s="1"/>
  <c r="J54" i="39"/>
  <c r="H54" i="39"/>
  <c r="I54" i="39" s="1"/>
  <c r="J53" i="39"/>
  <c r="H53" i="39"/>
  <c r="I53" i="39" s="1"/>
  <c r="J52" i="39"/>
  <c r="H52" i="39"/>
  <c r="I52" i="39" s="1"/>
  <c r="J51" i="39"/>
  <c r="H51" i="39"/>
  <c r="I51" i="39" s="1"/>
  <c r="J50" i="39"/>
  <c r="H50" i="39"/>
  <c r="I50" i="39" s="1"/>
  <c r="J49" i="39"/>
  <c r="H49" i="39"/>
  <c r="I49" i="39" s="1"/>
  <c r="J48" i="39"/>
  <c r="H48" i="39"/>
  <c r="I48" i="39" s="1"/>
  <c r="J47" i="39"/>
  <c r="H47" i="39"/>
  <c r="I47" i="39" s="1"/>
  <c r="J46" i="39"/>
  <c r="H46" i="39"/>
  <c r="I46" i="39" s="1"/>
  <c r="J45" i="39"/>
  <c r="H45" i="39"/>
  <c r="I45" i="39" s="1"/>
  <c r="J44" i="39"/>
  <c r="H44" i="39"/>
  <c r="I44" i="39" s="1"/>
  <c r="J43" i="39"/>
  <c r="H43" i="39"/>
  <c r="I43" i="39" s="1"/>
  <c r="J42" i="39"/>
  <c r="H42" i="39"/>
  <c r="I42" i="39" s="1"/>
  <c r="J41" i="39"/>
  <c r="H41" i="39"/>
  <c r="I41" i="39" s="1"/>
  <c r="J40" i="39"/>
  <c r="H40" i="39"/>
  <c r="I40" i="39" s="1"/>
  <c r="J39" i="39"/>
  <c r="H39" i="39"/>
  <c r="I39" i="39" s="1"/>
  <c r="J38" i="39"/>
  <c r="H38" i="39"/>
  <c r="I38" i="39" s="1"/>
  <c r="J37" i="39"/>
  <c r="H37" i="39"/>
  <c r="I37" i="39" s="1"/>
  <c r="J36" i="39"/>
  <c r="H36" i="39"/>
  <c r="I36" i="39" s="1"/>
  <c r="J35" i="39"/>
  <c r="H35" i="39"/>
  <c r="I35" i="39" s="1"/>
  <c r="J34" i="39"/>
  <c r="H34" i="39"/>
  <c r="I34" i="39" s="1"/>
  <c r="J33" i="39"/>
  <c r="H33" i="39"/>
  <c r="I33" i="39" s="1"/>
  <c r="J32" i="39"/>
  <c r="H32" i="39"/>
  <c r="I32" i="39" s="1"/>
  <c r="J31" i="39"/>
  <c r="H31" i="39"/>
  <c r="I31" i="39" s="1"/>
  <c r="J30" i="39"/>
  <c r="H30" i="39"/>
  <c r="I30" i="39" s="1"/>
  <c r="J29" i="39"/>
  <c r="H29" i="39"/>
  <c r="I29" i="39" s="1"/>
  <c r="J28" i="39"/>
  <c r="H28" i="39"/>
  <c r="I28" i="39" s="1"/>
  <c r="J27" i="39"/>
  <c r="H27" i="39"/>
  <c r="I27" i="39" s="1"/>
  <c r="J26" i="39"/>
  <c r="H26" i="39"/>
  <c r="I26" i="39" s="1"/>
  <c r="J25" i="39"/>
  <c r="H25" i="39"/>
  <c r="I25" i="39" s="1"/>
  <c r="J24" i="39"/>
  <c r="H24" i="39"/>
  <c r="I24" i="39" s="1"/>
  <c r="J23" i="39"/>
  <c r="H23" i="39"/>
  <c r="I23" i="39" s="1"/>
  <c r="J22" i="39"/>
  <c r="H22" i="39"/>
  <c r="I22" i="39" s="1"/>
  <c r="J21" i="39"/>
  <c r="H21" i="39"/>
  <c r="I21" i="39" s="1"/>
  <c r="J20" i="39"/>
  <c r="H20" i="39"/>
  <c r="I20" i="39" s="1"/>
  <c r="J19" i="39"/>
  <c r="H19" i="39"/>
  <c r="I19" i="39" s="1"/>
  <c r="J18" i="39"/>
  <c r="H18" i="39"/>
  <c r="I18" i="39" s="1"/>
  <c r="J17" i="39"/>
  <c r="H17" i="39"/>
  <c r="I17" i="39" s="1"/>
  <c r="J520" i="11"/>
  <c r="H520" i="11"/>
  <c r="I520" i="11" s="1"/>
  <c r="J519" i="11"/>
  <c r="H519" i="11"/>
  <c r="I519" i="11" s="1"/>
  <c r="J518" i="11"/>
  <c r="H518" i="11"/>
  <c r="I518" i="11" s="1"/>
  <c r="J517" i="11"/>
  <c r="H517" i="11"/>
  <c r="I517" i="11" s="1"/>
  <c r="J516" i="11"/>
  <c r="H516" i="11"/>
  <c r="I516" i="11" s="1"/>
  <c r="J515" i="11"/>
  <c r="H515" i="11"/>
  <c r="I515" i="11" s="1"/>
  <c r="J514" i="11"/>
  <c r="H514" i="11"/>
  <c r="I514" i="11" s="1"/>
  <c r="J513" i="11"/>
  <c r="H513" i="11"/>
  <c r="I513" i="11" s="1"/>
  <c r="J512" i="11"/>
  <c r="H512" i="11"/>
  <c r="I512" i="11" s="1"/>
  <c r="J511" i="11"/>
  <c r="H511" i="11"/>
  <c r="I511" i="11" s="1"/>
  <c r="J510" i="11"/>
  <c r="H510" i="11"/>
  <c r="I510" i="11" s="1"/>
  <c r="J509" i="11"/>
  <c r="H509" i="11"/>
  <c r="I509" i="11" s="1"/>
  <c r="J471" i="11"/>
  <c r="H471" i="11"/>
  <c r="I471" i="11" s="1"/>
  <c r="J470" i="11"/>
  <c r="H470" i="11"/>
  <c r="I470" i="11" s="1"/>
  <c r="J469" i="11"/>
  <c r="H469" i="11"/>
  <c r="I469" i="11" s="1"/>
  <c r="J468" i="11"/>
  <c r="H468" i="11"/>
  <c r="I468" i="11" s="1"/>
  <c r="J467" i="11"/>
  <c r="H467" i="11"/>
  <c r="I467" i="11" s="1"/>
  <c r="J466" i="11"/>
  <c r="H466" i="11"/>
  <c r="I466" i="11" s="1"/>
  <c r="J465" i="11"/>
  <c r="H465" i="11"/>
  <c r="I465" i="11" s="1"/>
  <c r="J464" i="11"/>
  <c r="H464" i="11"/>
  <c r="I464" i="11" s="1"/>
  <c r="J463" i="11"/>
  <c r="H463" i="11"/>
  <c r="I463" i="11" s="1"/>
  <c r="J462" i="11"/>
  <c r="H462" i="11"/>
  <c r="I462" i="11" s="1"/>
  <c r="J461" i="11"/>
  <c r="H461" i="11"/>
  <c r="I461" i="11" s="1"/>
  <c r="J460" i="11"/>
  <c r="H460" i="11"/>
  <c r="I460" i="11" s="1"/>
  <c r="J459" i="11"/>
  <c r="H459" i="11"/>
  <c r="I459" i="11" s="1"/>
  <c r="J458" i="11"/>
  <c r="H458" i="11"/>
  <c r="I458" i="11" s="1"/>
  <c r="J457" i="11"/>
  <c r="H457" i="11"/>
  <c r="I457" i="11" s="1"/>
  <c r="J456" i="11"/>
  <c r="H456" i="11"/>
  <c r="I456" i="11" s="1"/>
  <c r="J455" i="11"/>
  <c r="H455" i="11"/>
  <c r="I455" i="11" s="1"/>
  <c r="J454" i="11"/>
  <c r="H454" i="11"/>
  <c r="I454" i="11" s="1"/>
  <c r="J453" i="11"/>
  <c r="H453" i="11"/>
  <c r="I453" i="11" s="1"/>
  <c r="J452" i="11"/>
  <c r="H452" i="11"/>
  <c r="I452" i="11" s="1"/>
  <c r="J451" i="11"/>
  <c r="H451" i="11"/>
  <c r="I451" i="11" s="1"/>
  <c r="J450" i="11"/>
  <c r="H450" i="11"/>
  <c r="I450" i="11" s="1"/>
  <c r="J449" i="11"/>
  <c r="H449" i="11"/>
  <c r="I449" i="11" s="1"/>
  <c r="J448" i="11"/>
  <c r="H448" i="11"/>
  <c r="I448" i="11" s="1"/>
  <c r="J447" i="11"/>
  <c r="H447" i="11"/>
  <c r="I447" i="11" s="1"/>
  <c r="J446" i="11"/>
  <c r="H446" i="11"/>
  <c r="I446" i="11" s="1"/>
  <c r="J445" i="11"/>
  <c r="H445" i="11"/>
  <c r="I445" i="11" s="1"/>
  <c r="J444" i="11"/>
  <c r="H444" i="11"/>
  <c r="I444" i="11" s="1"/>
  <c r="J261" i="11"/>
  <c r="H261" i="11"/>
  <c r="I261" i="11" s="1"/>
  <c r="J260" i="11"/>
  <c r="H260" i="11"/>
  <c r="I260" i="11" s="1"/>
  <c r="J259" i="11"/>
  <c r="H259" i="11"/>
  <c r="I259" i="11" s="1"/>
  <c r="J258" i="11"/>
  <c r="H258" i="11"/>
  <c r="I258" i="11" s="1"/>
  <c r="J257" i="11"/>
  <c r="H257" i="11"/>
  <c r="I257" i="11" s="1"/>
  <c r="J256" i="11"/>
  <c r="H256" i="11"/>
  <c r="I256" i="11" s="1"/>
  <c r="J255" i="11"/>
  <c r="H255" i="11"/>
  <c r="I255" i="11" s="1"/>
  <c r="J254" i="11"/>
  <c r="H254" i="11"/>
  <c r="I254" i="11" s="1"/>
  <c r="J253" i="11"/>
  <c r="H253" i="11"/>
  <c r="I253" i="11" s="1"/>
  <c r="J252" i="11"/>
  <c r="H252" i="11"/>
  <c r="I252" i="11" s="1"/>
  <c r="J251" i="11"/>
  <c r="H251" i="11"/>
  <c r="I251" i="11" s="1"/>
  <c r="J250" i="11"/>
  <c r="H250" i="11"/>
  <c r="I250" i="11" s="1"/>
  <c r="J249" i="11"/>
  <c r="H249" i="11"/>
  <c r="I249" i="11" s="1"/>
  <c r="J248" i="11"/>
  <c r="H248" i="11"/>
  <c r="I248" i="11" s="1"/>
  <c r="J247" i="11"/>
  <c r="H247" i="11"/>
  <c r="I247" i="11" s="1"/>
  <c r="J246" i="11"/>
  <c r="H246" i="11"/>
  <c r="I246" i="11" s="1"/>
  <c r="J245" i="11"/>
  <c r="H245" i="11"/>
  <c r="I245" i="11" s="1"/>
  <c r="J244" i="11"/>
  <c r="H244" i="11"/>
  <c r="I244" i="11" s="1"/>
  <c r="J243" i="11"/>
  <c r="H243" i="11"/>
  <c r="I243" i="11" s="1"/>
  <c r="J242" i="11"/>
  <c r="H242" i="11"/>
  <c r="I242" i="11" s="1"/>
  <c r="J241" i="11"/>
  <c r="H241" i="11"/>
  <c r="I241" i="11" s="1"/>
  <c r="J240" i="11"/>
  <c r="H240" i="11"/>
  <c r="I240" i="11" s="1"/>
  <c r="J239" i="11"/>
  <c r="H239" i="11"/>
  <c r="I239" i="11" s="1"/>
  <c r="J238" i="11"/>
  <c r="H238" i="11"/>
  <c r="I238" i="11" s="1"/>
  <c r="J237" i="11"/>
  <c r="H237" i="11"/>
  <c r="I237" i="11" s="1"/>
  <c r="J236" i="11"/>
  <c r="H236" i="11"/>
  <c r="I236" i="11" s="1"/>
  <c r="J235" i="11"/>
  <c r="H235" i="11"/>
  <c r="I235" i="11" s="1"/>
  <c r="J234" i="11"/>
  <c r="H234" i="11"/>
  <c r="I234" i="11" s="1"/>
  <c r="J233" i="11"/>
  <c r="H233" i="11"/>
  <c r="I233" i="11" s="1"/>
  <c r="J232" i="11"/>
  <c r="H232" i="11"/>
  <c r="I232" i="11" s="1"/>
  <c r="J231" i="11"/>
  <c r="H231" i="11"/>
  <c r="I231" i="11" s="1"/>
  <c r="J230" i="11"/>
  <c r="H230" i="11"/>
  <c r="I230" i="11" s="1"/>
  <c r="J229" i="11"/>
  <c r="H229" i="11"/>
  <c r="I229" i="11" s="1"/>
  <c r="J228" i="11"/>
  <c r="H228" i="11"/>
  <c r="I228" i="11" s="1"/>
  <c r="J227" i="11"/>
  <c r="H227" i="11"/>
  <c r="I227" i="11" s="1"/>
  <c r="J226" i="11"/>
  <c r="H226" i="11"/>
  <c r="I226" i="11" s="1"/>
  <c r="J225" i="11"/>
  <c r="H225" i="11"/>
  <c r="I225" i="11" s="1"/>
  <c r="J224" i="11"/>
  <c r="H224" i="11"/>
  <c r="I224" i="11" s="1"/>
  <c r="J223" i="11"/>
  <c r="H223" i="11"/>
  <c r="I223" i="11" s="1"/>
  <c r="J222" i="11"/>
  <c r="H222" i="11"/>
  <c r="I222" i="11" s="1"/>
  <c r="J221" i="11"/>
  <c r="H221" i="11"/>
  <c r="I221" i="11" s="1"/>
  <c r="J220" i="11"/>
  <c r="H220" i="11"/>
  <c r="I220" i="11" s="1"/>
  <c r="J219" i="11"/>
  <c r="H219" i="11"/>
  <c r="I219" i="11" s="1"/>
  <c r="J218" i="11"/>
  <c r="H218" i="11"/>
  <c r="I218" i="11" s="1"/>
  <c r="J217" i="11"/>
  <c r="H217" i="11"/>
  <c r="I217" i="11" s="1"/>
  <c r="J216" i="11"/>
  <c r="H216" i="11"/>
  <c r="I216" i="11" s="1"/>
  <c r="J215" i="11"/>
  <c r="H215" i="11"/>
  <c r="I215" i="11" s="1"/>
  <c r="J214" i="11"/>
  <c r="H214" i="11"/>
  <c r="I214" i="11" s="1"/>
  <c r="J213" i="11"/>
  <c r="H213" i="11"/>
  <c r="I213" i="11" s="1"/>
  <c r="J212" i="11"/>
  <c r="H212" i="11"/>
  <c r="I212" i="11" s="1"/>
  <c r="J211" i="11"/>
  <c r="H211" i="11"/>
  <c r="I211" i="11" s="1"/>
  <c r="J210" i="11"/>
  <c r="H210" i="11"/>
  <c r="I210" i="11" s="1"/>
  <c r="J209" i="11"/>
  <c r="H209" i="11"/>
  <c r="I209" i="11" s="1"/>
  <c r="J208" i="11"/>
  <c r="H208" i="11"/>
  <c r="I208" i="11" s="1"/>
  <c r="J207" i="11"/>
  <c r="H207" i="11"/>
  <c r="I207" i="11" s="1"/>
  <c r="J206" i="11"/>
  <c r="H206" i="11"/>
  <c r="I206" i="11" s="1"/>
  <c r="J205" i="11"/>
  <c r="H205" i="11"/>
  <c r="I205" i="11" s="1"/>
  <c r="J204" i="11"/>
  <c r="H204" i="11"/>
  <c r="I204" i="11" s="1"/>
  <c r="J203" i="11"/>
  <c r="H203" i="11"/>
  <c r="I203" i="11" s="1"/>
  <c r="J202" i="11"/>
  <c r="H202" i="11"/>
  <c r="I202" i="11" s="1"/>
  <c r="J201" i="11"/>
  <c r="H201" i="11"/>
  <c r="I201" i="11" s="1"/>
  <c r="J200" i="11"/>
  <c r="H200" i="11"/>
  <c r="I200" i="11" s="1"/>
  <c r="J199" i="11"/>
  <c r="H199" i="11"/>
  <c r="I199" i="11" s="1"/>
  <c r="J198" i="11"/>
  <c r="H198" i="11"/>
  <c r="I198" i="11" s="1"/>
  <c r="J197" i="11"/>
  <c r="H197" i="11"/>
  <c r="I197" i="11" s="1"/>
  <c r="J196" i="11"/>
  <c r="H196" i="11"/>
  <c r="I196" i="11" s="1"/>
  <c r="J195" i="11"/>
  <c r="H195" i="11"/>
  <c r="I195" i="11" s="1"/>
  <c r="J194" i="11"/>
  <c r="H194" i="11"/>
  <c r="I194" i="11" s="1"/>
  <c r="J193" i="11"/>
  <c r="H193" i="11"/>
  <c r="I193" i="11" s="1"/>
  <c r="J192" i="11"/>
  <c r="H192" i="11"/>
  <c r="I192" i="11" s="1"/>
  <c r="J191" i="11"/>
  <c r="H191" i="11"/>
  <c r="I191" i="11" s="1"/>
  <c r="J190" i="11"/>
  <c r="H190" i="11"/>
  <c r="I190" i="11" s="1"/>
  <c r="J189" i="11"/>
  <c r="H189" i="11"/>
  <c r="I189" i="11" s="1"/>
  <c r="J188" i="11"/>
  <c r="H188" i="11"/>
  <c r="I188" i="11" s="1"/>
  <c r="J187" i="11"/>
  <c r="H187" i="11"/>
  <c r="I187" i="11" s="1"/>
  <c r="J186" i="11"/>
  <c r="H186" i="11"/>
  <c r="I186" i="11" s="1"/>
  <c r="J185" i="11"/>
  <c r="H185" i="11"/>
  <c r="I185" i="11" s="1"/>
  <c r="J184" i="11"/>
  <c r="H184" i="11"/>
  <c r="I184" i="11" s="1"/>
  <c r="J183" i="11"/>
  <c r="H183" i="11"/>
  <c r="I183" i="11" s="1"/>
  <c r="J182" i="11"/>
  <c r="H182" i="11"/>
  <c r="I182" i="11" s="1"/>
  <c r="J181" i="11"/>
  <c r="H181" i="11"/>
  <c r="I181" i="11" s="1"/>
  <c r="J180" i="11"/>
  <c r="H180" i="11"/>
  <c r="I180" i="11" s="1"/>
  <c r="J179" i="11"/>
  <c r="H179" i="11"/>
  <c r="I179" i="11" s="1"/>
  <c r="J129" i="11"/>
  <c r="H129" i="11"/>
  <c r="I129" i="11" s="1"/>
  <c r="J128" i="11"/>
  <c r="H128" i="11"/>
  <c r="I128" i="11" s="1"/>
  <c r="J127" i="11"/>
  <c r="H127" i="11"/>
  <c r="I127" i="11" s="1"/>
  <c r="J126" i="11"/>
  <c r="H126" i="11"/>
  <c r="I126" i="11" s="1"/>
  <c r="J125" i="11"/>
  <c r="H125" i="11"/>
  <c r="I125" i="11" s="1"/>
  <c r="J124" i="11"/>
  <c r="H124" i="11"/>
  <c r="I124" i="11" s="1"/>
  <c r="J123" i="11"/>
  <c r="H123" i="11"/>
  <c r="I123" i="11" s="1"/>
  <c r="J122" i="11"/>
  <c r="H122" i="11"/>
  <c r="I122" i="11" s="1"/>
  <c r="J121" i="11"/>
  <c r="H121" i="11"/>
  <c r="I121" i="11" s="1"/>
  <c r="J120" i="11"/>
  <c r="H120" i="11"/>
  <c r="I120" i="11" s="1"/>
  <c r="J119" i="11"/>
  <c r="H119" i="11"/>
  <c r="I119" i="11" s="1"/>
  <c r="J118" i="11"/>
  <c r="H118" i="11"/>
  <c r="I118" i="11" s="1"/>
  <c r="J117" i="11"/>
  <c r="H117" i="11"/>
  <c r="I117" i="11" s="1"/>
  <c r="J116" i="11"/>
  <c r="H116" i="11"/>
  <c r="I116" i="11" s="1"/>
  <c r="J115" i="11"/>
  <c r="H115" i="11"/>
  <c r="I115" i="11" s="1"/>
  <c r="J114" i="11"/>
  <c r="H114" i="11"/>
  <c r="I114" i="11" s="1"/>
  <c r="J113" i="11"/>
  <c r="H113" i="11"/>
  <c r="I113" i="11" s="1"/>
  <c r="J112" i="11"/>
  <c r="H112" i="11"/>
  <c r="I112" i="11" s="1"/>
  <c r="J111" i="11"/>
  <c r="H111" i="11"/>
  <c r="I111" i="11" s="1"/>
  <c r="J110" i="11"/>
  <c r="H110" i="11"/>
  <c r="I110" i="11" s="1"/>
  <c r="J109" i="11"/>
  <c r="H109" i="11"/>
  <c r="I109" i="11" s="1"/>
  <c r="J108" i="11"/>
  <c r="H108" i="11"/>
  <c r="I108" i="11" s="1"/>
  <c r="J107" i="11"/>
  <c r="H107" i="11"/>
  <c r="I107" i="11" s="1"/>
  <c r="J106" i="11"/>
  <c r="H106" i="11"/>
  <c r="I106" i="11" s="1"/>
  <c r="J105" i="11"/>
  <c r="H105" i="11"/>
  <c r="I105" i="11" s="1"/>
  <c r="J104" i="11"/>
  <c r="H104" i="11"/>
  <c r="I104" i="11" s="1"/>
  <c r="J103" i="11"/>
  <c r="H103" i="11"/>
  <c r="I103" i="11" s="1"/>
  <c r="J102" i="11"/>
  <c r="H102" i="11"/>
  <c r="I102" i="11" s="1"/>
  <c r="J101" i="11"/>
  <c r="H101" i="11"/>
  <c r="I101" i="11" s="1"/>
  <c r="J100" i="11"/>
  <c r="H100" i="11"/>
  <c r="I100" i="11" s="1"/>
  <c r="J99" i="11"/>
  <c r="H99" i="11"/>
  <c r="I99" i="11" s="1"/>
  <c r="J98" i="11"/>
  <c r="H98" i="11"/>
  <c r="I98" i="11" s="1"/>
  <c r="J97" i="11"/>
  <c r="H97" i="11"/>
  <c r="I97" i="11" s="1"/>
  <c r="J96" i="11"/>
  <c r="H96" i="11"/>
  <c r="I96" i="11" s="1"/>
  <c r="J95" i="11"/>
  <c r="H95" i="11"/>
  <c r="I95" i="11" s="1"/>
  <c r="J94" i="11"/>
  <c r="H94" i="11"/>
  <c r="I94" i="11" s="1"/>
  <c r="J93" i="11"/>
  <c r="H93" i="11"/>
  <c r="I93" i="11" s="1"/>
  <c r="J92" i="11"/>
  <c r="H92" i="11"/>
  <c r="I92" i="11" s="1"/>
  <c r="J91" i="11"/>
  <c r="H91" i="11"/>
  <c r="I91" i="11" s="1"/>
  <c r="J90" i="11"/>
  <c r="H90" i="11"/>
  <c r="I90" i="11" s="1"/>
  <c r="J89" i="11"/>
  <c r="H89" i="11"/>
  <c r="I89" i="11" s="1"/>
  <c r="J88" i="11"/>
  <c r="H88" i="11"/>
  <c r="I88" i="11" s="1"/>
  <c r="J87" i="11"/>
  <c r="H87" i="11"/>
  <c r="I87" i="11" s="1"/>
  <c r="J86" i="11"/>
  <c r="H86" i="11"/>
  <c r="I86" i="11" s="1"/>
  <c r="J85" i="11"/>
  <c r="H85" i="11"/>
  <c r="I85" i="11" s="1"/>
  <c r="J84" i="11"/>
  <c r="H84" i="11"/>
  <c r="I84" i="11" s="1"/>
  <c r="J83" i="11"/>
  <c r="H83" i="11"/>
  <c r="I83" i="11" s="1"/>
  <c r="J82" i="11"/>
  <c r="H82" i="11"/>
  <c r="I82" i="11" s="1"/>
  <c r="J81" i="11"/>
  <c r="H81" i="11"/>
  <c r="I81" i="11" s="1"/>
  <c r="J80" i="11"/>
  <c r="H80" i="11"/>
  <c r="I80" i="11" s="1"/>
  <c r="J79" i="11"/>
  <c r="H79" i="11"/>
  <c r="I79" i="11" s="1"/>
  <c r="J78" i="11"/>
  <c r="H78" i="11"/>
  <c r="I78" i="11" s="1"/>
  <c r="J77" i="11"/>
  <c r="H77" i="11"/>
  <c r="I77" i="11" s="1"/>
  <c r="J76" i="11"/>
  <c r="H76" i="11"/>
  <c r="I76" i="11" s="1"/>
  <c r="J75" i="11"/>
  <c r="H75" i="11"/>
  <c r="I75" i="11" s="1"/>
  <c r="J74" i="11"/>
  <c r="H74" i="11"/>
  <c r="I74" i="11" s="1"/>
  <c r="J73" i="11"/>
  <c r="H73" i="11"/>
  <c r="I73" i="11" s="1"/>
  <c r="J72" i="11"/>
  <c r="H72" i="11"/>
  <c r="I72" i="11" s="1"/>
  <c r="J71" i="11"/>
  <c r="H71" i="11"/>
  <c r="I71" i="11" s="1"/>
  <c r="J70" i="11"/>
  <c r="H70" i="11"/>
  <c r="I70" i="11" s="1"/>
  <c r="J69" i="11"/>
  <c r="H69" i="11"/>
  <c r="I69" i="11" s="1"/>
  <c r="J68" i="11"/>
  <c r="H68" i="11"/>
  <c r="I68" i="11" s="1"/>
  <c r="J67" i="11"/>
  <c r="H67" i="11"/>
  <c r="I67" i="11" s="1"/>
  <c r="J66" i="11"/>
  <c r="H66" i="11"/>
  <c r="I66" i="11" s="1"/>
  <c r="J65" i="11"/>
  <c r="H65" i="11"/>
  <c r="I65" i="11" s="1"/>
  <c r="J64" i="11"/>
  <c r="H64" i="11"/>
  <c r="I64" i="11" s="1"/>
  <c r="J63" i="11"/>
  <c r="H63" i="11"/>
  <c r="I63" i="11" s="1"/>
  <c r="J62" i="11"/>
  <c r="H62" i="11"/>
  <c r="I62" i="11" s="1"/>
  <c r="J61" i="11"/>
  <c r="H61" i="11"/>
  <c r="I61" i="11" s="1"/>
  <c r="J60" i="11"/>
  <c r="H60" i="11"/>
  <c r="I60" i="11" s="1"/>
  <c r="J59" i="11"/>
  <c r="H59" i="11"/>
  <c r="I59" i="11" s="1"/>
  <c r="J58" i="11"/>
  <c r="H58" i="11"/>
  <c r="I58" i="11" s="1"/>
  <c r="J57" i="11"/>
  <c r="H57" i="11"/>
  <c r="I57" i="11" s="1"/>
  <c r="J56" i="11"/>
  <c r="H56" i="11"/>
  <c r="I56" i="11" s="1"/>
  <c r="J55" i="11"/>
  <c r="H55" i="11"/>
  <c r="I55" i="11" s="1"/>
  <c r="J54" i="11"/>
  <c r="H54" i="11"/>
  <c r="I54" i="11" s="1"/>
  <c r="J53" i="11"/>
  <c r="H53" i="11"/>
  <c r="I53" i="11" s="1"/>
  <c r="J52" i="11"/>
  <c r="H52" i="11"/>
  <c r="I52" i="11" s="1"/>
  <c r="J51" i="11"/>
  <c r="H51" i="11"/>
  <c r="I51" i="11" s="1"/>
  <c r="J50" i="11"/>
  <c r="H50" i="11"/>
  <c r="I50" i="11" s="1"/>
  <c r="AI1252" i="16" l="1"/>
  <c r="AJ1252" i="16" s="1"/>
  <c r="AG1252" i="16"/>
  <c r="K369" i="39"/>
  <c r="K77" i="39"/>
  <c r="K81" i="39"/>
  <c r="K89" i="39"/>
  <c r="K93" i="39"/>
  <c r="K97" i="39"/>
  <c r="K285" i="39"/>
  <c r="K289" i="39"/>
  <c r="K293" i="39"/>
  <c r="K368" i="39"/>
  <c r="K380" i="39"/>
  <c r="K384" i="39"/>
  <c r="K301" i="39"/>
  <c r="K305" i="39"/>
  <c r="K309" i="39"/>
  <c r="K54" i="11"/>
  <c r="K72" i="39"/>
  <c r="K82" i="39"/>
  <c r="K86" i="39"/>
  <c r="K90" i="39"/>
  <c r="K278" i="39"/>
  <c r="K282" i="39"/>
  <c r="K286" i="39"/>
  <c r="K294" i="39"/>
  <c r="K298" i="39"/>
  <c r="K302" i="39"/>
  <c r="K310" i="39"/>
  <c r="K314" i="39"/>
  <c r="K318" i="39"/>
  <c r="K361" i="39"/>
  <c r="K365" i="39"/>
  <c r="K31" i="39"/>
  <c r="K27" i="39"/>
  <c r="K317" i="39"/>
  <c r="K356" i="39"/>
  <c r="K360" i="39"/>
  <c r="K381" i="39"/>
  <c r="K59" i="39"/>
  <c r="K63" i="39"/>
  <c r="K75" i="39"/>
  <c r="K40" i="39"/>
  <c r="K20" i="39"/>
  <c r="K52" i="39"/>
  <c r="K24" i="39"/>
  <c r="K43" i="39"/>
  <c r="K47" i="39"/>
  <c r="K56" i="39"/>
  <c r="K36" i="39"/>
  <c r="K68" i="39"/>
  <c r="K35" i="39"/>
  <c r="K19" i="39"/>
  <c r="K67" i="39"/>
  <c r="K23" i="39"/>
  <c r="K28" i="39"/>
  <c r="K39" i="39"/>
  <c r="K44" i="39"/>
  <c r="K55" i="39"/>
  <c r="K60" i="39"/>
  <c r="K71" i="39"/>
  <c r="K76" i="39"/>
  <c r="K51" i="39"/>
  <c r="K32" i="39"/>
  <c r="K48" i="39"/>
  <c r="K64" i="39"/>
  <c r="K18" i="39"/>
  <c r="K22" i="39"/>
  <c r="K26" i="39"/>
  <c r="K30" i="39"/>
  <c r="K34" i="39"/>
  <c r="K38" i="39"/>
  <c r="K42" i="39"/>
  <c r="K46" i="39"/>
  <c r="K50" i="39"/>
  <c r="K54" i="39"/>
  <c r="K58" i="39"/>
  <c r="K62" i="39"/>
  <c r="K66" i="39"/>
  <c r="K70" i="39"/>
  <c r="K74" i="39"/>
  <c r="K17" i="39"/>
  <c r="K21" i="39"/>
  <c r="K25" i="39"/>
  <c r="K29" i="39"/>
  <c r="K33" i="39"/>
  <c r="K37" i="39"/>
  <c r="K41" i="39"/>
  <c r="K45" i="39"/>
  <c r="K49" i="39"/>
  <c r="K53" i="39"/>
  <c r="K57" i="39"/>
  <c r="K61" i="39"/>
  <c r="K65" i="39"/>
  <c r="K69" i="39"/>
  <c r="K73" i="39"/>
  <c r="K78" i="39"/>
  <c r="K85" i="39"/>
  <c r="K94" i="39"/>
  <c r="K281" i="39"/>
  <c r="K290" i="39"/>
  <c r="K297" i="39"/>
  <c r="K306" i="39"/>
  <c r="K313" i="39"/>
  <c r="K357" i="39"/>
  <c r="K364" i="39"/>
  <c r="I78" i="39"/>
  <c r="I82" i="39"/>
  <c r="I86" i="39"/>
  <c r="I90" i="39"/>
  <c r="I94" i="39"/>
  <c r="I278" i="39"/>
  <c r="I282" i="39"/>
  <c r="I286" i="39"/>
  <c r="I290" i="39"/>
  <c r="I294" i="39"/>
  <c r="I298" i="39"/>
  <c r="I302" i="39"/>
  <c r="I306" i="39"/>
  <c r="I310" i="39"/>
  <c r="I314" i="39"/>
  <c r="I318" i="39"/>
  <c r="I357" i="39"/>
  <c r="I361" i="39"/>
  <c r="I365" i="39"/>
  <c r="I369" i="39"/>
  <c r="I381" i="39"/>
  <c r="I77" i="39"/>
  <c r="K80" i="39"/>
  <c r="I81" i="39"/>
  <c r="K84" i="39"/>
  <c r="I85" i="39"/>
  <c r="K88" i="39"/>
  <c r="I89" i="39"/>
  <c r="K92" i="39"/>
  <c r="I93" i="39"/>
  <c r="K96" i="39"/>
  <c r="I97" i="39"/>
  <c r="K280" i="39"/>
  <c r="I281" i="39"/>
  <c r="K284" i="39"/>
  <c r="I285" i="39"/>
  <c r="K288" i="39"/>
  <c r="I289" i="39"/>
  <c r="K292" i="39"/>
  <c r="I293" i="39"/>
  <c r="K296" i="39"/>
  <c r="I297" i="39"/>
  <c r="K300" i="39"/>
  <c r="I301" i="39"/>
  <c r="K304" i="39"/>
  <c r="I305" i="39"/>
  <c r="K308" i="39"/>
  <c r="I309" i="39"/>
  <c r="K312" i="39"/>
  <c r="I313" i="39"/>
  <c r="K316" i="39"/>
  <c r="I317" i="39"/>
  <c r="I356" i="39"/>
  <c r="K359" i="39"/>
  <c r="I360" i="39"/>
  <c r="K363" i="39"/>
  <c r="I364" i="39"/>
  <c r="K367" i="39"/>
  <c r="I368" i="39"/>
  <c r="K379" i="39"/>
  <c r="I380" i="39"/>
  <c r="K383" i="39"/>
  <c r="I384" i="39"/>
  <c r="K79" i="39"/>
  <c r="I80" i="39"/>
  <c r="K83" i="39"/>
  <c r="I84" i="39"/>
  <c r="K87" i="39"/>
  <c r="I88" i="39"/>
  <c r="K91" i="39"/>
  <c r="I92" i="39"/>
  <c r="K95" i="39"/>
  <c r="I96" i="39"/>
  <c r="K279" i="39"/>
  <c r="I280" i="39"/>
  <c r="K283" i="39"/>
  <c r="I284" i="39"/>
  <c r="K287" i="39"/>
  <c r="I288" i="39"/>
  <c r="K291" i="39"/>
  <c r="I292" i="39"/>
  <c r="K295" i="39"/>
  <c r="I296" i="39"/>
  <c r="K299" i="39"/>
  <c r="I300" i="39"/>
  <c r="K303" i="39"/>
  <c r="I304" i="39"/>
  <c r="K307" i="39"/>
  <c r="I308" i="39"/>
  <c r="K311" i="39"/>
  <c r="I312" i="39"/>
  <c r="K315" i="39"/>
  <c r="I316" i="39"/>
  <c r="K319" i="39"/>
  <c r="K358" i="39"/>
  <c r="I359" i="39"/>
  <c r="K362" i="39"/>
  <c r="I363" i="39"/>
  <c r="K366" i="39"/>
  <c r="I367" i="39"/>
  <c r="I379" i="39"/>
  <c r="K382" i="39"/>
  <c r="I383" i="39"/>
  <c r="K51" i="11"/>
  <c r="K53" i="11"/>
  <c r="K57" i="11"/>
  <c r="K61" i="11"/>
  <c r="K220" i="11"/>
  <c r="K224" i="11"/>
  <c r="K236" i="11"/>
  <c r="K240" i="11"/>
  <c r="K469" i="11"/>
  <c r="K471" i="11"/>
  <c r="K515" i="11"/>
  <c r="K73" i="11"/>
  <c r="K93" i="11"/>
  <c r="K74" i="11"/>
  <c r="K86" i="11"/>
  <c r="K219" i="11"/>
  <c r="K221" i="11"/>
  <c r="K223" i="11"/>
  <c r="K225" i="11"/>
  <c r="K229" i="11"/>
  <c r="K235" i="11"/>
  <c r="K237" i="11"/>
  <c r="K239" i="11"/>
  <c r="K241" i="11"/>
  <c r="K245" i="11"/>
  <c r="K261" i="11"/>
  <c r="K448" i="11"/>
  <c r="K450" i="11"/>
  <c r="K64" i="11"/>
  <c r="K68" i="11"/>
  <c r="K96" i="11"/>
  <c r="K100" i="11"/>
  <c r="K213" i="11"/>
  <c r="K249" i="11"/>
  <c r="K257" i="11"/>
  <c r="K79" i="11"/>
  <c r="K81" i="11"/>
  <c r="K83" i="11"/>
  <c r="K85" i="11"/>
  <c r="K89" i="11"/>
  <c r="K210" i="11"/>
  <c r="K246" i="11"/>
  <c r="K252" i="11"/>
  <c r="K254" i="11"/>
  <c r="K256" i="11"/>
  <c r="K260" i="11"/>
  <c r="K466" i="11"/>
  <c r="K52" i="11"/>
  <c r="K58" i="11"/>
  <c r="K70" i="11"/>
  <c r="K77" i="11"/>
  <c r="K95" i="11"/>
  <c r="K97" i="11"/>
  <c r="K99" i="11"/>
  <c r="K101" i="11"/>
  <c r="K217" i="11"/>
  <c r="K446" i="11"/>
  <c r="K208" i="11"/>
  <c r="K214" i="11"/>
  <c r="K226" i="11"/>
  <c r="K233" i="11"/>
  <c r="K251" i="11"/>
  <c r="K445" i="11"/>
  <c r="K458" i="11"/>
  <c r="K461" i="11"/>
  <c r="K463" i="11"/>
  <c r="K510" i="11"/>
  <c r="K517" i="11"/>
  <c r="K519" i="11"/>
  <c r="K63" i="11"/>
  <c r="K65" i="11"/>
  <c r="K67" i="11"/>
  <c r="K69" i="11"/>
  <c r="K80" i="11"/>
  <c r="K84" i="11"/>
  <c r="K90" i="11"/>
  <c r="K102" i="11"/>
  <c r="K104" i="11"/>
  <c r="K106" i="11"/>
  <c r="K108" i="11"/>
  <c r="K110" i="11"/>
  <c r="K112" i="11"/>
  <c r="K114" i="11"/>
  <c r="K116" i="11"/>
  <c r="K118" i="11"/>
  <c r="K120" i="11"/>
  <c r="K122" i="11"/>
  <c r="K124" i="11"/>
  <c r="K126" i="11"/>
  <c r="K128" i="11"/>
  <c r="K179" i="11"/>
  <c r="K181" i="11"/>
  <c r="K183" i="11"/>
  <c r="K185" i="11"/>
  <c r="K187" i="11"/>
  <c r="K189" i="11"/>
  <c r="K191" i="11"/>
  <c r="K193" i="11"/>
  <c r="K195" i="11"/>
  <c r="K197" i="11"/>
  <c r="K199" i="11"/>
  <c r="K201" i="11"/>
  <c r="K203" i="11"/>
  <c r="K205" i="11"/>
  <c r="K207" i="11"/>
  <c r="K209" i="11"/>
  <c r="K230" i="11"/>
  <c r="K242" i="11"/>
  <c r="K253" i="11"/>
  <c r="K259" i="11"/>
  <c r="K453" i="11"/>
  <c r="K455" i="11"/>
  <c r="K467" i="11"/>
  <c r="K512" i="11"/>
  <c r="K514" i="11"/>
  <c r="K88" i="11"/>
  <c r="K212" i="11"/>
  <c r="K228" i="11"/>
  <c r="K244" i="11"/>
  <c r="K55" i="11"/>
  <c r="K60" i="11"/>
  <c r="K62" i="11"/>
  <c r="K71" i="11"/>
  <c r="K76" i="11"/>
  <c r="K78" i="11"/>
  <c r="K87" i="11"/>
  <c r="K92" i="11"/>
  <c r="K94" i="11"/>
  <c r="K211" i="11"/>
  <c r="K216" i="11"/>
  <c r="K218" i="11"/>
  <c r="K227" i="11"/>
  <c r="K232" i="11"/>
  <c r="K234" i="11"/>
  <c r="K243" i="11"/>
  <c r="K248" i="11"/>
  <c r="K250" i="11"/>
  <c r="K255" i="11"/>
  <c r="K258" i="11"/>
  <c r="K444" i="11"/>
  <c r="K447" i="11"/>
  <c r="K449" i="11"/>
  <c r="K454" i="11"/>
  <c r="K457" i="11"/>
  <c r="K509" i="11"/>
  <c r="K516" i="11"/>
  <c r="K518" i="11"/>
  <c r="K56" i="11"/>
  <c r="K72" i="11"/>
  <c r="K50" i="11"/>
  <c r="K59" i="11"/>
  <c r="K66" i="11"/>
  <c r="K75" i="11"/>
  <c r="K82" i="11"/>
  <c r="K91" i="11"/>
  <c r="K98" i="11"/>
  <c r="K206" i="11"/>
  <c r="K215" i="11"/>
  <c r="K222" i="11"/>
  <c r="K231" i="11"/>
  <c r="K238" i="11"/>
  <c r="K247" i="11"/>
  <c r="K451" i="11"/>
  <c r="K462" i="11"/>
  <c r="K465" i="11"/>
  <c r="K470" i="11"/>
  <c r="K511" i="11"/>
  <c r="K513" i="11"/>
  <c r="K520" i="11"/>
  <c r="K103" i="11"/>
  <c r="K105" i="11"/>
  <c r="K107" i="11"/>
  <c r="K109" i="11"/>
  <c r="K111" i="11"/>
  <c r="K113" i="11"/>
  <c r="K115" i="11"/>
  <c r="K117" i="11"/>
  <c r="K119" i="11"/>
  <c r="K121" i="11"/>
  <c r="K123" i="11"/>
  <c r="K125" i="11"/>
  <c r="K127" i="11"/>
  <c r="K129" i="11"/>
  <c r="K180" i="11"/>
  <c r="K182" i="11"/>
  <c r="K184" i="11"/>
  <c r="K186" i="11"/>
  <c r="K188" i="11"/>
  <c r="K190" i="11"/>
  <c r="K192" i="11"/>
  <c r="K194" i="11"/>
  <c r="K196" i="11"/>
  <c r="K198" i="11"/>
  <c r="K200" i="11"/>
  <c r="K202" i="11"/>
  <c r="K204" i="11"/>
  <c r="K459" i="11"/>
  <c r="K452" i="11"/>
  <c r="K456" i="11"/>
  <c r="K460" i="11"/>
  <c r="K464" i="11"/>
  <c r="K468" i="11"/>
  <c r="H22" i="18" l="1"/>
  <c r="G22" i="18"/>
  <c r="H20" i="18"/>
  <c r="G20" i="18"/>
  <c r="F22" i="18"/>
  <c r="E22" i="18"/>
  <c r="D22" i="18"/>
  <c r="C22" i="18"/>
  <c r="F20" i="18"/>
  <c r="E20" i="18"/>
  <c r="D20" i="18"/>
  <c r="C20" i="18"/>
  <c r="A20" i="27"/>
  <c r="A39" i="27" s="1"/>
  <c r="A58" i="27" s="1"/>
  <c r="A77" i="27" s="1"/>
  <c r="A96" i="27" s="1"/>
  <c r="A115" i="27" s="1"/>
  <c r="A134" i="27" s="1"/>
  <c r="A153" i="27" s="1"/>
  <c r="A19" i="27"/>
  <c r="A38" i="27" s="1"/>
  <c r="A57" i="27" s="1"/>
  <c r="A76" i="27" s="1"/>
  <c r="A95" i="27" s="1"/>
  <c r="A114" i="27" s="1"/>
  <c r="A133" i="27" s="1"/>
  <c r="A152" i="27" s="1"/>
  <c r="A18" i="27"/>
  <c r="A37" i="27" s="1"/>
  <c r="A56" i="27" s="1"/>
  <c r="A75" i="27" s="1"/>
  <c r="A94" i="27" s="1"/>
  <c r="A113" i="27" s="1"/>
  <c r="A132" i="27" s="1"/>
  <c r="A151" i="27" s="1"/>
  <c r="A17" i="27"/>
  <c r="A36" i="27" s="1"/>
  <c r="A55" i="27" s="1"/>
  <c r="A74" i="27" s="1"/>
  <c r="A93" i="27" s="1"/>
  <c r="A112" i="27" s="1"/>
  <c r="A131" i="27" s="1"/>
  <c r="A150" i="27" s="1"/>
  <c r="A16" i="27"/>
  <c r="A35" i="27" s="1"/>
  <c r="A54" i="27" s="1"/>
  <c r="A73" i="27" s="1"/>
  <c r="A92" i="27" s="1"/>
  <c r="A111" i="27" s="1"/>
  <c r="A130" i="27" s="1"/>
  <c r="A149" i="27" s="1"/>
  <c r="A15" i="27"/>
  <c r="A34" i="27" s="1"/>
  <c r="A53" i="27" s="1"/>
  <c r="A72" i="27" s="1"/>
  <c r="A91" i="27" s="1"/>
  <c r="A110" i="27" s="1"/>
  <c r="A129" i="27" s="1"/>
  <c r="A148" i="27" s="1"/>
  <c r="A14" i="27"/>
  <c r="A33" i="27" s="1"/>
  <c r="A52" i="27" s="1"/>
  <c r="A71" i="27" s="1"/>
  <c r="A90" i="27" s="1"/>
  <c r="A109" i="27" s="1"/>
  <c r="A128" i="27" s="1"/>
  <c r="A147" i="27" s="1"/>
  <c r="A13" i="27"/>
  <c r="A32" i="27" s="1"/>
  <c r="A51" i="27" s="1"/>
  <c r="A70" i="27" s="1"/>
  <c r="A89" i="27" s="1"/>
  <c r="A108" i="27" s="1"/>
  <c r="A127" i="27" s="1"/>
  <c r="A146" i="27" s="1"/>
  <c r="A12" i="27"/>
  <c r="A31" i="27" s="1"/>
  <c r="A50" i="27" s="1"/>
  <c r="A69" i="27" s="1"/>
  <c r="A88" i="27" s="1"/>
  <c r="A107" i="27" s="1"/>
  <c r="A126" i="27" s="1"/>
  <c r="A145" i="27" s="1"/>
  <c r="A11" i="27"/>
  <c r="A30" i="27" s="1"/>
  <c r="A49" i="27" s="1"/>
  <c r="A68" i="27" s="1"/>
  <c r="A87" i="27" s="1"/>
  <c r="A106" i="27" s="1"/>
  <c r="A125" i="27" s="1"/>
  <c r="A144" i="27" s="1"/>
  <c r="A10" i="27"/>
  <c r="A29" i="27" s="1"/>
  <c r="A48" i="27" s="1"/>
  <c r="A67" i="27" s="1"/>
  <c r="A86" i="27" s="1"/>
  <c r="A105" i="27" s="1"/>
  <c r="A124" i="27" s="1"/>
  <c r="A143" i="27" s="1"/>
  <c r="A9" i="27"/>
  <c r="A28" i="27" s="1"/>
  <c r="A47" i="27" s="1"/>
  <c r="A66" i="27" s="1"/>
  <c r="A85" i="27" s="1"/>
  <c r="A104" i="27" s="1"/>
  <c r="A123" i="27" s="1"/>
  <c r="A142" i="27" s="1"/>
  <c r="A8" i="27"/>
  <c r="A27" i="27" s="1"/>
  <c r="A46" i="27" s="1"/>
  <c r="A65" i="27" s="1"/>
  <c r="A84" i="27" s="1"/>
  <c r="A103" i="27" s="1"/>
  <c r="A122" i="27" s="1"/>
  <c r="A141" i="27" s="1"/>
  <c r="A7" i="27"/>
  <c r="A26" i="27" s="1"/>
  <c r="A45" i="27" s="1"/>
  <c r="A64" i="27" s="1"/>
  <c r="A83" i="27" s="1"/>
  <c r="A102" i="27" s="1"/>
  <c r="A121" i="27" s="1"/>
  <c r="A140" i="27" s="1"/>
  <c r="A6" i="27"/>
  <c r="A25" i="27" s="1"/>
  <c r="A44" i="27" s="1"/>
  <c r="A63" i="27" s="1"/>
  <c r="A82" i="27" s="1"/>
  <c r="A101" i="27" s="1"/>
  <c r="A120" i="27" s="1"/>
  <c r="A139" i="27" s="1"/>
  <c r="A5" i="27"/>
  <c r="A24" i="27" s="1"/>
  <c r="A43" i="27" s="1"/>
  <c r="A62" i="27" s="1"/>
  <c r="A81" i="27" s="1"/>
  <c r="A100" i="27" s="1"/>
  <c r="A119" i="27" s="1"/>
  <c r="A138" i="27" s="1"/>
  <c r="D7" i="9"/>
  <c r="W51" i="49"/>
  <c r="V9" i="49"/>
  <c r="I13" i="49"/>
  <c r="I12" i="49"/>
  <c r="I11" i="49"/>
  <c r="I10" i="49"/>
  <c r="I9" i="49"/>
  <c r="M11" i="19"/>
  <c r="M12" i="19" s="1"/>
  <c r="M13" i="19" s="1"/>
  <c r="M14" i="19" s="1"/>
  <c r="M15" i="19" s="1"/>
  <c r="M16" i="19" s="1"/>
  <c r="M17" i="19" s="1"/>
  <c r="M18" i="19" s="1"/>
  <c r="M19" i="19" s="1"/>
  <c r="M20" i="19" s="1"/>
  <c r="M21" i="19" s="1"/>
  <c r="M22" i="19" s="1"/>
  <c r="M23" i="19" s="1"/>
  <c r="M24" i="19" s="1"/>
  <c r="M25" i="19" s="1"/>
  <c r="M26" i="19" s="1"/>
  <c r="M27" i="19" s="1"/>
  <c r="M28" i="19" s="1"/>
  <c r="M29" i="19" s="1"/>
  <c r="M30" i="19" s="1"/>
  <c r="M31" i="19" s="1"/>
  <c r="M32" i="19" s="1"/>
  <c r="M33" i="19" s="1"/>
  <c r="M34" i="19" s="1"/>
  <c r="M35" i="19" s="1"/>
  <c r="M36" i="19" s="1"/>
  <c r="N7" i="19" s="1"/>
  <c r="N8" i="19" s="1"/>
  <c r="N9" i="19" s="1"/>
  <c r="N10" i="19" s="1"/>
  <c r="N11" i="19" s="1"/>
  <c r="N12" i="19" s="1"/>
  <c r="N13" i="19" s="1"/>
  <c r="N14" i="19" s="1"/>
  <c r="N15" i="19" s="1"/>
  <c r="N16" i="19" s="1"/>
  <c r="N17" i="19" s="1"/>
  <c r="N18" i="19" s="1"/>
  <c r="N19" i="19" s="1"/>
  <c r="N20" i="19" s="1"/>
  <c r="N21" i="19" s="1"/>
  <c r="N22" i="19" s="1"/>
  <c r="N23" i="19" s="1"/>
  <c r="N24" i="19" s="1"/>
  <c r="N25" i="19" s="1"/>
  <c r="N26" i="19" s="1"/>
  <c r="N27" i="19" s="1"/>
  <c r="N28" i="19" s="1"/>
  <c r="N29" i="19" s="1"/>
  <c r="N30" i="19" s="1"/>
  <c r="N31" i="19" s="1"/>
  <c r="N32" i="19" s="1"/>
  <c r="N33" i="19" s="1"/>
  <c r="N34" i="19" s="1"/>
  <c r="N35" i="19" s="1"/>
  <c r="N36" i="19" s="1"/>
  <c r="N37" i="19" s="1"/>
  <c r="I21" i="49" s="1"/>
  <c r="AB22" i="18"/>
  <c r="AA22" i="18"/>
  <c r="Z22" i="18"/>
  <c r="Y22" i="18"/>
  <c r="X22" i="18"/>
  <c r="W22" i="18"/>
  <c r="V22" i="18"/>
  <c r="U22" i="18"/>
  <c r="T22" i="18"/>
  <c r="S22" i="18"/>
  <c r="R22" i="18"/>
  <c r="Q22" i="18"/>
  <c r="AB20" i="18"/>
  <c r="AA20" i="18"/>
  <c r="Z20" i="18"/>
  <c r="Y20" i="18"/>
  <c r="X20" i="18"/>
  <c r="W20" i="18"/>
  <c r="V20" i="18"/>
  <c r="U20" i="18"/>
  <c r="T20" i="18"/>
  <c r="S20" i="18"/>
  <c r="R20" i="18"/>
  <c r="Q20" i="18"/>
  <c r="E10" i="49" l="1" a="1"/>
  <c r="E10" i="49" s="1"/>
  <c r="R10" i="49" s="1"/>
  <c r="V10" i="49" a="1"/>
  <c r="V10" i="49" s="1"/>
  <c r="I20" i="49"/>
  <c r="I19" i="49"/>
  <c r="I14" i="49"/>
  <c r="I15" i="49"/>
  <c r="I16" i="49"/>
  <c r="I17" i="49"/>
  <c r="I18" i="49"/>
  <c r="J51" i="49"/>
  <c r="H12" i="39"/>
  <c r="I12" i="39" s="1"/>
  <c r="J12" i="39"/>
  <c r="H16" i="11"/>
  <c r="I16" i="11" s="1"/>
  <c r="J16" i="11"/>
  <c r="AB12" i="35"/>
  <c r="AB11" i="35"/>
  <c r="AB10" i="35"/>
  <c r="AB9" i="35"/>
  <c r="AB8" i="35"/>
  <c r="AB7" i="35"/>
  <c r="AB6" i="35"/>
  <c r="AB5" i="35"/>
  <c r="AB4" i="35"/>
  <c r="AB3" i="35"/>
  <c r="AB2" i="35"/>
  <c r="Z13" i="35"/>
  <c r="Z12" i="35"/>
  <c r="Z11" i="35"/>
  <c r="Z10" i="35"/>
  <c r="Z9" i="35"/>
  <c r="AA9" i="35" s="1"/>
  <c r="Z8" i="35"/>
  <c r="AA8" i="35" s="1"/>
  <c r="Z7" i="35"/>
  <c r="AA7" i="35" s="1"/>
  <c r="Z6" i="35"/>
  <c r="AA6" i="35" s="1"/>
  <c r="Z5" i="35"/>
  <c r="AA5" i="35" s="1"/>
  <c r="Z4" i="35"/>
  <c r="AA4" i="35" s="1"/>
  <c r="Z3" i="35"/>
  <c r="AA3" i="35" s="1"/>
  <c r="R12" i="49" l="1"/>
  <c r="R18" i="49"/>
  <c r="R11" i="49"/>
  <c r="R16" i="49"/>
  <c r="R15" i="49"/>
  <c r="R14" i="49"/>
  <c r="R13" i="49"/>
  <c r="R17" i="49"/>
  <c r="K12" i="39"/>
  <c r="K16" i="11"/>
  <c r="T3" i="35"/>
  <c r="T4" i="35"/>
  <c r="T5" i="35"/>
  <c r="T6" i="35"/>
  <c r="T7" i="35"/>
  <c r="T8" i="35"/>
  <c r="T9" i="35"/>
  <c r="T10" i="35"/>
  <c r="T11" i="35"/>
  <c r="T12" i="35"/>
  <c r="T13" i="35"/>
  <c r="T14" i="35"/>
  <c r="T15" i="35"/>
  <c r="T16" i="35"/>
  <c r="T17" i="35"/>
  <c r="T18" i="35"/>
  <c r="T19" i="35"/>
  <c r="T20" i="35"/>
  <c r="T21" i="35"/>
  <c r="T22" i="35"/>
  <c r="T23" i="35"/>
  <c r="T24" i="35"/>
  <c r="T25" i="35"/>
  <c r="T26" i="35"/>
  <c r="T27" i="35"/>
  <c r="T28" i="35"/>
  <c r="T29" i="35"/>
  <c r="T30" i="35"/>
  <c r="T31" i="35"/>
  <c r="T32" i="35"/>
  <c r="T33" i="35"/>
  <c r="T34" i="35"/>
  <c r="T35" i="35"/>
  <c r="T36" i="35"/>
  <c r="T37" i="35"/>
  <c r="T38" i="35"/>
  <c r="T39" i="35"/>
  <c r="T40" i="35"/>
  <c r="T41" i="35"/>
  <c r="T42" i="35"/>
  <c r="T43" i="35"/>
  <c r="T44" i="35"/>
  <c r="T45" i="35"/>
  <c r="T46" i="35"/>
  <c r="T47" i="35"/>
  <c r="T48" i="35"/>
  <c r="T49" i="35"/>
  <c r="T50" i="35"/>
  <c r="T51" i="35"/>
  <c r="T52" i="35"/>
  <c r="T53" i="35"/>
  <c r="T54" i="35"/>
  <c r="T55" i="35"/>
  <c r="T56" i="35"/>
  <c r="T57" i="35"/>
  <c r="T58" i="35"/>
  <c r="T59" i="35"/>
  <c r="T60" i="35"/>
  <c r="T61" i="35"/>
  <c r="T62" i="35"/>
  <c r="T63" i="35"/>
  <c r="T64" i="35"/>
  <c r="T65" i="35"/>
  <c r="T66" i="35"/>
  <c r="T67" i="35"/>
  <c r="T68" i="35"/>
  <c r="T69" i="35"/>
  <c r="T70" i="35"/>
  <c r="T71" i="35"/>
  <c r="T72" i="35"/>
  <c r="T73" i="35"/>
  <c r="T74" i="35"/>
  <c r="T75" i="35"/>
  <c r="T76" i="35"/>
  <c r="T77" i="35"/>
  <c r="T78" i="35"/>
  <c r="T79" i="35"/>
  <c r="T80" i="35"/>
  <c r="T81" i="35"/>
  <c r="T82" i="35"/>
  <c r="T83" i="35"/>
  <c r="T84" i="35"/>
  <c r="T85" i="35"/>
  <c r="T86" i="35"/>
  <c r="T87" i="35"/>
  <c r="T88" i="35"/>
  <c r="T89" i="35"/>
  <c r="T90" i="35"/>
  <c r="T91" i="35"/>
  <c r="T92" i="35"/>
  <c r="T93" i="35"/>
  <c r="T94" i="35"/>
  <c r="T95" i="35"/>
  <c r="T96" i="35"/>
  <c r="T97" i="35"/>
  <c r="T98" i="35"/>
  <c r="T99" i="35"/>
  <c r="T100" i="35"/>
  <c r="T101" i="35"/>
  <c r="T102" i="35"/>
  <c r="T103" i="35"/>
  <c r="T104" i="35"/>
  <c r="T105" i="35"/>
  <c r="T106" i="35"/>
  <c r="T107" i="35"/>
  <c r="T108" i="35"/>
  <c r="T109" i="35"/>
  <c r="T110" i="35"/>
  <c r="T111" i="35"/>
  <c r="T112" i="35"/>
  <c r="T113" i="35"/>
  <c r="T114" i="35"/>
  <c r="T115" i="35"/>
  <c r="T116" i="35"/>
  <c r="T117" i="35"/>
  <c r="T118" i="35"/>
  <c r="T119" i="35"/>
  <c r="T120" i="35"/>
  <c r="T121" i="35"/>
  <c r="T122" i="35"/>
  <c r="T123" i="35"/>
  <c r="T124" i="35"/>
  <c r="T125" i="35"/>
  <c r="T126" i="35"/>
  <c r="T127" i="35"/>
  <c r="T128" i="35"/>
  <c r="T129" i="35"/>
  <c r="T130" i="35"/>
  <c r="T131" i="35"/>
  <c r="T132" i="35"/>
  <c r="T133" i="35"/>
  <c r="T134" i="35"/>
  <c r="T135" i="35"/>
  <c r="T136" i="35"/>
  <c r="T137" i="35"/>
  <c r="T138" i="35"/>
  <c r="T139" i="35"/>
  <c r="T140" i="35"/>
  <c r="T141" i="35"/>
  <c r="T142" i="35"/>
  <c r="T143" i="35"/>
  <c r="T144" i="35"/>
  <c r="T145" i="35"/>
  <c r="T146" i="35"/>
  <c r="T147" i="35"/>
  <c r="T148" i="35"/>
  <c r="T149" i="35"/>
  <c r="T150" i="35"/>
  <c r="T151" i="35"/>
  <c r="T152" i="35"/>
  <c r="T153" i="35"/>
  <c r="T154" i="35"/>
  <c r="T155" i="35"/>
  <c r="T156" i="35"/>
  <c r="T157" i="35"/>
  <c r="T158" i="35"/>
  <c r="T159" i="35"/>
  <c r="T160" i="35"/>
  <c r="T161" i="35"/>
  <c r="T162" i="35"/>
  <c r="T163" i="35"/>
  <c r="T164" i="35"/>
  <c r="T165" i="35"/>
  <c r="T166" i="35"/>
  <c r="T167" i="35"/>
  <c r="T168" i="35"/>
  <c r="T169" i="35"/>
  <c r="T170" i="35"/>
  <c r="T171" i="35"/>
  <c r="T172" i="35"/>
  <c r="T173" i="35"/>
  <c r="T174" i="35"/>
  <c r="T175" i="35"/>
  <c r="T176" i="35"/>
  <c r="T177" i="35"/>
  <c r="T178" i="35"/>
  <c r="T179" i="35"/>
  <c r="T180" i="35"/>
  <c r="T181" i="35"/>
  <c r="T182" i="35"/>
  <c r="T183" i="35"/>
  <c r="T184" i="35"/>
  <c r="T185" i="35"/>
  <c r="T186" i="35"/>
  <c r="T187" i="35"/>
  <c r="T188" i="35"/>
  <c r="T189" i="35"/>
  <c r="T190" i="35"/>
  <c r="T191" i="35"/>
  <c r="T192" i="35"/>
  <c r="T193" i="35"/>
  <c r="T194" i="35"/>
  <c r="T195" i="35"/>
  <c r="T196" i="35"/>
  <c r="T197" i="35"/>
  <c r="T198" i="35"/>
  <c r="T199" i="35"/>
  <c r="T200" i="35"/>
  <c r="T201" i="35"/>
  <c r="T202" i="35"/>
  <c r="T203" i="35"/>
  <c r="T204" i="35"/>
  <c r="T205" i="35"/>
  <c r="T206" i="35"/>
  <c r="T207" i="35"/>
  <c r="T208" i="35"/>
  <c r="T209" i="35"/>
  <c r="T210" i="35"/>
  <c r="T211" i="35"/>
  <c r="T212" i="35"/>
  <c r="T213" i="35"/>
  <c r="T214" i="35"/>
  <c r="T215" i="35"/>
  <c r="T216" i="35"/>
  <c r="T217" i="35"/>
  <c r="T218" i="35"/>
  <c r="T219" i="35"/>
  <c r="T220" i="35"/>
  <c r="T221" i="35"/>
  <c r="T222" i="35"/>
  <c r="T223" i="35"/>
  <c r="T224" i="35"/>
  <c r="T225" i="35"/>
  <c r="T226" i="35"/>
  <c r="T227" i="35"/>
  <c r="T228" i="35"/>
  <c r="T229" i="35"/>
  <c r="T230" i="35"/>
  <c r="T231" i="35"/>
  <c r="T232" i="35"/>
  <c r="T233" i="35"/>
  <c r="T234" i="35"/>
  <c r="T235" i="35"/>
  <c r="T236" i="35"/>
  <c r="T237" i="35"/>
  <c r="T238" i="35"/>
  <c r="T239" i="35"/>
  <c r="T240" i="35"/>
  <c r="T241" i="35"/>
  <c r="T242" i="35"/>
  <c r="T243" i="35"/>
  <c r="T244" i="35"/>
  <c r="T245" i="35"/>
  <c r="T246" i="35"/>
  <c r="T247" i="35"/>
  <c r="T248" i="35"/>
  <c r="T249" i="35"/>
  <c r="T250" i="35"/>
  <c r="T251" i="35"/>
  <c r="T252" i="35"/>
  <c r="T253" i="35"/>
  <c r="T254" i="35"/>
  <c r="T255" i="35"/>
  <c r="T256" i="35"/>
  <c r="T257" i="35"/>
  <c r="T258" i="35"/>
  <c r="T259" i="35"/>
  <c r="T260" i="35"/>
  <c r="T261" i="35"/>
  <c r="T262" i="35"/>
  <c r="T263" i="35"/>
  <c r="T264" i="35"/>
  <c r="T265" i="35"/>
  <c r="T266" i="35"/>
  <c r="T267" i="35"/>
  <c r="T268" i="35"/>
  <c r="T269" i="35"/>
  <c r="T270" i="35"/>
  <c r="T271" i="35"/>
  <c r="T272" i="35"/>
  <c r="T273" i="35"/>
  <c r="T274" i="35"/>
  <c r="T275" i="35"/>
  <c r="T276" i="35"/>
  <c r="T277" i="35"/>
  <c r="T278" i="35"/>
  <c r="T279" i="35"/>
  <c r="T280" i="35"/>
  <c r="T281" i="35"/>
  <c r="T282" i="35"/>
  <c r="T283" i="35"/>
  <c r="T284" i="35"/>
  <c r="T285" i="35"/>
  <c r="T286" i="35"/>
  <c r="T287" i="35"/>
  <c r="T288" i="35"/>
  <c r="T289" i="35"/>
  <c r="T290" i="35"/>
  <c r="T291" i="35"/>
  <c r="T292" i="35"/>
  <c r="T293" i="35"/>
  <c r="T294" i="35"/>
  <c r="T295" i="35"/>
  <c r="T296" i="35"/>
  <c r="T297" i="35"/>
  <c r="T298" i="35"/>
  <c r="T299" i="35"/>
  <c r="T300" i="35"/>
  <c r="T301" i="35"/>
  <c r="T302" i="35"/>
  <c r="T303" i="35"/>
  <c r="T304" i="35"/>
  <c r="T305" i="35"/>
  <c r="T306" i="35"/>
  <c r="T307" i="35"/>
  <c r="T308" i="35"/>
  <c r="T309" i="35"/>
  <c r="T310" i="35"/>
  <c r="T311" i="35"/>
  <c r="T312" i="35"/>
  <c r="T313" i="35"/>
  <c r="T314" i="35"/>
  <c r="T315" i="35"/>
  <c r="T316" i="35"/>
  <c r="T317" i="35"/>
  <c r="T318" i="35"/>
  <c r="T319" i="35"/>
  <c r="T320" i="35"/>
  <c r="T321" i="35"/>
  <c r="T322" i="35"/>
  <c r="T323" i="35"/>
  <c r="T324" i="35"/>
  <c r="T325" i="35"/>
  <c r="T326" i="35"/>
  <c r="T327" i="35"/>
  <c r="T328" i="35"/>
  <c r="T329" i="35"/>
  <c r="T330" i="35"/>
  <c r="T331" i="35"/>
  <c r="T332" i="35"/>
  <c r="T333" i="35"/>
  <c r="T334" i="35"/>
  <c r="T335" i="35"/>
  <c r="T336" i="35"/>
  <c r="T337" i="35"/>
  <c r="T338" i="35"/>
  <c r="T339" i="35"/>
  <c r="T340" i="35"/>
  <c r="T341" i="35"/>
  <c r="T342" i="35"/>
  <c r="T343" i="35"/>
  <c r="T344" i="35"/>
  <c r="T345" i="35"/>
  <c r="T346" i="35"/>
  <c r="T347" i="35"/>
  <c r="T348" i="35"/>
  <c r="T349" i="35"/>
  <c r="T350" i="35"/>
  <c r="T351" i="35"/>
  <c r="T352" i="35"/>
  <c r="T353" i="35"/>
  <c r="T354" i="35"/>
  <c r="T355" i="35"/>
  <c r="T356" i="35"/>
  <c r="T357" i="35"/>
  <c r="T358" i="35"/>
  <c r="T359" i="35"/>
  <c r="T360" i="35"/>
  <c r="T361" i="35"/>
  <c r="T362" i="35"/>
  <c r="T363" i="35"/>
  <c r="T364" i="35"/>
  <c r="T365" i="35"/>
  <c r="T366" i="35"/>
  <c r="T367" i="35"/>
  <c r="T368" i="35"/>
  <c r="T369" i="35"/>
  <c r="T370" i="35"/>
  <c r="T371" i="35"/>
  <c r="T372" i="35"/>
  <c r="T373" i="35"/>
  <c r="T374" i="35"/>
  <c r="T375" i="35"/>
  <c r="T376" i="35"/>
  <c r="T377" i="35"/>
  <c r="T378" i="35"/>
  <c r="T379" i="35"/>
  <c r="T380" i="35"/>
  <c r="T381" i="35"/>
  <c r="T382" i="35"/>
  <c r="T383" i="35"/>
  <c r="T384" i="35"/>
  <c r="T385" i="35"/>
  <c r="T386" i="35"/>
  <c r="T387" i="35"/>
  <c r="T388" i="35"/>
  <c r="T389" i="35"/>
  <c r="T390" i="35"/>
  <c r="T391" i="35"/>
  <c r="T392" i="35"/>
  <c r="T393" i="35"/>
  <c r="T394" i="35"/>
  <c r="T395" i="35"/>
  <c r="T396" i="35"/>
  <c r="T397" i="35"/>
  <c r="T398" i="35"/>
  <c r="T399" i="35"/>
  <c r="T400" i="35"/>
  <c r="T401" i="35"/>
  <c r="T402" i="35"/>
  <c r="T403" i="35"/>
  <c r="T404" i="35"/>
  <c r="T405" i="35"/>
  <c r="T406" i="35"/>
  <c r="T407" i="35"/>
  <c r="T408" i="35"/>
  <c r="T409" i="35"/>
  <c r="T410" i="35"/>
  <c r="T411" i="35"/>
  <c r="T412" i="35"/>
  <c r="T413" i="35"/>
  <c r="T414" i="35"/>
  <c r="T415" i="35"/>
  <c r="T416" i="35"/>
  <c r="T417" i="35"/>
  <c r="T418" i="35"/>
  <c r="T419" i="35"/>
  <c r="T420" i="35"/>
  <c r="T421" i="35"/>
  <c r="T422" i="35"/>
  <c r="T423" i="35"/>
  <c r="T424" i="35"/>
  <c r="T425" i="35"/>
  <c r="T426" i="35"/>
  <c r="T427" i="35"/>
  <c r="T428" i="35"/>
  <c r="T429" i="35"/>
  <c r="T430" i="35"/>
  <c r="T431" i="35"/>
  <c r="T432" i="35"/>
  <c r="T433" i="35"/>
  <c r="T434" i="35"/>
  <c r="T435" i="35"/>
  <c r="T436" i="35"/>
  <c r="T437" i="35"/>
  <c r="T438" i="35"/>
  <c r="T439" i="35"/>
  <c r="T440" i="35"/>
  <c r="T441" i="35"/>
  <c r="T442" i="35"/>
  <c r="T443" i="35"/>
  <c r="T444" i="35"/>
  <c r="T445" i="35"/>
  <c r="T446" i="35"/>
  <c r="T447" i="35"/>
  <c r="T448" i="35"/>
  <c r="T449" i="35"/>
  <c r="T450" i="35"/>
  <c r="T451" i="35"/>
  <c r="T452" i="35"/>
  <c r="T453" i="35"/>
  <c r="T454" i="35"/>
  <c r="T455" i="35"/>
  <c r="T456" i="35"/>
  <c r="T457" i="35"/>
  <c r="T458" i="35"/>
  <c r="T459" i="35"/>
  <c r="T460" i="35"/>
  <c r="T461" i="35"/>
  <c r="T462" i="35"/>
  <c r="T463" i="35"/>
  <c r="T464" i="35"/>
  <c r="T465" i="35"/>
  <c r="T466" i="35"/>
  <c r="T467" i="35"/>
  <c r="T468" i="35"/>
  <c r="T469" i="35"/>
  <c r="T470" i="35"/>
  <c r="T471" i="35"/>
  <c r="T472" i="35"/>
  <c r="T473" i="35"/>
  <c r="T474" i="35"/>
  <c r="T475" i="35"/>
  <c r="T476" i="35"/>
  <c r="T477" i="35"/>
  <c r="T478" i="35"/>
  <c r="T479" i="35"/>
  <c r="T480" i="35"/>
  <c r="T481" i="35"/>
  <c r="T482" i="35"/>
  <c r="T483" i="35"/>
  <c r="T484" i="35"/>
  <c r="T485" i="35"/>
  <c r="T486" i="35"/>
  <c r="T487" i="35"/>
  <c r="T488" i="35"/>
  <c r="T489" i="35"/>
  <c r="T490" i="35"/>
  <c r="T491" i="35"/>
  <c r="T492" i="35"/>
  <c r="T493" i="35"/>
  <c r="T494" i="35"/>
  <c r="T495" i="35"/>
  <c r="T496" i="35"/>
  <c r="T497" i="35"/>
  <c r="T498" i="35"/>
  <c r="T499" i="35"/>
  <c r="T500" i="35"/>
  <c r="T2" i="35"/>
  <c r="P3" i="35"/>
  <c r="P4" i="35"/>
  <c r="P5" i="35"/>
  <c r="P6" i="35"/>
  <c r="P7" i="35"/>
  <c r="P8" i="35"/>
  <c r="P9" i="35"/>
  <c r="P10" i="35"/>
  <c r="P11" i="35"/>
  <c r="P12" i="35"/>
  <c r="P13" i="35"/>
  <c r="P14" i="35"/>
  <c r="P15" i="35"/>
  <c r="P16" i="35"/>
  <c r="P17" i="35"/>
  <c r="P18" i="35"/>
  <c r="P19" i="35"/>
  <c r="P20" i="35"/>
  <c r="P21" i="35"/>
  <c r="P22" i="35"/>
  <c r="P23" i="35"/>
  <c r="P24" i="35"/>
  <c r="P25" i="35"/>
  <c r="P26" i="35"/>
  <c r="P27" i="35"/>
  <c r="P28" i="35"/>
  <c r="P29" i="35"/>
  <c r="P30" i="35"/>
  <c r="P31" i="35"/>
  <c r="P32" i="35"/>
  <c r="P33" i="35"/>
  <c r="P34" i="35"/>
  <c r="P35" i="35"/>
  <c r="P36" i="35"/>
  <c r="P37" i="35"/>
  <c r="P38" i="35"/>
  <c r="P39" i="35"/>
  <c r="P40" i="35"/>
  <c r="P41" i="35"/>
  <c r="P42" i="35"/>
  <c r="P43" i="35"/>
  <c r="P44" i="35"/>
  <c r="P45" i="35"/>
  <c r="P46" i="35"/>
  <c r="P47" i="35"/>
  <c r="P48" i="35"/>
  <c r="P49" i="35"/>
  <c r="P50" i="35"/>
  <c r="P51" i="35"/>
  <c r="P52" i="35"/>
  <c r="P53" i="35"/>
  <c r="P54" i="35"/>
  <c r="P55" i="35"/>
  <c r="P56" i="35"/>
  <c r="P57" i="35"/>
  <c r="P58" i="35"/>
  <c r="P59" i="35"/>
  <c r="P60" i="35"/>
  <c r="P61" i="35"/>
  <c r="P62" i="35"/>
  <c r="P63" i="35"/>
  <c r="P64" i="35"/>
  <c r="P65" i="35"/>
  <c r="P66" i="35"/>
  <c r="P67" i="35"/>
  <c r="P68" i="35"/>
  <c r="P69" i="35"/>
  <c r="P70" i="35"/>
  <c r="P71" i="35"/>
  <c r="P72" i="35"/>
  <c r="P73" i="35"/>
  <c r="P74" i="35"/>
  <c r="P75" i="35"/>
  <c r="P76" i="35"/>
  <c r="P77" i="35"/>
  <c r="P78" i="35"/>
  <c r="P79" i="35"/>
  <c r="P80" i="35"/>
  <c r="P81" i="35"/>
  <c r="P82" i="35"/>
  <c r="P83" i="35"/>
  <c r="P84" i="35"/>
  <c r="P85" i="35"/>
  <c r="P86" i="35"/>
  <c r="P87" i="35"/>
  <c r="P88" i="35"/>
  <c r="P89" i="35"/>
  <c r="P90" i="35"/>
  <c r="P91" i="35"/>
  <c r="P92" i="35"/>
  <c r="P93" i="35"/>
  <c r="P94" i="35"/>
  <c r="P95" i="35"/>
  <c r="P96" i="35"/>
  <c r="P97" i="35"/>
  <c r="P98" i="35"/>
  <c r="P99" i="35"/>
  <c r="P100" i="35"/>
  <c r="P101" i="35"/>
  <c r="P102" i="35"/>
  <c r="P103" i="35"/>
  <c r="P104" i="35"/>
  <c r="P105" i="35"/>
  <c r="P106" i="35"/>
  <c r="P107" i="35"/>
  <c r="P108" i="35"/>
  <c r="P109" i="35"/>
  <c r="P110" i="35"/>
  <c r="P111" i="35"/>
  <c r="P112" i="35"/>
  <c r="P113" i="35"/>
  <c r="P114" i="35"/>
  <c r="P115" i="35"/>
  <c r="P116" i="35"/>
  <c r="P117" i="35"/>
  <c r="P118" i="35"/>
  <c r="P119" i="35"/>
  <c r="P120" i="35"/>
  <c r="P121" i="35"/>
  <c r="P122" i="35"/>
  <c r="P123" i="35"/>
  <c r="P124" i="35"/>
  <c r="P125" i="35"/>
  <c r="P126" i="35"/>
  <c r="P127" i="35"/>
  <c r="P128" i="35"/>
  <c r="P129" i="35"/>
  <c r="P130" i="35"/>
  <c r="P131" i="35"/>
  <c r="P132" i="35"/>
  <c r="P133" i="35"/>
  <c r="P134" i="35"/>
  <c r="P135" i="35"/>
  <c r="P136" i="35"/>
  <c r="P137" i="35"/>
  <c r="P138" i="35"/>
  <c r="P139" i="35"/>
  <c r="P140" i="35"/>
  <c r="P141" i="35"/>
  <c r="P142" i="35"/>
  <c r="P143" i="35"/>
  <c r="P144" i="35"/>
  <c r="P145" i="35"/>
  <c r="P146" i="35"/>
  <c r="P147" i="35"/>
  <c r="P148" i="35"/>
  <c r="P149" i="35"/>
  <c r="P150" i="35"/>
  <c r="P151" i="35"/>
  <c r="P152" i="35"/>
  <c r="P153" i="35"/>
  <c r="P154" i="35"/>
  <c r="P155" i="35"/>
  <c r="P156" i="35"/>
  <c r="P157" i="35"/>
  <c r="P158" i="35"/>
  <c r="P159" i="35"/>
  <c r="P160" i="35"/>
  <c r="P161" i="35"/>
  <c r="P162" i="35"/>
  <c r="P163" i="35"/>
  <c r="P164" i="35"/>
  <c r="P165" i="35"/>
  <c r="P166" i="35"/>
  <c r="P167" i="35"/>
  <c r="P168" i="35"/>
  <c r="P169" i="35"/>
  <c r="P170" i="35"/>
  <c r="P171" i="35"/>
  <c r="P172" i="35"/>
  <c r="P173" i="35"/>
  <c r="P174" i="35"/>
  <c r="P175" i="35"/>
  <c r="P176" i="35"/>
  <c r="P177" i="35"/>
  <c r="P178" i="35"/>
  <c r="P179" i="35"/>
  <c r="P180" i="35"/>
  <c r="P181" i="35"/>
  <c r="P182" i="35"/>
  <c r="P183" i="35"/>
  <c r="P184" i="35"/>
  <c r="P185" i="35"/>
  <c r="P186" i="35"/>
  <c r="P187" i="35"/>
  <c r="P188" i="35"/>
  <c r="P189" i="35"/>
  <c r="P190" i="35"/>
  <c r="P191" i="35"/>
  <c r="P192" i="35"/>
  <c r="P193" i="35"/>
  <c r="P194" i="35"/>
  <c r="P195" i="35"/>
  <c r="P196" i="35"/>
  <c r="P197" i="35"/>
  <c r="P198" i="35"/>
  <c r="P199" i="35"/>
  <c r="P200" i="35"/>
  <c r="P201" i="35"/>
  <c r="P202" i="35"/>
  <c r="P203" i="35"/>
  <c r="P204" i="35"/>
  <c r="P205" i="35"/>
  <c r="P206" i="35"/>
  <c r="P207" i="35"/>
  <c r="P208" i="35"/>
  <c r="P209" i="35"/>
  <c r="P210" i="35"/>
  <c r="P211" i="35"/>
  <c r="P212" i="35"/>
  <c r="P213" i="35"/>
  <c r="P214" i="35"/>
  <c r="P215" i="35"/>
  <c r="P216" i="35"/>
  <c r="P217" i="35"/>
  <c r="P218" i="35"/>
  <c r="P219" i="35"/>
  <c r="P220" i="35"/>
  <c r="P221" i="35"/>
  <c r="P222" i="35"/>
  <c r="P223" i="35"/>
  <c r="P224" i="35"/>
  <c r="P225" i="35"/>
  <c r="P226" i="35"/>
  <c r="P227" i="35"/>
  <c r="P228" i="35"/>
  <c r="P229" i="35"/>
  <c r="P230" i="35"/>
  <c r="P231" i="35"/>
  <c r="P232" i="35"/>
  <c r="P233" i="35"/>
  <c r="P234" i="35"/>
  <c r="P235" i="35"/>
  <c r="P236" i="35"/>
  <c r="P237" i="35"/>
  <c r="P238" i="35"/>
  <c r="P239" i="35"/>
  <c r="P240" i="35"/>
  <c r="P241" i="35"/>
  <c r="P242" i="35"/>
  <c r="P243" i="35"/>
  <c r="P244" i="35"/>
  <c r="P245" i="35"/>
  <c r="P246" i="35"/>
  <c r="P247" i="35"/>
  <c r="P248" i="35"/>
  <c r="P249" i="35"/>
  <c r="P250" i="35"/>
  <c r="P251" i="35"/>
  <c r="P252" i="35"/>
  <c r="P253" i="35"/>
  <c r="P254" i="35"/>
  <c r="P255" i="35"/>
  <c r="P256" i="35"/>
  <c r="P257" i="35"/>
  <c r="P258" i="35"/>
  <c r="P259" i="35"/>
  <c r="P260" i="35"/>
  <c r="P261" i="35"/>
  <c r="P262" i="35"/>
  <c r="P263" i="35"/>
  <c r="P264" i="35"/>
  <c r="P265" i="35"/>
  <c r="P266" i="35"/>
  <c r="P267" i="35"/>
  <c r="P268" i="35"/>
  <c r="P269" i="35"/>
  <c r="P270" i="35"/>
  <c r="P271" i="35"/>
  <c r="P272" i="35"/>
  <c r="P273" i="35"/>
  <c r="P274" i="35"/>
  <c r="P275" i="35"/>
  <c r="P276" i="35"/>
  <c r="P277" i="35"/>
  <c r="P278" i="35"/>
  <c r="P279" i="35"/>
  <c r="P280" i="35"/>
  <c r="P281" i="35"/>
  <c r="P282" i="35"/>
  <c r="P283" i="35"/>
  <c r="P284" i="35"/>
  <c r="P285" i="35"/>
  <c r="P286" i="35"/>
  <c r="P287" i="35"/>
  <c r="P288" i="35"/>
  <c r="P289" i="35"/>
  <c r="P290" i="35"/>
  <c r="P291" i="35"/>
  <c r="P292" i="35"/>
  <c r="P293" i="35"/>
  <c r="P294" i="35"/>
  <c r="P295" i="35"/>
  <c r="P296" i="35"/>
  <c r="P297" i="35"/>
  <c r="P298" i="35"/>
  <c r="P299" i="35"/>
  <c r="P300" i="35"/>
  <c r="P301" i="35"/>
  <c r="P302" i="35"/>
  <c r="P303" i="35"/>
  <c r="P304" i="35"/>
  <c r="P305" i="35"/>
  <c r="P306" i="35"/>
  <c r="P307" i="35"/>
  <c r="P308" i="35"/>
  <c r="P309" i="35"/>
  <c r="P310" i="35"/>
  <c r="P311" i="35"/>
  <c r="P312" i="35"/>
  <c r="P313" i="35"/>
  <c r="P314" i="35"/>
  <c r="P315" i="35"/>
  <c r="P316" i="35"/>
  <c r="P317" i="35"/>
  <c r="P318" i="35"/>
  <c r="P319" i="35"/>
  <c r="P320" i="35"/>
  <c r="P321" i="35"/>
  <c r="P322" i="35"/>
  <c r="P323" i="35"/>
  <c r="P324" i="35"/>
  <c r="P325" i="35"/>
  <c r="P326" i="35"/>
  <c r="P327" i="35"/>
  <c r="P328" i="35"/>
  <c r="P329" i="35"/>
  <c r="P330" i="35"/>
  <c r="P331" i="35"/>
  <c r="P332" i="35"/>
  <c r="P333" i="35"/>
  <c r="P334" i="35"/>
  <c r="P335" i="35"/>
  <c r="P336" i="35"/>
  <c r="P337" i="35"/>
  <c r="P338" i="35"/>
  <c r="P339" i="35"/>
  <c r="P340" i="35"/>
  <c r="P341" i="35"/>
  <c r="P342" i="35"/>
  <c r="P343" i="35"/>
  <c r="P344" i="35"/>
  <c r="P345" i="35"/>
  <c r="P346" i="35"/>
  <c r="P347" i="35"/>
  <c r="P348" i="35"/>
  <c r="P349" i="35"/>
  <c r="P350" i="35"/>
  <c r="P351" i="35"/>
  <c r="P352" i="35"/>
  <c r="P353" i="35"/>
  <c r="P354" i="35"/>
  <c r="P355" i="35"/>
  <c r="P356" i="35"/>
  <c r="P357" i="35"/>
  <c r="P358" i="35"/>
  <c r="P359" i="35"/>
  <c r="P360" i="35"/>
  <c r="P361" i="35"/>
  <c r="P362" i="35"/>
  <c r="P363" i="35"/>
  <c r="P364" i="35"/>
  <c r="P365" i="35"/>
  <c r="P366" i="35"/>
  <c r="P367" i="35"/>
  <c r="P368" i="35"/>
  <c r="P369" i="35"/>
  <c r="P370" i="35"/>
  <c r="P371" i="35"/>
  <c r="P372" i="35"/>
  <c r="P373" i="35"/>
  <c r="P374" i="35"/>
  <c r="P375" i="35"/>
  <c r="P376" i="35"/>
  <c r="P377" i="35"/>
  <c r="P378" i="35"/>
  <c r="P379" i="35"/>
  <c r="P380" i="35"/>
  <c r="P381" i="35"/>
  <c r="P382" i="35"/>
  <c r="P383" i="35"/>
  <c r="P384" i="35"/>
  <c r="P385" i="35"/>
  <c r="P386" i="35"/>
  <c r="P387" i="35"/>
  <c r="P388" i="35"/>
  <c r="P389" i="35"/>
  <c r="P390" i="35"/>
  <c r="P391" i="35"/>
  <c r="P392" i="35"/>
  <c r="P393" i="35"/>
  <c r="P394" i="35"/>
  <c r="P395" i="35"/>
  <c r="P396" i="35"/>
  <c r="P397" i="35"/>
  <c r="P398" i="35"/>
  <c r="P399" i="35"/>
  <c r="P400" i="35"/>
  <c r="P401" i="35"/>
  <c r="P402" i="35"/>
  <c r="P403" i="35"/>
  <c r="P404" i="35"/>
  <c r="P405" i="35"/>
  <c r="P406" i="35"/>
  <c r="P407" i="35"/>
  <c r="P408" i="35"/>
  <c r="P409" i="35"/>
  <c r="P410" i="35"/>
  <c r="P411" i="35"/>
  <c r="P412" i="35"/>
  <c r="P413" i="35"/>
  <c r="P414" i="35"/>
  <c r="P415" i="35"/>
  <c r="P416" i="35"/>
  <c r="P417" i="35"/>
  <c r="P418" i="35"/>
  <c r="P419" i="35"/>
  <c r="P420" i="35"/>
  <c r="P421" i="35"/>
  <c r="P422" i="35"/>
  <c r="P423" i="35"/>
  <c r="P424" i="35"/>
  <c r="P425" i="35"/>
  <c r="P426" i="35"/>
  <c r="P427" i="35"/>
  <c r="P428" i="35"/>
  <c r="P429" i="35"/>
  <c r="P430" i="35"/>
  <c r="P431" i="35"/>
  <c r="P432" i="35"/>
  <c r="P433" i="35"/>
  <c r="P434" i="35"/>
  <c r="P435" i="35"/>
  <c r="P436" i="35"/>
  <c r="P437" i="35"/>
  <c r="P438" i="35"/>
  <c r="P439" i="35"/>
  <c r="P440" i="35"/>
  <c r="P441" i="35"/>
  <c r="P442" i="35"/>
  <c r="P443" i="35"/>
  <c r="P444" i="35"/>
  <c r="P445" i="35"/>
  <c r="P446" i="35"/>
  <c r="P447" i="35"/>
  <c r="P448" i="35"/>
  <c r="P449" i="35"/>
  <c r="P450" i="35"/>
  <c r="P451" i="35"/>
  <c r="P452" i="35"/>
  <c r="P453" i="35"/>
  <c r="P454" i="35"/>
  <c r="P455" i="35"/>
  <c r="P456" i="35"/>
  <c r="P457" i="35"/>
  <c r="P458" i="35"/>
  <c r="P459" i="35"/>
  <c r="P460" i="35"/>
  <c r="P461" i="35"/>
  <c r="P462" i="35"/>
  <c r="P463" i="35"/>
  <c r="P464" i="35"/>
  <c r="P465" i="35"/>
  <c r="P466" i="35"/>
  <c r="P467" i="35"/>
  <c r="P468" i="35"/>
  <c r="P469" i="35"/>
  <c r="P470" i="35"/>
  <c r="P471" i="35"/>
  <c r="P472" i="35"/>
  <c r="P473" i="35"/>
  <c r="P474" i="35"/>
  <c r="P475" i="35"/>
  <c r="P476" i="35"/>
  <c r="P477" i="35"/>
  <c r="P478" i="35"/>
  <c r="P479" i="35"/>
  <c r="P480" i="35"/>
  <c r="P481" i="35"/>
  <c r="P482" i="35"/>
  <c r="P483" i="35"/>
  <c r="P484" i="35"/>
  <c r="P485" i="35"/>
  <c r="P486" i="35"/>
  <c r="P487" i="35"/>
  <c r="P488" i="35"/>
  <c r="P489" i="35"/>
  <c r="P490" i="35"/>
  <c r="P491" i="35"/>
  <c r="P492" i="35"/>
  <c r="P493" i="35"/>
  <c r="P494" i="35"/>
  <c r="P495" i="35"/>
  <c r="P496" i="35"/>
  <c r="P497" i="35"/>
  <c r="P498" i="35"/>
  <c r="P499" i="35"/>
  <c r="P500" i="35"/>
  <c r="P2" i="35"/>
  <c r="O3" i="35"/>
  <c r="O4" i="35"/>
  <c r="O5" i="35"/>
  <c r="O6" i="35"/>
  <c r="O7" i="35"/>
  <c r="O8" i="35"/>
  <c r="O9" i="35"/>
  <c r="O10" i="35"/>
  <c r="O11" i="35"/>
  <c r="O12" i="35"/>
  <c r="O13" i="35"/>
  <c r="O14" i="35"/>
  <c r="O15" i="35"/>
  <c r="O16" i="35"/>
  <c r="O17" i="35"/>
  <c r="O18" i="35"/>
  <c r="O19" i="35"/>
  <c r="O20" i="35"/>
  <c r="O21" i="35"/>
  <c r="O22" i="35"/>
  <c r="O23" i="35"/>
  <c r="O24" i="35"/>
  <c r="O25" i="35"/>
  <c r="O26" i="35"/>
  <c r="O27" i="35"/>
  <c r="O28" i="35"/>
  <c r="O29" i="35"/>
  <c r="O30" i="35"/>
  <c r="O31" i="35"/>
  <c r="O32" i="35"/>
  <c r="O33" i="35"/>
  <c r="O34" i="35"/>
  <c r="O35" i="35"/>
  <c r="O36" i="35"/>
  <c r="O37" i="35"/>
  <c r="O38" i="35"/>
  <c r="O39" i="35"/>
  <c r="O40" i="35"/>
  <c r="O41" i="35"/>
  <c r="O42" i="35"/>
  <c r="O43" i="35"/>
  <c r="O44" i="35"/>
  <c r="O45" i="35"/>
  <c r="O46" i="35"/>
  <c r="O47" i="35"/>
  <c r="O48" i="35"/>
  <c r="O49" i="35"/>
  <c r="O50" i="35"/>
  <c r="O51" i="35"/>
  <c r="O52" i="35"/>
  <c r="O53" i="35"/>
  <c r="O54" i="35"/>
  <c r="O55" i="35"/>
  <c r="O56" i="35"/>
  <c r="O57" i="35"/>
  <c r="O58" i="35"/>
  <c r="O59" i="35"/>
  <c r="O60" i="35"/>
  <c r="O61" i="35"/>
  <c r="O62" i="35"/>
  <c r="O63" i="35"/>
  <c r="O64" i="35"/>
  <c r="O65" i="35"/>
  <c r="O66" i="35"/>
  <c r="O67" i="35"/>
  <c r="O68" i="35"/>
  <c r="O69" i="35"/>
  <c r="O70" i="35"/>
  <c r="O71" i="35"/>
  <c r="O72" i="35"/>
  <c r="O73" i="35"/>
  <c r="O74" i="35"/>
  <c r="O75" i="35"/>
  <c r="O76" i="35"/>
  <c r="O77" i="35"/>
  <c r="O78" i="35"/>
  <c r="O79" i="35"/>
  <c r="O80" i="35"/>
  <c r="O81" i="35"/>
  <c r="O82" i="35"/>
  <c r="O83" i="35"/>
  <c r="O84" i="35"/>
  <c r="O85" i="35"/>
  <c r="O86" i="35"/>
  <c r="O87" i="35"/>
  <c r="O88" i="35"/>
  <c r="O89" i="35"/>
  <c r="O90" i="35"/>
  <c r="O91" i="35"/>
  <c r="O92" i="35"/>
  <c r="O93" i="35"/>
  <c r="O94" i="35"/>
  <c r="O95" i="35"/>
  <c r="O96" i="35"/>
  <c r="O97" i="35"/>
  <c r="O98" i="35"/>
  <c r="O99" i="35"/>
  <c r="O100" i="35"/>
  <c r="O101" i="35"/>
  <c r="O102" i="35"/>
  <c r="O103" i="35"/>
  <c r="O104" i="35"/>
  <c r="O105" i="35"/>
  <c r="O106" i="35"/>
  <c r="O107" i="35"/>
  <c r="O108" i="35"/>
  <c r="O109" i="35"/>
  <c r="O110" i="35"/>
  <c r="O111" i="35"/>
  <c r="O112" i="35"/>
  <c r="O113" i="35"/>
  <c r="O114" i="35"/>
  <c r="O115" i="35"/>
  <c r="O116" i="35"/>
  <c r="O117" i="35"/>
  <c r="O118" i="35"/>
  <c r="O119" i="35"/>
  <c r="O120" i="35"/>
  <c r="O121" i="35"/>
  <c r="O122" i="35"/>
  <c r="O123" i="35"/>
  <c r="O124" i="35"/>
  <c r="O125" i="35"/>
  <c r="O126" i="35"/>
  <c r="O127" i="35"/>
  <c r="O128" i="35"/>
  <c r="O129" i="35"/>
  <c r="O130" i="35"/>
  <c r="O131" i="35"/>
  <c r="O132" i="35"/>
  <c r="O133" i="35"/>
  <c r="O134" i="35"/>
  <c r="O135" i="35"/>
  <c r="O136" i="35"/>
  <c r="O137" i="35"/>
  <c r="O138" i="35"/>
  <c r="O139" i="35"/>
  <c r="O140" i="35"/>
  <c r="O141" i="35"/>
  <c r="O142" i="35"/>
  <c r="O143" i="35"/>
  <c r="O144" i="35"/>
  <c r="O145" i="35"/>
  <c r="O146" i="35"/>
  <c r="O147" i="35"/>
  <c r="O148" i="35"/>
  <c r="O149" i="35"/>
  <c r="O150" i="35"/>
  <c r="O151" i="35"/>
  <c r="O152" i="35"/>
  <c r="O153" i="35"/>
  <c r="O154" i="35"/>
  <c r="O155" i="35"/>
  <c r="O156" i="35"/>
  <c r="O157" i="35"/>
  <c r="O158" i="35"/>
  <c r="O159" i="35"/>
  <c r="O160" i="35"/>
  <c r="O161" i="35"/>
  <c r="O162" i="35"/>
  <c r="O163" i="35"/>
  <c r="O164" i="35"/>
  <c r="O165" i="35"/>
  <c r="O166" i="35"/>
  <c r="O167" i="35"/>
  <c r="O168" i="35"/>
  <c r="O169" i="35"/>
  <c r="O170" i="35"/>
  <c r="O171" i="35"/>
  <c r="O172" i="35"/>
  <c r="O173" i="35"/>
  <c r="O174" i="35"/>
  <c r="O175" i="35"/>
  <c r="O176" i="35"/>
  <c r="O177" i="35"/>
  <c r="O178" i="35"/>
  <c r="O179" i="35"/>
  <c r="O180" i="35"/>
  <c r="O181" i="35"/>
  <c r="O182" i="35"/>
  <c r="O183" i="35"/>
  <c r="O184" i="35"/>
  <c r="O185" i="35"/>
  <c r="O186" i="35"/>
  <c r="O187" i="35"/>
  <c r="O188" i="35"/>
  <c r="O189" i="35"/>
  <c r="O190" i="35"/>
  <c r="O191" i="35"/>
  <c r="O192" i="35"/>
  <c r="O193" i="35"/>
  <c r="O194" i="35"/>
  <c r="O195" i="35"/>
  <c r="O196" i="35"/>
  <c r="O197" i="35"/>
  <c r="O198" i="35"/>
  <c r="O199" i="35"/>
  <c r="O200" i="35"/>
  <c r="O201" i="35"/>
  <c r="O202" i="35"/>
  <c r="O203" i="35"/>
  <c r="O204" i="35"/>
  <c r="O205" i="35"/>
  <c r="O206" i="35"/>
  <c r="O207" i="35"/>
  <c r="O208" i="35"/>
  <c r="O209" i="35"/>
  <c r="O210" i="35"/>
  <c r="O211" i="35"/>
  <c r="O212" i="35"/>
  <c r="O213" i="35"/>
  <c r="O214" i="35"/>
  <c r="O215" i="35"/>
  <c r="O216" i="35"/>
  <c r="O217" i="35"/>
  <c r="O218" i="35"/>
  <c r="O219" i="35"/>
  <c r="O220" i="35"/>
  <c r="O221" i="35"/>
  <c r="O222" i="35"/>
  <c r="O223" i="35"/>
  <c r="O224" i="35"/>
  <c r="O225" i="35"/>
  <c r="O226" i="35"/>
  <c r="O227" i="35"/>
  <c r="O228" i="35"/>
  <c r="O229" i="35"/>
  <c r="O230" i="35"/>
  <c r="O231" i="35"/>
  <c r="O232" i="35"/>
  <c r="O233" i="35"/>
  <c r="O234" i="35"/>
  <c r="O235" i="35"/>
  <c r="O236" i="35"/>
  <c r="O237" i="35"/>
  <c r="O238" i="35"/>
  <c r="O239" i="35"/>
  <c r="O240" i="35"/>
  <c r="O241" i="35"/>
  <c r="O242" i="35"/>
  <c r="O243" i="35"/>
  <c r="O244" i="35"/>
  <c r="O245" i="35"/>
  <c r="O246" i="35"/>
  <c r="O247" i="35"/>
  <c r="O248" i="35"/>
  <c r="O249" i="35"/>
  <c r="O250" i="35"/>
  <c r="O251" i="35"/>
  <c r="O252" i="35"/>
  <c r="O253" i="35"/>
  <c r="O254" i="35"/>
  <c r="O255" i="35"/>
  <c r="O256" i="35"/>
  <c r="O257" i="35"/>
  <c r="O258" i="35"/>
  <c r="O259" i="35"/>
  <c r="O260" i="35"/>
  <c r="O261" i="35"/>
  <c r="O262" i="35"/>
  <c r="O263" i="35"/>
  <c r="O264" i="35"/>
  <c r="O265" i="35"/>
  <c r="O266" i="35"/>
  <c r="O267" i="35"/>
  <c r="O268" i="35"/>
  <c r="O269" i="35"/>
  <c r="O270" i="35"/>
  <c r="O271" i="35"/>
  <c r="O272" i="35"/>
  <c r="O273" i="35"/>
  <c r="O274" i="35"/>
  <c r="O275" i="35"/>
  <c r="O276" i="35"/>
  <c r="O277" i="35"/>
  <c r="O278" i="35"/>
  <c r="O279" i="35"/>
  <c r="O280" i="35"/>
  <c r="O281" i="35"/>
  <c r="O282" i="35"/>
  <c r="O283" i="35"/>
  <c r="O284" i="35"/>
  <c r="O285" i="35"/>
  <c r="O286" i="35"/>
  <c r="O287" i="35"/>
  <c r="O288" i="35"/>
  <c r="O289" i="35"/>
  <c r="O290" i="35"/>
  <c r="O291" i="35"/>
  <c r="O292" i="35"/>
  <c r="O293" i="35"/>
  <c r="O294" i="35"/>
  <c r="O295" i="35"/>
  <c r="O296" i="35"/>
  <c r="O297" i="35"/>
  <c r="O298" i="35"/>
  <c r="O299" i="35"/>
  <c r="O300" i="35"/>
  <c r="O301" i="35"/>
  <c r="O302" i="35"/>
  <c r="O303" i="35"/>
  <c r="O304" i="35"/>
  <c r="O305" i="35"/>
  <c r="O306" i="35"/>
  <c r="O307" i="35"/>
  <c r="O308" i="35"/>
  <c r="O309" i="35"/>
  <c r="O310" i="35"/>
  <c r="O311" i="35"/>
  <c r="O312" i="35"/>
  <c r="O313" i="35"/>
  <c r="O314" i="35"/>
  <c r="O315" i="35"/>
  <c r="O316" i="35"/>
  <c r="O317" i="35"/>
  <c r="O318" i="35"/>
  <c r="O319" i="35"/>
  <c r="O320" i="35"/>
  <c r="O321" i="35"/>
  <c r="O322" i="35"/>
  <c r="O323" i="35"/>
  <c r="O324" i="35"/>
  <c r="O325" i="35"/>
  <c r="O326" i="35"/>
  <c r="O327" i="35"/>
  <c r="O328" i="35"/>
  <c r="O329" i="35"/>
  <c r="O330" i="35"/>
  <c r="O331" i="35"/>
  <c r="O332" i="35"/>
  <c r="O333" i="35"/>
  <c r="O334" i="35"/>
  <c r="O335" i="35"/>
  <c r="O336" i="35"/>
  <c r="O337" i="35"/>
  <c r="O338" i="35"/>
  <c r="O339" i="35"/>
  <c r="O340" i="35"/>
  <c r="O341" i="35"/>
  <c r="O342" i="35"/>
  <c r="O343" i="35"/>
  <c r="O344" i="35"/>
  <c r="O345" i="35"/>
  <c r="O346" i="35"/>
  <c r="O347" i="35"/>
  <c r="O348" i="35"/>
  <c r="O349" i="35"/>
  <c r="O350" i="35"/>
  <c r="O351" i="35"/>
  <c r="O352" i="35"/>
  <c r="O353" i="35"/>
  <c r="O354" i="35"/>
  <c r="O355" i="35"/>
  <c r="O356" i="35"/>
  <c r="O357" i="35"/>
  <c r="O358" i="35"/>
  <c r="O359" i="35"/>
  <c r="O360" i="35"/>
  <c r="O361" i="35"/>
  <c r="O362" i="35"/>
  <c r="O363" i="35"/>
  <c r="O364" i="35"/>
  <c r="O365" i="35"/>
  <c r="O366" i="35"/>
  <c r="O367" i="35"/>
  <c r="O368" i="35"/>
  <c r="O369" i="35"/>
  <c r="O370" i="35"/>
  <c r="O371" i="35"/>
  <c r="O372" i="35"/>
  <c r="O373" i="35"/>
  <c r="O374" i="35"/>
  <c r="O375" i="35"/>
  <c r="O376" i="35"/>
  <c r="O377" i="35"/>
  <c r="O378" i="35"/>
  <c r="O379" i="35"/>
  <c r="O380" i="35"/>
  <c r="O381" i="35"/>
  <c r="O382" i="35"/>
  <c r="O383" i="35"/>
  <c r="O384" i="35"/>
  <c r="O385" i="35"/>
  <c r="O386" i="35"/>
  <c r="O387" i="35"/>
  <c r="O388" i="35"/>
  <c r="O389" i="35"/>
  <c r="O390" i="35"/>
  <c r="O391" i="35"/>
  <c r="O392" i="35"/>
  <c r="O393" i="35"/>
  <c r="O394" i="35"/>
  <c r="O395" i="35"/>
  <c r="O396" i="35"/>
  <c r="O397" i="35"/>
  <c r="O398" i="35"/>
  <c r="O399" i="35"/>
  <c r="O400" i="35"/>
  <c r="O401" i="35"/>
  <c r="O402" i="35"/>
  <c r="O403" i="35"/>
  <c r="O404" i="35"/>
  <c r="O405" i="35"/>
  <c r="O406" i="35"/>
  <c r="O407" i="35"/>
  <c r="O408" i="35"/>
  <c r="O409" i="35"/>
  <c r="O410" i="35"/>
  <c r="O411" i="35"/>
  <c r="O412" i="35"/>
  <c r="O413" i="35"/>
  <c r="O414" i="35"/>
  <c r="O415" i="35"/>
  <c r="O416" i="35"/>
  <c r="O417" i="35"/>
  <c r="O418" i="35"/>
  <c r="O419" i="35"/>
  <c r="O420" i="35"/>
  <c r="O421" i="35"/>
  <c r="O422" i="35"/>
  <c r="O423" i="35"/>
  <c r="O424" i="35"/>
  <c r="O425" i="35"/>
  <c r="O426" i="35"/>
  <c r="O427" i="35"/>
  <c r="O428" i="35"/>
  <c r="O429" i="35"/>
  <c r="O430" i="35"/>
  <c r="O431" i="35"/>
  <c r="O432" i="35"/>
  <c r="O433" i="35"/>
  <c r="O434" i="35"/>
  <c r="O435" i="35"/>
  <c r="O436" i="35"/>
  <c r="O437" i="35"/>
  <c r="O438" i="35"/>
  <c r="O439" i="35"/>
  <c r="O440" i="35"/>
  <c r="O441" i="35"/>
  <c r="O442" i="35"/>
  <c r="O443" i="35"/>
  <c r="O444" i="35"/>
  <c r="O445" i="35"/>
  <c r="O446" i="35"/>
  <c r="O447" i="35"/>
  <c r="O448" i="35"/>
  <c r="O449" i="35"/>
  <c r="O450" i="35"/>
  <c r="O451" i="35"/>
  <c r="O452" i="35"/>
  <c r="O453" i="35"/>
  <c r="O454" i="35"/>
  <c r="O455" i="35"/>
  <c r="O456" i="35"/>
  <c r="O457" i="35"/>
  <c r="O458" i="35"/>
  <c r="O459" i="35"/>
  <c r="O460" i="35"/>
  <c r="O461" i="35"/>
  <c r="O462" i="35"/>
  <c r="O463" i="35"/>
  <c r="O464" i="35"/>
  <c r="O465" i="35"/>
  <c r="O466" i="35"/>
  <c r="O467" i="35"/>
  <c r="O468" i="35"/>
  <c r="O469" i="35"/>
  <c r="O470" i="35"/>
  <c r="O471" i="35"/>
  <c r="O472" i="35"/>
  <c r="O473" i="35"/>
  <c r="O474" i="35"/>
  <c r="O475" i="35"/>
  <c r="O476" i="35"/>
  <c r="O477" i="35"/>
  <c r="O478" i="35"/>
  <c r="O479" i="35"/>
  <c r="O480" i="35"/>
  <c r="O481" i="35"/>
  <c r="O482" i="35"/>
  <c r="O483" i="35"/>
  <c r="O484" i="35"/>
  <c r="O485" i="35"/>
  <c r="O486" i="35"/>
  <c r="O487" i="35"/>
  <c r="O488" i="35"/>
  <c r="O489" i="35"/>
  <c r="O490" i="35"/>
  <c r="O491" i="35"/>
  <c r="O492" i="35"/>
  <c r="O493" i="35"/>
  <c r="O494" i="35"/>
  <c r="O495" i="35"/>
  <c r="O496" i="35"/>
  <c r="O497" i="35"/>
  <c r="O498" i="35"/>
  <c r="O499" i="35"/>
  <c r="O500" i="35"/>
  <c r="O2" i="35"/>
  <c r="O27" i="48"/>
  <c r="O26" i="48"/>
  <c r="O25" i="48"/>
  <c r="O24" i="48"/>
  <c r="O23" i="48"/>
  <c r="O22" i="48"/>
  <c r="O21" i="48"/>
  <c r="O20" i="48"/>
  <c r="Q3" i="16"/>
  <c r="Q4" i="16"/>
  <c r="Q5" i="16"/>
  <c r="Q6" i="16"/>
  <c r="Q7" i="16"/>
  <c r="Q8" i="16"/>
  <c r="Q9" i="16"/>
  <c r="Q10" i="16"/>
  <c r="Q11" i="16"/>
  <c r="Q12" i="16"/>
  <c r="Q13" i="16"/>
  <c r="Q14" i="16"/>
  <c r="Q15" i="16"/>
  <c r="Q16" i="16"/>
  <c r="Q17" i="16"/>
  <c r="Q18" i="16"/>
  <c r="Q19" i="16"/>
  <c r="Q20" i="16"/>
  <c r="Q21" i="16"/>
  <c r="Q22" i="16"/>
  <c r="Q23" i="16"/>
  <c r="Q24" i="16"/>
  <c r="Q25" i="16"/>
  <c r="Q26" i="16"/>
  <c r="Q27" i="16"/>
  <c r="Q28" i="16"/>
  <c r="Q29" i="16"/>
  <c r="Q30" i="16"/>
  <c r="Q31" i="16"/>
  <c r="Q32" i="16"/>
  <c r="Q33" i="16"/>
  <c r="Q34" i="16"/>
  <c r="Q35" i="16"/>
  <c r="Q36" i="16"/>
  <c r="Q37" i="16"/>
  <c r="Q38" i="16"/>
  <c r="Q39" i="16"/>
  <c r="Q40" i="16"/>
  <c r="Q41" i="16"/>
  <c r="Q42" i="16"/>
  <c r="Q43" i="16"/>
  <c r="Q44" i="16"/>
  <c r="Q45" i="16"/>
  <c r="Q46" i="16"/>
  <c r="Q47" i="16"/>
  <c r="Q48" i="16"/>
  <c r="Q49" i="16"/>
  <c r="Q50" i="16"/>
  <c r="Q51" i="16"/>
  <c r="Q52" i="16"/>
  <c r="Q53" i="16"/>
  <c r="Q54" i="16"/>
  <c r="Q55" i="16"/>
  <c r="Q56" i="16"/>
  <c r="Q57" i="16"/>
  <c r="Q58" i="16"/>
  <c r="Q59" i="16"/>
  <c r="Q60" i="16"/>
  <c r="Q61" i="16"/>
  <c r="Q62" i="16"/>
  <c r="Q63" i="16"/>
  <c r="Q64" i="16"/>
  <c r="Q65" i="16"/>
  <c r="Q66" i="16"/>
  <c r="Q67" i="16"/>
  <c r="Q68" i="16"/>
  <c r="Q69" i="16"/>
  <c r="Q70" i="16"/>
  <c r="Q71" i="16"/>
  <c r="Q72" i="16"/>
  <c r="Q73" i="16"/>
  <c r="Q74" i="16"/>
  <c r="Q75" i="16"/>
  <c r="Q76" i="16"/>
  <c r="Q77" i="16"/>
  <c r="Q78" i="16"/>
  <c r="Q79" i="16"/>
  <c r="Q80" i="16"/>
  <c r="Q81" i="16"/>
  <c r="Q82" i="16"/>
  <c r="Q83" i="16"/>
  <c r="Q84" i="16"/>
  <c r="Q85" i="16"/>
  <c r="Q86" i="16"/>
  <c r="Q87" i="16"/>
  <c r="Q88" i="16"/>
  <c r="Q89" i="16"/>
  <c r="Q90" i="16"/>
  <c r="Q91" i="16"/>
  <c r="Q92" i="16"/>
  <c r="Q93" i="16"/>
  <c r="Q94" i="16"/>
  <c r="Q95" i="16"/>
  <c r="Q96" i="16"/>
  <c r="Q97" i="16"/>
  <c r="Q98" i="16"/>
  <c r="Q99" i="16"/>
  <c r="Q100" i="16"/>
  <c r="Q101" i="16"/>
  <c r="Q102" i="16"/>
  <c r="Q103" i="16"/>
  <c r="Q104" i="16"/>
  <c r="Q105" i="16"/>
  <c r="Q106" i="16"/>
  <c r="Q107" i="16"/>
  <c r="Q108" i="16"/>
  <c r="Q109" i="16"/>
  <c r="Q110" i="16"/>
  <c r="Q111" i="16"/>
  <c r="Q112" i="16"/>
  <c r="Q113" i="16"/>
  <c r="Q114" i="16"/>
  <c r="Q115" i="16"/>
  <c r="Q116" i="16"/>
  <c r="Q117" i="16"/>
  <c r="Q118" i="16"/>
  <c r="Q119" i="16"/>
  <c r="Q120" i="16"/>
  <c r="Q121" i="16"/>
  <c r="Q122" i="16"/>
  <c r="Q123" i="16"/>
  <c r="P3" i="16"/>
  <c r="P4" i="16"/>
  <c r="P5" i="16"/>
  <c r="P6" i="16"/>
  <c r="P7" i="16"/>
  <c r="P8" i="16"/>
  <c r="P9" i="16"/>
  <c r="P10" i="16"/>
  <c r="P11" i="16"/>
  <c r="P12" i="16"/>
  <c r="P13" i="16"/>
  <c r="P14" i="16"/>
  <c r="P15" i="16"/>
  <c r="P16" i="16"/>
  <c r="P17" i="16"/>
  <c r="P18" i="16"/>
  <c r="P19" i="16"/>
  <c r="P20" i="16"/>
  <c r="P21" i="16"/>
  <c r="P22" i="16"/>
  <c r="P23" i="16"/>
  <c r="P24" i="16"/>
  <c r="P25" i="16"/>
  <c r="P26" i="16"/>
  <c r="P27" i="16"/>
  <c r="P28" i="16"/>
  <c r="P29" i="16"/>
  <c r="P30" i="16"/>
  <c r="P31" i="16"/>
  <c r="P32" i="16"/>
  <c r="P33" i="16"/>
  <c r="P34" i="16"/>
  <c r="P35" i="16"/>
  <c r="P36" i="16"/>
  <c r="P37" i="16"/>
  <c r="P38" i="16"/>
  <c r="P39" i="16"/>
  <c r="P40" i="16"/>
  <c r="P41" i="16"/>
  <c r="P42" i="16"/>
  <c r="P43" i="16"/>
  <c r="P44" i="16"/>
  <c r="P45" i="16"/>
  <c r="P46" i="16"/>
  <c r="P47" i="16"/>
  <c r="P48" i="16"/>
  <c r="P49" i="16"/>
  <c r="P50" i="16"/>
  <c r="P51" i="16"/>
  <c r="P52" i="16"/>
  <c r="P53" i="16"/>
  <c r="P54" i="16"/>
  <c r="P55" i="16"/>
  <c r="P56" i="16"/>
  <c r="P57" i="16"/>
  <c r="P58" i="16"/>
  <c r="P59" i="16"/>
  <c r="P60" i="16"/>
  <c r="P61" i="16"/>
  <c r="P62" i="16"/>
  <c r="P63" i="16"/>
  <c r="P64" i="16"/>
  <c r="P65" i="16"/>
  <c r="P66" i="16"/>
  <c r="P67" i="16"/>
  <c r="P68" i="16"/>
  <c r="P69" i="16"/>
  <c r="P70" i="16"/>
  <c r="P71" i="16"/>
  <c r="P72" i="16"/>
  <c r="P73" i="16"/>
  <c r="P74" i="16"/>
  <c r="P75" i="16"/>
  <c r="P76" i="16"/>
  <c r="P77" i="16"/>
  <c r="P78" i="16"/>
  <c r="P79" i="16"/>
  <c r="P80" i="16"/>
  <c r="P81" i="16"/>
  <c r="P82" i="16"/>
  <c r="P83" i="16"/>
  <c r="P84" i="16"/>
  <c r="P85" i="16"/>
  <c r="P86" i="16"/>
  <c r="P87" i="16"/>
  <c r="P88" i="16"/>
  <c r="P89" i="16"/>
  <c r="P90" i="16"/>
  <c r="P91" i="16"/>
  <c r="P92" i="16"/>
  <c r="P93" i="16"/>
  <c r="P94" i="16"/>
  <c r="P95" i="16"/>
  <c r="P96" i="16"/>
  <c r="P97" i="16"/>
  <c r="P98" i="16"/>
  <c r="P99" i="16"/>
  <c r="P100" i="16"/>
  <c r="P101" i="16"/>
  <c r="P102" i="16"/>
  <c r="P103" i="16"/>
  <c r="P104" i="16"/>
  <c r="P105" i="16"/>
  <c r="P106" i="16"/>
  <c r="P107" i="16"/>
  <c r="P108" i="16"/>
  <c r="P109" i="16"/>
  <c r="P110" i="16"/>
  <c r="P111" i="16"/>
  <c r="P112" i="16"/>
  <c r="P113" i="16"/>
  <c r="P114" i="16"/>
  <c r="P115" i="16"/>
  <c r="P116" i="16"/>
  <c r="P117" i="16"/>
  <c r="P118" i="16"/>
  <c r="P119" i="16"/>
  <c r="P120" i="16"/>
  <c r="P121" i="16"/>
  <c r="P122" i="16"/>
  <c r="P123" i="16"/>
  <c r="Q2" i="16"/>
  <c r="P2" i="16"/>
  <c r="C26" i="20"/>
  <c r="C25" i="20"/>
  <c r="C24" i="20"/>
  <c r="C23" i="20"/>
  <c r="C22" i="20"/>
  <c r="C21" i="20"/>
  <c r="C20" i="20"/>
  <c r="C19" i="20"/>
  <c r="C18" i="20"/>
  <c r="C17" i="20"/>
  <c r="C16" i="20"/>
  <c r="C15" i="20"/>
  <c r="C14" i="20"/>
  <c r="C13" i="20"/>
  <c r="C12" i="20"/>
  <c r="C11" i="20"/>
  <c r="C10" i="20"/>
  <c r="C9" i="20"/>
  <c r="C8" i="20"/>
  <c r="C7" i="20"/>
  <c r="C6" i="20"/>
  <c r="T123" i="16"/>
  <c r="AP22" i="18"/>
  <c r="AO22" i="18"/>
  <c r="AN22" i="18"/>
  <c r="AM22" i="18"/>
  <c r="AL22" i="18"/>
  <c r="AK22" i="18"/>
  <c r="AJ22" i="18"/>
  <c r="AI22" i="18"/>
  <c r="AH22" i="18"/>
  <c r="AG22" i="18"/>
  <c r="AP20" i="18"/>
  <c r="AO20" i="18"/>
  <c r="AN20" i="18"/>
  <c r="AM20" i="18"/>
  <c r="AL20" i="18"/>
  <c r="AK20" i="18"/>
  <c r="AJ20" i="18"/>
  <c r="AI20" i="18"/>
  <c r="AH20" i="18"/>
  <c r="AG20" i="18"/>
  <c r="C119" i="27" l="1"/>
  <c r="N153" i="27"/>
  <c r="M153" i="27"/>
  <c r="L153" i="27"/>
  <c r="K153" i="27"/>
  <c r="J153" i="27"/>
  <c r="I153" i="27"/>
  <c r="H153" i="27"/>
  <c r="G153" i="27"/>
  <c r="F153" i="27"/>
  <c r="E153" i="27"/>
  <c r="D153" i="27"/>
  <c r="C153" i="27"/>
  <c r="N152" i="27"/>
  <c r="M152" i="27"/>
  <c r="L152" i="27"/>
  <c r="K152" i="27"/>
  <c r="J152" i="27"/>
  <c r="I152" i="27"/>
  <c r="H152" i="27"/>
  <c r="G152" i="27"/>
  <c r="F152" i="27"/>
  <c r="E152" i="27"/>
  <c r="D152" i="27"/>
  <c r="C152" i="27"/>
  <c r="N151" i="27"/>
  <c r="M151" i="27"/>
  <c r="L151" i="27"/>
  <c r="K151" i="27"/>
  <c r="J151" i="27"/>
  <c r="I151" i="27"/>
  <c r="H151" i="27"/>
  <c r="G151" i="27"/>
  <c r="F151" i="27"/>
  <c r="E151" i="27"/>
  <c r="D151" i="27"/>
  <c r="C151" i="27"/>
  <c r="N150" i="27"/>
  <c r="M150" i="27"/>
  <c r="L150" i="27"/>
  <c r="K150" i="27"/>
  <c r="J150" i="27"/>
  <c r="I150" i="27"/>
  <c r="H150" i="27"/>
  <c r="G150" i="27"/>
  <c r="F150" i="27"/>
  <c r="E150" i="27"/>
  <c r="D150" i="27"/>
  <c r="C150" i="27"/>
  <c r="N149" i="27"/>
  <c r="M149" i="27"/>
  <c r="L149" i="27"/>
  <c r="K149" i="27"/>
  <c r="J149" i="27"/>
  <c r="I149" i="27"/>
  <c r="H149" i="27"/>
  <c r="G149" i="27"/>
  <c r="F149" i="27"/>
  <c r="E149" i="27"/>
  <c r="D149" i="27"/>
  <c r="C149" i="27"/>
  <c r="N148" i="27"/>
  <c r="M148" i="27"/>
  <c r="L148" i="27"/>
  <c r="K148" i="27"/>
  <c r="J148" i="27"/>
  <c r="I148" i="27"/>
  <c r="H148" i="27"/>
  <c r="G148" i="27"/>
  <c r="F148" i="27"/>
  <c r="E148" i="27"/>
  <c r="D148" i="27"/>
  <c r="C148" i="27"/>
  <c r="N147" i="27"/>
  <c r="M147" i="27"/>
  <c r="L147" i="27"/>
  <c r="K147" i="27"/>
  <c r="J147" i="27"/>
  <c r="I147" i="27"/>
  <c r="H147" i="27"/>
  <c r="G147" i="27"/>
  <c r="F147" i="27"/>
  <c r="E147" i="27"/>
  <c r="D147" i="27"/>
  <c r="C147" i="27"/>
  <c r="N146" i="27"/>
  <c r="M146" i="27"/>
  <c r="L146" i="27"/>
  <c r="K146" i="27"/>
  <c r="J146" i="27"/>
  <c r="I146" i="27"/>
  <c r="H146" i="27"/>
  <c r="G146" i="27"/>
  <c r="F146" i="27"/>
  <c r="E146" i="27"/>
  <c r="D146" i="27"/>
  <c r="C146" i="27"/>
  <c r="N145" i="27"/>
  <c r="M145" i="27"/>
  <c r="L145" i="27"/>
  <c r="K145" i="27"/>
  <c r="J145" i="27"/>
  <c r="I145" i="27"/>
  <c r="H145" i="27"/>
  <c r="G145" i="27"/>
  <c r="F145" i="27"/>
  <c r="E145" i="27"/>
  <c r="D145" i="27"/>
  <c r="C145" i="27"/>
  <c r="N144" i="27"/>
  <c r="M144" i="27"/>
  <c r="L144" i="27"/>
  <c r="K144" i="27"/>
  <c r="J144" i="27"/>
  <c r="I144" i="27"/>
  <c r="H144" i="27"/>
  <c r="G144" i="27"/>
  <c r="F144" i="27"/>
  <c r="E144" i="27"/>
  <c r="D144" i="27"/>
  <c r="C144" i="27"/>
  <c r="N143" i="27"/>
  <c r="M143" i="27"/>
  <c r="L143" i="27"/>
  <c r="K143" i="27"/>
  <c r="J143" i="27"/>
  <c r="I143" i="27"/>
  <c r="H143" i="27"/>
  <c r="G143" i="27"/>
  <c r="F143" i="27"/>
  <c r="E143" i="27"/>
  <c r="D143" i="27"/>
  <c r="C143" i="27"/>
  <c r="N142" i="27"/>
  <c r="M142" i="27"/>
  <c r="L142" i="27"/>
  <c r="K142" i="27"/>
  <c r="J142" i="27"/>
  <c r="I142" i="27"/>
  <c r="H142" i="27"/>
  <c r="G142" i="27"/>
  <c r="F142" i="27"/>
  <c r="E142" i="27"/>
  <c r="D142" i="27"/>
  <c r="C142" i="27"/>
  <c r="N141" i="27"/>
  <c r="M141" i="27"/>
  <c r="L141" i="27"/>
  <c r="K141" i="27"/>
  <c r="J141" i="27"/>
  <c r="I141" i="27"/>
  <c r="H141" i="27"/>
  <c r="G141" i="27"/>
  <c r="F141" i="27"/>
  <c r="E141" i="27"/>
  <c r="D141" i="27"/>
  <c r="C141" i="27"/>
  <c r="N140" i="27"/>
  <c r="M140" i="27"/>
  <c r="L140" i="27"/>
  <c r="K140" i="27"/>
  <c r="J140" i="27"/>
  <c r="I140" i="27"/>
  <c r="H140" i="27"/>
  <c r="G140" i="27"/>
  <c r="F140" i="27"/>
  <c r="E140" i="27"/>
  <c r="D140" i="27"/>
  <c r="C140" i="27"/>
  <c r="N139" i="27"/>
  <c r="M139" i="27"/>
  <c r="L139" i="27"/>
  <c r="K139" i="27"/>
  <c r="J139" i="27"/>
  <c r="I139" i="27"/>
  <c r="H139" i="27"/>
  <c r="G139" i="27"/>
  <c r="F139" i="27"/>
  <c r="E139" i="27"/>
  <c r="D139" i="27"/>
  <c r="C139" i="27"/>
  <c r="N138" i="27"/>
  <c r="M138" i="27"/>
  <c r="L138" i="27"/>
  <c r="K138" i="27"/>
  <c r="J138" i="27"/>
  <c r="I138" i="27"/>
  <c r="H138" i="27"/>
  <c r="G138" i="27"/>
  <c r="F138" i="27"/>
  <c r="E138" i="27"/>
  <c r="D138" i="27"/>
  <c r="C138" i="27"/>
  <c r="N134" i="27"/>
  <c r="M134" i="27"/>
  <c r="L134" i="27"/>
  <c r="K134" i="27"/>
  <c r="J134" i="27"/>
  <c r="I134" i="27"/>
  <c r="H134" i="27"/>
  <c r="G134" i="27"/>
  <c r="F134" i="27"/>
  <c r="E134" i="27"/>
  <c r="D134" i="27"/>
  <c r="C134" i="27"/>
  <c r="N133" i="27"/>
  <c r="M133" i="27"/>
  <c r="L133" i="27"/>
  <c r="K133" i="27"/>
  <c r="J133" i="27"/>
  <c r="I133" i="27"/>
  <c r="H133" i="27"/>
  <c r="G133" i="27"/>
  <c r="F133" i="27"/>
  <c r="E133" i="27"/>
  <c r="D133" i="27"/>
  <c r="C133" i="27"/>
  <c r="N132" i="27"/>
  <c r="M132" i="27"/>
  <c r="L132" i="27"/>
  <c r="K132" i="27"/>
  <c r="J132" i="27"/>
  <c r="I132" i="27"/>
  <c r="H132" i="27"/>
  <c r="G132" i="27"/>
  <c r="F132" i="27"/>
  <c r="E132" i="27"/>
  <c r="D132" i="27"/>
  <c r="C132" i="27"/>
  <c r="N131" i="27"/>
  <c r="M131" i="27"/>
  <c r="L131" i="27"/>
  <c r="K131" i="27"/>
  <c r="J131" i="27"/>
  <c r="I131" i="27"/>
  <c r="H131" i="27"/>
  <c r="G131" i="27"/>
  <c r="F131" i="27"/>
  <c r="E131" i="27"/>
  <c r="D131" i="27"/>
  <c r="C131" i="27"/>
  <c r="N130" i="27"/>
  <c r="M130" i="27"/>
  <c r="L130" i="27"/>
  <c r="K130" i="27"/>
  <c r="J130" i="27"/>
  <c r="I130" i="27"/>
  <c r="H130" i="27"/>
  <c r="G130" i="27"/>
  <c r="F130" i="27"/>
  <c r="E130" i="27"/>
  <c r="D130" i="27"/>
  <c r="C130" i="27"/>
  <c r="N129" i="27"/>
  <c r="M129" i="27"/>
  <c r="L129" i="27"/>
  <c r="K129" i="27"/>
  <c r="J129" i="27"/>
  <c r="I129" i="27"/>
  <c r="H129" i="27"/>
  <c r="G129" i="27"/>
  <c r="F129" i="27"/>
  <c r="E129" i="27"/>
  <c r="D129" i="27"/>
  <c r="C129" i="27"/>
  <c r="N128" i="27"/>
  <c r="M128" i="27"/>
  <c r="L128" i="27"/>
  <c r="K128" i="27"/>
  <c r="J128" i="27"/>
  <c r="I128" i="27"/>
  <c r="H128" i="27"/>
  <c r="G128" i="27"/>
  <c r="F128" i="27"/>
  <c r="E128" i="27"/>
  <c r="D128" i="27"/>
  <c r="C128" i="27"/>
  <c r="N127" i="27"/>
  <c r="M127" i="27"/>
  <c r="L127" i="27"/>
  <c r="K127" i="27"/>
  <c r="J127" i="27"/>
  <c r="I127" i="27"/>
  <c r="H127" i="27"/>
  <c r="G127" i="27"/>
  <c r="F127" i="27"/>
  <c r="E127" i="27"/>
  <c r="D127" i="27"/>
  <c r="C127" i="27"/>
  <c r="N126" i="27"/>
  <c r="M126" i="27"/>
  <c r="L126" i="27"/>
  <c r="K126" i="27"/>
  <c r="J126" i="27"/>
  <c r="I126" i="27"/>
  <c r="H126" i="27"/>
  <c r="G126" i="27"/>
  <c r="F126" i="27"/>
  <c r="E126" i="27"/>
  <c r="D126" i="27"/>
  <c r="C126" i="27"/>
  <c r="N125" i="27"/>
  <c r="M125" i="27"/>
  <c r="L125" i="27"/>
  <c r="K125" i="27"/>
  <c r="J125" i="27"/>
  <c r="I125" i="27"/>
  <c r="H125" i="27"/>
  <c r="G125" i="27"/>
  <c r="F125" i="27"/>
  <c r="E125" i="27"/>
  <c r="D125" i="27"/>
  <c r="C125" i="27"/>
  <c r="N124" i="27"/>
  <c r="M124" i="27"/>
  <c r="L124" i="27"/>
  <c r="K124" i="27"/>
  <c r="J124" i="27"/>
  <c r="I124" i="27"/>
  <c r="H124" i="27"/>
  <c r="G124" i="27"/>
  <c r="F124" i="27"/>
  <c r="E124" i="27"/>
  <c r="D124" i="27"/>
  <c r="C124" i="27"/>
  <c r="N123" i="27"/>
  <c r="M123" i="27"/>
  <c r="L123" i="27"/>
  <c r="K123" i="27"/>
  <c r="J123" i="27"/>
  <c r="I123" i="27"/>
  <c r="H123" i="27"/>
  <c r="G123" i="27"/>
  <c r="F123" i="27"/>
  <c r="E123" i="27"/>
  <c r="D123" i="27"/>
  <c r="C123" i="27"/>
  <c r="N122" i="27"/>
  <c r="M122" i="27"/>
  <c r="L122" i="27"/>
  <c r="K122" i="27"/>
  <c r="J122" i="27"/>
  <c r="I122" i="27"/>
  <c r="H122" i="27"/>
  <c r="G122" i="27"/>
  <c r="F122" i="27"/>
  <c r="E122" i="27"/>
  <c r="D122" i="27"/>
  <c r="C122" i="27"/>
  <c r="N121" i="27"/>
  <c r="M121" i="27"/>
  <c r="L121" i="27"/>
  <c r="K121" i="27"/>
  <c r="J121" i="27"/>
  <c r="I121" i="27"/>
  <c r="H121" i="27"/>
  <c r="G121" i="27"/>
  <c r="F121" i="27"/>
  <c r="E121" i="27"/>
  <c r="D121" i="27"/>
  <c r="C121" i="27"/>
  <c r="N120" i="27"/>
  <c r="M120" i="27"/>
  <c r="L120" i="27"/>
  <c r="K120" i="27"/>
  <c r="J120" i="27"/>
  <c r="I120" i="27"/>
  <c r="H120" i="27"/>
  <c r="G120" i="27"/>
  <c r="F120" i="27"/>
  <c r="E120" i="27"/>
  <c r="D120" i="27"/>
  <c r="C120" i="27"/>
  <c r="N119" i="27"/>
  <c r="M119" i="27"/>
  <c r="L119" i="27"/>
  <c r="K119" i="27"/>
  <c r="J119" i="27"/>
  <c r="I119" i="27"/>
  <c r="H119" i="27"/>
  <c r="G119" i="27"/>
  <c r="F119" i="27"/>
  <c r="E119" i="27"/>
  <c r="D119" i="27"/>
  <c r="C109" i="27"/>
  <c r="C108" i="27"/>
  <c r="C107" i="27"/>
  <c r="C106" i="27"/>
  <c r="C105" i="27"/>
  <c r="C104" i="27"/>
  <c r="C103" i="27"/>
  <c r="C102" i="27"/>
  <c r="C101" i="27"/>
  <c r="C100" i="27"/>
  <c r="N115" i="27"/>
  <c r="M115" i="27"/>
  <c r="L115" i="27"/>
  <c r="K115" i="27"/>
  <c r="J115" i="27"/>
  <c r="I115" i="27"/>
  <c r="H115" i="27"/>
  <c r="G115" i="27"/>
  <c r="F115" i="27"/>
  <c r="E115" i="27"/>
  <c r="D115" i="27"/>
  <c r="C115" i="27"/>
  <c r="N114" i="27"/>
  <c r="M114" i="27"/>
  <c r="L114" i="27"/>
  <c r="K114" i="27"/>
  <c r="J114" i="27"/>
  <c r="I114" i="27"/>
  <c r="H114" i="27"/>
  <c r="G114" i="27"/>
  <c r="F114" i="27"/>
  <c r="E114" i="27"/>
  <c r="D114" i="27"/>
  <c r="C114" i="27"/>
  <c r="N113" i="27"/>
  <c r="M113" i="27"/>
  <c r="L113" i="27"/>
  <c r="K113" i="27"/>
  <c r="J113" i="27"/>
  <c r="I113" i="27"/>
  <c r="H113" i="27"/>
  <c r="G113" i="27"/>
  <c r="F113" i="27"/>
  <c r="E113" i="27"/>
  <c r="D113" i="27"/>
  <c r="C113" i="27"/>
  <c r="N112" i="27"/>
  <c r="M112" i="27"/>
  <c r="L112" i="27"/>
  <c r="K112" i="27"/>
  <c r="J112" i="27"/>
  <c r="I112" i="27"/>
  <c r="H112" i="27"/>
  <c r="G112" i="27"/>
  <c r="F112" i="27"/>
  <c r="E112" i="27"/>
  <c r="D112" i="27"/>
  <c r="C112" i="27"/>
  <c r="N111" i="27"/>
  <c r="M111" i="27"/>
  <c r="L111" i="27"/>
  <c r="K111" i="27"/>
  <c r="J111" i="27"/>
  <c r="I111" i="27"/>
  <c r="H111" i="27"/>
  <c r="G111" i="27"/>
  <c r="F111" i="27"/>
  <c r="E111" i="27"/>
  <c r="D111" i="27"/>
  <c r="C111" i="27"/>
  <c r="N110" i="27"/>
  <c r="M110" i="27"/>
  <c r="L110" i="27"/>
  <c r="K110" i="27"/>
  <c r="J110" i="27"/>
  <c r="I110" i="27"/>
  <c r="H110" i="27"/>
  <c r="G110" i="27"/>
  <c r="F110" i="27"/>
  <c r="E110" i="27"/>
  <c r="D110" i="27"/>
  <c r="C110" i="27"/>
  <c r="N109" i="27"/>
  <c r="M109" i="27"/>
  <c r="L109" i="27"/>
  <c r="K109" i="27"/>
  <c r="J109" i="27"/>
  <c r="I109" i="27"/>
  <c r="H109" i="27"/>
  <c r="G109" i="27"/>
  <c r="F109" i="27"/>
  <c r="E109" i="27"/>
  <c r="D109" i="27"/>
  <c r="N108" i="27"/>
  <c r="M108" i="27"/>
  <c r="L108" i="27"/>
  <c r="K108" i="27"/>
  <c r="J108" i="27"/>
  <c r="I108" i="27"/>
  <c r="H108" i="27"/>
  <c r="G108" i="27"/>
  <c r="F108" i="27"/>
  <c r="E108" i="27"/>
  <c r="D108" i="27"/>
  <c r="N107" i="27"/>
  <c r="M107" i="27"/>
  <c r="L107" i="27"/>
  <c r="K107" i="27"/>
  <c r="J107" i="27"/>
  <c r="I107" i="27"/>
  <c r="H107" i="27"/>
  <c r="G107" i="27"/>
  <c r="F107" i="27"/>
  <c r="E107" i="27"/>
  <c r="D107" i="27"/>
  <c r="N106" i="27"/>
  <c r="M106" i="27"/>
  <c r="L106" i="27"/>
  <c r="K106" i="27"/>
  <c r="J106" i="27"/>
  <c r="I106" i="27"/>
  <c r="H106" i="27"/>
  <c r="G106" i="27"/>
  <c r="F106" i="27"/>
  <c r="E106" i="27"/>
  <c r="D106" i="27"/>
  <c r="N105" i="27"/>
  <c r="M105" i="27"/>
  <c r="L105" i="27"/>
  <c r="K105" i="27"/>
  <c r="J105" i="27"/>
  <c r="I105" i="27"/>
  <c r="H105" i="27"/>
  <c r="G105" i="27"/>
  <c r="F105" i="27"/>
  <c r="E105" i="27"/>
  <c r="D105" i="27"/>
  <c r="N104" i="27"/>
  <c r="M104" i="27"/>
  <c r="L104" i="27"/>
  <c r="K104" i="27"/>
  <c r="J104" i="27"/>
  <c r="I104" i="27"/>
  <c r="H104" i="27"/>
  <c r="G104" i="27"/>
  <c r="F104" i="27"/>
  <c r="E104" i="27"/>
  <c r="D104" i="27"/>
  <c r="N103" i="27"/>
  <c r="M103" i="27"/>
  <c r="L103" i="27"/>
  <c r="K103" i="27"/>
  <c r="J103" i="27"/>
  <c r="I103" i="27"/>
  <c r="H103" i="27"/>
  <c r="G103" i="27"/>
  <c r="F103" i="27"/>
  <c r="E103" i="27"/>
  <c r="D103" i="27"/>
  <c r="N102" i="27"/>
  <c r="M102" i="27"/>
  <c r="L102" i="27"/>
  <c r="K102" i="27"/>
  <c r="J102" i="27"/>
  <c r="I102" i="27"/>
  <c r="H102" i="27"/>
  <c r="G102" i="27"/>
  <c r="F102" i="27"/>
  <c r="E102" i="27"/>
  <c r="D102" i="27"/>
  <c r="N101" i="27"/>
  <c r="M101" i="27"/>
  <c r="L101" i="27"/>
  <c r="K101" i="27"/>
  <c r="J101" i="27"/>
  <c r="I101" i="27"/>
  <c r="H101" i="27"/>
  <c r="G101" i="27"/>
  <c r="F101" i="27"/>
  <c r="E101" i="27"/>
  <c r="D101" i="27"/>
  <c r="N100" i="27"/>
  <c r="M100" i="27"/>
  <c r="L100" i="27"/>
  <c r="K100" i="27"/>
  <c r="J100" i="27"/>
  <c r="I100" i="27"/>
  <c r="H100" i="27"/>
  <c r="G100" i="27"/>
  <c r="F100" i="27"/>
  <c r="E100" i="27"/>
  <c r="D100" i="27"/>
  <c r="N96" i="27"/>
  <c r="M96" i="27"/>
  <c r="L96" i="27"/>
  <c r="K96" i="27"/>
  <c r="J96" i="27"/>
  <c r="I96" i="27"/>
  <c r="H96" i="27"/>
  <c r="G96" i="27"/>
  <c r="F96" i="27"/>
  <c r="E96" i="27"/>
  <c r="D96" i="27"/>
  <c r="C96" i="27"/>
  <c r="N95" i="27"/>
  <c r="M95" i="27"/>
  <c r="L95" i="27"/>
  <c r="K95" i="27"/>
  <c r="J95" i="27"/>
  <c r="I95" i="27"/>
  <c r="H95" i="27"/>
  <c r="G95" i="27"/>
  <c r="F95" i="27"/>
  <c r="E95" i="27"/>
  <c r="D95" i="27"/>
  <c r="C95" i="27"/>
  <c r="N94" i="27"/>
  <c r="M94" i="27"/>
  <c r="L94" i="27"/>
  <c r="K94" i="27"/>
  <c r="J94" i="27"/>
  <c r="I94" i="27"/>
  <c r="H94" i="27"/>
  <c r="G94" i="27"/>
  <c r="F94" i="27"/>
  <c r="E94" i="27"/>
  <c r="D94" i="27"/>
  <c r="C94" i="27"/>
  <c r="N93" i="27"/>
  <c r="M93" i="27"/>
  <c r="L93" i="27"/>
  <c r="K93" i="27"/>
  <c r="J93" i="27"/>
  <c r="I93" i="27"/>
  <c r="H93" i="27"/>
  <c r="G93" i="27"/>
  <c r="F93" i="27"/>
  <c r="E93" i="27"/>
  <c r="D93" i="27"/>
  <c r="C93" i="27"/>
  <c r="N92" i="27"/>
  <c r="M92" i="27"/>
  <c r="L92" i="27"/>
  <c r="K92" i="27"/>
  <c r="J92" i="27"/>
  <c r="I92" i="27"/>
  <c r="H92" i="27"/>
  <c r="G92" i="27"/>
  <c r="F92" i="27"/>
  <c r="E92" i="27"/>
  <c r="D92" i="27"/>
  <c r="C92" i="27"/>
  <c r="N91" i="27"/>
  <c r="M91" i="27"/>
  <c r="L91" i="27"/>
  <c r="K91" i="27"/>
  <c r="J91" i="27"/>
  <c r="I91" i="27"/>
  <c r="H91" i="27"/>
  <c r="G91" i="27"/>
  <c r="F91" i="27"/>
  <c r="E91" i="27"/>
  <c r="D91" i="27"/>
  <c r="C91" i="27"/>
  <c r="N90" i="27"/>
  <c r="M90" i="27"/>
  <c r="L90" i="27"/>
  <c r="K90" i="27"/>
  <c r="J90" i="27"/>
  <c r="I90" i="27"/>
  <c r="H90" i="27"/>
  <c r="G90" i="27"/>
  <c r="F90" i="27"/>
  <c r="E90" i="27"/>
  <c r="D90" i="27"/>
  <c r="C90" i="27"/>
  <c r="N89" i="27"/>
  <c r="M89" i="27"/>
  <c r="L89" i="27"/>
  <c r="K89" i="27"/>
  <c r="J89" i="27"/>
  <c r="I89" i="27"/>
  <c r="H89" i="27"/>
  <c r="G89" i="27"/>
  <c r="F89" i="27"/>
  <c r="E89" i="27"/>
  <c r="D89" i="27"/>
  <c r="C89" i="27"/>
  <c r="N88" i="27"/>
  <c r="M88" i="27"/>
  <c r="L88" i="27"/>
  <c r="K88" i="27"/>
  <c r="J88" i="27"/>
  <c r="I88" i="27"/>
  <c r="H88" i="27"/>
  <c r="G88" i="27"/>
  <c r="F88" i="27"/>
  <c r="E88" i="27"/>
  <c r="D88" i="27"/>
  <c r="C88" i="27"/>
  <c r="N87" i="27"/>
  <c r="M87" i="27"/>
  <c r="L87" i="27"/>
  <c r="K87" i="27"/>
  <c r="J87" i="27"/>
  <c r="I87" i="27"/>
  <c r="H87" i="27"/>
  <c r="G87" i="27"/>
  <c r="F87" i="27"/>
  <c r="E87" i="27"/>
  <c r="D87" i="27"/>
  <c r="C87" i="27"/>
  <c r="N86" i="27"/>
  <c r="M86" i="27"/>
  <c r="L86" i="27"/>
  <c r="K86" i="27"/>
  <c r="J86" i="27"/>
  <c r="I86" i="27"/>
  <c r="H86" i="27"/>
  <c r="G86" i="27"/>
  <c r="F86" i="27"/>
  <c r="E86" i="27"/>
  <c r="D86" i="27"/>
  <c r="C86" i="27"/>
  <c r="N85" i="27"/>
  <c r="M85" i="27"/>
  <c r="L85" i="27"/>
  <c r="K85" i="27"/>
  <c r="J85" i="27"/>
  <c r="I85" i="27"/>
  <c r="H85" i="27"/>
  <c r="G85" i="27"/>
  <c r="F85" i="27"/>
  <c r="E85" i="27"/>
  <c r="D85" i="27"/>
  <c r="C85" i="27"/>
  <c r="N84" i="27"/>
  <c r="M84" i="27"/>
  <c r="L84" i="27"/>
  <c r="K84" i="27"/>
  <c r="J84" i="27"/>
  <c r="I84" i="27"/>
  <c r="H84" i="27"/>
  <c r="G84" i="27"/>
  <c r="F84" i="27"/>
  <c r="E84" i="27"/>
  <c r="D84" i="27"/>
  <c r="C84" i="27"/>
  <c r="N83" i="27"/>
  <c r="M83" i="27"/>
  <c r="L83" i="27"/>
  <c r="K83" i="27"/>
  <c r="J83" i="27"/>
  <c r="I83" i="27"/>
  <c r="H83" i="27"/>
  <c r="G83" i="27"/>
  <c r="F83" i="27"/>
  <c r="E83" i="27"/>
  <c r="D83" i="27"/>
  <c r="C83" i="27"/>
  <c r="N82" i="27"/>
  <c r="M82" i="27"/>
  <c r="L82" i="27"/>
  <c r="K82" i="27"/>
  <c r="J82" i="27"/>
  <c r="I82" i="27"/>
  <c r="H82" i="27"/>
  <c r="G82" i="27"/>
  <c r="F82" i="27"/>
  <c r="E82" i="27"/>
  <c r="D82" i="27"/>
  <c r="C82" i="27"/>
  <c r="N81" i="27"/>
  <c r="M81" i="27"/>
  <c r="L81" i="27"/>
  <c r="K81" i="27"/>
  <c r="J81" i="27"/>
  <c r="I81" i="27"/>
  <c r="H81" i="27"/>
  <c r="G81" i="27"/>
  <c r="F81" i="27"/>
  <c r="E81" i="27"/>
  <c r="D81" i="27"/>
  <c r="C81" i="27"/>
  <c r="N77" i="27"/>
  <c r="M77" i="27"/>
  <c r="L77" i="27"/>
  <c r="K77" i="27"/>
  <c r="J77" i="27"/>
  <c r="I77" i="27"/>
  <c r="H77" i="27"/>
  <c r="G77" i="27"/>
  <c r="F77" i="27"/>
  <c r="E77" i="27"/>
  <c r="D77" i="27"/>
  <c r="C77" i="27"/>
  <c r="N76" i="27"/>
  <c r="M76" i="27"/>
  <c r="L76" i="27"/>
  <c r="K76" i="27"/>
  <c r="J76" i="27"/>
  <c r="I76" i="27"/>
  <c r="H76" i="27"/>
  <c r="G76" i="27"/>
  <c r="F76" i="27"/>
  <c r="E76" i="27"/>
  <c r="D76" i="27"/>
  <c r="C76" i="27"/>
  <c r="N75" i="27"/>
  <c r="M75" i="27"/>
  <c r="L75" i="27"/>
  <c r="K75" i="27"/>
  <c r="J75" i="27"/>
  <c r="I75" i="27"/>
  <c r="H75" i="27"/>
  <c r="G75" i="27"/>
  <c r="F75" i="27"/>
  <c r="E75" i="27"/>
  <c r="D75" i="27"/>
  <c r="C75" i="27"/>
  <c r="N74" i="27"/>
  <c r="M74" i="27"/>
  <c r="L74" i="27"/>
  <c r="K74" i="27"/>
  <c r="J74" i="27"/>
  <c r="I74" i="27"/>
  <c r="H74" i="27"/>
  <c r="G74" i="27"/>
  <c r="F74" i="27"/>
  <c r="E74" i="27"/>
  <c r="D74" i="27"/>
  <c r="C74" i="27"/>
  <c r="N73" i="27"/>
  <c r="M73" i="27"/>
  <c r="L73" i="27"/>
  <c r="K73" i="27"/>
  <c r="J73" i="27"/>
  <c r="I73" i="27"/>
  <c r="H73" i="27"/>
  <c r="G73" i="27"/>
  <c r="F73" i="27"/>
  <c r="E73" i="27"/>
  <c r="D73" i="27"/>
  <c r="C73" i="27"/>
  <c r="N72" i="27"/>
  <c r="M72" i="27"/>
  <c r="L72" i="27"/>
  <c r="K72" i="27"/>
  <c r="J72" i="27"/>
  <c r="I72" i="27"/>
  <c r="H72" i="27"/>
  <c r="G72" i="27"/>
  <c r="F72" i="27"/>
  <c r="E72" i="27"/>
  <c r="D72" i="27"/>
  <c r="C72" i="27"/>
  <c r="N71" i="27"/>
  <c r="M71" i="27"/>
  <c r="L71" i="27"/>
  <c r="K71" i="27"/>
  <c r="J71" i="27"/>
  <c r="I71" i="27"/>
  <c r="H71" i="27"/>
  <c r="G71" i="27"/>
  <c r="F71" i="27"/>
  <c r="E71" i="27"/>
  <c r="D71" i="27"/>
  <c r="C71" i="27"/>
  <c r="N70" i="27"/>
  <c r="M70" i="27"/>
  <c r="L70" i="27"/>
  <c r="K70" i="27"/>
  <c r="J70" i="27"/>
  <c r="I70" i="27"/>
  <c r="H70" i="27"/>
  <c r="G70" i="27"/>
  <c r="F70" i="27"/>
  <c r="E70" i="27"/>
  <c r="D70" i="27"/>
  <c r="C70" i="27"/>
  <c r="N69" i="27"/>
  <c r="M69" i="27"/>
  <c r="L69" i="27"/>
  <c r="K69" i="27"/>
  <c r="J69" i="27"/>
  <c r="I69" i="27"/>
  <c r="H69" i="27"/>
  <c r="G69" i="27"/>
  <c r="F69" i="27"/>
  <c r="E69" i="27"/>
  <c r="D69" i="27"/>
  <c r="C69" i="27"/>
  <c r="N68" i="27"/>
  <c r="M68" i="27"/>
  <c r="L68" i="27"/>
  <c r="K68" i="27"/>
  <c r="J68" i="27"/>
  <c r="I68" i="27"/>
  <c r="N67" i="27"/>
  <c r="M67" i="27"/>
  <c r="L67" i="27"/>
  <c r="K67" i="27"/>
  <c r="J67" i="27"/>
  <c r="I67" i="27"/>
  <c r="H67" i="27"/>
  <c r="E67" i="27"/>
  <c r="D67" i="27"/>
  <c r="N66" i="27"/>
  <c r="M66" i="27"/>
  <c r="L66" i="27"/>
  <c r="K66" i="27"/>
  <c r="J66" i="27"/>
  <c r="I66" i="27"/>
  <c r="H66" i="27"/>
  <c r="F66" i="27"/>
  <c r="E66" i="27"/>
  <c r="D66" i="27"/>
  <c r="C66" i="27"/>
  <c r="N65" i="27"/>
  <c r="M65" i="27"/>
  <c r="L65" i="27"/>
  <c r="K65" i="27"/>
  <c r="J65" i="27"/>
  <c r="I65" i="27"/>
  <c r="H65" i="27"/>
  <c r="G65" i="27"/>
  <c r="F65" i="27"/>
  <c r="E65" i="27"/>
  <c r="D65" i="27"/>
  <c r="C65" i="27"/>
  <c r="N64" i="27"/>
  <c r="M64" i="27"/>
  <c r="L64" i="27"/>
  <c r="K64" i="27"/>
  <c r="J64" i="27"/>
  <c r="I64" i="27"/>
  <c r="H64" i="27"/>
  <c r="G64" i="27"/>
  <c r="F64" i="27"/>
  <c r="E64" i="27"/>
  <c r="D64" i="27"/>
  <c r="C64" i="27"/>
  <c r="N63" i="27"/>
  <c r="M63" i="27"/>
  <c r="L63" i="27"/>
  <c r="K63" i="27"/>
  <c r="J63" i="27"/>
  <c r="I63" i="27"/>
  <c r="H63" i="27"/>
  <c r="G63" i="27"/>
  <c r="F63" i="27"/>
  <c r="E63" i="27"/>
  <c r="D63" i="27"/>
  <c r="C63" i="27"/>
  <c r="N62" i="27"/>
  <c r="M62" i="27"/>
  <c r="L62" i="27"/>
  <c r="K62" i="27"/>
  <c r="J62" i="27"/>
  <c r="I62" i="27"/>
  <c r="H62" i="27"/>
  <c r="G62" i="27"/>
  <c r="F62" i="27"/>
  <c r="E62" i="27"/>
  <c r="D62" i="27"/>
  <c r="C62" i="27"/>
  <c r="C27" i="27"/>
  <c r="C26" i="27"/>
  <c r="C25" i="27"/>
  <c r="C24" i="27"/>
  <c r="N39" i="27"/>
  <c r="M39" i="27"/>
  <c r="L39" i="27"/>
  <c r="K39" i="27"/>
  <c r="J39" i="27"/>
  <c r="I39" i="27"/>
  <c r="H39" i="27"/>
  <c r="G39" i="27"/>
  <c r="F39" i="27"/>
  <c r="E39" i="27"/>
  <c r="D39" i="27"/>
  <c r="C39" i="27"/>
  <c r="N38" i="27"/>
  <c r="M38" i="27"/>
  <c r="L38" i="27"/>
  <c r="K38" i="27"/>
  <c r="J38" i="27"/>
  <c r="I38" i="27"/>
  <c r="H38" i="27"/>
  <c r="G38" i="27"/>
  <c r="F38" i="27"/>
  <c r="E38" i="27"/>
  <c r="D38" i="27"/>
  <c r="C38" i="27"/>
  <c r="N37" i="27"/>
  <c r="M37" i="27"/>
  <c r="L37" i="27"/>
  <c r="K37" i="27"/>
  <c r="J37" i="27"/>
  <c r="I37" i="27"/>
  <c r="H37" i="27"/>
  <c r="G37" i="27"/>
  <c r="F37" i="27"/>
  <c r="E37" i="27"/>
  <c r="D37" i="27"/>
  <c r="C37" i="27"/>
  <c r="N36" i="27"/>
  <c r="M36" i="27"/>
  <c r="L36" i="27"/>
  <c r="K36" i="27"/>
  <c r="J36" i="27"/>
  <c r="I36" i="27"/>
  <c r="H36" i="27"/>
  <c r="G36" i="27"/>
  <c r="F36" i="27"/>
  <c r="E36" i="27"/>
  <c r="D36" i="27"/>
  <c r="C36" i="27"/>
  <c r="N35" i="27"/>
  <c r="M35" i="27"/>
  <c r="L35" i="27"/>
  <c r="K35" i="27"/>
  <c r="J35" i="27"/>
  <c r="I35" i="27"/>
  <c r="H35" i="27"/>
  <c r="G35" i="27"/>
  <c r="F35" i="27"/>
  <c r="E35" i="27"/>
  <c r="D35" i="27"/>
  <c r="C35" i="27"/>
  <c r="N34" i="27"/>
  <c r="M34" i="27"/>
  <c r="L34" i="27"/>
  <c r="K34" i="27"/>
  <c r="J34" i="27"/>
  <c r="I34" i="27"/>
  <c r="H34" i="27"/>
  <c r="G34" i="27"/>
  <c r="F34" i="27"/>
  <c r="E34" i="27"/>
  <c r="D34" i="27"/>
  <c r="C34" i="27"/>
  <c r="N33" i="27"/>
  <c r="M33" i="27"/>
  <c r="L33" i="27"/>
  <c r="K33" i="27"/>
  <c r="J33" i="27"/>
  <c r="I33" i="27"/>
  <c r="H33" i="27"/>
  <c r="G33" i="27"/>
  <c r="F33" i="27"/>
  <c r="E33" i="27"/>
  <c r="D33" i="27"/>
  <c r="C33" i="27"/>
  <c r="N32" i="27"/>
  <c r="M32" i="27"/>
  <c r="L32" i="27"/>
  <c r="K32" i="27"/>
  <c r="J32" i="27"/>
  <c r="I32" i="27"/>
  <c r="H32" i="27"/>
  <c r="G32" i="27"/>
  <c r="F32" i="27"/>
  <c r="E32" i="27"/>
  <c r="D32" i="27"/>
  <c r="C32" i="27"/>
  <c r="N31" i="27"/>
  <c r="M31" i="27"/>
  <c r="L31" i="27"/>
  <c r="K31" i="27"/>
  <c r="J31" i="27"/>
  <c r="I31" i="27"/>
  <c r="H31" i="27"/>
  <c r="G31" i="27"/>
  <c r="F31" i="27"/>
  <c r="E31" i="27"/>
  <c r="D31" i="27"/>
  <c r="C31" i="27"/>
  <c r="N30" i="27"/>
  <c r="M30" i="27"/>
  <c r="L30" i="27"/>
  <c r="K30" i="27"/>
  <c r="J30" i="27"/>
  <c r="I30" i="27"/>
  <c r="H30" i="27"/>
  <c r="G30" i="27"/>
  <c r="F30" i="27"/>
  <c r="E30" i="27"/>
  <c r="D30" i="27"/>
  <c r="C30" i="27"/>
  <c r="N29" i="27"/>
  <c r="M29" i="27"/>
  <c r="L29" i="27"/>
  <c r="K29" i="27"/>
  <c r="J29" i="27"/>
  <c r="I29" i="27"/>
  <c r="H29" i="27"/>
  <c r="G29" i="27"/>
  <c r="F29" i="27"/>
  <c r="E29" i="27"/>
  <c r="D29" i="27"/>
  <c r="C29" i="27"/>
  <c r="N28" i="27"/>
  <c r="M28" i="27"/>
  <c r="L28" i="27"/>
  <c r="K28" i="27"/>
  <c r="J28" i="27"/>
  <c r="I28" i="27"/>
  <c r="H28" i="27"/>
  <c r="G28" i="27"/>
  <c r="F28" i="27"/>
  <c r="E28" i="27"/>
  <c r="D28" i="27"/>
  <c r="C28" i="27"/>
  <c r="N27" i="27"/>
  <c r="M27" i="27"/>
  <c r="L27" i="27"/>
  <c r="K27" i="27"/>
  <c r="J27" i="27"/>
  <c r="I27" i="27"/>
  <c r="H27" i="27"/>
  <c r="G27" i="27"/>
  <c r="F27" i="27"/>
  <c r="E27" i="27"/>
  <c r="D27" i="27"/>
  <c r="N26" i="27"/>
  <c r="M26" i="27"/>
  <c r="L26" i="27"/>
  <c r="K26" i="27"/>
  <c r="J26" i="27"/>
  <c r="I26" i="27"/>
  <c r="H26" i="27"/>
  <c r="G26" i="27"/>
  <c r="F26" i="27"/>
  <c r="E26" i="27"/>
  <c r="D26" i="27"/>
  <c r="N25" i="27"/>
  <c r="M25" i="27"/>
  <c r="L25" i="27"/>
  <c r="K25" i="27"/>
  <c r="J25" i="27"/>
  <c r="I25" i="27"/>
  <c r="H25" i="27"/>
  <c r="G25" i="27"/>
  <c r="F25" i="27"/>
  <c r="E25" i="27"/>
  <c r="D25" i="27"/>
  <c r="N24" i="27"/>
  <c r="M24" i="27"/>
  <c r="L24" i="27"/>
  <c r="K24" i="27"/>
  <c r="J24" i="27"/>
  <c r="I24" i="27"/>
  <c r="H24" i="27"/>
  <c r="G24" i="27"/>
  <c r="F24" i="27"/>
  <c r="E24" i="27"/>
  <c r="D24" i="27"/>
  <c r="E5" i="27"/>
  <c r="D5" i="27"/>
  <c r="N20" i="27"/>
  <c r="M20" i="27"/>
  <c r="L20" i="27"/>
  <c r="K20" i="27"/>
  <c r="J20" i="27"/>
  <c r="I20" i="27"/>
  <c r="H20" i="27"/>
  <c r="G20" i="27"/>
  <c r="F20" i="27"/>
  <c r="E20" i="27"/>
  <c r="D20" i="27"/>
  <c r="C20" i="27"/>
  <c r="N19" i="27"/>
  <c r="M19" i="27"/>
  <c r="L19" i="27"/>
  <c r="K19" i="27"/>
  <c r="J19" i="27"/>
  <c r="I19" i="27"/>
  <c r="H19" i="27"/>
  <c r="G19" i="27"/>
  <c r="F19" i="27"/>
  <c r="E19" i="27"/>
  <c r="D19" i="27"/>
  <c r="C19" i="27"/>
  <c r="N18" i="27"/>
  <c r="M18" i="27"/>
  <c r="L18" i="27"/>
  <c r="K18" i="27"/>
  <c r="J18" i="27"/>
  <c r="I18" i="27"/>
  <c r="H18" i="27"/>
  <c r="G18" i="27"/>
  <c r="F18" i="27"/>
  <c r="E18" i="27"/>
  <c r="D18" i="27"/>
  <c r="C18" i="27"/>
  <c r="N17" i="27"/>
  <c r="M17" i="27"/>
  <c r="L17" i="27"/>
  <c r="K17" i="27"/>
  <c r="J17" i="27"/>
  <c r="I17" i="27"/>
  <c r="H17" i="27"/>
  <c r="G17" i="27"/>
  <c r="F17" i="27"/>
  <c r="E17" i="27"/>
  <c r="D17" i="27"/>
  <c r="C17" i="27"/>
  <c r="N16" i="27"/>
  <c r="M16" i="27"/>
  <c r="L16" i="27"/>
  <c r="K16" i="27"/>
  <c r="J16" i="27"/>
  <c r="I16" i="27"/>
  <c r="H16" i="27"/>
  <c r="G16" i="27"/>
  <c r="F16" i="27"/>
  <c r="E16" i="27"/>
  <c r="D16" i="27"/>
  <c r="C16" i="27"/>
  <c r="N15" i="27"/>
  <c r="M15" i="27"/>
  <c r="L15" i="27"/>
  <c r="K15" i="27"/>
  <c r="J15" i="27"/>
  <c r="I15" i="27"/>
  <c r="H15" i="27"/>
  <c r="G15" i="27"/>
  <c r="F15" i="27"/>
  <c r="E15" i="27"/>
  <c r="D15" i="27"/>
  <c r="C15" i="27"/>
  <c r="N14" i="27"/>
  <c r="M14" i="27"/>
  <c r="L14" i="27"/>
  <c r="K14" i="27"/>
  <c r="J14" i="27"/>
  <c r="I14" i="27"/>
  <c r="H14" i="27"/>
  <c r="G14" i="27"/>
  <c r="F14" i="27"/>
  <c r="E14" i="27"/>
  <c r="D14" i="27"/>
  <c r="C14" i="27"/>
  <c r="N13" i="27"/>
  <c r="M13" i="27"/>
  <c r="L13" i="27"/>
  <c r="K13" i="27"/>
  <c r="J13" i="27"/>
  <c r="I13" i="27"/>
  <c r="H13" i="27"/>
  <c r="G13" i="27"/>
  <c r="F13" i="27"/>
  <c r="E13" i="27"/>
  <c r="D13" i="27"/>
  <c r="C13" i="27"/>
  <c r="N12" i="27"/>
  <c r="M12" i="27"/>
  <c r="L12" i="27"/>
  <c r="K12" i="27"/>
  <c r="J12" i="27"/>
  <c r="I12" i="27"/>
  <c r="H12" i="27"/>
  <c r="G12" i="27"/>
  <c r="F12" i="27"/>
  <c r="E12" i="27"/>
  <c r="D12" i="27"/>
  <c r="C12" i="27"/>
  <c r="N11" i="27"/>
  <c r="M11" i="27"/>
  <c r="L11" i="27"/>
  <c r="K11" i="27"/>
  <c r="J11" i="27"/>
  <c r="I11" i="27"/>
  <c r="H11" i="27"/>
  <c r="G11" i="27"/>
  <c r="F11" i="27"/>
  <c r="E11" i="27"/>
  <c r="D11" i="27"/>
  <c r="C11" i="27"/>
  <c r="N10" i="27"/>
  <c r="M10" i="27"/>
  <c r="L10" i="27"/>
  <c r="K10" i="27"/>
  <c r="J10" i="27"/>
  <c r="I10" i="27"/>
  <c r="H10" i="27"/>
  <c r="G10" i="27"/>
  <c r="F10" i="27"/>
  <c r="E10" i="27"/>
  <c r="D10" i="27"/>
  <c r="C10" i="27"/>
  <c r="N9" i="27"/>
  <c r="M9" i="27"/>
  <c r="L9" i="27"/>
  <c r="K9" i="27"/>
  <c r="J9" i="27"/>
  <c r="I9" i="27"/>
  <c r="H9" i="27"/>
  <c r="G9" i="27"/>
  <c r="F9" i="27"/>
  <c r="E9" i="27"/>
  <c r="D9" i="27"/>
  <c r="C9" i="27"/>
  <c r="N8" i="27"/>
  <c r="M8" i="27"/>
  <c r="L8" i="27"/>
  <c r="K8" i="27"/>
  <c r="J8" i="27"/>
  <c r="I8" i="27"/>
  <c r="H8" i="27"/>
  <c r="G8" i="27"/>
  <c r="F8" i="27"/>
  <c r="E8" i="27"/>
  <c r="D8" i="27"/>
  <c r="C8" i="27"/>
  <c r="N7" i="27"/>
  <c r="M7" i="27"/>
  <c r="L7" i="27"/>
  <c r="K7" i="27"/>
  <c r="J7" i="27"/>
  <c r="I7" i="27"/>
  <c r="H7" i="27"/>
  <c r="G7" i="27"/>
  <c r="F7" i="27"/>
  <c r="E7" i="27"/>
  <c r="D7" i="27"/>
  <c r="C7" i="27"/>
  <c r="N6" i="27"/>
  <c r="M6" i="27"/>
  <c r="L6" i="27"/>
  <c r="K6" i="27"/>
  <c r="J6" i="27"/>
  <c r="I6" i="27"/>
  <c r="H6" i="27"/>
  <c r="G6" i="27"/>
  <c r="F6" i="27"/>
  <c r="E6" i="27"/>
  <c r="D6" i="27"/>
  <c r="C6" i="27"/>
  <c r="N5" i="27"/>
  <c r="M5" i="27"/>
  <c r="L5" i="27"/>
  <c r="K5" i="27"/>
  <c r="J5" i="27"/>
  <c r="I5" i="27"/>
  <c r="H5" i="27"/>
  <c r="G5" i="27"/>
  <c r="F5" i="27"/>
  <c r="C5" i="27"/>
  <c r="B96" i="27"/>
  <c r="B95" i="27"/>
  <c r="B94" i="27"/>
  <c r="B93" i="27"/>
  <c r="B92" i="27"/>
  <c r="B91" i="27"/>
  <c r="B90" i="27"/>
  <c r="B89" i="27"/>
  <c r="B88" i="27"/>
  <c r="B87" i="27"/>
  <c r="B86" i="27"/>
  <c r="B85" i="27"/>
  <c r="B84" i="27"/>
  <c r="B83" i="27"/>
  <c r="B82" i="27"/>
  <c r="B81" i="27"/>
  <c r="B77" i="27"/>
  <c r="B76" i="27"/>
  <c r="B75" i="27"/>
  <c r="B74" i="27"/>
  <c r="B73" i="27"/>
  <c r="B72" i="27"/>
  <c r="B71" i="27"/>
  <c r="B70" i="27"/>
  <c r="B69" i="27"/>
  <c r="B68" i="27"/>
  <c r="B67" i="27"/>
  <c r="B66" i="27"/>
  <c r="B65" i="27"/>
  <c r="B64" i="27"/>
  <c r="B63" i="27"/>
  <c r="B62" i="27"/>
  <c r="B153" i="27"/>
  <c r="B152" i="27"/>
  <c r="B151" i="27"/>
  <c r="B150" i="27"/>
  <c r="B149" i="27"/>
  <c r="B148" i="27"/>
  <c r="B147" i="27"/>
  <c r="B146" i="27"/>
  <c r="B145" i="27"/>
  <c r="B144" i="27"/>
  <c r="B143" i="27"/>
  <c r="B142" i="27"/>
  <c r="B141" i="27"/>
  <c r="B140" i="27"/>
  <c r="B139" i="27"/>
  <c r="N154" i="27"/>
  <c r="B138" i="27"/>
  <c r="B134" i="27"/>
  <c r="B133" i="27"/>
  <c r="B132" i="27"/>
  <c r="B131" i="27"/>
  <c r="B130" i="27"/>
  <c r="B129" i="27"/>
  <c r="B128" i="27"/>
  <c r="B127" i="27"/>
  <c r="B126" i="27"/>
  <c r="B125" i="27"/>
  <c r="B124" i="27"/>
  <c r="B123" i="27"/>
  <c r="B122" i="27"/>
  <c r="B121" i="27"/>
  <c r="B120" i="27"/>
  <c r="B119" i="27"/>
  <c r="B115" i="27"/>
  <c r="B114" i="27"/>
  <c r="B113" i="27"/>
  <c r="B112" i="27"/>
  <c r="B111" i="27"/>
  <c r="B110" i="27"/>
  <c r="B109" i="27"/>
  <c r="B108" i="27"/>
  <c r="B107" i="27"/>
  <c r="B106" i="27"/>
  <c r="B105" i="27"/>
  <c r="B104" i="27"/>
  <c r="B103" i="27"/>
  <c r="B102" i="27"/>
  <c r="B101" i="27"/>
  <c r="B100" i="27"/>
  <c r="B58" i="27"/>
  <c r="B57" i="27"/>
  <c r="B56" i="27"/>
  <c r="B55" i="27"/>
  <c r="B54" i="27"/>
  <c r="B53" i="27"/>
  <c r="B52" i="27"/>
  <c r="B51" i="27"/>
  <c r="B50" i="27"/>
  <c r="B49" i="27"/>
  <c r="B48" i="27"/>
  <c r="B47" i="27"/>
  <c r="B46" i="27"/>
  <c r="B45" i="27"/>
  <c r="B44" i="27"/>
  <c r="B43" i="27"/>
  <c r="B39" i="27"/>
  <c r="B38" i="27"/>
  <c r="B37" i="27"/>
  <c r="B36" i="27"/>
  <c r="B35" i="27"/>
  <c r="B34" i="27"/>
  <c r="B33" i="27"/>
  <c r="B32" i="27"/>
  <c r="B31" i="27"/>
  <c r="B30" i="27"/>
  <c r="B29" i="27"/>
  <c r="B28" i="27"/>
  <c r="B27" i="27"/>
  <c r="B26" i="27"/>
  <c r="B25" i="27"/>
  <c r="B24" i="27"/>
  <c r="B20" i="27"/>
  <c r="B19" i="27"/>
  <c r="B18" i="27"/>
  <c r="B17" i="27"/>
  <c r="B16" i="27"/>
  <c r="B15" i="27"/>
  <c r="B14" i="27"/>
  <c r="B13" i="27"/>
  <c r="B12" i="27"/>
  <c r="B11" i="27"/>
  <c r="B10" i="27"/>
  <c r="B9" i="27"/>
  <c r="B8" i="27"/>
  <c r="B7" i="27"/>
  <c r="B6" i="27"/>
  <c r="B5" i="27"/>
  <c r="J2" i="16"/>
  <c r="I2" i="16"/>
  <c r="H9" i="7"/>
  <c r="I9" i="7" s="1"/>
  <c r="J9" i="7"/>
  <c r="H10" i="7"/>
  <c r="I10" i="7" s="1"/>
  <c r="J10" i="7"/>
  <c r="H11" i="7"/>
  <c r="I11" i="7" s="1"/>
  <c r="J11" i="7"/>
  <c r="H12" i="7"/>
  <c r="I12" i="7" s="1"/>
  <c r="J12" i="7"/>
  <c r="H13" i="7"/>
  <c r="I13" i="7" s="1"/>
  <c r="J13" i="7"/>
  <c r="H14" i="7"/>
  <c r="I14" i="7" s="1"/>
  <c r="J14" i="7"/>
  <c r="H8" i="5"/>
  <c r="I8" i="5" s="1"/>
  <c r="J8" i="5"/>
  <c r="H9" i="5"/>
  <c r="I9" i="5" s="1"/>
  <c r="J9" i="5"/>
  <c r="H10" i="5"/>
  <c r="I10" i="5" s="1"/>
  <c r="J10" i="5"/>
  <c r="H11" i="5"/>
  <c r="I11" i="5" s="1"/>
  <c r="J11" i="5"/>
  <c r="H12" i="5"/>
  <c r="I12" i="5" s="1"/>
  <c r="J12" i="5"/>
  <c r="H8" i="6"/>
  <c r="I8" i="6" s="1"/>
  <c r="J8" i="6"/>
  <c r="H9" i="6"/>
  <c r="I9" i="6" s="1"/>
  <c r="J9" i="6"/>
  <c r="H10" i="6"/>
  <c r="I10" i="6" s="1"/>
  <c r="J10" i="6"/>
  <c r="H11" i="6"/>
  <c r="I11" i="6" s="1"/>
  <c r="J11" i="6"/>
  <c r="H12" i="6"/>
  <c r="I12" i="6" s="1"/>
  <c r="J12" i="6"/>
  <c r="H13" i="6"/>
  <c r="I13" i="6" s="1"/>
  <c r="J13" i="6"/>
  <c r="R19" i="49"/>
  <c r="G12" i="3"/>
  <c r="G13" i="3"/>
  <c r="I13" i="3"/>
  <c r="L131" i="8"/>
  <c r="L143" i="8" s="1"/>
  <c r="L17" i="8"/>
  <c r="L36" i="8"/>
  <c r="L48" i="8" s="1"/>
  <c r="L55" i="8"/>
  <c r="L112" i="8"/>
  <c r="L124" i="8" s="1"/>
  <c r="L132" i="8"/>
  <c r="L18" i="8"/>
  <c r="L37" i="8"/>
  <c r="L56" i="8"/>
  <c r="L113" i="8"/>
  <c r="L133" i="8"/>
  <c r="L19" i="8"/>
  <c r="D12" i="49" s="1"/>
  <c r="L38" i="8"/>
  <c r="L57" i="8"/>
  <c r="L114" i="8"/>
  <c r="L134" i="8"/>
  <c r="L20" i="8"/>
  <c r="L39" i="8"/>
  <c r="L58" i="8"/>
  <c r="L115" i="8"/>
  <c r="L21" i="8"/>
  <c r="L40" i="8"/>
  <c r="L59" i="8"/>
  <c r="L116" i="8"/>
  <c r="L135" i="8"/>
  <c r="L22" i="8"/>
  <c r="L41" i="8"/>
  <c r="L60" i="8"/>
  <c r="L117" i="8"/>
  <c r="L136" i="8"/>
  <c r="L23" i="8"/>
  <c r="L42" i="8"/>
  <c r="L61" i="8"/>
  <c r="L118" i="8"/>
  <c r="L137" i="8"/>
  <c r="L24" i="8"/>
  <c r="L43" i="8"/>
  <c r="L62" i="8"/>
  <c r="L119" i="8"/>
  <c r="L138" i="8"/>
  <c r="L25" i="8"/>
  <c r="L44" i="8"/>
  <c r="L63" i="8"/>
  <c r="L120" i="8"/>
  <c r="L139" i="8"/>
  <c r="L26" i="8"/>
  <c r="L45" i="8"/>
  <c r="L64" i="8"/>
  <c r="L121" i="8"/>
  <c r="L140" i="8"/>
  <c r="L27" i="8"/>
  <c r="L46" i="8"/>
  <c r="L65" i="8"/>
  <c r="L122" i="8"/>
  <c r="L141" i="8"/>
  <c r="L28" i="8"/>
  <c r="L47" i="8"/>
  <c r="L66" i="8"/>
  <c r="L123" i="8"/>
  <c r="L142" i="8"/>
  <c r="R21" i="49"/>
  <c r="L85" i="8"/>
  <c r="L104" i="8"/>
  <c r="R20" i="49"/>
  <c r="L84" i="8"/>
  <c r="L103" i="8"/>
  <c r="L83" i="8"/>
  <c r="L102" i="8"/>
  <c r="L82" i="8"/>
  <c r="L101" i="8"/>
  <c r="L81" i="8"/>
  <c r="L100" i="8"/>
  <c r="L80" i="8"/>
  <c r="L99" i="8"/>
  <c r="L79" i="8"/>
  <c r="L98" i="8"/>
  <c r="L78" i="8"/>
  <c r="L97" i="8"/>
  <c r="L77" i="8"/>
  <c r="L96" i="8"/>
  <c r="L76" i="8"/>
  <c r="L95" i="8"/>
  <c r="L75" i="8"/>
  <c r="L94" i="8"/>
  <c r="L74" i="8"/>
  <c r="L93" i="8"/>
  <c r="L105" i="8" s="1"/>
  <c r="L130" i="8"/>
  <c r="L111" i="8"/>
  <c r="L92" i="8"/>
  <c r="L73" i="8"/>
  <c r="L54" i="8"/>
  <c r="L35" i="8"/>
  <c r="L16" i="8"/>
  <c r="BD22" i="18"/>
  <c r="BC22" i="18"/>
  <c r="BB22" i="18"/>
  <c r="BA22" i="18"/>
  <c r="AX22" i="18"/>
  <c r="BD20" i="18"/>
  <c r="BC20" i="18"/>
  <c r="BB20" i="18"/>
  <c r="BA20" i="18"/>
  <c r="AX20" i="18"/>
  <c r="O157" i="48"/>
  <c r="Q157" i="48" s="1"/>
  <c r="O156" i="48"/>
  <c r="Q156" i="48" s="1"/>
  <c r="O155" i="48"/>
  <c r="Q155" i="48" s="1"/>
  <c r="O154" i="48"/>
  <c r="Q154" i="48" s="1"/>
  <c r="O153" i="48"/>
  <c r="Q153" i="48" s="1"/>
  <c r="O152" i="48"/>
  <c r="Q152" i="48" s="1"/>
  <c r="O151" i="48"/>
  <c r="Q151" i="48" s="1"/>
  <c r="O150" i="48"/>
  <c r="Q150" i="48" s="1"/>
  <c r="O149" i="48"/>
  <c r="Q149" i="48" s="1"/>
  <c r="O148" i="48"/>
  <c r="Q148" i="48" s="1"/>
  <c r="O147" i="48"/>
  <c r="Q147" i="48" s="1"/>
  <c r="O131" i="48"/>
  <c r="Q131" i="48" s="1"/>
  <c r="O130" i="48"/>
  <c r="Q130" i="48" s="1"/>
  <c r="O129" i="48"/>
  <c r="Q129" i="48" s="1"/>
  <c r="O128" i="48"/>
  <c r="Q128" i="48" s="1"/>
  <c r="O127" i="48"/>
  <c r="Q127" i="48" s="1"/>
  <c r="O126" i="48"/>
  <c r="Q126" i="48" s="1"/>
  <c r="O125" i="48"/>
  <c r="Q125" i="48" s="1"/>
  <c r="O124" i="48"/>
  <c r="Q124" i="48" s="1"/>
  <c r="O123" i="48"/>
  <c r="Q123" i="48" s="1"/>
  <c r="O122" i="48"/>
  <c r="Q122" i="48" s="1"/>
  <c r="O121" i="48"/>
  <c r="Q121" i="48" s="1"/>
  <c r="O105" i="48"/>
  <c r="Q105" i="48" s="1"/>
  <c r="O104" i="48"/>
  <c r="Q104" i="48" s="1"/>
  <c r="O103" i="48"/>
  <c r="Q103" i="48" s="1"/>
  <c r="O102" i="48"/>
  <c r="Q102" i="48" s="1"/>
  <c r="O101" i="48"/>
  <c r="Q101" i="48" s="1"/>
  <c r="O100" i="48"/>
  <c r="Q100" i="48" s="1"/>
  <c r="O99" i="48"/>
  <c r="Q99" i="48" s="1"/>
  <c r="O98" i="48"/>
  <c r="Q98" i="48" s="1"/>
  <c r="O97" i="48"/>
  <c r="Q97" i="48" s="1"/>
  <c r="O96" i="48"/>
  <c r="Q96" i="48" s="1"/>
  <c r="O95" i="48"/>
  <c r="Q95" i="48" s="1"/>
  <c r="O79" i="48"/>
  <c r="Q79" i="48" s="1"/>
  <c r="O78" i="48"/>
  <c r="Q78" i="48" s="1"/>
  <c r="O77" i="48"/>
  <c r="Q77" i="48" s="1"/>
  <c r="O76" i="48"/>
  <c r="Q76" i="48" s="1"/>
  <c r="O75" i="48"/>
  <c r="Q75" i="48" s="1"/>
  <c r="O74" i="48"/>
  <c r="Q74" i="48" s="1"/>
  <c r="O73" i="48"/>
  <c r="Q73" i="48" s="1"/>
  <c r="O72" i="48"/>
  <c r="Q72" i="48" s="1"/>
  <c r="O71" i="48"/>
  <c r="Q71" i="48" s="1"/>
  <c r="O70" i="48"/>
  <c r="Q70" i="48" s="1"/>
  <c r="O69" i="48"/>
  <c r="Q69" i="48" s="1"/>
  <c r="O53" i="48"/>
  <c r="Q53" i="48" s="1"/>
  <c r="O52" i="48"/>
  <c r="Q52" i="48" s="1"/>
  <c r="O51" i="48"/>
  <c r="Q51" i="48" s="1"/>
  <c r="O50" i="48"/>
  <c r="Q50" i="48" s="1"/>
  <c r="O49" i="48"/>
  <c r="Q49" i="48" s="1"/>
  <c r="O48" i="48"/>
  <c r="Q48" i="48" s="1"/>
  <c r="O47" i="48"/>
  <c r="Q47" i="48" s="1"/>
  <c r="O46" i="48"/>
  <c r="Q46" i="48" s="1"/>
  <c r="O45" i="48"/>
  <c r="Q45" i="48" s="1"/>
  <c r="O44" i="48"/>
  <c r="Q44" i="48" s="1"/>
  <c r="O43" i="48"/>
  <c r="Q43" i="48" s="1"/>
  <c r="Q24" i="48"/>
  <c r="Q23" i="48"/>
  <c r="Q22" i="48"/>
  <c r="Q21" i="48"/>
  <c r="Q20" i="48"/>
  <c r="Q27" i="48"/>
  <c r="Q26" i="48"/>
  <c r="Q25" i="48"/>
  <c r="O146" i="48"/>
  <c r="Q146" i="48" s="1"/>
  <c r="O120" i="48"/>
  <c r="Q120" i="48" s="1"/>
  <c r="O94" i="48"/>
  <c r="Q94" i="48" s="1"/>
  <c r="O68" i="48"/>
  <c r="Q68" i="48" s="1"/>
  <c r="O42" i="48"/>
  <c r="Q42" i="48" s="1"/>
  <c r="S157" i="48"/>
  <c r="K157" i="48"/>
  <c r="G157" i="48"/>
  <c r="H157" i="48" s="1"/>
  <c r="S156" i="48"/>
  <c r="K156" i="48"/>
  <c r="G156" i="48"/>
  <c r="H156" i="48" s="1"/>
  <c r="S155" i="48"/>
  <c r="K155" i="48"/>
  <c r="G155" i="48"/>
  <c r="H155" i="48" s="1"/>
  <c r="S154" i="48"/>
  <c r="K154" i="48"/>
  <c r="G154" i="48"/>
  <c r="H154" i="48" s="1"/>
  <c r="S153" i="48"/>
  <c r="K153" i="48"/>
  <c r="G153" i="48"/>
  <c r="H153" i="48" s="1"/>
  <c r="S152" i="48"/>
  <c r="K152" i="48"/>
  <c r="G152" i="48"/>
  <c r="H152" i="48" s="1"/>
  <c r="S151" i="48"/>
  <c r="K151" i="48"/>
  <c r="G151" i="48"/>
  <c r="H151" i="48" s="1"/>
  <c r="S150" i="48"/>
  <c r="K150" i="48"/>
  <c r="G150" i="48"/>
  <c r="H150" i="48" s="1"/>
  <c r="S149" i="48"/>
  <c r="K149" i="48"/>
  <c r="G149" i="48"/>
  <c r="H149" i="48" s="1"/>
  <c r="S148" i="48"/>
  <c r="K148" i="48"/>
  <c r="G148" i="48"/>
  <c r="H148" i="48" s="1"/>
  <c r="S147" i="48"/>
  <c r="K147" i="48"/>
  <c r="G147" i="48"/>
  <c r="H147" i="48" s="1"/>
  <c r="S146" i="48"/>
  <c r="K146" i="48"/>
  <c r="G146" i="48"/>
  <c r="H146" i="48" s="1"/>
  <c r="I146" i="48" s="1"/>
  <c r="S131" i="48"/>
  <c r="K131" i="48"/>
  <c r="G131" i="48"/>
  <c r="H131" i="48" s="1"/>
  <c r="S130" i="48"/>
  <c r="K130" i="48"/>
  <c r="G130" i="48"/>
  <c r="H130" i="48" s="1"/>
  <c r="S129" i="48"/>
  <c r="K129" i="48"/>
  <c r="G129" i="48"/>
  <c r="H129" i="48" s="1"/>
  <c r="S128" i="48"/>
  <c r="K128" i="48"/>
  <c r="G128" i="48"/>
  <c r="H128" i="48" s="1"/>
  <c r="S127" i="48"/>
  <c r="K127" i="48"/>
  <c r="G127" i="48"/>
  <c r="H127" i="48" s="1"/>
  <c r="S126" i="48"/>
  <c r="K126" i="48"/>
  <c r="G126" i="48"/>
  <c r="H126" i="48" s="1"/>
  <c r="S125" i="48"/>
  <c r="K125" i="48"/>
  <c r="G125" i="48"/>
  <c r="H125" i="48" s="1"/>
  <c r="S124" i="48"/>
  <c r="K124" i="48"/>
  <c r="G124" i="48"/>
  <c r="H124" i="48" s="1"/>
  <c r="S123" i="48"/>
  <c r="K123" i="48"/>
  <c r="G123" i="48"/>
  <c r="H123" i="48" s="1"/>
  <c r="S122" i="48"/>
  <c r="K122" i="48"/>
  <c r="G122" i="48"/>
  <c r="H122" i="48" s="1"/>
  <c r="S121" i="48"/>
  <c r="S120" i="48"/>
  <c r="K121" i="48"/>
  <c r="G121" i="48"/>
  <c r="H121" i="48" s="1"/>
  <c r="K120" i="48"/>
  <c r="G120" i="48"/>
  <c r="H120" i="48" s="1"/>
  <c r="I120" i="48" s="1"/>
  <c r="S105" i="48"/>
  <c r="K105" i="48"/>
  <c r="G105" i="48"/>
  <c r="H105" i="48" s="1"/>
  <c r="S104" i="48"/>
  <c r="K104" i="48"/>
  <c r="G104" i="48"/>
  <c r="H104" i="48" s="1"/>
  <c r="S103" i="48"/>
  <c r="K103" i="48"/>
  <c r="G103" i="48"/>
  <c r="H103" i="48" s="1"/>
  <c r="S102" i="48"/>
  <c r="K102" i="48"/>
  <c r="G102" i="48"/>
  <c r="H102" i="48" s="1"/>
  <c r="S101" i="48"/>
  <c r="K101" i="48"/>
  <c r="G101" i="48"/>
  <c r="H101" i="48" s="1"/>
  <c r="S100" i="48"/>
  <c r="K100" i="48"/>
  <c r="G100" i="48"/>
  <c r="H100" i="48" s="1"/>
  <c r="S99" i="48"/>
  <c r="K99" i="48"/>
  <c r="G99" i="48"/>
  <c r="H99" i="48" s="1"/>
  <c r="S98" i="48"/>
  <c r="K98" i="48"/>
  <c r="G98" i="48"/>
  <c r="H98" i="48" s="1"/>
  <c r="S97" i="48"/>
  <c r="K97" i="48"/>
  <c r="G97" i="48"/>
  <c r="H97" i="48" s="1"/>
  <c r="S96" i="48"/>
  <c r="S95" i="48"/>
  <c r="S94" i="48"/>
  <c r="K96" i="48"/>
  <c r="G96" i="48"/>
  <c r="H96" i="48" s="1"/>
  <c r="K95" i="48"/>
  <c r="G95" i="48"/>
  <c r="H95" i="48" s="1"/>
  <c r="G94" i="48"/>
  <c r="H94" i="48" s="1"/>
  <c r="I94" i="48" s="1"/>
  <c r="K94" i="48"/>
  <c r="S79" i="48"/>
  <c r="K79" i="48"/>
  <c r="G79" i="48"/>
  <c r="H79" i="48" s="1"/>
  <c r="S78" i="48"/>
  <c r="K78" i="48"/>
  <c r="G78" i="48"/>
  <c r="H78" i="48" s="1"/>
  <c r="S77" i="48"/>
  <c r="K77" i="48"/>
  <c r="G77" i="48"/>
  <c r="H77" i="48" s="1"/>
  <c r="S76" i="48"/>
  <c r="K76" i="48"/>
  <c r="G76" i="48"/>
  <c r="H76" i="48" s="1"/>
  <c r="S75" i="48"/>
  <c r="K75" i="48"/>
  <c r="G75" i="48"/>
  <c r="H75" i="48" s="1"/>
  <c r="S74" i="48"/>
  <c r="K74" i="48"/>
  <c r="G74" i="48"/>
  <c r="H74" i="48" s="1"/>
  <c r="S73" i="48"/>
  <c r="K73" i="48"/>
  <c r="G73" i="48"/>
  <c r="H73" i="48" s="1"/>
  <c r="S72" i="48"/>
  <c r="K72" i="48"/>
  <c r="G72" i="48"/>
  <c r="H72" i="48" s="1"/>
  <c r="S71" i="48"/>
  <c r="K71" i="48"/>
  <c r="G71" i="48"/>
  <c r="H71" i="48" s="1"/>
  <c r="S70" i="48"/>
  <c r="K70" i="48"/>
  <c r="G70" i="48"/>
  <c r="H70" i="48" s="1"/>
  <c r="S69" i="48"/>
  <c r="K69" i="48"/>
  <c r="G69" i="48"/>
  <c r="H69" i="48" s="1"/>
  <c r="S68" i="48"/>
  <c r="K68" i="48"/>
  <c r="G68" i="48"/>
  <c r="H68" i="48" s="1"/>
  <c r="I68" i="48" s="1"/>
  <c r="S53" i="48"/>
  <c r="K53" i="48"/>
  <c r="G53" i="48"/>
  <c r="H53" i="48" s="1"/>
  <c r="S52" i="48"/>
  <c r="K52" i="48"/>
  <c r="G52" i="48"/>
  <c r="H52" i="48" s="1"/>
  <c r="S51" i="48"/>
  <c r="K51" i="48"/>
  <c r="G51" i="48"/>
  <c r="H51" i="48" s="1"/>
  <c r="S50" i="48"/>
  <c r="K50" i="48"/>
  <c r="G50" i="48"/>
  <c r="H50" i="48" s="1"/>
  <c r="S49" i="48"/>
  <c r="K49" i="48"/>
  <c r="G49" i="48"/>
  <c r="H49" i="48" s="1"/>
  <c r="S48" i="48"/>
  <c r="K48" i="48"/>
  <c r="G48" i="48"/>
  <c r="H48" i="48" s="1"/>
  <c r="S47" i="48"/>
  <c r="K47" i="48"/>
  <c r="G47" i="48"/>
  <c r="H47" i="48" s="1"/>
  <c r="S46" i="48"/>
  <c r="K46" i="48"/>
  <c r="G46" i="48"/>
  <c r="H46" i="48" s="1"/>
  <c r="S45" i="48"/>
  <c r="K45" i="48"/>
  <c r="G45" i="48"/>
  <c r="H45" i="48" s="1"/>
  <c r="S44" i="48"/>
  <c r="K44" i="48"/>
  <c r="G44" i="48"/>
  <c r="H44" i="48" s="1"/>
  <c r="S43" i="48"/>
  <c r="K43" i="48"/>
  <c r="G43" i="48"/>
  <c r="H43" i="48" s="1"/>
  <c r="S42" i="48"/>
  <c r="K42" i="48"/>
  <c r="G42" i="48"/>
  <c r="H42" i="48" s="1"/>
  <c r="I42" i="48" s="1"/>
  <c r="S27" i="48"/>
  <c r="S26" i="48"/>
  <c r="S25" i="48"/>
  <c r="S24" i="48"/>
  <c r="S23" i="48"/>
  <c r="S22" i="48"/>
  <c r="S21" i="48"/>
  <c r="S20" i="48"/>
  <c r="S19" i="48"/>
  <c r="S18" i="48"/>
  <c r="S17" i="48"/>
  <c r="G16" i="48"/>
  <c r="H16" i="48" s="1"/>
  <c r="I16" i="48" s="1"/>
  <c r="O16" i="48" s="1"/>
  <c r="Q16" i="48" s="1"/>
  <c r="S16" i="48" s="1"/>
  <c r="G17" i="48"/>
  <c r="H17" i="48" s="1"/>
  <c r="K27" i="48"/>
  <c r="K26" i="48"/>
  <c r="K25" i="48"/>
  <c r="K24" i="48"/>
  <c r="K23" i="48"/>
  <c r="K22" i="48"/>
  <c r="K21" i="48"/>
  <c r="K20" i="48"/>
  <c r="K19" i="48"/>
  <c r="K18" i="48"/>
  <c r="K17" i="48"/>
  <c r="K16" i="48"/>
  <c r="G27" i="48"/>
  <c r="H27" i="48" s="1"/>
  <c r="G18" i="48"/>
  <c r="H18" i="48" s="1"/>
  <c r="G19" i="48"/>
  <c r="H19" i="48" s="1"/>
  <c r="G20" i="48"/>
  <c r="H20" i="48" s="1"/>
  <c r="G21" i="48"/>
  <c r="H21" i="48" s="1"/>
  <c r="G22" i="48"/>
  <c r="H22" i="48" s="1"/>
  <c r="G23" i="48"/>
  <c r="H23" i="48" s="1"/>
  <c r="G24" i="48"/>
  <c r="H24" i="48" s="1"/>
  <c r="G25" i="48"/>
  <c r="H25" i="48" s="1"/>
  <c r="G26" i="48"/>
  <c r="H26" i="48" s="1"/>
  <c r="F9" i="30"/>
  <c r="H9" i="30"/>
  <c r="L5" i="16"/>
  <c r="M5" i="16" s="1"/>
  <c r="L6" i="16"/>
  <c r="M6" i="16" s="1"/>
  <c r="L7" i="16"/>
  <c r="M7" i="16" s="1"/>
  <c r="L8" i="16"/>
  <c r="M8" i="16" s="1"/>
  <c r="L9" i="16"/>
  <c r="M9" i="16" s="1"/>
  <c r="L10" i="16"/>
  <c r="M10" i="16" s="1"/>
  <c r="L11" i="16"/>
  <c r="M11" i="16" s="1"/>
  <c r="L12" i="16"/>
  <c r="M12" i="16" s="1"/>
  <c r="L13" i="16"/>
  <c r="M13" i="16" s="1"/>
  <c r="L14" i="16"/>
  <c r="M14" i="16" s="1"/>
  <c r="L15" i="16"/>
  <c r="M15" i="16" s="1"/>
  <c r="L16" i="16"/>
  <c r="M16" i="16" s="1"/>
  <c r="L17" i="16"/>
  <c r="M17" i="16" s="1"/>
  <c r="L18" i="16"/>
  <c r="M18" i="16" s="1"/>
  <c r="L19" i="16"/>
  <c r="M19" i="16" s="1"/>
  <c r="L20" i="16"/>
  <c r="M20" i="16" s="1"/>
  <c r="L21" i="16"/>
  <c r="M21" i="16" s="1"/>
  <c r="L22" i="16"/>
  <c r="M22" i="16" s="1"/>
  <c r="L23" i="16"/>
  <c r="M23" i="16" s="1"/>
  <c r="L24" i="16"/>
  <c r="M24" i="16" s="1"/>
  <c r="L25" i="16"/>
  <c r="M25" i="16" s="1"/>
  <c r="L26" i="16"/>
  <c r="M26" i="16" s="1"/>
  <c r="L27" i="16"/>
  <c r="M27" i="16" s="1"/>
  <c r="L28" i="16"/>
  <c r="M28" i="16" s="1"/>
  <c r="L29" i="16"/>
  <c r="M29" i="16" s="1"/>
  <c r="L30" i="16"/>
  <c r="M30" i="16" s="1"/>
  <c r="L31" i="16"/>
  <c r="M31" i="16" s="1"/>
  <c r="L32" i="16"/>
  <c r="M32" i="16" s="1"/>
  <c r="L33" i="16"/>
  <c r="M33" i="16" s="1"/>
  <c r="L34" i="16"/>
  <c r="M34" i="16" s="1"/>
  <c r="L35" i="16"/>
  <c r="M35" i="16" s="1"/>
  <c r="L36" i="16"/>
  <c r="M36" i="16" s="1"/>
  <c r="L37" i="16"/>
  <c r="M37" i="16" s="1"/>
  <c r="L38" i="16"/>
  <c r="M38" i="16" s="1"/>
  <c r="L39" i="16"/>
  <c r="M39" i="16" s="1"/>
  <c r="L40" i="16"/>
  <c r="M40" i="16" s="1"/>
  <c r="L41" i="16"/>
  <c r="M41" i="16" s="1"/>
  <c r="L42" i="16"/>
  <c r="M42" i="16" s="1"/>
  <c r="L43" i="16"/>
  <c r="M43" i="16" s="1"/>
  <c r="L44" i="16"/>
  <c r="M44" i="16" s="1"/>
  <c r="L45" i="16"/>
  <c r="M45" i="16" s="1"/>
  <c r="L46" i="16"/>
  <c r="M46" i="16" s="1"/>
  <c r="L47" i="16"/>
  <c r="M47" i="16" s="1"/>
  <c r="L48" i="16"/>
  <c r="M48" i="16" s="1"/>
  <c r="L49" i="16"/>
  <c r="M49" i="16" s="1"/>
  <c r="L50" i="16"/>
  <c r="M50" i="16" s="1"/>
  <c r="L51" i="16"/>
  <c r="M51" i="16" s="1"/>
  <c r="L52" i="16"/>
  <c r="M52" i="16" s="1"/>
  <c r="L53" i="16"/>
  <c r="M53" i="16" s="1"/>
  <c r="L54" i="16"/>
  <c r="M54" i="16" s="1"/>
  <c r="L55" i="16"/>
  <c r="M55" i="16" s="1"/>
  <c r="L56" i="16"/>
  <c r="M56" i="16" s="1"/>
  <c r="L57" i="16"/>
  <c r="M57" i="16" s="1"/>
  <c r="L58" i="16"/>
  <c r="M58" i="16" s="1"/>
  <c r="L59" i="16"/>
  <c r="M59" i="16" s="1"/>
  <c r="L60" i="16"/>
  <c r="M60" i="16" s="1"/>
  <c r="L61" i="16"/>
  <c r="M61" i="16" s="1"/>
  <c r="L62" i="16"/>
  <c r="M62" i="16" s="1"/>
  <c r="L63" i="16"/>
  <c r="M63" i="16" s="1"/>
  <c r="L64" i="16"/>
  <c r="M64" i="16" s="1"/>
  <c r="L65" i="16"/>
  <c r="M65" i="16" s="1"/>
  <c r="L66" i="16"/>
  <c r="M66" i="16" s="1"/>
  <c r="L67" i="16"/>
  <c r="M67" i="16" s="1"/>
  <c r="L68" i="16"/>
  <c r="M68" i="16" s="1"/>
  <c r="L69" i="16"/>
  <c r="M69" i="16" s="1"/>
  <c r="L70" i="16"/>
  <c r="M70" i="16" s="1"/>
  <c r="L71" i="16"/>
  <c r="M71" i="16" s="1"/>
  <c r="L72" i="16"/>
  <c r="M72" i="16" s="1"/>
  <c r="L73" i="16"/>
  <c r="M73" i="16" s="1"/>
  <c r="L74" i="16"/>
  <c r="M74" i="16" s="1"/>
  <c r="L75" i="16"/>
  <c r="M75" i="16" s="1"/>
  <c r="L76" i="16"/>
  <c r="M76" i="16" s="1"/>
  <c r="L77" i="16"/>
  <c r="M77" i="16" s="1"/>
  <c r="L78" i="16"/>
  <c r="M78" i="16" s="1"/>
  <c r="L79" i="16"/>
  <c r="M79" i="16" s="1"/>
  <c r="L80" i="16"/>
  <c r="M80" i="16" s="1"/>
  <c r="L81" i="16"/>
  <c r="M81" i="16" s="1"/>
  <c r="L82" i="16"/>
  <c r="M82" i="16" s="1"/>
  <c r="L83" i="16"/>
  <c r="M83" i="16" s="1"/>
  <c r="L84" i="16"/>
  <c r="M84" i="16" s="1"/>
  <c r="L85" i="16"/>
  <c r="M85" i="16" s="1"/>
  <c r="L86" i="16"/>
  <c r="M86" i="16" s="1"/>
  <c r="L87" i="16"/>
  <c r="M87" i="16" s="1"/>
  <c r="L88" i="16"/>
  <c r="M88" i="16" s="1"/>
  <c r="L89" i="16"/>
  <c r="M89" i="16" s="1"/>
  <c r="L90" i="16"/>
  <c r="M90" i="16" s="1"/>
  <c r="L91" i="16"/>
  <c r="M91" i="16" s="1"/>
  <c r="L92" i="16"/>
  <c r="M92" i="16" s="1"/>
  <c r="L93" i="16"/>
  <c r="M93" i="16" s="1"/>
  <c r="L94" i="16"/>
  <c r="M94" i="16" s="1"/>
  <c r="L95" i="16"/>
  <c r="M95" i="16" s="1"/>
  <c r="L96" i="16"/>
  <c r="M96" i="16" s="1"/>
  <c r="L97" i="16"/>
  <c r="M97" i="16" s="1"/>
  <c r="L98" i="16"/>
  <c r="M98" i="16" s="1"/>
  <c r="L99" i="16"/>
  <c r="M99" i="16" s="1"/>
  <c r="L100" i="16"/>
  <c r="M100" i="16" s="1"/>
  <c r="L101" i="16"/>
  <c r="M101" i="16" s="1"/>
  <c r="L102" i="16"/>
  <c r="M102" i="16" s="1"/>
  <c r="L103" i="16"/>
  <c r="M103" i="16" s="1"/>
  <c r="L104" i="16"/>
  <c r="M104" i="16" s="1"/>
  <c r="L105" i="16"/>
  <c r="M105" i="16" s="1"/>
  <c r="L106" i="16"/>
  <c r="M106" i="16" s="1"/>
  <c r="L107" i="16"/>
  <c r="M107" i="16" s="1"/>
  <c r="L108" i="16"/>
  <c r="M108" i="16" s="1"/>
  <c r="L109" i="16"/>
  <c r="M109" i="16" s="1"/>
  <c r="L110" i="16"/>
  <c r="M110" i="16" s="1"/>
  <c r="L111" i="16"/>
  <c r="M111" i="16" s="1"/>
  <c r="L112" i="16"/>
  <c r="M112" i="16" s="1"/>
  <c r="L113" i="16"/>
  <c r="M113" i="16" s="1"/>
  <c r="L114" i="16"/>
  <c r="M114" i="16" s="1"/>
  <c r="L115" i="16"/>
  <c r="M115" i="16" s="1"/>
  <c r="L116" i="16"/>
  <c r="M116" i="16" s="1"/>
  <c r="L117" i="16"/>
  <c r="M117" i="16" s="1"/>
  <c r="L118" i="16"/>
  <c r="M118" i="16" s="1"/>
  <c r="L119" i="16"/>
  <c r="M119" i="16" s="1"/>
  <c r="L120" i="16"/>
  <c r="M120" i="16" s="1"/>
  <c r="L121" i="16"/>
  <c r="M121" i="16" s="1"/>
  <c r="L122" i="16"/>
  <c r="M122" i="16" s="1"/>
  <c r="L123" i="16"/>
  <c r="M123" i="16" s="1"/>
  <c r="AA2" i="16"/>
  <c r="AB2" i="16" s="1"/>
  <c r="K2" i="16"/>
  <c r="J16" i="39"/>
  <c r="H16" i="39"/>
  <c r="I16" i="39" s="1"/>
  <c r="J15" i="39"/>
  <c r="H15" i="39"/>
  <c r="I15" i="39" s="1"/>
  <c r="J14" i="39"/>
  <c r="H14" i="39"/>
  <c r="I14" i="39" s="1"/>
  <c r="H10" i="39"/>
  <c r="I10" i="39" s="1"/>
  <c r="J10" i="39"/>
  <c r="H13" i="39"/>
  <c r="I13" i="39" s="1"/>
  <c r="J13" i="39"/>
  <c r="H11" i="39"/>
  <c r="I11" i="39" s="1"/>
  <c r="J11" i="39"/>
  <c r="BR22" i="18"/>
  <c r="BR20" i="18"/>
  <c r="H10" i="45"/>
  <c r="H26" i="47"/>
  <c r="H8" i="45"/>
  <c r="I8" i="45"/>
  <c r="F21" i="45"/>
  <c r="G21" i="45" s="1"/>
  <c r="H9" i="45"/>
  <c r="I9" i="45"/>
  <c r="F22" i="45"/>
  <c r="G22" i="45" s="1"/>
  <c r="I10" i="45"/>
  <c r="F23" i="45"/>
  <c r="G23" i="45" s="1"/>
  <c r="H11" i="45"/>
  <c r="I11" i="45"/>
  <c r="F24" i="45"/>
  <c r="G24" i="45" s="1"/>
  <c r="H12" i="45"/>
  <c r="I12" i="45"/>
  <c r="F25" i="45"/>
  <c r="G25" i="45" s="1"/>
  <c r="H13" i="45"/>
  <c r="I13" i="45"/>
  <c r="F26" i="45"/>
  <c r="G26" i="45" s="1"/>
  <c r="H14" i="45"/>
  <c r="I14" i="45"/>
  <c r="F27" i="45"/>
  <c r="G27" i="45" s="1"/>
  <c r="F28" i="45"/>
  <c r="J28" i="45" s="1"/>
  <c r="F29" i="45"/>
  <c r="J29" i="45" s="1"/>
  <c r="F30" i="45"/>
  <c r="J30" i="45" s="1"/>
  <c r="F31" i="45"/>
  <c r="J31" i="45" s="1"/>
  <c r="F32" i="45"/>
  <c r="J32" i="45" s="1"/>
  <c r="F33" i="45"/>
  <c r="G33" i="45" s="1"/>
  <c r="F34" i="45"/>
  <c r="J34" i="45" s="1"/>
  <c r="F35" i="45"/>
  <c r="J35" i="45" s="1"/>
  <c r="F36" i="45"/>
  <c r="J36" i="45" s="1"/>
  <c r="F37" i="45"/>
  <c r="G37" i="45" s="1"/>
  <c r="F38" i="45"/>
  <c r="J38" i="45" s="1"/>
  <c r="H8" i="44"/>
  <c r="I8" i="44"/>
  <c r="F21" i="44"/>
  <c r="G21" i="44" s="1"/>
  <c r="H9" i="44"/>
  <c r="I9" i="44"/>
  <c r="F22" i="44"/>
  <c r="G22" i="44" s="1"/>
  <c r="H10" i="44"/>
  <c r="I10" i="44"/>
  <c r="F23" i="44"/>
  <c r="G23" i="44" s="1"/>
  <c r="H11" i="44"/>
  <c r="I11" i="44"/>
  <c r="F24" i="44"/>
  <c r="G24" i="44" s="1"/>
  <c r="H12" i="44"/>
  <c r="I12" i="44"/>
  <c r="F25" i="44"/>
  <c r="G25" i="44" s="1"/>
  <c r="H13" i="44"/>
  <c r="I13" i="44"/>
  <c r="F26" i="44"/>
  <c r="G26" i="44" s="1"/>
  <c r="H14" i="44"/>
  <c r="I14" i="44"/>
  <c r="F27" i="44"/>
  <c r="G27" i="44" s="1"/>
  <c r="F28" i="44"/>
  <c r="J28" i="44" s="1"/>
  <c r="F29" i="44"/>
  <c r="J29" i="44" s="1"/>
  <c r="F30" i="44"/>
  <c r="G30" i="44" s="1"/>
  <c r="F31" i="44"/>
  <c r="J31" i="44" s="1"/>
  <c r="F32" i="44"/>
  <c r="J32" i="44" s="1"/>
  <c r="F33" i="44"/>
  <c r="J33" i="44" s="1"/>
  <c r="F34" i="44"/>
  <c r="G34" i="44" s="1"/>
  <c r="F35" i="44"/>
  <c r="J35" i="44" s="1"/>
  <c r="F36" i="44"/>
  <c r="J36" i="44" s="1"/>
  <c r="F37" i="44"/>
  <c r="J37" i="44" s="1"/>
  <c r="F38" i="44"/>
  <c r="J38" i="44" s="1"/>
  <c r="O38" i="3"/>
  <c r="O39" i="3"/>
  <c r="H9" i="47"/>
  <c r="I9" i="47"/>
  <c r="H10" i="47"/>
  <c r="I10" i="47"/>
  <c r="H11" i="47"/>
  <c r="I11" i="47"/>
  <c r="H12" i="47"/>
  <c r="I12" i="47"/>
  <c r="H13" i="47"/>
  <c r="I13" i="47"/>
  <c r="H14" i="47"/>
  <c r="I14" i="47"/>
  <c r="H15" i="47"/>
  <c r="I15" i="47"/>
  <c r="H16" i="47"/>
  <c r="I16" i="47"/>
  <c r="H17" i="47"/>
  <c r="I17" i="47"/>
  <c r="H18" i="47"/>
  <c r="I18" i="47"/>
  <c r="H19" i="47"/>
  <c r="I19" i="47"/>
  <c r="H20" i="47"/>
  <c r="I20" i="47"/>
  <c r="H21" i="47"/>
  <c r="I21" i="47"/>
  <c r="H22" i="47"/>
  <c r="I22" i="47"/>
  <c r="H23" i="47"/>
  <c r="I23" i="47"/>
  <c r="H24" i="47"/>
  <c r="I24" i="47"/>
  <c r="H25" i="47"/>
  <c r="I25" i="47"/>
  <c r="I26" i="47"/>
  <c r="H27" i="47"/>
  <c r="I27" i="47"/>
  <c r="H28" i="47"/>
  <c r="I28" i="47"/>
  <c r="H8" i="47"/>
  <c r="I8" i="47"/>
  <c r="F35" i="47"/>
  <c r="B8" i="47"/>
  <c r="B9" i="47"/>
  <c r="B10" i="47"/>
  <c r="B11" i="47"/>
  <c r="B12" i="47"/>
  <c r="B13" i="47"/>
  <c r="B14" i="47"/>
  <c r="B15" i="47"/>
  <c r="B16" i="47"/>
  <c r="B17" i="47"/>
  <c r="B18" i="47"/>
  <c r="B19" i="47"/>
  <c r="B20" i="47"/>
  <c r="B21" i="47"/>
  <c r="B22" i="47"/>
  <c r="B23" i="47"/>
  <c r="B24" i="47"/>
  <c r="B25" i="47"/>
  <c r="B26" i="47"/>
  <c r="B27" i="47"/>
  <c r="B28" i="47"/>
  <c r="F36" i="47"/>
  <c r="F37" i="47"/>
  <c r="F38" i="47"/>
  <c r="F39" i="47"/>
  <c r="F40" i="47"/>
  <c r="F41" i="47"/>
  <c r="F42" i="47"/>
  <c r="F43" i="47"/>
  <c r="F44" i="47"/>
  <c r="F45" i="47"/>
  <c r="F46" i="47"/>
  <c r="F47" i="47"/>
  <c r="F48" i="47"/>
  <c r="F49" i="47"/>
  <c r="F50" i="47"/>
  <c r="F51" i="47"/>
  <c r="F52" i="47"/>
  <c r="F53" i="47"/>
  <c r="F54" i="47"/>
  <c r="F55" i="47"/>
  <c r="G30" i="47"/>
  <c r="G16" i="45"/>
  <c r="G16" i="44"/>
  <c r="N74" i="43"/>
  <c r="M74" i="43"/>
  <c r="L74" i="43"/>
  <c r="K74" i="43"/>
  <c r="J74" i="43"/>
  <c r="I74" i="43"/>
  <c r="H74" i="43"/>
  <c r="G74" i="43"/>
  <c r="F74" i="43"/>
  <c r="E74" i="43"/>
  <c r="D74" i="43"/>
  <c r="C74" i="43"/>
  <c r="N64" i="43"/>
  <c r="M64" i="43"/>
  <c r="L64" i="43"/>
  <c r="K64" i="43"/>
  <c r="J64" i="43"/>
  <c r="I64" i="43"/>
  <c r="H64" i="43"/>
  <c r="G64" i="43"/>
  <c r="F64" i="43"/>
  <c r="E64" i="43"/>
  <c r="D64" i="43"/>
  <c r="C64" i="43"/>
  <c r="N54" i="43"/>
  <c r="M54" i="43"/>
  <c r="L54" i="43"/>
  <c r="K54" i="43"/>
  <c r="J54" i="43"/>
  <c r="I54" i="43"/>
  <c r="H54" i="43"/>
  <c r="G54" i="43"/>
  <c r="F54" i="43"/>
  <c r="E54" i="43"/>
  <c r="D54" i="43"/>
  <c r="C54" i="43"/>
  <c r="N44" i="43"/>
  <c r="M44" i="43"/>
  <c r="L44" i="43"/>
  <c r="K44" i="43"/>
  <c r="J44" i="43"/>
  <c r="I44" i="43"/>
  <c r="H44" i="43"/>
  <c r="G44" i="43"/>
  <c r="F44" i="43"/>
  <c r="E44" i="43"/>
  <c r="D44" i="43"/>
  <c r="C44" i="43"/>
  <c r="N34" i="43"/>
  <c r="M34" i="43"/>
  <c r="L34" i="43"/>
  <c r="K34" i="43"/>
  <c r="J34" i="43"/>
  <c r="I34" i="43"/>
  <c r="H34" i="43"/>
  <c r="G34" i="43"/>
  <c r="F34" i="43"/>
  <c r="E34" i="43"/>
  <c r="D34" i="43"/>
  <c r="C34" i="43"/>
  <c r="N24" i="43"/>
  <c r="M24" i="43"/>
  <c r="L24" i="43"/>
  <c r="K24" i="43"/>
  <c r="J24" i="43"/>
  <c r="I24" i="43"/>
  <c r="H24" i="43"/>
  <c r="G24" i="43"/>
  <c r="F24" i="43"/>
  <c r="E24" i="43"/>
  <c r="D24" i="43"/>
  <c r="C24" i="43"/>
  <c r="N14" i="43"/>
  <c r="M14" i="43"/>
  <c r="L14" i="43"/>
  <c r="K14" i="43"/>
  <c r="J14" i="43"/>
  <c r="I14" i="43"/>
  <c r="H14" i="43"/>
  <c r="G14" i="43"/>
  <c r="F14" i="43"/>
  <c r="E14" i="43"/>
  <c r="D14" i="43"/>
  <c r="C14" i="43"/>
  <c r="BQ22" i="18"/>
  <c r="BP22" i="18"/>
  <c r="BQ20" i="18"/>
  <c r="BP20" i="18"/>
  <c r="AX5" i="19"/>
  <c r="AY5" i="19"/>
  <c r="AZ5" i="19"/>
  <c r="BA5" i="19"/>
  <c r="BB5" i="19"/>
  <c r="BC5" i="19"/>
  <c r="BD5" i="19"/>
  <c r="BE5" i="19"/>
  <c r="BF5" i="19"/>
  <c r="BG5" i="19"/>
  <c r="BH5" i="19"/>
  <c r="BI5" i="19"/>
  <c r="BJ5" i="19"/>
  <c r="S3" i="35"/>
  <c r="AD3" i="35" s="1"/>
  <c r="S4" i="35"/>
  <c r="AD4" i="35" s="1"/>
  <c r="AC4" i="35"/>
  <c r="S5" i="35"/>
  <c r="AD5" i="35" s="1"/>
  <c r="S6" i="35"/>
  <c r="AD6" i="35" s="1"/>
  <c r="S7" i="35"/>
  <c r="AD7" i="35" s="1"/>
  <c r="S8" i="35"/>
  <c r="AD8" i="35" s="1"/>
  <c r="S9" i="35"/>
  <c r="AD9" i="35" s="1"/>
  <c r="S10" i="35"/>
  <c r="AD10" i="35" s="1"/>
  <c r="AA10" i="35"/>
  <c r="AC10" i="35" s="1"/>
  <c r="S11" i="35"/>
  <c r="AD11" i="35" s="1"/>
  <c r="AA11" i="35"/>
  <c r="S12" i="35"/>
  <c r="AD12" i="35" s="1"/>
  <c r="AA12" i="35"/>
  <c r="S13" i="35"/>
  <c r="AD13" i="35" s="1"/>
  <c r="AB13" i="35"/>
  <c r="AA13" i="35"/>
  <c r="S14" i="35"/>
  <c r="AD14" i="35" s="1"/>
  <c r="AB14" i="35"/>
  <c r="Z14" i="35"/>
  <c r="AA14" i="35" s="1"/>
  <c r="S15" i="35"/>
  <c r="AD15" i="35" s="1"/>
  <c r="AB15" i="35"/>
  <c r="Z15" i="35"/>
  <c r="AA15" i="35" s="1"/>
  <c r="S16" i="35"/>
  <c r="AD16" i="35" s="1"/>
  <c r="AB16" i="35"/>
  <c r="Z16" i="35"/>
  <c r="AA16" i="35" s="1"/>
  <c r="S17" i="35"/>
  <c r="AD17" i="35" s="1"/>
  <c r="AB17" i="35"/>
  <c r="Z17" i="35"/>
  <c r="AA17" i="35" s="1"/>
  <c r="AC17" i="35" s="1"/>
  <c r="S18" i="35"/>
  <c r="AD18" i="35" s="1"/>
  <c r="AB18" i="35"/>
  <c r="Z18" i="35"/>
  <c r="AA18" i="35" s="1"/>
  <c r="S19" i="35"/>
  <c r="AD19" i="35" s="1"/>
  <c r="AB19" i="35"/>
  <c r="Z19" i="35"/>
  <c r="AA19" i="35" s="1"/>
  <c r="S20" i="35"/>
  <c r="AD20" i="35" s="1"/>
  <c r="AB20" i="35"/>
  <c r="Z20" i="35"/>
  <c r="AA20" i="35" s="1"/>
  <c r="S21" i="35"/>
  <c r="AD21" i="35" s="1"/>
  <c r="AB21" i="35"/>
  <c r="Z21" i="35"/>
  <c r="AA21" i="35" s="1"/>
  <c r="S22" i="35"/>
  <c r="AD22" i="35" s="1"/>
  <c r="AB22" i="35"/>
  <c r="Z22" i="35"/>
  <c r="AA22" i="35" s="1"/>
  <c r="S23" i="35"/>
  <c r="AD23" i="35" s="1"/>
  <c r="AB23" i="35"/>
  <c r="Z23" i="35"/>
  <c r="AA23" i="35" s="1"/>
  <c r="S24" i="35"/>
  <c r="AD24" i="35" s="1"/>
  <c r="AB24" i="35"/>
  <c r="Z24" i="35"/>
  <c r="AA24" i="35" s="1"/>
  <c r="S25" i="35"/>
  <c r="AD25" i="35" s="1"/>
  <c r="AB25" i="35"/>
  <c r="Z25" i="35"/>
  <c r="AA25" i="35" s="1"/>
  <c r="S26" i="35"/>
  <c r="AD26" i="35" s="1"/>
  <c r="AB26" i="35"/>
  <c r="Z26" i="35"/>
  <c r="AA26" i="35" s="1"/>
  <c r="S27" i="35"/>
  <c r="AD27" i="35" s="1"/>
  <c r="AB27" i="35"/>
  <c r="Z27" i="35"/>
  <c r="AA27" i="35" s="1"/>
  <c r="S28" i="35"/>
  <c r="AD28" i="35" s="1"/>
  <c r="AB28" i="35"/>
  <c r="Z28" i="35"/>
  <c r="AA28" i="35" s="1"/>
  <c r="S29" i="35"/>
  <c r="AD29" i="35" s="1"/>
  <c r="AB29" i="35"/>
  <c r="Z29" i="35"/>
  <c r="AA29" i="35" s="1"/>
  <c r="S30" i="35"/>
  <c r="AD30" i="35" s="1"/>
  <c r="AB30" i="35"/>
  <c r="Z30" i="35"/>
  <c r="AA30" i="35" s="1"/>
  <c r="S31" i="35"/>
  <c r="AD31" i="35" s="1"/>
  <c r="AB31" i="35"/>
  <c r="Z31" i="35"/>
  <c r="AA31" i="35" s="1"/>
  <c r="S32" i="35"/>
  <c r="AD32" i="35" s="1"/>
  <c r="AB32" i="35"/>
  <c r="Z32" i="35"/>
  <c r="AA32" i="35" s="1"/>
  <c r="S33" i="35"/>
  <c r="AD33" i="35" s="1"/>
  <c r="AB33" i="35"/>
  <c r="Z33" i="35"/>
  <c r="AA33" i="35" s="1"/>
  <c r="S34" i="35"/>
  <c r="AD34" i="35" s="1"/>
  <c r="AB34" i="35"/>
  <c r="Z34" i="35"/>
  <c r="AA34" i="35" s="1"/>
  <c r="S35" i="35"/>
  <c r="AD35" i="35" s="1"/>
  <c r="AB35" i="35"/>
  <c r="Z35" i="35"/>
  <c r="AA35" i="35" s="1"/>
  <c r="S36" i="35"/>
  <c r="AD36" i="35" s="1"/>
  <c r="AB36" i="35"/>
  <c r="Z36" i="35"/>
  <c r="AA36" i="35" s="1"/>
  <c r="S37" i="35"/>
  <c r="AD37" i="35" s="1"/>
  <c r="AB37" i="35"/>
  <c r="Z37" i="35"/>
  <c r="AA37" i="35" s="1"/>
  <c r="S38" i="35"/>
  <c r="AD38" i="35" s="1"/>
  <c r="AB38" i="35"/>
  <c r="Z38" i="35"/>
  <c r="AA38" i="35" s="1"/>
  <c r="S39" i="35"/>
  <c r="AD39" i="35" s="1"/>
  <c r="AB39" i="35"/>
  <c r="Z39" i="35"/>
  <c r="AA39" i="35" s="1"/>
  <c r="S40" i="35"/>
  <c r="AD40" i="35" s="1"/>
  <c r="AB40" i="35"/>
  <c r="Z40" i="35"/>
  <c r="AA40" i="35" s="1"/>
  <c r="S41" i="35"/>
  <c r="AD41" i="35" s="1"/>
  <c r="AB41" i="35"/>
  <c r="Z41" i="35"/>
  <c r="AA41" i="35" s="1"/>
  <c r="S42" i="35"/>
  <c r="AD42" i="35" s="1"/>
  <c r="AB42" i="35"/>
  <c r="Z42" i="35"/>
  <c r="AA42" i="35" s="1"/>
  <c r="S43" i="35"/>
  <c r="AD43" i="35" s="1"/>
  <c r="AB43" i="35"/>
  <c r="Z43" i="35"/>
  <c r="AA43" i="35" s="1"/>
  <c r="S44" i="35"/>
  <c r="AD44" i="35" s="1"/>
  <c r="AB44" i="35"/>
  <c r="Z44" i="35"/>
  <c r="AA44" i="35" s="1"/>
  <c r="S45" i="35"/>
  <c r="AD45" i="35" s="1"/>
  <c r="AB45" i="35"/>
  <c r="Z45" i="35"/>
  <c r="AA45" i="35" s="1"/>
  <c r="S46" i="35"/>
  <c r="AD46" i="35" s="1"/>
  <c r="AB46" i="35"/>
  <c r="Z46" i="35"/>
  <c r="AA46" i="35" s="1"/>
  <c r="S47" i="35"/>
  <c r="AD47" i="35" s="1"/>
  <c r="AB47" i="35"/>
  <c r="Z47" i="35"/>
  <c r="AA47" i="35" s="1"/>
  <c r="S48" i="35"/>
  <c r="AD48" i="35" s="1"/>
  <c r="AB48" i="35"/>
  <c r="Z48" i="35"/>
  <c r="AA48" i="35" s="1"/>
  <c r="S49" i="35"/>
  <c r="AD49" i="35" s="1"/>
  <c r="AB49" i="35"/>
  <c r="Z49" i="35"/>
  <c r="AA49" i="35" s="1"/>
  <c r="S50" i="35"/>
  <c r="AD50" i="35" s="1"/>
  <c r="AB50" i="35"/>
  <c r="Z50" i="35"/>
  <c r="AA50" i="35" s="1"/>
  <c r="S51" i="35"/>
  <c r="AD51" i="35" s="1"/>
  <c r="AB51" i="35"/>
  <c r="Z51" i="35"/>
  <c r="AA51" i="35" s="1"/>
  <c r="S52" i="35"/>
  <c r="AD52" i="35" s="1"/>
  <c r="AB52" i="35"/>
  <c r="Z52" i="35"/>
  <c r="AA52" i="35" s="1"/>
  <c r="S53" i="35"/>
  <c r="AD53" i="35" s="1"/>
  <c r="AB53" i="35"/>
  <c r="Z53" i="35"/>
  <c r="AA53" i="35" s="1"/>
  <c r="S54" i="35"/>
  <c r="AD54" i="35" s="1"/>
  <c r="AB54" i="35"/>
  <c r="Z54" i="35"/>
  <c r="AA54" i="35" s="1"/>
  <c r="S55" i="35"/>
  <c r="AD55" i="35" s="1"/>
  <c r="AB55" i="35"/>
  <c r="Z55" i="35"/>
  <c r="AA55" i="35" s="1"/>
  <c r="S56" i="35"/>
  <c r="AD56" i="35" s="1"/>
  <c r="AB56" i="35"/>
  <c r="Z56" i="35"/>
  <c r="AA56" i="35" s="1"/>
  <c r="S57" i="35"/>
  <c r="AD57" i="35" s="1"/>
  <c r="AB57" i="35"/>
  <c r="Z57" i="35"/>
  <c r="AA57" i="35" s="1"/>
  <c r="S58" i="35"/>
  <c r="AD58" i="35" s="1"/>
  <c r="AB58" i="35"/>
  <c r="Z58" i="35"/>
  <c r="AA58" i="35" s="1"/>
  <c r="S59" i="35"/>
  <c r="AD59" i="35" s="1"/>
  <c r="AB59" i="35"/>
  <c r="Z59" i="35"/>
  <c r="AA59" i="35" s="1"/>
  <c r="S60" i="35"/>
  <c r="AD60" i="35" s="1"/>
  <c r="AB60" i="35"/>
  <c r="Z60" i="35"/>
  <c r="AA60" i="35" s="1"/>
  <c r="S61" i="35"/>
  <c r="AD61" i="35" s="1"/>
  <c r="AB61" i="35"/>
  <c r="Z61" i="35"/>
  <c r="AA61" i="35" s="1"/>
  <c r="S62" i="35"/>
  <c r="AD62" i="35" s="1"/>
  <c r="AB62" i="35"/>
  <c r="Z62" i="35"/>
  <c r="AA62" i="35" s="1"/>
  <c r="S63" i="35"/>
  <c r="AD63" i="35" s="1"/>
  <c r="AB63" i="35"/>
  <c r="Z63" i="35"/>
  <c r="AA63" i="35" s="1"/>
  <c r="S64" i="35"/>
  <c r="AD64" i="35" s="1"/>
  <c r="AB64" i="35"/>
  <c r="Z64" i="35"/>
  <c r="AA64" i="35" s="1"/>
  <c r="S65" i="35"/>
  <c r="AD65" i="35" s="1"/>
  <c r="AB65" i="35"/>
  <c r="Z65" i="35"/>
  <c r="AA65" i="35" s="1"/>
  <c r="AC65" i="35" s="1"/>
  <c r="S66" i="35"/>
  <c r="AD66" i="35" s="1"/>
  <c r="AB66" i="35"/>
  <c r="Z66" i="35"/>
  <c r="AA66" i="35" s="1"/>
  <c r="S67" i="35"/>
  <c r="AD67" i="35" s="1"/>
  <c r="AB67" i="35"/>
  <c r="Z67" i="35"/>
  <c r="AA67" i="35" s="1"/>
  <c r="S68" i="35"/>
  <c r="AD68" i="35" s="1"/>
  <c r="AB68" i="35"/>
  <c r="Z68" i="35"/>
  <c r="AA68" i="35" s="1"/>
  <c r="S69" i="35"/>
  <c r="AD69" i="35" s="1"/>
  <c r="AB69" i="35"/>
  <c r="Z69" i="35"/>
  <c r="AA69" i="35" s="1"/>
  <c r="S70" i="35"/>
  <c r="AD70" i="35" s="1"/>
  <c r="AB70" i="35"/>
  <c r="Z70" i="35"/>
  <c r="AA70" i="35" s="1"/>
  <c r="S71" i="35"/>
  <c r="AD71" i="35" s="1"/>
  <c r="AB71" i="35"/>
  <c r="Z71" i="35"/>
  <c r="AA71" i="35" s="1"/>
  <c r="S72" i="35"/>
  <c r="AD72" i="35" s="1"/>
  <c r="AB72" i="35"/>
  <c r="Z72" i="35"/>
  <c r="AA72" i="35" s="1"/>
  <c r="S73" i="35"/>
  <c r="AD73" i="35" s="1"/>
  <c r="AB73" i="35"/>
  <c r="Z73" i="35"/>
  <c r="AA73" i="35" s="1"/>
  <c r="S74" i="35"/>
  <c r="AD74" i="35" s="1"/>
  <c r="AB74" i="35"/>
  <c r="Z74" i="35"/>
  <c r="AA74" i="35" s="1"/>
  <c r="S75" i="35"/>
  <c r="AD75" i="35" s="1"/>
  <c r="AB75" i="35"/>
  <c r="Z75" i="35"/>
  <c r="AA75" i="35" s="1"/>
  <c r="S76" i="35"/>
  <c r="AD76" i="35" s="1"/>
  <c r="AB76" i="35"/>
  <c r="Z76" i="35"/>
  <c r="AA76" i="35" s="1"/>
  <c r="S77" i="35"/>
  <c r="AD77" i="35" s="1"/>
  <c r="AB77" i="35"/>
  <c r="Z77" i="35"/>
  <c r="AA77" i="35" s="1"/>
  <c r="S78" i="35"/>
  <c r="AD78" i="35" s="1"/>
  <c r="AB78" i="35"/>
  <c r="Z78" i="35"/>
  <c r="AA78" i="35" s="1"/>
  <c r="S79" i="35"/>
  <c r="AD79" i="35" s="1"/>
  <c r="AB79" i="35"/>
  <c r="Z79" i="35"/>
  <c r="AA79" i="35" s="1"/>
  <c r="S80" i="35"/>
  <c r="AD80" i="35" s="1"/>
  <c r="AB80" i="35"/>
  <c r="Z80" i="35"/>
  <c r="AA80" i="35" s="1"/>
  <c r="S81" i="35"/>
  <c r="AD81" i="35" s="1"/>
  <c r="AB81" i="35"/>
  <c r="Z81" i="35"/>
  <c r="AA81" i="35" s="1"/>
  <c r="AC81" i="35" s="1"/>
  <c r="S82" i="35"/>
  <c r="AD82" i="35" s="1"/>
  <c r="AB82" i="35"/>
  <c r="Z82" i="35"/>
  <c r="AA82" i="35" s="1"/>
  <c r="S83" i="35"/>
  <c r="AD83" i="35" s="1"/>
  <c r="AB83" i="35"/>
  <c r="Z83" i="35"/>
  <c r="AA83" i="35" s="1"/>
  <c r="S84" i="35"/>
  <c r="AD84" i="35" s="1"/>
  <c r="AB84" i="35"/>
  <c r="Z84" i="35"/>
  <c r="AA84" i="35" s="1"/>
  <c r="S85" i="35"/>
  <c r="AD85" i="35" s="1"/>
  <c r="AB85" i="35"/>
  <c r="Z85" i="35"/>
  <c r="AA85" i="35" s="1"/>
  <c r="AC85" i="35" s="1"/>
  <c r="S86" i="35"/>
  <c r="AD86" i="35" s="1"/>
  <c r="AB86" i="35"/>
  <c r="Z86" i="35"/>
  <c r="AA86" i="35" s="1"/>
  <c r="S87" i="35"/>
  <c r="AD87" i="35" s="1"/>
  <c r="AB87" i="35"/>
  <c r="Z87" i="35"/>
  <c r="AA87" i="35" s="1"/>
  <c r="S88" i="35"/>
  <c r="AD88" i="35" s="1"/>
  <c r="AB88" i="35"/>
  <c r="Z88" i="35"/>
  <c r="AA88" i="35" s="1"/>
  <c r="S89" i="35"/>
  <c r="AD89" i="35" s="1"/>
  <c r="AB89" i="35"/>
  <c r="Z89" i="35"/>
  <c r="AA89" i="35" s="1"/>
  <c r="S90" i="35"/>
  <c r="AD90" i="35" s="1"/>
  <c r="AB90" i="35"/>
  <c r="Z90" i="35"/>
  <c r="AA90" i="35" s="1"/>
  <c r="S91" i="35"/>
  <c r="AD91" i="35" s="1"/>
  <c r="AB91" i="35"/>
  <c r="Z91" i="35"/>
  <c r="AA91" i="35" s="1"/>
  <c r="S92" i="35"/>
  <c r="AD92" i="35" s="1"/>
  <c r="AB92" i="35"/>
  <c r="Z92" i="35"/>
  <c r="AA92" i="35" s="1"/>
  <c r="S93" i="35"/>
  <c r="AD93" i="35" s="1"/>
  <c r="AB93" i="35"/>
  <c r="Z93" i="35"/>
  <c r="AA93" i="35" s="1"/>
  <c r="S94" i="35"/>
  <c r="AD94" i="35" s="1"/>
  <c r="AB94" i="35"/>
  <c r="Z94" i="35"/>
  <c r="AA94" i="35" s="1"/>
  <c r="S95" i="35"/>
  <c r="AD95" i="35" s="1"/>
  <c r="AB95" i="35"/>
  <c r="Z95" i="35"/>
  <c r="AA95" i="35" s="1"/>
  <c r="S96" i="35"/>
  <c r="AD96" i="35" s="1"/>
  <c r="AB96" i="35"/>
  <c r="Z96" i="35"/>
  <c r="AA96" i="35" s="1"/>
  <c r="S97" i="35"/>
  <c r="AD97" i="35" s="1"/>
  <c r="AB97" i="35"/>
  <c r="Z97" i="35"/>
  <c r="AA97" i="35" s="1"/>
  <c r="S98" i="35"/>
  <c r="AD98" i="35" s="1"/>
  <c r="AB98" i="35"/>
  <c r="Z98" i="35"/>
  <c r="AA98" i="35" s="1"/>
  <c r="S99" i="35"/>
  <c r="AD99" i="35" s="1"/>
  <c r="AB99" i="35"/>
  <c r="Z99" i="35"/>
  <c r="AA99" i="35" s="1"/>
  <c r="S100" i="35"/>
  <c r="AD100" i="35" s="1"/>
  <c r="AB100" i="35"/>
  <c r="Z100" i="35"/>
  <c r="AA100" i="35" s="1"/>
  <c r="S101" i="35"/>
  <c r="AD101" i="35" s="1"/>
  <c r="AB101" i="35"/>
  <c r="Z101" i="35"/>
  <c r="AA101" i="35" s="1"/>
  <c r="S102" i="35"/>
  <c r="AD102" i="35" s="1"/>
  <c r="AB102" i="35"/>
  <c r="Z102" i="35"/>
  <c r="AA102" i="35" s="1"/>
  <c r="S103" i="35"/>
  <c r="AD103" i="35" s="1"/>
  <c r="AB103" i="35"/>
  <c r="Z103" i="35"/>
  <c r="AA103" i="35" s="1"/>
  <c r="S104" i="35"/>
  <c r="AD104" i="35" s="1"/>
  <c r="AB104" i="35"/>
  <c r="Z104" i="35"/>
  <c r="AA104" i="35" s="1"/>
  <c r="S105" i="35"/>
  <c r="AD105" i="35" s="1"/>
  <c r="AB105" i="35"/>
  <c r="Z105" i="35"/>
  <c r="AA105" i="35" s="1"/>
  <c r="S106" i="35"/>
  <c r="AD106" i="35" s="1"/>
  <c r="AB106" i="35"/>
  <c r="Z106" i="35"/>
  <c r="AA106" i="35" s="1"/>
  <c r="S107" i="35"/>
  <c r="AD107" i="35" s="1"/>
  <c r="AB107" i="35"/>
  <c r="Z107" i="35"/>
  <c r="AA107" i="35" s="1"/>
  <c r="S108" i="35"/>
  <c r="AD108" i="35" s="1"/>
  <c r="AB108" i="35"/>
  <c r="Z108" i="35"/>
  <c r="AA108" i="35" s="1"/>
  <c r="S109" i="35"/>
  <c r="AD109" i="35" s="1"/>
  <c r="AB109" i="35"/>
  <c r="Z109" i="35"/>
  <c r="AA109" i="35" s="1"/>
  <c r="S110" i="35"/>
  <c r="AD110" i="35" s="1"/>
  <c r="AB110" i="35"/>
  <c r="Z110" i="35"/>
  <c r="AA110" i="35" s="1"/>
  <c r="S111" i="35"/>
  <c r="AD111" i="35" s="1"/>
  <c r="AB111" i="35"/>
  <c r="Z111" i="35"/>
  <c r="AA111" i="35" s="1"/>
  <c r="S112" i="35"/>
  <c r="AD112" i="35" s="1"/>
  <c r="AB112" i="35"/>
  <c r="Z112" i="35"/>
  <c r="AA112" i="35" s="1"/>
  <c r="S113" i="35"/>
  <c r="AD113" i="35" s="1"/>
  <c r="AB113" i="35"/>
  <c r="Z113" i="35"/>
  <c r="AA113" i="35" s="1"/>
  <c r="S114" i="35"/>
  <c r="AD114" i="35" s="1"/>
  <c r="AB114" i="35"/>
  <c r="Z114" i="35"/>
  <c r="AA114" i="35" s="1"/>
  <c r="S115" i="35"/>
  <c r="AD115" i="35" s="1"/>
  <c r="AB115" i="35"/>
  <c r="Z115" i="35"/>
  <c r="AA115" i="35" s="1"/>
  <c r="S116" i="35"/>
  <c r="AD116" i="35" s="1"/>
  <c r="AB116" i="35"/>
  <c r="Z116" i="35"/>
  <c r="AA116" i="35" s="1"/>
  <c r="S117" i="35"/>
  <c r="AD117" i="35" s="1"/>
  <c r="AB117" i="35"/>
  <c r="Z117" i="35"/>
  <c r="AA117" i="35" s="1"/>
  <c r="AC117" i="35" s="1"/>
  <c r="S118" i="35"/>
  <c r="AD118" i="35" s="1"/>
  <c r="AB118" i="35"/>
  <c r="Z118" i="35"/>
  <c r="AA118" i="35" s="1"/>
  <c r="S119" i="35"/>
  <c r="AD119" i="35" s="1"/>
  <c r="AB119" i="35"/>
  <c r="Z119" i="35"/>
  <c r="AA119" i="35" s="1"/>
  <c r="S120" i="35"/>
  <c r="AD120" i="35" s="1"/>
  <c r="AB120" i="35"/>
  <c r="Z120" i="35"/>
  <c r="AA120" i="35" s="1"/>
  <c r="S121" i="35"/>
  <c r="AD121" i="35" s="1"/>
  <c r="AB121" i="35"/>
  <c r="Z121" i="35"/>
  <c r="AA121" i="35" s="1"/>
  <c r="S122" i="35"/>
  <c r="AD122" i="35" s="1"/>
  <c r="AB122" i="35"/>
  <c r="Z122" i="35"/>
  <c r="AA122" i="35" s="1"/>
  <c r="S123" i="35"/>
  <c r="AD123" i="35" s="1"/>
  <c r="AB123" i="35"/>
  <c r="Z123" i="35"/>
  <c r="AA123" i="35" s="1"/>
  <c r="S124" i="35"/>
  <c r="AD124" i="35" s="1"/>
  <c r="AB124" i="35"/>
  <c r="Z124" i="35"/>
  <c r="AA124" i="35" s="1"/>
  <c r="S125" i="35"/>
  <c r="AD125" i="35" s="1"/>
  <c r="AB125" i="35"/>
  <c r="Z125" i="35"/>
  <c r="AA125" i="35" s="1"/>
  <c r="S126" i="35"/>
  <c r="AD126" i="35" s="1"/>
  <c r="AB126" i="35"/>
  <c r="Z126" i="35"/>
  <c r="AA126" i="35" s="1"/>
  <c r="S127" i="35"/>
  <c r="AD127" i="35" s="1"/>
  <c r="AB127" i="35"/>
  <c r="Z127" i="35"/>
  <c r="AA127" i="35" s="1"/>
  <c r="S128" i="35"/>
  <c r="AD128" i="35" s="1"/>
  <c r="AB128" i="35"/>
  <c r="Z128" i="35"/>
  <c r="AA128" i="35" s="1"/>
  <c r="S129" i="35"/>
  <c r="AD129" i="35" s="1"/>
  <c r="AB129" i="35"/>
  <c r="Z129" i="35"/>
  <c r="AA129" i="35" s="1"/>
  <c r="S130" i="35"/>
  <c r="AD130" i="35" s="1"/>
  <c r="AB130" i="35"/>
  <c r="Z130" i="35"/>
  <c r="AA130" i="35" s="1"/>
  <c r="S131" i="35"/>
  <c r="AD131" i="35" s="1"/>
  <c r="AB131" i="35"/>
  <c r="Z131" i="35"/>
  <c r="AA131" i="35" s="1"/>
  <c r="S132" i="35"/>
  <c r="AD132" i="35" s="1"/>
  <c r="AB132" i="35"/>
  <c r="Z132" i="35"/>
  <c r="AA132" i="35" s="1"/>
  <c r="S133" i="35"/>
  <c r="AD133" i="35" s="1"/>
  <c r="AB133" i="35"/>
  <c r="Z133" i="35"/>
  <c r="AA133" i="35" s="1"/>
  <c r="S134" i="35"/>
  <c r="AD134" i="35" s="1"/>
  <c r="AB134" i="35"/>
  <c r="Z134" i="35"/>
  <c r="AA134" i="35" s="1"/>
  <c r="S135" i="35"/>
  <c r="AD135" i="35" s="1"/>
  <c r="AB135" i="35"/>
  <c r="Z135" i="35"/>
  <c r="AA135" i="35" s="1"/>
  <c r="S136" i="35"/>
  <c r="AD136" i="35" s="1"/>
  <c r="AB136" i="35"/>
  <c r="Z136" i="35"/>
  <c r="AA136" i="35" s="1"/>
  <c r="S137" i="35"/>
  <c r="AD137" i="35" s="1"/>
  <c r="AB137" i="35"/>
  <c r="Z137" i="35"/>
  <c r="AA137" i="35" s="1"/>
  <c r="S138" i="35"/>
  <c r="AD138" i="35" s="1"/>
  <c r="AB138" i="35"/>
  <c r="Z138" i="35"/>
  <c r="AA138" i="35" s="1"/>
  <c r="S139" i="35"/>
  <c r="AD139" i="35" s="1"/>
  <c r="AB139" i="35"/>
  <c r="Z139" i="35"/>
  <c r="AA139" i="35" s="1"/>
  <c r="S140" i="35"/>
  <c r="AD140" i="35" s="1"/>
  <c r="AB140" i="35"/>
  <c r="Z140" i="35"/>
  <c r="AA140" i="35" s="1"/>
  <c r="S141" i="35"/>
  <c r="AD141" i="35" s="1"/>
  <c r="AB141" i="35"/>
  <c r="Z141" i="35"/>
  <c r="AA141" i="35" s="1"/>
  <c r="S142" i="35"/>
  <c r="AD142" i="35" s="1"/>
  <c r="AB142" i="35"/>
  <c r="Z142" i="35"/>
  <c r="AA142" i="35" s="1"/>
  <c r="S143" i="35"/>
  <c r="AD143" i="35" s="1"/>
  <c r="AB143" i="35"/>
  <c r="Z143" i="35"/>
  <c r="AA143" i="35" s="1"/>
  <c r="S144" i="35"/>
  <c r="AD144" i="35" s="1"/>
  <c r="AB144" i="35"/>
  <c r="Z144" i="35"/>
  <c r="AA144" i="35" s="1"/>
  <c r="S145" i="35"/>
  <c r="AD145" i="35" s="1"/>
  <c r="AB145" i="35"/>
  <c r="Z145" i="35"/>
  <c r="AA145" i="35" s="1"/>
  <c r="S146" i="35"/>
  <c r="AD146" i="35" s="1"/>
  <c r="AB146" i="35"/>
  <c r="Z146" i="35"/>
  <c r="AA146" i="35" s="1"/>
  <c r="S147" i="35"/>
  <c r="AD147" i="35" s="1"/>
  <c r="AB147" i="35"/>
  <c r="Z147" i="35"/>
  <c r="AA147" i="35" s="1"/>
  <c r="S148" i="35"/>
  <c r="AD148" i="35" s="1"/>
  <c r="AB148" i="35"/>
  <c r="Z148" i="35"/>
  <c r="AA148" i="35" s="1"/>
  <c r="S149" i="35"/>
  <c r="AD149" i="35" s="1"/>
  <c r="AB149" i="35"/>
  <c r="Z149" i="35"/>
  <c r="AA149" i="35" s="1"/>
  <c r="S150" i="35"/>
  <c r="AD150" i="35" s="1"/>
  <c r="AB150" i="35"/>
  <c r="Z150" i="35"/>
  <c r="AA150" i="35" s="1"/>
  <c r="S151" i="35"/>
  <c r="AD151" i="35" s="1"/>
  <c r="AB151" i="35"/>
  <c r="Z151" i="35"/>
  <c r="AA151" i="35" s="1"/>
  <c r="S152" i="35"/>
  <c r="AD152" i="35" s="1"/>
  <c r="AB152" i="35"/>
  <c r="Z152" i="35"/>
  <c r="AA152" i="35" s="1"/>
  <c r="S153" i="35"/>
  <c r="AD153" i="35" s="1"/>
  <c r="AB153" i="35"/>
  <c r="Z153" i="35"/>
  <c r="AA153" i="35" s="1"/>
  <c r="S154" i="35"/>
  <c r="AD154" i="35" s="1"/>
  <c r="AB154" i="35"/>
  <c r="Z154" i="35"/>
  <c r="AA154" i="35" s="1"/>
  <c r="S155" i="35"/>
  <c r="AD155" i="35" s="1"/>
  <c r="AB155" i="35"/>
  <c r="Z155" i="35"/>
  <c r="AA155" i="35" s="1"/>
  <c r="S156" i="35"/>
  <c r="AD156" i="35" s="1"/>
  <c r="AB156" i="35"/>
  <c r="Z156" i="35"/>
  <c r="AA156" i="35" s="1"/>
  <c r="S157" i="35"/>
  <c r="AD157" i="35" s="1"/>
  <c r="AB157" i="35"/>
  <c r="Z157" i="35"/>
  <c r="AA157" i="35" s="1"/>
  <c r="S158" i="35"/>
  <c r="AD158" i="35" s="1"/>
  <c r="AB158" i="35"/>
  <c r="Z158" i="35"/>
  <c r="AA158" i="35" s="1"/>
  <c r="S159" i="35"/>
  <c r="AD159" i="35" s="1"/>
  <c r="AB159" i="35"/>
  <c r="Z159" i="35"/>
  <c r="AA159" i="35" s="1"/>
  <c r="S160" i="35"/>
  <c r="AD160" i="35" s="1"/>
  <c r="AB160" i="35"/>
  <c r="Z160" i="35"/>
  <c r="AA160" i="35" s="1"/>
  <c r="S161" i="35"/>
  <c r="AD161" i="35" s="1"/>
  <c r="AB161" i="35"/>
  <c r="Z161" i="35"/>
  <c r="AA161" i="35" s="1"/>
  <c r="S162" i="35"/>
  <c r="AD162" i="35" s="1"/>
  <c r="AB162" i="35"/>
  <c r="Z162" i="35"/>
  <c r="AA162" i="35" s="1"/>
  <c r="S163" i="35"/>
  <c r="AD163" i="35" s="1"/>
  <c r="AB163" i="35"/>
  <c r="Z163" i="35"/>
  <c r="AA163" i="35" s="1"/>
  <c r="S164" i="35"/>
  <c r="AD164" i="35" s="1"/>
  <c r="AB164" i="35"/>
  <c r="Z164" i="35"/>
  <c r="AA164" i="35" s="1"/>
  <c r="S165" i="35"/>
  <c r="AD165" i="35" s="1"/>
  <c r="AB165" i="35"/>
  <c r="Z165" i="35"/>
  <c r="AA165" i="35" s="1"/>
  <c r="S166" i="35"/>
  <c r="AD166" i="35" s="1"/>
  <c r="AB166" i="35"/>
  <c r="Z166" i="35"/>
  <c r="AA166" i="35" s="1"/>
  <c r="S167" i="35"/>
  <c r="AD167" i="35" s="1"/>
  <c r="AB167" i="35"/>
  <c r="Z167" i="35"/>
  <c r="AA167" i="35" s="1"/>
  <c r="S168" i="35"/>
  <c r="AD168" i="35" s="1"/>
  <c r="AB168" i="35"/>
  <c r="Z168" i="35"/>
  <c r="AA168" i="35" s="1"/>
  <c r="S169" i="35"/>
  <c r="AD169" i="35" s="1"/>
  <c r="AB169" i="35"/>
  <c r="Z169" i="35"/>
  <c r="AA169" i="35" s="1"/>
  <c r="S170" i="35"/>
  <c r="AD170" i="35" s="1"/>
  <c r="AB170" i="35"/>
  <c r="Z170" i="35"/>
  <c r="AA170" i="35" s="1"/>
  <c r="S171" i="35"/>
  <c r="AD171" i="35" s="1"/>
  <c r="AB171" i="35"/>
  <c r="Z171" i="35"/>
  <c r="AA171" i="35" s="1"/>
  <c r="S172" i="35"/>
  <c r="AD172" i="35" s="1"/>
  <c r="AB172" i="35"/>
  <c r="Z172" i="35"/>
  <c r="AA172" i="35" s="1"/>
  <c r="S173" i="35"/>
  <c r="AD173" i="35" s="1"/>
  <c r="AB173" i="35"/>
  <c r="Z173" i="35"/>
  <c r="AA173" i="35" s="1"/>
  <c r="S174" i="35"/>
  <c r="AD174" i="35" s="1"/>
  <c r="AB174" i="35"/>
  <c r="Z174" i="35"/>
  <c r="AA174" i="35" s="1"/>
  <c r="S175" i="35"/>
  <c r="AD175" i="35" s="1"/>
  <c r="AB175" i="35"/>
  <c r="Z175" i="35"/>
  <c r="AA175" i="35" s="1"/>
  <c r="S176" i="35"/>
  <c r="AD176" i="35" s="1"/>
  <c r="AB176" i="35"/>
  <c r="Z176" i="35"/>
  <c r="AA176" i="35" s="1"/>
  <c r="S177" i="35"/>
  <c r="AD177" i="35" s="1"/>
  <c r="AB177" i="35"/>
  <c r="Z177" i="35"/>
  <c r="AA177" i="35" s="1"/>
  <c r="S178" i="35"/>
  <c r="AD178" i="35" s="1"/>
  <c r="AB178" i="35"/>
  <c r="Z178" i="35"/>
  <c r="AA178" i="35" s="1"/>
  <c r="S179" i="35"/>
  <c r="AD179" i="35" s="1"/>
  <c r="AB179" i="35"/>
  <c r="Z179" i="35"/>
  <c r="AA179" i="35" s="1"/>
  <c r="S180" i="35"/>
  <c r="AD180" i="35" s="1"/>
  <c r="AB180" i="35"/>
  <c r="Z180" i="35"/>
  <c r="AA180" i="35" s="1"/>
  <c r="S181" i="35"/>
  <c r="AD181" i="35" s="1"/>
  <c r="AB181" i="35"/>
  <c r="Z181" i="35"/>
  <c r="AA181" i="35" s="1"/>
  <c r="S182" i="35"/>
  <c r="AD182" i="35" s="1"/>
  <c r="AB182" i="35"/>
  <c r="Z182" i="35"/>
  <c r="AA182" i="35" s="1"/>
  <c r="S183" i="35"/>
  <c r="AD183" i="35" s="1"/>
  <c r="AB183" i="35"/>
  <c r="Z183" i="35"/>
  <c r="AA183" i="35" s="1"/>
  <c r="S184" i="35"/>
  <c r="AD184" i="35" s="1"/>
  <c r="AB184" i="35"/>
  <c r="Z184" i="35"/>
  <c r="AA184" i="35" s="1"/>
  <c r="S185" i="35"/>
  <c r="AD185" i="35" s="1"/>
  <c r="AB185" i="35"/>
  <c r="Z185" i="35"/>
  <c r="AA185" i="35" s="1"/>
  <c r="S186" i="35"/>
  <c r="AD186" i="35" s="1"/>
  <c r="AB186" i="35"/>
  <c r="Z186" i="35"/>
  <c r="AA186" i="35" s="1"/>
  <c r="S187" i="35"/>
  <c r="AD187" i="35" s="1"/>
  <c r="AB187" i="35"/>
  <c r="Z187" i="35"/>
  <c r="AA187" i="35" s="1"/>
  <c r="S188" i="35"/>
  <c r="AD188" i="35" s="1"/>
  <c r="AB188" i="35"/>
  <c r="Z188" i="35"/>
  <c r="AA188" i="35" s="1"/>
  <c r="S189" i="35"/>
  <c r="AD189" i="35" s="1"/>
  <c r="AB189" i="35"/>
  <c r="Z189" i="35"/>
  <c r="AA189" i="35" s="1"/>
  <c r="S190" i="35"/>
  <c r="AD190" i="35" s="1"/>
  <c r="AB190" i="35"/>
  <c r="Z190" i="35"/>
  <c r="AA190" i="35" s="1"/>
  <c r="S191" i="35"/>
  <c r="AD191" i="35" s="1"/>
  <c r="AB191" i="35"/>
  <c r="Z191" i="35"/>
  <c r="AA191" i="35" s="1"/>
  <c r="S192" i="35"/>
  <c r="AD192" i="35" s="1"/>
  <c r="AB192" i="35"/>
  <c r="Z192" i="35"/>
  <c r="AA192" i="35" s="1"/>
  <c r="S193" i="35"/>
  <c r="AD193" i="35" s="1"/>
  <c r="AB193" i="35"/>
  <c r="Z193" i="35"/>
  <c r="AA193" i="35" s="1"/>
  <c r="S194" i="35"/>
  <c r="AD194" i="35" s="1"/>
  <c r="AB194" i="35"/>
  <c r="Z194" i="35"/>
  <c r="AA194" i="35" s="1"/>
  <c r="S195" i="35"/>
  <c r="AD195" i="35" s="1"/>
  <c r="AB195" i="35"/>
  <c r="Z195" i="35"/>
  <c r="AA195" i="35" s="1"/>
  <c r="S196" i="35"/>
  <c r="AD196" i="35" s="1"/>
  <c r="AB196" i="35"/>
  <c r="Z196" i="35"/>
  <c r="AA196" i="35" s="1"/>
  <c r="S197" i="35"/>
  <c r="AD197" i="35" s="1"/>
  <c r="AB197" i="35"/>
  <c r="Z197" i="35"/>
  <c r="AA197" i="35" s="1"/>
  <c r="S198" i="35"/>
  <c r="AD198" i="35" s="1"/>
  <c r="AB198" i="35"/>
  <c r="Z198" i="35"/>
  <c r="AA198" i="35" s="1"/>
  <c r="S199" i="35"/>
  <c r="AD199" i="35" s="1"/>
  <c r="AB199" i="35"/>
  <c r="Z199" i="35"/>
  <c r="AA199" i="35" s="1"/>
  <c r="S200" i="35"/>
  <c r="AD200" i="35" s="1"/>
  <c r="AB200" i="35"/>
  <c r="Z200" i="35"/>
  <c r="AA200" i="35" s="1"/>
  <c r="S201" i="35"/>
  <c r="AD201" i="35" s="1"/>
  <c r="AB201" i="35"/>
  <c r="Z201" i="35"/>
  <c r="AA201" i="35" s="1"/>
  <c r="S202" i="35"/>
  <c r="AD202" i="35" s="1"/>
  <c r="AB202" i="35"/>
  <c r="Z202" i="35"/>
  <c r="AA202" i="35" s="1"/>
  <c r="S203" i="35"/>
  <c r="AD203" i="35" s="1"/>
  <c r="AB203" i="35"/>
  <c r="Z203" i="35"/>
  <c r="AA203" i="35" s="1"/>
  <c r="S204" i="35"/>
  <c r="AD204" i="35" s="1"/>
  <c r="AB204" i="35"/>
  <c r="Z204" i="35"/>
  <c r="AA204" i="35" s="1"/>
  <c r="S205" i="35"/>
  <c r="AD205" i="35" s="1"/>
  <c r="AB205" i="35"/>
  <c r="Z205" i="35"/>
  <c r="AA205" i="35" s="1"/>
  <c r="S206" i="35"/>
  <c r="AD206" i="35" s="1"/>
  <c r="AB206" i="35"/>
  <c r="Z206" i="35"/>
  <c r="AA206" i="35" s="1"/>
  <c r="S207" i="35"/>
  <c r="AD207" i="35" s="1"/>
  <c r="AB207" i="35"/>
  <c r="Z207" i="35"/>
  <c r="AA207" i="35" s="1"/>
  <c r="S208" i="35"/>
  <c r="AD208" i="35" s="1"/>
  <c r="AB208" i="35"/>
  <c r="Z208" i="35"/>
  <c r="AA208" i="35" s="1"/>
  <c r="S209" i="35"/>
  <c r="AD209" i="35" s="1"/>
  <c r="AB209" i="35"/>
  <c r="Z209" i="35"/>
  <c r="AA209" i="35" s="1"/>
  <c r="S210" i="35"/>
  <c r="AD210" i="35" s="1"/>
  <c r="AB210" i="35"/>
  <c r="Z210" i="35"/>
  <c r="AA210" i="35" s="1"/>
  <c r="S211" i="35"/>
  <c r="AD211" i="35" s="1"/>
  <c r="AB211" i="35"/>
  <c r="Z211" i="35"/>
  <c r="AA211" i="35" s="1"/>
  <c r="S212" i="35"/>
  <c r="AD212" i="35" s="1"/>
  <c r="AB212" i="35"/>
  <c r="Z212" i="35"/>
  <c r="AA212" i="35" s="1"/>
  <c r="S213" i="35"/>
  <c r="AD213" i="35" s="1"/>
  <c r="AB213" i="35"/>
  <c r="Z213" i="35"/>
  <c r="AA213" i="35" s="1"/>
  <c r="AC213" i="35" s="1"/>
  <c r="S214" i="35"/>
  <c r="AD214" i="35" s="1"/>
  <c r="AB214" i="35"/>
  <c r="Z214" i="35"/>
  <c r="AA214" i="35" s="1"/>
  <c r="S215" i="35"/>
  <c r="AD215" i="35" s="1"/>
  <c r="AB215" i="35"/>
  <c r="Z215" i="35"/>
  <c r="AA215" i="35" s="1"/>
  <c r="S216" i="35"/>
  <c r="AD216" i="35" s="1"/>
  <c r="AB216" i="35"/>
  <c r="Z216" i="35"/>
  <c r="AA216" i="35" s="1"/>
  <c r="S217" i="35"/>
  <c r="AD217" i="35" s="1"/>
  <c r="AB217" i="35"/>
  <c r="Z217" i="35"/>
  <c r="AA217" i="35" s="1"/>
  <c r="S218" i="35"/>
  <c r="AD218" i="35" s="1"/>
  <c r="AB218" i="35"/>
  <c r="Z218" i="35"/>
  <c r="AA218" i="35" s="1"/>
  <c r="S219" i="35"/>
  <c r="AD219" i="35" s="1"/>
  <c r="AB219" i="35"/>
  <c r="Z219" i="35"/>
  <c r="AA219" i="35" s="1"/>
  <c r="S220" i="35"/>
  <c r="AD220" i="35" s="1"/>
  <c r="AB220" i="35"/>
  <c r="Z220" i="35"/>
  <c r="AA220" i="35" s="1"/>
  <c r="S221" i="35"/>
  <c r="AD221" i="35" s="1"/>
  <c r="AB221" i="35"/>
  <c r="Z221" i="35"/>
  <c r="AA221" i="35" s="1"/>
  <c r="S222" i="35"/>
  <c r="AD222" i="35" s="1"/>
  <c r="AB222" i="35"/>
  <c r="Z222" i="35"/>
  <c r="AA222" i="35" s="1"/>
  <c r="S223" i="35"/>
  <c r="AD223" i="35" s="1"/>
  <c r="AB223" i="35"/>
  <c r="Z223" i="35"/>
  <c r="AA223" i="35" s="1"/>
  <c r="S224" i="35"/>
  <c r="AD224" i="35" s="1"/>
  <c r="AB224" i="35"/>
  <c r="Z224" i="35"/>
  <c r="AA224" i="35" s="1"/>
  <c r="S225" i="35"/>
  <c r="AD225" i="35" s="1"/>
  <c r="AB225" i="35"/>
  <c r="Z225" i="35"/>
  <c r="AA225" i="35" s="1"/>
  <c r="S226" i="35"/>
  <c r="AD226" i="35" s="1"/>
  <c r="AB226" i="35"/>
  <c r="Z226" i="35"/>
  <c r="AA226" i="35" s="1"/>
  <c r="S227" i="35"/>
  <c r="AD227" i="35" s="1"/>
  <c r="AB227" i="35"/>
  <c r="Z227" i="35"/>
  <c r="AA227" i="35" s="1"/>
  <c r="S228" i="35"/>
  <c r="AD228" i="35" s="1"/>
  <c r="AB228" i="35"/>
  <c r="Z228" i="35"/>
  <c r="AA228" i="35" s="1"/>
  <c r="S229" i="35"/>
  <c r="AD229" i="35" s="1"/>
  <c r="AB229" i="35"/>
  <c r="Z229" i="35"/>
  <c r="AA229" i="35" s="1"/>
  <c r="AC229" i="35" s="1"/>
  <c r="S230" i="35"/>
  <c r="AD230" i="35" s="1"/>
  <c r="AB230" i="35"/>
  <c r="Z230" i="35"/>
  <c r="AA230" i="35" s="1"/>
  <c r="S231" i="35"/>
  <c r="AD231" i="35" s="1"/>
  <c r="AB231" i="35"/>
  <c r="Z231" i="35"/>
  <c r="AA231" i="35" s="1"/>
  <c r="S232" i="35"/>
  <c r="AD232" i="35" s="1"/>
  <c r="AB232" i="35"/>
  <c r="Z232" i="35"/>
  <c r="AA232" i="35" s="1"/>
  <c r="S233" i="35"/>
  <c r="AD233" i="35" s="1"/>
  <c r="AB233" i="35"/>
  <c r="Z233" i="35"/>
  <c r="AA233" i="35" s="1"/>
  <c r="S234" i="35"/>
  <c r="AD234" i="35" s="1"/>
  <c r="AB234" i="35"/>
  <c r="Z234" i="35"/>
  <c r="AA234" i="35" s="1"/>
  <c r="S235" i="35"/>
  <c r="AD235" i="35" s="1"/>
  <c r="AB235" i="35"/>
  <c r="Z235" i="35"/>
  <c r="AA235" i="35" s="1"/>
  <c r="S236" i="35"/>
  <c r="AD236" i="35" s="1"/>
  <c r="AB236" i="35"/>
  <c r="Z236" i="35"/>
  <c r="AA236" i="35" s="1"/>
  <c r="S237" i="35"/>
  <c r="AD237" i="35" s="1"/>
  <c r="AB237" i="35"/>
  <c r="Z237" i="35"/>
  <c r="AA237" i="35" s="1"/>
  <c r="S238" i="35"/>
  <c r="AD238" i="35" s="1"/>
  <c r="AB238" i="35"/>
  <c r="Z238" i="35"/>
  <c r="AA238" i="35" s="1"/>
  <c r="S239" i="35"/>
  <c r="AD239" i="35" s="1"/>
  <c r="AB239" i="35"/>
  <c r="Z239" i="35"/>
  <c r="AA239" i="35" s="1"/>
  <c r="S240" i="35"/>
  <c r="AD240" i="35" s="1"/>
  <c r="AB240" i="35"/>
  <c r="Z240" i="35"/>
  <c r="AA240" i="35" s="1"/>
  <c r="S241" i="35"/>
  <c r="AD241" i="35" s="1"/>
  <c r="AB241" i="35"/>
  <c r="Z241" i="35"/>
  <c r="AA241" i="35" s="1"/>
  <c r="S242" i="35"/>
  <c r="AD242" i="35" s="1"/>
  <c r="AB242" i="35"/>
  <c r="Z242" i="35"/>
  <c r="AA242" i="35" s="1"/>
  <c r="S243" i="35"/>
  <c r="AD243" i="35" s="1"/>
  <c r="AB243" i="35"/>
  <c r="Z243" i="35"/>
  <c r="AA243" i="35" s="1"/>
  <c r="S244" i="35"/>
  <c r="AD244" i="35" s="1"/>
  <c r="AB244" i="35"/>
  <c r="Z244" i="35"/>
  <c r="AA244" i="35" s="1"/>
  <c r="S245" i="35"/>
  <c r="AD245" i="35" s="1"/>
  <c r="AB245" i="35"/>
  <c r="Z245" i="35"/>
  <c r="AA245" i="35" s="1"/>
  <c r="S246" i="35"/>
  <c r="AD246" i="35" s="1"/>
  <c r="AB246" i="35"/>
  <c r="Z246" i="35"/>
  <c r="AA246" i="35" s="1"/>
  <c r="S247" i="35"/>
  <c r="AD247" i="35" s="1"/>
  <c r="AB247" i="35"/>
  <c r="Z247" i="35"/>
  <c r="AA247" i="35" s="1"/>
  <c r="S248" i="35"/>
  <c r="AD248" i="35" s="1"/>
  <c r="AB248" i="35"/>
  <c r="Z248" i="35"/>
  <c r="AA248" i="35" s="1"/>
  <c r="S249" i="35"/>
  <c r="AD249" i="35" s="1"/>
  <c r="AB249" i="35"/>
  <c r="Z249" i="35"/>
  <c r="AA249" i="35" s="1"/>
  <c r="S250" i="35"/>
  <c r="AD250" i="35" s="1"/>
  <c r="AB250" i="35"/>
  <c r="Z250" i="35"/>
  <c r="AA250" i="35" s="1"/>
  <c r="S251" i="35"/>
  <c r="AD251" i="35" s="1"/>
  <c r="AB251" i="35"/>
  <c r="Z251" i="35"/>
  <c r="AA251" i="35" s="1"/>
  <c r="S252" i="35"/>
  <c r="AD252" i="35" s="1"/>
  <c r="AB252" i="35"/>
  <c r="Z252" i="35"/>
  <c r="AA252" i="35" s="1"/>
  <c r="S253" i="35"/>
  <c r="AD253" i="35" s="1"/>
  <c r="AB253" i="35"/>
  <c r="Z253" i="35"/>
  <c r="AA253" i="35" s="1"/>
  <c r="S254" i="35"/>
  <c r="AD254" i="35" s="1"/>
  <c r="AB254" i="35"/>
  <c r="Z254" i="35"/>
  <c r="AA254" i="35" s="1"/>
  <c r="S255" i="35"/>
  <c r="AD255" i="35" s="1"/>
  <c r="AB255" i="35"/>
  <c r="Z255" i="35"/>
  <c r="AA255" i="35" s="1"/>
  <c r="S256" i="35"/>
  <c r="AD256" i="35" s="1"/>
  <c r="AB256" i="35"/>
  <c r="Z256" i="35"/>
  <c r="AA256" i="35" s="1"/>
  <c r="S257" i="35"/>
  <c r="AD257" i="35" s="1"/>
  <c r="AB257" i="35"/>
  <c r="Z257" i="35"/>
  <c r="AA257" i="35" s="1"/>
  <c r="S258" i="35"/>
  <c r="AD258" i="35" s="1"/>
  <c r="AB258" i="35"/>
  <c r="Z258" i="35"/>
  <c r="AA258" i="35" s="1"/>
  <c r="S259" i="35"/>
  <c r="AD259" i="35" s="1"/>
  <c r="AB259" i="35"/>
  <c r="Z259" i="35"/>
  <c r="AA259" i="35" s="1"/>
  <c r="S260" i="35"/>
  <c r="AD260" i="35" s="1"/>
  <c r="AB260" i="35"/>
  <c r="Z260" i="35"/>
  <c r="AA260" i="35" s="1"/>
  <c r="S261" i="35"/>
  <c r="AD261" i="35" s="1"/>
  <c r="AB261" i="35"/>
  <c r="Z261" i="35"/>
  <c r="AA261" i="35" s="1"/>
  <c r="S262" i="35"/>
  <c r="AD262" i="35" s="1"/>
  <c r="AB262" i="35"/>
  <c r="Z262" i="35"/>
  <c r="AA262" i="35" s="1"/>
  <c r="S263" i="35"/>
  <c r="AD263" i="35" s="1"/>
  <c r="AB263" i="35"/>
  <c r="Z263" i="35"/>
  <c r="AA263" i="35" s="1"/>
  <c r="S264" i="35"/>
  <c r="AD264" i="35" s="1"/>
  <c r="AB264" i="35"/>
  <c r="Z264" i="35"/>
  <c r="AA264" i="35" s="1"/>
  <c r="S265" i="35"/>
  <c r="AD265" i="35" s="1"/>
  <c r="AB265" i="35"/>
  <c r="Z265" i="35"/>
  <c r="AA265" i="35" s="1"/>
  <c r="S266" i="35"/>
  <c r="AD266" i="35" s="1"/>
  <c r="AB266" i="35"/>
  <c r="Z266" i="35"/>
  <c r="AA266" i="35" s="1"/>
  <c r="S267" i="35"/>
  <c r="AD267" i="35" s="1"/>
  <c r="AB267" i="35"/>
  <c r="Z267" i="35"/>
  <c r="AA267" i="35" s="1"/>
  <c r="S268" i="35"/>
  <c r="AD268" i="35" s="1"/>
  <c r="AB268" i="35"/>
  <c r="Z268" i="35"/>
  <c r="AA268" i="35" s="1"/>
  <c r="S269" i="35"/>
  <c r="AD269" i="35" s="1"/>
  <c r="AB269" i="35"/>
  <c r="Z269" i="35"/>
  <c r="AA269" i="35" s="1"/>
  <c r="S270" i="35"/>
  <c r="AD270" i="35" s="1"/>
  <c r="AB270" i="35"/>
  <c r="Z270" i="35"/>
  <c r="AA270" i="35" s="1"/>
  <c r="S271" i="35"/>
  <c r="AD271" i="35" s="1"/>
  <c r="AB271" i="35"/>
  <c r="Z271" i="35"/>
  <c r="AA271" i="35" s="1"/>
  <c r="S272" i="35"/>
  <c r="AD272" i="35" s="1"/>
  <c r="AB272" i="35"/>
  <c r="Z272" i="35"/>
  <c r="AA272" i="35" s="1"/>
  <c r="S273" i="35"/>
  <c r="AD273" i="35" s="1"/>
  <c r="AB273" i="35"/>
  <c r="Z273" i="35"/>
  <c r="AA273" i="35" s="1"/>
  <c r="AC273" i="35" s="1"/>
  <c r="S274" i="35"/>
  <c r="AD274" i="35" s="1"/>
  <c r="AB274" i="35"/>
  <c r="Z274" i="35"/>
  <c r="AA274" i="35" s="1"/>
  <c r="S275" i="35"/>
  <c r="AD275" i="35" s="1"/>
  <c r="AB275" i="35"/>
  <c r="Z275" i="35"/>
  <c r="AA275" i="35" s="1"/>
  <c r="S276" i="35"/>
  <c r="AD276" i="35" s="1"/>
  <c r="AB276" i="35"/>
  <c r="Z276" i="35"/>
  <c r="AA276" i="35" s="1"/>
  <c r="S277" i="35"/>
  <c r="AD277" i="35" s="1"/>
  <c r="AB277" i="35"/>
  <c r="Z277" i="35"/>
  <c r="AA277" i="35" s="1"/>
  <c r="S278" i="35"/>
  <c r="AD278" i="35" s="1"/>
  <c r="AB278" i="35"/>
  <c r="Z278" i="35"/>
  <c r="AA278" i="35" s="1"/>
  <c r="S279" i="35"/>
  <c r="AD279" i="35" s="1"/>
  <c r="AB279" i="35"/>
  <c r="Z279" i="35"/>
  <c r="AA279" i="35" s="1"/>
  <c r="S280" i="35"/>
  <c r="AD280" i="35" s="1"/>
  <c r="AB280" i="35"/>
  <c r="Z280" i="35"/>
  <c r="AA280" i="35" s="1"/>
  <c r="S281" i="35"/>
  <c r="AD281" i="35" s="1"/>
  <c r="AB281" i="35"/>
  <c r="Z281" i="35"/>
  <c r="AA281" i="35" s="1"/>
  <c r="S282" i="35"/>
  <c r="AD282" i="35" s="1"/>
  <c r="AB282" i="35"/>
  <c r="Z282" i="35"/>
  <c r="AA282" i="35" s="1"/>
  <c r="S283" i="35"/>
  <c r="AD283" i="35" s="1"/>
  <c r="AB283" i="35"/>
  <c r="Z283" i="35"/>
  <c r="AA283" i="35" s="1"/>
  <c r="S284" i="35"/>
  <c r="AD284" i="35" s="1"/>
  <c r="AB284" i="35"/>
  <c r="Z284" i="35"/>
  <c r="AA284" i="35" s="1"/>
  <c r="S285" i="35"/>
  <c r="AD285" i="35" s="1"/>
  <c r="AB285" i="35"/>
  <c r="Z285" i="35"/>
  <c r="AA285" i="35" s="1"/>
  <c r="S286" i="35"/>
  <c r="AD286" i="35" s="1"/>
  <c r="AB286" i="35"/>
  <c r="Z286" i="35"/>
  <c r="AA286" i="35" s="1"/>
  <c r="S287" i="35"/>
  <c r="AD287" i="35" s="1"/>
  <c r="AB287" i="35"/>
  <c r="Z287" i="35"/>
  <c r="AA287" i="35" s="1"/>
  <c r="S288" i="35"/>
  <c r="AD288" i="35" s="1"/>
  <c r="AB288" i="35"/>
  <c r="Z288" i="35"/>
  <c r="AA288" i="35" s="1"/>
  <c r="S289" i="35"/>
  <c r="AD289" i="35" s="1"/>
  <c r="AB289" i="35"/>
  <c r="Z289" i="35"/>
  <c r="AA289" i="35" s="1"/>
  <c r="AC289" i="35" s="1"/>
  <c r="S290" i="35"/>
  <c r="AD290" i="35" s="1"/>
  <c r="AB290" i="35"/>
  <c r="Z290" i="35"/>
  <c r="AA290" i="35" s="1"/>
  <c r="S291" i="35"/>
  <c r="AD291" i="35" s="1"/>
  <c r="AB291" i="35"/>
  <c r="Z291" i="35"/>
  <c r="AA291" i="35" s="1"/>
  <c r="S292" i="35"/>
  <c r="AD292" i="35" s="1"/>
  <c r="AB292" i="35"/>
  <c r="Z292" i="35"/>
  <c r="AA292" i="35" s="1"/>
  <c r="S293" i="35"/>
  <c r="AD293" i="35" s="1"/>
  <c r="AB293" i="35"/>
  <c r="Z293" i="35"/>
  <c r="AA293" i="35" s="1"/>
  <c r="S294" i="35"/>
  <c r="AD294" i="35" s="1"/>
  <c r="AB294" i="35"/>
  <c r="Z294" i="35"/>
  <c r="AA294" i="35" s="1"/>
  <c r="S295" i="35"/>
  <c r="AD295" i="35" s="1"/>
  <c r="AB295" i="35"/>
  <c r="Z295" i="35"/>
  <c r="AA295" i="35" s="1"/>
  <c r="S296" i="35"/>
  <c r="AD296" i="35" s="1"/>
  <c r="AB296" i="35"/>
  <c r="Z296" i="35"/>
  <c r="AA296" i="35" s="1"/>
  <c r="S297" i="35"/>
  <c r="AD297" i="35" s="1"/>
  <c r="AB297" i="35"/>
  <c r="Z297" i="35"/>
  <c r="AA297" i="35" s="1"/>
  <c r="S298" i="35"/>
  <c r="AD298" i="35" s="1"/>
  <c r="AB298" i="35"/>
  <c r="Z298" i="35"/>
  <c r="AA298" i="35" s="1"/>
  <c r="S299" i="35"/>
  <c r="AD299" i="35" s="1"/>
  <c r="AB299" i="35"/>
  <c r="Z299" i="35"/>
  <c r="AA299" i="35" s="1"/>
  <c r="S300" i="35"/>
  <c r="AD300" i="35" s="1"/>
  <c r="AB300" i="35"/>
  <c r="Z300" i="35"/>
  <c r="AA300" i="35" s="1"/>
  <c r="S301" i="35"/>
  <c r="AD301" i="35" s="1"/>
  <c r="AB301" i="35"/>
  <c r="Z301" i="35"/>
  <c r="AA301" i="35" s="1"/>
  <c r="S302" i="35"/>
  <c r="AD302" i="35" s="1"/>
  <c r="AB302" i="35"/>
  <c r="Z302" i="35"/>
  <c r="AA302" i="35" s="1"/>
  <c r="S303" i="35"/>
  <c r="AD303" i="35" s="1"/>
  <c r="AB303" i="35"/>
  <c r="Z303" i="35"/>
  <c r="AA303" i="35" s="1"/>
  <c r="S304" i="35"/>
  <c r="AD304" i="35" s="1"/>
  <c r="AB304" i="35"/>
  <c r="Z304" i="35"/>
  <c r="AA304" i="35" s="1"/>
  <c r="S305" i="35"/>
  <c r="AD305" i="35" s="1"/>
  <c r="AB305" i="35"/>
  <c r="Z305" i="35"/>
  <c r="AA305" i="35" s="1"/>
  <c r="S306" i="35"/>
  <c r="AD306" i="35" s="1"/>
  <c r="AB306" i="35"/>
  <c r="Z306" i="35"/>
  <c r="AA306" i="35" s="1"/>
  <c r="S307" i="35"/>
  <c r="AD307" i="35" s="1"/>
  <c r="AB307" i="35"/>
  <c r="Z307" i="35"/>
  <c r="AA307" i="35" s="1"/>
  <c r="S308" i="35"/>
  <c r="AD308" i="35" s="1"/>
  <c r="AB308" i="35"/>
  <c r="Z308" i="35"/>
  <c r="AA308" i="35" s="1"/>
  <c r="S309" i="35"/>
  <c r="AD309" i="35" s="1"/>
  <c r="AB309" i="35"/>
  <c r="Z309" i="35"/>
  <c r="AA309" i="35" s="1"/>
  <c r="S310" i="35"/>
  <c r="AD310" i="35" s="1"/>
  <c r="AB310" i="35"/>
  <c r="Z310" i="35"/>
  <c r="AA310" i="35" s="1"/>
  <c r="S311" i="35"/>
  <c r="AD311" i="35" s="1"/>
  <c r="AB311" i="35"/>
  <c r="Z311" i="35"/>
  <c r="AA311" i="35" s="1"/>
  <c r="S312" i="35"/>
  <c r="AD312" i="35" s="1"/>
  <c r="AB312" i="35"/>
  <c r="Z312" i="35"/>
  <c r="AA312" i="35" s="1"/>
  <c r="S313" i="35"/>
  <c r="AD313" i="35" s="1"/>
  <c r="AB313" i="35"/>
  <c r="Z313" i="35"/>
  <c r="AA313" i="35" s="1"/>
  <c r="S314" i="35"/>
  <c r="AD314" i="35" s="1"/>
  <c r="AB314" i="35"/>
  <c r="Z314" i="35"/>
  <c r="AA314" i="35" s="1"/>
  <c r="S315" i="35"/>
  <c r="AD315" i="35" s="1"/>
  <c r="AB315" i="35"/>
  <c r="Z315" i="35"/>
  <c r="AA315" i="35" s="1"/>
  <c r="S316" i="35"/>
  <c r="AD316" i="35" s="1"/>
  <c r="AB316" i="35"/>
  <c r="Z316" i="35"/>
  <c r="AA316" i="35" s="1"/>
  <c r="S317" i="35"/>
  <c r="AD317" i="35" s="1"/>
  <c r="AB317" i="35"/>
  <c r="Z317" i="35"/>
  <c r="AA317" i="35" s="1"/>
  <c r="S318" i="35"/>
  <c r="AD318" i="35" s="1"/>
  <c r="AB318" i="35"/>
  <c r="Z318" i="35"/>
  <c r="AA318" i="35" s="1"/>
  <c r="S319" i="35"/>
  <c r="AD319" i="35" s="1"/>
  <c r="AB319" i="35"/>
  <c r="Z319" i="35"/>
  <c r="AA319" i="35" s="1"/>
  <c r="S320" i="35"/>
  <c r="AD320" i="35" s="1"/>
  <c r="AB320" i="35"/>
  <c r="Z320" i="35"/>
  <c r="AA320" i="35" s="1"/>
  <c r="S321" i="35"/>
  <c r="AD321" i="35" s="1"/>
  <c r="AB321" i="35"/>
  <c r="Z321" i="35"/>
  <c r="AA321" i="35" s="1"/>
  <c r="S322" i="35"/>
  <c r="AD322" i="35" s="1"/>
  <c r="AB322" i="35"/>
  <c r="Z322" i="35"/>
  <c r="AA322" i="35" s="1"/>
  <c r="S323" i="35"/>
  <c r="AD323" i="35" s="1"/>
  <c r="AB323" i="35"/>
  <c r="Z323" i="35"/>
  <c r="AA323" i="35" s="1"/>
  <c r="S324" i="35"/>
  <c r="AD324" i="35" s="1"/>
  <c r="AB324" i="35"/>
  <c r="Z324" i="35"/>
  <c r="AA324" i="35" s="1"/>
  <c r="S325" i="35"/>
  <c r="AD325" i="35" s="1"/>
  <c r="AB325" i="35"/>
  <c r="Z325" i="35"/>
  <c r="AA325" i="35" s="1"/>
  <c r="S326" i="35"/>
  <c r="AD326" i="35" s="1"/>
  <c r="AB326" i="35"/>
  <c r="Z326" i="35"/>
  <c r="AA326" i="35" s="1"/>
  <c r="S327" i="35"/>
  <c r="AD327" i="35" s="1"/>
  <c r="AB327" i="35"/>
  <c r="Z327" i="35"/>
  <c r="AA327" i="35" s="1"/>
  <c r="S328" i="35"/>
  <c r="AD328" i="35" s="1"/>
  <c r="AB328" i="35"/>
  <c r="Z328" i="35"/>
  <c r="AA328" i="35" s="1"/>
  <c r="S329" i="35"/>
  <c r="AD329" i="35" s="1"/>
  <c r="AB329" i="35"/>
  <c r="Z329" i="35"/>
  <c r="AA329" i="35" s="1"/>
  <c r="S330" i="35"/>
  <c r="AD330" i="35" s="1"/>
  <c r="AB330" i="35"/>
  <c r="Z330" i="35"/>
  <c r="AA330" i="35" s="1"/>
  <c r="S331" i="35"/>
  <c r="AD331" i="35" s="1"/>
  <c r="AB331" i="35"/>
  <c r="Z331" i="35"/>
  <c r="AA331" i="35" s="1"/>
  <c r="S332" i="35"/>
  <c r="AD332" i="35" s="1"/>
  <c r="AB332" i="35"/>
  <c r="Z332" i="35"/>
  <c r="AA332" i="35" s="1"/>
  <c r="S333" i="35"/>
  <c r="AD333" i="35" s="1"/>
  <c r="AB333" i="35"/>
  <c r="Z333" i="35"/>
  <c r="AA333" i="35" s="1"/>
  <c r="S334" i="35"/>
  <c r="AD334" i="35" s="1"/>
  <c r="AB334" i="35"/>
  <c r="Z334" i="35"/>
  <c r="AA334" i="35" s="1"/>
  <c r="S335" i="35"/>
  <c r="AD335" i="35" s="1"/>
  <c r="AB335" i="35"/>
  <c r="Z335" i="35"/>
  <c r="AA335" i="35" s="1"/>
  <c r="S336" i="35"/>
  <c r="AD336" i="35" s="1"/>
  <c r="AB336" i="35"/>
  <c r="Z336" i="35"/>
  <c r="AA336" i="35" s="1"/>
  <c r="S337" i="35"/>
  <c r="AD337" i="35" s="1"/>
  <c r="AB337" i="35"/>
  <c r="Z337" i="35"/>
  <c r="AA337" i="35" s="1"/>
  <c r="S338" i="35"/>
  <c r="AD338" i="35" s="1"/>
  <c r="AB338" i="35"/>
  <c r="Z338" i="35"/>
  <c r="AA338" i="35" s="1"/>
  <c r="S339" i="35"/>
  <c r="AD339" i="35" s="1"/>
  <c r="AB339" i="35"/>
  <c r="Z339" i="35"/>
  <c r="AA339" i="35" s="1"/>
  <c r="S340" i="35"/>
  <c r="AD340" i="35" s="1"/>
  <c r="AB340" i="35"/>
  <c r="Z340" i="35"/>
  <c r="AA340" i="35" s="1"/>
  <c r="S341" i="35"/>
  <c r="AD341" i="35" s="1"/>
  <c r="AB341" i="35"/>
  <c r="Z341" i="35"/>
  <c r="AA341" i="35" s="1"/>
  <c r="S342" i="35"/>
  <c r="AD342" i="35" s="1"/>
  <c r="AB342" i="35"/>
  <c r="Z342" i="35"/>
  <c r="AA342" i="35" s="1"/>
  <c r="S343" i="35"/>
  <c r="AD343" i="35" s="1"/>
  <c r="AB343" i="35"/>
  <c r="Z343" i="35"/>
  <c r="AA343" i="35" s="1"/>
  <c r="S344" i="35"/>
  <c r="AD344" i="35" s="1"/>
  <c r="AB344" i="35"/>
  <c r="Z344" i="35"/>
  <c r="AA344" i="35" s="1"/>
  <c r="S345" i="35"/>
  <c r="AD345" i="35" s="1"/>
  <c r="AB345" i="35"/>
  <c r="Z345" i="35"/>
  <c r="AA345" i="35" s="1"/>
  <c r="S346" i="35"/>
  <c r="AD346" i="35" s="1"/>
  <c r="AB346" i="35"/>
  <c r="Z346" i="35"/>
  <c r="AA346" i="35" s="1"/>
  <c r="S347" i="35"/>
  <c r="AD347" i="35" s="1"/>
  <c r="AB347" i="35"/>
  <c r="Z347" i="35"/>
  <c r="AA347" i="35" s="1"/>
  <c r="S348" i="35"/>
  <c r="AD348" i="35" s="1"/>
  <c r="AB348" i="35"/>
  <c r="Z348" i="35"/>
  <c r="AA348" i="35" s="1"/>
  <c r="S349" i="35"/>
  <c r="AD349" i="35" s="1"/>
  <c r="AB349" i="35"/>
  <c r="Z349" i="35"/>
  <c r="AA349" i="35" s="1"/>
  <c r="S350" i="35"/>
  <c r="AD350" i="35" s="1"/>
  <c r="AB350" i="35"/>
  <c r="Z350" i="35"/>
  <c r="AA350" i="35" s="1"/>
  <c r="S351" i="35"/>
  <c r="AD351" i="35" s="1"/>
  <c r="AB351" i="35"/>
  <c r="Z351" i="35"/>
  <c r="AA351" i="35" s="1"/>
  <c r="S352" i="35"/>
  <c r="AD352" i="35" s="1"/>
  <c r="AB352" i="35"/>
  <c r="Z352" i="35"/>
  <c r="AA352" i="35" s="1"/>
  <c r="S353" i="35"/>
  <c r="AD353" i="35" s="1"/>
  <c r="AB353" i="35"/>
  <c r="Z353" i="35"/>
  <c r="AA353" i="35" s="1"/>
  <c r="S354" i="35"/>
  <c r="AD354" i="35" s="1"/>
  <c r="AB354" i="35"/>
  <c r="Z354" i="35"/>
  <c r="AA354" i="35" s="1"/>
  <c r="S355" i="35"/>
  <c r="AD355" i="35" s="1"/>
  <c r="AB355" i="35"/>
  <c r="Z355" i="35"/>
  <c r="AA355" i="35" s="1"/>
  <c r="S356" i="35"/>
  <c r="AD356" i="35" s="1"/>
  <c r="AB356" i="35"/>
  <c r="Z356" i="35"/>
  <c r="AA356" i="35" s="1"/>
  <c r="S357" i="35"/>
  <c r="AD357" i="35" s="1"/>
  <c r="AB357" i="35"/>
  <c r="Z357" i="35"/>
  <c r="AA357" i="35" s="1"/>
  <c r="S358" i="35"/>
  <c r="AD358" i="35" s="1"/>
  <c r="AB358" i="35"/>
  <c r="Z358" i="35"/>
  <c r="AA358" i="35" s="1"/>
  <c r="S359" i="35"/>
  <c r="AD359" i="35" s="1"/>
  <c r="AB359" i="35"/>
  <c r="Z359" i="35"/>
  <c r="AA359" i="35" s="1"/>
  <c r="S360" i="35"/>
  <c r="AD360" i="35" s="1"/>
  <c r="AB360" i="35"/>
  <c r="Z360" i="35"/>
  <c r="AA360" i="35" s="1"/>
  <c r="S361" i="35"/>
  <c r="AD361" i="35" s="1"/>
  <c r="AB361" i="35"/>
  <c r="Z361" i="35"/>
  <c r="AA361" i="35" s="1"/>
  <c r="S362" i="35"/>
  <c r="AD362" i="35" s="1"/>
  <c r="AB362" i="35"/>
  <c r="Z362" i="35"/>
  <c r="AA362" i="35" s="1"/>
  <c r="S363" i="35"/>
  <c r="AD363" i="35" s="1"/>
  <c r="AB363" i="35"/>
  <c r="Z363" i="35"/>
  <c r="AA363" i="35" s="1"/>
  <c r="S364" i="35"/>
  <c r="AD364" i="35" s="1"/>
  <c r="AB364" i="35"/>
  <c r="Z364" i="35"/>
  <c r="AA364" i="35" s="1"/>
  <c r="S365" i="35"/>
  <c r="AD365" i="35" s="1"/>
  <c r="AB365" i="35"/>
  <c r="Z365" i="35"/>
  <c r="AA365" i="35" s="1"/>
  <c r="S366" i="35"/>
  <c r="AD366" i="35" s="1"/>
  <c r="AB366" i="35"/>
  <c r="Z366" i="35"/>
  <c r="AA366" i="35" s="1"/>
  <c r="S367" i="35"/>
  <c r="AD367" i="35" s="1"/>
  <c r="AB367" i="35"/>
  <c r="Z367" i="35"/>
  <c r="AA367" i="35" s="1"/>
  <c r="S368" i="35"/>
  <c r="AD368" i="35" s="1"/>
  <c r="AB368" i="35"/>
  <c r="Z368" i="35"/>
  <c r="AA368" i="35" s="1"/>
  <c r="S369" i="35"/>
  <c r="AD369" i="35" s="1"/>
  <c r="AB369" i="35"/>
  <c r="Z369" i="35"/>
  <c r="AA369" i="35" s="1"/>
  <c r="S370" i="35"/>
  <c r="AD370" i="35" s="1"/>
  <c r="AB370" i="35"/>
  <c r="Z370" i="35"/>
  <c r="AA370" i="35" s="1"/>
  <c r="S371" i="35"/>
  <c r="AD371" i="35" s="1"/>
  <c r="AB371" i="35"/>
  <c r="Z371" i="35"/>
  <c r="AA371" i="35" s="1"/>
  <c r="S372" i="35"/>
  <c r="AD372" i="35" s="1"/>
  <c r="AB372" i="35"/>
  <c r="Z372" i="35"/>
  <c r="AA372" i="35" s="1"/>
  <c r="S373" i="35"/>
  <c r="AD373" i="35" s="1"/>
  <c r="AB373" i="35"/>
  <c r="Z373" i="35"/>
  <c r="AA373" i="35" s="1"/>
  <c r="S374" i="35"/>
  <c r="AD374" i="35" s="1"/>
  <c r="AB374" i="35"/>
  <c r="Z374" i="35"/>
  <c r="AA374" i="35" s="1"/>
  <c r="S375" i="35"/>
  <c r="AD375" i="35" s="1"/>
  <c r="AB375" i="35"/>
  <c r="Z375" i="35"/>
  <c r="AA375" i="35" s="1"/>
  <c r="S376" i="35"/>
  <c r="AD376" i="35" s="1"/>
  <c r="AB376" i="35"/>
  <c r="Z376" i="35"/>
  <c r="AA376" i="35" s="1"/>
  <c r="S377" i="35"/>
  <c r="AD377" i="35" s="1"/>
  <c r="AB377" i="35"/>
  <c r="Z377" i="35"/>
  <c r="AA377" i="35" s="1"/>
  <c r="S378" i="35"/>
  <c r="AD378" i="35" s="1"/>
  <c r="AB378" i="35"/>
  <c r="Z378" i="35"/>
  <c r="AA378" i="35" s="1"/>
  <c r="S379" i="35"/>
  <c r="AD379" i="35" s="1"/>
  <c r="AB379" i="35"/>
  <c r="Z379" i="35"/>
  <c r="AA379" i="35" s="1"/>
  <c r="S380" i="35"/>
  <c r="AD380" i="35" s="1"/>
  <c r="AB380" i="35"/>
  <c r="Z380" i="35"/>
  <c r="AA380" i="35" s="1"/>
  <c r="S381" i="35"/>
  <c r="AD381" i="35" s="1"/>
  <c r="AB381" i="35"/>
  <c r="Z381" i="35"/>
  <c r="AA381" i="35" s="1"/>
  <c r="S382" i="35"/>
  <c r="AD382" i="35" s="1"/>
  <c r="AB382" i="35"/>
  <c r="Z382" i="35"/>
  <c r="AA382" i="35" s="1"/>
  <c r="S383" i="35"/>
  <c r="AD383" i="35" s="1"/>
  <c r="AB383" i="35"/>
  <c r="Z383" i="35"/>
  <c r="AA383" i="35" s="1"/>
  <c r="S384" i="35"/>
  <c r="AD384" i="35" s="1"/>
  <c r="AB384" i="35"/>
  <c r="Z384" i="35"/>
  <c r="AA384" i="35" s="1"/>
  <c r="S385" i="35"/>
  <c r="AD385" i="35" s="1"/>
  <c r="AB385" i="35"/>
  <c r="Z385" i="35"/>
  <c r="AA385" i="35" s="1"/>
  <c r="S386" i="35"/>
  <c r="AD386" i="35" s="1"/>
  <c r="AB386" i="35"/>
  <c r="Z386" i="35"/>
  <c r="AA386" i="35" s="1"/>
  <c r="S387" i="35"/>
  <c r="AD387" i="35" s="1"/>
  <c r="AB387" i="35"/>
  <c r="Z387" i="35"/>
  <c r="AA387" i="35" s="1"/>
  <c r="S388" i="35"/>
  <c r="AD388" i="35" s="1"/>
  <c r="AB388" i="35"/>
  <c r="Z388" i="35"/>
  <c r="AA388" i="35" s="1"/>
  <c r="S389" i="35"/>
  <c r="AD389" i="35" s="1"/>
  <c r="AB389" i="35"/>
  <c r="Z389" i="35"/>
  <c r="AA389" i="35" s="1"/>
  <c r="S390" i="35"/>
  <c r="AD390" i="35" s="1"/>
  <c r="AB390" i="35"/>
  <c r="Z390" i="35"/>
  <c r="AA390" i="35" s="1"/>
  <c r="S391" i="35"/>
  <c r="AD391" i="35" s="1"/>
  <c r="AB391" i="35"/>
  <c r="Z391" i="35"/>
  <c r="AA391" i="35" s="1"/>
  <c r="S392" i="35"/>
  <c r="AD392" i="35" s="1"/>
  <c r="AB392" i="35"/>
  <c r="Z392" i="35"/>
  <c r="AA392" i="35" s="1"/>
  <c r="S393" i="35"/>
  <c r="AD393" i="35" s="1"/>
  <c r="AB393" i="35"/>
  <c r="Z393" i="35"/>
  <c r="AA393" i="35" s="1"/>
  <c r="S394" i="35"/>
  <c r="AD394" i="35" s="1"/>
  <c r="AB394" i="35"/>
  <c r="Z394" i="35"/>
  <c r="AA394" i="35" s="1"/>
  <c r="S395" i="35"/>
  <c r="AD395" i="35" s="1"/>
  <c r="AB395" i="35"/>
  <c r="Z395" i="35"/>
  <c r="AA395" i="35" s="1"/>
  <c r="S396" i="35"/>
  <c r="AD396" i="35" s="1"/>
  <c r="AB396" i="35"/>
  <c r="Z396" i="35"/>
  <c r="AA396" i="35" s="1"/>
  <c r="S397" i="35"/>
  <c r="AD397" i="35" s="1"/>
  <c r="AB397" i="35"/>
  <c r="Z397" i="35"/>
  <c r="AA397" i="35" s="1"/>
  <c r="S398" i="35"/>
  <c r="AD398" i="35" s="1"/>
  <c r="AB398" i="35"/>
  <c r="Z398" i="35"/>
  <c r="AA398" i="35" s="1"/>
  <c r="S399" i="35"/>
  <c r="AD399" i="35" s="1"/>
  <c r="AB399" i="35"/>
  <c r="Z399" i="35"/>
  <c r="AA399" i="35" s="1"/>
  <c r="S400" i="35"/>
  <c r="AD400" i="35" s="1"/>
  <c r="AB400" i="35"/>
  <c r="Z400" i="35"/>
  <c r="AA400" i="35" s="1"/>
  <c r="S401" i="35"/>
  <c r="AD401" i="35" s="1"/>
  <c r="AB401" i="35"/>
  <c r="Z401" i="35"/>
  <c r="AA401" i="35" s="1"/>
  <c r="S402" i="35"/>
  <c r="AD402" i="35" s="1"/>
  <c r="AB402" i="35"/>
  <c r="Z402" i="35"/>
  <c r="AA402" i="35" s="1"/>
  <c r="S403" i="35"/>
  <c r="AD403" i="35" s="1"/>
  <c r="AB403" i="35"/>
  <c r="Z403" i="35"/>
  <c r="AA403" i="35" s="1"/>
  <c r="S404" i="35"/>
  <c r="AD404" i="35" s="1"/>
  <c r="AB404" i="35"/>
  <c r="Z404" i="35"/>
  <c r="AA404" i="35" s="1"/>
  <c r="S405" i="35"/>
  <c r="AD405" i="35" s="1"/>
  <c r="AB405" i="35"/>
  <c r="Z405" i="35"/>
  <c r="AA405" i="35" s="1"/>
  <c r="S406" i="35"/>
  <c r="AD406" i="35" s="1"/>
  <c r="AB406" i="35"/>
  <c r="Z406" i="35"/>
  <c r="AA406" i="35" s="1"/>
  <c r="S407" i="35"/>
  <c r="AD407" i="35" s="1"/>
  <c r="AB407" i="35"/>
  <c r="Z407" i="35"/>
  <c r="AA407" i="35" s="1"/>
  <c r="S408" i="35"/>
  <c r="AD408" i="35" s="1"/>
  <c r="AB408" i="35"/>
  <c r="Z408" i="35"/>
  <c r="AA408" i="35" s="1"/>
  <c r="S409" i="35"/>
  <c r="AD409" i="35" s="1"/>
  <c r="AB409" i="35"/>
  <c r="Z409" i="35"/>
  <c r="AA409" i="35" s="1"/>
  <c r="S410" i="35"/>
  <c r="AD410" i="35" s="1"/>
  <c r="AB410" i="35"/>
  <c r="Z410" i="35"/>
  <c r="AA410" i="35" s="1"/>
  <c r="S411" i="35"/>
  <c r="AD411" i="35" s="1"/>
  <c r="AB411" i="35"/>
  <c r="Z411" i="35"/>
  <c r="AA411" i="35" s="1"/>
  <c r="S412" i="35"/>
  <c r="AD412" i="35" s="1"/>
  <c r="AB412" i="35"/>
  <c r="Z412" i="35"/>
  <c r="AA412" i="35" s="1"/>
  <c r="S413" i="35"/>
  <c r="AD413" i="35" s="1"/>
  <c r="AB413" i="35"/>
  <c r="Z413" i="35"/>
  <c r="AA413" i="35" s="1"/>
  <c r="S414" i="35"/>
  <c r="AD414" i="35" s="1"/>
  <c r="AB414" i="35"/>
  <c r="Z414" i="35"/>
  <c r="AA414" i="35" s="1"/>
  <c r="S415" i="35"/>
  <c r="AD415" i="35" s="1"/>
  <c r="AB415" i="35"/>
  <c r="Z415" i="35"/>
  <c r="AA415" i="35" s="1"/>
  <c r="S416" i="35"/>
  <c r="AD416" i="35" s="1"/>
  <c r="AB416" i="35"/>
  <c r="Z416" i="35"/>
  <c r="AA416" i="35" s="1"/>
  <c r="S417" i="35"/>
  <c r="AD417" i="35" s="1"/>
  <c r="AB417" i="35"/>
  <c r="Z417" i="35"/>
  <c r="AA417" i="35" s="1"/>
  <c r="S418" i="35"/>
  <c r="AD418" i="35" s="1"/>
  <c r="AB418" i="35"/>
  <c r="Z418" i="35"/>
  <c r="AA418" i="35" s="1"/>
  <c r="S419" i="35"/>
  <c r="AD419" i="35" s="1"/>
  <c r="AB419" i="35"/>
  <c r="Z419" i="35"/>
  <c r="AA419" i="35" s="1"/>
  <c r="S420" i="35"/>
  <c r="AD420" i="35" s="1"/>
  <c r="AB420" i="35"/>
  <c r="Z420" i="35"/>
  <c r="AA420" i="35" s="1"/>
  <c r="S421" i="35"/>
  <c r="AD421" i="35" s="1"/>
  <c r="AB421" i="35"/>
  <c r="Z421" i="35"/>
  <c r="AA421" i="35" s="1"/>
  <c r="AC421" i="35" s="1"/>
  <c r="S422" i="35"/>
  <c r="AD422" i="35" s="1"/>
  <c r="AB422" i="35"/>
  <c r="Z422" i="35"/>
  <c r="AA422" i="35" s="1"/>
  <c r="S423" i="35"/>
  <c r="AD423" i="35" s="1"/>
  <c r="AB423" i="35"/>
  <c r="Z423" i="35"/>
  <c r="AA423" i="35" s="1"/>
  <c r="S424" i="35"/>
  <c r="AD424" i="35" s="1"/>
  <c r="AB424" i="35"/>
  <c r="Z424" i="35"/>
  <c r="AA424" i="35" s="1"/>
  <c r="S425" i="35"/>
  <c r="AD425" i="35" s="1"/>
  <c r="AB425" i="35"/>
  <c r="Z425" i="35"/>
  <c r="AA425" i="35" s="1"/>
  <c r="S426" i="35"/>
  <c r="AD426" i="35" s="1"/>
  <c r="AB426" i="35"/>
  <c r="Z426" i="35"/>
  <c r="AA426" i="35" s="1"/>
  <c r="S427" i="35"/>
  <c r="AD427" i="35" s="1"/>
  <c r="AB427" i="35"/>
  <c r="Z427" i="35"/>
  <c r="AA427" i="35" s="1"/>
  <c r="S428" i="35"/>
  <c r="AD428" i="35" s="1"/>
  <c r="AB428" i="35"/>
  <c r="Z428" i="35"/>
  <c r="AA428" i="35" s="1"/>
  <c r="S429" i="35"/>
  <c r="AD429" i="35" s="1"/>
  <c r="AB429" i="35"/>
  <c r="Z429" i="35"/>
  <c r="AA429" i="35" s="1"/>
  <c r="S430" i="35"/>
  <c r="AD430" i="35" s="1"/>
  <c r="AB430" i="35"/>
  <c r="Z430" i="35"/>
  <c r="AA430" i="35" s="1"/>
  <c r="S431" i="35"/>
  <c r="AD431" i="35" s="1"/>
  <c r="AB431" i="35"/>
  <c r="Z431" i="35"/>
  <c r="AA431" i="35" s="1"/>
  <c r="S432" i="35"/>
  <c r="AD432" i="35" s="1"/>
  <c r="AB432" i="35"/>
  <c r="Z432" i="35"/>
  <c r="AA432" i="35" s="1"/>
  <c r="S433" i="35"/>
  <c r="AD433" i="35" s="1"/>
  <c r="AB433" i="35"/>
  <c r="Z433" i="35"/>
  <c r="AA433" i="35" s="1"/>
  <c r="S434" i="35"/>
  <c r="AD434" i="35" s="1"/>
  <c r="AB434" i="35"/>
  <c r="Z434" i="35"/>
  <c r="AA434" i="35" s="1"/>
  <c r="S435" i="35"/>
  <c r="AD435" i="35" s="1"/>
  <c r="AB435" i="35"/>
  <c r="Z435" i="35"/>
  <c r="AA435" i="35" s="1"/>
  <c r="S436" i="35"/>
  <c r="AD436" i="35" s="1"/>
  <c r="AB436" i="35"/>
  <c r="Z436" i="35"/>
  <c r="AA436" i="35" s="1"/>
  <c r="S437" i="35"/>
  <c r="AD437" i="35" s="1"/>
  <c r="AB437" i="35"/>
  <c r="Z437" i="35"/>
  <c r="AA437" i="35" s="1"/>
  <c r="S438" i="35"/>
  <c r="AD438" i="35" s="1"/>
  <c r="AB438" i="35"/>
  <c r="Z438" i="35"/>
  <c r="AA438" i="35" s="1"/>
  <c r="S439" i="35"/>
  <c r="AD439" i="35" s="1"/>
  <c r="AB439" i="35"/>
  <c r="Z439" i="35"/>
  <c r="AA439" i="35" s="1"/>
  <c r="S440" i="35"/>
  <c r="AD440" i="35" s="1"/>
  <c r="AB440" i="35"/>
  <c r="Z440" i="35"/>
  <c r="AA440" i="35" s="1"/>
  <c r="S441" i="35"/>
  <c r="AD441" i="35" s="1"/>
  <c r="AB441" i="35"/>
  <c r="Z441" i="35"/>
  <c r="AA441" i="35" s="1"/>
  <c r="S442" i="35"/>
  <c r="AD442" i="35" s="1"/>
  <c r="AB442" i="35"/>
  <c r="Z442" i="35"/>
  <c r="AA442" i="35" s="1"/>
  <c r="S443" i="35"/>
  <c r="AD443" i="35" s="1"/>
  <c r="AB443" i="35"/>
  <c r="Z443" i="35"/>
  <c r="AA443" i="35" s="1"/>
  <c r="S444" i="35"/>
  <c r="AD444" i="35" s="1"/>
  <c r="AB444" i="35"/>
  <c r="Z444" i="35"/>
  <c r="AA444" i="35" s="1"/>
  <c r="S445" i="35"/>
  <c r="AD445" i="35" s="1"/>
  <c r="AB445" i="35"/>
  <c r="Z445" i="35"/>
  <c r="AA445" i="35" s="1"/>
  <c r="S446" i="35"/>
  <c r="AD446" i="35" s="1"/>
  <c r="AB446" i="35"/>
  <c r="Z446" i="35"/>
  <c r="AA446" i="35" s="1"/>
  <c r="S447" i="35"/>
  <c r="AD447" i="35" s="1"/>
  <c r="AB447" i="35"/>
  <c r="Z447" i="35"/>
  <c r="AA447" i="35" s="1"/>
  <c r="S448" i="35"/>
  <c r="AD448" i="35" s="1"/>
  <c r="AB448" i="35"/>
  <c r="Z448" i="35"/>
  <c r="AA448" i="35" s="1"/>
  <c r="S449" i="35"/>
  <c r="AD449" i="35" s="1"/>
  <c r="AB449" i="35"/>
  <c r="Z449" i="35"/>
  <c r="AA449" i="35" s="1"/>
  <c r="S450" i="35"/>
  <c r="AD450" i="35" s="1"/>
  <c r="AB450" i="35"/>
  <c r="Z450" i="35"/>
  <c r="AA450" i="35" s="1"/>
  <c r="S451" i="35"/>
  <c r="AD451" i="35" s="1"/>
  <c r="AB451" i="35"/>
  <c r="Z451" i="35"/>
  <c r="AA451" i="35" s="1"/>
  <c r="S452" i="35"/>
  <c r="AD452" i="35" s="1"/>
  <c r="AB452" i="35"/>
  <c r="Z452" i="35"/>
  <c r="AA452" i="35" s="1"/>
  <c r="S453" i="35"/>
  <c r="AD453" i="35" s="1"/>
  <c r="AB453" i="35"/>
  <c r="Z453" i="35"/>
  <c r="AA453" i="35" s="1"/>
  <c r="S454" i="35"/>
  <c r="AD454" i="35" s="1"/>
  <c r="AB454" i="35"/>
  <c r="Z454" i="35"/>
  <c r="AA454" i="35" s="1"/>
  <c r="S455" i="35"/>
  <c r="AD455" i="35" s="1"/>
  <c r="AB455" i="35"/>
  <c r="Z455" i="35"/>
  <c r="AA455" i="35" s="1"/>
  <c r="S456" i="35"/>
  <c r="AD456" i="35" s="1"/>
  <c r="AB456" i="35"/>
  <c r="Z456" i="35"/>
  <c r="AA456" i="35" s="1"/>
  <c r="S457" i="35"/>
  <c r="AD457" i="35" s="1"/>
  <c r="AB457" i="35"/>
  <c r="Z457" i="35"/>
  <c r="AA457" i="35" s="1"/>
  <c r="S458" i="35"/>
  <c r="AD458" i="35" s="1"/>
  <c r="AB458" i="35"/>
  <c r="Z458" i="35"/>
  <c r="AA458" i="35" s="1"/>
  <c r="S459" i="35"/>
  <c r="AD459" i="35" s="1"/>
  <c r="AB459" i="35"/>
  <c r="Z459" i="35"/>
  <c r="AA459" i="35" s="1"/>
  <c r="S460" i="35"/>
  <c r="AD460" i="35" s="1"/>
  <c r="AB460" i="35"/>
  <c r="Z460" i="35"/>
  <c r="AA460" i="35" s="1"/>
  <c r="S461" i="35"/>
  <c r="AD461" i="35" s="1"/>
  <c r="AB461" i="35"/>
  <c r="Z461" i="35"/>
  <c r="AA461" i="35" s="1"/>
  <c r="S462" i="35"/>
  <c r="AD462" i="35" s="1"/>
  <c r="AB462" i="35"/>
  <c r="Z462" i="35"/>
  <c r="AA462" i="35" s="1"/>
  <c r="S463" i="35"/>
  <c r="AD463" i="35" s="1"/>
  <c r="AB463" i="35"/>
  <c r="Z463" i="35"/>
  <c r="AA463" i="35" s="1"/>
  <c r="S464" i="35"/>
  <c r="AD464" i="35" s="1"/>
  <c r="AB464" i="35"/>
  <c r="Z464" i="35"/>
  <c r="AA464" i="35" s="1"/>
  <c r="S465" i="35"/>
  <c r="AD465" i="35" s="1"/>
  <c r="AB465" i="35"/>
  <c r="Z465" i="35"/>
  <c r="AA465" i="35" s="1"/>
  <c r="S466" i="35"/>
  <c r="AD466" i="35" s="1"/>
  <c r="AB466" i="35"/>
  <c r="Z466" i="35"/>
  <c r="AA466" i="35" s="1"/>
  <c r="S467" i="35"/>
  <c r="AD467" i="35" s="1"/>
  <c r="AB467" i="35"/>
  <c r="Z467" i="35"/>
  <c r="AA467" i="35" s="1"/>
  <c r="S468" i="35"/>
  <c r="AD468" i="35" s="1"/>
  <c r="AB468" i="35"/>
  <c r="Z468" i="35"/>
  <c r="AA468" i="35" s="1"/>
  <c r="S469" i="35"/>
  <c r="AD469" i="35" s="1"/>
  <c r="AB469" i="35"/>
  <c r="Z469" i="35"/>
  <c r="AA469" i="35" s="1"/>
  <c r="S470" i="35"/>
  <c r="AD470" i="35" s="1"/>
  <c r="AB470" i="35"/>
  <c r="Z470" i="35"/>
  <c r="AA470" i="35" s="1"/>
  <c r="S471" i="35"/>
  <c r="AD471" i="35" s="1"/>
  <c r="AB471" i="35"/>
  <c r="Z471" i="35"/>
  <c r="AA471" i="35" s="1"/>
  <c r="S472" i="35"/>
  <c r="AD472" i="35" s="1"/>
  <c r="AB472" i="35"/>
  <c r="Z472" i="35"/>
  <c r="AA472" i="35" s="1"/>
  <c r="S473" i="35"/>
  <c r="AD473" i="35" s="1"/>
  <c r="AB473" i="35"/>
  <c r="Z473" i="35"/>
  <c r="AA473" i="35" s="1"/>
  <c r="S474" i="35"/>
  <c r="AD474" i="35" s="1"/>
  <c r="AB474" i="35"/>
  <c r="Z474" i="35"/>
  <c r="AA474" i="35" s="1"/>
  <c r="S475" i="35"/>
  <c r="AD475" i="35" s="1"/>
  <c r="AB475" i="35"/>
  <c r="Z475" i="35"/>
  <c r="AA475" i="35" s="1"/>
  <c r="S476" i="35"/>
  <c r="AD476" i="35" s="1"/>
  <c r="AB476" i="35"/>
  <c r="Z476" i="35"/>
  <c r="AA476" i="35" s="1"/>
  <c r="S477" i="35"/>
  <c r="AD477" i="35" s="1"/>
  <c r="AB477" i="35"/>
  <c r="Z477" i="35"/>
  <c r="AA477" i="35" s="1"/>
  <c r="S478" i="35"/>
  <c r="AD478" i="35" s="1"/>
  <c r="AB478" i="35"/>
  <c r="Z478" i="35"/>
  <c r="AA478" i="35" s="1"/>
  <c r="S479" i="35"/>
  <c r="AD479" i="35" s="1"/>
  <c r="AB479" i="35"/>
  <c r="Z479" i="35"/>
  <c r="AA479" i="35" s="1"/>
  <c r="S480" i="35"/>
  <c r="AD480" i="35" s="1"/>
  <c r="AB480" i="35"/>
  <c r="Z480" i="35"/>
  <c r="AA480" i="35" s="1"/>
  <c r="S481" i="35"/>
  <c r="AD481" i="35" s="1"/>
  <c r="AB481" i="35"/>
  <c r="Z481" i="35"/>
  <c r="AA481" i="35" s="1"/>
  <c r="AC481" i="35" s="1"/>
  <c r="S482" i="35"/>
  <c r="AD482" i="35" s="1"/>
  <c r="AB482" i="35"/>
  <c r="Z482" i="35"/>
  <c r="AA482" i="35" s="1"/>
  <c r="S483" i="35"/>
  <c r="AD483" i="35" s="1"/>
  <c r="AB483" i="35"/>
  <c r="Z483" i="35"/>
  <c r="AA483" i="35" s="1"/>
  <c r="S484" i="35"/>
  <c r="AD484" i="35" s="1"/>
  <c r="AB484" i="35"/>
  <c r="Z484" i="35"/>
  <c r="AA484" i="35" s="1"/>
  <c r="S485" i="35"/>
  <c r="AD485" i="35" s="1"/>
  <c r="AB485" i="35"/>
  <c r="Z485" i="35"/>
  <c r="AA485" i="35" s="1"/>
  <c r="S486" i="35"/>
  <c r="AD486" i="35" s="1"/>
  <c r="AB486" i="35"/>
  <c r="Z486" i="35"/>
  <c r="AA486" i="35" s="1"/>
  <c r="S487" i="35"/>
  <c r="AD487" i="35" s="1"/>
  <c r="AB487" i="35"/>
  <c r="Z487" i="35"/>
  <c r="AA487" i="35" s="1"/>
  <c r="S488" i="35"/>
  <c r="AD488" i="35" s="1"/>
  <c r="AB488" i="35"/>
  <c r="Z488" i="35"/>
  <c r="AA488" i="35" s="1"/>
  <c r="S489" i="35"/>
  <c r="AD489" i="35" s="1"/>
  <c r="AB489" i="35"/>
  <c r="Z489" i="35"/>
  <c r="AA489" i="35" s="1"/>
  <c r="S490" i="35"/>
  <c r="AD490" i="35" s="1"/>
  <c r="AB490" i="35"/>
  <c r="Z490" i="35"/>
  <c r="AA490" i="35" s="1"/>
  <c r="S491" i="35"/>
  <c r="AD491" i="35" s="1"/>
  <c r="AB491" i="35"/>
  <c r="Z491" i="35"/>
  <c r="AA491" i="35" s="1"/>
  <c r="S492" i="35"/>
  <c r="AD492" i="35" s="1"/>
  <c r="AB492" i="35"/>
  <c r="Z492" i="35"/>
  <c r="AA492" i="35" s="1"/>
  <c r="S493" i="35"/>
  <c r="AD493" i="35" s="1"/>
  <c r="AB493" i="35"/>
  <c r="Z493" i="35"/>
  <c r="AA493" i="35" s="1"/>
  <c r="S494" i="35"/>
  <c r="AD494" i="35" s="1"/>
  <c r="AB494" i="35"/>
  <c r="Z494" i="35"/>
  <c r="AA494" i="35" s="1"/>
  <c r="S495" i="35"/>
  <c r="AD495" i="35" s="1"/>
  <c r="AB495" i="35"/>
  <c r="Z495" i="35"/>
  <c r="AA495" i="35" s="1"/>
  <c r="S496" i="35"/>
  <c r="AD496" i="35" s="1"/>
  <c r="AB496" i="35"/>
  <c r="Z496" i="35"/>
  <c r="AA496" i="35" s="1"/>
  <c r="S497" i="35"/>
  <c r="AD497" i="35" s="1"/>
  <c r="AB497" i="35"/>
  <c r="Z497" i="35"/>
  <c r="AA497" i="35" s="1"/>
  <c r="S498" i="35"/>
  <c r="AD498" i="35" s="1"/>
  <c r="AB498" i="35"/>
  <c r="Z498" i="35"/>
  <c r="AA498" i="35" s="1"/>
  <c r="S499" i="35"/>
  <c r="AD499" i="35" s="1"/>
  <c r="AB499" i="35"/>
  <c r="Z499" i="35"/>
  <c r="AA499" i="35" s="1"/>
  <c r="S500" i="35"/>
  <c r="AD500" i="35" s="1"/>
  <c r="AB500" i="35"/>
  <c r="Z500" i="35"/>
  <c r="AA500" i="35" s="1"/>
  <c r="S2" i="35"/>
  <c r="AD2" i="35" s="1"/>
  <c r="Z2" i="35"/>
  <c r="AA2" i="35" s="1"/>
  <c r="AC2" i="35" s="1"/>
  <c r="Q2" i="35"/>
  <c r="J7" i="16"/>
  <c r="K7" i="16" s="1"/>
  <c r="I7" i="16"/>
  <c r="J6" i="16"/>
  <c r="K6" i="16" s="1"/>
  <c r="I6" i="16"/>
  <c r="J4" i="16"/>
  <c r="K4" i="16" s="1"/>
  <c r="I4" i="16"/>
  <c r="K3" i="35"/>
  <c r="L3" i="35" s="1"/>
  <c r="AK3" i="35" s="1"/>
  <c r="Q3" i="35"/>
  <c r="K4" i="35"/>
  <c r="L4" i="35" s="1"/>
  <c r="Q4" i="35"/>
  <c r="K5" i="35"/>
  <c r="L5" i="35" s="1"/>
  <c r="Q5" i="35"/>
  <c r="K6" i="35"/>
  <c r="L6" i="35" s="1"/>
  <c r="Q6" i="35"/>
  <c r="K7" i="35"/>
  <c r="L7" i="35" s="1"/>
  <c r="Q7" i="35"/>
  <c r="K8" i="35"/>
  <c r="L8" i="35" s="1"/>
  <c r="Q8" i="35"/>
  <c r="K9" i="35"/>
  <c r="L9" i="35" s="1"/>
  <c r="AK9" i="35" s="1"/>
  <c r="Q9" i="35"/>
  <c r="K10" i="35"/>
  <c r="L10" i="35" s="1"/>
  <c r="Q10" i="35"/>
  <c r="K11" i="35"/>
  <c r="L11" i="35" s="1"/>
  <c r="Q11" i="35"/>
  <c r="K12" i="35"/>
  <c r="L12" i="35" s="1"/>
  <c r="Q12" i="35"/>
  <c r="K13" i="35"/>
  <c r="L13" i="35" s="1"/>
  <c r="Q13" i="35"/>
  <c r="K14" i="35"/>
  <c r="L14" i="35" s="1"/>
  <c r="Q14" i="35"/>
  <c r="K15" i="35"/>
  <c r="L15" i="35" s="1"/>
  <c r="Q15" i="35"/>
  <c r="K16" i="35"/>
  <c r="L16" i="35" s="1"/>
  <c r="Q16" i="35"/>
  <c r="K17" i="35"/>
  <c r="L17" i="35" s="1"/>
  <c r="Q17" i="35"/>
  <c r="K18" i="35"/>
  <c r="L18" i="35" s="1"/>
  <c r="Q18" i="35"/>
  <c r="K19" i="35"/>
  <c r="L19" i="35" s="1"/>
  <c r="Q19" i="35"/>
  <c r="K20" i="35"/>
  <c r="L20" i="35" s="1"/>
  <c r="Q20" i="35"/>
  <c r="K21" i="35"/>
  <c r="L21" i="35" s="1"/>
  <c r="Q21" i="35"/>
  <c r="K22" i="35"/>
  <c r="L22" i="35" s="1"/>
  <c r="Q22" i="35"/>
  <c r="K23" i="35"/>
  <c r="L23" i="35" s="1"/>
  <c r="Q23" i="35"/>
  <c r="K24" i="35"/>
  <c r="L24" i="35" s="1"/>
  <c r="Q24" i="35"/>
  <c r="K25" i="35"/>
  <c r="L25" i="35" s="1"/>
  <c r="Q25" i="35"/>
  <c r="K26" i="35"/>
  <c r="L26" i="35" s="1"/>
  <c r="Q26" i="35"/>
  <c r="K27" i="35"/>
  <c r="L27" i="35" s="1"/>
  <c r="Q27" i="35"/>
  <c r="K28" i="35"/>
  <c r="L28" i="35" s="1"/>
  <c r="Q28" i="35"/>
  <c r="K29" i="35"/>
  <c r="L29" i="35" s="1"/>
  <c r="Q29" i="35"/>
  <c r="K30" i="35"/>
  <c r="L30" i="35" s="1"/>
  <c r="Q30" i="35"/>
  <c r="K31" i="35"/>
  <c r="L31" i="35" s="1"/>
  <c r="Q31" i="35"/>
  <c r="K32" i="35"/>
  <c r="L32" i="35" s="1"/>
  <c r="Q32" i="35"/>
  <c r="K33" i="35"/>
  <c r="L33" i="35" s="1"/>
  <c r="Q33" i="35"/>
  <c r="K34" i="35"/>
  <c r="L34" i="35" s="1"/>
  <c r="Q34" i="35"/>
  <c r="K35" i="35"/>
  <c r="L35" i="35" s="1"/>
  <c r="Q35" i="35"/>
  <c r="K36" i="35"/>
  <c r="L36" i="35" s="1"/>
  <c r="Q36" i="35"/>
  <c r="K37" i="35"/>
  <c r="L37" i="35" s="1"/>
  <c r="Q37" i="35"/>
  <c r="K38" i="35"/>
  <c r="L38" i="35" s="1"/>
  <c r="Q38" i="35"/>
  <c r="K39" i="35"/>
  <c r="L39" i="35" s="1"/>
  <c r="Q39" i="35"/>
  <c r="K40" i="35"/>
  <c r="L40" i="35" s="1"/>
  <c r="Q40" i="35"/>
  <c r="K41" i="35"/>
  <c r="L41" i="35" s="1"/>
  <c r="Q41" i="35"/>
  <c r="K42" i="35"/>
  <c r="L42" i="35" s="1"/>
  <c r="Q42" i="35"/>
  <c r="K43" i="35"/>
  <c r="L43" i="35" s="1"/>
  <c r="Q43" i="35"/>
  <c r="K44" i="35"/>
  <c r="L44" i="35" s="1"/>
  <c r="Q44" i="35"/>
  <c r="K45" i="35"/>
  <c r="L45" i="35" s="1"/>
  <c r="Q45" i="35"/>
  <c r="K46" i="35"/>
  <c r="L46" i="35" s="1"/>
  <c r="Q46" i="35"/>
  <c r="K47" i="35"/>
  <c r="L47" i="35" s="1"/>
  <c r="Q47" i="35"/>
  <c r="K48" i="35"/>
  <c r="L48" i="35" s="1"/>
  <c r="Q48" i="35"/>
  <c r="K49" i="35"/>
  <c r="L49" i="35" s="1"/>
  <c r="Q49" i="35"/>
  <c r="K50" i="35"/>
  <c r="L50" i="35" s="1"/>
  <c r="Q50" i="35"/>
  <c r="K51" i="35"/>
  <c r="L51" i="35" s="1"/>
  <c r="Q51" i="35"/>
  <c r="K52" i="35"/>
  <c r="L52" i="35" s="1"/>
  <c r="Q52" i="35"/>
  <c r="K53" i="35"/>
  <c r="L53" i="35" s="1"/>
  <c r="Q53" i="35"/>
  <c r="K54" i="35"/>
  <c r="L54" i="35" s="1"/>
  <c r="Q54" i="35"/>
  <c r="K55" i="35"/>
  <c r="L55" i="35" s="1"/>
  <c r="Q55" i="35"/>
  <c r="K56" i="35"/>
  <c r="L56" i="35" s="1"/>
  <c r="Q56" i="35"/>
  <c r="K57" i="35"/>
  <c r="L57" i="35" s="1"/>
  <c r="Q57" i="35"/>
  <c r="K58" i="35"/>
  <c r="L58" i="35" s="1"/>
  <c r="Q58" i="35"/>
  <c r="K59" i="35"/>
  <c r="L59" i="35" s="1"/>
  <c r="Q59" i="35"/>
  <c r="K60" i="35"/>
  <c r="L60" i="35" s="1"/>
  <c r="Q60" i="35"/>
  <c r="K61" i="35"/>
  <c r="L61" i="35" s="1"/>
  <c r="Q61" i="35"/>
  <c r="K62" i="35"/>
  <c r="L62" i="35" s="1"/>
  <c r="Q62" i="35"/>
  <c r="K63" i="35"/>
  <c r="L63" i="35" s="1"/>
  <c r="Q63" i="35"/>
  <c r="K64" i="35"/>
  <c r="L64" i="35" s="1"/>
  <c r="Q64" i="35"/>
  <c r="K65" i="35"/>
  <c r="L65" i="35" s="1"/>
  <c r="Q65" i="35"/>
  <c r="K66" i="35"/>
  <c r="L66" i="35" s="1"/>
  <c r="Q66" i="35"/>
  <c r="K67" i="35"/>
  <c r="L67" i="35" s="1"/>
  <c r="Q67" i="35"/>
  <c r="K68" i="35"/>
  <c r="L68" i="35" s="1"/>
  <c r="Q68" i="35"/>
  <c r="K69" i="35"/>
  <c r="L69" i="35" s="1"/>
  <c r="Q69" i="35"/>
  <c r="K70" i="35"/>
  <c r="L70" i="35" s="1"/>
  <c r="Q70" i="35"/>
  <c r="K71" i="35"/>
  <c r="L71" i="35" s="1"/>
  <c r="Q71" i="35"/>
  <c r="K72" i="35"/>
  <c r="L72" i="35" s="1"/>
  <c r="Q72" i="35"/>
  <c r="K73" i="35"/>
  <c r="L73" i="35" s="1"/>
  <c r="Q73" i="35"/>
  <c r="K74" i="35"/>
  <c r="L74" i="35" s="1"/>
  <c r="Q74" i="35"/>
  <c r="K75" i="35"/>
  <c r="L75" i="35" s="1"/>
  <c r="Q75" i="35"/>
  <c r="K76" i="35"/>
  <c r="L76" i="35" s="1"/>
  <c r="Q76" i="35"/>
  <c r="K77" i="35"/>
  <c r="L77" i="35" s="1"/>
  <c r="Q77" i="35"/>
  <c r="K78" i="35"/>
  <c r="L78" i="35" s="1"/>
  <c r="Q78" i="35"/>
  <c r="K79" i="35"/>
  <c r="L79" i="35" s="1"/>
  <c r="Q79" i="35"/>
  <c r="K80" i="35"/>
  <c r="L80" i="35" s="1"/>
  <c r="Q80" i="35"/>
  <c r="K81" i="35"/>
  <c r="L81" i="35" s="1"/>
  <c r="Q81" i="35"/>
  <c r="K82" i="35"/>
  <c r="L82" i="35" s="1"/>
  <c r="Q82" i="35"/>
  <c r="K83" i="35"/>
  <c r="L83" i="35" s="1"/>
  <c r="Q83" i="35"/>
  <c r="K84" i="35"/>
  <c r="L84" i="35" s="1"/>
  <c r="AK84" i="35" s="1"/>
  <c r="Q84" i="35"/>
  <c r="K85" i="35"/>
  <c r="L85" i="35" s="1"/>
  <c r="Q85" i="35"/>
  <c r="K86" i="35"/>
  <c r="L86" i="35" s="1"/>
  <c r="Q86" i="35"/>
  <c r="K87" i="35"/>
  <c r="L87" i="35" s="1"/>
  <c r="Q87" i="35"/>
  <c r="K88" i="35"/>
  <c r="L88" i="35" s="1"/>
  <c r="Q88" i="35"/>
  <c r="K89" i="35"/>
  <c r="L89" i="35" s="1"/>
  <c r="Q89" i="35"/>
  <c r="K90" i="35"/>
  <c r="L90" i="35" s="1"/>
  <c r="Q90" i="35"/>
  <c r="K91" i="35"/>
  <c r="L91" i="35" s="1"/>
  <c r="Q91" i="35"/>
  <c r="K92" i="35"/>
  <c r="L92" i="35" s="1"/>
  <c r="Q92" i="35"/>
  <c r="K93" i="35"/>
  <c r="L93" i="35" s="1"/>
  <c r="Q93" i="35"/>
  <c r="K94" i="35"/>
  <c r="L94" i="35" s="1"/>
  <c r="Q94" i="35"/>
  <c r="K95" i="35"/>
  <c r="L95" i="35" s="1"/>
  <c r="Q95" i="35"/>
  <c r="K96" i="35"/>
  <c r="L96" i="35" s="1"/>
  <c r="Q96" i="35"/>
  <c r="K97" i="35"/>
  <c r="L97" i="35" s="1"/>
  <c r="Q97" i="35"/>
  <c r="K98" i="35"/>
  <c r="L98" i="35" s="1"/>
  <c r="Q98" i="35"/>
  <c r="K99" i="35"/>
  <c r="L99" i="35" s="1"/>
  <c r="Q99" i="35"/>
  <c r="K100" i="35"/>
  <c r="L100" i="35" s="1"/>
  <c r="Q100" i="35"/>
  <c r="K101" i="35"/>
  <c r="L101" i="35" s="1"/>
  <c r="Q101" i="35"/>
  <c r="K102" i="35"/>
  <c r="L102" i="35" s="1"/>
  <c r="Q102" i="35"/>
  <c r="K103" i="35"/>
  <c r="L103" i="35" s="1"/>
  <c r="Q103" i="35"/>
  <c r="K104" i="35"/>
  <c r="L104" i="35" s="1"/>
  <c r="Q104" i="35"/>
  <c r="K105" i="35"/>
  <c r="L105" i="35" s="1"/>
  <c r="Q105" i="35"/>
  <c r="K106" i="35"/>
  <c r="L106" i="35" s="1"/>
  <c r="Q106" i="35"/>
  <c r="K107" i="35"/>
  <c r="L107" i="35" s="1"/>
  <c r="Q107" i="35"/>
  <c r="K108" i="35"/>
  <c r="L108" i="35" s="1"/>
  <c r="Q108" i="35"/>
  <c r="K109" i="35"/>
  <c r="L109" i="35" s="1"/>
  <c r="Q109" i="35"/>
  <c r="K110" i="35"/>
  <c r="L110" i="35" s="1"/>
  <c r="Q110" i="35"/>
  <c r="K111" i="35"/>
  <c r="L111" i="35" s="1"/>
  <c r="Q111" i="35"/>
  <c r="K112" i="35"/>
  <c r="L112" i="35" s="1"/>
  <c r="Q112" i="35"/>
  <c r="K113" i="35"/>
  <c r="L113" i="35" s="1"/>
  <c r="Q113" i="35"/>
  <c r="K114" i="35"/>
  <c r="L114" i="35" s="1"/>
  <c r="Q114" i="35"/>
  <c r="K115" i="35"/>
  <c r="L115" i="35" s="1"/>
  <c r="Q115" i="35"/>
  <c r="K116" i="35"/>
  <c r="L116" i="35" s="1"/>
  <c r="Q116" i="35"/>
  <c r="K117" i="35"/>
  <c r="L117" i="35" s="1"/>
  <c r="Q117" i="35"/>
  <c r="K118" i="35"/>
  <c r="L118" i="35" s="1"/>
  <c r="Q118" i="35"/>
  <c r="K119" i="35"/>
  <c r="L119" i="35" s="1"/>
  <c r="Q119" i="35"/>
  <c r="K120" i="35"/>
  <c r="L120" i="35" s="1"/>
  <c r="Q120" i="35"/>
  <c r="K121" i="35"/>
  <c r="L121" i="35" s="1"/>
  <c r="Q121" i="35"/>
  <c r="K122" i="35"/>
  <c r="L122" i="35" s="1"/>
  <c r="Q122" i="35"/>
  <c r="K123" i="35"/>
  <c r="L123" i="35" s="1"/>
  <c r="Q123" i="35"/>
  <c r="K124" i="35"/>
  <c r="L124" i="35" s="1"/>
  <c r="Q124" i="35"/>
  <c r="K125" i="35"/>
  <c r="L125" i="35" s="1"/>
  <c r="Q125" i="35"/>
  <c r="K126" i="35"/>
  <c r="L126" i="35" s="1"/>
  <c r="Q126" i="35"/>
  <c r="K127" i="35"/>
  <c r="L127" i="35" s="1"/>
  <c r="Q127" i="35"/>
  <c r="K128" i="35"/>
  <c r="L128" i="35" s="1"/>
  <c r="Q128" i="35"/>
  <c r="K129" i="35"/>
  <c r="L129" i="35" s="1"/>
  <c r="Q129" i="35"/>
  <c r="K130" i="35"/>
  <c r="L130" i="35" s="1"/>
  <c r="Q130" i="35"/>
  <c r="K131" i="35"/>
  <c r="L131" i="35" s="1"/>
  <c r="Q131" i="35"/>
  <c r="K132" i="35"/>
  <c r="L132" i="35" s="1"/>
  <c r="Q132" i="35"/>
  <c r="K133" i="35"/>
  <c r="L133" i="35" s="1"/>
  <c r="Q133" i="35"/>
  <c r="K134" i="35"/>
  <c r="L134" i="35" s="1"/>
  <c r="Q134" i="35"/>
  <c r="K135" i="35"/>
  <c r="L135" i="35" s="1"/>
  <c r="Q135" i="35"/>
  <c r="K136" i="35"/>
  <c r="L136" i="35" s="1"/>
  <c r="Q136" i="35"/>
  <c r="K137" i="35"/>
  <c r="L137" i="35" s="1"/>
  <c r="Q137" i="35"/>
  <c r="K138" i="35"/>
  <c r="L138" i="35" s="1"/>
  <c r="Q138" i="35"/>
  <c r="K139" i="35"/>
  <c r="L139" i="35" s="1"/>
  <c r="Q139" i="35"/>
  <c r="K140" i="35"/>
  <c r="L140" i="35" s="1"/>
  <c r="AK140" i="35" s="1"/>
  <c r="Q140" i="35"/>
  <c r="K141" i="35"/>
  <c r="L141" i="35" s="1"/>
  <c r="Q141" i="35"/>
  <c r="K142" i="35"/>
  <c r="L142" i="35" s="1"/>
  <c r="Q142" i="35"/>
  <c r="K143" i="35"/>
  <c r="L143" i="35" s="1"/>
  <c r="Q143" i="35"/>
  <c r="K144" i="35"/>
  <c r="L144" i="35" s="1"/>
  <c r="Q144" i="35"/>
  <c r="K145" i="35"/>
  <c r="L145" i="35" s="1"/>
  <c r="Q145" i="35"/>
  <c r="K146" i="35"/>
  <c r="L146" i="35" s="1"/>
  <c r="Q146" i="35"/>
  <c r="K147" i="35"/>
  <c r="L147" i="35" s="1"/>
  <c r="Q147" i="35"/>
  <c r="K148" i="35"/>
  <c r="L148" i="35" s="1"/>
  <c r="Q148" i="35"/>
  <c r="K149" i="35"/>
  <c r="L149" i="35" s="1"/>
  <c r="Q149" i="35"/>
  <c r="K150" i="35"/>
  <c r="L150" i="35" s="1"/>
  <c r="Q150" i="35"/>
  <c r="K151" i="35"/>
  <c r="L151" i="35" s="1"/>
  <c r="Q151" i="35"/>
  <c r="K152" i="35"/>
  <c r="L152" i="35" s="1"/>
  <c r="Q152" i="35"/>
  <c r="K153" i="35"/>
  <c r="L153" i="35" s="1"/>
  <c r="Q153" i="35"/>
  <c r="K154" i="35"/>
  <c r="L154" i="35" s="1"/>
  <c r="Q154" i="35"/>
  <c r="K155" i="35"/>
  <c r="L155" i="35" s="1"/>
  <c r="Q155" i="35"/>
  <c r="K156" i="35"/>
  <c r="L156" i="35" s="1"/>
  <c r="Q156" i="35"/>
  <c r="K157" i="35"/>
  <c r="L157" i="35" s="1"/>
  <c r="Q157" i="35"/>
  <c r="K158" i="35"/>
  <c r="L158" i="35" s="1"/>
  <c r="Q158" i="35"/>
  <c r="K159" i="35"/>
  <c r="L159" i="35" s="1"/>
  <c r="Q159" i="35"/>
  <c r="K160" i="35"/>
  <c r="L160" i="35" s="1"/>
  <c r="Q160" i="35"/>
  <c r="K161" i="35"/>
  <c r="L161" i="35" s="1"/>
  <c r="Q161" i="35"/>
  <c r="K162" i="35"/>
  <c r="L162" i="35" s="1"/>
  <c r="Q162" i="35"/>
  <c r="K163" i="35"/>
  <c r="L163" i="35" s="1"/>
  <c r="Q163" i="35"/>
  <c r="K164" i="35"/>
  <c r="L164" i="35" s="1"/>
  <c r="Q164" i="35"/>
  <c r="K165" i="35"/>
  <c r="L165" i="35" s="1"/>
  <c r="Q165" i="35"/>
  <c r="K166" i="35"/>
  <c r="L166" i="35" s="1"/>
  <c r="Q166" i="35"/>
  <c r="K167" i="35"/>
  <c r="L167" i="35" s="1"/>
  <c r="Q167" i="35"/>
  <c r="K168" i="35"/>
  <c r="L168" i="35" s="1"/>
  <c r="Q168" i="35"/>
  <c r="K169" i="35"/>
  <c r="L169" i="35" s="1"/>
  <c r="Q169" i="35"/>
  <c r="K170" i="35"/>
  <c r="L170" i="35" s="1"/>
  <c r="Q170" i="35"/>
  <c r="K171" i="35"/>
  <c r="L171" i="35" s="1"/>
  <c r="Q171" i="35"/>
  <c r="K172" i="35"/>
  <c r="L172" i="35" s="1"/>
  <c r="Q172" i="35"/>
  <c r="K173" i="35"/>
  <c r="L173" i="35" s="1"/>
  <c r="Q173" i="35"/>
  <c r="K174" i="35"/>
  <c r="L174" i="35" s="1"/>
  <c r="Q174" i="35"/>
  <c r="K175" i="35"/>
  <c r="L175" i="35" s="1"/>
  <c r="Q175" i="35"/>
  <c r="K176" i="35"/>
  <c r="L176" i="35" s="1"/>
  <c r="Q176" i="35"/>
  <c r="K177" i="35"/>
  <c r="L177" i="35" s="1"/>
  <c r="Q177" i="35"/>
  <c r="K178" i="35"/>
  <c r="L178" i="35" s="1"/>
  <c r="Q178" i="35"/>
  <c r="K179" i="35"/>
  <c r="L179" i="35" s="1"/>
  <c r="Q179" i="35"/>
  <c r="K180" i="35"/>
  <c r="L180" i="35" s="1"/>
  <c r="Q180" i="35"/>
  <c r="K181" i="35"/>
  <c r="L181" i="35" s="1"/>
  <c r="Q181" i="35"/>
  <c r="K182" i="35"/>
  <c r="L182" i="35" s="1"/>
  <c r="Q182" i="35"/>
  <c r="K183" i="35"/>
  <c r="L183" i="35" s="1"/>
  <c r="Q183" i="35"/>
  <c r="K184" i="35"/>
  <c r="L184" i="35" s="1"/>
  <c r="Q184" i="35"/>
  <c r="K185" i="35"/>
  <c r="L185" i="35" s="1"/>
  <c r="Q185" i="35"/>
  <c r="K186" i="35"/>
  <c r="L186" i="35" s="1"/>
  <c r="Q186" i="35"/>
  <c r="K187" i="35"/>
  <c r="L187" i="35" s="1"/>
  <c r="Q187" i="35"/>
  <c r="K188" i="35"/>
  <c r="L188" i="35" s="1"/>
  <c r="Q188" i="35"/>
  <c r="K189" i="35"/>
  <c r="L189" i="35" s="1"/>
  <c r="Q189" i="35"/>
  <c r="K190" i="35"/>
  <c r="L190" i="35" s="1"/>
  <c r="Q190" i="35"/>
  <c r="K191" i="35"/>
  <c r="L191" i="35" s="1"/>
  <c r="Q191" i="35"/>
  <c r="K192" i="35"/>
  <c r="L192" i="35" s="1"/>
  <c r="Q192" i="35"/>
  <c r="K193" i="35"/>
  <c r="L193" i="35" s="1"/>
  <c r="Q193" i="35"/>
  <c r="K194" i="35"/>
  <c r="L194" i="35" s="1"/>
  <c r="Q194" i="35"/>
  <c r="K195" i="35"/>
  <c r="L195" i="35" s="1"/>
  <c r="Q195" i="35"/>
  <c r="K196" i="35"/>
  <c r="L196" i="35" s="1"/>
  <c r="Q196" i="35"/>
  <c r="K197" i="35"/>
  <c r="L197" i="35" s="1"/>
  <c r="Q197" i="35"/>
  <c r="K198" i="35"/>
  <c r="L198" i="35" s="1"/>
  <c r="Q198" i="35"/>
  <c r="K199" i="35"/>
  <c r="L199" i="35" s="1"/>
  <c r="Q199" i="35"/>
  <c r="K200" i="35"/>
  <c r="L200" i="35" s="1"/>
  <c r="Q200" i="35"/>
  <c r="K201" i="35"/>
  <c r="L201" i="35" s="1"/>
  <c r="Q201" i="35"/>
  <c r="K202" i="35"/>
  <c r="L202" i="35" s="1"/>
  <c r="Q202" i="35"/>
  <c r="K203" i="35"/>
  <c r="L203" i="35" s="1"/>
  <c r="Q203" i="35"/>
  <c r="K204" i="35"/>
  <c r="L204" i="35" s="1"/>
  <c r="Q204" i="35"/>
  <c r="K205" i="35"/>
  <c r="L205" i="35" s="1"/>
  <c r="Q205" i="35"/>
  <c r="K206" i="35"/>
  <c r="L206" i="35" s="1"/>
  <c r="Q206" i="35"/>
  <c r="K207" i="35"/>
  <c r="L207" i="35" s="1"/>
  <c r="Q207" i="35"/>
  <c r="K208" i="35"/>
  <c r="L208" i="35" s="1"/>
  <c r="Q208" i="35"/>
  <c r="K209" i="35"/>
  <c r="L209" i="35" s="1"/>
  <c r="Q209" i="35"/>
  <c r="K210" i="35"/>
  <c r="L210" i="35" s="1"/>
  <c r="Q210" i="35"/>
  <c r="K211" i="35"/>
  <c r="L211" i="35" s="1"/>
  <c r="Q211" i="35"/>
  <c r="K212" i="35"/>
  <c r="L212" i="35" s="1"/>
  <c r="Q212" i="35"/>
  <c r="K213" i="35"/>
  <c r="L213" i="35" s="1"/>
  <c r="Q213" i="35"/>
  <c r="K214" i="35"/>
  <c r="L214" i="35" s="1"/>
  <c r="Q214" i="35"/>
  <c r="K215" i="35"/>
  <c r="L215" i="35" s="1"/>
  <c r="Q215" i="35"/>
  <c r="K216" i="35"/>
  <c r="L216" i="35" s="1"/>
  <c r="Q216" i="35"/>
  <c r="K217" i="35"/>
  <c r="L217" i="35" s="1"/>
  <c r="Q217" i="35"/>
  <c r="K218" i="35"/>
  <c r="L218" i="35" s="1"/>
  <c r="Q218" i="35"/>
  <c r="K219" i="35"/>
  <c r="L219" i="35" s="1"/>
  <c r="Q219" i="35"/>
  <c r="K220" i="35"/>
  <c r="L220" i="35" s="1"/>
  <c r="Q220" i="35"/>
  <c r="K221" i="35"/>
  <c r="L221" i="35" s="1"/>
  <c r="Q221" i="35"/>
  <c r="K222" i="35"/>
  <c r="L222" i="35" s="1"/>
  <c r="Q222" i="35"/>
  <c r="K223" i="35"/>
  <c r="L223" i="35" s="1"/>
  <c r="Q223" i="35"/>
  <c r="K224" i="35"/>
  <c r="L224" i="35" s="1"/>
  <c r="Q224" i="35"/>
  <c r="K225" i="35"/>
  <c r="L225" i="35" s="1"/>
  <c r="Q225" i="35"/>
  <c r="K226" i="35"/>
  <c r="L226" i="35" s="1"/>
  <c r="Q226" i="35"/>
  <c r="K227" i="35"/>
  <c r="L227" i="35" s="1"/>
  <c r="Q227" i="35"/>
  <c r="K228" i="35"/>
  <c r="L228" i="35" s="1"/>
  <c r="Q228" i="35"/>
  <c r="K229" i="35"/>
  <c r="L229" i="35" s="1"/>
  <c r="Q229" i="35"/>
  <c r="K230" i="35"/>
  <c r="L230" i="35" s="1"/>
  <c r="Q230" i="35"/>
  <c r="K231" i="35"/>
  <c r="L231" i="35" s="1"/>
  <c r="Q231" i="35"/>
  <c r="K232" i="35"/>
  <c r="L232" i="35" s="1"/>
  <c r="Q232" i="35"/>
  <c r="K233" i="35"/>
  <c r="L233" i="35" s="1"/>
  <c r="Q233" i="35"/>
  <c r="K234" i="35"/>
  <c r="L234" i="35" s="1"/>
  <c r="Q234" i="35"/>
  <c r="K235" i="35"/>
  <c r="L235" i="35" s="1"/>
  <c r="Q235" i="35"/>
  <c r="K236" i="35"/>
  <c r="L236" i="35" s="1"/>
  <c r="Q236" i="35"/>
  <c r="K237" i="35"/>
  <c r="L237" i="35" s="1"/>
  <c r="Q237" i="35"/>
  <c r="K238" i="35"/>
  <c r="L238" i="35" s="1"/>
  <c r="Q238" i="35"/>
  <c r="K239" i="35"/>
  <c r="L239" i="35" s="1"/>
  <c r="Q239" i="35"/>
  <c r="K240" i="35"/>
  <c r="L240" i="35" s="1"/>
  <c r="Q240" i="35"/>
  <c r="K241" i="35"/>
  <c r="L241" i="35" s="1"/>
  <c r="Q241" i="35"/>
  <c r="K242" i="35"/>
  <c r="L242" i="35" s="1"/>
  <c r="Q242" i="35"/>
  <c r="K243" i="35"/>
  <c r="L243" i="35" s="1"/>
  <c r="Q243" i="35"/>
  <c r="K244" i="35"/>
  <c r="L244" i="35" s="1"/>
  <c r="Q244" i="35"/>
  <c r="K245" i="35"/>
  <c r="L245" i="35" s="1"/>
  <c r="Q245" i="35"/>
  <c r="K246" i="35"/>
  <c r="L246" i="35" s="1"/>
  <c r="Q246" i="35"/>
  <c r="K247" i="35"/>
  <c r="L247" i="35" s="1"/>
  <c r="Q247" i="35"/>
  <c r="K248" i="35"/>
  <c r="L248" i="35" s="1"/>
  <c r="Q248" i="35"/>
  <c r="K249" i="35"/>
  <c r="L249" i="35" s="1"/>
  <c r="Q249" i="35"/>
  <c r="K250" i="35"/>
  <c r="L250" i="35" s="1"/>
  <c r="Q250" i="35"/>
  <c r="K251" i="35"/>
  <c r="L251" i="35" s="1"/>
  <c r="Q251" i="35"/>
  <c r="K252" i="35"/>
  <c r="L252" i="35" s="1"/>
  <c r="Q252" i="35"/>
  <c r="K253" i="35"/>
  <c r="L253" i="35" s="1"/>
  <c r="Q253" i="35"/>
  <c r="K254" i="35"/>
  <c r="L254" i="35" s="1"/>
  <c r="Q254" i="35"/>
  <c r="K255" i="35"/>
  <c r="L255" i="35" s="1"/>
  <c r="Q255" i="35"/>
  <c r="K256" i="35"/>
  <c r="L256" i="35" s="1"/>
  <c r="Q256" i="35"/>
  <c r="K257" i="35"/>
  <c r="L257" i="35" s="1"/>
  <c r="Q257" i="35"/>
  <c r="K258" i="35"/>
  <c r="L258" i="35" s="1"/>
  <c r="Q258" i="35"/>
  <c r="K259" i="35"/>
  <c r="L259" i="35" s="1"/>
  <c r="Q259" i="35"/>
  <c r="K260" i="35"/>
  <c r="L260" i="35" s="1"/>
  <c r="Q260" i="35"/>
  <c r="K261" i="35"/>
  <c r="L261" i="35" s="1"/>
  <c r="Q261" i="35"/>
  <c r="K262" i="35"/>
  <c r="L262" i="35" s="1"/>
  <c r="Q262" i="35"/>
  <c r="K263" i="35"/>
  <c r="L263" i="35" s="1"/>
  <c r="Q263" i="35"/>
  <c r="K264" i="35"/>
  <c r="L264" i="35" s="1"/>
  <c r="Q264" i="35"/>
  <c r="K265" i="35"/>
  <c r="L265" i="35" s="1"/>
  <c r="Q265" i="35"/>
  <c r="K266" i="35"/>
  <c r="L266" i="35" s="1"/>
  <c r="Q266" i="35"/>
  <c r="K267" i="35"/>
  <c r="L267" i="35" s="1"/>
  <c r="Q267" i="35"/>
  <c r="K268" i="35"/>
  <c r="L268" i="35" s="1"/>
  <c r="Q268" i="35"/>
  <c r="K269" i="35"/>
  <c r="L269" i="35" s="1"/>
  <c r="Q269" i="35"/>
  <c r="K270" i="35"/>
  <c r="L270" i="35" s="1"/>
  <c r="Q270" i="35"/>
  <c r="K271" i="35"/>
  <c r="L271" i="35" s="1"/>
  <c r="Q271" i="35"/>
  <c r="K272" i="35"/>
  <c r="L272" i="35" s="1"/>
  <c r="Q272" i="35"/>
  <c r="K273" i="35"/>
  <c r="L273" i="35" s="1"/>
  <c r="Q273" i="35"/>
  <c r="K274" i="35"/>
  <c r="L274" i="35" s="1"/>
  <c r="Q274" i="35"/>
  <c r="K275" i="35"/>
  <c r="L275" i="35" s="1"/>
  <c r="Q275" i="35"/>
  <c r="K276" i="35"/>
  <c r="L276" i="35" s="1"/>
  <c r="Q276" i="35"/>
  <c r="K277" i="35"/>
  <c r="L277" i="35" s="1"/>
  <c r="Q277" i="35"/>
  <c r="K278" i="35"/>
  <c r="L278" i="35" s="1"/>
  <c r="Q278" i="35"/>
  <c r="K279" i="35"/>
  <c r="L279" i="35" s="1"/>
  <c r="Q279" i="35"/>
  <c r="K280" i="35"/>
  <c r="L280" i="35" s="1"/>
  <c r="Q280" i="35"/>
  <c r="K281" i="35"/>
  <c r="L281" i="35" s="1"/>
  <c r="Q281" i="35"/>
  <c r="K282" i="35"/>
  <c r="L282" i="35" s="1"/>
  <c r="Q282" i="35"/>
  <c r="K283" i="35"/>
  <c r="L283" i="35" s="1"/>
  <c r="Q283" i="35"/>
  <c r="K284" i="35"/>
  <c r="L284" i="35" s="1"/>
  <c r="Q284" i="35"/>
  <c r="K285" i="35"/>
  <c r="L285" i="35" s="1"/>
  <c r="Q285" i="35"/>
  <c r="K286" i="35"/>
  <c r="L286" i="35" s="1"/>
  <c r="Q286" i="35"/>
  <c r="K287" i="35"/>
  <c r="L287" i="35" s="1"/>
  <c r="Q287" i="35"/>
  <c r="K288" i="35"/>
  <c r="L288" i="35" s="1"/>
  <c r="Q288" i="35"/>
  <c r="K289" i="35"/>
  <c r="L289" i="35" s="1"/>
  <c r="Q289" i="35"/>
  <c r="K290" i="35"/>
  <c r="L290" i="35" s="1"/>
  <c r="Q290" i="35"/>
  <c r="K291" i="35"/>
  <c r="L291" i="35" s="1"/>
  <c r="Q291" i="35"/>
  <c r="K292" i="35"/>
  <c r="L292" i="35" s="1"/>
  <c r="Q292" i="35"/>
  <c r="K293" i="35"/>
  <c r="L293" i="35" s="1"/>
  <c r="Q293" i="35"/>
  <c r="K294" i="35"/>
  <c r="L294" i="35" s="1"/>
  <c r="Q294" i="35"/>
  <c r="K295" i="35"/>
  <c r="L295" i="35" s="1"/>
  <c r="Q295" i="35"/>
  <c r="K296" i="35"/>
  <c r="L296" i="35" s="1"/>
  <c r="Q296" i="35"/>
  <c r="K297" i="35"/>
  <c r="L297" i="35" s="1"/>
  <c r="Q297" i="35"/>
  <c r="K298" i="35"/>
  <c r="L298" i="35" s="1"/>
  <c r="Q298" i="35"/>
  <c r="K299" i="35"/>
  <c r="L299" i="35" s="1"/>
  <c r="Q299" i="35"/>
  <c r="K300" i="35"/>
  <c r="L300" i="35" s="1"/>
  <c r="Q300" i="35"/>
  <c r="K301" i="35"/>
  <c r="L301" i="35" s="1"/>
  <c r="Q301" i="35"/>
  <c r="K302" i="35"/>
  <c r="L302" i="35" s="1"/>
  <c r="Q302" i="35"/>
  <c r="K303" i="35"/>
  <c r="L303" i="35" s="1"/>
  <c r="Q303" i="35"/>
  <c r="K304" i="35"/>
  <c r="L304" i="35" s="1"/>
  <c r="Q304" i="35"/>
  <c r="K305" i="35"/>
  <c r="L305" i="35" s="1"/>
  <c r="Q305" i="35"/>
  <c r="K306" i="35"/>
  <c r="L306" i="35" s="1"/>
  <c r="Q306" i="35"/>
  <c r="K307" i="35"/>
  <c r="L307" i="35" s="1"/>
  <c r="Q307" i="35"/>
  <c r="K308" i="35"/>
  <c r="L308" i="35" s="1"/>
  <c r="Q308" i="35"/>
  <c r="K309" i="35"/>
  <c r="L309" i="35" s="1"/>
  <c r="Q309" i="35"/>
  <c r="K310" i="35"/>
  <c r="L310" i="35" s="1"/>
  <c r="Q310" i="35"/>
  <c r="K311" i="35"/>
  <c r="L311" i="35" s="1"/>
  <c r="Q311" i="35"/>
  <c r="K312" i="35"/>
  <c r="L312" i="35" s="1"/>
  <c r="Q312" i="35"/>
  <c r="K313" i="35"/>
  <c r="L313" i="35" s="1"/>
  <c r="Q313" i="35"/>
  <c r="K314" i="35"/>
  <c r="L314" i="35" s="1"/>
  <c r="Q314" i="35"/>
  <c r="K315" i="35"/>
  <c r="L315" i="35" s="1"/>
  <c r="Q315" i="35"/>
  <c r="K316" i="35"/>
  <c r="L316" i="35" s="1"/>
  <c r="Q316" i="35"/>
  <c r="K317" i="35"/>
  <c r="L317" i="35" s="1"/>
  <c r="Q317" i="35"/>
  <c r="K318" i="35"/>
  <c r="L318" i="35" s="1"/>
  <c r="Q318" i="35"/>
  <c r="K319" i="35"/>
  <c r="L319" i="35" s="1"/>
  <c r="Q319" i="35"/>
  <c r="K320" i="35"/>
  <c r="L320" i="35" s="1"/>
  <c r="Q320" i="35"/>
  <c r="K321" i="35"/>
  <c r="L321" i="35" s="1"/>
  <c r="Q321" i="35"/>
  <c r="K322" i="35"/>
  <c r="L322" i="35" s="1"/>
  <c r="Q322" i="35"/>
  <c r="K323" i="35"/>
  <c r="L323" i="35" s="1"/>
  <c r="Q323" i="35"/>
  <c r="K324" i="35"/>
  <c r="L324" i="35" s="1"/>
  <c r="Q324" i="35"/>
  <c r="K325" i="35"/>
  <c r="L325" i="35" s="1"/>
  <c r="Q325" i="35"/>
  <c r="K326" i="35"/>
  <c r="L326" i="35" s="1"/>
  <c r="Q326" i="35"/>
  <c r="K327" i="35"/>
  <c r="L327" i="35" s="1"/>
  <c r="Q327" i="35"/>
  <c r="K328" i="35"/>
  <c r="L328" i="35" s="1"/>
  <c r="Q328" i="35"/>
  <c r="K329" i="35"/>
  <c r="L329" i="35" s="1"/>
  <c r="Q329" i="35"/>
  <c r="K330" i="35"/>
  <c r="L330" i="35" s="1"/>
  <c r="Q330" i="35"/>
  <c r="K331" i="35"/>
  <c r="L331" i="35" s="1"/>
  <c r="Q331" i="35"/>
  <c r="K332" i="35"/>
  <c r="L332" i="35" s="1"/>
  <c r="Q332" i="35"/>
  <c r="K333" i="35"/>
  <c r="L333" i="35" s="1"/>
  <c r="Q333" i="35"/>
  <c r="K334" i="35"/>
  <c r="L334" i="35" s="1"/>
  <c r="Q334" i="35"/>
  <c r="K335" i="35"/>
  <c r="L335" i="35" s="1"/>
  <c r="Q335" i="35"/>
  <c r="K336" i="35"/>
  <c r="L336" i="35" s="1"/>
  <c r="Q336" i="35"/>
  <c r="K337" i="35"/>
  <c r="L337" i="35" s="1"/>
  <c r="Q337" i="35"/>
  <c r="K338" i="35"/>
  <c r="L338" i="35" s="1"/>
  <c r="Q338" i="35"/>
  <c r="K339" i="35"/>
  <c r="L339" i="35" s="1"/>
  <c r="Q339" i="35"/>
  <c r="K340" i="35"/>
  <c r="L340" i="35" s="1"/>
  <c r="Q340" i="35"/>
  <c r="K341" i="35"/>
  <c r="L341" i="35" s="1"/>
  <c r="Q341" i="35"/>
  <c r="K342" i="35"/>
  <c r="L342" i="35" s="1"/>
  <c r="Q342" i="35"/>
  <c r="K343" i="35"/>
  <c r="L343" i="35" s="1"/>
  <c r="Q343" i="35"/>
  <c r="K344" i="35"/>
  <c r="L344" i="35" s="1"/>
  <c r="Q344" i="35"/>
  <c r="K345" i="35"/>
  <c r="L345" i="35" s="1"/>
  <c r="Q345" i="35"/>
  <c r="K346" i="35"/>
  <c r="L346" i="35" s="1"/>
  <c r="Q346" i="35"/>
  <c r="K347" i="35"/>
  <c r="L347" i="35" s="1"/>
  <c r="Q347" i="35"/>
  <c r="K348" i="35"/>
  <c r="L348" i="35" s="1"/>
  <c r="Q348" i="35"/>
  <c r="K349" i="35"/>
  <c r="L349" i="35" s="1"/>
  <c r="Q349" i="35"/>
  <c r="K350" i="35"/>
  <c r="L350" i="35" s="1"/>
  <c r="Q350" i="35"/>
  <c r="K351" i="35"/>
  <c r="L351" i="35" s="1"/>
  <c r="Q351" i="35"/>
  <c r="K352" i="35"/>
  <c r="L352" i="35" s="1"/>
  <c r="Q352" i="35"/>
  <c r="K353" i="35"/>
  <c r="L353" i="35" s="1"/>
  <c r="Q353" i="35"/>
  <c r="K354" i="35"/>
  <c r="L354" i="35" s="1"/>
  <c r="Q354" i="35"/>
  <c r="K355" i="35"/>
  <c r="L355" i="35" s="1"/>
  <c r="Q355" i="35"/>
  <c r="K356" i="35"/>
  <c r="L356" i="35" s="1"/>
  <c r="Q356" i="35"/>
  <c r="K357" i="35"/>
  <c r="L357" i="35" s="1"/>
  <c r="Q357" i="35"/>
  <c r="K358" i="35"/>
  <c r="L358" i="35" s="1"/>
  <c r="Q358" i="35"/>
  <c r="K359" i="35"/>
  <c r="L359" i="35" s="1"/>
  <c r="Q359" i="35"/>
  <c r="K360" i="35"/>
  <c r="L360" i="35" s="1"/>
  <c r="Q360" i="35"/>
  <c r="K361" i="35"/>
  <c r="L361" i="35" s="1"/>
  <c r="Q361" i="35"/>
  <c r="K362" i="35"/>
  <c r="L362" i="35" s="1"/>
  <c r="Q362" i="35"/>
  <c r="K363" i="35"/>
  <c r="L363" i="35" s="1"/>
  <c r="Q363" i="35"/>
  <c r="K364" i="35"/>
  <c r="L364" i="35" s="1"/>
  <c r="AK364" i="35" s="1"/>
  <c r="Q364" i="35"/>
  <c r="K365" i="35"/>
  <c r="L365" i="35" s="1"/>
  <c r="Q365" i="35"/>
  <c r="K366" i="35"/>
  <c r="L366" i="35" s="1"/>
  <c r="Q366" i="35"/>
  <c r="K367" i="35"/>
  <c r="L367" i="35" s="1"/>
  <c r="Q367" i="35"/>
  <c r="K368" i="35"/>
  <c r="L368" i="35" s="1"/>
  <c r="AK368" i="35" s="1"/>
  <c r="Q368" i="35"/>
  <c r="K369" i="35"/>
  <c r="L369" i="35" s="1"/>
  <c r="Q369" i="35"/>
  <c r="K370" i="35"/>
  <c r="L370" i="35" s="1"/>
  <c r="Q370" i="35"/>
  <c r="K371" i="35"/>
  <c r="L371" i="35" s="1"/>
  <c r="Q371" i="35"/>
  <c r="K372" i="35"/>
  <c r="L372" i="35" s="1"/>
  <c r="AK372" i="35" s="1"/>
  <c r="Q372" i="35"/>
  <c r="K373" i="35"/>
  <c r="L373" i="35" s="1"/>
  <c r="Q373" i="35"/>
  <c r="K374" i="35"/>
  <c r="L374" i="35" s="1"/>
  <c r="Q374" i="35"/>
  <c r="K375" i="35"/>
  <c r="L375" i="35" s="1"/>
  <c r="Q375" i="35"/>
  <c r="K376" i="35"/>
  <c r="L376" i="35" s="1"/>
  <c r="Q376" i="35"/>
  <c r="K377" i="35"/>
  <c r="L377" i="35" s="1"/>
  <c r="Q377" i="35"/>
  <c r="K378" i="35"/>
  <c r="L378" i="35" s="1"/>
  <c r="Q378" i="35"/>
  <c r="K379" i="35"/>
  <c r="L379" i="35" s="1"/>
  <c r="Q379" i="35"/>
  <c r="K380" i="35"/>
  <c r="L380" i="35" s="1"/>
  <c r="Q380" i="35"/>
  <c r="K381" i="35"/>
  <c r="L381" i="35" s="1"/>
  <c r="Q381" i="35"/>
  <c r="K382" i="35"/>
  <c r="L382" i="35" s="1"/>
  <c r="Q382" i="35"/>
  <c r="K383" i="35"/>
  <c r="L383" i="35" s="1"/>
  <c r="Q383" i="35"/>
  <c r="K384" i="35"/>
  <c r="L384" i="35" s="1"/>
  <c r="AK384" i="35" s="1"/>
  <c r="Q384" i="35"/>
  <c r="K385" i="35"/>
  <c r="L385" i="35" s="1"/>
  <c r="Q385" i="35"/>
  <c r="K386" i="35"/>
  <c r="L386" i="35" s="1"/>
  <c r="Q386" i="35"/>
  <c r="K387" i="35"/>
  <c r="L387" i="35" s="1"/>
  <c r="Q387" i="35"/>
  <c r="K388" i="35"/>
  <c r="L388" i="35" s="1"/>
  <c r="Q388" i="35"/>
  <c r="K389" i="35"/>
  <c r="L389" i="35" s="1"/>
  <c r="Q389" i="35"/>
  <c r="K390" i="35"/>
  <c r="L390" i="35" s="1"/>
  <c r="Q390" i="35"/>
  <c r="K391" i="35"/>
  <c r="L391" i="35" s="1"/>
  <c r="Q391" i="35"/>
  <c r="K392" i="35"/>
  <c r="L392" i="35" s="1"/>
  <c r="Q392" i="35"/>
  <c r="K393" i="35"/>
  <c r="L393" i="35" s="1"/>
  <c r="Q393" i="35"/>
  <c r="K394" i="35"/>
  <c r="L394" i="35" s="1"/>
  <c r="Q394" i="35"/>
  <c r="K395" i="35"/>
  <c r="L395" i="35" s="1"/>
  <c r="Q395" i="35"/>
  <c r="K396" i="35"/>
  <c r="L396" i="35" s="1"/>
  <c r="Q396" i="35"/>
  <c r="K397" i="35"/>
  <c r="L397" i="35" s="1"/>
  <c r="Q397" i="35"/>
  <c r="K398" i="35"/>
  <c r="L398" i="35" s="1"/>
  <c r="Q398" i="35"/>
  <c r="K399" i="35"/>
  <c r="L399" i="35" s="1"/>
  <c r="Q399" i="35"/>
  <c r="K400" i="35"/>
  <c r="L400" i="35" s="1"/>
  <c r="Q400" i="35"/>
  <c r="K401" i="35"/>
  <c r="L401" i="35" s="1"/>
  <c r="Q401" i="35"/>
  <c r="K402" i="35"/>
  <c r="L402" i="35" s="1"/>
  <c r="Q402" i="35"/>
  <c r="K403" i="35"/>
  <c r="L403" i="35" s="1"/>
  <c r="Q403" i="35"/>
  <c r="K404" i="35"/>
  <c r="L404" i="35" s="1"/>
  <c r="AK404" i="35" s="1"/>
  <c r="Q404" i="35"/>
  <c r="K405" i="35"/>
  <c r="L405" i="35" s="1"/>
  <c r="AK405" i="35" s="1"/>
  <c r="Q405" i="35"/>
  <c r="K406" i="35"/>
  <c r="L406" i="35" s="1"/>
  <c r="Q406" i="35"/>
  <c r="K407" i="35"/>
  <c r="L407" i="35" s="1"/>
  <c r="Q407" i="35"/>
  <c r="K408" i="35"/>
  <c r="L408" i="35" s="1"/>
  <c r="Q408" i="35"/>
  <c r="K409" i="35"/>
  <c r="L409" i="35" s="1"/>
  <c r="Q409" i="35"/>
  <c r="K410" i="35"/>
  <c r="L410" i="35" s="1"/>
  <c r="Q410" i="35"/>
  <c r="K411" i="35"/>
  <c r="L411" i="35" s="1"/>
  <c r="Q411" i="35"/>
  <c r="K412" i="35"/>
  <c r="L412" i="35" s="1"/>
  <c r="Q412" i="35"/>
  <c r="K413" i="35"/>
  <c r="L413" i="35" s="1"/>
  <c r="Q413" i="35"/>
  <c r="K414" i="35"/>
  <c r="L414" i="35" s="1"/>
  <c r="Q414" i="35"/>
  <c r="K415" i="35"/>
  <c r="L415" i="35" s="1"/>
  <c r="Q415" i="35"/>
  <c r="K416" i="35"/>
  <c r="L416" i="35" s="1"/>
  <c r="Q416" i="35"/>
  <c r="K417" i="35"/>
  <c r="L417" i="35" s="1"/>
  <c r="Q417" i="35"/>
  <c r="K418" i="35"/>
  <c r="L418" i="35" s="1"/>
  <c r="Q418" i="35"/>
  <c r="K419" i="35"/>
  <c r="L419" i="35" s="1"/>
  <c r="Q419" i="35"/>
  <c r="K420" i="35"/>
  <c r="L420" i="35" s="1"/>
  <c r="Q420" i="35"/>
  <c r="K421" i="35"/>
  <c r="L421" i="35" s="1"/>
  <c r="Q421" i="35"/>
  <c r="K422" i="35"/>
  <c r="L422" i="35" s="1"/>
  <c r="Q422" i="35"/>
  <c r="K423" i="35"/>
  <c r="L423" i="35" s="1"/>
  <c r="Q423" i="35"/>
  <c r="K424" i="35"/>
  <c r="L424" i="35" s="1"/>
  <c r="Q424" i="35"/>
  <c r="K425" i="35"/>
  <c r="L425" i="35" s="1"/>
  <c r="Q425" i="35"/>
  <c r="K426" i="35"/>
  <c r="L426" i="35" s="1"/>
  <c r="Q426" i="35"/>
  <c r="K427" i="35"/>
  <c r="L427" i="35" s="1"/>
  <c r="Q427" i="35"/>
  <c r="K428" i="35"/>
  <c r="L428" i="35" s="1"/>
  <c r="Q428" i="35"/>
  <c r="K429" i="35"/>
  <c r="L429" i="35" s="1"/>
  <c r="Q429" i="35"/>
  <c r="K430" i="35"/>
  <c r="L430" i="35" s="1"/>
  <c r="Q430" i="35"/>
  <c r="K431" i="35"/>
  <c r="L431" i="35" s="1"/>
  <c r="Q431" i="35"/>
  <c r="K432" i="35"/>
  <c r="L432" i="35" s="1"/>
  <c r="AK432" i="35" s="1"/>
  <c r="Q432" i="35"/>
  <c r="K433" i="35"/>
  <c r="L433" i="35" s="1"/>
  <c r="Q433" i="35"/>
  <c r="K434" i="35"/>
  <c r="L434" i="35" s="1"/>
  <c r="Q434" i="35"/>
  <c r="K435" i="35"/>
  <c r="L435" i="35" s="1"/>
  <c r="Q435" i="35"/>
  <c r="K436" i="35"/>
  <c r="L436" i="35" s="1"/>
  <c r="Q436" i="35"/>
  <c r="K437" i="35"/>
  <c r="L437" i="35" s="1"/>
  <c r="AK437" i="35" s="1"/>
  <c r="Q437" i="35"/>
  <c r="K438" i="35"/>
  <c r="L438" i="35" s="1"/>
  <c r="Q438" i="35"/>
  <c r="K439" i="35"/>
  <c r="L439" i="35" s="1"/>
  <c r="Q439" i="35"/>
  <c r="K440" i="35"/>
  <c r="L440" i="35" s="1"/>
  <c r="Q440" i="35"/>
  <c r="K441" i="35"/>
  <c r="L441" i="35" s="1"/>
  <c r="Q441" i="35"/>
  <c r="K442" i="35"/>
  <c r="L442" i="35" s="1"/>
  <c r="Q442" i="35"/>
  <c r="K443" i="35"/>
  <c r="L443" i="35" s="1"/>
  <c r="Q443" i="35"/>
  <c r="K444" i="35"/>
  <c r="L444" i="35" s="1"/>
  <c r="AK444" i="35" s="1"/>
  <c r="Q444" i="35"/>
  <c r="K445" i="35"/>
  <c r="L445" i="35" s="1"/>
  <c r="Q445" i="35"/>
  <c r="K446" i="35"/>
  <c r="L446" i="35" s="1"/>
  <c r="Q446" i="35"/>
  <c r="K447" i="35"/>
  <c r="L447" i="35" s="1"/>
  <c r="Q447" i="35"/>
  <c r="K448" i="35"/>
  <c r="L448" i="35" s="1"/>
  <c r="Q448" i="35"/>
  <c r="K449" i="35"/>
  <c r="L449" i="35" s="1"/>
  <c r="Q449" i="35"/>
  <c r="K450" i="35"/>
  <c r="L450" i="35" s="1"/>
  <c r="Q450" i="35"/>
  <c r="K451" i="35"/>
  <c r="L451" i="35" s="1"/>
  <c r="Q451" i="35"/>
  <c r="K452" i="35"/>
  <c r="L452" i="35" s="1"/>
  <c r="Q452" i="35"/>
  <c r="K453" i="35"/>
  <c r="L453" i="35" s="1"/>
  <c r="Q453" i="35"/>
  <c r="K454" i="35"/>
  <c r="L454" i="35" s="1"/>
  <c r="Q454" i="35"/>
  <c r="K455" i="35"/>
  <c r="L455" i="35" s="1"/>
  <c r="Q455" i="35"/>
  <c r="K456" i="35"/>
  <c r="L456" i="35" s="1"/>
  <c r="Q456" i="35"/>
  <c r="K457" i="35"/>
  <c r="L457" i="35" s="1"/>
  <c r="Q457" i="35"/>
  <c r="K458" i="35"/>
  <c r="L458" i="35" s="1"/>
  <c r="Q458" i="35"/>
  <c r="K459" i="35"/>
  <c r="L459" i="35" s="1"/>
  <c r="Q459" i="35"/>
  <c r="K460" i="35"/>
  <c r="L460" i="35" s="1"/>
  <c r="AK460" i="35" s="1"/>
  <c r="Q460" i="35"/>
  <c r="K461" i="35"/>
  <c r="L461" i="35" s="1"/>
  <c r="Q461" i="35"/>
  <c r="K462" i="35"/>
  <c r="L462" i="35" s="1"/>
  <c r="Q462" i="35"/>
  <c r="K463" i="35"/>
  <c r="L463" i="35" s="1"/>
  <c r="Q463" i="35"/>
  <c r="K464" i="35"/>
  <c r="L464" i="35" s="1"/>
  <c r="AK464" i="35" s="1"/>
  <c r="Q464" i="35"/>
  <c r="K465" i="35"/>
  <c r="L465" i="35" s="1"/>
  <c r="Q465" i="35"/>
  <c r="K466" i="35"/>
  <c r="L466" i="35" s="1"/>
  <c r="Q466" i="35"/>
  <c r="K467" i="35"/>
  <c r="L467" i="35" s="1"/>
  <c r="Q467" i="35"/>
  <c r="K468" i="35"/>
  <c r="L468" i="35" s="1"/>
  <c r="Q468" i="35"/>
  <c r="K469" i="35"/>
  <c r="L469" i="35" s="1"/>
  <c r="Q469" i="35"/>
  <c r="K470" i="35"/>
  <c r="L470" i="35" s="1"/>
  <c r="Q470" i="35"/>
  <c r="K471" i="35"/>
  <c r="L471" i="35" s="1"/>
  <c r="Q471" i="35"/>
  <c r="K472" i="35"/>
  <c r="L472" i="35" s="1"/>
  <c r="Q472" i="35"/>
  <c r="K473" i="35"/>
  <c r="L473" i="35" s="1"/>
  <c r="Q473" i="35"/>
  <c r="K474" i="35"/>
  <c r="L474" i="35" s="1"/>
  <c r="Q474" i="35"/>
  <c r="K475" i="35"/>
  <c r="L475" i="35" s="1"/>
  <c r="Q475" i="35"/>
  <c r="K476" i="35"/>
  <c r="L476" i="35" s="1"/>
  <c r="Q476" i="35"/>
  <c r="K477" i="35"/>
  <c r="L477" i="35" s="1"/>
  <c r="Q477" i="35"/>
  <c r="K478" i="35"/>
  <c r="L478" i="35" s="1"/>
  <c r="Q478" i="35"/>
  <c r="K479" i="35"/>
  <c r="L479" i="35" s="1"/>
  <c r="Q479" i="35"/>
  <c r="K480" i="35"/>
  <c r="L480" i="35" s="1"/>
  <c r="Q480" i="35"/>
  <c r="K481" i="35"/>
  <c r="L481" i="35" s="1"/>
  <c r="Q481" i="35"/>
  <c r="K482" i="35"/>
  <c r="L482" i="35" s="1"/>
  <c r="Q482" i="35"/>
  <c r="K483" i="35"/>
  <c r="L483" i="35" s="1"/>
  <c r="Q483" i="35"/>
  <c r="K484" i="35"/>
  <c r="L484" i="35" s="1"/>
  <c r="Q484" i="35"/>
  <c r="K485" i="35"/>
  <c r="L485" i="35" s="1"/>
  <c r="AK485" i="35" s="1"/>
  <c r="Q485" i="35"/>
  <c r="K486" i="35"/>
  <c r="L486" i="35" s="1"/>
  <c r="Q486" i="35"/>
  <c r="K487" i="35"/>
  <c r="L487" i="35" s="1"/>
  <c r="Q487" i="35"/>
  <c r="K488" i="35"/>
  <c r="L488" i="35" s="1"/>
  <c r="Q488" i="35"/>
  <c r="K489" i="35"/>
  <c r="L489" i="35" s="1"/>
  <c r="Q489" i="35"/>
  <c r="K490" i="35"/>
  <c r="L490" i="35" s="1"/>
  <c r="Q490" i="35"/>
  <c r="K491" i="35"/>
  <c r="L491" i="35" s="1"/>
  <c r="Q491" i="35"/>
  <c r="K492" i="35"/>
  <c r="L492" i="35" s="1"/>
  <c r="AK492" i="35" s="1"/>
  <c r="Q492" i="35"/>
  <c r="K493" i="35"/>
  <c r="L493" i="35" s="1"/>
  <c r="AK493" i="35" s="1"/>
  <c r="Q493" i="35"/>
  <c r="K494" i="35"/>
  <c r="L494" i="35" s="1"/>
  <c r="Q494" i="35"/>
  <c r="K495" i="35"/>
  <c r="L495" i="35" s="1"/>
  <c r="Q495" i="35"/>
  <c r="K496" i="35"/>
  <c r="L496" i="35" s="1"/>
  <c r="Q496" i="35"/>
  <c r="K497" i="35"/>
  <c r="L497" i="35" s="1"/>
  <c r="Q497" i="35"/>
  <c r="K498" i="35"/>
  <c r="L498" i="35" s="1"/>
  <c r="Q498" i="35"/>
  <c r="K499" i="35"/>
  <c r="L499" i="35" s="1"/>
  <c r="Q499" i="35"/>
  <c r="K500" i="35"/>
  <c r="L500" i="35" s="1"/>
  <c r="Q500" i="35"/>
  <c r="K2" i="35"/>
  <c r="L2" i="35" s="1"/>
  <c r="AK2" i="35" s="1"/>
  <c r="J9" i="40"/>
  <c r="GM5" i="19"/>
  <c r="GN5" i="19"/>
  <c r="GO5" i="19"/>
  <c r="GP5" i="19"/>
  <c r="GQ5" i="19"/>
  <c r="GR5" i="19"/>
  <c r="GS5" i="19"/>
  <c r="GT5" i="19"/>
  <c r="GU5" i="19"/>
  <c r="GV5" i="19"/>
  <c r="GW5" i="19"/>
  <c r="GX5" i="19"/>
  <c r="FV5" i="19"/>
  <c r="FF5" i="19"/>
  <c r="FW5" i="19"/>
  <c r="FX5" i="19"/>
  <c r="FY5" i="19"/>
  <c r="FZ5" i="19"/>
  <c r="GA5" i="19"/>
  <c r="GB5" i="19"/>
  <c r="GC5" i="19"/>
  <c r="GD5" i="19"/>
  <c r="GE5" i="19"/>
  <c r="GF5" i="19"/>
  <c r="GG5" i="19"/>
  <c r="GH5" i="19"/>
  <c r="G542" i="11"/>
  <c r="B11" i="8"/>
  <c r="B10" i="8"/>
  <c r="J3" i="35"/>
  <c r="J4" i="35"/>
  <c r="J5" i="35"/>
  <c r="J6" i="35"/>
  <c r="J7" i="35"/>
  <c r="J8" i="35"/>
  <c r="J9" i="35"/>
  <c r="J10" i="35"/>
  <c r="J11" i="35"/>
  <c r="J12" i="35"/>
  <c r="J13" i="35"/>
  <c r="J14" i="35"/>
  <c r="J15" i="35"/>
  <c r="J16" i="35"/>
  <c r="J17" i="35"/>
  <c r="J18" i="35"/>
  <c r="J19" i="35"/>
  <c r="J20" i="35"/>
  <c r="J21" i="35"/>
  <c r="J22" i="35"/>
  <c r="J23" i="35"/>
  <c r="J24" i="35"/>
  <c r="J25" i="35"/>
  <c r="J26" i="35"/>
  <c r="J27" i="35"/>
  <c r="J28" i="35"/>
  <c r="J29" i="35"/>
  <c r="J30" i="35"/>
  <c r="J31" i="35"/>
  <c r="J32" i="35"/>
  <c r="J33" i="35"/>
  <c r="J34" i="35"/>
  <c r="J35" i="35"/>
  <c r="J36" i="35"/>
  <c r="J37" i="35"/>
  <c r="J38" i="35"/>
  <c r="J39" i="35"/>
  <c r="J40" i="35"/>
  <c r="J41" i="35"/>
  <c r="J42" i="35"/>
  <c r="J43" i="35"/>
  <c r="J44" i="35"/>
  <c r="J45" i="35"/>
  <c r="J46" i="35"/>
  <c r="J47" i="35"/>
  <c r="J48" i="35"/>
  <c r="J49" i="35"/>
  <c r="J50" i="35"/>
  <c r="J51" i="35"/>
  <c r="J52" i="35"/>
  <c r="J53" i="35"/>
  <c r="J54" i="35"/>
  <c r="J55" i="35"/>
  <c r="J56" i="35"/>
  <c r="J57" i="35"/>
  <c r="J58" i="35"/>
  <c r="J59" i="35"/>
  <c r="J60" i="35"/>
  <c r="J61" i="35"/>
  <c r="J62" i="35"/>
  <c r="J63" i="35"/>
  <c r="J64" i="35"/>
  <c r="J65" i="35"/>
  <c r="J66" i="35"/>
  <c r="J67" i="35"/>
  <c r="J68" i="35"/>
  <c r="J69" i="35"/>
  <c r="J70" i="35"/>
  <c r="J71" i="35"/>
  <c r="J72" i="35"/>
  <c r="J73" i="35"/>
  <c r="J74" i="35"/>
  <c r="J75" i="35"/>
  <c r="J76" i="35"/>
  <c r="J77" i="35"/>
  <c r="J78" i="35"/>
  <c r="J79" i="35"/>
  <c r="J80" i="35"/>
  <c r="J81" i="35"/>
  <c r="J82" i="35"/>
  <c r="J83" i="35"/>
  <c r="J84" i="35"/>
  <c r="J85" i="35"/>
  <c r="J86" i="35"/>
  <c r="J87" i="35"/>
  <c r="J88" i="35"/>
  <c r="J89" i="35"/>
  <c r="J90" i="35"/>
  <c r="J91" i="35"/>
  <c r="J92" i="35"/>
  <c r="J93" i="35"/>
  <c r="J94" i="35"/>
  <c r="J95" i="35"/>
  <c r="J96" i="35"/>
  <c r="J97" i="35"/>
  <c r="J98" i="35"/>
  <c r="J99" i="35"/>
  <c r="J100" i="35"/>
  <c r="J101" i="35"/>
  <c r="J102" i="35"/>
  <c r="J103" i="35"/>
  <c r="J104" i="35"/>
  <c r="J105" i="35"/>
  <c r="J106" i="35"/>
  <c r="J107" i="35"/>
  <c r="J108" i="35"/>
  <c r="J109" i="35"/>
  <c r="J110" i="35"/>
  <c r="J111" i="35"/>
  <c r="J112" i="35"/>
  <c r="J113" i="35"/>
  <c r="J114" i="35"/>
  <c r="J115" i="35"/>
  <c r="J116" i="35"/>
  <c r="J117" i="35"/>
  <c r="J118" i="35"/>
  <c r="J119" i="35"/>
  <c r="J120" i="35"/>
  <c r="J121" i="35"/>
  <c r="J122" i="35"/>
  <c r="J123" i="35"/>
  <c r="J124" i="35"/>
  <c r="J125" i="35"/>
  <c r="J126" i="35"/>
  <c r="J127" i="35"/>
  <c r="J128" i="35"/>
  <c r="J129" i="35"/>
  <c r="J130" i="35"/>
  <c r="J131" i="35"/>
  <c r="J132" i="35"/>
  <c r="J133" i="35"/>
  <c r="J134" i="35"/>
  <c r="J135" i="35"/>
  <c r="J136" i="35"/>
  <c r="J137" i="35"/>
  <c r="J138" i="35"/>
  <c r="J139" i="35"/>
  <c r="J140" i="35"/>
  <c r="J141" i="35"/>
  <c r="J142" i="35"/>
  <c r="J143" i="35"/>
  <c r="J144" i="35"/>
  <c r="J145" i="35"/>
  <c r="J146" i="35"/>
  <c r="J147" i="35"/>
  <c r="J148" i="35"/>
  <c r="J149" i="35"/>
  <c r="J150" i="35"/>
  <c r="J151" i="35"/>
  <c r="J152" i="35"/>
  <c r="J153" i="35"/>
  <c r="J154" i="35"/>
  <c r="J155" i="35"/>
  <c r="J156" i="35"/>
  <c r="J157" i="35"/>
  <c r="J158" i="35"/>
  <c r="J159" i="35"/>
  <c r="J160" i="35"/>
  <c r="J161" i="35"/>
  <c r="J162" i="35"/>
  <c r="J163" i="35"/>
  <c r="J164" i="35"/>
  <c r="J165" i="35"/>
  <c r="J166" i="35"/>
  <c r="J167" i="35"/>
  <c r="J168" i="35"/>
  <c r="J169" i="35"/>
  <c r="J170" i="35"/>
  <c r="J171" i="35"/>
  <c r="J172" i="35"/>
  <c r="J173" i="35"/>
  <c r="J174" i="35"/>
  <c r="J175" i="35"/>
  <c r="J176" i="35"/>
  <c r="J177" i="35"/>
  <c r="J178" i="35"/>
  <c r="J179" i="35"/>
  <c r="J180" i="35"/>
  <c r="J181" i="35"/>
  <c r="J182" i="35"/>
  <c r="J183" i="35"/>
  <c r="J184" i="35"/>
  <c r="J185" i="35"/>
  <c r="J186" i="35"/>
  <c r="J187" i="35"/>
  <c r="J188" i="35"/>
  <c r="J189" i="35"/>
  <c r="J190" i="35"/>
  <c r="J191" i="35"/>
  <c r="J192" i="35"/>
  <c r="J193" i="35"/>
  <c r="J194" i="35"/>
  <c r="J195" i="35"/>
  <c r="J196" i="35"/>
  <c r="J197" i="35"/>
  <c r="J198" i="35"/>
  <c r="J199" i="35"/>
  <c r="J200" i="35"/>
  <c r="J201" i="35"/>
  <c r="J202" i="35"/>
  <c r="J203" i="35"/>
  <c r="J204" i="35"/>
  <c r="J205" i="35"/>
  <c r="J206" i="35"/>
  <c r="J207" i="35"/>
  <c r="J208" i="35"/>
  <c r="J209" i="35"/>
  <c r="J210" i="35"/>
  <c r="J211" i="35"/>
  <c r="J212" i="35"/>
  <c r="J213" i="35"/>
  <c r="J214" i="35"/>
  <c r="J215" i="35"/>
  <c r="J216" i="35"/>
  <c r="J217" i="35"/>
  <c r="J218" i="35"/>
  <c r="J219" i="35"/>
  <c r="J220" i="35"/>
  <c r="J221" i="35"/>
  <c r="J222" i="35"/>
  <c r="J223" i="35"/>
  <c r="J224" i="35"/>
  <c r="J225" i="35"/>
  <c r="J226" i="35"/>
  <c r="J227" i="35"/>
  <c r="J228" i="35"/>
  <c r="J229" i="35"/>
  <c r="J230" i="35"/>
  <c r="J231" i="35"/>
  <c r="J232" i="35"/>
  <c r="J233" i="35"/>
  <c r="J234" i="35"/>
  <c r="J235" i="35"/>
  <c r="J236" i="35"/>
  <c r="J237" i="35"/>
  <c r="J238" i="35"/>
  <c r="J239" i="35"/>
  <c r="J240" i="35"/>
  <c r="J241" i="35"/>
  <c r="J242" i="35"/>
  <c r="J243" i="35"/>
  <c r="J244" i="35"/>
  <c r="J245" i="35"/>
  <c r="J246" i="35"/>
  <c r="J247" i="35"/>
  <c r="J248" i="35"/>
  <c r="J249" i="35"/>
  <c r="J250" i="35"/>
  <c r="J251" i="35"/>
  <c r="J252" i="35"/>
  <c r="J253" i="35"/>
  <c r="J254" i="35"/>
  <c r="J255" i="35"/>
  <c r="J256" i="35"/>
  <c r="J257" i="35"/>
  <c r="J258" i="35"/>
  <c r="J259" i="35"/>
  <c r="J260" i="35"/>
  <c r="J261" i="35"/>
  <c r="J262" i="35"/>
  <c r="J263" i="35"/>
  <c r="J264" i="35"/>
  <c r="J265" i="35"/>
  <c r="J266" i="35"/>
  <c r="J267" i="35"/>
  <c r="J268" i="35"/>
  <c r="J269" i="35"/>
  <c r="J270" i="35"/>
  <c r="J271" i="35"/>
  <c r="J272" i="35"/>
  <c r="J273" i="35"/>
  <c r="J274" i="35"/>
  <c r="J275" i="35"/>
  <c r="J276" i="35"/>
  <c r="J277" i="35"/>
  <c r="J278" i="35"/>
  <c r="J279" i="35"/>
  <c r="J280" i="35"/>
  <c r="J281" i="35"/>
  <c r="J282" i="35"/>
  <c r="J283" i="35"/>
  <c r="J284" i="35"/>
  <c r="J285" i="35"/>
  <c r="J286" i="35"/>
  <c r="J287" i="35"/>
  <c r="J288" i="35"/>
  <c r="J289" i="35"/>
  <c r="J290" i="35"/>
  <c r="J291" i="35"/>
  <c r="J292" i="35"/>
  <c r="J293" i="35"/>
  <c r="J294" i="35"/>
  <c r="J295" i="35"/>
  <c r="J296" i="35"/>
  <c r="J297" i="35"/>
  <c r="J298" i="35"/>
  <c r="J299" i="35"/>
  <c r="J300" i="35"/>
  <c r="J301" i="35"/>
  <c r="J302" i="35"/>
  <c r="J303" i="35"/>
  <c r="J304" i="35"/>
  <c r="J305" i="35"/>
  <c r="J306" i="35"/>
  <c r="J307" i="35"/>
  <c r="J308" i="35"/>
  <c r="J309" i="35"/>
  <c r="J310" i="35"/>
  <c r="J311" i="35"/>
  <c r="J312" i="35"/>
  <c r="J313" i="35"/>
  <c r="J314" i="35"/>
  <c r="J315" i="35"/>
  <c r="J316" i="35"/>
  <c r="J317" i="35"/>
  <c r="J318" i="35"/>
  <c r="J319" i="35"/>
  <c r="J320" i="35"/>
  <c r="J321" i="35"/>
  <c r="J322" i="35"/>
  <c r="J323" i="35"/>
  <c r="J324" i="35"/>
  <c r="J325" i="35"/>
  <c r="J326" i="35"/>
  <c r="J327" i="35"/>
  <c r="J328" i="35"/>
  <c r="J329" i="35"/>
  <c r="J330" i="35"/>
  <c r="J331" i="35"/>
  <c r="J332" i="35"/>
  <c r="J333" i="35"/>
  <c r="J334" i="35"/>
  <c r="J335" i="35"/>
  <c r="J336" i="35"/>
  <c r="J337" i="35"/>
  <c r="J338" i="35"/>
  <c r="J339" i="35"/>
  <c r="J340" i="35"/>
  <c r="J341" i="35"/>
  <c r="J342" i="35"/>
  <c r="J343" i="35"/>
  <c r="J344" i="35"/>
  <c r="J345" i="35"/>
  <c r="J346" i="35"/>
  <c r="J347" i="35"/>
  <c r="J348" i="35"/>
  <c r="J349" i="35"/>
  <c r="J350" i="35"/>
  <c r="J351" i="35"/>
  <c r="J352" i="35"/>
  <c r="J353" i="35"/>
  <c r="J354" i="35"/>
  <c r="J355" i="35"/>
  <c r="J356" i="35"/>
  <c r="J357" i="35"/>
  <c r="J358" i="35"/>
  <c r="J359" i="35"/>
  <c r="J360" i="35"/>
  <c r="J361" i="35"/>
  <c r="J362" i="35"/>
  <c r="J363" i="35"/>
  <c r="J364" i="35"/>
  <c r="J365" i="35"/>
  <c r="J366" i="35"/>
  <c r="J367" i="35"/>
  <c r="J368" i="35"/>
  <c r="J369" i="35"/>
  <c r="J370" i="35"/>
  <c r="J371" i="35"/>
  <c r="J372" i="35"/>
  <c r="J373" i="35"/>
  <c r="J374" i="35"/>
  <c r="J375" i="35"/>
  <c r="J376" i="35"/>
  <c r="J377" i="35"/>
  <c r="J378" i="35"/>
  <c r="J379" i="35"/>
  <c r="J380" i="35"/>
  <c r="J381" i="35"/>
  <c r="J382" i="35"/>
  <c r="J383" i="35"/>
  <c r="J384" i="35"/>
  <c r="J385" i="35"/>
  <c r="J386" i="35"/>
  <c r="J387" i="35"/>
  <c r="J388" i="35"/>
  <c r="J389" i="35"/>
  <c r="J390" i="35"/>
  <c r="J391" i="35"/>
  <c r="J392" i="35"/>
  <c r="J393" i="35"/>
  <c r="J394" i="35"/>
  <c r="J395" i="35"/>
  <c r="J396" i="35"/>
  <c r="J397" i="35"/>
  <c r="J398" i="35"/>
  <c r="J399" i="35"/>
  <c r="J400" i="35"/>
  <c r="J401" i="35"/>
  <c r="J402" i="35"/>
  <c r="J403" i="35"/>
  <c r="J404" i="35"/>
  <c r="J405" i="35"/>
  <c r="J406" i="35"/>
  <c r="J407" i="35"/>
  <c r="J408" i="35"/>
  <c r="J409" i="35"/>
  <c r="J410" i="35"/>
  <c r="J411" i="35"/>
  <c r="J412" i="35"/>
  <c r="J413" i="35"/>
  <c r="J414" i="35"/>
  <c r="J415" i="35"/>
  <c r="J416" i="35"/>
  <c r="J417" i="35"/>
  <c r="J418" i="35"/>
  <c r="J419" i="35"/>
  <c r="J420" i="35"/>
  <c r="J421" i="35"/>
  <c r="J422" i="35"/>
  <c r="J423" i="35"/>
  <c r="J424" i="35"/>
  <c r="J425" i="35"/>
  <c r="J426" i="35"/>
  <c r="J427" i="35"/>
  <c r="J428" i="35"/>
  <c r="J429" i="35"/>
  <c r="J430" i="35"/>
  <c r="J431" i="35"/>
  <c r="J432" i="35"/>
  <c r="J433" i="35"/>
  <c r="J434" i="35"/>
  <c r="J435" i="35"/>
  <c r="J436" i="35"/>
  <c r="J437" i="35"/>
  <c r="J438" i="35"/>
  <c r="J439" i="35"/>
  <c r="J440" i="35"/>
  <c r="J441" i="35"/>
  <c r="J442" i="35"/>
  <c r="J443" i="35"/>
  <c r="J444" i="35"/>
  <c r="J445" i="35"/>
  <c r="J446" i="35"/>
  <c r="J447" i="35"/>
  <c r="J448" i="35"/>
  <c r="J449" i="35"/>
  <c r="J450" i="35"/>
  <c r="J451" i="35"/>
  <c r="J452" i="35"/>
  <c r="J453" i="35"/>
  <c r="J454" i="35"/>
  <c r="J455" i="35"/>
  <c r="J456" i="35"/>
  <c r="J457" i="35"/>
  <c r="J458" i="35"/>
  <c r="J459" i="35"/>
  <c r="J460" i="35"/>
  <c r="J461" i="35"/>
  <c r="J462" i="35"/>
  <c r="J463" i="35"/>
  <c r="J464" i="35"/>
  <c r="J465" i="35"/>
  <c r="J466" i="35"/>
  <c r="J467" i="35"/>
  <c r="J468" i="35"/>
  <c r="J469" i="35"/>
  <c r="J470" i="35"/>
  <c r="J471" i="35"/>
  <c r="J472" i="35"/>
  <c r="J473" i="35"/>
  <c r="J474" i="35"/>
  <c r="J475" i="35"/>
  <c r="J476" i="35"/>
  <c r="J477" i="35"/>
  <c r="J478" i="35"/>
  <c r="J479" i="35"/>
  <c r="J480" i="35"/>
  <c r="J481" i="35"/>
  <c r="J482" i="35"/>
  <c r="J483" i="35"/>
  <c r="J484" i="35"/>
  <c r="J485" i="35"/>
  <c r="J486" i="35"/>
  <c r="J487" i="35"/>
  <c r="J488" i="35"/>
  <c r="J489" i="35"/>
  <c r="J490" i="35"/>
  <c r="J491" i="35"/>
  <c r="J492" i="35"/>
  <c r="J493" i="35"/>
  <c r="J494" i="35"/>
  <c r="J495" i="35"/>
  <c r="J496" i="35"/>
  <c r="J497" i="35"/>
  <c r="J498" i="35"/>
  <c r="J499" i="35"/>
  <c r="J500" i="35"/>
  <c r="J2" i="35"/>
  <c r="B54" i="3"/>
  <c r="M12" i="10"/>
  <c r="P12" i="10" s="1"/>
  <c r="M13" i="10"/>
  <c r="P13" i="10" s="1"/>
  <c r="M14" i="10"/>
  <c r="P14" i="10" s="1"/>
  <c r="M15" i="10"/>
  <c r="P15" i="10" s="1"/>
  <c r="M16" i="10"/>
  <c r="P16" i="10" s="1"/>
  <c r="M17" i="10"/>
  <c r="P17" i="10" s="1"/>
  <c r="M18" i="10"/>
  <c r="P18" i="10" s="1"/>
  <c r="M19" i="10"/>
  <c r="P19" i="10" s="1"/>
  <c r="M20" i="10"/>
  <c r="P20" i="10" s="1"/>
  <c r="M21" i="10"/>
  <c r="P21" i="10" s="1"/>
  <c r="M22" i="10"/>
  <c r="P22" i="10" s="1"/>
  <c r="M23" i="10"/>
  <c r="P23" i="10" s="1"/>
  <c r="M24" i="10"/>
  <c r="P24" i="10" s="1"/>
  <c r="M25" i="10"/>
  <c r="P25" i="10" s="1"/>
  <c r="M26" i="10"/>
  <c r="P26" i="10" s="1"/>
  <c r="M27" i="10"/>
  <c r="P27" i="10" s="1"/>
  <c r="L2" i="16"/>
  <c r="M2" i="16" s="1"/>
  <c r="AA3" i="16"/>
  <c r="AB3" i="16" s="1"/>
  <c r="L3" i="16"/>
  <c r="M3" i="16" s="1"/>
  <c r="R3" i="16"/>
  <c r="AA4" i="16"/>
  <c r="AB4" i="16" s="1"/>
  <c r="L4" i="16"/>
  <c r="M4" i="16" s="1"/>
  <c r="R4" i="16"/>
  <c r="AA5" i="16"/>
  <c r="AB5" i="16" s="1"/>
  <c r="R5" i="16"/>
  <c r="AA6" i="16"/>
  <c r="AB6" i="16" s="1"/>
  <c r="R6" i="16"/>
  <c r="AA7" i="16"/>
  <c r="AB7" i="16" s="1"/>
  <c r="R7" i="16"/>
  <c r="AA8" i="16"/>
  <c r="AB8" i="16" s="1"/>
  <c r="R8" i="16"/>
  <c r="AA9" i="16"/>
  <c r="AB9" i="16" s="1"/>
  <c r="R9" i="16"/>
  <c r="AA10" i="16"/>
  <c r="AB10" i="16" s="1"/>
  <c r="R10" i="16"/>
  <c r="AA11" i="16"/>
  <c r="AB11" i="16" s="1"/>
  <c r="R11" i="16"/>
  <c r="AA12" i="16"/>
  <c r="AB12" i="16" s="1"/>
  <c r="R12" i="16"/>
  <c r="AA13" i="16"/>
  <c r="AB13" i="16" s="1"/>
  <c r="R13" i="16"/>
  <c r="AA14" i="16"/>
  <c r="AB14" i="16" s="1"/>
  <c r="R14" i="16"/>
  <c r="AA15" i="16"/>
  <c r="AB15" i="16" s="1"/>
  <c r="R15" i="16"/>
  <c r="AA16" i="16"/>
  <c r="AB16" i="16" s="1"/>
  <c r="R16" i="16"/>
  <c r="AA17" i="16"/>
  <c r="AB17" i="16" s="1"/>
  <c r="R17" i="16"/>
  <c r="AA18" i="16"/>
  <c r="AB18" i="16" s="1"/>
  <c r="R18" i="16"/>
  <c r="AA19" i="16"/>
  <c r="AB19" i="16" s="1"/>
  <c r="R19" i="16"/>
  <c r="AA20" i="16"/>
  <c r="AB20" i="16" s="1"/>
  <c r="R20" i="16"/>
  <c r="AA21" i="16"/>
  <c r="AB21" i="16" s="1"/>
  <c r="R21" i="16"/>
  <c r="AA22" i="16"/>
  <c r="AB22" i="16" s="1"/>
  <c r="R22" i="16"/>
  <c r="AA23" i="16"/>
  <c r="AB23" i="16" s="1"/>
  <c r="R23" i="16"/>
  <c r="AA24" i="16"/>
  <c r="AB24" i="16" s="1"/>
  <c r="R24" i="16"/>
  <c r="AA25" i="16"/>
  <c r="AB25" i="16" s="1"/>
  <c r="R25" i="16"/>
  <c r="AA26" i="16"/>
  <c r="AB26" i="16" s="1"/>
  <c r="R26" i="16"/>
  <c r="AA27" i="16"/>
  <c r="AB27" i="16" s="1"/>
  <c r="R27" i="16"/>
  <c r="AA28" i="16"/>
  <c r="AB28" i="16" s="1"/>
  <c r="R28" i="16"/>
  <c r="AA29" i="16"/>
  <c r="AB29" i="16" s="1"/>
  <c r="R29" i="16"/>
  <c r="AA30" i="16"/>
  <c r="AB30" i="16" s="1"/>
  <c r="R30" i="16"/>
  <c r="AA31" i="16"/>
  <c r="AB31" i="16" s="1"/>
  <c r="R31" i="16"/>
  <c r="AA32" i="16"/>
  <c r="AB32" i="16" s="1"/>
  <c r="R32" i="16"/>
  <c r="AA33" i="16"/>
  <c r="AB33" i="16" s="1"/>
  <c r="R33" i="16"/>
  <c r="AA34" i="16"/>
  <c r="AB34" i="16" s="1"/>
  <c r="R34" i="16"/>
  <c r="AA35" i="16"/>
  <c r="AB35" i="16" s="1"/>
  <c r="R35" i="16"/>
  <c r="AA36" i="16"/>
  <c r="AB36" i="16" s="1"/>
  <c r="R36" i="16"/>
  <c r="AA37" i="16"/>
  <c r="AB37" i="16" s="1"/>
  <c r="R37" i="16"/>
  <c r="AA38" i="16"/>
  <c r="AB38" i="16" s="1"/>
  <c r="R38" i="16"/>
  <c r="AA39" i="16"/>
  <c r="AB39" i="16" s="1"/>
  <c r="R39" i="16"/>
  <c r="AA40" i="16"/>
  <c r="AB40" i="16" s="1"/>
  <c r="R40" i="16"/>
  <c r="AA41" i="16"/>
  <c r="AB41" i="16" s="1"/>
  <c r="R41" i="16"/>
  <c r="AA42" i="16"/>
  <c r="AB42" i="16" s="1"/>
  <c r="R42" i="16"/>
  <c r="AA43" i="16"/>
  <c r="AB43" i="16" s="1"/>
  <c r="R43" i="16"/>
  <c r="AA44" i="16"/>
  <c r="AB44" i="16" s="1"/>
  <c r="R44" i="16"/>
  <c r="AA45" i="16"/>
  <c r="AB45" i="16" s="1"/>
  <c r="R45" i="16"/>
  <c r="AA46" i="16"/>
  <c r="AB46" i="16" s="1"/>
  <c r="R46" i="16"/>
  <c r="AA47" i="16"/>
  <c r="AB47" i="16" s="1"/>
  <c r="R47" i="16"/>
  <c r="AA48" i="16"/>
  <c r="AB48" i="16" s="1"/>
  <c r="R48" i="16"/>
  <c r="AA49" i="16"/>
  <c r="AB49" i="16" s="1"/>
  <c r="R49" i="16"/>
  <c r="AA50" i="16"/>
  <c r="AB50" i="16" s="1"/>
  <c r="R50" i="16"/>
  <c r="AA51" i="16"/>
  <c r="AB51" i="16" s="1"/>
  <c r="R51" i="16"/>
  <c r="AA52" i="16"/>
  <c r="AB52" i="16" s="1"/>
  <c r="R52" i="16"/>
  <c r="AA53" i="16"/>
  <c r="AB53" i="16" s="1"/>
  <c r="R53" i="16"/>
  <c r="AA54" i="16"/>
  <c r="AB54" i="16" s="1"/>
  <c r="R54" i="16"/>
  <c r="AA55" i="16"/>
  <c r="AB55" i="16" s="1"/>
  <c r="R55" i="16"/>
  <c r="AA56" i="16"/>
  <c r="AB56" i="16" s="1"/>
  <c r="R56" i="16"/>
  <c r="AA57" i="16"/>
  <c r="AB57" i="16" s="1"/>
  <c r="R57" i="16"/>
  <c r="AA58" i="16"/>
  <c r="AB58" i="16" s="1"/>
  <c r="R58" i="16"/>
  <c r="AA59" i="16"/>
  <c r="AB59" i="16" s="1"/>
  <c r="R59" i="16"/>
  <c r="AA60" i="16"/>
  <c r="AB60" i="16" s="1"/>
  <c r="R60" i="16"/>
  <c r="AA61" i="16"/>
  <c r="AB61" i="16" s="1"/>
  <c r="R61" i="16"/>
  <c r="AA62" i="16"/>
  <c r="AB62" i="16" s="1"/>
  <c r="R62" i="16"/>
  <c r="AA63" i="16"/>
  <c r="AB63" i="16" s="1"/>
  <c r="R63" i="16"/>
  <c r="AA64" i="16"/>
  <c r="AB64" i="16" s="1"/>
  <c r="R64" i="16"/>
  <c r="AA65" i="16"/>
  <c r="AB65" i="16" s="1"/>
  <c r="R65" i="16"/>
  <c r="AA66" i="16"/>
  <c r="AB66" i="16" s="1"/>
  <c r="R66" i="16"/>
  <c r="AA67" i="16"/>
  <c r="AB67" i="16" s="1"/>
  <c r="R67" i="16"/>
  <c r="AA68" i="16"/>
  <c r="AB68" i="16" s="1"/>
  <c r="R68" i="16"/>
  <c r="AA69" i="16"/>
  <c r="AB69" i="16" s="1"/>
  <c r="R69" i="16"/>
  <c r="AA70" i="16"/>
  <c r="AB70" i="16" s="1"/>
  <c r="R70" i="16"/>
  <c r="AA71" i="16"/>
  <c r="AB71" i="16" s="1"/>
  <c r="R71" i="16"/>
  <c r="AA72" i="16"/>
  <c r="AB72" i="16" s="1"/>
  <c r="R72" i="16"/>
  <c r="AA73" i="16"/>
  <c r="AB73" i="16" s="1"/>
  <c r="R73" i="16"/>
  <c r="AA74" i="16"/>
  <c r="AB74" i="16" s="1"/>
  <c r="R74" i="16"/>
  <c r="AA75" i="16"/>
  <c r="AB75" i="16" s="1"/>
  <c r="R75" i="16"/>
  <c r="AA76" i="16"/>
  <c r="AB76" i="16" s="1"/>
  <c r="R76" i="16"/>
  <c r="AA77" i="16"/>
  <c r="AB77" i="16" s="1"/>
  <c r="R77" i="16"/>
  <c r="AA78" i="16"/>
  <c r="AB78" i="16" s="1"/>
  <c r="R78" i="16"/>
  <c r="AA79" i="16"/>
  <c r="AB79" i="16" s="1"/>
  <c r="R79" i="16"/>
  <c r="AA80" i="16"/>
  <c r="AB80" i="16" s="1"/>
  <c r="R80" i="16"/>
  <c r="AA81" i="16"/>
  <c r="AB81" i="16" s="1"/>
  <c r="R81" i="16"/>
  <c r="AA82" i="16"/>
  <c r="AB82" i="16" s="1"/>
  <c r="R82" i="16"/>
  <c r="AA83" i="16"/>
  <c r="AB83" i="16" s="1"/>
  <c r="R83" i="16"/>
  <c r="AA84" i="16"/>
  <c r="AB84" i="16" s="1"/>
  <c r="R84" i="16"/>
  <c r="AA85" i="16"/>
  <c r="AB85" i="16" s="1"/>
  <c r="R85" i="16"/>
  <c r="AA86" i="16"/>
  <c r="AB86" i="16" s="1"/>
  <c r="R86" i="16"/>
  <c r="AA87" i="16"/>
  <c r="AB87" i="16" s="1"/>
  <c r="R87" i="16"/>
  <c r="AA88" i="16"/>
  <c r="AB88" i="16" s="1"/>
  <c r="R88" i="16"/>
  <c r="AA89" i="16"/>
  <c r="AB89" i="16" s="1"/>
  <c r="R89" i="16"/>
  <c r="AA90" i="16"/>
  <c r="AB90" i="16" s="1"/>
  <c r="R90" i="16"/>
  <c r="AA91" i="16"/>
  <c r="AB91" i="16" s="1"/>
  <c r="R91" i="16"/>
  <c r="AA92" i="16"/>
  <c r="AB92" i="16" s="1"/>
  <c r="R92" i="16"/>
  <c r="AA93" i="16"/>
  <c r="AB93" i="16" s="1"/>
  <c r="R93" i="16"/>
  <c r="AA94" i="16"/>
  <c r="AB94" i="16" s="1"/>
  <c r="R94" i="16"/>
  <c r="AA95" i="16"/>
  <c r="AB95" i="16" s="1"/>
  <c r="R95" i="16"/>
  <c r="AA96" i="16"/>
  <c r="AB96" i="16" s="1"/>
  <c r="R96" i="16"/>
  <c r="AA97" i="16"/>
  <c r="AB97" i="16" s="1"/>
  <c r="R97" i="16"/>
  <c r="AA98" i="16"/>
  <c r="AB98" i="16" s="1"/>
  <c r="R98" i="16"/>
  <c r="AA99" i="16"/>
  <c r="AB99" i="16" s="1"/>
  <c r="R99" i="16"/>
  <c r="AA100" i="16"/>
  <c r="AB100" i="16" s="1"/>
  <c r="R100" i="16"/>
  <c r="AA101" i="16"/>
  <c r="AB101" i="16" s="1"/>
  <c r="R101" i="16"/>
  <c r="AA102" i="16"/>
  <c r="AB102" i="16" s="1"/>
  <c r="R102" i="16"/>
  <c r="AA103" i="16"/>
  <c r="AB103" i="16" s="1"/>
  <c r="R103" i="16"/>
  <c r="AA104" i="16"/>
  <c r="AB104" i="16" s="1"/>
  <c r="R104" i="16"/>
  <c r="AA105" i="16"/>
  <c r="AB105" i="16" s="1"/>
  <c r="R105" i="16"/>
  <c r="AA106" i="16"/>
  <c r="AB106" i="16" s="1"/>
  <c r="R106" i="16"/>
  <c r="AA107" i="16"/>
  <c r="AB107" i="16" s="1"/>
  <c r="R107" i="16"/>
  <c r="AA108" i="16"/>
  <c r="AB108" i="16" s="1"/>
  <c r="R108" i="16"/>
  <c r="AA109" i="16"/>
  <c r="AB109" i="16" s="1"/>
  <c r="R109" i="16"/>
  <c r="AA110" i="16"/>
  <c r="AB110" i="16" s="1"/>
  <c r="R110" i="16"/>
  <c r="AA111" i="16"/>
  <c r="AB111" i="16" s="1"/>
  <c r="R111" i="16"/>
  <c r="AA112" i="16"/>
  <c r="AB112" i="16" s="1"/>
  <c r="R112" i="16"/>
  <c r="AA113" i="16"/>
  <c r="AB113" i="16" s="1"/>
  <c r="R113" i="16"/>
  <c r="AA114" i="16"/>
  <c r="AB114" i="16" s="1"/>
  <c r="R114" i="16"/>
  <c r="AA115" i="16"/>
  <c r="AB115" i="16" s="1"/>
  <c r="R115" i="16"/>
  <c r="AA116" i="16"/>
  <c r="AB116" i="16" s="1"/>
  <c r="R116" i="16"/>
  <c r="AA117" i="16"/>
  <c r="AB117" i="16" s="1"/>
  <c r="R117" i="16"/>
  <c r="AA118" i="16"/>
  <c r="AB118" i="16" s="1"/>
  <c r="R118" i="16"/>
  <c r="AA119" i="16"/>
  <c r="AB119" i="16" s="1"/>
  <c r="R119" i="16"/>
  <c r="AA120" i="16"/>
  <c r="AB120" i="16" s="1"/>
  <c r="R120" i="16"/>
  <c r="AA121" i="16"/>
  <c r="AB121" i="16" s="1"/>
  <c r="R121" i="16"/>
  <c r="AA122" i="16"/>
  <c r="AB122" i="16" s="1"/>
  <c r="R122" i="16"/>
  <c r="AA123" i="16"/>
  <c r="AB123" i="16" s="1"/>
  <c r="R123" i="16"/>
  <c r="G18" i="15"/>
  <c r="F43" i="15"/>
  <c r="K43" i="15" s="1"/>
  <c r="F31" i="15"/>
  <c r="G31" i="15" s="1"/>
  <c r="F32" i="15"/>
  <c r="K32" i="15" s="1"/>
  <c r="F33" i="15"/>
  <c r="K33" i="15" s="1"/>
  <c r="F34" i="15"/>
  <c r="G34" i="15" s="1"/>
  <c r="F35" i="15"/>
  <c r="K35" i="15" s="1"/>
  <c r="F36" i="15"/>
  <c r="K36" i="15" s="1"/>
  <c r="F37" i="15"/>
  <c r="K37" i="15" s="1"/>
  <c r="F38" i="15"/>
  <c r="K38" i="15" s="1"/>
  <c r="F39" i="15"/>
  <c r="K39" i="15" s="1"/>
  <c r="F40" i="15"/>
  <c r="G40" i="15" s="1"/>
  <c r="F41" i="15"/>
  <c r="I41" i="15" s="1"/>
  <c r="F42" i="15"/>
  <c r="K42" i="15" s="1"/>
  <c r="G15" i="40"/>
  <c r="H8" i="13"/>
  <c r="I8" i="13" s="1"/>
  <c r="G15" i="13"/>
  <c r="J8" i="13"/>
  <c r="J9" i="13"/>
  <c r="J10" i="13"/>
  <c r="J11" i="13"/>
  <c r="J12" i="13"/>
  <c r="J13" i="13"/>
  <c r="F40" i="40"/>
  <c r="K40" i="40" s="1"/>
  <c r="F39" i="40"/>
  <c r="I39" i="40" s="1"/>
  <c r="F38" i="40"/>
  <c r="I38" i="40" s="1"/>
  <c r="F37" i="40"/>
  <c r="I37" i="40" s="1"/>
  <c r="F36" i="40"/>
  <c r="K36" i="40" s="1"/>
  <c r="F35" i="40"/>
  <c r="I35" i="40" s="1"/>
  <c r="F34" i="40"/>
  <c r="I34" i="40" s="1"/>
  <c r="F33" i="40"/>
  <c r="I33" i="40" s="1"/>
  <c r="F32" i="40"/>
  <c r="K32" i="40" s="1"/>
  <c r="F31" i="40"/>
  <c r="I31" i="40" s="1"/>
  <c r="F30" i="40"/>
  <c r="I30" i="40" s="1"/>
  <c r="F29" i="40"/>
  <c r="I29" i="40" s="1"/>
  <c r="F28" i="40"/>
  <c r="K28" i="40" s="1"/>
  <c r="F27" i="40"/>
  <c r="I27" i="40" s="1"/>
  <c r="F26" i="40"/>
  <c r="I26" i="40" s="1"/>
  <c r="F25" i="40"/>
  <c r="G25" i="40" s="1"/>
  <c r="F24" i="40"/>
  <c r="F23" i="40"/>
  <c r="G23" i="40" s="1"/>
  <c r="F22" i="40"/>
  <c r="G22" i="40" s="1"/>
  <c r="F21" i="40"/>
  <c r="G21" i="40" s="1"/>
  <c r="F20" i="40"/>
  <c r="G20" i="40" s="1"/>
  <c r="J13" i="40"/>
  <c r="H13" i="40"/>
  <c r="I13" i="40" s="1"/>
  <c r="I25" i="40" s="1"/>
  <c r="J12" i="40"/>
  <c r="H12" i="40"/>
  <c r="I12" i="40" s="1"/>
  <c r="I24" i="40" s="1"/>
  <c r="J11" i="40"/>
  <c r="H11" i="40"/>
  <c r="I11" i="40" s="1"/>
  <c r="J10" i="40"/>
  <c r="H10" i="40"/>
  <c r="I10" i="40" s="1"/>
  <c r="H9" i="40"/>
  <c r="I9" i="40" s="1"/>
  <c r="J8" i="40"/>
  <c r="H8" i="40"/>
  <c r="I8" i="40" s="1"/>
  <c r="I20" i="40" s="1"/>
  <c r="G24" i="40"/>
  <c r="G34" i="40"/>
  <c r="G36" i="15"/>
  <c r="I32" i="15"/>
  <c r="F39" i="13"/>
  <c r="K39" i="13" s="1"/>
  <c r="F40" i="13"/>
  <c r="G40" i="13" s="1"/>
  <c r="F29" i="13"/>
  <c r="I29" i="13" s="1"/>
  <c r="F30" i="13"/>
  <c r="I30" i="13" s="1"/>
  <c r="F31" i="13"/>
  <c r="G31" i="13" s="1"/>
  <c r="F32" i="13"/>
  <c r="G32" i="13" s="1"/>
  <c r="F33" i="13"/>
  <c r="G33" i="13" s="1"/>
  <c r="F34" i="13"/>
  <c r="G34" i="13" s="1"/>
  <c r="F35" i="13"/>
  <c r="G35" i="13" s="1"/>
  <c r="F36" i="13"/>
  <c r="G36" i="13" s="1"/>
  <c r="F37" i="13"/>
  <c r="G37" i="13" s="1"/>
  <c r="F38" i="13"/>
  <c r="G38" i="13" s="1"/>
  <c r="G386" i="39"/>
  <c r="F392" i="39"/>
  <c r="G392" i="39" s="1"/>
  <c r="F393" i="39"/>
  <c r="G393" i="39" s="1"/>
  <c r="F394" i="39"/>
  <c r="G394" i="39" s="1"/>
  <c r="F395" i="39"/>
  <c r="I395" i="39" s="1"/>
  <c r="F396" i="39"/>
  <c r="G396" i="39" s="1"/>
  <c r="F397" i="39"/>
  <c r="G397" i="39" s="1"/>
  <c r="F398" i="39"/>
  <c r="G398" i="39" s="1"/>
  <c r="F399" i="39"/>
  <c r="G399" i="39" s="1"/>
  <c r="F400" i="39"/>
  <c r="G400" i="39" s="1"/>
  <c r="F401" i="39"/>
  <c r="G401" i="39" s="1"/>
  <c r="F402" i="39"/>
  <c r="K402" i="39" s="1"/>
  <c r="F403" i="39"/>
  <c r="I403" i="39" s="1"/>
  <c r="F404" i="39"/>
  <c r="I404" i="39" s="1"/>
  <c r="F405" i="39"/>
  <c r="I405" i="39" s="1"/>
  <c r="F406" i="39"/>
  <c r="I406" i="39" s="1"/>
  <c r="F407" i="39"/>
  <c r="G407" i="39" s="1"/>
  <c r="F408" i="39"/>
  <c r="G408" i="39" s="1"/>
  <c r="F409" i="39"/>
  <c r="K409" i="39" s="1"/>
  <c r="F410" i="39"/>
  <c r="K410" i="39" s="1"/>
  <c r="F411" i="39"/>
  <c r="I411" i="39" s="1"/>
  <c r="F391" i="39"/>
  <c r="G391" i="39" s="1"/>
  <c r="I35" i="13"/>
  <c r="I39" i="13"/>
  <c r="I34" i="13"/>
  <c r="F566" i="11"/>
  <c r="F567" i="11"/>
  <c r="F555" i="11"/>
  <c r="F556" i="11"/>
  <c r="F557" i="11"/>
  <c r="F558" i="11"/>
  <c r="F559" i="11"/>
  <c r="F560" i="11"/>
  <c r="F561" i="11"/>
  <c r="F562" i="11"/>
  <c r="F563" i="11"/>
  <c r="F564" i="11"/>
  <c r="F565" i="11"/>
  <c r="H48" i="11"/>
  <c r="I48" i="11" s="1"/>
  <c r="H47" i="11"/>
  <c r="I47" i="11" s="1"/>
  <c r="H46" i="11"/>
  <c r="I46" i="11" s="1"/>
  <c r="H23" i="11"/>
  <c r="I23" i="11" s="1"/>
  <c r="H22" i="11"/>
  <c r="I22" i="11" s="1"/>
  <c r="H21" i="11"/>
  <c r="I21" i="11" s="1"/>
  <c r="H20" i="11"/>
  <c r="I20" i="11" s="1"/>
  <c r="H19" i="11"/>
  <c r="I19" i="11" s="1"/>
  <c r="H18" i="11"/>
  <c r="I18" i="11" s="1"/>
  <c r="H17" i="11"/>
  <c r="I17" i="11" s="1"/>
  <c r="H15" i="11"/>
  <c r="I15" i="11" s="1"/>
  <c r="H14" i="11"/>
  <c r="I14" i="11" s="1"/>
  <c r="H13" i="11"/>
  <c r="I13" i="11" s="1"/>
  <c r="H12" i="11"/>
  <c r="I12" i="11" s="1"/>
  <c r="H11" i="11"/>
  <c r="I11" i="11" s="1"/>
  <c r="H10" i="11"/>
  <c r="I10" i="11" s="1"/>
  <c r="H9" i="11"/>
  <c r="I9" i="11" s="1"/>
  <c r="F30" i="10"/>
  <c r="G15" i="14"/>
  <c r="G16" i="7"/>
  <c r="H8" i="39"/>
  <c r="I8" i="39" s="1"/>
  <c r="J9" i="39"/>
  <c r="H9" i="39"/>
  <c r="I9" i="39" s="1"/>
  <c r="J8" i="39"/>
  <c r="N27" i="10"/>
  <c r="Q27" i="10" s="1"/>
  <c r="N26" i="10"/>
  <c r="Q26" i="10" s="1"/>
  <c r="N25" i="10"/>
  <c r="Q25" i="10" s="1"/>
  <c r="N24" i="10"/>
  <c r="Q24" i="10" s="1"/>
  <c r="N23" i="10"/>
  <c r="N22" i="10"/>
  <c r="Q22" i="10" s="1"/>
  <c r="N21" i="10"/>
  <c r="Q21" i="10" s="1"/>
  <c r="N20" i="10"/>
  <c r="Q20" i="10" s="1"/>
  <c r="N19" i="10"/>
  <c r="Q19" i="10" s="1"/>
  <c r="N18" i="10"/>
  <c r="Q18" i="10" s="1"/>
  <c r="N17" i="10"/>
  <c r="N16" i="10"/>
  <c r="Q16" i="10" s="1"/>
  <c r="N15" i="10"/>
  <c r="Q15" i="10" s="1"/>
  <c r="N14" i="10"/>
  <c r="Q14" i="10" s="1"/>
  <c r="N13" i="10"/>
  <c r="Q13" i="10" s="1"/>
  <c r="N12" i="10"/>
  <c r="Q12" i="10" s="1"/>
  <c r="K27" i="10"/>
  <c r="K26" i="10"/>
  <c r="K25" i="10"/>
  <c r="K24" i="10"/>
  <c r="K23" i="10"/>
  <c r="K22" i="10"/>
  <c r="K21" i="10"/>
  <c r="K20" i="10"/>
  <c r="K19" i="10"/>
  <c r="K18" i="10"/>
  <c r="K17" i="10"/>
  <c r="K16" i="10"/>
  <c r="K15" i="10"/>
  <c r="K14" i="10"/>
  <c r="K13" i="10"/>
  <c r="K12" i="10"/>
  <c r="K11" i="10"/>
  <c r="K10" i="10"/>
  <c r="K9" i="10"/>
  <c r="K8" i="10"/>
  <c r="E43" i="10"/>
  <c r="E44" i="10"/>
  <c r="E45" i="10"/>
  <c r="E46" i="10"/>
  <c r="E47" i="10"/>
  <c r="E48" i="10"/>
  <c r="E49" i="10"/>
  <c r="E50" i="10"/>
  <c r="E51" i="10"/>
  <c r="E52" i="10"/>
  <c r="E53" i="10"/>
  <c r="E54" i="10"/>
  <c r="E55" i="10"/>
  <c r="I9" i="10"/>
  <c r="I10" i="10"/>
  <c r="I11" i="10"/>
  <c r="I12" i="10"/>
  <c r="I13" i="10"/>
  <c r="I14" i="10"/>
  <c r="I15" i="10"/>
  <c r="I16" i="10"/>
  <c r="I17" i="10"/>
  <c r="I18" i="10"/>
  <c r="I19" i="10"/>
  <c r="I20" i="10"/>
  <c r="I21" i="10"/>
  <c r="I22" i="10"/>
  <c r="I23" i="10"/>
  <c r="I24" i="10"/>
  <c r="I25" i="10"/>
  <c r="I26" i="10"/>
  <c r="I27" i="10"/>
  <c r="I28" i="10"/>
  <c r="I8" i="10"/>
  <c r="H28" i="10"/>
  <c r="M28" i="10"/>
  <c r="P28" i="10" s="1"/>
  <c r="H27" i="10"/>
  <c r="H26" i="10"/>
  <c r="H25" i="10"/>
  <c r="H24" i="10"/>
  <c r="H23" i="10"/>
  <c r="H22" i="10"/>
  <c r="H21" i="10"/>
  <c r="H20" i="10"/>
  <c r="H19" i="10"/>
  <c r="H18" i="10"/>
  <c r="H17" i="10"/>
  <c r="H16" i="10"/>
  <c r="H15" i="10"/>
  <c r="H14" i="10"/>
  <c r="H13" i="10"/>
  <c r="H12" i="10"/>
  <c r="H11" i="10"/>
  <c r="N11" i="10" s="1"/>
  <c r="H10" i="10"/>
  <c r="M10" i="10" s="1"/>
  <c r="P10" i="10" s="1"/>
  <c r="H9" i="10"/>
  <c r="H8" i="10"/>
  <c r="M8" i="10" s="1"/>
  <c r="F39" i="14"/>
  <c r="I39" i="14" s="1"/>
  <c r="F38" i="14"/>
  <c r="I38" i="14" s="1"/>
  <c r="F37" i="14"/>
  <c r="I37" i="14" s="1"/>
  <c r="F36" i="14"/>
  <c r="I36" i="14" s="1"/>
  <c r="F35" i="14"/>
  <c r="G35" i="14" s="1"/>
  <c r="K35" i="14"/>
  <c r="F34" i="14"/>
  <c r="G34" i="14" s="1"/>
  <c r="F33" i="14"/>
  <c r="I33" i="14" s="1"/>
  <c r="F32" i="14"/>
  <c r="K32" i="14" s="1"/>
  <c r="F31" i="14"/>
  <c r="K31" i="14" s="1"/>
  <c r="F30" i="14"/>
  <c r="I30" i="14" s="1"/>
  <c r="F29" i="14"/>
  <c r="I29" i="14" s="1"/>
  <c r="F28" i="14"/>
  <c r="K28" i="14" s="1"/>
  <c r="M9" i="10"/>
  <c r="P9" i="10" s="1"/>
  <c r="N9" i="10"/>
  <c r="Q9" i="10" s="1"/>
  <c r="N8" i="10"/>
  <c r="Q8" i="10" s="1"/>
  <c r="G39" i="14"/>
  <c r="G28" i="14"/>
  <c r="G36" i="14"/>
  <c r="I32" i="14"/>
  <c r="L67" i="8"/>
  <c r="F29" i="7"/>
  <c r="G29" i="7" s="1"/>
  <c r="F30" i="7"/>
  <c r="I30" i="7" s="1"/>
  <c r="F31" i="7"/>
  <c r="K31" i="7" s="1"/>
  <c r="F32" i="7"/>
  <c r="K32" i="7" s="1"/>
  <c r="F33" i="7"/>
  <c r="K33" i="7" s="1"/>
  <c r="F34" i="7"/>
  <c r="K34" i="7" s="1"/>
  <c r="F35" i="7"/>
  <c r="K35" i="7" s="1"/>
  <c r="F36" i="7"/>
  <c r="K36" i="7" s="1"/>
  <c r="F37" i="7"/>
  <c r="K37" i="7" s="1"/>
  <c r="F38" i="7"/>
  <c r="K38" i="7" s="1"/>
  <c r="F39" i="7"/>
  <c r="G39" i="7" s="1"/>
  <c r="F40" i="7"/>
  <c r="K40" i="7" s="1"/>
  <c r="F41" i="7"/>
  <c r="G41" i="7" s="1"/>
  <c r="G15" i="6"/>
  <c r="F36" i="6"/>
  <c r="K36" i="6" s="1"/>
  <c r="F37" i="6"/>
  <c r="K37" i="6" s="1"/>
  <c r="F38" i="6"/>
  <c r="K38" i="6" s="1"/>
  <c r="F39" i="6"/>
  <c r="G39" i="6" s="1"/>
  <c r="F40" i="6"/>
  <c r="K40" i="6" s="1"/>
  <c r="F28" i="6"/>
  <c r="G28" i="6" s="1"/>
  <c r="F29" i="6"/>
  <c r="K29" i="6" s="1"/>
  <c r="F30" i="6"/>
  <c r="I30" i="6" s="1"/>
  <c r="F31" i="6"/>
  <c r="K31" i="6" s="1"/>
  <c r="F32" i="6"/>
  <c r="G32" i="6"/>
  <c r="F33" i="6"/>
  <c r="G33" i="6" s="1"/>
  <c r="F34" i="6"/>
  <c r="I34" i="6" s="1"/>
  <c r="F35" i="6"/>
  <c r="K35" i="6" s="1"/>
  <c r="G84" i="5"/>
  <c r="I35" i="7"/>
  <c r="I40" i="7"/>
  <c r="F107" i="5"/>
  <c r="K107" i="5" s="1"/>
  <c r="F108" i="5"/>
  <c r="I108" i="5" s="1"/>
  <c r="F109" i="5"/>
  <c r="I109" i="5" s="1"/>
  <c r="F98" i="5"/>
  <c r="I98" i="5" s="1"/>
  <c r="F99" i="5"/>
  <c r="G99" i="5" s="1"/>
  <c r="F100" i="5"/>
  <c r="G100" i="5" s="1"/>
  <c r="F101" i="5"/>
  <c r="G101" i="5" s="1"/>
  <c r="F102" i="5"/>
  <c r="I102" i="5" s="1"/>
  <c r="F103" i="5"/>
  <c r="K103" i="5" s="1"/>
  <c r="F104" i="5"/>
  <c r="K104" i="5" s="1"/>
  <c r="F105" i="5"/>
  <c r="K105" i="5" s="1"/>
  <c r="F106" i="5"/>
  <c r="K106" i="5" s="1"/>
  <c r="F90" i="5"/>
  <c r="G90" i="5" s="1"/>
  <c r="F91" i="5"/>
  <c r="G91" i="5" s="1"/>
  <c r="F92" i="5"/>
  <c r="G92" i="5" s="1"/>
  <c r="F93" i="5"/>
  <c r="G93" i="5" s="1"/>
  <c r="F94" i="5"/>
  <c r="G94" i="5" s="1"/>
  <c r="F95" i="5"/>
  <c r="G95" i="5" s="1"/>
  <c r="F96" i="5"/>
  <c r="K96" i="5" s="1"/>
  <c r="F97" i="5"/>
  <c r="I97" i="5" s="1"/>
  <c r="AF3" i="35"/>
  <c r="AF4" i="35"/>
  <c r="AF5" i="35"/>
  <c r="AF6" i="35"/>
  <c r="AF7" i="35"/>
  <c r="AF8" i="35"/>
  <c r="AF9" i="35"/>
  <c r="AF10" i="35"/>
  <c r="AF11" i="35"/>
  <c r="AF12" i="35"/>
  <c r="AF13" i="35"/>
  <c r="AF14" i="35"/>
  <c r="AF15" i="35"/>
  <c r="AF16" i="35"/>
  <c r="AF17" i="35"/>
  <c r="AF18" i="35"/>
  <c r="AF19" i="35"/>
  <c r="AF20" i="35"/>
  <c r="AF21" i="35"/>
  <c r="AF22" i="35"/>
  <c r="AF23" i="35"/>
  <c r="AF24" i="35"/>
  <c r="AF25" i="35"/>
  <c r="AF26" i="35"/>
  <c r="AF27" i="35"/>
  <c r="AF28" i="35"/>
  <c r="AF29" i="35"/>
  <c r="AF30" i="35"/>
  <c r="AF31" i="35"/>
  <c r="AF32" i="35"/>
  <c r="AF33" i="35"/>
  <c r="AF34" i="35"/>
  <c r="AF35" i="35"/>
  <c r="AF36" i="35"/>
  <c r="AF37" i="35"/>
  <c r="AF38" i="35"/>
  <c r="AF39" i="35"/>
  <c r="AF40" i="35"/>
  <c r="AF41" i="35"/>
  <c r="AF42" i="35"/>
  <c r="AF43" i="35"/>
  <c r="AF44" i="35"/>
  <c r="AF45" i="35"/>
  <c r="AF46" i="35"/>
  <c r="AF47" i="35"/>
  <c r="AF48" i="35"/>
  <c r="AF49" i="35"/>
  <c r="AF50" i="35"/>
  <c r="AF51" i="35"/>
  <c r="AF52" i="35"/>
  <c r="AF53" i="35"/>
  <c r="AF54" i="35"/>
  <c r="AF55" i="35"/>
  <c r="AF56" i="35"/>
  <c r="AF57" i="35"/>
  <c r="AF58" i="35"/>
  <c r="AF59" i="35"/>
  <c r="AF60" i="35"/>
  <c r="AF61" i="35"/>
  <c r="AF62" i="35"/>
  <c r="AF63" i="35"/>
  <c r="AF64" i="35"/>
  <c r="AF65" i="35"/>
  <c r="AF66" i="35"/>
  <c r="AF67" i="35"/>
  <c r="AF68" i="35"/>
  <c r="AF69" i="35"/>
  <c r="AF70" i="35"/>
  <c r="AF71" i="35"/>
  <c r="AF72" i="35"/>
  <c r="AF73" i="35"/>
  <c r="AF74" i="35"/>
  <c r="AF75" i="35"/>
  <c r="AF76" i="35"/>
  <c r="AF77" i="35"/>
  <c r="AF78" i="35"/>
  <c r="AF79" i="35"/>
  <c r="AF80" i="35"/>
  <c r="AF81" i="35"/>
  <c r="AF82" i="35"/>
  <c r="AF83" i="35"/>
  <c r="AF84" i="35"/>
  <c r="AF85" i="35"/>
  <c r="AF86" i="35"/>
  <c r="AF87" i="35"/>
  <c r="AF88" i="35"/>
  <c r="AF89" i="35"/>
  <c r="AF90" i="35"/>
  <c r="AF91" i="35"/>
  <c r="AF92" i="35"/>
  <c r="AF93" i="35"/>
  <c r="AF94" i="35"/>
  <c r="AF95" i="35"/>
  <c r="AF96" i="35"/>
  <c r="AF97" i="35"/>
  <c r="AF98" i="35"/>
  <c r="AF99" i="35"/>
  <c r="AF100" i="35"/>
  <c r="AF101" i="35"/>
  <c r="AF102" i="35"/>
  <c r="AF103" i="35"/>
  <c r="AF104" i="35"/>
  <c r="AF105" i="35"/>
  <c r="AF106" i="35"/>
  <c r="AF107" i="35"/>
  <c r="AF108" i="35"/>
  <c r="AF109" i="35"/>
  <c r="AF110" i="35"/>
  <c r="AF111" i="35"/>
  <c r="AF112" i="35"/>
  <c r="AF113" i="35"/>
  <c r="AF114" i="35"/>
  <c r="AF115" i="35"/>
  <c r="AF116" i="35"/>
  <c r="AF117" i="35"/>
  <c r="AF118" i="35"/>
  <c r="AF119" i="35"/>
  <c r="AF120" i="35"/>
  <c r="AF121" i="35"/>
  <c r="AF122" i="35"/>
  <c r="AF123" i="35"/>
  <c r="AF124" i="35"/>
  <c r="AF125" i="35"/>
  <c r="AF126" i="35"/>
  <c r="AF127" i="35"/>
  <c r="AF128" i="35"/>
  <c r="AF129" i="35"/>
  <c r="AF130" i="35"/>
  <c r="AF131" i="35"/>
  <c r="AF132" i="35"/>
  <c r="AF133" i="35"/>
  <c r="AF134" i="35"/>
  <c r="AF135" i="35"/>
  <c r="AF136" i="35"/>
  <c r="AF137" i="35"/>
  <c r="AF138" i="35"/>
  <c r="AF139" i="35"/>
  <c r="AF140" i="35"/>
  <c r="AF141" i="35"/>
  <c r="AF142" i="35"/>
  <c r="AF143" i="35"/>
  <c r="AF144" i="35"/>
  <c r="AF145" i="35"/>
  <c r="AF146" i="35"/>
  <c r="AF147" i="35"/>
  <c r="AF148" i="35"/>
  <c r="AF149" i="35"/>
  <c r="AF150" i="35"/>
  <c r="AF151" i="35"/>
  <c r="AF152" i="35"/>
  <c r="AF153" i="35"/>
  <c r="AF154" i="35"/>
  <c r="AF155" i="35"/>
  <c r="AF156" i="35"/>
  <c r="AF157" i="35"/>
  <c r="AF158" i="35"/>
  <c r="AF159" i="35"/>
  <c r="AF160" i="35"/>
  <c r="AF161" i="35"/>
  <c r="AF162" i="35"/>
  <c r="AF163" i="35"/>
  <c r="AF164" i="35"/>
  <c r="AF165" i="35"/>
  <c r="AF166" i="35"/>
  <c r="AF167" i="35"/>
  <c r="AF168" i="35"/>
  <c r="AF169" i="35"/>
  <c r="AF170" i="35"/>
  <c r="AF171" i="35"/>
  <c r="AF172" i="35"/>
  <c r="AF173" i="35"/>
  <c r="AF174" i="35"/>
  <c r="AF175" i="35"/>
  <c r="AF176" i="35"/>
  <c r="AF177" i="35"/>
  <c r="AF178" i="35"/>
  <c r="AF179" i="35"/>
  <c r="AF180" i="35"/>
  <c r="AF181" i="35"/>
  <c r="AF182" i="35"/>
  <c r="AF183" i="35"/>
  <c r="AF184" i="35"/>
  <c r="AF185" i="35"/>
  <c r="AF186" i="35"/>
  <c r="AF187" i="35"/>
  <c r="AF188" i="35"/>
  <c r="AF189" i="35"/>
  <c r="AF190" i="35"/>
  <c r="AF191" i="35"/>
  <c r="AF192" i="35"/>
  <c r="AF193" i="35"/>
  <c r="AF194" i="35"/>
  <c r="AF195" i="35"/>
  <c r="AF196" i="35"/>
  <c r="AF197" i="35"/>
  <c r="AF198" i="35"/>
  <c r="AF199" i="35"/>
  <c r="AF200" i="35"/>
  <c r="AF201" i="35"/>
  <c r="AF202" i="35"/>
  <c r="AF203" i="35"/>
  <c r="AF204" i="35"/>
  <c r="AF205" i="35"/>
  <c r="AF206" i="35"/>
  <c r="AF207" i="35"/>
  <c r="AF208" i="35"/>
  <c r="AF209" i="35"/>
  <c r="AF210" i="35"/>
  <c r="AF211" i="35"/>
  <c r="AF212" i="35"/>
  <c r="AF213" i="35"/>
  <c r="AF214" i="35"/>
  <c r="AF215" i="35"/>
  <c r="AF216" i="35"/>
  <c r="AF217" i="35"/>
  <c r="AF218" i="35"/>
  <c r="AF219" i="35"/>
  <c r="AF220" i="35"/>
  <c r="AF221" i="35"/>
  <c r="AF222" i="35"/>
  <c r="AF223" i="35"/>
  <c r="AF224" i="35"/>
  <c r="AF225" i="35"/>
  <c r="AF226" i="35"/>
  <c r="AF227" i="35"/>
  <c r="AF228" i="35"/>
  <c r="AF229" i="35"/>
  <c r="AF230" i="35"/>
  <c r="AF231" i="35"/>
  <c r="AF232" i="35"/>
  <c r="AF233" i="35"/>
  <c r="AF234" i="35"/>
  <c r="AF235" i="35"/>
  <c r="AF236" i="35"/>
  <c r="AF237" i="35"/>
  <c r="AF238" i="35"/>
  <c r="AF239" i="35"/>
  <c r="AF240" i="35"/>
  <c r="AF241" i="35"/>
  <c r="AF242" i="35"/>
  <c r="AF243" i="35"/>
  <c r="AF244" i="35"/>
  <c r="AF245" i="35"/>
  <c r="AF246" i="35"/>
  <c r="AF247" i="35"/>
  <c r="AF248" i="35"/>
  <c r="AF249" i="35"/>
  <c r="AF250" i="35"/>
  <c r="AF251" i="35"/>
  <c r="AF252" i="35"/>
  <c r="AF253" i="35"/>
  <c r="AF254" i="35"/>
  <c r="AF255" i="35"/>
  <c r="AF256" i="35"/>
  <c r="AF257" i="35"/>
  <c r="AF258" i="35"/>
  <c r="AF259" i="35"/>
  <c r="AF260" i="35"/>
  <c r="AF261" i="35"/>
  <c r="AF262" i="35"/>
  <c r="AF263" i="35"/>
  <c r="AF264" i="35"/>
  <c r="AF265" i="35"/>
  <c r="AF266" i="35"/>
  <c r="AF267" i="35"/>
  <c r="AF268" i="35"/>
  <c r="AF269" i="35"/>
  <c r="AF270" i="35"/>
  <c r="AF271" i="35"/>
  <c r="AF272" i="35"/>
  <c r="AF273" i="35"/>
  <c r="AF274" i="35"/>
  <c r="AF275" i="35"/>
  <c r="AF276" i="35"/>
  <c r="AF277" i="35"/>
  <c r="AF278" i="35"/>
  <c r="AF279" i="35"/>
  <c r="AF280" i="35"/>
  <c r="AF281" i="35"/>
  <c r="AF282" i="35"/>
  <c r="AF283" i="35"/>
  <c r="AF284" i="35"/>
  <c r="AF285" i="35"/>
  <c r="AF286" i="35"/>
  <c r="AF287" i="35"/>
  <c r="AF288" i="35"/>
  <c r="AF289" i="35"/>
  <c r="AF290" i="35"/>
  <c r="AF291" i="35"/>
  <c r="AF292" i="35"/>
  <c r="AF293" i="35"/>
  <c r="AF294" i="35"/>
  <c r="AF295" i="35"/>
  <c r="AF296" i="35"/>
  <c r="AF297" i="35"/>
  <c r="AF298" i="35"/>
  <c r="AF299" i="35"/>
  <c r="AF300" i="35"/>
  <c r="AF301" i="35"/>
  <c r="AF302" i="35"/>
  <c r="AF303" i="35"/>
  <c r="AF304" i="35"/>
  <c r="AF305" i="35"/>
  <c r="AF306" i="35"/>
  <c r="AF307" i="35"/>
  <c r="AF308" i="35"/>
  <c r="AF309" i="35"/>
  <c r="AF310" i="35"/>
  <c r="AF311" i="35"/>
  <c r="AF312" i="35"/>
  <c r="AF313" i="35"/>
  <c r="AF314" i="35"/>
  <c r="AF315" i="35"/>
  <c r="AF316" i="35"/>
  <c r="AF317" i="35"/>
  <c r="AF318" i="35"/>
  <c r="AF319" i="35"/>
  <c r="AF320" i="35"/>
  <c r="AF321" i="35"/>
  <c r="AF322" i="35"/>
  <c r="AF323" i="35"/>
  <c r="AF324" i="35"/>
  <c r="AF325" i="35"/>
  <c r="AF326" i="35"/>
  <c r="AF327" i="35"/>
  <c r="AF328" i="35"/>
  <c r="AF329" i="35"/>
  <c r="AF330" i="35"/>
  <c r="AF331" i="35"/>
  <c r="AF332" i="35"/>
  <c r="AF333" i="35"/>
  <c r="AF334" i="35"/>
  <c r="AF335" i="35"/>
  <c r="AF336" i="35"/>
  <c r="AF337" i="35"/>
  <c r="AF338" i="35"/>
  <c r="AF339" i="35"/>
  <c r="AF340" i="35"/>
  <c r="AF341" i="35"/>
  <c r="AF342" i="35"/>
  <c r="AF343" i="35"/>
  <c r="AF344" i="35"/>
  <c r="AF345" i="35"/>
  <c r="AF346" i="35"/>
  <c r="AF347" i="35"/>
  <c r="AF348" i="35"/>
  <c r="AF349" i="35"/>
  <c r="AF350" i="35"/>
  <c r="AF351" i="35"/>
  <c r="AF352" i="35"/>
  <c r="AF353" i="35"/>
  <c r="AF354" i="35"/>
  <c r="AF355" i="35"/>
  <c r="AF356" i="35"/>
  <c r="AF357" i="35"/>
  <c r="AF358" i="35"/>
  <c r="AF359" i="35"/>
  <c r="AF360" i="35"/>
  <c r="AF361" i="35"/>
  <c r="AF362" i="35"/>
  <c r="AF363" i="35"/>
  <c r="AF364" i="35"/>
  <c r="AF365" i="35"/>
  <c r="AF366" i="35"/>
  <c r="AF367" i="35"/>
  <c r="AF368" i="35"/>
  <c r="AF369" i="35"/>
  <c r="AF370" i="35"/>
  <c r="AF371" i="35"/>
  <c r="AF372" i="35"/>
  <c r="AF373" i="35"/>
  <c r="AF374" i="35"/>
  <c r="AF375" i="35"/>
  <c r="AF376" i="35"/>
  <c r="AF377" i="35"/>
  <c r="AF378" i="35"/>
  <c r="AF379" i="35"/>
  <c r="AF380" i="35"/>
  <c r="AF381" i="35"/>
  <c r="AF382" i="35"/>
  <c r="AF383" i="35"/>
  <c r="AF384" i="35"/>
  <c r="AF385" i="35"/>
  <c r="AF386" i="35"/>
  <c r="AF387" i="35"/>
  <c r="AF388" i="35"/>
  <c r="AF389" i="35"/>
  <c r="AF390" i="35"/>
  <c r="AF391" i="35"/>
  <c r="AF392" i="35"/>
  <c r="AF393" i="35"/>
  <c r="AF394" i="35"/>
  <c r="AF395" i="35"/>
  <c r="AF396" i="35"/>
  <c r="AF397" i="35"/>
  <c r="AF398" i="35"/>
  <c r="AF399" i="35"/>
  <c r="AF400" i="35"/>
  <c r="AF401" i="35"/>
  <c r="AF402" i="35"/>
  <c r="AF403" i="35"/>
  <c r="AF404" i="35"/>
  <c r="AF405" i="35"/>
  <c r="AF406" i="35"/>
  <c r="AF407" i="35"/>
  <c r="AF408" i="35"/>
  <c r="AF409" i="35"/>
  <c r="AF410" i="35"/>
  <c r="AF411" i="35"/>
  <c r="AF412" i="35"/>
  <c r="AF413" i="35"/>
  <c r="AF414" i="35"/>
  <c r="AF415" i="35"/>
  <c r="AF416" i="35"/>
  <c r="AF417" i="35"/>
  <c r="AF418" i="35"/>
  <c r="AF419" i="35"/>
  <c r="AF420" i="35"/>
  <c r="AF421" i="35"/>
  <c r="AF422" i="35"/>
  <c r="AF423" i="35"/>
  <c r="AF424" i="35"/>
  <c r="AF425" i="35"/>
  <c r="AF426" i="35"/>
  <c r="AF427" i="35"/>
  <c r="AF428" i="35"/>
  <c r="AF429" i="35"/>
  <c r="AF430" i="35"/>
  <c r="AF431" i="35"/>
  <c r="AF432" i="35"/>
  <c r="AF433" i="35"/>
  <c r="AF434" i="35"/>
  <c r="AF435" i="35"/>
  <c r="AF436" i="35"/>
  <c r="AF437" i="35"/>
  <c r="AF438" i="35"/>
  <c r="AF439" i="35"/>
  <c r="AF440" i="35"/>
  <c r="AF441" i="35"/>
  <c r="AF442" i="35"/>
  <c r="AF443" i="35"/>
  <c r="AF444" i="35"/>
  <c r="AF445" i="35"/>
  <c r="AF446" i="35"/>
  <c r="AF447" i="35"/>
  <c r="AF448" i="35"/>
  <c r="AF449" i="35"/>
  <c r="AF450" i="35"/>
  <c r="AF451" i="35"/>
  <c r="AF452" i="35"/>
  <c r="AF453" i="35"/>
  <c r="AF454" i="35"/>
  <c r="AF455" i="35"/>
  <c r="AF456" i="35"/>
  <c r="AF457" i="35"/>
  <c r="AF458" i="35"/>
  <c r="AF459" i="35"/>
  <c r="AF460" i="35"/>
  <c r="AF461" i="35"/>
  <c r="AF462" i="35"/>
  <c r="AF463" i="35"/>
  <c r="AF464" i="35"/>
  <c r="AF465" i="35"/>
  <c r="AF466" i="35"/>
  <c r="AF467" i="35"/>
  <c r="AF468" i="35"/>
  <c r="AF469" i="35"/>
  <c r="AF470" i="35"/>
  <c r="AF471" i="35"/>
  <c r="AF472" i="35"/>
  <c r="AF473" i="35"/>
  <c r="AF474" i="35"/>
  <c r="AF475" i="35"/>
  <c r="AF476" i="35"/>
  <c r="AF477" i="35"/>
  <c r="AF478" i="35"/>
  <c r="AF479" i="35"/>
  <c r="AF480" i="35"/>
  <c r="AF481" i="35"/>
  <c r="AF482" i="35"/>
  <c r="AF483" i="35"/>
  <c r="AF484" i="35"/>
  <c r="AF485" i="35"/>
  <c r="AF486" i="35"/>
  <c r="AF487" i="35"/>
  <c r="AF488" i="35"/>
  <c r="AF489" i="35"/>
  <c r="AF490" i="35"/>
  <c r="AF491" i="35"/>
  <c r="AF492" i="35"/>
  <c r="AF493" i="35"/>
  <c r="AF494" i="35"/>
  <c r="AF495" i="35"/>
  <c r="AF496" i="35"/>
  <c r="AF497" i="35"/>
  <c r="AF498" i="35"/>
  <c r="AF499" i="35"/>
  <c r="AF500" i="35"/>
  <c r="AF2" i="35"/>
  <c r="M3" i="35"/>
  <c r="M4" i="35"/>
  <c r="M5" i="35"/>
  <c r="M6" i="35"/>
  <c r="M7" i="35"/>
  <c r="M8" i="35"/>
  <c r="M9" i="35"/>
  <c r="N9" i="35" s="1"/>
  <c r="M10" i="35"/>
  <c r="M11" i="35"/>
  <c r="M12" i="35"/>
  <c r="M13" i="35"/>
  <c r="M14" i="35"/>
  <c r="M15" i="35"/>
  <c r="M16" i="35"/>
  <c r="M17" i="35"/>
  <c r="N17" i="35" s="1"/>
  <c r="M18" i="35"/>
  <c r="M19" i="35"/>
  <c r="M20" i="35"/>
  <c r="M21" i="35"/>
  <c r="M22" i="35"/>
  <c r="M23" i="35"/>
  <c r="M24" i="35"/>
  <c r="M25" i="35"/>
  <c r="N25" i="35" s="1"/>
  <c r="M26" i="35"/>
  <c r="M27" i="35"/>
  <c r="M28" i="35"/>
  <c r="M29" i="35"/>
  <c r="M30" i="35"/>
  <c r="M31" i="35"/>
  <c r="M32" i="35"/>
  <c r="M33" i="35"/>
  <c r="N33" i="35" s="1"/>
  <c r="M34" i="35"/>
  <c r="M35" i="35"/>
  <c r="M36" i="35"/>
  <c r="M37" i="35"/>
  <c r="M38" i="35"/>
  <c r="M39" i="35"/>
  <c r="M40" i="35"/>
  <c r="M41" i="35"/>
  <c r="N41" i="35" s="1"/>
  <c r="M42" i="35"/>
  <c r="M43" i="35"/>
  <c r="M44" i="35"/>
  <c r="M45" i="35"/>
  <c r="M46" i="35"/>
  <c r="M47" i="35"/>
  <c r="N47" i="35" s="1"/>
  <c r="M48" i="35"/>
  <c r="M49" i="35"/>
  <c r="N49" i="35" s="1"/>
  <c r="M50" i="35"/>
  <c r="M51" i="35"/>
  <c r="M52" i="35"/>
  <c r="M53" i="35"/>
  <c r="M54" i="35"/>
  <c r="M55" i="35"/>
  <c r="M56" i="35"/>
  <c r="M57" i="35"/>
  <c r="N57" i="35" s="1"/>
  <c r="M58" i="35"/>
  <c r="M59" i="35"/>
  <c r="M60" i="35"/>
  <c r="M61" i="35"/>
  <c r="M62" i="35"/>
  <c r="M63" i="35"/>
  <c r="M64" i="35"/>
  <c r="M65" i="35"/>
  <c r="M66" i="35"/>
  <c r="M67" i="35"/>
  <c r="M68" i="35"/>
  <c r="M69" i="35"/>
  <c r="M70" i="35"/>
  <c r="M71" i="35"/>
  <c r="M72" i="35"/>
  <c r="M73" i="35"/>
  <c r="M74" i="35"/>
  <c r="M75" i="35"/>
  <c r="M76" i="35"/>
  <c r="M77" i="35"/>
  <c r="M78" i="35"/>
  <c r="M79" i="35"/>
  <c r="M80" i="35"/>
  <c r="M81" i="35"/>
  <c r="M82" i="35"/>
  <c r="M83" i="35"/>
  <c r="M84" i="35"/>
  <c r="M85" i="35"/>
  <c r="M86" i="35"/>
  <c r="M87" i="35"/>
  <c r="M88" i="35"/>
  <c r="M89" i="35"/>
  <c r="M90" i="35"/>
  <c r="M91" i="35"/>
  <c r="M92" i="35"/>
  <c r="M93" i="35"/>
  <c r="M94" i="35"/>
  <c r="M95" i="35"/>
  <c r="M96" i="35"/>
  <c r="M97" i="35"/>
  <c r="M98" i="35"/>
  <c r="M99" i="35"/>
  <c r="M100" i="35"/>
  <c r="M101" i="35"/>
  <c r="M102" i="35"/>
  <c r="M103" i="35"/>
  <c r="M104" i="35"/>
  <c r="M105" i="35"/>
  <c r="M106" i="35"/>
  <c r="M107" i="35"/>
  <c r="M108" i="35"/>
  <c r="M109" i="35"/>
  <c r="M110" i="35"/>
  <c r="M111" i="35"/>
  <c r="M112" i="35"/>
  <c r="M113" i="35"/>
  <c r="M114" i="35"/>
  <c r="M115" i="35"/>
  <c r="M116" i="35"/>
  <c r="M117" i="35"/>
  <c r="M118" i="35"/>
  <c r="M119" i="35"/>
  <c r="M120" i="35"/>
  <c r="M121" i="35"/>
  <c r="M122" i="35"/>
  <c r="M123" i="35"/>
  <c r="M124" i="35"/>
  <c r="M125" i="35"/>
  <c r="M126" i="35"/>
  <c r="M127" i="35"/>
  <c r="M128" i="35"/>
  <c r="M129" i="35"/>
  <c r="M130" i="35"/>
  <c r="M131" i="35"/>
  <c r="M132" i="35"/>
  <c r="M133" i="35"/>
  <c r="M134" i="35"/>
  <c r="M135" i="35"/>
  <c r="M136" i="35"/>
  <c r="M137" i="35"/>
  <c r="M138" i="35"/>
  <c r="M139" i="35"/>
  <c r="M140" i="35"/>
  <c r="M141" i="35"/>
  <c r="M142" i="35"/>
  <c r="M143" i="35"/>
  <c r="M144" i="35"/>
  <c r="M145" i="35"/>
  <c r="M146" i="35"/>
  <c r="M147" i="35"/>
  <c r="M148" i="35"/>
  <c r="M149" i="35"/>
  <c r="M150" i="35"/>
  <c r="M151" i="35"/>
  <c r="M152" i="35"/>
  <c r="M153" i="35"/>
  <c r="M154" i="35"/>
  <c r="M155" i="35"/>
  <c r="M156" i="35"/>
  <c r="M157" i="35"/>
  <c r="M158" i="35"/>
  <c r="M159" i="35"/>
  <c r="M160" i="35"/>
  <c r="M161" i="35"/>
  <c r="M162" i="35"/>
  <c r="M163" i="35"/>
  <c r="M164" i="35"/>
  <c r="M165" i="35"/>
  <c r="M166" i="35"/>
  <c r="M167" i="35"/>
  <c r="M168" i="35"/>
  <c r="M169" i="35"/>
  <c r="M170" i="35"/>
  <c r="M171" i="35"/>
  <c r="M172" i="35"/>
  <c r="M173" i="35"/>
  <c r="M174" i="35"/>
  <c r="M175" i="35"/>
  <c r="M176" i="35"/>
  <c r="M177" i="35"/>
  <c r="M178" i="35"/>
  <c r="M179" i="35"/>
  <c r="M180" i="35"/>
  <c r="M181" i="35"/>
  <c r="M182" i="35"/>
  <c r="M183" i="35"/>
  <c r="M184" i="35"/>
  <c r="M185" i="35"/>
  <c r="M186" i="35"/>
  <c r="M187" i="35"/>
  <c r="M188" i="35"/>
  <c r="M189" i="35"/>
  <c r="M190" i="35"/>
  <c r="M191" i="35"/>
  <c r="M192" i="35"/>
  <c r="M193" i="35"/>
  <c r="M194" i="35"/>
  <c r="M195" i="35"/>
  <c r="M196" i="35"/>
  <c r="M197" i="35"/>
  <c r="M198" i="35"/>
  <c r="M199" i="35"/>
  <c r="M200" i="35"/>
  <c r="M201" i="35"/>
  <c r="M202" i="35"/>
  <c r="M203" i="35"/>
  <c r="M204" i="35"/>
  <c r="M205" i="35"/>
  <c r="M206" i="35"/>
  <c r="M207" i="35"/>
  <c r="M208" i="35"/>
  <c r="M209" i="35"/>
  <c r="M210" i="35"/>
  <c r="M211" i="35"/>
  <c r="M212" i="35"/>
  <c r="M213" i="35"/>
  <c r="M214" i="35"/>
  <c r="M215" i="35"/>
  <c r="M216" i="35"/>
  <c r="M217" i="35"/>
  <c r="M218" i="35"/>
  <c r="M219" i="35"/>
  <c r="M220" i="35"/>
  <c r="M221" i="35"/>
  <c r="M222" i="35"/>
  <c r="M223" i="35"/>
  <c r="M224" i="35"/>
  <c r="M225" i="35"/>
  <c r="M226" i="35"/>
  <c r="M227" i="35"/>
  <c r="M228" i="35"/>
  <c r="M229" i="35"/>
  <c r="M230" i="35"/>
  <c r="M231" i="35"/>
  <c r="M232" i="35"/>
  <c r="M233" i="35"/>
  <c r="M234" i="35"/>
  <c r="M235" i="35"/>
  <c r="M236" i="35"/>
  <c r="M237" i="35"/>
  <c r="M238" i="35"/>
  <c r="M239" i="35"/>
  <c r="M240" i="35"/>
  <c r="M241" i="35"/>
  <c r="M242" i="35"/>
  <c r="M243" i="35"/>
  <c r="M244" i="35"/>
  <c r="M245" i="35"/>
  <c r="M246" i="35"/>
  <c r="M247" i="35"/>
  <c r="M248" i="35"/>
  <c r="M249" i="35"/>
  <c r="M250" i="35"/>
  <c r="M251" i="35"/>
  <c r="M252" i="35"/>
  <c r="M253" i="35"/>
  <c r="M254" i="35"/>
  <c r="M255" i="35"/>
  <c r="M256" i="35"/>
  <c r="M257" i="35"/>
  <c r="M258" i="35"/>
  <c r="M259" i="35"/>
  <c r="M260" i="35"/>
  <c r="M261" i="35"/>
  <c r="M262" i="35"/>
  <c r="M263" i="35"/>
  <c r="M264" i="35"/>
  <c r="M265" i="35"/>
  <c r="M266" i="35"/>
  <c r="M267" i="35"/>
  <c r="M268" i="35"/>
  <c r="M269" i="35"/>
  <c r="M270" i="35"/>
  <c r="M271" i="35"/>
  <c r="M272" i="35"/>
  <c r="M273" i="35"/>
  <c r="M274" i="35"/>
  <c r="M275" i="35"/>
  <c r="M276" i="35"/>
  <c r="M277" i="35"/>
  <c r="M278" i="35"/>
  <c r="M279" i="35"/>
  <c r="M280" i="35"/>
  <c r="M281" i="35"/>
  <c r="M282" i="35"/>
  <c r="M283" i="35"/>
  <c r="M284" i="35"/>
  <c r="M285" i="35"/>
  <c r="M286" i="35"/>
  <c r="M287" i="35"/>
  <c r="M288" i="35"/>
  <c r="M289" i="35"/>
  <c r="M290" i="35"/>
  <c r="M291" i="35"/>
  <c r="M292" i="35"/>
  <c r="M293" i="35"/>
  <c r="M294" i="35"/>
  <c r="M295" i="35"/>
  <c r="M296" i="35"/>
  <c r="M297" i="35"/>
  <c r="M298" i="35"/>
  <c r="M299" i="35"/>
  <c r="M300" i="35"/>
  <c r="M301" i="35"/>
  <c r="M302" i="35"/>
  <c r="M303" i="35"/>
  <c r="M304" i="35"/>
  <c r="M305" i="35"/>
  <c r="M306" i="35"/>
  <c r="M307" i="35"/>
  <c r="M308" i="35"/>
  <c r="M309" i="35"/>
  <c r="M310" i="35"/>
  <c r="M311" i="35"/>
  <c r="M312" i="35"/>
  <c r="M313" i="35"/>
  <c r="M314" i="35"/>
  <c r="M315" i="35"/>
  <c r="M316" i="35"/>
  <c r="M317" i="35"/>
  <c r="M318" i="35"/>
  <c r="M319" i="35"/>
  <c r="M320" i="35"/>
  <c r="M321" i="35"/>
  <c r="M322" i="35"/>
  <c r="M323" i="35"/>
  <c r="M324" i="35"/>
  <c r="M325" i="35"/>
  <c r="M326" i="35"/>
  <c r="M327" i="35"/>
  <c r="M328" i="35"/>
  <c r="M329" i="35"/>
  <c r="M330" i="35"/>
  <c r="M331" i="35"/>
  <c r="M332" i="35"/>
  <c r="M333" i="35"/>
  <c r="M334" i="35"/>
  <c r="M335" i="35"/>
  <c r="M336" i="35"/>
  <c r="M337" i="35"/>
  <c r="M338" i="35"/>
  <c r="M339" i="35"/>
  <c r="M340" i="35"/>
  <c r="M341" i="35"/>
  <c r="M342" i="35"/>
  <c r="M343" i="35"/>
  <c r="M344" i="35"/>
  <c r="M345" i="35"/>
  <c r="M346" i="35"/>
  <c r="M347" i="35"/>
  <c r="M348" i="35"/>
  <c r="M349" i="35"/>
  <c r="M350" i="35"/>
  <c r="M351" i="35"/>
  <c r="M352" i="35"/>
  <c r="M353" i="35"/>
  <c r="M354" i="35"/>
  <c r="M355" i="35"/>
  <c r="M356" i="35"/>
  <c r="M357" i="35"/>
  <c r="M358" i="35"/>
  <c r="M359" i="35"/>
  <c r="M360" i="35"/>
  <c r="M361" i="35"/>
  <c r="M362" i="35"/>
  <c r="M363" i="35"/>
  <c r="M364" i="35"/>
  <c r="M365" i="35"/>
  <c r="M366" i="35"/>
  <c r="M367" i="35"/>
  <c r="M368" i="35"/>
  <c r="M369" i="35"/>
  <c r="M370" i="35"/>
  <c r="M371" i="35"/>
  <c r="M372" i="35"/>
  <c r="M373" i="35"/>
  <c r="M374" i="35"/>
  <c r="M375" i="35"/>
  <c r="M376" i="35"/>
  <c r="M377" i="35"/>
  <c r="M378" i="35"/>
  <c r="M379" i="35"/>
  <c r="M380" i="35"/>
  <c r="M381" i="35"/>
  <c r="M382" i="35"/>
  <c r="M383" i="35"/>
  <c r="M384" i="35"/>
  <c r="M385" i="35"/>
  <c r="M386" i="35"/>
  <c r="M387" i="35"/>
  <c r="M388" i="35"/>
  <c r="M389" i="35"/>
  <c r="M390" i="35"/>
  <c r="M391" i="35"/>
  <c r="M392" i="35"/>
  <c r="M393" i="35"/>
  <c r="M394" i="35"/>
  <c r="M395" i="35"/>
  <c r="M396" i="35"/>
  <c r="M397" i="35"/>
  <c r="M398" i="35"/>
  <c r="M399" i="35"/>
  <c r="M400" i="35"/>
  <c r="M401" i="35"/>
  <c r="M402" i="35"/>
  <c r="M403" i="35"/>
  <c r="M404" i="35"/>
  <c r="M405" i="35"/>
  <c r="M406" i="35"/>
  <c r="M407" i="35"/>
  <c r="M408" i="35"/>
  <c r="M409" i="35"/>
  <c r="M410" i="35"/>
  <c r="M411" i="35"/>
  <c r="M412" i="35"/>
  <c r="M413" i="35"/>
  <c r="M414" i="35"/>
  <c r="M415" i="35"/>
  <c r="M416" i="35"/>
  <c r="M417" i="35"/>
  <c r="M418" i="35"/>
  <c r="M419" i="35"/>
  <c r="M420" i="35"/>
  <c r="M421" i="35"/>
  <c r="M422" i="35"/>
  <c r="M423" i="35"/>
  <c r="M424" i="35"/>
  <c r="M425" i="35"/>
  <c r="M426" i="35"/>
  <c r="M427" i="35"/>
  <c r="M428" i="35"/>
  <c r="M429" i="35"/>
  <c r="M430" i="35"/>
  <c r="M431" i="35"/>
  <c r="M432" i="35"/>
  <c r="M433" i="35"/>
  <c r="M434" i="35"/>
  <c r="M435" i="35"/>
  <c r="M436" i="35"/>
  <c r="M437" i="35"/>
  <c r="M438" i="35"/>
  <c r="M439" i="35"/>
  <c r="M440" i="35"/>
  <c r="M441" i="35"/>
  <c r="M442" i="35"/>
  <c r="M443" i="35"/>
  <c r="M444" i="35"/>
  <c r="M445" i="35"/>
  <c r="M446" i="35"/>
  <c r="M447" i="35"/>
  <c r="M448" i="35"/>
  <c r="M449" i="35"/>
  <c r="M450" i="35"/>
  <c r="M451" i="35"/>
  <c r="M452" i="35"/>
  <c r="M453" i="35"/>
  <c r="M454" i="35"/>
  <c r="M455" i="35"/>
  <c r="M456" i="35"/>
  <c r="M457" i="35"/>
  <c r="M458" i="35"/>
  <c r="M459" i="35"/>
  <c r="M460" i="35"/>
  <c r="M461" i="35"/>
  <c r="M462" i="35"/>
  <c r="M463" i="35"/>
  <c r="M464" i="35"/>
  <c r="M465" i="35"/>
  <c r="M466" i="35"/>
  <c r="M467" i="35"/>
  <c r="M468" i="35"/>
  <c r="M469" i="35"/>
  <c r="M470" i="35"/>
  <c r="M471" i="35"/>
  <c r="M472" i="35"/>
  <c r="M473" i="35"/>
  <c r="M474" i="35"/>
  <c r="M475" i="35"/>
  <c r="M476" i="35"/>
  <c r="M477" i="35"/>
  <c r="M478" i="35"/>
  <c r="M479" i="35"/>
  <c r="M480" i="35"/>
  <c r="M481" i="35"/>
  <c r="M482" i="35"/>
  <c r="M483" i="35"/>
  <c r="M484" i="35"/>
  <c r="M485" i="35"/>
  <c r="M486" i="35"/>
  <c r="M487" i="35"/>
  <c r="M488" i="35"/>
  <c r="M489" i="35"/>
  <c r="M490" i="35"/>
  <c r="M491" i="35"/>
  <c r="M492" i="35"/>
  <c r="M493" i="35"/>
  <c r="M494" i="35"/>
  <c r="M495" i="35"/>
  <c r="M496" i="35"/>
  <c r="M497" i="35"/>
  <c r="M498" i="35"/>
  <c r="M499" i="35"/>
  <c r="M500" i="35"/>
  <c r="M2" i="35"/>
  <c r="I3" i="16"/>
  <c r="I5" i="16"/>
  <c r="I8" i="16"/>
  <c r="I9" i="16"/>
  <c r="I10" i="16"/>
  <c r="I11" i="16"/>
  <c r="I12" i="16"/>
  <c r="I13" i="16"/>
  <c r="I14" i="16"/>
  <c r="I15" i="16"/>
  <c r="I16" i="16"/>
  <c r="I17" i="16"/>
  <c r="I18" i="16"/>
  <c r="I19" i="16"/>
  <c r="I20" i="16"/>
  <c r="I21" i="16"/>
  <c r="I22"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I48" i="16"/>
  <c r="I49" i="16"/>
  <c r="I50" i="16"/>
  <c r="I51" i="16"/>
  <c r="I52" i="16"/>
  <c r="I53" i="16"/>
  <c r="I54" i="16"/>
  <c r="I55" i="16"/>
  <c r="I56" i="16"/>
  <c r="I57" i="16"/>
  <c r="I58" i="16"/>
  <c r="I59" i="16"/>
  <c r="I60" i="16"/>
  <c r="I61" i="16"/>
  <c r="I62" i="16"/>
  <c r="I63" i="16"/>
  <c r="I64" i="16"/>
  <c r="I65" i="16"/>
  <c r="I66" i="16"/>
  <c r="I67" i="16"/>
  <c r="I68" i="16"/>
  <c r="I69" i="16"/>
  <c r="I70" i="16"/>
  <c r="I71" i="16"/>
  <c r="I72" i="16"/>
  <c r="I73" i="16"/>
  <c r="I74" i="16"/>
  <c r="I75" i="16"/>
  <c r="I76" i="16"/>
  <c r="I77" i="16"/>
  <c r="I78" i="16"/>
  <c r="I79" i="16"/>
  <c r="I80" i="16"/>
  <c r="I81" i="16"/>
  <c r="I82" i="16"/>
  <c r="I83" i="16"/>
  <c r="I84" i="16"/>
  <c r="I85" i="16"/>
  <c r="I86" i="16"/>
  <c r="I87" i="16"/>
  <c r="I88" i="16"/>
  <c r="I89" i="16"/>
  <c r="I90" i="16"/>
  <c r="I91" i="16"/>
  <c r="I92" i="16"/>
  <c r="I93" i="16"/>
  <c r="I94" i="16"/>
  <c r="I95" i="16"/>
  <c r="I96" i="16"/>
  <c r="I97" i="16"/>
  <c r="I98" i="16"/>
  <c r="I99" i="16"/>
  <c r="I100" i="16"/>
  <c r="I101" i="16"/>
  <c r="I102" i="16"/>
  <c r="I103" i="16"/>
  <c r="I104" i="16"/>
  <c r="I105" i="16"/>
  <c r="I106" i="16"/>
  <c r="I107" i="16"/>
  <c r="I108" i="16"/>
  <c r="I109" i="16"/>
  <c r="I110" i="16"/>
  <c r="I111" i="16"/>
  <c r="I112" i="16"/>
  <c r="I113" i="16"/>
  <c r="I114" i="16"/>
  <c r="I115" i="16"/>
  <c r="I116" i="16"/>
  <c r="I117" i="16"/>
  <c r="I118" i="16"/>
  <c r="I119" i="16"/>
  <c r="I120" i="16"/>
  <c r="I121" i="16"/>
  <c r="I122" i="16"/>
  <c r="I123" i="16"/>
  <c r="F28" i="13"/>
  <c r="G28" i="13" s="1"/>
  <c r="C10" i="1"/>
  <c r="C16" i="1"/>
  <c r="C14" i="1"/>
  <c r="AC2" i="16"/>
  <c r="N2" i="16" s="1"/>
  <c r="F21" i="6"/>
  <c r="I21" i="6" s="1"/>
  <c r="H8" i="11"/>
  <c r="I8" i="11" s="1"/>
  <c r="J8" i="11"/>
  <c r="J9" i="11"/>
  <c r="J10" i="11"/>
  <c r="J11" i="11"/>
  <c r="J12" i="11"/>
  <c r="J13" i="11"/>
  <c r="J14" i="11"/>
  <c r="J15" i="11"/>
  <c r="J17" i="11"/>
  <c r="J18" i="11"/>
  <c r="J19" i="11"/>
  <c r="J20" i="11"/>
  <c r="J21" i="11"/>
  <c r="J22" i="11"/>
  <c r="J23" i="11"/>
  <c r="J46" i="11"/>
  <c r="J47" i="11"/>
  <c r="J48" i="11"/>
  <c r="H49" i="11"/>
  <c r="I49" i="11" s="1"/>
  <c r="J49" i="11"/>
  <c r="H9" i="13"/>
  <c r="I9" i="13" s="1"/>
  <c r="H10" i="13"/>
  <c r="I10" i="13" s="1"/>
  <c r="H11" i="13"/>
  <c r="I11" i="13" s="1"/>
  <c r="H12" i="13"/>
  <c r="I12" i="13" s="1"/>
  <c r="H13" i="13"/>
  <c r="I13" i="13" s="1"/>
  <c r="H8" i="14"/>
  <c r="I8" i="14" s="1"/>
  <c r="J8" i="14"/>
  <c r="H9" i="14"/>
  <c r="I9" i="14" s="1"/>
  <c r="J9" i="14"/>
  <c r="H10" i="14"/>
  <c r="I10" i="14" s="1"/>
  <c r="J10" i="14"/>
  <c r="H11" i="14"/>
  <c r="I11" i="14" s="1"/>
  <c r="J11" i="14"/>
  <c r="H12" i="14"/>
  <c r="I12" i="14" s="1"/>
  <c r="J12" i="14"/>
  <c r="H13" i="14"/>
  <c r="I13" i="14" s="1"/>
  <c r="J13" i="14"/>
  <c r="F548" i="11"/>
  <c r="F547" i="11"/>
  <c r="F549" i="11"/>
  <c r="F550" i="11"/>
  <c r="F551" i="11"/>
  <c r="F552" i="11"/>
  <c r="F553" i="11"/>
  <c r="F554" i="11"/>
  <c r="E36" i="10"/>
  <c r="B12" i="10"/>
  <c r="B13" i="10"/>
  <c r="B14" i="10"/>
  <c r="B15" i="10"/>
  <c r="B16" i="10"/>
  <c r="B17" i="10"/>
  <c r="B18" i="10"/>
  <c r="B19" i="10"/>
  <c r="B20" i="10"/>
  <c r="B21" i="10"/>
  <c r="B22" i="10"/>
  <c r="B23" i="10"/>
  <c r="B24" i="10"/>
  <c r="B25" i="10"/>
  <c r="B26" i="10"/>
  <c r="B27" i="10"/>
  <c r="B28" i="10"/>
  <c r="K28" i="10"/>
  <c r="N28" i="10"/>
  <c r="Q28" i="10" s="1"/>
  <c r="E35" i="10"/>
  <c r="E37" i="10"/>
  <c r="E38" i="10"/>
  <c r="E39" i="10"/>
  <c r="E40" i="10"/>
  <c r="E41" i="10"/>
  <c r="E42" i="10"/>
  <c r="H8" i="15"/>
  <c r="I8" i="15" s="1"/>
  <c r="J8" i="15"/>
  <c r="H9" i="15"/>
  <c r="I9" i="15" s="1"/>
  <c r="J9" i="15"/>
  <c r="H10" i="15"/>
  <c r="I10" i="15" s="1"/>
  <c r="J10" i="15"/>
  <c r="H11" i="15"/>
  <c r="I11" i="15" s="1"/>
  <c r="J11" i="15"/>
  <c r="H12" i="15"/>
  <c r="I12" i="15" s="1"/>
  <c r="J12" i="15"/>
  <c r="H13" i="15"/>
  <c r="I13" i="15" s="1"/>
  <c r="J13" i="15"/>
  <c r="H14" i="15"/>
  <c r="I14" i="15" s="1"/>
  <c r="J14" i="15"/>
  <c r="H15" i="15"/>
  <c r="I15" i="15" s="1"/>
  <c r="J15" i="15"/>
  <c r="H16" i="15"/>
  <c r="I16" i="15" s="1"/>
  <c r="J16" i="15"/>
  <c r="AC3" i="16"/>
  <c r="J3" i="16"/>
  <c r="K3" i="16" s="1"/>
  <c r="N3" i="16"/>
  <c r="AC4" i="16"/>
  <c r="N4" i="16"/>
  <c r="AC5" i="16"/>
  <c r="J5" i="16"/>
  <c r="K5" i="16" s="1"/>
  <c r="N5" i="16"/>
  <c r="AC6" i="16"/>
  <c r="N6" i="16"/>
  <c r="AC7" i="16"/>
  <c r="N7" i="16"/>
  <c r="AC8" i="16"/>
  <c r="J8" i="16"/>
  <c r="K8" i="16" s="1"/>
  <c r="N8" i="16"/>
  <c r="AC9" i="16"/>
  <c r="J9" i="16"/>
  <c r="K9" i="16" s="1"/>
  <c r="N9" i="16"/>
  <c r="AC10" i="16"/>
  <c r="J10" i="16"/>
  <c r="K10" i="16" s="1"/>
  <c r="N10" i="16"/>
  <c r="AC11" i="16"/>
  <c r="J11" i="16"/>
  <c r="K11" i="16" s="1"/>
  <c r="N11" i="16"/>
  <c r="AC12" i="16"/>
  <c r="N12" i="16"/>
  <c r="AC13" i="16"/>
  <c r="N13" i="16"/>
  <c r="AC14" i="16"/>
  <c r="N14" i="16"/>
  <c r="AC15" i="16"/>
  <c r="N15" i="16"/>
  <c r="AC16" i="16"/>
  <c r="N16" i="16"/>
  <c r="AC17" i="16"/>
  <c r="N17" i="16"/>
  <c r="AC18" i="16"/>
  <c r="N18" i="16"/>
  <c r="AC19" i="16"/>
  <c r="J19" i="16"/>
  <c r="K19" i="16" s="1"/>
  <c r="N19" i="16"/>
  <c r="AC20" i="16"/>
  <c r="J20" i="16"/>
  <c r="K20" i="16" s="1"/>
  <c r="N20" i="16"/>
  <c r="AC21" i="16"/>
  <c r="N21" i="16"/>
  <c r="AC22" i="16"/>
  <c r="N22" i="16"/>
  <c r="AC23" i="16"/>
  <c r="N23" i="16"/>
  <c r="AC24" i="16"/>
  <c r="N24" i="16"/>
  <c r="AC25" i="16"/>
  <c r="N25" i="16"/>
  <c r="AC26" i="16"/>
  <c r="N26" i="16"/>
  <c r="AC27" i="16"/>
  <c r="N27" i="16"/>
  <c r="AC28" i="16"/>
  <c r="N28" i="16"/>
  <c r="AC29" i="16"/>
  <c r="N29" i="16"/>
  <c r="AC30" i="16"/>
  <c r="N30" i="16"/>
  <c r="AC31" i="16"/>
  <c r="N31" i="16"/>
  <c r="AC32" i="16"/>
  <c r="N32" i="16"/>
  <c r="AC33" i="16"/>
  <c r="N33" i="16"/>
  <c r="AC34" i="16"/>
  <c r="N34" i="16"/>
  <c r="AC35" i="16"/>
  <c r="N35" i="16"/>
  <c r="AC36" i="16"/>
  <c r="N36" i="16"/>
  <c r="AC37" i="16"/>
  <c r="N37" i="16"/>
  <c r="AC38" i="16"/>
  <c r="N38" i="16"/>
  <c r="AC39" i="16"/>
  <c r="N39" i="16"/>
  <c r="AC40" i="16"/>
  <c r="N40" i="16"/>
  <c r="AC41" i="16"/>
  <c r="AC42" i="16"/>
  <c r="AC43" i="16"/>
  <c r="AC44" i="16"/>
  <c r="AC45" i="16"/>
  <c r="AC46" i="16"/>
  <c r="AC47" i="16"/>
  <c r="AC48" i="16"/>
  <c r="AC49" i="16"/>
  <c r="AC50" i="16"/>
  <c r="AC51" i="16"/>
  <c r="AC52" i="16"/>
  <c r="AC53" i="16"/>
  <c r="AC54" i="16"/>
  <c r="AC55" i="16"/>
  <c r="AC56" i="16"/>
  <c r="AC57" i="16"/>
  <c r="AC58" i="16"/>
  <c r="AC59" i="16"/>
  <c r="AC60" i="16"/>
  <c r="AC61" i="16"/>
  <c r="AC62" i="16"/>
  <c r="AC63" i="16"/>
  <c r="AC64" i="16"/>
  <c r="AC65" i="16"/>
  <c r="AC66" i="16"/>
  <c r="AC67" i="16"/>
  <c r="AC68" i="16"/>
  <c r="AC69" i="16"/>
  <c r="AC70" i="16"/>
  <c r="AC71" i="16"/>
  <c r="AC72" i="16"/>
  <c r="AC73" i="16"/>
  <c r="AC74" i="16"/>
  <c r="AC75" i="16"/>
  <c r="AC76" i="16"/>
  <c r="AC77" i="16"/>
  <c r="AC78" i="16"/>
  <c r="AC79" i="16"/>
  <c r="AC80" i="16"/>
  <c r="AC81" i="16"/>
  <c r="AC82" i="16"/>
  <c r="AC83" i="16"/>
  <c r="AC84" i="16"/>
  <c r="AC85" i="16"/>
  <c r="AC86" i="16"/>
  <c r="AC87" i="16"/>
  <c r="AC88" i="16"/>
  <c r="AC89" i="16"/>
  <c r="AC90" i="16"/>
  <c r="AC91" i="16"/>
  <c r="AC92" i="16"/>
  <c r="AC93" i="16"/>
  <c r="AC94" i="16"/>
  <c r="AC95" i="16"/>
  <c r="AC96" i="16"/>
  <c r="AC97" i="16"/>
  <c r="AC98" i="16"/>
  <c r="AC99" i="16"/>
  <c r="AC100" i="16"/>
  <c r="AC101" i="16"/>
  <c r="AC102" i="16"/>
  <c r="AC103" i="16"/>
  <c r="AC104" i="16"/>
  <c r="AC105" i="16"/>
  <c r="AC106" i="16"/>
  <c r="AC107" i="16"/>
  <c r="AC108" i="16"/>
  <c r="AC109" i="16"/>
  <c r="AC110" i="16"/>
  <c r="AC111" i="16"/>
  <c r="AC112" i="16"/>
  <c r="AC113" i="16"/>
  <c r="AC114" i="16"/>
  <c r="AC115" i="16"/>
  <c r="AC116" i="16"/>
  <c r="AC117" i="16"/>
  <c r="AC118" i="16"/>
  <c r="AC119" i="16"/>
  <c r="AC120" i="16"/>
  <c r="AC121" i="16"/>
  <c r="AC122" i="16"/>
  <c r="AC123" i="16"/>
  <c r="B2" i="3"/>
  <c r="B52" i="3" s="1"/>
  <c r="F89" i="5"/>
  <c r="G89" i="5" s="1"/>
  <c r="N41" i="16"/>
  <c r="N42" i="16"/>
  <c r="N43" i="16"/>
  <c r="N44" i="16"/>
  <c r="N45" i="16"/>
  <c r="N46" i="16"/>
  <c r="N47" i="16"/>
  <c r="N48" i="16"/>
  <c r="N49" i="16"/>
  <c r="N50" i="16"/>
  <c r="N51" i="16"/>
  <c r="N52" i="16"/>
  <c r="N53" i="16"/>
  <c r="N54" i="16"/>
  <c r="N55" i="16"/>
  <c r="N56" i="16"/>
  <c r="N57" i="16"/>
  <c r="N58" i="16"/>
  <c r="N59" i="16"/>
  <c r="N60" i="16"/>
  <c r="N61" i="16"/>
  <c r="N62" i="16"/>
  <c r="N63" i="16"/>
  <c r="N64" i="16"/>
  <c r="N65" i="16"/>
  <c r="N66" i="16"/>
  <c r="N67" i="16"/>
  <c r="N68" i="16"/>
  <c r="N69" i="16"/>
  <c r="N70" i="16"/>
  <c r="N71" i="16"/>
  <c r="N72" i="16"/>
  <c r="N73" i="16"/>
  <c r="N74" i="16"/>
  <c r="N75" i="16"/>
  <c r="N76" i="16"/>
  <c r="N77" i="16"/>
  <c r="N78" i="16"/>
  <c r="N79" i="16"/>
  <c r="N80" i="16"/>
  <c r="N81" i="16"/>
  <c r="N82" i="16"/>
  <c r="N83" i="16"/>
  <c r="N84" i="16"/>
  <c r="N85" i="16"/>
  <c r="N86" i="16"/>
  <c r="N87" i="16"/>
  <c r="N88" i="16"/>
  <c r="N89" i="16"/>
  <c r="N90" i="16"/>
  <c r="N91" i="16"/>
  <c r="N92" i="16"/>
  <c r="N93" i="16"/>
  <c r="N94" i="16"/>
  <c r="N95" i="16"/>
  <c r="N96" i="16"/>
  <c r="N97" i="16"/>
  <c r="N98" i="16"/>
  <c r="N99" i="16"/>
  <c r="N100" i="16"/>
  <c r="N101" i="16"/>
  <c r="N102" i="16"/>
  <c r="N103" i="16"/>
  <c r="N104" i="16"/>
  <c r="N105" i="16"/>
  <c r="N106" i="16"/>
  <c r="N107" i="16"/>
  <c r="N108" i="16"/>
  <c r="N109" i="16"/>
  <c r="N110" i="16"/>
  <c r="N111" i="16"/>
  <c r="N112" i="16"/>
  <c r="N113" i="16"/>
  <c r="N114" i="16"/>
  <c r="N115" i="16"/>
  <c r="N116" i="16"/>
  <c r="N117" i="16"/>
  <c r="N118" i="16"/>
  <c r="N119" i="16"/>
  <c r="N120" i="16"/>
  <c r="N121" i="16"/>
  <c r="N122" i="16"/>
  <c r="N123" i="16"/>
  <c r="J12" i="16"/>
  <c r="K12" i="16" s="1"/>
  <c r="J13" i="16"/>
  <c r="K13" i="16" s="1"/>
  <c r="J14" i="16"/>
  <c r="K14" i="16" s="1"/>
  <c r="J15" i="16"/>
  <c r="K15" i="16" s="1"/>
  <c r="J16" i="16"/>
  <c r="K16" i="16" s="1"/>
  <c r="J17" i="16"/>
  <c r="K17" i="16" s="1"/>
  <c r="J18" i="16"/>
  <c r="K18" i="16" s="1"/>
  <c r="J21" i="16"/>
  <c r="K21" i="16" s="1"/>
  <c r="J22" i="16"/>
  <c r="K22" i="16" s="1"/>
  <c r="J23" i="16"/>
  <c r="K23" i="16" s="1"/>
  <c r="J24" i="16"/>
  <c r="K24" i="16" s="1"/>
  <c r="J25" i="16"/>
  <c r="K25" i="16" s="1"/>
  <c r="J26" i="16"/>
  <c r="K26" i="16" s="1"/>
  <c r="J27" i="16"/>
  <c r="K27" i="16" s="1"/>
  <c r="J28" i="16"/>
  <c r="K28" i="16" s="1"/>
  <c r="J29" i="16"/>
  <c r="K29" i="16" s="1"/>
  <c r="J30" i="16"/>
  <c r="K30" i="16" s="1"/>
  <c r="J31" i="16"/>
  <c r="K31" i="16" s="1"/>
  <c r="J32" i="16"/>
  <c r="K32" i="16" s="1"/>
  <c r="J33" i="16"/>
  <c r="K33" i="16" s="1"/>
  <c r="J34" i="16"/>
  <c r="K34" i="16" s="1"/>
  <c r="J35" i="16"/>
  <c r="K35" i="16" s="1"/>
  <c r="J36" i="16"/>
  <c r="K36" i="16" s="1"/>
  <c r="J37" i="16"/>
  <c r="K37" i="16" s="1"/>
  <c r="J38" i="16"/>
  <c r="K38" i="16" s="1"/>
  <c r="J39" i="16"/>
  <c r="K39" i="16" s="1"/>
  <c r="J40" i="16"/>
  <c r="K40" i="16" s="1"/>
  <c r="J41" i="16"/>
  <c r="K41" i="16" s="1"/>
  <c r="J42" i="16"/>
  <c r="K42" i="16" s="1"/>
  <c r="J43" i="16"/>
  <c r="K43" i="16" s="1"/>
  <c r="J44" i="16"/>
  <c r="K44" i="16" s="1"/>
  <c r="J45" i="16"/>
  <c r="K45" i="16" s="1"/>
  <c r="J46" i="16"/>
  <c r="K46" i="16" s="1"/>
  <c r="J47" i="16"/>
  <c r="K47" i="16" s="1"/>
  <c r="J48" i="16"/>
  <c r="K48" i="16" s="1"/>
  <c r="J49" i="16"/>
  <c r="K49" i="16" s="1"/>
  <c r="J50" i="16"/>
  <c r="K50" i="16" s="1"/>
  <c r="J51" i="16"/>
  <c r="K51" i="16" s="1"/>
  <c r="J52" i="16"/>
  <c r="K52" i="16" s="1"/>
  <c r="J53" i="16"/>
  <c r="K53" i="16" s="1"/>
  <c r="J54" i="16"/>
  <c r="K54" i="16" s="1"/>
  <c r="J55" i="16"/>
  <c r="K55" i="16" s="1"/>
  <c r="J56" i="16"/>
  <c r="K56" i="16" s="1"/>
  <c r="J57" i="16"/>
  <c r="K57" i="16" s="1"/>
  <c r="J58" i="16"/>
  <c r="K58" i="16" s="1"/>
  <c r="J59" i="16"/>
  <c r="K59" i="16" s="1"/>
  <c r="J60" i="16"/>
  <c r="K60" i="16" s="1"/>
  <c r="J61" i="16"/>
  <c r="K61" i="16" s="1"/>
  <c r="J62" i="16"/>
  <c r="K62" i="16" s="1"/>
  <c r="J63" i="16"/>
  <c r="K63" i="16" s="1"/>
  <c r="J64" i="16"/>
  <c r="K64" i="16" s="1"/>
  <c r="J65" i="16"/>
  <c r="K65" i="16" s="1"/>
  <c r="J66" i="16"/>
  <c r="K66" i="16" s="1"/>
  <c r="J67" i="16"/>
  <c r="K67" i="16" s="1"/>
  <c r="J68" i="16"/>
  <c r="K68" i="16" s="1"/>
  <c r="J69" i="16"/>
  <c r="K69" i="16" s="1"/>
  <c r="J70" i="16"/>
  <c r="K70" i="16" s="1"/>
  <c r="J71" i="16"/>
  <c r="K71" i="16" s="1"/>
  <c r="J72" i="16"/>
  <c r="K72" i="16" s="1"/>
  <c r="J73" i="16"/>
  <c r="K73" i="16" s="1"/>
  <c r="J74" i="16"/>
  <c r="K74" i="16" s="1"/>
  <c r="J75" i="16"/>
  <c r="K75" i="16" s="1"/>
  <c r="J76" i="16"/>
  <c r="K76" i="16" s="1"/>
  <c r="J77" i="16"/>
  <c r="K77" i="16" s="1"/>
  <c r="J78" i="16"/>
  <c r="K78" i="16" s="1"/>
  <c r="J79" i="16"/>
  <c r="K79" i="16" s="1"/>
  <c r="J80" i="16"/>
  <c r="K80" i="16" s="1"/>
  <c r="J81" i="16"/>
  <c r="K81" i="16" s="1"/>
  <c r="J82" i="16"/>
  <c r="K82" i="16" s="1"/>
  <c r="J83" i="16"/>
  <c r="K83" i="16" s="1"/>
  <c r="J84" i="16"/>
  <c r="K84" i="16" s="1"/>
  <c r="J85" i="16"/>
  <c r="K85" i="16" s="1"/>
  <c r="J86" i="16"/>
  <c r="K86" i="16" s="1"/>
  <c r="J87" i="16"/>
  <c r="K87" i="16" s="1"/>
  <c r="J88" i="16"/>
  <c r="K88" i="16" s="1"/>
  <c r="J89" i="16"/>
  <c r="K89" i="16" s="1"/>
  <c r="J90" i="16"/>
  <c r="K90" i="16" s="1"/>
  <c r="J91" i="16"/>
  <c r="K91" i="16" s="1"/>
  <c r="J92" i="16"/>
  <c r="K92" i="16" s="1"/>
  <c r="J93" i="16"/>
  <c r="K93" i="16" s="1"/>
  <c r="J94" i="16"/>
  <c r="K94" i="16" s="1"/>
  <c r="J95" i="16"/>
  <c r="K95" i="16" s="1"/>
  <c r="J96" i="16"/>
  <c r="K96" i="16" s="1"/>
  <c r="J97" i="16"/>
  <c r="K97" i="16" s="1"/>
  <c r="J98" i="16"/>
  <c r="K98" i="16" s="1"/>
  <c r="J99" i="16"/>
  <c r="K99" i="16" s="1"/>
  <c r="J100" i="16"/>
  <c r="K100" i="16" s="1"/>
  <c r="J101" i="16"/>
  <c r="K101" i="16" s="1"/>
  <c r="J102" i="16"/>
  <c r="K102" i="16" s="1"/>
  <c r="J103" i="16"/>
  <c r="K103" i="16" s="1"/>
  <c r="J104" i="16"/>
  <c r="K104" i="16" s="1"/>
  <c r="J105" i="16"/>
  <c r="K105" i="16" s="1"/>
  <c r="J106" i="16"/>
  <c r="J107" i="16"/>
  <c r="K107" i="16" s="1"/>
  <c r="J108" i="16"/>
  <c r="K108" i="16" s="1"/>
  <c r="J109" i="16"/>
  <c r="K109" i="16" s="1"/>
  <c r="J110" i="16"/>
  <c r="K110" i="16" s="1"/>
  <c r="J111" i="16"/>
  <c r="K111" i="16" s="1"/>
  <c r="J112" i="16"/>
  <c r="K112" i="16" s="1"/>
  <c r="J113" i="16"/>
  <c r="K113" i="16" s="1"/>
  <c r="J114" i="16"/>
  <c r="K114" i="16" s="1"/>
  <c r="J115" i="16"/>
  <c r="K115" i="16" s="1"/>
  <c r="J116" i="16"/>
  <c r="K116" i="16" s="1"/>
  <c r="J117" i="16"/>
  <c r="K117" i="16" s="1"/>
  <c r="J118" i="16"/>
  <c r="K118" i="16" s="1"/>
  <c r="J119" i="16"/>
  <c r="K119" i="16" s="1"/>
  <c r="J120" i="16"/>
  <c r="K120" i="16" s="1"/>
  <c r="J121" i="16"/>
  <c r="K121" i="16" s="1"/>
  <c r="J122" i="16"/>
  <c r="K122" i="16" s="1"/>
  <c r="J123" i="16"/>
  <c r="K123" i="16"/>
  <c r="F21" i="7"/>
  <c r="G21" i="7" s="1"/>
  <c r="F20" i="6"/>
  <c r="I20" i="6" s="1"/>
  <c r="F20" i="13"/>
  <c r="G20" i="13" s="1"/>
  <c r="F20" i="14"/>
  <c r="G20" i="14" s="1"/>
  <c r="F30" i="15"/>
  <c r="G30" i="15" s="1"/>
  <c r="F40" i="14"/>
  <c r="K40" i="14" s="1"/>
  <c r="F27" i="14"/>
  <c r="G27" i="14" s="1"/>
  <c r="F27" i="13"/>
  <c r="K27" i="13" s="1"/>
  <c r="F28" i="7"/>
  <c r="K28" i="7" s="1"/>
  <c r="F27" i="6"/>
  <c r="K27" i="6" s="1"/>
  <c r="F21" i="13"/>
  <c r="G21" i="13" s="1"/>
  <c r="F22" i="13"/>
  <c r="G22" i="13" s="1"/>
  <c r="F23" i="13"/>
  <c r="G23" i="13" s="1"/>
  <c r="F24" i="13"/>
  <c r="G24" i="13" s="1"/>
  <c r="F25" i="13"/>
  <c r="G25" i="13" s="1"/>
  <c r="F26" i="13"/>
  <c r="F22" i="7"/>
  <c r="G22" i="7" s="1"/>
  <c r="F23" i="7"/>
  <c r="G23" i="7" s="1"/>
  <c r="F24" i="7"/>
  <c r="G24" i="7" s="1"/>
  <c r="F25" i="7"/>
  <c r="G25" i="7" s="1"/>
  <c r="F26" i="7"/>
  <c r="G26" i="7" s="1"/>
  <c r="F27" i="7"/>
  <c r="I27" i="7" s="1"/>
  <c r="F22" i="6"/>
  <c r="G22" i="6" s="1"/>
  <c r="F23" i="6"/>
  <c r="I23" i="6" s="1"/>
  <c r="F24" i="6"/>
  <c r="I24" i="6" s="1"/>
  <c r="F25" i="6"/>
  <c r="G25" i="6" s="1"/>
  <c r="F26" i="6"/>
  <c r="G26" i="6" s="1"/>
  <c r="F23" i="15"/>
  <c r="G23" i="15" s="1"/>
  <c r="F24" i="15"/>
  <c r="G24" i="15" s="1"/>
  <c r="F25" i="15"/>
  <c r="G25" i="15" s="1"/>
  <c r="F26" i="15"/>
  <c r="G26" i="15" s="1"/>
  <c r="F27" i="15"/>
  <c r="G27" i="15" s="1"/>
  <c r="F28" i="15"/>
  <c r="G28" i="15" s="1"/>
  <c r="F29" i="15"/>
  <c r="G29" i="15" s="1"/>
  <c r="F21" i="14"/>
  <c r="G21" i="14" s="1"/>
  <c r="F22" i="14"/>
  <c r="G22" i="14" s="1"/>
  <c r="F23" i="14"/>
  <c r="G23" i="14" s="1"/>
  <c r="F24" i="14"/>
  <c r="G24" i="14" s="1"/>
  <c r="F25" i="14"/>
  <c r="G25" i="14" s="1"/>
  <c r="F26" i="14"/>
  <c r="G26" i="14" s="1"/>
  <c r="G28" i="7"/>
  <c r="K106" i="16"/>
  <c r="I29" i="7"/>
  <c r="AE123" i="16"/>
  <c r="I31" i="6"/>
  <c r="FG5" i="19"/>
  <c r="FH5" i="19"/>
  <c r="FI5" i="19"/>
  <c r="FJ5" i="19"/>
  <c r="FK5" i="19"/>
  <c r="FL5" i="19"/>
  <c r="FM5" i="19"/>
  <c r="FN5" i="19"/>
  <c r="FO5" i="19"/>
  <c r="FP5" i="19"/>
  <c r="FQ5" i="19"/>
  <c r="FR5" i="19"/>
  <c r="EP5" i="19"/>
  <c r="AC470" i="35"/>
  <c r="J33" i="45"/>
  <c r="K29" i="7"/>
  <c r="I32" i="6"/>
  <c r="I39" i="15"/>
  <c r="AC405" i="35"/>
  <c r="G37" i="7"/>
  <c r="AC6" i="35"/>
  <c r="K34" i="6"/>
  <c r="AC154" i="35"/>
  <c r="K32" i="6"/>
  <c r="G27" i="6"/>
  <c r="J30" i="44"/>
  <c r="AC337" i="35"/>
  <c r="AC422" i="35"/>
  <c r="AC325" i="35"/>
  <c r="AC321" i="35"/>
  <c r="AC309" i="35"/>
  <c r="AC293" i="35"/>
  <c r="AC261" i="35"/>
  <c r="AC86" i="35"/>
  <c r="AC49" i="35"/>
  <c r="AC37" i="35"/>
  <c r="AC21" i="35"/>
  <c r="AC197" i="35"/>
  <c r="AC193" i="35"/>
  <c r="AC9" i="35"/>
  <c r="AC7" i="35"/>
  <c r="AC22" i="35"/>
  <c r="AC357" i="35"/>
  <c r="AC5" i="35"/>
  <c r="AC277" i="35"/>
  <c r="AC149" i="35"/>
  <c r="AC11" i="35"/>
  <c r="AC314" i="35"/>
  <c r="AC226" i="35"/>
  <c r="AC369" i="35"/>
  <c r="AC341" i="35"/>
  <c r="AC53" i="35"/>
  <c r="AC469" i="35"/>
  <c r="AC225" i="35"/>
  <c r="AC198" i="35"/>
  <c r="AC385" i="35"/>
  <c r="AC389" i="35"/>
  <c r="AC433" i="35"/>
  <c r="AC3" i="35"/>
  <c r="AC449" i="35"/>
  <c r="AC390" i="35"/>
  <c r="AC209" i="35"/>
  <c r="AC145" i="35"/>
  <c r="AC97" i="35"/>
  <c r="AC58" i="35"/>
  <c r="AC122" i="35"/>
  <c r="AC257" i="35"/>
  <c r="AC161" i="35"/>
  <c r="AC98" i="35"/>
  <c r="AC245" i="35"/>
  <c r="AC177" i="35"/>
  <c r="AC165" i="35"/>
  <c r="AC241" i="35"/>
  <c r="AC266" i="35"/>
  <c r="AC262" i="35"/>
  <c r="AC26" i="35"/>
  <c r="AC8" i="35"/>
  <c r="K9" i="7"/>
  <c r="AC497" i="35"/>
  <c r="AC465" i="35"/>
  <c r="AC406" i="35"/>
  <c r="AC310" i="35"/>
  <c r="AC410" i="35"/>
  <c r="AC113" i="35"/>
  <c r="AC305" i="35"/>
  <c r="AC129" i="35"/>
  <c r="AC181" i="35"/>
  <c r="AC133" i="35"/>
  <c r="AC101" i="35"/>
  <c r="DZ5" i="19"/>
  <c r="EQ5" i="19"/>
  <c r="ER5" i="19"/>
  <c r="ES5" i="19"/>
  <c r="ET5" i="19"/>
  <c r="EU5" i="19"/>
  <c r="EV5" i="19"/>
  <c r="EW5" i="19"/>
  <c r="EX5" i="19"/>
  <c r="EY5" i="19"/>
  <c r="EZ5" i="19"/>
  <c r="FA5" i="19"/>
  <c r="FB5" i="19"/>
  <c r="EA5" i="19"/>
  <c r="EB5" i="19"/>
  <c r="EC5" i="19"/>
  <c r="ED5" i="19"/>
  <c r="EE5" i="19"/>
  <c r="EF5" i="19"/>
  <c r="EG5" i="19"/>
  <c r="EH5" i="19"/>
  <c r="EI5" i="19"/>
  <c r="EJ5" i="19"/>
  <c r="EK5" i="19"/>
  <c r="EL5" i="19"/>
  <c r="DJ5" i="19"/>
  <c r="DK5" i="19"/>
  <c r="DL5" i="19"/>
  <c r="DM5" i="19"/>
  <c r="DN5" i="19"/>
  <c r="DO5" i="19"/>
  <c r="DP5" i="19"/>
  <c r="DQ5" i="19"/>
  <c r="DR5" i="19"/>
  <c r="DS5" i="19"/>
  <c r="DT5" i="19"/>
  <c r="DU5" i="19"/>
  <c r="DV5" i="19"/>
  <c r="CT5" i="19"/>
  <c r="CU5" i="19"/>
  <c r="CV5" i="19"/>
  <c r="CW5" i="19"/>
  <c r="CX5" i="19"/>
  <c r="CY5" i="19"/>
  <c r="CZ5" i="19"/>
  <c r="DA5" i="19"/>
  <c r="DB5" i="19"/>
  <c r="DC5" i="19"/>
  <c r="DD5" i="19"/>
  <c r="DE5" i="19"/>
  <c r="DF5" i="19"/>
  <c r="K27" i="7" l="1"/>
  <c r="M154" i="27"/>
  <c r="J154" i="27"/>
  <c r="K154" i="27"/>
  <c r="G154" i="27"/>
  <c r="G20" i="6"/>
  <c r="AK373" i="35"/>
  <c r="AK349" i="35"/>
  <c r="AK321" i="35"/>
  <c r="AK385" i="35"/>
  <c r="AK337" i="35"/>
  <c r="AK253" i="35"/>
  <c r="AK229" i="35"/>
  <c r="AK221" i="35"/>
  <c r="AK205" i="35"/>
  <c r="AK197" i="35"/>
  <c r="M11" i="10"/>
  <c r="P11" i="10" s="1"/>
  <c r="I30" i="10"/>
  <c r="AK173" i="35"/>
  <c r="AK93" i="35"/>
  <c r="AK85" i="35"/>
  <c r="AK77" i="35"/>
  <c r="AK37" i="35"/>
  <c r="AK29" i="35"/>
  <c r="AK13" i="35"/>
  <c r="AE161" i="35"/>
  <c r="AH161" i="35" s="1"/>
  <c r="AI161" i="35" s="1"/>
  <c r="K12" i="6"/>
  <c r="I32" i="7"/>
  <c r="I36" i="7"/>
  <c r="G37" i="6"/>
  <c r="I31" i="7"/>
  <c r="G32" i="7"/>
  <c r="I28" i="7"/>
  <c r="G36" i="7"/>
  <c r="K34" i="14"/>
  <c r="G40" i="40"/>
  <c r="G38" i="45"/>
  <c r="I36" i="15"/>
  <c r="K40" i="15"/>
  <c r="G29" i="45"/>
  <c r="I40" i="6"/>
  <c r="I37" i="6"/>
  <c r="G40" i="7"/>
  <c r="I34" i="14"/>
  <c r="I31" i="13"/>
  <c r="I28" i="40"/>
  <c r="G33" i="40"/>
  <c r="I21" i="7"/>
  <c r="K37" i="40"/>
  <c r="G29" i="6"/>
  <c r="G30" i="14"/>
  <c r="K34" i="40"/>
  <c r="G29" i="44"/>
  <c r="G36" i="44"/>
  <c r="I29" i="6"/>
  <c r="K30" i="40"/>
  <c r="G28" i="44"/>
  <c r="G37" i="40"/>
  <c r="K36" i="14"/>
  <c r="K37" i="13"/>
  <c r="G39" i="15"/>
  <c r="K21" i="7"/>
  <c r="K41" i="7"/>
  <c r="I27" i="13"/>
  <c r="G27" i="13"/>
  <c r="I27" i="6"/>
  <c r="I31" i="15"/>
  <c r="G35" i="7"/>
  <c r="I39" i="6"/>
  <c r="K30" i="6"/>
  <c r="K33" i="14"/>
  <c r="G29" i="14"/>
  <c r="K35" i="13"/>
  <c r="K31" i="40"/>
  <c r="G31" i="40"/>
  <c r="G30" i="45"/>
  <c r="G33" i="14"/>
  <c r="G39" i="13"/>
  <c r="G34" i="6"/>
  <c r="G31" i="6"/>
  <c r="G27" i="7"/>
  <c r="K29" i="14"/>
  <c r="K31" i="13"/>
  <c r="G32" i="15"/>
  <c r="G32" i="40"/>
  <c r="I21" i="40"/>
  <c r="G35" i="45"/>
  <c r="G33" i="44"/>
  <c r="G34" i="45"/>
  <c r="K28" i="6"/>
  <c r="I40" i="13"/>
  <c r="K26" i="14"/>
  <c r="G35" i="15"/>
  <c r="G43" i="15"/>
  <c r="G30" i="6"/>
  <c r="G33" i="7"/>
  <c r="I35" i="6"/>
  <c r="I28" i="6"/>
  <c r="I26" i="14"/>
  <c r="I28" i="13"/>
  <c r="I38" i="7"/>
  <c r="K39" i="6"/>
  <c r="K40" i="13"/>
  <c r="K27" i="40"/>
  <c r="I43" i="15"/>
  <c r="G27" i="40"/>
  <c r="G30" i="40"/>
  <c r="G38" i="40"/>
  <c r="G35" i="44"/>
  <c r="K24" i="6"/>
  <c r="H53" i="10"/>
  <c r="K33" i="6"/>
  <c r="G21" i="6"/>
  <c r="K28" i="13"/>
  <c r="I38" i="6"/>
  <c r="K38" i="14"/>
  <c r="I33" i="13"/>
  <c r="K39" i="14"/>
  <c r="I37" i="7"/>
  <c r="I33" i="7"/>
  <c r="G24" i="6"/>
  <c r="H39" i="10"/>
  <c r="I35" i="14"/>
  <c r="G32" i="14"/>
  <c r="K36" i="13"/>
  <c r="K39" i="40"/>
  <c r="K38" i="40"/>
  <c r="I35" i="15"/>
  <c r="G26" i="40"/>
  <c r="K35" i="40"/>
  <c r="G35" i="40"/>
  <c r="AC496" i="35"/>
  <c r="AC492" i="35"/>
  <c r="AC480" i="35"/>
  <c r="AE480" i="35" s="1"/>
  <c r="AH480" i="35" s="1"/>
  <c r="AC476" i="35"/>
  <c r="AC472" i="35"/>
  <c r="AC464" i="35"/>
  <c r="AC460" i="35"/>
  <c r="AE460" i="35" s="1"/>
  <c r="AH460" i="35" s="1"/>
  <c r="AI460" i="35" s="1"/>
  <c r="AC448" i="35"/>
  <c r="AC444" i="35"/>
  <c r="AC440" i="35"/>
  <c r="AE440" i="35" s="1"/>
  <c r="AH440" i="35" s="1"/>
  <c r="AI440" i="35" s="1"/>
  <c r="AC432" i="35"/>
  <c r="AE432" i="35" s="1"/>
  <c r="AH432" i="35" s="1"/>
  <c r="AI432" i="35" s="1"/>
  <c r="AC428" i="35"/>
  <c r="AC416" i="35"/>
  <c r="AC412" i="35"/>
  <c r="AC408" i="35"/>
  <c r="AC400" i="35"/>
  <c r="AC396" i="35"/>
  <c r="AC384" i="35"/>
  <c r="AC380" i="35"/>
  <c r="AE380" i="35" s="1"/>
  <c r="AH380" i="35" s="1"/>
  <c r="AI380" i="35" s="1"/>
  <c r="AC368" i="35"/>
  <c r="AC364" i="35"/>
  <c r="AC352" i="35"/>
  <c r="AC348" i="35"/>
  <c r="AE348" i="35" s="1"/>
  <c r="AH348" i="35" s="1"/>
  <c r="AI348" i="35" s="1"/>
  <c r="AC332" i="35"/>
  <c r="AC331" i="35"/>
  <c r="AC320" i="35"/>
  <c r="AC316" i="35"/>
  <c r="AE316" i="35" s="1"/>
  <c r="AH316" i="35" s="1"/>
  <c r="AI316" i="35" s="1"/>
  <c r="AC304" i="35"/>
  <c r="AC300" i="35"/>
  <c r="AC288" i="35"/>
  <c r="AC284" i="35"/>
  <c r="AC280" i="35"/>
  <c r="AC272" i="35"/>
  <c r="AC268" i="35"/>
  <c r="AC256" i="35"/>
  <c r="AE256" i="35" s="1"/>
  <c r="AH256" i="35" s="1"/>
  <c r="AC252" i="35"/>
  <c r="AC248" i="35"/>
  <c r="AC236" i="35"/>
  <c r="AC232" i="35"/>
  <c r="AC224" i="35"/>
  <c r="AC220" i="35"/>
  <c r="AC208" i="35"/>
  <c r="AC204" i="35"/>
  <c r="AC200" i="35"/>
  <c r="AC192" i="35"/>
  <c r="AC188" i="35"/>
  <c r="AC176" i="35"/>
  <c r="AE176" i="35" s="1"/>
  <c r="AH176" i="35" s="1"/>
  <c r="AI176" i="35" s="1"/>
  <c r="AC172" i="35"/>
  <c r="AC160" i="35"/>
  <c r="AC156" i="35"/>
  <c r="AC155" i="35"/>
  <c r="AC144" i="35"/>
  <c r="AC140" i="35"/>
  <c r="AC136" i="35"/>
  <c r="AC128" i="35"/>
  <c r="AC124" i="35"/>
  <c r="AC112" i="35"/>
  <c r="AC108" i="35"/>
  <c r="AC96" i="35"/>
  <c r="AE96" i="35" s="1"/>
  <c r="AH96" i="35" s="1"/>
  <c r="AI96" i="35" s="1"/>
  <c r="AC92" i="35"/>
  <c r="AC80" i="35"/>
  <c r="AC64" i="35"/>
  <c r="AC60" i="35"/>
  <c r="AE60" i="35" s="1"/>
  <c r="AH60" i="35" s="1"/>
  <c r="AI60" i="35" s="1"/>
  <c r="AC48" i="35"/>
  <c r="AC44" i="35"/>
  <c r="AC28" i="35"/>
  <c r="AC16" i="35"/>
  <c r="AE16" i="35" s="1"/>
  <c r="AH16" i="35" s="1"/>
  <c r="J19" i="47"/>
  <c r="J11" i="47"/>
  <c r="J9" i="47"/>
  <c r="AC477" i="35"/>
  <c r="AE477" i="35" s="1"/>
  <c r="AH477" i="35" s="1"/>
  <c r="AI477" i="35" s="1"/>
  <c r="AC445" i="35"/>
  <c r="AC441" i="35"/>
  <c r="AC397" i="35"/>
  <c r="AC333" i="35"/>
  <c r="AE333" i="35" s="1"/>
  <c r="AH333" i="35" s="1"/>
  <c r="AI333" i="35" s="1"/>
  <c r="AC285" i="35"/>
  <c r="AC269" i="35"/>
  <c r="AC253" i="35"/>
  <c r="AC237" i="35"/>
  <c r="AC221" i="35"/>
  <c r="AC205" i="35"/>
  <c r="AC189" i="35"/>
  <c r="AC173" i="35"/>
  <c r="AE173" i="35" s="1"/>
  <c r="AH173" i="35" s="1"/>
  <c r="AI173" i="35" s="1"/>
  <c r="AC157" i="35"/>
  <c r="AC141" i="35"/>
  <c r="AC125" i="35"/>
  <c r="AC93" i="35"/>
  <c r="AC77" i="35"/>
  <c r="AC61" i="35"/>
  <c r="AC45" i="35"/>
  <c r="J11" i="44"/>
  <c r="J24" i="44" s="1"/>
  <c r="J11" i="45"/>
  <c r="J24" i="45" s="1"/>
  <c r="J8" i="45"/>
  <c r="J21" i="45" s="1"/>
  <c r="J12" i="44"/>
  <c r="J8" i="44"/>
  <c r="K14" i="7"/>
  <c r="AK138" i="35"/>
  <c r="AC491" i="35"/>
  <c r="AC471" i="35"/>
  <c r="AC427" i="35"/>
  <c r="AC411" i="35"/>
  <c r="AE411" i="35" s="1"/>
  <c r="AH411" i="35" s="1"/>
  <c r="AI411" i="35" s="1"/>
  <c r="AC295" i="35"/>
  <c r="AC283" i="35"/>
  <c r="AC279" i="35"/>
  <c r="AC235" i="35"/>
  <c r="AE235" i="35" s="1"/>
  <c r="AH235" i="35" s="1"/>
  <c r="AI235" i="35" s="1"/>
  <c r="AC199" i="35"/>
  <c r="AC167" i="35"/>
  <c r="AC135" i="35"/>
  <c r="K13" i="6"/>
  <c r="K25" i="6" s="1"/>
  <c r="D116" i="27"/>
  <c r="O148" i="27"/>
  <c r="O150" i="27"/>
  <c r="O151" i="27"/>
  <c r="O152" i="27"/>
  <c r="O153" i="27"/>
  <c r="K26" i="7"/>
  <c r="G103" i="5"/>
  <c r="Q52" i="10"/>
  <c r="I47" i="10"/>
  <c r="H42" i="10"/>
  <c r="F55" i="10"/>
  <c r="G52" i="47"/>
  <c r="G48" i="47"/>
  <c r="J44" i="47"/>
  <c r="J48" i="47"/>
  <c r="F37" i="10"/>
  <c r="G37" i="47"/>
  <c r="AE305" i="35"/>
  <c r="AH305" i="35" s="1"/>
  <c r="AI305" i="35" s="1"/>
  <c r="AE472" i="35"/>
  <c r="AH472" i="35" s="1"/>
  <c r="AI472" i="35" s="1"/>
  <c r="AE464" i="35"/>
  <c r="AE444" i="35"/>
  <c r="AH444" i="35" s="1"/>
  <c r="K101" i="5"/>
  <c r="I107" i="5"/>
  <c r="K109" i="5"/>
  <c r="L86" i="8"/>
  <c r="D20" i="49"/>
  <c r="F12" i="49"/>
  <c r="H36" i="49" s="1"/>
  <c r="I36" i="49" s="1"/>
  <c r="N15" i="8"/>
  <c r="D6" i="9" s="1"/>
  <c r="D8" i="9" s="1"/>
  <c r="D10" i="9" s="1"/>
  <c r="K25" i="3" s="1"/>
  <c r="D18" i="49"/>
  <c r="F18" i="49" s="1"/>
  <c r="H42" i="49" s="1"/>
  <c r="I42" i="49" s="1"/>
  <c r="D16" i="49"/>
  <c r="Q16" i="49" s="1"/>
  <c r="D13" i="49"/>
  <c r="F13" i="49" s="1"/>
  <c r="H37" i="49" s="1"/>
  <c r="I37" i="49" s="1"/>
  <c r="D19" i="49"/>
  <c r="H19" i="49" s="1"/>
  <c r="J19" i="49" s="1"/>
  <c r="D15" i="49"/>
  <c r="Q15" i="49" s="1"/>
  <c r="U15" i="49" s="1"/>
  <c r="W15" i="49" s="1"/>
  <c r="D14" i="49"/>
  <c r="H14" i="49" s="1"/>
  <c r="J14" i="49" s="1"/>
  <c r="D21" i="49"/>
  <c r="F21" i="49" s="1"/>
  <c r="H45" i="49" s="1"/>
  <c r="I45" i="49" s="1"/>
  <c r="D17" i="49"/>
  <c r="F17" i="49" s="1"/>
  <c r="H41" i="49" s="1"/>
  <c r="I41" i="49" s="1"/>
  <c r="D10" i="49"/>
  <c r="Q10" i="49" s="1"/>
  <c r="U10" i="49" s="1"/>
  <c r="W10" i="49" s="1"/>
  <c r="G97" i="5"/>
  <c r="K97" i="5"/>
  <c r="I103" i="5"/>
  <c r="N10" i="10"/>
  <c r="Q10" i="10" s="1"/>
  <c r="H30" i="10"/>
  <c r="K100" i="5"/>
  <c r="G96" i="5"/>
  <c r="I96" i="5"/>
  <c r="G395" i="39"/>
  <c r="D135" i="27"/>
  <c r="K407" i="39"/>
  <c r="K411" i="39"/>
  <c r="I407" i="39"/>
  <c r="G411" i="39"/>
  <c r="K403" i="39"/>
  <c r="K395" i="39"/>
  <c r="I99" i="5"/>
  <c r="I101" i="5"/>
  <c r="G106" i="5"/>
  <c r="I89" i="5"/>
  <c r="K8" i="5"/>
  <c r="K89" i="5" s="1"/>
  <c r="K108" i="5"/>
  <c r="K99" i="5"/>
  <c r="I95" i="5"/>
  <c r="K95" i="5"/>
  <c r="G107" i="5"/>
  <c r="AD48" i="16"/>
  <c r="G105" i="5"/>
  <c r="I105" i="5"/>
  <c r="G104" i="5"/>
  <c r="K102" i="5"/>
  <c r="G109" i="5"/>
  <c r="K10" i="5"/>
  <c r="K91" i="5" s="1"/>
  <c r="H20" i="49"/>
  <c r="J20" i="49" s="1"/>
  <c r="Q20" i="49"/>
  <c r="U20" i="49" s="1"/>
  <c r="W20" i="49" s="1"/>
  <c r="F20" i="49"/>
  <c r="H44" i="49" s="1"/>
  <c r="I44" i="49" s="1"/>
  <c r="P46" i="10"/>
  <c r="Q45" i="10"/>
  <c r="J51" i="47"/>
  <c r="P48" i="10"/>
  <c r="M54" i="10"/>
  <c r="Q55" i="10"/>
  <c r="F54" i="10"/>
  <c r="M51" i="10"/>
  <c r="F40" i="10"/>
  <c r="P52" i="10"/>
  <c r="H40" i="10"/>
  <c r="H44" i="10"/>
  <c r="F46" i="10"/>
  <c r="N49" i="10"/>
  <c r="I40" i="10"/>
  <c r="Q48" i="10"/>
  <c r="P51" i="10"/>
  <c r="L29" i="8"/>
  <c r="H37" i="10"/>
  <c r="M53" i="10"/>
  <c r="H49" i="10"/>
  <c r="I45" i="10"/>
  <c r="I39" i="10"/>
  <c r="G23" i="6"/>
  <c r="G50" i="47"/>
  <c r="K401" i="39"/>
  <c r="I392" i="39"/>
  <c r="K14" i="39"/>
  <c r="G404" i="39"/>
  <c r="I397" i="39"/>
  <c r="I408" i="39"/>
  <c r="G553" i="11"/>
  <c r="G119" i="5" s="1"/>
  <c r="K554" i="11"/>
  <c r="G562" i="11"/>
  <c r="I559" i="11"/>
  <c r="G550" i="11"/>
  <c r="G566" i="11"/>
  <c r="G552" i="11"/>
  <c r="G118" i="5" s="1"/>
  <c r="G547" i="11"/>
  <c r="G113" i="5" s="1"/>
  <c r="G551" i="11"/>
  <c r="G117" i="5" s="1"/>
  <c r="G548" i="11"/>
  <c r="G114" i="5" s="1"/>
  <c r="K561" i="11"/>
  <c r="G554" i="11"/>
  <c r="G564" i="11"/>
  <c r="G560" i="11"/>
  <c r="O111" i="16"/>
  <c r="S111" i="16" s="1"/>
  <c r="T111" i="16" s="1"/>
  <c r="AE111" i="16" s="1"/>
  <c r="AC370" i="35"/>
  <c r="AE370" i="35" s="1"/>
  <c r="AH370" i="35" s="1"/>
  <c r="AI370" i="35" s="1"/>
  <c r="AC318" i="35"/>
  <c r="AE318" i="35" s="1"/>
  <c r="AH318" i="35" s="1"/>
  <c r="AI318" i="35" s="1"/>
  <c r="AC290" i="35"/>
  <c r="AE290" i="35" s="1"/>
  <c r="AH290" i="35" s="1"/>
  <c r="AI290" i="35" s="1"/>
  <c r="AC242" i="35"/>
  <c r="J15" i="47"/>
  <c r="AC29" i="35"/>
  <c r="AE29" i="35" s="1"/>
  <c r="AH29" i="35" s="1"/>
  <c r="AI29" i="35" s="1"/>
  <c r="AC13" i="35"/>
  <c r="AE13" i="35" s="1"/>
  <c r="AH13" i="35" s="1"/>
  <c r="AI13" i="35" s="1"/>
  <c r="J13" i="44"/>
  <c r="AK32" i="35"/>
  <c r="AC210" i="35"/>
  <c r="AE210" i="35" s="1"/>
  <c r="AH210" i="35" s="1"/>
  <c r="AI210" i="35" s="1"/>
  <c r="AC32" i="35"/>
  <c r="AE32" i="35" s="1"/>
  <c r="AH32" i="35" s="1"/>
  <c r="N8" i="35"/>
  <c r="AC387" i="35"/>
  <c r="AE387" i="35" s="1"/>
  <c r="AH387" i="35" s="1"/>
  <c r="AI387" i="35" s="1"/>
  <c r="AC359" i="35"/>
  <c r="AC343" i="35"/>
  <c r="AE343" i="35" s="1"/>
  <c r="AH343" i="35" s="1"/>
  <c r="AI343" i="35" s="1"/>
  <c r="AC259" i="35"/>
  <c r="AE259" i="35" s="1"/>
  <c r="AH259" i="35" s="1"/>
  <c r="AC87" i="35"/>
  <c r="AE87" i="35" s="1"/>
  <c r="AH87" i="35" s="1"/>
  <c r="AI87" i="35" s="1"/>
  <c r="AC71" i="35"/>
  <c r="AE7" i="35"/>
  <c r="AH7" i="35" s="1"/>
  <c r="AI7" i="35" s="1"/>
  <c r="AD55" i="16"/>
  <c r="AC484" i="35"/>
  <c r="AE484" i="35" s="1"/>
  <c r="AH484" i="35" s="1"/>
  <c r="AI484" i="35" s="1"/>
  <c r="AC468" i="35"/>
  <c r="AE468" i="35" s="1"/>
  <c r="AH468" i="35" s="1"/>
  <c r="AI468" i="35" s="1"/>
  <c r="AC452" i="35"/>
  <c r="AE452" i="35" s="1"/>
  <c r="AH452" i="35" s="1"/>
  <c r="AI452" i="35" s="1"/>
  <c r="AC436" i="35"/>
  <c r="AE436" i="35" s="1"/>
  <c r="AH436" i="35" s="1"/>
  <c r="AI436" i="35" s="1"/>
  <c r="AC404" i="35"/>
  <c r="AE404" i="35" s="1"/>
  <c r="AH404" i="35" s="1"/>
  <c r="AI404" i="35" s="1"/>
  <c r="AC356" i="35"/>
  <c r="AE356" i="35" s="1"/>
  <c r="AH356" i="35" s="1"/>
  <c r="AI356" i="35" s="1"/>
  <c r="AC324" i="35"/>
  <c r="AE324" i="35" s="1"/>
  <c r="AH324" i="35" s="1"/>
  <c r="AI324" i="35" s="1"/>
  <c r="AC308" i="35"/>
  <c r="AE308" i="35" s="1"/>
  <c r="AH308" i="35" s="1"/>
  <c r="AI308" i="35" s="1"/>
  <c r="AC260" i="35"/>
  <c r="AE260" i="35" s="1"/>
  <c r="AH260" i="35" s="1"/>
  <c r="AI260" i="35" s="1"/>
  <c r="AC244" i="35"/>
  <c r="AC228" i="35"/>
  <c r="AE228" i="35" s="1"/>
  <c r="AH228" i="35" s="1"/>
  <c r="AC212" i="35"/>
  <c r="AC148" i="35"/>
  <c r="AE148" i="35" s="1"/>
  <c r="AH148" i="35" s="1"/>
  <c r="AC100" i="35"/>
  <c r="AE100" i="35" s="1"/>
  <c r="AH100" i="35" s="1"/>
  <c r="AI100" i="35" s="1"/>
  <c r="AC84" i="35"/>
  <c r="AE84" i="35" s="1"/>
  <c r="AH84" i="35" s="1"/>
  <c r="AC68" i="35"/>
  <c r="AK41" i="35"/>
  <c r="AC20" i="35"/>
  <c r="AE20" i="35" s="1"/>
  <c r="AH20" i="35" s="1"/>
  <c r="AI20" i="35" s="1"/>
  <c r="AE98" i="35"/>
  <c r="AK130" i="35"/>
  <c r="AK50" i="35"/>
  <c r="AK18" i="35"/>
  <c r="I95" i="48"/>
  <c r="J95" i="48" s="1"/>
  <c r="L95" i="48" s="1"/>
  <c r="AE406" i="35"/>
  <c r="AH406" i="35" s="1"/>
  <c r="AI406" i="35" s="1"/>
  <c r="K13" i="39"/>
  <c r="N146" i="35"/>
  <c r="R146" i="35" s="1"/>
  <c r="N74" i="35"/>
  <c r="R74" i="35" s="1"/>
  <c r="N26" i="35"/>
  <c r="R26" i="35" s="1"/>
  <c r="K27" i="14"/>
  <c r="I560" i="11"/>
  <c r="G29" i="40"/>
  <c r="I104" i="5"/>
  <c r="K37" i="14"/>
  <c r="I100" i="5"/>
  <c r="G40" i="6"/>
  <c r="K39" i="7"/>
  <c r="K33" i="13"/>
  <c r="K29" i="40"/>
  <c r="I106" i="5"/>
  <c r="J34" i="44"/>
  <c r="K30" i="7"/>
  <c r="I34" i="15"/>
  <c r="G40" i="14"/>
  <c r="I36" i="6"/>
  <c r="G36" i="6"/>
  <c r="G38" i="6"/>
  <c r="G34" i="7"/>
  <c r="G31" i="7"/>
  <c r="G35" i="6"/>
  <c r="K30" i="14"/>
  <c r="G38" i="14"/>
  <c r="I409" i="39"/>
  <c r="I37" i="13"/>
  <c r="I32" i="40"/>
  <c r="G36" i="40"/>
  <c r="G28" i="40"/>
  <c r="G38" i="44"/>
  <c r="G32" i="44"/>
  <c r="G32" i="45"/>
  <c r="G43" i="47"/>
  <c r="I398" i="39"/>
  <c r="I27" i="14"/>
  <c r="G29" i="13"/>
  <c r="G108" i="5"/>
  <c r="J37" i="45"/>
  <c r="K29" i="13"/>
  <c r="K98" i="5"/>
  <c r="I40" i="14"/>
  <c r="G98" i="5"/>
  <c r="G30" i="7"/>
  <c r="I33" i="6"/>
  <c r="I34" i="7"/>
  <c r="I28" i="14"/>
  <c r="I31" i="14"/>
  <c r="G37" i="14"/>
  <c r="K404" i="39"/>
  <c r="I401" i="39"/>
  <c r="K34" i="13"/>
  <c r="K30" i="13"/>
  <c r="K33" i="40"/>
  <c r="I36" i="40"/>
  <c r="G39" i="40"/>
  <c r="G33" i="15"/>
  <c r="G37" i="44"/>
  <c r="G31" i="44"/>
  <c r="G36" i="45"/>
  <c r="G102" i="5"/>
  <c r="G38" i="7"/>
  <c r="K405" i="39"/>
  <c r="I40" i="40"/>
  <c r="I40" i="15"/>
  <c r="G28" i="45"/>
  <c r="Q44" i="10"/>
  <c r="K26" i="6"/>
  <c r="I26" i="6"/>
  <c r="K26" i="13"/>
  <c r="G26" i="13"/>
  <c r="H55" i="10"/>
  <c r="I43" i="10"/>
  <c r="H51" i="10"/>
  <c r="M48" i="10"/>
  <c r="Q54" i="10"/>
  <c r="N44" i="10"/>
  <c r="N46" i="10"/>
  <c r="N47" i="10"/>
  <c r="I48" i="10"/>
  <c r="N50" i="10"/>
  <c r="Q50" i="10"/>
  <c r="M45" i="10"/>
  <c r="N43" i="10"/>
  <c r="F47" i="10"/>
  <c r="M43" i="10"/>
  <c r="P42" i="10"/>
  <c r="P55" i="10"/>
  <c r="N53" i="10"/>
  <c r="F53" i="10"/>
  <c r="P50" i="10"/>
  <c r="F41" i="10"/>
  <c r="F51" i="10"/>
  <c r="Q51" i="10"/>
  <c r="I51" i="10"/>
  <c r="F44" i="10"/>
  <c r="M44" i="10"/>
  <c r="H48" i="10"/>
  <c r="I55" i="10"/>
  <c r="H38" i="10"/>
  <c r="P44" i="10"/>
  <c r="H45" i="10"/>
  <c r="N42" i="10"/>
  <c r="N45" i="10"/>
  <c r="M47" i="10"/>
  <c r="Q47" i="10"/>
  <c r="F42" i="10"/>
  <c r="P54" i="10"/>
  <c r="N51" i="10"/>
  <c r="P47" i="10"/>
  <c r="H54" i="10"/>
  <c r="Q43" i="10"/>
  <c r="P43" i="10"/>
  <c r="H47" i="10"/>
  <c r="M42" i="10"/>
  <c r="H52" i="10"/>
  <c r="I37" i="10"/>
  <c r="Q46" i="10"/>
  <c r="N55" i="10"/>
  <c r="I41" i="10"/>
  <c r="N48" i="10"/>
  <c r="F45" i="10"/>
  <c r="I53" i="10"/>
  <c r="I44" i="10"/>
  <c r="N52" i="10"/>
  <c r="M50" i="10"/>
  <c r="M46" i="10"/>
  <c r="I50" i="10"/>
  <c r="N54" i="10"/>
  <c r="P53" i="10"/>
  <c r="I46" i="10"/>
  <c r="F49" i="10"/>
  <c r="Q49" i="10"/>
  <c r="I49" i="10"/>
  <c r="F38" i="10"/>
  <c r="P45" i="10"/>
  <c r="F52" i="10"/>
  <c r="I52" i="10"/>
  <c r="Q42" i="10"/>
  <c r="M52" i="10"/>
  <c r="Q53" i="10"/>
  <c r="H43" i="10"/>
  <c r="I38" i="10"/>
  <c r="M55" i="10"/>
  <c r="F48" i="10"/>
  <c r="I42" i="10"/>
  <c r="H46" i="10"/>
  <c r="H50" i="10"/>
  <c r="P49" i="10"/>
  <c r="F50" i="10"/>
  <c r="F43" i="10"/>
  <c r="M49" i="10"/>
  <c r="I54" i="10"/>
  <c r="H41" i="10"/>
  <c r="I562" i="11"/>
  <c r="G555" i="11"/>
  <c r="I563" i="11"/>
  <c r="I561" i="11"/>
  <c r="K560" i="11"/>
  <c r="K567" i="11"/>
  <c r="G556" i="11"/>
  <c r="G549" i="11"/>
  <c r="G115" i="5" s="1"/>
  <c r="I566" i="11"/>
  <c r="I555" i="11"/>
  <c r="G557" i="11"/>
  <c r="K556" i="11"/>
  <c r="I564" i="11"/>
  <c r="K558" i="11"/>
  <c r="K564" i="11"/>
  <c r="I557" i="11"/>
  <c r="K562" i="11"/>
  <c r="K565" i="11"/>
  <c r="G558" i="11"/>
  <c r="K559" i="11"/>
  <c r="G561" i="11"/>
  <c r="K563" i="11"/>
  <c r="I556" i="11"/>
  <c r="I565" i="11"/>
  <c r="K566" i="11"/>
  <c r="G559" i="11"/>
  <c r="K555" i="11"/>
  <c r="G563" i="11"/>
  <c r="K557" i="11"/>
  <c r="I26" i="13"/>
  <c r="F35" i="10"/>
  <c r="H35" i="10"/>
  <c r="I35" i="10"/>
  <c r="F36" i="10"/>
  <c r="G42" i="47"/>
  <c r="O102" i="27"/>
  <c r="O111" i="27"/>
  <c r="O115" i="27"/>
  <c r="G38" i="47"/>
  <c r="G46" i="47"/>
  <c r="G44" i="47"/>
  <c r="J25" i="44"/>
  <c r="I36" i="10"/>
  <c r="F39" i="10"/>
  <c r="H36" i="10"/>
  <c r="G40" i="47"/>
  <c r="J42" i="47"/>
  <c r="J47" i="47"/>
  <c r="I554" i="11"/>
  <c r="G54" i="47"/>
  <c r="G47" i="47"/>
  <c r="G41" i="47"/>
  <c r="J26" i="44"/>
  <c r="I25" i="6"/>
  <c r="I92" i="5"/>
  <c r="I90" i="5"/>
  <c r="I24" i="7"/>
  <c r="E40" i="27"/>
  <c r="G53" i="47"/>
  <c r="G51" i="47"/>
  <c r="J21" i="44"/>
  <c r="K26" i="40"/>
  <c r="I23" i="40"/>
  <c r="J55" i="47"/>
  <c r="G49" i="47"/>
  <c r="J46" i="47"/>
  <c r="I394" i="39"/>
  <c r="O106" i="27"/>
  <c r="O113" i="27"/>
  <c r="I23" i="7"/>
  <c r="AC254" i="35"/>
  <c r="AE254" i="35" s="1"/>
  <c r="AH254" i="35" s="1"/>
  <c r="AI254" i="35" s="1"/>
  <c r="AC109" i="35"/>
  <c r="AC56" i="35"/>
  <c r="AE56" i="35" s="1"/>
  <c r="AH56" i="35" s="1"/>
  <c r="AI56" i="35" s="1"/>
  <c r="AC413" i="35"/>
  <c r="AE413" i="35" s="1"/>
  <c r="AH413" i="35" s="1"/>
  <c r="AI413" i="35" s="1"/>
  <c r="AC365" i="35"/>
  <c r="AE365" i="35" s="1"/>
  <c r="AH365" i="35" s="1"/>
  <c r="AC488" i="35"/>
  <c r="AE488" i="35" s="1"/>
  <c r="AH488" i="35" s="1"/>
  <c r="AI488" i="35" s="1"/>
  <c r="AC349" i="35"/>
  <c r="AE349" i="35" s="1"/>
  <c r="AH349" i="35" s="1"/>
  <c r="AI349" i="35" s="1"/>
  <c r="AC317" i="35"/>
  <c r="AC46" i="35"/>
  <c r="AE46" i="35" s="1"/>
  <c r="AH46" i="35" s="1"/>
  <c r="AI46" i="35" s="1"/>
  <c r="AC72" i="35"/>
  <c r="AE72" i="35" s="1"/>
  <c r="AH72" i="35" s="1"/>
  <c r="AI72" i="35" s="1"/>
  <c r="N12" i="35"/>
  <c r="R12" i="35" s="1"/>
  <c r="AC78" i="35"/>
  <c r="AE78" i="35" s="1"/>
  <c r="AH78" i="35" s="1"/>
  <c r="AI78" i="35" s="1"/>
  <c r="AC323" i="35"/>
  <c r="AE323" i="35" s="1"/>
  <c r="AH323" i="35" s="1"/>
  <c r="AI323" i="35" s="1"/>
  <c r="N27" i="35"/>
  <c r="R27" i="35" s="1"/>
  <c r="AC296" i="35"/>
  <c r="AE296" i="35" s="1"/>
  <c r="AH296" i="35" s="1"/>
  <c r="AI296" i="35" s="1"/>
  <c r="N59" i="35"/>
  <c r="R59" i="35" s="1"/>
  <c r="N11" i="35"/>
  <c r="R11" i="35" s="1"/>
  <c r="AD31" i="16"/>
  <c r="N346" i="35"/>
  <c r="R346" i="35" s="1"/>
  <c r="AC211" i="35"/>
  <c r="AE211" i="35" s="1"/>
  <c r="AH211" i="35" s="1"/>
  <c r="AI211" i="35" s="1"/>
  <c r="AC281" i="35"/>
  <c r="AE281" i="35" s="1"/>
  <c r="AH281" i="35" s="1"/>
  <c r="AI281" i="35" s="1"/>
  <c r="AC233" i="35"/>
  <c r="AE233" i="35" s="1"/>
  <c r="AH233" i="35" s="1"/>
  <c r="AI233" i="35" s="1"/>
  <c r="AC185" i="35"/>
  <c r="AE185" i="35" s="1"/>
  <c r="AH185" i="35" s="1"/>
  <c r="AI185" i="35" s="1"/>
  <c r="AC153" i="35"/>
  <c r="AE153" i="35" s="1"/>
  <c r="AH153" i="35" s="1"/>
  <c r="AC451" i="35"/>
  <c r="AE451" i="35" s="1"/>
  <c r="AH451" i="35" s="1"/>
  <c r="AC361" i="35"/>
  <c r="AE361" i="35" s="1"/>
  <c r="AH361" i="35" s="1"/>
  <c r="AI361" i="35" s="1"/>
  <c r="AC217" i="35"/>
  <c r="AE217" i="35" s="1"/>
  <c r="AH217" i="35" s="1"/>
  <c r="AI217" i="35" s="1"/>
  <c r="AC41" i="35"/>
  <c r="AE41" i="35" s="1"/>
  <c r="AH41" i="35" s="1"/>
  <c r="AI41" i="35" s="1"/>
  <c r="AC350" i="35"/>
  <c r="AE350" i="35" s="1"/>
  <c r="AH350" i="35" s="1"/>
  <c r="AC126" i="35"/>
  <c r="AE126" i="35" s="1"/>
  <c r="AH126" i="35" s="1"/>
  <c r="AC371" i="35"/>
  <c r="AE371" i="35" s="1"/>
  <c r="AH371" i="35" s="1"/>
  <c r="AI371" i="35" s="1"/>
  <c r="AC99" i="35"/>
  <c r="AE99" i="35" s="1"/>
  <c r="AH99" i="35" s="1"/>
  <c r="AC51" i="35"/>
  <c r="AE51" i="35" s="1"/>
  <c r="AH51" i="35" s="1"/>
  <c r="J14" i="44"/>
  <c r="J27" i="44" s="1"/>
  <c r="AC120" i="35"/>
  <c r="AE120" i="35" s="1"/>
  <c r="AH120" i="35" s="1"/>
  <c r="AI120" i="35" s="1"/>
  <c r="AC489" i="35"/>
  <c r="AE489" i="35" s="1"/>
  <c r="AH489" i="35" s="1"/>
  <c r="AI489" i="35" s="1"/>
  <c r="AC35" i="35"/>
  <c r="AE35" i="35" s="1"/>
  <c r="AH35" i="35" s="1"/>
  <c r="AK210" i="35"/>
  <c r="AK178" i="35"/>
  <c r="AK90" i="35"/>
  <c r="AC313" i="35"/>
  <c r="AE313" i="35" s="1"/>
  <c r="AH313" i="35" s="1"/>
  <c r="AI313" i="35" s="1"/>
  <c r="AC265" i="35"/>
  <c r="AE265" i="35" s="1"/>
  <c r="AH265" i="35" s="1"/>
  <c r="AC169" i="35"/>
  <c r="AE169" i="35" s="1"/>
  <c r="AH169" i="35" s="1"/>
  <c r="AI169" i="35" s="1"/>
  <c r="AC121" i="35"/>
  <c r="AE121" i="35" s="1"/>
  <c r="AH121" i="35" s="1"/>
  <c r="AC147" i="35"/>
  <c r="AE147" i="35" s="1"/>
  <c r="AH147" i="35" s="1"/>
  <c r="AI147" i="35" s="1"/>
  <c r="AC376" i="35"/>
  <c r="AE376" i="35" s="1"/>
  <c r="AH376" i="35" s="1"/>
  <c r="AI376" i="35" s="1"/>
  <c r="AC168" i="35"/>
  <c r="AE168" i="35" s="1"/>
  <c r="AH168" i="35" s="1"/>
  <c r="AC345" i="35"/>
  <c r="AE345" i="35" s="1"/>
  <c r="AH345" i="35" s="1"/>
  <c r="AC201" i="35"/>
  <c r="AE201" i="35" s="1"/>
  <c r="AH201" i="35" s="1"/>
  <c r="AC105" i="35"/>
  <c r="AE105" i="35" s="1"/>
  <c r="AH105" i="35" s="1"/>
  <c r="AI105" i="35" s="1"/>
  <c r="AC414" i="35"/>
  <c r="AE414" i="35" s="1"/>
  <c r="AH414" i="35" s="1"/>
  <c r="AI414" i="35" s="1"/>
  <c r="AC110" i="35"/>
  <c r="AC424" i="35"/>
  <c r="AE424" i="35" s="1"/>
  <c r="AH424" i="35" s="1"/>
  <c r="AI424" i="35" s="1"/>
  <c r="AC152" i="35"/>
  <c r="AE152" i="35" s="1"/>
  <c r="AH152" i="35" s="1"/>
  <c r="AI152" i="35" s="1"/>
  <c r="N115" i="35"/>
  <c r="R115" i="35" s="1"/>
  <c r="N35" i="35"/>
  <c r="R35" i="35" s="1"/>
  <c r="N19" i="35"/>
  <c r="R19" i="35" s="1"/>
  <c r="AC329" i="35"/>
  <c r="AC249" i="35"/>
  <c r="AE249" i="35" s="1"/>
  <c r="AH249" i="35" s="1"/>
  <c r="AI249" i="35" s="1"/>
  <c r="AC88" i="35"/>
  <c r="AE88" i="35" s="1"/>
  <c r="AC24" i="35"/>
  <c r="AE24" i="35" s="1"/>
  <c r="AH24" i="35" s="1"/>
  <c r="AI24" i="35" s="1"/>
  <c r="AC150" i="35"/>
  <c r="AE150" i="35" s="1"/>
  <c r="AH150" i="35" s="1"/>
  <c r="AI150" i="35" s="1"/>
  <c r="AC134" i="35"/>
  <c r="AE134" i="35" s="1"/>
  <c r="AH134" i="35" s="1"/>
  <c r="AI134" i="35" s="1"/>
  <c r="AC102" i="35"/>
  <c r="AE102" i="35" s="1"/>
  <c r="AH102" i="35" s="1"/>
  <c r="AI102" i="35" s="1"/>
  <c r="AC457" i="35"/>
  <c r="AE457" i="35" s="1"/>
  <c r="AH457" i="35" s="1"/>
  <c r="AC297" i="35"/>
  <c r="AE297" i="35" s="1"/>
  <c r="AH297" i="35" s="1"/>
  <c r="AC409" i="35"/>
  <c r="AE409" i="35" s="1"/>
  <c r="AH409" i="35" s="1"/>
  <c r="AI409" i="35" s="1"/>
  <c r="AC190" i="35"/>
  <c r="AE190" i="35" s="1"/>
  <c r="AH190" i="35" s="1"/>
  <c r="AI190" i="35" s="1"/>
  <c r="AC456" i="35"/>
  <c r="AE456" i="35" s="1"/>
  <c r="AH456" i="35" s="1"/>
  <c r="AI456" i="35" s="1"/>
  <c r="AC264" i="35"/>
  <c r="AE264" i="35" s="1"/>
  <c r="AH264" i="35" s="1"/>
  <c r="AI264" i="35" s="1"/>
  <c r="I121" i="48"/>
  <c r="J121" i="48" s="1"/>
  <c r="L121" i="48" s="1"/>
  <c r="AC137" i="35"/>
  <c r="AE137" i="35" s="1"/>
  <c r="AH137" i="35" s="1"/>
  <c r="AC57" i="35"/>
  <c r="AE57" i="35" s="1"/>
  <c r="AH57" i="35" s="1"/>
  <c r="AI57" i="35" s="1"/>
  <c r="AC425" i="35"/>
  <c r="AE425" i="35" s="1"/>
  <c r="AH425" i="35" s="1"/>
  <c r="AI425" i="35" s="1"/>
  <c r="AC377" i="35"/>
  <c r="AE377" i="35" s="1"/>
  <c r="AH377" i="35" s="1"/>
  <c r="AI377" i="35" s="1"/>
  <c r="AC89" i="35"/>
  <c r="AE89" i="35" s="1"/>
  <c r="AH89" i="35" s="1"/>
  <c r="AI89" i="35" s="1"/>
  <c r="D97" i="27"/>
  <c r="AC494" i="35"/>
  <c r="AE494" i="35" s="1"/>
  <c r="AH494" i="35" s="1"/>
  <c r="AC14" i="35"/>
  <c r="AE14" i="35" s="1"/>
  <c r="AH14" i="35" s="1"/>
  <c r="AC307" i="35"/>
  <c r="AE307" i="35" s="1"/>
  <c r="AH307" i="35" s="1"/>
  <c r="AI307" i="35" s="1"/>
  <c r="K11" i="7"/>
  <c r="K23" i="7" s="1"/>
  <c r="AC270" i="35"/>
  <c r="AE270" i="35" s="1"/>
  <c r="AH270" i="35" s="1"/>
  <c r="AC355" i="35"/>
  <c r="AE355" i="35" s="1"/>
  <c r="AH355" i="35" s="1"/>
  <c r="AI355" i="35" s="1"/>
  <c r="N45" i="35"/>
  <c r="R45" i="35" s="1"/>
  <c r="N29" i="35"/>
  <c r="R29" i="35" s="1"/>
  <c r="N13" i="35"/>
  <c r="R13" i="35" s="1"/>
  <c r="AL123" i="16"/>
  <c r="AN123" i="16" s="1"/>
  <c r="AC142" i="35"/>
  <c r="AC94" i="35"/>
  <c r="O27" i="16"/>
  <c r="S27" i="16" s="1"/>
  <c r="T27" i="16" s="1"/>
  <c r="AE27" i="16" s="1"/>
  <c r="AL27" i="16"/>
  <c r="AN27" i="16" s="1"/>
  <c r="AC274" i="35"/>
  <c r="AE274" i="35" s="1"/>
  <c r="AH274" i="35" s="1"/>
  <c r="AI274" i="35" s="1"/>
  <c r="AC146" i="35"/>
  <c r="AE146" i="35" s="1"/>
  <c r="AH146" i="35" s="1"/>
  <c r="AI146" i="35" s="1"/>
  <c r="AC130" i="35"/>
  <c r="AE130" i="35" s="1"/>
  <c r="AH130" i="35" s="1"/>
  <c r="AC114" i="35"/>
  <c r="AE114" i="35" s="1"/>
  <c r="AH114" i="35" s="1"/>
  <c r="AI114" i="35" s="1"/>
  <c r="AC82" i="35"/>
  <c r="AE82" i="35" s="1"/>
  <c r="AH82" i="35" s="1"/>
  <c r="AC66" i="35"/>
  <c r="AE66" i="35" s="1"/>
  <c r="AH66" i="35" s="1"/>
  <c r="AI66" i="35" s="1"/>
  <c r="AC50" i="35"/>
  <c r="AE50" i="35" s="1"/>
  <c r="AH50" i="35" s="1"/>
  <c r="AI50" i="35" s="1"/>
  <c r="O123" i="16"/>
  <c r="S123" i="16" s="1"/>
  <c r="O59" i="16"/>
  <c r="S59" i="16" s="1"/>
  <c r="T59" i="16" s="1"/>
  <c r="AE59" i="16" s="1"/>
  <c r="O7" i="16"/>
  <c r="S7" i="16" s="1"/>
  <c r="T7" i="16" s="1"/>
  <c r="AE7" i="16" s="1"/>
  <c r="AL107" i="16"/>
  <c r="AN107" i="16" s="1"/>
  <c r="AL71" i="16"/>
  <c r="AN71" i="16" s="1"/>
  <c r="O107" i="16"/>
  <c r="S107" i="16" s="1"/>
  <c r="T107" i="16" s="1"/>
  <c r="AE107" i="16" s="1"/>
  <c r="O43" i="16"/>
  <c r="S43" i="16" s="1"/>
  <c r="T43" i="16" s="1"/>
  <c r="AE43" i="16" s="1"/>
  <c r="O26" i="16"/>
  <c r="S26" i="16" s="1"/>
  <c r="T26" i="16" s="1"/>
  <c r="AE26" i="16" s="1"/>
  <c r="N37" i="35"/>
  <c r="R37" i="35" s="1"/>
  <c r="N21" i="35"/>
  <c r="R21" i="35" s="1"/>
  <c r="AL11" i="16"/>
  <c r="AN11" i="16" s="1"/>
  <c r="AC206" i="35"/>
  <c r="AE206" i="35" s="1"/>
  <c r="AH206" i="35" s="1"/>
  <c r="AI206" i="35" s="1"/>
  <c r="AD37" i="16"/>
  <c r="O91" i="16"/>
  <c r="S91" i="16" s="1"/>
  <c r="T91" i="16" s="1"/>
  <c r="AE91" i="16" s="1"/>
  <c r="O11" i="16"/>
  <c r="S11" i="16" s="1"/>
  <c r="T11" i="16" s="1"/>
  <c r="AE11" i="16" s="1"/>
  <c r="N4" i="35"/>
  <c r="R4" i="35" s="1"/>
  <c r="AK473" i="35"/>
  <c r="AK265" i="35"/>
  <c r="AK217" i="35"/>
  <c r="AK209" i="35"/>
  <c r="AK193" i="35"/>
  <c r="AK185" i="35"/>
  <c r="AK169" i="35"/>
  <c r="AK153" i="35"/>
  <c r="AK137" i="35"/>
  <c r="AK129" i="35"/>
  <c r="AK105" i="35"/>
  <c r="AK89" i="35"/>
  <c r="AK57" i="35"/>
  <c r="AK49" i="35"/>
  <c r="AK33" i="35"/>
  <c r="AC398" i="35"/>
  <c r="AE398" i="35" s="1"/>
  <c r="AH398" i="35" s="1"/>
  <c r="AI398" i="35" s="1"/>
  <c r="AC30" i="35"/>
  <c r="AE30" i="35" s="1"/>
  <c r="AH30" i="35" s="1"/>
  <c r="O75" i="16"/>
  <c r="S75" i="16" s="1"/>
  <c r="T75" i="16" s="1"/>
  <c r="AE75" i="16" s="1"/>
  <c r="AK269" i="35"/>
  <c r="AC182" i="35"/>
  <c r="AE182" i="35" s="1"/>
  <c r="AH182" i="35" s="1"/>
  <c r="AI182" i="35" s="1"/>
  <c r="AC70" i="35"/>
  <c r="AE70" i="35" s="1"/>
  <c r="AH70" i="35" s="1"/>
  <c r="AI70" i="35" s="1"/>
  <c r="O119" i="16"/>
  <c r="S119" i="16" s="1"/>
  <c r="T119" i="16" s="1"/>
  <c r="AE119" i="16" s="1"/>
  <c r="O87" i="16"/>
  <c r="S87" i="16" s="1"/>
  <c r="T87" i="16" s="1"/>
  <c r="AE87" i="16" s="1"/>
  <c r="O55" i="16"/>
  <c r="S55" i="16" s="1"/>
  <c r="T55" i="16" s="1"/>
  <c r="AE55" i="16" s="1"/>
  <c r="AD89" i="16"/>
  <c r="AK376" i="35"/>
  <c r="O103" i="16"/>
  <c r="S103" i="16" s="1"/>
  <c r="T103" i="16" s="1"/>
  <c r="AE103" i="16" s="1"/>
  <c r="O71" i="16"/>
  <c r="S71" i="16" s="1"/>
  <c r="T71" i="16" s="1"/>
  <c r="AE71" i="16" s="1"/>
  <c r="AL91" i="16"/>
  <c r="AN91" i="16" s="1"/>
  <c r="AC158" i="35"/>
  <c r="AE158" i="35" s="1"/>
  <c r="AH158" i="35" s="1"/>
  <c r="AI158" i="35" s="1"/>
  <c r="K16" i="39"/>
  <c r="K399" i="39" s="1"/>
  <c r="O39" i="16"/>
  <c r="S39" i="16" s="1"/>
  <c r="T39" i="16" s="1"/>
  <c r="AE39" i="16" s="1"/>
  <c r="O23" i="16"/>
  <c r="S23" i="16" s="1"/>
  <c r="T23" i="16" s="1"/>
  <c r="AE23" i="16" s="1"/>
  <c r="AC346" i="35"/>
  <c r="AE346" i="35" s="1"/>
  <c r="AH346" i="35" s="1"/>
  <c r="AI346" i="35" s="1"/>
  <c r="AC186" i="35"/>
  <c r="AE186" i="35" s="1"/>
  <c r="AH186" i="35" s="1"/>
  <c r="AC138" i="35"/>
  <c r="AE138" i="35" s="1"/>
  <c r="AH138" i="35" s="1"/>
  <c r="AC106" i="35"/>
  <c r="AE106" i="35" s="1"/>
  <c r="AH106" i="35" s="1"/>
  <c r="AI106" i="35" s="1"/>
  <c r="AC90" i="35"/>
  <c r="AE90" i="35" s="1"/>
  <c r="AH90" i="35" s="1"/>
  <c r="AI90" i="35" s="1"/>
  <c r="AC74" i="35"/>
  <c r="AE74" i="35" s="1"/>
  <c r="AH74" i="35" s="1"/>
  <c r="AI74" i="35" s="1"/>
  <c r="J16" i="48"/>
  <c r="L16" i="48" s="1"/>
  <c r="I399" i="39"/>
  <c r="AL75" i="16"/>
  <c r="AN75" i="16" s="1"/>
  <c r="AC388" i="35"/>
  <c r="AE388" i="35" s="1"/>
  <c r="AH388" i="35" s="1"/>
  <c r="E154" i="27"/>
  <c r="I154" i="27"/>
  <c r="L154" i="27"/>
  <c r="I135" i="27"/>
  <c r="K135" i="27"/>
  <c r="M135" i="27"/>
  <c r="G135" i="27"/>
  <c r="I116" i="27"/>
  <c r="O103" i="27"/>
  <c r="K116" i="27"/>
  <c r="C116" i="27"/>
  <c r="L116" i="27"/>
  <c r="M116" i="27"/>
  <c r="N116" i="27"/>
  <c r="J116" i="27"/>
  <c r="G116" i="27"/>
  <c r="E116" i="27"/>
  <c r="H116" i="27"/>
  <c r="G97" i="27"/>
  <c r="H40" i="27"/>
  <c r="I40" i="27"/>
  <c r="O25" i="27"/>
  <c r="J40" i="27"/>
  <c r="K40" i="27"/>
  <c r="F40" i="27"/>
  <c r="G40" i="27"/>
  <c r="M40" i="27"/>
  <c r="N40" i="27"/>
  <c r="I21" i="27"/>
  <c r="H21" i="27"/>
  <c r="J21" i="27"/>
  <c r="M21" i="27"/>
  <c r="K21" i="27"/>
  <c r="N21" i="27"/>
  <c r="F21" i="27"/>
  <c r="D21" i="27"/>
  <c r="E21" i="27"/>
  <c r="C21" i="27"/>
  <c r="G21" i="27"/>
  <c r="AE156" i="35"/>
  <c r="AH156" i="35" s="1"/>
  <c r="AI156" i="35" s="1"/>
  <c r="AE364" i="35"/>
  <c r="AH364" i="35" s="1"/>
  <c r="AI364" i="35" s="1"/>
  <c r="AE144" i="35"/>
  <c r="AH144" i="35" s="1"/>
  <c r="AI144" i="35" s="1"/>
  <c r="R47" i="35"/>
  <c r="AE172" i="35"/>
  <c r="AH172" i="35" s="1"/>
  <c r="AE279" i="35"/>
  <c r="AH279" i="35" s="1"/>
  <c r="AI279" i="35" s="1"/>
  <c r="AE124" i="35"/>
  <c r="AH124" i="35" s="1"/>
  <c r="AI124" i="35" s="1"/>
  <c r="AE273" i="35"/>
  <c r="AH273" i="35" s="1"/>
  <c r="AI273" i="35" s="1"/>
  <c r="AE145" i="35"/>
  <c r="AH145" i="35" s="1"/>
  <c r="AI145" i="35" s="1"/>
  <c r="AE321" i="35"/>
  <c r="AH321" i="35" s="1"/>
  <c r="AE192" i="35"/>
  <c r="AH192" i="35" s="1"/>
  <c r="AI192" i="35" s="1"/>
  <c r="AE262" i="35"/>
  <c r="AH262" i="35" s="1"/>
  <c r="AI262" i="35" s="1"/>
  <c r="AE289" i="35"/>
  <c r="AH289" i="35" s="1"/>
  <c r="H17" i="49"/>
  <c r="J17" i="49" s="1"/>
  <c r="D11" i="49"/>
  <c r="Q21" i="49"/>
  <c r="O149" i="27"/>
  <c r="L40" i="27"/>
  <c r="L21" i="27"/>
  <c r="O20" i="27"/>
  <c r="O16" i="27"/>
  <c r="O17" i="27"/>
  <c r="O18" i="27"/>
  <c r="O6" i="27"/>
  <c r="H154" i="27"/>
  <c r="O11" i="27"/>
  <c r="O14" i="27"/>
  <c r="O107" i="27"/>
  <c r="O15" i="27"/>
  <c r="O10" i="27"/>
  <c r="O28" i="27"/>
  <c r="O147" i="27"/>
  <c r="O13" i="27"/>
  <c r="O7" i="27"/>
  <c r="O19" i="27"/>
  <c r="O110" i="27"/>
  <c r="O112" i="27"/>
  <c r="O114" i="27"/>
  <c r="O30" i="27"/>
  <c r="O31" i="27"/>
  <c r="O36" i="27"/>
  <c r="F116" i="27"/>
  <c r="O100" i="27"/>
  <c r="O8" i="27"/>
  <c r="O9" i="27"/>
  <c r="O26" i="27"/>
  <c r="O32" i="27"/>
  <c r="O33" i="27"/>
  <c r="O104" i="27"/>
  <c r="O108" i="27"/>
  <c r="O24" i="27"/>
  <c r="D154" i="27"/>
  <c r="D40" i="27"/>
  <c r="O5" i="27"/>
  <c r="O29" i="27"/>
  <c r="O27" i="27"/>
  <c r="O34" i="27"/>
  <c r="O35" i="27"/>
  <c r="O37" i="27"/>
  <c r="O38" i="27"/>
  <c r="O39" i="27"/>
  <c r="O105" i="27"/>
  <c r="O109" i="27"/>
  <c r="O122" i="27"/>
  <c r="O123" i="27"/>
  <c r="O124" i="27"/>
  <c r="O126" i="27"/>
  <c r="O130" i="27"/>
  <c r="O131" i="27"/>
  <c r="O132" i="27"/>
  <c r="O133" i="27"/>
  <c r="O134" i="27"/>
  <c r="O138" i="27"/>
  <c r="O141" i="27"/>
  <c r="C97" i="27"/>
  <c r="C40" i="27"/>
  <c r="O12" i="27"/>
  <c r="O143" i="27"/>
  <c r="O144" i="27"/>
  <c r="O145" i="27"/>
  <c r="O146" i="27"/>
  <c r="O101" i="27"/>
  <c r="AC286" i="35"/>
  <c r="AE286" i="35" s="1"/>
  <c r="AH286" i="35" s="1"/>
  <c r="AI286" i="35" s="1"/>
  <c r="AC238" i="35"/>
  <c r="AE238" i="35" s="1"/>
  <c r="AH238" i="35" s="1"/>
  <c r="AI238" i="35" s="1"/>
  <c r="AC474" i="35"/>
  <c r="AE474" i="35" s="1"/>
  <c r="AH474" i="35" s="1"/>
  <c r="AC402" i="35"/>
  <c r="AE402" i="35" s="1"/>
  <c r="AH402" i="35" s="1"/>
  <c r="AI402" i="35" s="1"/>
  <c r="AC394" i="35"/>
  <c r="AE394" i="35" s="1"/>
  <c r="AH394" i="35" s="1"/>
  <c r="AI394" i="35" s="1"/>
  <c r="AC378" i="35"/>
  <c r="AE378" i="35" s="1"/>
  <c r="AH378" i="35" s="1"/>
  <c r="AC366" i="35"/>
  <c r="AE366" i="35" s="1"/>
  <c r="AH366" i="35" s="1"/>
  <c r="AI366" i="35" s="1"/>
  <c r="AC354" i="35"/>
  <c r="AE354" i="35" s="1"/>
  <c r="AH354" i="35" s="1"/>
  <c r="AI354" i="35" s="1"/>
  <c r="AC342" i="35"/>
  <c r="AE342" i="35" s="1"/>
  <c r="AH342" i="35" s="1"/>
  <c r="AI342" i="35" s="1"/>
  <c r="AC330" i="35"/>
  <c r="AE330" i="35" s="1"/>
  <c r="AH330" i="35" s="1"/>
  <c r="AI330" i="35" s="1"/>
  <c r="AC298" i="35"/>
  <c r="AE298" i="35" s="1"/>
  <c r="AH298" i="35" s="1"/>
  <c r="AI298" i="35" s="1"/>
  <c r="AC282" i="35"/>
  <c r="AE282" i="35" s="1"/>
  <c r="AH282" i="35" s="1"/>
  <c r="AI282" i="35" s="1"/>
  <c r="AC278" i="35"/>
  <c r="AE278" i="35" s="1"/>
  <c r="AH278" i="35" s="1"/>
  <c r="AC250" i="35"/>
  <c r="AE250" i="35" s="1"/>
  <c r="AH250" i="35" s="1"/>
  <c r="AI250" i="35" s="1"/>
  <c r="AC234" i="35"/>
  <c r="AE234" i="35" s="1"/>
  <c r="AH234" i="35" s="1"/>
  <c r="AI234" i="35" s="1"/>
  <c r="AC214" i="35"/>
  <c r="AE214" i="35" s="1"/>
  <c r="AH214" i="35" s="1"/>
  <c r="AI214" i="35" s="1"/>
  <c r="AC461" i="35"/>
  <c r="AE461" i="35" s="1"/>
  <c r="AH461" i="35" s="1"/>
  <c r="AI461" i="35" s="1"/>
  <c r="AC437" i="35"/>
  <c r="AE437" i="35" s="1"/>
  <c r="AH437" i="35" s="1"/>
  <c r="AI437" i="35" s="1"/>
  <c r="N40" i="10"/>
  <c r="Q23" i="10"/>
  <c r="Q40" i="10" s="1"/>
  <c r="K9" i="11"/>
  <c r="AC499" i="35"/>
  <c r="AE499" i="35" s="1"/>
  <c r="AH499" i="35" s="1"/>
  <c r="AI499" i="35" s="1"/>
  <c r="AC487" i="35"/>
  <c r="AE487" i="35" s="1"/>
  <c r="AH487" i="35" s="1"/>
  <c r="AC483" i="35"/>
  <c r="AE483" i="35" s="1"/>
  <c r="AH483" i="35" s="1"/>
  <c r="AI483" i="35" s="1"/>
  <c r="AC475" i="35"/>
  <c r="AE475" i="35" s="1"/>
  <c r="AH475" i="35" s="1"/>
  <c r="AI475" i="35" s="1"/>
  <c r="AC467" i="35"/>
  <c r="AE467" i="35" s="1"/>
  <c r="AC466" i="35"/>
  <c r="AE466" i="35" s="1"/>
  <c r="AH466" i="35" s="1"/>
  <c r="AI466" i="35" s="1"/>
  <c r="AC459" i="35"/>
  <c r="AE459" i="35" s="1"/>
  <c r="AH459" i="35" s="1"/>
  <c r="AI459" i="35" s="1"/>
  <c r="AC455" i="35"/>
  <c r="AE455" i="35" s="1"/>
  <c r="AH455" i="35" s="1"/>
  <c r="AI455" i="35" s="1"/>
  <c r="AC443" i="35"/>
  <c r="AE443" i="35" s="1"/>
  <c r="AH443" i="35" s="1"/>
  <c r="AI443" i="35" s="1"/>
  <c r="AC439" i="35"/>
  <c r="AE439" i="35" s="1"/>
  <c r="AH439" i="35" s="1"/>
  <c r="AI439" i="35" s="1"/>
  <c r="AC435" i="35"/>
  <c r="AE435" i="35" s="1"/>
  <c r="AH435" i="35" s="1"/>
  <c r="AI435" i="35" s="1"/>
  <c r="AC423" i="35"/>
  <c r="AE423" i="35" s="1"/>
  <c r="AH423" i="35" s="1"/>
  <c r="AI423" i="35" s="1"/>
  <c r="AC419" i="35"/>
  <c r="AE419" i="35" s="1"/>
  <c r="AH419" i="35" s="1"/>
  <c r="AI419" i="35" s="1"/>
  <c r="AC418" i="35"/>
  <c r="AE418" i="35" s="1"/>
  <c r="AH418" i="35" s="1"/>
  <c r="AI418" i="35" s="1"/>
  <c r="AC407" i="35"/>
  <c r="AE407" i="35" s="1"/>
  <c r="AH407" i="35" s="1"/>
  <c r="AI407" i="35" s="1"/>
  <c r="AC403" i="35"/>
  <c r="AE403" i="35" s="1"/>
  <c r="AH403" i="35" s="1"/>
  <c r="AI403" i="35" s="1"/>
  <c r="AC395" i="35"/>
  <c r="AE395" i="35" s="1"/>
  <c r="AH395" i="35" s="1"/>
  <c r="AI395" i="35" s="1"/>
  <c r="AC391" i="35"/>
  <c r="AE391" i="35" s="1"/>
  <c r="AH391" i="35" s="1"/>
  <c r="AI391" i="35" s="1"/>
  <c r="AC386" i="35"/>
  <c r="AE386" i="35" s="1"/>
  <c r="AH386" i="35" s="1"/>
  <c r="AI386" i="35" s="1"/>
  <c r="AC375" i="35"/>
  <c r="AE375" i="35" s="1"/>
  <c r="AC374" i="35"/>
  <c r="AE374" i="35" s="1"/>
  <c r="AH374" i="35" s="1"/>
  <c r="AC363" i="35"/>
  <c r="AE363" i="35" s="1"/>
  <c r="AH363" i="35" s="1"/>
  <c r="AI363" i="35" s="1"/>
  <c r="AC362" i="35"/>
  <c r="AC358" i="35"/>
  <c r="AE358" i="35" s="1"/>
  <c r="AH358" i="35" s="1"/>
  <c r="AI358" i="35" s="1"/>
  <c r="AC347" i="35"/>
  <c r="AE347" i="35" s="1"/>
  <c r="AH347" i="35" s="1"/>
  <c r="AI347" i="35" s="1"/>
  <c r="AC339" i="35"/>
  <c r="AE339" i="35" s="1"/>
  <c r="AH339" i="35" s="1"/>
  <c r="AI339" i="35" s="1"/>
  <c r="AC338" i="35"/>
  <c r="AE338" i="35" s="1"/>
  <c r="AH338" i="35" s="1"/>
  <c r="AI338" i="35" s="1"/>
  <c r="AC334" i="35"/>
  <c r="AE334" i="35" s="1"/>
  <c r="AH334" i="35" s="1"/>
  <c r="AI334" i="35" s="1"/>
  <c r="AC327" i="35"/>
  <c r="AE327" i="35" s="1"/>
  <c r="AH327" i="35" s="1"/>
  <c r="AI327" i="35" s="1"/>
  <c r="AC322" i="35"/>
  <c r="AE322" i="35" s="1"/>
  <c r="AC315" i="35"/>
  <c r="AE315" i="35" s="1"/>
  <c r="AH315" i="35" s="1"/>
  <c r="AI315" i="35" s="1"/>
  <c r="AC311" i="35"/>
  <c r="AE311" i="35" s="1"/>
  <c r="AH311" i="35" s="1"/>
  <c r="AC306" i="35"/>
  <c r="AE306" i="35" s="1"/>
  <c r="AH306" i="35" s="1"/>
  <c r="AI306" i="35" s="1"/>
  <c r="AC299" i="35"/>
  <c r="AE299" i="35" s="1"/>
  <c r="AH299" i="35" s="1"/>
  <c r="AI299" i="35" s="1"/>
  <c r="AC291" i="35"/>
  <c r="AE291" i="35" s="1"/>
  <c r="AH291" i="35" s="1"/>
  <c r="AI291" i="35" s="1"/>
  <c r="AC275" i="35"/>
  <c r="AE275" i="35" s="1"/>
  <c r="AH275" i="35" s="1"/>
  <c r="AI275" i="35" s="1"/>
  <c r="AC267" i="35"/>
  <c r="AE267" i="35" s="1"/>
  <c r="AC263" i="35"/>
  <c r="AE263" i="35" s="1"/>
  <c r="AH263" i="35" s="1"/>
  <c r="AI263" i="35" s="1"/>
  <c r="AC258" i="35"/>
  <c r="AE258" i="35" s="1"/>
  <c r="AH258" i="35" s="1"/>
  <c r="AI258" i="35" s="1"/>
  <c r="AC251" i="35"/>
  <c r="AE251" i="35" s="1"/>
  <c r="AH251" i="35" s="1"/>
  <c r="AI251" i="35" s="1"/>
  <c r="AC247" i="35"/>
  <c r="AE247" i="35" s="1"/>
  <c r="AH247" i="35" s="1"/>
  <c r="AI247" i="35" s="1"/>
  <c r="AC246" i="35"/>
  <c r="AE246" i="35" s="1"/>
  <c r="AC243" i="35"/>
  <c r="AE243" i="35" s="1"/>
  <c r="AH243" i="35" s="1"/>
  <c r="AC231" i="35"/>
  <c r="AE231" i="35" s="1"/>
  <c r="AH231" i="35" s="1"/>
  <c r="AI231" i="35" s="1"/>
  <c r="AC227" i="35"/>
  <c r="AE227" i="35" s="1"/>
  <c r="AH227" i="35" s="1"/>
  <c r="AI227" i="35" s="1"/>
  <c r="AC219" i="35"/>
  <c r="AE219" i="35" s="1"/>
  <c r="AH219" i="35" s="1"/>
  <c r="AC215" i="35"/>
  <c r="AE215" i="35" s="1"/>
  <c r="AH215" i="35" s="1"/>
  <c r="AI215" i="35" s="1"/>
  <c r="AC203" i="35"/>
  <c r="AE203" i="35" s="1"/>
  <c r="AH203" i="35" s="1"/>
  <c r="AC195" i="35"/>
  <c r="AE195" i="35" s="1"/>
  <c r="AH195" i="35" s="1"/>
  <c r="AC187" i="35"/>
  <c r="AE187" i="35" s="1"/>
  <c r="AH187" i="35" s="1"/>
  <c r="AI187" i="35" s="1"/>
  <c r="AC179" i="35"/>
  <c r="AC178" i="35"/>
  <c r="AE178" i="35" s="1"/>
  <c r="AH178" i="35" s="1"/>
  <c r="AI178" i="35" s="1"/>
  <c r="AC62" i="35"/>
  <c r="AE62" i="35" s="1"/>
  <c r="AH62" i="35" s="1"/>
  <c r="AI62" i="35" s="1"/>
  <c r="AC42" i="35"/>
  <c r="AE42" i="35" s="1"/>
  <c r="AH42" i="35" s="1"/>
  <c r="AI42" i="35" s="1"/>
  <c r="AC18" i="35"/>
  <c r="AE18" i="35" s="1"/>
  <c r="AH18" i="35" s="1"/>
  <c r="J28" i="47"/>
  <c r="J9" i="44"/>
  <c r="J22" i="44" s="1"/>
  <c r="J13" i="45"/>
  <c r="J26" i="45" s="1"/>
  <c r="K49" i="11"/>
  <c r="K11" i="40"/>
  <c r="K23" i="40" s="1"/>
  <c r="K13" i="40"/>
  <c r="K25" i="40" s="1"/>
  <c r="AC453" i="35"/>
  <c r="AE453" i="35" s="1"/>
  <c r="AH453" i="35" s="1"/>
  <c r="AI453" i="35" s="1"/>
  <c r="K16" i="15"/>
  <c r="K31" i="15" s="1"/>
  <c r="K12" i="40"/>
  <c r="K24" i="40" s="1"/>
  <c r="AC462" i="35"/>
  <c r="AC454" i="35"/>
  <c r="AE454" i="35" s="1"/>
  <c r="AH454" i="35" s="1"/>
  <c r="AC438" i="35"/>
  <c r="AE438" i="35" s="1"/>
  <c r="AH438" i="35" s="1"/>
  <c r="AI438" i="35" s="1"/>
  <c r="AC430" i="35"/>
  <c r="AE430" i="35" s="1"/>
  <c r="AH430" i="35" s="1"/>
  <c r="AI430" i="35" s="1"/>
  <c r="AC326" i="35"/>
  <c r="AE326" i="35" s="1"/>
  <c r="AH326" i="35" s="1"/>
  <c r="AI326" i="35" s="1"/>
  <c r="AC230" i="35"/>
  <c r="AE230" i="35" s="1"/>
  <c r="AH230" i="35" s="1"/>
  <c r="AC218" i="35"/>
  <c r="AE218" i="35" s="1"/>
  <c r="AH218" i="35" s="1"/>
  <c r="AC171" i="35"/>
  <c r="AE171" i="35" s="1"/>
  <c r="AH171" i="35" s="1"/>
  <c r="AI171" i="35" s="1"/>
  <c r="AC163" i="35"/>
  <c r="AE163" i="35" s="1"/>
  <c r="AH163" i="35" s="1"/>
  <c r="AI163" i="35" s="1"/>
  <c r="AC151" i="35"/>
  <c r="AE151" i="35" s="1"/>
  <c r="AH151" i="35" s="1"/>
  <c r="AK139" i="35"/>
  <c r="AC131" i="35"/>
  <c r="AE131" i="35" s="1"/>
  <c r="AC123" i="35"/>
  <c r="AE123" i="35" s="1"/>
  <c r="AH123" i="35" s="1"/>
  <c r="AC119" i="35"/>
  <c r="AE119" i="35" s="1"/>
  <c r="AH119" i="35" s="1"/>
  <c r="AC103" i="35"/>
  <c r="AE103" i="35" s="1"/>
  <c r="AH103" i="35" s="1"/>
  <c r="AI103" i="35" s="1"/>
  <c r="AC91" i="35"/>
  <c r="AE91" i="35" s="1"/>
  <c r="AH91" i="35" s="1"/>
  <c r="AC83" i="35"/>
  <c r="AE83" i="35" s="1"/>
  <c r="AH83" i="35" s="1"/>
  <c r="AI83" i="35" s="1"/>
  <c r="AC75" i="35"/>
  <c r="AE75" i="35" s="1"/>
  <c r="AH75" i="35" s="1"/>
  <c r="AI75" i="35" s="1"/>
  <c r="AK71" i="35"/>
  <c r="AC67" i="35"/>
  <c r="AE67" i="35" s="1"/>
  <c r="AH67" i="35" s="1"/>
  <c r="AI67" i="35" s="1"/>
  <c r="AC59" i="35"/>
  <c r="AE59" i="35" s="1"/>
  <c r="AH59" i="35" s="1"/>
  <c r="AI59" i="35" s="1"/>
  <c r="AC55" i="35"/>
  <c r="AE55" i="35" s="1"/>
  <c r="AH55" i="35" s="1"/>
  <c r="AI55" i="35" s="1"/>
  <c r="AC43" i="35"/>
  <c r="AE43" i="35" s="1"/>
  <c r="AH43" i="35" s="1"/>
  <c r="AI43" i="35" s="1"/>
  <c r="AC39" i="35"/>
  <c r="AE39" i="35" s="1"/>
  <c r="AH39" i="35" s="1"/>
  <c r="AI39" i="35" s="1"/>
  <c r="AC27" i="35"/>
  <c r="AE27" i="35" s="1"/>
  <c r="AH27" i="35" s="1"/>
  <c r="AI27" i="35" s="1"/>
  <c r="AC23" i="35"/>
  <c r="AE23" i="35" s="1"/>
  <c r="AH23" i="35" s="1"/>
  <c r="AI23" i="35" s="1"/>
  <c r="AC19" i="35"/>
  <c r="AE19" i="35" s="1"/>
  <c r="AH19" i="35" s="1"/>
  <c r="AI19" i="35" s="1"/>
  <c r="J25" i="47"/>
  <c r="J23" i="47"/>
  <c r="J17" i="47"/>
  <c r="J10" i="44"/>
  <c r="J23" i="44" s="1"/>
  <c r="J10" i="45"/>
  <c r="J23" i="45" s="1"/>
  <c r="S81" i="48"/>
  <c r="W81" i="48" s="1"/>
  <c r="K11" i="6"/>
  <c r="K23" i="6" s="1"/>
  <c r="K9" i="6"/>
  <c r="K21" i="6" s="1"/>
  <c r="K11" i="5"/>
  <c r="K9" i="5"/>
  <c r="K90" i="5" s="1"/>
  <c r="K12" i="7"/>
  <c r="K24" i="7" s="1"/>
  <c r="AE497" i="35"/>
  <c r="AH497" i="35" s="1"/>
  <c r="AI497" i="35" s="1"/>
  <c r="AE81" i="35"/>
  <c r="AH81" i="35" s="1"/>
  <c r="AI81" i="35" s="1"/>
  <c r="AD109" i="16"/>
  <c r="AK67" i="35"/>
  <c r="O19" i="16"/>
  <c r="S19" i="16" s="1"/>
  <c r="T19" i="16" s="1"/>
  <c r="AE19" i="16" s="1"/>
  <c r="J94" i="48"/>
  <c r="L94" i="48" s="1"/>
  <c r="AE8" i="35"/>
  <c r="AH8" i="35" s="1"/>
  <c r="AI8" i="35" s="1"/>
  <c r="AC139" i="35"/>
  <c r="AE139" i="35" s="1"/>
  <c r="AH139" i="35" s="1"/>
  <c r="AD18" i="16"/>
  <c r="AD16" i="16"/>
  <c r="K11" i="13"/>
  <c r="K23" i="13" s="1"/>
  <c r="AD104" i="16"/>
  <c r="I69" i="48"/>
  <c r="I70" i="48" s="1"/>
  <c r="J70" i="48" s="1"/>
  <c r="L70" i="48" s="1"/>
  <c r="AE241" i="35"/>
  <c r="AH241" i="35" s="1"/>
  <c r="AE257" i="35"/>
  <c r="AH257" i="35" s="1"/>
  <c r="AI257" i="35" s="1"/>
  <c r="AE65" i="35"/>
  <c r="AH65" i="35" s="1"/>
  <c r="AI65" i="35" s="1"/>
  <c r="AE253" i="35"/>
  <c r="AH253" i="35" s="1"/>
  <c r="AD32" i="16"/>
  <c r="AK483" i="35"/>
  <c r="AK419" i="35"/>
  <c r="AK355" i="35"/>
  <c r="AK323" i="35"/>
  <c r="AK307" i="35"/>
  <c r="AK299" i="35"/>
  <c r="AK275" i="35"/>
  <c r="AK259" i="35"/>
  <c r="AK243" i="35"/>
  <c r="AK227" i="35"/>
  <c r="AK211" i="35"/>
  <c r="AK199" i="35"/>
  <c r="AK179" i="35"/>
  <c r="AK131" i="35"/>
  <c r="AK99" i="35"/>
  <c r="AK95" i="35"/>
  <c r="AK35" i="35"/>
  <c r="AK19" i="35"/>
  <c r="AC490" i="35"/>
  <c r="AE490" i="35" s="1"/>
  <c r="AH490" i="35" s="1"/>
  <c r="AI490" i="35" s="1"/>
  <c r="AC486" i="35"/>
  <c r="AE486" i="35" s="1"/>
  <c r="AH486" i="35" s="1"/>
  <c r="AI486" i="35" s="1"/>
  <c r="AC485" i="35"/>
  <c r="AE485" i="35" s="1"/>
  <c r="AH485" i="35" s="1"/>
  <c r="AI485" i="35" s="1"/>
  <c r="AC482" i="35"/>
  <c r="AE482" i="35" s="1"/>
  <c r="AH482" i="35" s="1"/>
  <c r="AI482" i="35" s="1"/>
  <c r="AC478" i="35"/>
  <c r="AE478" i="35" s="1"/>
  <c r="AH478" i="35" s="1"/>
  <c r="AI478" i="35" s="1"/>
  <c r="AC458" i="35"/>
  <c r="AE458" i="35" s="1"/>
  <c r="AH458" i="35" s="1"/>
  <c r="AI458" i="35" s="1"/>
  <c r="AC450" i="35"/>
  <c r="AE450" i="35" s="1"/>
  <c r="AC446" i="35"/>
  <c r="AE446" i="35" s="1"/>
  <c r="AH446" i="35" s="1"/>
  <c r="AI446" i="35" s="1"/>
  <c r="AC442" i="35"/>
  <c r="AE442" i="35" s="1"/>
  <c r="AH442" i="35" s="1"/>
  <c r="AI442" i="35" s="1"/>
  <c r="AC426" i="35"/>
  <c r="AE426" i="35" s="1"/>
  <c r="AH426" i="35" s="1"/>
  <c r="AI426" i="35" s="1"/>
  <c r="AC393" i="35"/>
  <c r="AE393" i="35" s="1"/>
  <c r="AH393" i="35" s="1"/>
  <c r="AI393" i="35" s="1"/>
  <c r="AC382" i="35"/>
  <c r="AE382" i="35" s="1"/>
  <c r="AH382" i="35" s="1"/>
  <c r="AI382" i="35" s="1"/>
  <c r="AC294" i="35"/>
  <c r="AE294" i="35" s="1"/>
  <c r="AH294" i="35" s="1"/>
  <c r="AC222" i="35"/>
  <c r="AE222" i="35" s="1"/>
  <c r="AH222" i="35" s="1"/>
  <c r="AI222" i="35" s="1"/>
  <c r="AC381" i="35"/>
  <c r="AC473" i="35"/>
  <c r="AE473" i="35" s="1"/>
  <c r="AH473" i="35" s="1"/>
  <c r="AI473" i="35" s="1"/>
  <c r="AC429" i="35"/>
  <c r="AE429" i="35" s="1"/>
  <c r="AH429" i="35" s="1"/>
  <c r="AI429" i="35" s="1"/>
  <c r="AC202" i="35"/>
  <c r="AE202" i="35" s="1"/>
  <c r="AH202" i="35" s="1"/>
  <c r="AC194" i="35"/>
  <c r="AE194" i="35" s="1"/>
  <c r="AH194" i="35" s="1"/>
  <c r="AI194" i="35" s="1"/>
  <c r="AC174" i="35"/>
  <c r="AE174" i="35" s="1"/>
  <c r="AH174" i="35" s="1"/>
  <c r="AC166" i="35"/>
  <c r="AE166" i="35" s="1"/>
  <c r="AC38" i="35"/>
  <c r="AE38" i="35" s="1"/>
  <c r="AH38" i="35" s="1"/>
  <c r="AD102" i="16"/>
  <c r="AD106" i="16"/>
  <c r="AL18" i="16"/>
  <c r="AN18" i="16" s="1"/>
  <c r="AC417" i="35"/>
  <c r="AE417" i="35" s="1"/>
  <c r="AK170" i="35"/>
  <c r="AK106" i="35"/>
  <c r="AD25" i="16"/>
  <c r="AD72" i="16"/>
  <c r="AD68" i="16"/>
  <c r="K9" i="13"/>
  <c r="K21" i="13" s="1"/>
  <c r="AE496" i="35"/>
  <c r="AH496" i="35" s="1"/>
  <c r="AI496" i="35" s="1"/>
  <c r="AC170" i="35"/>
  <c r="AE170" i="35" s="1"/>
  <c r="AH170" i="35" s="1"/>
  <c r="AC33" i="35"/>
  <c r="AE33" i="35" s="1"/>
  <c r="AH33" i="35" s="1"/>
  <c r="AI33" i="35" s="1"/>
  <c r="J24" i="47"/>
  <c r="J22" i="47"/>
  <c r="J20" i="47"/>
  <c r="J18" i="47"/>
  <c r="J16" i="47"/>
  <c r="K13" i="13"/>
  <c r="K25" i="13" s="1"/>
  <c r="AK410" i="35"/>
  <c r="AK282" i="35"/>
  <c r="AK266" i="35"/>
  <c r="AK250" i="35"/>
  <c r="AK234" i="35"/>
  <c r="AK202" i="35"/>
  <c r="AK186" i="35"/>
  <c r="AK154" i="35"/>
  <c r="AK146" i="35"/>
  <c r="AK122" i="35"/>
  <c r="AK82" i="35"/>
  <c r="AK74" i="35"/>
  <c r="AK66" i="35"/>
  <c r="AC372" i="35"/>
  <c r="AE372" i="35" s="1"/>
  <c r="AH372" i="35" s="1"/>
  <c r="AI372" i="35" s="1"/>
  <c r="AC340" i="35"/>
  <c r="AE340" i="35" s="1"/>
  <c r="AH340" i="35" s="1"/>
  <c r="AI340" i="35" s="1"/>
  <c r="J14" i="47"/>
  <c r="J12" i="47"/>
  <c r="J10" i="47"/>
  <c r="K23" i="11"/>
  <c r="M38" i="10"/>
  <c r="Q35" i="10"/>
  <c r="O83" i="16"/>
  <c r="S83" i="16" s="1"/>
  <c r="T83" i="16" s="1"/>
  <c r="AE83" i="16" s="1"/>
  <c r="AC276" i="35"/>
  <c r="M39" i="10"/>
  <c r="M40" i="10"/>
  <c r="J8" i="47"/>
  <c r="J27" i="47"/>
  <c r="O89" i="16"/>
  <c r="S89" i="16" s="1"/>
  <c r="T89" i="16" s="1"/>
  <c r="AE89" i="16" s="1"/>
  <c r="N441" i="35"/>
  <c r="R441" i="35" s="1"/>
  <c r="N433" i="35"/>
  <c r="R433" i="35" s="1"/>
  <c r="N421" i="35"/>
  <c r="R421" i="35" s="1"/>
  <c r="N387" i="35"/>
  <c r="R387" i="35" s="1"/>
  <c r="N241" i="35"/>
  <c r="R241" i="35" s="1"/>
  <c r="K10" i="15"/>
  <c r="K25" i="15" s="1"/>
  <c r="I547" i="11"/>
  <c r="O25" i="16"/>
  <c r="S25" i="16" s="1"/>
  <c r="T25" i="16" s="1"/>
  <c r="AE25" i="16" s="1"/>
  <c r="AK433" i="35"/>
  <c r="AD12" i="16"/>
  <c r="AD7" i="16"/>
  <c r="AF7" i="16" s="1"/>
  <c r="K47" i="11"/>
  <c r="N380" i="35"/>
  <c r="R380" i="35" s="1"/>
  <c r="N372" i="35"/>
  <c r="R372" i="35" s="1"/>
  <c r="K8" i="40"/>
  <c r="K20" i="40" s="1"/>
  <c r="AD85" i="16"/>
  <c r="AD42" i="16"/>
  <c r="AD6" i="16"/>
  <c r="N362" i="35"/>
  <c r="R362" i="35" s="1"/>
  <c r="N282" i="35"/>
  <c r="R282" i="35" s="1"/>
  <c r="AD98" i="16"/>
  <c r="AD66" i="16"/>
  <c r="Q41" i="10"/>
  <c r="AC401" i="35"/>
  <c r="AE401" i="35" s="1"/>
  <c r="AH401" i="35" s="1"/>
  <c r="N189" i="35"/>
  <c r="R189" i="35" s="1"/>
  <c r="J26" i="47"/>
  <c r="K11" i="39"/>
  <c r="K394" i="39" s="1"/>
  <c r="I21" i="13"/>
  <c r="M41" i="10"/>
  <c r="M36" i="10"/>
  <c r="O50" i="16"/>
  <c r="S50" i="16" s="1"/>
  <c r="T50" i="16" s="1"/>
  <c r="AE50" i="16" s="1"/>
  <c r="AD116" i="16"/>
  <c r="AD112" i="16"/>
  <c r="AL3" i="16"/>
  <c r="AL2" i="16"/>
  <c r="AN2" i="16" s="1"/>
  <c r="M30" i="10"/>
  <c r="N420" i="35"/>
  <c r="R420" i="35" s="1"/>
  <c r="N290" i="35"/>
  <c r="R290" i="35" s="1"/>
  <c r="N140" i="35"/>
  <c r="R140" i="35" s="1"/>
  <c r="N32" i="35"/>
  <c r="R32" i="35" s="1"/>
  <c r="AC196" i="35"/>
  <c r="AE196" i="35" s="1"/>
  <c r="AH196" i="35" s="1"/>
  <c r="AC180" i="35"/>
  <c r="AE180" i="35" s="1"/>
  <c r="AH180" i="35" s="1"/>
  <c r="AC164" i="35"/>
  <c r="AE164" i="35" s="1"/>
  <c r="AH164" i="35" s="1"/>
  <c r="AI164" i="35" s="1"/>
  <c r="AC132" i="35"/>
  <c r="AE132" i="35" s="1"/>
  <c r="AH132" i="35" s="1"/>
  <c r="AI132" i="35" s="1"/>
  <c r="AC116" i="35"/>
  <c r="AE116" i="35" s="1"/>
  <c r="AH116" i="35" s="1"/>
  <c r="AI116" i="35" s="1"/>
  <c r="AC52" i="35"/>
  <c r="AE52" i="35" s="1"/>
  <c r="AH52" i="35" s="1"/>
  <c r="AI52" i="35" s="1"/>
  <c r="AC36" i="35"/>
  <c r="AE36" i="35" s="1"/>
  <c r="AH36" i="35" s="1"/>
  <c r="AL92" i="16"/>
  <c r="AN92" i="16" s="1"/>
  <c r="AL48" i="16"/>
  <c r="AN48" i="16" s="1"/>
  <c r="AE427" i="35"/>
  <c r="AH427" i="35" s="1"/>
  <c r="AI427" i="35" s="1"/>
  <c r="AE3" i="35"/>
  <c r="AH3" i="35" s="1"/>
  <c r="AE491" i="35"/>
  <c r="AH491" i="35" s="1"/>
  <c r="AI491" i="35" s="1"/>
  <c r="AE288" i="35"/>
  <c r="AH288" i="35" s="1"/>
  <c r="AI288" i="35" s="1"/>
  <c r="AE331" i="35"/>
  <c r="AH331" i="35" s="1"/>
  <c r="AI331" i="35" s="1"/>
  <c r="AE408" i="35"/>
  <c r="AH408" i="35" s="1"/>
  <c r="AI408" i="35" s="1"/>
  <c r="AE384" i="35"/>
  <c r="AH384" i="35" s="1"/>
  <c r="R25" i="35"/>
  <c r="AE283" i="35"/>
  <c r="AH283" i="35" s="1"/>
  <c r="AI283" i="35" s="1"/>
  <c r="AE92" i="35"/>
  <c r="AH92" i="35" s="1"/>
  <c r="AI92" i="35" s="1"/>
  <c r="AE396" i="35"/>
  <c r="AH396" i="35" s="1"/>
  <c r="AI396" i="35" s="1"/>
  <c r="AE200" i="35"/>
  <c r="AH200" i="35" s="1"/>
  <c r="AI200" i="35" s="1"/>
  <c r="AE232" i="35"/>
  <c r="AH232" i="35" s="1"/>
  <c r="AI232" i="35" s="1"/>
  <c r="Q12" i="49"/>
  <c r="H12" i="49"/>
  <c r="J12" i="49" s="1"/>
  <c r="Q13" i="49"/>
  <c r="AE140" i="35"/>
  <c r="AH140" i="35" s="1"/>
  <c r="AI140" i="35" s="1"/>
  <c r="AE44" i="35"/>
  <c r="AH44" i="35" s="1"/>
  <c r="AI44" i="35" s="1"/>
  <c r="AE177" i="35"/>
  <c r="AH177" i="35" s="1"/>
  <c r="AI177" i="35" s="1"/>
  <c r="AE199" i="35"/>
  <c r="AH199" i="35" s="1"/>
  <c r="AI199" i="35" s="1"/>
  <c r="AE471" i="35"/>
  <c r="AH471" i="35" s="1"/>
  <c r="AI471" i="35" s="1"/>
  <c r="AE449" i="35"/>
  <c r="AH449" i="35" s="1"/>
  <c r="AI449" i="35" s="1"/>
  <c r="R8" i="35"/>
  <c r="AE129" i="35"/>
  <c r="AH129" i="35" s="1"/>
  <c r="AI129" i="35" s="1"/>
  <c r="AE113" i="35"/>
  <c r="AH113" i="35" s="1"/>
  <c r="AI113" i="35" s="1"/>
  <c r="AE465" i="35"/>
  <c r="AH465" i="35" s="1"/>
  <c r="AE295" i="35"/>
  <c r="AH295" i="35" s="1"/>
  <c r="AI295" i="35" s="1"/>
  <c r="AE17" i="35"/>
  <c r="AH17" i="35" s="1"/>
  <c r="AI17" i="35" s="1"/>
  <c r="AE11" i="35"/>
  <c r="AH11" i="35" s="1"/>
  <c r="AI11" i="35" s="1"/>
  <c r="AE97" i="35"/>
  <c r="AH97" i="35" s="1"/>
  <c r="AI97" i="35" s="1"/>
  <c r="AE135" i="35"/>
  <c r="AH135" i="35" s="1"/>
  <c r="AE481" i="35"/>
  <c r="AH481" i="35" s="1"/>
  <c r="AE390" i="35"/>
  <c r="AH390" i="35" s="1"/>
  <c r="AE470" i="35"/>
  <c r="AH470" i="35" s="1"/>
  <c r="AI470" i="35" s="1"/>
  <c r="AE220" i="35"/>
  <c r="AH220" i="35" s="1"/>
  <c r="AI220" i="35" s="1"/>
  <c r="AE332" i="35"/>
  <c r="AH332" i="35" s="1"/>
  <c r="AE209" i="35"/>
  <c r="AH209" i="35" s="1"/>
  <c r="AE433" i="35"/>
  <c r="AH433" i="35" s="1"/>
  <c r="AI433" i="35" s="1"/>
  <c r="AE385" i="35"/>
  <c r="AH385" i="35" s="1"/>
  <c r="AE476" i="35"/>
  <c r="AH476" i="35" s="1"/>
  <c r="AI476" i="35" s="1"/>
  <c r="AE225" i="35"/>
  <c r="AH225" i="35" s="1"/>
  <c r="AE492" i="35"/>
  <c r="AH492" i="35" s="1"/>
  <c r="AI492" i="35" s="1"/>
  <c r="AE337" i="35"/>
  <c r="AH337" i="35" s="1"/>
  <c r="AI337" i="35" s="1"/>
  <c r="AE193" i="35"/>
  <c r="AH193" i="35" s="1"/>
  <c r="AI193" i="35" s="1"/>
  <c r="N27" i="20"/>
  <c r="O27" i="20" s="1"/>
  <c r="C27" i="20"/>
  <c r="O119" i="27"/>
  <c r="C135" i="27"/>
  <c r="G406" i="39"/>
  <c r="G403" i="39"/>
  <c r="I391" i="39"/>
  <c r="O121" i="27"/>
  <c r="H135" i="27"/>
  <c r="L135" i="27"/>
  <c r="O129" i="27"/>
  <c r="K396" i="39"/>
  <c r="I410" i="39"/>
  <c r="K406" i="39"/>
  <c r="E135" i="27"/>
  <c r="O127" i="27"/>
  <c r="O128" i="27"/>
  <c r="K15" i="39"/>
  <c r="K398" i="39" s="1"/>
  <c r="G410" i="39"/>
  <c r="G405" i="39"/>
  <c r="N135" i="27"/>
  <c r="O125" i="27"/>
  <c r="J135" i="27"/>
  <c r="I567" i="11"/>
  <c r="G565" i="11"/>
  <c r="G567" i="11"/>
  <c r="C49" i="27"/>
  <c r="I558" i="11"/>
  <c r="AE160" i="35"/>
  <c r="AH160" i="35" s="1"/>
  <c r="AI160" i="35" s="1"/>
  <c r="N265" i="35"/>
  <c r="R265" i="35" s="1"/>
  <c r="N245" i="35"/>
  <c r="R245" i="35" s="1"/>
  <c r="N229" i="35"/>
  <c r="R229" i="35" s="1"/>
  <c r="N181" i="35"/>
  <c r="R181" i="35" s="1"/>
  <c r="N165" i="35"/>
  <c r="R165" i="35" s="1"/>
  <c r="N133" i="35"/>
  <c r="R133" i="35" s="1"/>
  <c r="N7" i="35"/>
  <c r="R7" i="35" s="1"/>
  <c r="AE320" i="35"/>
  <c r="AH320" i="35" s="1"/>
  <c r="AI320" i="35" s="1"/>
  <c r="N99" i="35"/>
  <c r="R99" i="35" s="1"/>
  <c r="N147" i="35"/>
  <c r="R147" i="35" s="1"/>
  <c r="N131" i="35"/>
  <c r="R131" i="35" s="1"/>
  <c r="N84" i="35"/>
  <c r="R84" i="35" s="1"/>
  <c r="N5" i="35"/>
  <c r="R5" i="35" s="1"/>
  <c r="AE368" i="35"/>
  <c r="AH368" i="35" s="1"/>
  <c r="AI368" i="35" s="1"/>
  <c r="N179" i="35"/>
  <c r="R179" i="35" s="1"/>
  <c r="N193" i="35"/>
  <c r="R193" i="35" s="1"/>
  <c r="N177" i="35"/>
  <c r="R177" i="35" s="1"/>
  <c r="N161" i="35"/>
  <c r="R161" i="35" s="1"/>
  <c r="N145" i="35"/>
  <c r="R145" i="35" s="1"/>
  <c r="N114" i="35"/>
  <c r="R114" i="35" s="1"/>
  <c r="N98" i="35"/>
  <c r="R98" i="35" s="1"/>
  <c r="N82" i="35"/>
  <c r="R82" i="35" s="1"/>
  <c r="N66" i="35"/>
  <c r="R66" i="35" s="1"/>
  <c r="N50" i="35"/>
  <c r="R50" i="35" s="1"/>
  <c r="N34" i="35"/>
  <c r="R34" i="35" s="1"/>
  <c r="N18" i="35"/>
  <c r="R18" i="35" s="1"/>
  <c r="N3" i="35"/>
  <c r="R3" i="35" s="1"/>
  <c r="K97" i="27"/>
  <c r="AE304" i="35"/>
  <c r="AH304" i="35" s="1"/>
  <c r="AI304" i="35" s="1"/>
  <c r="N191" i="35"/>
  <c r="R191" i="35" s="1"/>
  <c r="N143" i="35"/>
  <c r="R143" i="35" s="1"/>
  <c r="N96" i="35"/>
  <c r="R96" i="35" s="1"/>
  <c r="L97" i="27"/>
  <c r="O95" i="27"/>
  <c r="N253" i="35"/>
  <c r="R253" i="35" s="1"/>
  <c r="N221" i="35"/>
  <c r="R221" i="35" s="1"/>
  <c r="N173" i="35"/>
  <c r="R173" i="35" s="1"/>
  <c r="N157" i="35"/>
  <c r="R157" i="35" s="1"/>
  <c r="N141" i="35"/>
  <c r="R141" i="35" s="1"/>
  <c r="AE448" i="35"/>
  <c r="AH448" i="35" s="1"/>
  <c r="AI448" i="35" s="1"/>
  <c r="AE352" i="35"/>
  <c r="AH352" i="35" s="1"/>
  <c r="AI352" i="35" s="1"/>
  <c r="N235" i="35"/>
  <c r="R235" i="35" s="1"/>
  <c r="N187" i="35"/>
  <c r="R187" i="35" s="1"/>
  <c r="N171" i="35"/>
  <c r="R171" i="35" s="1"/>
  <c r="N155" i="35"/>
  <c r="R155" i="35" s="1"/>
  <c r="N139" i="35"/>
  <c r="R139" i="35" s="1"/>
  <c r="N76" i="35"/>
  <c r="R76" i="35" s="1"/>
  <c r="AE400" i="35"/>
  <c r="AH400" i="35" s="1"/>
  <c r="AI400" i="35" s="1"/>
  <c r="N233" i="35"/>
  <c r="R233" i="35" s="1"/>
  <c r="N169" i="35"/>
  <c r="R169" i="35" s="1"/>
  <c r="N137" i="35"/>
  <c r="R137" i="35" s="1"/>
  <c r="N122" i="35"/>
  <c r="R122" i="35" s="1"/>
  <c r="N106" i="35"/>
  <c r="R106" i="35" s="1"/>
  <c r="N90" i="35"/>
  <c r="R90" i="35" s="1"/>
  <c r="N250" i="35"/>
  <c r="R250" i="35" s="1"/>
  <c r="AE48" i="35"/>
  <c r="AH48" i="35" s="1"/>
  <c r="AI48" i="35" s="1"/>
  <c r="N167" i="35"/>
  <c r="R167" i="35" s="1"/>
  <c r="AK398" i="35"/>
  <c r="AK334" i="35"/>
  <c r="AK318" i="35"/>
  <c r="AK182" i="35"/>
  <c r="AK158" i="35"/>
  <c r="AK94" i="35"/>
  <c r="AK30" i="35"/>
  <c r="H97" i="27"/>
  <c r="AK427" i="35"/>
  <c r="AK331" i="35"/>
  <c r="AK267" i="35"/>
  <c r="AK235" i="35"/>
  <c r="O91" i="27"/>
  <c r="AE2" i="35"/>
  <c r="AH2" i="35" s="1"/>
  <c r="AI2" i="35" s="1"/>
  <c r="N404" i="35"/>
  <c r="R404" i="35" s="1"/>
  <c r="N352" i="35"/>
  <c r="R352" i="35" s="1"/>
  <c r="N276" i="35"/>
  <c r="R276" i="35" s="1"/>
  <c r="N129" i="35"/>
  <c r="R129" i="35" s="1"/>
  <c r="N125" i="35"/>
  <c r="R125" i="35" s="1"/>
  <c r="N117" i="35"/>
  <c r="R117" i="35" s="1"/>
  <c r="N113" i="35"/>
  <c r="R113" i="35" s="1"/>
  <c r="N105" i="35"/>
  <c r="R105" i="35" s="1"/>
  <c r="N97" i="35"/>
  <c r="R97" i="35" s="1"/>
  <c r="N89" i="35"/>
  <c r="R89" i="35" s="1"/>
  <c r="N85" i="35"/>
  <c r="R85" i="35" s="1"/>
  <c r="N81" i="35"/>
  <c r="R81" i="35" s="1"/>
  <c r="N77" i="35"/>
  <c r="R77" i="35" s="1"/>
  <c r="N69" i="35"/>
  <c r="R69" i="35" s="1"/>
  <c r="N65" i="35"/>
  <c r="R65" i="35" s="1"/>
  <c r="N322" i="35"/>
  <c r="R322" i="35" s="1"/>
  <c r="N274" i="35"/>
  <c r="R274" i="35" s="1"/>
  <c r="N266" i="35"/>
  <c r="R266" i="35" s="1"/>
  <c r="N254" i="35"/>
  <c r="R254" i="35" s="1"/>
  <c r="N202" i="35"/>
  <c r="R202" i="35" s="1"/>
  <c r="N194" i="35"/>
  <c r="R194" i="35" s="1"/>
  <c r="N186" i="35"/>
  <c r="R186" i="35" s="1"/>
  <c r="N178" i="35"/>
  <c r="R178" i="35" s="1"/>
  <c r="N170" i="35"/>
  <c r="R170" i="35" s="1"/>
  <c r="N162" i="35"/>
  <c r="R162" i="35" s="1"/>
  <c r="N154" i="35"/>
  <c r="R154" i="35" s="1"/>
  <c r="N138" i="35"/>
  <c r="R138" i="35" s="1"/>
  <c r="N119" i="35"/>
  <c r="R119" i="35" s="1"/>
  <c r="N107" i="35"/>
  <c r="R107" i="35" s="1"/>
  <c r="N103" i="35"/>
  <c r="R103" i="35" s="1"/>
  <c r="N83" i="35"/>
  <c r="R83" i="35" s="1"/>
  <c r="N79" i="35"/>
  <c r="R79" i="35" s="1"/>
  <c r="N75" i="35"/>
  <c r="R75" i="35" s="1"/>
  <c r="N71" i="35"/>
  <c r="R71" i="35" s="1"/>
  <c r="N67" i="35"/>
  <c r="R67" i="35" s="1"/>
  <c r="O40" i="3"/>
  <c r="K39" i="3" s="1"/>
  <c r="J9" i="30"/>
  <c r="AE245" i="35"/>
  <c r="AH245" i="35" s="1"/>
  <c r="AI245" i="35" s="1"/>
  <c r="J14" i="45"/>
  <c r="J27" i="45" s="1"/>
  <c r="G31" i="45"/>
  <c r="G42" i="15"/>
  <c r="G37" i="15"/>
  <c r="C154" i="27"/>
  <c r="O142" i="27"/>
  <c r="K34" i="15"/>
  <c r="I37" i="15"/>
  <c r="G41" i="15"/>
  <c r="F154" i="27"/>
  <c r="I28" i="15"/>
  <c r="I42" i="15"/>
  <c r="G38" i="15"/>
  <c r="I33" i="15"/>
  <c r="K41" i="15"/>
  <c r="I38" i="15"/>
  <c r="O139" i="27"/>
  <c r="O140" i="27"/>
  <c r="I29" i="15"/>
  <c r="I27" i="15"/>
  <c r="I25" i="15"/>
  <c r="K14" i="15"/>
  <c r="K29" i="15" s="1"/>
  <c r="G42" i="40"/>
  <c r="I15" i="40"/>
  <c r="G30" i="13"/>
  <c r="I22" i="13"/>
  <c r="K38" i="13"/>
  <c r="I36" i="13"/>
  <c r="I25" i="13"/>
  <c r="I38" i="13"/>
  <c r="K32" i="13"/>
  <c r="I32" i="13"/>
  <c r="O120" i="27"/>
  <c r="I396" i="39"/>
  <c r="K408" i="39"/>
  <c r="F135" i="27"/>
  <c r="G402" i="39"/>
  <c r="I402" i="39"/>
  <c r="G409" i="39"/>
  <c r="I393" i="39"/>
  <c r="J45" i="47"/>
  <c r="J43" i="47"/>
  <c r="J52" i="47"/>
  <c r="G45" i="47"/>
  <c r="G36" i="47"/>
  <c r="J50" i="47"/>
  <c r="G35" i="47"/>
  <c r="J49" i="47"/>
  <c r="G55" i="47"/>
  <c r="J54" i="47"/>
  <c r="G39" i="47"/>
  <c r="J53" i="47"/>
  <c r="E43" i="27"/>
  <c r="H43" i="27"/>
  <c r="K43" i="27"/>
  <c r="D44" i="27"/>
  <c r="H44" i="27"/>
  <c r="L44" i="27"/>
  <c r="E45" i="27"/>
  <c r="I45" i="27"/>
  <c r="M45" i="27"/>
  <c r="F46" i="27"/>
  <c r="J46" i="27"/>
  <c r="N46" i="27"/>
  <c r="G47" i="27"/>
  <c r="K47" i="27"/>
  <c r="N47" i="27"/>
  <c r="G48" i="27"/>
  <c r="K48" i="27"/>
  <c r="D49" i="27"/>
  <c r="H49" i="27"/>
  <c r="L49" i="27"/>
  <c r="E50" i="27"/>
  <c r="I50" i="27"/>
  <c r="M50" i="27"/>
  <c r="E51" i="27"/>
  <c r="I51" i="27"/>
  <c r="D52" i="27"/>
  <c r="H52" i="27"/>
  <c r="L52" i="27"/>
  <c r="D53" i="27"/>
  <c r="H53" i="27"/>
  <c r="L53" i="27"/>
  <c r="C54" i="27"/>
  <c r="G54" i="27"/>
  <c r="K54" i="27"/>
  <c r="C55" i="27"/>
  <c r="G55" i="27"/>
  <c r="K55" i="27"/>
  <c r="N55" i="27"/>
  <c r="F56" i="27"/>
  <c r="J56" i="27"/>
  <c r="N56" i="27"/>
  <c r="F57" i="27"/>
  <c r="J57" i="27"/>
  <c r="M57" i="27"/>
  <c r="E58" i="27"/>
  <c r="I58" i="27"/>
  <c r="M58" i="27"/>
  <c r="C46" i="27"/>
  <c r="C50" i="27"/>
  <c r="F43" i="27"/>
  <c r="L43" i="27"/>
  <c r="E44" i="27"/>
  <c r="I44" i="27"/>
  <c r="M44" i="27"/>
  <c r="F45" i="27"/>
  <c r="J45" i="27"/>
  <c r="N45" i="27"/>
  <c r="G46" i="27"/>
  <c r="K46" i="27"/>
  <c r="D47" i="27"/>
  <c r="H47" i="27"/>
  <c r="L47" i="27"/>
  <c r="D48" i="27"/>
  <c r="H48" i="27"/>
  <c r="L48" i="27"/>
  <c r="E49" i="27"/>
  <c r="I49" i="27"/>
  <c r="M49" i="27"/>
  <c r="F50" i="27"/>
  <c r="J50" i="27"/>
  <c r="N50" i="27"/>
  <c r="F51" i="27"/>
  <c r="J51" i="27"/>
  <c r="M51" i="27"/>
  <c r="E52" i="27"/>
  <c r="I52" i="27"/>
  <c r="M52" i="27"/>
  <c r="E53" i="27"/>
  <c r="I53" i="27"/>
  <c r="D54" i="27"/>
  <c r="H54" i="27"/>
  <c r="L54" i="27"/>
  <c r="D55" i="27"/>
  <c r="H55" i="27"/>
  <c r="L55" i="27"/>
  <c r="C56" i="27"/>
  <c r="G56" i="27"/>
  <c r="K56" i="27"/>
  <c r="C57" i="27"/>
  <c r="G57" i="27"/>
  <c r="K57" i="27"/>
  <c r="N57" i="27"/>
  <c r="F58" i="27"/>
  <c r="J58" i="27"/>
  <c r="N58" i="27"/>
  <c r="C47" i="27"/>
  <c r="C43" i="27"/>
  <c r="G43" i="27"/>
  <c r="I43" i="27"/>
  <c r="M43" i="27"/>
  <c r="F44" i="27"/>
  <c r="J44" i="27"/>
  <c r="N44" i="27"/>
  <c r="G45" i="27"/>
  <c r="K45" i="27"/>
  <c r="D46" i="27"/>
  <c r="H46" i="27"/>
  <c r="L46" i="27"/>
  <c r="E47" i="27"/>
  <c r="I47" i="27"/>
  <c r="E48" i="27"/>
  <c r="I48" i="27"/>
  <c r="M48" i="27"/>
  <c r="F49" i="27"/>
  <c r="J49" i="27"/>
  <c r="N49" i="27"/>
  <c r="G50" i="27"/>
  <c r="K50" i="27"/>
  <c r="C51" i="27"/>
  <c r="G51" i="27"/>
  <c r="K51" i="27"/>
  <c r="N51" i="27"/>
  <c r="F52" i="27"/>
  <c r="J52" i="27"/>
  <c r="N52" i="27"/>
  <c r="F53" i="27"/>
  <c r="J53" i="27"/>
  <c r="M53" i="27"/>
  <c r="E54" i="27"/>
  <c r="I54" i="27"/>
  <c r="M54" i="27"/>
  <c r="E55" i="27"/>
  <c r="I55" i="27"/>
  <c r="D56" i="27"/>
  <c r="H56" i="27"/>
  <c r="L56" i="27"/>
  <c r="D57" i="27"/>
  <c r="H57" i="27"/>
  <c r="L57" i="27"/>
  <c r="C58" i="27"/>
  <c r="G58" i="27"/>
  <c r="K58" i="27"/>
  <c r="C44" i="27"/>
  <c r="C48" i="27"/>
  <c r="D43" i="27"/>
  <c r="J43" i="27"/>
  <c r="N43" i="27"/>
  <c r="G44" i="27"/>
  <c r="K44" i="27"/>
  <c r="D45" i="27"/>
  <c r="H45" i="27"/>
  <c r="L45" i="27"/>
  <c r="E46" i="27"/>
  <c r="I46" i="27"/>
  <c r="M46" i="27"/>
  <c r="F47" i="27"/>
  <c r="J47" i="27"/>
  <c r="M47" i="27"/>
  <c r="F48" i="27"/>
  <c r="J48" i="27"/>
  <c r="N48" i="27"/>
  <c r="G49" i="27"/>
  <c r="K49" i="27"/>
  <c r="D50" i="27"/>
  <c r="H50" i="27"/>
  <c r="L50" i="27"/>
  <c r="D51" i="27"/>
  <c r="H51" i="27"/>
  <c r="L51" i="27"/>
  <c r="C52" i="27"/>
  <c r="G52" i="27"/>
  <c r="K52" i="27"/>
  <c r="C53" i="27"/>
  <c r="G53" i="27"/>
  <c r="K53" i="27"/>
  <c r="N53" i="27"/>
  <c r="F54" i="27"/>
  <c r="J54" i="27"/>
  <c r="N54" i="27"/>
  <c r="F55" i="27"/>
  <c r="J55" i="27"/>
  <c r="M55" i="27"/>
  <c r="E56" i="27"/>
  <c r="I56" i="27"/>
  <c r="M56" i="27"/>
  <c r="E57" i="27"/>
  <c r="I57" i="27"/>
  <c r="D58" i="27"/>
  <c r="H58" i="27"/>
  <c r="L58" i="27"/>
  <c r="C45" i="27"/>
  <c r="I22" i="14"/>
  <c r="I20" i="14"/>
  <c r="G31" i="14"/>
  <c r="G42" i="14" s="1"/>
  <c r="I21" i="14"/>
  <c r="I41" i="7"/>
  <c r="I26" i="7"/>
  <c r="I39" i="7"/>
  <c r="N299" i="35"/>
  <c r="R299" i="35" s="1"/>
  <c r="N220" i="35"/>
  <c r="R220" i="35" s="1"/>
  <c r="N212" i="35"/>
  <c r="R212" i="35" s="1"/>
  <c r="N492" i="35"/>
  <c r="R492" i="35" s="1"/>
  <c r="AK380" i="35"/>
  <c r="AK412" i="35"/>
  <c r="N385" i="35"/>
  <c r="R385" i="35" s="1"/>
  <c r="N277" i="35"/>
  <c r="R277" i="35" s="1"/>
  <c r="N273" i="35"/>
  <c r="R273" i="35" s="1"/>
  <c r="N269" i="35"/>
  <c r="R269" i="35" s="1"/>
  <c r="N261" i="35"/>
  <c r="R261" i="35" s="1"/>
  <c r="N242" i="35"/>
  <c r="R242" i="35" s="1"/>
  <c r="N234" i="35"/>
  <c r="R234" i="35" s="1"/>
  <c r="N222" i="35"/>
  <c r="R222" i="35" s="1"/>
  <c r="N210" i="35"/>
  <c r="R210" i="35" s="1"/>
  <c r="AC292" i="35"/>
  <c r="AE292" i="35" s="1"/>
  <c r="AH292" i="35" s="1"/>
  <c r="AI292" i="35" s="1"/>
  <c r="N484" i="35"/>
  <c r="R484" i="35" s="1"/>
  <c r="N373" i="35"/>
  <c r="R373" i="35" s="1"/>
  <c r="N307" i="35"/>
  <c r="R307" i="35" s="1"/>
  <c r="N300" i="35"/>
  <c r="R300" i="35" s="1"/>
  <c r="N225" i="35"/>
  <c r="R225" i="35" s="1"/>
  <c r="N217" i="35"/>
  <c r="R217" i="35" s="1"/>
  <c r="N209" i="35"/>
  <c r="R209" i="35" s="1"/>
  <c r="N205" i="35"/>
  <c r="R205" i="35" s="1"/>
  <c r="N197" i="35"/>
  <c r="R197" i="35" s="1"/>
  <c r="N291" i="35"/>
  <c r="R291" i="35" s="1"/>
  <c r="N283" i="35"/>
  <c r="R283" i="35" s="1"/>
  <c r="AK387" i="35"/>
  <c r="N437" i="35"/>
  <c r="R437" i="35" s="1"/>
  <c r="N493" i="35"/>
  <c r="R493" i="35" s="1"/>
  <c r="N381" i="35"/>
  <c r="R381" i="35" s="1"/>
  <c r="N365" i="35"/>
  <c r="R365" i="35" s="1"/>
  <c r="N349" i="35"/>
  <c r="R349" i="35" s="1"/>
  <c r="N345" i="35"/>
  <c r="R345" i="35" s="1"/>
  <c r="N341" i="35"/>
  <c r="R341" i="35" s="1"/>
  <c r="N337" i="35"/>
  <c r="R337" i="35" s="1"/>
  <c r="N333" i="35"/>
  <c r="R333" i="35" s="1"/>
  <c r="N325" i="35"/>
  <c r="R325" i="35" s="1"/>
  <c r="N309" i="35"/>
  <c r="R309" i="35" s="1"/>
  <c r="N306" i="35"/>
  <c r="R306" i="35" s="1"/>
  <c r="N298" i="35"/>
  <c r="R298" i="35" s="1"/>
  <c r="N215" i="35"/>
  <c r="R215" i="35" s="1"/>
  <c r="N211" i="35"/>
  <c r="R211" i="35" s="1"/>
  <c r="N207" i="35"/>
  <c r="R207" i="35" s="1"/>
  <c r="N482" i="35"/>
  <c r="R482" i="35" s="1"/>
  <c r="N464" i="35"/>
  <c r="R464" i="35" s="1"/>
  <c r="N436" i="35"/>
  <c r="R436" i="35" s="1"/>
  <c r="N432" i="35"/>
  <c r="R432" i="35" s="1"/>
  <c r="N412" i="35"/>
  <c r="R412" i="35" s="1"/>
  <c r="N396" i="35"/>
  <c r="R396" i="35" s="1"/>
  <c r="N388" i="35"/>
  <c r="R388" i="35" s="1"/>
  <c r="N386" i="35"/>
  <c r="R386" i="35" s="1"/>
  <c r="N444" i="35"/>
  <c r="R444" i="35" s="1"/>
  <c r="N410" i="35"/>
  <c r="R410" i="35" s="1"/>
  <c r="N400" i="35"/>
  <c r="R400" i="35" s="1"/>
  <c r="N434" i="35"/>
  <c r="R434" i="35" s="1"/>
  <c r="N378" i="35"/>
  <c r="R378" i="35" s="1"/>
  <c r="N354" i="35"/>
  <c r="R354" i="35" s="1"/>
  <c r="N338" i="35"/>
  <c r="R338" i="35" s="1"/>
  <c r="N314" i="35"/>
  <c r="R314" i="35" s="1"/>
  <c r="N264" i="35"/>
  <c r="R264" i="35" s="1"/>
  <c r="N237" i="35"/>
  <c r="R237" i="35" s="1"/>
  <c r="N491" i="35"/>
  <c r="R491" i="35" s="1"/>
  <c r="N401" i="35"/>
  <c r="R401" i="35" s="1"/>
  <c r="N393" i="35"/>
  <c r="R393" i="35" s="1"/>
  <c r="N315" i="35"/>
  <c r="R315" i="35" s="1"/>
  <c r="N219" i="35"/>
  <c r="R219" i="35" s="1"/>
  <c r="N379" i="35"/>
  <c r="R379" i="35" s="1"/>
  <c r="N460" i="35"/>
  <c r="R460" i="35" s="1"/>
  <c r="N440" i="35"/>
  <c r="R440" i="35" s="1"/>
  <c r="N364" i="35"/>
  <c r="R364" i="35" s="1"/>
  <c r="N301" i="35"/>
  <c r="R301" i="35" s="1"/>
  <c r="N293" i="35"/>
  <c r="R293" i="35" s="1"/>
  <c r="N289" i="35"/>
  <c r="R289" i="35" s="1"/>
  <c r="N285" i="35"/>
  <c r="R285" i="35" s="1"/>
  <c r="N243" i="35"/>
  <c r="R243" i="35" s="1"/>
  <c r="N231" i="35"/>
  <c r="R231" i="35" s="1"/>
  <c r="N91" i="35"/>
  <c r="R91" i="35" s="1"/>
  <c r="N51" i="35"/>
  <c r="R51" i="35" s="1"/>
  <c r="N43" i="35"/>
  <c r="R43" i="35" s="1"/>
  <c r="AE329" i="35"/>
  <c r="AH329" i="35" s="1"/>
  <c r="AI329" i="35" s="1"/>
  <c r="AC498" i="35"/>
  <c r="AE498" i="35" s="1"/>
  <c r="AH498" i="35" s="1"/>
  <c r="AC34" i="35"/>
  <c r="AE34" i="35" s="1"/>
  <c r="AH34" i="35" s="1"/>
  <c r="AI34" i="35" s="1"/>
  <c r="AC500" i="35"/>
  <c r="AE500" i="35" s="1"/>
  <c r="AH500" i="35" s="1"/>
  <c r="AI500" i="35" s="1"/>
  <c r="AK484" i="35"/>
  <c r="AK436" i="35"/>
  <c r="AC420" i="35"/>
  <c r="AE420" i="35" s="1"/>
  <c r="AH420" i="35" s="1"/>
  <c r="AC191" i="35"/>
  <c r="AE191" i="35" s="1"/>
  <c r="AH191" i="35" s="1"/>
  <c r="AI191" i="35" s="1"/>
  <c r="O17" i="48"/>
  <c r="Q17" i="48" s="1"/>
  <c r="I17" i="48"/>
  <c r="J17" i="48" s="1"/>
  <c r="L17" i="48" s="1"/>
  <c r="O3" i="16"/>
  <c r="S3" i="16" s="1"/>
  <c r="T3" i="16" s="1"/>
  <c r="AE3" i="16" s="1"/>
  <c r="O40" i="16"/>
  <c r="S40" i="16" s="1"/>
  <c r="T40" i="16" s="1"/>
  <c r="AE40" i="16" s="1"/>
  <c r="O24" i="16"/>
  <c r="S24" i="16" s="1"/>
  <c r="T24" i="16" s="1"/>
  <c r="AE24" i="16" s="1"/>
  <c r="AD88" i="16"/>
  <c r="AD84" i="16"/>
  <c r="AD78" i="16"/>
  <c r="AD58" i="16"/>
  <c r="AD53" i="16"/>
  <c r="AD47" i="16"/>
  <c r="O67" i="16"/>
  <c r="S67" i="16" s="1"/>
  <c r="T67" i="16" s="1"/>
  <c r="AE67" i="16" s="1"/>
  <c r="AD43" i="16"/>
  <c r="AD35" i="16"/>
  <c r="AD22" i="16"/>
  <c r="O20" i="16"/>
  <c r="S20" i="16" s="1"/>
  <c r="T20" i="16" s="1"/>
  <c r="AE20" i="16" s="1"/>
  <c r="AD19" i="16"/>
  <c r="O9" i="16"/>
  <c r="S9" i="16" s="1"/>
  <c r="T9" i="16" s="1"/>
  <c r="AE9" i="16" s="1"/>
  <c r="O99" i="16"/>
  <c r="S99" i="16" s="1"/>
  <c r="T99" i="16" s="1"/>
  <c r="AE99" i="16" s="1"/>
  <c r="AD56" i="16"/>
  <c r="O10" i="16"/>
  <c r="S10" i="16" s="1"/>
  <c r="T10" i="16" s="1"/>
  <c r="AE10" i="16" s="1"/>
  <c r="AD4" i="16"/>
  <c r="AD62" i="16"/>
  <c r="AD26" i="16"/>
  <c r="AD15" i="16"/>
  <c r="AE310" i="35"/>
  <c r="AH310" i="35" s="1"/>
  <c r="AI310" i="35" s="1"/>
  <c r="AE198" i="35"/>
  <c r="AH198" i="35" s="1"/>
  <c r="AE226" i="35"/>
  <c r="AH226" i="35" s="1"/>
  <c r="AI226" i="35" s="1"/>
  <c r="R17" i="35"/>
  <c r="R9" i="35"/>
  <c r="AE86" i="35"/>
  <c r="AH86" i="35" s="1"/>
  <c r="AI86" i="35" s="1"/>
  <c r="AE462" i="35"/>
  <c r="AH462" i="35" s="1"/>
  <c r="R57" i="35"/>
  <c r="R49" i="35"/>
  <c r="R41" i="35"/>
  <c r="AE142" i="35"/>
  <c r="AH142" i="35" s="1"/>
  <c r="AI142" i="35" s="1"/>
  <c r="AE422" i="35"/>
  <c r="AH422" i="35" s="1"/>
  <c r="AI422" i="35" s="1"/>
  <c r="R33" i="35"/>
  <c r="O2" i="16"/>
  <c r="S15" i="49"/>
  <c r="U39" i="49" s="1"/>
  <c r="V39" i="49" s="1"/>
  <c r="F14" i="49"/>
  <c r="H38" i="49" s="1"/>
  <c r="I38" i="49" s="1"/>
  <c r="S20" i="49"/>
  <c r="U44" i="49" s="1"/>
  <c r="V44" i="49" s="1"/>
  <c r="R2" i="16"/>
  <c r="K13" i="3"/>
  <c r="AE154" i="35"/>
  <c r="AH154" i="35" s="1"/>
  <c r="AI154" i="35" s="1"/>
  <c r="AE10" i="35"/>
  <c r="AH10" i="35" s="1"/>
  <c r="AE314" i="35"/>
  <c r="AH314" i="35" s="1"/>
  <c r="AI314" i="35" s="1"/>
  <c r="AE237" i="35"/>
  <c r="AH237" i="35" s="1"/>
  <c r="AI237" i="35" s="1"/>
  <c r="AE445" i="35"/>
  <c r="AH445" i="35" s="1"/>
  <c r="AE109" i="35"/>
  <c r="AH109" i="35" s="1"/>
  <c r="AI109" i="35" s="1"/>
  <c r="AE141" i="35"/>
  <c r="AH141" i="35" s="1"/>
  <c r="AI141" i="35" s="1"/>
  <c r="AE269" i="35"/>
  <c r="AH269" i="35" s="1"/>
  <c r="AI269" i="35" s="1"/>
  <c r="AE61" i="35"/>
  <c r="AH61" i="35" s="1"/>
  <c r="AI61" i="35" s="1"/>
  <c r="AE125" i="35"/>
  <c r="AH125" i="35" s="1"/>
  <c r="AI125" i="35" s="1"/>
  <c r="AE285" i="35"/>
  <c r="AH285" i="35" s="1"/>
  <c r="AI285" i="35" s="1"/>
  <c r="AE221" i="35"/>
  <c r="AH221" i="35" s="1"/>
  <c r="AE317" i="35"/>
  <c r="AH317" i="35" s="1"/>
  <c r="AI317" i="35" s="1"/>
  <c r="AE205" i="35"/>
  <c r="AH205" i="35" s="1"/>
  <c r="AI205" i="35" s="1"/>
  <c r="AE77" i="35"/>
  <c r="AH77" i="35" s="1"/>
  <c r="AI77" i="35" s="1"/>
  <c r="AE189" i="35"/>
  <c r="AH189" i="35" s="1"/>
  <c r="AI189" i="35" s="1"/>
  <c r="AE9" i="35"/>
  <c r="AH9" i="35" s="1"/>
  <c r="AI9" i="35" s="1"/>
  <c r="AE441" i="35"/>
  <c r="AH441" i="35" s="1"/>
  <c r="AI441" i="35" s="1"/>
  <c r="AL76" i="16"/>
  <c r="AN76" i="16" s="1"/>
  <c r="AL12" i="16"/>
  <c r="AN12" i="16" s="1"/>
  <c r="AD91" i="16"/>
  <c r="O46" i="16"/>
  <c r="S46" i="16" s="1"/>
  <c r="T46" i="16" s="1"/>
  <c r="AE46" i="16" s="1"/>
  <c r="N468" i="35"/>
  <c r="R468" i="35" s="1"/>
  <c r="AK420" i="35"/>
  <c r="N348" i="35"/>
  <c r="R348" i="35" s="1"/>
  <c r="N340" i="35"/>
  <c r="R340" i="35" s="1"/>
  <c r="N332" i="35"/>
  <c r="R332" i="35" s="1"/>
  <c r="AK4" i="35"/>
  <c r="AC360" i="35"/>
  <c r="AE360" i="35" s="1"/>
  <c r="AH360" i="35" s="1"/>
  <c r="AC328" i="35"/>
  <c r="AE328" i="35" s="1"/>
  <c r="AH328" i="35" s="1"/>
  <c r="AC184" i="35"/>
  <c r="AE184" i="35" s="1"/>
  <c r="AH184" i="35" s="1"/>
  <c r="AI184" i="35" s="1"/>
  <c r="AC40" i="35"/>
  <c r="AE40" i="35" s="1"/>
  <c r="AH40" i="35" s="1"/>
  <c r="AE58" i="35"/>
  <c r="AH58" i="35" s="1"/>
  <c r="I23" i="13"/>
  <c r="AE362" i="35"/>
  <c r="AH362" i="35" s="1"/>
  <c r="AI362" i="35" s="1"/>
  <c r="N41" i="10"/>
  <c r="AD123" i="16"/>
  <c r="AF123" i="16" s="1"/>
  <c r="AG123" i="16" s="1"/>
  <c r="N267" i="35"/>
  <c r="R267" i="35" s="1"/>
  <c r="N36" i="10"/>
  <c r="M35" i="10"/>
  <c r="O114" i="16"/>
  <c r="S114" i="16" s="1"/>
  <c r="T114" i="16" s="1"/>
  <c r="AE114" i="16" s="1"/>
  <c r="O57" i="16"/>
  <c r="S57" i="16" s="1"/>
  <c r="T57" i="16" s="1"/>
  <c r="AE57" i="16" s="1"/>
  <c r="N466" i="35"/>
  <c r="R466" i="35" s="1"/>
  <c r="N450" i="35"/>
  <c r="R450" i="35" s="1"/>
  <c r="N426" i="35"/>
  <c r="R426" i="35" s="1"/>
  <c r="N330" i="35"/>
  <c r="R330" i="35" s="1"/>
  <c r="N35" i="10"/>
  <c r="M37" i="10"/>
  <c r="K13" i="14"/>
  <c r="K25" i="14" s="1"/>
  <c r="N2" i="35"/>
  <c r="R2" i="35" s="1"/>
  <c r="N405" i="35"/>
  <c r="R405" i="35" s="1"/>
  <c r="AD120" i="16"/>
  <c r="AD82" i="16"/>
  <c r="N305" i="35"/>
  <c r="R305" i="35" s="1"/>
  <c r="N201" i="35"/>
  <c r="R201" i="35" s="1"/>
  <c r="N153" i="35"/>
  <c r="R153" i="35" s="1"/>
  <c r="AE122" i="35"/>
  <c r="AH122" i="35" s="1"/>
  <c r="AI122" i="35" s="1"/>
  <c r="N355" i="35"/>
  <c r="R355" i="35" s="1"/>
  <c r="AK51" i="35"/>
  <c r="N339" i="35"/>
  <c r="R339" i="35" s="1"/>
  <c r="O108" i="16"/>
  <c r="S108" i="16" s="1"/>
  <c r="T108" i="16" s="1"/>
  <c r="AE108" i="16" s="1"/>
  <c r="K8" i="39"/>
  <c r="K391" i="39" s="1"/>
  <c r="K9" i="40"/>
  <c r="K21" i="40" s="1"/>
  <c r="N496" i="35"/>
  <c r="R496" i="35" s="1"/>
  <c r="N488" i="35"/>
  <c r="R488" i="35" s="1"/>
  <c r="N416" i="35"/>
  <c r="R416" i="35" s="1"/>
  <c r="N384" i="35"/>
  <c r="R384" i="35" s="1"/>
  <c r="N376" i="35"/>
  <c r="R376" i="35" s="1"/>
  <c r="N360" i="35"/>
  <c r="R360" i="35" s="1"/>
  <c r="K11" i="14"/>
  <c r="K23" i="14" s="1"/>
  <c r="N369" i="35"/>
  <c r="R369" i="35" s="1"/>
  <c r="N353" i="35"/>
  <c r="R353" i="35" s="1"/>
  <c r="I18" i="15"/>
  <c r="AD100" i="16"/>
  <c r="K12" i="15"/>
  <c r="K27" i="15" s="1"/>
  <c r="P8" i="10"/>
  <c r="P30" i="10" s="1"/>
  <c r="Q39" i="10"/>
  <c r="AD105" i="16"/>
  <c r="O41" i="16"/>
  <c r="S41" i="16" s="1"/>
  <c r="T41" i="16" s="1"/>
  <c r="AE41" i="16" s="1"/>
  <c r="N494" i="35"/>
  <c r="R494" i="35" s="1"/>
  <c r="N430" i="35"/>
  <c r="R430" i="35" s="1"/>
  <c r="N382" i="35"/>
  <c r="R382" i="35" s="1"/>
  <c r="AC495" i="35"/>
  <c r="AE495" i="35" s="1"/>
  <c r="AH495" i="35" s="1"/>
  <c r="AC479" i="35"/>
  <c r="AE479" i="35" s="1"/>
  <c r="AH479" i="35" s="1"/>
  <c r="AI479" i="35" s="1"/>
  <c r="AC447" i="35"/>
  <c r="AE447" i="35" s="1"/>
  <c r="AH447" i="35" s="1"/>
  <c r="AI447" i="35" s="1"/>
  <c r="AC431" i="35"/>
  <c r="AE431" i="35" s="1"/>
  <c r="AH431" i="35" s="1"/>
  <c r="AI431" i="35" s="1"/>
  <c r="AC415" i="35"/>
  <c r="AE415" i="35" s="1"/>
  <c r="AH415" i="35" s="1"/>
  <c r="AC383" i="35"/>
  <c r="AE383" i="35" s="1"/>
  <c r="AH383" i="35" s="1"/>
  <c r="AI383" i="35" s="1"/>
  <c r="AC367" i="35"/>
  <c r="AE367" i="35" s="1"/>
  <c r="AH367" i="35" s="1"/>
  <c r="AI367" i="35" s="1"/>
  <c r="AC351" i="35"/>
  <c r="AE351" i="35" s="1"/>
  <c r="AH351" i="35" s="1"/>
  <c r="AI351" i="35" s="1"/>
  <c r="AC335" i="35"/>
  <c r="AE335" i="35" s="1"/>
  <c r="AH335" i="35" s="1"/>
  <c r="AC319" i="35"/>
  <c r="AE319" i="35" s="1"/>
  <c r="AH319" i="35" s="1"/>
  <c r="AC303" i="35"/>
  <c r="AE303" i="35" s="1"/>
  <c r="AH303" i="35" s="1"/>
  <c r="AI303" i="35" s="1"/>
  <c r="AC287" i="35"/>
  <c r="AE287" i="35" s="1"/>
  <c r="AH287" i="35" s="1"/>
  <c r="AI287" i="35" s="1"/>
  <c r="AC271" i="35"/>
  <c r="AE271" i="35" s="1"/>
  <c r="AH271" i="35" s="1"/>
  <c r="AI271" i="35" s="1"/>
  <c r="AC255" i="35"/>
  <c r="AE255" i="35" s="1"/>
  <c r="AH255" i="35" s="1"/>
  <c r="AI255" i="35" s="1"/>
  <c r="AC239" i="35"/>
  <c r="AE239" i="35" s="1"/>
  <c r="AH239" i="35" s="1"/>
  <c r="AC223" i="35"/>
  <c r="AE223" i="35" s="1"/>
  <c r="AH223" i="35" s="1"/>
  <c r="AI223" i="35" s="1"/>
  <c r="AC175" i="35"/>
  <c r="AE175" i="35" s="1"/>
  <c r="AH175" i="35" s="1"/>
  <c r="AI175" i="35" s="1"/>
  <c r="AC159" i="35"/>
  <c r="AE159" i="35" s="1"/>
  <c r="AH159" i="35" s="1"/>
  <c r="AI159" i="35" s="1"/>
  <c r="AC143" i="35"/>
  <c r="AE143" i="35" s="1"/>
  <c r="AH143" i="35" s="1"/>
  <c r="AC127" i="35"/>
  <c r="AE127" i="35" s="1"/>
  <c r="AH127" i="35" s="1"/>
  <c r="AI127" i="35" s="1"/>
  <c r="AC95" i="35"/>
  <c r="AE95" i="35" s="1"/>
  <c r="AH95" i="35" s="1"/>
  <c r="AI95" i="35" s="1"/>
  <c r="AC79" i="35"/>
  <c r="AE79" i="35" s="1"/>
  <c r="AH79" i="35" s="1"/>
  <c r="AI79" i="35" s="1"/>
  <c r="AC63" i="35"/>
  <c r="AE63" i="35" s="1"/>
  <c r="AH63" i="35" s="1"/>
  <c r="AI63" i="35" s="1"/>
  <c r="AC47" i="35"/>
  <c r="AE47" i="35" s="1"/>
  <c r="AH47" i="35" s="1"/>
  <c r="AI47" i="35" s="1"/>
  <c r="AC31" i="35"/>
  <c r="AE31" i="35" s="1"/>
  <c r="AH31" i="35" s="1"/>
  <c r="AC15" i="35"/>
  <c r="AE15" i="35" s="1"/>
  <c r="AH15" i="35" s="1"/>
  <c r="AI15" i="35" s="1"/>
  <c r="O110" i="16"/>
  <c r="S110" i="16" s="1"/>
  <c r="T110" i="16" s="1"/>
  <c r="AE110" i="16" s="1"/>
  <c r="N411" i="35"/>
  <c r="R411" i="35" s="1"/>
  <c r="P38" i="10"/>
  <c r="P37" i="10"/>
  <c r="P36" i="10"/>
  <c r="Q37" i="10"/>
  <c r="P41" i="10"/>
  <c r="P40" i="10"/>
  <c r="P39" i="10"/>
  <c r="K10" i="11"/>
  <c r="K48" i="11"/>
  <c r="O121" i="16"/>
  <c r="S121" i="16" s="1"/>
  <c r="T121" i="16" s="1"/>
  <c r="AE121" i="16" s="1"/>
  <c r="AD115" i="16"/>
  <c r="AD90" i="16"/>
  <c r="AD77" i="16"/>
  <c r="O64" i="16"/>
  <c r="S64" i="16" s="1"/>
  <c r="T64" i="16" s="1"/>
  <c r="AE64" i="16" s="1"/>
  <c r="N308" i="35"/>
  <c r="R308" i="35" s="1"/>
  <c r="N268" i="35"/>
  <c r="R268" i="35" s="1"/>
  <c r="N252" i="35"/>
  <c r="R252" i="35" s="1"/>
  <c r="N236" i="35"/>
  <c r="R236" i="35" s="1"/>
  <c r="N188" i="35"/>
  <c r="R188" i="35" s="1"/>
  <c r="N164" i="35"/>
  <c r="R164" i="35" s="1"/>
  <c r="N124" i="35"/>
  <c r="R124" i="35" s="1"/>
  <c r="N108" i="35"/>
  <c r="R108" i="35" s="1"/>
  <c r="N92" i="35"/>
  <c r="R92" i="35" s="1"/>
  <c r="N28" i="35"/>
  <c r="R28" i="35" s="1"/>
  <c r="N20" i="35"/>
  <c r="R20" i="35" s="1"/>
  <c r="K15" i="15"/>
  <c r="K30" i="15" s="1"/>
  <c r="Q17" i="10"/>
  <c r="K11" i="11"/>
  <c r="AD121" i="16"/>
  <c r="AD96" i="16"/>
  <c r="O51" i="16"/>
  <c r="S51" i="16" s="1"/>
  <c r="T51" i="16" s="1"/>
  <c r="AE51" i="16" s="1"/>
  <c r="O32" i="16"/>
  <c r="S32" i="16" s="1"/>
  <c r="T32" i="16" s="1"/>
  <c r="AE32" i="16" s="1"/>
  <c r="K12" i="11"/>
  <c r="AD108" i="16"/>
  <c r="O76" i="16"/>
  <c r="S76" i="16" s="1"/>
  <c r="T76" i="16" s="1"/>
  <c r="AE76" i="16" s="1"/>
  <c r="AD38" i="16"/>
  <c r="N499" i="35"/>
  <c r="R499" i="35" s="1"/>
  <c r="N483" i="35"/>
  <c r="R483" i="35" s="1"/>
  <c r="N475" i="35"/>
  <c r="R475" i="35" s="1"/>
  <c r="N443" i="35"/>
  <c r="R443" i="35" s="1"/>
  <c r="N419" i="35"/>
  <c r="R419" i="35" s="1"/>
  <c r="N371" i="35"/>
  <c r="R371" i="35" s="1"/>
  <c r="N347" i="35"/>
  <c r="R347" i="35" s="1"/>
  <c r="N331" i="35"/>
  <c r="R331" i="35" s="1"/>
  <c r="N275" i="35"/>
  <c r="R275" i="35" s="1"/>
  <c r="N259" i="35"/>
  <c r="R259" i="35" s="1"/>
  <c r="N251" i="35"/>
  <c r="R251" i="35" s="1"/>
  <c r="N227" i="35"/>
  <c r="R227" i="35" s="1"/>
  <c r="N195" i="35"/>
  <c r="R195" i="35" s="1"/>
  <c r="N123" i="35"/>
  <c r="R123" i="35" s="1"/>
  <c r="AC493" i="35"/>
  <c r="AE493" i="35" s="1"/>
  <c r="AH493" i="35" s="1"/>
  <c r="AI493" i="35" s="1"/>
  <c r="AK201" i="35"/>
  <c r="K13" i="11"/>
  <c r="O120" i="16"/>
  <c r="S120" i="16" s="1"/>
  <c r="T120" i="16" s="1"/>
  <c r="AE120" i="16" s="1"/>
  <c r="AD114" i="16"/>
  <c r="O82" i="16"/>
  <c r="S82" i="16" s="1"/>
  <c r="T82" i="16" s="1"/>
  <c r="AE82" i="16" s="1"/>
  <c r="AD76" i="16"/>
  <c r="AD69" i="16"/>
  <c r="AD63" i="16"/>
  <c r="AD57" i="16"/>
  <c r="O12" i="16"/>
  <c r="S12" i="16" s="1"/>
  <c r="T12" i="16" s="1"/>
  <c r="AE12" i="16" s="1"/>
  <c r="J12" i="45"/>
  <c r="J25" i="45" s="1"/>
  <c r="O102" i="16"/>
  <c r="S102" i="16" s="1"/>
  <c r="T102" i="16" s="1"/>
  <c r="AE102" i="16" s="1"/>
  <c r="O86" i="16"/>
  <c r="S86" i="16" s="1"/>
  <c r="T86" i="16" s="1"/>
  <c r="AE86" i="16" s="1"/>
  <c r="O38" i="16"/>
  <c r="S38" i="16" s="1"/>
  <c r="T38" i="16" s="1"/>
  <c r="AE38" i="16" s="1"/>
  <c r="O22" i="16"/>
  <c r="S22" i="16" s="1"/>
  <c r="T22" i="16" s="1"/>
  <c r="AE22" i="16" s="1"/>
  <c r="K14" i="11"/>
  <c r="AD44" i="16"/>
  <c r="O18" i="16"/>
  <c r="S18" i="16" s="1"/>
  <c r="T18" i="16" s="1"/>
  <c r="AE18" i="16" s="1"/>
  <c r="N258" i="35"/>
  <c r="R258" i="35" s="1"/>
  <c r="N226" i="35"/>
  <c r="R226" i="35" s="1"/>
  <c r="N130" i="35"/>
  <c r="R130" i="35" s="1"/>
  <c r="K13" i="15"/>
  <c r="K28" i="15" s="1"/>
  <c r="Q11" i="10"/>
  <c r="Q36" i="10" s="1"/>
  <c r="K15" i="11"/>
  <c r="O100" i="16"/>
  <c r="S100" i="16" s="1"/>
  <c r="T100" i="16" s="1"/>
  <c r="AE100" i="16" s="1"/>
  <c r="O94" i="16"/>
  <c r="S94" i="16" s="1"/>
  <c r="T94" i="16" s="1"/>
  <c r="AE94" i="16" s="1"/>
  <c r="O88" i="16"/>
  <c r="S88" i="16" s="1"/>
  <c r="T88" i="16" s="1"/>
  <c r="AE88" i="16" s="1"/>
  <c r="AD75" i="16"/>
  <c r="O62" i="16"/>
  <c r="S62" i="16" s="1"/>
  <c r="T62" i="16" s="1"/>
  <c r="AE62" i="16" s="1"/>
  <c r="O56" i="16"/>
  <c r="S56" i="16" s="1"/>
  <c r="T56" i="16" s="1"/>
  <c r="AE56" i="16" s="1"/>
  <c r="AD50" i="16"/>
  <c r="AD119" i="16"/>
  <c r="AD81" i="16"/>
  <c r="O30" i="16"/>
  <c r="S30" i="16" s="1"/>
  <c r="T30" i="16" s="1"/>
  <c r="AE30" i="16" s="1"/>
  <c r="N497" i="35"/>
  <c r="R497" i="35" s="1"/>
  <c r="N473" i="35"/>
  <c r="R473" i="35" s="1"/>
  <c r="N457" i="35"/>
  <c r="R457" i="35" s="1"/>
  <c r="N425" i="35"/>
  <c r="R425" i="35" s="1"/>
  <c r="N417" i="35"/>
  <c r="R417" i="35" s="1"/>
  <c r="N409" i="35"/>
  <c r="R409" i="35" s="1"/>
  <c r="N361" i="35"/>
  <c r="R361" i="35" s="1"/>
  <c r="N321" i="35"/>
  <c r="R321" i="35" s="1"/>
  <c r="N257" i="35"/>
  <c r="R257" i="35" s="1"/>
  <c r="N73" i="35"/>
  <c r="R73" i="35" s="1"/>
  <c r="K8" i="11"/>
  <c r="K17" i="11"/>
  <c r="O112" i="16"/>
  <c r="S112" i="16" s="1"/>
  <c r="T112" i="16" s="1"/>
  <c r="AE112" i="16" s="1"/>
  <c r="AD74" i="16"/>
  <c r="AD36" i="16"/>
  <c r="AD30" i="16"/>
  <c r="AD17" i="16"/>
  <c r="K18" i="11"/>
  <c r="AD87" i="16"/>
  <c r="AF87" i="16" s="1"/>
  <c r="AG87" i="16" s="1"/>
  <c r="O80" i="16"/>
  <c r="S80" i="16" s="1"/>
  <c r="T80" i="16" s="1"/>
  <c r="AE80" i="16" s="1"/>
  <c r="AD23" i="16"/>
  <c r="N344" i="35"/>
  <c r="R344" i="35" s="1"/>
  <c r="N336" i="35"/>
  <c r="R336" i="35" s="1"/>
  <c r="N304" i="35"/>
  <c r="R304" i="35" s="1"/>
  <c r="N288" i="35"/>
  <c r="R288" i="35" s="1"/>
  <c r="N256" i="35"/>
  <c r="R256" i="35" s="1"/>
  <c r="N240" i="35"/>
  <c r="R240" i="35" s="1"/>
  <c r="N224" i="35"/>
  <c r="R224" i="35" s="1"/>
  <c r="N208" i="35"/>
  <c r="R208" i="35" s="1"/>
  <c r="N176" i="35"/>
  <c r="R176" i="35" s="1"/>
  <c r="N112" i="35"/>
  <c r="R112" i="35" s="1"/>
  <c r="N104" i="35"/>
  <c r="R104" i="35" s="1"/>
  <c r="N80" i="35"/>
  <c r="R80" i="35" s="1"/>
  <c r="N48" i="35"/>
  <c r="R48" i="35" s="1"/>
  <c r="N39" i="10"/>
  <c r="K11" i="15"/>
  <c r="K26" i="15" s="1"/>
  <c r="AD118" i="16"/>
  <c r="O105" i="16"/>
  <c r="S105" i="16" s="1"/>
  <c r="T105" i="16" s="1"/>
  <c r="AE105" i="16" s="1"/>
  <c r="AD93" i="16"/>
  <c r="AD80" i="16"/>
  <c r="AD67" i="16"/>
  <c r="O48" i="16"/>
  <c r="S48" i="16" s="1"/>
  <c r="T48" i="16" s="1"/>
  <c r="AE48" i="16" s="1"/>
  <c r="O35" i="16"/>
  <c r="S35" i="16" s="1"/>
  <c r="T35" i="16" s="1"/>
  <c r="AE35" i="16" s="1"/>
  <c r="AD29" i="16"/>
  <c r="O16" i="16"/>
  <c r="S16" i="16" s="1"/>
  <c r="T16" i="16" s="1"/>
  <c r="AE16" i="16" s="1"/>
  <c r="AD10" i="16"/>
  <c r="AD111" i="16"/>
  <c r="AD73" i="16"/>
  <c r="O60" i="16"/>
  <c r="S60" i="16" s="1"/>
  <c r="T60" i="16" s="1"/>
  <c r="AE60" i="16" s="1"/>
  <c r="AD54" i="16"/>
  <c r="N495" i="35"/>
  <c r="R495" i="35" s="1"/>
  <c r="N487" i="35"/>
  <c r="R487" i="35" s="1"/>
  <c r="N479" i="35"/>
  <c r="R479" i="35" s="1"/>
  <c r="N463" i="35"/>
  <c r="R463" i="35" s="1"/>
  <c r="N447" i="35"/>
  <c r="R447" i="35" s="1"/>
  <c r="N439" i="35"/>
  <c r="R439" i="35" s="1"/>
  <c r="N431" i="35"/>
  <c r="R431" i="35" s="1"/>
  <c r="N423" i="35"/>
  <c r="R423" i="35" s="1"/>
  <c r="N375" i="35"/>
  <c r="R375" i="35" s="1"/>
  <c r="N367" i="35"/>
  <c r="R367" i="35" s="1"/>
  <c r="N351" i="35"/>
  <c r="R351" i="35" s="1"/>
  <c r="N343" i="35"/>
  <c r="R343" i="35" s="1"/>
  <c r="N295" i="35"/>
  <c r="R295" i="35" s="1"/>
  <c r="N279" i="35"/>
  <c r="R279" i="35" s="1"/>
  <c r="N263" i="35"/>
  <c r="R263" i="35" s="1"/>
  <c r="N239" i="35"/>
  <c r="R239" i="35" s="1"/>
  <c r="N199" i="35"/>
  <c r="R199" i="35" s="1"/>
  <c r="N183" i="35"/>
  <c r="R183" i="35" s="1"/>
  <c r="N175" i="35"/>
  <c r="R175" i="35" s="1"/>
  <c r="N159" i="35"/>
  <c r="R159" i="35" s="1"/>
  <c r="N151" i="35"/>
  <c r="R151" i="35" s="1"/>
  <c r="N127" i="35"/>
  <c r="R127" i="35" s="1"/>
  <c r="N111" i="35"/>
  <c r="R111" i="35" s="1"/>
  <c r="N95" i="35"/>
  <c r="R95" i="35" s="1"/>
  <c r="N87" i="35"/>
  <c r="R87" i="35" s="1"/>
  <c r="N55" i="35"/>
  <c r="R55" i="35" s="1"/>
  <c r="N39" i="35"/>
  <c r="R39" i="35" s="1"/>
  <c r="N31" i="35"/>
  <c r="R31" i="35" s="1"/>
  <c r="N23" i="35"/>
  <c r="R23" i="35" s="1"/>
  <c r="AC373" i="35"/>
  <c r="AE373" i="35" s="1"/>
  <c r="AH373" i="35" s="1"/>
  <c r="AI373" i="35" s="1"/>
  <c r="O63" i="16"/>
  <c r="S63" i="16" s="1"/>
  <c r="T63" i="16" s="1"/>
  <c r="AE63" i="16" s="1"/>
  <c r="N37" i="10"/>
  <c r="K21" i="11"/>
  <c r="AD117" i="16"/>
  <c r="O98" i="16"/>
  <c r="S98" i="16" s="1"/>
  <c r="T98" i="16" s="1"/>
  <c r="AE98" i="16" s="1"/>
  <c r="O92" i="16"/>
  <c r="S92" i="16" s="1"/>
  <c r="T92" i="16" s="1"/>
  <c r="AE92" i="16" s="1"/>
  <c r="AD79" i="16"/>
  <c r="O66" i="16"/>
  <c r="S66" i="16" s="1"/>
  <c r="T66" i="16" s="1"/>
  <c r="AE66" i="16" s="1"/>
  <c r="AD60" i="16"/>
  <c r="AD3" i="16"/>
  <c r="K22" i="11"/>
  <c r="AD92" i="16"/>
  <c r="O34" i="16"/>
  <c r="S34" i="16" s="1"/>
  <c r="T34" i="16" s="1"/>
  <c r="AE34" i="16" s="1"/>
  <c r="AD28" i="16"/>
  <c r="AD21" i="16"/>
  <c r="N310" i="35"/>
  <c r="R310" i="35" s="1"/>
  <c r="N286" i="35"/>
  <c r="R286" i="35" s="1"/>
  <c r="N278" i="35"/>
  <c r="R278" i="35" s="1"/>
  <c r="N270" i="35"/>
  <c r="R270" i="35" s="1"/>
  <c r="N238" i="35"/>
  <c r="R238" i="35" s="1"/>
  <c r="N214" i="35"/>
  <c r="R214" i="35" s="1"/>
  <c r="N206" i="35"/>
  <c r="R206" i="35" s="1"/>
  <c r="N198" i="35"/>
  <c r="R198" i="35" s="1"/>
  <c r="N190" i="35"/>
  <c r="R190" i="35" s="1"/>
  <c r="N174" i="35"/>
  <c r="R174" i="35" s="1"/>
  <c r="N166" i="35"/>
  <c r="R166" i="35" s="1"/>
  <c r="N118" i="35"/>
  <c r="R118" i="35" s="1"/>
  <c r="N86" i="35"/>
  <c r="R86" i="35" s="1"/>
  <c r="N62" i="35"/>
  <c r="R62" i="35" s="1"/>
  <c r="N38" i="35"/>
  <c r="R38" i="35" s="1"/>
  <c r="N6" i="35"/>
  <c r="R6" i="35" s="1"/>
  <c r="J21" i="47"/>
  <c r="J13" i="47"/>
  <c r="J9" i="45"/>
  <c r="J22" i="45" s="1"/>
  <c r="K8" i="6"/>
  <c r="K20" i="6" s="1"/>
  <c r="AD110" i="16"/>
  <c r="O78" i="16"/>
  <c r="S78" i="16" s="1"/>
  <c r="T78" i="16" s="1"/>
  <c r="AE78" i="16" s="1"/>
  <c r="AD65" i="16"/>
  <c r="O52" i="16"/>
  <c r="S52" i="16" s="1"/>
  <c r="T52" i="16" s="1"/>
  <c r="AE52" i="16" s="1"/>
  <c r="O14" i="16"/>
  <c r="S14" i="16" s="1"/>
  <c r="T14" i="16" s="1"/>
  <c r="AE14" i="16" s="1"/>
  <c r="O8" i="16"/>
  <c r="S8" i="16" s="1"/>
  <c r="T8" i="16" s="1"/>
  <c r="AE8" i="16" s="1"/>
  <c r="N477" i="35"/>
  <c r="R477" i="35" s="1"/>
  <c r="N453" i="35"/>
  <c r="R453" i="35" s="1"/>
  <c r="N445" i="35"/>
  <c r="R445" i="35" s="1"/>
  <c r="N397" i="35"/>
  <c r="R397" i="35" s="1"/>
  <c r="N317" i="35"/>
  <c r="R317" i="35" s="1"/>
  <c r="N213" i="35"/>
  <c r="R213" i="35" s="1"/>
  <c r="N109" i="35"/>
  <c r="R109" i="35" s="1"/>
  <c r="N101" i="35"/>
  <c r="R101" i="35" s="1"/>
  <c r="N93" i="35"/>
  <c r="R93" i="35" s="1"/>
  <c r="N61" i="35"/>
  <c r="R61" i="35" s="1"/>
  <c r="N53" i="35"/>
  <c r="R53" i="35" s="1"/>
  <c r="O115" i="16"/>
  <c r="S115" i="16" s="1"/>
  <c r="T115" i="16" s="1"/>
  <c r="AE115" i="16" s="1"/>
  <c r="AD103" i="16"/>
  <c r="AD71" i="16"/>
  <c r="O58" i="16"/>
  <c r="S58" i="16" s="1"/>
  <c r="T58" i="16" s="1"/>
  <c r="AE58" i="16" s="1"/>
  <c r="AD52" i="16"/>
  <c r="AD46" i="16"/>
  <c r="AD20" i="16"/>
  <c r="AD14" i="16"/>
  <c r="AF14" i="16" s="1"/>
  <c r="O42" i="16"/>
  <c r="S42" i="16" s="1"/>
  <c r="T42" i="16" s="1"/>
  <c r="AE42" i="16" s="1"/>
  <c r="AK167" i="35"/>
  <c r="AK151" i="35"/>
  <c r="AK103" i="35"/>
  <c r="AK87" i="35"/>
  <c r="AK39" i="35"/>
  <c r="I30" i="15"/>
  <c r="I26" i="15"/>
  <c r="AL119" i="16"/>
  <c r="AN119" i="16" s="1"/>
  <c r="AL43" i="16"/>
  <c r="AN43" i="16" s="1"/>
  <c r="AK305" i="35"/>
  <c r="AD2" i="16"/>
  <c r="O117" i="16"/>
  <c r="S117" i="16" s="1"/>
  <c r="T117" i="16" s="1"/>
  <c r="AE117" i="16" s="1"/>
  <c r="O101" i="16"/>
  <c r="S101" i="16" s="1"/>
  <c r="T101" i="16" s="1"/>
  <c r="AE101" i="16" s="1"/>
  <c r="O85" i="16"/>
  <c r="S85" i="16" s="1"/>
  <c r="T85" i="16" s="1"/>
  <c r="AE85" i="16" s="1"/>
  <c r="AL85" i="16"/>
  <c r="AN85" i="16" s="1"/>
  <c r="O69" i="16"/>
  <c r="S69" i="16" s="1"/>
  <c r="T69" i="16" s="1"/>
  <c r="AE69" i="16" s="1"/>
  <c r="O53" i="16"/>
  <c r="S53" i="16" s="1"/>
  <c r="T53" i="16" s="1"/>
  <c r="AE53" i="16" s="1"/>
  <c r="O37" i="16"/>
  <c r="S37" i="16" s="1"/>
  <c r="T37" i="16" s="1"/>
  <c r="AE37" i="16" s="1"/>
  <c r="AL37" i="16"/>
  <c r="AN37" i="16" s="1"/>
  <c r="O21" i="16"/>
  <c r="S21" i="16" s="1"/>
  <c r="T21" i="16" s="1"/>
  <c r="AE21" i="16" s="1"/>
  <c r="O5" i="16"/>
  <c r="S5" i="16" s="1"/>
  <c r="T5" i="16" s="1"/>
  <c r="AE5" i="16" s="1"/>
  <c r="AD11" i="16"/>
  <c r="AK327" i="35"/>
  <c r="AK247" i="35"/>
  <c r="AK231" i="35"/>
  <c r="AK215" i="35"/>
  <c r="AK119" i="35"/>
  <c r="AK7" i="35"/>
  <c r="AL21" i="16"/>
  <c r="AK463" i="35"/>
  <c r="AK399" i="35"/>
  <c r="AK111" i="35"/>
  <c r="S55" i="48"/>
  <c r="W55" i="48" s="1"/>
  <c r="S107" i="48"/>
  <c r="W107" i="48" s="1"/>
  <c r="S133" i="48"/>
  <c r="W133" i="48" s="1"/>
  <c r="I147" i="48"/>
  <c r="I148" i="48" s="1"/>
  <c r="J148" i="48" s="1"/>
  <c r="L148" i="48" s="1"/>
  <c r="S159" i="48"/>
  <c r="W159" i="48" s="1"/>
  <c r="I16" i="7"/>
  <c r="I548" i="11"/>
  <c r="O109" i="16"/>
  <c r="S109" i="16" s="1"/>
  <c r="T109" i="16" s="1"/>
  <c r="AE109" i="16" s="1"/>
  <c r="O77" i="16"/>
  <c r="S77" i="16" s="1"/>
  <c r="T77" i="16" s="1"/>
  <c r="AE77" i="16" s="1"/>
  <c r="O61" i="16"/>
  <c r="S61" i="16" s="1"/>
  <c r="T61" i="16" s="1"/>
  <c r="AE61" i="16" s="1"/>
  <c r="O45" i="16"/>
  <c r="S45" i="16" s="1"/>
  <c r="T45" i="16" s="1"/>
  <c r="AE45" i="16" s="1"/>
  <c r="AL29" i="16"/>
  <c r="AN29" i="16" s="1"/>
  <c r="O29" i="16"/>
  <c r="S29" i="16" s="1"/>
  <c r="T29" i="16" s="1"/>
  <c r="AE29" i="16" s="1"/>
  <c r="O13" i="16"/>
  <c r="S13" i="16" s="1"/>
  <c r="T13" i="16" s="1"/>
  <c r="AE13" i="16" s="1"/>
  <c r="N374" i="35"/>
  <c r="R374" i="35" s="1"/>
  <c r="N398" i="35"/>
  <c r="R398" i="35" s="1"/>
  <c r="O68" i="16"/>
  <c r="S68" i="16" s="1"/>
  <c r="T68" i="16" s="1"/>
  <c r="AE68" i="16" s="1"/>
  <c r="N14" i="35"/>
  <c r="R14" i="35" s="1"/>
  <c r="AK174" i="35"/>
  <c r="AK495" i="35"/>
  <c r="N462" i="35"/>
  <c r="R462" i="35" s="1"/>
  <c r="AK238" i="35"/>
  <c r="K10" i="39"/>
  <c r="K393" i="39" s="1"/>
  <c r="N126" i="35"/>
  <c r="R126" i="35" s="1"/>
  <c r="AK47" i="35"/>
  <c r="N78" i="35"/>
  <c r="R78" i="35" s="1"/>
  <c r="AL104" i="16"/>
  <c r="AN104" i="16" s="1"/>
  <c r="AE149" i="35"/>
  <c r="AH149" i="35" s="1"/>
  <c r="AI149" i="35" s="1"/>
  <c r="AC111" i="35"/>
  <c r="AE111" i="35" s="1"/>
  <c r="AH111" i="35" s="1"/>
  <c r="AK110" i="35"/>
  <c r="AK175" i="35"/>
  <c r="N110" i="35"/>
  <c r="R110" i="35" s="1"/>
  <c r="AE101" i="35"/>
  <c r="AH101" i="35" s="1"/>
  <c r="N486" i="35"/>
  <c r="R486" i="35" s="1"/>
  <c r="AE181" i="35"/>
  <c r="AH181" i="35" s="1"/>
  <c r="AK486" i="35"/>
  <c r="AE197" i="35"/>
  <c r="AH197" i="35" s="1"/>
  <c r="AK143" i="35"/>
  <c r="N390" i="35"/>
  <c r="R390" i="35" s="1"/>
  <c r="N30" i="35"/>
  <c r="R30" i="35" s="1"/>
  <c r="AE469" i="35"/>
  <c r="AH469" i="35" s="1"/>
  <c r="AI469" i="35" s="1"/>
  <c r="AC463" i="35"/>
  <c r="AE463" i="35" s="1"/>
  <c r="AH463" i="35" s="1"/>
  <c r="AI463" i="35" s="1"/>
  <c r="N414" i="35"/>
  <c r="R414" i="35" s="1"/>
  <c r="N158" i="35"/>
  <c r="R158" i="35" s="1"/>
  <c r="AL68" i="16"/>
  <c r="AN68" i="16" s="1"/>
  <c r="AE5" i="35"/>
  <c r="AH5" i="35" s="1"/>
  <c r="AI5" i="35" s="1"/>
  <c r="AE261" i="35"/>
  <c r="AH261" i="35" s="1"/>
  <c r="AI261" i="35" s="1"/>
  <c r="O93" i="16"/>
  <c r="S93" i="16" s="1"/>
  <c r="T93" i="16" s="1"/>
  <c r="AE93" i="16" s="1"/>
  <c r="AK126" i="35"/>
  <c r="AE117" i="35"/>
  <c r="AH117" i="35" s="1"/>
  <c r="AE21" i="35"/>
  <c r="AH21" i="35" s="1"/>
  <c r="AI21" i="35" s="1"/>
  <c r="AE293" i="35"/>
  <c r="AH293" i="35" s="1"/>
  <c r="N358" i="35"/>
  <c r="R358" i="35" s="1"/>
  <c r="AK78" i="35"/>
  <c r="AE133" i="35"/>
  <c r="AH133" i="35" s="1"/>
  <c r="AI133" i="35" s="1"/>
  <c r="AC399" i="35"/>
  <c r="AE399" i="35" s="1"/>
  <c r="AH399" i="35" s="1"/>
  <c r="AE277" i="35"/>
  <c r="AH277" i="35" s="1"/>
  <c r="AI277" i="35" s="1"/>
  <c r="AE37" i="35"/>
  <c r="AH37" i="35" s="1"/>
  <c r="AI37" i="35" s="1"/>
  <c r="AE309" i="35"/>
  <c r="AH309" i="35" s="1"/>
  <c r="AK127" i="35"/>
  <c r="AE325" i="35"/>
  <c r="AH325" i="35" s="1"/>
  <c r="AI325" i="35" s="1"/>
  <c r="J42" i="48"/>
  <c r="L42" i="48" s="1"/>
  <c r="N302" i="35"/>
  <c r="R302" i="35" s="1"/>
  <c r="AK14" i="35"/>
  <c r="N94" i="35"/>
  <c r="R94" i="35" s="1"/>
  <c r="N318" i="35"/>
  <c r="R318" i="35" s="1"/>
  <c r="AE213" i="35"/>
  <c r="AH213" i="35" s="1"/>
  <c r="AI213" i="35" s="1"/>
  <c r="K9" i="39"/>
  <c r="K392" i="39" s="1"/>
  <c r="AE229" i="35"/>
  <c r="AH229" i="35" s="1"/>
  <c r="AI229" i="35" s="1"/>
  <c r="K13" i="7"/>
  <c r="K25" i="7" s="1"/>
  <c r="I25" i="7"/>
  <c r="AK79" i="35"/>
  <c r="AK63" i="35"/>
  <c r="AK198" i="35"/>
  <c r="N334" i="35"/>
  <c r="R334" i="35" s="1"/>
  <c r="AE341" i="35"/>
  <c r="AH341" i="35" s="1"/>
  <c r="AI341" i="35" s="1"/>
  <c r="AE421" i="35"/>
  <c r="AH421" i="35" s="1"/>
  <c r="AI421" i="35" s="1"/>
  <c r="O122" i="16"/>
  <c r="S122" i="16" s="1"/>
  <c r="T122" i="16" s="1"/>
  <c r="AE122" i="16" s="1"/>
  <c r="O90" i="16"/>
  <c r="S90" i="16" s="1"/>
  <c r="T90" i="16" s="1"/>
  <c r="AE90" i="16" s="1"/>
  <c r="O74" i="16"/>
  <c r="S74" i="16" s="1"/>
  <c r="T74" i="16" s="1"/>
  <c r="AE74" i="16" s="1"/>
  <c r="AK60" i="35"/>
  <c r="AK251" i="35"/>
  <c r="AK219" i="35"/>
  <c r="AE157" i="35"/>
  <c r="AH157" i="35" s="1"/>
  <c r="AE266" i="35"/>
  <c r="AH266" i="35" s="1"/>
  <c r="AI266" i="35" s="1"/>
  <c r="AE68" i="35"/>
  <c r="AH68" i="35" s="1"/>
  <c r="AI68" i="35" s="1"/>
  <c r="AE26" i="35"/>
  <c r="AH26" i="35" s="1"/>
  <c r="AI26" i="35" s="1"/>
  <c r="I25" i="14"/>
  <c r="I549" i="11"/>
  <c r="K20" i="11"/>
  <c r="I551" i="11"/>
  <c r="K10" i="6"/>
  <c r="K22" i="6" s="1"/>
  <c r="I15" i="6"/>
  <c r="I22" i="6"/>
  <c r="AK23" i="35"/>
  <c r="AK159" i="35"/>
  <c r="AK311" i="35"/>
  <c r="AL16" i="16"/>
  <c r="AN16" i="16" s="1"/>
  <c r="AL57" i="16"/>
  <c r="AN57" i="16" s="1"/>
  <c r="N327" i="35"/>
  <c r="R327" i="35" s="1"/>
  <c r="N247" i="35"/>
  <c r="R247" i="35" s="1"/>
  <c r="N399" i="35"/>
  <c r="R399" i="35" s="1"/>
  <c r="K10" i="13"/>
  <c r="K22" i="13" s="1"/>
  <c r="K9" i="14"/>
  <c r="K21" i="14" s="1"/>
  <c r="O104" i="16"/>
  <c r="S104" i="16" s="1"/>
  <c r="T104" i="16" s="1"/>
  <c r="AE104" i="16" s="1"/>
  <c r="N63" i="35"/>
  <c r="R63" i="35" s="1"/>
  <c r="AD107" i="16"/>
  <c r="N311" i="35"/>
  <c r="R311" i="35" s="1"/>
  <c r="N323" i="35"/>
  <c r="R323" i="35" s="1"/>
  <c r="AK343" i="35"/>
  <c r="AK191" i="35"/>
  <c r="AL55" i="16"/>
  <c r="AN55" i="16" s="1"/>
  <c r="AL19" i="16"/>
  <c r="AN19" i="16" s="1"/>
  <c r="AL7" i="16"/>
  <c r="AN7" i="16" s="1"/>
  <c r="AD27" i="16"/>
  <c r="AK31" i="35"/>
  <c r="AL36" i="16"/>
  <c r="AN36" i="16" s="1"/>
  <c r="AK203" i="35"/>
  <c r="K8" i="14"/>
  <c r="K20" i="14" s="1"/>
  <c r="AK279" i="35"/>
  <c r="AK447" i="35"/>
  <c r="AK263" i="35"/>
  <c r="AL87" i="16"/>
  <c r="AN87" i="16" s="1"/>
  <c r="AK295" i="35"/>
  <c r="O116" i="16"/>
  <c r="S116" i="16" s="1"/>
  <c r="T116" i="16" s="1"/>
  <c r="AE116" i="16" s="1"/>
  <c r="O84" i="16"/>
  <c r="S84" i="16" s="1"/>
  <c r="T84" i="16" s="1"/>
  <c r="AE84" i="16" s="1"/>
  <c r="N489" i="35"/>
  <c r="R489" i="35" s="1"/>
  <c r="O72" i="16"/>
  <c r="S72" i="16" s="1"/>
  <c r="T72" i="16" s="1"/>
  <c r="AE72" i="16" s="1"/>
  <c r="O36" i="16"/>
  <c r="S36" i="16" s="1"/>
  <c r="T36" i="16" s="1"/>
  <c r="AE36" i="16" s="1"/>
  <c r="AL80" i="16"/>
  <c r="AN80" i="16" s="1"/>
  <c r="AL44" i="16"/>
  <c r="AN44" i="16" s="1"/>
  <c r="AE405" i="35"/>
  <c r="AH405" i="35" s="1"/>
  <c r="I15" i="13"/>
  <c r="AL77" i="16"/>
  <c r="AN77" i="16" s="1"/>
  <c r="I23" i="14"/>
  <c r="AC353" i="35"/>
  <c r="AE353" i="35" s="1"/>
  <c r="AH353" i="35" s="1"/>
  <c r="AK353" i="35"/>
  <c r="N455" i="35"/>
  <c r="R455" i="35" s="1"/>
  <c r="N116" i="35"/>
  <c r="R116" i="35" s="1"/>
  <c r="AL116" i="16"/>
  <c r="AN116" i="16" s="1"/>
  <c r="AE410" i="35"/>
  <c r="AH410" i="35" s="1"/>
  <c r="AI410" i="35" s="1"/>
  <c r="I93" i="5"/>
  <c r="K12" i="5"/>
  <c r="K93" i="5" s="1"/>
  <c r="N402" i="35"/>
  <c r="R402" i="35" s="1"/>
  <c r="N408" i="35"/>
  <c r="R408" i="35" s="1"/>
  <c r="N296" i="35"/>
  <c r="R296" i="35" s="1"/>
  <c r="N216" i="35"/>
  <c r="R216" i="35" s="1"/>
  <c r="N192" i="35"/>
  <c r="R192" i="35" s="1"/>
  <c r="N120" i="35"/>
  <c r="R120" i="35" s="1"/>
  <c r="N88" i="35"/>
  <c r="R88" i="35" s="1"/>
  <c r="AK383" i="35"/>
  <c r="N383" i="35"/>
  <c r="R383" i="35" s="1"/>
  <c r="N446" i="35"/>
  <c r="R446" i="35" s="1"/>
  <c r="AK446" i="35"/>
  <c r="AK469" i="35"/>
  <c r="N469" i="35"/>
  <c r="R469" i="35" s="1"/>
  <c r="N500" i="35"/>
  <c r="R500" i="35" s="1"/>
  <c r="AK500" i="35"/>
  <c r="AE252" i="35"/>
  <c r="AH252" i="35" s="1"/>
  <c r="AI252" i="35" s="1"/>
  <c r="AE93" i="35"/>
  <c r="AH93" i="35" s="1"/>
  <c r="AE416" i="35"/>
  <c r="AH416" i="35" s="1"/>
  <c r="AI416" i="35" s="1"/>
  <c r="AE80" i="35"/>
  <c r="AH80" i="35" s="1"/>
  <c r="AE28" i="35"/>
  <c r="AH28" i="35" s="1"/>
  <c r="AI28" i="35" s="1"/>
  <c r="AE242" i="35"/>
  <c r="AH242" i="35" s="1"/>
  <c r="AE268" i="35"/>
  <c r="AH268" i="35" s="1"/>
  <c r="AI268" i="35" s="1"/>
  <c r="AE248" i="35"/>
  <c r="AH248" i="35" s="1"/>
  <c r="AI248" i="35" s="1"/>
  <c r="AE412" i="35"/>
  <c r="AH412" i="35" s="1"/>
  <c r="AI412" i="35" s="1"/>
  <c r="I97" i="27"/>
  <c r="AK68" i="35"/>
  <c r="N68" i="35"/>
  <c r="R68" i="35" s="1"/>
  <c r="N44" i="35"/>
  <c r="R44" i="35" s="1"/>
  <c r="I553" i="11"/>
  <c r="AK303" i="35"/>
  <c r="N303" i="35"/>
  <c r="R303" i="35" s="1"/>
  <c r="N168" i="35"/>
  <c r="R168" i="35" s="1"/>
  <c r="O113" i="16"/>
  <c r="S113" i="16" s="1"/>
  <c r="T113" i="16" s="1"/>
  <c r="AE113" i="16" s="1"/>
  <c r="O97" i="16"/>
  <c r="S97" i="16" s="1"/>
  <c r="T97" i="16" s="1"/>
  <c r="AE97" i="16" s="1"/>
  <c r="O81" i="16"/>
  <c r="S81" i="16" s="1"/>
  <c r="T81" i="16" s="1"/>
  <c r="AE81" i="16" s="1"/>
  <c r="O65" i="16"/>
  <c r="S65" i="16" s="1"/>
  <c r="T65" i="16" s="1"/>
  <c r="AE65" i="16" s="1"/>
  <c r="O49" i="16"/>
  <c r="S49" i="16" s="1"/>
  <c r="T49" i="16" s="1"/>
  <c r="AE49" i="16" s="1"/>
  <c r="O33" i="16"/>
  <c r="S33" i="16" s="1"/>
  <c r="T33" i="16" s="1"/>
  <c r="AE33" i="16" s="1"/>
  <c r="O17" i="16"/>
  <c r="S17" i="16" s="1"/>
  <c r="T17" i="16" s="1"/>
  <c r="AE17" i="16" s="1"/>
  <c r="AL17" i="16"/>
  <c r="AN17" i="16" s="1"/>
  <c r="N342" i="35"/>
  <c r="R342" i="35" s="1"/>
  <c r="AK342" i="35"/>
  <c r="K19" i="11"/>
  <c r="I550" i="11"/>
  <c r="I542" i="11"/>
  <c r="N498" i="35"/>
  <c r="R498" i="35" s="1"/>
  <c r="N459" i="35"/>
  <c r="R459" i="35" s="1"/>
  <c r="AK459" i="35"/>
  <c r="N389" i="35"/>
  <c r="R389" i="35" s="1"/>
  <c r="N294" i="35"/>
  <c r="R294" i="35" s="1"/>
  <c r="N262" i="35"/>
  <c r="R262" i="35" s="1"/>
  <c r="N451" i="35"/>
  <c r="R451" i="35" s="1"/>
  <c r="AK451" i="35"/>
  <c r="N442" i="35"/>
  <c r="R442" i="35" s="1"/>
  <c r="N395" i="35"/>
  <c r="R395" i="35" s="1"/>
  <c r="N228" i="35"/>
  <c r="R228" i="35" s="1"/>
  <c r="N480" i="35"/>
  <c r="R480" i="35" s="1"/>
  <c r="N204" i="35"/>
  <c r="R204" i="35" s="1"/>
  <c r="N70" i="35"/>
  <c r="R70" i="35" s="1"/>
  <c r="N22" i="35"/>
  <c r="R22" i="35" s="1"/>
  <c r="AE280" i="35"/>
  <c r="AH280" i="35" s="1"/>
  <c r="AK195" i="35"/>
  <c r="AL84" i="16"/>
  <c r="AE6" i="35"/>
  <c r="AH6" i="35" s="1"/>
  <c r="AI6" i="35" s="1"/>
  <c r="AE110" i="35"/>
  <c r="AH110" i="35" s="1"/>
  <c r="AI110" i="35" s="1"/>
  <c r="K10" i="14"/>
  <c r="K22" i="14" s="1"/>
  <c r="AE389" i="35"/>
  <c r="AH389" i="35" s="1"/>
  <c r="AI389" i="35" s="1"/>
  <c r="AE300" i="35"/>
  <c r="AH300" i="35" s="1"/>
  <c r="AI300" i="35" s="1"/>
  <c r="AL50" i="16"/>
  <c r="AN50" i="16" s="1"/>
  <c r="AE212" i="35"/>
  <c r="AH212" i="35" s="1"/>
  <c r="AE71" i="35"/>
  <c r="AH71" i="35" s="1"/>
  <c r="AI71" i="35" s="1"/>
  <c r="AK109" i="35"/>
  <c r="AL67" i="16"/>
  <c r="AN67" i="16" s="1"/>
  <c r="AE155" i="35"/>
  <c r="AH155" i="35" s="1"/>
  <c r="AI155" i="35" s="1"/>
  <c r="O44" i="16"/>
  <c r="S44" i="16" s="1"/>
  <c r="T44" i="16" s="1"/>
  <c r="AE44" i="16" s="1"/>
  <c r="N203" i="35"/>
  <c r="R203" i="35" s="1"/>
  <c r="AE179" i="35"/>
  <c r="AH179" i="35" s="1"/>
  <c r="AI179" i="35" s="1"/>
  <c r="AK101" i="35"/>
  <c r="AE244" i="35"/>
  <c r="AH244" i="35" s="1"/>
  <c r="AI244" i="35" s="1"/>
  <c r="AE49" i="35"/>
  <c r="AH49" i="35" s="1"/>
  <c r="AI49" i="35" s="1"/>
  <c r="AE64" i="35"/>
  <c r="AH64" i="35" s="1"/>
  <c r="AI64" i="35" s="1"/>
  <c r="AE369" i="35"/>
  <c r="AH369" i="35" s="1"/>
  <c r="AI369" i="35" s="1"/>
  <c r="AE45" i="35"/>
  <c r="AH45" i="35" s="1"/>
  <c r="AI45" i="35" s="1"/>
  <c r="AE108" i="35"/>
  <c r="AH108" i="35" s="1"/>
  <c r="AE165" i="35"/>
  <c r="AH165" i="35" s="1"/>
  <c r="B2" i="30"/>
  <c r="B3" i="33" s="1"/>
  <c r="N435" i="35"/>
  <c r="R435" i="35" s="1"/>
  <c r="N280" i="35"/>
  <c r="R280" i="35" s="1"/>
  <c r="N326" i="35"/>
  <c r="R326" i="35" s="1"/>
  <c r="AK326" i="35"/>
  <c r="N248" i="35"/>
  <c r="R248" i="35" s="1"/>
  <c r="AK471" i="35"/>
  <c r="N471" i="35"/>
  <c r="R471" i="35" s="1"/>
  <c r="N357" i="35"/>
  <c r="R357" i="35" s="1"/>
  <c r="AK357" i="35"/>
  <c r="N271" i="35"/>
  <c r="R271" i="35" s="1"/>
  <c r="AK52" i="35"/>
  <c r="N52" i="35"/>
  <c r="R52" i="35" s="1"/>
  <c r="AC302" i="35"/>
  <c r="AE302" i="35" s="1"/>
  <c r="AK302" i="35"/>
  <c r="N478" i="35"/>
  <c r="R478" i="35" s="1"/>
  <c r="AK478" i="35"/>
  <c r="N448" i="35"/>
  <c r="R448" i="35" s="1"/>
  <c r="AK448" i="35"/>
  <c r="N36" i="35"/>
  <c r="R36" i="35" s="1"/>
  <c r="AK36" i="35"/>
  <c r="AK316" i="35"/>
  <c r="N316" i="35"/>
  <c r="R316" i="35" s="1"/>
  <c r="AK152" i="35"/>
  <c r="N152" i="35"/>
  <c r="R152" i="35" s="1"/>
  <c r="N136" i="35"/>
  <c r="R136" i="35" s="1"/>
  <c r="N128" i="35"/>
  <c r="R128" i="35" s="1"/>
  <c r="N461" i="35"/>
  <c r="R461" i="35" s="1"/>
  <c r="N454" i="35"/>
  <c r="R454" i="35" s="1"/>
  <c r="AL5" i="16"/>
  <c r="AD5" i="16"/>
  <c r="AK476" i="35"/>
  <c r="N476" i="35"/>
  <c r="R476" i="35" s="1"/>
  <c r="N284" i="35"/>
  <c r="R284" i="35" s="1"/>
  <c r="AK42" i="35"/>
  <c r="N42" i="35"/>
  <c r="R42" i="35" s="1"/>
  <c r="AK377" i="35"/>
  <c r="N377" i="35"/>
  <c r="R377" i="35" s="1"/>
  <c r="N244" i="35"/>
  <c r="R244" i="35" s="1"/>
  <c r="AK244" i="35"/>
  <c r="N72" i="35"/>
  <c r="R72" i="35" s="1"/>
  <c r="N490" i="35"/>
  <c r="R490" i="35" s="1"/>
  <c r="AK422" i="35"/>
  <c r="N422" i="35"/>
  <c r="R422" i="35" s="1"/>
  <c r="N134" i="35"/>
  <c r="R134" i="35" s="1"/>
  <c r="AK452" i="35"/>
  <c r="N452" i="35"/>
  <c r="R452" i="35" s="1"/>
  <c r="N406" i="35"/>
  <c r="R406" i="35" s="1"/>
  <c r="N391" i="35"/>
  <c r="R391" i="35" s="1"/>
  <c r="AK329" i="35"/>
  <c r="N329" i="35"/>
  <c r="R329" i="35" s="1"/>
  <c r="N297" i="35"/>
  <c r="R297" i="35" s="1"/>
  <c r="N102" i="35"/>
  <c r="R102" i="35" s="1"/>
  <c r="N24" i="35"/>
  <c r="R24" i="35" s="1"/>
  <c r="N328" i="35"/>
  <c r="R328" i="35" s="1"/>
  <c r="N312" i="35"/>
  <c r="R312" i="35" s="1"/>
  <c r="N16" i="35"/>
  <c r="R16" i="35" s="1"/>
  <c r="N428" i="35"/>
  <c r="R428" i="35" s="1"/>
  <c r="AK148" i="35"/>
  <c r="N148" i="35"/>
  <c r="R148" i="35" s="1"/>
  <c r="AE22" i="35"/>
  <c r="AH22" i="35" s="1"/>
  <c r="AI22" i="35" s="1"/>
  <c r="AE188" i="35"/>
  <c r="AH188" i="35" s="1"/>
  <c r="AI188" i="35" s="1"/>
  <c r="AK26" i="35"/>
  <c r="AL32" i="16"/>
  <c r="AN32" i="16" s="1"/>
  <c r="AK271" i="35"/>
  <c r="AE204" i="35"/>
  <c r="AH204" i="35" s="1"/>
  <c r="AI204" i="35" s="1"/>
  <c r="AE53" i="35"/>
  <c r="AH53" i="35" s="1"/>
  <c r="AI53" i="35" s="1"/>
  <c r="AE236" i="35"/>
  <c r="AH236" i="35" s="1"/>
  <c r="AE136" i="35"/>
  <c r="AH136" i="35" s="1"/>
  <c r="AK177" i="35"/>
  <c r="AE284" i="35"/>
  <c r="AH284" i="35" s="1"/>
  <c r="AI284" i="35" s="1"/>
  <c r="AE208" i="35"/>
  <c r="AH208" i="35" s="1"/>
  <c r="AE272" i="35"/>
  <c r="AH272" i="35" s="1"/>
  <c r="AL93" i="16"/>
  <c r="AN93" i="16" s="1"/>
  <c r="AE276" i="35"/>
  <c r="AH276" i="35" s="1"/>
  <c r="AI276" i="35" s="1"/>
  <c r="AE381" i="35"/>
  <c r="AH381" i="35" s="1"/>
  <c r="AI381" i="35" s="1"/>
  <c r="AL46" i="16"/>
  <c r="AN46" i="16" s="1"/>
  <c r="AK116" i="35"/>
  <c r="AE397" i="35"/>
  <c r="AH397" i="35" s="1"/>
  <c r="AI397" i="35" s="1"/>
  <c r="AE428" i="35"/>
  <c r="AH428" i="35" s="1"/>
  <c r="AE357" i="35"/>
  <c r="AH357" i="35" s="1"/>
  <c r="AE128" i="35"/>
  <c r="AH128" i="35" s="1"/>
  <c r="K8" i="13"/>
  <c r="K20" i="13" s="1"/>
  <c r="I20" i="13"/>
  <c r="O73" i="16"/>
  <c r="S73" i="16" s="1"/>
  <c r="T73" i="16" s="1"/>
  <c r="AE73" i="16" s="1"/>
  <c r="N427" i="35"/>
  <c r="R427" i="35" s="1"/>
  <c r="N368" i="35"/>
  <c r="R368" i="35" s="1"/>
  <c r="AK163" i="35"/>
  <c r="N163" i="35"/>
  <c r="R163" i="35" s="1"/>
  <c r="N255" i="35"/>
  <c r="R255" i="35" s="1"/>
  <c r="N232" i="35"/>
  <c r="R232" i="35" s="1"/>
  <c r="I24" i="15"/>
  <c r="K9" i="15"/>
  <c r="K24" i="15" s="1"/>
  <c r="O118" i="16"/>
  <c r="S118" i="16" s="1"/>
  <c r="T118" i="16" s="1"/>
  <c r="AE118" i="16" s="1"/>
  <c r="AD113" i="16"/>
  <c r="AL113" i="16"/>
  <c r="AN113" i="16" s="1"/>
  <c r="AK359" i="35"/>
  <c r="N359" i="35"/>
  <c r="R359" i="35" s="1"/>
  <c r="N132" i="35"/>
  <c r="R132" i="35" s="1"/>
  <c r="AK132" i="35"/>
  <c r="N64" i="35"/>
  <c r="R64" i="35" s="1"/>
  <c r="AK64" i="35"/>
  <c r="AK56" i="35"/>
  <c r="N56" i="35"/>
  <c r="R56" i="35" s="1"/>
  <c r="N403" i="35"/>
  <c r="R403" i="35" s="1"/>
  <c r="N292" i="35"/>
  <c r="R292" i="35" s="1"/>
  <c r="AK292" i="35"/>
  <c r="AK392" i="35"/>
  <c r="AC392" i="35"/>
  <c r="AE392" i="35" s="1"/>
  <c r="AH392" i="35" s="1"/>
  <c r="AI392" i="35" s="1"/>
  <c r="AK474" i="35"/>
  <c r="N474" i="35"/>
  <c r="R474" i="35" s="1"/>
  <c r="N467" i="35"/>
  <c r="R467" i="35" s="1"/>
  <c r="AK366" i="35"/>
  <c r="N366" i="35"/>
  <c r="R366" i="35" s="1"/>
  <c r="AK335" i="35"/>
  <c r="N335" i="35"/>
  <c r="R335" i="35" s="1"/>
  <c r="AK313" i="35"/>
  <c r="N313" i="35"/>
  <c r="R313" i="35" s="1"/>
  <c r="N246" i="35"/>
  <c r="R246" i="35" s="1"/>
  <c r="N223" i="35"/>
  <c r="R223" i="35" s="1"/>
  <c r="AK223" i="35"/>
  <c r="N200" i="35"/>
  <c r="R200" i="35" s="1"/>
  <c r="AK200" i="35"/>
  <c r="AK350" i="35"/>
  <c r="N350" i="35"/>
  <c r="R350" i="35" s="1"/>
  <c r="N320" i="35"/>
  <c r="R320" i="35" s="1"/>
  <c r="AK320" i="35"/>
  <c r="AK291" i="35"/>
  <c r="N230" i="35"/>
  <c r="R230" i="35" s="1"/>
  <c r="N184" i="35"/>
  <c r="R184" i="35" s="1"/>
  <c r="N40" i="35"/>
  <c r="R40" i="35" s="1"/>
  <c r="AK40" i="35"/>
  <c r="N10" i="35"/>
  <c r="R10" i="35" s="1"/>
  <c r="AK10" i="35"/>
  <c r="AK216" i="35"/>
  <c r="AC216" i="35"/>
  <c r="AE216" i="35" s="1"/>
  <c r="AH216" i="35" s="1"/>
  <c r="AI216" i="35" s="1"/>
  <c r="AC207" i="35"/>
  <c r="AE207" i="35" s="1"/>
  <c r="AH207" i="35" s="1"/>
  <c r="AI207" i="35" s="1"/>
  <c r="AK207" i="35"/>
  <c r="N160" i="35"/>
  <c r="R160" i="35" s="1"/>
  <c r="AK100" i="35"/>
  <c r="N100" i="35"/>
  <c r="R100" i="35" s="1"/>
  <c r="N54" i="35"/>
  <c r="R54" i="35" s="1"/>
  <c r="AK394" i="35"/>
  <c r="N394" i="35"/>
  <c r="R394" i="35" s="1"/>
  <c r="N319" i="35"/>
  <c r="R319" i="35" s="1"/>
  <c r="AK319" i="35"/>
  <c r="AK260" i="35"/>
  <c r="N260" i="35"/>
  <c r="R260" i="35" s="1"/>
  <c r="N46" i="35"/>
  <c r="R46" i="35" s="1"/>
  <c r="AK46" i="35"/>
  <c r="O70" i="16"/>
  <c r="S70" i="16" s="1"/>
  <c r="T70" i="16" s="1"/>
  <c r="AE70" i="16" s="1"/>
  <c r="O54" i="16"/>
  <c r="S54" i="16" s="1"/>
  <c r="T54" i="16" s="1"/>
  <c r="AE54" i="16" s="1"/>
  <c r="AL6" i="16"/>
  <c r="O6" i="16"/>
  <c r="S6" i="16" s="1"/>
  <c r="T6" i="16" s="1"/>
  <c r="AE6" i="16" s="1"/>
  <c r="N144" i="35"/>
  <c r="R144" i="35" s="1"/>
  <c r="AC162" i="35"/>
  <c r="AE162" i="35" s="1"/>
  <c r="AH162" i="35" s="1"/>
  <c r="N356" i="35"/>
  <c r="R356" i="35" s="1"/>
  <c r="N182" i="35"/>
  <c r="R182" i="35" s="1"/>
  <c r="N121" i="35"/>
  <c r="R121" i="35" s="1"/>
  <c r="AK121" i="35"/>
  <c r="N429" i="35"/>
  <c r="R429" i="35" s="1"/>
  <c r="AK407" i="35"/>
  <c r="N407" i="35"/>
  <c r="R407" i="35" s="1"/>
  <c r="AK363" i="35"/>
  <c r="N363" i="35"/>
  <c r="R363" i="35" s="1"/>
  <c r="N281" i="35"/>
  <c r="R281" i="35" s="1"/>
  <c r="AK281" i="35"/>
  <c r="N60" i="35"/>
  <c r="R60" i="35" s="1"/>
  <c r="I400" i="39"/>
  <c r="K400" i="39"/>
  <c r="N392" i="35"/>
  <c r="R392" i="35" s="1"/>
  <c r="N370" i="35"/>
  <c r="R370" i="35" s="1"/>
  <c r="N150" i="35"/>
  <c r="R150" i="35" s="1"/>
  <c r="N135" i="35"/>
  <c r="R135" i="35" s="1"/>
  <c r="AK135" i="35"/>
  <c r="AK15" i="35"/>
  <c r="N15" i="35"/>
  <c r="R15" i="35" s="1"/>
  <c r="AK239" i="35"/>
  <c r="AK196" i="35"/>
  <c r="N196" i="35"/>
  <c r="R196" i="35" s="1"/>
  <c r="AK142" i="35"/>
  <c r="N142" i="35"/>
  <c r="R142" i="35" s="1"/>
  <c r="AL34" i="16"/>
  <c r="AN34" i="16" s="1"/>
  <c r="AD34" i="16"/>
  <c r="AL28" i="16"/>
  <c r="AN28" i="16" s="1"/>
  <c r="O28" i="16"/>
  <c r="S28" i="16" s="1"/>
  <c r="T28" i="16" s="1"/>
  <c r="AE28" i="16" s="1"/>
  <c r="N324" i="35"/>
  <c r="R324" i="35" s="1"/>
  <c r="AK287" i="35"/>
  <c r="N287" i="35"/>
  <c r="R287" i="35" s="1"/>
  <c r="N272" i="35"/>
  <c r="R272" i="35" s="1"/>
  <c r="AK249" i="35"/>
  <c r="N249" i="35"/>
  <c r="R249" i="35" s="1"/>
  <c r="N180" i="35"/>
  <c r="R180" i="35" s="1"/>
  <c r="AK180" i="35"/>
  <c r="N172" i="35"/>
  <c r="R172" i="35" s="1"/>
  <c r="N149" i="35"/>
  <c r="R149" i="35" s="1"/>
  <c r="AK25" i="35"/>
  <c r="AC25" i="35"/>
  <c r="AE25" i="35" s="1"/>
  <c r="AH25" i="35" s="1"/>
  <c r="AI25" i="35" s="1"/>
  <c r="N218" i="35"/>
  <c r="R218" i="35" s="1"/>
  <c r="N156" i="35"/>
  <c r="R156" i="35" s="1"/>
  <c r="AK58" i="35"/>
  <c r="N58" i="35"/>
  <c r="R58" i="35" s="1"/>
  <c r="AK184" i="35"/>
  <c r="AL86" i="16"/>
  <c r="AN86" i="16" s="1"/>
  <c r="AE85" i="35"/>
  <c r="AH85" i="35" s="1"/>
  <c r="AI85" i="35" s="1"/>
  <c r="AE167" i="35"/>
  <c r="AH167" i="35" s="1"/>
  <c r="AD86" i="16"/>
  <c r="AL35" i="16"/>
  <c r="AN35" i="16" s="1"/>
  <c r="AL73" i="16"/>
  <c r="AN73" i="16" s="1"/>
  <c r="AE112" i="35"/>
  <c r="AH112" i="35" s="1"/>
  <c r="AE4" i="35"/>
  <c r="AH4" i="35" s="1"/>
  <c r="AI4" i="35" s="1"/>
  <c r="AK220" i="35"/>
  <c r="AL112" i="16"/>
  <c r="AN112" i="16" s="1"/>
  <c r="AE94" i="35"/>
  <c r="AH94" i="35" s="1"/>
  <c r="AI94" i="35" s="1"/>
  <c r="AE359" i="35"/>
  <c r="AH359" i="35" s="1"/>
  <c r="AI359" i="35" s="1"/>
  <c r="AL106" i="16"/>
  <c r="AN106" i="16" s="1"/>
  <c r="AL72" i="16"/>
  <c r="AN72" i="16" s="1"/>
  <c r="N185" i="35"/>
  <c r="R185" i="35" s="1"/>
  <c r="AL83" i="16"/>
  <c r="AN83" i="16" s="1"/>
  <c r="AL66" i="16"/>
  <c r="AN66" i="16" s="1"/>
  <c r="AL26" i="16"/>
  <c r="AN26" i="16" s="1"/>
  <c r="AL54" i="16"/>
  <c r="AN54" i="16" s="1"/>
  <c r="AE224" i="35"/>
  <c r="AH224" i="35" s="1"/>
  <c r="AI224" i="35" s="1"/>
  <c r="AL65" i="16"/>
  <c r="AN65" i="16" s="1"/>
  <c r="AL114" i="16"/>
  <c r="AN114" i="16" s="1"/>
  <c r="N470" i="35"/>
  <c r="R470" i="35" s="1"/>
  <c r="N424" i="35"/>
  <c r="R424" i="35" s="1"/>
  <c r="AK424" i="35"/>
  <c r="AK456" i="35"/>
  <c r="N456" i="35"/>
  <c r="R456" i="35" s="1"/>
  <c r="N418" i="35"/>
  <c r="R418" i="35" s="1"/>
  <c r="AK481" i="35"/>
  <c r="N481" i="35"/>
  <c r="R481" i="35" s="1"/>
  <c r="I24" i="14"/>
  <c r="K12" i="14"/>
  <c r="I15" i="14"/>
  <c r="N449" i="35"/>
  <c r="R449" i="35" s="1"/>
  <c r="AL95" i="16"/>
  <c r="AN95" i="16" s="1"/>
  <c r="AD95" i="16"/>
  <c r="N415" i="35"/>
  <c r="R415" i="35" s="1"/>
  <c r="AK415" i="35"/>
  <c r="AL94" i="16"/>
  <c r="AN94" i="16" s="1"/>
  <c r="AD94" i="16"/>
  <c r="AL49" i="16"/>
  <c r="AN49" i="16" s="1"/>
  <c r="AD49" i="16"/>
  <c r="N485" i="35"/>
  <c r="R485" i="35" s="1"/>
  <c r="AK472" i="35"/>
  <c r="N472" i="35"/>
  <c r="R472" i="35" s="1"/>
  <c r="AK440" i="35"/>
  <c r="J68" i="48"/>
  <c r="L68" i="48" s="1"/>
  <c r="J146" i="48"/>
  <c r="L146" i="48" s="1"/>
  <c r="J120" i="48"/>
  <c r="L120" i="48" s="1"/>
  <c r="AL70" i="16"/>
  <c r="AN70" i="16" s="1"/>
  <c r="AD70" i="16"/>
  <c r="N465" i="35"/>
  <c r="R465" i="35" s="1"/>
  <c r="AK465" i="35"/>
  <c r="N413" i="35"/>
  <c r="R413" i="35" s="1"/>
  <c r="AK413" i="35"/>
  <c r="N458" i="35"/>
  <c r="R458" i="35" s="1"/>
  <c r="AD64" i="16"/>
  <c r="AL64" i="16"/>
  <c r="AN64" i="16" s="1"/>
  <c r="N438" i="35"/>
  <c r="R438" i="35" s="1"/>
  <c r="AL100" i="16"/>
  <c r="AN100" i="16" s="1"/>
  <c r="AL62" i="16"/>
  <c r="AN62" i="16" s="1"/>
  <c r="AL51" i="16"/>
  <c r="AN51" i="16" s="1"/>
  <c r="I552" i="11"/>
  <c r="AK97" i="35"/>
  <c r="AL53" i="16"/>
  <c r="AN53" i="16" s="1"/>
  <c r="AL42" i="16"/>
  <c r="AN42" i="16" s="1"/>
  <c r="AL118" i="16"/>
  <c r="AN118" i="16" s="1"/>
  <c r="AL30" i="16"/>
  <c r="AN30" i="16" s="1"/>
  <c r="AK408" i="35"/>
  <c r="AK497" i="35"/>
  <c r="AK477" i="35"/>
  <c r="AK461" i="35"/>
  <c r="AK457" i="35"/>
  <c r="AK453" i="35"/>
  <c r="AK449" i="35"/>
  <c r="AK445" i="35"/>
  <c r="AK441" i="35"/>
  <c r="AK346" i="35"/>
  <c r="AK338" i="35"/>
  <c r="AK330" i="35"/>
  <c r="AK322" i="35"/>
  <c r="AK314" i="35"/>
  <c r="AK310" i="35"/>
  <c r="AK306" i="35"/>
  <c r="AK80" i="35"/>
  <c r="AK72" i="35"/>
  <c r="O82" i="27"/>
  <c r="E97" i="27"/>
  <c r="O86" i="27"/>
  <c r="O90" i="27"/>
  <c r="O92" i="27"/>
  <c r="O93" i="27"/>
  <c r="O94" i="27"/>
  <c r="O96" i="27"/>
  <c r="AK298" i="35"/>
  <c r="AK294" i="35"/>
  <c r="AK290" i="35"/>
  <c r="AK286" i="35"/>
  <c r="AK278" i="35"/>
  <c r="AK274" i="35"/>
  <c r="AK270" i="35"/>
  <c r="AK262" i="35"/>
  <c r="AK258" i="35"/>
  <c r="AK254" i="35"/>
  <c r="AK246" i="35"/>
  <c r="AK242" i="35"/>
  <c r="AK230" i="35"/>
  <c r="AK226" i="35"/>
  <c r="AK222" i="35"/>
  <c r="AK171" i="35"/>
  <c r="AK155" i="35"/>
  <c r="AK147" i="35"/>
  <c r="AK429" i="35"/>
  <c r="AK425" i="35"/>
  <c r="AK421" i="35"/>
  <c r="AK417" i="35"/>
  <c r="AK409" i="35"/>
  <c r="AK123" i="35"/>
  <c r="AK48" i="35"/>
  <c r="AK44" i="35"/>
  <c r="AL111" i="16"/>
  <c r="AN111" i="16" s="1"/>
  <c r="AK401" i="35"/>
  <c r="AK397" i="35"/>
  <c r="AK393" i="35"/>
  <c r="AK389" i="35"/>
  <c r="AK381" i="35"/>
  <c r="AK369" i="35"/>
  <c r="AK365" i="35"/>
  <c r="AK361" i="35"/>
  <c r="AK214" i="35"/>
  <c r="AK206" i="35"/>
  <c r="AK194" i="35"/>
  <c r="AK190" i="35"/>
  <c r="AK91" i="35"/>
  <c r="AK83" i="35"/>
  <c r="AK28" i="35"/>
  <c r="AK24" i="35"/>
  <c r="AK20" i="35"/>
  <c r="AK16" i="35"/>
  <c r="AK496" i="35"/>
  <c r="AK488" i="35"/>
  <c r="AK480" i="35"/>
  <c r="AK468" i="35"/>
  <c r="AK345" i="35"/>
  <c r="AK341" i="35"/>
  <c r="AK333" i="35"/>
  <c r="AK325" i="35"/>
  <c r="AK317" i="35"/>
  <c r="AK309" i="35"/>
  <c r="AK75" i="35"/>
  <c r="AK289" i="35"/>
  <c r="AK277" i="35"/>
  <c r="AK273" i="35"/>
  <c r="AK261" i="35"/>
  <c r="AK257" i="35"/>
  <c r="AK245" i="35"/>
  <c r="AK241" i="35"/>
  <c r="AK237" i="35"/>
  <c r="AK233" i="35"/>
  <c r="AK225" i="35"/>
  <c r="AK166" i="35"/>
  <c r="AK162" i="35"/>
  <c r="AK150" i="35"/>
  <c r="AK428" i="35"/>
  <c r="AK114" i="35"/>
  <c r="AK102" i="35"/>
  <c r="AK98" i="35"/>
  <c r="AK59" i="35"/>
  <c r="AK55" i="35"/>
  <c r="AK43" i="35"/>
  <c r="I43" i="48"/>
  <c r="I44" i="48" s="1"/>
  <c r="J44" i="48" s="1"/>
  <c r="L44" i="48" s="1"/>
  <c r="AK499" i="35"/>
  <c r="AK400" i="35"/>
  <c r="AK396" i="35"/>
  <c r="AK388" i="35"/>
  <c r="AK360" i="35"/>
  <c r="AK356" i="35"/>
  <c r="AK213" i="35"/>
  <c r="AK189" i="35"/>
  <c r="AK86" i="35"/>
  <c r="AK27" i="35"/>
  <c r="AK11" i="35"/>
  <c r="AK491" i="35"/>
  <c r="AK487" i="35"/>
  <c r="AK479" i="35"/>
  <c r="AK475" i="35"/>
  <c r="AK467" i="35"/>
  <c r="AK455" i="35"/>
  <c r="AK443" i="35"/>
  <c r="AK352" i="35"/>
  <c r="AK332" i="35"/>
  <c r="AK324" i="35"/>
  <c r="AK308" i="35"/>
  <c r="AK304" i="35"/>
  <c r="AK181" i="35"/>
  <c r="AK70" i="35"/>
  <c r="AK439" i="35"/>
  <c r="AK435" i="35"/>
  <c r="AK300" i="35"/>
  <c r="AK296" i="35"/>
  <c r="AK288" i="35"/>
  <c r="AK284" i="35"/>
  <c r="AK280" i="35"/>
  <c r="AK276" i="35"/>
  <c r="AK272" i="35"/>
  <c r="AK268" i="35"/>
  <c r="AK264" i="35"/>
  <c r="AK256" i="35"/>
  <c r="AK252" i="35"/>
  <c r="AK248" i="35"/>
  <c r="AK236" i="35"/>
  <c r="AK232" i="35"/>
  <c r="AK228" i="35"/>
  <c r="AK224" i="35"/>
  <c r="AK165" i="35"/>
  <c r="AK157" i="35"/>
  <c r="AK145" i="35"/>
  <c r="AK141" i="35"/>
  <c r="AK62" i="35"/>
  <c r="AK431" i="35"/>
  <c r="AK423" i="35"/>
  <c r="AK411" i="35"/>
  <c r="AK125" i="35"/>
  <c r="AK117" i="35"/>
  <c r="AK113" i="35"/>
  <c r="AK498" i="35"/>
  <c r="AK403" i="35"/>
  <c r="AK395" i="35"/>
  <c r="AK391" i="35"/>
  <c r="AK375" i="35"/>
  <c r="AK371" i="35"/>
  <c r="AK367" i="35"/>
  <c r="AK212" i="35"/>
  <c r="AK208" i="35"/>
  <c r="AK204" i="35"/>
  <c r="AK192" i="35"/>
  <c r="AK188" i="35"/>
  <c r="AK38" i="35"/>
  <c r="AK34" i="35"/>
  <c r="AK22" i="35"/>
  <c r="AK6" i="35"/>
  <c r="AK494" i="35"/>
  <c r="AK490" i="35"/>
  <c r="AK482" i="35"/>
  <c r="AK470" i="35"/>
  <c r="AK466" i="35"/>
  <c r="AK462" i="35"/>
  <c r="AK458" i="35"/>
  <c r="AK454" i="35"/>
  <c r="AK450" i="35"/>
  <c r="AK442" i="35"/>
  <c r="AK351" i="35"/>
  <c r="AK347" i="35"/>
  <c r="AK339" i="35"/>
  <c r="AK315" i="35"/>
  <c r="AK81" i="35"/>
  <c r="AK438" i="35"/>
  <c r="AK283" i="35"/>
  <c r="AK255" i="35"/>
  <c r="AK176" i="35"/>
  <c r="AK172" i="35"/>
  <c r="AK168" i="35"/>
  <c r="AK164" i="35"/>
  <c r="AK144" i="35"/>
  <c r="AK65" i="35"/>
  <c r="AK430" i="35"/>
  <c r="AK426" i="35"/>
  <c r="AK418" i="35"/>
  <c r="AK414" i="35"/>
  <c r="AK136" i="35"/>
  <c r="AK128" i="35"/>
  <c r="AK124" i="35"/>
  <c r="AK120" i="35"/>
  <c r="AK112" i="35"/>
  <c r="AK108" i="35"/>
  <c r="AK53" i="35"/>
  <c r="AK45" i="35"/>
  <c r="S29" i="48"/>
  <c r="W29" i="48" s="1"/>
  <c r="AK406" i="35"/>
  <c r="AK402" i="35"/>
  <c r="AK386" i="35"/>
  <c r="AK382" i="35"/>
  <c r="AK378" i="35"/>
  <c r="AK374" i="35"/>
  <c r="AK370" i="35"/>
  <c r="AK362" i="35"/>
  <c r="AK358" i="35"/>
  <c r="AK354" i="35"/>
  <c r="AK187" i="35"/>
  <c r="AK88" i="35"/>
  <c r="AK21" i="35"/>
  <c r="AK17" i="35"/>
  <c r="AK5" i="35"/>
  <c r="AK218" i="35"/>
  <c r="AK115" i="35"/>
  <c r="AC115" i="35"/>
  <c r="AE115" i="35" s="1"/>
  <c r="AH115" i="35" s="1"/>
  <c r="AC107" i="35"/>
  <c r="AE107" i="35" s="1"/>
  <c r="AH107" i="35" s="1"/>
  <c r="AI107" i="35" s="1"/>
  <c r="AK107" i="35"/>
  <c r="O95" i="16"/>
  <c r="S95" i="16" s="1"/>
  <c r="T95" i="16" s="1"/>
  <c r="AE95" i="16" s="1"/>
  <c r="O79" i="16"/>
  <c r="S79" i="16" s="1"/>
  <c r="T79" i="16" s="1"/>
  <c r="AE79" i="16" s="1"/>
  <c r="AL47" i="16"/>
  <c r="AN47" i="16" s="1"/>
  <c r="O47" i="16"/>
  <c r="S47" i="16" s="1"/>
  <c r="T47" i="16" s="1"/>
  <c r="AE47" i="16" s="1"/>
  <c r="O31" i="16"/>
  <c r="S31" i="16" s="1"/>
  <c r="T31" i="16" s="1"/>
  <c r="AE31" i="16" s="1"/>
  <c r="AL15" i="16"/>
  <c r="AN15" i="16" s="1"/>
  <c r="O15" i="16"/>
  <c r="S15" i="16" s="1"/>
  <c r="T15" i="16" s="1"/>
  <c r="AE15" i="16" s="1"/>
  <c r="AC12" i="35"/>
  <c r="AE12" i="35" s="1"/>
  <c r="AH12" i="35" s="1"/>
  <c r="AI12" i="35" s="1"/>
  <c r="AK12" i="35"/>
  <c r="O106" i="16"/>
  <c r="S106" i="16" s="1"/>
  <c r="T106" i="16" s="1"/>
  <c r="AE106" i="16" s="1"/>
  <c r="K94" i="5"/>
  <c r="I94" i="5"/>
  <c r="AK297" i="35"/>
  <c r="K8" i="15"/>
  <c r="K23" i="15" s="1"/>
  <c r="I23" i="15"/>
  <c r="AL122" i="16"/>
  <c r="AN122" i="16" s="1"/>
  <c r="AD122" i="16"/>
  <c r="AD40" i="16"/>
  <c r="AL40" i="16"/>
  <c r="AN40" i="16" s="1"/>
  <c r="AK416" i="35"/>
  <c r="AK134" i="35"/>
  <c r="AK118" i="35"/>
  <c r="AC118" i="35"/>
  <c r="AE118" i="35" s="1"/>
  <c r="AH118" i="35" s="1"/>
  <c r="AD39" i="16"/>
  <c r="AL39" i="16"/>
  <c r="AN39" i="16" s="1"/>
  <c r="AK348" i="35"/>
  <c r="AK340" i="35"/>
  <c r="AC336" i="35"/>
  <c r="AE336" i="35" s="1"/>
  <c r="AH336" i="35" s="1"/>
  <c r="AK336" i="35"/>
  <c r="AK312" i="35"/>
  <c r="AC312" i="35"/>
  <c r="AE312" i="35" s="1"/>
  <c r="AH312" i="35" s="1"/>
  <c r="AI312" i="35" s="1"/>
  <c r="AL61" i="16"/>
  <c r="AN61" i="16" s="1"/>
  <c r="AD61" i="16"/>
  <c r="AC240" i="35"/>
  <c r="AE240" i="35" s="1"/>
  <c r="AH240" i="35" s="1"/>
  <c r="AK240" i="35"/>
  <c r="AK161" i="35"/>
  <c r="AK149" i="35"/>
  <c r="K10" i="7"/>
  <c r="I22" i="7"/>
  <c r="O96" i="16"/>
  <c r="S96" i="16" s="1"/>
  <c r="T96" i="16" s="1"/>
  <c r="AE96" i="16" s="1"/>
  <c r="AK133" i="35"/>
  <c r="AC54" i="35"/>
  <c r="AE54" i="35" s="1"/>
  <c r="AH54" i="35" s="1"/>
  <c r="AI54" i="35" s="1"/>
  <c r="AK54" i="35"/>
  <c r="AK379" i="35"/>
  <c r="AC379" i="35"/>
  <c r="AE379" i="35" s="1"/>
  <c r="AH379" i="35" s="1"/>
  <c r="AI379" i="35" s="1"/>
  <c r="O4" i="16"/>
  <c r="S4" i="16" s="1"/>
  <c r="T4" i="16" s="1"/>
  <c r="AE4" i="16" s="1"/>
  <c r="AK73" i="35"/>
  <c r="AC73" i="35"/>
  <c r="AE73" i="35" s="1"/>
  <c r="AH73" i="35" s="1"/>
  <c r="AK69" i="35"/>
  <c r="AC69" i="35"/>
  <c r="AE69" i="35" s="1"/>
  <c r="AH69" i="35" s="1"/>
  <c r="AI69" i="35" s="1"/>
  <c r="AK434" i="35"/>
  <c r="AC434" i="35"/>
  <c r="AE434" i="35" s="1"/>
  <c r="AH434" i="35" s="1"/>
  <c r="AI434" i="35" s="1"/>
  <c r="AK160" i="35"/>
  <c r="AK156" i="35"/>
  <c r="AK61" i="35"/>
  <c r="AL9" i="16"/>
  <c r="AN9" i="16" s="1"/>
  <c r="AD9" i="16"/>
  <c r="AK104" i="35"/>
  <c r="AC104" i="35"/>
  <c r="AE104" i="35" s="1"/>
  <c r="AH104" i="35" s="1"/>
  <c r="AI104" i="35" s="1"/>
  <c r="AL97" i="16"/>
  <c r="AN97" i="16" s="1"/>
  <c r="AD97" i="16"/>
  <c r="AK390" i="35"/>
  <c r="AK489" i="35"/>
  <c r="AC183" i="35"/>
  <c r="AE183" i="35" s="1"/>
  <c r="AH183" i="35" s="1"/>
  <c r="AK183" i="35"/>
  <c r="AK76" i="35"/>
  <c r="AC76" i="35"/>
  <c r="AE76" i="35" s="1"/>
  <c r="AH76" i="35" s="1"/>
  <c r="AL13" i="16"/>
  <c r="AN13" i="16" s="1"/>
  <c r="AL81" i="16"/>
  <c r="AN81" i="16" s="1"/>
  <c r="L78" i="27"/>
  <c r="O73" i="27"/>
  <c r="N97" i="27"/>
  <c r="F97" i="27"/>
  <c r="J97" i="27"/>
  <c r="O87" i="27"/>
  <c r="O69" i="27"/>
  <c r="AL90" i="16"/>
  <c r="AN90" i="16" s="1"/>
  <c r="AL74" i="16"/>
  <c r="AN74" i="16" s="1"/>
  <c r="AL79" i="16"/>
  <c r="AN79" i="16" s="1"/>
  <c r="AL10" i="16"/>
  <c r="AN10" i="16" s="1"/>
  <c r="N78" i="27"/>
  <c r="O77" i="27"/>
  <c r="O70" i="27"/>
  <c r="AL52" i="16"/>
  <c r="AN52" i="16" s="1"/>
  <c r="AL31" i="16"/>
  <c r="AN31" i="16" s="1"/>
  <c r="AL20" i="16"/>
  <c r="AL25" i="16"/>
  <c r="AN25" i="16" s="1"/>
  <c r="AL14" i="16"/>
  <c r="AN14" i="16" s="1"/>
  <c r="AD24" i="16"/>
  <c r="AL24" i="16"/>
  <c r="AN24" i="16" s="1"/>
  <c r="AL8" i="16"/>
  <c r="AN8" i="16" s="1"/>
  <c r="AD8" i="16"/>
  <c r="AK344" i="35"/>
  <c r="AC344" i="35"/>
  <c r="AE344" i="35" s="1"/>
  <c r="AH344" i="35" s="1"/>
  <c r="AI344" i="35" s="1"/>
  <c r="AK328" i="35"/>
  <c r="AK301" i="35"/>
  <c r="AC301" i="35"/>
  <c r="AE301" i="35" s="1"/>
  <c r="AH301" i="35" s="1"/>
  <c r="AI301" i="35" s="1"/>
  <c r="AK293" i="35"/>
  <c r="AK285" i="35"/>
  <c r="AK96" i="35"/>
  <c r="AK92" i="35"/>
  <c r="AK8" i="35"/>
  <c r="I91" i="5"/>
  <c r="I84" i="5"/>
  <c r="I22" i="40"/>
  <c r="K10" i="40"/>
  <c r="K22" i="40" s="1"/>
  <c r="K12" i="13"/>
  <c r="K24" i="13" s="1"/>
  <c r="I24" i="13"/>
  <c r="AI332" i="35"/>
  <c r="AL101" i="16"/>
  <c r="AN101" i="16" s="1"/>
  <c r="AD101" i="16"/>
  <c r="AL45" i="16"/>
  <c r="AN45" i="16" s="1"/>
  <c r="AD45" i="16"/>
  <c r="O72" i="27"/>
  <c r="AD59" i="16"/>
  <c r="AL59" i="16"/>
  <c r="AN59" i="16" s="1"/>
  <c r="K46" i="11"/>
  <c r="AL63" i="16"/>
  <c r="AN63" i="16" s="1"/>
  <c r="AL41" i="16"/>
  <c r="AN41" i="16" s="1"/>
  <c r="AD41" i="16"/>
  <c r="AL102" i="16"/>
  <c r="AN102" i="16" s="1"/>
  <c r="AL120" i="16"/>
  <c r="AN120" i="16" s="1"/>
  <c r="J78" i="27"/>
  <c r="O83" i="27"/>
  <c r="O64" i="27"/>
  <c r="AL88" i="16"/>
  <c r="AN88" i="16" s="1"/>
  <c r="AL23" i="16"/>
  <c r="AL110" i="16"/>
  <c r="AN110" i="16" s="1"/>
  <c r="AL105" i="16"/>
  <c r="AN105" i="16" s="1"/>
  <c r="AL56" i="16"/>
  <c r="AN56" i="16" s="1"/>
  <c r="AL38" i="16"/>
  <c r="AN38" i="16" s="1"/>
  <c r="O88" i="27"/>
  <c r="O76" i="27"/>
  <c r="O63" i="27"/>
  <c r="AL96" i="16"/>
  <c r="AN96" i="16" s="1"/>
  <c r="AL78" i="16"/>
  <c r="AN78" i="16" s="1"/>
  <c r="AL69" i="16"/>
  <c r="AN69" i="16" s="1"/>
  <c r="AL60" i="16"/>
  <c r="AN60" i="16" s="1"/>
  <c r="O75" i="27"/>
  <c r="O71" i="27"/>
  <c r="AL108" i="16"/>
  <c r="AN108" i="16" s="1"/>
  <c r="O81" i="27"/>
  <c r="M97" i="27"/>
  <c r="AL117" i="16"/>
  <c r="AN117" i="16" s="1"/>
  <c r="O62" i="27"/>
  <c r="O74" i="27"/>
  <c r="O89" i="27"/>
  <c r="AD83" i="16"/>
  <c r="AD51" i="16"/>
  <c r="O85" i="27"/>
  <c r="AD13" i="16"/>
  <c r="K78" i="27"/>
  <c r="O65" i="27"/>
  <c r="AL121" i="16"/>
  <c r="AN121" i="16" s="1"/>
  <c r="AL115" i="16"/>
  <c r="AN115" i="16" s="1"/>
  <c r="I78" i="27"/>
  <c r="M78" i="27"/>
  <c r="O84" i="27"/>
  <c r="AH467" i="35"/>
  <c r="AI467" i="35" s="1"/>
  <c r="AH98" i="35"/>
  <c r="AI98" i="35" s="1"/>
  <c r="AH88" i="35"/>
  <c r="AI88" i="35" s="1"/>
  <c r="AH464" i="35"/>
  <c r="AI464" i="35" s="1"/>
  <c r="AI350" i="35"/>
  <c r="AL33" i="16"/>
  <c r="AD33" i="16"/>
  <c r="AD99" i="16"/>
  <c r="AL99" i="16"/>
  <c r="AN99" i="16" s="1"/>
  <c r="AL82" i="16"/>
  <c r="AN82" i="16" s="1"/>
  <c r="AL22" i="16"/>
  <c r="AL98" i="16"/>
  <c r="AN98" i="16" s="1"/>
  <c r="AL4" i="16"/>
  <c r="AL89" i="16"/>
  <c r="AN89" i="16" s="1"/>
  <c r="AL58" i="16"/>
  <c r="AN58" i="16" s="1"/>
  <c r="AL109" i="16"/>
  <c r="AN109" i="16" s="1"/>
  <c r="AL103" i="16"/>
  <c r="AN103" i="16" s="1"/>
  <c r="G116" i="5" l="1"/>
  <c r="N30" i="10"/>
  <c r="N38" i="10"/>
  <c r="N57" i="10" s="1"/>
  <c r="K31" i="3" s="1"/>
  <c r="K32" i="3" s="1"/>
  <c r="AF59" i="16"/>
  <c r="F19" i="49"/>
  <c r="H43" i="49" s="1"/>
  <c r="I43" i="49" s="1"/>
  <c r="Q19" i="49"/>
  <c r="Q38" i="10"/>
  <c r="Q57" i="10" s="1"/>
  <c r="K74" i="3" s="1"/>
  <c r="K75" i="3" s="1"/>
  <c r="AI444" i="35"/>
  <c r="AF26" i="16"/>
  <c r="AG26" i="16" s="1"/>
  <c r="AI35" i="35"/>
  <c r="Q17" i="49"/>
  <c r="G42" i="6"/>
  <c r="AF83" i="16"/>
  <c r="AG83" i="16" s="1"/>
  <c r="AF89" i="16"/>
  <c r="AG89" i="16" s="1"/>
  <c r="AF70" i="16"/>
  <c r="AG70" i="16" s="1"/>
  <c r="AI293" i="35"/>
  <c r="AF100" i="16"/>
  <c r="AG100" i="16" s="1"/>
  <c r="AF57" i="16"/>
  <c r="AG57" i="16" s="1"/>
  <c r="J37" i="47"/>
  <c r="AF99" i="16"/>
  <c r="AI99" i="16" s="1"/>
  <c r="AJ99" i="16" s="1"/>
  <c r="AF48" i="16"/>
  <c r="AI48" i="16" s="1"/>
  <c r="AJ48" i="16" s="1"/>
  <c r="I122" i="48"/>
  <c r="J122" i="48" s="1"/>
  <c r="L122" i="48" s="1"/>
  <c r="AF86" i="16"/>
  <c r="AG86" i="16" s="1"/>
  <c r="G43" i="7"/>
  <c r="F16" i="49"/>
  <c r="H40" i="49" s="1"/>
  <c r="I40" i="49" s="1"/>
  <c r="H16" i="49"/>
  <c r="J16" i="49" s="1"/>
  <c r="G40" i="44"/>
  <c r="AF8" i="16"/>
  <c r="AG8" i="16" s="1"/>
  <c r="AF91" i="16"/>
  <c r="AG91" i="16" s="1"/>
  <c r="AF113" i="16"/>
  <c r="AG113" i="16" s="1"/>
  <c r="AF119" i="16"/>
  <c r="AI119" i="16" s="1"/>
  <c r="AJ119" i="16" s="1"/>
  <c r="AF75" i="16"/>
  <c r="AG75" i="16" s="1"/>
  <c r="H15" i="49"/>
  <c r="J15" i="49" s="1"/>
  <c r="AF94" i="16"/>
  <c r="AG94" i="16" s="1"/>
  <c r="AF114" i="16"/>
  <c r="AG114" i="16" s="1"/>
  <c r="AF61" i="16"/>
  <c r="AG61" i="16" s="1"/>
  <c r="AF51" i="16"/>
  <c r="AI51" i="16" s="1"/>
  <c r="AJ51" i="16" s="1"/>
  <c r="AF101" i="16"/>
  <c r="AI101" i="16" s="1"/>
  <c r="AJ101" i="16" s="1"/>
  <c r="AF108" i="16"/>
  <c r="AG108" i="16" s="1"/>
  <c r="Q14" i="49"/>
  <c r="U14" i="49" s="1"/>
  <c r="W14" i="49" s="1"/>
  <c r="H13" i="49"/>
  <c r="J13" i="49" s="1"/>
  <c r="H10" i="49"/>
  <c r="J10" i="49" s="1"/>
  <c r="F10" i="49"/>
  <c r="H34" i="49" s="1"/>
  <c r="I34" i="49" s="1"/>
  <c r="H18" i="49"/>
  <c r="J18" i="49" s="1"/>
  <c r="Q18" i="49"/>
  <c r="H21" i="49"/>
  <c r="J21" i="49" s="1"/>
  <c r="F15" i="49"/>
  <c r="H39" i="49" s="1"/>
  <c r="I39" i="49" s="1"/>
  <c r="AF121" i="16"/>
  <c r="AG121" i="16" s="1"/>
  <c r="AF95" i="16"/>
  <c r="AG95" i="16" s="1"/>
  <c r="AF118" i="16"/>
  <c r="AI118" i="16" s="1"/>
  <c r="AJ118" i="16" s="1"/>
  <c r="AF88" i="16"/>
  <c r="AI88" i="16" s="1"/>
  <c r="AJ88" i="16" s="1"/>
  <c r="AF104" i="16"/>
  <c r="AI104" i="16" s="1"/>
  <c r="AJ104" i="16" s="1"/>
  <c r="AN84" i="16"/>
  <c r="H68" i="27"/>
  <c r="H78" i="27" s="1"/>
  <c r="AF120" i="16"/>
  <c r="AG120" i="16" s="1"/>
  <c r="AF103" i="16"/>
  <c r="AG103" i="16" s="1"/>
  <c r="AF92" i="16"/>
  <c r="AG92" i="16" s="1"/>
  <c r="AF111" i="16"/>
  <c r="AI111" i="16" s="1"/>
  <c r="AJ111" i="16" s="1"/>
  <c r="AF90" i="16"/>
  <c r="AG90" i="16" s="1"/>
  <c r="AF105" i="16"/>
  <c r="AI105" i="16" s="1"/>
  <c r="AJ105" i="16" s="1"/>
  <c r="AF112" i="16"/>
  <c r="AG112" i="16" s="1"/>
  <c r="AF98" i="16"/>
  <c r="AG98" i="16" s="1"/>
  <c r="AF106" i="16"/>
  <c r="AG106" i="16" s="1"/>
  <c r="AF97" i="16"/>
  <c r="AG97" i="16" s="1"/>
  <c r="AF107" i="16"/>
  <c r="AG107" i="16" s="1"/>
  <c r="AF110" i="16"/>
  <c r="AG110" i="16" s="1"/>
  <c r="AF117" i="16"/>
  <c r="AG117" i="16" s="1"/>
  <c r="AF93" i="16"/>
  <c r="AG93" i="16" s="1"/>
  <c r="AF115" i="16"/>
  <c r="AG115" i="16" s="1"/>
  <c r="AF116" i="16"/>
  <c r="AI116" i="16" s="1"/>
  <c r="AJ116" i="16" s="1"/>
  <c r="AF102" i="16"/>
  <c r="AG102" i="16" s="1"/>
  <c r="AF109" i="16"/>
  <c r="AI109" i="16" s="1"/>
  <c r="AJ109" i="16" s="1"/>
  <c r="AF96" i="16"/>
  <c r="AG96" i="16" s="1"/>
  <c r="AF84" i="16"/>
  <c r="AG84" i="16" s="1"/>
  <c r="AF85" i="16"/>
  <c r="AI85" i="16" s="1"/>
  <c r="AF122" i="16"/>
  <c r="AG122" i="16" s="1"/>
  <c r="AF67" i="16"/>
  <c r="AI67" i="16" s="1"/>
  <c r="AJ67" i="16" s="1"/>
  <c r="AF45" i="16"/>
  <c r="AG45" i="16" s="1"/>
  <c r="AF63" i="16"/>
  <c r="AG63" i="16" s="1"/>
  <c r="AF82" i="16"/>
  <c r="AI82" i="16" s="1"/>
  <c r="AJ82" i="16" s="1"/>
  <c r="AF78" i="16"/>
  <c r="AG78" i="16" s="1"/>
  <c r="AF72" i="16"/>
  <c r="AI72" i="16" s="1"/>
  <c r="AJ72" i="16" s="1"/>
  <c r="AF55" i="16"/>
  <c r="AG55" i="16" s="1"/>
  <c r="AF66" i="16"/>
  <c r="AG66" i="16" s="1"/>
  <c r="AF34" i="16"/>
  <c r="AI34" i="16" s="1"/>
  <c r="AJ34" i="16" s="1"/>
  <c r="AF79" i="16"/>
  <c r="AI79" i="16" s="1"/>
  <c r="AJ79" i="16" s="1"/>
  <c r="AF64" i="16"/>
  <c r="AG64" i="16" s="1"/>
  <c r="AF73" i="16"/>
  <c r="AG73" i="16" s="1"/>
  <c r="AN22" i="16"/>
  <c r="F68" i="27"/>
  <c r="AF62" i="16"/>
  <c r="AI62" i="16" s="1"/>
  <c r="AN21" i="16"/>
  <c r="G68" i="27"/>
  <c r="AF71" i="16"/>
  <c r="AI71" i="16" s="1"/>
  <c r="AJ71" i="16" s="1"/>
  <c r="AF69" i="16"/>
  <c r="AG69" i="16" s="1"/>
  <c r="AF24" i="16"/>
  <c r="AG24" i="16" s="1"/>
  <c r="AF39" i="16"/>
  <c r="AI39" i="16" s="1"/>
  <c r="AJ39" i="16" s="1"/>
  <c r="AF46" i="16"/>
  <c r="AG46" i="16" s="1"/>
  <c r="AF65" i="16"/>
  <c r="AI65" i="16" s="1"/>
  <c r="AJ65" i="16" s="1"/>
  <c r="AF60" i="16"/>
  <c r="AG60" i="16" s="1"/>
  <c r="AF80" i="16"/>
  <c r="AG80" i="16" s="1"/>
  <c r="AF74" i="16"/>
  <c r="AG74" i="16" s="1"/>
  <c r="AF50" i="16"/>
  <c r="AG50" i="16" s="1"/>
  <c r="AF76" i="16"/>
  <c r="AI76" i="16" s="1"/>
  <c r="AJ76" i="16" s="1"/>
  <c r="AF56" i="16"/>
  <c r="AG56" i="16" s="1"/>
  <c r="AF43" i="16"/>
  <c r="AG43" i="16" s="1"/>
  <c r="AF53" i="16"/>
  <c r="AG53" i="16" s="1"/>
  <c r="AF44" i="16"/>
  <c r="AG44" i="16" s="1"/>
  <c r="AF77" i="16"/>
  <c r="AI77" i="16" s="1"/>
  <c r="AJ77" i="16" s="1"/>
  <c r="AF47" i="16"/>
  <c r="AG47" i="16" s="1"/>
  <c r="AF49" i="16"/>
  <c r="AG49" i="16" s="1"/>
  <c r="AF52" i="16"/>
  <c r="AG52" i="16" s="1"/>
  <c r="AF54" i="16"/>
  <c r="AI54" i="16" s="1"/>
  <c r="AJ54" i="16" s="1"/>
  <c r="AF81" i="16"/>
  <c r="AI81" i="16" s="1"/>
  <c r="AJ81" i="16" s="1"/>
  <c r="AF58" i="16"/>
  <c r="AI58" i="16" s="1"/>
  <c r="AJ58" i="16" s="1"/>
  <c r="AF42" i="16"/>
  <c r="AG42" i="16" s="1"/>
  <c r="AF68" i="16"/>
  <c r="AG68" i="16" s="1"/>
  <c r="AF13" i="16"/>
  <c r="AI13" i="16" s="1"/>
  <c r="AJ13" i="16" s="1"/>
  <c r="AF5" i="16"/>
  <c r="AG5" i="16" s="1"/>
  <c r="AF12" i="16"/>
  <c r="AG12" i="16" s="1"/>
  <c r="AF30" i="16"/>
  <c r="AG30" i="16" s="1"/>
  <c r="AF33" i="16"/>
  <c r="AG33" i="16" s="1"/>
  <c r="AF28" i="16"/>
  <c r="AI28" i="16" s="1"/>
  <c r="AJ28" i="16" s="1"/>
  <c r="AF27" i="16"/>
  <c r="AG27" i="16" s="1"/>
  <c r="AF20" i="16"/>
  <c r="AI20" i="16" s="1"/>
  <c r="AJ20" i="16" s="1"/>
  <c r="AF41" i="16"/>
  <c r="AI41" i="16" s="1"/>
  <c r="AJ41" i="16" s="1"/>
  <c r="AF40" i="16"/>
  <c r="AG40" i="16" s="1"/>
  <c r="AF38" i="16"/>
  <c r="AI38" i="16" s="1"/>
  <c r="AJ38" i="16" s="1"/>
  <c r="AF36" i="16"/>
  <c r="AI36" i="16" s="1"/>
  <c r="AJ36" i="16" s="1"/>
  <c r="AF37" i="16"/>
  <c r="AG37" i="16" s="1"/>
  <c r="AF35" i="16"/>
  <c r="AG35" i="16" s="1"/>
  <c r="AN33" i="16"/>
  <c r="E68" i="27"/>
  <c r="E78" i="27" s="1"/>
  <c r="AF32" i="16"/>
  <c r="AI32" i="16" s="1"/>
  <c r="AJ32" i="16" s="1"/>
  <c r="AF31" i="16"/>
  <c r="AG31" i="16" s="1"/>
  <c r="AF29" i="16"/>
  <c r="AI29" i="16" s="1"/>
  <c r="AJ29" i="16" s="1"/>
  <c r="AF25" i="16"/>
  <c r="AI25" i="16" s="1"/>
  <c r="AJ25" i="16" s="1"/>
  <c r="AF23" i="16"/>
  <c r="AG23" i="16" s="1"/>
  <c r="AN23" i="16"/>
  <c r="D68" i="27"/>
  <c r="D78" i="27" s="1"/>
  <c r="AF22" i="16"/>
  <c r="AI22" i="16" s="1"/>
  <c r="AJ22" i="16" s="1"/>
  <c r="AF21" i="16"/>
  <c r="AI21" i="16" s="1"/>
  <c r="AJ21" i="16" s="1"/>
  <c r="AN20" i="16"/>
  <c r="C68" i="27"/>
  <c r="AF10" i="16"/>
  <c r="AG10" i="16" s="1"/>
  <c r="AN6" i="16"/>
  <c r="G67" i="27"/>
  <c r="AF19" i="16"/>
  <c r="AG19" i="16" s="1"/>
  <c r="AF18" i="16"/>
  <c r="AI18" i="16" s="1"/>
  <c r="AJ18" i="16" s="1"/>
  <c r="AF17" i="16"/>
  <c r="AI17" i="16" s="1"/>
  <c r="AJ17" i="16" s="1"/>
  <c r="AF16" i="16"/>
  <c r="AI16" i="16" s="1"/>
  <c r="AJ16" i="16" s="1"/>
  <c r="AF15" i="16"/>
  <c r="AG15" i="16" s="1"/>
  <c r="AF11" i="16"/>
  <c r="AG11" i="16" s="1"/>
  <c r="AF9" i="16"/>
  <c r="AI9" i="16" s="1"/>
  <c r="AJ9" i="16" s="1"/>
  <c r="AF6" i="16"/>
  <c r="AI6" i="16" s="1"/>
  <c r="AJ6" i="16" s="1"/>
  <c r="AN5" i="16"/>
  <c r="F67" i="27"/>
  <c r="AF4" i="16"/>
  <c r="AG4" i="16" s="1"/>
  <c r="AN4" i="16"/>
  <c r="C67" i="27"/>
  <c r="AN3" i="16"/>
  <c r="G66" i="27"/>
  <c r="G42" i="13"/>
  <c r="G40" i="45"/>
  <c r="K92" i="5"/>
  <c r="K111" i="5" s="1"/>
  <c r="K18" i="3" s="1"/>
  <c r="G111" i="5"/>
  <c r="K397" i="39"/>
  <c r="K413" i="39" s="1"/>
  <c r="K62" i="3" s="1"/>
  <c r="AI494" i="35"/>
  <c r="AI99" i="35"/>
  <c r="AI270" i="35"/>
  <c r="I42" i="40"/>
  <c r="K553" i="11"/>
  <c r="I96" i="48"/>
  <c r="J96" i="48" s="1"/>
  <c r="L96" i="48" s="1"/>
  <c r="AI385" i="35"/>
  <c r="I42" i="6"/>
  <c r="AI201" i="35"/>
  <c r="J36" i="47"/>
  <c r="AI32" i="35"/>
  <c r="J39" i="47"/>
  <c r="AI172" i="35"/>
  <c r="G45" i="15"/>
  <c r="I57" i="10"/>
  <c r="H57" i="10"/>
  <c r="F57" i="10"/>
  <c r="AH322" i="35"/>
  <c r="AI322" i="35" s="1"/>
  <c r="J38" i="47"/>
  <c r="J40" i="44"/>
  <c r="K40" i="3" s="1"/>
  <c r="AH450" i="35"/>
  <c r="AI450" i="35" s="1"/>
  <c r="AH375" i="35"/>
  <c r="AI375" i="35" s="1"/>
  <c r="AI135" i="35"/>
  <c r="I123" i="48"/>
  <c r="J123" i="48" s="1"/>
  <c r="L123" i="48" s="1"/>
  <c r="AI311" i="35"/>
  <c r="AI289" i="35"/>
  <c r="J41" i="47"/>
  <c r="J35" i="47"/>
  <c r="I413" i="39"/>
  <c r="AI474" i="35"/>
  <c r="AI186" i="35"/>
  <c r="S2" i="16"/>
  <c r="T2" i="16" s="1"/>
  <c r="AE2" i="16" s="1"/>
  <c r="AF2" i="16" s="1"/>
  <c r="AI2" i="16" s="1"/>
  <c r="AI195" i="35"/>
  <c r="AI259" i="35"/>
  <c r="AH166" i="35"/>
  <c r="AI166" i="35" s="1"/>
  <c r="AH131" i="35"/>
  <c r="AI131" i="35" s="1"/>
  <c r="AH246" i="35"/>
  <c r="AI246" i="35" s="1"/>
  <c r="J69" i="48"/>
  <c r="L69" i="48" s="1"/>
  <c r="AI384" i="35"/>
  <c r="AI230" i="35"/>
  <c r="AI390" i="35"/>
  <c r="AI445" i="35"/>
  <c r="AI84" i="35"/>
  <c r="J147" i="48"/>
  <c r="L147" i="48" s="1"/>
  <c r="J40" i="47"/>
  <c r="AI137" i="35"/>
  <c r="AI457" i="35"/>
  <c r="AI454" i="35"/>
  <c r="AI126" i="35"/>
  <c r="AF3" i="16"/>
  <c r="AG3" i="16" s="1"/>
  <c r="AI297" i="35"/>
  <c r="AI111" i="35"/>
  <c r="AI225" i="35"/>
  <c r="J16" i="44"/>
  <c r="I18" i="48"/>
  <c r="J18" i="48" s="1"/>
  <c r="L18" i="48" s="1"/>
  <c r="AI123" i="35"/>
  <c r="AI321" i="35"/>
  <c r="AI256" i="35"/>
  <c r="AI253" i="35"/>
  <c r="AI265" i="35"/>
  <c r="AI168" i="35"/>
  <c r="U21" i="49"/>
  <c r="W21" i="49" s="1"/>
  <c r="S21" i="49"/>
  <c r="U45" i="49" s="1"/>
  <c r="V45" i="49" s="1"/>
  <c r="F11" i="49"/>
  <c r="H35" i="49" s="1"/>
  <c r="I35" i="49" s="1"/>
  <c r="Q11" i="49"/>
  <c r="H11" i="49"/>
  <c r="J11" i="49" s="1"/>
  <c r="S17" i="49"/>
  <c r="U41" i="49" s="1"/>
  <c r="V41" i="49" s="1"/>
  <c r="U17" i="49"/>
  <c r="W17" i="49" s="1"/>
  <c r="S10" i="49"/>
  <c r="U34" i="49" s="1"/>
  <c r="O21" i="27"/>
  <c r="O45" i="27"/>
  <c r="O154" i="27"/>
  <c r="O40" i="27"/>
  <c r="O116" i="27"/>
  <c r="O135" i="27"/>
  <c r="AH267" i="35"/>
  <c r="AI267" i="35" s="1"/>
  <c r="J40" i="45"/>
  <c r="K41" i="3" s="1"/>
  <c r="K548" i="11"/>
  <c r="AI374" i="35"/>
  <c r="AI170" i="35"/>
  <c r="AI51" i="35"/>
  <c r="AI221" i="35"/>
  <c r="AI197" i="35"/>
  <c r="I42" i="13"/>
  <c r="AI451" i="35"/>
  <c r="AI139" i="35"/>
  <c r="AI203" i="35"/>
  <c r="K552" i="11"/>
  <c r="K42" i="40"/>
  <c r="K63" i="3" s="1"/>
  <c r="H14" i="33" s="1"/>
  <c r="J14" i="33" s="1"/>
  <c r="AI360" i="35"/>
  <c r="AI495" i="35"/>
  <c r="AI465" i="35"/>
  <c r="AI243" i="35"/>
  <c r="AI119" i="35"/>
  <c r="AI157" i="35"/>
  <c r="W165" i="48"/>
  <c r="J16" i="45"/>
  <c r="AI241" i="35"/>
  <c r="AH417" i="35"/>
  <c r="AI417" i="35" s="1"/>
  <c r="I42" i="14"/>
  <c r="K550" i="11"/>
  <c r="P35" i="10"/>
  <c r="P57" i="10" s="1"/>
  <c r="K42" i="6"/>
  <c r="K19" i="3" s="1"/>
  <c r="K15" i="6"/>
  <c r="M57" i="10"/>
  <c r="AI462" i="35"/>
  <c r="AI148" i="35"/>
  <c r="AI180" i="35"/>
  <c r="AI239" i="35"/>
  <c r="AI481" i="35"/>
  <c r="AI3" i="35"/>
  <c r="AI345" i="35"/>
  <c r="AI218" i="35"/>
  <c r="AI198" i="35"/>
  <c r="S13" i="49"/>
  <c r="U37" i="49" s="1"/>
  <c r="V37" i="49" s="1"/>
  <c r="U13" i="49"/>
  <c r="W13" i="49" s="1"/>
  <c r="U12" i="49"/>
  <c r="W12" i="49" s="1"/>
  <c r="S12" i="49"/>
  <c r="U36" i="49" s="1"/>
  <c r="V36" i="49" s="1"/>
  <c r="AI31" i="35"/>
  <c r="AI335" i="35"/>
  <c r="AI498" i="35"/>
  <c r="AI480" i="35"/>
  <c r="AI209" i="35"/>
  <c r="AI82" i="35"/>
  <c r="AI151" i="35"/>
  <c r="AI121" i="35"/>
  <c r="AI16" i="35"/>
  <c r="AI487" i="35"/>
  <c r="AI388" i="35"/>
  <c r="AI309" i="35"/>
  <c r="D28" i="20"/>
  <c r="E28" i="20" s="1"/>
  <c r="F28" i="20" s="1"/>
  <c r="G28" i="20" s="1"/>
  <c r="H28" i="20" s="1"/>
  <c r="I28" i="20" s="1"/>
  <c r="J28" i="20" s="1"/>
  <c r="K28" i="20" s="1"/>
  <c r="L28" i="20" s="1"/>
  <c r="M28" i="20" s="1"/>
  <c r="N28" i="20" s="1"/>
  <c r="O28" i="20" s="1"/>
  <c r="C28" i="20"/>
  <c r="G413" i="39"/>
  <c r="K551" i="11"/>
  <c r="K547" i="11"/>
  <c r="K549" i="11"/>
  <c r="O49" i="27"/>
  <c r="G569" i="11"/>
  <c r="AI143" i="35"/>
  <c r="AI10" i="35"/>
  <c r="AI93" i="35"/>
  <c r="AI117" i="35"/>
  <c r="K45" i="15"/>
  <c r="K65" i="3" s="1"/>
  <c r="K42" i="13"/>
  <c r="K38" i="3" s="1"/>
  <c r="J30" i="47"/>
  <c r="G57" i="47"/>
  <c r="N59" i="27"/>
  <c r="O44" i="27"/>
  <c r="O51" i="27"/>
  <c r="I59" i="27"/>
  <c r="L59" i="27"/>
  <c r="O55" i="27"/>
  <c r="K59" i="27"/>
  <c r="O52" i="27"/>
  <c r="J59" i="27"/>
  <c r="G59" i="27"/>
  <c r="O56" i="27"/>
  <c r="F59" i="27"/>
  <c r="H59" i="27"/>
  <c r="O53" i="27"/>
  <c r="D59" i="27"/>
  <c r="O43" i="27"/>
  <c r="C59" i="27"/>
  <c r="O57" i="27"/>
  <c r="O50" i="27"/>
  <c r="E59" i="27"/>
  <c r="O48" i="27"/>
  <c r="O58" i="27"/>
  <c r="M59" i="27"/>
  <c r="O47" i="27"/>
  <c r="O46" i="27"/>
  <c r="O54" i="27"/>
  <c r="I43" i="7"/>
  <c r="AI219" i="35"/>
  <c r="O18" i="48"/>
  <c r="AI87" i="16"/>
  <c r="AJ87" i="16" s="1"/>
  <c r="AI128" i="35"/>
  <c r="AI242" i="35"/>
  <c r="AI58" i="35"/>
  <c r="AI278" i="35"/>
  <c r="AI130" i="35"/>
  <c r="AI365" i="35"/>
  <c r="AI138" i="35"/>
  <c r="AI294" i="35"/>
  <c r="AI174" i="35"/>
  <c r="S14" i="49"/>
  <c r="U38" i="49" s="1"/>
  <c r="V38" i="49" s="1"/>
  <c r="U16" i="49"/>
  <c r="W16" i="49" s="1"/>
  <c r="S16" i="49"/>
  <c r="U40" i="49" s="1"/>
  <c r="V40" i="49" s="1"/>
  <c r="AI280" i="35"/>
  <c r="AI405" i="35"/>
  <c r="AI91" i="35"/>
  <c r="AI14" i="35"/>
  <c r="AI38" i="35"/>
  <c r="AI112" i="35"/>
  <c r="AI328" i="35"/>
  <c r="AI401" i="35"/>
  <c r="AI165" i="35"/>
  <c r="AI162" i="35"/>
  <c r="AI378" i="35"/>
  <c r="AI428" i="35"/>
  <c r="AI153" i="35"/>
  <c r="AI415" i="35"/>
  <c r="AI36" i="35"/>
  <c r="AI115" i="35"/>
  <c r="AI272" i="35"/>
  <c r="AI18" i="35"/>
  <c r="AI357" i="35"/>
  <c r="AI208" i="35"/>
  <c r="AI80" i="35"/>
  <c r="AI319" i="35"/>
  <c r="AI353" i="35"/>
  <c r="AI101" i="35"/>
  <c r="AI123" i="16"/>
  <c r="AJ123" i="16" s="1"/>
  <c r="AI40" i="35"/>
  <c r="AI108" i="35"/>
  <c r="AI420" i="35"/>
  <c r="AI136" i="35"/>
  <c r="AI212" i="35"/>
  <c r="AI196" i="35"/>
  <c r="AI236" i="35"/>
  <c r="AI399" i="35"/>
  <c r="AI202" i="35"/>
  <c r="AI228" i="35"/>
  <c r="AI181" i="35"/>
  <c r="AI73" i="35"/>
  <c r="Q30" i="10"/>
  <c r="AI30" i="35"/>
  <c r="AI118" i="35"/>
  <c r="AI336" i="35"/>
  <c r="I386" i="39"/>
  <c r="I111" i="5"/>
  <c r="I45" i="48"/>
  <c r="I46" i="48" s="1"/>
  <c r="I45" i="15"/>
  <c r="AI240" i="35"/>
  <c r="AI167" i="35"/>
  <c r="AI183" i="35"/>
  <c r="AG7" i="16"/>
  <c r="AI7" i="16"/>
  <c r="AJ7" i="16" s="1"/>
  <c r="I569" i="11"/>
  <c r="AG77" i="16"/>
  <c r="AH302" i="35"/>
  <c r="AI302" i="35" s="1"/>
  <c r="K386" i="39"/>
  <c r="K84" i="5"/>
  <c r="AI96" i="16"/>
  <c r="AJ96" i="16" s="1"/>
  <c r="AI14" i="16"/>
  <c r="AJ14" i="16" s="1"/>
  <c r="AG14" i="16"/>
  <c r="K24" i="14"/>
  <c r="K42" i="14" s="1"/>
  <c r="K42" i="3" s="1"/>
  <c r="K15" i="14"/>
  <c r="O97" i="27"/>
  <c r="K18" i="15"/>
  <c r="J43" i="48"/>
  <c r="L43" i="48" s="1"/>
  <c r="AG34" i="16"/>
  <c r="K15" i="40"/>
  <c r="K22" i="7"/>
  <c r="K43" i="7" s="1"/>
  <c r="K21" i="3" s="1"/>
  <c r="K16" i="7"/>
  <c r="AI56" i="16"/>
  <c r="AJ56" i="16" s="1"/>
  <c r="AI76" i="35"/>
  <c r="K15" i="13"/>
  <c r="AG59" i="16"/>
  <c r="AI59" i="16"/>
  <c r="AJ59" i="16" s="1"/>
  <c r="K542" i="11"/>
  <c r="I71" i="48"/>
  <c r="J71" i="48" s="1"/>
  <c r="L71" i="48" s="1"/>
  <c r="AG99" i="16"/>
  <c r="I149" i="48"/>
  <c r="J149" i="48" s="1"/>
  <c r="L149" i="48" s="1"/>
  <c r="AI26" i="16" l="1"/>
  <c r="AJ26" i="16" s="1"/>
  <c r="AI83" i="16"/>
  <c r="AJ83" i="16" s="1"/>
  <c r="AG72" i="16"/>
  <c r="AI57" i="16"/>
  <c r="AJ57" i="16" s="1"/>
  <c r="AG101" i="16"/>
  <c r="AG13" i="16"/>
  <c r="AI94" i="16"/>
  <c r="AJ94" i="16" s="1"/>
  <c r="AI46" i="16"/>
  <c r="AJ46" i="16" s="1"/>
  <c r="AI74" i="16"/>
  <c r="AJ74" i="16" s="1"/>
  <c r="AI113" i="16"/>
  <c r="AJ113" i="16" s="1"/>
  <c r="AG118" i="16"/>
  <c r="AI98" i="16"/>
  <c r="AJ98" i="16" s="1"/>
  <c r="AI89" i="16"/>
  <c r="AJ89" i="16" s="1"/>
  <c r="AG119" i="16"/>
  <c r="AG116" i="16"/>
  <c r="AG79" i="16"/>
  <c r="AI47" i="16"/>
  <c r="AJ47" i="16" s="1"/>
  <c r="AG71" i="16"/>
  <c r="AI45" i="16"/>
  <c r="AJ45" i="16" s="1"/>
  <c r="U19" i="49"/>
  <c r="W19" i="49" s="1"/>
  <c r="S19" i="49"/>
  <c r="U43" i="49" s="1"/>
  <c r="V43" i="49" s="1"/>
  <c r="AI70" i="16"/>
  <c r="AJ70" i="16" s="1"/>
  <c r="AI86" i="16"/>
  <c r="AJ86" i="16" s="1"/>
  <c r="AI63" i="16"/>
  <c r="AJ63" i="16" s="1"/>
  <c r="AI108" i="16"/>
  <c r="AJ108" i="16" s="1"/>
  <c r="AI95" i="16"/>
  <c r="AJ95" i="16" s="1"/>
  <c r="AI100" i="16"/>
  <c r="AJ100" i="16" s="1"/>
  <c r="AG48" i="16"/>
  <c r="AI80" i="16"/>
  <c r="AJ80" i="16" s="1"/>
  <c r="I97" i="48"/>
  <c r="I98" i="48" s="1"/>
  <c r="J98" i="48" s="1"/>
  <c r="L98" i="48" s="1"/>
  <c r="AI91" i="16"/>
  <c r="AJ91" i="16" s="1"/>
  <c r="AI75" i="16"/>
  <c r="AJ75" i="16" s="1"/>
  <c r="AI8" i="16"/>
  <c r="AJ8" i="16" s="1"/>
  <c r="AI106" i="16"/>
  <c r="AJ106" i="16" s="1"/>
  <c r="J23" i="49"/>
  <c r="K20" i="3" s="1"/>
  <c r="AI114" i="16"/>
  <c r="AJ114" i="16" s="1"/>
  <c r="AI92" i="16"/>
  <c r="AJ92" i="16" s="1"/>
  <c r="AG51" i="16"/>
  <c r="AG54" i="16"/>
  <c r="AI112" i="16"/>
  <c r="AJ112" i="16" s="1"/>
  <c r="AG39" i="16"/>
  <c r="AI61" i="16"/>
  <c r="AJ61" i="16" s="1"/>
  <c r="AI107" i="16"/>
  <c r="AJ107" i="16" s="1"/>
  <c r="AI121" i="16"/>
  <c r="AJ121" i="16" s="1"/>
  <c r="AI68" i="16"/>
  <c r="AJ68" i="16" s="1"/>
  <c r="AI78" i="16"/>
  <c r="AJ78" i="16" s="1"/>
  <c r="AI115" i="16"/>
  <c r="AJ115" i="16" s="1"/>
  <c r="U18" i="49"/>
  <c r="W18" i="49" s="1"/>
  <c r="S18" i="49"/>
  <c r="U42" i="49" s="1"/>
  <c r="V42" i="49" s="1"/>
  <c r="AI102" i="16"/>
  <c r="AJ102" i="16" s="1"/>
  <c r="AG85" i="16"/>
  <c r="AG88" i="16"/>
  <c r="AI90" i="16"/>
  <c r="AJ90" i="16" s="1"/>
  <c r="AJ85" i="16"/>
  <c r="AI117" i="16"/>
  <c r="AJ117" i="16" s="1"/>
  <c r="AI120" i="16"/>
  <c r="AJ120" i="16" s="1"/>
  <c r="AG105" i="16"/>
  <c r="AI93" i="16"/>
  <c r="AJ93" i="16" s="1"/>
  <c r="AI103" i="16"/>
  <c r="AJ103" i="16" s="1"/>
  <c r="AI97" i="16"/>
  <c r="AJ97" i="16" s="1"/>
  <c r="AG104" i="16"/>
  <c r="AG109" i="16"/>
  <c r="AG111" i="16"/>
  <c r="AI110" i="16"/>
  <c r="AJ110" i="16" s="1"/>
  <c r="AI84" i="16"/>
  <c r="AJ84" i="16" s="1"/>
  <c r="AI122" i="16"/>
  <c r="AJ122" i="16" s="1"/>
  <c r="AG67" i="16"/>
  <c r="AI33" i="16"/>
  <c r="AJ33" i="16" s="1"/>
  <c r="AG9" i="16"/>
  <c r="AG41" i="16"/>
  <c r="AI43" i="16"/>
  <c r="AJ43" i="16" s="1"/>
  <c r="AG81" i="16"/>
  <c r="F78" i="27"/>
  <c r="AI66" i="16"/>
  <c r="AJ66" i="16" s="1"/>
  <c r="AI55" i="16"/>
  <c r="AJ55" i="16" s="1"/>
  <c r="AG82" i="16"/>
  <c r="AI73" i="16"/>
  <c r="AJ73" i="16" s="1"/>
  <c r="AG62" i="16"/>
  <c r="AI12" i="16"/>
  <c r="AJ12" i="16" s="1"/>
  <c r="AI49" i="16"/>
  <c r="AJ49" i="16" s="1"/>
  <c r="AI50" i="16"/>
  <c r="AJ50" i="16" s="1"/>
  <c r="AI64" i="16"/>
  <c r="AJ64" i="16" s="1"/>
  <c r="AI53" i="16"/>
  <c r="AJ53" i="16" s="1"/>
  <c r="AI69" i="16"/>
  <c r="AJ69" i="16" s="1"/>
  <c r="AG58" i="16"/>
  <c r="AI52" i="16"/>
  <c r="AJ52" i="16" s="1"/>
  <c r="AI60" i="16"/>
  <c r="AJ60" i="16" s="1"/>
  <c r="AI24" i="16"/>
  <c r="AJ24" i="16" s="1"/>
  <c r="AJ62" i="16"/>
  <c r="AG76" i="16"/>
  <c r="AI44" i="16"/>
  <c r="AJ44" i="16" s="1"/>
  <c r="AI42" i="16"/>
  <c r="AJ42" i="16" s="1"/>
  <c r="AG65" i="16"/>
  <c r="AI27" i="16"/>
  <c r="AJ27" i="16" s="1"/>
  <c r="AI5" i="16"/>
  <c r="AJ5" i="16" s="1"/>
  <c r="AI10" i="16"/>
  <c r="AJ10" i="16" s="1"/>
  <c r="AG22" i="16"/>
  <c r="AI30" i="16"/>
  <c r="AJ30" i="16" s="1"/>
  <c r="AG36" i="16"/>
  <c r="AG20" i="16"/>
  <c r="AG29" i="16"/>
  <c r="AG28" i="16"/>
  <c r="AI4" i="16"/>
  <c r="AJ4" i="16" s="1"/>
  <c r="AG21" i="16"/>
  <c r="AG25" i="16"/>
  <c r="AI31" i="16"/>
  <c r="AJ31" i="16" s="1"/>
  <c r="AI40" i="16"/>
  <c r="AJ40" i="16" s="1"/>
  <c r="AI35" i="16"/>
  <c r="AJ35" i="16" s="1"/>
  <c r="AG32" i="16"/>
  <c r="AI23" i="16"/>
  <c r="AJ23" i="16" s="1"/>
  <c r="AG38" i="16"/>
  <c r="AI37" i="16"/>
  <c r="AJ37" i="16" s="1"/>
  <c r="O68" i="27"/>
  <c r="AG16" i="16"/>
  <c r="AG17" i="16"/>
  <c r="AG18" i="16"/>
  <c r="AG6" i="16"/>
  <c r="AI11" i="16"/>
  <c r="AJ11" i="16" s="1"/>
  <c r="AI19" i="16"/>
  <c r="AJ19" i="16" s="1"/>
  <c r="AI15" i="16"/>
  <c r="AJ15" i="16" s="1"/>
  <c r="O67" i="27"/>
  <c r="C78" i="27"/>
  <c r="O66" i="27"/>
  <c r="G78" i="27"/>
  <c r="I124" i="48"/>
  <c r="J124" i="48" s="1"/>
  <c r="L124" i="48" s="1"/>
  <c r="J50" i="49"/>
  <c r="F26" i="49" s="1"/>
  <c r="J57" i="47"/>
  <c r="AI3" i="16"/>
  <c r="S11" i="49"/>
  <c r="U35" i="49" s="1"/>
  <c r="V35" i="49" s="1"/>
  <c r="U11" i="49"/>
  <c r="W11" i="49" s="1"/>
  <c r="F23" i="49"/>
  <c r="K569" i="11"/>
  <c r="K36" i="3" s="1"/>
  <c r="H9" i="33" s="1"/>
  <c r="K66" i="3"/>
  <c r="K79" i="3" s="1"/>
  <c r="E12" i="1" s="1"/>
  <c r="I12" i="1" s="1"/>
  <c r="D29" i="20"/>
  <c r="E29" i="20" s="1"/>
  <c r="F29" i="20" s="1"/>
  <c r="G29" i="20" s="1"/>
  <c r="H29" i="20" s="1"/>
  <c r="I29" i="20" s="1"/>
  <c r="J29" i="20" s="1"/>
  <c r="K29" i="20" s="1"/>
  <c r="L29" i="20" s="1"/>
  <c r="M29" i="20" s="1"/>
  <c r="N29" i="20" s="1"/>
  <c r="O29" i="20" s="1"/>
  <c r="C29" i="20"/>
  <c r="H13" i="33"/>
  <c r="J13" i="33" s="1"/>
  <c r="J15" i="33" s="1"/>
  <c r="O59" i="27"/>
  <c r="Q18" i="48"/>
  <c r="I19" i="48" s="1"/>
  <c r="O19" i="48"/>
  <c r="Q19" i="48" s="1"/>
  <c r="F8" i="30"/>
  <c r="F10" i="30" s="1"/>
  <c r="F14" i="30" s="1"/>
  <c r="I12" i="3"/>
  <c r="K12" i="3" s="1"/>
  <c r="G11" i="3"/>
  <c r="G14" i="3" s="1"/>
  <c r="AG2" i="16"/>
  <c r="AJ2" i="16"/>
  <c r="J45" i="48"/>
  <c r="L45" i="48" s="1"/>
  <c r="J97" i="48"/>
  <c r="L97" i="48" s="1"/>
  <c r="I47" i="49"/>
  <c r="I48" i="49"/>
  <c r="V34" i="49"/>
  <c r="I47" i="48"/>
  <c r="J47" i="48" s="1"/>
  <c r="L47" i="48" s="1"/>
  <c r="J46" i="48"/>
  <c r="L46" i="48" s="1"/>
  <c r="I125" i="48"/>
  <c r="J125" i="48" s="1"/>
  <c r="L125" i="48" s="1"/>
  <c r="I72" i="48"/>
  <c r="I150" i="48"/>
  <c r="J150" i="48" s="1"/>
  <c r="L150" i="48" s="1"/>
  <c r="I99" i="48"/>
  <c r="W23" i="49" l="1"/>
  <c r="V47" i="49"/>
  <c r="H8" i="30"/>
  <c r="H10" i="30" s="1"/>
  <c r="H14" i="30" s="1"/>
  <c r="O78" i="27"/>
  <c r="AJ3" i="16"/>
  <c r="I11" i="3"/>
  <c r="I14" i="3" s="1"/>
  <c r="V48" i="49"/>
  <c r="S23" i="49"/>
  <c r="W50" i="49"/>
  <c r="S26" i="49" s="1"/>
  <c r="F24" i="49"/>
  <c r="F25" i="49" s="1"/>
  <c r="F27" i="49" s="1"/>
  <c r="K22" i="3" s="1"/>
  <c r="K23" i="3" s="1"/>
  <c r="K27" i="3" s="1"/>
  <c r="H15" i="33"/>
  <c r="J9" i="33"/>
  <c r="I20" i="48"/>
  <c r="I21" i="48" s="1"/>
  <c r="J19" i="48"/>
  <c r="L19" i="48" s="1"/>
  <c r="I48" i="48"/>
  <c r="J48" i="48" s="1"/>
  <c r="L48" i="48" s="1"/>
  <c r="I73" i="48"/>
  <c r="J73" i="48" s="1"/>
  <c r="L73" i="48" s="1"/>
  <c r="J72" i="48"/>
  <c r="L72" i="48" s="1"/>
  <c r="I100" i="48"/>
  <c r="I151" i="48"/>
  <c r="J151" i="48" s="1"/>
  <c r="L151" i="48" s="1"/>
  <c r="I126" i="48"/>
  <c r="J126" i="48" s="1"/>
  <c r="L126" i="48" s="1"/>
  <c r="J99" i="48"/>
  <c r="L99" i="48" s="1"/>
  <c r="S24" i="49" l="1"/>
  <c r="S25" i="49" s="1"/>
  <c r="S27" i="49" s="1"/>
  <c r="J8" i="30"/>
  <c r="J10" i="30" s="1"/>
  <c r="E14" i="1" s="1"/>
  <c r="I14" i="1" s="1"/>
  <c r="K11" i="3"/>
  <c r="K14" i="3" s="1"/>
  <c r="J20" i="48"/>
  <c r="L20" i="48" s="1"/>
  <c r="J21" i="48"/>
  <c r="L21" i="48" s="1"/>
  <c r="I22" i="48"/>
  <c r="I49" i="48"/>
  <c r="J49" i="48" s="1"/>
  <c r="L49" i="48" s="1"/>
  <c r="I152" i="48"/>
  <c r="J152" i="48" s="1"/>
  <c r="L152" i="48" s="1"/>
  <c r="I101" i="48"/>
  <c r="J101" i="48" s="1"/>
  <c r="L101" i="48" s="1"/>
  <c r="J100" i="48"/>
  <c r="L100" i="48" s="1"/>
  <c r="I74" i="48"/>
  <c r="J74" i="48" s="1"/>
  <c r="L74" i="48" s="1"/>
  <c r="I127" i="48"/>
  <c r="J14" i="30" l="1"/>
  <c r="J22" i="48"/>
  <c r="L22" i="48" s="1"/>
  <c r="I23" i="48"/>
  <c r="I24" i="48" s="1"/>
  <c r="I50" i="48"/>
  <c r="I51" i="48" s="1"/>
  <c r="I128" i="48"/>
  <c r="J128" i="48" s="1"/>
  <c r="L128" i="48" s="1"/>
  <c r="J127" i="48"/>
  <c r="L127" i="48" s="1"/>
  <c r="I75" i="48"/>
  <c r="J75" i="48" s="1"/>
  <c r="L75" i="48" s="1"/>
  <c r="I102" i="48"/>
  <c r="J102" i="48" s="1"/>
  <c r="L102" i="48" s="1"/>
  <c r="I153" i="48"/>
  <c r="J153" i="48" s="1"/>
  <c r="L153" i="48" s="1"/>
  <c r="J23" i="48" l="1"/>
  <c r="L23" i="48" s="1"/>
  <c r="J24" i="48"/>
  <c r="L24" i="48" s="1"/>
  <c r="I25" i="48"/>
  <c r="I26" i="48" s="1"/>
  <c r="J26" i="48" s="1"/>
  <c r="L26" i="48" s="1"/>
  <c r="J50" i="48"/>
  <c r="L50" i="48" s="1"/>
  <c r="J51" i="48"/>
  <c r="L51" i="48" s="1"/>
  <c r="I52" i="48"/>
  <c r="I154" i="48"/>
  <c r="J154" i="48" s="1"/>
  <c r="L154" i="48" s="1"/>
  <c r="I103" i="48"/>
  <c r="J103" i="48" s="1"/>
  <c r="L103" i="48" s="1"/>
  <c r="I76" i="48"/>
  <c r="I129" i="48"/>
  <c r="J129" i="48" s="1"/>
  <c r="L129" i="48" s="1"/>
  <c r="I27" i="48" l="1"/>
  <c r="J27" i="48" s="1"/>
  <c r="L27" i="48" s="1"/>
  <c r="J25" i="48"/>
  <c r="L25" i="48" s="1"/>
  <c r="I53" i="48"/>
  <c r="J53" i="48" s="1"/>
  <c r="L53" i="48" s="1"/>
  <c r="J52" i="48"/>
  <c r="L52" i="48" s="1"/>
  <c r="I130" i="48"/>
  <c r="J130" i="48" s="1"/>
  <c r="L130" i="48" s="1"/>
  <c r="I77" i="48"/>
  <c r="J77" i="48" s="1"/>
  <c r="L77" i="48" s="1"/>
  <c r="J76" i="48"/>
  <c r="L76" i="48" s="1"/>
  <c r="I104" i="48"/>
  <c r="J104" i="48" s="1"/>
  <c r="L104" i="48" s="1"/>
  <c r="I155" i="48"/>
  <c r="J155" i="48" s="1"/>
  <c r="L155" i="48" s="1"/>
  <c r="L29" i="48" l="1"/>
  <c r="V29" i="48" s="1"/>
  <c r="X29" i="48" s="1"/>
  <c r="L55" i="48"/>
  <c r="T57" i="48" s="1"/>
  <c r="I78" i="48"/>
  <c r="I131" i="48"/>
  <c r="J131" i="48" s="1"/>
  <c r="L131" i="48" s="1"/>
  <c r="L133" i="48" s="1"/>
  <c r="I156" i="48"/>
  <c r="I105" i="48"/>
  <c r="J105" i="48" s="1"/>
  <c r="L105" i="48" s="1"/>
  <c r="L107" i="48" s="1"/>
  <c r="T31" i="48" l="1"/>
  <c r="V55" i="48"/>
  <c r="X55" i="48" s="1"/>
  <c r="I79" i="48"/>
  <c r="J79" i="48" s="1"/>
  <c r="L79" i="48" s="1"/>
  <c r="T109" i="48"/>
  <c r="V107" i="48"/>
  <c r="X107" i="48" s="1"/>
  <c r="I157" i="48"/>
  <c r="J157" i="48" s="1"/>
  <c r="L157" i="48" s="1"/>
  <c r="J156" i="48"/>
  <c r="L156" i="48" s="1"/>
  <c r="T135" i="48"/>
  <c r="V133" i="48"/>
  <c r="X133" i="48" s="1"/>
  <c r="J78" i="48"/>
  <c r="L78" i="48" s="1"/>
  <c r="L159" i="48" l="1"/>
  <c r="T161" i="48" s="1"/>
  <c r="L81" i="48"/>
  <c r="V81" i="48" s="1"/>
  <c r="V159" i="48" l="1"/>
  <c r="X159" i="48" s="1"/>
  <c r="T83" i="48"/>
  <c r="X81" i="48"/>
  <c r="V165" i="48" l="1"/>
  <c r="X165" i="48"/>
  <c r="T165" i="48"/>
  <c r="K37" i="3" s="1"/>
  <c r="K43" i="3" l="1"/>
  <c r="K45" i="3" s="1"/>
  <c r="K48" i="3" s="1"/>
  <c r="E10" i="1" s="1"/>
  <c r="I10" i="1" s="1"/>
  <c r="H10" i="33"/>
  <c r="J10" i="33" l="1"/>
  <c r="J11" i="33" s="1"/>
  <c r="J17" i="33" s="1"/>
  <c r="H11" i="33"/>
  <c r="H17" i="33" s="1"/>
  <c r="H20" i="33" s="1"/>
  <c r="H22" i="33" s="1"/>
  <c r="J20" i="33" l="1"/>
  <c r="J22" i="33" s="1"/>
  <c r="E16" i="1" s="1"/>
  <c r="I16" i="1" s="1"/>
  <c r="I18"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<sst xmlns="http://schemas.openxmlformats.org/spreadsheetml/2006/main" count="17096" uniqueCount="1268">
  <si>
    <t>Cuenta Número</t>
  </si>
  <si>
    <t>Banco</t>
  </si>
  <si>
    <t>Edos Cta al mes de</t>
  </si>
  <si>
    <t>A</t>
  </si>
  <si>
    <t>B</t>
  </si>
  <si>
    <t>C</t>
  </si>
  <si>
    <t>D</t>
  </si>
  <si>
    <t>E</t>
  </si>
  <si>
    <t>F</t>
  </si>
  <si>
    <t>G</t>
  </si>
  <si>
    <t>H</t>
  </si>
  <si>
    <t>I</t>
  </si>
  <si>
    <t>Notas:</t>
  </si>
  <si>
    <t>I.</t>
  </si>
  <si>
    <t>Enajenación de bienes (Capítulo IV)</t>
  </si>
  <si>
    <t>Capítulo IV - Sección I</t>
  </si>
  <si>
    <t>II.</t>
  </si>
  <si>
    <t>Intereses (Capítulo VI)</t>
  </si>
  <si>
    <t>III.</t>
  </si>
  <si>
    <t>IV.</t>
  </si>
  <si>
    <t>De los demás ingresos (Capítulo IX)</t>
  </si>
  <si>
    <t>(=)</t>
  </si>
  <si>
    <t>Total de Ingresos acumulables sujetos a tarifa</t>
  </si>
  <si>
    <t>(+)</t>
  </si>
  <si>
    <t>ISR pagado en el extranjero</t>
  </si>
  <si>
    <t>Total Impuestos pagados, retenciones y acreditamientos</t>
  </si>
  <si>
    <t>Emisoras Nacionales</t>
  </si>
  <si>
    <t>Emisoras Extranjeras</t>
  </si>
  <si>
    <t>Total Ingresos</t>
  </si>
  <si>
    <t>a.</t>
  </si>
  <si>
    <t>Ganancia / (pérdida) en venta de acciones</t>
  </si>
  <si>
    <t>Total enajenación de bienes - Sección I</t>
  </si>
  <si>
    <t>(A)</t>
  </si>
  <si>
    <t>b.</t>
  </si>
  <si>
    <t>(B)</t>
  </si>
  <si>
    <t>Ganancia / (Pérdida) cambiaria - contratos</t>
  </si>
  <si>
    <t>Total intereses Capítulo VI</t>
  </si>
  <si>
    <t>Vs</t>
  </si>
  <si>
    <t>Ingresos por Intereses y Ganancia Cambiaria Art. 239 RLISR</t>
  </si>
  <si>
    <t xml:space="preserve">Ingresos acumulables por Intereses </t>
  </si>
  <si>
    <t xml:space="preserve">(C) </t>
  </si>
  <si>
    <t>Dividendos  (Capítulo VIII)</t>
  </si>
  <si>
    <t xml:space="preserve">Dividendos nacionales  </t>
  </si>
  <si>
    <t xml:space="preserve">Total dividendos nacionales </t>
  </si>
  <si>
    <t>(D)</t>
  </si>
  <si>
    <t xml:space="preserve">Total demás ingresos </t>
  </si>
  <si>
    <t xml:space="preserve">Total ISR pagado en el extranjero </t>
  </si>
  <si>
    <t>(X)</t>
  </si>
  <si>
    <t xml:space="preserve">  Capítulo VI (Intereses)</t>
  </si>
  <si>
    <t>(Y)</t>
  </si>
  <si>
    <t xml:space="preserve">ISR pendiente de acreditar actualizado - ejercicios anteriores  </t>
  </si>
  <si>
    <t>(Z)</t>
  </si>
  <si>
    <t>(1) El monto de los dividendos incluye el impuesto retenido de conformidad</t>
  </si>
  <si>
    <t>Tipo de Ingreso</t>
  </si>
  <si>
    <t>Fecha</t>
  </si>
  <si>
    <t>Nombre / Descripción</t>
  </si>
  <si>
    <t>Equivalencia</t>
  </si>
  <si>
    <t>Monto en USD</t>
  </si>
  <si>
    <t>Monto MXN</t>
  </si>
  <si>
    <t>USD</t>
  </si>
  <si>
    <t>MXN</t>
  </si>
  <si>
    <t>Gran Total</t>
  </si>
  <si>
    <t>Intereses percibidos</t>
  </si>
  <si>
    <t>Descripción</t>
  </si>
  <si>
    <t>4. El saldo de las posiciones mexicanas así como cash en pesos considerarlo en la seccion ¨MXN Portfolio¨</t>
  </si>
  <si>
    <t>Enero</t>
  </si>
  <si>
    <t>No de Cta</t>
  </si>
  <si>
    <t>Febrero</t>
  </si>
  <si>
    <t>Type</t>
  </si>
  <si>
    <t>Total Saldo Mensual</t>
  </si>
  <si>
    <t>Marzo</t>
  </si>
  <si>
    <t>Abril</t>
  </si>
  <si>
    <t>Mayo</t>
  </si>
  <si>
    <t>Junio</t>
  </si>
  <si>
    <t>Julio</t>
  </si>
  <si>
    <t>Agosto</t>
  </si>
  <si>
    <t>Septiembre</t>
  </si>
  <si>
    <t>Octubre</t>
  </si>
  <si>
    <t>Noviembre</t>
  </si>
  <si>
    <t>Diciembre</t>
  </si>
  <si>
    <t xml:space="preserve">  Σ de los saldos al último día del mes en MXN: </t>
  </si>
  <si>
    <t>Total Ganancia / Pérdida Cambiaria</t>
  </si>
  <si>
    <t xml:space="preserve"> Número de meses del ejercicio: </t>
  </si>
  <si>
    <t xml:space="preserve"> Saldo promedio en MXN: </t>
  </si>
  <si>
    <t xml:space="preserve"> Factor de ajuste: </t>
  </si>
  <si>
    <t>Monto del depósito o inversión al inicio del ejercicio en USD</t>
  </si>
  <si>
    <t>Tipo de cambio al inicio del ejercicio</t>
  </si>
  <si>
    <t>Monto del depósito o inversión al inicio del ejercicio en MXN</t>
  </si>
  <si>
    <t xml:space="preserve">Monto acumulable de ingresos por intereses y ganancia cambiaria generados por depósitos o inversiones efectuadas en instituciones residentes en el extranjero </t>
  </si>
  <si>
    <t>Criteria</t>
  </si>
  <si>
    <t>Monto del depósito o inversión al inicio del ejercicio (starting balance o saldo al final del mes del primer depósito)</t>
  </si>
  <si>
    <t>Emisora</t>
  </si>
  <si>
    <t>Factor de Piramidación</t>
  </si>
  <si>
    <t>Tasa de Impuesto Corporativo</t>
  </si>
  <si>
    <t>Total de otros ingresos percibidos en el ejercicio</t>
  </si>
  <si>
    <t>Total de otras retenciones efectuadas en el extranjero en la Cta.</t>
  </si>
  <si>
    <t>Account Number</t>
  </si>
  <si>
    <t xml:space="preserve">Factor </t>
  </si>
  <si>
    <t>S</t>
  </si>
  <si>
    <t>Years held</t>
  </si>
  <si>
    <t>Complete years</t>
  </si>
  <si>
    <t xml:space="preserve">Taxable gain/ Loss deductible MXN </t>
  </si>
  <si>
    <t xml:space="preserve">No taxable gain/ Creditable loss MXN </t>
  </si>
  <si>
    <t>N</t>
  </si>
  <si>
    <t>Gain / Loss in USD</t>
  </si>
  <si>
    <t>Acciones Nacionales</t>
  </si>
  <si>
    <t>Acciones Extranjeras</t>
  </si>
  <si>
    <t>Bonos Nacionales</t>
  </si>
  <si>
    <t>Bonos Extranjeros</t>
  </si>
  <si>
    <t>Derivados Nacionales</t>
  </si>
  <si>
    <t>Derivados Extranjero</t>
  </si>
  <si>
    <t>Capital privado Nacional</t>
  </si>
  <si>
    <t>Capital privado Extranjero</t>
  </si>
  <si>
    <t>Acciones Extranjeras - SIC</t>
  </si>
  <si>
    <t>Derivados Extranjero - SIC</t>
  </si>
  <si>
    <t xml:space="preserve">Enero </t>
  </si>
  <si>
    <t xml:space="preserve">Marzo </t>
  </si>
  <si>
    <t xml:space="preserve">Mayo </t>
  </si>
  <si>
    <t>AUD</t>
  </si>
  <si>
    <t>BRL</t>
  </si>
  <si>
    <t>CAD</t>
  </si>
  <si>
    <t>CHF</t>
  </si>
  <si>
    <t>EUR</t>
  </si>
  <si>
    <t>GBP</t>
  </si>
  <si>
    <t>JPY</t>
  </si>
  <si>
    <t>NOK</t>
  </si>
  <si>
    <t>NZD</t>
  </si>
  <si>
    <t>RMB</t>
  </si>
  <si>
    <t>TKL</t>
  </si>
  <si>
    <t>TIPO DE CAMBIO PARA SOLVENTAR OBLIGACIONES DENOMINADAS EN DOLARES DE LOS ESTADOS UNIDOS</t>
  </si>
  <si>
    <t xml:space="preserve"> DE AMERICA PAGADERAS EN LA REPUBLICA MEXICANA PARA 2016</t>
  </si>
  <si>
    <t xml:space="preserve"> DE AMERICA PAGADERAS EN LA REPUBLICA MEXICANA PARA 2015</t>
  </si>
  <si>
    <t xml:space="preserve"> DE AMERICA PAGADERAS EN LA REPUBLICA MEXICANA PARA 2014</t>
  </si>
  <si>
    <t xml:space="preserve"> DE AMERICA PAGADERAS EN LA REPUBLICA MEXICANA PARA 2013</t>
  </si>
  <si>
    <t xml:space="preserve"> DE AMERICA PAGADERAS EN LA REPUBLICA MEXICANA PARA 2012</t>
  </si>
  <si>
    <t xml:space="preserve"> DE AMERICA PAGADERAS EN LA REPUBLICA MEXICANA PARA 2011</t>
  </si>
  <si>
    <t xml:space="preserve"> DE AMERICA PAGADERAS EN LA REPUBLICA MEXICANA PARA 2010</t>
  </si>
  <si>
    <t>DIA</t>
  </si>
  <si>
    <t xml:space="preserve">ENERO </t>
  </si>
  <si>
    <t>FEBRERO</t>
  </si>
  <si>
    <t>MARZO</t>
  </si>
  <si>
    <t>ABRIL</t>
  </si>
  <si>
    <t>MAYO</t>
  </si>
  <si>
    <t>JUNIO</t>
  </si>
  <si>
    <t>JULIO</t>
  </si>
  <si>
    <t>AGOSTO</t>
  </si>
  <si>
    <t>SEPTIEMBRE</t>
  </si>
  <si>
    <t>OCTUBRE</t>
  </si>
  <si>
    <t>NOVIEMBRE</t>
  </si>
  <si>
    <t>DICIEMBRE</t>
  </si>
  <si>
    <t>INDICE NACIONAL DE PRECIOS AL CONSUMIDOR</t>
  </si>
  <si>
    <t>AÑO</t>
  </si>
  <si>
    <t>ENE</t>
  </si>
  <si>
    <t>FEB</t>
  </si>
  <si>
    <t>MAR</t>
  </si>
  <si>
    <t>ABR</t>
  </si>
  <si>
    <t>MAY</t>
  </si>
  <si>
    <t>JUN</t>
  </si>
  <si>
    <t>JUL</t>
  </si>
  <si>
    <t>AGO</t>
  </si>
  <si>
    <t>SEP</t>
  </si>
  <si>
    <t>OCT</t>
  </si>
  <si>
    <t>NOV</t>
  </si>
  <si>
    <t>DIC</t>
  </si>
  <si>
    <t>Ganancia / (Pérdida) cambiaria - devengada</t>
  </si>
  <si>
    <t>Otros ingresos acumulables</t>
  </si>
  <si>
    <t>Impuesto Retenido en USD</t>
  </si>
  <si>
    <t>Unidades Vendidas</t>
  </si>
  <si>
    <t>Ingresos en USD</t>
  </si>
  <si>
    <t>Posiciones</t>
  </si>
  <si>
    <t>Dividendo Bruto en Moneda Original</t>
  </si>
  <si>
    <t>Dividendo Bruto en USD</t>
  </si>
  <si>
    <t>Dividendo Bruto en MXN</t>
  </si>
  <si>
    <t>Pérdidas por enajenación de bienes actualizada - ejercicios anteriores</t>
  </si>
  <si>
    <t>Ajuste Anual Inflacionario</t>
  </si>
  <si>
    <t>Capítulo IX (De los demás Ingresos) - Dividendos</t>
  </si>
  <si>
    <t>Capítulo IX (De los demás Ingresos) - Private Equity</t>
  </si>
  <si>
    <t xml:space="preserve">Capítulo IX (De los demás Ingresos) - Otros </t>
  </si>
  <si>
    <t>Número de Cuenta</t>
  </si>
  <si>
    <t>Monto total de otras retenciones efectuadas en el extranjero</t>
  </si>
  <si>
    <t xml:space="preserve"> DE AMERICA PAGADERAS EN LA REPUBLICA MEXICANA PARA 2017</t>
  </si>
  <si>
    <t>INR</t>
  </si>
  <si>
    <t>IDR</t>
  </si>
  <si>
    <t>COP</t>
  </si>
  <si>
    <t xml:space="preserve">Total de intereses percibidos en el ejercicio en la Cta. </t>
  </si>
  <si>
    <t xml:space="preserve">Total de ingresos por diferencias cambiarias en contratos en la Cta. </t>
  </si>
  <si>
    <t xml:space="preserve">Total de distribuciones por private equity en la Cta. </t>
  </si>
  <si>
    <t>Total de otros ingresos percibidos en la Cta.</t>
  </si>
  <si>
    <t>Intereses - Commitment</t>
  </si>
  <si>
    <t>Accrued Interest Received</t>
  </si>
  <si>
    <t>primer mes</t>
  </si>
  <si>
    <t>último mes</t>
  </si>
  <si>
    <t>año actual</t>
  </si>
  <si>
    <t>año pasado</t>
  </si>
  <si>
    <t>Sale</t>
  </si>
  <si>
    <t>Maturiry</t>
  </si>
  <si>
    <t>Redemption</t>
  </si>
  <si>
    <t>Exchange</t>
  </si>
  <si>
    <t>Transfer</t>
  </si>
  <si>
    <t>Lista de Instrumentos</t>
  </si>
  <si>
    <t>Lista de operaciones</t>
  </si>
  <si>
    <t>Fibras - Exentas</t>
  </si>
  <si>
    <t>Instrucciones:</t>
  </si>
  <si>
    <t>1. Llenar en las celdas de la fila 8 el número de la cuenta al que corresponda la información</t>
  </si>
  <si>
    <t>2. Llenar en las celdas de la fila 9 el tipo de saldo que corresponde (CASH o BONOS). Recordar que los bonos en MXP se deben colocar en la sección MXN</t>
  </si>
  <si>
    <t>3. Insertar el número de columnas que sea necesario para incluir todas la cuentas que corresponda</t>
  </si>
  <si>
    <t>Realized Gain or (Losses)</t>
  </si>
  <si>
    <t>Intereses en compra-venta de bonos</t>
  </si>
  <si>
    <t>Moneda Original</t>
  </si>
  <si>
    <t>Monto moneda Original</t>
  </si>
  <si>
    <t>Monto Moneda Original</t>
  </si>
  <si>
    <t>Saldo al Final del Mes en USD</t>
  </si>
  <si>
    <t>Tipo de Cambio al Inicio del Mes</t>
  </si>
  <si>
    <t>Saldo al Final del Mes en MXN</t>
  </si>
  <si>
    <t>Saldo de Cash y Bonos al Final del Mes en USD</t>
  </si>
  <si>
    <t>Tipo de Cambio Final de Mes</t>
  </si>
  <si>
    <t>Ganancia / (Pérdida) Cambiaria</t>
  </si>
  <si>
    <t>Impuesto Retenido Moneda Original</t>
  </si>
  <si>
    <t>Impuesto Retenido Moneda MXN</t>
  </si>
  <si>
    <t>AAI USD Portfolio - Cifras en USD</t>
  </si>
  <si>
    <t>AAI MXN Portfolio - Cifras en Pesos</t>
  </si>
  <si>
    <t>Pérdida de OFD es cedular</t>
  </si>
  <si>
    <t xml:space="preserve"> Equivalencia</t>
  </si>
  <si>
    <t xml:space="preserve"> Factor </t>
  </si>
  <si>
    <t xml:space="preserve">Equivalencia </t>
  </si>
  <si>
    <t>Precio de Venta en MXN</t>
  </si>
  <si>
    <t>Nombre del Activo</t>
  </si>
  <si>
    <t>Fecha de Adquisición</t>
  </si>
  <si>
    <t>Fecha de Venta</t>
  </si>
  <si>
    <t>Grand Total</t>
  </si>
  <si>
    <t>Cash in Lieu</t>
  </si>
  <si>
    <t xml:space="preserve"> DE AMERICA PAGADERAS EN LA REPUBLICA MEXICANA PARA 2018</t>
  </si>
  <si>
    <t xml:space="preserve">Notas: </t>
  </si>
  <si>
    <t>Años de Tenencia</t>
  </si>
  <si>
    <t>SUMARIA DE INGRESOS ACUMULABLES</t>
  </si>
  <si>
    <t>Ganancia / (pérdida) en venta títulos de deuda</t>
  </si>
  <si>
    <t xml:space="preserve">Ganancia / (pérdida) en venta de otros bienes </t>
  </si>
  <si>
    <t>Ganancia / (pérdida) en derivados</t>
  </si>
  <si>
    <t>Pérdidas por Intereses (Capítulo VI) actualizada - ejercicios anteriores</t>
  </si>
  <si>
    <t>Total de Ingresos acumulables (A + B + C + D)</t>
  </si>
  <si>
    <t>Capítulo IX (De los demás Ingresos) - Derivados</t>
  </si>
  <si>
    <t xml:space="preserve">  Capítulo IV (Enajenación de bienes - Acciones) </t>
  </si>
  <si>
    <t xml:space="preserve">  Capítulo IV (Enajenación de bienes - Bonos) </t>
  </si>
  <si>
    <t xml:space="preserve">  Capítulo IV (Enajenación de bienes - Otros bienes) </t>
  </si>
  <si>
    <t xml:space="preserve">  Capítulo VIII (Dividendos - Nacionales) </t>
  </si>
  <si>
    <t>Retenciones de ISR y Acreditamientos</t>
  </si>
  <si>
    <t xml:space="preserve">Total retenciones de ISR y acreditamiento dividendos </t>
  </si>
  <si>
    <t>Impuesto pagado, retenciones y acreditamientos</t>
  </si>
  <si>
    <t>Total Impuestos pagados, retenciones y acreditamientos (X + Y + Z)</t>
  </si>
  <si>
    <t>Ganancia / (Pérdida) en enajenación de acciones en Bolsa de Valores</t>
  </si>
  <si>
    <t>Ganancia / (Pérdida) en enajenación de derivados referidos a acciones en Bolsa de Valores</t>
  </si>
  <si>
    <t>N/A</t>
  </si>
  <si>
    <t>Total</t>
  </si>
  <si>
    <t>(-)</t>
  </si>
  <si>
    <t>J</t>
  </si>
  <si>
    <t>K</t>
  </si>
  <si>
    <t>L</t>
  </si>
  <si>
    <t>M</t>
  </si>
  <si>
    <t>O</t>
  </si>
  <si>
    <t>P</t>
  </si>
  <si>
    <t>Q</t>
  </si>
  <si>
    <t>R</t>
  </si>
  <si>
    <t>T</t>
  </si>
  <si>
    <t>U</t>
  </si>
  <si>
    <t>Acciones Nacionales - BMV</t>
  </si>
  <si>
    <t>Derivados Nacionales - BMV</t>
  </si>
  <si>
    <t>Write Option</t>
  </si>
  <si>
    <t>Assignment Option</t>
  </si>
  <si>
    <t>Purchase Option</t>
  </si>
  <si>
    <t>Sale Option</t>
  </si>
  <si>
    <t>Expired Option</t>
  </si>
  <si>
    <t>BuyBack Option</t>
  </si>
  <si>
    <t>Tasa de Impuesto</t>
  </si>
  <si>
    <t>Tipo de Activo</t>
  </si>
  <si>
    <t>Nombre de la OFD</t>
  </si>
  <si>
    <t>Seleccionar la Operación Financiera Derivada (OFD) de que se trata</t>
  </si>
  <si>
    <t>Tipo de adquisición</t>
  </si>
  <si>
    <t>Purchase</t>
  </si>
  <si>
    <t>Transfer In</t>
  </si>
  <si>
    <t>Transfer out</t>
  </si>
  <si>
    <t>Gift</t>
  </si>
  <si>
    <t>Moneda de Adquisición</t>
  </si>
  <si>
    <t>Costo de Adquisición en Moneda Original</t>
  </si>
  <si>
    <t>Unidades Adquiridas</t>
  </si>
  <si>
    <t>Unidades vendidas</t>
  </si>
  <si>
    <t>Clasificación del Activo - Fiscal</t>
  </si>
  <si>
    <t>Sección LISR</t>
  </si>
  <si>
    <t>Moneda de Venta</t>
  </si>
  <si>
    <t>Ganancia / (Pérdida) en MXN</t>
  </si>
  <si>
    <t>Años Completos</t>
  </si>
  <si>
    <t>Ganancia Acumulable / (Pérdida deducible)</t>
  </si>
  <si>
    <t>Ganancia No Acumulable / (Pérdida Acreditable)</t>
  </si>
  <si>
    <t>Valor Unitario en MXN</t>
  </si>
  <si>
    <t>Fecha de Operación Final</t>
  </si>
  <si>
    <t>Seleccionar el Tipo de Operación Inicial</t>
  </si>
  <si>
    <t>Monto Inicial en Moneda Original</t>
  </si>
  <si>
    <t>Monto Inicial en USD</t>
  </si>
  <si>
    <t>Monto Inicial en MXN</t>
  </si>
  <si>
    <t>DKK</t>
  </si>
  <si>
    <t>RUB</t>
  </si>
  <si>
    <t>Fecha de Operación Inicial</t>
  </si>
  <si>
    <t>Número de Títulos Operación Inicial</t>
  </si>
  <si>
    <t>Tipo de Cambio de Operación Inicial</t>
  </si>
  <si>
    <t>INPC Operación Inicial</t>
  </si>
  <si>
    <t>INPC Operación Final</t>
  </si>
  <si>
    <t>Operación Original Actualizada en MXN</t>
  </si>
  <si>
    <t>Seleccionar el Tipo de Operación Final</t>
  </si>
  <si>
    <t>Monto Final en Moneda Original</t>
  </si>
  <si>
    <t>Monto Final en USD</t>
  </si>
  <si>
    <t>Tipo de Cambio Operación Final</t>
  </si>
  <si>
    <t>Monto Final en MXN</t>
  </si>
  <si>
    <t xml:space="preserve">Costo de Adquisición en USD </t>
  </si>
  <si>
    <t>Ganancia / (Pérdida) en USD</t>
  </si>
  <si>
    <t>Costo Actualizado en MXN</t>
  </si>
  <si>
    <t xml:space="preserve">Ganancia Acumulable / (Pérdida Deducible) </t>
  </si>
  <si>
    <t>Ganancia / (Pérdida) Total en MXN</t>
  </si>
  <si>
    <t>Clase de Activo</t>
  </si>
  <si>
    <t>Costo Histórico en Moneda Original</t>
  </si>
  <si>
    <t>Tipo de Cambio - Fecha de Adquisición</t>
  </si>
  <si>
    <t>Precio de Venta en Moneda Original</t>
  </si>
  <si>
    <t xml:space="preserve">Ganancia Acumulable / (Pérdida deducible) </t>
  </si>
  <si>
    <t>Costo Unitario en Moneda Original</t>
  </si>
  <si>
    <t>Costo de Adquisición en USD</t>
  </si>
  <si>
    <t>Tipo de Cambio de la Fecha de Adquisición</t>
  </si>
  <si>
    <t>Costo de Adquisición en MXN</t>
  </si>
  <si>
    <t>INPC de Adquisición</t>
  </si>
  <si>
    <t>INPC de Enajenación</t>
  </si>
  <si>
    <t>Costo Actualizado Total en MXN</t>
  </si>
  <si>
    <t>Costo Unitario Actualizado Total en MXN</t>
  </si>
  <si>
    <t>Tipo de Enajenación</t>
  </si>
  <si>
    <t>Valor de Venta en Moneda Original del Activo</t>
  </si>
  <si>
    <t>Valor de Venta en USD</t>
  </si>
  <si>
    <t>Tipo de Cambio de Fecha Venta</t>
  </si>
  <si>
    <t>Equivalencia - Movimiento Inicial</t>
  </si>
  <si>
    <t>Número de Títulos - Operación Final</t>
  </si>
  <si>
    <t>Clasificación MF</t>
  </si>
  <si>
    <t>Derivado</t>
  </si>
  <si>
    <t>Tipo de Operación Inicial</t>
  </si>
  <si>
    <t>Moneda Original - Operación Inicial</t>
  </si>
  <si>
    <t>Moneda Original - Operación Final</t>
  </si>
  <si>
    <t>Tipo de Operación Final</t>
  </si>
  <si>
    <t xml:space="preserve">Monto Inicial en Moneda Original </t>
  </si>
  <si>
    <t xml:space="preserve">Equivalencia - Movimiento Inicial </t>
  </si>
  <si>
    <t xml:space="preserve">Monto Inicial en MXN </t>
  </si>
  <si>
    <t xml:space="preserve">INPC Operación Inicial </t>
  </si>
  <si>
    <t xml:space="preserve">Operación Original Actualizada en MXN </t>
  </si>
  <si>
    <t xml:space="preserve">Monto Final en Moneda Original </t>
  </si>
  <si>
    <t>Equivalencia - Movimiento Final</t>
  </si>
  <si>
    <t xml:space="preserve">Monto Final en MXN </t>
  </si>
  <si>
    <t xml:space="preserve"> Ganancia / (Pérdida) en MXN </t>
  </si>
  <si>
    <t xml:space="preserve"> INPC Operación Final</t>
  </si>
  <si>
    <t xml:space="preserve">  Factor </t>
  </si>
  <si>
    <t xml:space="preserve"> Ajuste anual por inflación deducible en MXN: </t>
  </si>
  <si>
    <t>Saldo al inicio</t>
  </si>
  <si>
    <t>AAI EUR Portfolio - Cifras en USD</t>
  </si>
  <si>
    <t>AAI GBP Portfolio - Cifras en USD</t>
  </si>
  <si>
    <t>Total de Saldos Iniciales</t>
  </si>
  <si>
    <t>Total por Cuenta en USD</t>
  </si>
  <si>
    <t>Total por Cuenta en MXN</t>
  </si>
  <si>
    <t>Total por Cuenta - Dividendo Bruto M.O.</t>
  </si>
  <si>
    <t>Total por Cuenta - Dividendo Piramidado USD</t>
  </si>
  <si>
    <t>Total por Cuenta - Dividendo Piramidado MXN</t>
  </si>
  <si>
    <t>Dividendo Piramidado en USD</t>
  </si>
  <si>
    <t>Dividendo Piramidado en MXN</t>
  </si>
  <si>
    <t>Tipo de Cambio</t>
  </si>
  <si>
    <t>Total de intereses percibidos en el ejercicio</t>
  </si>
  <si>
    <t xml:space="preserve">Gran total de intereses percibidos en el ejercicio en la Cta. </t>
  </si>
  <si>
    <t>Total de ingresos por diferencias cambiarias en contratos</t>
  </si>
  <si>
    <t>Gran total de ingresos por diferencias cambiarias en contratos</t>
  </si>
  <si>
    <t>Gran total de otros ingresos percibidos en la Cta.</t>
  </si>
  <si>
    <t>Total de dividendos percibidos de emisoras nacionales</t>
  </si>
  <si>
    <t>Total de dividendos de emisoras nacionales percibidos en la Cta.</t>
  </si>
  <si>
    <t xml:space="preserve">Gran total de dividendos percibidos de emisoras nacionales </t>
  </si>
  <si>
    <t>Total Dividendo Piramidado en MXN</t>
  </si>
  <si>
    <t>Indicar el tipo de cálculo que se presentará al cliente</t>
  </si>
  <si>
    <t>Cálculo Tradicional</t>
  </si>
  <si>
    <t>Cálculo en Moneda Funcional</t>
  </si>
  <si>
    <t>Total de dividendos percibidos de emisoras extranjeras</t>
  </si>
  <si>
    <t>Total de dividendos percibidos de emisoras extranjeras en la Cta.</t>
  </si>
  <si>
    <t xml:space="preserve">Gran total de dividendos percibidos de emisoras extranjeras </t>
  </si>
  <si>
    <t>Total por Cuenta - Dividendo Bruto en USD</t>
  </si>
  <si>
    <t>Total por Cuenta - Dividendo Bruto en MXN</t>
  </si>
  <si>
    <t>Total de retenciones sobre dividendos de emisoras extranjeras en la Cta.</t>
  </si>
  <si>
    <t>Gran total de retenciones sobre dividendos de emisoras extranjeras en la Cta.</t>
  </si>
  <si>
    <t>Total por Cuenta - Impuesto Retenido en M.O.</t>
  </si>
  <si>
    <t>Total por Cuenta - Impuesto Retenido en USD</t>
  </si>
  <si>
    <t>Total por Cuenta - Impuesto Retenido en MXN</t>
  </si>
  <si>
    <t>Total de retenciones sobre dividendos percibidos de emisoras extranjeras</t>
  </si>
  <si>
    <t>Total de distribuciones de private equity</t>
  </si>
  <si>
    <t>Gran total de distribuciones por private equity:</t>
  </si>
  <si>
    <t>Retención en Moneda Original</t>
  </si>
  <si>
    <t>Distribución en Moneda Original</t>
  </si>
  <si>
    <t>Distribución en USD</t>
  </si>
  <si>
    <t>Distribución en MXN</t>
  </si>
  <si>
    <t>Total por Cuenta - Distribución en M.O.</t>
  </si>
  <si>
    <t>Total por Cuenta - Distribución en USD</t>
  </si>
  <si>
    <t>Total por Cuenta - Distribución en MXN</t>
  </si>
  <si>
    <t>Clase de Distribución</t>
  </si>
  <si>
    <t>Retención en USD</t>
  </si>
  <si>
    <t>Total por Cuenta - Retención en M.O.</t>
  </si>
  <si>
    <t>Total por Cuenta - Retención en USD</t>
  </si>
  <si>
    <t>Total por Cuenta - Retención en MXN</t>
  </si>
  <si>
    <t>Retención en MXP</t>
  </si>
  <si>
    <t>Total de retenciones - private equity</t>
  </si>
  <si>
    <t xml:space="preserve">Total de retenciones - private equity en la Cta. </t>
  </si>
  <si>
    <t>Gran total de retenciones - private equity:</t>
  </si>
  <si>
    <t>Descripción / Emisora</t>
  </si>
  <si>
    <t>Gran total de otras retenciones efectuadas en el extranjero en la Cta.</t>
  </si>
  <si>
    <t>Tipo de Movimiento</t>
  </si>
  <si>
    <t>Reversal</t>
  </si>
  <si>
    <t>Retención</t>
  </si>
  <si>
    <t>Retención en MXN</t>
  </si>
  <si>
    <t>Total por Cuenta - Intereses en USD</t>
  </si>
  <si>
    <t>Total por Cuenta - Intereses en MXN</t>
  </si>
  <si>
    <t>Intereses en Moneda Original</t>
  </si>
  <si>
    <t>Intereses en USD</t>
  </si>
  <si>
    <t>Intereses en MXN</t>
  </si>
  <si>
    <t>Total por Cuenta - Intereses en M.O.</t>
  </si>
  <si>
    <t>Total por Cuenta en M.O.</t>
  </si>
  <si>
    <t>Ganancia / (Pérdida) Moneda Original</t>
  </si>
  <si>
    <t>Ganancia / (Pérdida) USD</t>
  </si>
  <si>
    <t>Ganancia / (Pérdida) MXN</t>
  </si>
  <si>
    <t>Total por Cuenta - Ganancia / (Pérdida) M.O.</t>
  </si>
  <si>
    <t>Total por Cuenta - Ganancia / (Pérdida) USD</t>
  </si>
  <si>
    <t>Total por Cuenta - Ganancia / (Pérdida) MXN</t>
  </si>
  <si>
    <t>Impuesto Acreditable en MXN</t>
  </si>
  <si>
    <t>Total Dividendo Piramidado en USD</t>
  </si>
  <si>
    <t>Impuesto Acreditable en USD</t>
  </si>
  <si>
    <t>Total por Cuenta - Impuesto Acreditable en MXN</t>
  </si>
  <si>
    <t>Total por Cuenta - Impuesto Acreditable en USD</t>
  </si>
  <si>
    <t>Dividendos brutos percibidos del extranjero sujetos a ISR adicional</t>
  </si>
  <si>
    <t>Retenciones sobre dividendos de emisoras extranjeras</t>
  </si>
  <si>
    <t>Retenciones sobre utlidades distribuidas de private equity</t>
  </si>
  <si>
    <t>ISR Adicional del 10% por dividendos o utilidades distribuidas del extranjero</t>
  </si>
  <si>
    <t>Notas</t>
  </si>
  <si>
    <t>Emisoras Nacionales (BMV)</t>
  </si>
  <si>
    <t>Emisoras Extranjeras (SIC)</t>
  </si>
  <si>
    <t>Total de Ingresos</t>
  </si>
  <si>
    <t>Ingresos Sección II, Capítulo IV LISR - 10% BMV &amp; SIC</t>
  </si>
  <si>
    <t>INGRESOS CONFORME AL CAPÍTULO IX, ARTÍCULO 142, FRACCIÓN V DE LA LISR</t>
  </si>
  <si>
    <t>Resultado en derivados nacionales</t>
  </si>
  <si>
    <t>Resultado en derivados extranjeros</t>
  </si>
  <si>
    <t>Pérdidas de ejercicios anteriores pendientes de disminuir</t>
  </si>
  <si>
    <t>Ingresos netos en enajenación de bienes BMV &amp; SIC</t>
  </si>
  <si>
    <t>Total de ingresos en enajenación de bienes BMV &amp; SIC</t>
  </si>
  <si>
    <t>DETALLE DE CUENTAS INCLUIDAS PARA CÁLCULO</t>
  </si>
  <si>
    <t xml:space="preserve">Periodo: </t>
  </si>
  <si>
    <r>
      <t xml:space="preserve">Dividendos percibidos del extranjero </t>
    </r>
    <r>
      <rPr>
        <vertAlign val="superscript"/>
        <sz val="12"/>
        <color theme="1"/>
        <rFont val="Segoe UI"/>
        <family val="2"/>
      </rPr>
      <t>(1)</t>
    </r>
  </si>
  <si>
    <t>ISR ADICIONAL DEL 10% SOBRE DIVIDENDOS O UTILIDADES DISTRIBUIDAS POR EMISORAS EXTRANJERAS</t>
  </si>
  <si>
    <t>Seleccione una opción</t>
  </si>
  <si>
    <t>DETERMINACIÓN DE INGRESOS CONFORME AL TÍTULO IV DE LA LISR</t>
  </si>
  <si>
    <t>INGRESOS OBTENIDOS EN CUENTAS DEL EXTRANJERO</t>
  </si>
  <si>
    <t>DETERMINACIÓN DE INGRESOS EN VENTA DE BIENES (BMV &amp; SIC)</t>
  </si>
  <si>
    <t>DETERMINACIÓN DE IMPUESTO PAGADO Y ACREDITAMIENTOS CONFORME AL TÍTULO IV DE LA LISR</t>
  </si>
  <si>
    <t>GANANCIA O (PÉRDIDA) EN VENTA DE ACCIONES, BONOS, PRIVATE EQUITY &amp; FIBRAS</t>
  </si>
  <si>
    <t>OFD: Nacional / Extranjera</t>
  </si>
  <si>
    <t xml:space="preserve">GANANCIA O (PÉRDIDA) EN VENTA DE ACCIONES Y TÍTULOS REPRESENTATIVOS - BMV &amp; SIC </t>
  </si>
  <si>
    <t>DETALLE DE LA GANANCIA O (PÉRDIDA) EN VENTA DE OFD BMV &amp; SIC , OPERACIONES FINANCIERAS DERIVADAS REFERIDAS A íNDICES ACCIONARIOS QUE REPRESENTEN ACCIONES COLOCADAS EN BMV &amp; SIC Y OPERACIONES FINANCIERAS DERIVADAS EN GENERAL</t>
  </si>
  <si>
    <t>Total de intereses en la compra-venta de bonos en la Cta.</t>
  </si>
  <si>
    <t>Gran total de intereses en la compra-venta de bonos en la Cta.</t>
  </si>
  <si>
    <t>Total de intereses en la compra-venta de bonos</t>
  </si>
  <si>
    <t>DETERMINACIÓN DE INTERESES Y GANANCIAS CAMBIARIAS CONFORME AL ARTÍCULO 239 DEL RLISR</t>
  </si>
  <si>
    <t>Periodo:</t>
  </si>
  <si>
    <t>INGRESOS CONFORME AL TÍTULO IV, CAPÍTULO IV, SECCIÓN II DEL LA LISR</t>
  </si>
  <si>
    <t>DETERMINACIÓN DE LA GANANCIA O PÉRDIDA EN ENAJENACIÓN DE BIENES CONFORME AL TÍTULO IV, CAPÍTULO IV, SECCIÓN I DE LA LISR</t>
  </si>
  <si>
    <t>DETERMINACIÓN DE LA GANANCIA O (PÉRDIDA) EN ENAJENACIÓN DE BIENES CONFORME AL TÍTULO IV, CAPÍTULO IV, SECCIÓN II DE LA LISR</t>
  </si>
  <si>
    <t>DETERMINACIÓN DE LA GANANCIA O PÉRDIDA EN ENAJENACIÓN DE BIENES CONFORME AL TÍTULO IV, CAPÍTULO IV, SECCIÓN I &amp; SECCIÓN II DE LA LISR</t>
  </si>
  <si>
    <t>Informacion interna - No forma parte del entregable</t>
  </si>
  <si>
    <t>DATO MANUAL - SE ACTUALIZARÁ EN V2</t>
  </si>
  <si>
    <t>EQUIVALENCIAS DE MONEDAS EXTRANJERAS EN DOLÁRES DE E.U.A. DEL 2018</t>
  </si>
  <si>
    <t>EQUIVALENCIAS DE MONEDAS EXTRANJERAS EN DOLÁRES DE E.U.A. DEL 2017</t>
  </si>
  <si>
    <t>EQUIVALENCIAS DE MONEDAS EXTRANJERAS EN DOLÁRES DE E.U.A. DEL 2016</t>
  </si>
  <si>
    <t>EQUIVALENCIAS DE MONEDAS EXTRANJERAS EN DOLÁRES DE E.U.A. DEL 2015</t>
  </si>
  <si>
    <t>EQUIVALENCIAS DE MONEDAS EXTRANJERAS EN DOLÁRES DE E.U.A. DEL 2014</t>
  </si>
  <si>
    <t>EQUIVALENCIAS DE MONEDAS EXTRANJERAS EN DOLÁRES DE E.U.A. DEL 2013</t>
  </si>
  <si>
    <t>EQUIVALENCIAS DE MONEDAS EXTRANJERAS EN DOLÁRES DE E.U.A. DEL 2012</t>
  </si>
  <si>
    <t>EQUIVALENCIAS DE MONEDAS EXTRANJERAS EN DOLÁRES DE E.U.A. DEL 2011</t>
  </si>
  <si>
    <t>EQUIVALENCIAS DE MONEDAS EXTRANJERAS EN DOLÁRES DE E.U.A. DEL 2010</t>
  </si>
  <si>
    <t>EQUIVALENCIAS DE MONEDAS EXTRANJERAS EN DOLÁRES DE E.U.A. DEL 2009</t>
  </si>
  <si>
    <t>EQUIVALENCIAS DE MONEDAS EXTRANJERAS EN DOLÁRES DE E.U.A. DEL 2008</t>
  </si>
  <si>
    <t>EQUIVALENCIAS DE MONEDAS EXTRANJERAS EN DOLÁRES DE E.U.A. DEL 2007</t>
  </si>
  <si>
    <t>EQUIVALENCIAS DE MONEDAS EXTRANJERAS EN DOLÁRES DE E.U.A. DEL 2006</t>
  </si>
  <si>
    <t>EQUIVALENCIAS DE MONEDAS EXTRANJERAS EN DOLÁRES DE E.U.A. DEL 2005</t>
  </si>
  <si>
    <t>SI(A19="MXN",1/BUSCARH(AÑO(B19)+(MES(B19)/100),TC!$5:$100,DIA(B19)+2,FALSO),BUSCARV(A19,EQUIVALENCIA!$1:$100,((MAX(EQUIVALENCIA!$3:$3)-AÑO(B19))*14)+MES(B19)+2,FALSO))</t>
  </si>
  <si>
    <t>FECHA</t>
  </si>
  <si>
    <t>MONEDA</t>
  </si>
  <si>
    <t>EQU</t>
  </si>
  <si>
    <t xml:space="preserve">C9 </t>
  </si>
  <si>
    <t>D9</t>
  </si>
  <si>
    <t>(blank)</t>
  </si>
  <si>
    <t>(blank) Total</t>
  </si>
  <si>
    <t>0 Total</t>
  </si>
  <si>
    <t xml:space="preserve">DETALLE DE LA DETERMINACIÓN DE LA GANANCIA O (PÉRDIDA) EN VENTA DE ACCIONES, BONOS, PRIVATE EQUITY, FIBRAS Y TÍTULOS REPRESENTATIVOS - BMV, SIC &amp; NON SIC </t>
  </si>
  <si>
    <t>CON BASE EN 2018=100</t>
  </si>
  <si>
    <t>DETERMINACIÓN DE LA GANANCIA O PÉRDIDA EN VENTA DE OPERACIONES FINANCIERAS DERIVADAS CONFORME AL TÍTULO IV, CAPÍTULO IV,  SECCIÓN II &amp; TÍTULO IV, CAPÍTULO IX, ARTÍCULO 142 FRACCIÓN XIV DE LA LISR</t>
  </si>
  <si>
    <t xml:space="preserve">Ingresos en MXN </t>
  </si>
  <si>
    <t>Ingresos en MXN</t>
  </si>
  <si>
    <t>Ingresos sujetos al 10% adicional por dividendos y utilidades del extranjero ( 1- 2 )</t>
  </si>
  <si>
    <r>
      <t xml:space="preserve">Total de ingresos brutos sujetos a ISR adicional </t>
    </r>
    <r>
      <rPr>
        <b/>
        <sz val="12"/>
        <rFont val="Segoe UI"/>
        <family val="2"/>
      </rPr>
      <t>(1)</t>
    </r>
  </si>
  <si>
    <r>
      <t xml:space="preserve">Total de retenciones efectuadas sobre dividendos y utilidades. </t>
    </r>
    <r>
      <rPr>
        <b/>
        <sz val="12"/>
        <rFont val="Segoe UI"/>
        <family val="2"/>
      </rPr>
      <t>(2)</t>
    </r>
  </si>
  <si>
    <t xml:space="preserve">Costo de Adquisición en MXN </t>
  </si>
  <si>
    <t xml:space="preserve">INPC de Enajenación </t>
  </si>
  <si>
    <t xml:space="preserve">INPC de Adquisición </t>
  </si>
  <si>
    <t xml:space="preserve">Precio de Venta en MXN </t>
  </si>
  <si>
    <t xml:space="preserve">Tipo de Cambio Operación Final  </t>
  </si>
  <si>
    <t xml:space="preserve">Tipo de Cambio de Operación Inicial </t>
  </si>
  <si>
    <t xml:space="preserve">Costo Actualizado MXN </t>
  </si>
  <si>
    <t>Fecha de última revision</t>
  </si>
  <si>
    <t>Revisor</t>
  </si>
  <si>
    <t xml:space="preserve"> DE AMERICA PAGADERAS EN LA REPUBLICA MEXICANA PARA 2019</t>
  </si>
  <si>
    <t xml:space="preserve"> DE AMERICA PAGADERAS EN LA REPUBLICA MEXICANA PARA 2009</t>
  </si>
  <si>
    <t xml:space="preserve"> DE AMERICA PAGADERAS EN LA REPUBLICA MEXICANA PARA 2008</t>
  </si>
  <si>
    <t xml:space="preserve"> DE AMERICA PAGADERAS EN LA REPUBLICA MEXICANA PARA 2007</t>
  </si>
  <si>
    <t xml:space="preserve"> DE AMERICA PAGADERAS EN LA REPUBLICA MEXICANA PARA 2006</t>
  </si>
  <si>
    <t xml:space="preserve"> DE AMERICA PAGADERAS EN LA REPUBLICA MEXICANA PARA 2005</t>
  </si>
  <si>
    <t xml:space="preserve"> DE AMERICA PAGADERAS EN LA REPUBLICA MEXICANA PARA 2004</t>
  </si>
  <si>
    <t xml:space="preserve"> DE AMERICA PAGADERAS EN LA REPUBLICA MEXICANA PARA 2003</t>
  </si>
  <si>
    <t xml:space="preserve"> DE AMERICA PAGADERAS EN LA REPUBLICA MEXICANA PARA 2002</t>
  </si>
  <si>
    <t xml:space="preserve"> DE AMERICA PAGADERAS EN LA REPUBLICA MEXICANA PARA 2001</t>
  </si>
  <si>
    <t xml:space="preserve"> DE AMERICA PAGADERAS EN LA REPUBLICA MEXICANA PARA 2000</t>
  </si>
  <si>
    <t xml:space="preserve"> DE AMERICA PAGADERAS EN LA REPUBLICA MEXICANA PARA 1999</t>
  </si>
  <si>
    <t xml:space="preserve"> DE AMERICA PAGADERAS EN LA REPUBLICA MEXICANA PARA 1998</t>
  </si>
  <si>
    <t xml:space="preserve"> DE AMERICA PAGADERAS EN LA REPUBLICA MEXICANA PARA 1997</t>
  </si>
  <si>
    <t xml:space="preserve"> DE AMERICA PAGADERAS EN LA REPUBLICA MEXICANA PARA 1996</t>
  </si>
  <si>
    <t xml:space="preserve"> DE AMERICA PAGADERAS EN LA REPUBLICA MEXICANA PARA 1995</t>
  </si>
  <si>
    <t xml:space="preserve"> DE AMERICA PAGADERAS EN LA REPUBLICA MEXICANA PARA 1994</t>
  </si>
  <si>
    <t xml:space="preserve"> DE AMERICA PAGADERAS EN LA REPUBLICA MEXICANA PARA 1993</t>
  </si>
  <si>
    <t xml:space="preserve"> DE AMERICA PAGADERAS EN LA REPUBLICA MEXICANA PARA 1992</t>
  </si>
  <si>
    <t xml:space="preserve"> DE AMERICA PAGADERAS EN LA REPUBLICA MEXICANA PARA 1991</t>
  </si>
  <si>
    <t xml:space="preserve"> DE AMERICA PAGADERAS EN LA REPUBLICA MEXICANA PARA 1990</t>
  </si>
  <si>
    <t xml:space="preserve"> DE AMERICA PAGADERAS EN LA REPUBLICA MEXICANA PARA 1989</t>
  </si>
  <si>
    <t>EQUIVALENCIAS DE MONEDAS EXTRANJERAS EN DOLÁRES DE E.U.A. DEL 2019</t>
  </si>
  <si>
    <t/>
  </si>
  <si>
    <t>Número de cuenta: XXX-XXXXXX-XXX</t>
  </si>
  <si>
    <t>Asset Name</t>
  </si>
  <si>
    <t xml:space="preserve">  Σ de costos de adquisición Bonos: </t>
  </si>
  <si>
    <t>DETERMINACIÓN DEL SALDO MENSUAL DE LAS INVERSIONES EN TÍTULOS DE DEUDA CONFORME AL TÍTULO IV DE LA LISR</t>
  </si>
  <si>
    <t>Tipo de Operación</t>
  </si>
  <si>
    <t>Total de otros ingresos percibidos</t>
  </si>
  <si>
    <t>Total de ingresos por OFD - Swaps de la Cta.</t>
  </si>
  <si>
    <t>DETERMINACIÓN DE INGRESOS EN OPERACIONES FINANCIERAS DERIVADAS - SWAPS</t>
  </si>
  <si>
    <t>INGRESOS EN TÉRMINOS DEL TÍTULO IV, CAPÍTULO IX DE LA LISR - SWAPS</t>
  </si>
  <si>
    <t>Monto en MXN</t>
  </si>
  <si>
    <t>DETERMINACIÓN DE INGRESOS EN OPERACIONES FINANCIERAS DERIVADAS - FWD</t>
  </si>
  <si>
    <t>INGRESOS EN TÉRMINOS DEL TÍTULO IV, CAPÍTULO IX DE LA LISR - FWD</t>
  </si>
  <si>
    <t>Total de ingresos por OFD - Fwd de la Cta.</t>
  </si>
  <si>
    <t>Distribucion de Capital en Moneda Original</t>
  </si>
  <si>
    <t>Distribucion de Capital en MXN</t>
  </si>
  <si>
    <t xml:space="preserve">DATO MANUAL </t>
  </si>
  <si>
    <t>Ganancia acumulable - Swap</t>
  </si>
  <si>
    <t>Ganancia acumulable - Forward</t>
  </si>
  <si>
    <t>TIPO DE CAMBIO PARA DETERMINAR CONTRIBUCIONES Y SUS ACCESORIOS</t>
  </si>
  <si>
    <t>El artículo 20 del Código Fiscal de la Federación  (CFF) establece que para determinar contribuciones y sus accesorios debe considerarse el tipo de cambio a que se haya adquirido la moneda extranjera de que se trate. También establece que cuando no haya adquisición debe considerarse el tipo de cambio que se publique en el DO el día anterior al en que se causen las contribuciones o el último publicado.</t>
  </si>
  <si>
    <t>TIPO DE CAMBIO DEL DOLAR DE LOS EUA</t>
  </si>
  <si>
    <t>En esta relación se anota en cada fecha el tipo de cambio del dólar de los Estados Unidos de América (EUA) publicado en el DO el día anterior o el último publicado.</t>
  </si>
  <si>
    <t>Fecha de último registro</t>
  </si>
  <si>
    <t>(*)</t>
  </si>
  <si>
    <t>Tasa de impuesto</t>
  </si>
  <si>
    <t>Impuesto del ejercicio</t>
  </si>
  <si>
    <t>Diferencia ISR por pagar sobe Ingresos sujetos al 10% adicional por dividendos y utilidades del extranjero</t>
  </si>
  <si>
    <t>Este dato se debe incluir manualmente en valor absoluto</t>
  </si>
  <si>
    <t>Tipo</t>
  </si>
  <si>
    <t>Moneda</t>
  </si>
  <si>
    <t>Monto en Moneda Original</t>
  </si>
  <si>
    <t>Saldo</t>
  </si>
  <si>
    <t>Total Annual</t>
  </si>
  <si>
    <t>Lista de movimientos</t>
  </si>
  <si>
    <t>Contribución (-)</t>
  </si>
  <si>
    <t>Distribución (+)</t>
  </si>
  <si>
    <t>Capital Comprometido - Commitment</t>
  </si>
  <si>
    <t>Capital Comprometido no fondeado - Commitment</t>
  </si>
  <si>
    <t>(Contribuciones) de Capital netas desde el inicio</t>
  </si>
  <si>
    <t>Capital Distribuido neto desde el inicio</t>
  </si>
  <si>
    <t>Neto (Contribuciones) de Capital / Neto Capital Distribuido desde el inicio</t>
  </si>
  <si>
    <t>Total Ingresos Commitment</t>
  </si>
  <si>
    <t>Total de Ingresos Acumulables en el ejercicio</t>
  </si>
  <si>
    <t xml:space="preserve">Monto del Ingreso en USD </t>
  </si>
  <si>
    <t>Tipo de Cambio de movimiento</t>
  </si>
  <si>
    <t>Monto del Ingreso en MXN</t>
  </si>
  <si>
    <t>INGRESOS EN TÉRMINOS DEL TÍTULO IV DE LA LISR</t>
  </si>
  <si>
    <t>DETERMINACIÓN DE LOS INGRESOS PROVENIENTES DE DISTRIBUCIONES DE PRIVATE EQUITY CONFORME AL TÍTULO IV, CAPÍTULO IX DE LA LISR</t>
  </si>
  <si>
    <t>Other Income from Commitment</t>
  </si>
  <si>
    <t>Distribuciones mayores a contribuciones de Private Equity</t>
  </si>
  <si>
    <t>Entradas en USD ( + )</t>
  </si>
  <si>
    <t>Salidas en USD ( - )</t>
  </si>
  <si>
    <t>Neto Entradas y Salidas en USD</t>
  </si>
  <si>
    <t>Saldo Estado de Cuenta en USD</t>
  </si>
  <si>
    <t>Diferencia en MXN - Otros ingresos</t>
  </si>
  <si>
    <t>Tipo de Cambio final de Mes</t>
  </si>
  <si>
    <t>Diferencia en USD</t>
  </si>
  <si>
    <t xml:space="preserve"> DE AMERICA PAGADERAS EN LA REPUBLICA MEXICANA PARA 2020</t>
  </si>
  <si>
    <t>EQUIVALENCIAS DE MONEDAS EXTRANJERAS EN DOLÁRES DE E.U.A. DEL 2020</t>
  </si>
  <si>
    <t>MECANICA ECONOMICA</t>
  </si>
  <si>
    <t>MECANICA OPCIONAL</t>
  </si>
  <si>
    <t>Economica</t>
  </si>
  <si>
    <t>Opcional</t>
  </si>
  <si>
    <t>Tipo de Mecanica en Efecto Cambiario</t>
  </si>
  <si>
    <t>SELECCIONA LA MECANICA PARA GANANCIA CAMBIARIA</t>
  </si>
  <si>
    <t xml:space="preserve"> </t>
  </si>
  <si>
    <t>Jan</t>
  </si>
  <si>
    <t>Feb</t>
  </si>
  <si>
    <t>Mar</t>
  </si>
  <si>
    <t>Apr</t>
  </si>
  <si>
    <t>May</t>
  </si>
  <si>
    <t>Jun</t>
  </si>
  <si>
    <t>Jul</t>
  </si>
  <si>
    <t>Aug</t>
  </si>
  <si>
    <t>Sep</t>
  </si>
  <si>
    <t>Oct</t>
  </si>
  <si>
    <t>Nov</t>
  </si>
  <si>
    <t>Dec</t>
  </si>
  <si>
    <t xml:space="preserve">    Interest Income-Taxable:</t>
  </si>
  <si>
    <t xml:space="preserve">    Total Interest Income-Taxable:</t>
  </si>
  <si>
    <t xml:space="preserve">    Intereses Compra venta de Bonos:</t>
  </si>
  <si>
    <t xml:space="preserve">    Total Intereses Compra venta de Bonos:</t>
  </si>
  <si>
    <t xml:space="preserve">    Dividend Income-Taxable:</t>
  </si>
  <si>
    <t xml:space="preserve">    Total Dividend Income-Taxable:</t>
  </si>
  <si>
    <t xml:space="preserve">    Capital Gains Acciones y Bonos:</t>
  </si>
  <si>
    <t xml:space="preserve">    Total Capital Gains Acciones y Bonos:</t>
  </si>
  <si>
    <t xml:space="preserve">    Capital Gains OFD:</t>
  </si>
  <si>
    <t xml:space="preserve">    Total Capital Gains OFD:</t>
  </si>
  <si>
    <t xml:space="preserve">    Other Investment Income:</t>
  </si>
  <si>
    <t xml:space="preserve">    Total Other Investment Income:</t>
  </si>
  <si>
    <t xml:space="preserve">    Tax-Withheld:</t>
  </si>
  <si>
    <t xml:space="preserve">    Total Tax-Withheld:</t>
  </si>
  <si>
    <t xml:space="preserve"> DE AMERICA PAGADERAS EN LA REPUBLICA MEXICANA PARA 2021</t>
  </si>
  <si>
    <t xml:space="preserve"> DE AMERICA PAGADERAS EN LA REPUBLICA MEXICANA PARA 2022</t>
  </si>
  <si>
    <t>EQUIVALENCIAS DE MONEDAS EXTRANJERAS EN DOLÁRES DE E.U.A. DEL 2021</t>
  </si>
  <si>
    <t>Info GL</t>
  </si>
  <si>
    <t>HUF</t>
  </si>
  <si>
    <t>ILS</t>
  </si>
  <si>
    <t>EQUIVALENCIAS DE MONEDAS EXTRANJERAS EN DOLÁRES DE E.U.A. DEL 2022</t>
  </si>
  <si>
    <t>ADD</t>
  </si>
  <si>
    <t>% De ganancia</t>
  </si>
  <si>
    <t xml:space="preserve">Tipo de Cambio - Fecha de Venta </t>
  </si>
  <si>
    <t>DETERMINACIÓN DE LA GANANCIA / (PÉRDIDA) CAMBIARIA</t>
  </si>
  <si>
    <t>DIC Ant</t>
  </si>
  <si>
    <t>Distribuciones mayores a contribuciones de Private Equity sujetas a ISR adicional</t>
  </si>
  <si>
    <t>&lt;-- Monto Sujeto al 10% adicional de Dividendos</t>
  </si>
  <si>
    <t>Intereses - Bonos</t>
  </si>
  <si>
    <t>Intereses - Cash</t>
  </si>
  <si>
    <t>Accrued Interest Paid</t>
  </si>
  <si>
    <t>Contratos -  FX</t>
  </si>
  <si>
    <t>LISTA DE CONCEPTOS</t>
  </si>
  <si>
    <t>Otros Ingresos</t>
  </si>
  <si>
    <t>DETERMINACIÓN DE LOS INGRESOS POR DIVIDENDOS Y EN GENERAL POR LAS GANANCIAS DISTRIBUIDAS POR PERSONAS MORALES CONFORME AL TÍTULO IV, CAPÍTULO VIII DE LA LISR</t>
  </si>
  <si>
    <t>DETERMINACIÓN DE LOS INGRESOS POR INTERESES CONFORME A LO ESTABLECIDO EN EL TÍTULO IV, CAPÍTULO VI DE LA LISR</t>
  </si>
  <si>
    <t>INGRESOS ACUMULABES POR INTERESES PERCIBIDOS CONFORME AL TÍTULO IV, CAPÍTULO VI DEL LISR</t>
  </si>
  <si>
    <t>INGRESOS ACUMULABLES CONFORME AL TÍTULO IV, CAPÍTULO VI DE LA LISR</t>
  </si>
  <si>
    <t>DETERMINACIÓN DE LOS INGRESOS POR DIFERENCIALES CAMBIARIOS EN CONTRATOS CONFORME A LO ESTABLECIDO EN EL TÍTULO IV, CAPÍTULO VI DEL DE LA LISR</t>
  </si>
  <si>
    <t>DETERMINACIÓN DEL AJUSTE ANUAL POR INFLACIÓN CONFORME AL TÍTULO IV DE LA LISR</t>
  </si>
  <si>
    <t>DETERMINACIÓN DE LOS DEMÁS INGRESOS OBTENIDOS EN EL EJERCICIO CONFORME AL TÍTULO IV, CAPÍTULO IX DE LA LISR</t>
  </si>
  <si>
    <t>INGRESOS ACUMULABLES CONFORME AL TÍTULO IV, CAPÍTULO IX DE LA LISR</t>
  </si>
  <si>
    <t>INGRESOS ACUMULABLES CONFORME AL TÍTULO IV, CAPÍTULO VIII DE LA LISR</t>
  </si>
  <si>
    <t>REDUCCIONES DE CAPITAL CONFORME AL TÍTULO IV DE LA LISR - DATOS INFORMATIVOS</t>
  </si>
  <si>
    <t>Tipo de Retención</t>
  </si>
  <si>
    <t>DETERMINACIÓN DE LOS INGRESOS POR DIVIDENDOS, REDUCCIONES DE CAPITAL Y LIQUIDACIONES DE SOCIEDADES EXTRANJERAS CONFORME AL TÍTULO IV, CAPÍTULO IX, ARTÍCULO 142, FRACCIÓN V DEL LA LISR</t>
  </si>
  <si>
    <t>INGRESOS ACUMULABLES CONFORME AL TÍTULO IV, CAPÍTULO XI DE LA LISR</t>
  </si>
  <si>
    <t>DETERMINACIÓN DEL MONTO ACREDITABLE SOBRE RETENCIONES EFECTUADAS A DIVIDENDOS DE SOCIEDADES EXTRANJERAS CONFORME AL TÍTULO IV, CAPÍTULO IX, ARTÍCULO 142, FRACCIÓN V DE LA LISR</t>
  </si>
  <si>
    <t>ACREDITAMIENTO CONFORME AL TÍTULO IV, CAPÍTULO IX &amp; ARTÍCULO 5TO DE LA LISR</t>
  </si>
  <si>
    <t>DETERMINACIÓN DE INGRESOS POR DISTRIBUCIONES DE PRIVATE EQUITIES CONFORME AL TÍTULO IV, CAPÍTULO IX, ARTÍCULO 142, FRACCIÓN V DEL LA LISR</t>
  </si>
  <si>
    <t>DETERMINACIÓN DEL MONTO ACREDITABLE SOBRE RETENCIONES EFECTUADAS EN DISTRIBUCIONES DE PRIVATE EQUITIES CONFORME AL TÍTULO IV, CAPÍTULO IX, ARTÍCULO 142, FRACCIÓN V DE LA LISR</t>
  </si>
  <si>
    <t>DETERMINACIÓN DEL MONTO ACREDITABLE SOBRE OTRAS RETENCIONES EFECTUADAS EN EL EJERCICIO CONFORME AL TÍTULO IV DE LA LISR</t>
  </si>
  <si>
    <t>ACREDITAMIENTO CONFORME AL TÍTULO IV &amp; ARTÍCULO 5TO DE LA LISR</t>
  </si>
  <si>
    <t>Ganancias Realizadas provenientes de Private Equity</t>
  </si>
  <si>
    <t>Tax Withheld on PE</t>
  </si>
  <si>
    <t>Revesal Tax Withheld on PE</t>
  </si>
  <si>
    <t>NO INCLUIR RETENCIONES/MOVIMIENTOS QUE NO ESTEN RELACIONADOS CON UTILIDADES DE PE</t>
  </si>
  <si>
    <t>Realizado</t>
  </si>
  <si>
    <t>NO</t>
  </si>
  <si>
    <t>Número de Títulos - Operación Inicial</t>
  </si>
  <si>
    <t xml:space="preserve">Ganancia / (Pérdida) en MXN  </t>
  </si>
  <si>
    <t>Ganancia / Pérdida en USD</t>
  </si>
  <si>
    <t>Moneda Original - Mov Inicial</t>
  </si>
  <si>
    <t>Moneda Original - Mov Final</t>
  </si>
  <si>
    <t>CÁLCULO OPCIONAL PARA EL INGRESO ACUMULABLE POR INTERESES Y GANANCIA CAMBIARIA</t>
  </si>
  <si>
    <t>DETERMINACIÓN DE LOS INGRESOS POR INTERESES EN COMPRA VENTA DE BONOS CONFORME A LO ESTABLECIDO EN EL TÍTULO IV, CAPÍTULO VI DE LA LISR</t>
  </si>
  <si>
    <t>EJERCICIO 2022</t>
  </si>
  <si>
    <t>Periodo: Al 31 de diciembre de 2022</t>
  </si>
  <si>
    <t>Al 31 de diciembre de 2022</t>
  </si>
  <si>
    <t xml:space="preserve">      con el artículo 5to y 140 de la Ley del Impuesto sobre la Renta vigente para 2022.</t>
  </si>
  <si>
    <t>Pagos mensulaes enero-diciembre 2022</t>
  </si>
  <si>
    <t>del 1 de enero al 31 de diciembre de 2022</t>
  </si>
  <si>
    <t>Factor de acumulación aplicable del ejercicio fiscal de 2022</t>
  </si>
  <si>
    <t>CUENTAS DEL EXTRANJERO - EJERCICIO DE 2022</t>
  </si>
  <si>
    <t>Citi</t>
  </si>
  <si>
    <t>JP Morgan</t>
  </si>
  <si>
    <t>B46700005</t>
  </si>
  <si>
    <t>Morgan Stanley</t>
  </si>
  <si>
    <t>677-046253-471</t>
  </si>
  <si>
    <t>4H 01230 RB</t>
  </si>
  <si>
    <t>UBS</t>
  </si>
  <si>
    <t>Cash</t>
  </si>
  <si>
    <t>Dividendo</t>
  </si>
  <si>
    <t>ISHARES MSCI EM MK</t>
  </si>
  <si>
    <t>ISHARES MSCI EAFE</t>
  </si>
  <si>
    <t>SPDR S&amp;P500</t>
  </si>
  <si>
    <t>VNGR DIV APPR ET</t>
  </si>
  <si>
    <t>VGD FTSE EUROPEE</t>
  </si>
  <si>
    <t>VANGR INTL DIV A</t>
  </si>
  <si>
    <t>VANGRD INDX EXT</t>
  </si>
  <si>
    <t>ISH RUS 1000 GR</t>
  </si>
  <si>
    <t>ISH RUS1000 VAL</t>
  </si>
  <si>
    <t>NASDAQ CYBERS</t>
  </si>
  <si>
    <t>ISH RUS 1000 (REVERSAL)</t>
  </si>
  <si>
    <t>SPDR S&amp;P500 UTS</t>
  </si>
  <si>
    <t>ISHARES MSCI US QLTY</t>
  </si>
  <si>
    <t>TRANE TECHNOLOGIES PLC</t>
  </si>
  <si>
    <t>SPIRIT AEROSYSTEMS HOLDINGS INC.</t>
  </si>
  <si>
    <t>RALPH LAUREN CORP</t>
  </si>
  <si>
    <t>TAIWAN SEMICONDUCTOR MANUFACTURING</t>
  </si>
  <si>
    <t>PROGRESSIVE CORP</t>
  </si>
  <si>
    <t>OCCIDENTAL PETROLEUM CORP</t>
  </si>
  <si>
    <t>MARVELL TECHNOLOGY INC</t>
  </si>
  <si>
    <t>ZIMMER BIOMET HOLDINGS INC</t>
  </si>
  <si>
    <t>MASTERCARD INC</t>
  </si>
  <si>
    <t>APPLE INC</t>
  </si>
  <si>
    <t>MARKETAXES HOLDING INC</t>
  </si>
  <si>
    <t>TRUIST FINANCIAL CORP</t>
  </si>
  <si>
    <t>ZOETIS INC</t>
  </si>
  <si>
    <t>TRAVEL + LEISURE CO</t>
  </si>
  <si>
    <t>NIKE INC</t>
  </si>
  <si>
    <t>SPIRIT AEROSYSTEMS HOLDINGS INC</t>
  </si>
  <si>
    <t>ECOLAB INC</t>
  </si>
  <si>
    <t>SYNCHRONY FINANCIAL</t>
  </si>
  <si>
    <t>OSHKOSH CORP</t>
  </si>
  <si>
    <t>HONEYWELL INTERNATIONAL INC</t>
  </si>
  <si>
    <t>MICROSOFT CORP</t>
  </si>
  <si>
    <t>PPG INDUSTRIES INC</t>
  </si>
  <si>
    <t>ELI LILLY &amp; CO</t>
  </si>
  <si>
    <t>ESTEE LAUDER COMPANIES INC</t>
  </si>
  <si>
    <t>NEXTERA ENERGY INC</t>
  </si>
  <si>
    <t>L3HARRIS TECHNOLOGIES INC</t>
  </si>
  <si>
    <t>HUMANA INC</t>
  </si>
  <si>
    <t>ASML HOLDING NV</t>
  </si>
  <si>
    <t>WALMART INC</t>
  </si>
  <si>
    <t>AMERICAN TOWER CORP</t>
  </si>
  <si>
    <t>CME GROUP INC</t>
  </si>
  <si>
    <t>CONOCOPHILLIPS</t>
  </si>
  <si>
    <t>MEDTRONIC PLC</t>
  </si>
  <si>
    <t>THERMO FISHER SCIENTIFIC INC</t>
  </si>
  <si>
    <t>DOLLAR GEN CORP</t>
  </si>
  <si>
    <t>COMCAST CORP</t>
  </si>
  <si>
    <t>CISCO SYSTEMS INC</t>
  </si>
  <si>
    <t>DANAHER CORP</t>
  </si>
  <si>
    <t>SYSCO CORP</t>
  </si>
  <si>
    <t>JPMORGAN CHASE</t>
  </si>
  <si>
    <t>CVS HEALTH CORP</t>
  </si>
  <si>
    <t>LOWES COMPANIES INC</t>
  </si>
  <si>
    <t>TEXAS INSTRUMENTS</t>
  </si>
  <si>
    <t>AMER EXPRESS CO</t>
  </si>
  <si>
    <t>ABBOTT LABS</t>
  </si>
  <si>
    <t>ABBVIE INC</t>
  </si>
  <si>
    <t>MORGAN STANLEY</t>
  </si>
  <si>
    <t>PROCTER &amp; GAMBLE</t>
  </si>
  <si>
    <t>COSTCO WHOLESALE CORP</t>
  </si>
  <si>
    <t>NORFOLK STHN CORP</t>
  </si>
  <si>
    <t>AMERIPRISE FINANCIAL INC</t>
  </si>
  <si>
    <t>INTEL CORP</t>
  </si>
  <si>
    <t>VISA INC</t>
  </si>
  <si>
    <t>WELLS FARGO &amp; CO</t>
  </si>
  <si>
    <t>TJX COS INC</t>
  </si>
  <si>
    <t>PARKER HANNIFIN CORP</t>
  </si>
  <si>
    <t>EMERSON ELECTRIC CO</t>
  </si>
  <si>
    <t>ROCKWELL AUTOMATION INC</t>
  </si>
  <si>
    <t>S&amp;P GLOBAL INC</t>
  </si>
  <si>
    <t>TARGET CORP</t>
  </si>
  <si>
    <t>UNITED PARCEL SERVICE INC</t>
  </si>
  <si>
    <t>HONEYWELL INTL INC</t>
  </si>
  <si>
    <t>SHERWIN WILLIAMS CO</t>
  </si>
  <si>
    <t>LAUDER ESTEE COS</t>
  </si>
  <si>
    <t>MCDONALDS CORP</t>
  </si>
  <si>
    <t>APPLIED MATERIALS INC</t>
  </si>
  <si>
    <t>VF CORP</t>
  </si>
  <si>
    <t>UNITEDHEALTH GROUP INC</t>
  </si>
  <si>
    <t>HOME DEPOT INC</t>
  </si>
  <si>
    <t>RAYTHEON TECHNOLOGIES CORP</t>
  </si>
  <si>
    <t>FIDELITY NATL INFORMATION</t>
  </si>
  <si>
    <t>LINDE PLC</t>
  </si>
  <si>
    <t>LOCKHEED MARTIN CORP</t>
  </si>
  <si>
    <t>BECTON DICKINSON &amp; CO</t>
  </si>
  <si>
    <t>CROWN CASTLE INTL CORP</t>
  </si>
  <si>
    <t>BROADCOM INC</t>
  </si>
  <si>
    <t>GOLDMAN SACHS GROUP INC</t>
  </si>
  <si>
    <t>INTERCONTINENTALEXCHANGE GROUP</t>
  </si>
  <si>
    <t>PROLOGIS INC</t>
  </si>
  <si>
    <t>TRAVELERS COS INC</t>
  </si>
  <si>
    <t>UNION PACIFIC CORP</t>
  </si>
  <si>
    <t>JPMORGAN CHASE &amp; CO</t>
  </si>
  <si>
    <t>COSTCO WHOLESALE</t>
  </si>
  <si>
    <t>MERCK &amp; CO INC NEW COM</t>
  </si>
  <si>
    <t>PEPSICO INC NC</t>
  </si>
  <si>
    <t>KKR REAL ESTATE FINANCE TRUST</t>
  </si>
  <si>
    <t>BLACKSTONE MORTGAGE TRUST INC</t>
  </si>
  <si>
    <t>CISCO SYS INC</t>
  </si>
  <si>
    <t>SPDR S&amp;P 500 ETF</t>
  </si>
  <si>
    <t>SPDR S&amp;P MIDCAP 400 ETF</t>
  </si>
  <si>
    <t>PFIZER INC</t>
  </si>
  <si>
    <t>UNILEVER PLC</t>
  </si>
  <si>
    <t>VANGUARD FTSE EMERGING MARKETS</t>
  </si>
  <si>
    <t>SPDR EURO STOXX 50 ETF</t>
  </si>
  <si>
    <t>BANK OF AMERICA CORP</t>
  </si>
  <si>
    <t>PEPSICO INC</t>
  </si>
  <si>
    <t>FEDEX CORP</t>
  </si>
  <si>
    <t>HOLCIM LTD NAMEN AKT</t>
  </si>
  <si>
    <t>BAYER AG SPON ADR</t>
  </si>
  <si>
    <t>STARBUCKS CORP WASHINGTON</t>
  </si>
  <si>
    <t>TAIWAN SEMICONDUCTOR</t>
  </si>
  <si>
    <t>CITIGROUP INC</t>
  </si>
  <si>
    <t>FINANCIAL SELECT SECTOR SPDR</t>
  </si>
  <si>
    <t>TENCENT HOLDINGS LTD</t>
  </si>
  <si>
    <t>TAIWAN SEMICONDUCTOR-SP ADR</t>
  </si>
  <si>
    <t>CANCEL OF TAX CROWN CASTLE INTL CORP</t>
  </si>
  <si>
    <t>ISHARES MSCI ASIA EX-JAPAN ETF</t>
  </si>
  <si>
    <t>ISHARES INC MSCI JAPAN ETF</t>
  </si>
  <si>
    <t>DEPOSIT SWEEP INTEREST</t>
  </si>
  <si>
    <t>BETTERWARE DE MEXICO SAB DE CV</t>
  </si>
  <si>
    <t>1) Transferencias de Efectivo</t>
  </si>
  <si>
    <t>Transferencia</t>
  </si>
  <si>
    <t>Monto</t>
  </si>
  <si>
    <t>From/To</t>
  </si>
  <si>
    <t>Transferencia Realizada</t>
  </si>
  <si>
    <t>TRANSFERRED BY WIRE TO JPM CHASE BANK NEW YORK PBIM FAO FIDELIS LIMITED PARTNERSHIP MEP</t>
  </si>
  <si>
    <t>MORGAN STANLEY BANK</t>
  </si>
  <si>
    <t>BSF GLOBAL EVENT DRIVEN A2</t>
  </si>
  <si>
    <t>ANHEUSER BUSCH INBEV SA</t>
  </si>
  <si>
    <t>ISHARES S&amp;P HEALTH CARE ETF</t>
  </si>
  <si>
    <t>ISHARES US TREAS 0-1YR USD A</t>
  </si>
  <si>
    <t>SPDR S&amp;P 500 ETF TRUST</t>
  </si>
  <si>
    <t>UBS INSURED SWEEP PROGRAM</t>
  </si>
  <si>
    <t>UNITED PARCEL SERVICE</t>
  </si>
  <si>
    <t>O REILLY AUTOMOTIVE INC</t>
  </si>
  <si>
    <t>ABBVIE INC COM</t>
  </si>
  <si>
    <t>DOLLAR GEN CORP NEW</t>
  </si>
  <si>
    <t>EMBECTA CORP</t>
  </si>
  <si>
    <t>RAYTHEON TECHNOLOGIES</t>
  </si>
  <si>
    <t>TJX COS INC NEW</t>
  </si>
  <si>
    <t>TRAVELERS COS INC/THE</t>
  </si>
  <si>
    <t>ALPHABET INC CL A</t>
  </si>
  <si>
    <t>AMAZON.COM INC</t>
  </si>
  <si>
    <t>COMCAST CORP NEW CL A</t>
  </si>
  <si>
    <t>DOUBLELINE SHILLER</t>
  </si>
  <si>
    <t>ISHARES CORE MSCI</t>
  </si>
  <si>
    <t>MORGAN STANLEY ASIA</t>
  </si>
  <si>
    <t>MORGAN STANLEY GLOBAL</t>
  </si>
  <si>
    <t>NINETY ONE GLOBAL</t>
  </si>
  <si>
    <t>POLEN CAPITAL FOCUS U.S.</t>
  </si>
  <si>
    <t>THERMO FISHER SCIENTIFIC</t>
  </si>
  <si>
    <t>UBS (LUX) EQUITY FUND -</t>
  </si>
  <si>
    <t>UBS (LUX) EQUITY SICAV -</t>
  </si>
  <si>
    <t>VIRTUS FG US SMALL CAP</t>
  </si>
  <si>
    <t>HONEYWELL INTL</t>
  </si>
  <si>
    <t>EXXON MOBIL CORP</t>
  </si>
  <si>
    <t>ISHARES CORE MSCI EMERGING MARKETS ETF</t>
  </si>
  <si>
    <t>LAUDER ESTEE COS CL</t>
  </si>
  <si>
    <t>MGM RESORTS INTL PAID</t>
  </si>
  <si>
    <t>AMERICAN INTL GROUP INC</t>
  </si>
  <si>
    <t>CROWN CASTLE INTL</t>
  </si>
  <si>
    <t>DOMINO'S PIZZA</t>
  </si>
  <si>
    <t>GOLDMAN SACHS GROUP</t>
  </si>
  <si>
    <t>HCA HEALTHCARE, INC</t>
  </si>
  <si>
    <t>CREDIT INTEREST</t>
  </si>
  <si>
    <t>ISHS GLB MAT</t>
  </si>
  <si>
    <t>ISHS MSCI JAP</t>
  </si>
  <si>
    <t>ISHS MSCI EM MK</t>
  </si>
  <si>
    <t>ISHMSCI US QLTY</t>
  </si>
  <si>
    <t>ISHS GLBL HLTH</t>
  </si>
  <si>
    <t>ISHS GLBL ENGY</t>
  </si>
  <si>
    <t>JD.COM INC</t>
  </si>
  <si>
    <t>FINANCIAL SELECT SECTOR</t>
  </si>
  <si>
    <t>ANHEUSER BUSCH INBEV SA SPON</t>
  </si>
  <si>
    <t>ISHARES MSCI ACWI ETF</t>
  </si>
  <si>
    <t>ISHARES CORE S&amp;P SMALL CAP E</t>
  </si>
  <si>
    <t>UNILEVER PLC (NEW) ADS</t>
  </si>
  <si>
    <t>PLUG POWER INC</t>
  </si>
  <si>
    <t>META PLATFORMS INC</t>
  </si>
  <si>
    <t>NATERA INC</t>
  </si>
  <si>
    <t>RALPH LAUREN CORP SHARES A</t>
  </si>
  <si>
    <t>CERIDIAN HCM HOLDING INC</t>
  </si>
  <si>
    <t>NIKE INC SHARES B</t>
  </si>
  <si>
    <t>MASTERCARD INC SHS A</t>
  </si>
  <si>
    <t>SNAP INC SHARES A</t>
  </si>
  <si>
    <t>BLOCK INC CLASS A</t>
  </si>
  <si>
    <t>TESLA INC</t>
  </si>
  <si>
    <t>DEXCOM INC</t>
  </si>
  <si>
    <t>NCINO INC</t>
  </si>
  <si>
    <t>JDCOM INC SPONSORED ADR</t>
  </si>
  <si>
    <t>UIPATH INC</t>
  </si>
  <si>
    <t>MARRIOTT INTERNATIONAL INC CLASS A</t>
  </si>
  <si>
    <t>CHEWY INC</t>
  </si>
  <si>
    <t>GITLAB INC</t>
  </si>
  <si>
    <t>UNITY SOFTWARE INC</t>
  </si>
  <si>
    <t>NETFLIX</t>
  </si>
  <si>
    <t>INVESCO COMMS S&amp;P US SEL SECT ETF</t>
  </si>
  <si>
    <t>ISHARES CO MSCI EURO UCITS ETF</t>
  </si>
  <si>
    <t>ISHARES CORE S&amp;P 500 UCITS ETF</t>
  </si>
  <si>
    <t>ISHARES S&amp;P 500 IT SECTOR UCITS ETF</t>
  </si>
  <si>
    <t>SPDR MSCI EU CON D UCITS ETF</t>
  </si>
  <si>
    <t>SPDR MSCI EUROPE FINANCIALS UCITS ETF</t>
  </si>
  <si>
    <t>SPDR MSCI EURO TECH UCITS ETF</t>
  </si>
  <si>
    <t>iShares MSCI UK</t>
  </si>
  <si>
    <t>ISHS MORTG REAL EST</t>
  </si>
  <si>
    <t>VGD FTSE EUROPE ETF</t>
  </si>
  <si>
    <t>iShs Glbl Hlth</t>
  </si>
  <si>
    <t>VNGR DIV APPR ETF</t>
  </si>
  <si>
    <t>VANGRD INDX EXT MKT</t>
  </si>
  <si>
    <t>Vangr Intl Div Appr</t>
  </si>
  <si>
    <t>ISH MSCI EAFE SM</t>
  </si>
  <si>
    <t>FT NASDAQ CYBERSC</t>
  </si>
  <si>
    <t>ISH MSCI ALL CT</t>
  </si>
  <si>
    <t>Ingresos Sección I LISR</t>
  </si>
  <si>
    <t>Ingresos Sección II LISR (SIC &amp; BMV)</t>
  </si>
  <si>
    <t>FT NASDAQ Cybers</t>
  </si>
  <si>
    <t>GLOBAL X FINTECH</t>
  </si>
  <si>
    <t>SANDP GLOBAL INC</t>
  </si>
  <si>
    <t>ELEVANCE HEALTH INC</t>
  </si>
  <si>
    <t>MARRIOTT INTERNATIONAL INC</t>
  </si>
  <si>
    <t>VERISK ANALYTICS INC</t>
  </si>
  <si>
    <t>NVIDIA CORP</t>
  </si>
  <si>
    <t>TAIWAN SEMICONDUCTOR-SP</t>
  </si>
  <si>
    <t>FUNDS TRANSFERRED TO 677-XXX253</t>
  </si>
  <si>
    <t>NIKE INC B</t>
  </si>
  <si>
    <t>FUNDS TRANSFERRED FROM 677-XXX252</t>
  </si>
  <si>
    <t>Transferencia Recibida</t>
  </si>
  <si>
    <t>COMERICA INC</t>
  </si>
  <si>
    <t>BEST BUY CO INC</t>
  </si>
  <si>
    <t>PULTE GROUP INC</t>
  </si>
  <si>
    <t>REGENCY CENTERS CORP</t>
  </si>
  <si>
    <t>NXP SEMICONDUCTORS N V COM</t>
  </si>
  <si>
    <t>SEAGATE TECHNOLOGY HLDGS</t>
  </si>
  <si>
    <t>EASTMAN CHEMICAL CO</t>
  </si>
  <si>
    <t>ALTRIA GROUP INC</t>
  </si>
  <si>
    <t>CARDINAL HEALTH INC</t>
  </si>
  <si>
    <t>JOHNSON CTLS INTL</t>
  </si>
  <si>
    <t>QUEST DIAGNOSTICS INC</t>
  </si>
  <si>
    <t>ORACLE CORP</t>
  </si>
  <si>
    <t>ANNALY CAPITAL MANAGEMENT INC</t>
  </si>
  <si>
    <t>BOSTON PROPERTIES INC</t>
  </si>
  <si>
    <t>ALLSTATE CORP</t>
  </si>
  <si>
    <t>AMCOR PLC</t>
  </si>
  <si>
    <t>EQUITABLE HLDGS INC</t>
  </si>
  <si>
    <t>KINDER MORGAN INC</t>
  </si>
  <si>
    <t>KROGER COMPANY</t>
  </si>
  <si>
    <t>L3 HARRIS TECHNOLOGIES</t>
  </si>
  <si>
    <t>NORTHROP GRUMMAN CORP</t>
  </si>
  <si>
    <t>VANECK OIL SERVICES</t>
  </si>
  <si>
    <t>ISHARES MSCI EMERGING MARKETS ETF</t>
  </si>
  <si>
    <t>DYNATRACE INC</t>
  </si>
  <si>
    <t>ZSCALER INC</t>
  </si>
  <si>
    <t>CHIPOTLE MEXICAN GRILL</t>
  </si>
  <si>
    <t>BUMBLE INC</t>
  </si>
  <si>
    <t>HUMANA</t>
  </si>
  <si>
    <t>REVERSAL OF 30% WHT RELATED TO DIVIDEND PAYMENT</t>
  </si>
  <si>
    <t>OUTGOING REMITTANCE</t>
  </si>
  <si>
    <t>JPM CHASE BANK NEW YORK PBIM COLUMBUS</t>
  </si>
  <si>
    <t>TRANSFERRED BY WIRE TO FAO BENJAMIN CLARIOND REYES RETANA</t>
  </si>
  <si>
    <t>KINGSOFT CLOUD HOLDINGS</t>
  </si>
  <si>
    <t>BOEING CO</t>
  </si>
  <si>
    <t>SPDR S&amp;P MIDCAP 400 ETF TRUST</t>
  </si>
  <si>
    <t>STARBUCKS CORP</t>
  </si>
  <si>
    <t>AT&amp;T INC</t>
  </si>
  <si>
    <t>BANK OF NEW YORK MELLON CORP</t>
  </si>
  <si>
    <t>CELANESE CORP</t>
  </si>
  <si>
    <t>SYNCHRONY FINL</t>
  </si>
  <si>
    <t>ALLY FINANCIAL INC</t>
  </si>
  <si>
    <t>DARDEN RESTAURANTS INC</t>
  </si>
  <si>
    <t>CAPITAL ONE FINCL CORP</t>
  </si>
  <si>
    <t>APA CORP</t>
  </si>
  <si>
    <t>CROWN HOLDINGS INC</t>
  </si>
  <si>
    <t>MASCO CORP</t>
  </si>
  <si>
    <t>LOEWS CORP</t>
  </si>
  <si>
    <t>AMERICAN TOWER CORP REIT</t>
  </si>
  <si>
    <t>BOOKING HLDGS INC</t>
  </si>
  <si>
    <t>BOSTON SCIENTIFIC CORP</t>
  </si>
  <si>
    <t>CELANESE CORP NEW</t>
  </si>
  <si>
    <t>FIDELITY NATL INFORMATION SVCS</t>
  </si>
  <si>
    <t>INTUITIVE SURGICAL INC</t>
  </si>
  <si>
    <t>L3 HARRIS TECHNOLOGIES INC</t>
  </si>
  <si>
    <t>LAUDER ESTEE COS CL A</t>
  </si>
  <si>
    <t>SALESFORCE, INC.</t>
  </si>
  <si>
    <t>SMUCKER J M CO NEW</t>
  </si>
  <si>
    <t>VIRTUS FG US SMALL CAP FUND CLASS R</t>
  </si>
  <si>
    <t>VISA INC CL A</t>
  </si>
  <si>
    <t>VANGRD INDX</t>
  </si>
  <si>
    <t>SMUCKER J M</t>
  </si>
  <si>
    <t>BATH &amp; BODY WKS INC</t>
  </si>
  <si>
    <t>AMGEN INC</t>
  </si>
  <si>
    <t>DISCOVER FINANCIAL SERVICES</t>
  </si>
  <si>
    <t>EXXON MOBIL</t>
  </si>
  <si>
    <t>EMERSON ELECTRIC</t>
  </si>
  <si>
    <t>DOW INC</t>
  </si>
  <si>
    <t>LUMEN TECHNOLOGIES INC</t>
  </si>
  <si>
    <t>SHERWIN WILLIAMS</t>
  </si>
  <si>
    <t>MARATHON OIL CORP</t>
  </si>
  <si>
    <t>MARATHON PETROLEUM CO</t>
  </si>
  <si>
    <t>METLIFE INC</t>
  </si>
  <si>
    <t>INTL PAPER CO</t>
  </si>
  <si>
    <t>KEYCORP NEW</t>
  </si>
  <si>
    <t>MGM RESORTS</t>
  </si>
  <si>
    <t>PRUDENTIAL FINANCIAL INC</t>
  </si>
  <si>
    <t>WHIRLPOOL CORP</t>
  </si>
  <si>
    <t>WEYERHAEUSER</t>
  </si>
  <si>
    <t>BANK OF AMER</t>
  </si>
  <si>
    <t>CROWN CASTLE INC</t>
  </si>
  <si>
    <t>DEVON ENERGY CORP</t>
  </si>
  <si>
    <t>DOMINO'S PIZZA INC</t>
  </si>
  <si>
    <t>HCA HEALTHCARE</t>
  </si>
  <si>
    <t>SIMON PPTY GROUP INC</t>
  </si>
  <si>
    <t>ADOBE INC</t>
  </si>
  <si>
    <t>MCKESSON CORP</t>
  </si>
  <si>
    <t>HARTFORD FINCL SERVICES GROUP INC</t>
  </si>
  <si>
    <t>HP INC</t>
  </si>
  <si>
    <t>SEAGATE TECHNOLOGY</t>
  </si>
  <si>
    <t>SCHLUMBERGER LTD NETHERLANDS ANTILLES</t>
  </si>
  <si>
    <t>JOHNSON CTLS INTL PLC</t>
  </si>
  <si>
    <t>HOST HOTELS &amp; RESORTS INC</t>
  </si>
  <si>
    <t>ANNALY CAPITAL MGMT INC</t>
  </si>
  <si>
    <t>AUTOZONE INC</t>
  </si>
  <si>
    <t>BIOGEN INC</t>
  </si>
  <si>
    <t>GARTNER INC</t>
  </si>
  <si>
    <t>ISH MSCI US QLTY</t>
  </si>
  <si>
    <t>STRYKER CORP</t>
  </si>
  <si>
    <t>vienen de la 6300</t>
  </si>
  <si>
    <t>TRANSFERRED BY WIRE TO BARCLAYS BANK PLC FAO CHARLES RUSSELL SPEECHLYS LLP</t>
  </si>
  <si>
    <t>TRANSFERRED BY WIRE TO CITIBANK N.A. FAO GRANT HERRMANN SCHWARTZ AND KLINGER LLP</t>
  </si>
  <si>
    <t>VANGR INTL DIV APPR</t>
  </si>
  <si>
    <t>ISH MSCI CHINA</t>
  </si>
  <si>
    <t>ISHARES GOLD TRUST</t>
  </si>
  <si>
    <t>ISHARES MSCI JAPAN UCITS ETF USD</t>
  </si>
  <si>
    <t>ISHARES MSCI PAC EX-JAP UCITS ETF</t>
  </si>
  <si>
    <t>ISHARES S&amp;P500 CONS STPLS UCITS ETF</t>
  </si>
  <si>
    <t>ISHARES S&amp;P500 ENERG SECT UCITS ETF</t>
  </si>
  <si>
    <t>ISHARES S&amp;P500 INDUSTRIAL UCITS ETF</t>
  </si>
  <si>
    <t>ISHARES SP500 CONDIS SEC UCITS ETF</t>
  </si>
  <si>
    <t>ISHARES SP500 HEALTHCARE UCITS ETF</t>
  </si>
  <si>
    <t>SPDR MSCI EURO CONS STPLS UCITS ETF</t>
  </si>
  <si>
    <t>SPDR MSCI EURO HEALTHCARE UCITS ETF</t>
  </si>
  <si>
    <t>UBS MSCI CANADA UCITS ETF</t>
  </si>
  <si>
    <t>ISHARES S&amp;P500 FINANC SEC UCITS ETF</t>
  </si>
  <si>
    <t>SPDR MSCI EUR ENERGY UCITS ETF</t>
  </si>
  <si>
    <t>SPDR MSCI EUROPE MAT UCITS</t>
  </si>
  <si>
    <t>SPDR MSCI EURO INDUS UCITS ETF</t>
  </si>
  <si>
    <t>HUBSPOT INC</t>
  </si>
  <si>
    <t>HORIZON THERAPEUTICS PLC</t>
  </si>
  <si>
    <t>SVB FINANCIAL GROUP</t>
  </si>
  <si>
    <t>ZIMVIE INC</t>
  </si>
  <si>
    <t>Acciones Extranjeras Total</t>
  </si>
  <si>
    <t>Ingresos Sección I LISR Total</t>
  </si>
  <si>
    <t>Acciones Extranjeras - SIC Total</t>
  </si>
  <si>
    <t>Ingresos Sección II LISR (SIC &amp; BMV) Total</t>
  </si>
  <si>
    <t>DYNATRACE INC Total</t>
  </si>
  <si>
    <t>GITLAB INC Total</t>
  </si>
  <si>
    <t>NATERA INC Total</t>
  </si>
  <si>
    <t>OSHKOSH CORP Total</t>
  </si>
  <si>
    <t>SPIRIT AEROSYSTEMS HOLDINGS INC. Total</t>
  </si>
  <si>
    <t>ALLSTATE CORP Total</t>
  </si>
  <si>
    <t>ANNALY CAPITAL MGMT INC Total</t>
  </si>
  <si>
    <t>CELANESE CORP NEW Total</t>
  </si>
  <si>
    <t>DOUBLELINE SHILLER Total</t>
  </si>
  <si>
    <t>EQUITABLE HLDGS INC Total</t>
  </si>
  <si>
    <t>GARTNER INC Total</t>
  </si>
  <si>
    <t>NINETY ONE GLOBAL Total</t>
  </si>
  <si>
    <t>POLEN CAPITAL FOCUS U.S. Total</t>
  </si>
  <si>
    <t>VIRTUS FG US SMALL CAP Total</t>
  </si>
  <si>
    <t>VIRTUS FG US SMALL CAP FUND CLASS R Total</t>
  </si>
  <si>
    <t>BSF GLOBAL EVENT DRIVEN A2 Total</t>
  </si>
  <si>
    <t>KKR REAL ESTATE FINANCE TRUST Total</t>
  </si>
  <si>
    <t>KINGSOFT CLOUD HOLDINGS Total</t>
  </si>
  <si>
    <t>FT NASDAQ CYBERSC Total</t>
  </si>
  <si>
    <t>GLOBAL X FINTECH Total</t>
  </si>
  <si>
    <t>ISH MSCI ALL CT Total</t>
  </si>
  <si>
    <t>ISH MSCI CHINA Total</t>
  </si>
  <si>
    <t>ISH MSCI EAFE SM Total</t>
  </si>
  <si>
    <t>ISH MSCI US QLTY Total</t>
  </si>
  <si>
    <t>ISH RUS 1000 GR Total</t>
  </si>
  <si>
    <t>ISH RUS1000 VAL Total</t>
  </si>
  <si>
    <t>ISHARES GOLD TRUST Total</t>
  </si>
  <si>
    <t>ISHARES MSCI EMERGING MARKETS ETF Total</t>
  </si>
  <si>
    <t>iShares MSCI UK Total</t>
  </si>
  <si>
    <t>ISHMSCI US QLTY Total</t>
  </si>
  <si>
    <t>ISHS GLB MAT Total</t>
  </si>
  <si>
    <t>ISHS GLBL ENGY Total</t>
  </si>
  <si>
    <t>iShs Glbl Hlth Total</t>
  </si>
  <si>
    <t>ISHS MORTG REAL EST Total</t>
  </si>
  <si>
    <t>ISHS MSCI EM MK Total</t>
  </si>
  <si>
    <t>ISHS MSCI JAP Total</t>
  </si>
  <si>
    <t>SPDR S&amp;P500 UTS Total</t>
  </si>
  <si>
    <t>VANECK OIL SERVICES Total</t>
  </si>
  <si>
    <t>Vangr Intl Div Appr Total</t>
  </si>
  <si>
    <t>VANGRD INDX EXT MKT Total</t>
  </si>
  <si>
    <t>VGD FTSE EUROPE ETF Total</t>
  </si>
  <si>
    <t>VNGR DIV APPR ETF Total</t>
  </si>
  <si>
    <t>INVESCO COMMS S&amp;P US SEL SECT ETF Total</t>
  </si>
  <si>
    <t>ISHARES CO MSCI EURO UCITS ETF Total</t>
  </si>
  <si>
    <t>ISHARES CORE S&amp;P 500 UCITS ETF Total</t>
  </si>
  <si>
    <t>ISHARES MSCI JAPAN UCITS ETF USD Total</t>
  </si>
  <si>
    <t>ISHARES MSCI PAC EX-JAP UCITS ETF Total</t>
  </si>
  <si>
    <t>ISHARES S&amp;P 500 IT SECTOR UCITS ETF Total</t>
  </si>
  <si>
    <t>ISHARES S&amp;P500 CONS STPLS UCITS ETF Total</t>
  </si>
  <si>
    <t>ISHARES S&amp;P500 ENERG SECT UCITS ETF Total</t>
  </si>
  <si>
    <t>ISHARES S&amp;P500 FINANC SEC UCITS ETF Total</t>
  </si>
  <si>
    <t>ISHARES S&amp;P500 INDUSTRIAL UCITS ETF Total</t>
  </si>
  <si>
    <t>ISHARES SP500 CONDIS SEC UCITS ETF Total</t>
  </si>
  <si>
    <t>ISHARES SP500 HEALTHCARE UCITS ETF Total</t>
  </si>
  <si>
    <t>SPDR MSCI EU CON D UCITS ETF Total</t>
  </si>
  <si>
    <t>SPDR MSCI EUR ENERGY UCITS ETF Total</t>
  </si>
  <si>
    <t>SPDR MSCI EURO CONS STPLS UCITS ETF Total</t>
  </si>
  <si>
    <t>SPDR MSCI EURO HEALTHCARE UCITS ETF Total</t>
  </si>
  <si>
    <t>SPDR MSCI EURO INDUS UCITS ETF Total</t>
  </si>
  <si>
    <t>SPDR MSCI EURO TECH UCITS ETF Total</t>
  </si>
  <si>
    <t>SPDR MSCI EUROPE FINANCIALS UCITS ETF Total</t>
  </si>
  <si>
    <t>SPDR MSCI EUROPE MAT UCITS Total</t>
  </si>
  <si>
    <t>UBS MSCI CANADA UCITS ETF Total</t>
  </si>
  <si>
    <t>ALPHABET INC CL A Total</t>
  </si>
  <si>
    <t>AMAZON.COM INC Total</t>
  </si>
  <si>
    <t>APPLE INC Total</t>
  </si>
  <si>
    <t>BLOCK INC CLASS A Total</t>
  </si>
  <si>
    <t>BUMBLE INC Total</t>
  </si>
  <si>
    <t>CERIDIAN HCM HOLDING INC Total</t>
  </si>
  <si>
    <t>CHEWY INC Total</t>
  </si>
  <si>
    <t>CHIPOTLE MEXICAN GRILL Total</t>
  </si>
  <si>
    <t>DEXCOM INC Total</t>
  </si>
  <si>
    <t>ELEVANCE HEALTH INC Total</t>
  </si>
  <si>
    <t>ELI LILLY &amp; CO Total</t>
  </si>
  <si>
    <t>ESTEE LAUDER COMPANIES INC Total</t>
  </si>
  <si>
    <t>HONEYWELL INTL INC Total</t>
  </si>
  <si>
    <t>HORIZON THERAPEUTICS PLC Total</t>
  </si>
  <si>
    <t>HUBSPOT INC Total</t>
  </si>
  <si>
    <t>HUMANA Total</t>
  </si>
  <si>
    <t>JDCOM INC SPONSORED ADR Total</t>
  </si>
  <si>
    <t>MARKETAXES HOLDING INC Total</t>
  </si>
  <si>
    <t>MARRIOTT INTERNATIONAL INC CLASS A Total</t>
  </si>
  <si>
    <t>MARVELL TECHNOLOGY INC Total</t>
  </si>
  <si>
    <t>MASTERCARD INC SHS A Total</t>
  </si>
  <si>
    <t>META PLATFORMS INC Total</t>
  </si>
  <si>
    <t>NCINO INC Total</t>
  </si>
  <si>
    <t>NETFLIX Total</t>
  </si>
  <si>
    <t>NEXTERA ENERGY INC Total</t>
  </si>
  <si>
    <t>NIKE INC SHARES B Total</t>
  </si>
  <si>
    <t>NVIDIA CORP Total</t>
  </si>
  <si>
    <t>OCCIDENTAL PETROLEUM CORP Total</t>
  </si>
  <si>
    <t>PLUG POWER INC Total</t>
  </si>
  <si>
    <t>PPG INDUSTRIES INC Total</t>
  </si>
  <si>
    <t>PROGRESSIVE CORP Total</t>
  </si>
  <si>
    <t>RALPH LAUREN CORP SHARES A Total</t>
  </si>
  <si>
    <t>SNAP INC SHARES A Total</t>
  </si>
  <si>
    <t>SVB FINANCIAL GROUP Total</t>
  </si>
  <si>
    <t>SYNCHRONY FINANCIAL Total</t>
  </si>
  <si>
    <t>TESLA INC Total</t>
  </si>
  <si>
    <t>TRANE TECHNOLOGIES PLC Total</t>
  </si>
  <si>
    <t>TRAVEL + LEISURE CO Total</t>
  </si>
  <si>
    <t>TRUIST FINANCIAL CORP Total</t>
  </si>
  <si>
    <t>UIPATH INC Total</t>
  </si>
  <si>
    <t>UNITY SOFTWARE INC Total</t>
  </si>
  <si>
    <t>ZIMMER BIOMET HOLDINGS INC Total</t>
  </si>
  <si>
    <t>ZIMVIE INC Total</t>
  </si>
  <si>
    <t>ZOETIS INC Total</t>
  </si>
  <si>
    <t>ZSCALER INC Total</t>
  </si>
  <si>
    <t>ABBOTT LABS Total</t>
  </si>
  <si>
    <t>ABBVIE INC COM Total</t>
  </si>
  <si>
    <t>ADOBE INC Total</t>
  </si>
  <si>
    <t>AMCOR PLC Total</t>
  </si>
  <si>
    <t>AMER EXPRESS CO Total</t>
  </si>
  <si>
    <t>AMERICAN TOWER CORP REIT Total</t>
  </si>
  <si>
    <t>AMERIPRISE FINANCIAL INC Total</t>
  </si>
  <si>
    <t>APPLIED MATERIALS INC Total</t>
  </si>
  <si>
    <t>AT&amp;T INC Total</t>
  </si>
  <si>
    <t>AUTOZONE INC Total</t>
  </si>
  <si>
    <t>BIOGEN INC Total</t>
  </si>
  <si>
    <t>BOOKING HLDGS INC Total</t>
  </si>
  <si>
    <t>BOSTON SCIENTIFIC CORP Total</t>
  </si>
  <si>
    <t>BROADCOM INC Total</t>
  </si>
  <si>
    <t>CISCO SYSTEMS INC Total</t>
  </si>
  <si>
    <t>CME GROUP INC Total</t>
  </si>
  <si>
    <t>COMCAST CORP NEW CL A Total</t>
  </si>
  <si>
    <t>CONOCOPHILLIPS Total</t>
  </si>
  <si>
    <t>COSTCO WHOLESALE CORP Total</t>
  </si>
  <si>
    <t>DOLLAR GEN CORP NEW Total</t>
  </si>
  <si>
    <t>DOMINO'S PIZZA INC Total</t>
  </si>
  <si>
    <t>EMBECTA CORP Total</t>
  </si>
  <si>
    <t>EMERSON ELECTRIC CO Total</t>
  </si>
  <si>
    <t>FIDELITY NATL INFORMATION SVCS Total</t>
  </si>
  <si>
    <t>GOLDMAN SACHS GROUP INC Total</t>
  </si>
  <si>
    <t>HOME DEPOT INC Total</t>
  </si>
  <si>
    <t>HP INC Total</t>
  </si>
  <si>
    <t>INTEL CORP Total</t>
  </si>
  <si>
    <t>INTERCONTINENTALEXCHANGE GROUP Total</t>
  </si>
  <si>
    <t>INTUITIVE SURGICAL INC Total</t>
  </si>
  <si>
    <t>ISHARES CORE MSCI Total</t>
  </si>
  <si>
    <t>JOHNSON CTLS INTL PLC Total</t>
  </si>
  <si>
    <t>JPMORGAN CHASE &amp; CO Total</t>
  </si>
  <si>
    <t>KINDER MORGAN INC Total</t>
  </si>
  <si>
    <t>KROGER COMPANY Total</t>
  </si>
  <si>
    <t>L3 HARRIS TECHNOLOGIES Total</t>
  </si>
  <si>
    <t>L3 HARRIS TECHNOLOGIES INC Total</t>
  </si>
  <si>
    <t>LAUDER ESTEE COS CL A Total</t>
  </si>
  <si>
    <t>LOCKHEED MARTIN CORP Total</t>
  </si>
  <si>
    <t>LOWES COMPANIES INC Total</t>
  </si>
  <si>
    <t>LUMEN TECHNOLOGIES INC Total</t>
  </si>
  <si>
    <t>MCKESSON CORP Total</t>
  </si>
  <si>
    <t>MEDTRONIC PLC Total</t>
  </si>
  <si>
    <t>MICROSOFT CORP Total</t>
  </si>
  <si>
    <t>MORGAN STANLEY Total</t>
  </si>
  <si>
    <t>MORGAN STANLEY ASIA Total</t>
  </si>
  <si>
    <t>MORGAN STANLEY GLOBAL Total</t>
  </si>
  <si>
    <t>NORFOLK STHN CORP Total</t>
  </si>
  <si>
    <t>NORTHROP GRUMMAN CORP Total</t>
  </si>
  <si>
    <t>O REILLY AUTOMOTIVE INC Total</t>
  </si>
  <si>
    <t>ORACLE CORP Total</t>
  </si>
  <si>
    <t>PARKER HANNIFIN CORP Total</t>
  </si>
  <si>
    <t>PULTE GROUP INC Total</t>
  </si>
  <si>
    <t>QUEST DIAGNOSTICS INC Total</t>
  </si>
  <si>
    <t>RAYTHEON TECHNOLOGIES Total</t>
  </si>
  <si>
    <t>S&amp;P GLOBAL INC Total</t>
  </si>
  <si>
    <t>SALESFORCE, INC. Total</t>
  </si>
  <si>
    <t>SEAGATE TECHNOLOGY Total</t>
  </si>
  <si>
    <t>SHERWIN WILLIAMS CO Total</t>
  </si>
  <si>
    <t>SIMON PPTY GROUP INC Total</t>
  </si>
  <si>
    <t>SMUCKER J M CO NEW Total</t>
  </si>
  <si>
    <t>SYSCO CORP Total</t>
  </si>
  <si>
    <t>TEXAS INSTRUMENTS Total</t>
  </si>
  <si>
    <t>THERMO FISHER SCIENTIFIC Total</t>
  </si>
  <si>
    <t>TJX COS INC NEW Total</t>
  </si>
  <si>
    <t>TRAVELERS COS INC/THE Total</t>
  </si>
  <si>
    <t>UBS (LUX) EQUITY FUND - Total</t>
  </si>
  <si>
    <t>UBS (LUX) EQUITY SICAV - Total</t>
  </si>
  <si>
    <t>UNION PACIFIC CORP Total</t>
  </si>
  <si>
    <t>UNITED PARCEL SERVICE Total</t>
  </si>
  <si>
    <t>UNITEDHEALTH GROUP INC Total</t>
  </si>
  <si>
    <t>VF CORP Total</t>
  </si>
  <si>
    <t>VISA INC CL A Total</t>
  </si>
  <si>
    <t>ANHEUSER BUSCH INBEV SA Total</t>
  </si>
  <si>
    <t>BLACKSTONE MORTGAGE TRUST INC Total</t>
  </si>
  <si>
    <t>BOEING CO Total</t>
  </si>
  <si>
    <t>ISHARES S&amp;P HEALTH CARE ETF Total</t>
  </si>
  <si>
    <t>ISHARES US TREAS 0-1YR USD A Total</t>
  </si>
  <si>
    <t>MERCK &amp; CO INC NEW COM Total</t>
  </si>
  <si>
    <t>PFIZER INC Total</t>
  </si>
  <si>
    <t>SPDR S&amp;P 500 ETF TRUST Total</t>
  </si>
  <si>
    <t>SPDR S&amp;P MIDCAP 400 ETF TRUST Total</t>
  </si>
  <si>
    <t>STARBUCKS CORP Total</t>
  </si>
  <si>
    <t>WALMART INC Total</t>
  </si>
  <si>
    <t>WELLS FARGO &amp; CO Total</t>
  </si>
  <si>
    <t>JD.COM INC Total</t>
  </si>
  <si>
    <t>TENCENT HOLDINGS LTD Total</t>
  </si>
  <si>
    <t>LP 1</t>
  </si>
  <si>
    <t>31XX29</t>
  </si>
  <si>
    <t>Cuenta 31XX29</t>
  </si>
  <si>
    <t>INTERNAL TRANSFER FROM 031XX29013 TO 0313521001</t>
  </si>
  <si>
    <t>31XX29 Total</t>
  </si>
  <si>
    <t>11XX300</t>
  </si>
  <si>
    <t>BOOK TRANSFER CREDIT B/O: JPM CHASE BANK NEW YORK PBIM COLUMBUS OH 43240- US ORG:/11XX300</t>
  </si>
  <si>
    <t>Cuenta 11XX300</t>
  </si>
  <si>
    <t>11XX300 Total</t>
  </si>
  <si>
    <t>1XXX100</t>
  </si>
  <si>
    <t>1XXX100 Total</t>
  </si>
  <si>
    <t>B467XXX05</t>
  </si>
  <si>
    <t>Cuenta B467XXX05</t>
  </si>
  <si>
    <t>van a la cuenta B467XXX05</t>
  </si>
  <si>
    <t>B467XXX05 Total</t>
  </si>
  <si>
    <t>677-0XXX52-670</t>
  </si>
  <si>
    <t>Cuenta 677-0XXX52-670</t>
  </si>
  <si>
    <t>677-0XXX52-670 Total</t>
  </si>
  <si>
    <t>677-0XXX53-471</t>
  </si>
  <si>
    <t>Cuenta 677-0XXX53-471</t>
  </si>
  <si>
    <t>677-0XXX53-471 Total</t>
  </si>
  <si>
    <t>4H 0XXX0 RB</t>
  </si>
  <si>
    <t>4H 0XXX0 RB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</si>
</sst>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00_-;\-* #,##0.00_-;_-* &quot;-&quot;??_-;_-@_-"/>
    <numFmt numFmtId="165" formatCode="[$-80A]d&quot; de &quot;mmmm&quot; de &quot;yyyy;@"/>
    <numFmt numFmtId="166" formatCode="_-* #,##0.0000_-;\-* #,##0.0000_-;_-* &quot;-&quot;??_-;_-@_-"/>
    <numFmt numFmtId="167" formatCode="[$-409]d\-mmm\-yy;@"/>
    <numFmt numFmtId="168" formatCode="_(* #,##0.0000_);_(* \(#,##0.0000\);_(* &quot;-&quot;??_);_(@_)"/>
    <numFmt numFmtId="169" formatCode="0.0000"/>
    <numFmt numFmtId="170" formatCode="_(* #,##0.00000_);_(* \(#,##0.00000\);_(* &quot;-&quot;??_);_(@_)"/>
    <numFmt numFmtId="171" formatCode="_-* #,##0.000_-;\-* #,##0.000_-;_-* &quot;-&quot;??_-;_-@_-"/>
    <numFmt numFmtId="172" formatCode="#,##0.0000;[Red]\-#,##0.0000"/>
    <numFmt numFmtId="173" formatCode="0.000000"/>
    <numFmt numFmtId="174" formatCode="#,##0.0000"/>
    <numFmt numFmtId="175" formatCode="#,##0.0000000"/>
    <numFmt numFmtId="176" formatCode="0.0000_);\(0.0000\)"/>
    <numFmt numFmtId="177" formatCode="#,##0.0000_);\(#,##0.0000\)"/>
    <numFmt numFmtId="178" formatCode="#,##0.00_);[Red]\(#,##0.00\);_(&quot;-&quot;_);_(@_)"/>
    <numFmt numFmtId="179" formatCode="[$-409]dd\-mmm\-yy;@"/>
    <numFmt numFmtId="180" formatCode="0.0000;[Red]0.0000"/>
    <numFmt numFmtId="181" formatCode="0.0000_);[Red]\(0.0000\)"/>
    <numFmt numFmtId="182" formatCode="#,##0.0000_);[Red]\(#,##0.0000\);_(&quot;-&quot;_);_(@_)"/>
    <numFmt numFmtId="183" formatCode="#,##0.00000"/>
    <numFmt numFmtId="184" formatCode="_(* #,##0.00_);_(* \(#,##0.00\);_(* &quot;-&quot;????_);_(@_)"/>
    <numFmt numFmtId="185" formatCode="_(* #,##0.00_);[Red]_(* \(#,##0.00\);_(* &quot;-&quot;??_);_(@_)"/>
    <numFmt numFmtId="186" formatCode="mmm"/>
  </numFmts>
  <fonts count="63">
    <font>
      <sz val="12"/>
      <color theme="1"/>
      <name val="Calibri-Light"/>
      <family val="2"/>
    </font>
    <font>
      <sz val="12"/>
      <color theme="1"/>
      <name val="Calibri"/>
      <family val="2"/>
      <scheme val="minor"/>
    </font>
    <font>
      <sz val="12"/>
      <color theme="1"/>
      <name val="Calibri-Light"/>
      <family val="2"/>
    </font>
    <font>
      <sz val="11"/>
      <color theme="1"/>
      <name val="Calibri"/>
      <family val="2"/>
      <scheme val="minor"/>
    </font>
    <font>
      <sz val="10"/>
      <name val="Arial"/>
      <family val="2"/>
    </font>
    <font>
      <u/>
      <sz val="12"/>
      <color theme="10"/>
      <name val="Calibri-Light"/>
      <family val="2"/>
    </font>
    <font>
      <u/>
      <sz val="12"/>
      <color theme="11"/>
      <name val="Calibri-Light"/>
      <family val="2"/>
    </font>
    <font>
      <sz val="11"/>
      <color indexed="8"/>
      <name val="Calibri"/>
      <family val="2"/>
    </font>
    <font>
      <sz val="8"/>
      <name val="Calibri-Light"/>
      <family val="2"/>
    </font>
    <font>
      <b/>
      <sz val="12"/>
      <color theme="1"/>
      <name val="Segoe UI"/>
      <family val="2"/>
    </font>
    <font>
      <sz val="12"/>
      <color theme="1"/>
      <name val="Segoe UI"/>
      <family val="2"/>
    </font>
    <font>
      <sz val="16"/>
      <color rgb="FF2097DB"/>
      <name val="Segoe UI"/>
      <family val="2"/>
    </font>
    <font>
      <b/>
      <sz val="10"/>
      <color theme="0"/>
      <name val="Segoe UI"/>
      <family val="2"/>
    </font>
    <font>
      <sz val="12"/>
      <color rgb="FF000000"/>
      <name val="Segoe UI"/>
      <family val="2"/>
    </font>
    <font>
      <sz val="12"/>
      <name val="Segoe UI"/>
      <family val="2"/>
    </font>
    <font>
      <b/>
      <sz val="12"/>
      <color rgb="FF2097DB"/>
      <name val="Segoe UI"/>
      <family val="2"/>
    </font>
    <font>
      <sz val="10"/>
      <color theme="1"/>
      <name val="Segoe UI"/>
      <family val="2"/>
    </font>
    <font>
      <b/>
      <sz val="10"/>
      <color theme="1"/>
      <name val="Segoe UI"/>
      <family val="2"/>
    </font>
    <font>
      <b/>
      <sz val="12"/>
      <name val="Segoe UI"/>
      <family val="2"/>
    </font>
    <font>
      <b/>
      <sz val="12"/>
      <color indexed="8"/>
      <name val="Segoe UI"/>
      <family val="2"/>
    </font>
    <font>
      <sz val="12"/>
      <color indexed="8"/>
      <name val="Segoe UI"/>
      <family val="2"/>
    </font>
    <font>
      <u/>
      <sz val="12"/>
      <name val="Segoe UI"/>
      <family val="2"/>
    </font>
    <font>
      <vertAlign val="superscript"/>
      <sz val="12"/>
      <color theme="1"/>
      <name val="Segoe UI"/>
      <family val="2"/>
    </font>
    <font>
      <b/>
      <sz val="12"/>
      <color rgb="FFFF0000"/>
      <name val="Segoe UI"/>
      <family val="2"/>
    </font>
    <font>
      <sz val="12"/>
      <color rgb="FFFF0000"/>
      <name val="Segoe UI"/>
      <family val="2"/>
    </font>
    <font>
      <b/>
      <sz val="12"/>
      <color rgb="FF000000"/>
      <name val="Segoe UI"/>
      <family val="2"/>
    </font>
    <font>
      <sz val="12"/>
      <color theme="0"/>
      <name val="Segoe UI"/>
      <family val="2"/>
    </font>
    <font>
      <sz val="10"/>
      <name val="Segoe UI"/>
      <family val="2"/>
    </font>
    <font>
      <b/>
      <sz val="10"/>
      <name val="Segoe UI"/>
      <family val="2"/>
    </font>
    <font>
      <b/>
      <u/>
      <sz val="12"/>
      <name val="Segoe UI"/>
      <family val="2"/>
    </font>
    <font>
      <b/>
      <sz val="12"/>
      <color theme="0"/>
      <name val="Segoe UI"/>
      <family val="2"/>
    </font>
    <font>
      <b/>
      <sz val="16"/>
      <color rgb="FF2097DB"/>
      <name val="Segoe UI"/>
      <family val="2"/>
    </font>
    <font>
      <sz val="10"/>
      <color theme="0"/>
      <name val="Segoe UI"/>
      <family val="2"/>
    </font>
    <font>
      <b/>
      <sz val="16"/>
      <color rgb="FF10A1DA"/>
      <name val="Segoe UI"/>
      <family val="2"/>
    </font>
    <font>
      <sz val="11"/>
      <color theme="1"/>
      <name val="Segoe UI"/>
      <family val="2"/>
    </font>
    <font>
      <b/>
      <u/>
      <sz val="12"/>
      <color theme="1"/>
      <name val="Segoe UI"/>
      <family val="2"/>
    </font>
    <font>
      <b/>
      <sz val="11"/>
      <color theme="0"/>
      <name val="Segoe UI"/>
      <family val="2"/>
    </font>
    <font>
      <sz val="11"/>
      <color theme="0"/>
      <name val="Segoe UI"/>
      <family val="2"/>
    </font>
    <font>
      <sz val="11"/>
      <name val="Segoe UI"/>
      <family val="2"/>
    </font>
    <font>
      <sz val="12"/>
      <color theme="0" tint="-0.14999847407452621"/>
      <name val="Segoe UI"/>
      <family val="2"/>
    </font>
    <font>
      <b/>
      <sz val="10"/>
      <color theme="1"/>
      <name val="Segoe UI"/>
      <family val="2"/>
    </font>
    <font>
      <b/>
      <sz val="14"/>
      <color rgb="FFFF0000"/>
      <name val="Segoe UI"/>
      <family val="2"/>
    </font>
    <font>
      <b/>
      <sz val="12"/>
      <color theme="1"/>
      <name val="Segoe UI"/>
      <family val="2"/>
    </font>
    <font>
      <sz val="12"/>
      <color theme="6" tint="0.79998168889431442"/>
      <name val="Segoe UI"/>
      <family val="2"/>
    </font>
    <font>
      <b/>
      <sz val="12"/>
      <color theme="6" tint="0.59999389629810485"/>
      <name val="Segoe UI"/>
      <family val="2"/>
    </font>
    <font>
      <sz val="12"/>
      <color theme="6" tint="0.39997558519241921"/>
      <name val="Segoe UI"/>
      <family val="2"/>
    </font>
    <font>
      <sz val="12"/>
      <color rgb="FF468694"/>
      <name val="Segoe UI"/>
      <family val="2"/>
    </font>
    <font>
      <sz val="12"/>
      <color theme="6" tint="0.59999389629810485"/>
      <name val="Segoe UI"/>
      <family val="2"/>
    </font>
    <font>
      <sz val="12"/>
      <color theme="1"/>
      <name val="Helvetica Light"/>
    </font>
    <font>
      <sz val="12"/>
      <color theme="0"/>
      <name val="Helvetica Light"/>
    </font>
    <font>
      <sz val="12"/>
      <color theme="1"/>
      <name val="ArialMT"/>
      <family val="2"/>
    </font>
    <font>
      <b/>
      <sz val="12"/>
      <color theme="0"/>
      <name val="Segoe UI"/>
      <family val="2"/>
    </font>
    <font>
      <sz val="16"/>
      <color theme="1"/>
      <name val="Segoe UI"/>
      <family val="2"/>
    </font>
    <font>
      <sz val="12"/>
      <color theme="1"/>
      <name val="Calibri Light"/>
      <family val="2"/>
      <scheme val="major"/>
    </font>
    <font>
      <sz val="12"/>
      <color rgb="FF468694"/>
      <name val="Calibri Light"/>
      <family val="2"/>
      <scheme val="major"/>
    </font>
    <font>
      <b/>
      <sz val="12"/>
      <color theme="1"/>
      <name val="Calibri Light"/>
      <family val="2"/>
      <scheme val="major"/>
    </font>
    <font>
      <b/>
      <sz val="18"/>
      <color rgb="FF10A1DA"/>
      <name val="Segoe UI"/>
      <family val="2"/>
    </font>
    <font>
      <b/>
      <sz val="12"/>
      <color rgb="FFFF0000"/>
      <name val="Segoe UI"/>
      <family val="2"/>
    </font>
    <font>
      <b/>
      <sz val="11"/>
      <color theme="0"/>
      <name val="Segoe UI"/>
      <family val="2"/>
    </font>
    <font>
      <sz val="10"/>
      <color rgb="FF468694"/>
      <name val="Segoe UI"/>
      <family val="2"/>
    </font>
    <font>
      <b/>
      <sz val="12"/>
      <color theme="6" tint="0.79998168889431442"/>
      <name val="Segoe UI"/>
      <family val="2"/>
    </font>
    <font>
      <b/>
      <sz val="12"/>
      <color theme="6" tint="0.39997558519241921"/>
      <name val="Segoe UI"/>
      <family val="2"/>
    </font>
    <font>
      <b/>
      <sz val="12"/>
      <color rgb="FF468694"/>
      <name val="Segoe UI"/>
      <family val="2"/>
    </font>
  </fonts>
  <fills count="23">
    <fill>
      <patternFill patternType="none"/>
    </fill>
    <fill>
      <patternFill patternType="gray125"/>
    </fill>
    <fill>
      <patternFill patternType="solid">
        <fgColor theme="5" tint="0.79998168889431442"/>
        <bgColor indexed="64"/>
      </patternFill>
    </fill>
    <fill>
      <patternFill patternType="solid">
        <fgColor theme="1"/>
        <bgColor indexed="64"/>
      </patternFill>
    </fill>
    <fill>
      <patternFill patternType="solid">
        <fgColor rgb="FFFF0000"/>
        <bgColor indexed="64"/>
      </patternFill>
    </fill>
    <fill>
      <patternFill patternType="solid">
        <fgColor indexed="8"/>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92D050"/>
        <bgColor indexed="64"/>
      </patternFill>
    </fill>
    <fill>
      <patternFill patternType="solid">
        <fgColor rgb="FF468694"/>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rgb="FFB9E8FE"/>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FFFF00"/>
        <bgColor indexed="64"/>
      </patternFill>
    </fill>
    <fill>
      <patternFill patternType="solid">
        <fgColor theme="7" tint="0.79998168889431442"/>
        <bgColor indexed="64"/>
      </patternFill>
    </fill>
    <fill>
      <patternFill patternType="solid">
        <fgColor theme="5"/>
        <bgColor indexed="64"/>
      </patternFill>
    </fill>
    <fill>
      <patternFill patternType="solid">
        <fgColor theme="9"/>
        <bgColor indexed="64"/>
      </patternFill>
    </fill>
    <fill>
      <patternFill patternType="solid">
        <fgColor rgb="FF73FB79"/>
        <bgColor indexed="64"/>
      </patternFill>
    </fill>
    <fill>
      <patternFill patternType="solid">
        <fgColor theme="8" tint="0.59999389629810485"/>
        <bgColor indexed="64"/>
      </patternFill>
    </fill>
  </fills>
  <borders count="25">
    <border>
      <left/>
      <right/>
      <top/>
      <bottom/>
      <diagonal/>
    </border>
    <border>
      <left/>
      <right/>
      <top/>
      <bottom style="thin">
        <color auto="1"/>
      </bottom>
      <diagonal/>
    </border>
    <border>
      <left/>
      <right/>
      <top style="thin">
        <color rgb="FF00B0F0"/>
      </top>
      <bottom style="thin">
        <color rgb="FF00B0F0"/>
      </bottom>
      <diagonal/>
    </border>
    <border>
      <left/>
      <right/>
      <top style="thin">
        <color rgb="FF00B0F0"/>
      </top>
      <bottom style="thin">
        <color rgb="FF8BC0FF"/>
      </bottom>
      <diagonal/>
    </border>
    <border>
      <left/>
      <right/>
      <top/>
      <bottom style="thin">
        <color rgb="FF8BC0FF"/>
      </bottom>
      <diagonal/>
    </border>
    <border>
      <left/>
      <right/>
      <top style="thin">
        <color rgb="FF8BC0FF"/>
      </top>
      <bottom style="thin">
        <color rgb="FF8BC0FF"/>
      </bottom>
      <diagonal/>
    </border>
    <border>
      <left/>
      <right/>
      <top style="thin">
        <color indexed="64"/>
      </top>
      <bottom style="thin">
        <color indexed="64"/>
      </bottom>
      <diagonal/>
    </border>
    <border>
      <left/>
      <right/>
      <top style="thin">
        <color theme="1"/>
      </top>
      <bottom style="thin">
        <color theme="1"/>
      </bottom>
      <diagonal/>
    </border>
    <border>
      <left/>
      <right/>
      <top style="thin">
        <color rgb="FF8BC0FF"/>
      </top>
      <bottom/>
      <diagonal/>
    </border>
    <border>
      <left/>
      <right/>
      <top/>
      <bottom style="thin">
        <color theme="1"/>
      </bottom>
      <diagonal/>
    </border>
    <border>
      <left/>
      <right/>
      <top style="thin">
        <color rgb="FF10A1DA"/>
      </top>
      <bottom style="thin">
        <color rgb="FF10A1DA"/>
      </bottom>
      <diagonal/>
    </border>
    <border>
      <left style="thin">
        <color rgb="FF00B0F0"/>
      </left>
      <right/>
      <top style="thin">
        <color rgb="FF00B0F0"/>
      </top>
      <bottom style="thin">
        <color rgb="FF00B0F0"/>
      </bottom>
      <diagonal/>
    </border>
    <border>
      <left/>
      <right style="thin">
        <color rgb="FF00B0F0"/>
      </right>
      <top style="thin">
        <color rgb="FF00B0F0"/>
      </top>
      <bottom style="thin">
        <color rgb="FF00B0F0"/>
      </bottom>
      <diagonal/>
    </border>
    <border>
      <left style="thin">
        <color rgb="FF00B0F0"/>
      </left>
      <right/>
      <top/>
      <bottom/>
      <diagonal/>
    </border>
    <border>
      <left/>
      <right style="thin">
        <color rgb="FF00B0F0"/>
      </right>
      <top/>
      <bottom/>
      <diagonal/>
    </border>
    <border>
      <left style="thin">
        <color rgb="FF00B0F0"/>
      </left>
      <right/>
      <top/>
      <bottom style="thin">
        <color rgb="FF00B0F0"/>
      </bottom>
      <diagonal/>
    </border>
    <border>
      <left/>
      <right/>
      <top/>
      <bottom style="thin">
        <color rgb="FF00B0F0"/>
      </bottom>
      <diagonal/>
    </border>
    <border>
      <left/>
      <right style="thin">
        <color rgb="FF00B0F0"/>
      </right>
      <top/>
      <bottom style="thin">
        <color rgb="FF00B0F0"/>
      </bottom>
      <diagonal/>
    </border>
    <border>
      <left/>
      <right/>
      <top style="thin">
        <color rgb="FF8BC0FF"/>
      </top>
      <bottom style="medium">
        <color rgb="FF8BC0FF"/>
      </bottom>
      <diagonal/>
    </border>
    <border>
      <left/>
      <right/>
      <top style="thin">
        <color rgb="FF10A1DA"/>
      </top>
      <bottom style="medium">
        <color rgb="FF10A1DA"/>
      </bottom>
      <diagonal/>
    </border>
    <border>
      <left/>
      <right/>
      <top style="thin">
        <color rgb="FF8BC1FF"/>
      </top>
      <bottom style="thin">
        <color rgb="FF8BC1FF"/>
      </bottom>
      <diagonal/>
    </border>
    <border>
      <left/>
      <right/>
      <top style="thin">
        <color rgb="FF8BC1FF"/>
      </top>
      <bottom style="thin">
        <color rgb="FF8BC0FF"/>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36">
    <xf numFmtId="0" fontId="0"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4" fillId="0" borderId="0" applyFont="0" applyFill="0" applyBorder="0" applyAlignment="0" applyProtection="0"/>
    <xf numFmtId="9" fontId="4" fillId="0" borderId="0" applyFont="0" applyFill="0" applyBorder="0" applyAlignment="0" applyProtection="0"/>
    <xf numFmtId="43" fontId="2" fillId="0" borderId="0" applyFont="0" applyFill="0" applyBorder="0" applyAlignment="0" applyProtection="0"/>
    <xf numFmtId="164" fontId="3" fillId="0" borderId="0" applyFont="0" applyFill="0" applyBorder="0" applyAlignment="0" applyProtection="0"/>
    <xf numFmtId="43" fontId="4" fillId="0" borderId="0" applyFont="0" applyFill="0" applyBorder="0" applyAlignment="0" applyProtection="0"/>
    <xf numFmtId="0" fontId="4"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164" fontId="7"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0" fillId="0" borderId="0"/>
    <xf numFmtId="164" fontId="50" fillId="0" borderId="0" applyFont="0" applyFill="0" applyBorder="0" applyAlignment="0" applyProtection="0"/>
    <xf numFmtId="164" fontId="1" fillId="0" borderId="0" applyFont="0" applyFill="0" applyBorder="0" applyAlignment="0" applyProtection="0"/>
  </cellStyleXfs>
  <cellXfs count="753">
    <xf numFmtId="0" fontId="0" fillId="0" borderId="0" xfId="0"/>
    <xf numFmtId="0" fontId="10" fillId="0" borderId="0" xfId="0" applyFont="1"/>
    <xf numFmtId="0" fontId="9" fillId="0" borderId="0" xfId="0" applyFont="1"/>
    <xf numFmtId="0" fontId="10" fillId="0" borderId="0" xfId="0" applyFont="1" applyAlignment="1">
      <alignment horizontal="center"/>
    </xf>
    <xf numFmtId="0" fontId="10" fillId="0" borderId="0" xfId="0" applyFont="1" applyAlignment="1">
      <alignment vertical="center"/>
    </xf>
    <xf numFmtId="0" fontId="10" fillId="10" borderId="3" xfId="0" applyFont="1" applyFill="1" applyBorder="1" applyProtection="1">
      <protection locked="0"/>
    </xf>
    <xf numFmtId="0" fontId="10" fillId="10" borderId="4" xfId="0" applyFont="1" applyFill="1" applyBorder="1" applyProtection="1">
      <protection locked="0"/>
    </xf>
    <xf numFmtId="0" fontId="10" fillId="0" borderId="5" xfId="0" applyFont="1" applyBorder="1" applyAlignment="1" applyProtection="1">
      <alignment horizontal="center" vertical="center"/>
      <protection locked="0"/>
    </xf>
    <xf numFmtId="0" fontId="9" fillId="0" borderId="0" xfId="3" applyFont="1" applyAlignment="1">
      <alignment horizontal="center" vertical="center"/>
    </xf>
    <xf numFmtId="0" fontId="10" fillId="0" borderId="0" xfId="3" applyFont="1" applyAlignment="1">
      <alignment vertical="center"/>
    </xf>
    <xf numFmtId="0" fontId="10" fillId="0" borderId="0" xfId="3" applyFont="1" applyAlignment="1">
      <alignment horizontal="center" vertical="center"/>
    </xf>
    <xf numFmtId="0" fontId="10" fillId="0" borderId="0" xfId="3" applyFont="1" applyAlignment="1">
      <alignment horizontal="left" vertical="center"/>
    </xf>
    <xf numFmtId="0" fontId="9" fillId="0" borderId="0" xfId="0" applyFont="1" applyAlignment="1" applyProtection="1">
      <alignment horizontal="center" vertical="center" wrapText="1"/>
      <protection locked="0"/>
    </xf>
    <xf numFmtId="0" fontId="10" fillId="0" borderId="0" xfId="3" applyFont="1" applyAlignment="1">
      <alignment horizontal="left" vertical="center" wrapText="1"/>
    </xf>
    <xf numFmtId="43" fontId="9" fillId="0" borderId="0" xfId="1" applyFont="1" applyAlignment="1" applyProtection="1">
      <alignment vertical="center"/>
    </xf>
    <xf numFmtId="9" fontId="10" fillId="0" borderId="0" xfId="3" applyNumberFormat="1" applyFont="1" applyAlignment="1">
      <alignment horizontal="center" vertical="center"/>
    </xf>
    <xf numFmtId="43" fontId="10" fillId="0" borderId="0" xfId="1" applyFont="1" applyAlignment="1" applyProtection="1">
      <alignment vertical="center"/>
    </xf>
    <xf numFmtId="0" fontId="14" fillId="0" borderId="0" xfId="3" applyFont="1" applyAlignment="1">
      <alignment horizontal="left" vertical="center"/>
    </xf>
    <xf numFmtId="0" fontId="14" fillId="0" borderId="0" xfId="3" applyFont="1" applyAlignment="1">
      <alignment horizontal="center" vertical="center"/>
    </xf>
    <xf numFmtId="43" fontId="14" fillId="0" borderId="0" xfId="1" applyFont="1" applyFill="1" applyAlignment="1" applyProtection="1">
      <alignment vertical="center"/>
    </xf>
    <xf numFmtId="0" fontId="14" fillId="0" borderId="0" xfId="3" applyFont="1" applyAlignment="1">
      <alignment vertical="center"/>
    </xf>
    <xf numFmtId="0" fontId="14" fillId="0" borderId="0" xfId="0" applyFont="1"/>
    <xf numFmtId="0" fontId="16" fillId="0" borderId="6" xfId="0" applyFont="1" applyBorder="1" applyAlignment="1" applyProtection="1">
      <alignment vertical="center"/>
      <protection hidden="1"/>
    </xf>
    <xf numFmtId="0" fontId="16" fillId="0" borderId="6" xfId="0" applyFont="1" applyBorder="1" applyAlignment="1" applyProtection="1">
      <alignment horizontal="center" vertical="center"/>
      <protection hidden="1"/>
    </xf>
    <xf numFmtId="0" fontId="16" fillId="0" borderId="7" xfId="0" applyFont="1" applyBorder="1" applyAlignment="1" applyProtection="1">
      <alignment vertical="center"/>
      <protection hidden="1"/>
    </xf>
    <xf numFmtId="0" fontId="16" fillId="0" borderId="0" xfId="0" applyFont="1" applyAlignment="1" applyProtection="1">
      <alignment vertical="center"/>
      <protection hidden="1"/>
    </xf>
    <xf numFmtId="0" fontId="16" fillId="0" borderId="0" xfId="0" applyFont="1" applyAlignment="1" applyProtection="1">
      <alignment horizontal="center" vertical="center"/>
      <protection hidden="1"/>
    </xf>
    <xf numFmtId="0" fontId="16" fillId="0" borderId="0" xfId="3" applyFont="1" applyAlignment="1">
      <alignment horizontal="center" vertical="center"/>
    </xf>
    <xf numFmtId="0" fontId="16" fillId="0" borderId="0" xfId="3" applyFont="1" applyAlignment="1">
      <alignment horizontal="left" vertical="center"/>
    </xf>
    <xf numFmtId="0" fontId="17" fillId="0" borderId="0" xfId="0" applyFont="1" applyAlignment="1" applyProtection="1">
      <alignment horizontal="center" vertical="center" wrapText="1"/>
      <protection locked="0"/>
    </xf>
    <xf numFmtId="0" fontId="16" fillId="0" borderId="0" xfId="3" applyFont="1" applyAlignment="1">
      <alignment vertical="center"/>
    </xf>
    <xf numFmtId="0" fontId="16" fillId="9" borderId="0" xfId="0" applyFont="1" applyFill="1" applyAlignment="1" applyProtection="1">
      <alignment vertical="center"/>
      <protection hidden="1"/>
    </xf>
    <xf numFmtId="0" fontId="16" fillId="9" borderId="0" xfId="0" applyFont="1" applyFill="1" applyAlignment="1" applyProtection="1">
      <alignment horizontal="center" vertical="center"/>
      <protection hidden="1"/>
    </xf>
    <xf numFmtId="0" fontId="14" fillId="0" borderId="0" xfId="0" applyFont="1" applyAlignment="1">
      <alignment horizontal="center" vertical="center"/>
    </xf>
    <xf numFmtId="0" fontId="14" fillId="0" borderId="0" xfId="0" applyFont="1" applyAlignment="1">
      <alignment horizontal="left" vertical="center"/>
    </xf>
    <xf numFmtId="0" fontId="14" fillId="0" borderId="0" xfId="0" applyFont="1" applyAlignment="1">
      <alignment vertical="center"/>
    </xf>
    <xf numFmtId="43" fontId="18" fillId="0" borderId="0" xfId="0" applyNumberFormat="1" applyFont="1" applyAlignment="1">
      <alignment horizontal="center" vertical="center" wrapText="1"/>
    </xf>
    <xf numFmtId="43" fontId="18" fillId="0" borderId="0" xfId="0" applyNumberFormat="1" applyFont="1" applyAlignment="1">
      <alignment horizontal="center" vertical="center"/>
    </xf>
    <xf numFmtId="0" fontId="19" fillId="0" borderId="0" xfId="0" applyFont="1" applyAlignment="1">
      <alignment horizontal="center"/>
    </xf>
    <xf numFmtId="0" fontId="20" fillId="0" borderId="0" xfId="0" applyFont="1" applyAlignment="1">
      <alignment horizontal="left"/>
    </xf>
    <xf numFmtId="0" fontId="14" fillId="0" borderId="0" xfId="0" applyFont="1" applyAlignment="1">
      <alignment horizontal="center"/>
    </xf>
    <xf numFmtId="0" fontId="10" fillId="0" borderId="0" xfId="0" applyFont="1" applyAlignment="1">
      <alignment horizontal="center" vertical="center"/>
    </xf>
    <xf numFmtId="43" fontId="14" fillId="0" borderId="0" xfId="0" applyNumberFormat="1" applyFont="1" applyAlignment="1">
      <alignment vertical="center"/>
    </xf>
    <xf numFmtId="0" fontId="19" fillId="0" borderId="0" xfId="0" applyFont="1" applyAlignment="1">
      <alignment horizontal="center" vertical="center"/>
    </xf>
    <xf numFmtId="0" fontId="20" fillId="0" borderId="0" xfId="0" applyFont="1" applyAlignment="1">
      <alignment vertical="center"/>
    </xf>
    <xf numFmtId="0" fontId="10" fillId="0" borderId="0" xfId="0" applyFont="1" applyAlignment="1" applyProtection="1">
      <alignment horizontal="left" vertical="center"/>
      <protection locked="0"/>
    </xf>
    <xf numFmtId="43" fontId="14" fillId="0" borderId="0" xfId="4" applyFont="1" applyFill="1" applyBorder="1" applyAlignment="1" applyProtection="1">
      <alignment vertical="center"/>
    </xf>
    <xf numFmtId="0" fontId="9" fillId="0" borderId="0" xfId="0" applyFont="1" applyAlignment="1">
      <alignment horizontal="center" vertical="center"/>
    </xf>
    <xf numFmtId="43" fontId="14" fillId="0" borderId="0" xfId="4" applyFont="1" applyBorder="1" applyAlignment="1" applyProtection="1">
      <alignment vertical="center"/>
    </xf>
    <xf numFmtId="0" fontId="20" fillId="0" borderId="0" xfId="0" applyFont="1" applyAlignment="1">
      <alignment horizontal="left" vertical="center"/>
    </xf>
    <xf numFmtId="0" fontId="10" fillId="0" borderId="0" xfId="0" applyFont="1" applyAlignment="1">
      <alignment horizontal="left" vertical="center"/>
    </xf>
    <xf numFmtId="0" fontId="18" fillId="0" borderId="0" xfId="0" applyFont="1" applyAlignment="1">
      <alignment vertical="center"/>
    </xf>
    <xf numFmtId="43" fontId="18" fillId="0" borderId="0" xfId="0" applyNumberFormat="1" applyFont="1" applyAlignment="1">
      <alignment vertical="center"/>
    </xf>
    <xf numFmtId="0" fontId="9" fillId="0" borderId="0" xfId="0" applyFont="1" applyAlignment="1">
      <alignment vertical="center"/>
    </xf>
    <xf numFmtId="164" fontId="9" fillId="0" borderId="0" xfId="0" applyNumberFormat="1" applyFont="1" applyAlignment="1">
      <alignment vertical="center"/>
    </xf>
    <xf numFmtId="164" fontId="9" fillId="0" borderId="0" xfId="0" applyNumberFormat="1" applyFont="1" applyAlignment="1">
      <alignment horizontal="center" vertical="center"/>
    </xf>
    <xf numFmtId="164" fontId="10" fillId="0" borderId="0" xfId="0" applyNumberFormat="1" applyFont="1" applyAlignment="1">
      <alignment vertical="center"/>
    </xf>
    <xf numFmtId="0" fontId="21" fillId="0" borderId="0" xfId="0" applyFont="1" applyAlignment="1">
      <alignment horizontal="center" vertical="center"/>
    </xf>
    <xf numFmtId="43" fontId="10" fillId="0" borderId="0" xfId="0" applyNumberFormat="1" applyFont="1" applyAlignment="1">
      <alignment vertical="center"/>
    </xf>
    <xf numFmtId="0" fontId="23" fillId="0" borderId="0" xfId="0" applyFont="1" applyAlignment="1">
      <alignment vertical="center"/>
    </xf>
    <xf numFmtId="0" fontId="9" fillId="0" borderId="0" xfId="0" applyFont="1" applyAlignment="1">
      <alignment horizontal="left" vertical="center"/>
    </xf>
    <xf numFmtId="43" fontId="18" fillId="0" borderId="0" xfId="4" applyFont="1" applyFill="1" applyBorder="1" applyAlignment="1" applyProtection="1">
      <alignment vertical="center"/>
    </xf>
    <xf numFmtId="0" fontId="10" fillId="0" borderId="0" xfId="0" applyFont="1" applyAlignment="1" applyProtection="1">
      <alignment horizontal="left" vertical="center" wrapText="1"/>
      <protection locked="0"/>
    </xf>
    <xf numFmtId="43" fontId="18" fillId="0" borderId="0" xfId="4" applyFont="1" applyFill="1" applyBorder="1" applyAlignment="1" applyProtection="1">
      <alignment vertical="center"/>
      <protection locked="0"/>
    </xf>
    <xf numFmtId="0" fontId="23" fillId="0" borderId="0" xfId="0" applyFont="1"/>
    <xf numFmtId="0" fontId="18" fillId="0" borderId="0" xfId="0" applyFont="1" applyAlignment="1">
      <alignment horizontal="center" vertical="center"/>
    </xf>
    <xf numFmtId="0" fontId="18" fillId="0" borderId="0" xfId="0" applyFont="1" applyAlignment="1">
      <alignment horizontal="center"/>
    </xf>
    <xf numFmtId="0" fontId="10" fillId="0" borderId="0" xfId="0" applyFont="1" applyAlignment="1">
      <alignment horizontal="left"/>
    </xf>
    <xf numFmtId="43" fontId="10" fillId="0" borderId="0" xfId="4" applyFont="1" applyFill="1" applyAlignment="1" applyProtection="1">
      <alignment vertical="center"/>
    </xf>
    <xf numFmtId="43" fontId="10" fillId="0" borderId="0" xfId="4" applyFont="1" applyFill="1" applyAlignment="1" applyProtection="1">
      <alignment horizontal="center" vertical="center"/>
    </xf>
    <xf numFmtId="43" fontId="14" fillId="0" borderId="0" xfId="1" applyFont="1" applyBorder="1" applyAlignment="1" applyProtection="1">
      <alignment vertical="center"/>
    </xf>
    <xf numFmtId="43" fontId="14" fillId="0" borderId="0" xfId="1" applyFont="1" applyFill="1" applyBorder="1" applyAlignment="1" applyProtection="1">
      <alignment vertical="center"/>
    </xf>
    <xf numFmtId="0" fontId="14" fillId="0" borderId="0" xfId="0" applyFont="1" applyAlignment="1" applyProtection="1">
      <alignment horizontal="center" vertical="center"/>
      <protection locked="0"/>
    </xf>
    <xf numFmtId="0" fontId="14" fillId="0" borderId="0" xfId="0" applyFont="1" applyAlignment="1" applyProtection="1">
      <alignment vertical="center"/>
      <protection locked="0"/>
    </xf>
    <xf numFmtId="43" fontId="10" fillId="0" borderId="0" xfId="1" applyFont="1" applyProtection="1"/>
    <xf numFmtId="43" fontId="14" fillId="0" borderId="0" xfId="4" applyFont="1" applyFill="1" applyBorder="1" applyAlignment="1" applyProtection="1">
      <alignment vertical="center"/>
      <protection locked="0"/>
    </xf>
    <xf numFmtId="0" fontId="10" fillId="0" borderId="0" xfId="0" applyFont="1" applyAlignment="1" applyProtection="1">
      <alignment horizontal="center" vertical="center"/>
      <protection locked="0"/>
    </xf>
    <xf numFmtId="0" fontId="24" fillId="0" borderId="0" xfId="0" applyFont="1"/>
    <xf numFmtId="49" fontId="9" fillId="0" borderId="0" xfId="0" applyNumberFormat="1" applyFont="1" applyAlignment="1">
      <alignment horizontal="center"/>
    </xf>
    <xf numFmtId="43" fontId="14" fillId="0" borderId="0" xfId="0" applyNumberFormat="1" applyFont="1" applyAlignment="1">
      <alignment horizontal="center" vertical="center"/>
    </xf>
    <xf numFmtId="0" fontId="27" fillId="0" borderId="0" xfId="0" applyFont="1" applyAlignment="1">
      <alignment horizontal="center" vertical="center"/>
    </xf>
    <xf numFmtId="0" fontId="27" fillId="0" borderId="0" xfId="0" applyFont="1" applyAlignment="1">
      <alignment horizontal="left" vertical="center"/>
    </xf>
    <xf numFmtId="0" fontId="27" fillId="0" borderId="0" xfId="0" applyFont="1" applyAlignment="1">
      <alignment vertical="center"/>
    </xf>
    <xf numFmtId="43" fontId="28" fillId="0" borderId="0" xfId="0" applyNumberFormat="1" applyFont="1" applyAlignment="1">
      <alignment horizontal="center" vertical="center" wrapText="1"/>
    </xf>
    <xf numFmtId="43" fontId="28" fillId="0" borderId="0" xfId="0" applyNumberFormat="1" applyFont="1" applyAlignment="1">
      <alignment horizontal="center" vertical="center"/>
    </xf>
    <xf numFmtId="0" fontId="16" fillId="0" borderId="0" xfId="0" applyFont="1"/>
    <xf numFmtId="0" fontId="14" fillId="11" borderId="5" xfId="0" applyFont="1" applyFill="1" applyBorder="1" applyAlignment="1">
      <alignment horizontal="center" vertical="center"/>
    </xf>
    <xf numFmtId="0" fontId="14" fillId="11" borderId="5" xfId="0" applyFont="1" applyFill="1" applyBorder="1" applyAlignment="1">
      <alignment vertical="center"/>
    </xf>
    <xf numFmtId="43" fontId="14" fillId="11" borderId="5" xfId="0" applyNumberFormat="1" applyFont="1" applyFill="1" applyBorder="1" applyAlignment="1">
      <alignment vertical="center"/>
    </xf>
    <xf numFmtId="43" fontId="18" fillId="11" borderId="5" xfId="0" applyNumberFormat="1" applyFont="1" applyFill="1" applyBorder="1" applyAlignment="1">
      <alignment vertical="center"/>
    </xf>
    <xf numFmtId="0" fontId="10" fillId="11" borderId="5" xfId="0" applyFont="1" applyFill="1" applyBorder="1" applyAlignment="1">
      <alignment vertical="center"/>
    </xf>
    <xf numFmtId="0" fontId="9" fillId="10" borderId="5" xfId="0" applyFont="1" applyFill="1" applyBorder="1" applyAlignment="1">
      <alignment vertical="center"/>
    </xf>
    <xf numFmtId="0" fontId="10" fillId="10" borderId="5" xfId="0" applyFont="1" applyFill="1" applyBorder="1"/>
    <xf numFmtId="43" fontId="18" fillId="10" borderId="5" xfId="4" applyFont="1" applyFill="1" applyBorder="1" applyAlignment="1" applyProtection="1">
      <alignment vertical="center"/>
    </xf>
    <xf numFmtId="0" fontId="14" fillId="10" borderId="5" xfId="0" applyFont="1" applyFill="1" applyBorder="1" applyAlignment="1">
      <alignment horizontal="center" vertical="center"/>
    </xf>
    <xf numFmtId="0" fontId="14" fillId="10" borderId="5" xfId="0" applyFont="1" applyFill="1" applyBorder="1" applyAlignment="1">
      <alignment vertical="center"/>
    </xf>
    <xf numFmtId="43" fontId="18" fillId="10" borderId="5" xfId="0" applyNumberFormat="1" applyFont="1" applyFill="1" applyBorder="1" applyAlignment="1">
      <alignment vertical="center"/>
    </xf>
    <xf numFmtId="0" fontId="18" fillId="0" borderId="0" xfId="0" applyFont="1" applyAlignment="1">
      <alignment horizontal="left" vertical="center"/>
    </xf>
    <xf numFmtId="43" fontId="9" fillId="0" borderId="0" xfId="4" applyFont="1" applyAlignment="1" applyProtection="1">
      <alignment horizontal="center" vertical="center"/>
    </xf>
    <xf numFmtId="0" fontId="29" fillId="0" borderId="0" xfId="0" applyFont="1" applyAlignment="1">
      <alignment vertical="center"/>
    </xf>
    <xf numFmtId="0" fontId="14" fillId="0" borderId="0" xfId="0" applyFont="1" applyAlignment="1">
      <alignment vertical="center" wrapText="1"/>
    </xf>
    <xf numFmtId="0" fontId="18" fillId="11" borderId="5" xfId="0" applyFont="1" applyFill="1" applyBorder="1" applyAlignment="1">
      <alignment horizontal="center" vertical="center"/>
    </xf>
    <xf numFmtId="0" fontId="18" fillId="11" borderId="5" xfId="0" applyFont="1" applyFill="1" applyBorder="1" applyAlignment="1">
      <alignment vertical="center"/>
    </xf>
    <xf numFmtId="0" fontId="26" fillId="3" borderId="5" xfId="0" applyFont="1" applyFill="1" applyBorder="1"/>
    <xf numFmtId="0" fontId="30" fillId="9" borderId="5" xfId="0" applyFont="1" applyFill="1" applyBorder="1" applyAlignment="1">
      <alignment horizontal="center" vertical="center"/>
    </xf>
    <xf numFmtId="0" fontId="30" fillId="9" borderId="5" xfId="0" applyFont="1" applyFill="1" applyBorder="1" applyAlignment="1">
      <alignment vertical="center"/>
    </xf>
    <xf numFmtId="43" fontId="30" fillId="9" borderId="5" xfId="4" applyFont="1" applyFill="1" applyBorder="1" applyAlignment="1" applyProtection="1">
      <alignment vertical="center"/>
    </xf>
    <xf numFmtId="43" fontId="10" fillId="0" borderId="0" xfId="4" applyFont="1" applyAlignment="1" applyProtection="1">
      <alignment horizontal="center" vertical="center"/>
    </xf>
    <xf numFmtId="0" fontId="29" fillId="0" borderId="0" xfId="0" applyFont="1" applyAlignment="1">
      <alignment horizontal="left" vertical="center"/>
    </xf>
    <xf numFmtId="43" fontId="14" fillId="0" borderId="0" xfId="4" applyFont="1" applyFill="1" applyBorder="1" applyAlignment="1" applyProtection="1">
      <alignment horizontal="center" vertical="center"/>
    </xf>
    <xf numFmtId="43" fontId="14" fillId="0" borderId="0" xfId="4" applyFont="1" applyBorder="1" applyAlignment="1" applyProtection="1">
      <alignment horizontal="center" vertical="center"/>
    </xf>
    <xf numFmtId="43" fontId="10" fillId="0" borderId="0" xfId="0" applyNumberFormat="1" applyFont="1"/>
    <xf numFmtId="43" fontId="14" fillId="0" borderId="0" xfId="4" applyFont="1" applyAlignment="1" applyProtection="1">
      <alignment horizontal="center" vertical="center"/>
    </xf>
    <xf numFmtId="43" fontId="14" fillId="11" borderId="5" xfId="4" applyFont="1" applyFill="1" applyBorder="1" applyAlignment="1" applyProtection="1">
      <alignment horizontal="center" vertical="center"/>
    </xf>
    <xf numFmtId="43" fontId="14" fillId="11" borderId="5" xfId="4" applyFont="1" applyFill="1" applyBorder="1" applyAlignment="1" applyProtection="1">
      <alignment vertical="center"/>
    </xf>
    <xf numFmtId="43" fontId="10" fillId="11" borderId="5" xfId="0" applyNumberFormat="1" applyFont="1" applyFill="1" applyBorder="1"/>
    <xf numFmtId="0" fontId="9" fillId="9" borderId="0" xfId="0" applyFont="1" applyFill="1" applyAlignment="1">
      <alignment horizontal="center" vertical="center"/>
    </xf>
    <xf numFmtId="43" fontId="30" fillId="9" borderId="5" xfId="4" applyFont="1" applyFill="1" applyBorder="1" applyAlignment="1" applyProtection="1">
      <alignment horizontal="center" vertical="center"/>
    </xf>
    <xf numFmtId="43" fontId="10" fillId="0" borderId="0" xfId="1" applyFont="1" applyFill="1" applyBorder="1" applyAlignment="1">
      <alignment vertical="center"/>
    </xf>
    <xf numFmtId="0" fontId="30" fillId="3" borderId="5" xfId="0" applyFont="1" applyFill="1" applyBorder="1" applyAlignment="1">
      <alignment horizontal="right" vertical="center"/>
    </xf>
    <xf numFmtId="0" fontId="17" fillId="0" borderId="0" xfId="0" applyFont="1" applyAlignment="1">
      <alignment horizontal="center" vertical="center" wrapText="1"/>
    </xf>
    <xf numFmtId="0" fontId="16" fillId="0" borderId="0" xfId="0" applyFont="1" applyAlignment="1">
      <alignment horizontal="center" vertical="center" wrapText="1"/>
    </xf>
    <xf numFmtId="0" fontId="16" fillId="0" borderId="7" xfId="0" applyFont="1" applyBorder="1" applyAlignment="1" applyProtection="1">
      <alignment horizontal="left" vertical="center"/>
      <protection hidden="1"/>
    </xf>
    <xf numFmtId="0" fontId="16" fillId="0" borderId="7" xfId="0" applyFont="1" applyBorder="1" applyAlignment="1" applyProtection="1">
      <alignment horizontal="center" vertical="center"/>
      <protection hidden="1"/>
    </xf>
    <xf numFmtId="0" fontId="31" fillId="0" borderId="0" xfId="0" applyFont="1" applyAlignment="1">
      <alignment horizontal="left"/>
    </xf>
    <xf numFmtId="0" fontId="31" fillId="0" borderId="0" xfId="0" applyFont="1"/>
    <xf numFmtId="0" fontId="32" fillId="9" borderId="0" xfId="0" applyFont="1" applyFill="1"/>
    <xf numFmtId="0" fontId="32" fillId="9" borderId="0" xfId="0" applyFont="1" applyFill="1" applyAlignment="1">
      <alignment horizontal="center" vertical="center" wrapText="1"/>
    </xf>
    <xf numFmtId="0" fontId="26" fillId="3" borderId="0" xfId="0" applyFont="1" applyFill="1" applyAlignment="1">
      <alignment horizontal="left"/>
    </xf>
    <xf numFmtId="178" fontId="26" fillId="3" borderId="0" xfId="0" applyNumberFormat="1" applyFont="1" applyFill="1" applyAlignment="1">
      <alignment wrapText="1"/>
    </xf>
    <xf numFmtId="0" fontId="10" fillId="0" borderId="0" xfId="0" applyFont="1" applyAlignment="1">
      <alignment horizontal="right"/>
    </xf>
    <xf numFmtId="0" fontId="10" fillId="11" borderId="5" xfId="0" applyFont="1" applyFill="1" applyBorder="1"/>
    <xf numFmtId="0" fontId="26" fillId="3" borderId="0" xfId="0" applyFont="1" applyFill="1"/>
    <xf numFmtId="0" fontId="10" fillId="9" borderId="0" xfId="0" applyFont="1" applyFill="1"/>
    <xf numFmtId="0" fontId="10" fillId="0" borderId="0" xfId="0" applyFont="1" applyProtection="1">
      <protection locked="0"/>
    </xf>
    <xf numFmtId="0" fontId="10" fillId="7" borderId="0" xfId="0" applyFont="1" applyFill="1" applyAlignment="1" applyProtection="1">
      <alignment horizontal="center"/>
      <protection locked="0"/>
    </xf>
    <xf numFmtId="0" fontId="9" fillId="0" borderId="0" xfId="0" applyFont="1" applyAlignment="1">
      <alignment horizontal="center"/>
    </xf>
    <xf numFmtId="0" fontId="9" fillId="0" borderId="0" xfId="0" applyFont="1" applyAlignment="1">
      <alignment horizontal="center" vertical="center" wrapText="1"/>
    </xf>
    <xf numFmtId="9" fontId="10" fillId="0" borderId="0" xfId="2" applyFont="1" applyFill="1" applyBorder="1" applyAlignment="1" applyProtection="1">
      <alignment horizontal="center" vertical="center"/>
      <protection locked="0"/>
    </xf>
    <xf numFmtId="15" fontId="10" fillId="0" borderId="0" xfId="2" applyNumberFormat="1" applyFont="1" applyFill="1" applyBorder="1" applyAlignment="1" applyProtection="1">
      <alignment horizontal="center" vertical="center"/>
      <protection locked="0"/>
    </xf>
    <xf numFmtId="0" fontId="10" fillId="0" borderId="0" xfId="0" applyFont="1" applyAlignment="1" applyProtection="1">
      <alignment vertical="center"/>
      <protection locked="0"/>
    </xf>
    <xf numFmtId="43" fontId="10" fillId="0" borderId="0" xfId="1" applyFont="1" applyFill="1" applyBorder="1" applyAlignment="1" applyProtection="1">
      <alignment horizontal="center" vertical="center"/>
      <protection locked="0"/>
    </xf>
    <xf numFmtId="43" fontId="10" fillId="0" borderId="0" xfId="1" applyFont="1" applyFill="1" applyBorder="1" applyAlignment="1" applyProtection="1">
      <alignment vertical="center"/>
      <protection locked="0"/>
    </xf>
    <xf numFmtId="166" fontId="10" fillId="0" borderId="0" xfId="1" applyNumberFormat="1" applyFont="1" applyFill="1" applyBorder="1" applyAlignment="1" applyProtection="1">
      <alignment vertical="center"/>
      <protection locked="0"/>
    </xf>
    <xf numFmtId="164" fontId="10" fillId="0" borderId="0" xfId="1" applyNumberFormat="1" applyFont="1" applyFill="1" applyBorder="1" applyAlignment="1" applyProtection="1">
      <alignment vertical="center"/>
      <protection locked="0"/>
    </xf>
    <xf numFmtId="167" fontId="10" fillId="0" borderId="0" xfId="0" applyNumberFormat="1" applyFont="1" applyAlignment="1" applyProtection="1">
      <alignment horizontal="center" vertical="center"/>
      <protection locked="0"/>
    </xf>
    <xf numFmtId="166" fontId="9" fillId="0" borderId="0" xfId="1" applyNumberFormat="1" applyFont="1" applyFill="1" applyBorder="1" applyAlignment="1" applyProtection="1">
      <alignment horizontal="center" vertical="center" wrapText="1"/>
      <protection locked="0"/>
    </xf>
    <xf numFmtId="166" fontId="9" fillId="0" borderId="0" xfId="1" applyNumberFormat="1" applyFont="1" applyFill="1" applyBorder="1" applyAlignment="1" applyProtection="1">
      <alignment horizontal="center" vertical="center"/>
      <protection locked="0"/>
    </xf>
    <xf numFmtId="43" fontId="10" fillId="0" borderId="0" xfId="1" applyFont="1" applyFill="1" applyBorder="1" applyAlignment="1" applyProtection="1">
      <alignment vertical="center"/>
    </xf>
    <xf numFmtId="43" fontId="10" fillId="0" borderId="0" xfId="1" applyFont="1" applyFill="1" applyBorder="1" applyAlignment="1" applyProtection="1">
      <alignment horizontal="center" vertical="center"/>
    </xf>
    <xf numFmtId="166" fontId="10" fillId="0" borderId="0" xfId="1" applyNumberFormat="1" applyFont="1" applyFill="1" applyBorder="1" applyAlignment="1" applyProtection="1">
      <alignment vertical="center"/>
    </xf>
    <xf numFmtId="0" fontId="9" fillId="0" borderId="0" xfId="0" applyFont="1" applyAlignment="1" applyProtection="1">
      <alignment vertical="top" wrapText="1"/>
      <protection locked="0"/>
    </xf>
    <xf numFmtId="0" fontId="10" fillId="0" borderId="0" xfId="0" applyFont="1" applyAlignment="1" applyProtection="1">
      <alignment vertical="top" wrapText="1"/>
      <protection locked="0"/>
    </xf>
    <xf numFmtId="165" fontId="28" fillId="0" borderId="0" xfId="0" applyNumberFormat="1" applyFont="1" applyAlignment="1">
      <alignment horizontal="center" vertical="center" wrapText="1"/>
    </xf>
    <xf numFmtId="0" fontId="16" fillId="0" borderId="0" xfId="0" applyFont="1" applyProtection="1">
      <protection locked="0"/>
    </xf>
    <xf numFmtId="0" fontId="17" fillId="7" borderId="0" xfId="0" applyFont="1" applyFill="1" applyAlignment="1" applyProtection="1">
      <alignment horizontal="center" vertical="center"/>
      <protection locked="0"/>
    </xf>
    <xf numFmtId="0" fontId="9" fillId="9" borderId="0" xfId="0" applyFont="1" applyFill="1" applyAlignment="1">
      <alignment horizontal="center"/>
    </xf>
    <xf numFmtId="0" fontId="9" fillId="9" borderId="0" xfId="0" applyFont="1" applyFill="1"/>
    <xf numFmtId="15" fontId="10" fillId="0" borderId="5" xfId="2" applyNumberFormat="1" applyFont="1" applyFill="1" applyBorder="1" applyAlignment="1" applyProtection="1">
      <alignment horizontal="center" vertical="center"/>
      <protection locked="0"/>
    </xf>
    <xf numFmtId="167" fontId="10" fillId="0" borderId="5" xfId="0" applyNumberFormat="1" applyFont="1" applyBorder="1" applyAlignment="1" applyProtection="1">
      <alignment horizontal="center" vertical="center"/>
      <protection locked="0"/>
    </xf>
    <xf numFmtId="15" fontId="10" fillId="0" borderId="5" xfId="2" applyNumberFormat="1" applyFont="1" applyFill="1" applyBorder="1" applyAlignment="1" applyProtection="1">
      <alignment vertical="center"/>
      <protection locked="0"/>
    </xf>
    <xf numFmtId="43" fontId="10" fillId="0" borderId="5" xfId="1" applyFont="1" applyFill="1" applyBorder="1" applyAlignment="1" applyProtection="1">
      <alignment horizontal="center" vertical="center"/>
      <protection locked="0"/>
    </xf>
    <xf numFmtId="182" fontId="10" fillId="0" borderId="5" xfId="1" applyNumberFormat="1" applyFont="1" applyFill="1" applyBorder="1" applyAlignment="1" applyProtection="1">
      <alignment horizontal="center" vertical="center"/>
      <protection locked="0"/>
    </xf>
    <xf numFmtId="43" fontId="10" fillId="0" borderId="5" xfId="1" applyFont="1" applyFill="1" applyBorder="1" applyAlignment="1" applyProtection="1">
      <alignment vertical="center"/>
      <protection locked="0"/>
    </xf>
    <xf numFmtId="0" fontId="9" fillId="11" borderId="5" xfId="0" applyFont="1" applyFill="1" applyBorder="1" applyAlignment="1" applyProtection="1">
      <alignment horizontal="left" vertical="center"/>
      <protection locked="0"/>
    </xf>
    <xf numFmtId="9" fontId="10" fillId="11" borderId="5" xfId="2" applyFont="1" applyFill="1" applyBorder="1" applyAlignment="1" applyProtection="1">
      <alignment horizontal="center" vertical="center"/>
      <protection locked="0"/>
    </xf>
    <xf numFmtId="0" fontId="10" fillId="11" borderId="5" xfId="0" applyFont="1" applyFill="1" applyBorder="1" applyAlignment="1" applyProtection="1">
      <alignment horizontal="center" vertical="center"/>
      <protection locked="0"/>
    </xf>
    <xf numFmtId="15" fontId="10" fillId="11" borderId="5" xfId="2" applyNumberFormat="1" applyFont="1" applyFill="1" applyBorder="1" applyAlignment="1" applyProtection="1">
      <alignment horizontal="center" vertical="center"/>
      <protection locked="0"/>
    </xf>
    <xf numFmtId="0" fontId="10" fillId="11" borderId="5" xfId="0" applyFont="1" applyFill="1" applyBorder="1" applyAlignment="1" applyProtection="1">
      <alignment vertical="center"/>
      <protection locked="0"/>
    </xf>
    <xf numFmtId="43" fontId="9" fillId="11" borderId="5" xfId="0" applyNumberFormat="1" applyFont="1" applyFill="1" applyBorder="1" applyProtection="1">
      <protection locked="0"/>
    </xf>
    <xf numFmtId="166" fontId="10" fillId="11" borderId="5" xfId="1" applyNumberFormat="1" applyFont="1" applyFill="1" applyBorder="1" applyAlignment="1" applyProtection="1">
      <alignment vertical="center"/>
      <protection locked="0"/>
    </xf>
    <xf numFmtId="0" fontId="16" fillId="0" borderId="0" xfId="0" applyFont="1" applyAlignment="1" applyProtection="1">
      <alignment horizontal="center" vertical="center"/>
      <protection locked="0"/>
    </xf>
    <xf numFmtId="9" fontId="16" fillId="0" borderId="0" xfId="2" applyFont="1" applyFill="1" applyBorder="1" applyAlignment="1" applyProtection="1">
      <alignment horizontal="center" vertical="center"/>
      <protection locked="0"/>
    </xf>
    <xf numFmtId="15" fontId="16" fillId="0" borderId="0" xfId="2" applyNumberFormat="1" applyFont="1" applyFill="1" applyBorder="1" applyAlignment="1" applyProtection="1">
      <alignment horizontal="center" vertical="center"/>
      <protection locked="0"/>
    </xf>
    <xf numFmtId="0" fontId="16" fillId="0" borderId="0" xfId="0" applyFont="1" applyAlignment="1" applyProtection="1">
      <alignment vertical="center"/>
      <protection locked="0"/>
    </xf>
    <xf numFmtId="166" fontId="17" fillId="0" borderId="0" xfId="1" applyNumberFormat="1" applyFont="1" applyFill="1" applyBorder="1" applyAlignment="1" applyProtection="1">
      <alignment horizontal="center" vertical="center" wrapText="1"/>
      <protection locked="0"/>
    </xf>
    <xf numFmtId="43" fontId="16" fillId="0" borderId="0" xfId="1" applyFont="1" applyFill="1" applyBorder="1" applyAlignment="1" applyProtection="1">
      <alignment vertical="center"/>
      <protection locked="0"/>
    </xf>
    <xf numFmtId="43" fontId="16" fillId="0" borderId="0" xfId="1" applyFont="1" applyFill="1" applyBorder="1" applyAlignment="1" applyProtection="1">
      <alignment horizontal="center" vertical="center"/>
      <protection locked="0"/>
    </xf>
    <xf numFmtId="0" fontId="9" fillId="0" borderId="5" xfId="0" applyFont="1" applyBorder="1" applyAlignment="1">
      <alignment horizontal="right" vertical="center"/>
    </xf>
    <xf numFmtId="0" fontId="9" fillId="0" borderId="5" xfId="0" applyFont="1" applyBorder="1" applyAlignment="1">
      <alignment horizontal="center"/>
    </xf>
    <xf numFmtId="43" fontId="10" fillId="0" borderId="5" xfId="1" applyFont="1" applyFill="1" applyBorder="1" applyAlignment="1" applyProtection="1">
      <alignment vertical="center"/>
    </xf>
    <xf numFmtId="0" fontId="10" fillId="0" borderId="5" xfId="0" applyFont="1" applyBorder="1" applyProtection="1">
      <protection locked="0"/>
    </xf>
    <xf numFmtId="43" fontId="26" fillId="3" borderId="5" xfId="1" applyFont="1" applyFill="1" applyBorder="1" applyAlignment="1" applyProtection="1">
      <alignment horizontal="center" vertical="center"/>
    </xf>
    <xf numFmtId="43" fontId="30" fillId="3" borderId="5" xfId="6" applyFont="1" applyFill="1" applyBorder="1" applyAlignment="1" applyProtection="1">
      <alignment vertical="center"/>
    </xf>
    <xf numFmtId="0" fontId="26" fillId="3" borderId="5" xfId="0" applyFont="1" applyFill="1" applyBorder="1" applyProtection="1">
      <protection locked="0"/>
    </xf>
    <xf numFmtId="43" fontId="26" fillId="3" borderId="5" xfId="1" applyFont="1" applyFill="1" applyBorder="1" applyAlignment="1" applyProtection="1">
      <alignment vertical="center"/>
    </xf>
    <xf numFmtId="14" fontId="10" fillId="0" borderId="0" xfId="0" applyNumberFormat="1" applyFont="1" applyAlignment="1" applyProtection="1">
      <alignment horizontal="right" vertical="center"/>
      <protection locked="0"/>
    </xf>
    <xf numFmtId="166" fontId="10" fillId="0" borderId="0" xfId="1" applyNumberFormat="1" applyFont="1" applyFill="1" applyBorder="1" applyProtection="1"/>
    <xf numFmtId="43" fontId="10" fillId="0" borderId="0" xfId="1" applyFont="1" applyFill="1" applyBorder="1" applyProtection="1"/>
    <xf numFmtId="166" fontId="9" fillId="0" borderId="0" xfId="1" applyNumberFormat="1" applyFont="1" applyFill="1" applyBorder="1" applyAlignment="1" applyProtection="1">
      <alignment horizontal="center"/>
    </xf>
    <xf numFmtId="43" fontId="9" fillId="0" borderId="0" xfId="1" applyFont="1" applyFill="1" applyBorder="1" applyAlignment="1" applyProtection="1">
      <alignment horizontal="center"/>
    </xf>
    <xf numFmtId="0" fontId="34" fillId="0" borderId="0" xfId="0" applyFont="1"/>
    <xf numFmtId="0" fontId="16" fillId="0" borderId="0" xfId="0" applyFont="1" applyAlignment="1">
      <alignment horizontal="center"/>
    </xf>
    <xf numFmtId="9" fontId="10" fillId="0" borderId="5" xfId="2" applyFont="1" applyFill="1" applyBorder="1" applyAlignment="1" applyProtection="1">
      <alignment horizontal="center" vertical="center"/>
      <protection locked="0"/>
    </xf>
    <xf numFmtId="9" fontId="10" fillId="0" borderId="5" xfId="2" applyFont="1" applyFill="1" applyBorder="1" applyAlignment="1" applyProtection="1">
      <alignment vertical="center"/>
      <protection locked="0"/>
    </xf>
    <xf numFmtId="14" fontId="10" fillId="0" borderId="5" xfId="0" applyNumberFormat="1" applyFont="1" applyBorder="1" applyAlignment="1" applyProtection="1">
      <alignment horizontal="center" vertical="center"/>
      <protection locked="0"/>
    </xf>
    <xf numFmtId="0" fontId="9" fillId="11" borderId="5" xfId="0" applyFont="1" applyFill="1" applyBorder="1" applyAlignment="1">
      <alignment horizontal="left" vertical="center"/>
    </xf>
    <xf numFmtId="0" fontId="9" fillId="11" borderId="5" xfId="0" applyFont="1" applyFill="1" applyBorder="1" applyAlignment="1">
      <alignment horizontal="center" vertical="center"/>
    </xf>
    <xf numFmtId="43" fontId="9" fillId="11" borderId="5" xfId="0" applyNumberFormat="1" applyFont="1" applyFill="1" applyBorder="1" applyAlignment="1">
      <alignment vertical="center"/>
    </xf>
    <xf numFmtId="43" fontId="10" fillId="0" borderId="5" xfId="1" applyFont="1" applyFill="1" applyBorder="1" applyProtection="1"/>
    <xf numFmtId="0" fontId="10" fillId="0" borderId="5" xfId="0" applyFont="1" applyBorder="1"/>
    <xf numFmtId="166" fontId="10" fillId="0" borderId="5" xfId="1" applyNumberFormat="1" applyFont="1" applyFill="1" applyBorder="1" applyProtection="1"/>
    <xf numFmtId="0" fontId="26" fillId="3" borderId="5" xfId="0" applyFont="1" applyFill="1" applyBorder="1" applyAlignment="1">
      <alignment horizontal="center"/>
    </xf>
    <xf numFmtId="165" fontId="18" fillId="0" borderId="0" xfId="0" applyNumberFormat="1" applyFont="1" applyAlignment="1" applyProtection="1">
      <alignment horizontal="center" vertical="center" wrapText="1"/>
      <protection locked="0"/>
    </xf>
    <xf numFmtId="0" fontId="10" fillId="0" borderId="0" xfId="0" applyFont="1" applyAlignment="1" applyProtection="1">
      <alignment horizontal="center"/>
      <protection locked="0"/>
    </xf>
    <xf numFmtId="166" fontId="10" fillId="0" borderId="0" xfId="1" applyNumberFormat="1" applyFont="1" applyFill="1" applyBorder="1" applyProtection="1">
      <protection locked="0"/>
    </xf>
    <xf numFmtId="43" fontId="10" fillId="0" borderId="0" xfId="1" applyFont="1" applyFill="1" applyBorder="1" applyProtection="1">
      <protection locked="0"/>
    </xf>
    <xf numFmtId="164" fontId="10" fillId="0" borderId="0" xfId="1" applyNumberFormat="1" applyFont="1" applyFill="1" applyBorder="1" applyProtection="1">
      <protection locked="0"/>
    </xf>
    <xf numFmtId="0" fontId="16" fillId="0" borderId="0" xfId="0" applyFont="1" applyAlignment="1" applyProtection="1">
      <alignment horizontal="center"/>
      <protection locked="0"/>
    </xf>
    <xf numFmtId="166" fontId="16" fillId="0" borderId="0" xfId="1" applyNumberFormat="1" applyFont="1" applyFill="1" applyBorder="1" applyProtection="1"/>
    <xf numFmtId="43" fontId="9" fillId="11" borderId="5" xfId="0" applyNumberFormat="1" applyFont="1" applyFill="1" applyBorder="1" applyAlignment="1">
      <alignment horizontal="center" vertical="center"/>
    </xf>
    <xf numFmtId="0" fontId="10" fillId="0" borderId="5" xfId="0" applyFont="1" applyBorder="1" applyAlignment="1" applyProtection="1">
      <alignment horizontal="left" vertical="center" wrapText="1"/>
      <protection locked="0"/>
    </xf>
    <xf numFmtId="0" fontId="9" fillId="0" borderId="0" xfId="0" applyFont="1" applyProtection="1">
      <protection locked="0"/>
    </xf>
    <xf numFmtId="164" fontId="10" fillId="0" borderId="0" xfId="1" applyNumberFormat="1" applyFont="1" applyFill="1" applyBorder="1" applyAlignment="1" applyProtection="1">
      <alignment vertical="center"/>
    </xf>
    <xf numFmtId="0" fontId="10" fillId="0" borderId="0" xfId="0" applyFont="1" applyAlignment="1" applyProtection="1">
      <alignment horizontal="right"/>
      <protection locked="0"/>
    </xf>
    <xf numFmtId="43" fontId="10" fillId="0" borderId="0" xfId="1" applyFont="1" applyAlignment="1" applyProtection="1">
      <alignment vertical="center"/>
      <protection locked="0"/>
    </xf>
    <xf numFmtId="0" fontId="10" fillId="9" borderId="0" xfId="0" applyFont="1" applyFill="1" applyProtection="1">
      <protection locked="0"/>
    </xf>
    <xf numFmtId="0" fontId="9" fillId="11" borderId="0" xfId="0" applyFont="1" applyFill="1" applyAlignment="1" applyProtection="1">
      <alignment horizontal="center" vertical="center"/>
      <protection locked="0"/>
    </xf>
    <xf numFmtId="0" fontId="9" fillId="0" borderId="5" xfId="0" applyFont="1" applyBorder="1" applyAlignment="1" applyProtection="1">
      <alignment vertical="center"/>
      <protection locked="0"/>
    </xf>
    <xf numFmtId="43" fontId="10" fillId="0" borderId="5" xfId="1" applyFont="1" applyBorder="1" applyAlignment="1" applyProtection="1">
      <alignment vertical="center"/>
      <protection locked="0"/>
    </xf>
    <xf numFmtId="43" fontId="26" fillId="3" borderId="5" xfId="0" applyNumberFormat="1" applyFont="1" applyFill="1" applyBorder="1" applyProtection="1">
      <protection locked="0"/>
    </xf>
    <xf numFmtId="43" fontId="26" fillId="3" borderId="5" xfId="1" applyFont="1" applyFill="1" applyBorder="1" applyAlignment="1" applyProtection="1">
      <alignment vertical="center"/>
      <protection locked="0"/>
    </xf>
    <xf numFmtId="0" fontId="13" fillId="0" borderId="0" xfId="0" applyFont="1"/>
    <xf numFmtId="164" fontId="10" fillId="0" borderId="0" xfId="7" applyFont="1" applyFill="1" applyBorder="1"/>
    <xf numFmtId="0" fontId="10" fillId="0" borderId="0" xfId="0" applyFont="1" applyAlignment="1">
      <alignment wrapText="1"/>
    </xf>
    <xf numFmtId="0" fontId="35" fillId="0" borderId="0" xfId="0" applyFont="1"/>
    <xf numFmtId="0" fontId="30" fillId="3" borderId="0" xfId="0" applyFont="1" applyFill="1" applyAlignment="1">
      <alignment horizontal="left" vertical="center" wrapText="1"/>
    </xf>
    <xf numFmtId="164" fontId="30" fillId="3" borderId="0" xfId="7" applyFont="1" applyFill="1" applyAlignment="1">
      <alignment vertical="center" wrapText="1"/>
    </xf>
    <xf numFmtId="0" fontId="10" fillId="6" borderId="0" xfId="0" applyFont="1" applyFill="1" applyProtection="1">
      <protection locked="0"/>
    </xf>
    <xf numFmtId="0" fontId="10" fillId="0" borderId="5" xfId="0" applyFont="1" applyBorder="1" applyAlignment="1" applyProtection="1">
      <alignment vertical="center"/>
      <protection locked="0"/>
    </xf>
    <xf numFmtId="43" fontId="9" fillId="11" borderId="5" xfId="0" applyNumberFormat="1" applyFont="1" applyFill="1" applyBorder="1" applyAlignment="1" applyProtection="1">
      <alignment horizontal="center" vertical="center"/>
      <protection locked="0"/>
    </xf>
    <xf numFmtId="43" fontId="9" fillId="11" borderId="5" xfId="0" applyNumberFormat="1" applyFont="1" applyFill="1" applyBorder="1" applyAlignment="1" applyProtection="1">
      <alignment vertical="center"/>
      <protection locked="0"/>
    </xf>
    <xf numFmtId="43" fontId="30" fillId="3" borderId="5" xfId="1" applyFont="1" applyFill="1" applyBorder="1" applyAlignment="1" applyProtection="1">
      <alignment vertical="center"/>
    </xf>
    <xf numFmtId="0" fontId="30" fillId="3" borderId="5" xfId="0" applyFont="1" applyFill="1" applyBorder="1"/>
    <xf numFmtId="0" fontId="13" fillId="0" borderId="0" xfId="0" applyFont="1" applyAlignment="1" applyProtection="1">
      <alignment horizontal="center" vertical="center"/>
      <protection locked="0"/>
    </xf>
    <xf numFmtId="164" fontId="10" fillId="0" borderId="0" xfId="0" applyNumberFormat="1" applyFont="1" applyAlignment="1" applyProtection="1">
      <alignment vertical="center"/>
      <protection locked="0"/>
    </xf>
    <xf numFmtId="9" fontId="10" fillId="0" borderId="0" xfId="0" applyNumberFormat="1" applyFont="1" applyAlignment="1" applyProtection="1">
      <alignment horizontal="center" vertical="center"/>
      <protection locked="0"/>
    </xf>
    <xf numFmtId="43" fontId="10" fillId="0" borderId="0" xfId="1" applyFont="1" applyBorder="1" applyAlignment="1" applyProtection="1">
      <alignment horizontal="center" vertical="center"/>
      <protection locked="0"/>
    </xf>
    <xf numFmtId="43" fontId="10" fillId="0" borderId="0" xfId="1" applyFont="1"/>
    <xf numFmtId="0" fontId="10" fillId="9" borderId="0" xfId="0" applyFont="1" applyFill="1" applyAlignment="1">
      <alignment vertical="center"/>
    </xf>
    <xf numFmtId="0" fontId="9" fillId="11" borderId="5" xfId="0" applyFont="1" applyFill="1" applyBorder="1" applyAlignment="1" applyProtection="1">
      <alignment horizontal="center" vertical="center"/>
      <protection locked="0"/>
    </xf>
    <xf numFmtId="43" fontId="9" fillId="11" borderId="5" xfId="1" applyFont="1" applyFill="1" applyBorder="1" applyAlignment="1" applyProtection="1">
      <alignment vertical="center"/>
      <protection locked="0"/>
    </xf>
    <xf numFmtId="0" fontId="30" fillId="3" borderId="5" xfId="0" applyFont="1" applyFill="1" applyBorder="1" applyAlignment="1">
      <alignment horizontal="right"/>
    </xf>
    <xf numFmtId="43" fontId="30" fillId="3" borderId="5" xfId="1" applyFont="1" applyFill="1" applyBorder="1"/>
    <xf numFmtId="0" fontId="16" fillId="6" borderId="0" xfId="0" applyFont="1" applyFill="1" applyProtection="1">
      <protection locked="0"/>
    </xf>
    <xf numFmtId="0" fontId="9" fillId="0" borderId="5" xfId="0" applyFont="1" applyBorder="1" applyAlignment="1">
      <alignment horizontal="right"/>
    </xf>
    <xf numFmtId="43" fontId="10" fillId="0" borderId="5" xfId="1" applyFont="1" applyFill="1" applyBorder="1" applyAlignment="1">
      <alignment vertical="center"/>
    </xf>
    <xf numFmtId="43" fontId="10" fillId="0" borderId="5" xfId="1" applyFont="1" applyBorder="1"/>
    <xf numFmtId="43" fontId="26" fillId="3" borderId="5" xfId="1" applyFont="1" applyFill="1" applyBorder="1"/>
    <xf numFmtId="0" fontId="10" fillId="0" borderId="5" xfId="0" applyFont="1" applyBorder="1" applyAlignment="1" applyProtection="1">
      <alignment horizontal="left" vertical="center"/>
      <protection locked="0"/>
    </xf>
    <xf numFmtId="164" fontId="10" fillId="0" borderId="5" xfId="1" applyNumberFormat="1" applyFont="1" applyFill="1" applyBorder="1" applyAlignment="1" applyProtection="1">
      <alignment vertical="center"/>
      <protection locked="0"/>
    </xf>
    <xf numFmtId="164" fontId="10" fillId="0" borderId="5" xfId="0" applyNumberFormat="1" applyFont="1" applyBorder="1" applyAlignment="1" applyProtection="1">
      <alignment vertical="center"/>
      <protection locked="0"/>
    </xf>
    <xf numFmtId="0" fontId="13" fillId="0" borderId="5" xfId="0" applyFont="1" applyBorder="1" applyAlignment="1" applyProtection="1">
      <alignment horizontal="center" vertical="center"/>
      <protection locked="0"/>
    </xf>
    <xf numFmtId="166" fontId="10" fillId="0" borderId="5" xfId="1" applyNumberFormat="1" applyFont="1" applyFill="1" applyBorder="1" applyAlignment="1" applyProtection="1">
      <alignment vertical="center"/>
      <protection locked="0"/>
    </xf>
    <xf numFmtId="9" fontId="10" fillId="0" borderId="5" xfId="0" applyNumberFormat="1" applyFont="1" applyBorder="1" applyAlignment="1" applyProtection="1">
      <alignment horizontal="center" vertical="center"/>
      <protection locked="0"/>
    </xf>
    <xf numFmtId="43" fontId="10" fillId="0" borderId="5" xfId="1" applyFont="1" applyBorder="1" applyAlignment="1" applyProtection="1">
      <alignment horizontal="center" vertical="center"/>
      <protection locked="0"/>
    </xf>
    <xf numFmtId="177" fontId="10" fillId="0" borderId="0" xfId="1" applyNumberFormat="1" applyFont="1" applyFill="1" applyBorder="1" applyAlignment="1" applyProtection="1">
      <alignment horizontal="center" vertical="center"/>
      <protection locked="0"/>
    </xf>
    <xf numFmtId="167" fontId="10" fillId="11" borderId="5" xfId="0" applyNumberFormat="1" applyFont="1" applyFill="1" applyBorder="1" applyAlignment="1" applyProtection="1">
      <alignment horizontal="center" vertical="center"/>
      <protection locked="0"/>
    </xf>
    <xf numFmtId="0" fontId="10" fillId="11" borderId="5" xfId="0" applyFont="1" applyFill="1" applyBorder="1" applyAlignment="1" applyProtection="1">
      <alignment horizontal="left" vertical="center"/>
      <protection locked="0"/>
    </xf>
    <xf numFmtId="177" fontId="10" fillId="11" borderId="5" xfId="1" applyNumberFormat="1" applyFont="1" applyFill="1" applyBorder="1" applyAlignment="1" applyProtection="1">
      <alignment horizontal="center" vertical="center"/>
      <protection locked="0"/>
    </xf>
    <xf numFmtId="0" fontId="9" fillId="0" borderId="5" xfId="0" applyFont="1" applyBorder="1" applyAlignment="1">
      <alignment horizontal="center" vertical="center"/>
    </xf>
    <xf numFmtId="0" fontId="10" fillId="0" borderId="5" xfId="0" applyFont="1" applyBorder="1" applyAlignment="1">
      <alignment vertical="center"/>
    </xf>
    <xf numFmtId="43" fontId="10" fillId="0" borderId="5" xfId="1" applyFont="1" applyBorder="1" applyAlignment="1">
      <alignment vertical="center"/>
    </xf>
    <xf numFmtId="0" fontId="9" fillId="0" borderId="0" xfId="0" applyFont="1" applyAlignment="1" applyProtection="1">
      <alignment horizontal="center"/>
      <protection locked="0"/>
    </xf>
    <xf numFmtId="167" fontId="10" fillId="0" borderId="0" xfId="0" applyNumberFormat="1" applyFont="1" applyAlignment="1" applyProtection="1">
      <alignment horizontal="center"/>
      <protection locked="0"/>
    </xf>
    <xf numFmtId="43" fontId="10" fillId="0" borderId="0" xfId="1" applyFont="1" applyFill="1" applyBorder="1" applyAlignment="1" applyProtection="1">
      <protection locked="0"/>
    </xf>
    <xf numFmtId="182" fontId="10" fillId="0" borderId="0" xfId="1" applyNumberFormat="1" applyFont="1" applyFill="1" applyBorder="1" applyAlignment="1" applyProtection="1">
      <alignment horizontal="center"/>
      <protection locked="0"/>
    </xf>
    <xf numFmtId="165" fontId="28" fillId="0" borderId="0" xfId="0" applyNumberFormat="1" applyFont="1" applyAlignment="1" applyProtection="1">
      <alignment horizontal="center" vertical="center" wrapText="1"/>
      <protection locked="0"/>
    </xf>
    <xf numFmtId="0" fontId="17" fillId="0" borderId="0" xfId="0" applyFont="1" applyAlignment="1">
      <alignment horizontal="center"/>
    </xf>
    <xf numFmtId="0" fontId="9" fillId="9" borderId="0" xfId="0" applyFont="1" applyFill="1" applyAlignment="1" applyProtection="1">
      <alignment horizontal="center"/>
      <protection locked="0"/>
    </xf>
    <xf numFmtId="0" fontId="9" fillId="9" borderId="0" xfId="0" applyFont="1" applyFill="1" applyProtection="1">
      <protection locked="0"/>
    </xf>
    <xf numFmtId="43" fontId="10" fillId="0" borderId="0" xfId="1" applyFont="1" applyProtection="1">
      <protection locked="0"/>
    </xf>
    <xf numFmtId="43" fontId="9" fillId="0" borderId="0" xfId="1" applyFont="1" applyFill="1" applyBorder="1" applyAlignment="1" applyProtection="1">
      <alignment horizontal="center" vertical="center" wrapText="1"/>
    </xf>
    <xf numFmtId="43" fontId="17" fillId="0" borderId="0" xfId="1" applyFont="1" applyFill="1" applyBorder="1" applyAlignment="1" applyProtection="1">
      <alignment horizontal="center" vertical="center" wrapText="1"/>
    </xf>
    <xf numFmtId="0" fontId="10" fillId="0" borderId="5" xfId="0" applyFont="1" applyBorder="1" applyAlignment="1" applyProtection="1">
      <alignment horizontal="center"/>
      <protection locked="0"/>
    </xf>
    <xf numFmtId="167" fontId="10" fillId="0" borderId="5" xfId="0" applyNumberFormat="1" applyFont="1" applyBorder="1" applyAlignment="1" applyProtection="1">
      <alignment horizontal="center"/>
      <protection locked="0"/>
    </xf>
    <xf numFmtId="43" fontId="10" fillId="0" borderId="5" xfId="1" applyFont="1" applyFill="1" applyBorder="1" applyAlignment="1" applyProtection="1">
      <protection locked="0"/>
    </xf>
    <xf numFmtId="182" fontId="10" fillId="0" borderId="5" xfId="1" applyNumberFormat="1" applyFont="1" applyFill="1" applyBorder="1" applyAlignment="1" applyProtection="1">
      <alignment horizontal="center"/>
      <protection locked="0"/>
    </xf>
    <xf numFmtId="43" fontId="10" fillId="0" borderId="5" xfId="1" applyFont="1" applyBorder="1" applyAlignment="1" applyProtection="1">
      <protection locked="0"/>
    </xf>
    <xf numFmtId="0" fontId="10" fillId="11" borderId="5" xfId="0" applyFont="1" applyFill="1" applyBorder="1" applyProtection="1">
      <protection locked="0"/>
    </xf>
    <xf numFmtId="0" fontId="10" fillId="6" borderId="0" xfId="0" applyFont="1" applyFill="1" applyAlignment="1" applyProtection="1">
      <alignment horizontal="center"/>
      <protection locked="0"/>
    </xf>
    <xf numFmtId="167" fontId="10" fillId="0" borderId="0" xfId="0" applyNumberFormat="1" applyFont="1" applyAlignment="1" applyProtection="1">
      <alignment horizontal="right" vertical="center"/>
      <protection locked="0"/>
    </xf>
    <xf numFmtId="0" fontId="10" fillId="9" borderId="0" xfId="0" applyFont="1" applyFill="1" applyAlignment="1">
      <alignment horizontal="center"/>
    </xf>
    <xf numFmtId="43" fontId="10" fillId="9" borderId="0" xfId="1" applyFont="1" applyFill="1" applyBorder="1" applyProtection="1"/>
    <xf numFmtId="14" fontId="17" fillId="0" borderId="0" xfId="0" applyNumberFormat="1" applyFont="1" applyAlignment="1">
      <alignment horizontal="center" vertical="center" wrapText="1"/>
    </xf>
    <xf numFmtId="43" fontId="30" fillId="3" borderId="5" xfId="1" applyFont="1" applyFill="1" applyBorder="1" applyAlignment="1">
      <alignment vertical="center"/>
    </xf>
    <xf numFmtId="0" fontId="36" fillId="3" borderId="0" xfId="0" applyFont="1" applyFill="1" applyAlignment="1" applyProtection="1">
      <alignment horizontal="center" vertical="center" wrapText="1"/>
      <protection locked="0"/>
    </xf>
    <xf numFmtId="0" fontId="36" fillId="3" borderId="0" xfId="0" applyFont="1" applyFill="1" applyAlignment="1">
      <alignment horizontal="center" vertical="center" wrapText="1"/>
    </xf>
    <xf numFmtId="43" fontId="36" fillId="3" borderId="0" xfId="1" applyFont="1" applyFill="1" applyBorder="1" applyAlignment="1" applyProtection="1">
      <alignment horizontal="center" vertical="center" wrapText="1"/>
      <protection locked="0"/>
    </xf>
    <xf numFmtId="170" fontId="36" fillId="3" borderId="0" xfId="1" applyNumberFormat="1" applyFont="1" applyFill="1" applyBorder="1" applyAlignment="1" applyProtection="1">
      <alignment horizontal="center" vertical="center" wrapText="1"/>
    </xf>
    <xf numFmtId="43" fontId="36" fillId="3" borderId="0" xfId="1" applyFont="1" applyFill="1" applyBorder="1" applyAlignment="1" applyProtection="1">
      <alignment horizontal="center" vertical="center" wrapText="1"/>
    </xf>
    <xf numFmtId="0" fontId="37" fillId="3" borderId="0" xfId="0" applyFont="1" applyFill="1"/>
    <xf numFmtId="4" fontId="36" fillId="3" borderId="0" xfId="1" applyNumberFormat="1" applyFont="1" applyFill="1" applyBorder="1" applyAlignment="1" applyProtection="1">
      <alignment horizontal="center" vertical="center" wrapText="1"/>
      <protection locked="0"/>
    </xf>
    <xf numFmtId="0" fontId="34" fillId="3" borderId="0" xfId="0" applyFont="1" applyFill="1" applyProtection="1">
      <protection locked="0"/>
    </xf>
    <xf numFmtId="0" fontId="34" fillId="0" borderId="0" xfId="0" applyFont="1" applyProtection="1">
      <protection locked="0"/>
    </xf>
    <xf numFmtId="0" fontId="34" fillId="2" borderId="0" xfId="0" applyFont="1" applyFill="1" applyAlignment="1">
      <alignment horizontal="center" vertical="center"/>
    </xf>
    <xf numFmtId="0" fontId="34" fillId="6" borderId="0" xfId="0" applyFont="1" applyFill="1" applyAlignment="1" applyProtection="1">
      <alignment horizontal="center" vertical="center"/>
      <protection locked="0"/>
    </xf>
    <xf numFmtId="0" fontId="34" fillId="6" borderId="0" xfId="0" applyFont="1" applyFill="1" applyAlignment="1">
      <alignment horizontal="center"/>
    </xf>
    <xf numFmtId="0" fontId="34" fillId="6" borderId="0" xfId="0" applyFont="1" applyFill="1" applyProtection="1">
      <protection locked="0"/>
    </xf>
    <xf numFmtId="0" fontId="34" fillId="6" borderId="0" xfId="0" applyFont="1" applyFill="1" applyAlignment="1" applyProtection="1">
      <alignment horizontal="center"/>
      <protection locked="0"/>
    </xf>
    <xf numFmtId="167" fontId="34" fillId="6" borderId="0" xfId="0" applyNumberFormat="1" applyFont="1" applyFill="1" applyAlignment="1" applyProtection="1">
      <alignment horizontal="center"/>
      <protection locked="0"/>
    </xf>
    <xf numFmtId="0" fontId="34" fillId="2" borderId="0" xfId="0" applyFont="1" applyFill="1" applyProtection="1">
      <protection locked="0"/>
    </xf>
    <xf numFmtId="43" fontId="34" fillId="2" borderId="0" xfId="1" applyFont="1" applyFill="1" applyProtection="1">
      <protection locked="0"/>
    </xf>
    <xf numFmtId="43" fontId="34" fillId="6" borderId="0" xfId="1" applyFont="1" applyFill="1" applyProtection="1">
      <protection locked="0"/>
    </xf>
    <xf numFmtId="170" fontId="34" fillId="2" borderId="0" xfId="1" applyNumberFormat="1" applyFont="1" applyFill="1" applyProtection="1"/>
    <xf numFmtId="166" fontId="34" fillId="2" borderId="0" xfId="1" applyNumberFormat="1" applyFont="1" applyFill="1" applyBorder="1" applyProtection="1"/>
    <xf numFmtId="43" fontId="34" fillId="2" borderId="0" xfId="1" applyFont="1" applyFill="1" applyBorder="1" applyProtection="1"/>
    <xf numFmtId="164" fontId="34" fillId="2" borderId="0" xfId="1" applyNumberFormat="1" applyFont="1" applyFill="1" applyBorder="1" applyProtection="1"/>
    <xf numFmtId="171" fontId="38" fillId="2" borderId="0" xfId="8" applyNumberFormat="1" applyFont="1" applyFill="1" applyBorder="1" applyProtection="1"/>
    <xf numFmtId="172" fontId="38" fillId="2" borderId="0" xfId="9" applyNumberFormat="1" applyFont="1" applyFill="1"/>
    <xf numFmtId="43" fontId="38" fillId="2" borderId="0" xfId="1" applyFont="1" applyFill="1" applyBorder="1" applyProtection="1"/>
    <xf numFmtId="0" fontId="34" fillId="3" borderId="0" xfId="0" applyFont="1" applyFill="1"/>
    <xf numFmtId="4" fontId="34" fillId="6" borderId="0" xfId="1" applyNumberFormat="1" applyFont="1" applyFill="1" applyAlignment="1" applyProtection="1">
      <alignment horizontal="center"/>
      <protection locked="0"/>
    </xf>
    <xf numFmtId="4" fontId="34" fillId="6" borderId="0" xfId="0" applyNumberFormat="1" applyFont="1" applyFill="1" applyProtection="1">
      <protection locked="0"/>
    </xf>
    <xf numFmtId="43" fontId="34" fillId="2" borderId="0" xfId="0" applyNumberFormat="1" applyFont="1" applyFill="1"/>
    <xf numFmtId="43" fontId="34" fillId="2" borderId="0" xfId="1" applyFont="1" applyFill="1" applyProtection="1"/>
    <xf numFmtId="164" fontId="34" fillId="2" borderId="0" xfId="0" applyNumberFormat="1" applyFont="1" applyFill="1"/>
    <xf numFmtId="0" fontId="34" fillId="4" borderId="0" xfId="0" applyFont="1" applyFill="1"/>
    <xf numFmtId="0" fontId="34" fillId="2" borderId="0" xfId="0" applyFont="1" applyFill="1" applyAlignment="1" applyProtection="1">
      <alignment horizontal="center"/>
      <protection locked="0"/>
    </xf>
    <xf numFmtId="0" fontId="34" fillId="0" borderId="0" xfId="0" applyFont="1" applyAlignment="1">
      <alignment horizontal="center"/>
    </xf>
    <xf numFmtId="0" fontId="34" fillId="6" borderId="0" xfId="0" applyFont="1" applyFill="1"/>
    <xf numFmtId="4" fontId="34" fillId="6" borderId="0" xfId="0" applyNumberFormat="1" applyFont="1" applyFill="1" applyAlignment="1">
      <alignment horizontal="center"/>
    </xf>
    <xf numFmtId="0" fontId="34" fillId="2" borderId="0" xfId="0" applyFont="1" applyFill="1" applyAlignment="1" applyProtection="1">
      <alignment horizontal="center" vertical="center"/>
      <protection locked="0"/>
    </xf>
    <xf numFmtId="43" fontId="34" fillId="6" borderId="0" xfId="1" applyFont="1" applyFill="1" applyAlignment="1" applyProtection="1">
      <alignment horizontal="center"/>
      <protection locked="0"/>
    </xf>
    <xf numFmtId="0" fontId="10" fillId="0" borderId="4" xfId="0" applyFont="1" applyBorder="1"/>
    <xf numFmtId="0" fontId="10" fillId="0" borderId="5" xfId="0" applyFont="1" applyBorder="1" applyAlignment="1">
      <alignment horizontal="center"/>
    </xf>
    <xf numFmtId="0" fontId="10" fillId="4" borderId="0" xfId="0" applyFont="1" applyFill="1"/>
    <xf numFmtId="0" fontId="40" fillId="0" borderId="6" xfId="0" applyFont="1" applyBorder="1" applyAlignment="1" applyProtection="1">
      <alignment horizontal="center" vertical="center"/>
      <protection hidden="1"/>
    </xf>
    <xf numFmtId="0" fontId="33" fillId="0" borderId="0" xfId="0" applyFont="1" applyAlignment="1">
      <alignment vertical="center"/>
    </xf>
    <xf numFmtId="0" fontId="13" fillId="0" borderId="10" xfId="0" applyFont="1" applyBorder="1"/>
    <xf numFmtId="164" fontId="10" fillId="0" borderId="10" xfId="7" applyFont="1" applyBorder="1"/>
    <xf numFmtId="0" fontId="41" fillId="0" borderId="0" xfId="0" applyFont="1" applyAlignment="1">
      <alignment vertical="center"/>
    </xf>
    <xf numFmtId="0" fontId="10" fillId="0" borderId="6" xfId="0" applyFont="1" applyBorder="1" applyProtection="1">
      <protection locked="0"/>
    </xf>
    <xf numFmtId="0" fontId="9" fillId="0" borderId="0" xfId="0" applyFont="1" applyAlignment="1" applyProtection="1">
      <alignment horizontal="left"/>
      <protection locked="0"/>
    </xf>
    <xf numFmtId="0" fontId="30" fillId="9" borderId="0" xfId="0" applyFont="1" applyFill="1" applyAlignment="1">
      <alignment horizontal="center"/>
    </xf>
    <xf numFmtId="0" fontId="26" fillId="0" borderId="0" xfId="0" applyFont="1" applyAlignment="1">
      <alignment horizontal="center"/>
    </xf>
    <xf numFmtId="0" fontId="30" fillId="9" borderId="0" xfId="0" applyFont="1" applyFill="1" applyAlignment="1">
      <alignment horizontal="center" vertical="center"/>
    </xf>
    <xf numFmtId="0" fontId="10" fillId="0" borderId="8" xfId="0" applyFont="1" applyBorder="1" applyAlignment="1">
      <alignment horizontal="center"/>
    </xf>
    <xf numFmtId="0" fontId="10" fillId="0" borderId="4" xfId="0" applyFont="1" applyBorder="1" applyAlignment="1">
      <alignment horizontal="center"/>
    </xf>
    <xf numFmtId="0" fontId="26" fillId="0" borderId="0" xfId="0" applyFont="1" applyAlignment="1">
      <alignment horizontal="left" vertical="center"/>
    </xf>
    <xf numFmtId="40" fontId="10" fillId="0" borderId="0" xfId="0" applyNumberFormat="1" applyFont="1"/>
    <xf numFmtId="180" fontId="10" fillId="0" borderId="0" xfId="0" applyNumberFormat="1" applyFont="1" applyAlignment="1">
      <alignment horizontal="center"/>
    </xf>
    <xf numFmtId="169" fontId="10" fillId="0" borderId="0" xfId="0" applyNumberFormat="1" applyFont="1" applyAlignment="1">
      <alignment horizontal="center"/>
    </xf>
    <xf numFmtId="181" fontId="10" fillId="0" borderId="0" xfId="0" applyNumberFormat="1" applyFont="1" applyAlignment="1">
      <alignment horizontal="center"/>
    </xf>
    <xf numFmtId="178" fontId="10" fillId="0" borderId="0" xfId="0" applyNumberFormat="1" applyFont="1"/>
    <xf numFmtId="40" fontId="10" fillId="0" borderId="0" xfId="0" applyNumberFormat="1" applyFont="1" applyAlignment="1">
      <alignment horizontal="center"/>
    </xf>
    <xf numFmtId="167" fontId="10" fillId="0" borderId="0" xfId="0" applyNumberFormat="1" applyFont="1" applyAlignment="1">
      <alignment horizontal="center"/>
    </xf>
    <xf numFmtId="179" fontId="10" fillId="0" borderId="0" xfId="0" applyNumberFormat="1" applyFont="1" applyAlignment="1">
      <alignment horizontal="center"/>
    </xf>
    <xf numFmtId="40" fontId="10" fillId="10" borderId="5" xfId="0" applyNumberFormat="1" applyFont="1" applyFill="1" applyBorder="1"/>
    <xf numFmtId="178" fontId="10" fillId="10" borderId="5" xfId="0" applyNumberFormat="1" applyFont="1" applyFill="1" applyBorder="1"/>
    <xf numFmtId="0" fontId="10" fillId="12" borderId="5" xfId="0" applyFont="1" applyFill="1" applyBorder="1"/>
    <xf numFmtId="0" fontId="26" fillId="9" borderId="0" xfId="0" applyFont="1" applyFill="1" applyAlignment="1">
      <alignment vertical="center"/>
    </xf>
    <xf numFmtId="178" fontId="10" fillId="0" borderId="0" xfId="0" applyNumberFormat="1" applyFont="1" applyAlignment="1">
      <alignment wrapText="1"/>
    </xf>
    <xf numFmtId="0" fontId="10" fillId="0" borderId="0" xfId="0" applyFont="1" applyAlignment="1">
      <alignment horizontal="left" indent="1"/>
    </xf>
    <xf numFmtId="0" fontId="9" fillId="0" borderId="0" xfId="0" applyFont="1" applyAlignment="1">
      <alignment horizontal="left" indent="2"/>
    </xf>
    <xf numFmtId="0" fontId="10" fillId="0" borderId="0" xfId="0" applyFont="1" applyAlignment="1">
      <alignment horizontal="left" indent="3"/>
    </xf>
    <xf numFmtId="0" fontId="10" fillId="0" borderId="0" xfId="0" applyFont="1" applyAlignment="1">
      <alignment horizontal="left" indent="2"/>
    </xf>
    <xf numFmtId="0" fontId="10" fillId="11" borderId="5" xfId="0" applyFont="1" applyFill="1" applyBorder="1" applyAlignment="1">
      <alignment horizontal="left" indent="2"/>
    </xf>
    <xf numFmtId="178" fontId="10" fillId="11" borderId="5" xfId="0" applyNumberFormat="1" applyFont="1" applyFill="1" applyBorder="1" applyAlignment="1">
      <alignment wrapText="1"/>
    </xf>
    <xf numFmtId="0" fontId="10" fillId="10" borderId="5" xfId="0" applyFont="1" applyFill="1" applyBorder="1" applyAlignment="1">
      <alignment horizontal="left" indent="1"/>
    </xf>
    <xf numFmtId="178" fontId="10" fillId="10" borderId="5" xfId="0" applyNumberFormat="1" applyFont="1" applyFill="1" applyBorder="1" applyAlignment="1">
      <alignment wrapText="1"/>
    </xf>
    <xf numFmtId="0" fontId="10" fillId="12" borderId="5" xfId="0" applyFont="1" applyFill="1" applyBorder="1" applyAlignment="1">
      <alignment horizontal="left"/>
    </xf>
    <xf numFmtId="178" fontId="10" fillId="12" borderId="5" xfId="0" applyNumberFormat="1" applyFont="1" applyFill="1" applyBorder="1" applyAlignment="1">
      <alignment wrapText="1"/>
    </xf>
    <xf numFmtId="176" fontId="10" fillId="0" borderId="0" xfId="0" applyNumberFormat="1" applyFont="1" applyAlignment="1">
      <alignment horizontal="center"/>
    </xf>
    <xf numFmtId="0" fontId="9" fillId="10" borderId="5" xfId="0" applyFont="1" applyFill="1" applyBorder="1"/>
    <xf numFmtId="0" fontId="10" fillId="12" borderId="0" xfId="0" applyFont="1" applyFill="1" applyAlignment="1">
      <alignment horizontal="left"/>
    </xf>
    <xf numFmtId="178" fontId="10" fillId="12" borderId="0" xfId="0" applyNumberFormat="1" applyFont="1" applyFill="1" applyAlignment="1">
      <alignment wrapText="1"/>
    </xf>
    <xf numFmtId="0" fontId="30" fillId="9" borderId="5" xfId="0" applyFont="1" applyFill="1" applyBorder="1" applyAlignment="1">
      <alignment horizontal="left" vertical="center" wrapText="1"/>
    </xf>
    <xf numFmtId="169" fontId="14" fillId="3" borderId="0" xfId="0" applyNumberFormat="1" applyFont="1" applyFill="1" applyAlignment="1">
      <alignment horizontal="center"/>
    </xf>
    <xf numFmtId="169" fontId="43" fillId="11" borderId="5" xfId="0" applyNumberFormat="1" applyFont="1" applyFill="1" applyBorder="1" applyAlignment="1">
      <alignment horizontal="center"/>
    </xf>
    <xf numFmtId="169" fontId="44" fillId="10" borderId="5" xfId="0" applyNumberFormat="1" applyFont="1" applyFill="1" applyBorder="1" applyAlignment="1">
      <alignment horizontal="center"/>
    </xf>
    <xf numFmtId="169" fontId="45" fillId="12" borderId="5" xfId="0" applyNumberFormat="1" applyFont="1" applyFill="1" applyBorder="1" applyAlignment="1">
      <alignment horizontal="center"/>
    </xf>
    <xf numFmtId="169" fontId="46" fillId="9" borderId="0" xfId="0" applyNumberFormat="1" applyFont="1" applyFill="1" applyAlignment="1">
      <alignment horizontal="center" vertical="center"/>
    </xf>
    <xf numFmtId="176" fontId="14" fillId="3" borderId="0" xfId="0" applyNumberFormat="1" applyFont="1" applyFill="1" applyAlignment="1">
      <alignment horizontal="center"/>
    </xf>
    <xf numFmtId="176" fontId="46" fillId="9" borderId="0" xfId="0" applyNumberFormat="1" applyFont="1" applyFill="1" applyAlignment="1">
      <alignment horizontal="center" vertical="center"/>
    </xf>
    <xf numFmtId="176" fontId="45" fillId="12" borderId="5" xfId="0" applyNumberFormat="1" applyFont="1" applyFill="1" applyBorder="1" applyAlignment="1">
      <alignment horizontal="center"/>
    </xf>
    <xf numFmtId="176" fontId="44" fillId="10" borderId="5" xfId="0" applyNumberFormat="1" applyFont="1" applyFill="1" applyBorder="1" applyAlignment="1">
      <alignment horizontal="center"/>
    </xf>
    <xf numFmtId="176" fontId="43" fillId="11" borderId="5" xfId="0" applyNumberFormat="1" applyFont="1" applyFill="1" applyBorder="1" applyAlignment="1">
      <alignment horizontal="center"/>
    </xf>
    <xf numFmtId="178" fontId="47" fillId="10" borderId="5" xfId="0" applyNumberFormat="1" applyFont="1" applyFill="1" applyBorder="1"/>
    <xf numFmtId="169" fontId="47" fillId="10" borderId="5" xfId="0" applyNumberFormat="1" applyFont="1" applyFill="1" applyBorder="1" applyAlignment="1">
      <alignment horizontal="center"/>
    </xf>
    <xf numFmtId="181" fontId="47" fillId="10" borderId="5" xfId="0" applyNumberFormat="1" applyFont="1" applyFill="1" applyBorder="1" applyAlignment="1">
      <alignment horizontal="center"/>
    </xf>
    <xf numFmtId="180" fontId="47" fillId="10" borderId="5" xfId="0" applyNumberFormat="1" applyFont="1" applyFill="1" applyBorder="1" applyAlignment="1">
      <alignment horizontal="center"/>
    </xf>
    <xf numFmtId="43" fontId="34" fillId="6" borderId="0" xfId="1" applyFont="1" applyFill="1" applyAlignment="1" applyProtection="1">
      <alignment horizontal="right"/>
      <protection locked="0"/>
    </xf>
    <xf numFmtId="0" fontId="48" fillId="0" borderId="0" xfId="0" applyFont="1"/>
    <xf numFmtId="0" fontId="49" fillId="0" borderId="0" xfId="0" applyFont="1" applyAlignment="1">
      <alignment horizontal="center"/>
    </xf>
    <xf numFmtId="0" fontId="10" fillId="0" borderId="0" xfId="233" applyFont="1"/>
    <xf numFmtId="0" fontId="16" fillId="0" borderId="7" xfId="233" applyFont="1" applyBorder="1" applyAlignment="1" applyProtection="1">
      <alignment vertical="center"/>
      <protection hidden="1"/>
    </xf>
    <xf numFmtId="0" fontId="16" fillId="0" borderId="7" xfId="233" applyFont="1" applyBorder="1" applyAlignment="1" applyProtection="1">
      <alignment horizontal="center" vertical="center"/>
      <protection hidden="1"/>
    </xf>
    <xf numFmtId="0" fontId="10" fillId="0" borderId="0" xfId="233" applyFont="1" applyAlignment="1">
      <alignment horizontal="center"/>
    </xf>
    <xf numFmtId="0" fontId="10" fillId="0" borderId="5" xfId="233" applyFont="1" applyBorder="1"/>
    <xf numFmtId="0" fontId="10" fillId="11" borderId="5" xfId="233" applyFont="1" applyFill="1" applyBorder="1" applyAlignment="1">
      <alignment horizontal="center"/>
    </xf>
    <xf numFmtId="164" fontId="10" fillId="11" borderId="5" xfId="234" applyFont="1" applyFill="1" applyBorder="1"/>
    <xf numFmtId="0" fontId="16" fillId="9" borderId="0" xfId="233" applyFont="1" applyFill="1" applyAlignment="1" applyProtection="1">
      <alignment vertical="center"/>
      <protection hidden="1"/>
    </xf>
    <xf numFmtId="0" fontId="16" fillId="9" borderId="0" xfId="233" applyFont="1" applyFill="1" applyAlignment="1" applyProtection="1">
      <alignment horizontal="center" vertical="center"/>
      <protection hidden="1"/>
    </xf>
    <xf numFmtId="0" fontId="17" fillId="0" borderId="0" xfId="233" applyFont="1" applyAlignment="1">
      <alignment horizontal="center" vertical="center" wrapText="1"/>
    </xf>
    <xf numFmtId="0" fontId="16" fillId="0" borderId="0" xfId="233" applyFont="1"/>
    <xf numFmtId="0" fontId="10" fillId="0" borderId="5" xfId="233" applyFont="1" applyBorder="1" applyAlignment="1" applyProtection="1">
      <alignment horizontal="center"/>
      <protection locked="0"/>
    </xf>
    <xf numFmtId="179" fontId="10" fillId="0" borderId="5" xfId="233" applyNumberFormat="1" applyFont="1" applyBorder="1" applyAlignment="1" applyProtection="1">
      <alignment horizontal="center"/>
      <protection locked="0"/>
    </xf>
    <xf numFmtId="0" fontId="10" fillId="0" borderId="5" xfId="233" applyFont="1" applyBorder="1" applyProtection="1">
      <protection locked="0"/>
    </xf>
    <xf numFmtId="184" fontId="10" fillId="0" borderId="5" xfId="234" applyNumberFormat="1" applyFont="1" applyBorder="1" applyProtection="1">
      <protection locked="0"/>
    </xf>
    <xf numFmtId="177" fontId="10" fillId="0" borderId="5" xfId="234" applyNumberFormat="1" applyFont="1" applyBorder="1" applyAlignment="1" applyProtection="1">
      <alignment horizontal="center"/>
      <protection locked="0"/>
    </xf>
    <xf numFmtId="43" fontId="10" fillId="0" borderId="5" xfId="233" applyNumberFormat="1" applyFont="1" applyBorder="1" applyProtection="1">
      <protection locked="0"/>
    </xf>
    <xf numFmtId="0" fontId="10" fillId="0" borderId="0" xfId="233" applyFont="1" applyProtection="1">
      <protection locked="0"/>
    </xf>
    <xf numFmtId="0" fontId="9" fillId="11" borderId="5" xfId="233" applyFont="1" applyFill="1" applyBorder="1"/>
    <xf numFmtId="0" fontId="10" fillId="11" borderId="5" xfId="233" applyFont="1" applyFill="1" applyBorder="1"/>
    <xf numFmtId="43" fontId="9" fillId="11" borderId="5" xfId="233" applyNumberFormat="1" applyFont="1" applyFill="1" applyBorder="1" applyAlignment="1">
      <alignment vertical="center"/>
    </xf>
    <xf numFmtId="43" fontId="17" fillId="0" borderId="0" xfId="234" applyNumberFormat="1" applyFont="1" applyFill="1" applyBorder="1" applyAlignment="1" applyProtection="1">
      <alignment horizontal="center" wrapText="1"/>
    </xf>
    <xf numFmtId="166" fontId="17" fillId="0" borderId="0" xfId="234" applyNumberFormat="1" applyFont="1" applyFill="1" applyBorder="1" applyAlignment="1" applyProtection="1">
      <alignment horizontal="center"/>
    </xf>
    <xf numFmtId="164" fontId="17" fillId="0" borderId="0" xfId="234" applyFont="1" applyFill="1" applyBorder="1" applyAlignment="1" applyProtection="1">
      <alignment horizontal="center" vertical="center"/>
    </xf>
    <xf numFmtId="166" fontId="10" fillId="0" borderId="0" xfId="234" applyNumberFormat="1" applyFont="1" applyFill="1" applyBorder="1" applyProtection="1"/>
    <xf numFmtId="0" fontId="9" fillId="0" borderId="5" xfId="233" applyFont="1" applyBorder="1" applyAlignment="1">
      <alignment horizontal="right" vertical="center"/>
    </xf>
    <xf numFmtId="0" fontId="9" fillId="0" borderId="5" xfId="233" applyFont="1" applyBorder="1" applyAlignment="1">
      <alignment horizontal="center"/>
    </xf>
    <xf numFmtId="43" fontId="10" fillId="0" borderId="5" xfId="234" applyNumberFormat="1" applyFont="1" applyFill="1" applyBorder="1" applyProtection="1"/>
    <xf numFmtId="166" fontId="10" fillId="0" borderId="5" xfId="234" applyNumberFormat="1" applyFont="1" applyFill="1" applyBorder="1" applyProtection="1"/>
    <xf numFmtId="167" fontId="30" fillId="3" borderId="5" xfId="233" applyNumberFormat="1" applyFont="1" applyFill="1" applyBorder="1" applyAlignment="1">
      <alignment horizontal="center" vertical="center"/>
    </xf>
    <xf numFmtId="0" fontId="26" fillId="3" borderId="5" xfId="233" applyFont="1" applyFill="1" applyBorder="1"/>
    <xf numFmtId="0" fontId="9" fillId="0" borderId="0" xfId="233" applyFont="1"/>
    <xf numFmtId="9" fontId="14" fillId="0" borderId="0" xfId="2" applyFont="1" applyAlignment="1">
      <alignment vertical="center"/>
    </xf>
    <xf numFmtId="0" fontId="26" fillId="3" borderId="2" xfId="0" applyFont="1" applyFill="1" applyBorder="1" applyAlignment="1">
      <alignment horizontal="center" vertical="center"/>
    </xf>
    <xf numFmtId="0" fontId="26" fillId="3" borderId="2" xfId="0" applyFont="1" applyFill="1" applyBorder="1" applyAlignment="1">
      <alignment vertical="center"/>
    </xf>
    <xf numFmtId="0" fontId="26" fillId="0" borderId="0" xfId="0" applyFont="1" applyAlignment="1">
      <alignment vertical="center"/>
    </xf>
    <xf numFmtId="0" fontId="30" fillId="0" borderId="0" xfId="0" applyFont="1" applyAlignment="1">
      <alignment vertical="center"/>
    </xf>
    <xf numFmtId="43" fontId="30" fillId="3" borderId="2" xfId="4" applyFont="1" applyFill="1" applyBorder="1" applyAlignment="1">
      <alignment vertical="center"/>
    </xf>
    <xf numFmtId="0" fontId="26" fillId="0" borderId="0" xfId="0" applyFont="1" applyAlignment="1">
      <alignment horizontal="center" vertical="center"/>
    </xf>
    <xf numFmtId="43" fontId="14" fillId="0" borderId="0" xfId="0" applyNumberFormat="1" applyFont="1" applyAlignment="1" applyProtection="1">
      <alignment vertical="center"/>
      <protection locked="0"/>
    </xf>
    <xf numFmtId="0" fontId="51" fillId="4" borderId="0" xfId="0" applyFont="1" applyFill="1" applyAlignment="1">
      <alignment vertical="center"/>
    </xf>
    <xf numFmtId="43" fontId="26" fillId="9" borderId="5" xfId="1" applyFont="1" applyFill="1" applyBorder="1"/>
    <xf numFmtId="0" fontId="19" fillId="11" borderId="0" xfId="0" applyFont="1" applyFill="1" applyAlignment="1">
      <alignment horizontal="center" wrapText="1"/>
    </xf>
    <xf numFmtId="0" fontId="26" fillId="9" borderId="0" xfId="0" applyFont="1" applyFill="1" applyAlignment="1">
      <alignment horizontal="center" vertical="center"/>
    </xf>
    <xf numFmtId="173" fontId="19" fillId="0" borderId="18" xfId="0" applyNumberFormat="1" applyFont="1" applyBorder="1"/>
    <xf numFmtId="173" fontId="10" fillId="0" borderId="18" xfId="0" applyNumberFormat="1" applyFont="1" applyBorder="1" applyAlignment="1">
      <alignment horizontal="center"/>
    </xf>
    <xf numFmtId="173" fontId="26" fillId="0" borderId="0" xfId="0" applyNumberFormat="1" applyFont="1"/>
    <xf numFmtId="173" fontId="19" fillId="0" borderId="18" xfId="0" applyNumberFormat="1" applyFont="1" applyBorder="1" applyProtection="1">
      <protection locked="0"/>
    </xf>
    <xf numFmtId="179" fontId="10" fillId="0" borderId="0" xfId="0" applyNumberFormat="1" applyFont="1" applyProtection="1">
      <protection locked="0"/>
    </xf>
    <xf numFmtId="183" fontId="10" fillId="0" borderId="0" xfId="0" applyNumberFormat="1" applyFont="1" applyProtection="1">
      <protection locked="0"/>
    </xf>
    <xf numFmtId="40" fontId="9" fillId="0" borderId="0" xfId="234" applyNumberFormat="1" applyFont="1" applyAlignment="1">
      <alignment horizontal="center" vertical="center"/>
    </xf>
    <xf numFmtId="40" fontId="16" fillId="0" borderId="7" xfId="234" applyNumberFormat="1" applyFont="1" applyBorder="1" applyAlignment="1" applyProtection="1">
      <alignment horizontal="center" vertical="center"/>
      <protection hidden="1"/>
    </xf>
    <xf numFmtId="40" fontId="17" fillId="0" borderId="0" xfId="234" applyNumberFormat="1" applyFont="1" applyAlignment="1">
      <alignment horizontal="center" vertical="center" wrapText="1"/>
    </xf>
    <xf numFmtId="40" fontId="17" fillId="0" borderId="0" xfId="234" applyNumberFormat="1" applyFont="1" applyAlignment="1" applyProtection="1">
      <alignment horizontal="center" vertical="center" wrapText="1"/>
      <protection locked="0"/>
    </xf>
    <xf numFmtId="40" fontId="9" fillId="0" borderId="0" xfId="234" applyNumberFormat="1" applyFont="1" applyAlignment="1" applyProtection="1">
      <alignment horizontal="center" vertical="center"/>
      <protection locked="0"/>
    </xf>
    <xf numFmtId="0" fontId="26" fillId="9" borderId="0" xfId="233" applyFont="1" applyFill="1" applyAlignment="1">
      <alignment horizontal="center" vertical="center"/>
    </xf>
    <xf numFmtId="40" fontId="26" fillId="9" borderId="0" xfId="235" applyNumberFormat="1" applyFont="1" applyFill="1" applyAlignment="1" applyProtection="1">
      <alignment horizontal="center" vertical="center"/>
      <protection locked="0"/>
    </xf>
    <xf numFmtId="40" fontId="26" fillId="9" borderId="0" xfId="234" applyNumberFormat="1" applyFont="1" applyFill="1" applyAlignment="1">
      <alignment horizontal="center" vertical="center"/>
    </xf>
    <xf numFmtId="40" fontId="26" fillId="9" borderId="0" xfId="234" applyNumberFormat="1" applyFont="1" applyFill="1" applyAlignment="1" applyProtection="1">
      <alignment horizontal="center" vertical="center"/>
      <protection locked="0"/>
    </xf>
    <xf numFmtId="0" fontId="10" fillId="0" borderId="0" xfId="233" applyFont="1" applyAlignment="1">
      <alignment horizontal="center" vertical="center"/>
    </xf>
    <xf numFmtId="40" fontId="10" fillId="0" borderId="0" xfId="235" applyNumberFormat="1" applyFont="1" applyAlignment="1" applyProtection="1">
      <alignment horizontal="center" vertical="center"/>
      <protection locked="0"/>
    </xf>
    <xf numFmtId="40" fontId="10" fillId="0" borderId="0" xfId="234" applyNumberFormat="1" applyFont="1" applyAlignment="1">
      <alignment horizontal="center" vertical="center"/>
    </xf>
    <xf numFmtId="40" fontId="10" fillId="0" borderId="0" xfId="234" applyNumberFormat="1" applyFont="1" applyAlignment="1" applyProtection="1">
      <alignment horizontal="center"/>
      <protection locked="0"/>
    </xf>
    <xf numFmtId="40" fontId="10" fillId="0" borderId="0" xfId="234" applyNumberFormat="1" applyFont="1" applyAlignment="1">
      <alignment horizontal="center"/>
    </xf>
    <xf numFmtId="40" fontId="14" fillId="13" borderId="0" xfId="235" applyNumberFormat="1" applyFont="1" applyFill="1" applyProtection="1">
      <protection locked="0"/>
    </xf>
    <xf numFmtId="40" fontId="14" fillId="0" borderId="0" xfId="234" applyNumberFormat="1" applyFont="1" applyAlignment="1">
      <alignment horizontal="center"/>
    </xf>
    <xf numFmtId="40" fontId="10" fillId="13" borderId="0" xfId="235" applyNumberFormat="1" applyFont="1" applyFill="1" applyAlignment="1" applyProtection="1">
      <alignment horizontal="right"/>
      <protection locked="0"/>
    </xf>
    <xf numFmtId="40" fontId="10" fillId="13" borderId="0" xfId="235" applyNumberFormat="1" applyFont="1" applyFill="1" applyProtection="1">
      <protection locked="0"/>
    </xf>
    <xf numFmtId="164" fontId="10" fillId="13" borderId="0" xfId="234" applyFont="1" applyFill="1" applyProtection="1">
      <protection locked="0"/>
    </xf>
    <xf numFmtId="40" fontId="10" fillId="0" borderId="0" xfId="235" applyNumberFormat="1" applyFont="1" applyProtection="1">
      <protection locked="0"/>
    </xf>
    <xf numFmtId="0" fontId="10" fillId="14" borderId="5" xfId="233" applyFont="1" applyFill="1" applyBorder="1"/>
    <xf numFmtId="0" fontId="10" fillId="14" borderId="5" xfId="233" applyFont="1" applyFill="1" applyBorder="1" applyAlignment="1">
      <alignment horizontal="center"/>
    </xf>
    <xf numFmtId="40" fontId="10" fillId="13" borderId="5" xfId="235" applyNumberFormat="1" applyFont="1" applyFill="1" applyBorder="1" applyProtection="1">
      <protection locked="0"/>
    </xf>
    <xf numFmtId="40" fontId="10" fillId="14" borderId="5" xfId="234" applyNumberFormat="1" applyFont="1" applyFill="1" applyBorder="1" applyAlignment="1">
      <alignment horizontal="center"/>
    </xf>
    <xf numFmtId="40" fontId="10" fillId="14" borderId="5" xfId="234" applyNumberFormat="1" applyFont="1" applyFill="1" applyBorder="1" applyAlignment="1" applyProtection="1">
      <alignment horizontal="center"/>
      <protection locked="0"/>
    </xf>
    <xf numFmtId="0" fontId="10" fillId="0" borderId="4" xfId="0" applyFont="1" applyBorder="1" applyProtection="1">
      <protection locked="0"/>
    </xf>
    <xf numFmtId="40" fontId="10" fillId="0" borderId="0" xfId="234" applyNumberFormat="1" applyFont="1" applyBorder="1" applyAlignment="1">
      <alignment horizontal="center"/>
    </xf>
    <xf numFmtId="167" fontId="10" fillId="0" borderId="5" xfId="0" applyNumberFormat="1" applyFont="1" applyBorder="1" applyAlignment="1">
      <alignment horizontal="center"/>
    </xf>
    <xf numFmtId="40" fontId="10" fillId="13" borderId="5" xfId="234" applyNumberFormat="1" applyFont="1" applyFill="1" applyBorder="1" applyAlignment="1">
      <alignment horizontal="right"/>
    </xf>
    <xf numFmtId="169" fontId="10" fillId="0" borderId="8" xfId="233" applyNumberFormat="1" applyFont="1" applyBorder="1" applyAlignment="1">
      <alignment horizontal="center"/>
    </xf>
    <xf numFmtId="185" fontId="10" fillId="0" borderId="5" xfId="234" applyNumberFormat="1" applyFont="1" applyFill="1" applyBorder="1" applyProtection="1">
      <protection locked="0"/>
    </xf>
    <xf numFmtId="185" fontId="10" fillId="0" borderId="5" xfId="234" applyNumberFormat="1" applyFont="1" applyBorder="1" applyAlignment="1">
      <alignment horizontal="center"/>
    </xf>
    <xf numFmtId="185" fontId="10" fillId="13" borderId="5" xfId="234" applyNumberFormat="1" applyFont="1" applyFill="1" applyBorder="1" applyAlignment="1" applyProtection="1">
      <alignment horizontal="center"/>
      <protection locked="0"/>
    </xf>
    <xf numFmtId="185" fontId="10" fillId="13" borderId="5" xfId="234" applyNumberFormat="1" applyFont="1" applyFill="1" applyBorder="1" applyAlignment="1">
      <alignment horizontal="center"/>
    </xf>
    <xf numFmtId="0" fontId="10" fillId="0" borderId="5" xfId="0" applyFont="1" applyBorder="1" applyAlignment="1">
      <alignment horizontal="left"/>
    </xf>
    <xf numFmtId="0" fontId="10" fillId="0" borderId="4" xfId="0" applyFont="1" applyBorder="1" applyAlignment="1">
      <alignment horizontal="left"/>
    </xf>
    <xf numFmtId="164" fontId="10" fillId="0" borderId="0" xfId="234" applyFont="1" applyProtection="1">
      <protection locked="0"/>
    </xf>
    <xf numFmtId="164" fontId="10" fillId="0" borderId="0" xfId="234" applyFont="1" applyFill="1" applyBorder="1" applyProtection="1">
      <protection locked="0"/>
    </xf>
    <xf numFmtId="164" fontId="10" fillId="15" borderId="5" xfId="234" applyFont="1" applyFill="1" applyBorder="1"/>
    <xf numFmtId="185" fontId="10" fillId="15" borderId="5" xfId="234" applyNumberFormat="1" applyFont="1" applyFill="1" applyBorder="1"/>
    <xf numFmtId="164" fontId="10" fillId="15" borderId="5" xfId="234" applyFont="1" applyFill="1" applyBorder="1" applyProtection="1">
      <protection locked="0"/>
    </xf>
    <xf numFmtId="40" fontId="10" fillId="16" borderId="5" xfId="234" applyNumberFormat="1" applyFont="1" applyFill="1" applyBorder="1" applyAlignment="1">
      <alignment horizontal="center"/>
    </xf>
    <xf numFmtId="40" fontId="10" fillId="16" borderId="5" xfId="234" applyNumberFormat="1" applyFont="1" applyFill="1" applyBorder="1" applyAlignment="1">
      <alignment horizontal="right"/>
    </xf>
    <xf numFmtId="185" fontId="10" fillId="16" borderId="5" xfId="234" applyNumberFormat="1" applyFont="1" applyFill="1" applyBorder="1" applyAlignment="1">
      <alignment horizontal="center"/>
    </xf>
    <xf numFmtId="0" fontId="26" fillId="0" borderId="0" xfId="0" applyFont="1"/>
    <xf numFmtId="0" fontId="30" fillId="0" borderId="5" xfId="0" applyFont="1" applyBorder="1" applyAlignment="1">
      <alignment horizontal="right"/>
    </xf>
    <xf numFmtId="0" fontId="30" fillId="0" borderId="0" xfId="0" applyFont="1" applyAlignment="1" applyProtection="1">
      <alignment horizontal="right"/>
      <protection locked="0"/>
    </xf>
    <xf numFmtId="185" fontId="30" fillId="0" borderId="0" xfId="0" applyNumberFormat="1" applyFont="1"/>
    <xf numFmtId="40" fontId="30" fillId="0" borderId="0" xfId="234" applyNumberFormat="1" applyFont="1" applyFill="1" applyBorder="1" applyAlignment="1">
      <alignment horizontal="center"/>
    </xf>
    <xf numFmtId="185" fontId="30" fillId="3" borderId="0" xfId="234" applyNumberFormat="1" applyFont="1" applyFill="1" applyBorder="1" applyAlignment="1">
      <alignment horizontal="center"/>
    </xf>
    <xf numFmtId="0" fontId="30" fillId="0" borderId="0" xfId="0" applyFont="1" applyAlignment="1">
      <alignment horizontal="right"/>
    </xf>
    <xf numFmtId="185" fontId="10" fillId="0" borderId="5" xfId="234" applyNumberFormat="1" applyFont="1" applyFill="1" applyBorder="1" applyAlignment="1">
      <alignment horizontal="center"/>
    </xf>
    <xf numFmtId="0" fontId="30" fillId="9" borderId="0" xfId="0" applyFont="1" applyFill="1" applyAlignment="1" applyProtection="1">
      <alignment horizontal="center" vertical="center"/>
      <protection locked="0"/>
    </xf>
    <xf numFmtId="0" fontId="26" fillId="9" borderId="0" xfId="0" applyFont="1" applyFill="1" applyAlignment="1" applyProtection="1">
      <alignment horizontal="center" vertical="center"/>
      <protection locked="0"/>
    </xf>
    <xf numFmtId="0" fontId="42" fillId="0" borderId="0" xfId="0" applyFont="1" applyAlignment="1">
      <alignment vertical="center"/>
    </xf>
    <xf numFmtId="0" fontId="16" fillId="0" borderId="0" xfId="0" applyFont="1" applyAlignment="1">
      <alignment vertical="center"/>
    </xf>
    <xf numFmtId="0" fontId="16" fillId="0" borderId="7" xfId="0" applyFont="1" applyBorder="1" applyAlignment="1">
      <alignment vertical="center"/>
    </xf>
    <xf numFmtId="0" fontId="16" fillId="0" borderId="7" xfId="0" applyFont="1" applyBorder="1" applyAlignment="1">
      <alignment horizontal="center" vertical="center"/>
    </xf>
    <xf numFmtId="164" fontId="17" fillId="0" borderId="0" xfId="1" applyNumberFormat="1" applyFont="1" applyAlignment="1" applyProtection="1">
      <alignment horizontal="center" vertical="center" wrapText="1"/>
    </xf>
    <xf numFmtId="168" fontId="26" fillId="0" borderId="0" xfId="1" applyNumberFormat="1" applyFont="1" applyFill="1" applyBorder="1" applyAlignment="1" applyProtection="1">
      <alignment vertical="center"/>
    </xf>
    <xf numFmtId="169" fontId="10" fillId="0" borderId="0" xfId="0" applyNumberFormat="1" applyFont="1" applyAlignment="1">
      <alignment horizontal="center" vertical="center"/>
    </xf>
    <xf numFmtId="169" fontId="14" fillId="0" borderId="0" xfId="0" applyNumberFormat="1" applyFont="1" applyAlignment="1">
      <alignment horizontal="center" vertical="center"/>
    </xf>
    <xf numFmtId="164" fontId="14" fillId="0" borderId="0" xfId="1" applyNumberFormat="1" applyFont="1" applyBorder="1" applyAlignment="1" applyProtection="1">
      <alignment vertical="center"/>
    </xf>
    <xf numFmtId="168" fontId="10" fillId="0" borderId="0" xfId="1" applyNumberFormat="1" applyFont="1" applyFill="1" applyBorder="1" applyAlignment="1" applyProtection="1">
      <alignment vertical="center"/>
    </xf>
    <xf numFmtId="0" fontId="25" fillId="11" borderId="5" xfId="0" applyFont="1" applyFill="1" applyBorder="1" applyAlignment="1">
      <alignment horizontal="right" vertical="center"/>
    </xf>
    <xf numFmtId="164" fontId="9" fillId="11" borderId="5" xfId="1" applyNumberFormat="1" applyFont="1" applyFill="1" applyBorder="1" applyAlignment="1" applyProtection="1">
      <alignment vertical="center"/>
    </xf>
    <xf numFmtId="164" fontId="9" fillId="0" borderId="0" xfId="1" applyNumberFormat="1" applyFont="1" applyFill="1" applyBorder="1" applyAlignment="1" applyProtection="1">
      <alignment vertical="center"/>
    </xf>
    <xf numFmtId="0" fontId="30" fillId="3" borderId="5" xfId="0" applyFont="1" applyFill="1" applyBorder="1" applyAlignment="1">
      <alignment vertical="center"/>
    </xf>
    <xf numFmtId="43" fontId="30" fillId="3" borderId="5" xfId="0" applyNumberFormat="1" applyFont="1" applyFill="1" applyBorder="1" applyAlignment="1">
      <alignment vertical="center"/>
    </xf>
    <xf numFmtId="0" fontId="13" fillId="0" borderId="0" xfId="0" applyFont="1" applyAlignment="1">
      <alignment horizontal="right" vertical="center"/>
    </xf>
    <xf numFmtId="0" fontId="26" fillId="3" borderId="5" xfId="0" applyFont="1" applyFill="1" applyBorder="1" applyAlignment="1">
      <alignment vertical="center"/>
    </xf>
    <xf numFmtId="38" fontId="10" fillId="0" borderId="0" xfId="0" applyNumberFormat="1" applyFont="1" applyAlignment="1">
      <alignment horizontal="center" vertical="center"/>
    </xf>
    <xf numFmtId="1" fontId="10" fillId="0" borderId="0" xfId="1" applyNumberFormat="1" applyFont="1" applyFill="1" applyAlignment="1" applyProtection="1">
      <alignment horizontal="center" vertical="center"/>
    </xf>
    <xf numFmtId="0" fontId="10" fillId="0" borderId="0" xfId="0" applyFont="1" applyAlignment="1">
      <alignment horizontal="right" vertical="center"/>
    </xf>
    <xf numFmtId="1" fontId="10" fillId="0" borderId="0" xfId="0" applyNumberFormat="1" applyFont="1"/>
    <xf numFmtId="168" fontId="10" fillId="0" borderId="0" xfId="1" applyNumberFormat="1" applyFont="1" applyProtection="1"/>
    <xf numFmtId="0" fontId="10" fillId="0" borderId="0" xfId="0" quotePrefix="1" applyFont="1"/>
    <xf numFmtId="1" fontId="10" fillId="6" borderId="0" xfId="1" applyNumberFormat="1" applyFont="1" applyFill="1" applyAlignment="1" applyProtection="1">
      <alignment horizontal="center" vertical="center"/>
      <protection locked="0"/>
    </xf>
    <xf numFmtId="0" fontId="0" fillId="12" borderId="0" xfId="0" applyFill="1"/>
    <xf numFmtId="0" fontId="10" fillId="4" borderId="0" xfId="0" applyFont="1" applyFill="1" applyAlignment="1">
      <alignment vertical="center"/>
    </xf>
    <xf numFmtId="0" fontId="9" fillId="17" borderId="0" xfId="0" applyFont="1" applyFill="1" applyAlignment="1" applyProtection="1">
      <alignment horizontal="center" vertical="center"/>
      <protection locked="0"/>
    </xf>
    <xf numFmtId="0" fontId="10" fillId="0" borderId="5" xfId="0" applyFont="1" applyBorder="1" applyAlignment="1">
      <alignment horizontal="center" vertical="center"/>
    </xf>
    <xf numFmtId="175" fontId="10" fillId="0" borderId="5" xfId="0" applyNumberFormat="1" applyFont="1" applyBorder="1" applyAlignment="1">
      <alignment horizontal="center" vertical="center"/>
    </xf>
    <xf numFmtId="166" fontId="10" fillId="11" borderId="0" xfId="7" applyNumberFormat="1" applyFont="1" applyFill="1" applyBorder="1" applyProtection="1">
      <protection locked="0"/>
    </xf>
    <xf numFmtId="0" fontId="13" fillId="11" borderId="0" xfId="0" applyFont="1" applyFill="1"/>
    <xf numFmtId="166" fontId="10" fillId="17" borderId="1" xfId="7" applyNumberFormat="1" applyFont="1" applyFill="1" applyBorder="1" applyProtection="1">
      <protection locked="0"/>
    </xf>
    <xf numFmtId="175" fontId="10" fillId="17" borderId="5" xfId="0" applyNumberFormat="1" applyFont="1" applyFill="1" applyBorder="1" applyAlignment="1" applyProtection="1">
      <alignment horizontal="center" vertical="center"/>
      <protection locked="0"/>
    </xf>
    <xf numFmtId="0" fontId="53" fillId="0" borderId="0" xfId="0" applyFont="1" applyAlignment="1">
      <alignment horizontal="center"/>
    </xf>
    <xf numFmtId="0" fontId="54" fillId="9" borderId="0" xfId="0" applyFont="1" applyFill="1"/>
    <xf numFmtId="186" fontId="54" fillId="9" borderId="0" xfId="1" applyNumberFormat="1" applyFont="1" applyFill="1" applyAlignment="1">
      <alignment horizontal="center"/>
    </xf>
    <xf numFmtId="43" fontId="54" fillId="9" borderId="0" xfId="1" applyFont="1" applyFill="1"/>
    <xf numFmtId="0" fontId="53" fillId="0" borderId="0" xfId="0" applyFont="1"/>
    <xf numFmtId="43" fontId="53" fillId="0" borderId="0" xfId="1" applyFont="1" applyAlignment="1">
      <alignment horizontal="center"/>
    </xf>
    <xf numFmtId="0" fontId="55" fillId="0" borderId="0" xfId="0" applyFont="1"/>
    <xf numFmtId="43" fontId="53" fillId="0" borderId="0" xfId="1" applyFont="1"/>
    <xf numFmtId="43" fontId="53" fillId="0" borderId="0" xfId="1" applyFont="1" applyFill="1"/>
    <xf numFmtId="4" fontId="53" fillId="11" borderId="2" xfId="0" applyNumberFormat="1" applyFont="1" applyFill="1" applyBorder="1"/>
    <xf numFmtId="43" fontId="53" fillId="11" borderId="2" xfId="1" applyFont="1" applyFill="1" applyBorder="1"/>
    <xf numFmtId="4" fontId="53" fillId="0" borderId="0" xfId="0" applyNumberFormat="1" applyFont="1"/>
    <xf numFmtId="43" fontId="53" fillId="0" borderId="0" xfId="1" applyFont="1" applyFill="1" applyBorder="1"/>
    <xf numFmtId="174" fontId="10" fillId="0" borderId="5" xfId="0" applyNumberFormat="1" applyFont="1" applyBorder="1" applyAlignment="1">
      <alignment horizontal="center" vertical="center"/>
    </xf>
    <xf numFmtId="0" fontId="48" fillId="0" borderId="0" xfId="0" applyFont="1" applyAlignment="1">
      <alignment vertical="center"/>
    </xf>
    <xf numFmtId="174" fontId="13" fillId="0" borderId="5" xfId="0" applyNumberFormat="1" applyFont="1" applyBorder="1" applyAlignment="1">
      <alignment horizontal="center" vertical="center"/>
    </xf>
    <xf numFmtId="0" fontId="10" fillId="0" borderId="8" xfId="0" applyFont="1" applyBorder="1" applyAlignment="1">
      <alignment horizontal="center" vertical="center"/>
    </xf>
    <xf numFmtId="174" fontId="10" fillId="0" borderId="8" xfId="0" applyNumberFormat="1" applyFont="1" applyBorder="1" applyAlignment="1">
      <alignment horizontal="center" vertical="center"/>
    </xf>
    <xf numFmtId="174" fontId="10" fillId="3" borderId="5" xfId="0" applyNumberFormat="1" applyFont="1" applyFill="1" applyBorder="1" applyAlignment="1">
      <alignment horizontal="center" vertical="center"/>
    </xf>
    <xf numFmtId="0" fontId="10" fillId="0" borderId="4" xfId="0" applyFont="1" applyBorder="1" applyAlignment="1">
      <alignment horizontal="center" vertical="center"/>
    </xf>
    <xf numFmtId="174" fontId="13" fillId="0" borderId="4" xfId="0" applyNumberFormat="1" applyFont="1" applyBorder="1" applyAlignment="1">
      <alignment horizontal="center" vertical="center"/>
    </xf>
    <xf numFmtId="174" fontId="10" fillId="3" borderId="4" xfId="0" applyNumberFormat="1" applyFont="1" applyFill="1" applyBorder="1" applyAlignment="1">
      <alignment horizontal="center" vertical="center"/>
    </xf>
    <xf numFmtId="174" fontId="10" fillId="0" borderId="4" xfId="0" applyNumberFormat="1" applyFont="1" applyBorder="1" applyAlignment="1">
      <alignment horizontal="center" vertical="center"/>
    </xf>
    <xf numFmtId="174" fontId="10" fillId="5" borderId="5" xfId="0" applyNumberFormat="1" applyFont="1" applyFill="1" applyBorder="1" applyAlignment="1">
      <alignment horizontal="center" vertical="center"/>
    </xf>
    <xf numFmtId="173" fontId="14" fillId="17" borderId="18" xfId="0" applyNumberFormat="1" applyFont="1" applyFill="1" applyBorder="1" applyAlignment="1" applyProtection="1">
      <alignment horizontal="center"/>
      <protection locked="0"/>
    </xf>
    <xf numFmtId="43" fontId="10" fillId="0" borderId="0" xfId="1" applyFont="1" applyAlignment="1">
      <alignment vertical="center"/>
    </xf>
    <xf numFmtId="0" fontId="16" fillId="0" borderId="7" xfId="0" applyFont="1" applyBorder="1" applyAlignment="1" applyProtection="1">
      <alignment horizontal="right" vertical="center"/>
      <protection hidden="1"/>
    </xf>
    <xf numFmtId="174" fontId="10" fillId="0" borderId="5" xfId="0" applyNumberFormat="1" applyFont="1" applyBorder="1" applyAlignment="1">
      <alignment horizontal="center"/>
    </xf>
    <xf numFmtId="174" fontId="10" fillId="3" borderId="5" xfId="0" applyNumberFormat="1" applyFont="1" applyFill="1" applyBorder="1" applyAlignment="1">
      <alignment horizontal="center"/>
    </xf>
    <xf numFmtId="174" fontId="10" fillId="5" borderId="5" xfId="0" applyNumberFormat="1" applyFont="1" applyFill="1" applyBorder="1" applyAlignment="1">
      <alignment horizontal="center"/>
    </xf>
    <xf numFmtId="168" fontId="10" fillId="0" borderId="0" xfId="1" applyNumberFormat="1" applyFont="1" applyBorder="1" applyAlignment="1">
      <alignment horizontal="center"/>
    </xf>
    <xf numFmtId="168" fontId="10" fillId="0" borderId="5" xfId="1" applyNumberFormat="1" applyFont="1" applyBorder="1" applyAlignment="1">
      <alignment horizontal="center"/>
    </xf>
    <xf numFmtId="9" fontId="34" fillId="2" borderId="0" xfId="2" applyFont="1" applyFill="1" applyProtection="1"/>
    <xf numFmtId="168" fontId="38" fillId="2" borderId="0" xfId="1" applyNumberFormat="1" applyFont="1" applyFill="1" applyBorder="1" applyProtection="1"/>
    <xf numFmtId="169" fontId="10" fillId="3" borderId="0" xfId="0" applyNumberFormat="1" applyFont="1" applyFill="1" applyAlignment="1">
      <alignment horizontal="center"/>
    </xf>
    <xf numFmtId="0" fontId="16" fillId="0" borderId="0" xfId="0" applyFont="1" applyAlignment="1">
      <alignment horizontal="center" vertical="center"/>
    </xf>
    <xf numFmtId="0" fontId="33" fillId="0" borderId="0" xfId="0" applyFont="1" applyAlignment="1">
      <alignment vertical="center" wrapText="1"/>
    </xf>
    <xf numFmtId="164" fontId="17" fillId="0" borderId="0" xfId="1" applyNumberFormat="1" applyFont="1" applyFill="1" applyBorder="1" applyAlignment="1" applyProtection="1">
      <alignment horizontal="center" vertical="center" wrapText="1"/>
    </xf>
    <xf numFmtId="166" fontId="38" fillId="2" borderId="0" xfId="8" applyNumberFormat="1" applyFont="1" applyFill="1" applyBorder="1" applyProtection="1"/>
    <xf numFmtId="43" fontId="34" fillId="2" borderId="0" xfId="0" applyNumberFormat="1" applyFont="1" applyFill="1" applyProtection="1">
      <protection locked="0"/>
    </xf>
    <xf numFmtId="0" fontId="10" fillId="7" borderId="0" xfId="0" applyFont="1" applyFill="1"/>
    <xf numFmtId="0" fontId="16" fillId="7" borderId="0" xfId="0" applyFont="1" applyFill="1"/>
    <xf numFmtId="0" fontId="56" fillId="0" borderId="0" xfId="0" applyFont="1" applyAlignment="1">
      <alignment vertical="center"/>
    </xf>
    <xf numFmtId="0" fontId="57" fillId="0" borderId="0" xfId="0" applyFont="1" applyAlignment="1" applyProtection="1">
      <alignment horizontal="center" wrapText="1"/>
      <protection locked="0"/>
    </xf>
    <xf numFmtId="0" fontId="58" fillId="3" borderId="0" xfId="0" applyFont="1" applyFill="1" applyAlignment="1">
      <alignment horizontal="center" vertical="center"/>
    </xf>
    <xf numFmtId="0" fontId="58" fillId="3" borderId="0" xfId="0" applyFont="1" applyFill="1" applyAlignment="1">
      <alignment horizontal="center"/>
    </xf>
    <xf numFmtId="0" fontId="9" fillId="12" borderId="20" xfId="0" applyFont="1" applyFill="1" applyBorder="1"/>
    <xf numFmtId="0" fontId="30" fillId="9" borderId="20" xfId="0" applyFont="1" applyFill="1" applyBorder="1" applyAlignment="1">
      <alignment vertical="center"/>
    </xf>
    <xf numFmtId="0" fontId="30" fillId="3" borderId="20" xfId="0" applyFont="1" applyFill="1" applyBorder="1" applyAlignment="1">
      <alignment vertical="center"/>
    </xf>
    <xf numFmtId="0" fontId="11" fillId="0" borderId="0" xfId="0" applyFont="1" applyAlignment="1" applyProtection="1">
      <alignment vertical="center"/>
      <protection locked="0"/>
    </xf>
    <xf numFmtId="0" fontId="12" fillId="9" borderId="2" xfId="0" applyFont="1" applyFill="1" applyBorder="1" applyAlignment="1" applyProtection="1">
      <alignment horizontal="center" vertical="center"/>
      <protection locked="0"/>
    </xf>
    <xf numFmtId="0" fontId="12" fillId="9" borderId="19" xfId="0" applyFont="1" applyFill="1" applyBorder="1" applyAlignment="1" applyProtection="1">
      <alignment horizontal="center" vertical="center"/>
      <protection locked="0"/>
    </xf>
    <xf numFmtId="0" fontId="10" fillId="0" borderId="13" xfId="0" applyFont="1" applyBorder="1" applyProtection="1">
      <protection locked="0"/>
    </xf>
    <xf numFmtId="0" fontId="10" fillId="0" borderId="14" xfId="0" applyFont="1" applyBorder="1" applyProtection="1">
      <protection locked="0"/>
    </xf>
    <xf numFmtId="0" fontId="10" fillId="8" borderId="0" xfId="0" applyFont="1" applyFill="1" applyProtection="1">
      <protection locked="0"/>
    </xf>
    <xf numFmtId="0" fontId="39" fillId="0" borderId="13" xfId="0" applyFont="1" applyBorder="1" applyAlignment="1" applyProtection="1">
      <alignment horizontal="center"/>
      <protection locked="0"/>
    </xf>
    <xf numFmtId="0" fontId="39" fillId="0" borderId="0" xfId="0" applyFont="1" applyProtection="1">
      <protection locked="0"/>
    </xf>
    <xf numFmtId="0" fontId="10" fillId="0" borderId="15" xfId="0" applyFont="1" applyBorder="1" applyProtection="1">
      <protection locked="0"/>
    </xf>
    <xf numFmtId="0" fontId="10" fillId="0" borderId="16" xfId="0" applyFont="1" applyBorder="1" applyProtection="1">
      <protection locked="0"/>
    </xf>
    <xf numFmtId="0" fontId="10" fillId="0" borderId="17" xfId="0" applyFont="1" applyBorder="1" applyProtection="1">
      <protection locked="0"/>
    </xf>
    <xf numFmtId="0" fontId="59" fillId="9" borderId="0" xfId="0" applyFont="1" applyFill="1" applyAlignment="1">
      <alignment horizontal="center" vertical="center" wrapText="1"/>
    </xf>
    <xf numFmtId="178" fontId="9" fillId="12" borderId="20" xfId="0" applyNumberFormat="1" applyFont="1" applyFill="1" applyBorder="1" applyAlignment="1">
      <alignment horizontal="right"/>
    </xf>
    <xf numFmtId="178" fontId="30" fillId="9" borderId="20" xfId="0" applyNumberFormat="1" applyFont="1" applyFill="1" applyBorder="1" applyAlignment="1">
      <alignment horizontal="right" vertical="center"/>
    </xf>
    <xf numFmtId="178" fontId="30" fillId="3" borderId="20" xfId="0" applyNumberFormat="1" applyFont="1" applyFill="1" applyBorder="1" applyAlignment="1">
      <alignment horizontal="right" vertical="center"/>
    </xf>
    <xf numFmtId="0" fontId="30" fillId="9" borderId="0" xfId="0" applyFont="1" applyFill="1" applyAlignment="1">
      <alignment vertical="center"/>
    </xf>
    <xf numFmtId="40" fontId="30" fillId="9" borderId="0" xfId="0" applyNumberFormat="1" applyFont="1" applyFill="1" applyAlignment="1">
      <alignment vertical="center"/>
    </xf>
    <xf numFmtId="178" fontId="30" fillId="9" borderId="0" xfId="0" applyNumberFormat="1" applyFont="1" applyFill="1" applyAlignment="1">
      <alignment vertical="center"/>
    </xf>
    <xf numFmtId="0" fontId="9" fillId="12" borderId="21" xfId="0" applyFont="1" applyFill="1" applyBorder="1"/>
    <xf numFmtId="0" fontId="10" fillId="10" borderId="21" xfId="0" applyFont="1" applyFill="1" applyBorder="1"/>
    <xf numFmtId="178" fontId="10" fillId="10" borderId="21" xfId="0" applyNumberFormat="1" applyFont="1" applyFill="1" applyBorder="1" applyAlignment="1">
      <alignment horizontal="right"/>
    </xf>
    <xf numFmtId="0" fontId="9" fillId="11" borderId="5" xfId="0" applyFont="1" applyFill="1" applyBorder="1"/>
    <xf numFmtId="40" fontId="9" fillId="11" borderId="5" xfId="0" applyNumberFormat="1" applyFont="1" applyFill="1" applyBorder="1"/>
    <xf numFmtId="180" fontId="60" fillId="11" borderId="5" xfId="0" applyNumberFormat="1" applyFont="1" applyFill="1" applyBorder="1" applyAlignment="1">
      <alignment horizontal="center"/>
    </xf>
    <xf numFmtId="169" fontId="60" fillId="11" borderId="5" xfId="0" applyNumberFormat="1" applyFont="1" applyFill="1" applyBorder="1" applyAlignment="1">
      <alignment horizontal="center"/>
    </xf>
    <xf numFmtId="181" fontId="60" fillId="11" borderId="5" xfId="0" applyNumberFormat="1" applyFont="1" applyFill="1" applyBorder="1" applyAlignment="1">
      <alignment horizontal="center"/>
    </xf>
    <xf numFmtId="178" fontId="60" fillId="11" borderId="5" xfId="0" applyNumberFormat="1" applyFont="1" applyFill="1" applyBorder="1"/>
    <xf numFmtId="178" fontId="9" fillId="11" borderId="5" xfId="0" applyNumberFormat="1" applyFont="1" applyFill="1" applyBorder="1"/>
    <xf numFmtId="169" fontId="9" fillId="11" borderId="5" xfId="0" applyNumberFormat="1" applyFont="1" applyFill="1" applyBorder="1" applyAlignment="1">
      <alignment horizontal="center"/>
    </xf>
    <xf numFmtId="181" fontId="9" fillId="11" borderId="5" xfId="0" applyNumberFormat="1" applyFont="1" applyFill="1" applyBorder="1" applyAlignment="1">
      <alignment horizontal="center"/>
    </xf>
    <xf numFmtId="0" fontId="9" fillId="12" borderId="5" xfId="0" applyFont="1" applyFill="1" applyBorder="1"/>
    <xf numFmtId="40" fontId="9" fillId="12" borderId="5" xfId="0" applyNumberFormat="1" applyFont="1" applyFill="1" applyBorder="1"/>
    <xf numFmtId="180" fontId="61" fillId="12" borderId="5" xfId="0" applyNumberFormat="1" applyFont="1" applyFill="1" applyBorder="1" applyAlignment="1">
      <alignment horizontal="center"/>
    </xf>
    <xf numFmtId="169" fontId="61" fillId="12" borderId="5" xfId="0" applyNumberFormat="1" applyFont="1" applyFill="1" applyBorder="1" applyAlignment="1">
      <alignment horizontal="center"/>
    </xf>
    <xf numFmtId="181" fontId="61" fillId="12" borderId="5" xfId="0" applyNumberFormat="1" applyFont="1" applyFill="1" applyBorder="1" applyAlignment="1">
      <alignment horizontal="center"/>
    </xf>
    <xf numFmtId="178" fontId="9" fillId="12" borderId="5" xfId="0" applyNumberFormat="1" applyFont="1" applyFill="1" applyBorder="1"/>
    <xf numFmtId="178" fontId="61" fillId="12" borderId="5" xfId="0" applyNumberFormat="1" applyFont="1" applyFill="1" applyBorder="1"/>
    <xf numFmtId="180" fontId="62" fillId="9" borderId="0" xfId="0" applyNumberFormat="1" applyFont="1" applyFill="1" applyAlignment="1">
      <alignment horizontal="center" vertical="center"/>
    </xf>
    <xf numFmtId="169" fontId="62" fillId="9" borderId="0" xfId="0" applyNumberFormat="1" applyFont="1" applyFill="1" applyAlignment="1">
      <alignment horizontal="center" vertical="center"/>
    </xf>
    <xf numFmtId="181" fontId="62" fillId="9" borderId="0" xfId="0" applyNumberFormat="1" applyFont="1" applyFill="1" applyAlignment="1">
      <alignment horizontal="center" vertical="center"/>
    </xf>
    <xf numFmtId="178" fontId="62" fillId="9" borderId="0" xfId="0" applyNumberFormat="1" applyFont="1" applyFill="1" applyAlignment="1">
      <alignment vertical="center"/>
    </xf>
    <xf numFmtId="0" fontId="30" fillId="3" borderId="0" xfId="0" applyFont="1" applyFill="1" applyAlignment="1">
      <alignment vertical="center"/>
    </xf>
    <xf numFmtId="40" fontId="30" fillId="3" borderId="0" xfId="0" applyNumberFormat="1" applyFont="1" applyFill="1" applyAlignment="1">
      <alignment vertical="center"/>
    </xf>
    <xf numFmtId="180" fontId="9" fillId="3" borderId="0" xfId="0" applyNumberFormat="1" applyFont="1" applyFill="1" applyAlignment="1">
      <alignment horizontal="center" vertical="center"/>
    </xf>
    <xf numFmtId="169" fontId="9" fillId="3" borderId="0" xfId="0" applyNumberFormat="1" applyFont="1" applyFill="1" applyAlignment="1">
      <alignment horizontal="center" vertical="center"/>
    </xf>
    <xf numFmtId="181" fontId="9" fillId="3" borderId="0" xfId="0" applyNumberFormat="1" applyFont="1" applyFill="1" applyAlignment="1">
      <alignment horizontal="center" vertical="center"/>
    </xf>
    <xf numFmtId="178" fontId="30" fillId="3" borderId="0" xfId="0" applyNumberFormat="1" applyFont="1" applyFill="1" applyAlignment="1">
      <alignment vertical="center"/>
    </xf>
    <xf numFmtId="178" fontId="9" fillId="3" borderId="0" xfId="0" applyNumberFormat="1" applyFont="1" applyFill="1" applyAlignment="1">
      <alignment vertical="center"/>
    </xf>
    <xf numFmtId="0" fontId="9" fillId="0" borderId="9" xfId="0" applyFont="1" applyBorder="1" applyAlignment="1">
      <alignment vertical="center"/>
    </xf>
    <xf numFmtId="40" fontId="10" fillId="0" borderId="0" xfId="0" applyNumberFormat="1" applyFont="1" applyAlignment="1">
      <alignment horizontal="right" vertical="center"/>
    </xf>
    <xf numFmtId="178" fontId="10" fillId="0" borderId="0" xfId="0" applyNumberFormat="1" applyFont="1" applyAlignment="1">
      <alignment horizontal="right" vertical="center"/>
    </xf>
    <xf numFmtId="178" fontId="9" fillId="12" borderId="21" xfId="0" applyNumberFormat="1" applyFont="1" applyFill="1" applyBorder="1" applyAlignment="1">
      <alignment horizontal="right"/>
    </xf>
    <xf numFmtId="178" fontId="30" fillId="9" borderId="0" xfId="0" applyNumberFormat="1" applyFont="1" applyFill="1" applyAlignment="1">
      <alignment horizontal="right" vertical="center"/>
    </xf>
    <xf numFmtId="40" fontId="10" fillId="10" borderId="21" xfId="0" applyNumberFormat="1" applyFont="1" applyFill="1" applyBorder="1" applyAlignment="1">
      <alignment horizontal="right"/>
    </xf>
    <xf numFmtId="40" fontId="9" fillId="12" borderId="20" xfId="0" applyNumberFormat="1" applyFont="1" applyFill="1" applyBorder="1" applyAlignment="1">
      <alignment horizontal="right"/>
    </xf>
    <xf numFmtId="40" fontId="30" fillId="9" borderId="20" xfId="0" applyNumberFormat="1" applyFont="1" applyFill="1" applyBorder="1" applyAlignment="1">
      <alignment horizontal="right" vertical="center"/>
    </xf>
    <xf numFmtId="40" fontId="9" fillId="12" borderId="21" xfId="0" applyNumberFormat="1" applyFont="1" applyFill="1" applyBorder="1" applyAlignment="1">
      <alignment horizontal="right"/>
    </xf>
    <xf numFmtId="40" fontId="30" fillId="9" borderId="0" xfId="0" applyNumberFormat="1" applyFont="1" applyFill="1" applyAlignment="1">
      <alignment horizontal="right" vertical="center"/>
    </xf>
    <xf numFmtId="40" fontId="30" fillId="3" borderId="20" xfId="0" applyNumberFormat="1" applyFont="1" applyFill="1" applyBorder="1" applyAlignment="1">
      <alignment horizontal="right" vertical="center"/>
    </xf>
    <xf numFmtId="40" fontId="10" fillId="0" borderId="0" xfId="0" applyNumberFormat="1" applyFont="1" applyAlignment="1">
      <alignment horizontal="right"/>
    </xf>
    <xf numFmtId="178" fontId="10" fillId="0" borderId="0" xfId="0" applyNumberFormat="1" applyFont="1" applyAlignment="1">
      <alignment horizontal="right"/>
    </xf>
    <xf numFmtId="40" fontId="9" fillId="11" borderId="5" xfId="0" applyNumberFormat="1" applyFont="1" applyFill="1" applyBorder="1" applyAlignment="1">
      <alignment horizontal="right"/>
    </xf>
    <xf numFmtId="178" fontId="60" fillId="11" borderId="5" xfId="0" applyNumberFormat="1" applyFont="1" applyFill="1" applyBorder="1" applyAlignment="1">
      <alignment horizontal="right"/>
    </xf>
    <xf numFmtId="40" fontId="10" fillId="10" borderId="5" xfId="0" applyNumberFormat="1" applyFont="1" applyFill="1" applyBorder="1" applyAlignment="1">
      <alignment horizontal="right"/>
    </xf>
    <xf numFmtId="178" fontId="10" fillId="10" borderId="5" xfId="0" applyNumberFormat="1" applyFont="1" applyFill="1" applyBorder="1" applyAlignment="1">
      <alignment horizontal="right"/>
    </xf>
    <xf numFmtId="40" fontId="9" fillId="12" borderId="5" xfId="0" applyNumberFormat="1" applyFont="1" applyFill="1" applyBorder="1" applyAlignment="1">
      <alignment horizontal="right"/>
    </xf>
    <xf numFmtId="178" fontId="9" fillId="12" borderId="5" xfId="0" applyNumberFormat="1" applyFont="1" applyFill="1" applyBorder="1" applyAlignment="1">
      <alignment horizontal="right"/>
    </xf>
    <xf numFmtId="178" fontId="9" fillId="11" borderId="5" xfId="0" applyNumberFormat="1" applyFont="1" applyFill="1" applyBorder="1" applyAlignment="1">
      <alignment horizontal="right"/>
    </xf>
    <xf numFmtId="40" fontId="30" fillId="3" borderId="0" xfId="0" applyNumberFormat="1" applyFont="1" applyFill="1" applyAlignment="1">
      <alignment horizontal="right" vertical="center"/>
    </xf>
    <xf numFmtId="178" fontId="30" fillId="3" borderId="0" xfId="0" applyNumberFormat="1" applyFont="1" applyFill="1" applyAlignment="1">
      <alignment horizontal="right" vertical="center"/>
    </xf>
    <xf numFmtId="178" fontId="10" fillId="10" borderId="21" xfId="0" applyNumberFormat="1" applyFont="1" applyFill="1" applyBorder="1" applyAlignment="1">
      <alignment horizontal="right" vertical="center"/>
    </xf>
    <xf numFmtId="178" fontId="9" fillId="12" borderId="20" xfId="0" applyNumberFormat="1" applyFont="1" applyFill="1" applyBorder="1" applyAlignment="1">
      <alignment horizontal="right" vertical="center"/>
    </xf>
    <xf numFmtId="178" fontId="9" fillId="12" borderId="21" xfId="0" applyNumberFormat="1" applyFont="1" applyFill="1" applyBorder="1" applyAlignment="1">
      <alignment horizontal="right" vertical="center"/>
    </xf>
    <xf numFmtId="167" fontId="10" fillId="0" borderId="8" xfId="0" applyNumberFormat="1" applyFont="1" applyBorder="1" applyAlignment="1">
      <alignment horizontal="center"/>
    </xf>
    <xf numFmtId="40" fontId="10" fillId="13" borderId="8" xfId="234" applyNumberFormat="1" applyFont="1" applyFill="1" applyBorder="1" applyAlignment="1">
      <alignment horizontal="right"/>
    </xf>
    <xf numFmtId="185" fontId="10" fillId="0" borderId="8" xfId="234" applyNumberFormat="1" applyFont="1" applyFill="1" applyBorder="1" applyProtection="1">
      <protection locked="0"/>
    </xf>
    <xf numFmtId="185" fontId="10" fillId="0" borderId="8" xfId="234" applyNumberFormat="1" applyFont="1" applyBorder="1" applyAlignment="1">
      <alignment horizontal="center"/>
    </xf>
    <xf numFmtId="0" fontId="10" fillId="0" borderId="20" xfId="0" applyFont="1" applyBorder="1" applyAlignment="1">
      <alignment horizontal="center"/>
    </xf>
    <xf numFmtId="0" fontId="10" fillId="0" borderId="20" xfId="0" applyFont="1" applyBorder="1" applyAlignment="1">
      <alignment horizontal="left"/>
    </xf>
    <xf numFmtId="167" fontId="10" fillId="0" borderId="20" xfId="0" applyNumberFormat="1" applyFont="1" applyBorder="1" applyAlignment="1">
      <alignment horizontal="center"/>
    </xf>
    <xf numFmtId="40" fontId="10" fillId="13" borderId="20" xfId="234" applyNumberFormat="1" applyFont="1" applyFill="1" applyBorder="1" applyAlignment="1">
      <alignment horizontal="right"/>
    </xf>
    <xf numFmtId="169" fontId="10" fillId="0" borderId="20" xfId="233" applyNumberFormat="1" applyFont="1" applyBorder="1" applyAlignment="1">
      <alignment horizontal="center"/>
    </xf>
    <xf numFmtId="185" fontId="10" fillId="0" borderId="20" xfId="234" applyNumberFormat="1" applyFont="1" applyFill="1" applyBorder="1" applyProtection="1">
      <protection locked="0"/>
    </xf>
    <xf numFmtId="185" fontId="10" fillId="0" borderId="20" xfId="234" applyNumberFormat="1" applyFont="1" applyBorder="1" applyAlignment="1">
      <alignment horizontal="center"/>
    </xf>
    <xf numFmtId="168" fontId="10" fillId="0" borderId="8" xfId="1" applyNumberFormat="1" applyFont="1" applyBorder="1" applyAlignment="1">
      <alignment horizontal="center"/>
    </xf>
    <xf numFmtId="168" fontId="10" fillId="0" borderId="20" xfId="1" applyNumberFormat="1" applyFont="1" applyBorder="1" applyAlignment="1">
      <alignment horizontal="center"/>
    </xf>
    <xf numFmtId="0" fontId="30" fillId="3" borderId="20" xfId="0" applyFont="1" applyFill="1" applyBorder="1" applyAlignment="1">
      <alignment horizontal="right"/>
    </xf>
    <xf numFmtId="185" fontId="30" fillId="3" borderId="20" xfId="0" applyNumberFormat="1" applyFont="1" applyFill="1" applyBorder="1"/>
    <xf numFmtId="185" fontId="30" fillId="3" borderId="20" xfId="234" applyNumberFormat="1" applyFont="1" applyFill="1" applyBorder="1" applyAlignment="1">
      <alignment horizontal="center"/>
    </xf>
    <xf numFmtId="0" fontId="19" fillId="11" borderId="0" xfId="0" applyFont="1" applyFill="1" applyAlignment="1" applyProtection="1">
      <alignment horizontal="center" wrapText="1"/>
      <protection locked="0"/>
    </xf>
    <xf numFmtId="173" fontId="10" fillId="0" borderId="18" xfId="0" applyNumberFormat="1" applyFont="1" applyBorder="1" applyAlignment="1" applyProtection="1">
      <alignment horizontal="center"/>
      <protection locked="0"/>
    </xf>
    <xf numFmtId="174" fontId="10" fillId="18" borderId="5" xfId="0" applyNumberFormat="1" applyFont="1" applyFill="1" applyBorder="1" applyAlignment="1">
      <alignment horizontal="center"/>
    </xf>
    <xf numFmtId="175" fontId="10" fillId="0" borderId="0" xfId="0" applyNumberFormat="1" applyFont="1" applyAlignment="1">
      <alignment horizontal="center" vertical="center"/>
    </xf>
    <xf numFmtId="1" fontId="53" fillId="0" borderId="0" xfId="0" applyNumberFormat="1" applyFont="1" applyAlignment="1" applyProtection="1">
      <alignment horizontal="center" vertical="center"/>
      <protection locked="0"/>
    </xf>
    <xf numFmtId="0" fontId="10" fillId="19" borderId="0" xfId="0" applyFont="1" applyFill="1" applyAlignment="1" applyProtection="1">
      <alignment horizontal="center"/>
      <protection locked="0"/>
    </xf>
    <xf numFmtId="15" fontId="10" fillId="0" borderId="0" xfId="0" applyNumberFormat="1" applyFont="1" applyAlignment="1" applyProtection="1">
      <alignment horizontal="center"/>
      <protection locked="0"/>
    </xf>
    <xf numFmtId="43" fontId="10" fillId="0" borderId="0" xfId="6" applyFont="1" applyProtection="1">
      <protection locked="0"/>
    </xf>
    <xf numFmtId="43" fontId="10" fillId="3" borderId="5" xfId="1" applyFont="1" applyFill="1" applyBorder="1" applyAlignment="1" applyProtection="1">
      <alignment vertical="center"/>
      <protection locked="0"/>
    </xf>
    <xf numFmtId="43" fontId="34" fillId="6" borderId="22" xfId="1" applyFont="1" applyFill="1" applyBorder="1" applyProtection="1">
      <protection locked="0"/>
    </xf>
    <xf numFmtId="43" fontId="34" fillId="6" borderId="23" xfId="1" applyFont="1" applyFill="1" applyBorder="1" applyProtection="1">
      <protection locked="0"/>
    </xf>
    <xf numFmtId="43" fontId="34" fillId="6" borderId="24" xfId="1" applyFont="1" applyFill="1" applyBorder="1" applyProtection="1">
      <protection locked="0"/>
    </xf>
    <xf numFmtId="4" fontId="34" fillId="6" borderId="22" xfId="0" applyNumberFormat="1" applyFont="1" applyFill="1" applyBorder="1" applyProtection="1">
      <protection locked="0"/>
    </xf>
    <xf numFmtId="4" fontId="34" fillId="6" borderId="24" xfId="0" applyNumberFormat="1" applyFont="1" applyFill="1" applyBorder="1" applyProtection="1">
      <protection locked="0"/>
    </xf>
    <xf numFmtId="43" fontId="34" fillId="6" borderId="0" xfId="1" applyFont="1" applyFill="1" applyBorder="1" applyProtection="1">
      <protection locked="0"/>
    </xf>
    <xf numFmtId="4" fontId="34" fillId="6" borderId="0" xfId="1" applyNumberFormat="1" applyFont="1" applyFill="1" applyBorder="1" applyAlignment="1" applyProtection="1">
      <alignment horizontal="center"/>
      <protection locked="0"/>
    </xf>
    <xf numFmtId="4" fontId="10" fillId="0" borderId="0" xfId="0" applyNumberFormat="1" applyFont="1" applyProtection="1">
      <protection locked="0"/>
    </xf>
    <xf numFmtId="0" fontId="10" fillId="20" borderId="0" xfId="0" applyFont="1" applyFill="1" applyAlignment="1" applyProtection="1">
      <alignment horizontal="center"/>
      <protection locked="0"/>
    </xf>
    <xf numFmtId="43" fontId="10" fillId="0" borderId="0" xfId="6" applyFont="1" applyFill="1" applyProtection="1">
      <protection locked="0"/>
    </xf>
    <xf numFmtId="43" fontId="10" fillId="0" borderId="0" xfId="0" applyNumberFormat="1" applyFont="1" applyProtection="1">
      <protection locked="0"/>
    </xf>
    <xf numFmtId="43" fontId="34" fillId="17" borderId="0" xfId="1" applyFont="1" applyFill="1" applyProtection="1">
      <protection locked="0"/>
    </xf>
    <xf numFmtId="43" fontId="34" fillId="21" borderId="0" xfId="1" applyFont="1" applyFill="1" applyProtection="1">
      <protection locked="0"/>
    </xf>
    <xf numFmtId="43" fontId="34" fillId="22" borderId="0" xfId="1" applyFont="1" applyFill="1" applyProtection="1">
      <protection locked="0"/>
    </xf>
    <xf numFmtId="43" fontId="34" fillId="22" borderId="22" xfId="1" applyFont="1" applyFill="1" applyBorder="1" applyProtection="1">
      <protection locked="0"/>
    </xf>
    <xf numFmtId="43" fontId="34" fillId="22" borderId="24" xfId="1" applyFont="1" applyFill="1" applyBorder="1" applyProtection="1">
      <protection locked="0"/>
    </xf>
    <xf numFmtId="0" fontId="9" fillId="0" borderId="0" xfId="0" applyFont="1" applyAlignment="1">
      <alignment horizontal="left"/>
    </xf>
    <xf numFmtId="40" fontId="10" fillId="0" borderId="0" xfId="0" applyNumberFormat="1" applyFont="1" applyAlignment="1">
      <alignment wrapText="1"/>
    </xf>
    <xf numFmtId="39" fontId="10" fillId="0" borderId="0" xfId="0" applyNumberFormat="1" applyFont="1" applyAlignment="1">
      <alignment wrapText="1"/>
    </xf>
    <xf numFmtId="40" fontId="10" fillId="11" borderId="5" xfId="0" applyNumberFormat="1" applyFont="1" applyFill="1" applyBorder="1" applyAlignment="1">
      <alignment wrapText="1"/>
    </xf>
    <xf numFmtId="39" fontId="10" fillId="11" borderId="5" xfId="0" applyNumberFormat="1" applyFont="1" applyFill="1" applyBorder="1" applyAlignment="1">
      <alignment wrapText="1"/>
    </xf>
    <xf numFmtId="40" fontId="10" fillId="10" borderId="5" xfId="0" applyNumberFormat="1" applyFont="1" applyFill="1" applyBorder="1" applyAlignment="1">
      <alignment wrapText="1"/>
    </xf>
    <xf numFmtId="39" fontId="10" fillId="10" borderId="5" xfId="0" applyNumberFormat="1" applyFont="1" applyFill="1" applyBorder="1" applyAlignment="1">
      <alignment wrapText="1"/>
    </xf>
    <xf numFmtId="40" fontId="10" fillId="12" borderId="0" xfId="0" applyNumberFormat="1" applyFont="1" applyFill="1" applyAlignment="1">
      <alignment wrapText="1"/>
    </xf>
    <xf numFmtId="39" fontId="10" fillId="12" borderId="0" xfId="0" applyNumberFormat="1" applyFont="1" applyFill="1" applyAlignment="1">
      <alignment wrapText="1"/>
    </xf>
    <xf numFmtId="40" fontId="10" fillId="12" borderId="5" xfId="0" applyNumberFormat="1" applyFont="1" applyFill="1" applyBorder="1" applyAlignment="1">
      <alignment wrapText="1"/>
    </xf>
    <xf numFmtId="39" fontId="10" fillId="12" borderId="5" xfId="0" applyNumberFormat="1" applyFont="1" applyFill="1" applyBorder="1" applyAlignment="1">
      <alignment wrapText="1"/>
    </xf>
    <xf numFmtId="40" fontId="26" fillId="3" borderId="0" xfId="0" applyNumberFormat="1" applyFont="1" applyFill="1" applyAlignment="1">
      <alignment wrapText="1"/>
    </xf>
    <xf numFmtId="39" fontId="26" fillId="3" borderId="0" xfId="0" applyNumberFormat="1" applyFont="1" applyFill="1" applyAlignment="1">
      <alignment wrapText="1"/>
    </xf>
    <xf numFmtId="40" fontId="10" fillId="0" borderId="0" xfId="0" applyNumberFormat="1" applyFont="1" applyAlignment="1">
      <alignment horizontal="center" wrapText="1"/>
    </xf>
    <xf numFmtId="40" fontId="10" fillId="10" borderId="5" xfId="0" applyNumberFormat="1" applyFont="1" applyFill="1" applyBorder="1" applyAlignment="1">
      <alignment horizontal="center" wrapText="1"/>
    </xf>
    <xf numFmtId="40" fontId="10" fillId="12" borderId="0" xfId="0" applyNumberFormat="1" applyFont="1" applyFill="1" applyAlignment="1">
      <alignment horizontal="center" wrapText="1"/>
    </xf>
    <xf numFmtId="40" fontId="26" fillId="3" borderId="0" xfId="0" applyNumberFormat="1" applyFont="1" applyFill="1" applyAlignment="1">
      <alignment horizontal="center" wrapText="1"/>
    </xf>
    <xf numFmtId="40" fontId="10" fillId="11" borderId="5" xfId="0" applyNumberFormat="1" applyFont="1" applyFill="1" applyBorder="1" applyAlignment="1">
      <alignment horizontal="center" wrapText="1"/>
    </xf>
    <xf numFmtId="39" fontId="10" fillId="0" borderId="0" xfId="0" applyNumberFormat="1" applyFont="1"/>
    <xf numFmtId="40" fontId="10" fillId="11" borderId="5" xfId="0" applyNumberFormat="1" applyFont="1" applyFill="1" applyBorder="1" applyAlignment="1">
      <alignment horizontal="center"/>
    </xf>
    <xf numFmtId="39" fontId="10" fillId="11" borderId="5" xfId="0" applyNumberFormat="1" applyFont="1" applyFill="1" applyBorder="1"/>
    <xf numFmtId="40" fontId="10" fillId="11" borderId="5" xfId="0" applyNumberFormat="1" applyFont="1" applyFill="1" applyBorder="1"/>
    <xf numFmtId="40" fontId="9" fillId="10" borderId="5" xfId="0" applyNumberFormat="1" applyFont="1" applyFill="1" applyBorder="1" applyAlignment="1">
      <alignment horizontal="center"/>
    </xf>
    <xf numFmtId="39" fontId="9" fillId="10" borderId="5" xfId="0" applyNumberFormat="1" applyFont="1" applyFill="1" applyBorder="1"/>
    <xf numFmtId="40" fontId="9" fillId="10" borderId="5" xfId="0" applyNumberFormat="1" applyFont="1" applyFill="1" applyBorder="1"/>
    <xf numFmtId="40" fontId="10" fillId="12" borderId="5" xfId="0" applyNumberFormat="1" applyFont="1" applyFill="1" applyBorder="1" applyAlignment="1">
      <alignment horizontal="center"/>
    </xf>
    <xf numFmtId="39" fontId="10" fillId="12" borderId="5" xfId="0" applyNumberFormat="1" applyFont="1" applyFill="1" applyBorder="1"/>
    <xf numFmtId="40" fontId="10" fillId="12" borderId="5" xfId="0" applyNumberFormat="1" applyFont="1" applyFill="1" applyBorder="1"/>
    <xf numFmtId="40" fontId="26" fillId="9" borderId="0" xfId="0" applyNumberFormat="1" applyFont="1" applyFill="1" applyAlignment="1">
      <alignment horizontal="center" vertical="center"/>
    </xf>
    <xf numFmtId="39" fontId="26" fillId="9" borderId="0" xfId="0" applyNumberFormat="1" applyFont="1" applyFill="1" applyAlignment="1">
      <alignment vertical="center"/>
    </xf>
    <xf numFmtId="40" fontId="26" fillId="9" borderId="0" xfId="0" applyNumberFormat="1" applyFont="1" applyFill="1" applyAlignment="1">
      <alignment vertical="center"/>
    </xf>
    <xf numFmtId="40" fontId="26" fillId="3" borderId="0" xfId="0" applyNumberFormat="1" applyFont="1" applyFill="1" applyAlignment="1">
      <alignment horizontal="center"/>
    </xf>
    <xf numFmtId="39" fontId="26" fillId="3" borderId="0" xfId="0" applyNumberFormat="1" applyFont="1" applyFill="1"/>
    <xf numFmtId="40" fontId="26" fillId="3" borderId="0" xfId="0" applyNumberFormat="1" applyFont="1" applyFill="1"/>
    <xf numFmtId="0" fontId="30" fillId="9" borderId="11" xfId="0" applyFont="1" applyFill="1" applyBorder="1" applyAlignment="1" applyProtection="1">
      <alignment horizontal="center" vertical="center" wrapText="1"/>
      <protection locked="0"/>
    </xf>
    <xf numFmtId="0" fontId="30" fillId="9" borderId="2" xfId="0" applyFont="1" applyFill="1" applyBorder="1" applyAlignment="1" applyProtection="1">
      <alignment horizontal="center" vertical="center" wrapText="1"/>
      <protection locked="0"/>
    </xf>
    <xf numFmtId="0" fontId="30" fillId="9" borderId="12" xfId="0" applyFont="1" applyFill="1" applyBorder="1" applyAlignment="1" applyProtection="1">
      <alignment horizontal="center" vertical="center" wrapText="1"/>
      <protection locked="0"/>
    </xf>
    <xf numFmtId="0" fontId="10" fillId="4" borderId="16" xfId="0" applyFont="1" applyFill="1" applyBorder="1" applyAlignment="1" applyProtection="1">
      <alignment horizontal="center"/>
      <protection locked="0"/>
    </xf>
    <xf numFmtId="0" fontId="11" fillId="0" borderId="0" xfId="0" applyFont="1" applyAlignment="1" applyProtection="1">
      <alignment horizontal="left" vertical="center"/>
      <protection locked="0" hidden="1"/>
    </xf>
    <xf numFmtId="0" fontId="15" fillId="0" borderId="0" xfId="0" applyFont="1" applyAlignment="1" applyProtection="1">
      <alignment horizontal="left" vertical="center"/>
      <protection hidden="1"/>
    </xf>
    <xf numFmtId="0" fontId="9" fillId="0" borderId="0" xfId="3" applyFont="1" applyAlignment="1">
      <alignment horizontal="left" vertical="center" wrapText="1"/>
    </xf>
    <xf numFmtId="0" fontId="18" fillId="0" borderId="0" xfId="0" applyFont="1" applyAlignment="1">
      <alignment horizontal="left" vertical="center"/>
    </xf>
    <xf numFmtId="0" fontId="30" fillId="9" borderId="5" xfId="0" applyFont="1" applyFill="1" applyBorder="1" applyAlignment="1">
      <alignment horizontal="left" vertical="center" wrapText="1"/>
    </xf>
    <xf numFmtId="0" fontId="9" fillId="0" borderId="0" xfId="0" applyFont="1" applyAlignment="1">
      <alignment horizontal="left"/>
    </xf>
    <xf numFmtId="0" fontId="31" fillId="0" borderId="0" xfId="0" applyFont="1" applyAlignment="1">
      <alignment horizontal="left" vertical="center" wrapText="1"/>
    </xf>
    <xf numFmtId="0" fontId="9" fillId="0" borderId="9" xfId="0" applyFont="1" applyBorder="1" applyAlignment="1">
      <alignment horizontal="left" vertical="center" wrapText="1"/>
    </xf>
    <xf numFmtId="0" fontId="31" fillId="0" borderId="0" xfId="0" applyFont="1" applyAlignment="1">
      <alignment horizontal="left" wrapText="1"/>
    </xf>
    <xf numFmtId="0" fontId="9" fillId="0" borderId="9" xfId="0" applyFont="1" applyBorder="1" applyAlignment="1">
      <alignment horizontal="center" vertical="center"/>
    </xf>
    <xf numFmtId="0" fontId="31" fillId="0" borderId="0" xfId="0" applyFont="1"/>
    <xf numFmtId="0" fontId="9" fillId="0" borderId="0" xfId="0" applyFont="1" applyAlignment="1">
      <alignment vertical="center"/>
    </xf>
    <xf numFmtId="0" fontId="33" fillId="0" borderId="0" xfId="0" applyFont="1" applyAlignment="1">
      <alignment horizontal="left" vertical="center"/>
    </xf>
    <xf numFmtId="0" fontId="9" fillId="0" borderId="0" xfId="0" applyFont="1" applyAlignment="1">
      <alignment horizontal="left" vertical="center"/>
    </xf>
    <xf numFmtId="0" fontId="33" fillId="0" borderId="0" xfId="0" applyFont="1" applyAlignment="1">
      <alignment horizontal="left"/>
    </xf>
    <xf numFmtId="0" fontId="33" fillId="0" borderId="0" xfId="0" applyFont="1" applyAlignment="1">
      <alignment horizontal="left" vertical="center" wrapText="1"/>
    </xf>
    <xf numFmtId="0" fontId="52" fillId="0" borderId="0" xfId="0" applyFont="1" applyAlignment="1">
      <alignment horizontal="center" vertical="center" wrapText="1"/>
    </xf>
    <xf numFmtId="0" fontId="9" fillId="0" borderId="0" xfId="0" applyFont="1" applyAlignment="1" applyProtection="1">
      <alignment horizontal="center" vertical="center" wrapText="1"/>
      <protection locked="0"/>
    </xf>
    <xf numFmtId="0" fontId="10" fillId="0" borderId="0" xfId="0" applyFont="1" applyAlignment="1" applyProtection="1">
      <alignment horizontal="left" vertical="center"/>
      <protection locked="0"/>
    </xf>
    <xf numFmtId="0" fontId="30" fillId="9" borderId="0" xfId="0" applyFont="1" applyFill="1" applyAlignment="1" applyProtection="1">
      <alignment horizontal="center" vertical="center"/>
      <protection locked="0"/>
    </xf>
    <xf numFmtId="0" fontId="9" fillId="11" borderId="0" xfId="0" applyFont="1" applyFill="1" applyAlignment="1" applyProtection="1">
      <alignment horizontal="center" vertical="center" wrapText="1"/>
      <protection locked="0"/>
    </xf>
    <xf numFmtId="0" fontId="26" fillId="9" borderId="0" xfId="233" applyFont="1" applyFill="1" applyAlignment="1">
      <alignment horizontal="center" vertical="center" wrapText="1"/>
    </xf>
    <xf numFmtId="0" fontId="31" fillId="0" borderId="0" xfId="233" applyFont="1" applyAlignment="1">
      <alignment horizontal="left" vertical="center"/>
    </xf>
    <xf numFmtId="0" fontId="9" fillId="0" borderId="0" xfId="233" applyFont="1" applyAlignment="1">
      <alignment horizontal="left" vertical="center"/>
    </xf>
    <xf numFmtId="0" fontId="13" fillId="0" borderId="0" xfId="0" applyFont="1" applyAlignment="1">
      <alignment horizontal="left" vertical="center" wrapText="1"/>
    </xf>
    <xf numFmtId="0" fontId="31" fillId="0" borderId="0" xfId="0" applyFont="1" applyAlignment="1">
      <alignment horizontal="left" vertical="center"/>
    </xf>
    <xf numFmtId="0" fontId="33" fillId="0" borderId="0" xfId="0" applyFont="1" applyAlignment="1" applyProtection="1">
      <alignment horizontal="left" vertical="center"/>
      <protection locked="0"/>
    </xf>
    <xf numFmtId="0" fontId="9" fillId="0" borderId="0" xfId="0" applyFont="1" applyAlignment="1" applyProtection="1">
      <alignment horizontal="left" vertical="center"/>
      <protection locked="0"/>
    </xf>
    <xf numFmtId="0" fontId="33" fillId="0" borderId="0" xfId="0" applyFont="1" applyAlignment="1" applyProtection="1">
      <alignment horizontal="left" vertical="center" wrapText="1"/>
      <protection locked="0"/>
    </xf>
    <xf numFmtId="0" fontId="31" fillId="0" borderId="0" xfId="0" applyFont="1" applyAlignment="1">
      <alignment horizontal="left"/>
    </xf>
  </cellXfs>
  <cellStyles count="236">
    <cellStyle name="Comma" xfId="1" builtinId="3"/>
    <cellStyle name="Comma 2" xfId="234" xr:uid="{0DA63151-10CA-5B4D-9C92-0E6A68458BEB}"/>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Millares 12 3 31" xfId="4" xr:uid="{00000000-0005-0000-0000-0000DF000000}"/>
    <cellStyle name="Millares 2" xfId="235" xr:uid="{9AAF5620-DA88-F041-A4EF-50B77E342524}"/>
    <cellStyle name="Millares 38 2" xfId="38" xr:uid="{00000000-0005-0000-0000-0000E0000000}"/>
    <cellStyle name="Millares 42" xfId="7" xr:uid="{00000000-0005-0000-0000-0000E1000000}"/>
    <cellStyle name="Millares 44" xfId="6" xr:uid="{00000000-0005-0000-0000-0000E2000000}"/>
    <cellStyle name="Millares_AJUSTE GORAN 2007 BIG" xfId="8" xr:uid="{00000000-0005-0000-0000-0000E3000000}"/>
    <cellStyle name="Normal" xfId="0" builtinId="0"/>
    <cellStyle name="Normal 15" xfId="3" xr:uid="{00000000-0005-0000-0000-0000E5000000}"/>
    <cellStyle name="Normal 2" xfId="233" xr:uid="{ED0FBFB6-3A88-4F45-8EC1-0EF509105983}"/>
    <cellStyle name="Normal_JPMorgan Chase - FIDEICOMISO 864 (q69934000) (2009)" xfId="9" xr:uid="{00000000-0005-0000-0000-0000E6000000}"/>
    <cellStyle name="Percent" xfId="2" builtinId="5"/>
    <cellStyle name="Porcentual 2 2" xfId="5" xr:uid="{00000000-0005-0000-0000-0000E8000000}"/>
  </cellStyles>
  <dxfs count="724">
    <dxf>
      <alignment horizontal="center"/>
    </dxf>
    <dxf>
      <alignment horizontal="right"/>
    </dxf>
    <dxf>
      <alignment horizontal="center"/>
    </dxf>
    <dxf>
      <alignment horizontal="right"/>
    </dxf>
    <dxf>
      <alignment horizontal="center"/>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font>
        <color rgb="FF468694"/>
      </font>
    </dxf>
    <dxf>
      <font>
        <color rgb="FF468694"/>
      </font>
    </dxf>
    <dxf>
      <font>
        <color rgb="FF468694"/>
      </font>
    </dxf>
    <dxf>
      <font>
        <color theme="6" tint="0.39997558519241921"/>
      </font>
    </dxf>
    <dxf>
      <font>
        <color theme="6" tint="0.39997558519241921"/>
      </font>
    </dxf>
    <dxf>
      <font>
        <color theme="6" tint="0.39997558519241921"/>
      </font>
    </dxf>
    <dxf>
      <font>
        <color theme="6" tint="0.59999389629810485"/>
      </font>
    </dxf>
    <dxf>
      <font>
        <color theme="6" tint="0.59999389629810485"/>
      </font>
    </dxf>
    <dxf>
      <font>
        <color theme="6" tint="0.59999389629810485"/>
      </font>
    </dxf>
    <dxf>
      <font>
        <color theme="6" tint="0.79998168889431442"/>
      </font>
    </dxf>
    <dxf>
      <font>
        <color theme="6" tint="0.79998168889431442"/>
      </font>
    </dxf>
    <dxf>
      <alignment horizontal="center"/>
    </dxf>
    <dxf>
      <alignment horizontal="left"/>
    </dxf>
    <dxf>
      <font>
        <color theme="0"/>
      </font>
    </dxf>
    <dxf>
      <font>
        <b/>
      </font>
    </dxf>
    <dxf>
      <font>
        <b/>
      </font>
    </dxf>
    <dxf>
      <font>
        <b/>
      </font>
    </dxf>
    <dxf>
      <font>
        <b/>
      </font>
    </dxf>
    <dxf>
      <font>
        <b val="0"/>
      </font>
    </dxf>
    <dxf>
      <font>
        <color theme="0"/>
      </font>
    </dxf>
    <dxf>
      <font>
        <sz val="10"/>
        <color theme="0"/>
      </font>
      <fill>
        <patternFill patternType="solid">
          <fgColor indexed="64"/>
          <bgColor rgb="FF468694"/>
        </patternFill>
      </fill>
      <alignment horizontal="center" vertical="center" wrapText="1"/>
    </dxf>
    <dxf>
      <font>
        <color theme="1"/>
      </font>
    </dxf>
    <dxf>
      <font>
        <color theme="1"/>
      </font>
    </dxf>
    <dxf>
      <font>
        <color theme="1"/>
      </font>
    </dxf>
    <dxf>
      <font>
        <color theme="1"/>
      </font>
    </dxf>
    <dxf>
      <font>
        <color theme="1"/>
      </font>
    </dxf>
    <dxf>
      <font>
        <color theme="6" tint="0.79998168889431442"/>
      </font>
    </dxf>
    <dxf>
      <font>
        <color theme="6" tint="0.79998168889431442"/>
      </font>
    </dxf>
    <dxf>
      <font>
        <color theme="6" tint="0.79998168889431442"/>
      </font>
    </dxf>
    <dxf>
      <font>
        <color theme="6" tint="0.79998168889431442"/>
      </font>
    </dxf>
    <dxf>
      <font>
        <color theme="6" tint="0.79998168889431442"/>
      </font>
    </dxf>
    <dxf>
      <font>
        <color theme="6" tint="0.79998168889431442"/>
      </font>
    </dxf>
    <dxf>
      <font>
        <color theme="6" tint="0.79998168889431442"/>
      </font>
    </dxf>
    <dxf>
      <font>
        <color theme="6" tint="0.79998168889431442"/>
      </font>
    </dxf>
    <dxf>
      <font>
        <color rgb="FF468694"/>
      </font>
    </dxf>
    <dxf>
      <font>
        <color rgb="FF468694"/>
      </font>
    </dxf>
    <dxf>
      <font>
        <color theme="6" tint="0.59999389629810485"/>
      </font>
    </dxf>
    <dxf>
      <font>
        <color theme="6" tint="0.59999389629810485"/>
      </font>
    </dxf>
    <dxf>
      <font>
        <color theme="6" tint="0.59999389629810485"/>
      </font>
    </dxf>
    <dxf>
      <font>
        <color theme="6" tint="0.59999389629810485"/>
      </font>
    </dxf>
    <dxf>
      <font>
        <color theme="6" tint="0.59999389629810485"/>
      </font>
    </dxf>
    <dxf>
      <font>
        <color theme="6" tint="0.59999389629810485"/>
      </font>
    </dxf>
    <dxf>
      <font>
        <color theme="6" tint="0.59999389629810485"/>
      </font>
    </dxf>
    <dxf>
      <font>
        <color theme="6" tint="0.39997558519241921"/>
      </font>
    </dxf>
    <dxf>
      <font>
        <color theme="6" tint="0.39997558519241921"/>
      </font>
    </dxf>
    <dxf>
      <font>
        <color theme="6" tint="0.39997558519241921"/>
      </font>
    </dxf>
    <dxf>
      <font>
        <color theme="6" tint="0.39997558519241921"/>
      </font>
    </dxf>
    <dxf>
      <font>
        <color theme="6" tint="0.39997558519241921"/>
      </font>
    </dxf>
    <dxf>
      <font>
        <color theme="6" tint="0.39997558519241921"/>
      </font>
    </dxf>
    <dxf>
      <font>
        <color theme="6" tint="0.39997558519241921"/>
      </font>
    </dxf>
    <dxf>
      <font>
        <color rgb="FF468694"/>
      </font>
    </dxf>
    <dxf>
      <font>
        <color rgb="FF468694"/>
      </font>
    </dxf>
    <dxf>
      <font>
        <color rgb="FF468694"/>
      </font>
    </dxf>
    <dxf>
      <font>
        <color rgb="FF468694"/>
      </font>
    </dxf>
    <dxf>
      <numFmt numFmtId="169" formatCode="0.0000"/>
    </dxf>
    <dxf>
      <alignment horizontal="center"/>
    </dxf>
    <dxf>
      <alignment horizontal="general"/>
    </dxf>
    <dxf>
      <alignment horizontal="general"/>
    </dxf>
    <dxf>
      <alignment horizontal="general"/>
    </dxf>
    <dxf>
      <alignment horizontal="general"/>
    </dxf>
    <dxf>
      <alignment horizontal="general"/>
    </dxf>
    <dxf>
      <fill>
        <patternFill>
          <bgColor theme="1"/>
        </patternFill>
      </fill>
    </dxf>
    <dxf>
      <fill>
        <patternFill>
          <bgColor rgb="FF468694"/>
        </patternFill>
      </fill>
    </dxf>
    <dxf>
      <border>
        <top style="thin">
          <color rgb="FF8BC0FF"/>
        </top>
        <bottom style="thin">
          <color rgb="FF8BC0FF"/>
        </bottom>
      </border>
    </dxf>
    <dxf>
      <fill>
        <patternFill>
          <bgColor theme="6" tint="0.39997558519241921"/>
        </patternFill>
      </fill>
    </dxf>
    <dxf>
      <border>
        <top style="thin">
          <color rgb="FF8BC0FF"/>
        </top>
        <bottom style="thin">
          <color rgb="FF8BC0FF"/>
        </bottom>
      </border>
    </dxf>
    <dxf>
      <fill>
        <patternFill>
          <bgColor theme="6" tint="0.59999389629810485"/>
        </patternFill>
      </fill>
    </dxf>
    <dxf>
      <border>
        <top style="thin">
          <color rgb="FF8BC0FF"/>
        </top>
        <bottom style="thin">
          <color rgb="FF8BC0FF"/>
        </bottom>
      </border>
    </dxf>
    <dxf>
      <fill>
        <patternFill>
          <bgColor theme="6" tint="0.79998168889431442"/>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alignment horizontal="center"/>
    </dxf>
    <dxf>
      <font>
        <color theme="0"/>
      </font>
    </dxf>
    <dxf>
      <alignment vertical="center"/>
    </dxf>
    <dxf>
      <fill>
        <patternFill patternType="solid">
          <bgColor theme="4" tint="-0.499984740745262"/>
        </patternFill>
      </fill>
    </dxf>
    <dxf>
      <font>
        <color theme="0"/>
      </font>
    </dxf>
    <dxf>
      <alignment vertical="center"/>
    </dxf>
    <dxf>
      <fill>
        <patternFill patternType="solid">
          <bgColor theme="4" tint="-0.249977111117893"/>
        </patternFill>
      </fill>
    </dxf>
    <dxf>
      <fill>
        <patternFill patternType="solid">
          <bgColor theme="4" tint="0.39997558519241921"/>
        </patternFill>
      </fill>
    </dxf>
    <dxf>
      <fill>
        <patternFill patternType="solid">
          <bgColor theme="4" tint="0.59999389629810485"/>
        </patternFill>
      </fill>
    </dxf>
    <dxf>
      <fill>
        <patternFill patternType="solid">
          <bgColor theme="4" tint="0.79998168889431442"/>
        </patternFill>
      </fill>
    </dxf>
    <dxf>
      <alignment wrapText="1"/>
    </dxf>
    <dxf>
      <alignment horizontal="center"/>
    </dxf>
    <dxf>
      <alignment vertical="center"/>
    </dxf>
    <dxf>
      <numFmt numFmtId="169" formatCode="0.0000"/>
    </dxf>
    <dxf>
      <numFmt numFmtId="178" formatCode="#,##0.00_);[Red]\(#,##0.00\);_(&quot;-&quot;_);_(@_)"/>
    </dxf>
    <dxf>
      <alignment wrapText="1"/>
    </dxf>
    <dxf>
      <alignment horizontal="center"/>
    </dxf>
    <dxf>
      <alignment vertical="center"/>
    </dxf>
    <dxf>
      <numFmt numFmtId="178" formatCode="#,##0.00_);[Red]\(#,##0.00\);_(&quot;-&quot;_);_(@_)"/>
    </dxf>
    <dxf>
      <alignment horizontal="center"/>
    </dxf>
    <dxf>
      <alignment horizontal="center"/>
    </dxf>
    <dxf>
      <alignment wrapText="1"/>
    </dxf>
    <dxf>
      <alignment vertical="center"/>
    </dxf>
    <dxf>
      <numFmt numFmtId="178" formatCode="#,##0.00_);[Red]\(#,##0.00\);_(&quot;-&quot;_);_(@_)"/>
    </dxf>
    <dxf>
      <alignment wrapText="1"/>
    </dxf>
    <dxf>
      <alignment horizontal="center"/>
    </dxf>
    <dxf>
      <alignment vertical="center"/>
    </dxf>
    <dxf>
      <numFmt numFmtId="178" formatCode="#,##0.00_);[Red]\(#,##0.00\);_(&quot;-&quot;_);_(@_)"/>
    </dxf>
    <dxf>
      <alignment wrapText="1"/>
    </dxf>
    <dxf>
      <alignment vertical="center"/>
    </dxf>
    <dxf>
      <numFmt numFmtId="8" formatCode="#,##0.00_);[Red]\(#,##0.00\)"/>
    </dxf>
    <dxf>
      <alignment wrapText="1"/>
    </dxf>
    <dxf>
      <alignment vertical="center"/>
    </dxf>
    <dxf>
      <alignment wrapText="1"/>
    </dxf>
    <dxf>
      <alignment vertical="center"/>
    </dxf>
    <dxf>
      <alignment horizontal="center"/>
    </dxf>
    <dxf>
      <alignment horizontal="center"/>
    </dxf>
    <dxf>
      <numFmt numFmtId="181" formatCode="0.0000_);[Red]\(0.0000\)"/>
    </dxf>
    <dxf>
      <alignment horizontal="center"/>
    </dxf>
    <dxf>
      <alignment horizontal="center"/>
    </dxf>
    <dxf>
      <alignment wrapText="1"/>
    </dxf>
    <dxf>
      <alignment vertical="center"/>
    </dxf>
    <dxf>
      <numFmt numFmtId="169" formatCode="0.0000"/>
    </dxf>
    <dxf>
      <alignment vertical="center"/>
    </dxf>
    <dxf>
      <alignment vertical="bottom"/>
    </dxf>
    <dxf>
      <alignment horizontal="center"/>
    </dxf>
    <dxf>
      <alignment horizontal="center"/>
    </dxf>
    <dxf>
      <alignment wrapText="1"/>
    </dxf>
    <dxf>
      <numFmt numFmtId="169" formatCode="0.0000"/>
    </dxf>
    <dxf>
      <alignment wrapText="1"/>
    </dxf>
    <dxf>
      <alignment vertical="center"/>
    </dxf>
    <dxf>
      <numFmt numFmtId="8" formatCode="#,##0.00_);[Red]\(#,##0.00\)"/>
    </dxf>
    <dxf>
      <alignment horizontal="center"/>
    </dxf>
    <dxf>
      <alignment horizontal="center"/>
    </dxf>
    <dxf>
      <alignment wrapText="1"/>
    </dxf>
    <dxf>
      <alignment vertical="center"/>
    </dxf>
    <dxf>
      <alignment horizontal="center"/>
    </dxf>
    <dxf>
      <alignment horizontal="center"/>
    </dxf>
    <dxf>
      <numFmt numFmtId="180" formatCode="0.0000;[Red]0.0000"/>
    </dxf>
    <dxf>
      <alignment wrapText="1"/>
    </dxf>
    <dxf>
      <alignment vertical="center"/>
    </dxf>
    <dxf>
      <alignment wrapText="1"/>
    </dxf>
    <dxf>
      <alignment horizontal="center"/>
    </dxf>
    <dxf>
      <alignment vertical="center"/>
    </dxf>
    <dxf>
      <alignment wrapText="1"/>
    </dxf>
    <dxf>
      <alignment horizontal="center"/>
    </dxf>
    <dxf>
      <alignment vertical="center"/>
    </dxf>
    <dxf>
      <alignment wrapText="1"/>
    </dxf>
    <dxf>
      <alignment vertical="center"/>
    </dxf>
    <dxf>
      <alignment horizontal="center"/>
    </dxf>
    <dxf>
      <alignment vertical="center"/>
    </dxf>
    <dxf>
      <alignment wrapText="1"/>
    </dxf>
    <dxf>
      <alignment horizontal="center"/>
    </dxf>
    <dxf>
      <alignment vertical="center"/>
    </dxf>
    <dxf>
      <alignment wrapText="1"/>
    </dxf>
    <dxf>
      <alignment vertical="center"/>
    </dxf>
    <dxf>
      <alignment horizontal="center"/>
    </dxf>
    <dxf>
      <alignment wrapText="1"/>
    </dxf>
    <dxf>
      <alignment wrapText="1"/>
    </dxf>
    <dxf>
      <alignment horizontal="center"/>
    </dxf>
    <dxf>
      <alignment vertical="center"/>
    </dxf>
    <dxf>
      <alignment horizontal="center" vertical="center" wrapText="1"/>
    </dxf>
    <dxf>
      <alignment wrapText="1"/>
    </dxf>
    <dxf>
      <alignment horizontal="center"/>
    </dxf>
    <dxf>
      <alignment vertical="center"/>
    </dxf>
    <dxf>
      <alignment wrapText="1"/>
    </dxf>
    <dxf>
      <alignment horizontal="center"/>
    </dxf>
    <dxf>
      <alignment vertical="center"/>
    </dxf>
    <dxf>
      <alignment horizontal="center" vertical="center" wrapText="1"/>
    </dxf>
    <dxf>
      <alignment horizontal="center"/>
    </dxf>
    <dxf>
      <alignment vertical="center"/>
    </dxf>
    <dxf>
      <alignment wrapText="1"/>
    </dxf>
    <dxf>
      <alignment horizontal="center"/>
    </dxf>
    <dxf>
      <alignment vertical="center"/>
    </dxf>
    <dxf>
      <alignment wrapText="1"/>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alignment horizontal="center"/>
    </dxf>
    <dxf>
      <font>
        <b/>
      </font>
    </dxf>
    <dxf>
      <alignment horizontal="center"/>
    </dxf>
    <dxf>
      <alignment horizontal="center"/>
    </dxf>
    <dxf>
      <numFmt numFmtId="8" formatCode="#,##0.00_);[Red]\(#,##0.00\)"/>
    </dxf>
    <dxf>
      <alignment horizontal="center"/>
    </dxf>
    <dxf>
      <alignment horizontal="center"/>
    </dxf>
    <dxf>
      <numFmt numFmtId="8" formatCode="#,##0.00_);[Red]\(#,##0.00\)"/>
    </dxf>
    <dxf>
      <numFmt numFmtId="8" formatCode="#,##0.00_);[Red]\(#,##0.00\)"/>
    </dxf>
    <dxf>
      <alignment horizontal="center"/>
    </dxf>
    <dxf>
      <alignment horizontal="center"/>
    </dxf>
    <dxf>
      <numFmt numFmtId="179" formatCode="[$-409]dd\-mmm\-yy;@"/>
    </dxf>
    <dxf>
      <alignment horizontal="center"/>
    </dxf>
    <dxf>
      <alignment horizontal="center"/>
    </dxf>
    <dxf>
      <numFmt numFmtId="167" formatCode="[$-409]d\-mmm\-yy;@"/>
    </dxf>
    <dxf>
      <font>
        <color theme="1"/>
      </font>
    </dxf>
    <dxf>
      <font>
        <color rgb="FF468694"/>
      </font>
    </dxf>
    <dxf>
      <font>
        <color rgb="FF468694"/>
      </font>
    </dxf>
    <dxf>
      <font>
        <color theme="6" tint="0.39997558519241921"/>
      </font>
    </dxf>
    <dxf>
      <font>
        <color theme="6" tint="0.39997558519241921"/>
      </font>
    </dxf>
    <dxf>
      <font>
        <color theme="6" tint="0.59999389629810485"/>
      </font>
    </dxf>
    <dxf>
      <font>
        <color theme="6" tint="0.59999389629810485"/>
      </font>
    </dxf>
    <dxf>
      <numFmt numFmtId="8" formatCode="#,##0.00_);[Red]\(#,##0.00\)"/>
    </dxf>
    <dxf>
      <font>
        <color theme="6" tint="0.79998168889431442"/>
      </font>
    </dxf>
    <dxf>
      <font>
        <color theme="6" tint="0.79998168889431442"/>
      </font>
      <numFmt numFmtId="176" formatCode="0.0000_);\(0.0000\)"/>
    </dxf>
    <dxf>
      <font>
        <color theme="6" tint="0.79998168889431442"/>
      </font>
    </dxf>
    <dxf>
      <font>
        <color theme="6" tint="0.59999389629810485"/>
      </font>
    </dxf>
    <dxf>
      <font>
        <color theme="6" tint="0.39997558519241921"/>
      </font>
    </dxf>
    <dxf>
      <font>
        <color rgb="FF468694"/>
      </font>
    </dxf>
    <dxf>
      <font>
        <color auto="1"/>
      </font>
    </dxf>
    <dxf>
      <font>
        <color auto="1"/>
      </font>
    </dxf>
    <dxf>
      <font>
        <sz val="10"/>
        <color theme="0"/>
      </font>
      <fill>
        <patternFill patternType="solid">
          <fgColor indexed="64"/>
          <bgColor rgb="FF468694"/>
        </patternFill>
      </fill>
      <alignment horizontal="center" vertical="center" wrapText="1"/>
    </dxf>
    <dxf>
      <numFmt numFmtId="8" formatCode="#,##0.00_);[Red]\(#,##0.00\)"/>
    </dxf>
    <dxf>
      <numFmt numFmtId="169" formatCode="0.0000"/>
    </dxf>
    <dxf>
      <font>
        <color rgb="FF468694"/>
      </font>
    </dxf>
    <dxf>
      <font>
        <color rgb="FF468694"/>
      </font>
    </dxf>
    <dxf>
      <font>
        <color rgb="FF468694"/>
      </font>
    </dxf>
    <dxf>
      <font>
        <color auto="1"/>
      </font>
    </dxf>
    <dxf>
      <font>
        <color rgb="FF366872"/>
      </font>
    </dxf>
    <dxf>
      <font>
        <color auto="1"/>
      </font>
    </dxf>
    <dxf>
      <font>
        <color theme="6" tint="0.39997558519241921"/>
      </font>
    </dxf>
    <dxf>
      <font>
        <color theme="6" tint="0.59999389629810485"/>
      </font>
    </dxf>
    <dxf>
      <font>
        <color theme="6" tint="0.79998168889431442"/>
      </font>
    </dxf>
    <dxf>
      <font>
        <color auto="1"/>
      </font>
    </dxf>
    <dxf>
      <alignment horizontal="center"/>
    </dxf>
    <dxf>
      <numFmt numFmtId="169" formatCode="0.0000"/>
    </dxf>
    <dxf>
      <alignment horizontal="center"/>
    </dxf>
    <dxf>
      <numFmt numFmtId="169" formatCode="0.0000"/>
    </dxf>
    <dxf>
      <font>
        <sz val="10"/>
        <color theme="0"/>
      </font>
      <fill>
        <patternFill patternType="solid">
          <fgColor indexed="64"/>
          <bgColor rgb="FF468694"/>
        </patternFill>
      </fill>
      <alignment horizontal="center" vertical="center" wrapText="1"/>
    </dxf>
    <dxf>
      <numFmt numFmtId="8" formatCode="#,##0.00_);[Red]\(#,##0.00\)"/>
    </dxf>
    <dxf>
      <alignment horizontal="left"/>
    </dxf>
    <dxf>
      <font>
        <sz val="10"/>
      </font>
    </dxf>
    <dxf>
      <font>
        <sz val="10"/>
      </font>
    </dxf>
    <dxf>
      <font>
        <sz val="10"/>
      </font>
    </dxf>
    <dxf>
      <font>
        <sz val="10"/>
      </font>
    </dxf>
    <dxf>
      <font>
        <sz val="10"/>
      </font>
    </dxf>
    <dxf>
      <font>
        <sz val="10"/>
      </font>
    </dxf>
    <dxf>
      <font>
        <sz val="10"/>
      </font>
    </dxf>
    <dxf>
      <font>
        <sz val="10"/>
      </font>
    </dxf>
    <dxf>
      <font>
        <sz val="10"/>
      </font>
    </dxf>
    <dxf>
      <fill>
        <patternFill>
          <bgColor theme="1"/>
        </patternFill>
      </fill>
    </dxf>
    <dxf>
      <fill>
        <patternFill>
          <bgColor rgb="FF468694"/>
        </patternFill>
      </fill>
    </dxf>
    <dxf>
      <border>
        <top style="thin">
          <color rgb="FF8BC0FF"/>
        </top>
        <bottom style="thin">
          <color rgb="FF8BC0FF"/>
        </bottom>
      </border>
    </dxf>
    <dxf>
      <fill>
        <patternFill>
          <bgColor theme="6" tint="0.39997558519241921"/>
        </patternFill>
      </fill>
    </dxf>
    <dxf>
      <border>
        <top style="thin">
          <color rgb="FF8BC0FF"/>
        </top>
        <bottom style="thin">
          <color rgb="FF8BC0FF"/>
        </bottom>
      </border>
    </dxf>
    <dxf>
      <fill>
        <patternFill>
          <bgColor theme="6" tint="0.59999389629810485"/>
        </patternFill>
      </fill>
    </dxf>
    <dxf>
      <border>
        <top style="thin">
          <color rgb="FF8BC0FF"/>
        </top>
        <bottom style="thin">
          <color rgb="FF8BC0FF"/>
        </bottom>
      </border>
    </dxf>
    <dxf>
      <fill>
        <patternFill>
          <bgColor theme="6" tint="0.79998168889431442"/>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alignment vertical="center"/>
    </dxf>
    <dxf>
      <font>
        <color theme="0"/>
      </font>
    </dxf>
    <dxf>
      <fill>
        <patternFill patternType="solid">
          <bgColor theme="4" tint="-0.249977111117893"/>
        </patternFill>
      </fill>
    </dxf>
    <dxf>
      <fill>
        <patternFill patternType="solid">
          <bgColor theme="4" tint="0.39997558519241921"/>
        </patternFill>
      </fill>
    </dxf>
    <dxf>
      <font>
        <b/>
      </font>
    </dxf>
    <dxf>
      <font>
        <name val="Helvetica Light"/>
      </font>
    </dxf>
    <dxf>
      <alignment horizontal="center" vertical="center" wrapText="1"/>
    </dxf>
    <dxf>
      <numFmt numFmtId="8" formatCode="#,##0.00_);[Red]\(#,##0.00\)"/>
    </dxf>
    <dxf>
      <alignment horizontal="center"/>
    </dxf>
    <dxf>
      <alignment vertical="center"/>
    </dxf>
    <dxf>
      <alignment wrapText="1"/>
    </dxf>
    <dxf>
      <alignment horizontal="center"/>
    </dxf>
    <dxf>
      <alignment horizontal="center" vertical="center" wrapText="1"/>
    </dxf>
    <dxf>
      <numFmt numFmtId="7" formatCode="#,##0.00_);\(#,##0.00\)"/>
    </dxf>
    <dxf>
      <alignment horizontal="center"/>
    </dxf>
    <dxf>
      <alignment horizontal="center"/>
    </dxf>
    <dxf>
      <numFmt numFmtId="167" formatCode="[$-409]d\-mmm\-yy;@"/>
    </dxf>
    <dxf>
      <alignment horizontal="center"/>
    </dxf>
    <dxf>
      <alignment horizontal="center"/>
    </dxf>
    <dxf>
      <alignment horizontal="center"/>
    </dxf>
    <dxf>
      <alignment horizontal="center"/>
    </dxf>
    <dxf>
      <alignment horizontal="center" vertical="center" wrapText="1"/>
    </dxf>
    <dxf>
      <fill>
        <patternFill patternType="solid">
          <bgColor theme="4" tint="0.79998168889431442"/>
        </patternFill>
      </fill>
    </dxf>
    <dxf>
      <alignment horizontal="center" vertical="center" wrapText="1"/>
    </dxf>
    <dxf>
      <alignment horizontal="center" vertical="center" wrapText="1"/>
    </dxf>
    <dxf>
      <numFmt numFmtId="8" formatCode="#,##0.00_);[Red]\(#,##0.00\)"/>
    </dxf>
    <dxf>
      <numFmt numFmtId="176" formatCode="0.0000_);\(0.0000\)"/>
    </dxf>
    <dxf>
      <numFmt numFmtId="7" formatCode="#,##0.00_);\(#,##0.00\)"/>
    </dxf>
    <dxf>
      <alignment horizontal="center"/>
    </dxf>
    <dxf>
      <alignment vertical="center"/>
    </dxf>
    <dxf>
      <alignment wrapText="1"/>
    </dxf>
    <dxf>
      <alignment horizontal="center"/>
    </dxf>
    <dxf>
      <alignment horizontal="center"/>
    </dxf>
    <dxf>
      <alignment vertical="center"/>
    </dxf>
    <dxf>
      <alignment wrapText="1"/>
    </dxf>
    <dxf>
      <alignment horizontal="center"/>
    </dxf>
    <dxf>
      <numFmt numFmtId="179" formatCode="[$-409]dd\-mmm\-yy;@"/>
    </dxf>
    <dxf>
      <alignment horizontal="center" vertical="center" wrapText="1"/>
    </dxf>
    <dxf>
      <alignment horizontal="center" vertical="center" wrapText="1"/>
    </dxf>
    <dxf>
      <font>
        <name val="Helvetica Light"/>
      </font>
    </dxf>
    <dxf>
      <font>
        <name val="Helvetica Light"/>
      </font>
    </dxf>
    <dxf>
      <font>
        <name val="Helvetica Light"/>
      </font>
    </dxf>
    <dxf>
      <alignment wrapText="1"/>
    </dxf>
    <dxf>
      <alignment wrapText="1"/>
    </dxf>
    <dxf>
      <alignment horizontal="center"/>
    </dxf>
    <dxf>
      <alignment vertical="center"/>
    </dxf>
    <dxf>
      <alignment vertical="center"/>
    </dxf>
    <dxf>
      <alignment vertical="center"/>
    </dxf>
    <dxf>
      <alignment horizontal="center"/>
    </dxf>
    <dxf>
      <fill>
        <patternFill patternType="solid">
          <bgColor theme="4" tint="0.59999389629810485"/>
        </patternFill>
      </fill>
    </dxf>
    <dxf>
      <font>
        <color theme="8" tint="-0.499984740745262"/>
      </font>
    </dxf>
    <dxf>
      <font>
        <color theme="8" tint="-0.499984740745262"/>
      </font>
    </dxf>
    <dxf>
      <font>
        <color theme="8" tint="-0.499984740745262"/>
      </font>
    </dxf>
    <dxf>
      <font>
        <color theme="0"/>
      </font>
    </dxf>
    <dxf>
      <font>
        <color theme="0"/>
      </font>
    </dxf>
    <dxf>
      <fill>
        <patternFill patternType="solid">
          <bgColor theme="8" tint="-0.499984740745262"/>
        </patternFill>
      </fill>
    </dxf>
    <dxf>
      <fill>
        <patternFill patternType="solid">
          <bgColor theme="8" tint="-0.499984740745262"/>
        </patternFill>
      </fill>
    </dxf>
    <dxf>
      <alignment vertical="center"/>
    </dxf>
    <dxf>
      <alignment vertical="center"/>
    </dxf>
    <dxf>
      <alignment horizontal="center"/>
    </dxf>
    <dxf>
      <alignment horizontal="center"/>
    </dxf>
    <dxf>
      <alignment wrapText="1"/>
    </dxf>
    <dxf>
      <alignment wrapText="1"/>
    </dxf>
    <dxf>
      <font>
        <name val="Helvetica Ligera"/>
      </font>
    </dxf>
    <dxf>
      <font>
        <name val="Helvetica Ligera"/>
      </font>
    </dxf>
    <dxf>
      <font>
        <name val="Helvetica Ligera"/>
      </font>
    </dxf>
    <dxf>
      <font>
        <name val="Helvetica Ligera"/>
      </font>
    </dxf>
    <dxf>
      <font>
        <name val="Helvetica Ligera"/>
      </font>
    </dxf>
    <dxf>
      <alignment horizontal="center"/>
    </dxf>
    <dxf>
      <alignment horizontal="right"/>
    </dxf>
    <dxf>
      <alignment horizontal="center"/>
    </dxf>
    <dxf>
      <alignment vertical="center"/>
    </dxf>
    <dxf>
      <alignment horizontal="right"/>
    </dxf>
    <dxf>
      <alignment horizontal="center"/>
    </dxf>
    <dxf>
      <alignment horizontal="right"/>
    </dxf>
    <dxf>
      <alignment horizontal="center"/>
    </dxf>
    <dxf>
      <alignment horizontal="right"/>
    </dxf>
    <dxf>
      <alignment horizontal="center"/>
    </dxf>
    <dxf>
      <alignment horizontal="right"/>
    </dxf>
    <dxf>
      <alignment horizontal="center"/>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font>
        <color theme="0"/>
      </font>
    </dxf>
    <dxf>
      <alignment horizontal="general"/>
    </dxf>
    <dxf>
      <alignment horizontal="right"/>
    </dxf>
    <dxf>
      <border>
        <top style="thin">
          <color rgb="FF8BC1FF"/>
        </top>
      </border>
    </dxf>
    <dxf>
      <border>
        <top style="thin">
          <color rgb="FF8BC1FF"/>
        </top>
      </border>
    </dxf>
    <dxf>
      <alignment horizontal="center"/>
    </dxf>
    <dxf>
      <font>
        <color rgb="FF468694"/>
      </font>
    </dxf>
    <dxf>
      <alignment horizontal="right"/>
    </dxf>
    <dxf>
      <numFmt numFmtId="178" formatCode="#,##0.00_);[Red]\(#,##0.00\);_(&quot;-&quot;_);_(@_)"/>
    </dxf>
    <dxf>
      <font>
        <sz val="10"/>
        <color theme="0"/>
      </font>
      <fill>
        <patternFill patternType="solid">
          <fgColor indexed="64"/>
          <bgColor rgb="FF468694"/>
        </patternFill>
      </fill>
      <alignment horizontal="center" vertical="center" wrapText="1"/>
    </dxf>
    <dxf>
      <font>
        <b val="0"/>
      </font>
    </dxf>
    <dxf>
      <font>
        <b/>
      </font>
    </dxf>
    <dxf>
      <font>
        <b/>
      </font>
    </dxf>
    <dxf>
      <font>
        <b/>
      </font>
    </dxf>
    <dxf>
      <font>
        <b/>
      </font>
    </dxf>
    <dxf>
      <alignment horizontal="right"/>
    </dxf>
    <dxf>
      <alignment horizontal="right"/>
    </dxf>
    <dxf>
      <border>
        <top style="thin">
          <color rgb="FF8BC1FF"/>
        </top>
        <bottom style="thin">
          <color rgb="FF8BC1FF"/>
        </bottom>
      </border>
    </dxf>
    <dxf>
      <border>
        <top style="thin">
          <color rgb="FF8BC1FF"/>
        </top>
        <bottom style="thin">
          <color rgb="FF8BC1FF"/>
        </bottom>
      </border>
    </dxf>
    <dxf>
      <border>
        <top style="thin">
          <color rgb="FF8BC1FF"/>
        </top>
        <bottom style="thin">
          <color rgb="FF8BC1FF"/>
        </bottom>
      </border>
    </dxf>
    <dxf>
      <border>
        <top style="thin">
          <color rgb="FF8BC1FF"/>
        </top>
        <bottom style="thin">
          <color rgb="FF8BC1FF"/>
        </bottom>
      </border>
    </dxf>
    <dxf>
      <border>
        <top style="thin">
          <color rgb="FF8BC1FF"/>
        </top>
        <bottom style="thin">
          <color rgb="FF8BC1FF"/>
        </bottom>
      </border>
    </dxf>
    <dxf>
      <border>
        <top style="thin">
          <color rgb="FF8BC1FF"/>
        </top>
        <bottom style="thin">
          <color rgb="FF8BC1FF"/>
        </bottom>
      </border>
    </dxf>
    <dxf>
      <alignment vertical="center"/>
    </dxf>
    <dxf>
      <alignment horizontal="left"/>
    </dxf>
    <dxf>
      <alignment vertical="center"/>
    </dxf>
    <dxf>
      <alignment horizontal="left"/>
    </dxf>
    <dxf>
      <font>
        <sz val="10"/>
        <color theme="0"/>
      </font>
      <fill>
        <patternFill patternType="solid">
          <fgColor indexed="64"/>
          <bgColor rgb="FF468694"/>
        </patternFill>
      </fill>
      <alignment horizontal="center" vertical="center" wrapText="1"/>
    </dxf>
    <dxf>
      <font>
        <color theme="6" tint="0.79998168889431442"/>
      </font>
    </dxf>
    <dxf>
      <alignment horizontal="center"/>
    </dxf>
    <dxf>
      <alignment horizontal="general"/>
    </dxf>
    <dxf>
      <alignment horizontal="general"/>
    </dxf>
    <dxf>
      <alignment horizontal="general"/>
    </dxf>
    <dxf>
      <alignment horizontal="general"/>
    </dxf>
    <dxf>
      <alignment horizontal="general"/>
    </dxf>
    <dxf>
      <fill>
        <patternFill>
          <bgColor theme="1"/>
        </patternFill>
      </fill>
    </dxf>
    <dxf>
      <fill>
        <patternFill>
          <bgColor rgb="FF468694"/>
        </patternFill>
      </fill>
    </dxf>
    <dxf>
      <border>
        <top style="thin">
          <color rgb="FF8BC0FF"/>
        </top>
        <bottom style="thin">
          <color rgb="FF8BC0FF"/>
        </bottom>
      </border>
    </dxf>
    <dxf>
      <fill>
        <patternFill>
          <bgColor theme="6" tint="0.39997558519241921"/>
        </patternFill>
      </fill>
    </dxf>
    <dxf>
      <border>
        <top style="thin">
          <color rgb="FF8BC0FF"/>
        </top>
        <bottom style="thin">
          <color rgb="FF8BC0FF"/>
        </bottom>
      </border>
    </dxf>
    <dxf>
      <fill>
        <patternFill>
          <bgColor theme="6" tint="0.59999389629810485"/>
        </patternFill>
      </fill>
    </dxf>
    <dxf>
      <border>
        <top style="thin">
          <color rgb="FF8BC0FF"/>
        </top>
        <bottom style="thin">
          <color rgb="FF8BC0FF"/>
        </bottom>
      </border>
    </dxf>
    <dxf>
      <fill>
        <patternFill>
          <bgColor theme="6" tint="0.79998168889431442"/>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color theme="0"/>
      </font>
    </dxf>
    <dxf>
      <alignment vertical="center"/>
    </dxf>
    <dxf>
      <fill>
        <patternFill patternType="solid">
          <bgColor theme="4" tint="-0.499984740745262"/>
        </patternFill>
      </fill>
    </dxf>
    <dxf>
      <font>
        <color theme="0"/>
      </font>
    </dxf>
    <dxf>
      <alignment vertical="center"/>
    </dxf>
    <dxf>
      <fill>
        <patternFill patternType="solid">
          <bgColor theme="4" tint="-0.249977111117893"/>
        </patternFill>
      </fill>
    </dxf>
    <dxf>
      <fill>
        <patternFill patternType="solid">
          <bgColor theme="4" tint="0.39997558519241921"/>
        </patternFill>
      </fill>
    </dxf>
    <dxf>
      <fill>
        <patternFill patternType="solid">
          <bgColor theme="4" tint="0.59999389629810485"/>
        </patternFill>
      </fill>
    </dxf>
    <dxf>
      <fill>
        <patternFill patternType="solid">
          <bgColor theme="4" tint="0.79998168889431442"/>
        </patternFill>
      </fill>
    </dxf>
    <dxf>
      <alignment wrapText="1"/>
    </dxf>
    <dxf>
      <alignment vertical="center"/>
    </dxf>
    <dxf>
      <numFmt numFmtId="178" formatCode="#,##0.00_);[Red]\(#,##0.00\);_(&quot;-&quot;_);_(@_)"/>
    </dxf>
    <dxf>
      <alignment wrapText="1"/>
    </dxf>
    <dxf>
      <numFmt numFmtId="178" formatCode="#,##0.00_);[Red]\(#,##0.00\);_(&quot;-&quot;_);_(@_)"/>
    </dxf>
    <dxf>
      <numFmt numFmtId="178" formatCode="#,##0.00_);[Red]\(#,##0.00\);_(&quot;-&quot;_);_(@_)"/>
    </dxf>
    <dxf>
      <alignment wrapText="1"/>
    </dxf>
    <dxf>
      <alignment vertical="center"/>
    </dxf>
    <dxf>
      <numFmt numFmtId="8" formatCode="#,##0.00_);[Red]\(#,##0.00\)"/>
    </dxf>
    <dxf>
      <alignment wrapText="1"/>
    </dxf>
    <dxf>
      <alignment vertical="center"/>
    </dxf>
    <dxf>
      <alignment wrapText="1"/>
    </dxf>
    <dxf>
      <alignment vertical="center"/>
    </dxf>
    <dxf>
      <alignment wrapText="1"/>
    </dxf>
    <dxf>
      <alignment horizontal="center"/>
    </dxf>
    <dxf>
      <alignment vertical="center"/>
    </dxf>
    <dxf>
      <alignment wrapText="1"/>
    </dxf>
    <dxf>
      <alignment vertical="center"/>
    </dxf>
    <dxf>
      <alignment horizontal="center"/>
    </dxf>
    <dxf>
      <alignment vertical="center"/>
    </dxf>
    <dxf>
      <alignment wrapText="1"/>
    </dxf>
    <dxf>
      <alignment horizontal="center"/>
    </dxf>
    <dxf>
      <alignment vertical="center"/>
    </dxf>
    <dxf>
      <alignment wrapText="1"/>
    </dxf>
    <dxf>
      <alignment vertical="center"/>
    </dxf>
    <dxf>
      <alignment horizontal="center"/>
    </dxf>
    <dxf>
      <alignment wrapText="1"/>
    </dxf>
    <dxf>
      <alignment wrapText="1"/>
    </dxf>
    <dxf>
      <alignment horizontal="center"/>
    </dxf>
    <dxf>
      <alignment vertical="center"/>
    </dxf>
    <dxf>
      <alignment horizontal="center" vertical="center" wrapText="1"/>
    </dxf>
    <dxf>
      <alignment wrapText="1"/>
    </dxf>
    <dxf>
      <alignment horizontal="center"/>
    </dxf>
    <dxf>
      <alignment vertical="center"/>
    </dxf>
    <dxf>
      <alignment wrapText="1"/>
    </dxf>
    <dxf>
      <alignment horizontal="center"/>
    </dxf>
    <dxf>
      <alignment vertical="center"/>
    </dxf>
    <dxf>
      <alignment horizontal="center" vertical="center" wrapText="1"/>
    </dxf>
    <dxf>
      <alignment horizontal="center"/>
    </dxf>
    <dxf>
      <alignment vertical="center"/>
    </dxf>
    <dxf>
      <alignment wrapText="1"/>
    </dxf>
    <dxf>
      <alignment horizontal="center"/>
    </dxf>
    <dxf>
      <alignment vertical="center"/>
    </dxf>
    <dxf>
      <alignment wrapText="1"/>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name val="Helvetica Light"/>
      </font>
    </dxf>
    <dxf>
      <font>
        <b/>
      </font>
    </dxf>
    <dxf>
      <alignment horizontal="center"/>
    </dxf>
    <dxf>
      <numFmt numFmtId="8" formatCode="#,##0.00_);[Red]\(#,##0.00\)"/>
    </dxf>
    <dxf>
      <alignment horizontal="center"/>
    </dxf>
    <dxf>
      <alignment horizontal="center"/>
    </dxf>
    <dxf>
      <numFmt numFmtId="8" formatCode="#,##0.00_);[Red]\(#,##0.00\)"/>
    </dxf>
    <dxf>
      <numFmt numFmtId="8" formatCode="#,##0.00_);[Red]\(#,##0.00\)"/>
    </dxf>
    <dxf>
      <fill>
        <patternFill>
          <bgColor theme="6" tint="0.79998168889431442"/>
        </patternFill>
      </fill>
    </dxf>
    <dxf>
      <numFmt numFmtId="8" formatCode="#,##0.00_);[Red]\(#,##0.00\)"/>
    </dxf>
    <dxf>
      <font>
        <sz val="10"/>
        <color theme="0"/>
      </font>
      <fill>
        <patternFill patternType="solid">
          <fgColor indexed="64"/>
          <bgColor rgb="FF468694"/>
        </patternFill>
      </fill>
      <alignment horizontal="center" vertical="center" wrapText="1"/>
    </dxf>
    <dxf>
      <alignment horizontal="center"/>
    </dxf>
    <dxf>
      <alignment horizontal="center"/>
    </dxf>
    <dxf>
      <fill>
        <patternFill>
          <bgColor theme="1"/>
        </patternFill>
      </fill>
    </dxf>
    <dxf>
      <fill>
        <patternFill>
          <bgColor theme="6" tint="0.39997558519241921"/>
        </patternFill>
      </fill>
    </dxf>
    <dxf>
      <border>
        <top style="thin">
          <color rgb="FF8BC0FF"/>
        </top>
        <bottom style="thin">
          <color rgb="FF8BC0FF"/>
        </bottom>
      </border>
    </dxf>
    <dxf>
      <fill>
        <patternFill>
          <bgColor theme="6" tint="0.59999389629810485"/>
        </patternFill>
      </fill>
    </dxf>
    <dxf>
      <border>
        <top style="thin">
          <color rgb="FF8BC0FF"/>
        </top>
        <bottom style="thin">
          <color rgb="FF8BC0FF"/>
        </bottom>
      </border>
    </dxf>
    <dxf>
      <font>
        <color theme="0"/>
      </font>
    </dxf>
    <dxf>
      <font>
        <color theme="0"/>
      </font>
    </dxf>
    <dxf>
      <fill>
        <patternFill patternType="solid">
          <bgColor rgb="FF468694"/>
        </patternFill>
      </fill>
    </dxf>
    <dxf>
      <fill>
        <patternFill patternType="solid">
          <bgColor rgb="FF468694"/>
        </patternFill>
      </fill>
    </dxf>
    <dxf>
      <font>
        <sz val="10"/>
      </font>
    </dxf>
    <dxf>
      <font>
        <sz val="10"/>
      </font>
    </dxf>
    <dxf>
      <font>
        <name val="Segoe UI"/>
        <family val="2"/>
      </font>
    </dxf>
    <dxf>
      <font>
        <name val="Segoe UI"/>
        <family val="2"/>
      </font>
    </dxf>
    <dxf>
      <font>
        <name val="Segoe UI"/>
        <family val="2"/>
      </font>
    </dxf>
    <dxf>
      <font>
        <name val="Segoe UI"/>
        <family val="2"/>
      </font>
    </dxf>
    <dxf>
      <font>
        <name val="Segoe UI"/>
        <family val="2"/>
      </font>
    </dxf>
    <dxf>
      <fill>
        <patternFill patternType="none">
          <bgColor auto="1"/>
        </patternFill>
      </fill>
    </dxf>
    <dxf>
      <alignment wrapText="1"/>
    </dxf>
    <dxf>
      <font>
        <b/>
      </font>
    </dxf>
    <dxf>
      <font>
        <b/>
      </font>
    </dxf>
    <dxf>
      <fill>
        <patternFill patternType="solid">
          <bgColor theme="4" tint="0.39997558519241921"/>
        </patternFill>
      </fill>
    </dxf>
    <dxf>
      <fill>
        <patternFill patternType="solid">
          <bgColor theme="4" tint="0.59999389629810485"/>
        </patternFill>
      </fill>
    </dxf>
    <dxf>
      <numFmt numFmtId="178" formatCode="#,##0.00_);[Red]\(#,##0.00\);_(&quot;-&quot;_);_(@_)"/>
    </dxf>
    <dxf>
      <alignment wrapText="1"/>
    </dxf>
    <dxf>
      <alignment vertical="center"/>
    </dxf>
    <dxf>
      <alignment horizontal="center"/>
    </dxf>
    <dxf>
      <alignment horizontal="center"/>
    </dxf>
    <dxf>
      <alignment wrapText="1"/>
    </dxf>
    <dxf>
      <alignment vertical="center"/>
    </dxf>
    <dxf>
      <numFmt numFmtId="7" formatCode="#,##0.00_);\(#,##0.00\)"/>
    </dxf>
    <dxf>
      <numFmt numFmtId="8" formatCode="#,##0.00_);[Red]\(#,##0.00\)"/>
    </dxf>
    <dxf>
      <alignment wrapText="1"/>
    </dxf>
    <dxf>
      <alignment vertical="center"/>
    </dxf>
    <dxf>
      <alignment horizontal="center"/>
    </dxf>
    <dxf>
      <alignment horizontal="center" vertical="center" wrapText="1"/>
    </dxf>
    <dxf>
      <numFmt numFmtId="8" formatCode="#,##0.00_);[Red]\(#,##0.00\)"/>
    </dxf>
    <dxf>
      <numFmt numFmtId="7" formatCode="#,##0.00_);\(#,##0.00\)"/>
    </dxf>
    <dxf>
      <alignment horizontal="center"/>
    </dxf>
    <dxf>
      <alignment wrapText="1"/>
    </dxf>
    <dxf>
      <alignment vertical="center"/>
    </dxf>
    <dxf>
      <alignment wrapText="1"/>
    </dxf>
    <dxf>
      <alignment horizontal="center"/>
    </dxf>
    <dxf>
      <alignment vertical="center"/>
    </dxf>
    <dxf>
      <numFmt numFmtId="8" formatCode="#,##0.00_);[Red]\(#,##0.00\)"/>
    </dxf>
    <dxf>
      <fill>
        <patternFill patternType="solid">
          <bgColor theme="4" tint="0.79998168889431442"/>
        </patternFill>
      </fill>
    </dxf>
    <dxf>
      <font>
        <name val="Helvetica Light"/>
        <scheme val="none"/>
      </font>
    </dxf>
    <dxf>
      <font>
        <color theme="0"/>
      </font>
    </dxf>
    <dxf>
      <fill>
        <patternFill>
          <bgColor theme="8" tint="-0.499984740745262"/>
        </patternFill>
      </fill>
    </dxf>
    <dxf>
      <fill>
        <patternFill>
          <bgColor theme="8" tint="-0.499984740745262"/>
        </patternFill>
      </fill>
    </dxf>
    <dxf>
      <font>
        <name val="Helvetica Ligera"/>
        <scheme val="none"/>
      </font>
    </dxf>
    <dxf>
      <fill>
        <patternFill patternType="solid">
          <bgColor theme="4" tint="0.39997558519241921"/>
        </patternFill>
      </fill>
    </dxf>
    <dxf>
      <font>
        <sz val="10"/>
        <color theme="0"/>
      </font>
      <fill>
        <patternFill patternType="solid">
          <fgColor indexed="64"/>
          <bgColor rgb="FF468694"/>
        </patternFill>
      </fill>
      <alignment horizontal="center" vertical="center" wrapText="1"/>
    </dxf>
    <dxf>
      <numFmt numFmtId="8" formatCode="#,##0.00_);[Red]\(#,##0.00\)"/>
    </dxf>
    <dxf>
      <fill>
        <patternFill>
          <bgColor theme="1"/>
        </patternFill>
      </fill>
    </dxf>
    <dxf>
      <fill>
        <patternFill>
          <bgColor theme="1"/>
        </patternFill>
      </fill>
    </dxf>
    <dxf>
      <border>
        <top style="thin">
          <color rgb="FF8BC0FF"/>
        </top>
        <bottom style="thin">
          <color rgb="FF8BC0FF"/>
        </bottom>
      </border>
    </dxf>
    <dxf>
      <fill>
        <patternFill>
          <bgColor theme="6" tint="0.39997558519241921"/>
        </patternFill>
      </fill>
    </dxf>
    <dxf>
      <border>
        <top style="thin">
          <color rgb="FF8BC0FF"/>
        </top>
        <bottom style="thin">
          <color rgb="FF8BC0FF"/>
        </bottom>
      </border>
    </dxf>
    <dxf>
      <fill>
        <patternFill>
          <bgColor theme="6" tint="0.59999389629810485"/>
        </patternFill>
      </fill>
    </dxf>
    <dxf>
      <border>
        <top style="thin">
          <color rgb="FF8BC0FF"/>
        </top>
        <bottom style="thin">
          <color rgb="FF8BC0FF"/>
        </bottom>
      </border>
    </dxf>
    <dxf>
      <fill>
        <patternFill>
          <bgColor theme="6" tint="0.79998168889431442"/>
        </patternFill>
      </fill>
    </dxf>
    <dxf>
      <font>
        <color theme="0"/>
      </font>
    </dxf>
    <dxf>
      <font>
        <color theme="0"/>
      </font>
    </dxf>
    <dxf>
      <fill>
        <patternFill patternType="solid">
          <bgColor rgb="FF468694"/>
        </patternFill>
      </fill>
    </dxf>
    <dxf>
      <fill>
        <patternFill patternType="solid">
          <bgColor rgb="FF468694"/>
        </patternFill>
      </fill>
    </dxf>
    <dxf>
      <font>
        <sz val="10"/>
      </font>
    </dxf>
    <dxf>
      <font>
        <sz val="10"/>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ill>
        <patternFill patternType="none">
          <bgColor auto="1"/>
        </patternFill>
      </fill>
    </dxf>
    <dxf>
      <fill>
        <patternFill>
          <bgColor auto="1"/>
        </patternFill>
      </fill>
    </dxf>
    <dxf>
      <alignment wrapText="1"/>
    </dxf>
    <dxf>
      <font>
        <b/>
      </font>
    </dxf>
    <dxf>
      <font>
        <b/>
      </font>
    </dxf>
    <dxf>
      <fill>
        <patternFill patternType="solid">
          <bgColor theme="4" tint="0.39997558519241921"/>
        </patternFill>
      </fill>
    </dxf>
    <dxf>
      <fill>
        <patternFill patternType="solid">
          <bgColor theme="4" tint="0.59999389629810485"/>
        </patternFill>
      </fill>
    </dxf>
    <dxf>
      <numFmt numFmtId="178" formatCode="#,##0.00_);[Red]\(#,##0.00\);_(&quot;-&quot;_);_(@_)"/>
    </dxf>
    <dxf>
      <alignment wrapText="1"/>
    </dxf>
    <dxf>
      <alignment horizontal="center"/>
    </dxf>
    <dxf>
      <alignment vertical="center"/>
    </dxf>
    <dxf>
      <alignment horizontal="center"/>
    </dxf>
    <dxf>
      <alignment wrapText="1"/>
    </dxf>
    <dxf>
      <alignment vertical="center"/>
    </dxf>
    <dxf>
      <numFmt numFmtId="7" formatCode="#,##0.00_);\(#,##0.00\)"/>
    </dxf>
    <dxf>
      <numFmt numFmtId="8" formatCode="#,##0.00_);[Red]\(#,##0.00\)"/>
    </dxf>
    <dxf>
      <alignment wrapText="1"/>
    </dxf>
    <dxf>
      <alignment vertical="center"/>
    </dxf>
    <dxf>
      <alignment horizontal="center"/>
    </dxf>
    <dxf>
      <alignment horizontal="center" vertical="center" wrapText="1"/>
    </dxf>
    <dxf>
      <numFmt numFmtId="8" formatCode="#,##0.00_);[Red]\(#,##0.00\)"/>
    </dxf>
    <dxf>
      <numFmt numFmtId="7" formatCode="#,##0.00_);\(#,##0.00\)"/>
    </dxf>
    <dxf>
      <alignment horizontal="center"/>
    </dxf>
    <dxf>
      <alignment wrapText="1"/>
    </dxf>
    <dxf>
      <alignment vertical="center"/>
    </dxf>
    <dxf>
      <alignment wrapText="1"/>
    </dxf>
    <dxf>
      <alignment horizontal="center"/>
    </dxf>
    <dxf>
      <alignment vertical="center"/>
    </dxf>
    <dxf>
      <numFmt numFmtId="8" formatCode="#,##0.00_);[Red]\(#,##0.00\)"/>
    </dxf>
    <dxf>
      <fill>
        <patternFill patternType="solid">
          <bgColor theme="4" tint="0.79998168889431442"/>
        </patternFill>
      </fill>
    </dxf>
    <dxf>
      <font>
        <name val="Helvetica Light"/>
        <scheme val="none"/>
      </font>
    </dxf>
    <dxf>
      <font>
        <color theme="0"/>
      </font>
    </dxf>
    <dxf>
      <fill>
        <patternFill>
          <bgColor theme="8" tint="-0.499984740745262"/>
        </patternFill>
      </fill>
    </dxf>
    <dxf>
      <font>
        <name val="Helvetica Ligera"/>
        <scheme val="none"/>
      </font>
    </dxf>
    <dxf>
      <fill>
        <patternFill patternType="solid">
          <bgColor theme="4" tint="0.39997558519241921"/>
        </patternFill>
      </fill>
    </dxf>
  </dxfs>
  <tableStyles count="0" defaultTableStyle="TableStyleMedium9" defaultPivotStyle="PivotStyleMedium7"/>
  <colors>
    <mruColors>
      <color rgb="FF468694"/>
      <color rgb="FF8BC1FF"/>
      <color rgb="FFFFD579"/>
      <color rgb="FF366872"/>
      <color rgb="FF8BC0FF"/>
      <color rgb="FF10A1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2.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R" refreshedDate="44364.796257870374" missingItemsLimit="0" createdVersion="6" refreshedVersion="7" minRefreshableVersion="3" recordCount="500" xr:uid="{3B79379F-0A2B-0649-90C1-C32FE32FBAA7}">
  <cacheSource type="worksheet">
    <worksheetSource ref="B1:AO1048576" sheet="Ventas OFD"/>
  </cacheSource>
  <cacheFields count="40">
    <cacheField name="Número de Cuenta" numFmtId="0">
      <sharedItems containsNonDate="0" containsString="0" containsBlank="1" count="1">
        <m/>
      </sharedItems>
    </cacheField>
    <cacheField name="Seleccionar la Operación Financiera Derivada (OFD) de que se trata" numFmtId="0">
      <sharedItems containsNonDate="0" containsString="0" containsBlank="1" count="1">
        <m/>
      </sharedItems>
    </cacheField>
    <cacheField name="Seleccionar el Tipo de Operación Inicial" numFmtId="0">
      <sharedItems containsNonDate="0" containsString="0" containsBlank="1" count="1">
        <m/>
      </sharedItems>
    </cacheField>
    <cacheField name="Nombre de la OFD" numFmtId="0">
      <sharedItems containsNonDate="0" containsString="0" containsBlank="1" count="1">
        <m/>
      </sharedItems>
    </cacheField>
    <cacheField name="Moneda Original" numFmtId="0">
      <sharedItems containsNonDate="0" containsString="0" containsBlank="1" count="1">
        <m/>
      </sharedItems>
    </cacheField>
    <cacheField name="Fecha de Operación Inicial" numFmtId="0">
      <sharedItems containsNonDate="0" containsString="0" containsBlank="1" count="1">
        <m/>
      </sharedItems>
    </cacheField>
    <cacheField name="Número de Títulos Operación Inicial" numFmtId="0">
      <sharedItems containsNonDate="0" containsString="0" containsBlank="1" count="1">
        <m/>
      </sharedItems>
    </cacheField>
    <cacheField name="Monto Inicial en Moneda Original" numFmtId="0">
      <sharedItems containsNonDate="0" containsString="0" containsBlank="1"/>
    </cacheField>
    <cacheField name="Tipo de Activo" numFmtId="0">
      <sharedItems containsString="0" containsBlank="1" containsNumber="1" containsInteger="1" minValue="0" maxValue="0" count="2">
        <n v="0"/>
        <m/>
      </sharedItems>
    </cacheField>
    <cacheField name="Equivalencia - Movimiento Inicial" numFmtId="0">
      <sharedItems containsBlank="1"/>
    </cacheField>
    <cacheField name="Monto Inicial en USD" numFmtId="0">
      <sharedItems containsBlank="1"/>
    </cacheField>
    <cacheField name="Tipo de Cambio de Operación Inicial" numFmtId="0">
      <sharedItems containsString="0" containsBlank="1" containsNumber="1" containsInteger="1" minValue="0" maxValue="0"/>
    </cacheField>
    <cacheField name="Monto Inicial en MXN" numFmtId="0">
      <sharedItems containsBlank="1"/>
    </cacheField>
    <cacheField name="INPC Operación Inicial" numFmtId="0">
      <sharedItems containsString="0" containsBlank="1" containsNumber="1" containsInteger="1" minValue="0" maxValue="0"/>
    </cacheField>
    <cacheField name="INPC Operación Final" numFmtId="0">
      <sharedItems containsString="0" containsBlank="1" containsNumber="1" containsInteger="1" minValue="0" maxValue="0"/>
    </cacheField>
    <cacheField name="Factor " numFmtId="0">
      <sharedItems containsString="0" containsBlank="1" containsNumber="1" containsInteger="1" minValue="0" maxValue="0"/>
    </cacheField>
    <cacheField name="Operación Original Actualizada en MXN" numFmtId="0">
      <sharedItems containsBlank="1"/>
    </cacheField>
    <cacheField name="Valor Unitario en MXN" numFmtId="0">
      <sharedItems containsString="0" containsBlank="1" containsNumber="1" containsInteger="1" minValue="0" maxValue="0"/>
    </cacheField>
    <cacheField name="Realizado" numFmtId="0">
      <sharedItems containsBlank="1" count="2">
        <s v="NO"/>
        <m/>
      </sharedItems>
    </cacheField>
    <cacheField name="Número de Títulos - Operación Final" numFmtId="0">
      <sharedItems containsNonDate="0" containsString="0" containsBlank="1" count="1">
        <m/>
      </sharedItems>
    </cacheField>
    <cacheField name="Seleccionar el Tipo de Operación Final" numFmtId="0">
      <sharedItems containsNonDate="0" containsString="0" containsBlank="1" count="1">
        <m/>
      </sharedItems>
    </cacheField>
    <cacheField name="Fecha de Operación Final" numFmtId="0">
      <sharedItems containsNonDate="0" containsString="0" containsBlank="1" count="1">
        <m/>
      </sharedItems>
    </cacheField>
    <cacheField name="Moneda Original2" numFmtId="0">
      <sharedItems containsNonDate="0" containsString="0" containsBlank="1" count="1">
        <m/>
      </sharedItems>
    </cacheField>
    <cacheField name="Monto Final en Moneda Original" numFmtId="0">
      <sharedItems containsNonDate="0" containsString="0" containsBlank="1"/>
    </cacheField>
    <cacheField name="Equivalencia" numFmtId="0">
      <sharedItems containsString="0" containsBlank="1" containsNumber="1" containsInteger="1" minValue="0" maxValue="0"/>
    </cacheField>
    <cacheField name="Monto Final en USD" numFmtId="0">
      <sharedItems containsString="0" containsBlank="1" containsNumber="1" containsInteger="1" minValue="0" maxValue="0"/>
    </cacheField>
    <cacheField name="Tipo de Cambio Operación Final" numFmtId="0">
      <sharedItems containsString="0" containsBlank="1" containsNumber="1" containsInteger="1" minValue="0" maxValue="0"/>
    </cacheField>
    <cacheField name="Monto Final en MXN" numFmtId="0">
      <sharedItems containsString="0" containsBlank="1" containsNumber="1" containsInteger="1" minValue="0" maxValue="0"/>
    </cacheField>
    <cacheField name="Operación Original Actualizada en MXN2" numFmtId="0">
      <sharedItems containsString="0" containsBlank="1" containsNumber="1" containsInteger="1" minValue="0" maxValue="0"/>
    </cacheField>
    <cacheField name="Ganancia / (Pérdida) en MXN" numFmtId="0">
      <sharedItems containsString="0" containsBlank="1" containsNumber="1" containsInteger="1" minValue="0" maxValue="0"/>
    </cacheField>
    <cacheField name="Years held" numFmtId="0">
      <sharedItems containsString="0" containsBlank="1" containsNumber="1" containsInteger="1" minValue="0" maxValue="0"/>
    </cacheField>
    <cacheField name="Complete years" numFmtId="0">
      <sharedItems containsString="0" containsBlank="1" containsNumber="1" containsInteger="1" minValue="1" maxValue="1"/>
    </cacheField>
    <cacheField name="Taxable gain/ Loss deductible MXN " numFmtId="0">
      <sharedItems containsString="0" containsBlank="1" containsNumber="1" containsInteger="1" minValue="0" maxValue="0"/>
    </cacheField>
    <cacheField name="No taxable gain/ Creditable loss MXN " numFmtId="0">
      <sharedItems containsString="0" containsBlank="1" containsNumber="1" containsInteger="1" minValue="0" maxValue="0"/>
    </cacheField>
    <cacheField name="N" numFmtId="0">
      <sharedItems containsNonDate="0" containsString="0" containsBlank="1"/>
    </cacheField>
    <cacheField name="Gain / Loss in USD" numFmtId="0">
      <sharedItems containsBlank="1"/>
    </cacheField>
    <cacheField name="ADD" numFmtId="0">
      <sharedItems containsNonDate="0" containsString="0" containsBlank="1"/>
    </cacheField>
    <cacheField name="% De ganancia" numFmtId="0">
      <sharedItems containsNonDate="0" containsString="0" containsBlank="1"/>
    </cacheField>
    <cacheField name="B" numFmtId="0">
      <sharedItems containsNonDate="0" containsString="0" containsBlank="1"/>
    </cacheField>
    <cacheField name="C"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errero_14" refreshedDate="44895.547654166665" missingItemsLimit="0" createdVersion="6" refreshedVersion="8" minRefreshableVersion="3" recordCount="2259" xr:uid="{62195649-B814-1343-8894-84944C4E8B05}">
  <cacheSource type="worksheet">
    <worksheetSource ref="B1:AL1048576" sheet="Ventas Acciones &amp; Bonos"/>
  </cacheSource>
  <cacheFields count="38">
    <cacheField name="Account Number" numFmtId="0">
      <sharedItems containsBlank="1" containsMixedTypes="1" containsNumber="1" containsInteger="1" minValue="313529" maxValue="1545100" count="8">
        <m/>
        <s v="677-046252-670"/>
        <s v="677-046253-471"/>
        <s v="4H 01230 RB"/>
        <n v="1545100"/>
        <n v="1156300"/>
        <n v="313529"/>
        <s v="B46700005"/>
      </sharedItems>
    </cacheField>
    <cacheField name="Tipo de adquisición" numFmtId="0">
      <sharedItems containsBlank="1"/>
    </cacheField>
    <cacheField name="Nombre del Activo" numFmtId="0">
      <sharedItems containsBlank="1" count="196">
        <m/>
        <s v="BSF GLOBAL EVENT DRIVEN A2"/>
        <s v="WELLS FARGO &amp; CO"/>
        <s v="WALMART INC"/>
        <s v="ANHEUSER BUSCH INBEV SA"/>
        <s v="BLACKSTONE MORTGAGE TRUST INC"/>
        <s v="ISHARES S&amp;P HEALTH CARE ETF"/>
        <s v="ISHARES US TREAS 0-1YR USD A"/>
        <s v="KKR REAL ESTATE FINANCE TRUST"/>
        <s v="MERCK &amp; CO INC NEW COM"/>
        <s v="PFIZER INC"/>
        <s v="SPDR S&amp;P 500 ETF TRUST"/>
        <s v="ABBVIE INC COM"/>
        <s v="AMER EXPRESS CO"/>
        <s v="AMERIPRISE FINANCIAL INC"/>
        <s v="BROADCOM INC"/>
        <s v="CME GROUP INC"/>
        <s v="CONOCOPHILLIPS"/>
        <s v="COSTCO WHOLESALE CORP"/>
        <s v="DOLLAR GEN CORP NEW"/>
        <s v="EMBECTA CORP"/>
        <s v="GOLDMAN SACHS GROUP INC"/>
        <s v="HONEYWELL INTL INC"/>
        <s v="JPMORGAN CHASE &amp; CO"/>
        <s v="LOCKHEED MARTIN CORP"/>
        <s v="LOWES COMPANIES INC"/>
        <s v="META PLATFORMS INC"/>
        <s v="MORGAN STANLEY"/>
        <s v="NORFOLK STHN CORP"/>
        <s v="O REILLY AUTOMOTIVE INC"/>
        <s v="PARKER HANNIFIN CORP"/>
        <s v="RAYTHEON TECHNOLOGIES"/>
        <s v="TJX COS INC NEW"/>
        <s v="TRAVELERS COS INC/THE"/>
        <s v="UNION PACIFIC CORP"/>
        <s v="UNITED PARCEL SERVICE"/>
        <s v="UNITEDHEALTH GROUP INC"/>
        <s v="ALPHABET INC CL A"/>
        <s v="AMAZON.COM INC"/>
        <s v="APPLE INC"/>
        <s v="CISCO SYSTEMS INC"/>
        <s v="COMCAST CORP NEW CL A"/>
        <s v="DOUBLELINE SHILLER"/>
        <s v="HOME DEPOT INC"/>
        <s v="INTERCONTINENTALEXCHANGE GROUP"/>
        <s v="ISHARES CORE MSCI"/>
        <s v="MICROSOFT CORP"/>
        <s v="MORGAN STANLEY ASIA"/>
        <s v="MORGAN STANLEY GLOBAL"/>
        <s v="NINETY ONE GLOBAL"/>
        <s v="POLEN CAPITAL FOCUS U.S."/>
        <s v="SYSCO CORP"/>
        <s v="THERMO FISHER SCIENTIFIC"/>
        <s v="UBS (LUX) EQUITY FUND -"/>
        <s v="UBS (LUX) EQUITY SICAV -"/>
        <s v="VIRTUS FG US SMALL CAP"/>
        <s v="SYNCHRONY FINANCIAL"/>
        <s v="ZIMMER BIOMET HOLDINGS INC"/>
        <s v="PLUG POWER INC"/>
        <s v="ELI LILLY &amp; CO"/>
        <s v="NATERA INC"/>
        <s v="ESTEE LAUDER COMPANIES INC"/>
        <s v="RALPH LAUREN CORP SHARES A"/>
        <s v="SPIRIT AEROSYSTEMS HOLDINGS INC."/>
        <s v="CERIDIAN HCM HOLDING INC"/>
        <s v="NIKE INC SHARES B"/>
        <s v="MASTERCARD INC SHS A"/>
        <s v="SNAP INC SHARES A"/>
        <s v="PROGRESSIVE CORP"/>
        <s v="BLOCK INC CLASS A"/>
        <s v="TESLA INC"/>
        <s v="DEXCOM INC"/>
        <s v="OCCIDENTAL PETROLEUM CORP"/>
        <s v="PPG INDUSTRIES INC"/>
        <s v="MARKETAXES HOLDING INC"/>
        <s v="OSHKOSH CORP"/>
        <s v="NCINO INC"/>
        <s v="JDCOM INC SPONSORED ADR"/>
        <s v="UIPATH INC"/>
        <s v="MARRIOTT INTERNATIONAL INC CLASS A"/>
        <s v="CHEWY INC"/>
        <s v="GITLAB INC"/>
        <s v="UNITY SOFTWARE INC"/>
        <s v="NETFLIX"/>
        <s v="INVESCO COMMS S&amp;P US SEL SECT ETF"/>
        <s v="ISHARES CO MSCI EURO UCITS ETF"/>
        <s v="ISHARES CORE S&amp;P 500 UCITS ETF"/>
        <s v="ISHARES S&amp;P 500 IT SECTOR UCITS ETF"/>
        <s v="SPDR MSCI EU CON D UCITS ETF"/>
        <s v="SPDR MSCI EUROPE FINANCIALS UCITS ETF"/>
        <s v="SPDR MSCI EURO TECH UCITS ETF"/>
        <s v="iShares MSCI UK"/>
        <s v="ISHS MORTG REAL EST"/>
        <s v="SPDR S&amp;P500 UTS"/>
        <s v="VGD FTSE EUROPE ETF"/>
        <s v="iShs Glbl Hlth"/>
        <s v="ISH RUS 1000 GR"/>
        <s v="VNGR DIV APPR ETF"/>
        <s v="ISH RUS1000 VAL"/>
        <s v="VANGRD INDX EXT MKT"/>
        <s v="Vangr Intl Div Appr"/>
        <s v="ISH MSCI EAFE SM"/>
        <s v="FT NASDAQ CYBERSC"/>
        <s v="ISHMSCI US QLTY"/>
        <s v="ISHS MSCI JAP"/>
        <s v="ISH MSCI ALL CT"/>
        <s v="ALLSTATE CORP"/>
        <s v="AMCOR PLC"/>
        <s v="EQUITABLE HLDGS INC"/>
        <s v="INTEL CORP"/>
        <s v="KINDER MORGAN INC"/>
        <s v="KROGER COMPANY"/>
        <s v="L3 HARRIS TECHNOLOGIES"/>
        <s v="NORTHROP GRUMMAN CORP"/>
        <s v="ISHARES MSCI EMERGING MARKETS ETF"/>
        <s v="GLOBAL X FINTECH"/>
        <s v="VANECK OIL SERVICES"/>
        <s v="DYNATRACE INC"/>
        <s v="ZSCALER INC"/>
        <s v="CHIPOTLE MEXICAN GRILL"/>
        <s v="BUMBLE INC"/>
        <s v="HUMANA"/>
        <s v="BOEING CO"/>
        <s v="SPDR S&amp;P MIDCAP 400 ETF TRUST"/>
        <s v="STARBUCKS CORP"/>
        <s v="ABBOTT LABS"/>
        <s v="ADOBE INC"/>
        <s v="AMERICAN TOWER CORP REIT"/>
        <s v="APPLIED MATERIALS INC"/>
        <s v="AT&amp;T INC"/>
        <s v="BOOKING HLDGS INC"/>
        <s v="BOSTON SCIENTIFIC CORP"/>
        <s v="CELANESE CORP NEW"/>
        <s v="FIDELITY NATL INFORMATION SVCS"/>
        <s v="INTUITIVE SURGICAL INC"/>
        <s v="L3 HARRIS TECHNOLOGIES INC"/>
        <s v="LAUDER ESTEE COS CL A"/>
        <s v="MEDTRONIC PLC"/>
        <s v="PULTE GROUP INC"/>
        <s v="S&amp;P GLOBAL INC"/>
        <s v="SALESFORCE, INC."/>
        <s v="SHERWIN WILLIAMS CO"/>
        <s v="SMUCKER J M CO NEW"/>
        <s v="TEXAS INSTRUMENTS"/>
        <s v="VIRTUS FG US SMALL CAP FUND CLASS R"/>
        <s v="VISA INC CL A"/>
        <s v="EMERSON ELECTRIC CO"/>
        <s v="VF CORP"/>
        <s v="JD.COM INC"/>
        <s v="KINGSOFT CLOUD HOLDINGS"/>
        <s v="TENCENT HOLDINGS LTD"/>
        <s v="ANNALY CAPITAL MGMT INC"/>
        <s v="AUTOZONE INC"/>
        <s v="BIOGEN INC"/>
        <s v="DOMINO'S PIZZA INC"/>
        <s v="GARTNER INC"/>
        <s v="HP INC"/>
        <s v="JOHNSON CTLS INTL PLC"/>
        <s v="LUMEN TECHNOLOGIES INC"/>
        <s v="MCKESSON CORP"/>
        <s v="ORACLE CORP"/>
        <s v="QUEST DIAGNOSTICS INC"/>
        <s v="SEAGATE TECHNOLOGY"/>
        <s v="SIMON PPTY GROUP INC"/>
        <s v="ISH MSCI US QLTY"/>
        <s v="ISHS GLB MAT"/>
        <s v="ISH MSCI CHINA"/>
        <s v="ISHS MSCI EM MK"/>
        <s v="ISHS GLBL ENGY"/>
        <s v="ISHARES GOLD TRUST"/>
        <s v="ISHARES MSCI JAPAN UCITS ETF USD"/>
        <s v="ISHARES MSCI PAC EX-JAP UCITS ETF"/>
        <s v="ISHARES S&amp;P500 CONS STPLS UCITS ETF"/>
        <s v="ISHARES S&amp;P500 ENERG SECT UCITS ETF"/>
        <s v="ISHARES S&amp;P500 INDUSTRIAL UCITS ETF"/>
        <s v="ISHARES SP500 CONDIS SEC UCITS ETF"/>
        <s v="ISHARES SP500 HEALTHCARE UCITS ETF"/>
        <s v="SPDR MSCI EURO CONS STPLS UCITS ETF"/>
        <s v="SPDR MSCI EURO HEALTHCARE UCITS ETF"/>
        <s v="UBS MSCI CANADA UCITS ETF"/>
        <s v="ISHARES S&amp;P500 FINANC SEC UCITS ETF"/>
        <s v="SPDR MSCI EUR ENERGY UCITS ETF"/>
        <s v="SPDR MSCI EUROPE MAT UCITS"/>
        <s v="SPDR MSCI EURO INDUS UCITS ETF"/>
        <s v="NEXTERA ENERGY INC"/>
        <s v="TRUIST FINANCIAL CORP"/>
        <s v="TRAVEL + LEISURE CO"/>
        <s v="TRANE TECHNOLOGIES PLC"/>
        <s v="NVIDIA CORP"/>
        <s v="HUBSPOT INC"/>
        <s v="ZOETIS INC"/>
        <s v="HORIZON THERAPEUTICS PLC"/>
        <s v="MARVELL TECHNOLOGY INC"/>
        <s v="ELEVANCE HEALTH INC"/>
        <s v="SVB FINANCIAL GROUP"/>
        <s v="ZIMVIE INC"/>
      </sharedItems>
    </cacheField>
    <cacheField name="Clasificación del Activo - Fiscal" numFmtId="0">
      <sharedItems containsBlank="1" count="3">
        <m/>
        <s v="Acciones Extranjeras"/>
        <s v="Acciones Extranjeras - SIC"/>
      </sharedItems>
    </cacheField>
    <cacheField name="Moneda de Adquisición" numFmtId="0">
      <sharedItems containsBlank="1"/>
    </cacheField>
    <cacheField name="Fecha de Adquisición" numFmtId="0">
      <sharedItems containsNonDate="0" containsDate="1" containsString="0" containsBlank="1" minDate="2010-02-26T00:00:00" maxDate="2022-09-16T00:00:00"/>
    </cacheField>
    <cacheField name="Costo de Adquisición en Moneda Original" numFmtId="0">
      <sharedItems containsString="0" containsBlank="1" containsNumber="1" minValue="11.87" maxValue="17766826.048942111"/>
    </cacheField>
    <cacheField name="Sección LISR" numFmtId="0">
      <sharedItems containsBlank="1" containsMixedTypes="1" containsNumber="1" containsInteger="1" minValue="0" maxValue="0" count="4">
        <n v="0"/>
        <s v="Ingresos Sección I LISR"/>
        <s v="Ingresos Sección II LISR (SIC &amp; BMV)"/>
        <m/>
      </sharedItems>
    </cacheField>
    <cacheField name="Unidades Adquiridas" numFmtId="0">
      <sharedItems containsString="0" containsBlank="1" containsNumber="1" minValue="0" maxValue="65500"/>
    </cacheField>
    <cacheField name="Costo Unitario en Moneda Original" numFmtId="0">
      <sharedItems containsString="0" containsBlank="1" containsNumber="1" minValue="0" maxValue="5676.3667651656115"/>
    </cacheField>
    <cacheField name="Equivalencia" numFmtId="0">
      <sharedItems containsString="0" containsBlank="1" containsNumber="1" minValue="0" maxValue="1"/>
    </cacheField>
    <cacheField name="Costo de Adquisición en USD" numFmtId="0">
      <sharedItems containsString="0" containsBlank="1" containsNumber="1" minValue="0" maxValue="13146465.428123556"/>
    </cacheField>
    <cacheField name="Tipo de Cambio de la Fecha de Adquisición" numFmtId="0">
      <sharedItems containsString="0" containsBlank="1" containsNumber="1" minValue="0" maxValue="24.8583"/>
    </cacheField>
    <cacheField name="Costo de Adquisición en MXN" numFmtId="0">
      <sharedItems containsString="0" containsBlank="1" containsNumber="1" minValue="0" maxValue="250781974.50688496"/>
    </cacheField>
    <cacheField name="INPC de Adquisición" numFmtId="0">
      <sharedItems containsString="0" containsBlank="1" containsNumber="1" minValue="0" maxValue="124.571"/>
    </cacheField>
    <cacheField name="INPC de Enajenación" numFmtId="0">
      <sharedItems containsString="0" containsBlank="1" containsNumber="1" minValue="0" maxValue="125.276"/>
    </cacheField>
    <cacheField name="Factor " numFmtId="0">
      <sharedItems containsString="0" containsBlank="1" containsNumber="1" minValue="0" maxValue="1.6848000000000001"/>
    </cacheField>
    <cacheField name="Costo Actualizado Total en MXN" numFmtId="0">
      <sharedItems containsString="0" containsBlank="1" containsNumber="1" minValue="0" maxValue="297352187.17281348"/>
    </cacheField>
    <cacheField name="Costo Unitario Actualizado Total en MXN" numFmtId="0">
      <sharedItems containsString="0" containsBlank="1" containsNumber="1" minValue="0" maxValue="128390.40896926315"/>
    </cacheField>
    <cacheField name="S" numFmtId="0">
      <sharedItems containsNonDate="0" containsString="0" containsBlank="1"/>
    </cacheField>
    <cacheField name="Unidades Vendidas" numFmtId="4">
      <sharedItems containsString="0" containsBlank="1" containsNumber="1" minValue="0.4" maxValue="65500"/>
    </cacheField>
    <cacheField name="Tipo de Enajenación" numFmtId="0">
      <sharedItems containsBlank="1"/>
    </cacheField>
    <cacheField name="Fecha de Venta" numFmtId="0">
      <sharedItems containsNonDate="0" containsDate="1" containsString="0" containsBlank="1" minDate="2022-01-05T00:00:00" maxDate="2022-10-28T00:00:00" count="127">
        <m/>
        <d v="2022-05-12T00:00:00"/>
        <d v="2022-01-14T00:00:00"/>
        <d v="2022-04-12T00:00:00"/>
        <d v="2022-05-31T00:00:00"/>
        <d v="2022-05-11T00:00:00"/>
        <d v="2022-05-17T00:00:00"/>
        <d v="2022-05-24T00:00:00"/>
        <d v="2022-03-22T00:00:00"/>
        <d v="2022-05-20T00:00:00"/>
        <d v="2022-04-27T00:00:00"/>
        <d v="2022-03-29T00:00:00"/>
        <d v="2022-03-28T00:00:00"/>
        <d v="2022-03-08T00:00:00"/>
        <d v="2022-02-16T00:00:00"/>
        <d v="2022-01-19T00:00:00"/>
        <d v="2022-04-01T00:00:00"/>
        <d v="2022-04-04T00:00:00"/>
        <d v="2022-02-14T00:00:00"/>
        <d v="2022-05-23T00:00:00"/>
        <d v="2022-02-02T00:00:00"/>
        <d v="2022-06-10T00:00:00"/>
        <d v="2022-06-22T00:00:00"/>
        <d v="2022-06-13T00:00:00"/>
        <d v="2022-06-21T00:00:00"/>
        <d v="2022-06-03T00:00:00"/>
        <d v="2022-06-07T00:00:00"/>
        <d v="2022-06-06T00:00:00"/>
        <d v="2022-01-28T00:00:00"/>
        <d v="2022-01-31T00:00:00"/>
        <d v="2022-04-21T00:00:00"/>
        <d v="2022-04-22T00:00:00"/>
        <d v="2022-03-01T00:00:00"/>
        <d v="2022-03-30T00:00:00"/>
        <d v="2022-04-11T00:00:00"/>
        <d v="2022-02-03T00:00:00"/>
        <d v="2022-02-04T00:00:00"/>
        <d v="2022-03-23T00:00:00"/>
        <d v="2022-03-24T00:00:00"/>
        <d v="2022-04-07T00:00:00"/>
        <d v="2022-04-13T00:00:00"/>
        <d v="2022-03-09T00:00:00"/>
        <d v="2022-01-05T00:00:00"/>
        <d v="2022-01-12T00:00:00"/>
        <d v="2022-01-13T00:00:00"/>
        <d v="2022-02-18T00:00:00"/>
        <d v="2022-02-22T00:00:00"/>
        <d v="2022-01-18T00:00:00"/>
        <d v="2022-01-26T00:00:00"/>
        <d v="2022-01-27T00:00:00"/>
        <d v="2022-02-08T00:00:00"/>
        <d v="2022-05-06T00:00:00"/>
        <d v="2022-05-09T00:00:00"/>
        <d v="2022-05-10T00:00:00"/>
        <d v="2022-06-14T00:00:00"/>
        <d v="2022-06-15T00:00:00"/>
        <d v="2022-03-14T00:00:00"/>
        <d v="2022-01-20T00:00:00"/>
        <d v="2022-06-24T00:00:00"/>
        <d v="2022-04-05T00:00:00"/>
        <d v="2022-05-26T00:00:00"/>
        <d v="2022-01-24T00:00:00"/>
        <d v="2022-02-15T00:00:00"/>
        <d v="2022-03-07T00:00:00"/>
        <d v="2022-04-14T00:00:00"/>
        <d v="2022-04-18T00:00:00"/>
        <d v="2022-04-19T00:00:00"/>
        <d v="2022-04-20T00:00:00"/>
        <d v="2022-01-21T00:00:00"/>
        <d v="2022-02-01T00:00:00"/>
        <d v="2022-03-15T00:00:00"/>
        <d v="2022-03-16T00:00:00"/>
        <d v="2022-03-17T00:00:00"/>
        <d v="2022-05-13T00:00:00"/>
        <d v="2022-03-10T00:00:00"/>
        <d v="2022-05-04T00:00:00"/>
        <d v="2022-02-09T00:00:00"/>
        <d v="2022-07-13T00:00:00"/>
        <d v="2022-07-25T00:00:00"/>
        <d v="2022-07-22T00:00:00"/>
        <d v="2022-07-28T00:00:00"/>
        <d v="2022-07-12T00:00:00"/>
        <d v="2022-07-15T00:00:00"/>
        <d v="2022-07-27T00:00:00"/>
        <d v="2022-07-18T00:00:00"/>
        <d v="2022-07-19T00:00:00"/>
        <d v="2022-07-20T00:00:00"/>
        <d v="2022-07-21T00:00:00"/>
        <d v="2022-08-18T00:00:00"/>
        <d v="2022-08-17T00:00:00"/>
        <d v="2022-08-29T00:00:00"/>
        <d v="2022-08-12T00:00:00"/>
        <d v="2022-07-29T00:00:00"/>
        <d v="2022-08-01T00:00:00"/>
        <d v="2022-08-02T00:00:00"/>
        <d v="2022-08-30T00:00:00"/>
        <d v="2022-08-31T00:00:00"/>
        <d v="2022-09-01T00:00:00"/>
        <d v="2022-09-20T00:00:00"/>
        <d v="2022-09-21T00:00:00"/>
        <d v="2022-09-22T00:00:00"/>
        <d v="2022-09-23T00:00:00"/>
        <d v="2022-09-26T00:00:00"/>
        <d v="2022-09-27T00:00:00"/>
        <d v="2022-09-28T00:00:00"/>
        <d v="2022-08-23T00:00:00"/>
        <d v="2022-10-20T00:00:00"/>
        <d v="2022-08-19T00:00:00"/>
        <d v="2022-08-15T00:00:00"/>
        <d v="2022-10-27T00:00:00"/>
        <d v="2022-10-21T00:00:00"/>
        <d v="2022-08-10T00:00:00"/>
        <d v="2022-10-13T00:00:00"/>
        <d v="2022-09-29T00:00:00"/>
        <d v="2022-09-30T00:00:00"/>
        <d v="2022-10-03T00:00:00"/>
        <d v="2022-10-04T00:00:00"/>
        <d v="2022-10-05T00:00:00"/>
        <d v="2022-10-17T00:00:00"/>
        <d v="2022-08-09T00:00:00"/>
        <d v="2022-08-03T00:00:00"/>
        <d v="2022-10-12T00:00:00"/>
        <d v="2022-10-14T00:00:00"/>
        <d v="2022-03-04T00:00:00"/>
        <d v="2022-02-10T00:00:00"/>
        <d v="2022-02-17T00:00:00"/>
        <d v="2022-02-23T00:00:00"/>
      </sharedItems>
      <fieldGroup par="37" base="22">
        <rangePr groupBy="days" startDate="2022-01-05T00:00:00" endDate="2022-10-28T00:00:00"/>
        <groupItems count="368">
          <s v="(blank)"/>
          <s v="01-ene"/>
          <s v="02-ene"/>
          <s v="03-ene"/>
          <s v="04-ene"/>
          <s v="05-ene"/>
          <s v="06-ene"/>
          <s v="07-ene"/>
          <s v="08-ene"/>
          <s v="09-ene"/>
          <s v="10-ene"/>
          <s v="11-ene"/>
          <s v="12-ene"/>
          <s v="13-ene"/>
          <s v="14-ene"/>
          <s v="15-ene"/>
          <s v="16-ene"/>
          <s v="17-ene"/>
          <s v="18-ene"/>
          <s v="19-ene"/>
          <s v="20-ene"/>
          <s v="21-ene"/>
          <s v="22-ene"/>
          <s v="23-ene"/>
          <s v="24-ene"/>
          <s v="25-ene"/>
          <s v="26-ene"/>
          <s v="27-ene"/>
          <s v="28-ene"/>
          <s v="29-ene"/>
          <s v="30-ene"/>
          <s v="31-ene"/>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ic"/>
          <s v="02-dic"/>
          <s v="03-dic"/>
          <s v="04-dic"/>
          <s v="05-dic"/>
          <s v="06-dic"/>
          <s v="07-dic"/>
          <s v="08-dic"/>
          <s v="09-dic"/>
          <s v="10-dic"/>
          <s v="11-dic"/>
          <s v="12-dic"/>
          <s v="13-dic"/>
          <s v="14-dic"/>
          <s v="15-dic"/>
          <s v="16-dic"/>
          <s v="17-dic"/>
          <s v="18-dic"/>
          <s v="19-dic"/>
          <s v="20-dic"/>
          <s v="21-dic"/>
          <s v="22-dic"/>
          <s v="23-dic"/>
          <s v="24-dic"/>
          <s v="25-dic"/>
          <s v="26-dic"/>
          <s v="27-dic"/>
          <s v="28-dic"/>
          <s v="29-dic"/>
          <s v="30-dic"/>
          <s v="31-dic"/>
          <s v="&gt;28/10/2022"/>
        </groupItems>
      </fieldGroup>
    </cacheField>
    <cacheField name="Moneda de Venta" numFmtId="0">
      <sharedItems containsBlank="1"/>
    </cacheField>
    <cacheField name="Valor de Venta en Moneda Original del Activo" numFmtId="0">
      <sharedItems containsString="0" containsBlank="1" containsNumber="1" minValue="12.24" maxValue="30967199.850000001"/>
    </cacheField>
    <cacheField name="Equivalencia2" numFmtId="0">
      <sharedItems containsString="0" containsBlank="1" containsNumber="1" minValue="0" maxValue="1"/>
    </cacheField>
    <cacheField name="Valor de Venta en USD" numFmtId="0">
      <sharedItems containsString="0" containsBlank="1" containsNumber="1" minValue="0" maxValue="18505076"/>
    </cacheField>
    <cacheField name="Tipo de Cambio de Fecha Venta" numFmtId="0">
      <sharedItems containsString="0" containsBlank="1" containsNumber="1" minValue="0" maxValue="21.377500000000001"/>
    </cacheField>
    <cacheField name="Precio de Venta en MXN" numFmtId="0">
      <sharedItems containsString="0" containsBlank="1" containsNumber="1" minValue="0" maxValue="368746948.4368"/>
    </cacheField>
    <cacheField name="Costo Actualizado Total en MXN2" numFmtId="0">
      <sharedItems containsString="0" containsBlank="1" containsNumber="1" minValue="0" maxValue="297352187.17281348"/>
    </cacheField>
    <cacheField name="Ganancia / (Pérdida) en MXN" numFmtId="0">
      <sharedItems containsString="0" containsBlank="1" containsNumber="1" minValue="-42662613.036754787" maxValue="71394761.263986528"/>
    </cacheField>
    <cacheField name="Años de Tenencia" numFmtId="0">
      <sharedItems containsString="0" containsBlank="1" containsNumber="1" minValue="0" maxValue="12.479452054794521"/>
    </cacheField>
    <cacheField name="Años Completos" numFmtId="0">
      <sharedItems containsString="0" containsBlank="1" containsNumber="1" containsInteger="1" minValue="1" maxValue="1"/>
    </cacheField>
    <cacheField name="Ganancia Acumulable / (Pérdida deducible)" numFmtId="0">
      <sharedItems containsString="0" containsBlank="1" containsNumber="1" minValue="-42662613.036754787" maxValue="71394761.263986528"/>
    </cacheField>
    <cacheField name="Ganancia No Acumulable / (Pérdida Acreditable)" numFmtId="0">
      <sharedItems containsString="0" containsBlank="1" containsNumber="1" containsInteger="1" minValue="0" maxValue="0"/>
    </cacheField>
    <cacheField name="N" numFmtId="0">
      <sharedItems containsNonDate="0" containsString="0" containsBlank="1"/>
    </cacheField>
    <cacheField name="Gain / Loss in USD" numFmtId="0">
      <sharedItems containsString="0" containsBlank="1" containsNumber="1" minValue="-1301322.7769755982" maxValue="5358610.5718764439"/>
    </cacheField>
    <cacheField name="Months" numFmtId="0" databaseField="0">
      <fieldGroup base="22">
        <rangePr groupBy="months" startDate="2022-01-05T00:00:00" endDate="2022-10-28T00:00:00"/>
        <groupItems count="14">
          <s v="&lt;05/01/2022"/>
          <s v="ene"/>
          <s v="feb"/>
          <s v="mar"/>
          <s v="abr"/>
          <s v="may"/>
          <s v="jun"/>
          <s v="jul"/>
          <s v="ago"/>
          <s v="sep"/>
          <s v="oct"/>
          <s v="nov"/>
          <s v="dic"/>
          <s v="&gt;28/10/202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errero_14" refreshedDate="44895.547968055558" missingItemsLimit="0" createdVersion="6" refreshedVersion="8" minRefreshableVersion="3" recordCount="2259" xr:uid="{1CC77A83-6BC6-9A46-A482-3CBFCF9B4B77}">
  <cacheSource type="worksheet">
    <worksheetSource ref="B1:AO1048576" sheet="Ventas Acciones &amp; Bonos"/>
  </cacheSource>
  <cacheFields count="40">
    <cacheField name="Account Number" numFmtId="0">
      <sharedItems containsBlank="1" containsMixedTypes="1" containsNumber="1" containsInteger="1" minValue="313529" maxValue="1545100" count="8">
        <m/>
        <s v="677-046252-670"/>
        <s v="677-046253-471"/>
        <s v="4H 01230 RB"/>
        <n v="1545100"/>
        <n v="1156300"/>
        <n v="313529"/>
        <s v="B46700005"/>
      </sharedItems>
    </cacheField>
    <cacheField name="Tipo de adquisición" numFmtId="0">
      <sharedItems containsBlank="1"/>
    </cacheField>
    <cacheField name="Nombre del Activo" numFmtId="0">
      <sharedItems containsBlank="1" count="196">
        <m/>
        <s v="BSF GLOBAL EVENT DRIVEN A2"/>
        <s v="WELLS FARGO &amp; CO"/>
        <s v="WALMART INC"/>
        <s v="ANHEUSER BUSCH INBEV SA"/>
        <s v="BLACKSTONE MORTGAGE TRUST INC"/>
        <s v="ISHARES S&amp;P HEALTH CARE ETF"/>
        <s v="ISHARES US TREAS 0-1YR USD A"/>
        <s v="KKR REAL ESTATE FINANCE TRUST"/>
        <s v="MERCK &amp; CO INC NEW COM"/>
        <s v="PFIZER INC"/>
        <s v="SPDR S&amp;P 500 ETF TRUST"/>
        <s v="ABBVIE INC COM"/>
        <s v="AMER EXPRESS CO"/>
        <s v="AMERIPRISE FINANCIAL INC"/>
        <s v="BROADCOM INC"/>
        <s v="CME GROUP INC"/>
        <s v="CONOCOPHILLIPS"/>
        <s v="COSTCO WHOLESALE CORP"/>
        <s v="DOLLAR GEN CORP NEW"/>
        <s v="EMBECTA CORP"/>
        <s v="GOLDMAN SACHS GROUP INC"/>
        <s v="HONEYWELL INTL INC"/>
        <s v="JPMORGAN CHASE &amp; CO"/>
        <s v="LOCKHEED MARTIN CORP"/>
        <s v="LOWES COMPANIES INC"/>
        <s v="META PLATFORMS INC"/>
        <s v="MORGAN STANLEY"/>
        <s v="NORFOLK STHN CORP"/>
        <s v="O REILLY AUTOMOTIVE INC"/>
        <s v="PARKER HANNIFIN CORP"/>
        <s v="RAYTHEON TECHNOLOGIES"/>
        <s v="TJX COS INC NEW"/>
        <s v="TRAVELERS COS INC/THE"/>
        <s v="UNION PACIFIC CORP"/>
        <s v="UNITED PARCEL SERVICE"/>
        <s v="UNITEDHEALTH GROUP INC"/>
        <s v="ALPHABET INC CL A"/>
        <s v="AMAZON.COM INC"/>
        <s v="APPLE INC"/>
        <s v="CISCO SYSTEMS INC"/>
        <s v="COMCAST CORP NEW CL A"/>
        <s v="DOUBLELINE SHILLER"/>
        <s v="HOME DEPOT INC"/>
        <s v="INTERCONTINENTALEXCHANGE GROUP"/>
        <s v="ISHARES CORE MSCI"/>
        <s v="MICROSOFT CORP"/>
        <s v="MORGAN STANLEY ASIA"/>
        <s v="MORGAN STANLEY GLOBAL"/>
        <s v="NINETY ONE GLOBAL"/>
        <s v="POLEN CAPITAL FOCUS U.S."/>
        <s v="SYSCO CORP"/>
        <s v="THERMO FISHER SCIENTIFIC"/>
        <s v="UBS (LUX) EQUITY FUND -"/>
        <s v="UBS (LUX) EQUITY SICAV -"/>
        <s v="VIRTUS FG US SMALL CAP"/>
        <s v="SYNCHRONY FINANCIAL"/>
        <s v="ZIMMER BIOMET HOLDINGS INC"/>
        <s v="PLUG POWER INC"/>
        <s v="ELI LILLY &amp; CO"/>
        <s v="NATERA INC"/>
        <s v="ESTEE LAUDER COMPANIES INC"/>
        <s v="RALPH LAUREN CORP SHARES A"/>
        <s v="SPIRIT AEROSYSTEMS HOLDINGS INC."/>
        <s v="CERIDIAN HCM HOLDING INC"/>
        <s v="NIKE INC SHARES B"/>
        <s v="MASTERCARD INC SHS A"/>
        <s v="SNAP INC SHARES A"/>
        <s v="PROGRESSIVE CORP"/>
        <s v="BLOCK INC CLASS A"/>
        <s v="TESLA INC"/>
        <s v="DEXCOM INC"/>
        <s v="OCCIDENTAL PETROLEUM CORP"/>
        <s v="PPG INDUSTRIES INC"/>
        <s v="MARKETAXES HOLDING INC"/>
        <s v="OSHKOSH CORP"/>
        <s v="NCINO INC"/>
        <s v="JDCOM INC SPONSORED ADR"/>
        <s v="UIPATH INC"/>
        <s v="MARRIOTT INTERNATIONAL INC CLASS A"/>
        <s v="CHEWY INC"/>
        <s v="GITLAB INC"/>
        <s v="UNITY SOFTWARE INC"/>
        <s v="NETFLIX"/>
        <s v="INVESCO COMMS S&amp;P US SEL SECT ETF"/>
        <s v="ISHARES CO MSCI EURO UCITS ETF"/>
        <s v="ISHARES CORE S&amp;P 500 UCITS ETF"/>
        <s v="ISHARES S&amp;P 500 IT SECTOR UCITS ETF"/>
        <s v="SPDR MSCI EU CON D UCITS ETF"/>
        <s v="SPDR MSCI EUROPE FINANCIALS UCITS ETF"/>
        <s v="SPDR MSCI EURO TECH UCITS ETF"/>
        <s v="iShares MSCI UK"/>
        <s v="ISHS MORTG REAL EST"/>
        <s v="SPDR S&amp;P500 UTS"/>
        <s v="VGD FTSE EUROPE ETF"/>
        <s v="iShs Glbl Hlth"/>
        <s v="ISH RUS 1000 GR"/>
        <s v="VNGR DIV APPR ETF"/>
        <s v="ISH RUS1000 VAL"/>
        <s v="VANGRD INDX EXT MKT"/>
        <s v="Vangr Intl Div Appr"/>
        <s v="ISH MSCI EAFE SM"/>
        <s v="FT NASDAQ CYBERSC"/>
        <s v="ISHMSCI US QLTY"/>
        <s v="ISHS MSCI JAP"/>
        <s v="ISH MSCI ALL CT"/>
        <s v="ALLSTATE CORP"/>
        <s v="AMCOR PLC"/>
        <s v="EQUITABLE HLDGS INC"/>
        <s v="INTEL CORP"/>
        <s v="KINDER MORGAN INC"/>
        <s v="KROGER COMPANY"/>
        <s v="L3 HARRIS TECHNOLOGIES"/>
        <s v="NORTHROP GRUMMAN CORP"/>
        <s v="ISHARES MSCI EMERGING MARKETS ETF"/>
        <s v="GLOBAL X FINTECH"/>
        <s v="VANECK OIL SERVICES"/>
        <s v="DYNATRACE INC"/>
        <s v="ZSCALER INC"/>
        <s v="CHIPOTLE MEXICAN GRILL"/>
        <s v="BUMBLE INC"/>
        <s v="HUMANA"/>
        <s v="BOEING CO"/>
        <s v="SPDR S&amp;P MIDCAP 400 ETF TRUST"/>
        <s v="STARBUCKS CORP"/>
        <s v="ABBOTT LABS"/>
        <s v="ADOBE INC"/>
        <s v="AMERICAN TOWER CORP REIT"/>
        <s v="APPLIED MATERIALS INC"/>
        <s v="AT&amp;T INC"/>
        <s v="BOOKING HLDGS INC"/>
        <s v="BOSTON SCIENTIFIC CORP"/>
        <s v="CELANESE CORP NEW"/>
        <s v="FIDELITY NATL INFORMATION SVCS"/>
        <s v="INTUITIVE SURGICAL INC"/>
        <s v="L3 HARRIS TECHNOLOGIES INC"/>
        <s v="LAUDER ESTEE COS CL A"/>
        <s v="MEDTRONIC PLC"/>
        <s v="PULTE GROUP INC"/>
        <s v="S&amp;P GLOBAL INC"/>
        <s v="SALESFORCE, INC."/>
        <s v="SHERWIN WILLIAMS CO"/>
        <s v="SMUCKER J M CO NEW"/>
        <s v="TEXAS INSTRUMENTS"/>
        <s v="VIRTUS FG US SMALL CAP FUND CLASS R"/>
        <s v="VISA INC CL A"/>
        <s v="EMERSON ELECTRIC CO"/>
        <s v="VF CORP"/>
        <s v="JD.COM INC"/>
        <s v="KINGSOFT CLOUD HOLDINGS"/>
        <s v="TENCENT HOLDINGS LTD"/>
        <s v="ANNALY CAPITAL MGMT INC"/>
        <s v="AUTOZONE INC"/>
        <s v="BIOGEN INC"/>
        <s v="DOMINO'S PIZZA INC"/>
        <s v="GARTNER INC"/>
        <s v="HP INC"/>
        <s v="JOHNSON CTLS INTL PLC"/>
        <s v="LUMEN TECHNOLOGIES INC"/>
        <s v="MCKESSON CORP"/>
        <s v="ORACLE CORP"/>
        <s v="QUEST DIAGNOSTICS INC"/>
        <s v="SEAGATE TECHNOLOGY"/>
        <s v="SIMON PPTY GROUP INC"/>
        <s v="ISH MSCI US QLTY"/>
        <s v="ISHS GLB MAT"/>
        <s v="ISH MSCI CHINA"/>
        <s v="ISHS MSCI EM MK"/>
        <s v="ISHS GLBL ENGY"/>
        <s v="ISHARES GOLD TRUST"/>
        <s v="ISHARES MSCI JAPAN UCITS ETF USD"/>
        <s v="ISHARES MSCI PAC EX-JAP UCITS ETF"/>
        <s v="ISHARES S&amp;P500 CONS STPLS UCITS ETF"/>
        <s v="ISHARES S&amp;P500 ENERG SECT UCITS ETF"/>
        <s v="ISHARES S&amp;P500 INDUSTRIAL UCITS ETF"/>
        <s v="ISHARES SP500 CONDIS SEC UCITS ETF"/>
        <s v="ISHARES SP500 HEALTHCARE UCITS ETF"/>
        <s v="SPDR MSCI EURO CONS STPLS UCITS ETF"/>
        <s v="SPDR MSCI EURO HEALTHCARE UCITS ETF"/>
        <s v="UBS MSCI CANADA UCITS ETF"/>
        <s v="ISHARES S&amp;P500 FINANC SEC UCITS ETF"/>
        <s v="SPDR MSCI EUR ENERGY UCITS ETF"/>
        <s v="SPDR MSCI EUROPE MAT UCITS"/>
        <s v="SPDR MSCI EURO INDUS UCITS ETF"/>
        <s v="NEXTERA ENERGY INC"/>
        <s v="TRUIST FINANCIAL CORP"/>
        <s v="TRAVEL + LEISURE CO"/>
        <s v="TRANE TECHNOLOGIES PLC"/>
        <s v="NVIDIA CORP"/>
        <s v="HUBSPOT INC"/>
        <s v="ZOETIS INC"/>
        <s v="HORIZON THERAPEUTICS PLC"/>
        <s v="MARVELL TECHNOLOGY INC"/>
        <s v="ELEVANCE HEALTH INC"/>
        <s v="SVB FINANCIAL GROUP"/>
        <s v="ZIMVIE INC"/>
      </sharedItems>
    </cacheField>
    <cacheField name="Clasificación del Activo - Fiscal" numFmtId="0">
      <sharedItems containsBlank="1" count="3">
        <m/>
        <s v="Acciones Extranjeras"/>
        <s v="Acciones Extranjeras - SIC"/>
      </sharedItems>
    </cacheField>
    <cacheField name="Moneda de Adquisición" numFmtId="0">
      <sharedItems containsBlank="1" count="3">
        <m/>
        <s v="USD"/>
        <s v="MXN"/>
      </sharedItems>
    </cacheField>
    <cacheField name="Fecha de Adquisición" numFmtId="0">
      <sharedItems containsNonDate="0" containsDate="1" containsString="0" containsBlank="1" minDate="2010-02-26T00:00:00" maxDate="2022-09-16T00:00:00" count="266">
        <m/>
        <d v="2021-09-20T00:00:00"/>
        <d v="2020-12-09T00:00:00"/>
        <d v="2021-03-03T00:00:00"/>
        <d v="2020-05-19T00:00:00"/>
        <d v="2021-08-02T00:00:00"/>
        <d v="2021-09-16T00:00:00"/>
        <d v="2021-09-17T00:00:00"/>
        <d v="2021-04-07T00:00:00"/>
        <d v="2020-11-18T00:00:00"/>
        <d v="2021-10-29T00:00:00"/>
        <d v="2021-11-30T00:00:00"/>
        <d v="2020-06-15T00:00:00"/>
        <d v="2021-02-22T00:00:00"/>
        <d v="2018-02-14T00:00:00"/>
        <d v="2020-10-30T00:00:00"/>
        <d v="2020-05-14T00:00:00"/>
        <d v="2020-06-08T00:00:00"/>
        <d v="2020-06-09T00:00:00"/>
        <d v="2020-09-28T00:00:00"/>
        <d v="2019-01-11T00:00:00"/>
        <d v="2020-10-22T00:00:00"/>
        <d v="2020-08-06T00:00:00"/>
        <d v="2019-11-15T00:00:00"/>
        <d v="2020-05-11T00:00:00"/>
        <d v="2018-08-03T00:00:00"/>
        <d v="2019-02-01T00:00:00"/>
        <d v="2019-05-21T00:00:00"/>
        <d v="2020-02-26T00:00:00"/>
        <d v="2018-02-07T00:00:00"/>
        <d v="2018-03-01T00:00:00"/>
        <d v="2018-03-05T00:00:00"/>
        <d v="2020-05-26T00:00:00"/>
        <d v="2021-04-26T00:00:00"/>
        <d v="2021-04-27T00:00:00"/>
        <d v="2021-04-28T00:00:00"/>
        <d v="2021-06-18T00:00:00"/>
        <d v="2020-04-13T00:00:00"/>
        <d v="2019-04-23T00:00:00"/>
        <d v="2021-03-10T00:00:00"/>
        <d v="2021-05-27T00:00:00"/>
        <d v="2020-02-06T00:00:00"/>
        <d v="2019-06-20T00:00:00"/>
        <d v="2018-01-26T00:00:00"/>
        <d v="2020-03-16T00:00:00"/>
        <d v="2020-03-17T00:00:00"/>
        <d v="2020-05-13T00:00:00"/>
        <d v="2021-01-25T00:00:00"/>
        <d v="2022-06-16T00:00:00"/>
        <d v="2021-01-12T00:00:00"/>
        <d v="2020-03-04T00:00:00"/>
        <d v="2021-03-04T00:00:00"/>
        <d v="2021-06-01T00:00:00"/>
        <d v="2021-08-18T00:00:00"/>
        <d v="2021-08-19T00:00:00"/>
        <d v="2021-09-10T00:00:00"/>
        <d v="2021-11-19T00:00:00"/>
        <d v="2021-02-24T00:00:00"/>
        <d v="2021-02-26T00:00:00"/>
        <d v="2021-05-21T00:00:00"/>
        <d v="2021-06-24T00:00:00"/>
        <d v="2021-07-19T00:00:00"/>
        <d v="2021-08-27T00:00:00"/>
        <d v="2021-12-07T00:00:00"/>
        <d v="2021-12-20T00:00:00"/>
        <d v="2022-01-20T00:00:00"/>
        <d v="2021-03-12T00:00:00"/>
        <d v="2021-03-23T00:00:00"/>
        <d v="2021-04-16T00:00:00"/>
        <d v="2021-07-13T00:00:00"/>
        <d v="2021-09-29T00:00:00"/>
        <d v="2021-09-30T00:00:00"/>
        <d v="2021-10-05T00:00:00"/>
        <d v="2021-10-07T00:00:00"/>
        <d v="2021-10-11T00:00:00"/>
        <d v="2021-03-11T00:00:00"/>
        <d v="2021-06-02T00:00:00"/>
        <d v="2021-07-21T00:00:00"/>
        <d v="2021-11-23T00:00:00"/>
        <d v="2021-01-29T00:00:00"/>
        <d v="2021-03-29T00:00:00"/>
        <d v="2020-11-06T00:00:00"/>
        <d v="2021-01-08T00:00:00"/>
        <d v="2021-01-15T00:00:00"/>
        <d v="2021-11-03T00:00:00"/>
        <d v="2020-12-30T00:00:00"/>
        <d v="2021-07-20T00:00:00"/>
        <d v="2021-11-29T00:00:00"/>
        <d v="2022-03-09T00:00:00"/>
        <d v="2022-03-10T00:00:00"/>
        <d v="2022-03-16T00:00:00"/>
        <d v="2021-12-17T00:00:00"/>
        <d v="2021-12-27T00:00:00"/>
        <d v="2021-12-28T00:00:00"/>
        <d v="2021-12-29T00:00:00"/>
        <d v="2020-09-30T00:00:00"/>
        <d v="2020-11-24T00:00:00"/>
        <d v="2020-11-09T00:00:00"/>
        <d v="2021-10-22T00:00:00"/>
        <d v="2021-10-26T00:00:00"/>
        <d v="2022-01-25T00:00:00"/>
        <d v="2022-02-08T00:00:00"/>
        <d v="2022-05-24T00:00:00"/>
        <d v="2021-03-05T00:00:00"/>
        <d v="2021-05-20T00:00:00"/>
        <d v="2021-06-08T00:00:00"/>
        <d v="2021-07-27T00:00:00"/>
        <d v="2021-09-24T00:00:00"/>
        <d v="2022-02-10T00:00:00"/>
        <d v="2020-12-11T00:00:00"/>
        <d v="2021-06-03T00:00:00"/>
        <d v="2022-01-12T00:00:00"/>
        <d v="2022-01-13T00:00:00"/>
        <d v="2021-04-22T00:00:00"/>
        <d v="2021-09-22T00:00:00"/>
        <d v="2021-05-18T00:00:00"/>
        <d v="2020-12-04T00:00:00"/>
        <d v="2021-08-03T00:00:00"/>
        <d v="2022-02-07T00:00:00"/>
        <d v="2021-05-19T00:00:00"/>
        <d v="2021-08-30T00:00:00"/>
        <d v="2021-10-27T00:00:00"/>
        <d v="2021-10-28T00:00:00"/>
        <d v="2021-12-02T00:00:00"/>
        <d v="2021-06-28T00:00:00"/>
        <d v="2021-06-29T00:00:00"/>
        <d v="2021-07-14T00:00:00"/>
        <d v="2021-07-15T00:00:00"/>
        <d v="2021-07-30T00:00:00"/>
        <d v="2021-08-23T00:00:00"/>
        <d v="2021-09-07T00:00:00"/>
        <d v="2022-03-18T00:00:00"/>
        <d v="2022-03-21T00:00:00"/>
        <d v="2022-03-22T00:00:00"/>
        <d v="2022-03-23T00:00:00"/>
        <d v="2022-03-24T00:00:00"/>
        <d v="2022-03-25T00:00:00"/>
        <d v="2022-04-05T00:00:00"/>
        <d v="2021-09-28T00:00:00"/>
        <d v="2021-10-12T00:00:00"/>
        <d v="2021-10-13T00:00:00"/>
        <d v="2021-10-15T00:00:00"/>
        <d v="2021-12-21T00:00:00"/>
        <d v="2021-12-22T00:00:00"/>
        <d v="2021-12-23T00:00:00"/>
        <d v="2022-01-05T00:00:00"/>
        <d v="2022-01-03T00:00:00"/>
        <d v="2022-01-31T00:00:00"/>
        <d v="2022-02-02T00:00:00"/>
        <d v="2020-10-19T00:00:00"/>
        <d v="2018-12-14T00:00:00"/>
        <d v="2019-10-29T00:00:00"/>
        <d v="2020-04-16T00:00:00"/>
        <d v="2020-06-05T00:00:00"/>
        <d v="2018-01-03T00:00:00"/>
        <d v="2018-02-28T00:00:00"/>
        <d v="2021-01-21T00:00:00"/>
        <d v="2020-02-07T00:00:00"/>
        <d v="2020-06-12T00:00:00"/>
        <d v="2020-04-08T00:00:00"/>
        <d v="2021-04-13T00:00:00"/>
        <d v="2020-06-30T00:00:00"/>
        <d v="2019-07-03T00:00:00"/>
        <d v="2021-02-10T00:00:00"/>
        <d v="2021-02-18T00:00:00"/>
        <d v="2021-05-05T00:00:00"/>
        <d v="2020-02-10T00:00:00"/>
        <d v="2019-10-14T00:00:00"/>
        <d v="2020-05-12T00:00:00"/>
        <d v="2021-08-05T00:00:00"/>
        <d v="2020-09-10T00:00:00"/>
        <d v="2020-12-02T00:00:00"/>
        <d v="2022-02-09T00:00:00"/>
        <d v="2022-06-08T00:00:00"/>
        <d v="2022-03-15T00:00:00"/>
        <d v="2021-05-25T00:00:00"/>
        <d v="2022-02-01T00:00:00"/>
        <d v="2022-04-28T00:00:00"/>
        <d v="2021-04-12T00:00:00"/>
        <d v="2021-07-26T00:00:00"/>
        <d v="2021-08-10T00:00:00"/>
        <d v="2021-06-09T00:00:00"/>
        <d v="2021-06-11T00:00:00"/>
        <d v="2021-06-14T00:00:00"/>
        <d v="2021-06-15T00:00:00"/>
        <d v="2021-06-22T00:00:00"/>
        <d v="2021-08-12T00:00:00"/>
        <d v="2022-01-11T00:00:00"/>
        <d v="2020-04-28T00:00:00"/>
        <d v="2021-01-13T00:00:00"/>
        <d v="2022-05-11T00:00:00"/>
        <d v="2022-05-17T00:00:00"/>
        <d v="2022-05-18T00:00:00"/>
        <d v="2019-12-18T00:00:00"/>
        <d v="2021-03-09T00:00:00"/>
        <d v="2019-09-23T00:00:00"/>
        <d v="2022-06-10T00:00:00"/>
        <d v="2022-06-13T00:00:00"/>
        <d v="2020-11-22T00:00:00"/>
        <d v="2022-03-28T00:00:00"/>
        <d v="2019-03-13T00:00:00"/>
        <d v="2021-10-01T00:00:00"/>
        <d v="2021-12-08T00:00:00"/>
        <d v="2010-02-26T00:00:00"/>
        <d v="2020-03-03T00:00:00"/>
        <d v="2020-04-14T00:00:00"/>
        <d v="2021-05-24T00:00:00"/>
        <d v="2022-08-17T00:00:00"/>
        <d v="2022-02-14T00:00:00"/>
        <d v="2022-05-20T00:00:00"/>
        <d v="2021-11-04T00:00:00"/>
        <d v="2021-11-16T00:00:00"/>
        <d v="2021-11-05T00:00:00"/>
        <d v="2022-08-18T00:00:00"/>
        <d v="2022-07-22T00:00:00"/>
        <d v="2019-05-17T00:00:00"/>
        <d v="2019-06-07T00:00:00"/>
        <d v="2018-05-14T00:00:00"/>
        <d v="2020-04-20T00:00:00"/>
        <d v="2021-10-21T00:00:00"/>
        <d v="2020-03-11T00:00:00"/>
        <d v="2019-05-16T00:00:00"/>
        <d v="2019-05-14T00:00:00"/>
        <d v="2019-11-01T00:00:00"/>
        <d v="2019-07-15T00:00:00"/>
        <d v="2020-05-07T00:00:00"/>
        <d v="2021-04-30T00:00:00"/>
        <d v="2021-06-23T00:00:00"/>
        <d v="2022-07-27T00:00:00"/>
        <d v="2022-08-01T00:00:00"/>
        <d v="2022-08-03T00:00:00"/>
        <d v="2022-08-08T00:00:00"/>
        <d v="2020-12-14T00:00:00"/>
        <d v="2020-12-15T00:00:00"/>
        <d v="2020-12-29T00:00:00"/>
        <d v="2021-03-02T00:00:00"/>
        <d v="2021-03-22T00:00:00"/>
        <d v="2021-01-26T00:00:00"/>
        <d v="2021-01-27T00:00:00"/>
        <d v="2021-07-22T00:00:00"/>
        <d v="2022-04-11T00:00:00"/>
        <d v="2021-02-09T00:00:00"/>
        <d v="2021-03-08T00:00:00"/>
        <d v="2021-07-23T00:00:00"/>
        <d v="2021-07-28T00:00:00"/>
        <d v="2021-09-27T00:00:00"/>
        <d v="2022-06-28T00:00:00"/>
        <d v="2022-09-02T00:00:00"/>
        <d v="2022-05-26T00:00:00"/>
        <d v="2022-05-27T00:00:00"/>
        <d v="2022-08-02T00:00:00"/>
        <d v="2021-03-18T00:00:00"/>
        <d v="2021-03-24T00:00:00"/>
        <d v="2021-03-25T00:00:00"/>
        <d v="2021-04-29T00:00:00"/>
        <d v="2021-08-11T00:00:00"/>
        <d v="2021-11-08T00:00:00"/>
        <d v="2021-11-10T00:00:00"/>
        <d v="2021-11-12T00:00:00"/>
        <d v="2022-04-20T00:00:00"/>
        <d v="2022-08-04T00:00:00"/>
        <d v="2022-09-15T00:00:00"/>
        <d v="2022-03-02T00:00:00"/>
        <d v="2021-01-18T00:00:00"/>
        <d v="2021-01-20T00:00:00"/>
        <d v="2021-01-22T00:00:00"/>
      </sharedItems>
    </cacheField>
    <cacheField name="Costo de Adquisición en Moneda Original" numFmtId="0">
      <sharedItems containsString="0" containsBlank="1" containsNumber="1" minValue="11.87" maxValue="17766826.048942111"/>
    </cacheField>
    <cacheField name="Sección LISR" numFmtId="0">
      <sharedItems containsBlank="1" containsMixedTypes="1" containsNumber="1" containsInteger="1" minValue="0" maxValue="0" count="4">
        <n v="0"/>
        <s v="Ingresos Sección I LISR"/>
        <s v="Ingresos Sección II LISR (SIC &amp; BMV)"/>
        <m/>
      </sharedItems>
    </cacheField>
    <cacheField name="Unidades Adquiridas" numFmtId="0">
      <sharedItems containsString="0" containsBlank="1" containsNumber="1" minValue="0" maxValue="65500"/>
    </cacheField>
    <cacheField name="Costo Unitario en Moneda Original" numFmtId="0">
      <sharedItems containsString="0" containsBlank="1" containsNumber="1" minValue="0" maxValue="5676.3667651656115"/>
    </cacheField>
    <cacheField name="Equivalencia" numFmtId="0">
      <sharedItems containsString="0" containsBlank="1" containsNumber="1" minValue="0" maxValue="1"/>
    </cacheField>
    <cacheField name="Costo de Adquisición en USD" numFmtId="0">
      <sharedItems containsString="0" containsBlank="1" containsNumber="1" minValue="0" maxValue="13146465.428123556"/>
    </cacheField>
    <cacheField name="Tipo de Cambio de la Fecha de Adquisición" numFmtId="0">
      <sharedItems containsString="0" containsBlank="1" containsNumber="1" minValue="0" maxValue="24.8583"/>
    </cacheField>
    <cacheField name="Costo de Adquisición en MXN" numFmtId="0">
      <sharedItems containsString="0" containsBlank="1" containsNumber="1" minValue="0" maxValue="250781974.50688496"/>
    </cacheField>
    <cacheField name="INPC de Adquisición" numFmtId="0">
      <sharedItems containsString="0" containsBlank="1" containsNumber="1" minValue="0" maxValue="124.571"/>
    </cacheField>
    <cacheField name="INPC de Enajenación" numFmtId="0">
      <sharedItems containsString="0" containsBlank="1" containsNumber="1" minValue="0" maxValue="125.276"/>
    </cacheField>
    <cacheField name="Factor " numFmtId="0">
      <sharedItems containsString="0" containsBlank="1" containsNumber="1" minValue="0" maxValue="1.6848000000000001"/>
    </cacheField>
    <cacheField name="Costo Actualizado Total en MXN" numFmtId="0">
      <sharedItems containsString="0" containsBlank="1" containsNumber="1" minValue="0" maxValue="297352187.17281348"/>
    </cacheField>
    <cacheField name="Costo Unitario Actualizado Total en MXN" numFmtId="0">
      <sharedItems containsString="0" containsBlank="1" containsNumber="1" minValue="0" maxValue="128390.40896926315"/>
    </cacheField>
    <cacheField name="S" numFmtId="0">
      <sharedItems containsNonDate="0" containsString="0" containsBlank="1"/>
    </cacheField>
    <cacheField name="Unidades Vendidas" numFmtId="4">
      <sharedItems containsString="0" containsBlank="1" containsNumber="1" minValue="0.4" maxValue="65500"/>
    </cacheField>
    <cacheField name="Tipo de Enajenación" numFmtId="0">
      <sharedItems containsBlank="1"/>
    </cacheField>
    <cacheField name="Fecha de Venta" numFmtId="0">
      <sharedItems containsNonDate="0" containsDate="1" containsString="0" containsBlank="1" minDate="2022-01-05T00:00:00" maxDate="2022-10-28T00:00:00" count="127">
        <m/>
        <d v="2022-05-12T00:00:00"/>
        <d v="2022-01-14T00:00:00"/>
        <d v="2022-04-12T00:00:00"/>
        <d v="2022-05-31T00:00:00"/>
        <d v="2022-05-11T00:00:00"/>
        <d v="2022-05-17T00:00:00"/>
        <d v="2022-05-24T00:00:00"/>
        <d v="2022-03-22T00:00:00"/>
        <d v="2022-05-20T00:00:00"/>
        <d v="2022-04-27T00:00:00"/>
        <d v="2022-03-29T00:00:00"/>
        <d v="2022-03-28T00:00:00"/>
        <d v="2022-03-08T00:00:00"/>
        <d v="2022-02-16T00:00:00"/>
        <d v="2022-01-19T00:00:00"/>
        <d v="2022-04-01T00:00:00"/>
        <d v="2022-04-04T00:00:00"/>
        <d v="2022-02-14T00:00:00"/>
        <d v="2022-05-23T00:00:00"/>
        <d v="2022-02-02T00:00:00"/>
        <d v="2022-06-10T00:00:00"/>
        <d v="2022-06-22T00:00:00"/>
        <d v="2022-06-13T00:00:00"/>
        <d v="2022-06-21T00:00:00"/>
        <d v="2022-06-03T00:00:00"/>
        <d v="2022-06-07T00:00:00"/>
        <d v="2022-06-06T00:00:00"/>
        <d v="2022-01-28T00:00:00"/>
        <d v="2022-01-31T00:00:00"/>
        <d v="2022-04-21T00:00:00"/>
        <d v="2022-04-22T00:00:00"/>
        <d v="2022-03-01T00:00:00"/>
        <d v="2022-03-30T00:00:00"/>
        <d v="2022-04-11T00:00:00"/>
        <d v="2022-02-03T00:00:00"/>
        <d v="2022-02-04T00:00:00"/>
        <d v="2022-03-23T00:00:00"/>
        <d v="2022-03-24T00:00:00"/>
        <d v="2022-04-07T00:00:00"/>
        <d v="2022-04-13T00:00:00"/>
        <d v="2022-03-09T00:00:00"/>
        <d v="2022-01-05T00:00:00"/>
        <d v="2022-01-12T00:00:00"/>
        <d v="2022-01-13T00:00:00"/>
        <d v="2022-02-18T00:00:00"/>
        <d v="2022-02-22T00:00:00"/>
        <d v="2022-01-18T00:00:00"/>
        <d v="2022-01-26T00:00:00"/>
        <d v="2022-01-27T00:00:00"/>
        <d v="2022-02-08T00:00:00"/>
        <d v="2022-05-06T00:00:00"/>
        <d v="2022-05-09T00:00:00"/>
        <d v="2022-05-10T00:00:00"/>
        <d v="2022-06-14T00:00:00"/>
        <d v="2022-06-15T00:00:00"/>
        <d v="2022-03-14T00:00:00"/>
        <d v="2022-01-20T00:00:00"/>
        <d v="2022-06-24T00:00:00"/>
        <d v="2022-04-05T00:00:00"/>
        <d v="2022-05-26T00:00:00"/>
        <d v="2022-01-24T00:00:00"/>
        <d v="2022-02-15T00:00:00"/>
        <d v="2022-03-07T00:00:00"/>
        <d v="2022-04-14T00:00:00"/>
        <d v="2022-04-18T00:00:00"/>
        <d v="2022-04-19T00:00:00"/>
        <d v="2022-04-20T00:00:00"/>
        <d v="2022-01-21T00:00:00"/>
        <d v="2022-02-01T00:00:00"/>
        <d v="2022-03-15T00:00:00"/>
        <d v="2022-03-16T00:00:00"/>
        <d v="2022-03-17T00:00:00"/>
        <d v="2022-05-13T00:00:00"/>
        <d v="2022-03-10T00:00:00"/>
        <d v="2022-05-04T00:00:00"/>
        <d v="2022-02-09T00:00:00"/>
        <d v="2022-07-13T00:00:00"/>
        <d v="2022-07-25T00:00:00"/>
        <d v="2022-07-22T00:00:00"/>
        <d v="2022-07-28T00:00:00"/>
        <d v="2022-07-12T00:00:00"/>
        <d v="2022-07-15T00:00:00"/>
        <d v="2022-07-27T00:00:00"/>
        <d v="2022-07-18T00:00:00"/>
        <d v="2022-07-19T00:00:00"/>
        <d v="2022-07-20T00:00:00"/>
        <d v="2022-07-21T00:00:00"/>
        <d v="2022-08-18T00:00:00"/>
        <d v="2022-08-17T00:00:00"/>
        <d v="2022-08-29T00:00:00"/>
        <d v="2022-08-12T00:00:00"/>
        <d v="2022-07-29T00:00:00"/>
        <d v="2022-08-01T00:00:00"/>
        <d v="2022-08-02T00:00:00"/>
        <d v="2022-08-30T00:00:00"/>
        <d v="2022-08-31T00:00:00"/>
        <d v="2022-09-01T00:00:00"/>
        <d v="2022-09-20T00:00:00"/>
        <d v="2022-09-21T00:00:00"/>
        <d v="2022-09-22T00:00:00"/>
        <d v="2022-09-23T00:00:00"/>
        <d v="2022-09-26T00:00:00"/>
        <d v="2022-09-27T00:00:00"/>
        <d v="2022-09-28T00:00:00"/>
        <d v="2022-08-23T00:00:00"/>
        <d v="2022-10-20T00:00:00"/>
        <d v="2022-08-19T00:00:00"/>
        <d v="2022-08-15T00:00:00"/>
        <d v="2022-10-27T00:00:00"/>
        <d v="2022-10-21T00:00:00"/>
        <d v="2022-08-10T00:00:00"/>
        <d v="2022-10-13T00:00:00"/>
        <d v="2022-09-29T00:00:00"/>
        <d v="2022-09-30T00:00:00"/>
        <d v="2022-10-03T00:00:00"/>
        <d v="2022-10-04T00:00:00"/>
        <d v="2022-10-05T00:00:00"/>
        <d v="2022-10-17T00:00:00"/>
        <d v="2022-08-09T00:00:00"/>
        <d v="2022-08-03T00:00:00"/>
        <d v="2022-10-12T00:00:00"/>
        <d v="2022-10-14T00:00:00"/>
        <d v="2022-03-04T00:00:00"/>
        <d v="2022-02-10T00:00:00"/>
        <d v="2022-02-17T00:00:00"/>
        <d v="2022-02-23T00:00:00"/>
      </sharedItems>
    </cacheField>
    <cacheField name="Moneda de Venta" numFmtId="0">
      <sharedItems containsBlank="1" count="3">
        <m/>
        <s v="USD"/>
        <s v="MXN"/>
      </sharedItems>
    </cacheField>
    <cacheField name="Valor de Venta en Moneda Original del Activo" numFmtId="0">
      <sharedItems containsString="0" containsBlank="1" containsNumber="1" minValue="12.24" maxValue="30967199.850000001"/>
    </cacheField>
    <cacheField name="Equivalencia2" numFmtId="0">
      <sharedItems containsString="0" containsBlank="1" containsNumber="1" minValue="0" maxValue="1"/>
    </cacheField>
    <cacheField name="Valor de Venta en USD" numFmtId="0">
      <sharedItems containsString="0" containsBlank="1" containsNumber="1" minValue="0" maxValue="18505076"/>
    </cacheField>
    <cacheField name="Tipo de Cambio de Fecha Venta" numFmtId="0">
      <sharedItems containsString="0" containsBlank="1" containsNumber="1" minValue="0" maxValue="21.377500000000001"/>
    </cacheField>
    <cacheField name="Precio de Venta en MXN" numFmtId="0">
      <sharedItems containsString="0" containsBlank="1" containsNumber="1" minValue="0" maxValue="368746948.4368"/>
    </cacheField>
    <cacheField name="Costo Actualizado Total en MXN2" numFmtId="0">
      <sharedItems containsString="0" containsBlank="1" containsNumber="1" minValue="0" maxValue="297352187.17281348"/>
    </cacheField>
    <cacheField name="Ganancia / (Pérdida) en MXN" numFmtId="0">
      <sharedItems containsString="0" containsBlank="1" containsNumber="1" minValue="-42662613.036754787" maxValue="71394761.263986528"/>
    </cacheField>
    <cacheField name="Años de Tenencia" numFmtId="0">
      <sharedItems containsString="0" containsBlank="1" containsNumber="1" minValue="0" maxValue="12.479452054794521"/>
    </cacheField>
    <cacheField name="Años Completos" numFmtId="0">
      <sharedItems containsString="0" containsBlank="1" containsNumber="1" containsInteger="1" minValue="1" maxValue="1"/>
    </cacheField>
    <cacheField name="Ganancia Acumulable / (Pérdida deducible)" numFmtId="0">
      <sharedItems containsString="0" containsBlank="1" containsNumber="1" minValue="-42662613.036754787" maxValue="71394761.263986528"/>
    </cacheField>
    <cacheField name="Ganancia No Acumulable / (Pérdida Acreditable)" numFmtId="0">
      <sharedItems containsString="0" containsBlank="1" containsNumber="1" containsInteger="1" minValue="0" maxValue="0"/>
    </cacheField>
    <cacheField name="N" numFmtId="0">
      <sharedItems containsNonDate="0" containsString="0" containsBlank="1"/>
    </cacheField>
    <cacheField name="Gain / Loss in USD" numFmtId="0">
      <sharedItems containsString="0" containsBlank="1" containsNumber="1" minValue="-1301322.7769755982" maxValue="5358610.5718764439"/>
    </cacheField>
    <cacheField name="ADD" numFmtId="0">
      <sharedItems containsNonDate="0" containsString="0" containsBlank="1"/>
    </cacheField>
    <cacheField name="% De ganancia" numFmtId="0">
      <sharedItems containsString="0" containsBlank="1" containsNumber="1" minValue="-0.87420810483358569" maxValue="1.8057178023945395"/>
    </cacheField>
    <cacheField name="B"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59">
  <r>
    <x v="0"/>
    <m/>
    <x v="0"/>
    <x v="0"/>
    <m/>
    <m/>
    <m/>
    <x v="0"/>
    <n v="0"/>
    <n v="0"/>
    <n v="0"/>
    <n v="0"/>
    <n v="0"/>
    <n v="0"/>
    <n v="0"/>
    <n v="0"/>
    <n v="0"/>
    <n v="0"/>
    <n v="0"/>
    <m/>
    <m/>
    <m/>
    <x v="0"/>
    <m/>
    <m/>
    <n v="0"/>
    <n v="0"/>
    <n v="0"/>
    <n v="0"/>
    <n v="0"/>
    <n v="0"/>
    <n v="0"/>
    <n v="1"/>
    <n v="0"/>
    <n v="0"/>
    <m/>
    <n v="0"/>
  </r>
  <r>
    <x v="1"/>
    <s v="Purchase"/>
    <x v="1"/>
    <x v="1"/>
    <s v="USD"/>
    <d v="2021-09-20T00:00:00"/>
    <n v="2500000"/>
    <x v="1"/>
    <n v="19187.915000000001"/>
    <n v="130.29034160303502"/>
    <n v="1"/>
    <n v="2500000"/>
    <n v="19.900300000000001"/>
    <n v="49750750"/>
    <n v="114.601"/>
    <n v="121.02200000000001"/>
    <n v="1.056"/>
    <n v="52536792"/>
    <n v="2738.0146305630392"/>
    <m/>
    <n v="19187.915000000001"/>
    <s v="Sale"/>
    <x v="1"/>
    <s v="USD"/>
    <n v="2372771.5699999998"/>
    <n v="1"/>
    <n v="2372771.5699999998"/>
    <n v="20.372"/>
    <n v="48338102.424039997"/>
    <n v="52536792"/>
    <n v="-4198689.5759600028"/>
    <n v="0.64109589041095894"/>
    <n v="1"/>
    <n v="-4198689.5759600028"/>
    <n v="0"/>
    <m/>
    <n v="-127228.43000000017"/>
  </r>
  <r>
    <x v="2"/>
    <s v="Purchase"/>
    <x v="2"/>
    <x v="2"/>
    <s v="USD"/>
    <d v="2020-12-09T00:00:00"/>
    <n v="373589.16"/>
    <x v="2"/>
    <n v="12900"/>
    <n v="28.960399999999996"/>
    <n v="1"/>
    <n v="373589.16"/>
    <n v="19.821300000000001"/>
    <n v="7405022.8171079997"/>
    <n v="109.271"/>
    <n v="117.30800000000001"/>
    <n v="1.0734999999999999"/>
    <n v="7949291.9941654373"/>
    <n v="616.22418559421999"/>
    <m/>
    <n v="12900"/>
    <s v="Sale"/>
    <x v="2"/>
    <s v="USD"/>
    <n v="746446.95"/>
    <n v="1"/>
    <n v="746446.95"/>
    <n v="20.366"/>
    <n v="15202138.583699999"/>
    <n v="7949291.9941654382"/>
    <n v="7252846.5895345611"/>
    <n v="1.0986301369863014"/>
    <n v="1"/>
    <n v="7252846.5895345611"/>
    <n v="0"/>
    <m/>
    <n v="372857.79"/>
  </r>
  <r>
    <x v="2"/>
    <s v="Purchase"/>
    <x v="3"/>
    <x v="2"/>
    <s v="USD"/>
    <d v="2021-03-03T00:00:00"/>
    <n v="283321.5"/>
    <x v="2"/>
    <n v="2200"/>
    <n v="128.7825"/>
    <n v="1"/>
    <n v="283321.5"/>
    <n v="20.612300000000001"/>
    <n v="5839907.7544499999"/>
    <n v="111.824"/>
    <n v="120.15900000000001"/>
    <n v="1.0745"/>
    <n v="6274980.8821565248"/>
    <n v="2852.2640373438749"/>
    <m/>
    <n v="2200"/>
    <s v="Sale"/>
    <x v="3"/>
    <s v="USD"/>
    <n v="340998.26"/>
    <n v="1"/>
    <n v="340998.26"/>
    <n v="20.12"/>
    <n v="6860884.991200001"/>
    <n v="6274980.8821565248"/>
    <n v="585904.10904347617"/>
    <n v="1.1095890410958904"/>
    <n v="1"/>
    <n v="585904.10904347617"/>
    <n v="0"/>
    <m/>
    <n v="57676.760000000009"/>
  </r>
  <r>
    <x v="2"/>
    <s v="Purchase"/>
    <x v="4"/>
    <x v="2"/>
    <s v="USD"/>
    <d v="2020-05-19T00:00:00"/>
    <n v="409762"/>
    <x v="2"/>
    <n v="10000"/>
    <n v="40.976199999999999"/>
    <n v="1"/>
    <n v="409762"/>
    <n v="23.957999999999998"/>
    <n v="9817077.9959999993"/>
    <n v="106.16200000000001"/>
    <n v="120.809"/>
    <n v="1.1378999999999999"/>
    <n v="11170853.051648399"/>
    <n v="1117.0853051648398"/>
    <m/>
    <n v="10000"/>
    <s v="Sale"/>
    <x v="4"/>
    <s v="USD"/>
    <n v="566761.02"/>
    <n v="1"/>
    <n v="566761.02"/>
    <n v="19.596499999999999"/>
    <n v="11106532.328429999"/>
    <n v="11170853.051648399"/>
    <n v="-64320.723218400031"/>
    <n v="2.032876712328767"/>
    <n v="1"/>
    <n v="-64320.723218400031"/>
    <n v="0"/>
    <m/>
    <n v="156999.02000000002"/>
  </r>
  <r>
    <x v="2"/>
    <s v="Purchase"/>
    <x v="4"/>
    <x v="2"/>
    <s v="USD"/>
    <d v="2021-08-02T00:00:00"/>
    <n v="224542.83"/>
    <x v="2"/>
    <n v="3550"/>
    <n v="63.2515014084507"/>
    <n v="1"/>
    <n v="224542.83"/>
    <n v="19.844799999999999"/>
    <n v="4456007.5527839996"/>
    <n v="113.899"/>
    <n v="120.809"/>
    <n v="1.0606"/>
    <n v="4726041.6104827095"/>
    <n v="1331.2793268965379"/>
    <m/>
    <n v="3550"/>
    <s v="Sale"/>
    <x v="4"/>
    <s v="USD"/>
    <n v="201200.16"/>
    <n v="1"/>
    <n v="201200.16"/>
    <n v="19.596499999999999"/>
    <n v="3942818.9354399997"/>
    <n v="4726041.6104827095"/>
    <n v="-783222.6750427098"/>
    <n v="0.82739726027397265"/>
    <n v="1"/>
    <n v="-783222.6750427098"/>
    <n v="0"/>
    <m/>
    <n v="-23342.669999999984"/>
  </r>
  <r>
    <x v="2"/>
    <s v="Purchase"/>
    <x v="5"/>
    <x v="2"/>
    <s v="USD"/>
    <d v="2021-09-16T00:00:00"/>
    <n v="1246372.51"/>
    <x v="2"/>
    <n v="39850"/>
    <n v="31.276600000000002"/>
    <n v="1"/>
    <n v="1246372.51"/>
    <n v="19.903500000000001"/>
    <n v="24807175.252785001"/>
    <n v="114.601"/>
    <n v="120.809"/>
    <n v="1.0541"/>
    <n v="26149243.433960669"/>
    <n v="656.19180511821003"/>
    <m/>
    <n v="39850"/>
    <s v="Sale"/>
    <x v="5"/>
    <s v="USD"/>
    <n v="1196115.56"/>
    <n v="1"/>
    <n v="1196115.56"/>
    <n v="20.3172"/>
    <n v="24301719.055631999"/>
    <n v="26149243.433960669"/>
    <n v="-1847524.3783286698"/>
    <n v="0.64931506849315068"/>
    <n v="1"/>
    <n v="-1847524.3783286698"/>
    <n v="0"/>
    <m/>
    <n v="-50256.949999999953"/>
  </r>
  <r>
    <x v="2"/>
    <s v="Purchase"/>
    <x v="5"/>
    <x v="2"/>
    <s v="USD"/>
    <d v="2021-09-17T00:00:00"/>
    <n v="1255426.26"/>
    <x v="2"/>
    <n v="40150"/>
    <n v="31.2684"/>
    <n v="1"/>
    <n v="1255426.26"/>
    <n v="19.903500000000001"/>
    <n v="24987376.56591"/>
    <n v="114.601"/>
    <n v="120.809"/>
    <n v="1.0541"/>
    <n v="26339193.638125733"/>
    <n v="656.01976682754002"/>
    <m/>
    <n v="40150"/>
    <s v="Sale"/>
    <x v="5"/>
    <s v="USD"/>
    <n v="1205120.19"/>
    <n v="1"/>
    <n v="1205120.19"/>
    <n v="20.3172"/>
    <n v="24484667.924268"/>
    <n v="26339193.638125733"/>
    <n v="-1854525.7138577327"/>
    <n v="0.64657534246575343"/>
    <n v="1"/>
    <n v="-1854525.7138577327"/>
    <n v="0"/>
    <m/>
    <n v="-50306.070000000065"/>
  </r>
  <r>
    <x v="2"/>
    <s v="Purchase"/>
    <x v="6"/>
    <x v="2"/>
    <s v="USD"/>
    <d v="2021-04-07T00:00:00"/>
    <n v="575980.80000000005"/>
    <x v="2"/>
    <n v="65500"/>
    <n v="8.7936000000000014"/>
    <n v="1"/>
    <n v="575980.80000000005"/>
    <n v="20.2483"/>
    <n v="11662632.032640001"/>
    <n v="112.19"/>
    <n v="120.809"/>
    <n v="1.0768"/>
    <n v="12558322.172746753"/>
    <n v="191.73010950758402"/>
    <m/>
    <n v="65500"/>
    <s v="Sale"/>
    <x v="4"/>
    <s v="USD"/>
    <n v="657310.18999999994"/>
    <n v="1"/>
    <n v="657310.18999999994"/>
    <n v="19.596499999999999"/>
    <n v="12880979.138334999"/>
    <n v="12558322.172746753"/>
    <n v="322656.96558824554"/>
    <n v="1.1479452054794521"/>
    <n v="1"/>
    <n v="322656.96558824554"/>
    <n v="0"/>
    <m/>
    <n v="81329.389999999898"/>
  </r>
  <r>
    <x v="2"/>
    <s v="Purchase"/>
    <x v="7"/>
    <x v="2"/>
    <s v="USD"/>
    <d v="2020-11-18T00:00:00"/>
    <n v="464984.2"/>
    <x v="2"/>
    <n v="4554"/>
    <n v="102.10456741326307"/>
    <n v="1"/>
    <n v="464984.2"/>
    <n v="20.4833"/>
    <n v="9524410.8638599999"/>
    <n v="108.85599999999999"/>
    <n v="120.809"/>
    <n v="1.1097999999999999"/>
    <n v="10570191.176711828"/>
    <n v="2321.078431425522"/>
    <m/>
    <n v="4554"/>
    <s v="Sale"/>
    <x v="5"/>
    <s v="USD"/>
    <n v="464524.3"/>
    <n v="1"/>
    <n v="464524.3"/>
    <n v="20.3172"/>
    <n v="9437833.1079599988"/>
    <n v="10570191.176711828"/>
    <n v="-1132358.0687518287"/>
    <n v="1.4767123287671233"/>
    <n v="1"/>
    <n v="-1132358.0687518287"/>
    <n v="0"/>
    <m/>
    <n v="-459.90000000002328"/>
  </r>
  <r>
    <x v="2"/>
    <s v="Purchase"/>
    <x v="7"/>
    <x v="2"/>
    <s v="USD"/>
    <d v="2021-10-29T00:00:00"/>
    <n v="2496486.81"/>
    <x v="2"/>
    <n v="24450"/>
    <n v="102.1058"/>
    <n v="1"/>
    <n v="2496486.81"/>
    <n v="20.193000000000001"/>
    <n v="50411558.154330008"/>
    <n v="115.56100000000001"/>
    <n v="120.809"/>
    <n v="1.0454000000000001"/>
    <n v="52700242.894536592"/>
    <n v="2155.4291572407606"/>
    <m/>
    <n v="24450"/>
    <s v="Sale"/>
    <x v="5"/>
    <s v="USD"/>
    <n v="2493987.52"/>
    <n v="1"/>
    <n v="2493987.52"/>
    <n v="20.3172"/>
    <n v="50670843.241343997"/>
    <n v="52700242.894536592"/>
    <n v="-2029399.6531925946"/>
    <n v="0.53150684931506853"/>
    <n v="1"/>
    <n v="-2029399.6531925946"/>
    <n v="0"/>
    <m/>
    <n v="-2499.2900000000373"/>
  </r>
  <r>
    <x v="2"/>
    <s v="Purchase"/>
    <x v="7"/>
    <x v="2"/>
    <s v="USD"/>
    <d v="2021-11-30T00:00:00"/>
    <n v="714728.7"/>
    <x v="2"/>
    <n v="7000"/>
    <n v="102.10409999999999"/>
    <n v="1"/>
    <n v="714728.7"/>
    <n v="21.8185"/>
    <n v="15594308.14095"/>
    <n v="116.884"/>
    <n v="120.809"/>
    <n v="1.0335000000000001"/>
    <n v="16116717.463671826"/>
    <n v="2302.3882090959751"/>
    <m/>
    <n v="7000"/>
    <s v="Sale"/>
    <x v="5"/>
    <s v="USD"/>
    <n v="714025.06"/>
    <n v="1"/>
    <n v="714025.06"/>
    <n v="20.3172"/>
    <n v="14506989.949032001"/>
    <n v="16116717.463671826"/>
    <n v="-1609727.5146398246"/>
    <n v="0.44383561643835617"/>
    <n v="1"/>
    <n v="-1609727.5146398246"/>
    <n v="0"/>
    <m/>
    <n v="-703.63999999989755"/>
  </r>
  <r>
    <x v="2"/>
    <s v="Purchase"/>
    <x v="8"/>
    <x v="1"/>
    <s v="USD"/>
    <d v="2021-09-16T00:00:00"/>
    <n v="838378.24"/>
    <x v="1"/>
    <n v="39200"/>
    <n v="21.3872"/>
    <n v="1"/>
    <n v="838378.24"/>
    <n v="19.903500000000001"/>
    <n v="16686661.299840001"/>
    <n v="114.601"/>
    <n v="121.02200000000001"/>
    <n v="1.056"/>
    <n v="17621114.332631044"/>
    <n v="449.5182227712001"/>
    <m/>
    <n v="39200"/>
    <s v="Sale"/>
    <x v="4"/>
    <s v="USD"/>
    <n v="797341.1"/>
    <n v="1"/>
    <n v="797341.1"/>
    <n v="19.596499999999999"/>
    <n v="15625094.866149999"/>
    <n v="17621114.332631044"/>
    <n v="-1996019.4664810449"/>
    <n v="0.70410958904109588"/>
    <n v="1"/>
    <n v="-1996019.4664810449"/>
    <n v="0"/>
    <m/>
    <n v="-41037.140000000014"/>
  </r>
  <r>
    <x v="2"/>
    <s v="Purchase"/>
    <x v="9"/>
    <x v="2"/>
    <s v="USD"/>
    <d v="2020-06-15T00:00:00"/>
    <n v="463086.97"/>
    <x v="2"/>
    <n v="6590"/>
    <n v="70.27116388467374"/>
    <n v="1"/>
    <n v="463086.97"/>
    <n v="22.4252"/>
    <n v="10384817.919644"/>
    <n v="106.74299999999999"/>
    <n v="120.809"/>
    <n v="1.1316999999999999"/>
    <n v="11752498.439661114"/>
    <n v="1783.3836782490309"/>
    <m/>
    <n v="6590"/>
    <s v="Sale"/>
    <x v="6"/>
    <s v="USD"/>
    <n v="619807.59"/>
    <n v="1"/>
    <n v="619807.59"/>
    <n v="20.144300000000001"/>
    <n v="12485590.035236999"/>
    <n v="11752498.439661114"/>
    <n v="733091.59557588585"/>
    <n v="1.9205479452054794"/>
    <n v="1"/>
    <n v="733091.59557588585"/>
    <n v="0"/>
    <m/>
    <n v="156720.62"/>
  </r>
  <r>
    <x v="2"/>
    <s v="Purchase"/>
    <x v="9"/>
    <x v="2"/>
    <s v="USD"/>
    <d v="2020-06-15T00:00:00"/>
    <n v="87838.95"/>
    <x v="2"/>
    <n v="1250"/>
    <n v="70.271159999999995"/>
    <n v="1"/>
    <n v="87838.95"/>
    <n v="22.4252"/>
    <n v="1969806.0215399999"/>
    <n v="106.74299999999999"/>
    <n v="120.809"/>
    <n v="1.1316999999999999"/>
    <n v="2229229.4745768178"/>
    <n v="1783.3835796614542"/>
    <m/>
    <n v="1250"/>
    <s v="Sale"/>
    <x v="7"/>
    <s v="USD"/>
    <n v="117797.68"/>
    <n v="1"/>
    <n v="117797.68"/>
    <n v="19.8657"/>
    <n v="2340133.371576"/>
    <n v="2229229.4745768178"/>
    <n v="110903.89699918218"/>
    <n v="1.9397260273972603"/>
    <n v="1"/>
    <n v="110903.89699918218"/>
    <n v="0"/>
    <m/>
    <n v="29958.729999999996"/>
  </r>
  <r>
    <x v="2"/>
    <s v="Purchase"/>
    <x v="9"/>
    <x v="2"/>
    <s v="USD"/>
    <d v="2021-02-22T00:00:00"/>
    <n v="380668.14"/>
    <x v="2"/>
    <n v="5350"/>
    <n v="71.152923364485986"/>
    <n v="1"/>
    <n v="380668.14"/>
    <n v="20.416499999999999"/>
    <n v="7771911.0803100001"/>
    <n v="110.907"/>
    <n v="120.809"/>
    <n v="1.0891999999999999"/>
    <n v="8465165.5486736521"/>
    <n v="1582.2739343315238"/>
    <m/>
    <n v="5350"/>
    <s v="Sale"/>
    <x v="7"/>
    <s v="USD"/>
    <n v="504174.05"/>
    <n v="1"/>
    <n v="504174.05"/>
    <n v="19.8657"/>
    <n v="10015770.425085001"/>
    <n v="8465165.5486736521"/>
    <n v="1550604.8764113486"/>
    <n v="1.2493150684931507"/>
    <n v="1"/>
    <n v="1550604.8764113486"/>
    <n v="0"/>
    <m/>
    <n v="123505.90999999997"/>
  </r>
  <r>
    <x v="2"/>
    <s v="Purchase"/>
    <x v="10"/>
    <x v="2"/>
    <s v="USD"/>
    <d v="2018-02-14T00:00:00"/>
    <n v="426959.93"/>
    <x v="2"/>
    <n v="12850"/>
    <n v="33.226453696498055"/>
    <n v="1"/>
    <n v="426959.93"/>
    <n v="18.670300000000001"/>
    <n v="7971469.981079"/>
    <n v="99.171374481640001"/>
    <n v="120.809"/>
    <n v="1.2181"/>
    <n v="9710047.5839523301"/>
    <n v="755.64572637761319"/>
    <m/>
    <n v="12850"/>
    <s v="Sale"/>
    <x v="4"/>
    <s v="USD"/>
    <n v="681996.85"/>
    <n v="1"/>
    <n v="681996.85"/>
    <n v="19.596499999999999"/>
    <n v="13364751.271024998"/>
    <n v="9710047.5839523301"/>
    <n v="3654703.6870726682"/>
    <n v="4.2931506849315069"/>
    <n v="1"/>
    <n v="3654703.6870726682"/>
    <n v="0"/>
    <m/>
    <n v="255036.91999999998"/>
  </r>
  <r>
    <x v="2"/>
    <s v="Purchase"/>
    <x v="11"/>
    <x v="2"/>
    <s v="USD"/>
    <d v="2020-10-30T00:00:00"/>
    <n v="794363.5"/>
    <x v="2"/>
    <n v="2450"/>
    <n v="324.23"/>
    <n v="1"/>
    <n v="794363.5"/>
    <n v="21.1648"/>
    <n v="16812544.604800001"/>
    <n v="108.774"/>
    <n v="120.809"/>
    <n v="1.1106"/>
    <n v="18672012.038090881"/>
    <n v="7621.2294033024"/>
    <m/>
    <n v="2450"/>
    <s v="Sale"/>
    <x v="4"/>
    <s v="USD"/>
    <n v="1017106.94"/>
    <n v="1"/>
    <n v="1017106.94"/>
    <n v="19.596499999999999"/>
    <n v="19931736.14971"/>
    <n v="18672012.038090881"/>
    <n v="1259724.1116191186"/>
    <n v="1.5835616438356164"/>
    <n v="1"/>
    <n v="1259724.1116191186"/>
    <n v="0"/>
    <m/>
    <n v="222743.43999999994"/>
  </r>
  <r>
    <x v="3"/>
    <s v="Purchase"/>
    <x v="12"/>
    <x v="2"/>
    <s v="USD"/>
    <d v="2020-05-14T00:00:00"/>
    <n v="7080.41"/>
    <x v="2"/>
    <n v="79"/>
    <n v="89.625443037974676"/>
    <n v="1"/>
    <n v="7080.41"/>
    <n v="24.0487"/>
    <n v="170274.655967"/>
    <n v="106.16200000000001"/>
    <n v="118.98099999999999"/>
    <n v="1.1207"/>
    <n v="190826.80694221691"/>
    <n v="2415.5292018002142"/>
    <m/>
    <n v="79"/>
    <s v="Sale"/>
    <x v="8"/>
    <s v="USD"/>
    <n v="12580.14"/>
    <n v="1"/>
    <n v="12580.14"/>
    <n v="20.558499999999999"/>
    <n v="258628.80818999998"/>
    <n v="190826.80694221694"/>
    <n v="67802.001247783046"/>
    <n v="1.8547945205479452"/>
    <n v="1"/>
    <n v="67802.001247783046"/>
    <n v="0"/>
    <m/>
    <n v="5499.73"/>
  </r>
  <r>
    <x v="3"/>
    <s v="Purchase"/>
    <x v="13"/>
    <x v="2"/>
    <s v="USD"/>
    <d v="2020-05-14T00:00:00"/>
    <n v="3117.14"/>
    <x v="2"/>
    <n v="38"/>
    <n v="82.03"/>
    <n v="1"/>
    <n v="3117.14"/>
    <n v="24.0487"/>
    <n v="74963.164718"/>
    <n v="106.16200000000001"/>
    <n v="120.809"/>
    <n v="1.1378999999999999"/>
    <n v="85300.585132612192"/>
    <n v="2244.7522403318999"/>
    <m/>
    <n v="38"/>
    <s v="Sale"/>
    <x v="9"/>
    <s v="USD"/>
    <n v="5852.54"/>
    <n v="1"/>
    <n v="5852.54"/>
    <n v="19.9663"/>
    <n v="116853.56940200001"/>
    <n v="85300.585132612192"/>
    <n v="31552.984269387816"/>
    <n v="2.0164383561643837"/>
    <n v="1"/>
    <n v="31552.984269387816"/>
    <n v="0"/>
    <m/>
    <n v="2735.4"/>
  </r>
  <r>
    <x v="3"/>
    <s v="Purchase"/>
    <x v="13"/>
    <x v="2"/>
    <s v="USD"/>
    <d v="2020-05-14T00:00:00"/>
    <n v="5413.98"/>
    <x v="2"/>
    <n v="66"/>
    <n v="82.029999999999987"/>
    <n v="1"/>
    <n v="5413.98"/>
    <n v="24.0487"/>
    <n v="130199.180826"/>
    <n v="106.16200000000001"/>
    <n v="120.15900000000001"/>
    <n v="1.1317999999999999"/>
    <n v="147359.43285886678"/>
    <n v="2232.7186796797996"/>
    <m/>
    <n v="66"/>
    <s v="Sale"/>
    <x v="10"/>
    <s v="USD"/>
    <n v="11775.21"/>
    <n v="1"/>
    <n v="11775.21"/>
    <n v="20.299199999999999"/>
    <n v="239027.34283199997"/>
    <n v="147359.43285886678"/>
    <n v="91667.909973133181"/>
    <n v="1.9534246575342467"/>
    <n v="1"/>
    <n v="91667.909973133181"/>
    <n v="0"/>
    <m/>
    <n v="6361.23"/>
  </r>
  <r>
    <x v="3"/>
    <s v="Purchase"/>
    <x v="13"/>
    <x v="2"/>
    <s v="USD"/>
    <d v="2020-06-08T00:00:00"/>
    <n v="790.04"/>
    <x v="2"/>
    <n v="7"/>
    <n v="112.86285714285714"/>
    <n v="1"/>
    <n v="790.04"/>
    <n v="21.838799999999999"/>
    <n v="17253.525551999999"/>
    <n v="106.74299999999999"/>
    <n v="120.809"/>
    <n v="1.1316999999999999"/>
    <n v="19525.814867198398"/>
    <n v="2789.4021238854853"/>
    <m/>
    <n v="7"/>
    <s v="Sale"/>
    <x v="9"/>
    <s v="USD"/>
    <n v="1078.0999999999999"/>
    <n v="1"/>
    <n v="1078.0999999999999"/>
    <n v="19.9663"/>
    <n v="21525.668029999997"/>
    <n v="19525.814867198398"/>
    <n v="1999.853162801599"/>
    <n v="1.9479452054794522"/>
    <n v="1"/>
    <n v="1999.853162801599"/>
    <n v="0"/>
    <m/>
    <n v="288.05999999999995"/>
  </r>
  <r>
    <x v="3"/>
    <s v="Purchase"/>
    <x v="13"/>
    <x v="2"/>
    <s v="USD"/>
    <d v="2020-06-09T00:00:00"/>
    <n v="780.35"/>
    <x v="2"/>
    <n v="7"/>
    <n v="111.47857142857143"/>
    <n v="1"/>
    <n v="780.35"/>
    <n v="21.5837"/>
    <n v="16842.840295000002"/>
    <n v="106.74299999999999"/>
    <n v="120.809"/>
    <n v="1.1316999999999999"/>
    <n v="19061.042361851501"/>
    <n v="2723.0060516930716"/>
    <m/>
    <n v="7"/>
    <s v="Sale"/>
    <x v="9"/>
    <s v="USD"/>
    <n v="1078.0999999999999"/>
    <n v="1"/>
    <n v="1078.0999999999999"/>
    <n v="19.9663"/>
    <n v="21525.668029999997"/>
    <n v="19061.042361851501"/>
    <n v="2464.6256681484956"/>
    <n v="1.9452054794520548"/>
    <n v="1"/>
    <n v="2464.6256681484956"/>
    <n v="0"/>
    <m/>
    <n v="297.74999999999989"/>
  </r>
  <r>
    <x v="3"/>
    <s v="Purchase"/>
    <x v="13"/>
    <x v="2"/>
    <s v="USD"/>
    <d v="2020-09-28T00:00:00"/>
    <n v="1386.14"/>
    <x v="2"/>
    <n v="14"/>
    <n v="99.01"/>
    <n v="1"/>
    <n v="1386.14"/>
    <n v="22.367799999999999"/>
    <n v="31004.902292000002"/>
    <n v="108.114"/>
    <n v="120.809"/>
    <n v="1.1173999999999999"/>
    <n v="34644.877821080801"/>
    <n v="2474.6341300772001"/>
    <m/>
    <n v="14"/>
    <s v="Sale"/>
    <x v="9"/>
    <s v="USD"/>
    <n v="2156.1999999999998"/>
    <n v="1"/>
    <n v="2156.1999999999998"/>
    <n v="19.9663"/>
    <n v="43051.336059999994"/>
    <n v="34644.877821080801"/>
    <n v="8406.4582389191928"/>
    <n v="1.6410958904109589"/>
    <n v="1"/>
    <n v="8406.4582389191928"/>
    <n v="0"/>
    <m/>
    <n v="770.05999999999972"/>
  </r>
  <r>
    <x v="3"/>
    <s v="Purchase"/>
    <x v="14"/>
    <x v="2"/>
    <s v="USD"/>
    <d v="2019-01-11T00:00:00"/>
    <n v="2726.47"/>
    <x v="2"/>
    <n v="24"/>
    <n v="113.60291666666666"/>
    <n v="1"/>
    <n v="2726.47"/>
    <n v="19.2456"/>
    <n v="52472.551031999996"/>
    <n v="103.108"/>
    <n v="118.98099999999999"/>
    <n v="1.1538999999999999"/>
    <n v="60548.076635824793"/>
    <n v="2522.8365264926997"/>
    <m/>
    <n v="24"/>
    <s v="Sale"/>
    <x v="11"/>
    <s v="USD"/>
    <n v="7507.73"/>
    <n v="1"/>
    <n v="7507.73"/>
    <n v="19.957699999999999"/>
    <n v="149837.02302099997"/>
    <n v="60548.076635824793"/>
    <n v="89288.946385175179"/>
    <n v="3.2136986301369861"/>
    <n v="1"/>
    <n v="89288.946385175179"/>
    <n v="0"/>
    <m/>
    <n v="4781.26"/>
  </r>
  <r>
    <x v="3"/>
    <s v="Purchase"/>
    <x v="14"/>
    <x v="2"/>
    <s v="USD"/>
    <d v="2019-01-11T00:00:00"/>
    <n v="2044.85"/>
    <x v="2"/>
    <n v="18"/>
    <n v="113.60277777777777"/>
    <n v="1"/>
    <n v="2044.85"/>
    <n v="19.2456"/>
    <n v="39354.365159999994"/>
    <n v="103.108"/>
    <n v="118.98099999999999"/>
    <n v="1.1538999999999999"/>
    <n v="45411.00195812399"/>
    <n v="2522.8334421179993"/>
    <m/>
    <n v="18"/>
    <s v="Sale"/>
    <x v="12"/>
    <s v="USD"/>
    <n v="5611.96"/>
    <n v="1"/>
    <n v="5611.96"/>
    <n v="20.1313"/>
    <n v="112976.050348"/>
    <n v="45411.00195812399"/>
    <n v="67565.048389876014"/>
    <n v="3.2109589041095892"/>
    <n v="1"/>
    <n v="67565.048389876014"/>
    <n v="0"/>
    <m/>
    <n v="3567.11"/>
  </r>
  <r>
    <x v="3"/>
    <s v="Purchase"/>
    <x v="14"/>
    <x v="2"/>
    <s v="USD"/>
    <d v="2019-01-11T00:00:00"/>
    <n v="6702.57"/>
    <x v="2"/>
    <n v="59"/>
    <n v="113.6028813559322"/>
    <n v="1"/>
    <n v="6702.57"/>
    <n v="19.2456"/>
    <n v="128994.98119199999"/>
    <n v="103.108"/>
    <n v="118.98099999999999"/>
    <n v="1.1538999999999999"/>
    <n v="148847.30879744879"/>
    <n v="2522.8357423296407"/>
    <m/>
    <n v="59"/>
    <s v="Sale"/>
    <x v="13"/>
    <s v="USD"/>
    <n v="15630.38"/>
    <n v="1"/>
    <n v="15630.38"/>
    <n v="20.926200000000001"/>
    <n v="327084.457956"/>
    <n v="148847.30879744879"/>
    <n v="178237.14915855121"/>
    <n v="3.1561643835616437"/>
    <n v="1"/>
    <n v="178237.14915855121"/>
    <n v="0"/>
    <m/>
    <n v="8927.81"/>
  </r>
  <r>
    <x v="3"/>
    <s v="Purchase"/>
    <x v="15"/>
    <x v="2"/>
    <s v="USD"/>
    <d v="2020-05-14T00:00:00"/>
    <n v="4684.7700000000004"/>
    <x v="2"/>
    <n v="18"/>
    <n v="260.26500000000004"/>
    <n v="1"/>
    <n v="4684.7700000000004"/>
    <n v="24.0487"/>
    <n v="112662.62829900002"/>
    <n v="106.16200000000001"/>
    <n v="118.002"/>
    <n v="1.1114999999999999"/>
    <n v="125224.51135433851"/>
    <n v="6956.9172974632502"/>
    <m/>
    <n v="18"/>
    <s v="Sale"/>
    <x v="14"/>
    <s v="USD"/>
    <n v="10681.18"/>
    <n v="1"/>
    <n v="10681.18"/>
    <n v="20.411000000000001"/>
    <n v="218013.56498000002"/>
    <n v="125224.51135433851"/>
    <n v="92789.053625661516"/>
    <n v="1.7616438356164383"/>
    <n v="1"/>
    <n v="92789.053625661516"/>
    <n v="0"/>
    <m/>
    <n v="5996.41"/>
  </r>
  <r>
    <x v="3"/>
    <s v="Purchase"/>
    <x v="16"/>
    <x v="2"/>
    <s v="USD"/>
    <d v="2020-09-28T00:00:00"/>
    <n v="6084.33"/>
    <x v="2"/>
    <n v="36"/>
    <n v="169.00916666666666"/>
    <n v="1"/>
    <n v="6084.33"/>
    <n v="22.367799999999999"/>
    <n v="136093.07657400001"/>
    <n v="108.114"/>
    <n v="118.98099999999999"/>
    <n v="1.1005"/>
    <n v="149770.43076968702"/>
    <n v="4160.2897436024177"/>
    <m/>
    <n v="36"/>
    <s v="Sale"/>
    <x v="8"/>
    <s v="USD"/>
    <n v="8940.9"/>
    <n v="1"/>
    <n v="8940.9"/>
    <n v="20.558499999999999"/>
    <n v="183811.49264999997"/>
    <n v="149770.43076968705"/>
    <n v="34041.061880312918"/>
    <n v="1.4794520547945205"/>
    <n v="1"/>
    <n v="34041.061880312918"/>
    <n v="0"/>
    <m/>
    <n v="2856.5699999999997"/>
  </r>
  <r>
    <x v="3"/>
    <s v="Purchase"/>
    <x v="16"/>
    <x v="2"/>
    <s v="USD"/>
    <d v="2020-10-22T00:00:00"/>
    <n v="2301.0300000000002"/>
    <x v="2"/>
    <n v="14"/>
    <n v="164.35928571428573"/>
    <n v="1"/>
    <n v="2301.0300000000002"/>
    <n v="21.090199999999999"/>
    <n v="48529.182906000002"/>
    <n v="108.774"/>
    <n v="118.98099999999999"/>
    <n v="1.0938000000000001"/>
    <n v="53081.220262582807"/>
    <n v="3791.5157330416291"/>
    <m/>
    <n v="14"/>
    <s v="Sale"/>
    <x v="8"/>
    <s v="USD"/>
    <n v="3477.02"/>
    <n v="1"/>
    <n v="3477.02"/>
    <n v="20.558499999999999"/>
    <n v="71482.315669999996"/>
    <n v="53081.220262582807"/>
    <n v="18401.09540741719"/>
    <n v="1.4136986301369863"/>
    <n v="1"/>
    <n v="18401.09540741719"/>
    <n v="0"/>
    <m/>
    <n v="1175.9899999999998"/>
  </r>
  <r>
    <x v="3"/>
    <s v="Purchase"/>
    <x v="17"/>
    <x v="2"/>
    <s v="USD"/>
    <d v="2020-08-06T00:00:00"/>
    <n v="3075.92"/>
    <x v="2"/>
    <n v="81"/>
    <n v="37.974320987654323"/>
    <n v="1"/>
    <n v="3075.92"/>
    <n v="22.784500000000001"/>
    <n v="70083.299240000008"/>
    <n v="107.867"/>
    <n v="120.15900000000001"/>
    <n v="1.1138999999999999"/>
    <n v="78065.787023436002"/>
    <n v="963.77514843748145"/>
    <m/>
    <n v="81"/>
    <s v="Sale"/>
    <x v="10"/>
    <s v="USD"/>
    <n v="7329.31"/>
    <n v="1"/>
    <n v="7329.31"/>
    <n v="20.299199999999999"/>
    <n v="148779.129552"/>
    <n v="78065.787023436002"/>
    <n v="70713.342528563997"/>
    <n v="1.7232876712328766"/>
    <n v="1"/>
    <n v="70713.342528563997"/>
    <n v="0"/>
    <m/>
    <n v="4253.3900000000003"/>
  </r>
  <r>
    <x v="3"/>
    <s v="Purchase"/>
    <x v="17"/>
    <x v="2"/>
    <s v="USD"/>
    <d v="2020-08-06T00:00:00"/>
    <n v="10936.6"/>
    <x v="2"/>
    <n v="288"/>
    <n v="37.97430555555556"/>
    <n v="1"/>
    <n v="10936.6"/>
    <n v="22.784500000000001"/>
    <n v="249184.96270000003"/>
    <n v="107.867"/>
    <n v="117.30800000000001"/>
    <n v="1.0874999999999999"/>
    <n v="270988.64693625004"/>
    <n v="940.93280186197933"/>
    <m/>
    <n v="288"/>
    <s v="Sale"/>
    <x v="15"/>
    <s v="USD"/>
    <n v="25047.46"/>
    <n v="1"/>
    <n v="25047.46"/>
    <n v="20.3002"/>
    <n v="508468.44749200001"/>
    <n v="270988.64693625004"/>
    <n v="237479.80055574997"/>
    <n v="1.4547945205479451"/>
    <n v="1"/>
    <n v="237479.80055574997"/>
    <n v="0"/>
    <m/>
    <n v="14110.859999999999"/>
  </r>
  <r>
    <x v="3"/>
    <s v="Purchase"/>
    <x v="17"/>
    <x v="2"/>
    <s v="USD"/>
    <d v="2020-09-28T00:00:00"/>
    <n v="1762.7"/>
    <x v="2"/>
    <n v="52"/>
    <n v="33.898076923076921"/>
    <n v="1"/>
    <n v="1762.7"/>
    <n v="22.367799999999999"/>
    <n v="39427.721059999996"/>
    <n v="108.114"/>
    <n v="120.15900000000001"/>
    <n v="1.1113999999999999"/>
    <n v="43819.969186083996"/>
    <n v="842.69171511699994"/>
    <m/>
    <n v="52"/>
    <s v="Sale"/>
    <x v="10"/>
    <s v="USD"/>
    <n v="4705.2299999999996"/>
    <n v="1"/>
    <n v="4705.2299999999996"/>
    <n v="20.299199999999999"/>
    <n v="95512.40481599998"/>
    <n v="43819.969186083996"/>
    <n v="51692.435629915984"/>
    <n v="1.5780821917808219"/>
    <n v="1"/>
    <n v="51692.435629915984"/>
    <n v="0"/>
    <m/>
    <n v="2942.5299999999997"/>
  </r>
  <r>
    <x v="3"/>
    <s v="Purchase"/>
    <x v="18"/>
    <x v="2"/>
    <s v="USD"/>
    <d v="2019-11-15T00:00:00"/>
    <n v="14960.19"/>
    <x v="2"/>
    <n v="49"/>
    <n v="305.31"/>
    <n v="1"/>
    <n v="14960.19"/>
    <n v="19.4543"/>
    <n v="291040.024317"/>
    <n v="105.346"/>
    <n v="118.98099999999999"/>
    <n v="1.1294"/>
    <n v="328700.60346361977"/>
    <n v="6708.1755808901999"/>
    <m/>
    <n v="49"/>
    <s v="Sale"/>
    <x v="12"/>
    <s v="USD"/>
    <n v="27345.05"/>
    <n v="1"/>
    <n v="27345.05"/>
    <n v="20.1313"/>
    <n v="550491.40506499994"/>
    <n v="328700.60346361977"/>
    <n v="221790.80160138017"/>
    <n v="2.3671232876712329"/>
    <n v="1"/>
    <n v="221790.80160138017"/>
    <n v="0"/>
    <m/>
    <n v="12384.859999999999"/>
  </r>
  <r>
    <x v="3"/>
    <s v="Purchase"/>
    <x v="19"/>
    <x v="2"/>
    <s v="USD"/>
    <d v="2020-05-11T00:00:00"/>
    <n v="10054.19"/>
    <x v="2"/>
    <n v="55"/>
    <n v="182.80345454545454"/>
    <n v="1"/>
    <n v="10054.19"/>
    <n v="24.0563"/>
    <n v="241866.61089700001"/>
    <n v="106.16200000000001"/>
    <n v="120.809"/>
    <n v="1.1378999999999999"/>
    <n v="275220.01653969631"/>
    <n v="5004.000300721751"/>
    <m/>
    <n v="55"/>
    <s v="Sale"/>
    <x v="9"/>
    <s v="USD"/>
    <n v="10295.61"/>
    <n v="1"/>
    <n v="10295.61"/>
    <n v="19.9663"/>
    <n v="205565.23794300001"/>
    <n v="275220.01653969631"/>
    <n v="-69654.778596696298"/>
    <n v="2.0246575342465754"/>
    <n v="1"/>
    <n v="-69654.778596696298"/>
    <n v="0"/>
    <m/>
    <n v="241.42000000000007"/>
  </r>
  <r>
    <x v="3"/>
    <s v="Purchase"/>
    <x v="20"/>
    <x v="2"/>
    <s v="USD"/>
    <d v="2020-05-14T00:00:00"/>
    <n v="11.87"/>
    <x v="2"/>
    <n v="0.4"/>
    <n v="29.674999999999997"/>
    <n v="1"/>
    <n v="11.87"/>
    <n v="24.0487"/>
    <n v="285.45806899999997"/>
    <n v="106.16200000000001"/>
    <n v="120.15900000000001"/>
    <n v="1.1317999999999999"/>
    <n v="323.08144249419996"/>
    <n v="807.70360623549982"/>
    <m/>
    <n v="0.4"/>
    <s v="Sale"/>
    <x v="16"/>
    <s v="USD"/>
    <n v="12.24"/>
    <n v="1"/>
    <n v="12.24"/>
    <n v="19.863199999999999"/>
    <n v="243.12556799999999"/>
    <n v="323.08144249419996"/>
    <n v="-79.955874494199975"/>
    <n v="1.8821917808219177"/>
    <n v="1"/>
    <n v="-79.955874494199975"/>
    <n v="0"/>
    <m/>
    <n v="0.37000000000000099"/>
  </r>
  <r>
    <x v="3"/>
    <s v="Purchase"/>
    <x v="20"/>
    <x v="2"/>
    <s v="USD"/>
    <d v="2020-05-14T00:00:00"/>
    <n v="451.12"/>
    <x v="2"/>
    <n v="15.2"/>
    <n v="29.678947368421053"/>
    <n v="1"/>
    <n v="451.12"/>
    <n v="24.0487"/>
    <n v="10848.849544000001"/>
    <n v="106.16200000000001"/>
    <n v="120.15900000000001"/>
    <n v="1.1317999999999999"/>
    <n v="12278.7279138992"/>
    <n v="807.81104696705268"/>
    <m/>
    <n v="15.2"/>
    <s v="Sale"/>
    <x v="17"/>
    <s v="USD"/>
    <n v="465.06"/>
    <n v="1"/>
    <n v="465.06"/>
    <n v="19.911200000000001"/>
    <n v="9259.9026720000002"/>
    <n v="12278.7279138992"/>
    <n v="-3018.8252418991997"/>
    <n v="1.8904109589041096"/>
    <n v="1"/>
    <n v="-3018.8252418991997"/>
    <n v="0"/>
    <m/>
    <n v="13.939999999999998"/>
  </r>
  <r>
    <x v="3"/>
    <s v="Purchase"/>
    <x v="20"/>
    <x v="2"/>
    <s v="USD"/>
    <d v="2020-09-28T00:00:00"/>
    <n v="166.91"/>
    <x v="2"/>
    <n v="6.4"/>
    <n v="26.079687499999999"/>
    <n v="1"/>
    <n v="166.91"/>
    <n v="22.367799999999999"/>
    <n v="3733.409498"/>
    <n v="108.114"/>
    <n v="120.15900000000001"/>
    <n v="1.1113999999999999"/>
    <n v="4149.3113160772"/>
    <n v="648.32989313706241"/>
    <m/>
    <n v="6.4"/>
    <s v="Sale"/>
    <x v="17"/>
    <s v="USD"/>
    <n v="195.82"/>
    <n v="1"/>
    <n v="195.82"/>
    <n v="19.911200000000001"/>
    <n v="3899.011184"/>
    <n v="4149.3113160772"/>
    <n v="-250.30013207720003"/>
    <n v="1.515068493150685"/>
    <n v="1"/>
    <n v="-250.30013207720003"/>
    <n v="0"/>
    <m/>
    <n v="28.909999999999997"/>
  </r>
  <r>
    <x v="3"/>
    <s v="Purchase"/>
    <x v="20"/>
    <x v="2"/>
    <s v="USD"/>
    <d v="2020-10-22T00:00:00"/>
    <n v="454.06"/>
    <x v="2"/>
    <n v="16.399999999999999"/>
    <n v="27.686585365853659"/>
    <n v="1"/>
    <n v="454.06"/>
    <n v="21.090199999999999"/>
    <n v="9576.2162119999994"/>
    <n v="108.774"/>
    <n v="120.15900000000001"/>
    <n v="1.1046"/>
    <n v="10577.8884277752"/>
    <n v="644.99319681556108"/>
    <m/>
    <n v="16.399999999999999"/>
    <s v="Sale"/>
    <x v="17"/>
    <s v="USD"/>
    <n v="501.78"/>
    <n v="1"/>
    <n v="501.78"/>
    <n v="19.911200000000001"/>
    <n v="9991.0419359999996"/>
    <n v="10577.8884277752"/>
    <n v="-586.84649177520078"/>
    <n v="1.4493150684931506"/>
    <n v="1"/>
    <n v="-586.84649177520078"/>
    <n v="0"/>
    <m/>
    <n v="47.71999999999997"/>
  </r>
  <r>
    <x v="0"/>
    <m/>
    <x v="0"/>
    <x v="0"/>
    <m/>
    <m/>
    <m/>
    <x v="0"/>
    <n v="0"/>
    <n v="0"/>
    <n v="0"/>
    <n v="0"/>
    <n v="0"/>
    <n v="0"/>
    <n v="0"/>
    <n v="0"/>
    <n v="0"/>
    <n v="0"/>
    <n v="0"/>
    <m/>
    <m/>
    <m/>
    <x v="0"/>
    <m/>
    <m/>
    <n v="0"/>
    <n v="0"/>
    <n v="0"/>
    <n v="0"/>
    <n v="0"/>
    <n v="0"/>
    <n v="0"/>
    <n v="1"/>
    <n v="0"/>
    <n v="0"/>
    <m/>
    <n v="0"/>
  </r>
  <r>
    <x v="3"/>
    <s v="Purchase"/>
    <x v="21"/>
    <x v="2"/>
    <s v="USD"/>
    <d v="2020-08-06T00:00:00"/>
    <n v="614.42999999999995"/>
    <x v="2"/>
    <n v="3"/>
    <n v="204.80999999999997"/>
    <n v="1"/>
    <n v="614.42999999999995"/>
    <n v="22.784500000000001"/>
    <n v="13999.480335"/>
    <n v="107.867"/>
    <n v="118.002"/>
    <n v="1.0939000000000001"/>
    <n v="15314.031538456502"/>
    <n v="5104.6771794855003"/>
    <m/>
    <n v="3"/>
    <s v="Sale"/>
    <x v="14"/>
    <s v="USD"/>
    <n v="1084.6199999999999"/>
    <n v="1"/>
    <n v="1084.6199999999999"/>
    <n v="20.411000000000001"/>
    <n v="22138.178820000001"/>
    <n v="15314.0315384565"/>
    <n v="6824.1472815435009"/>
    <n v="1.5315068493150685"/>
    <n v="1"/>
    <n v="6824.1472815435009"/>
    <n v="0"/>
    <m/>
    <n v="470.18999999999994"/>
  </r>
  <r>
    <x v="3"/>
    <s v="Purchase"/>
    <x v="21"/>
    <x v="2"/>
    <s v="USD"/>
    <d v="2020-09-28T00:00:00"/>
    <n v="6017.51"/>
    <x v="2"/>
    <n v="30"/>
    <n v="200.58366666666669"/>
    <n v="1"/>
    <n v="6017.51"/>
    <n v="22.367799999999999"/>
    <n v="134598.46017800001"/>
    <n v="108.114"/>
    <n v="118.98099999999999"/>
    <n v="1.1005"/>
    <n v="148125.60542588902"/>
    <n v="4937.5201808629672"/>
    <m/>
    <n v="30"/>
    <s v="Sale"/>
    <x v="8"/>
    <s v="USD"/>
    <n v="10234.51"/>
    <n v="1"/>
    <n v="10234.51"/>
    <n v="20.558499999999999"/>
    <n v="210406.17383499999"/>
    <n v="148125.60542588902"/>
    <n v="62280.568409110972"/>
    <n v="1.4794520547945205"/>
    <n v="1"/>
    <n v="62280.568409110972"/>
    <n v="0"/>
    <m/>
    <n v="4217"/>
  </r>
  <r>
    <x v="3"/>
    <s v="Purchase"/>
    <x v="21"/>
    <x v="2"/>
    <s v="USD"/>
    <d v="2020-09-28T00:00:00"/>
    <n v="6017.51"/>
    <x v="2"/>
    <n v="30"/>
    <n v="200.58366666666669"/>
    <n v="1"/>
    <n v="6017.51"/>
    <n v="22.367799999999999"/>
    <n v="134598.46017800001"/>
    <n v="108.114"/>
    <n v="118.002"/>
    <n v="1.0913999999999999"/>
    <n v="146900.75943826919"/>
    <n v="4896.6919812756396"/>
    <m/>
    <n v="30"/>
    <s v="Sale"/>
    <x v="14"/>
    <s v="USD"/>
    <n v="10846.22"/>
    <n v="1"/>
    <n v="10846.22"/>
    <n v="20.411000000000001"/>
    <n v="221382.19641999999"/>
    <n v="146900.75943826919"/>
    <n v="74481.436981730803"/>
    <n v="1.3863013698630138"/>
    <n v="1"/>
    <n v="74481.436981730803"/>
    <n v="0"/>
    <m/>
    <n v="4828.7099999999991"/>
  </r>
  <r>
    <x v="3"/>
    <s v="Purchase"/>
    <x v="22"/>
    <x v="2"/>
    <s v="USD"/>
    <d v="2018-08-03T00:00:00"/>
    <n v="5362.1"/>
    <x v="2"/>
    <n v="36"/>
    <n v="148.94722222222222"/>
    <n v="1"/>
    <n v="5362.1"/>
    <n v="18.5899"/>
    <n v="99680.902790000007"/>
    <n v="100.492"/>
    <n v="120.809"/>
    <n v="1.2020999999999999"/>
    <n v="119826.413243859"/>
    <n v="3328.5114789960835"/>
    <m/>
    <n v="36"/>
    <s v="Sale"/>
    <x v="9"/>
    <s v="USD"/>
    <n v="6802.98"/>
    <n v="1"/>
    <n v="6802.98"/>
    <n v="19.9663"/>
    <n v="135830.33957399998"/>
    <n v="119826.413243859"/>
    <n v="16003.926330140981"/>
    <n v="3.7972602739726029"/>
    <n v="1"/>
    <n v="16003.926330140981"/>
    <n v="0"/>
    <m/>
    <n v="1440.8799999999992"/>
  </r>
  <r>
    <x v="3"/>
    <s v="Purchase"/>
    <x v="22"/>
    <x v="2"/>
    <s v="USD"/>
    <d v="2020-06-08T00:00:00"/>
    <n v="1297.27"/>
    <x v="2"/>
    <n v="8"/>
    <n v="162.15875"/>
    <n v="1"/>
    <n v="1297.27"/>
    <n v="21.838799999999999"/>
    <n v="28330.820076"/>
    <n v="106.74299999999999"/>
    <n v="120.809"/>
    <n v="1.1316999999999999"/>
    <n v="32061.989080009196"/>
    <n v="4007.7486350011495"/>
    <m/>
    <n v="8"/>
    <s v="Sale"/>
    <x v="9"/>
    <s v="USD"/>
    <n v="1511.77"/>
    <n v="1"/>
    <n v="1511.77"/>
    <n v="19.9663"/>
    <n v="30184.453351"/>
    <n v="32061.989080009196"/>
    <n v="-1877.5357290091961"/>
    <n v="1.9479452054794522"/>
    <n v="1"/>
    <n v="-1877.5357290091961"/>
    <n v="0"/>
    <m/>
    <n v="214.5"/>
  </r>
  <r>
    <x v="3"/>
    <s v="Purchase"/>
    <x v="23"/>
    <x v="2"/>
    <s v="USD"/>
    <d v="2020-05-14T00:00:00"/>
    <n v="8182.61"/>
    <x v="2"/>
    <n v="94"/>
    <n v="87.049042553191484"/>
    <n v="1"/>
    <n v="8182.61"/>
    <n v="24.0487"/>
    <n v="196781.133107"/>
    <n v="106.16200000000001"/>
    <n v="117.30800000000001"/>
    <n v="1.1049"/>
    <n v="217423.47396992429"/>
    <n v="2313.0156805311094"/>
    <m/>
    <n v="94"/>
    <s v="Sale"/>
    <x v="15"/>
    <s v="USD"/>
    <n v="14163.22"/>
    <n v="1"/>
    <n v="14163.22"/>
    <n v="20.3002"/>
    <n v="287516.19864399999"/>
    <n v="217423.47396992429"/>
    <n v="70092.724674075696"/>
    <n v="1.6849315068493151"/>
    <n v="1"/>
    <n v="70092.724674075696"/>
    <n v="0"/>
    <m/>
    <n v="5980.61"/>
  </r>
  <r>
    <x v="3"/>
    <s v="Purchase"/>
    <x v="23"/>
    <x v="2"/>
    <s v="USD"/>
    <d v="2020-09-28T00:00:00"/>
    <n v="5154.7299999999996"/>
    <x v="2"/>
    <n v="54"/>
    <n v="95.457962962962952"/>
    <n v="1"/>
    <n v="5154.7299999999996"/>
    <n v="22.367799999999999"/>
    <n v="115299.96969399998"/>
    <n v="108.114"/>
    <n v="117.30800000000001"/>
    <n v="1.085"/>
    <n v="125100.46711798997"/>
    <n v="2316.6753169998142"/>
    <m/>
    <n v="54"/>
    <s v="Sale"/>
    <x v="15"/>
    <s v="USD"/>
    <n v="8136.32"/>
    <n v="1"/>
    <n v="8136.32"/>
    <n v="20.3002"/>
    <n v="165168.92326399998"/>
    <n v="125100.46711798996"/>
    <n v="40068.456146010023"/>
    <n v="1.3095890410958904"/>
    <n v="1"/>
    <n v="40068.456146010023"/>
    <n v="0"/>
    <m/>
    <n v="2981.59"/>
  </r>
  <r>
    <x v="3"/>
    <s v="Purchase"/>
    <x v="24"/>
    <x v="2"/>
    <s v="USD"/>
    <d v="2020-05-14T00:00:00"/>
    <n v="11377.11"/>
    <x v="2"/>
    <n v="32"/>
    <n v="355.53468750000002"/>
    <n v="1"/>
    <n v="11377.11"/>
    <n v="24.0487"/>
    <n v="273604.70525699999"/>
    <n v="106.16200000000001"/>
    <n v="118.002"/>
    <n v="1.1114999999999999"/>
    <n v="304111.62989315548"/>
    <n v="9503.4884341611087"/>
    <m/>
    <n v="32"/>
    <s v="Sale"/>
    <x v="14"/>
    <s v="USD"/>
    <n v="12284.15"/>
    <n v="1"/>
    <n v="12284.15"/>
    <n v="20.411000000000001"/>
    <n v="250731.78565000001"/>
    <n v="304111.62989315548"/>
    <n v="-53379.844243155472"/>
    <n v="1.7616438356164383"/>
    <n v="1"/>
    <n v="-53379.844243155472"/>
    <n v="0"/>
    <m/>
    <n v="907.03999999999905"/>
  </r>
  <r>
    <x v="3"/>
    <s v="Purchase"/>
    <x v="25"/>
    <x v="2"/>
    <s v="USD"/>
    <d v="2018-08-03T00:00:00"/>
    <n v="6351.15"/>
    <x v="2"/>
    <n v="65"/>
    <n v="97.71"/>
    <n v="1"/>
    <n v="6351.15"/>
    <n v="18.5899"/>
    <n v="118067.24338499999"/>
    <n v="100.492"/>
    <n v="120.809"/>
    <n v="1.2020999999999999"/>
    <n v="141928.63327310848"/>
    <n v="2183.5174349708996"/>
    <m/>
    <n v="65"/>
    <s v="Sale"/>
    <x v="9"/>
    <s v="USD"/>
    <n v="11899.01"/>
    <n v="1"/>
    <n v="11899.01"/>
    <n v="19.9663"/>
    <n v="237579.20336300001"/>
    <n v="141928.63327310848"/>
    <n v="95650.570089891524"/>
    <n v="3.7972602739726029"/>
    <n v="1"/>
    <n v="95650.570089891524"/>
    <n v="0"/>
    <m/>
    <n v="5547.8600000000006"/>
  </r>
  <r>
    <x v="3"/>
    <s v="Purchase"/>
    <x v="26"/>
    <x v="2"/>
    <s v="USD"/>
    <d v="2019-02-01T00:00:00"/>
    <n v="22978.75"/>
    <x v="2"/>
    <n v="138"/>
    <n v="166.51268115942028"/>
    <n v="1"/>
    <n v="22978.75"/>
    <n v="19.162299999999998"/>
    <n v="440325.70112499996"/>
    <n v="103.07899999999999"/>
    <n v="118.002"/>
    <n v="1.1447000000000001"/>
    <n v="504040.83007778745"/>
    <n v="3652.4697831723729"/>
    <m/>
    <n v="138"/>
    <s v="Sale"/>
    <x v="18"/>
    <s v="USD"/>
    <n v="30081.54"/>
    <n v="1"/>
    <n v="30081.54"/>
    <n v="20.4148"/>
    <n v="614108.62279199995"/>
    <n v="504040.83007778745"/>
    <n v="110067.7927142125"/>
    <n v="3.0383561643835617"/>
    <n v="1"/>
    <n v="110067.7927142125"/>
    <n v="0"/>
    <m/>
    <n v="7102.7900000000009"/>
  </r>
  <r>
    <x v="3"/>
    <s v="Purchase"/>
    <x v="26"/>
    <x v="2"/>
    <s v="USD"/>
    <d v="2019-05-21T00:00:00"/>
    <n v="30839.54"/>
    <x v="2"/>
    <n v="167"/>
    <n v="184.66790419161677"/>
    <n v="1"/>
    <n v="30839.54"/>
    <n v="19.145399999999999"/>
    <n v="590435.32911599998"/>
    <n v="103.233"/>
    <n v="118.002"/>
    <n v="1.143"/>
    <n v="674867.58117958799"/>
    <n v="4041.1232405963351"/>
    <m/>
    <n v="167"/>
    <s v="Sale"/>
    <x v="18"/>
    <s v="USD"/>
    <n v="36403.03"/>
    <n v="1"/>
    <n v="36403.03"/>
    <n v="20.4148"/>
    <n v="743160.57684399991"/>
    <n v="674867.58117958799"/>
    <n v="68292.995664411923"/>
    <n v="2.7397260273972601"/>
    <n v="1"/>
    <n v="68292.995664411923"/>
    <n v="0"/>
    <m/>
    <n v="5563.489999999998"/>
  </r>
  <r>
    <x v="3"/>
    <s v="Purchase"/>
    <x v="26"/>
    <x v="2"/>
    <s v="USD"/>
    <d v="2020-02-26T00:00:00"/>
    <n v="11038.85"/>
    <x v="2"/>
    <n v="55"/>
    <n v="200.70636363636365"/>
    <n v="1"/>
    <n v="11038.85"/>
    <n v="19.119700000000002"/>
    <n v="211059.50034500004"/>
    <n v="106.889"/>
    <n v="118.002"/>
    <n v="1.1039000000000001"/>
    <n v="232988.58243084556"/>
    <n v="4236.1560441971924"/>
    <m/>
    <n v="55"/>
    <s v="Sale"/>
    <x v="18"/>
    <s v="USD"/>
    <n v="11989.02"/>
    <n v="1"/>
    <n v="11989.02"/>
    <n v="20.4148"/>
    <n v="244753.445496"/>
    <n v="232988.58243084559"/>
    <n v="11764.863065154408"/>
    <n v="1.9698630136986301"/>
    <n v="1"/>
    <n v="11764.863065154408"/>
    <n v="0"/>
    <m/>
    <n v="950.17000000000007"/>
  </r>
  <r>
    <x v="3"/>
    <s v="Purchase"/>
    <x v="27"/>
    <x v="2"/>
    <s v="USD"/>
    <d v="2020-05-14T00:00:00"/>
    <n v="3740.5"/>
    <x v="2"/>
    <n v="100"/>
    <n v="37.405000000000001"/>
    <n v="1"/>
    <n v="3740.5"/>
    <n v="24.0487"/>
    <n v="89954.162349999999"/>
    <n v="106.16200000000001"/>
    <n v="118.98099999999999"/>
    <n v="1.1207"/>
    <n v="100811.629745645"/>
    <n v="1008.11629745645"/>
    <m/>
    <n v="100"/>
    <s v="Sale"/>
    <x v="8"/>
    <s v="USD"/>
    <n v="9321.32"/>
    <n v="1"/>
    <n v="9321.32"/>
    <n v="20.558499999999999"/>
    <n v="191632.35721999998"/>
    <n v="100811.629745645"/>
    <n v="90820.727474354979"/>
    <n v="1.8547945205479452"/>
    <n v="1"/>
    <n v="90820.727474354979"/>
    <n v="0"/>
    <m/>
    <n v="5580.82"/>
  </r>
  <r>
    <x v="3"/>
    <s v="Purchase"/>
    <x v="27"/>
    <x v="2"/>
    <s v="USD"/>
    <d v="2020-05-14T00:00:00"/>
    <n v="4825.25"/>
    <x v="2"/>
    <n v="129"/>
    <n v="37.405038759689923"/>
    <n v="1"/>
    <n v="4825.25"/>
    <n v="24.0487"/>
    <n v="116040.989675"/>
    <n v="106.16200000000001"/>
    <n v="118.002"/>
    <n v="1.1114999999999999"/>
    <n v="128979.5600237625"/>
    <n v="999.84155057180237"/>
    <m/>
    <n v="129"/>
    <s v="Sale"/>
    <x v="14"/>
    <s v="USD"/>
    <n v="13209.71"/>
    <n v="1"/>
    <n v="13209.71"/>
    <n v="20.411000000000001"/>
    <n v="269623.39081000001"/>
    <n v="128979.5600237625"/>
    <n v="140643.83078623749"/>
    <n v="1.7616438356164383"/>
    <n v="1"/>
    <n v="140643.83078623749"/>
    <n v="0"/>
    <m/>
    <n v="8384.4599999999991"/>
  </r>
  <r>
    <x v="3"/>
    <s v="Purchase"/>
    <x v="28"/>
    <x v="2"/>
    <s v="USD"/>
    <d v="2020-05-14T00:00:00"/>
    <n v="8121.75"/>
    <x v="2"/>
    <n v="50"/>
    <n v="162.435"/>
    <n v="1"/>
    <n v="8121.75"/>
    <n v="24.0487"/>
    <n v="195317.52922500001"/>
    <n v="106.16200000000001"/>
    <n v="120.15900000000001"/>
    <n v="1.1317999999999999"/>
    <n v="221060.37957685499"/>
    <n v="4421.2075915370997"/>
    <m/>
    <n v="50"/>
    <s v="Sale"/>
    <x v="10"/>
    <s v="USD"/>
    <n v="12815.77"/>
    <n v="1"/>
    <n v="12815.77"/>
    <n v="20.299199999999999"/>
    <n v="260149.87838400001"/>
    <n v="221060.37957685499"/>
    <n v="39089.498807145021"/>
    <n v="1.9534246575342467"/>
    <n v="1"/>
    <n v="39089.498807145021"/>
    <n v="0"/>
    <m/>
    <n v="4694.0200000000004"/>
  </r>
  <r>
    <x v="3"/>
    <s v="Purchase"/>
    <x v="29"/>
    <x v="2"/>
    <s v="USD"/>
    <d v="2018-08-03T00:00:00"/>
    <n v="2784.9"/>
    <x v="2"/>
    <n v="9"/>
    <n v="309.43333333333334"/>
    <n v="1"/>
    <n v="2784.9"/>
    <n v="18.5899"/>
    <n v="51771.01251"/>
    <n v="100.492"/>
    <n v="120.809"/>
    <n v="1.2020999999999999"/>
    <n v="62233.934138270997"/>
    <n v="6914.8815709189994"/>
    <m/>
    <n v="9"/>
    <s v="Sale"/>
    <x v="19"/>
    <s v="USD"/>
    <n v="5187.4799999999996"/>
    <n v="1"/>
    <n v="5187.4799999999996"/>
    <n v="19.9267"/>
    <n v="103369.357716"/>
    <n v="62233.934138270997"/>
    <n v="41135.423577729001"/>
    <n v="3.8054794520547945"/>
    <n v="1"/>
    <n v="41135.423577729001"/>
    <n v="0"/>
    <m/>
    <n v="2402.5799999999995"/>
  </r>
  <r>
    <x v="3"/>
    <s v="Purchase"/>
    <x v="29"/>
    <x v="2"/>
    <s v="USD"/>
    <d v="2018-08-03T00:00:00"/>
    <n v="3094.33"/>
    <x v="2"/>
    <n v="10"/>
    <n v="309.43299999999999"/>
    <n v="1"/>
    <n v="3094.33"/>
    <n v="18.5899"/>
    <n v="57523.285266999999"/>
    <n v="100.492"/>
    <n v="120.809"/>
    <n v="1.2020999999999999"/>
    <n v="69148.741219460702"/>
    <n v="6914.8741219460699"/>
    <m/>
    <n v="10"/>
    <s v="Sale"/>
    <x v="9"/>
    <s v="USD"/>
    <n v="5745.04"/>
    <n v="1"/>
    <n v="5745.04"/>
    <n v="19.9663"/>
    <n v="114707.192152"/>
    <n v="69148.741219460702"/>
    <n v="45558.450932539301"/>
    <n v="3.7972602739726029"/>
    <n v="1"/>
    <n v="45558.450932539301"/>
    <n v="0"/>
    <m/>
    <n v="2650.71"/>
  </r>
  <r>
    <x v="3"/>
    <s v="Purchase"/>
    <x v="29"/>
    <x v="2"/>
    <s v="USD"/>
    <d v="2018-08-03T00:00:00"/>
    <n v="3403.76"/>
    <x v="2"/>
    <n v="11"/>
    <n v="309.43272727272728"/>
    <n v="1"/>
    <n v="3403.76"/>
    <n v="18.5899"/>
    <n v="63275.558024000005"/>
    <n v="100.492"/>
    <n v="118.98099999999999"/>
    <n v="1.1839"/>
    <n v="74911.933144613606"/>
    <n v="6810.1757404194186"/>
    <m/>
    <n v="11"/>
    <s v="Sale"/>
    <x v="11"/>
    <s v="USD"/>
    <n v="7633.6"/>
    <n v="1"/>
    <n v="7633.6"/>
    <n v="19.957699999999999"/>
    <n v="152349.09872000001"/>
    <n v="74911.933144613606"/>
    <n v="77437.165575386403"/>
    <n v="3.6547945205479451"/>
    <n v="1"/>
    <n v="77437.165575386403"/>
    <n v="0"/>
    <m/>
    <n v="4229.84"/>
  </r>
  <r>
    <x v="3"/>
    <s v="Purchase"/>
    <x v="29"/>
    <x v="2"/>
    <s v="USD"/>
    <d v="2018-08-03T00:00:00"/>
    <n v="2784.9"/>
    <x v="2"/>
    <n v="9"/>
    <n v="309.43333333333334"/>
    <n v="1"/>
    <n v="2784.9"/>
    <n v="18.5899"/>
    <n v="51771.01251"/>
    <n v="100.492"/>
    <n v="118.98099999999999"/>
    <n v="1.1839"/>
    <n v="61291.701710588997"/>
    <n v="6810.1890789543331"/>
    <m/>
    <n v="9"/>
    <s v="Sale"/>
    <x v="12"/>
    <s v="USD"/>
    <n v="6223.23"/>
    <n v="1"/>
    <n v="6223.23"/>
    <n v="20.1313"/>
    <n v="125281.71009899999"/>
    <n v="61291.701710588997"/>
    <n v="63990.008388410992"/>
    <n v="3.6520547945205482"/>
    <n v="1"/>
    <n v="63990.008388410992"/>
    <n v="0"/>
    <m/>
    <n v="3438.3299999999995"/>
  </r>
  <r>
    <x v="3"/>
    <s v="Purchase"/>
    <x v="29"/>
    <x v="2"/>
    <s v="USD"/>
    <d v="2018-08-03T00:00:00"/>
    <n v="7116.96"/>
    <x v="2"/>
    <n v="23"/>
    <n v="309.43304347826086"/>
    <n v="1"/>
    <n v="7116.96"/>
    <n v="18.5899"/>
    <n v="132303.574704"/>
    <n v="100.492"/>
    <n v="118.98099999999999"/>
    <n v="1.1839"/>
    <n v="156634.20209206559"/>
    <n v="6810.1826996550253"/>
    <m/>
    <n v="23"/>
    <s v="Sale"/>
    <x v="13"/>
    <s v="USD"/>
    <n v="15258.35"/>
    <n v="1"/>
    <n v="15258.35"/>
    <n v="20.926200000000001"/>
    <n v="319299.28377000004"/>
    <n v="156634.20209206559"/>
    <n v="162665.08167793445"/>
    <n v="3.5972602739726027"/>
    <n v="1"/>
    <n v="162665.08167793445"/>
    <n v="0"/>
    <m/>
    <n v="8141.39"/>
  </r>
  <r>
    <x v="3"/>
    <s v="Purchase"/>
    <x v="29"/>
    <x v="2"/>
    <s v="USD"/>
    <d v="2018-08-03T00:00:00"/>
    <n v="4641.5"/>
    <x v="2"/>
    <n v="15"/>
    <n v="309.43333333333334"/>
    <n v="1"/>
    <n v="4641.5"/>
    <n v="18.5899"/>
    <n v="86285.020850000001"/>
    <n v="100.492"/>
    <n v="118.002"/>
    <n v="1.1741999999999999"/>
    <n v="101315.87148207"/>
    <n v="6754.3914321379998"/>
    <m/>
    <n v="15"/>
    <s v="Sale"/>
    <x v="18"/>
    <s v="USD"/>
    <n v="9884.61"/>
    <n v="1"/>
    <n v="9884.61"/>
    <n v="20.4148"/>
    <n v="201792.336228"/>
    <n v="101315.87148207"/>
    <n v="100476.46474593"/>
    <n v="3.536986301369863"/>
    <n v="1"/>
    <n v="100476.46474593"/>
    <n v="0"/>
    <m/>
    <n v="5243.1100000000006"/>
  </r>
  <r>
    <x v="3"/>
    <s v="Purchase"/>
    <x v="30"/>
    <x v="2"/>
    <s v="USD"/>
    <d v="2019-01-11T00:00:00"/>
    <n v="4574.3"/>
    <x v="2"/>
    <n v="29"/>
    <n v="157.73448275862069"/>
    <n v="1"/>
    <n v="4574.3"/>
    <n v="19.2456"/>
    <n v="88035.148079999999"/>
    <n v="103.108"/>
    <n v="120.809"/>
    <n v="1.1716"/>
    <n v="103141.979490528"/>
    <n v="3556.6199824320001"/>
    <m/>
    <n v="29"/>
    <s v="Sale"/>
    <x v="19"/>
    <s v="USD"/>
    <n v="7589.84"/>
    <n v="1"/>
    <n v="7589.84"/>
    <n v="19.9267"/>
    <n v="151240.46472799999"/>
    <n v="103141.979490528"/>
    <n v="48098.485237471992"/>
    <n v="3.3643835616438356"/>
    <n v="1"/>
    <n v="48098.485237471992"/>
    <n v="0"/>
    <m/>
    <n v="3015.54"/>
  </r>
  <r>
    <x v="3"/>
    <s v="Purchase"/>
    <x v="30"/>
    <x v="2"/>
    <s v="USD"/>
    <d v="2019-01-11T00:00:00"/>
    <n v="4416.57"/>
    <x v="2"/>
    <n v="28"/>
    <n v="157.73464285714286"/>
    <n v="1"/>
    <n v="4416.57"/>
    <n v="19.2456"/>
    <n v="84999.539591999986"/>
    <n v="103.108"/>
    <n v="120.809"/>
    <n v="1.1716"/>
    <n v="99585.460585987181"/>
    <n v="3556.6235923566851"/>
    <m/>
    <n v="28"/>
    <s v="Sale"/>
    <x v="9"/>
    <s v="USD"/>
    <n v="7218.39"/>
    <n v="1"/>
    <n v="7218.39"/>
    <n v="19.9663"/>
    <n v="144124.54025700002"/>
    <n v="99585.460585987181"/>
    <n v="44539.079671012834"/>
    <n v="3.3561643835616439"/>
    <n v="1"/>
    <n v="44539.079671012834"/>
    <n v="0"/>
    <m/>
    <n v="2801.8200000000006"/>
  </r>
  <r>
    <x v="3"/>
    <s v="Purchase"/>
    <x v="30"/>
    <x v="2"/>
    <s v="USD"/>
    <d v="2019-01-11T00:00:00"/>
    <n v="3627.89"/>
    <x v="2"/>
    <n v="23"/>
    <n v="157.73434782608695"/>
    <n v="1"/>
    <n v="3627.89"/>
    <n v="19.2456"/>
    <n v="69820.919783999998"/>
    <n v="103.108"/>
    <n v="118.98099999999999"/>
    <n v="1.1538999999999999"/>
    <n v="80566.359338757597"/>
    <n v="3502.8851886416346"/>
    <m/>
    <n v="23"/>
    <s v="Sale"/>
    <x v="12"/>
    <s v="USD"/>
    <n v="6600.99"/>
    <n v="1"/>
    <n v="6600.99"/>
    <n v="20.1313"/>
    <n v="132886.509987"/>
    <n v="80566.359338757597"/>
    <n v="52320.150648242401"/>
    <n v="3.2109589041095892"/>
    <n v="1"/>
    <n v="52320.150648242401"/>
    <n v="0"/>
    <m/>
    <n v="2973.1"/>
  </r>
  <r>
    <x v="3"/>
    <s v="Purchase"/>
    <x v="31"/>
    <x v="2"/>
    <s v="USD"/>
    <d v="2020-05-14T00:00:00"/>
    <n v="8129.66"/>
    <x v="2"/>
    <n v="154"/>
    <n v="52.79"/>
    <n v="1"/>
    <n v="8129.66"/>
    <n v="24.0487"/>
    <n v="195507.754442"/>
    <n v="106.16200000000001"/>
    <n v="118.98099999999999"/>
    <n v="1.1207"/>
    <n v="219105.54040314941"/>
    <n v="1422.7632493711001"/>
    <m/>
    <n v="154"/>
    <s v="Sale"/>
    <x v="8"/>
    <s v="USD"/>
    <n v="15347.5"/>
    <n v="1"/>
    <n v="15347.5"/>
    <n v="20.558499999999999"/>
    <n v="315521.57874999999"/>
    <n v="219105.54040314941"/>
    <n v="96416.038346850575"/>
    <n v="1.8547945205479452"/>
    <n v="1"/>
    <n v="96416.038346850575"/>
    <n v="0"/>
    <m/>
    <n v="7217.84"/>
  </r>
  <r>
    <x v="3"/>
    <s v="Purchase"/>
    <x v="32"/>
    <x v="2"/>
    <s v="USD"/>
    <d v="2018-02-07T00:00:00"/>
    <n v="3131.99"/>
    <x v="2"/>
    <n v="82"/>
    <n v="38.195"/>
    <n v="1"/>
    <n v="3131.99"/>
    <n v="18.524799999999999"/>
    <n v="58019.488351999993"/>
    <n v="99.171374481640001"/>
    <n v="118.98099999999999"/>
    <n v="1.1997"/>
    <n v="69605.980175894394"/>
    <n v="848.85341677919996"/>
    <m/>
    <n v="82"/>
    <s v="Sale"/>
    <x v="13"/>
    <s v="USD"/>
    <n v="4857.96"/>
    <n v="1"/>
    <n v="4857.96"/>
    <n v="20.926200000000001"/>
    <n v="101658.642552"/>
    <n v="69605.980175894394"/>
    <n v="32052.662376105611"/>
    <n v="4.0821917808219181"/>
    <n v="1"/>
    <n v="32052.662376105611"/>
    <n v="0"/>
    <m/>
    <n v="1725.9700000000003"/>
  </r>
  <r>
    <x v="3"/>
    <s v="Purchase"/>
    <x v="32"/>
    <x v="2"/>
    <s v="USD"/>
    <d v="2018-03-01T00:00:00"/>
    <n v="5633.73"/>
    <x v="2"/>
    <n v="136"/>
    <n v="41.424485294117645"/>
    <n v="1"/>
    <n v="5633.73"/>
    <n v="18.790199999999999"/>
    <n v="105858.91344599999"/>
    <n v="99.492156980588007"/>
    <n v="118.98099999999999"/>
    <n v="1.1958"/>
    <n v="126586.08869872679"/>
    <n v="930.78006396122635"/>
    <m/>
    <n v="136"/>
    <s v="Sale"/>
    <x v="13"/>
    <s v="USD"/>
    <n v="8057.1"/>
    <n v="1"/>
    <n v="8057.1"/>
    <n v="20.926200000000001"/>
    <n v="168604.48602000001"/>
    <n v="126586.08869872679"/>
    <n v="42018.397321273223"/>
    <n v="4.021917808219178"/>
    <n v="1"/>
    <n v="42018.397321273223"/>
    <n v="0"/>
    <m/>
    <n v="2423.3700000000008"/>
  </r>
  <r>
    <x v="3"/>
    <s v="Purchase"/>
    <x v="32"/>
    <x v="2"/>
    <s v="USD"/>
    <d v="2018-03-01T00:00:00"/>
    <n v="2154.08"/>
    <x v="2"/>
    <n v="52"/>
    <n v="41.424615384615386"/>
    <n v="1"/>
    <n v="2154.08"/>
    <n v="18.790199999999999"/>
    <n v="40475.594015999995"/>
    <n v="99.492156980588007"/>
    <n v="120.809"/>
    <n v="1.2141999999999999"/>
    <n v="49145.466254227191"/>
    <n v="945.10512027359982"/>
    <m/>
    <n v="52"/>
    <s v="Sale"/>
    <x v="9"/>
    <s v="USD"/>
    <n v="3003.18"/>
    <n v="1"/>
    <n v="3003.18"/>
    <n v="19.9663"/>
    <n v="59962.392833999998"/>
    <n v="49145.466254227191"/>
    <n v="10816.926579772808"/>
    <n v="4.2219178082191782"/>
    <n v="1"/>
    <n v="10816.926579772808"/>
    <n v="0"/>
    <m/>
    <n v="849.09999999999991"/>
  </r>
  <r>
    <x v="3"/>
    <s v="Purchase"/>
    <x v="32"/>
    <x v="2"/>
    <s v="USD"/>
    <d v="2018-03-05T00:00:00"/>
    <n v="336.12"/>
    <x v="2"/>
    <n v="8"/>
    <n v="42.015000000000001"/>
    <n v="1"/>
    <n v="336.12"/>
    <n v="18.861000000000001"/>
    <n v="6339.5593200000003"/>
    <n v="99.492156980588007"/>
    <n v="120.809"/>
    <n v="1.2141999999999999"/>
    <n v="7697.4929263439999"/>
    <n v="962.18661579299999"/>
    <m/>
    <n v="8"/>
    <s v="Sale"/>
    <x v="9"/>
    <s v="USD"/>
    <n v="462.03"/>
    <n v="1"/>
    <n v="462.03"/>
    <n v="19.9663"/>
    <n v="9225.0295889999998"/>
    <n v="7697.4929263439999"/>
    <n v="1527.5366626559999"/>
    <n v="4.2109589041095887"/>
    <n v="1"/>
    <n v="1527.5366626559999"/>
    <n v="0"/>
    <m/>
    <n v="125.90999999999997"/>
  </r>
  <r>
    <x v="3"/>
    <s v="Purchase"/>
    <x v="32"/>
    <x v="2"/>
    <s v="USD"/>
    <d v="2018-08-03T00:00:00"/>
    <n v="6446.51"/>
    <x v="2"/>
    <n v="133"/>
    <n v="48.47"/>
    <n v="1"/>
    <n v="6446.51"/>
    <n v="18.5899"/>
    <n v="119839.976249"/>
    <n v="100.492"/>
    <n v="120.809"/>
    <n v="1.2020999999999999"/>
    <n v="144059.6354489229"/>
    <n v="1083.1551537513001"/>
    <m/>
    <n v="133"/>
    <s v="Sale"/>
    <x v="9"/>
    <s v="USD"/>
    <n v="7681.21"/>
    <n v="1"/>
    <n v="7681.21"/>
    <n v="19.9663"/>
    <n v="153365.343223"/>
    <n v="144059.6354489229"/>
    <n v="9305.7077740771056"/>
    <n v="3.7972602739726029"/>
    <n v="1"/>
    <n v="9305.7077740771056"/>
    <n v="0"/>
    <m/>
    <n v="1234.6999999999998"/>
  </r>
  <r>
    <x v="3"/>
    <s v="Purchase"/>
    <x v="33"/>
    <x v="2"/>
    <s v="USD"/>
    <d v="2020-05-14T00:00:00"/>
    <n v="5169.25"/>
    <x v="2"/>
    <n v="58"/>
    <n v="89.125"/>
    <n v="1"/>
    <n v="5169.25"/>
    <n v="24.0487"/>
    <n v="124313.74247500001"/>
    <n v="106.16200000000001"/>
    <n v="120.15900000000001"/>
    <n v="1.1317999999999999"/>
    <n v="140698.29373320501"/>
    <n v="2425.8326505724999"/>
    <m/>
    <n v="58"/>
    <s v="Sale"/>
    <x v="10"/>
    <s v="USD"/>
    <n v="10041.99"/>
    <n v="1"/>
    <n v="10041.99"/>
    <n v="20.299199999999999"/>
    <n v="203844.36340799998"/>
    <n v="140698.29373320501"/>
    <n v="63146.06967479497"/>
    <n v="1.9534246575342467"/>
    <n v="1"/>
    <n v="63146.06967479497"/>
    <n v="0"/>
    <m/>
    <n v="4872.74"/>
  </r>
  <r>
    <x v="3"/>
    <s v="Purchase"/>
    <x v="33"/>
    <x v="2"/>
    <s v="USD"/>
    <d v="2020-05-26T00:00:00"/>
    <n v="932.51"/>
    <x v="2"/>
    <n v="9"/>
    <n v="103.61222222222221"/>
    <n v="1"/>
    <n v="932.51"/>
    <n v="22.7928"/>
    <n v="21254.513928"/>
    <n v="106.16200000000001"/>
    <n v="120.15900000000001"/>
    <n v="1.1317999999999999"/>
    <n v="24055.8588637104"/>
    <n v="2672.8732070789333"/>
    <m/>
    <n v="9"/>
    <s v="Sale"/>
    <x v="10"/>
    <s v="USD"/>
    <n v="1558.24"/>
    <n v="1"/>
    <n v="1558.24"/>
    <n v="20.299199999999999"/>
    <n v="31631.025407999998"/>
    <n v="24055.8588637104"/>
    <n v="7575.1665442895974"/>
    <n v="1.9205479452054794"/>
    <n v="1"/>
    <n v="7575.1665442895974"/>
    <n v="0"/>
    <m/>
    <n v="625.73"/>
  </r>
  <r>
    <x v="3"/>
    <s v="Purchase"/>
    <x v="34"/>
    <x v="2"/>
    <s v="USD"/>
    <d v="2021-04-26T00:00:00"/>
    <n v="12393.98"/>
    <x v="2"/>
    <n v="55"/>
    <n v="225.34509090909091"/>
    <n v="1"/>
    <n v="12393.98"/>
    <n v="19.886500000000002"/>
    <n v="246472.88327000002"/>
    <n v="112.19"/>
    <n v="118.98099999999999"/>
    <n v="1.0605"/>
    <n v="261384.49270783502"/>
    <n v="4752.4453219606366"/>
    <m/>
    <n v="55"/>
    <s v="Sale"/>
    <x v="13"/>
    <s v="USD"/>
    <n v="14176.7"/>
    <n v="1"/>
    <n v="14176.7"/>
    <n v="20.926200000000001"/>
    <n v="296664.45954000001"/>
    <n v="261384.49270783502"/>
    <n v="35279.966832164995"/>
    <n v="0.86575342465753424"/>
    <n v="1"/>
    <n v="35279.966832164995"/>
    <n v="0"/>
    <m/>
    <n v="1782.7200000000012"/>
  </r>
  <r>
    <x v="3"/>
    <s v="Purchase"/>
    <x v="34"/>
    <x v="2"/>
    <s v="USD"/>
    <d v="2021-04-27T00:00:00"/>
    <n v="9474.8700000000008"/>
    <x v="2"/>
    <n v="42"/>
    <n v="225.59214285714287"/>
    <n v="1"/>
    <n v="9474.8700000000008"/>
    <n v="19.869499999999999"/>
    <n v="188260.92946499999"/>
    <n v="112.19"/>
    <n v="118.98099999999999"/>
    <n v="1.0605"/>
    <n v="199650.71569763249"/>
    <n v="4753.58846899125"/>
    <m/>
    <n v="42"/>
    <s v="Sale"/>
    <x v="13"/>
    <s v="USD"/>
    <n v="10825.85"/>
    <n v="1"/>
    <n v="10825.85"/>
    <n v="20.926200000000001"/>
    <n v="226543.90227000002"/>
    <n v="199650.71569763249"/>
    <n v="26893.186572367529"/>
    <n v="0.86301369863013699"/>
    <n v="1"/>
    <n v="26893.186572367529"/>
    <n v="0"/>
    <m/>
    <n v="1350.9799999999996"/>
  </r>
  <r>
    <x v="3"/>
    <s v="Purchase"/>
    <x v="34"/>
    <x v="2"/>
    <s v="USD"/>
    <d v="2021-04-27T00:00:00"/>
    <n v="5865.4"/>
    <x v="2"/>
    <n v="26"/>
    <n v="225.59230769230768"/>
    <n v="1"/>
    <n v="5865.4"/>
    <n v="19.869499999999999"/>
    <n v="116542.56529999999"/>
    <n v="112.19"/>
    <n v="120.809"/>
    <n v="1.0768"/>
    <n v="125493.03431503999"/>
    <n v="4826.6551659630768"/>
    <m/>
    <n v="26"/>
    <s v="Sale"/>
    <x v="9"/>
    <s v="USD"/>
    <n v="5549.54"/>
    <n v="1"/>
    <n v="5549.54"/>
    <n v="19.9663"/>
    <n v="110803.78050199999"/>
    <n v="125493.03431504"/>
    <n v="-14689.253813040006"/>
    <n v="1.0630136986301371"/>
    <n v="1"/>
    <n v="-14689.253813040006"/>
    <n v="0"/>
    <m/>
    <n v="-315.85999999999967"/>
  </r>
  <r>
    <x v="3"/>
    <s v="Purchase"/>
    <x v="34"/>
    <x v="2"/>
    <s v="USD"/>
    <d v="2021-04-28T00:00:00"/>
    <n v="5661.6"/>
    <x v="2"/>
    <n v="25"/>
    <n v="226.46400000000003"/>
    <n v="1"/>
    <n v="5661.6"/>
    <n v="19.836200000000002"/>
    <n v="112304.62992000002"/>
    <n v="112.19"/>
    <n v="120.809"/>
    <n v="1.0768"/>
    <n v="120929.62549785602"/>
    <n v="4837.1850199142409"/>
    <m/>
    <n v="25"/>
    <s v="Sale"/>
    <x v="9"/>
    <s v="USD"/>
    <n v="5336.09"/>
    <n v="1"/>
    <n v="5336.09"/>
    <n v="19.9663"/>
    <n v="106541.973767"/>
    <n v="120929.62549785602"/>
    <n v="-14387.651730856014"/>
    <n v="1.0602739726027397"/>
    <n v="1"/>
    <n v="-14387.651730856014"/>
    <n v="0"/>
    <m/>
    <n v="-325.51000000000022"/>
  </r>
  <r>
    <x v="3"/>
    <s v="Purchase"/>
    <x v="35"/>
    <x v="2"/>
    <s v="USD"/>
    <d v="2021-06-18T00:00:00"/>
    <n v="11294.47"/>
    <x v="2"/>
    <n v="57"/>
    <n v="198.14859649122806"/>
    <n v="1"/>
    <n v="11294.47"/>
    <n v="20.058800000000002"/>
    <n v="226553.51483600002"/>
    <n v="113.018"/>
    <n v="118.002"/>
    <n v="1.044"/>
    <n v="236521.86948878402"/>
    <n v="4149.5064822593686"/>
    <m/>
    <n v="57"/>
    <s v="Sale"/>
    <x v="20"/>
    <s v="USD"/>
    <n v="13064.05"/>
    <n v="1"/>
    <n v="13064.05"/>
    <n v="20.635200000000001"/>
    <n v="269579.28456"/>
    <n v="236521.869488784"/>
    <n v="33057.415071216004"/>
    <n v="0.62739726027397258"/>
    <n v="1"/>
    <n v="33057.415071216004"/>
    <n v="0"/>
    <m/>
    <n v="1769.58"/>
  </r>
  <r>
    <x v="3"/>
    <s v="Purchase"/>
    <x v="36"/>
    <x v="2"/>
    <s v="USD"/>
    <d v="2018-08-03T00:00:00"/>
    <n v="11502"/>
    <x v="2"/>
    <n v="45"/>
    <n v="255.6"/>
    <n v="1"/>
    <n v="11502"/>
    <n v="18.5899"/>
    <n v="213821.02979999999"/>
    <n v="100.492"/>
    <n v="118.98099999999999"/>
    <n v="1.1839"/>
    <n v="253142.71718021997"/>
    <n v="5625.3937151159998"/>
    <m/>
    <n v="45"/>
    <s v="Sale"/>
    <x v="12"/>
    <s v="USD"/>
    <n v="22989.07"/>
    <n v="1"/>
    <n v="22989.07"/>
    <n v="20.1313"/>
    <n v="462799.86489099998"/>
    <n v="253142.71718022"/>
    <n v="209657.14771077997"/>
    <n v="3.6520547945205482"/>
    <n v="1"/>
    <n v="209657.14771077997"/>
    <n v="0"/>
    <m/>
    <n v="11487.07"/>
  </r>
  <r>
    <x v="3"/>
    <s v="Purchase"/>
    <x v="36"/>
    <x v="2"/>
    <s v="USD"/>
    <d v="2018-08-03T00:00:00"/>
    <n v="7156.8"/>
    <x v="2"/>
    <n v="28"/>
    <n v="255.6"/>
    <n v="1"/>
    <n v="7156.8"/>
    <n v="18.5899"/>
    <n v="133044.19632000002"/>
    <n v="100.492"/>
    <n v="118.98099999999999"/>
    <n v="1.1839"/>
    <n v="157511.02402324803"/>
    <n v="5625.3937151160007"/>
    <m/>
    <n v="28"/>
    <s v="Sale"/>
    <x v="13"/>
    <s v="USD"/>
    <n v="13355.47"/>
    <n v="1"/>
    <n v="13355.47"/>
    <n v="20.926200000000001"/>
    <n v="279479.23631399998"/>
    <n v="157511.02402324803"/>
    <n v="121968.21229075195"/>
    <n v="3.5972602739726027"/>
    <n v="1"/>
    <n v="121968.21229075195"/>
    <n v="0"/>
    <m/>
    <n v="6198.6699999999992"/>
  </r>
  <r>
    <x v="3"/>
    <s v="Purchase"/>
    <x v="36"/>
    <x v="2"/>
    <s v="USD"/>
    <d v="2020-04-13T00:00:00"/>
    <n v="13054.57"/>
    <x v="2"/>
    <n v="50"/>
    <n v="261.09140000000002"/>
    <n v="1"/>
    <n v="13054.57"/>
    <n v="24.038799999999998"/>
    <n v="313816.19731599995"/>
    <n v="105.755"/>
    <n v="118.98099999999999"/>
    <n v="1.125"/>
    <n v="353043.22198049992"/>
    <n v="7060.864439609998"/>
    <m/>
    <n v="50"/>
    <s v="Sale"/>
    <x v="11"/>
    <s v="USD"/>
    <n v="25642.39"/>
    <n v="1"/>
    <n v="25642.39"/>
    <n v="19.957699999999999"/>
    <n v="511763.12690299994"/>
    <n v="353043.22198049992"/>
    <n v="158719.90492250002"/>
    <n v="1.9589041095890412"/>
    <n v="1"/>
    <n v="158719.90492250002"/>
    <n v="0"/>
    <m/>
    <n v="12587.82"/>
  </r>
  <r>
    <x v="3"/>
    <s v="Purchase"/>
    <x v="36"/>
    <x v="2"/>
    <s v="USD"/>
    <d v="2020-04-13T00:00:00"/>
    <n v="2088.73"/>
    <x v="2"/>
    <n v="8"/>
    <n v="261.09125"/>
    <n v="1"/>
    <n v="2088.73"/>
    <n v="24.038799999999998"/>
    <n v="50210.562723999996"/>
    <n v="105.755"/>
    <n v="118.98099999999999"/>
    <n v="1.125"/>
    <n v="56486.883064499998"/>
    <n v="7060.8603830624997"/>
    <m/>
    <n v="8"/>
    <s v="Sale"/>
    <x v="12"/>
    <s v="USD"/>
    <n v="4086.95"/>
    <n v="1"/>
    <n v="4086.95"/>
    <n v="20.1313"/>
    <n v="82275.616534999994"/>
    <n v="56486.883064499998"/>
    <n v="25788.733470499996"/>
    <n v="1.9561643835616438"/>
    <n v="1"/>
    <n v="25788.733470499996"/>
    <n v="0"/>
    <m/>
    <n v="1998.2199999999998"/>
  </r>
  <r>
    <x v="3"/>
    <s v="Purchase"/>
    <x v="20"/>
    <x v="2"/>
    <s v="USD"/>
    <d v="2021-06-18T00:00:00"/>
    <n v="473.29"/>
    <x v="2"/>
    <n v="17"/>
    <n v="27.840588235294121"/>
    <n v="1"/>
    <n v="473.29"/>
    <n v="20.058800000000002"/>
    <n v="9493.629452000001"/>
    <n v="113.018"/>
    <n v="120.15900000000001"/>
    <n v="1.0630999999999999"/>
    <n v="10092.6774704212"/>
    <n v="593.68691002477647"/>
    <m/>
    <n v="17"/>
    <s v="Sale"/>
    <x v="17"/>
    <s v="USD"/>
    <n v="520.14"/>
    <n v="1"/>
    <n v="520.14"/>
    <n v="19.911200000000001"/>
    <n v="10356.611568"/>
    <n v="10092.6774704212"/>
    <n v="263.93409757879999"/>
    <n v="0.79452054794520544"/>
    <n v="1"/>
    <n v="263.93409757879999"/>
    <n v="0"/>
    <m/>
    <n v="46.849999999999966"/>
  </r>
  <r>
    <x v="3"/>
    <s v="Purchase"/>
    <x v="37"/>
    <x v="2"/>
    <s v="USD"/>
    <d v="2018-08-03T00:00:00"/>
    <n v="2480.67"/>
    <x v="2"/>
    <n v="2"/>
    <n v="1240.335"/>
    <n v="1"/>
    <n v="2480.67"/>
    <n v="18.5899"/>
    <n v="46115.407232999998"/>
    <n v="100.492"/>
    <n v="121.02200000000001"/>
    <n v="1.2041999999999999"/>
    <n v="55532.173389978598"/>
    <n v="27766.086694989299"/>
    <m/>
    <n v="2"/>
    <s v="Sale"/>
    <x v="21"/>
    <s v="USD"/>
    <n v="4494.8"/>
    <n v="1"/>
    <n v="4494.8"/>
    <n v="19.59"/>
    <n v="88053.131999999998"/>
    <n v="55532.173389978598"/>
    <n v="32520.9586100214"/>
    <n v="3.8547945205479452"/>
    <n v="1"/>
    <n v="32520.9586100214"/>
    <n v="0"/>
    <m/>
    <n v="2014.13"/>
  </r>
  <r>
    <x v="3"/>
    <s v="Purchase"/>
    <x v="38"/>
    <x v="2"/>
    <s v="USD"/>
    <d v="2019-04-23T00:00:00"/>
    <n v="4429.75"/>
    <x v="2"/>
    <n v="46"/>
    <n v="96.298913043478265"/>
    <n v="1"/>
    <n v="4429.75"/>
    <n v="18.847999999999999"/>
    <n v="83491.928"/>
    <n v="103.53100000000001"/>
    <n v="121.02200000000001"/>
    <n v="1.1689000000000001"/>
    <n v="97593.7146392"/>
    <n v="2121.6024921565217"/>
    <m/>
    <n v="46"/>
    <s v="Sale"/>
    <x v="21"/>
    <s v="USD"/>
    <n v="5083.34"/>
    <n v="1"/>
    <n v="5083.34"/>
    <n v="19.59"/>
    <n v="99582.630600000004"/>
    <n v="97593.7146392"/>
    <n v="1988.9159608000045"/>
    <n v="3.1342465753424658"/>
    <n v="1"/>
    <n v="1988.9159608000045"/>
    <n v="0"/>
    <m/>
    <n v="653.59000000000015"/>
  </r>
  <r>
    <x v="3"/>
    <s v="Purchase"/>
    <x v="39"/>
    <x v="2"/>
    <s v="USD"/>
    <d v="2020-06-08T00:00:00"/>
    <n v="5909.84"/>
    <x v="2"/>
    <n v="71"/>
    <n v="83.237183098591558"/>
    <n v="1"/>
    <n v="5909.84"/>
    <n v="21.838799999999999"/>
    <n v="129063.813792"/>
    <n v="106.74299999999999"/>
    <n v="121.02200000000001"/>
    <n v="1.1336999999999999"/>
    <n v="146319.64569599039"/>
    <n v="2060.8400802252168"/>
    <m/>
    <n v="71"/>
    <s v="Sale"/>
    <x v="21"/>
    <s v="USD"/>
    <n v="9865.43"/>
    <n v="1"/>
    <n v="9865.43"/>
    <n v="19.59"/>
    <n v="193263.77369999999"/>
    <n v="146319.64569599039"/>
    <n v="46944.128004009603"/>
    <n v="2.0054794520547947"/>
    <n v="1"/>
    <n v="46944.128004009603"/>
    <n v="0"/>
    <m/>
    <n v="3955.59"/>
  </r>
  <r>
    <x v="3"/>
    <s v="Purchase"/>
    <x v="40"/>
    <x v="2"/>
    <s v="USD"/>
    <d v="2020-05-14T00:00:00"/>
    <n v="9684.5300000000007"/>
    <x v="2"/>
    <n v="222"/>
    <n v="43.624009009009015"/>
    <n v="1"/>
    <n v="9684.5300000000007"/>
    <n v="24.0487"/>
    <n v="232900.35661100002"/>
    <n v="106.16200000000001"/>
    <n v="121.02200000000001"/>
    <n v="1.1398999999999999"/>
    <n v="265483.11650087888"/>
    <n v="1195.869894148103"/>
    <m/>
    <n v="222"/>
    <s v="Sale"/>
    <x v="22"/>
    <s v="USD"/>
    <n v="9631.89"/>
    <n v="1"/>
    <n v="9631.89"/>
    <n v="20.244199999999999"/>
    <n v="194989.90753799997"/>
    <n v="265483.11650087888"/>
    <n v="-70493.208962878911"/>
    <n v="2.106849315068493"/>
    <n v="1"/>
    <n v="-70493.208962878911"/>
    <n v="0"/>
    <m/>
    <n v="-52.640000000001237"/>
  </r>
  <r>
    <x v="3"/>
    <s v="Purchase"/>
    <x v="40"/>
    <x v="2"/>
    <s v="USD"/>
    <d v="2020-08-06T00:00:00"/>
    <n v="6482.32"/>
    <x v="2"/>
    <n v="136"/>
    <n v="47.664117647058823"/>
    <n v="1"/>
    <n v="6482.32"/>
    <n v="22.784500000000001"/>
    <n v="147696.42004"/>
    <n v="107.867"/>
    <n v="121.02200000000001"/>
    <n v="1.1218999999999999"/>
    <n v="165700.61364287598"/>
    <n v="1218.3868650211468"/>
    <m/>
    <n v="136"/>
    <s v="Sale"/>
    <x v="22"/>
    <s v="USD"/>
    <n v="5900.62"/>
    <n v="1"/>
    <n v="5900.62"/>
    <n v="20.244199999999999"/>
    <n v="119453.331404"/>
    <n v="165700.61364287598"/>
    <n v="-46247.282238875981"/>
    <n v="1.8767123287671232"/>
    <n v="1"/>
    <n v="-46247.282238875981"/>
    <n v="0"/>
    <m/>
    <n v="-581.69999999999982"/>
  </r>
  <r>
    <x v="3"/>
    <s v="Purchase"/>
    <x v="41"/>
    <x v="2"/>
    <s v="USD"/>
    <d v="2021-03-10T00:00:00"/>
    <n v="40998.660000000003"/>
    <x v="2"/>
    <n v="718"/>
    <n v="57.101197771587749"/>
    <n v="1"/>
    <n v="40998.660000000003"/>
    <n v="21.4177"/>
    <n v="878097.00028200005"/>
    <n v="111.824"/>
    <n v="121.02200000000001"/>
    <n v="1.0822000000000001"/>
    <n v="950276.57370518055"/>
    <n v="1323.5049773052654"/>
    <m/>
    <n v="718"/>
    <s v="Sale"/>
    <x v="22"/>
    <s v="USD"/>
    <n v="27602.15"/>
    <n v="1"/>
    <n v="27602.15"/>
    <n v="20.244199999999999"/>
    <n v="558783.44503000006"/>
    <n v="950276.57370518055"/>
    <n v="-391493.12867518049"/>
    <n v="1.284931506849315"/>
    <n v="1"/>
    <n v="-391493.12867518049"/>
    <n v="0"/>
    <m/>
    <n v="-13396.510000000002"/>
  </r>
  <r>
    <x v="3"/>
    <s v="Purchase"/>
    <x v="41"/>
    <x v="2"/>
    <s v="USD"/>
    <d v="2021-05-27T00:00:00"/>
    <n v="4744.26"/>
    <x v="2"/>
    <n v="83"/>
    <n v="57.159759036144578"/>
    <n v="1"/>
    <n v="4744.26"/>
    <n v="19.8903"/>
    <n v="94364.754677999998"/>
    <n v="112.419"/>
    <n v="121.02200000000001"/>
    <n v="1.0765"/>
    <n v="101583.65841086699"/>
    <n v="1223.8994989261084"/>
    <m/>
    <n v="83"/>
    <s v="Sale"/>
    <x v="22"/>
    <s v="USD"/>
    <n v="3190.78"/>
    <n v="1"/>
    <n v="3190.78"/>
    <n v="20.244199999999999"/>
    <n v="64594.788476000002"/>
    <n v="101583.65841086701"/>
    <n v="-36988.869934867005"/>
    <n v="1.0712328767123287"/>
    <n v="1"/>
    <n v="-36988.869934867005"/>
    <n v="0"/>
    <m/>
    <n v="-1553.48"/>
  </r>
  <r>
    <x v="3"/>
    <s v="Purchase"/>
    <x v="17"/>
    <x v="2"/>
    <s v="USD"/>
    <d v="2020-09-28T00:00:00"/>
    <n v="11254.14"/>
    <x v="2"/>
    <n v="332"/>
    <n v="33.898012048192768"/>
    <n v="1"/>
    <n v="11254.14"/>
    <n v="22.367799999999999"/>
    <n v="251730.35269199999"/>
    <n v="108.114"/>
    <n v="121.02200000000001"/>
    <n v="1.1193"/>
    <n v="281761.78376815555"/>
    <n v="848.68007159082993"/>
    <m/>
    <n v="332"/>
    <s v="Sale"/>
    <x v="22"/>
    <s v="USD"/>
    <n v="30718.33"/>
    <n v="1"/>
    <n v="30718.33"/>
    <n v="20.244199999999999"/>
    <n v="621868.01618599996"/>
    <n v="281761.78376815555"/>
    <n v="340106.23241784441"/>
    <n v="1.7315068493150685"/>
    <n v="1"/>
    <n v="340106.23241784441"/>
    <n v="0"/>
    <m/>
    <n v="19464.190000000002"/>
  </r>
  <r>
    <x v="3"/>
    <s v="Purchase"/>
    <x v="42"/>
    <x v="1"/>
    <s v="USD"/>
    <d v="2020-02-06T00:00:00"/>
    <n v="29682.77"/>
    <x v="1"/>
    <n v="1827.644"/>
    <n v="16.241002076990924"/>
    <n v="1"/>
    <n v="29682.77"/>
    <n v="18.6797"/>
    <n v="554465.23876900005"/>
    <n v="106.889"/>
    <n v="122.044"/>
    <n v="1.1416999999999999"/>
    <n v="633032.96310256736"/>
    <n v="346.36557398627269"/>
    <m/>
    <n v="1827.644"/>
    <s v="Sale"/>
    <x v="23"/>
    <s v="USD"/>
    <n v="31976.46"/>
    <n v="1"/>
    <n v="31976.46"/>
    <n v="19.6128"/>
    <n v="627147.91468799999"/>
    <n v="633032.96310256736"/>
    <n v="-5885.048414567369"/>
    <n v="2.3506849315068492"/>
    <n v="1"/>
    <n v="-5885.048414567369"/>
    <n v="0"/>
    <m/>
    <n v="2293.6899999999987"/>
  </r>
  <r>
    <x v="3"/>
    <s v="Purchase"/>
    <x v="43"/>
    <x v="2"/>
    <s v="USD"/>
    <d v="2019-06-20T00:00:00"/>
    <n v="16620.91"/>
    <x v="2"/>
    <n v="79"/>
    <n v="210.39126582278482"/>
    <n v="1"/>
    <n v="16620.91"/>
    <n v="19.101099999999999"/>
    <n v="317477.664001"/>
    <n v="103.29900000000001"/>
    <n v="121.02200000000001"/>
    <n v="1.1715"/>
    <n v="371925.08337717148"/>
    <n v="4707.9124478122976"/>
    <m/>
    <n v="79"/>
    <s v="Sale"/>
    <x v="24"/>
    <s v="USD"/>
    <n v="21321.77"/>
    <n v="1"/>
    <n v="21321.77"/>
    <n v="20.475999999999999"/>
    <n v="436584.56251999998"/>
    <n v="371925.08337717154"/>
    <n v="64659.479142828437"/>
    <n v="3.0054794520547947"/>
    <n v="1"/>
    <n v="64659.479142828437"/>
    <n v="0"/>
    <m/>
    <n v="4700.8600000000006"/>
  </r>
  <r>
    <x v="3"/>
    <s v="Purchase"/>
    <x v="44"/>
    <x v="2"/>
    <s v="USD"/>
    <d v="2018-08-03T00:00:00"/>
    <n v="6753.03"/>
    <x v="2"/>
    <n v="93"/>
    <n v="72.613225806451609"/>
    <n v="1"/>
    <n v="6753.03"/>
    <n v="18.5899"/>
    <n v="125538.152397"/>
    <n v="100.492"/>
    <n v="121.02200000000001"/>
    <n v="1.2041999999999999"/>
    <n v="151173.04311646739"/>
    <n v="1625.516592650187"/>
    <m/>
    <n v="93"/>
    <s v="Sale"/>
    <x v="25"/>
    <s v="USD"/>
    <n v="9469.68"/>
    <n v="1"/>
    <n v="9469.68"/>
    <n v="19.738800000000001"/>
    <n v="186920.11958400003"/>
    <n v="151173.04311646739"/>
    <n v="35747.076467532635"/>
    <n v="3.8356164383561642"/>
    <n v="1"/>
    <n v="35747.076467532635"/>
    <n v="0"/>
    <m/>
    <n v="2716.6500000000005"/>
  </r>
  <r>
    <x v="3"/>
    <s v="Purchase"/>
    <x v="45"/>
    <x v="2"/>
    <s v="USD"/>
    <d v="2018-01-26T00:00:00"/>
    <n v="810.03"/>
    <x v="2"/>
    <n v="13"/>
    <n v="62.309999999999995"/>
    <n v="1"/>
    <n v="810.03"/>
    <n v="18.517800000000001"/>
    <n v="14999.973534000001"/>
    <n v="98.794999699501005"/>
    <n v="121.02200000000001"/>
    <n v="1.2249000000000001"/>
    <n v="18373.467581796602"/>
    <n v="1413.3436601382002"/>
    <m/>
    <n v="13"/>
    <s v="Sale"/>
    <x v="26"/>
    <s v="USD"/>
    <n v="681.44"/>
    <n v="1"/>
    <n v="681.44"/>
    <n v="19.574200000000001"/>
    <n v="13338.642848000001"/>
    <n v="18373.467581796602"/>
    <n v="-5034.8247337966004"/>
    <n v="4.3643835616438356"/>
    <n v="1"/>
    <n v="-5034.8247337966004"/>
    <n v="0"/>
    <m/>
    <n v="-128.58999999999992"/>
  </r>
  <r>
    <x v="3"/>
    <s v="Purchase"/>
    <x v="24"/>
    <x v="2"/>
    <s v="USD"/>
    <d v="2020-05-14T00:00:00"/>
    <n v="12443.72"/>
    <x v="2"/>
    <n v="35"/>
    <n v="355.53485714285711"/>
    <n v="1"/>
    <n v="12443.72"/>
    <n v="24.0487"/>
    <n v="299255.28916399996"/>
    <n v="106.16200000000001"/>
    <n v="121.02200000000001"/>
    <n v="1.1398999999999999"/>
    <n v="341121.1041180435"/>
    <n v="9746.3172605155287"/>
    <m/>
    <n v="35"/>
    <s v="Sale"/>
    <x v="22"/>
    <s v="USD"/>
    <n v="14486.23"/>
    <n v="1"/>
    <n v="14486.23"/>
    <n v="20.244199999999999"/>
    <n v="293262.13736599998"/>
    <n v="341121.1041180435"/>
    <n v="-47858.966752043518"/>
    <n v="2.106849315068493"/>
    <n v="1"/>
    <n v="-47858.966752043518"/>
    <n v="0"/>
    <m/>
    <n v="2042.5100000000002"/>
  </r>
  <r>
    <x v="3"/>
    <s v="Purchase"/>
    <x v="24"/>
    <x v="2"/>
    <s v="USD"/>
    <d v="2020-09-28T00:00:00"/>
    <n v="1181.1199999999999"/>
    <x v="2"/>
    <n v="3"/>
    <n v="393.70666666666665"/>
    <n v="1"/>
    <n v="1181.1199999999999"/>
    <n v="22.367799999999999"/>
    <n v="26419.055935999997"/>
    <n v="108.114"/>
    <n v="121.02200000000001"/>
    <n v="1.1193"/>
    <n v="29570.849309164794"/>
    <n v="9856.9497697215975"/>
    <m/>
    <n v="3"/>
    <s v="Sale"/>
    <x v="22"/>
    <s v="USD"/>
    <n v="1241.68"/>
    <n v="1"/>
    <n v="1241.68"/>
    <n v="20.244199999999999"/>
    <n v="25136.818255999999"/>
    <n v="29570.849309164791"/>
    <n v="-4434.031053164792"/>
    <n v="1.7315068493150685"/>
    <n v="1"/>
    <n v="-4434.031053164792"/>
    <n v="0"/>
    <m/>
    <n v="60.560000000000173"/>
  </r>
  <r>
    <x v="3"/>
    <s v="Purchase"/>
    <x v="25"/>
    <x v="2"/>
    <s v="USD"/>
    <d v="2018-08-03T00:00:00"/>
    <n v="12311.46"/>
    <x v="2"/>
    <n v="126"/>
    <n v="97.71"/>
    <n v="1"/>
    <n v="12311.46"/>
    <n v="18.5899"/>
    <n v="228868.81025399998"/>
    <n v="100.492"/>
    <n v="121.02200000000001"/>
    <n v="1.2041999999999999"/>
    <n v="275603.82130786678"/>
    <n v="2187.3319151418"/>
    <m/>
    <n v="126"/>
    <s v="Sale"/>
    <x v="24"/>
    <s v="USD"/>
    <n v="21786.880000000001"/>
    <n v="1"/>
    <n v="21786.880000000001"/>
    <n v="20.475999999999999"/>
    <n v="446108.15487999999"/>
    <n v="275603.82130786678"/>
    <n v="170504.33357213321"/>
    <n v="3.8849315068493149"/>
    <n v="1"/>
    <n v="170504.33357213321"/>
    <n v="0"/>
    <m/>
    <n v="9475.4200000000019"/>
  </r>
  <r>
    <x v="3"/>
    <s v="Purchase"/>
    <x v="26"/>
    <x v="2"/>
    <s v="USD"/>
    <d v="2020-02-26T00:00:00"/>
    <n v="23482.63"/>
    <x v="2"/>
    <n v="117"/>
    <n v="200.70623931623933"/>
    <n v="1"/>
    <n v="23482.63"/>
    <n v="19.119700000000002"/>
    <n v="448980.84081100003"/>
    <n v="106.889"/>
    <n v="121.02200000000001"/>
    <n v="1.1322000000000001"/>
    <n v="508336.1079662143"/>
    <n v="4344.7530595402932"/>
    <m/>
    <n v="117"/>
    <s v="Sale"/>
    <x v="24"/>
    <s v="USD"/>
    <n v="18695.82"/>
    <n v="1"/>
    <n v="18695.82"/>
    <n v="20.475999999999999"/>
    <n v="382815.61031999998"/>
    <n v="508336.1079662143"/>
    <n v="-125520.49764621432"/>
    <n v="2.3178082191780822"/>
    <n v="1"/>
    <n v="-125520.49764621432"/>
    <n v="0"/>
    <m/>
    <n v="-4786.8100000000013"/>
  </r>
  <r>
    <x v="3"/>
    <s v="Purchase"/>
    <x v="26"/>
    <x v="2"/>
    <s v="USD"/>
    <d v="2020-03-16T00:00:00"/>
    <n v="8869.98"/>
    <x v="2"/>
    <n v="58"/>
    <n v="152.93068965517242"/>
    <n v="1"/>
    <n v="8869.98"/>
    <n v="22.151800000000001"/>
    <n v="196486.022964"/>
    <n v="106.83799999999999"/>
    <n v="121.02200000000001"/>
    <n v="1.1327"/>
    <n v="222559.71821132282"/>
    <n v="3837.236520884876"/>
    <m/>
    <n v="58"/>
    <s v="Sale"/>
    <x v="24"/>
    <s v="USD"/>
    <n v="9268.01"/>
    <n v="1"/>
    <n v="9268.01"/>
    <n v="20.475999999999999"/>
    <n v="189771.77275999999"/>
    <n v="222559.71821132282"/>
    <n v="-32787.945451322827"/>
    <n v="2.2657534246575342"/>
    <n v="1"/>
    <n v="-32787.945451322827"/>
    <n v="0"/>
    <m/>
    <n v="398.03000000000065"/>
  </r>
  <r>
    <x v="3"/>
    <s v="Purchase"/>
    <x v="26"/>
    <x v="2"/>
    <s v="USD"/>
    <d v="2020-03-17T00:00:00"/>
    <n v="3855.71"/>
    <x v="2"/>
    <n v="26"/>
    <n v="148.29653846153846"/>
    <n v="1"/>
    <n v="3855.71"/>
    <n v="22.151800000000001"/>
    <n v="85410.916778000013"/>
    <n v="106.83799999999999"/>
    <n v="121.02200000000001"/>
    <n v="1.1327"/>
    <n v="96744.945434440626"/>
    <n v="3720.9594397861779"/>
    <m/>
    <n v="26"/>
    <s v="Sale"/>
    <x v="24"/>
    <s v="USD"/>
    <n v="4154.63"/>
    <n v="1"/>
    <n v="4154.63"/>
    <n v="20.475999999999999"/>
    <n v="85070.203880000001"/>
    <n v="96744.945434440626"/>
    <n v="-11674.741554440625"/>
    <n v="2.2630136986301368"/>
    <n v="1"/>
    <n v="-11674.741554440625"/>
    <n v="0"/>
    <m/>
    <n v="298.92000000000007"/>
  </r>
  <r>
    <x v="3"/>
    <s v="Purchase"/>
    <x v="26"/>
    <x v="2"/>
    <s v="USD"/>
    <d v="2020-05-13T00:00:00"/>
    <n v="35509.08"/>
    <x v="2"/>
    <n v="175"/>
    <n v="202.90902857142859"/>
    <n v="1"/>
    <n v="35509.08"/>
    <n v="23.869299999999999"/>
    <n v="847576.88324400003"/>
    <n v="106.16200000000001"/>
    <n v="121.02200000000001"/>
    <n v="1.1398999999999999"/>
    <n v="966152.88920983556"/>
    <n v="5520.8736526276316"/>
    <m/>
    <n v="175"/>
    <s v="Sale"/>
    <x v="24"/>
    <s v="USD"/>
    <n v="27963.84"/>
    <n v="1"/>
    <n v="27963.84"/>
    <n v="20.475999999999999"/>
    <n v="572587.58783999993"/>
    <n v="966152.88920983556"/>
    <n v="-393565.30136983562"/>
    <n v="2.106849315068493"/>
    <n v="1"/>
    <n v="-393565.30136983562"/>
    <n v="0"/>
    <m/>
    <n v="-7545.2400000000016"/>
  </r>
  <r>
    <x v="3"/>
    <s v="Purchase"/>
    <x v="26"/>
    <x v="2"/>
    <s v="USD"/>
    <d v="2021-01-25T00:00:00"/>
    <n v="45342.18"/>
    <x v="2"/>
    <n v="164"/>
    <n v="276.47670731707319"/>
    <n v="1"/>
    <n v="45342.18"/>
    <n v="19.7393"/>
    <n v="895022.89367400005"/>
    <n v="110.21"/>
    <n v="121.02200000000001"/>
    <n v="1.0981000000000001"/>
    <n v="982824.63954341947"/>
    <n v="5992.8331679476796"/>
    <m/>
    <n v="164"/>
    <s v="Sale"/>
    <x v="24"/>
    <s v="USD"/>
    <n v="26206.1"/>
    <n v="1"/>
    <n v="26206.1"/>
    <n v="20.475999999999999"/>
    <n v="536596.10359999991"/>
    <n v="982824.63954341947"/>
    <n v="-446228.53594341956"/>
    <n v="1.4027397260273973"/>
    <n v="1"/>
    <n v="-446228.53594341956"/>
    <n v="0"/>
    <m/>
    <n v="-19136.080000000002"/>
  </r>
  <r>
    <x v="3"/>
    <s v="Purchase"/>
    <x v="26"/>
    <x v="2"/>
    <s v="USD"/>
    <d v="2022-06-16T00:00:00"/>
    <n v="2272.58"/>
    <x v="2"/>
    <n v="14"/>
    <n v="162.32714285714286"/>
    <n v="1"/>
    <n v="2272.58"/>
    <n v="20.658300000000001"/>
    <n v="46947.639413999997"/>
    <n v="122.044"/>
    <n v="121.02200000000001"/>
    <n v="1"/>
    <n v="46947.639413999997"/>
    <n v="3353.402815285714"/>
    <m/>
    <n v="14"/>
    <s v="Sale"/>
    <x v="24"/>
    <s v="USD"/>
    <n v="2237.11"/>
    <n v="1"/>
    <n v="2237.11"/>
    <n v="20.475999999999999"/>
    <n v="45807.064360000004"/>
    <n v="46947.639413999997"/>
    <n v="-1140.5750539999935"/>
    <n v="1.3698630136986301E-2"/>
    <n v="1"/>
    <n v="-1140.5750539999935"/>
    <n v="0"/>
    <m/>
    <n v="-35.4699999999998"/>
  </r>
  <r>
    <x v="3"/>
    <s v="Purchase"/>
    <x v="46"/>
    <x v="2"/>
    <s v="USD"/>
    <d v="2018-08-03T00:00:00"/>
    <n v="4192.41"/>
    <x v="2"/>
    <n v="39"/>
    <n v="107.4976923076923"/>
    <n v="1"/>
    <n v="4192.41"/>
    <n v="18.5899"/>
    <n v="77936.482659000001"/>
    <n v="100.492"/>
    <n v="121.02200000000001"/>
    <n v="1.2041999999999999"/>
    <n v="93851.112417967801"/>
    <n v="2406.4387799478923"/>
    <m/>
    <n v="39"/>
    <s v="Sale"/>
    <x v="21"/>
    <s v="USD"/>
    <n v="9984.61"/>
    <n v="1"/>
    <n v="9984.61"/>
    <n v="19.59"/>
    <n v="195598.5099"/>
    <n v="93851.112417967801"/>
    <n v="101747.3974820322"/>
    <n v="3.8547945205479452"/>
    <n v="1"/>
    <n v="101747.3974820322"/>
    <n v="0"/>
    <m/>
    <n v="5792.2000000000007"/>
  </r>
  <r>
    <x v="3"/>
    <s v="Purchase"/>
    <x v="47"/>
    <x v="2"/>
    <s v="USD"/>
    <d v="2020-02-06T00:00:00"/>
    <n v="26199"/>
    <x v="2"/>
    <n v="482.13099999999997"/>
    <n v="54.340003028222625"/>
    <n v="1"/>
    <n v="26199"/>
    <n v="18.6797"/>
    <n v="489389.46030000004"/>
    <n v="106.889"/>
    <n v="121.02200000000001"/>
    <n v="1.1322000000000001"/>
    <n v="554086.74695166014"/>
    <n v="1149.245219559954"/>
    <m/>
    <n v="482.13099999999997"/>
    <s v="Sale"/>
    <x v="23"/>
    <s v="USD"/>
    <n v="23214.6"/>
    <n v="1"/>
    <n v="23214.6"/>
    <n v="19.6128"/>
    <n v="455303.30687999999"/>
    <n v="554086.74695166014"/>
    <n v="-98783.440071660152"/>
    <n v="2.3506849315068492"/>
    <n v="1"/>
    <n v="-98783.440071660152"/>
    <n v="0"/>
    <m/>
    <n v="-2984.4000000000015"/>
  </r>
  <r>
    <x v="3"/>
    <s v="Purchase"/>
    <x v="48"/>
    <x v="2"/>
    <s v="USD"/>
    <d v="2019-02-01T00:00:00"/>
    <n v="4222.84"/>
    <x v="2"/>
    <n v="28.428999999999998"/>
    <n v="148.53987125822226"/>
    <n v="1"/>
    <n v="4222.84"/>
    <n v="19.162299999999998"/>
    <n v="80919.326931999996"/>
    <n v="103.07899999999999"/>
    <n v="121.02200000000001"/>
    <n v="1.1739999999999999"/>
    <n v="94999.289818167992"/>
    <n v="3341.633185063421"/>
    <m/>
    <n v="28.428999999999998"/>
    <s v="Sale"/>
    <x v="23"/>
    <s v="USD"/>
    <n v="5752.83"/>
    <n v="1"/>
    <n v="5752.83"/>
    <n v="19.6128"/>
    <n v="112829.104224"/>
    <n v="94999.289818167992"/>
    <n v="17829.814405832003"/>
    <n v="3.3643835616438356"/>
    <n v="1"/>
    <n v="17829.814405832003"/>
    <n v="0"/>
    <m/>
    <n v="1529.9899999999998"/>
  </r>
  <r>
    <x v="3"/>
    <s v="Purchase"/>
    <x v="49"/>
    <x v="2"/>
    <s v="USD"/>
    <d v="2020-05-13T00:00:00"/>
    <n v="11694.59"/>
    <x v="2"/>
    <n v="180.72300000000001"/>
    <n v="64.710025840651156"/>
    <n v="1"/>
    <n v="11694.59"/>
    <n v="23.869299999999999"/>
    <n v="279141.67708699999"/>
    <n v="106.16200000000001"/>
    <n v="121.02200000000001"/>
    <n v="1.1398999999999999"/>
    <n v="318193.59771147126"/>
    <n v="1760.6701842680302"/>
    <m/>
    <n v="180.72300000000001"/>
    <s v="Sale"/>
    <x v="23"/>
    <s v="USD"/>
    <n v="13362.68"/>
    <n v="1"/>
    <n v="13362.68"/>
    <n v="19.6128"/>
    <n v="262079.57030399999"/>
    <n v="318193.59771147126"/>
    <n v="-56114.027407471265"/>
    <n v="2.0849315068493151"/>
    <n v="1"/>
    <n v="-56114.027407471265"/>
    <n v="0"/>
    <m/>
    <n v="1668.0900000000001"/>
  </r>
  <r>
    <x v="3"/>
    <s v="Purchase"/>
    <x v="30"/>
    <x v="2"/>
    <s v="USD"/>
    <d v="2019-01-11T00:00:00"/>
    <n v="7098.06"/>
    <x v="2"/>
    <n v="45"/>
    <n v="157.73466666666667"/>
    <n v="1"/>
    <n v="7098.06"/>
    <n v="19.2456"/>
    <n v="136606.42353600002"/>
    <n v="103.108"/>
    <n v="121.02200000000001"/>
    <n v="1.1737"/>
    <n v="160334.95930420322"/>
    <n v="3562.9990956489605"/>
    <m/>
    <n v="45"/>
    <s v="Sale"/>
    <x v="24"/>
    <s v="USD"/>
    <n v="10817.48"/>
    <n v="1"/>
    <n v="10817.48"/>
    <n v="20.475999999999999"/>
    <n v="221498.72047999999"/>
    <n v="160334.95930420322"/>
    <n v="61163.761175796768"/>
    <n v="3.4438356164383563"/>
    <n v="1"/>
    <n v="61163.761175796768"/>
    <n v="0"/>
    <m/>
    <n v="3719.4199999999992"/>
  </r>
  <r>
    <x v="3"/>
    <s v="Purchase"/>
    <x v="50"/>
    <x v="1"/>
    <s v="USD"/>
    <d v="2020-02-06T00:00:00"/>
    <n v="4682.62"/>
    <x v="1"/>
    <n v="152.33000000000001"/>
    <n v="30.739972428280701"/>
    <n v="1"/>
    <n v="4682.62"/>
    <n v="18.6797"/>
    <n v="87469.936814000001"/>
    <n v="106.889"/>
    <n v="122.044"/>
    <n v="1.1416999999999999"/>
    <n v="99864.426860543797"/>
    <n v="655.57951067119927"/>
    <m/>
    <n v="152.33000000000001"/>
    <s v="Sale"/>
    <x v="23"/>
    <s v="USD"/>
    <n v="4795.43"/>
    <n v="1"/>
    <n v="4795.43"/>
    <n v="19.6128"/>
    <n v="94051.809504000004"/>
    <n v="99864.426860543797"/>
    <n v="-5812.617356543793"/>
    <n v="2.3506849315068492"/>
    <n v="1"/>
    <n v="-5812.617356543793"/>
    <n v="0"/>
    <m/>
    <n v="112.8100000000004"/>
  </r>
  <r>
    <x v="3"/>
    <s v="Purchase"/>
    <x v="50"/>
    <x v="1"/>
    <s v="USD"/>
    <d v="2020-02-06T00:00:00"/>
    <n v="15988.49"/>
    <x v="1"/>
    <n v="520.12"/>
    <n v="30.740002307159884"/>
    <n v="1"/>
    <n v="15988.49"/>
    <n v="18.6797"/>
    <n v="298660.19665300002"/>
    <n v="106.889"/>
    <n v="122.044"/>
    <n v="1.1416999999999999"/>
    <n v="340980.3465187301"/>
    <n v="655.58014788650712"/>
    <m/>
    <n v="520.12"/>
    <s v="Sale"/>
    <x v="26"/>
    <s v="USD"/>
    <n v="18802.34"/>
    <n v="1"/>
    <n v="18802.34"/>
    <n v="19.574200000000001"/>
    <n v="368040.76362800004"/>
    <n v="340980.3465187301"/>
    <n v="27060.41710926994"/>
    <n v="2.3342465753424659"/>
    <n v="1"/>
    <n v="27060.41710926994"/>
    <n v="0"/>
    <m/>
    <n v="2813.8500000000004"/>
  </r>
  <r>
    <x v="3"/>
    <s v="Purchase"/>
    <x v="31"/>
    <x v="2"/>
    <s v="USD"/>
    <d v="2020-05-14T00:00:00"/>
    <n v="9291.0400000000009"/>
    <x v="2"/>
    <n v="176"/>
    <n v="52.790000000000006"/>
    <n v="1"/>
    <n v="9291.0400000000009"/>
    <n v="24.0487"/>
    <n v="223437.43364800003"/>
    <n v="106.16200000000001"/>
    <n v="121.02200000000001"/>
    <n v="1.1398999999999999"/>
    <n v="254696.33061535523"/>
    <n v="1447.1382421327"/>
    <m/>
    <n v="176"/>
    <s v="Sale"/>
    <x v="22"/>
    <s v="USD"/>
    <n v="16144.66"/>
    <n v="1"/>
    <n v="16144.66"/>
    <n v="20.244199999999999"/>
    <n v="326835.72597199999"/>
    <n v="254696.3306153552"/>
    <n v="72139.395356644789"/>
    <n v="2.106849315068493"/>
    <n v="1"/>
    <n v="72139.395356644789"/>
    <n v="0"/>
    <m/>
    <n v="6853.619999999999"/>
  </r>
  <r>
    <x v="3"/>
    <s v="Purchase"/>
    <x v="51"/>
    <x v="2"/>
    <s v="USD"/>
    <d v="2021-01-12T00:00:00"/>
    <n v="15607.61"/>
    <x v="2"/>
    <n v="198"/>
    <n v="78.826313131313128"/>
    <n v="1"/>
    <n v="15607.61"/>
    <n v="19.970500000000001"/>
    <n v="311691.77550500003"/>
    <n v="110.21"/>
    <n v="121.02200000000001"/>
    <n v="1.0981000000000001"/>
    <n v="342268.73868204054"/>
    <n v="1728.6299933436392"/>
    <m/>
    <n v="198"/>
    <s v="Sale"/>
    <x v="22"/>
    <s v="USD"/>
    <n v="15559.69"/>
    <n v="1"/>
    <n v="15559.69"/>
    <n v="20.244199999999999"/>
    <n v="314993.47629800002"/>
    <n v="342268.73868204054"/>
    <n v="-27275.262384040514"/>
    <n v="1.441095890410959"/>
    <n v="1"/>
    <n v="-27275.262384040514"/>
    <n v="0"/>
    <m/>
    <n v="-47.920000000000073"/>
  </r>
  <r>
    <x v="3"/>
    <s v="Purchase"/>
    <x v="52"/>
    <x v="2"/>
    <s v="USD"/>
    <d v="2020-03-04T00:00:00"/>
    <n v="4142.24"/>
    <x v="2"/>
    <n v="13"/>
    <n v="318.63384615384615"/>
    <n v="1"/>
    <n v="4142.24"/>
    <n v="19.698499999999999"/>
    <n v="81595.914639999988"/>
    <n v="106.83799999999999"/>
    <n v="121.02200000000001"/>
    <n v="1.1327"/>
    <n v="92423.692512727983"/>
    <n v="7109.5148086713834"/>
    <m/>
    <n v="13"/>
    <s v="Sale"/>
    <x v="21"/>
    <s v="USD"/>
    <n v="6916.41"/>
    <n v="1"/>
    <n v="6916.41"/>
    <n v="19.59"/>
    <n v="135492.4719"/>
    <n v="92423.692512727983"/>
    <n v="43068.779387272021"/>
    <n v="2.2684931506849315"/>
    <n v="1"/>
    <n v="43068.779387272021"/>
    <n v="0"/>
    <m/>
    <n v="2774.17"/>
  </r>
  <r>
    <x v="3"/>
    <s v="Purchase"/>
    <x v="32"/>
    <x v="2"/>
    <s v="USD"/>
    <d v="2018-08-03T00:00:00"/>
    <n v="4265.3599999999997"/>
    <x v="2"/>
    <n v="88"/>
    <n v="48.47"/>
    <n v="1"/>
    <n v="4265.3599999999997"/>
    <n v="18.5899"/>
    <n v="79292.615863999992"/>
    <n v="100.492"/>
    <n v="121.02200000000001"/>
    <n v="1.2041999999999999"/>
    <n v="95484.168023428792"/>
    <n v="1085.0473639026"/>
    <m/>
    <n v="88"/>
    <s v="Sale"/>
    <x v="25"/>
    <s v="USD"/>
    <n v="5486.25"/>
    <n v="1"/>
    <n v="5486.25"/>
    <n v="19.738800000000001"/>
    <n v="108291.9915"/>
    <n v="95484.168023428792"/>
    <n v="12807.823476571211"/>
    <n v="3.8356164383561642"/>
    <n v="1"/>
    <n v="12807.823476571211"/>
    <n v="0"/>
    <m/>
    <n v="1220.8900000000003"/>
  </r>
  <r>
    <x v="3"/>
    <s v="Purchase"/>
    <x v="32"/>
    <x v="2"/>
    <s v="USD"/>
    <d v="2018-08-03T00:00:00"/>
    <n v="9209.2999999999993"/>
    <x v="2"/>
    <n v="190"/>
    <n v="48.47"/>
    <n v="1"/>
    <n v="9209.2999999999993"/>
    <n v="18.5899"/>
    <n v="171199.96606999999"/>
    <n v="100.492"/>
    <n v="121.02200000000001"/>
    <n v="1.2041999999999999"/>
    <n v="206158.99914149399"/>
    <n v="1085.0473639026"/>
    <m/>
    <n v="190"/>
    <s v="Sale"/>
    <x v="24"/>
    <s v="USD"/>
    <n v="10918.58"/>
    <n v="1"/>
    <n v="10918.58"/>
    <n v="20.475999999999999"/>
    <n v="223568.84407999998"/>
    <n v="206158.99914149399"/>
    <n v="17409.844938505994"/>
    <n v="3.8849315068493149"/>
    <n v="1"/>
    <n v="17409.844938505994"/>
    <n v="0"/>
    <m/>
    <n v="1709.2800000000007"/>
  </r>
  <r>
    <x v="3"/>
    <s v="Purchase"/>
    <x v="32"/>
    <x v="2"/>
    <s v="USD"/>
    <d v="2018-08-03T00:00:00"/>
    <n v="4847"/>
    <x v="2"/>
    <n v="100"/>
    <n v="48.47"/>
    <n v="1"/>
    <n v="4847"/>
    <n v="18.5899"/>
    <n v="90105.245299999995"/>
    <n v="100.492"/>
    <n v="121.02200000000001"/>
    <n v="1.2041999999999999"/>
    <n v="108504.73639025999"/>
    <n v="1085.0473639026"/>
    <m/>
    <n v="100"/>
    <s v="Sale"/>
    <x v="27"/>
    <s v="USD"/>
    <n v="6193.71"/>
    <n v="1"/>
    <n v="6193.71"/>
    <n v="19.558499999999999"/>
    <n v="121139.67703499999"/>
    <n v="108504.73639025999"/>
    <n v="12634.940644739996"/>
    <n v="3.8438356164383563"/>
    <n v="1"/>
    <n v="12634.940644739996"/>
    <n v="0"/>
    <m/>
    <n v="1346.71"/>
  </r>
  <r>
    <x v="3"/>
    <s v="Purchase"/>
    <x v="53"/>
    <x v="2"/>
    <s v="USD"/>
    <d v="2020-02-06T00:00:00"/>
    <n v="49852.6"/>
    <x v="2"/>
    <n v="179.798"/>
    <n v="277.27004749774744"/>
    <n v="1"/>
    <n v="49852.6"/>
    <n v="18.6797"/>
    <n v="931231.61222000001"/>
    <n v="106.889"/>
    <n v="121.02200000000001"/>
    <n v="1.1322000000000001"/>
    <n v="1054340.4313554841"/>
    <n v="5864.0275829290877"/>
    <m/>
    <n v="179.798"/>
    <s v="Sale"/>
    <x v="23"/>
    <s v="USD"/>
    <n v="44615.08"/>
    <n v="1"/>
    <n v="44615.08"/>
    <n v="19.6128"/>
    <n v="875026.64102400001"/>
    <n v="1054340.4313554841"/>
    <n v="-179313.79033148405"/>
    <n v="2.3506849315068492"/>
    <n v="1"/>
    <n v="-179313.79033148405"/>
    <n v="0"/>
    <m/>
    <n v="-5237.5199999999968"/>
  </r>
  <r>
    <x v="3"/>
    <s v="Purchase"/>
    <x v="54"/>
    <x v="2"/>
    <s v="USD"/>
    <d v="2020-02-06T00:00:00"/>
    <n v="12816.11"/>
    <x v="2"/>
    <n v="75.004999999999995"/>
    <n v="170.87007532831146"/>
    <n v="1"/>
    <n v="12816.11"/>
    <n v="18.6797"/>
    <n v="239401.08996700001"/>
    <n v="106.889"/>
    <n v="121.02200000000001"/>
    <n v="1.1322000000000001"/>
    <n v="271049.91406063741"/>
    <n v="3613.7579369460359"/>
    <m/>
    <n v="75.004999999999995"/>
    <s v="Sale"/>
    <x v="23"/>
    <s v="USD"/>
    <n v="13699.66"/>
    <n v="1"/>
    <n v="13699.66"/>
    <n v="19.6128"/>
    <n v="268688.69164799998"/>
    <n v="271049.91406063741"/>
    <n v="-2361.2224126374349"/>
    <n v="2.3506849315068492"/>
    <n v="1"/>
    <n v="-2361.2224126374349"/>
    <n v="0"/>
    <m/>
    <n v="883.54999999999927"/>
  </r>
  <r>
    <x v="3"/>
    <s v="Purchase"/>
    <x v="54"/>
    <x v="2"/>
    <s v="USD"/>
    <d v="2020-02-06T00:00:00"/>
    <n v="3005.26"/>
    <x v="2"/>
    <n v="17.588000000000001"/>
    <n v="170.86991130316125"/>
    <n v="1"/>
    <n v="3005.26"/>
    <n v="18.6797"/>
    <n v="56137.355222000006"/>
    <n v="106.889"/>
    <n v="121.02200000000001"/>
    <n v="1.1322000000000001"/>
    <n v="63558.713582348413"/>
    <n v="3613.7544679524908"/>
    <m/>
    <n v="17.588000000000001"/>
    <s v="Sale"/>
    <x v="26"/>
    <s v="USD"/>
    <n v="3517.42"/>
    <n v="1"/>
    <n v="3517.42"/>
    <n v="19.574200000000001"/>
    <n v="68850.682564000002"/>
    <n v="63558.713582348413"/>
    <n v="5291.9689816515893"/>
    <n v="2.3342465753424659"/>
    <n v="1"/>
    <n v="5291.9689816515893"/>
    <n v="0"/>
    <m/>
    <n v="512.15999999999985"/>
  </r>
  <r>
    <x v="3"/>
    <s v="Purchase"/>
    <x v="55"/>
    <x v="1"/>
    <s v="USD"/>
    <d v="2019-02-01T00:00:00"/>
    <n v="14145.86"/>
    <x v="1"/>
    <n v="833.58"/>
    <n v="16.970008877372297"/>
    <n v="1"/>
    <n v="14145.86"/>
    <n v="19.162299999999998"/>
    <n v="271067.213078"/>
    <n v="103.07899999999999"/>
    <n v="122.044"/>
    <n v="1.1839"/>
    <n v="320916.47356304422"/>
    <n v="384.9858124751604"/>
    <m/>
    <n v="833.58"/>
    <s v="Sale"/>
    <x v="23"/>
    <s v="USD"/>
    <n v="17496.84"/>
    <n v="1"/>
    <n v="17496.84"/>
    <n v="19.6128"/>
    <n v="343162.023552"/>
    <n v="320916.47356304422"/>
    <n v="22245.549988955783"/>
    <n v="3.3643835616438356"/>
    <n v="1"/>
    <n v="22245.549988955783"/>
    <n v="0"/>
    <m/>
    <n v="3350.9799999999996"/>
  </r>
  <r>
    <x v="3"/>
    <s v="Purchase"/>
    <x v="55"/>
    <x v="1"/>
    <s v="USD"/>
    <d v="2019-02-01T00:00:00"/>
    <n v="1990.1"/>
    <x v="1"/>
    <n v="117.27200000000001"/>
    <n v="16.969950201241556"/>
    <n v="1"/>
    <n v="1990.1"/>
    <n v="19.162299999999998"/>
    <n v="38134.893229999994"/>
    <n v="103.07899999999999"/>
    <n v="122.044"/>
    <n v="1.1839"/>
    <n v="45147.900094996992"/>
    <n v="384.9844813339671"/>
    <m/>
    <n v="117.27200000000001"/>
    <s v="Sale"/>
    <x v="26"/>
    <s v="USD"/>
    <n v="2698.44"/>
    <n v="1"/>
    <n v="2698.44"/>
    <n v="19.574200000000001"/>
    <n v="52819.804248000008"/>
    <n v="45147.900094996992"/>
    <n v="7671.9041530030154"/>
    <n v="3.3479452054794518"/>
    <n v="1"/>
    <n v="7671.9041530030154"/>
    <n v="0"/>
    <m/>
    <n v="708.34000000000015"/>
  </r>
  <r>
    <x v="0"/>
    <m/>
    <x v="0"/>
    <x v="0"/>
    <m/>
    <m/>
    <m/>
    <x v="0"/>
    <n v="0"/>
    <n v="0"/>
    <n v="0"/>
    <n v="0"/>
    <n v="0"/>
    <n v="0"/>
    <n v="0"/>
    <n v="0"/>
    <n v="0"/>
    <n v="0"/>
    <n v="0"/>
    <m/>
    <m/>
    <m/>
    <x v="0"/>
    <m/>
    <m/>
    <n v="0"/>
    <n v="0"/>
    <n v="0"/>
    <n v="0"/>
    <n v="0"/>
    <n v="0"/>
    <n v="0"/>
    <n v="1"/>
    <n v="0"/>
    <n v="0"/>
    <m/>
    <n v="0"/>
  </r>
  <r>
    <x v="4"/>
    <s v="Purchase"/>
    <x v="56"/>
    <x v="2"/>
    <s v="USD"/>
    <d v="2021-03-04T00:00:00"/>
    <n v="392.65304182509504"/>
    <x v="2"/>
    <n v="10"/>
    <n v="39.265304182509503"/>
    <n v="1"/>
    <n v="392.65304182509504"/>
    <n v="20.690300000000001"/>
    <n v="8124.1092312737646"/>
    <n v="111.824"/>
    <n v="117.30800000000001"/>
    <n v="1.0489999999999999"/>
    <n v="8522.1905836061778"/>
    <n v="852.21905836061774"/>
    <m/>
    <n v="10"/>
    <s v="Sale"/>
    <x v="28"/>
    <s v="USD"/>
    <n v="412.35"/>
    <n v="1"/>
    <n v="412.35"/>
    <n v="20.641500000000001"/>
    <n v="8511.5225250000003"/>
    <n v="8522.1905836061778"/>
    <n v="-10.66805860617751"/>
    <n v="0.90410958904109584"/>
    <n v="1"/>
    <n v="-10.66805860617751"/>
    <n v="0"/>
    <m/>
    <n v="19.696958174904978"/>
  </r>
  <r>
    <x v="4"/>
    <s v="Purchase"/>
    <x v="56"/>
    <x v="2"/>
    <s v="USD"/>
    <d v="2021-03-04T00:00:00"/>
    <n v="4672.5711977186311"/>
    <x v="2"/>
    <n v="119"/>
    <n v="39.265304182509503"/>
    <n v="1"/>
    <n v="4672.5711977186311"/>
    <n v="20.690300000000001"/>
    <n v="96676.899852157789"/>
    <n v="111.824"/>
    <n v="117.30800000000001"/>
    <n v="1.0489999999999999"/>
    <n v="101414.06794491352"/>
    <n v="852.21905836061785"/>
    <m/>
    <n v="119"/>
    <s v="Sale"/>
    <x v="28"/>
    <s v="USD"/>
    <n v="4891.5879687500001"/>
    <n v="1"/>
    <n v="4891.5879687500001"/>
    <n v="20.641500000000001"/>
    <n v="100969.71305695313"/>
    <n v="101414.06794491352"/>
    <n v="-444.35488796039135"/>
    <n v="0.90410958904109584"/>
    <n v="1"/>
    <n v="-444.35488796039135"/>
    <n v="0"/>
    <m/>
    <n v="219.01677103136899"/>
  </r>
  <r>
    <x v="4"/>
    <s v="Purchase"/>
    <x v="56"/>
    <x v="2"/>
    <s v="USD"/>
    <d v="2021-06-01T00:00:00"/>
    <n v="8741.66"/>
    <x v="2"/>
    <n v="180"/>
    <n v="48.564777777777778"/>
    <n v="1"/>
    <n v="8741.66"/>
    <n v="19.944199999999999"/>
    <n v="174345.41537199999"/>
    <n v="113.018"/>
    <n v="117.30800000000001"/>
    <n v="1.0379"/>
    <n v="180953.1066145988"/>
    <n v="1005.2950367477711"/>
    <m/>
    <n v="180"/>
    <s v="Sale"/>
    <x v="28"/>
    <s v="USD"/>
    <n v="7399.0406249999996"/>
    <n v="1"/>
    <n v="7399.0406249999996"/>
    <n v="20.641500000000001"/>
    <n v="152727.2970609375"/>
    <n v="180953.1066145988"/>
    <n v="-28225.809553661296"/>
    <n v="0.66027397260273968"/>
    <n v="1"/>
    <n v="-28225.809553661296"/>
    <n v="0"/>
    <m/>
    <n v="-1342.6193750000002"/>
  </r>
  <r>
    <x v="4"/>
    <s v="Purchase"/>
    <x v="56"/>
    <x v="2"/>
    <s v="USD"/>
    <d v="2021-08-18T00:00:00"/>
    <n v="599.52"/>
    <x v="2"/>
    <n v="12"/>
    <n v="49.96"/>
    <n v="1"/>
    <n v="599.52"/>
    <n v="19.886299999999999"/>
    <n v="11922.234575999999"/>
    <n v="113.899"/>
    <n v="117.30800000000001"/>
    <n v="1.0299"/>
    <n v="12278.709389822399"/>
    <n v="1023.2257824851999"/>
    <m/>
    <n v="12"/>
    <s v="Sale"/>
    <x v="28"/>
    <s v="USD"/>
    <n v="493.26937499999997"/>
    <n v="1"/>
    <n v="493.26937499999997"/>
    <n v="20.641500000000001"/>
    <n v="10181.819804062499"/>
    <n v="12278.709389822399"/>
    <n v="-2096.8895857599"/>
    <n v="0.44657534246575342"/>
    <n v="1"/>
    <n v="-2096.8895857599"/>
    <n v="0"/>
    <m/>
    <n v="-106.25062500000001"/>
  </r>
  <r>
    <x v="4"/>
    <s v="Purchase"/>
    <x v="56"/>
    <x v="2"/>
    <s v="USD"/>
    <d v="2021-08-19T00:00:00"/>
    <n v="457.80782608695654"/>
    <x v="2"/>
    <n v="9"/>
    <n v="50.86753623188406"/>
    <n v="1"/>
    <n v="457.80782608695654"/>
    <n v="19.991199999999999"/>
    <n v="9152.1278128695649"/>
    <n v="113.899"/>
    <n v="117.30800000000001"/>
    <n v="1.0299"/>
    <n v="9425.7764344743646"/>
    <n v="1047.3084927193738"/>
    <m/>
    <n v="9"/>
    <s v="Sale"/>
    <x v="28"/>
    <s v="USD"/>
    <n v="369.95203125"/>
    <n v="1"/>
    <n v="369.95203125"/>
    <n v="20.641500000000001"/>
    <n v="7636.3648530468754"/>
    <n v="9425.7764344743646"/>
    <n v="-1789.4115814274892"/>
    <n v="0.44383561643835617"/>
    <n v="1"/>
    <n v="-1789.4115814274892"/>
    <n v="0"/>
    <m/>
    <n v="-87.855794836956534"/>
  </r>
  <r>
    <x v="4"/>
    <s v="Purchase"/>
    <x v="56"/>
    <x v="2"/>
    <s v="USD"/>
    <d v="2021-08-19T00:00:00"/>
    <n v="3052.0521739130436"/>
    <x v="2"/>
    <n v="60"/>
    <n v="50.86753623188406"/>
    <n v="1"/>
    <n v="3052.0521739130436"/>
    <n v="19.991199999999999"/>
    <n v="61014.185419130437"/>
    <n v="113.899"/>
    <n v="117.30800000000001"/>
    <n v="1.0299"/>
    <n v="62838.509563162443"/>
    <n v="1047.308492719374"/>
    <m/>
    <n v="60"/>
    <s v="Sale"/>
    <x v="28"/>
    <s v="USD"/>
    <n v="2450.4544217687076"/>
    <n v="1"/>
    <n v="2450.4544217687076"/>
    <n v="20.641500000000001"/>
    <n v="50581.054946938777"/>
    <n v="62838.509563162443"/>
    <n v="-12257.454616223666"/>
    <n v="0.44383561643835617"/>
    <n v="1"/>
    <n v="-12257.454616223666"/>
    <n v="0"/>
    <m/>
    <n v="-601.59775214433603"/>
  </r>
  <r>
    <x v="4"/>
    <s v="Purchase"/>
    <x v="56"/>
    <x v="2"/>
    <s v="USD"/>
    <d v="2021-08-19T00:00:00"/>
    <n v="7034.1099999999988"/>
    <x v="2"/>
    <n v="139"/>
    <n v="50.605107913669059"/>
    <n v="1"/>
    <n v="7034.1099999999988"/>
    <n v="19.991199999999999"/>
    <n v="140620.29983199996"/>
    <n v="113.899"/>
    <n v="117.30800000000001"/>
    <n v="1.0299"/>
    <n v="144824.84679697675"/>
    <n v="1041.9053726401205"/>
    <m/>
    <n v="139"/>
    <s v="Sale"/>
    <x v="28"/>
    <s v="USD"/>
    <n v="5676.8860770975061"/>
    <n v="1"/>
    <n v="5676.8860770975061"/>
    <n v="20.641500000000001"/>
    <n v="117179.44396040817"/>
    <n v="144824.84679697675"/>
    <n v="-27645.402836568581"/>
    <n v="0.44383561643835617"/>
    <n v="1"/>
    <n v="-27645.402836568581"/>
    <n v="0"/>
    <m/>
    <n v="-1357.2239229024926"/>
  </r>
  <r>
    <x v="4"/>
    <s v="Purchase"/>
    <x v="56"/>
    <x v="2"/>
    <s v="USD"/>
    <d v="2021-09-10T00:00:00"/>
    <n v="1148.28"/>
    <x v="2"/>
    <n v="24"/>
    <n v="47.844999999999999"/>
    <n v="1"/>
    <n v="1148.28"/>
    <n v="19.938300000000002"/>
    <n v="22894.751124000002"/>
    <n v="114.601"/>
    <n v="117.30800000000001"/>
    <n v="1.0236000000000001"/>
    <n v="23435.067250526405"/>
    <n v="976.46113543860019"/>
    <m/>
    <n v="24"/>
    <s v="Sale"/>
    <x v="28"/>
    <s v="USD"/>
    <n v="980.181768707483"/>
    <n v="1"/>
    <n v="980.181768707483"/>
    <n v="20.641500000000001"/>
    <n v="20232.42197877551"/>
    <n v="23435.067250526405"/>
    <n v="-3202.6452717508946"/>
    <n v="0.38356164383561642"/>
    <n v="1"/>
    <n v="-3202.6452717508946"/>
    <n v="0"/>
    <m/>
    <n v="-168.09823129251697"/>
  </r>
  <r>
    <x v="4"/>
    <s v="Purchase"/>
    <x v="56"/>
    <x v="2"/>
    <s v="USD"/>
    <d v="2021-09-10T00:00:00"/>
    <n v="10412.788474576269"/>
    <x v="2"/>
    <n v="218"/>
    <n v="47.765084745762707"/>
    <n v="1"/>
    <n v="10412.788474576269"/>
    <n v="19.938300000000002"/>
    <n v="207613.30044264405"/>
    <n v="114.601"/>
    <n v="117.30800000000001"/>
    <n v="1.0236000000000001"/>
    <n v="212512.97433309045"/>
    <n v="974.83015749124058"/>
    <m/>
    <n v="218"/>
    <s v="Sale"/>
    <x v="28"/>
    <s v="USD"/>
    <n v="8903.3177324263033"/>
    <n v="1"/>
    <n v="8903.3177324263033"/>
    <n v="20.641500000000001"/>
    <n v="183777.83297387755"/>
    <n v="212512.97433309045"/>
    <n v="-28735.141359212896"/>
    <n v="0.38356164383561642"/>
    <n v="1"/>
    <n v="-28735.141359212896"/>
    <n v="0"/>
    <m/>
    <n v="-1509.4707421499661"/>
  </r>
  <r>
    <x v="4"/>
    <s v="Purchase"/>
    <x v="56"/>
    <x v="2"/>
    <s v="USD"/>
    <d v="2021-09-10T00:00:00"/>
    <n v="286.59050847457627"/>
    <x v="2"/>
    <n v="6"/>
    <n v="47.765084745762714"/>
    <n v="1"/>
    <n v="286.59050847457627"/>
    <n v="19.938300000000002"/>
    <n v="5714.1275351186441"/>
    <n v="114.601"/>
    <n v="117.30800000000001"/>
    <n v="1.0236000000000001"/>
    <n v="5848.9809449474442"/>
    <n v="974.8301574912407"/>
    <m/>
    <n v="6"/>
    <s v="Sale"/>
    <x v="28"/>
    <s v="USD"/>
    <n v="242.07"/>
    <n v="1"/>
    <n v="242.07"/>
    <n v="20.641500000000001"/>
    <n v="4996.6879049999998"/>
    <n v="5848.9809449474442"/>
    <n v="-852.29303994744441"/>
    <n v="0.38356164383561642"/>
    <n v="1"/>
    <n v="-852.29303994744441"/>
    <n v="0"/>
    <m/>
    <n v="-44.520508474576275"/>
  </r>
  <r>
    <x v="4"/>
    <s v="Purchase"/>
    <x v="56"/>
    <x v="2"/>
    <s v="USD"/>
    <d v="2021-09-10T00:00:00"/>
    <n v="573.18101694915254"/>
    <x v="2"/>
    <n v="12"/>
    <n v="47.765084745762714"/>
    <n v="1"/>
    <n v="573.18101694915254"/>
    <n v="19.938300000000002"/>
    <n v="11428.255070237288"/>
    <n v="114.601"/>
    <n v="117.30800000000001"/>
    <n v="1.0236000000000001"/>
    <n v="11697.961889894888"/>
    <n v="974.8301574912407"/>
    <m/>
    <n v="12"/>
    <s v="Sale"/>
    <x v="29"/>
    <s v="USD"/>
    <n v="496.81600000000003"/>
    <n v="1"/>
    <n v="496.81600000000003"/>
    <n v="20.738299999999999"/>
    <n v="10303.119252799999"/>
    <n v="11697.961889894888"/>
    <n v="-1394.8426370948891"/>
    <n v="0.39178082191780822"/>
    <n v="1"/>
    <n v="-1394.8426370948891"/>
    <n v="0"/>
    <m/>
    <n v="-76.365016949152505"/>
  </r>
  <r>
    <x v="4"/>
    <s v="Purchase"/>
    <x v="56"/>
    <x v="2"/>
    <s v="USD"/>
    <d v="2021-11-19T00:00:00"/>
    <n v="143.97"/>
    <x v="2"/>
    <n v="3"/>
    <n v="47.99"/>
    <n v="1"/>
    <n v="143.97"/>
    <n v="20.691199999999998"/>
    <n v="2978.9120639999996"/>
    <n v="116.884"/>
    <n v="117.30800000000001"/>
    <n v="1.0036"/>
    <n v="2989.6361474303999"/>
    <n v="996.5453824768"/>
    <m/>
    <n v="3"/>
    <s v="Sale"/>
    <x v="29"/>
    <s v="USD"/>
    <n v="124.20400000000001"/>
    <n v="1"/>
    <n v="124.20400000000001"/>
    <n v="20.738299999999999"/>
    <n v="2575.7798131999998"/>
    <n v="2989.6361474303999"/>
    <n v="-413.85633423040008"/>
    <n v="0.2"/>
    <n v="1"/>
    <n v="-413.85633423040008"/>
    <n v="0"/>
    <m/>
    <n v="-19.765999999999991"/>
  </r>
  <r>
    <x v="4"/>
    <s v="Purchase"/>
    <x v="57"/>
    <x v="2"/>
    <s v="USD"/>
    <d v="2021-02-24T00:00:00"/>
    <n v="2093.8727272727274"/>
    <x v="2"/>
    <n v="10"/>
    <n v="209.38727272727274"/>
    <n v="1"/>
    <n v="2093.8727272727274"/>
    <n v="20.6783"/>
    <n v="43297.728416363636"/>
    <n v="110.907"/>
    <n v="120.15900000000001"/>
    <n v="1.0833999999999999"/>
    <n v="46908.758966288362"/>
    <n v="4690.875896628836"/>
    <m/>
    <n v="10"/>
    <s v="Sale"/>
    <x v="30"/>
    <s v="USD"/>
    <n v="1316.63"/>
    <n v="1"/>
    <n v="1316.63"/>
    <n v="20.044699999999999"/>
    <n v="26391.453361"/>
    <n v="46908.758966288362"/>
    <n v="-20517.305605288362"/>
    <n v="1.1534246575342466"/>
    <n v="1"/>
    <n v="-20517.305605288362"/>
    <n v="0"/>
    <m/>
    <n v="-777.24272727272728"/>
  </r>
  <r>
    <x v="4"/>
    <s v="Purchase"/>
    <x v="57"/>
    <x v="2"/>
    <s v="USD"/>
    <d v="2021-02-24T00:00:00"/>
    <n v="3350.1963636363639"/>
    <x v="2"/>
    <n v="16"/>
    <n v="209.38727272727274"/>
    <n v="1"/>
    <n v="3350.1963636363639"/>
    <n v="20.6783"/>
    <n v="69276.365466181829"/>
    <n v="110.907"/>
    <n v="120.15900000000001"/>
    <n v="1.0833999999999999"/>
    <n v="75054.014346061391"/>
    <n v="4690.8758966288369"/>
    <m/>
    <n v="16"/>
    <s v="Sale"/>
    <x v="30"/>
    <s v="USD"/>
    <n v="2142.3000000000002"/>
    <n v="1"/>
    <n v="2142.3000000000002"/>
    <n v="20.044699999999999"/>
    <n v="42941.76081"/>
    <n v="75054.014346061391"/>
    <n v="-32112.253536061391"/>
    <n v="1.1534246575342466"/>
    <n v="1"/>
    <n v="-32112.253536061391"/>
    <n v="0"/>
    <m/>
    <n v="-1207.8963636363637"/>
  </r>
  <r>
    <x v="4"/>
    <s v="Purchase"/>
    <x v="57"/>
    <x v="2"/>
    <s v="USD"/>
    <d v="2021-02-24T00:00:00"/>
    <n v="209.38727272727274"/>
    <x v="2"/>
    <n v="1"/>
    <n v="209.38727272727274"/>
    <n v="1"/>
    <n v="209.38727272727274"/>
    <n v="20.6783"/>
    <n v="4329.7728416363643"/>
    <n v="110.907"/>
    <n v="120.15900000000001"/>
    <n v="1.0833999999999999"/>
    <n v="4690.8758966288369"/>
    <n v="4690.8758966288369"/>
    <m/>
    <n v="1"/>
    <s v="Sale"/>
    <x v="30"/>
    <s v="USD"/>
    <n v="133.32166666666666"/>
    <n v="1"/>
    <n v="133.32166666666666"/>
    <n v="20.044699999999999"/>
    <n v="2672.3928118333329"/>
    <n v="4690.8758966288369"/>
    <n v="-2018.4830847955041"/>
    <n v="1.1534246575342466"/>
    <n v="1"/>
    <n v="-2018.4830847955041"/>
    <n v="0"/>
    <m/>
    <n v="-76.065606060606086"/>
  </r>
  <r>
    <x v="4"/>
    <s v="Purchase"/>
    <x v="57"/>
    <x v="2"/>
    <s v="USD"/>
    <d v="2021-02-26T00:00:00"/>
    <n v="818.18571428571431"/>
    <x v="2"/>
    <n v="5"/>
    <n v="163.63714285714286"/>
    <n v="1"/>
    <n v="818.18571428571431"/>
    <n v="20.475200000000001"/>
    <n v="16752.516137142858"/>
    <n v="110.907"/>
    <n v="120.15900000000001"/>
    <n v="1.0833999999999999"/>
    <n v="18149.675982980571"/>
    <n v="3629.9351965961141"/>
    <m/>
    <n v="5"/>
    <s v="Sale"/>
    <x v="30"/>
    <s v="USD"/>
    <n v="666.60833333333335"/>
    <n v="1"/>
    <n v="666.60833333333335"/>
    <n v="20.044699999999999"/>
    <n v="13361.964059166667"/>
    <n v="18149.675982980571"/>
    <n v="-4787.7119238139039"/>
    <n v="1.1479452054794521"/>
    <n v="1"/>
    <n v="-4787.7119238139039"/>
    <n v="0"/>
    <m/>
    <n v="-151.57738095238096"/>
  </r>
  <r>
    <x v="4"/>
    <s v="Purchase"/>
    <x v="57"/>
    <x v="2"/>
    <s v="USD"/>
    <d v="2021-02-26T00:00:00"/>
    <n v="9818.2285714285717"/>
    <x v="2"/>
    <n v="60"/>
    <n v="163.63714285714286"/>
    <n v="1"/>
    <n v="9818.2285714285717"/>
    <n v="20.475200000000001"/>
    <n v="201030.19364571429"/>
    <n v="110.907"/>
    <n v="120.15900000000001"/>
    <n v="1.0833999999999999"/>
    <n v="217796.11179576683"/>
    <n v="3629.9351965961137"/>
    <m/>
    <n v="60"/>
    <s v="Sale"/>
    <x v="30"/>
    <s v="USD"/>
    <n v="7949.2099999999991"/>
    <n v="1"/>
    <n v="7949.2099999999991"/>
    <n v="20.044699999999999"/>
    <n v="159339.52968699997"/>
    <n v="217796.11179576683"/>
    <n v="-58456.582108766859"/>
    <n v="1.1479452054794521"/>
    <n v="1"/>
    <n v="-58456.582108766859"/>
    <n v="0"/>
    <m/>
    <n v="-1869.0185714285726"/>
  </r>
  <r>
    <x v="4"/>
    <s v="Purchase"/>
    <x v="57"/>
    <x v="2"/>
    <s v="USD"/>
    <d v="2021-02-26T00:00:00"/>
    <n v="654.54857142857145"/>
    <x v="2"/>
    <n v="4"/>
    <n v="163.63714285714286"/>
    <n v="1"/>
    <n v="654.54857142857145"/>
    <n v="20.475200000000001"/>
    <n v="13402.012909714287"/>
    <n v="110.907"/>
    <n v="120.15900000000001"/>
    <n v="1.0833999999999999"/>
    <n v="14519.740786384458"/>
    <n v="3629.9351965961146"/>
    <m/>
    <n v="4"/>
    <s v="Sale"/>
    <x v="31"/>
    <s v="USD"/>
    <n v="503.07"/>
    <n v="1"/>
    <n v="503.07"/>
    <n v="20.0383"/>
    <n v="10080.667581"/>
    <n v="14519.740786384458"/>
    <n v="-4439.0732053844586"/>
    <n v="1.1506849315068493"/>
    <n v="1"/>
    <n v="-4439.0732053844586"/>
    <n v="0"/>
    <m/>
    <n v="-151.47857142857146"/>
  </r>
  <r>
    <x v="4"/>
    <s v="Purchase"/>
    <x v="58"/>
    <x v="2"/>
    <s v="USD"/>
    <d v="2021-05-21T00:00:00"/>
    <n v="1146.7802362204725"/>
    <x v="2"/>
    <n v="42"/>
    <n v="27.304291338582679"/>
    <n v="1"/>
    <n v="1146.7802362204725"/>
    <n v="19.814299999999999"/>
    <n v="22722.647634543308"/>
    <n v="112.419"/>
    <n v="118.98099999999999"/>
    <n v="1.0583"/>
    <n v="24047.377991637182"/>
    <n v="572.55661884850429"/>
    <m/>
    <n v="42"/>
    <s v="Sale"/>
    <x v="32"/>
    <s v="USD"/>
    <n v="1045.089705882353"/>
    <n v="1"/>
    <n v="1045.089705882353"/>
    <n v="20.4465"/>
    <n v="21368.42667132353"/>
    <n v="24047.377991637179"/>
    <n v="-2678.9513203136485"/>
    <n v="0.77808219178082194"/>
    <n v="1"/>
    <n v="-2678.9513203136485"/>
    <n v="0"/>
    <m/>
    <n v="-101.69053033811952"/>
  </r>
  <r>
    <x v="4"/>
    <s v="Purchase"/>
    <x v="58"/>
    <x v="2"/>
    <s v="USD"/>
    <d v="2021-06-01T00:00:00"/>
    <n v="5268.48"/>
    <x v="2"/>
    <n v="168"/>
    <n v="31.359999999999996"/>
    <n v="1"/>
    <n v="5268.48"/>
    <n v="19.944199999999999"/>
    <n v="105075.61881599999"/>
    <n v="113.018"/>
    <n v="118.98099999999999"/>
    <n v="1.0527"/>
    <n v="110613.10392760318"/>
    <n v="658.41133290239986"/>
    <m/>
    <n v="168"/>
    <s v="Sale"/>
    <x v="32"/>
    <s v="USD"/>
    <n v="4180.3588235294119"/>
    <n v="1"/>
    <n v="4180.3588235294119"/>
    <n v="20.4465"/>
    <n v="85473.706685294121"/>
    <n v="110613.10392760318"/>
    <n v="-25139.39724230906"/>
    <n v="0.74794520547945209"/>
    <n v="1"/>
    <n v="-25139.39724230906"/>
    <n v="0"/>
    <m/>
    <n v="-1088.1211764705877"/>
  </r>
  <r>
    <x v="4"/>
    <s v="Purchase"/>
    <x v="58"/>
    <x v="2"/>
    <s v="USD"/>
    <d v="2021-06-24T00:00:00"/>
    <n v="6508.0804945054942"/>
    <x v="2"/>
    <n v="198"/>
    <n v="32.869093406593407"/>
    <n v="1"/>
    <n v="6508.0804945054942"/>
    <n v="20.571200000000001"/>
    <n v="133879.02546857143"/>
    <n v="113.018"/>
    <n v="118.98099999999999"/>
    <n v="1.0527"/>
    <n v="140934.45011076514"/>
    <n v="711.79015207457144"/>
    <m/>
    <n v="198"/>
    <s v="Sale"/>
    <x v="32"/>
    <s v="USD"/>
    <n v="4926.8514705882353"/>
    <n v="1"/>
    <n v="4926.8514705882353"/>
    <n v="20.4465"/>
    <n v="100736.86859338236"/>
    <n v="140934.45011076514"/>
    <n v="-40197.581517382787"/>
    <n v="0.68493150684931503"/>
    <n v="1"/>
    <n v="-40197.581517382787"/>
    <n v="0"/>
    <m/>
    <n v="-1581.2290239172589"/>
  </r>
  <r>
    <x v="4"/>
    <s v="Purchase"/>
    <x v="58"/>
    <x v="2"/>
    <s v="USD"/>
    <d v="2021-06-24T00:00:00"/>
    <n v="5456.2695054945052"/>
    <x v="2"/>
    <n v="166"/>
    <n v="32.869093406593407"/>
    <n v="1"/>
    <n v="5456.2695054945052"/>
    <n v="20.571200000000001"/>
    <n v="112242.01125142857"/>
    <n v="113.018"/>
    <n v="118.98099999999999"/>
    <n v="1.0527"/>
    <n v="118157.16524437885"/>
    <n v="711.79015207457132"/>
    <m/>
    <n v="166"/>
    <s v="Sale"/>
    <x v="33"/>
    <s v="USD"/>
    <n v="4807.7693766937664"/>
    <n v="1"/>
    <n v="4807.7693766937664"/>
    <n v="20.119499999999999"/>
    <n v="96729.915974390227"/>
    <n v="118157.16524437883"/>
    <n v="-21427.249269988606"/>
    <n v="0.76438356164383559"/>
    <n v="1"/>
    <n v="-21427.249269988606"/>
    <n v="0"/>
    <m/>
    <n v="-648.50012880073882"/>
  </r>
  <r>
    <x v="4"/>
    <s v="Purchase"/>
    <x v="58"/>
    <x v="2"/>
    <s v="USD"/>
    <d v="2021-07-19T00:00:00"/>
    <n v="5131.8219287833826"/>
    <x v="2"/>
    <n v="203"/>
    <n v="25.279910979228486"/>
    <n v="1"/>
    <n v="5131.8219287833826"/>
    <n v="19.941199999999998"/>
    <n v="102334.68744625518"/>
    <n v="113.682"/>
    <n v="118.98099999999999"/>
    <n v="1.0466"/>
    <n v="107103.48388125066"/>
    <n v="527.603368873156"/>
    <m/>
    <n v="203"/>
    <s v="Sale"/>
    <x v="33"/>
    <s v="USD"/>
    <n v="5879.3806233062323"/>
    <n v="1"/>
    <n v="5879.3806233062323"/>
    <n v="20.119499999999999"/>
    <n v="118290.19845060974"/>
    <n v="107103.48388125066"/>
    <n v="11186.714569359072"/>
    <n v="0.69589041095890414"/>
    <n v="1"/>
    <n v="11186.714569359072"/>
    <n v="0"/>
    <m/>
    <n v="747.55869452284969"/>
  </r>
  <r>
    <x v="4"/>
    <s v="Purchase"/>
    <x v="58"/>
    <x v="2"/>
    <s v="USD"/>
    <d v="2021-07-19T00:00:00"/>
    <n v="3387.5080712166173"/>
    <x v="2"/>
    <n v="134"/>
    <n v="25.279910979228486"/>
    <n v="1"/>
    <n v="3387.5080712166173"/>
    <n v="19.941199999999998"/>
    <n v="67550.97594974481"/>
    <n v="113.682"/>
    <n v="120.15900000000001"/>
    <n v="1.0569"/>
    <n v="71394.62648128529"/>
    <n v="532.79572000959172"/>
    <m/>
    <n v="134"/>
    <s v="Sale"/>
    <x v="34"/>
    <s v="USD"/>
    <n v="3449.9052040816327"/>
    <n v="1"/>
    <n v="3449.9052040816327"/>
    <n v="20.160499999999999"/>
    <n v="69551.813866887751"/>
    <n v="71394.62648128529"/>
    <n v="-1842.8126143975387"/>
    <n v="0.72876712328767124"/>
    <n v="1"/>
    <n v="-1842.8126143975387"/>
    <n v="0"/>
    <m/>
    <n v="62.397132865015465"/>
  </r>
  <r>
    <x v="4"/>
    <s v="Purchase"/>
    <x v="58"/>
    <x v="2"/>
    <s v="USD"/>
    <d v="2021-08-27T00:00:00"/>
    <n v="6899.4385929648242"/>
    <x v="2"/>
    <n v="258"/>
    <n v="26.742010050251256"/>
    <n v="1"/>
    <n v="6899.4385929648242"/>
    <n v="20.293299999999999"/>
    <n v="140012.37719861305"/>
    <n v="113.899"/>
    <n v="120.15900000000001"/>
    <n v="1.0548999999999999"/>
    <n v="147699.05670681689"/>
    <n v="572.47696397991047"/>
    <m/>
    <n v="258"/>
    <s v="Sale"/>
    <x v="34"/>
    <s v="USD"/>
    <n v="6642.3547959183679"/>
    <n v="1"/>
    <n v="6642.3547959183679"/>
    <n v="20.160499999999999"/>
    <n v="133913.19386311225"/>
    <n v="147699.05670681689"/>
    <n v="-13785.862843704643"/>
    <n v="0.62191780821917808"/>
    <n v="1"/>
    <n v="-13785.862843704643"/>
    <n v="0"/>
    <m/>
    <n v="-257.08379704645631"/>
  </r>
  <r>
    <x v="4"/>
    <s v="Purchase"/>
    <x v="58"/>
    <x v="2"/>
    <s v="USD"/>
    <d v="2021-08-27T00:00:00"/>
    <n v="3743.8814070351759"/>
    <x v="2"/>
    <n v="140"/>
    <n v="26.742010050251256"/>
    <n v="1"/>
    <n v="3743.8814070351759"/>
    <n v="20.293299999999999"/>
    <n v="75975.708557386926"/>
    <n v="113.899"/>
    <n v="120.809"/>
    <n v="1.0606"/>
    <n v="80579.83649596457"/>
    <n v="575.57026068546122"/>
    <m/>
    <n v="140"/>
    <s v="Sale"/>
    <x v="1"/>
    <s v="USD"/>
    <n v="1952.5494117647056"/>
    <n v="1"/>
    <n v="1952.5494117647056"/>
    <n v="20.372"/>
    <n v="39777.33661647058"/>
    <n v="80579.83649596457"/>
    <n v="-40802.499879493989"/>
    <n v="0.70684931506849313"/>
    <n v="1"/>
    <n v="-40802.499879493989"/>
    <n v="0"/>
    <m/>
    <n v="-1791.3319952704703"/>
  </r>
  <r>
    <x v="4"/>
    <s v="Purchase"/>
    <x v="58"/>
    <x v="2"/>
    <s v="USD"/>
    <d v="2021-08-27T00:00:00"/>
    <n v="2315.0700000000002"/>
    <x v="2"/>
    <n v="87"/>
    <n v="26.610000000000003"/>
    <n v="1"/>
    <n v="2315.0700000000002"/>
    <n v="20.293299999999999"/>
    <n v="46980.410030999999"/>
    <n v="113.899"/>
    <n v="120.809"/>
    <n v="1.0606"/>
    <n v="49827.422878878599"/>
    <n v="572.72899860780001"/>
    <m/>
    <n v="87"/>
    <s v="Sale"/>
    <x v="1"/>
    <s v="USD"/>
    <n v="1213.3699915966386"/>
    <n v="1"/>
    <n v="1213.3699915966386"/>
    <n v="20.372"/>
    <n v="24718.773468806721"/>
    <n v="49827.422878878599"/>
    <n v="-25108.649410071877"/>
    <n v="0.70684931506849313"/>
    <n v="1"/>
    <n v="-25108.649410071877"/>
    <n v="0"/>
    <m/>
    <n v="-1101.7000084033616"/>
  </r>
  <r>
    <x v="4"/>
    <s v="Purchase"/>
    <x v="58"/>
    <x v="2"/>
    <s v="USD"/>
    <d v="2021-11-19T00:00:00"/>
    <n v="213.61"/>
    <x v="2"/>
    <n v="5"/>
    <n v="42.722000000000001"/>
    <n v="1"/>
    <n v="213.61"/>
    <n v="20.691199999999998"/>
    <n v="4419.8472320000001"/>
    <n v="116.884"/>
    <n v="120.809"/>
    <n v="1.0335000000000001"/>
    <n v="4567.9121142720005"/>
    <n v="913.58242285440008"/>
    <m/>
    <n v="5"/>
    <s v="Sale"/>
    <x v="1"/>
    <s v="USD"/>
    <n v="69.733907563025198"/>
    <n v="1"/>
    <n v="69.733907563025198"/>
    <n v="20.372"/>
    <n v="1420.6191648739493"/>
    <n v="4567.9121142720005"/>
    <n v="-3147.292949398051"/>
    <n v="0.47671232876712327"/>
    <n v="1"/>
    <n v="-3147.292949398051"/>
    <n v="0"/>
    <m/>
    <n v="-143.87609243697483"/>
  </r>
  <r>
    <x v="4"/>
    <s v="Purchase"/>
    <x v="58"/>
    <x v="2"/>
    <s v="USD"/>
    <d v="2021-12-07T00:00:00"/>
    <n v="12810.319999999998"/>
    <x v="2"/>
    <n v="355"/>
    <n v="36.085408450704222"/>
    <n v="1"/>
    <n v="12810.319999999998"/>
    <n v="21.4177"/>
    <n v="274367.59066399996"/>
    <n v="117.30800000000001"/>
    <n v="120.809"/>
    <n v="1.0298"/>
    <n v="282543.74486578716"/>
    <n v="795.89787286137232"/>
    <m/>
    <n v="355"/>
    <s v="Sale"/>
    <x v="1"/>
    <s v="USD"/>
    <n v="4951.1074369747894"/>
    <n v="1"/>
    <n v="4951.1074369747894"/>
    <n v="20.372"/>
    <n v="100863.96070605041"/>
    <n v="282543.74486578716"/>
    <n v="-181679.78415973677"/>
    <n v="0.42739726027397262"/>
    <n v="1"/>
    <n v="-181679.78415973677"/>
    <n v="0"/>
    <m/>
    <n v="-7859.2125630252085"/>
  </r>
  <r>
    <x v="4"/>
    <s v="Purchase"/>
    <x v="58"/>
    <x v="2"/>
    <s v="USD"/>
    <d v="2021-12-20T00:00:00"/>
    <n v="165"/>
    <x v="2"/>
    <n v="6"/>
    <n v="27.5"/>
    <n v="1"/>
    <n v="165"/>
    <n v="20.9238"/>
    <n v="3452.4270000000001"/>
    <n v="117.30800000000001"/>
    <n v="120.809"/>
    <n v="1.0298"/>
    <n v="3555.3093246000003"/>
    <n v="592.55155410000009"/>
    <m/>
    <n v="6"/>
    <s v="Sale"/>
    <x v="1"/>
    <s v="USD"/>
    <n v="83.680689075630241"/>
    <n v="1"/>
    <n v="83.680689075630241"/>
    <n v="20.372"/>
    <n v="1704.7429978487392"/>
    <n v="3555.3093246000008"/>
    <n v="-1850.5663267512616"/>
    <n v="0.39178082191780822"/>
    <n v="1"/>
    <n v="-1850.5663267512616"/>
    <n v="0"/>
    <m/>
    <n v="-81.319310924369759"/>
  </r>
  <r>
    <x v="4"/>
    <s v="Purchase"/>
    <x v="58"/>
    <x v="2"/>
    <s v="USD"/>
    <d v="2021-12-20T00:00:00"/>
    <n v="4626.12"/>
    <x v="2"/>
    <n v="168"/>
    <n v="27.536428571428569"/>
    <n v="1"/>
    <n v="4626.12"/>
    <n v="20.9238"/>
    <n v="96796.009655999995"/>
    <n v="117.30800000000001"/>
    <n v="120.809"/>
    <n v="1.0298"/>
    <n v="99680.530743748794"/>
    <n v="593.3364925223143"/>
    <m/>
    <n v="168"/>
    <s v="Sale"/>
    <x v="1"/>
    <s v="USD"/>
    <n v="2343.0592941176469"/>
    <n v="1"/>
    <n v="2343.0592941176469"/>
    <n v="20.372"/>
    <n v="47732.803939764701"/>
    <n v="99680.530743748808"/>
    <n v="-51947.726803984107"/>
    <n v="0.39178082191780822"/>
    <n v="1"/>
    <n v="-51947.726803984107"/>
    <n v="0"/>
    <m/>
    <n v="-2283.060705882353"/>
  </r>
  <r>
    <x v="4"/>
    <s v="Purchase"/>
    <x v="58"/>
    <x v="2"/>
    <s v="USD"/>
    <d v="2022-01-20T00:00:00"/>
    <n v="298.29000000000002"/>
    <x v="2"/>
    <n v="13"/>
    <n v="22.945384615384619"/>
    <n v="1"/>
    <n v="298.29000000000002"/>
    <n v="20.402999999999999"/>
    <n v="6086.0108700000001"/>
    <n v="118.002"/>
    <n v="120.809"/>
    <n v="1.0237000000000001"/>
    <n v="6230.2493276190007"/>
    <n v="479.24994827838469"/>
    <m/>
    <n v="13"/>
    <s v="Sale"/>
    <x v="1"/>
    <s v="USD"/>
    <n v="181.30815966386552"/>
    <n v="1"/>
    <n v="181.30815966386552"/>
    <n v="20.372"/>
    <n v="3693.6098286722686"/>
    <n v="6230.2493276190007"/>
    <n v="-2536.6394989467321"/>
    <n v="0.30684931506849317"/>
    <n v="1"/>
    <n v="-2536.6394989467321"/>
    <n v="0"/>
    <m/>
    <n v="-116.9818403361345"/>
  </r>
  <r>
    <x v="4"/>
    <s v="Purchase"/>
    <x v="58"/>
    <x v="2"/>
    <s v="USD"/>
    <d v="2022-01-20T00:00:00"/>
    <n v="9568.25"/>
    <x v="2"/>
    <n v="416"/>
    <n v="23.00060096153846"/>
    <n v="1"/>
    <n v="9568.25"/>
    <n v="20.402999999999999"/>
    <n v="195221.00474999999"/>
    <n v="118.002"/>
    <n v="120.809"/>
    <n v="1.0237000000000001"/>
    <n v="199847.742562575"/>
    <n v="480.40322731388221"/>
    <m/>
    <n v="416"/>
    <s v="Sale"/>
    <x v="1"/>
    <s v="USD"/>
    <n v="5801.8611092436968"/>
    <n v="1"/>
    <n v="5801.8611092436968"/>
    <n v="20.372"/>
    <n v="118195.51451751259"/>
    <n v="199847.742562575"/>
    <n v="-81652.228045062409"/>
    <n v="0.30684931506849317"/>
    <n v="1"/>
    <n v="-81652.228045062409"/>
    <n v="0"/>
    <m/>
    <n v="-3766.3888907563032"/>
  </r>
  <r>
    <x v="4"/>
    <s v="Purchase"/>
    <x v="26"/>
    <x v="2"/>
    <s v="USD"/>
    <d v="2021-03-10T00:00:00"/>
    <n v="11190.83"/>
    <x v="2"/>
    <n v="42"/>
    <n v="266.44833333333332"/>
    <n v="1"/>
    <n v="11190.83"/>
    <n v="21.4177"/>
    <n v="239681.839691"/>
    <n v="111.824"/>
    <n v="118.002"/>
    <n v="1.0551999999999999"/>
    <n v="252912.27724194317"/>
    <n v="6021.720886712933"/>
    <m/>
    <n v="42"/>
    <s v="Sale"/>
    <x v="35"/>
    <s v="USD"/>
    <n v="10212.819814814815"/>
    <n v="1"/>
    <n v="10212.819814814815"/>
    <n v="20.58"/>
    <n v="210179.83178888887"/>
    <n v="252912.27724194317"/>
    <n v="-42732.445453054301"/>
    <n v="0.90410958904109584"/>
    <n v="1"/>
    <n v="-42732.445453054301"/>
    <n v="0"/>
    <m/>
    <n v="-978.01018518518504"/>
  </r>
  <r>
    <x v="4"/>
    <s v="Purchase"/>
    <x v="26"/>
    <x v="2"/>
    <s v="USD"/>
    <d v="2021-03-12T00:00:00"/>
    <n v="17611.29"/>
    <x v="2"/>
    <n v="64"/>
    <n v="275.17640625000001"/>
    <n v="1"/>
    <n v="17611.29"/>
    <n v="20.985299999999999"/>
    <n v="369578.20403700002"/>
    <n v="111.824"/>
    <n v="118.002"/>
    <n v="1.0551999999999999"/>
    <n v="389978.9208998424"/>
    <n v="6093.4206390600375"/>
    <m/>
    <n v="64"/>
    <s v="Sale"/>
    <x v="35"/>
    <s v="USD"/>
    <n v="15562.392098765433"/>
    <n v="1"/>
    <n v="15562.392098765433"/>
    <n v="20.58"/>
    <n v="320274.02939259261"/>
    <n v="389978.9208998424"/>
    <n v="-69704.891507249791"/>
    <n v="0.89863013698630134"/>
    <n v="1"/>
    <n v="-69704.891507249791"/>
    <n v="0"/>
    <m/>
    <n v="-2048.8979012345681"/>
  </r>
  <r>
    <x v="4"/>
    <s v="Purchase"/>
    <x v="26"/>
    <x v="2"/>
    <s v="USD"/>
    <d v="2021-03-23T00:00:00"/>
    <n v="37663.56"/>
    <x v="2"/>
    <n v="128"/>
    <n v="294.24656249999998"/>
    <n v="1"/>
    <n v="37663.56"/>
    <n v="20.482299999999999"/>
    <n v="771436.33498799987"/>
    <n v="111.824"/>
    <n v="118.002"/>
    <n v="1.0551999999999999"/>
    <n v="814019.62067933741"/>
    <n v="6359.5282865573236"/>
    <m/>
    <n v="128"/>
    <s v="Sale"/>
    <x v="35"/>
    <s v="USD"/>
    <n v="31124.784197530866"/>
    <n v="1"/>
    <n v="31124.784197530866"/>
    <n v="20.58"/>
    <n v="640548.05878518522"/>
    <n v="814019.62067933741"/>
    <n v="-173471.5618941522"/>
    <n v="0.86849315068493149"/>
    <n v="1"/>
    <n v="-173471.5618941522"/>
    <n v="0"/>
    <m/>
    <n v="-6538.775802469132"/>
  </r>
  <r>
    <x v="4"/>
    <s v="Purchase"/>
    <x v="26"/>
    <x v="2"/>
    <s v="USD"/>
    <d v="2021-04-16T00:00:00"/>
    <n v="14789.43"/>
    <x v="2"/>
    <n v="48"/>
    <n v="308.11312500000003"/>
    <n v="1"/>
    <n v="14789.43"/>
    <n v="20.058299999999999"/>
    <n v="296650.82376900001"/>
    <n v="112.19"/>
    <n v="118.002"/>
    <n v="1.0518000000000001"/>
    <n v="312017.33644023421"/>
    <n v="6500.3611758382131"/>
    <m/>
    <n v="48"/>
    <s v="Sale"/>
    <x v="35"/>
    <s v="USD"/>
    <n v="11671.794074074074"/>
    <n v="1"/>
    <n v="11671.794074074074"/>
    <n v="20.58"/>
    <n v="240205.52204444443"/>
    <n v="312017.33644023421"/>
    <n v="-71811.814395789785"/>
    <n v="0.80273972602739729"/>
    <n v="1"/>
    <n v="-71811.814395789785"/>
    <n v="0"/>
    <m/>
    <n v="-3117.6359259259261"/>
  </r>
  <r>
    <x v="4"/>
    <s v="Purchase"/>
    <x v="26"/>
    <x v="2"/>
    <s v="USD"/>
    <d v="2021-06-01T00:00:00"/>
    <n v="13889.527826086958"/>
    <x v="2"/>
    <n v="42"/>
    <n v="330.70304347826089"/>
    <n v="1"/>
    <n v="13889.527826086958"/>
    <n v="19.944199999999999"/>
    <n v="277015.52086904348"/>
    <n v="113.018"/>
    <n v="118.002"/>
    <n v="1.044"/>
    <n v="289204.20378728141"/>
    <n v="6885.8143758876522"/>
    <m/>
    <n v="42"/>
    <s v="Sale"/>
    <x v="35"/>
    <s v="USD"/>
    <n v="10212.819814814815"/>
    <n v="1"/>
    <n v="10212.819814814815"/>
    <n v="20.58"/>
    <n v="210179.83178888887"/>
    <n v="289204.20378728141"/>
    <n v="-79024.37199839254"/>
    <n v="0.67671232876712328"/>
    <n v="1"/>
    <n v="-79024.37199839254"/>
    <n v="0"/>
    <m/>
    <n v="-3676.7080112721433"/>
  </r>
  <r>
    <x v="4"/>
    <s v="Purchase"/>
    <x v="26"/>
    <x v="2"/>
    <s v="USD"/>
    <d v="2021-06-01T00:00:00"/>
    <n v="1322.8121739130436"/>
    <x v="2"/>
    <n v="4"/>
    <n v="330.70304347826089"/>
    <n v="1"/>
    <n v="1322.8121739130436"/>
    <n v="19.944199999999999"/>
    <n v="26382.430558956523"/>
    <n v="113.018"/>
    <n v="118.002"/>
    <n v="1.044"/>
    <n v="27543.257503550612"/>
    <n v="6885.8143758876531"/>
    <m/>
    <n v="4"/>
    <s v="Sale"/>
    <x v="36"/>
    <s v="USD"/>
    <n v="929.66765432098771"/>
    <n v="1"/>
    <n v="929.66765432098771"/>
    <n v="20.600300000000001"/>
    <n v="19151.432579308643"/>
    <n v="27543.257503550612"/>
    <n v="-8391.8249242419697"/>
    <n v="0.67945205479452053"/>
    <n v="1"/>
    <n v="-8391.8249242419697"/>
    <n v="0"/>
    <m/>
    <n v="-393.14451959205587"/>
  </r>
  <r>
    <x v="4"/>
    <s v="Purchase"/>
    <x v="26"/>
    <x v="2"/>
    <s v="USD"/>
    <d v="2021-07-13T00:00:00"/>
    <n v="27119.71"/>
    <x v="2"/>
    <n v="77"/>
    <n v="352.20402597402597"/>
    <n v="1"/>
    <n v="27119.71"/>
    <n v="19.88"/>
    <n v="539139.83479999995"/>
    <n v="113.682"/>
    <n v="118.002"/>
    <n v="1.038"/>
    <n v="559627.14852239995"/>
    <n v="7267.8850457454537"/>
    <m/>
    <n v="77"/>
    <s v="Sale"/>
    <x v="36"/>
    <s v="USD"/>
    <n v="17896.102345679014"/>
    <n v="1"/>
    <n v="17896.102345679014"/>
    <n v="20.600300000000001"/>
    <n v="368665.07715169137"/>
    <n v="559627.14852239995"/>
    <n v="-190962.07137070858"/>
    <n v="0.56438356164383563"/>
    <n v="1"/>
    <n v="-190962.07137070858"/>
    <n v="0"/>
    <m/>
    <n v="-9223.6076543209856"/>
  </r>
  <r>
    <x v="4"/>
    <s v="Purchase"/>
    <x v="59"/>
    <x v="2"/>
    <s v="USD"/>
    <d v="2021-09-29T00:00:00"/>
    <n v="230.76333333333332"/>
    <x v="2"/>
    <n v="1"/>
    <n v="230.76333333333332"/>
    <n v="1"/>
    <n v="230.76333333333332"/>
    <n v="20.1052"/>
    <n v="4639.5429693333335"/>
    <n v="114.601"/>
    <n v="118.98099999999999"/>
    <n v="1.0382"/>
    <n v="4816.7735107618673"/>
    <n v="4816.7735107618673"/>
    <m/>
    <n v="1"/>
    <s v="Sale"/>
    <x v="37"/>
    <s v="USD"/>
    <n v="286.51"/>
    <n v="1"/>
    <n v="286.51"/>
    <n v="20.4145"/>
    <n v="5848.9583949999997"/>
    <n v="4816.7735107618673"/>
    <n v="1032.1848842381323"/>
    <n v="0.47945205479452052"/>
    <n v="1"/>
    <n v="1032.1848842381323"/>
    <n v="0"/>
    <m/>
    <n v="55.74666666666667"/>
  </r>
  <r>
    <x v="4"/>
    <s v="Purchase"/>
    <x v="59"/>
    <x v="2"/>
    <s v="USD"/>
    <d v="2021-09-29T00:00:00"/>
    <n v="692.29"/>
    <x v="2"/>
    <n v="3"/>
    <n v="230.76333333333332"/>
    <n v="1"/>
    <n v="692.29"/>
    <n v="20.1052"/>
    <n v="13918.628907999999"/>
    <n v="114.601"/>
    <n v="118.98099999999999"/>
    <n v="1.0382"/>
    <n v="14450.320532285599"/>
    <n v="4816.7735107618664"/>
    <m/>
    <n v="3"/>
    <s v="Sale"/>
    <x v="37"/>
    <s v="USD"/>
    <n v="855.73909090909092"/>
    <n v="1"/>
    <n v="855.73909090909092"/>
    <n v="20.4145"/>
    <n v="17469.485671363636"/>
    <n v="14450.320532285599"/>
    <n v="3019.1651390780371"/>
    <n v="0.47945205479452052"/>
    <n v="1"/>
    <n v="3019.1651390780371"/>
    <n v="0"/>
    <m/>
    <n v="163.44909090909096"/>
  </r>
  <r>
    <x v="4"/>
    <s v="Purchase"/>
    <x v="59"/>
    <x v="2"/>
    <s v="USD"/>
    <d v="2021-09-29T00:00:00"/>
    <n v="1842.96"/>
    <x v="2"/>
    <n v="8"/>
    <n v="230.37"/>
    <n v="1"/>
    <n v="1842.96"/>
    <n v="20.1052"/>
    <n v="37053.079392"/>
    <n v="114.601"/>
    <n v="118.98099999999999"/>
    <n v="1.0382"/>
    <n v="38468.507024774401"/>
    <n v="4808.5633780968001"/>
    <m/>
    <n v="8"/>
    <s v="Sale"/>
    <x v="37"/>
    <s v="USD"/>
    <n v="2281.9709090909091"/>
    <n v="1"/>
    <n v="2281.9709090909091"/>
    <n v="20.4145"/>
    <n v="46585.295123636366"/>
    <n v="38468.507024774401"/>
    <n v="8116.7880988619654"/>
    <n v="0.47945205479452052"/>
    <n v="1"/>
    <n v="8116.7880988619654"/>
    <n v="0"/>
    <m/>
    <n v="439.01090909090908"/>
  </r>
  <r>
    <x v="4"/>
    <s v="Purchase"/>
    <x v="59"/>
    <x v="2"/>
    <s v="USD"/>
    <d v="2021-09-29T00:00:00"/>
    <n v="460.74"/>
    <x v="2"/>
    <n v="2"/>
    <n v="230.37"/>
    <n v="1"/>
    <n v="460.74"/>
    <n v="20.1052"/>
    <n v="9263.2698479999999"/>
    <n v="114.601"/>
    <n v="118.98099999999999"/>
    <n v="1.0382"/>
    <n v="9617.1267561936002"/>
    <n v="4808.5633780968001"/>
    <m/>
    <n v="2"/>
    <s v="Sale"/>
    <x v="37"/>
    <s v="USD"/>
    <n v="568.36"/>
    <n v="1"/>
    <n v="568.36"/>
    <n v="20.4145"/>
    <n v="11602.78522"/>
    <n v="9617.1267561936002"/>
    <n v="1985.6584638063996"/>
    <n v="0.47945205479452052"/>
    <n v="1"/>
    <n v="1985.6584638063996"/>
    <n v="0"/>
    <m/>
    <n v="107.62"/>
  </r>
  <r>
    <x v="4"/>
    <s v="Purchase"/>
    <x v="59"/>
    <x v="2"/>
    <s v="USD"/>
    <d v="2021-09-29T00:00:00"/>
    <n v="1612.5900000000001"/>
    <x v="2"/>
    <n v="7"/>
    <n v="230.37000000000003"/>
    <n v="1"/>
    <n v="1612.5900000000001"/>
    <n v="20.1052"/>
    <n v="32421.444468000002"/>
    <n v="114.601"/>
    <n v="118.98099999999999"/>
    <n v="1.0382"/>
    <n v="33659.943646677602"/>
    <n v="4808.5633780968001"/>
    <m/>
    <n v="7"/>
    <s v="Sale"/>
    <x v="38"/>
    <s v="USD"/>
    <n v="2011.1175000000001"/>
    <n v="1"/>
    <n v="2011.1175000000001"/>
    <n v="20.278199999999998"/>
    <n v="40781.842888499996"/>
    <n v="33659.943646677602"/>
    <n v="7121.8992418223934"/>
    <n v="0.48219178082191783"/>
    <n v="1"/>
    <n v="7121.8992418223934"/>
    <n v="0"/>
    <m/>
    <n v="398.52749999999992"/>
  </r>
  <r>
    <x v="4"/>
    <s v="Purchase"/>
    <x v="59"/>
    <x v="2"/>
    <s v="USD"/>
    <d v="2021-09-30T00:00:00"/>
    <n v="235.61769230769232"/>
    <x v="2"/>
    <n v="1"/>
    <n v="235.61769230769232"/>
    <n v="1"/>
    <n v="235.61769230769232"/>
    <n v="20.306000000000001"/>
    <n v="4784.4528600000003"/>
    <n v="114.601"/>
    <n v="118.98099999999999"/>
    <n v="1.0382"/>
    <n v="4967.2189592520008"/>
    <n v="4967.2189592520008"/>
    <m/>
    <n v="1"/>
    <s v="Sale"/>
    <x v="38"/>
    <s v="USD"/>
    <n v="287.30250000000001"/>
    <n v="1"/>
    <n v="287.30250000000001"/>
    <n v="20.278199999999998"/>
    <n v="5825.9775554999997"/>
    <n v="4967.2189592520008"/>
    <n v="858.75859624799887"/>
    <n v="0.47945205479452052"/>
    <n v="1"/>
    <n v="858.75859624799887"/>
    <n v="0"/>
    <m/>
    <n v="51.684807692307686"/>
  </r>
  <r>
    <x v="4"/>
    <s v="Purchase"/>
    <x v="59"/>
    <x v="2"/>
    <s v="USD"/>
    <d v="2021-09-30T00:00:00"/>
    <n v="2827.4123076923079"/>
    <x v="2"/>
    <n v="12"/>
    <n v="235.61769230769232"/>
    <n v="1"/>
    <n v="2827.4123076923079"/>
    <n v="20.306000000000001"/>
    <n v="57413.434320000008"/>
    <n v="114.601"/>
    <n v="118.98099999999999"/>
    <n v="1.0382"/>
    <n v="59606.627511024009"/>
    <n v="4967.2189592520008"/>
    <m/>
    <n v="12"/>
    <s v="Sale"/>
    <x v="33"/>
    <s v="USD"/>
    <n v="3468.6942857142858"/>
    <n v="1"/>
    <n v="3468.6942857142858"/>
    <n v="20.119499999999999"/>
    <n v="69788.394681428574"/>
    <n v="59606.627511024009"/>
    <n v="10181.767170404564"/>
    <n v="0.49589041095890413"/>
    <n v="1"/>
    <n v="10181.767170404564"/>
    <n v="0"/>
    <m/>
    <n v="641.28197802197792"/>
  </r>
  <r>
    <x v="4"/>
    <s v="Purchase"/>
    <x v="59"/>
    <x v="2"/>
    <s v="USD"/>
    <d v="2021-10-05T00:00:00"/>
    <n v="3697.28"/>
    <x v="2"/>
    <n v="16"/>
    <n v="231.08"/>
    <n v="1"/>
    <n v="3697.28"/>
    <n v="20.510300000000001"/>
    <n v="75832.321984000009"/>
    <n v="115.56100000000001"/>
    <n v="118.98099999999999"/>
    <n v="1.0295000000000001"/>
    <n v="78069.375482528019"/>
    <n v="4879.3359676580012"/>
    <m/>
    <n v="16"/>
    <s v="Sale"/>
    <x v="33"/>
    <s v="USD"/>
    <n v="4624.9257142857141"/>
    <n v="1"/>
    <n v="4624.9257142857141"/>
    <n v="20.119499999999999"/>
    <n v="93051.192908571422"/>
    <n v="78069.375482528019"/>
    <n v="14981.817426043403"/>
    <n v="0.48219178082191783"/>
    <n v="1"/>
    <n v="14981.817426043403"/>
    <n v="0"/>
    <m/>
    <n v="927.64571428571389"/>
  </r>
  <r>
    <x v="4"/>
    <s v="Purchase"/>
    <x v="59"/>
    <x v="2"/>
    <s v="USD"/>
    <d v="2021-10-05T00:00:00"/>
    <n v="924.32"/>
    <x v="2"/>
    <n v="4"/>
    <n v="231.08"/>
    <n v="1"/>
    <n v="924.32"/>
    <n v="20.510300000000001"/>
    <n v="18958.080496000002"/>
    <n v="115.56100000000001"/>
    <n v="118.98099999999999"/>
    <n v="1.0295000000000001"/>
    <n v="19517.343870632005"/>
    <n v="4879.3359676580012"/>
    <m/>
    <n v="4"/>
    <s v="Sale"/>
    <x v="33"/>
    <s v="USD"/>
    <n v="1153.8499999999999"/>
    <n v="1"/>
    <n v="1153.8499999999999"/>
    <n v="20.119499999999999"/>
    <n v="23214.885074999998"/>
    <n v="19517.343870632005"/>
    <n v="3697.5412043679935"/>
    <n v="0.48219178082191783"/>
    <n v="1"/>
    <n v="3697.5412043679935"/>
    <n v="0"/>
    <m/>
    <n v="229.52999999999986"/>
  </r>
  <r>
    <x v="4"/>
    <s v="Purchase"/>
    <x v="59"/>
    <x v="2"/>
    <s v="USD"/>
    <d v="2021-10-05T00:00:00"/>
    <n v="1617.5600000000002"/>
    <x v="2"/>
    <n v="7"/>
    <n v="231.08"/>
    <n v="1"/>
    <n v="1617.5600000000002"/>
    <n v="20.510300000000001"/>
    <n v="33176.640868000002"/>
    <n v="115.56100000000001"/>
    <n v="118.98099999999999"/>
    <n v="1.0295000000000001"/>
    <n v="34155.351773606002"/>
    <n v="4879.3359676580003"/>
    <m/>
    <n v="7"/>
    <s v="Sale"/>
    <x v="33"/>
    <s v="USD"/>
    <n v="2029.15"/>
    <n v="1"/>
    <n v="2029.15"/>
    <n v="20.119499999999999"/>
    <n v="40825.483424999999"/>
    <n v="34155.351773606002"/>
    <n v="6670.1316513939964"/>
    <n v="0.48219178082191783"/>
    <n v="1"/>
    <n v="6670.1316513939964"/>
    <n v="0"/>
    <m/>
    <n v="411.58999999999992"/>
  </r>
  <r>
    <x v="4"/>
    <s v="Purchase"/>
    <x v="59"/>
    <x v="2"/>
    <s v="USD"/>
    <d v="2021-10-05T00:00:00"/>
    <n v="5083.76"/>
    <x v="2"/>
    <n v="22"/>
    <n v="231.08"/>
    <n v="1"/>
    <n v="5083.76"/>
    <n v="20.510300000000001"/>
    <n v="104269.44272800001"/>
    <n v="115.56100000000001"/>
    <n v="120.15900000000001"/>
    <n v="1.0397000000000001"/>
    <n v="108408.93960430162"/>
    <n v="4927.6790729228005"/>
    <m/>
    <n v="22"/>
    <s v="Sale"/>
    <x v="39"/>
    <s v="USD"/>
    <n v="6826.3853658536573"/>
    <n v="1"/>
    <n v="6826.3853658536573"/>
    <n v="19.901199999999999"/>
    <n v="135853.26044292681"/>
    <n v="108408.93960430162"/>
    <n v="27444.320838625194"/>
    <n v="0.50410958904109593"/>
    <n v="1"/>
    <n v="27444.320838625194"/>
    <n v="0"/>
    <m/>
    <n v="1742.6253658536571"/>
  </r>
  <r>
    <x v="4"/>
    <s v="Purchase"/>
    <x v="59"/>
    <x v="2"/>
    <s v="USD"/>
    <d v="2021-10-07T00:00:00"/>
    <n v="1398.95"/>
    <x v="2"/>
    <n v="6"/>
    <n v="233.15833333333333"/>
    <n v="1"/>
    <n v="1398.95"/>
    <n v="20.581800000000001"/>
    <n v="28792.909110000004"/>
    <n v="115.56100000000001"/>
    <n v="120.15900000000001"/>
    <n v="1.0397000000000001"/>
    <n v="29935.987601667006"/>
    <n v="4989.3312669445013"/>
    <m/>
    <n v="6"/>
    <s v="Sale"/>
    <x v="39"/>
    <s v="USD"/>
    <n v="1861.7414634146339"/>
    <n v="1"/>
    <n v="1861.7414634146339"/>
    <n v="19.901199999999999"/>
    <n v="37050.889211707312"/>
    <n v="29935.98760166701"/>
    <n v="7114.9016100403023"/>
    <n v="0.49863013698630138"/>
    <n v="1"/>
    <n v="7114.9016100403023"/>
    <n v="0"/>
    <m/>
    <n v="462.79146341463388"/>
  </r>
  <r>
    <x v="4"/>
    <s v="Purchase"/>
    <x v="59"/>
    <x v="2"/>
    <s v="USD"/>
    <d v="2021-10-07T00:00:00"/>
    <n v="3030.6582222222223"/>
    <x v="2"/>
    <n v="13"/>
    <n v="233.12755555555557"/>
    <n v="1"/>
    <n v="3030.6582222222223"/>
    <n v="20.581800000000001"/>
    <n v="62376.401398133341"/>
    <n v="115.56100000000001"/>
    <n v="120.15900000000001"/>
    <n v="1.0397000000000001"/>
    <n v="64852.744533639241"/>
    <n v="4988.6726564337878"/>
    <m/>
    <n v="13"/>
    <s v="Sale"/>
    <x v="39"/>
    <s v="USD"/>
    <n v="4033.7731707317071"/>
    <n v="1"/>
    <n v="4033.7731707317071"/>
    <n v="19.901199999999999"/>
    <n v="80276.926625365842"/>
    <n v="64852.744533639241"/>
    <n v="15424.182091726601"/>
    <n v="0.49863013698630138"/>
    <n v="1"/>
    <n v="15424.182091726601"/>
    <n v="0"/>
    <m/>
    <n v="1003.1149485094847"/>
  </r>
  <r>
    <x v="4"/>
    <s v="Purchase"/>
    <x v="59"/>
    <x v="2"/>
    <s v="USD"/>
    <d v="2021-10-07T00:00:00"/>
    <n v="7460.0817777777775"/>
    <x v="2"/>
    <n v="32"/>
    <n v="233.12755555555555"/>
    <n v="1"/>
    <n v="7460.0817777777775"/>
    <n v="20.581800000000001"/>
    <n v="153541.91113386667"/>
    <n v="115.56100000000001"/>
    <n v="120.15900000000001"/>
    <n v="1.0397000000000001"/>
    <n v="159637.52500588118"/>
    <n v="4988.6726564337869"/>
    <m/>
    <n v="32"/>
    <s v="Sale"/>
    <x v="40"/>
    <s v="USD"/>
    <n v="9693.3302857142862"/>
    <n v="1"/>
    <n v="9693.3302857142862"/>
    <n v="20.0093"/>
    <n v="193956.75368594285"/>
    <n v="159637.52500588118"/>
    <n v="34319.228680061671"/>
    <n v="0.51506849315068493"/>
    <n v="1"/>
    <n v="34319.228680061671"/>
    <n v="0"/>
    <m/>
    <n v="2233.2485079365088"/>
  </r>
  <r>
    <x v="4"/>
    <s v="Purchase"/>
    <x v="59"/>
    <x v="2"/>
    <s v="USD"/>
    <d v="2021-10-11T00:00:00"/>
    <n v="707.09999999999991"/>
    <x v="2"/>
    <n v="3"/>
    <n v="235.69999999999996"/>
    <n v="1"/>
    <n v="707.09999999999991"/>
    <n v="20.603999999999999"/>
    <n v="14569.088399999997"/>
    <n v="115.56100000000001"/>
    <n v="120.15900000000001"/>
    <n v="1.0397000000000001"/>
    <n v="15147.481209479998"/>
    <n v="5049.1604031599991"/>
    <m/>
    <n v="3"/>
    <s v="Sale"/>
    <x v="40"/>
    <s v="USD"/>
    <n v="908.74971428571439"/>
    <n v="1"/>
    <n v="908.74971428571439"/>
    <n v="20.0093"/>
    <n v="18183.445658057146"/>
    <n v="15147.481209479996"/>
    <n v="3035.9644485771496"/>
    <n v="0.50410958904109593"/>
    <n v="1"/>
    <n v="3035.9644485771496"/>
    <n v="0"/>
    <m/>
    <n v="201.64971428571448"/>
  </r>
  <r>
    <x v="4"/>
    <s v="Purchase"/>
    <x v="59"/>
    <x v="2"/>
    <s v="USD"/>
    <d v="2021-10-11T00:00:00"/>
    <n v="1178.5"/>
    <x v="2"/>
    <n v="5"/>
    <n v="235.7"/>
    <n v="1"/>
    <n v="1178.5"/>
    <n v="20.603999999999999"/>
    <n v="24281.813999999998"/>
    <n v="115.56100000000001"/>
    <n v="120.15900000000001"/>
    <n v="1.0397000000000001"/>
    <n v="25245.8020158"/>
    <n v="5049.16040316"/>
    <m/>
    <n v="5"/>
    <s v="Sale"/>
    <x v="40"/>
    <s v="USD"/>
    <n v="1508.0250000000001"/>
    <n v="1"/>
    <n v="1508.0250000000001"/>
    <n v="20.0093"/>
    <n v="30174.524632500001"/>
    <n v="25245.8020158"/>
    <n v="4928.7226167000008"/>
    <n v="0.50410958904109593"/>
    <n v="1"/>
    <n v="4928.7226167000008"/>
    <n v="0"/>
    <m/>
    <n v="329.52500000000009"/>
  </r>
  <r>
    <x v="4"/>
    <s v="Purchase"/>
    <x v="59"/>
    <x v="2"/>
    <s v="USD"/>
    <d v="2021-10-11T00:00:00"/>
    <n v="236.85"/>
    <x v="2"/>
    <n v="1"/>
    <n v="236.85"/>
    <n v="1"/>
    <n v="236.85"/>
    <n v="20.603999999999999"/>
    <n v="4880.0573999999997"/>
    <n v="115.56100000000001"/>
    <n v="120.15900000000001"/>
    <n v="1.0397000000000001"/>
    <n v="5073.7956787800003"/>
    <n v="5073.7956787800003"/>
    <m/>
    <n v="1"/>
    <s v="Sale"/>
    <x v="40"/>
    <s v="USD"/>
    <n v="301.60500000000002"/>
    <n v="1"/>
    <n v="301.60500000000002"/>
    <n v="20.0093"/>
    <n v="6034.9049265000003"/>
    <n v="5073.7956787800003"/>
    <n v="961.10924771999998"/>
    <n v="0.50410958904109593"/>
    <n v="1"/>
    <n v="961.10924771999998"/>
    <n v="0"/>
    <m/>
    <n v="64.755000000000024"/>
  </r>
  <r>
    <x v="4"/>
    <s v="Purchase"/>
    <x v="60"/>
    <x v="1"/>
    <s v="USD"/>
    <d v="2021-03-10T00:00:00"/>
    <n v="99.86666666666666"/>
    <x v="1"/>
    <n v="1"/>
    <n v="99.86666666666666"/>
    <n v="1"/>
    <n v="99.86666666666666"/>
    <n v="21.4177"/>
    <n v="2138.9143066666666"/>
    <n v="111.824"/>
    <n v="120.15900000000001"/>
    <n v="1.0745"/>
    <n v="2298.2634225133334"/>
    <n v="2298.2634225133334"/>
    <m/>
    <n v="1"/>
    <s v="Sale"/>
    <x v="41"/>
    <s v="USD"/>
    <n v="34.384687499999998"/>
    <n v="1"/>
    <n v="34.384687499999998"/>
    <n v="21.194700000000001"/>
    <n v="728.77313615624996"/>
    <n v="2298.2634225133334"/>
    <n v="-1569.4902863570833"/>
    <n v="0.99726027397260275"/>
    <n v="1"/>
    <n v="-1569.4902863570833"/>
    <n v="0"/>
    <m/>
    <n v="-65.481979166666662"/>
  </r>
  <r>
    <x v="4"/>
    <s v="Purchase"/>
    <x v="60"/>
    <x v="1"/>
    <s v="USD"/>
    <d v="2021-03-11T00:00:00"/>
    <n v="3129.0957142857142"/>
    <x v="1"/>
    <n v="31"/>
    <n v="100.93857142857142"/>
    <n v="1"/>
    <n v="3129.0957142857142"/>
    <n v="21.2575"/>
    <n v="66516.752146428567"/>
    <n v="111.824"/>
    <n v="120.15900000000001"/>
    <n v="1.0745"/>
    <n v="71472.250181337498"/>
    <n v="2305.5564574625"/>
    <m/>
    <n v="31"/>
    <s v="Sale"/>
    <x v="41"/>
    <s v="USD"/>
    <n v="1065.9253125"/>
    <n v="1"/>
    <n v="1065.9253125"/>
    <n v="21.194700000000001"/>
    <n v="22591.967220843751"/>
    <n v="71472.250181337498"/>
    <n v="-48880.282960493743"/>
    <n v="0.9945205479452055"/>
    <n v="1"/>
    <n v="-48880.282960493743"/>
    <n v="0"/>
    <m/>
    <n v="-2063.1704017857141"/>
  </r>
  <r>
    <x v="4"/>
    <s v="Purchase"/>
    <x v="60"/>
    <x v="1"/>
    <s v="USD"/>
    <d v="2021-03-11T00:00:00"/>
    <n v="403.75428571428569"/>
    <x v="1"/>
    <n v="4"/>
    <n v="100.93857142857142"/>
    <n v="1"/>
    <n v="403.75428571428569"/>
    <n v="21.2575"/>
    <n v="8582.8067285714278"/>
    <n v="111.824"/>
    <n v="120.15900000000001"/>
    <n v="1.0745"/>
    <n v="9222.2258298500001"/>
    <n v="2305.5564574625"/>
    <m/>
    <n v="4"/>
    <s v="Sale"/>
    <x v="41"/>
    <s v="USD"/>
    <n v="151.85720000000001"/>
    <n v="1"/>
    <n v="151.85720000000001"/>
    <n v="21.194700000000001"/>
    <n v="3218.5677968400005"/>
    <n v="9222.2258298500001"/>
    <n v="-6003.6580330099996"/>
    <n v="0.9945205479452055"/>
    <n v="1"/>
    <n v="-6003.6580330099996"/>
    <n v="0"/>
    <m/>
    <n v="-251.89708571428568"/>
  </r>
  <r>
    <x v="4"/>
    <s v="Purchase"/>
    <x v="60"/>
    <x v="1"/>
    <s v="USD"/>
    <d v="2021-04-26T00:00:00"/>
    <n v="670.8"/>
    <x v="1"/>
    <n v="6"/>
    <n v="111.8"/>
    <n v="1"/>
    <n v="670.8"/>
    <n v="19.886500000000002"/>
    <n v="13339.8642"/>
    <n v="112.19"/>
    <n v="120.15900000000001"/>
    <n v="1.071"/>
    <n v="14286.9945582"/>
    <n v="2381.1657596999999"/>
    <m/>
    <n v="6"/>
    <s v="Sale"/>
    <x v="41"/>
    <s v="USD"/>
    <n v="227.78579999999999"/>
    <n v="1"/>
    <n v="227.78579999999999"/>
    <n v="21.194700000000001"/>
    <n v="4827.8516952600003"/>
    <n v="14286.9945582"/>
    <n v="-9459.1428629399998"/>
    <n v="0.86849315068493149"/>
    <n v="1"/>
    <n v="-9459.1428629399998"/>
    <n v="0"/>
    <m/>
    <n v="-443.01419999999996"/>
  </r>
  <r>
    <x v="4"/>
    <s v="Purchase"/>
    <x v="60"/>
    <x v="1"/>
    <s v="USD"/>
    <d v="2021-04-26T00:00:00"/>
    <n v="8011.73"/>
    <x v="1"/>
    <n v="72"/>
    <n v="111.27402777777777"/>
    <n v="1"/>
    <n v="8011.73"/>
    <n v="19.886500000000002"/>
    <n v="159325.268645"/>
    <n v="112.19"/>
    <n v="120.15900000000001"/>
    <n v="1.071"/>
    <n v="170637.36271879499"/>
    <n v="2369.9633710943749"/>
    <m/>
    <n v="72"/>
    <s v="Sale"/>
    <x v="41"/>
    <s v="USD"/>
    <n v="2733.4295999999999"/>
    <n v="1"/>
    <n v="2733.4295999999999"/>
    <n v="21.194700000000001"/>
    <n v="57934.220343120003"/>
    <n v="170637.36271879499"/>
    <n v="-112703.14237567499"/>
    <n v="0.86849315068493149"/>
    <n v="1"/>
    <n v="-112703.14237567499"/>
    <n v="0"/>
    <m/>
    <n v="-5278.3004000000001"/>
  </r>
  <r>
    <x v="4"/>
    <s v="Purchase"/>
    <x v="60"/>
    <x v="1"/>
    <s v="USD"/>
    <d v="2021-04-27T00:00:00"/>
    <n v="3841.96"/>
    <x v="1"/>
    <n v="34"/>
    <n v="112.99882352941177"/>
    <n v="1"/>
    <n v="3841.96"/>
    <n v="19.869499999999999"/>
    <n v="76337.824219999995"/>
    <n v="112.19"/>
    <n v="120.15900000000001"/>
    <n v="1.071"/>
    <n v="81757.809739619988"/>
    <n v="2404.6414629299998"/>
    <m/>
    <n v="34"/>
    <s v="Sale"/>
    <x v="41"/>
    <s v="USD"/>
    <n v="1290.7862"/>
    <n v="1"/>
    <n v="1290.7862"/>
    <n v="21.194700000000001"/>
    <n v="27357.826273140003"/>
    <n v="81757.809739619988"/>
    <n v="-54399.983466479986"/>
    <n v="0.86575342465753424"/>
    <n v="1"/>
    <n v="-54399.983466479986"/>
    <n v="0"/>
    <m/>
    <n v="-2551.1738"/>
  </r>
  <r>
    <x v="4"/>
    <s v="Purchase"/>
    <x v="60"/>
    <x v="1"/>
    <s v="USD"/>
    <d v="2021-06-02T00:00:00"/>
    <n v="6920.21"/>
    <x v="1"/>
    <n v="73"/>
    <n v="94.797397260273968"/>
    <n v="1"/>
    <n v="6920.21"/>
    <n v="19.921299999999999"/>
    <n v="137859.57947299999"/>
    <n v="113.018"/>
    <n v="120.15900000000001"/>
    <n v="1.0630999999999999"/>
    <n v="146558.51893774627"/>
    <n v="2007.6509443526886"/>
    <m/>
    <n v="73"/>
    <s v="Sale"/>
    <x v="41"/>
    <s v="USD"/>
    <n v="2771.3939"/>
    <n v="1"/>
    <n v="2771.3939"/>
    <n v="21.194700000000001"/>
    <n v="58738.862292330006"/>
    <n v="146558.51893774627"/>
    <n v="-87819.656645416253"/>
    <n v="0.76712328767123283"/>
    <n v="1"/>
    <n v="-87819.656645416253"/>
    <n v="0"/>
    <m/>
    <n v="-4148.8161"/>
  </r>
  <r>
    <x v="4"/>
    <s v="Purchase"/>
    <x v="60"/>
    <x v="1"/>
    <s v="USD"/>
    <d v="2021-07-21T00:00:00"/>
    <n v="6298"/>
    <x v="1"/>
    <n v="54"/>
    <n v="116.62962962962963"/>
    <n v="1"/>
    <n v="6298"/>
    <n v="20"/>
    <n v="125960"/>
    <n v="113.682"/>
    <n v="120.15900000000001"/>
    <n v="1.0569"/>
    <n v="133127.12399999998"/>
    <n v="2465.317111111111"/>
    <m/>
    <n v="54"/>
    <s v="Sale"/>
    <x v="41"/>
    <s v="USD"/>
    <n v="2050.0722000000001"/>
    <n v="1"/>
    <n v="2050.0722000000001"/>
    <n v="21.194700000000001"/>
    <n v="43450.665257340006"/>
    <n v="133127.12399999998"/>
    <n v="-89676.458742659976"/>
    <n v="0.63287671232876708"/>
    <n v="1"/>
    <n v="-89676.458742659976"/>
    <n v="0"/>
    <m/>
    <n v="-4247.9277999999995"/>
  </r>
  <r>
    <x v="4"/>
    <s v="Purchase"/>
    <x v="60"/>
    <x v="1"/>
    <s v="USD"/>
    <d v="2021-07-21T00:00:00"/>
    <n v="5424.07"/>
    <x v="1"/>
    <n v="49"/>
    <n v="110.69530612244897"/>
    <n v="1"/>
    <n v="5424.07"/>
    <n v="20"/>
    <n v="108481.4"/>
    <n v="113.682"/>
    <n v="120.15900000000001"/>
    <n v="1.0569"/>
    <n v="114653.99165999999"/>
    <n v="2339.8773808163264"/>
    <m/>
    <n v="49"/>
    <s v="Sale"/>
    <x v="41"/>
    <s v="USD"/>
    <n v="1860.2507000000001"/>
    <n v="1"/>
    <n v="1860.2507000000001"/>
    <n v="21.194700000000001"/>
    <n v="39427.455511290005"/>
    <n v="114653.99166"/>
    <n v="-75226.536148710002"/>
    <n v="0.63287671232876708"/>
    <n v="1"/>
    <n v="-75226.536148710002"/>
    <n v="0"/>
    <m/>
    <n v="-3563.8192999999997"/>
  </r>
  <r>
    <x v="4"/>
    <s v="Purchase"/>
    <x v="60"/>
    <x v="1"/>
    <s v="USD"/>
    <d v="2021-11-23T00:00:00"/>
    <n v="570.99"/>
    <x v="1"/>
    <n v="6"/>
    <n v="95.165000000000006"/>
    <n v="1"/>
    <n v="570.99"/>
    <n v="20.828299999999999"/>
    <n v="11892.751016999999"/>
    <n v="116.884"/>
    <n v="120.15900000000001"/>
    <n v="1.028"/>
    <n v="12225.748045475999"/>
    <n v="2037.6246742459998"/>
    <m/>
    <n v="6"/>
    <s v="Sale"/>
    <x v="41"/>
    <s v="USD"/>
    <n v="227.78579999999999"/>
    <n v="1"/>
    <n v="227.78579999999999"/>
    <n v="21.194700000000001"/>
    <n v="4827.8516952600003"/>
    <n v="12225.748045475999"/>
    <n v="-7397.8963502159986"/>
    <n v="0.29041095890410956"/>
    <n v="1"/>
    <n v="-7397.8963502159986"/>
    <n v="0"/>
    <m/>
    <n v="-343.20420000000001"/>
  </r>
  <r>
    <x v="4"/>
    <s v="Purchase"/>
    <x v="60"/>
    <x v="1"/>
    <s v="USD"/>
    <d v="2021-11-23T00:00:00"/>
    <n v="601.26"/>
    <x v="1"/>
    <n v="6"/>
    <n v="100.21"/>
    <n v="1"/>
    <n v="601.26"/>
    <n v="20.828299999999999"/>
    <n v="12523.223657999999"/>
    <n v="116.884"/>
    <n v="120.15900000000001"/>
    <n v="1.028"/>
    <n v="12873.873920423999"/>
    <n v="2145.6456534039999"/>
    <m/>
    <n v="6"/>
    <s v="Sale"/>
    <x v="41"/>
    <s v="USD"/>
    <n v="227.78579999999999"/>
    <n v="1"/>
    <n v="227.78579999999999"/>
    <n v="21.194700000000001"/>
    <n v="4827.8516952600003"/>
    <n v="12873.873920423999"/>
    <n v="-8046.0222251639989"/>
    <n v="0.29041095890410956"/>
    <n v="1"/>
    <n v="-8046.0222251639989"/>
    <n v="0"/>
    <m/>
    <n v="-373.4742"/>
  </r>
  <r>
    <x v="4"/>
    <s v="Purchase"/>
    <x v="60"/>
    <x v="1"/>
    <s v="USD"/>
    <d v="2021-11-23T00:00:00"/>
    <n v="976.7"/>
    <x v="1"/>
    <n v="10"/>
    <n v="97.67"/>
    <n v="1"/>
    <n v="976.7"/>
    <n v="20.828299999999999"/>
    <n v="20343.000609999999"/>
    <n v="116.884"/>
    <n v="120.15900000000001"/>
    <n v="1.028"/>
    <n v="20912.60462708"/>
    <n v="2091.260462708"/>
    <m/>
    <n v="10"/>
    <s v="Sale"/>
    <x v="41"/>
    <s v="USD"/>
    <n v="379.64300000000003"/>
    <n v="1"/>
    <n v="379.64300000000003"/>
    <n v="21.194700000000001"/>
    <n v="8046.4194921000008"/>
    <n v="20912.60462708"/>
    <n v="-12866.185134979998"/>
    <n v="0.29041095890410956"/>
    <n v="1"/>
    <n v="-12866.185134979998"/>
    <n v="0"/>
    <m/>
    <n v="-597.05700000000002"/>
  </r>
  <r>
    <x v="4"/>
    <s v="Purchase"/>
    <x v="60"/>
    <x v="1"/>
    <s v="USD"/>
    <d v="2021-11-23T00:00:00"/>
    <n v="1264.94"/>
    <x v="1"/>
    <n v="13"/>
    <n v="97.303076923076929"/>
    <n v="1"/>
    <n v="1264.94"/>
    <n v="20.828299999999999"/>
    <n v="26346.549801999998"/>
    <n v="116.884"/>
    <n v="120.15900000000001"/>
    <n v="1.028"/>
    <n v="27084.253196455997"/>
    <n v="2083.4040920350767"/>
    <m/>
    <n v="13"/>
    <s v="Sale"/>
    <x v="41"/>
    <s v="USD"/>
    <n v="493.53590000000003"/>
    <n v="1"/>
    <n v="493.53590000000003"/>
    <n v="21.194700000000001"/>
    <n v="10460.345339730002"/>
    <n v="27084.253196455997"/>
    <n v="-16623.907856725993"/>
    <n v="0.29041095890410956"/>
    <n v="1"/>
    <n v="-16623.907856725993"/>
    <n v="0"/>
    <m/>
    <n v="-771.40409999999997"/>
  </r>
  <r>
    <x v="4"/>
    <s v="Purchase"/>
    <x v="60"/>
    <x v="1"/>
    <s v="USD"/>
    <d v="2021-11-23T00:00:00"/>
    <n v="1780.04"/>
    <x v="1"/>
    <n v="18"/>
    <n v="98.891111111111115"/>
    <n v="1"/>
    <n v="1780.04"/>
    <n v="20.828299999999999"/>
    <n v="37075.207131999996"/>
    <n v="116.884"/>
    <n v="120.15900000000001"/>
    <n v="1.028"/>
    <n v="38113.312931695997"/>
    <n v="2117.4062739831111"/>
    <m/>
    <n v="18"/>
    <s v="Sale"/>
    <x v="41"/>
    <s v="USD"/>
    <n v="683.35739999999998"/>
    <n v="1"/>
    <n v="683.35739999999998"/>
    <n v="21.194700000000001"/>
    <n v="14483.555085780001"/>
    <n v="38113.312931695997"/>
    <n v="-23629.757845915996"/>
    <n v="0.29041095890410956"/>
    <n v="1"/>
    <n v="-23629.757845915996"/>
    <n v="0"/>
    <m/>
    <n v="-1096.6826000000001"/>
  </r>
  <r>
    <x v="4"/>
    <s v="Purchase"/>
    <x v="60"/>
    <x v="1"/>
    <s v="USD"/>
    <d v="2021-11-23T00:00:00"/>
    <n v="2294.4299999999998"/>
    <x v="1"/>
    <n v="24"/>
    <n v="95.601249999999993"/>
    <n v="1"/>
    <n v="2294.4299999999998"/>
    <n v="20.828299999999999"/>
    <n v="47789.076368999995"/>
    <n v="116.884"/>
    <n v="120.15900000000001"/>
    <n v="1.028"/>
    <n v="49127.170507331997"/>
    <n v="2046.9654378055"/>
    <m/>
    <n v="24"/>
    <s v="Sale"/>
    <x v="41"/>
    <s v="USD"/>
    <n v="911.14319999999998"/>
    <n v="1"/>
    <n v="911.14319999999998"/>
    <n v="21.194700000000001"/>
    <n v="19311.406781040001"/>
    <n v="49127.170507331997"/>
    <n v="-29815.763726291996"/>
    <n v="0.29041095890410956"/>
    <n v="1"/>
    <n v="-29815.763726291996"/>
    <n v="0"/>
    <m/>
    <n v="-1383.2867999999999"/>
  </r>
  <r>
    <x v="4"/>
    <s v="Purchase"/>
    <x v="60"/>
    <x v="1"/>
    <s v="USD"/>
    <d v="2021-11-23T00:00:00"/>
    <n v="2547.84"/>
    <x v="1"/>
    <n v="26"/>
    <n v="97.993846153846164"/>
    <n v="1"/>
    <n v="2547.84"/>
    <n v="20.828299999999999"/>
    <n v="53067.175872"/>
    <n v="116.884"/>
    <n v="120.15900000000001"/>
    <n v="1.028"/>
    <n v="54553.056796416"/>
    <n v="2098.1944921698459"/>
    <m/>
    <n v="26"/>
    <s v="Sale"/>
    <x v="41"/>
    <s v="USD"/>
    <n v="987.07180000000005"/>
    <n v="1"/>
    <n v="987.07180000000005"/>
    <n v="21.194700000000001"/>
    <n v="20920.690679460004"/>
    <n v="54553.056796415993"/>
    <n v="-33632.366116955993"/>
    <n v="0.29041095890410956"/>
    <n v="1"/>
    <n v="-33632.366116955993"/>
    <n v="0"/>
    <m/>
    <n v="-1560.7682"/>
  </r>
  <r>
    <x v="4"/>
    <s v="Purchase"/>
    <x v="60"/>
    <x v="1"/>
    <s v="USD"/>
    <d v="2021-12-07T00:00:00"/>
    <n v="371.46"/>
    <x v="1"/>
    <n v="4"/>
    <n v="92.864999999999995"/>
    <n v="1"/>
    <n v="371.46"/>
    <n v="21.4177"/>
    <n v="7955.8188419999997"/>
    <n v="117.30800000000001"/>
    <n v="120.15900000000001"/>
    <n v="1.0243"/>
    <n v="8149.1452398605998"/>
    <n v="2037.2863099651499"/>
    <m/>
    <n v="4"/>
    <s v="Sale"/>
    <x v="41"/>
    <s v="USD"/>
    <n v="151.85720000000001"/>
    <n v="1"/>
    <n v="151.85720000000001"/>
    <n v="21.194700000000001"/>
    <n v="3218.5677968400005"/>
    <n v="8149.1452398605998"/>
    <n v="-4930.5774430205993"/>
    <n v="0.25205479452054796"/>
    <n v="1"/>
    <n v="-4930.5774430205993"/>
    <n v="0"/>
    <m/>
    <n v="-219.60279999999997"/>
  </r>
  <r>
    <x v="4"/>
    <s v="Purchase"/>
    <x v="60"/>
    <x v="1"/>
    <s v="USD"/>
    <d v="2021-12-07T00:00:00"/>
    <n v="94.125"/>
    <x v="1"/>
    <n v="1"/>
    <n v="94.125"/>
    <n v="1"/>
    <n v="94.125"/>
    <n v="21.4177"/>
    <n v="2015.9410124999999"/>
    <n v="117.30800000000001"/>
    <n v="120.15900000000001"/>
    <n v="1.0243"/>
    <n v="2064.9283791037501"/>
    <n v="2064.9283791037501"/>
    <m/>
    <n v="1"/>
    <s v="Sale"/>
    <x v="41"/>
    <s v="USD"/>
    <n v="37.964300000000001"/>
    <n v="1"/>
    <n v="37.964300000000001"/>
    <n v="21.194700000000001"/>
    <n v="804.64194921000012"/>
    <n v="2064.9283791037501"/>
    <n v="-1260.28642989375"/>
    <n v="0.25205479452054796"/>
    <n v="1"/>
    <n v="-1260.28642989375"/>
    <n v="0"/>
    <m/>
    <n v="-56.160699999999999"/>
  </r>
  <r>
    <x v="4"/>
    <s v="Purchase"/>
    <x v="60"/>
    <x v="1"/>
    <s v="USD"/>
    <d v="2021-12-07T00:00:00"/>
    <n v="470.625"/>
    <x v="1"/>
    <n v="5"/>
    <n v="94.125"/>
    <n v="1"/>
    <n v="470.625"/>
    <n v="21.4177"/>
    <n v="10079.705062499999"/>
    <n v="117.30800000000001"/>
    <n v="120.15900000000001"/>
    <n v="1.0243"/>
    <n v="10324.641895518749"/>
    <n v="2064.9283791037496"/>
    <m/>
    <n v="5"/>
    <s v="Sale"/>
    <x v="41"/>
    <s v="USD"/>
    <n v="149.05405405405406"/>
    <n v="1"/>
    <n v="149.05405405405406"/>
    <n v="21.194700000000001"/>
    <n v="3159.1559594594596"/>
    <n v="10324.641895518747"/>
    <n v="-7165.4859360592873"/>
    <n v="0.25205479452054796"/>
    <n v="1"/>
    <n v="-7165.4859360592873"/>
    <n v="0"/>
    <m/>
    <n v="-321.57094594594594"/>
  </r>
  <r>
    <x v="4"/>
    <s v="Purchase"/>
    <x v="60"/>
    <x v="1"/>
    <s v="USD"/>
    <d v="2021-12-07T00:00:00"/>
    <n v="6417.27"/>
    <x v="1"/>
    <n v="69"/>
    <n v="93.003913043478263"/>
    <n v="1"/>
    <n v="6417.27"/>
    <n v="21.4177"/>
    <n v="137443.16367900002"/>
    <n v="117.30800000000001"/>
    <n v="120.15900000000001"/>
    <n v="1.0243"/>
    <n v="140783.03255639973"/>
    <n v="2040.3338051652136"/>
    <m/>
    <n v="69"/>
    <s v="Sale"/>
    <x v="41"/>
    <s v="USD"/>
    <n v="2056.9459459459458"/>
    <n v="1"/>
    <n v="2056.9459459459458"/>
    <n v="21.194700000000001"/>
    <n v="43596.352240540538"/>
    <n v="140783.03255639973"/>
    <n v="-97186.680315859194"/>
    <n v="0.25205479452054796"/>
    <n v="1"/>
    <n v="-97186.680315859194"/>
    <n v="0"/>
    <m/>
    <n v="-4360.3240540540546"/>
  </r>
  <r>
    <x v="4"/>
    <s v="Purchase"/>
    <x v="61"/>
    <x v="2"/>
    <s v="USD"/>
    <d v="2021-01-29T00:00:00"/>
    <n v="2949.6137142857147"/>
    <x v="2"/>
    <n v="12"/>
    <n v="245.80114285714288"/>
    <n v="1"/>
    <n v="2949.6137142857147"/>
    <n v="20.216799999999999"/>
    <n v="59631.750538971435"/>
    <n v="110.21"/>
    <n v="117.30800000000001"/>
    <n v="1.0644"/>
    <n v="63472.035273681198"/>
    <n v="5289.3362728067668"/>
    <m/>
    <n v="12"/>
    <s v="Sale"/>
    <x v="42"/>
    <s v="USD"/>
    <n v="4303.0600000000004"/>
    <n v="1"/>
    <n v="4303.0600000000004"/>
    <n v="20.588999999999999"/>
    <n v="88595.702340000003"/>
    <n v="63472.035273681206"/>
    <n v="25123.667066318798"/>
    <n v="0.9342465753424658"/>
    <n v="1"/>
    <n v="25123.667066318798"/>
    <n v="0"/>
    <m/>
    <n v="1353.4462857142858"/>
  </r>
  <r>
    <x v="4"/>
    <s v="Purchase"/>
    <x v="61"/>
    <x v="2"/>
    <s v="USD"/>
    <d v="2021-01-29T00:00:00"/>
    <n v="4670.2217142857144"/>
    <x v="2"/>
    <n v="19"/>
    <n v="245.80114285714285"/>
    <n v="1"/>
    <n v="4670.2217142857144"/>
    <n v="20.216799999999999"/>
    <n v="94416.938353371428"/>
    <n v="110.21"/>
    <n v="117.30800000000001"/>
    <n v="1.0644"/>
    <n v="100497.38918332855"/>
    <n v="5289.3362728067659"/>
    <m/>
    <n v="19"/>
    <s v="Sale"/>
    <x v="42"/>
    <s v="USD"/>
    <n v="6823.913333333333"/>
    <n v="1"/>
    <n v="6823.913333333333"/>
    <n v="20.588999999999999"/>
    <n v="140497.55161999998"/>
    <n v="100497.38918332855"/>
    <n v="40000.162436671439"/>
    <n v="0.9342465753424658"/>
    <n v="1"/>
    <n v="40000.162436671439"/>
    <n v="0"/>
    <m/>
    <n v="2153.6916190476186"/>
  </r>
  <r>
    <x v="4"/>
    <s v="Purchase"/>
    <x v="61"/>
    <x v="2"/>
    <s v="USD"/>
    <d v="2021-03-04T00:00:00"/>
    <n v="2324.96"/>
    <x v="2"/>
    <n v="8"/>
    <n v="290.62"/>
    <n v="1"/>
    <n v="2324.96"/>
    <n v="20.690300000000001"/>
    <n v="48104.119888000001"/>
    <n v="111.824"/>
    <n v="117.30800000000001"/>
    <n v="1.0489999999999999"/>
    <n v="50461.221762511996"/>
    <n v="6307.6527203139995"/>
    <m/>
    <n v="8"/>
    <s v="Sale"/>
    <x v="42"/>
    <s v="USD"/>
    <n v="2873.2266666666665"/>
    <n v="1"/>
    <n v="2873.2266666666665"/>
    <n v="20.588999999999999"/>
    <n v="59156.863839999991"/>
    <n v="50461.221762511996"/>
    <n v="8695.6420774879953"/>
    <n v="0.84109589041095889"/>
    <n v="1"/>
    <n v="8695.6420774879953"/>
    <n v="0"/>
    <m/>
    <n v="548.26666666666642"/>
  </r>
  <r>
    <x v="4"/>
    <s v="Purchase"/>
    <x v="61"/>
    <x v="2"/>
    <s v="USD"/>
    <d v="2021-03-04T00:00:00"/>
    <n v="10752.94"/>
    <x v="2"/>
    <n v="37"/>
    <n v="290.62"/>
    <n v="1"/>
    <n v="10752.94"/>
    <n v="20.690300000000001"/>
    <n v="222481.55448200001"/>
    <n v="111.824"/>
    <n v="117.30800000000001"/>
    <n v="1.0489999999999999"/>
    <n v="233383.15065161799"/>
    <n v="6307.6527203139995"/>
    <m/>
    <n v="37"/>
    <s v="Sale"/>
    <x v="42"/>
    <s v="USD"/>
    <n v="13285.2"/>
    <n v="1"/>
    <n v="13285.2"/>
    <n v="20.588999999999999"/>
    <n v="273528.9828"/>
    <n v="233383.15065161797"/>
    <n v="40145.832148382033"/>
    <n v="0.84109589041095889"/>
    <n v="1"/>
    <n v="40145.832148382033"/>
    <n v="0"/>
    <m/>
    <n v="2532.2600000000002"/>
  </r>
  <r>
    <x v="4"/>
    <s v="Purchase"/>
    <x v="61"/>
    <x v="2"/>
    <s v="USD"/>
    <d v="2021-03-29T00:00:00"/>
    <n v="1743.72"/>
    <x v="2"/>
    <n v="6"/>
    <n v="290.62"/>
    <n v="1"/>
    <n v="1743.72"/>
    <n v="20.766200000000001"/>
    <n v="36210.438264000004"/>
    <n v="111.824"/>
    <n v="117.30800000000001"/>
    <n v="1.0489999999999999"/>
    <n v="37984.749738936"/>
    <n v="6330.7916231560002"/>
    <m/>
    <n v="6"/>
    <s v="Sale"/>
    <x v="42"/>
    <s v="USD"/>
    <n v="2157.14"/>
    <n v="1"/>
    <n v="2157.14"/>
    <n v="20.588999999999999"/>
    <n v="44413.355459999992"/>
    <n v="37984.749738936"/>
    <n v="6428.605721063992"/>
    <n v="0.77260273972602744"/>
    <n v="1"/>
    <n v="6428.605721063992"/>
    <n v="0"/>
    <m/>
    <n v="413.41999999999985"/>
  </r>
  <r>
    <x v="4"/>
    <s v="Purchase"/>
    <x v="22"/>
    <x v="2"/>
    <s v="USD"/>
    <d v="2020-11-06T00:00:00"/>
    <n v="15094.725504587155"/>
    <x v="2"/>
    <n v="82"/>
    <n v="184.08201834862385"/>
    <n v="1"/>
    <n v="15094.725504587155"/>
    <n v="21.034500000000001"/>
    <n v="317510.00362623855"/>
    <n v="108.85599999999999"/>
    <n v="120.15900000000001"/>
    <n v="1.1037999999999999"/>
    <n v="350467.54200264206"/>
    <n v="4273.9944146663665"/>
    <m/>
    <n v="82"/>
    <s v="Sale"/>
    <x v="34"/>
    <s v="USD"/>
    <n v="15560.13"/>
    <n v="1"/>
    <n v="15560.13"/>
    <n v="20.160499999999999"/>
    <n v="313700.00086499995"/>
    <n v="350467.54200264206"/>
    <n v="-36767.541137642111"/>
    <n v="1.4273972602739726"/>
    <n v="1"/>
    <n v="-36767.541137642111"/>
    <n v="0"/>
    <m/>
    <n v="465.40449541284397"/>
  </r>
  <r>
    <x v="4"/>
    <s v="Purchase"/>
    <x v="62"/>
    <x v="2"/>
    <s v="USD"/>
    <d v="2021-01-08T00:00:00"/>
    <n v="780.69297297297305"/>
    <x v="2"/>
    <n v="7"/>
    <n v="111.52756756756757"/>
    <n v="1"/>
    <n v="780.69297297297305"/>
    <n v="19.725000000000001"/>
    <n v="15399.168891891895"/>
    <n v="110.21"/>
    <n v="117.30800000000001"/>
    <n v="1.0644"/>
    <n v="16390.875368529734"/>
    <n v="2341.5536240756765"/>
    <m/>
    <n v="7"/>
    <s v="Sale"/>
    <x v="43"/>
    <s v="USD"/>
    <n v="811.73"/>
    <n v="1"/>
    <n v="811.73"/>
    <n v="20.4453"/>
    <n v="16596.063369"/>
    <n v="16390.875368529734"/>
    <n v="205.18800047026525"/>
    <n v="1.010958904109589"/>
    <n v="1"/>
    <n v="205.18800047026525"/>
    <n v="0"/>
    <m/>
    <n v="31.037027027026966"/>
  </r>
  <r>
    <x v="4"/>
    <s v="Purchase"/>
    <x v="62"/>
    <x v="2"/>
    <s v="USD"/>
    <d v="2021-01-15T00:00:00"/>
    <n v="450.88"/>
    <x v="2"/>
    <n v="4"/>
    <n v="112.72"/>
    <n v="1"/>
    <n v="450.88"/>
    <n v="19.793500000000002"/>
    <n v="8924.4932800000006"/>
    <n v="110.21"/>
    <n v="117.30800000000001"/>
    <n v="1.0644"/>
    <n v="9499.2306472320015"/>
    <n v="2374.8076618080004"/>
    <m/>
    <n v="4"/>
    <s v="Sale"/>
    <x v="43"/>
    <s v="USD"/>
    <n v="463.84571428571428"/>
    <n v="1"/>
    <n v="463.84571428571428"/>
    <n v="20.4453"/>
    <n v="9483.4647822857132"/>
    <n v="9499.2306472320015"/>
    <n v="-15.765864946288275"/>
    <n v="0.99178082191780825"/>
    <n v="1"/>
    <n v="-15.765864946288275"/>
    <n v="0"/>
    <m/>
    <n v="12.965714285714284"/>
  </r>
  <r>
    <x v="4"/>
    <s v="Purchase"/>
    <x v="62"/>
    <x v="2"/>
    <s v="USD"/>
    <d v="2021-01-15T00:00:00"/>
    <n v="1139.6948717948719"/>
    <x v="2"/>
    <n v="10"/>
    <n v="113.96948717948719"/>
    <n v="1"/>
    <n v="1139.6948717948719"/>
    <n v="19.793500000000002"/>
    <n v="22558.550444871798"/>
    <n v="110.21"/>
    <n v="117.30800000000001"/>
    <n v="1.0644"/>
    <n v="24011.321093521543"/>
    <n v="2401.1321093521542"/>
    <m/>
    <n v="10"/>
    <s v="Sale"/>
    <x v="43"/>
    <s v="USD"/>
    <n v="1159.6142857142856"/>
    <n v="1"/>
    <n v="1159.6142857142856"/>
    <n v="20.4453"/>
    <n v="23708.661955714284"/>
    <n v="24011.321093521543"/>
    <n v="-302.65913780725896"/>
    <n v="0.99178082191780825"/>
    <n v="1"/>
    <n v="-302.65913780725896"/>
    <n v="0"/>
    <m/>
    <n v="19.919413919413728"/>
  </r>
  <r>
    <x v="4"/>
    <s v="Purchase"/>
    <x v="62"/>
    <x v="2"/>
    <s v="USD"/>
    <d v="2021-01-15T00:00:00"/>
    <n v="797.78641025641036"/>
    <x v="2"/>
    <n v="7"/>
    <n v="113.96948717948719"/>
    <n v="1"/>
    <n v="797.78641025641036"/>
    <n v="19.793500000000002"/>
    <n v="15790.985311410261"/>
    <n v="110.21"/>
    <n v="117.30800000000001"/>
    <n v="1.0644"/>
    <n v="16807.924765465083"/>
    <n v="2401.1321093521547"/>
    <m/>
    <n v="7"/>
    <s v="Sale"/>
    <x v="43"/>
    <s v="USD"/>
    <n v="806.19"/>
    <n v="1"/>
    <n v="806.19"/>
    <n v="20.4453"/>
    <n v="16482.796407000002"/>
    <n v="16807.924765465083"/>
    <n v="-325.12835846508096"/>
    <n v="0.99178082191780825"/>
    <n v="1"/>
    <n v="-325.12835846508096"/>
    <n v="0"/>
    <m/>
    <n v="8.4035897435896914"/>
  </r>
  <r>
    <x v="4"/>
    <s v="Purchase"/>
    <x v="62"/>
    <x v="2"/>
    <s v="USD"/>
    <d v="2021-01-15T00:00:00"/>
    <n v="6952.1387179487183"/>
    <x v="2"/>
    <n v="61"/>
    <n v="113.96948717948719"/>
    <n v="1"/>
    <n v="6952.1387179487183"/>
    <n v="19.793500000000002"/>
    <n v="137607.15771371796"/>
    <n v="110.21"/>
    <n v="117.30800000000001"/>
    <n v="1.0644"/>
    <n v="146469.0586704814"/>
    <n v="2401.1321093521542"/>
    <m/>
    <n v="61"/>
    <s v="Sale"/>
    <x v="43"/>
    <s v="USD"/>
    <n v="7035.5392405063294"/>
    <n v="1"/>
    <n v="7035.5392405063294"/>
    <n v="20.4453"/>
    <n v="143843.71043392405"/>
    <n v="146469.0586704814"/>
    <n v="-2625.3482365573582"/>
    <n v="0.99178082191780825"/>
    <n v="1"/>
    <n v="-2625.3482365573582"/>
    <n v="0"/>
    <m/>
    <n v="83.400522557611112"/>
  </r>
  <r>
    <x v="4"/>
    <s v="Purchase"/>
    <x v="62"/>
    <x v="2"/>
    <s v="USD"/>
    <d v="2021-03-04T00:00:00"/>
    <n v="2188.0009756097561"/>
    <x v="2"/>
    <n v="18"/>
    <n v="121.55560975609757"/>
    <n v="1"/>
    <n v="2188.0009756097561"/>
    <n v="20.690300000000001"/>
    <n v="45270.396585658535"/>
    <n v="111.824"/>
    <n v="117.30800000000001"/>
    <n v="1.0489999999999999"/>
    <n v="47488.646018355801"/>
    <n v="2638.2581121308776"/>
    <m/>
    <n v="18"/>
    <s v="Sale"/>
    <x v="43"/>
    <s v="USD"/>
    <n v="2076.060759493671"/>
    <n v="1"/>
    <n v="2076.060759493671"/>
    <n v="20.4453"/>
    <n v="42445.685046075952"/>
    <n v="47488.646018355794"/>
    <n v="-5042.9609722798414"/>
    <n v="0.86027397260273974"/>
    <n v="1"/>
    <n v="-5042.9609722798414"/>
    <n v="0"/>
    <m/>
    <n v="-111.94021611608514"/>
  </r>
  <r>
    <x v="4"/>
    <s v="Purchase"/>
    <x v="62"/>
    <x v="2"/>
    <s v="USD"/>
    <d v="2021-03-04T00:00:00"/>
    <n v="5956.2248780487807"/>
    <x v="2"/>
    <n v="49"/>
    <n v="121.55560975609757"/>
    <n v="1"/>
    <n v="5956.2248780487807"/>
    <n v="20.690300000000001"/>
    <n v="123236.07959429269"/>
    <n v="111.824"/>
    <n v="117.30800000000001"/>
    <n v="1.0489999999999999"/>
    <n v="129274.64749441303"/>
    <n v="2638.2581121308781"/>
    <m/>
    <n v="49"/>
    <s v="Sale"/>
    <x v="44"/>
    <s v="USD"/>
    <n v="5755.39"/>
    <n v="1"/>
    <n v="5755.39"/>
    <n v="20.378499999999999"/>
    <n v="117286.215115"/>
    <n v="129274.64749441303"/>
    <n v="-11988.432379413032"/>
    <n v="0.86301369863013699"/>
    <n v="1"/>
    <n v="-11988.432379413032"/>
    <n v="0"/>
    <m/>
    <n v="-200.83487804878041"/>
  </r>
  <r>
    <x v="4"/>
    <s v="Purchase"/>
    <x v="62"/>
    <x v="2"/>
    <s v="USD"/>
    <d v="2021-03-04T00:00:00"/>
    <n v="729.3336585365854"/>
    <x v="2"/>
    <n v="6"/>
    <n v="121.55560975609757"/>
    <n v="1"/>
    <n v="729.3336585365854"/>
    <n v="20.690300000000001"/>
    <n v="15090.132195219514"/>
    <n v="111.824"/>
    <n v="117.30800000000001"/>
    <n v="1.0489999999999999"/>
    <n v="15829.548672785269"/>
    <n v="2638.2581121308781"/>
    <m/>
    <n v="6"/>
    <s v="Sale"/>
    <x v="44"/>
    <s v="USD"/>
    <n v="704.16"/>
    <n v="1"/>
    <n v="704.16"/>
    <n v="20.378499999999999"/>
    <n v="14349.724559999999"/>
    <n v="15829.548672785269"/>
    <n v="-1479.8241127852707"/>
    <n v="0.86301369863013699"/>
    <n v="1"/>
    <n v="-1479.8241127852707"/>
    <n v="0"/>
    <m/>
    <n v="-25.173658536585435"/>
  </r>
  <r>
    <x v="4"/>
    <s v="Purchase"/>
    <x v="62"/>
    <x v="2"/>
    <s v="USD"/>
    <d v="2021-03-04T00:00:00"/>
    <n v="2552.6678048780491"/>
    <x v="2"/>
    <n v="21"/>
    <n v="121.55560975609758"/>
    <n v="1"/>
    <n v="2552.6678048780491"/>
    <n v="20.690300000000001"/>
    <n v="52815.462683268299"/>
    <n v="111.824"/>
    <n v="118.002"/>
    <n v="1.0551999999999999"/>
    <n v="55730.876223384701"/>
    <n v="2653.8512487326047"/>
    <m/>
    <n v="21"/>
    <s v="Sale"/>
    <x v="45"/>
    <s v="USD"/>
    <n v="2660.25"/>
    <n v="1"/>
    <n v="2660.25"/>
    <n v="20.333500000000001"/>
    <n v="54092.193375000003"/>
    <n v="55730.876223384701"/>
    <n v="-1638.6828483846984"/>
    <n v="0.9616438356164384"/>
    <n v="1"/>
    <n v="-1638.6828483846984"/>
    <n v="0"/>
    <m/>
    <n v="107.58219512195092"/>
  </r>
  <r>
    <x v="4"/>
    <s v="Purchase"/>
    <x v="62"/>
    <x v="2"/>
    <s v="USD"/>
    <d v="2021-03-04T00:00:00"/>
    <n v="3525.1126829268296"/>
    <x v="2"/>
    <n v="29"/>
    <n v="121.55560975609757"/>
    <n v="1"/>
    <n v="3525.1126829268296"/>
    <n v="20.690300000000001"/>
    <n v="72935.638943560989"/>
    <n v="111.824"/>
    <n v="118.002"/>
    <n v="1.0551999999999999"/>
    <n v="76961.686213245543"/>
    <n v="2653.8512487326047"/>
    <m/>
    <n v="29"/>
    <s v="Sale"/>
    <x v="45"/>
    <s v="USD"/>
    <n v="3673.68"/>
    <n v="1"/>
    <n v="3673.68"/>
    <n v="20.333500000000001"/>
    <n v="74698.772280000005"/>
    <n v="76961.686213245543"/>
    <n v="-2262.9139332455379"/>
    <n v="0.9616438356164384"/>
    <n v="1"/>
    <n v="-2262.9139332455379"/>
    <n v="0"/>
    <m/>
    <n v="148.56731707317022"/>
  </r>
  <r>
    <x v="4"/>
    <s v="Purchase"/>
    <x v="62"/>
    <x v="2"/>
    <s v="USD"/>
    <d v="2021-04-07T00:00:00"/>
    <n v="494.82068965517237"/>
    <x v="2"/>
    <n v="4"/>
    <n v="123.70517241379309"/>
    <n v="1"/>
    <n v="494.82068965517237"/>
    <n v="20.2483"/>
    <n v="10019.277770344826"/>
    <n v="112.19"/>
    <n v="118.002"/>
    <n v="1.0518000000000001"/>
    <n v="10538.276358848689"/>
    <n v="2634.5690897121722"/>
    <m/>
    <n v="4"/>
    <s v="Sale"/>
    <x v="45"/>
    <s v="USD"/>
    <n v="506.28"/>
    <n v="1"/>
    <n v="506.28"/>
    <n v="20.333500000000001"/>
    <n v="10294.444379999999"/>
    <n v="10538.276358848689"/>
    <n v="-243.83197884868969"/>
    <n v="0.86849315068493149"/>
    <n v="1"/>
    <n v="-243.83197884868969"/>
    <n v="0"/>
    <m/>
    <n v="11.4593103448276"/>
  </r>
  <r>
    <x v="4"/>
    <s v="Purchase"/>
    <x v="62"/>
    <x v="2"/>
    <s v="USD"/>
    <d v="2021-04-07T00:00:00"/>
    <n v="494.82068965517237"/>
    <x v="2"/>
    <n v="4"/>
    <n v="123.70517241379309"/>
    <n v="1"/>
    <n v="494.82068965517237"/>
    <n v="20.2483"/>
    <n v="10019.277770344826"/>
    <n v="112.19"/>
    <n v="118.002"/>
    <n v="1.0518000000000001"/>
    <n v="10538.276358848689"/>
    <n v="2634.5690897121722"/>
    <m/>
    <n v="4"/>
    <s v="Sale"/>
    <x v="45"/>
    <s v="USD"/>
    <n v="508.18"/>
    <n v="1"/>
    <n v="508.18"/>
    <n v="20.333500000000001"/>
    <n v="10333.078030000001"/>
    <n v="10538.276358848689"/>
    <n v="-205.19832884868811"/>
    <n v="0.86849315068493149"/>
    <n v="1"/>
    <n v="-205.19832884868811"/>
    <n v="0"/>
    <m/>
    <n v="13.359310344827634"/>
  </r>
  <r>
    <x v="4"/>
    <s v="Purchase"/>
    <x v="62"/>
    <x v="2"/>
    <s v="USD"/>
    <d v="2021-04-07T00:00:00"/>
    <n v="618.52586206896547"/>
    <x v="2"/>
    <n v="5"/>
    <n v="123.70517241379309"/>
    <n v="1"/>
    <n v="618.52586206896547"/>
    <n v="20.2483"/>
    <n v="12524.097212931034"/>
    <n v="112.19"/>
    <n v="118.002"/>
    <n v="1.0518000000000001"/>
    <n v="13172.845448560862"/>
    <n v="2634.5690897121722"/>
    <m/>
    <n v="5"/>
    <s v="Sale"/>
    <x v="45"/>
    <s v="USD"/>
    <n v="632.85"/>
    <n v="1"/>
    <n v="632.85"/>
    <n v="20.333500000000001"/>
    <n v="12868.055475000001"/>
    <n v="13172.84544856086"/>
    <n v="-304.78997356085893"/>
    <n v="0.86849315068493149"/>
    <n v="1"/>
    <n v="-304.78997356085893"/>
    <n v="0"/>
    <m/>
    <n v="14.324137931034556"/>
  </r>
  <r>
    <x v="4"/>
    <s v="Purchase"/>
    <x v="62"/>
    <x v="2"/>
    <s v="USD"/>
    <d v="2021-04-07T00:00:00"/>
    <n v="618.52586206896547"/>
    <x v="2"/>
    <n v="5"/>
    <n v="123.70517241379309"/>
    <n v="1"/>
    <n v="618.52586206896547"/>
    <n v="20.2483"/>
    <n v="12524.097212931034"/>
    <n v="112.19"/>
    <n v="118.002"/>
    <n v="1.0518000000000001"/>
    <n v="13172.845448560862"/>
    <n v="2634.5690897121722"/>
    <m/>
    <n v="5"/>
    <s v="Sale"/>
    <x v="45"/>
    <s v="USD"/>
    <n v="635.23"/>
    <n v="1"/>
    <n v="635.23"/>
    <n v="20.333500000000001"/>
    <n v="12916.449205000001"/>
    <n v="13172.84544856086"/>
    <n v="-256.39624356085915"/>
    <n v="0.86849315068493149"/>
    <n v="1"/>
    <n v="-256.39624356085915"/>
    <n v="0"/>
    <m/>
    <n v="16.704137931034552"/>
  </r>
  <r>
    <x v="4"/>
    <s v="Purchase"/>
    <x v="62"/>
    <x v="2"/>
    <s v="USD"/>
    <d v="2021-04-07T00:00:00"/>
    <n v="618.52586206896547"/>
    <x v="2"/>
    <n v="5"/>
    <n v="123.70517241379309"/>
    <n v="1"/>
    <n v="618.52586206896547"/>
    <n v="20.2483"/>
    <n v="12524.097212931034"/>
    <n v="112.19"/>
    <n v="118.002"/>
    <n v="1.0518000000000001"/>
    <n v="13172.845448560862"/>
    <n v="2634.5690897121722"/>
    <m/>
    <n v="5"/>
    <s v="Sale"/>
    <x v="45"/>
    <s v="USD"/>
    <n v="635.29999999999995"/>
    <n v="1"/>
    <n v="635.29999999999995"/>
    <n v="20.333500000000001"/>
    <n v="12917.87255"/>
    <n v="13172.84544856086"/>
    <n v="-254.9728985608599"/>
    <n v="0.86849315068493149"/>
    <n v="1"/>
    <n v="-254.9728985608599"/>
    <n v="0"/>
    <m/>
    <n v="16.774137931034488"/>
  </r>
  <r>
    <x v="4"/>
    <s v="Purchase"/>
    <x v="62"/>
    <x v="2"/>
    <s v="USD"/>
    <d v="2021-04-07T00:00:00"/>
    <n v="742.23103448275856"/>
    <x v="2"/>
    <n v="6"/>
    <n v="123.70517241379309"/>
    <n v="1"/>
    <n v="742.23103448275856"/>
    <n v="20.2483"/>
    <n v="15028.91665551724"/>
    <n v="112.19"/>
    <n v="118.002"/>
    <n v="1.0518000000000001"/>
    <n v="15807.414538273033"/>
    <n v="2634.5690897121722"/>
    <m/>
    <n v="6"/>
    <s v="Sale"/>
    <x v="45"/>
    <s v="USD"/>
    <n v="762.36"/>
    <n v="1"/>
    <n v="762.36"/>
    <n v="20.333500000000001"/>
    <n v="15501.44706"/>
    <n v="15807.414538273033"/>
    <n v="-305.96747827303261"/>
    <n v="0.86849315068493149"/>
    <n v="1"/>
    <n v="-305.96747827303261"/>
    <n v="0"/>
    <m/>
    <n v="20.128965517241454"/>
  </r>
  <r>
    <x v="4"/>
    <s v="Purchase"/>
    <x v="62"/>
    <x v="2"/>
    <s v="USD"/>
    <d v="2021-04-07T00:00:00"/>
    <n v="246.91142857142859"/>
    <x v="2"/>
    <n v="2"/>
    <n v="123.45571428571429"/>
    <n v="1"/>
    <n v="246.91142857142859"/>
    <n v="20.2483"/>
    <n v="4999.5366791428578"/>
    <n v="112.19"/>
    <n v="118.002"/>
    <n v="1.0518000000000001"/>
    <n v="5258.5126791224584"/>
    <n v="2629.2563395612292"/>
    <m/>
    <n v="2"/>
    <s v="Sale"/>
    <x v="45"/>
    <s v="USD"/>
    <n v="254.12"/>
    <n v="1"/>
    <n v="254.12"/>
    <n v="20.333500000000001"/>
    <n v="5167.1490200000007"/>
    <n v="5258.5126791224584"/>
    <n v="-91.363659122457648"/>
    <n v="0.86849315068493149"/>
    <n v="1"/>
    <n v="-91.363659122457648"/>
    <n v="0"/>
    <m/>
    <n v="7.2085714285714175"/>
  </r>
  <r>
    <x v="4"/>
    <s v="Purchase"/>
    <x v="62"/>
    <x v="2"/>
    <s v="USD"/>
    <d v="2021-04-07T00:00:00"/>
    <n v="3086.3928571428573"/>
    <x v="2"/>
    <n v="25"/>
    <n v="123.45571428571429"/>
    <n v="1"/>
    <n v="3086.3928571428573"/>
    <n v="20.2483"/>
    <n v="62494.208489285716"/>
    <n v="112.19"/>
    <n v="118.002"/>
    <n v="1.0518000000000001"/>
    <n v="65731.408489030728"/>
    <n v="2629.2563395612292"/>
    <m/>
    <n v="25"/>
    <s v="Sale"/>
    <x v="46"/>
    <s v="USD"/>
    <n v="3241.6899999999996"/>
    <n v="1"/>
    <n v="3241.6899999999996"/>
    <n v="20.3063"/>
    <n v="65826.729646999986"/>
    <n v="65731.408489030728"/>
    <n v="95.321157969257911"/>
    <n v="0.8794520547945206"/>
    <n v="1"/>
    <n v="95.321157969257911"/>
    <n v="0"/>
    <m/>
    <n v="155.29714285714226"/>
  </r>
  <r>
    <x v="4"/>
    <s v="Purchase"/>
    <x v="62"/>
    <x v="2"/>
    <s v="USD"/>
    <d v="2021-04-07T00:00:00"/>
    <n v="123.45571428571429"/>
    <x v="2"/>
    <n v="1"/>
    <n v="123.45571428571429"/>
    <n v="1"/>
    <n v="123.45571428571429"/>
    <n v="20.2483"/>
    <n v="2499.7683395714289"/>
    <n v="112.19"/>
    <n v="118.002"/>
    <n v="1.0518000000000001"/>
    <n v="2629.2563395612292"/>
    <n v="2629.2563395612292"/>
    <m/>
    <n v="1"/>
    <s v="Sale"/>
    <x v="46"/>
    <s v="USD"/>
    <n v="129.66800000000001"/>
    <n v="1"/>
    <n v="129.66800000000001"/>
    <n v="20.3063"/>
    <n v="2633.0773084000002"/>
    <n v="2629.2563395612292"/>
    <n v="3.820968838771023"/>
    <n v="0.8794520547945206"/>
    <n v="1"/>
    <n v="3.820968838771023"/>
    <n v="0"/>
    <m/>
    <n v="6.2122857142857129"/>
  </r>
  <r>
    <x v="4"/>
    <s v="Purchase"/>
    <x v="62"/>
    <x v="2"/>
    <s v="USD"/>
    <d v="2021-04-07T00:00:00"/>
    <n v="4204.1091891891892"/>
    <x v="2"/>
    <n v="34"/>
    <n v="123.65027027027027"/>
    <n v="1"/>
    <n v="4204.1091891891892"/>
    <n v="20.2483"/>
    <n v="85126.064095459456"/>
    <n v="112.19"/>
    <n v="118.002"/>
    <n v="1.0518000000000001"/>
    <n v="89535.594215604258"/>
    <n v="2633.3998298707133"/>
    <m/>
    <n v="34"/>
    <s v="Sale"/>
    <x v="46"/>
    <s v="USD"/>
    <n v="4408.7120000000004"/>
    <n v="1"/>
    <n v="4408.7120000000004"/>
    <n v="20.3063"/>
    <n v="89524.628485600013"/>
    <n v="89535.594215604258"/>
    <n v="-10.965730004245415"/>
    <n v="0.8794520547945206"/>
    <n v="1"/>
    <n v="-10.965730004245415"/>
    <n v="0"/>
    <m/>
    <n v="204.60281081081121"/>
  </r>
  <r>
    <x v="4"/>
    <s v="Purchase"/>
    <x v="62"/>
    <x v="2"/>
    <s v="USD"/>
    <d v="2021-04-07T00:00:00"/>
    <n v="370.95081081081082"/>
    <x v="2"/>
    <n v="3"/>
    <n v="123.65027027027027"/>
    <n v="1"/>
    <n v="370.95081081081082"/>
    <n v="20.2483"/>
    <n v="7511.1233025405409"/>
    <n v="112.19"/>
    <n v="120.15900000000001"/>
    <n v="1.071"/>
    <n v="8044.413057020919"/>
    <n v="2681.4710190069732"/>
    <m/>
    <n v="3"/>
    <s v="Sale"/>
    <x v="34"/>
    <s v="USD"/>
    <n v="323.62384615384616"/>
    <n v="1"/>
    <n v="323.62384615384616"/>
    <n v="20.160499999999999"/>
    <n v="6524.4185503846147"/>
    <n v="8044.41305702092"/>
    <n v="-1519.9945066363052"/>
    <n v="1.010958904109589"/>
    <n v="1"/>
    <n v="-1519.9945066363052"/>
    <n v="0"/>
    <m/>
    <n v="-47.326964656964662"/>
  </r>
  <r>
    <x v="4"/>
    <s v="Purchase"/>
    <x v="62"/>
    <x v="2"/>
    <s v="USD"/>
    <d v="2021-06-01T00:00:00"/>
    <n v="1247.8706896551723"/>
    <x v="2"/>
    <n v="10"/>
    <n v="124.78706896551724"/>
    <n v="1"/>
    <n v="1247.8706896551723"/>
    <n v="19.944199999999999"/>
    <n v="24887.782608620688"/>
    <n v="113.018"/>
    <n v="120.15900000000001"/>
    <n v="1.0630999999999999"/>
    <n v="26458.201691224651"/>
    <n v="2645.8201691224649"/>
    <m/>
    <n v="10"/>
    <s v="Sale"/>
    <x v="34"/>
    <s v="USD"/>
    <n v="1078.7461538461539"/>
    <n v="1"/>
    <n v="1078.7461538461539"/>
    <n v="20.160499999999999"/>
    <n v="21748.061834615386"/>
    <n v="26458.201691224647"/>
    <n v="-4710.1398566092612"/>
    <n v="0.86027397260273974"/>
    <n v="1"/>
    <n v="-4710.1398566092612"/>
    <n v="0"/>
    <m/>
    <n v="-169.12453580901843"/>
  </r>
  <r>
    <x v="4"/>
    <s v="Purchase"/>
    <x v="62"/>
    <x v="2"/>
    <s v="USD"/>
    <d v="2021-06-01T00:00:00"/>
    <n v="5989.7793103448275"/>
    <x v="2"/>
    <n v="48"/>
    <n v="124.78706896551724"/>
    <n v="1"/>
    <n v="5989.7793103448275"/>
    <n v="19.944199999999999"/>
    <n v="119461.3565213793"/>
    <n v="113.018"/>
    <n v="120.15900000000001"/>
    <n v="1.0630999999999999"/>
    <n v="126999.36811787833"/>
    <n v="2645.8201691224654"/>
    <m/>
    <n v="48"/>
    <s v="Sale"/>
    <x v="34"/>
    <s v="USD"/>
    <n v="5074.8028235294114"/>
    <n v="1"/>
    <n v="5074.8028235294114"/>
    <n v="20.160499999999999"/>
    <n v="102310.56232376469"/>
    <n v="126999.36811787833"/>
    <n v="-24688.805794113636"/>
    <n v="0.86027397260273974"/>
    <n v="1"/>
    <n v="-24688.805794113636"/>
    <n v="0"/>
    <m/>
    <n v="-914.97648681541614"/>
  </r>
  <r>
    <x v="4"/>
    <s v="Purchase"/>
    <x v="62"/>
    <x v="2"/>
    <s v="USD"/>
    <d v="2021-06-24T00:00:00"/>
    <n v="14556.64"/>
    <x v="2"/>
    <n v="121"/>
    <n v="120.30280991735536"/>
    <n v="1"/>
    <n v="14556.64"/>
    <n v="20.571200000000001"/>
    <n v="299447.55276799999"/>
    <n v="113.018"/>
    <n v="120.15900000000001"/>
    <n v="1.0630999999999999"/>
    <n v="318342.69334766077"/>
    <n v="2630.9313499806676"/>
    <m/>
    <n v="121"/>
    <s v="Sale"/>
    <x v="34"/>
    <s v="USD"/>
    <n v="12792.732117647058"/>
    <n v="1"/>
    <n v="12792.732117647058"/>
    <n v="20.160499999999999"/>
    <n v="257907.8758578235"/>
    <n v="318342.69334766077"/>
    <n v="-60434.817489837267"/>
    <n v="0.79726027397260268"/>
    <n v="1"/>
    <n v="-60434.817489837267"/>
    <n v="0"/>
    <m/>
    <n v="-1763.9078823529417"/>
  </r>
  <r>
    <x v="4"/>
    <s v="Purchase"/>
    <x v="62"/>
    <x v="2"/>
    <s v="USD"/>
    <d v="2021-06-24T00:00:00"/>
    <n v="118.55999999999999"/>
    <x v="2"/>
    <n v="1"/>
    <n v="118.55999999999999"/>
    <n v="1"/>
    <n v="118.55999999999999"/>
    <n v="20.571200000000001"/>
    <n v="2438.921472"/>
    <n v="113.018"/>
    <n v="120.15900000000001"/>
    <n v="1.0630999999999999"/>
    <n v="2592.8174168831997"/>
    <n v="2592.8174168831997"/>
    <m/>
    <n v="1"/>
    <s v="Sale"/>
    <x v="34"/>
    <s v="USD"/>
    <n v="105.72505882352941"/>
    <n v="1"/>
    <n v="105.72505882352941"/>
    <n v="20.160499999999999"/>
    <n v="2131.4700484117648"/>
    <n v="2592.8174168831997"/>
    <n v="-461.34736847143495"/>
    <n v="0.79726027397260268"/>
    <n v="1"/>
    <n v="-461.34736847143495"/>
    <n v="0"/>
    <m/>
    <n v="-12.834941176470579"/>
  </r>
  <r>
    <x v="4"/>
    <s v="Purchase"/>
    <x v="62"/>
    <x v="2"/>
    <s v="USD"/>
    <d v="2021-06-24T00:00:00"/>
    <n v="474.23999999999995"/>
    <x v="2"/>
    <n v="4"/>
    <n v="118.55999999999999"/>
    <n v="1"/>
    <n v="474.23999999999995"/>
    <n v="20.571200000000001"/>
    <n v="9755.685888"/>
    <n v="113.018"/>
    <n v="120.15900000000001"/>
    <n v="1.0630999999999999"/>
    <n v="10371.269667532799"/>
    <n v="2592.8174168831997"/>
    <m/>
    <n v="4"/>
    <s v="Sale"/>
    <x v="34"/>
    <s v="USD"/>
    <n v="425.69894736842105"/>
    <n v="1"/>
    <n v="425.69894736842105"/>
    <n v="20.160499999999999"/>
    <n v="8582.3036284210521"/>
    <n v="10371.269667532799"/>
    <n v="-1788.9660391117468"/>
    <n v="0.79726027397260268"/>
    <n v="1"/>
    <n v="-1788.9660391117468"/>
    <n v="0"/>
    <m/>
    <n v="-48.541052631578907"/>
  </r>
  <r>
    <x v="4"/>
    <s v="Purchase"/>
    <x v="62"/>
    <x v="2"/>
    <s v="USD"/>
    <d v="2021-07-19T00:00:00"/>
    <n v="1567.6012987012987"/>
    <x v="2"/>
    <n v="15"/>
    <n v="104.50675324675325"/>
    <n v="1"/>
    <n v="1567.6012987012987"/>
    <n v="19.941199999999998"/>
    <n v="31259.851017662335"/>
    <n v="113.682"/>
    <n v="120.15900000000001"/>
    <n v="1.0569"/>
    <n v="33038.536540567322"/>
    <n v="2202.5691027044882"/>
    <m/>
    <n v="15"/>
    <s v="Sale"/>
    <x v="34"/>
    <s v="USD"/>
    <n v="1596.371052631579"/>
    <n v="1"/>
    <n v="1596.371052631579"/>
    <n v="20.160499999999999"/>
    <n v="32183.638606578948"/>
    <n v="33038.536540567322"/>
    <n v="-854.89793398837355"/>
    <n v="0.72876712328767124"/>
    <n v="1"/>
    <n v="-854.89793398837355"/>
    <n v="0"/>
    <m/>
    <n v="28.769753930280331"/>
  </r>
  <r>
    <x v="4"/>
    <s v="Purchase"/>
    <x v="62"/>
    <x v="2"/>
    <s v="USD"/>
    <d v="2021-07-19T00:00:00"/>
    <n v="2612.6688311688313"/>
    <x v="2"/>
    <n v="25"/>
    <n v="104.50675324675325"/>
    <n v="1"/>
    <n v="2612.6688311688313"/>
    <n v="19.941199999999998"/>
    <n v="52099.751696103893"/>
    <n v="113.682"/>
    <n v="120.15900000000001"/>
    <n v="1.0569"/>
    <n v="55064.227567612201"/>
    <n v="2202.5691027044882"/>
    <m/>
    <n v="25"/>
    <s v="Sale"/>
    <x v="34"/>
    <s v="USD"/>
    <n v="2683.8"/>
    <n v="1"/>
    <n v="2683.8"/>
    <n v="20.160499999999999"/>
    <n v="54106.749900000003"/>
    <n v="55064.227567612201"/>
    <n v="-957.47766761219827"/>
    <n v="0.72876712328767124"/>
    <n v="1"/>
    <n v="-957.47766761219827"/>
    <n v="0"/>
    <m/>
    <n v="71.131168831168907"/>
  </r>
  <r>
    <x v="4"/>
    <s v="Purchase"/>
    <x v="62"/>
    <x v="2"/>
    <s v="USD"/>
    <d v="2021-07-19T00:00:00"/>
    <n v="3866.74987012987"/>
    <x v="2"/>
    <n v="37"/>
    <n v="104.50675324675325"/>
    <n v="1"/>
    <n v="3866.74987012987"/>
    <n v="19.941199999999998"/>
    <n v="77107.632510233758"/>
    <n v="113.682"/>
    <n v="120.15900000000001"/>
    <n v="1.0569"/>
    <n v="81495.056800066057"/>
    <n v="2202.5691027044882"/>
    <m/>
    <n v="37"/>
    <s v="Sale"/>
    <x v="34"/>
    <s v="USD"/>
    <n v="3936.6001999999999"/>
    <n v="1"/>
    <n v="3936.6001999999999"/>
    <n v="20.160499999999999"/>
    <n v="79363.828332099991"/>
    <n v="81495.056800066057"/>
    <n v="-2131.2284679660661"/>
    <n v="0.72876712328767124"/>
    <n v="1"/>
    <n v="-2131.2284679660661"/>
    <n v="0"/>
    <m/>
    <n v="69.850329870129826"/>
  </r>
  <r>
    <x v="4"/>
    <s v="Purchase"/>
    <x v="62"/>
    <x v="2"/>
    <s v="USD"/>
    <d v="2021-11-03T00:00:00"/>
    <n v="1594.172032520325"/>
    <x v="2"/>
    <n v="13"/>
    <n v="122.62861788617884"/>
    <n v="1"/>
    <n v="1594.172032520325"/>
    <n v="20.529699999999998"/>
    <n v="32727.873576032514"/>
    <n v="116.884"/>
    <n v="120.15900000000001"/>
    <n v="1.028"/>
    <n v="33644.254036161423"/>
    <n v="2588.0195412431863"/>
    <m/>
    <n v="13"/>
    <s v="Sale"/>
    <x v="34"/>
    <s v="USD"/>
    <n v="1383.1297999999999"/>
    <n v="1"/>
    <n v="1383.1297999999999"/>
    <n v="20.160499999999999"/>
    <n v="27884.588332899999"/>
    <n v="33644.254036161423"/>
    <n v="-5759.6657032614239"/>
    <n v="0.43561643835616437"/>
    <n v="1"/>
    <n v="-5759.6657032614239"/>
    <n v="0"/>
    <m/>
    <n v="-211.04223252032511"/>
  </r>
  <r>
    <x v="4"/>
    <s v="Purchase"/>
    <x v="62"/>
    <x v="2"/>
    <s v="USD"/>
    <d v="2021-11-03T00:00:00"/>
    <n v="1839.429268292683"/>
    <x v="2"/>
    <n v="15"/>
    <n v="122.62861788617887"/>
    <n v="1"/>
    <n v="1839.429268292683"/>
    <n v="20.529699999999998"/>
    <n v="37762.931049268293"/>
    <n v="116.884"/>
    <n v="120.15900000000001"/>
    <n v="1.028"/>
    <n v="38820.293118647809"/>
    <n v="2588.0195412431872"/>
    <m/>
    <n v="15"/>
    <s v="Sale"/>
    <x v="3"/>
    <s v="USD"/>
    <n v="1587.14"/>
    <n v="1"/>
    <n v="1587.14"/>
    <n v="20.12"/>
    <n v="31933.256800000003"/>
    <n v="38820.293118647809"/>
    <n v="-6887.0363186478062"/>
    <n v="0.43835616438356162"/>
    <n v="1"/>
    <n v="-6887.0363186478062"/>
    <n v="0"/>
    <m/>
    <n v="-252.28926829268289"/>
  </r>
  <r>
    <x v="4"/>
    <s v="Purchase"/>
    <x v="62"/>
    <x v="2"/>
    <s v="USD"/>
    <d v="2021-11-03T00:00:00"/>
    <n v="6989.8312195121953"/>
    <x v="2"/>
    <n v="57"/>
    <n v="122.62861788617886"/>
    <n v="1"/>
    <n v="6989.8312195121953"/>
    <n v="20.529699999999998"/>
    <n v="143499.1379872195"/>
    <n v="116.884"/>
    <n v="120.15900000000001"/>
    <n v="1.028"/>
    <n v="147517.11385086164"/>
    <n v="2588.0195412431867"/>
    <m/>
    <n v="57"/>
    <s v="Sale"/>
    <x v="3"/>
    <s v="USD"/>
    <n v="6052.48"/>
    <n v="1"/>
    <n v="6052.48"/>
    <n v="20.12"/>
    <n v="121775.8976"/>
    <n v="147517.11385086164"/>
    <n v="-25741.216250861646"/>
    <n v="0.43835616438356162"/>
    <n v="1"/>
    <n v="-25741.216250861646"/>
    <n v="0"/>
    <m/>
    <n v="-937.35121951219571"/>
  </r>
  <r>
    <x v="4"/>
    <s v="Purchase"/>
    <x v="62"/>
    <x v="2"/>
    <s v="USD"/>
    <d v="2021-11-03T00:00:00"/>
    <n v="3924.1157723577235"/>
    <x v="2"/>
    <n v="32"/>
    <n v="122.62861788617886"/>
    <n v="1"/>
    <n v="3924.1157723577235"/>
    <n v="20.529699999999998"/>
    <n v="80560.919571772349"/>
    <n v="116.884"/>
    <n v="120.15900000000001"/>
    <n v="1.028"/>
    <n v="82816.625319781975"/>
    <n v="2588.0195412431867"/>
    <m/>
    <n v="32"/>
    <s v="Sale"/>
    <x v="40"/>
    <s v="USD"/>
    <n v="3444.19"/>
    <n v="1"/>
    <n v="3444.19"/>
    <n v="20.0093"/>
    <n v="68915.830967000002"/>
    <n v="82816.625319781975"/>
    <n v="-13900.794352781973"/>
    <n v="0.44109589041095892"/>
    <n v="1"/>
    <n v="-13900.794352781973"/>
    <n v="0"/>
    <m/>
    <n v="-479.92577235772342"/>
  </r>
  <r>
    <x v="4"/>
    <s v="Purchase"/>
    <x v="62"/>
    <x v="2"/>
    <s v="USD"/>
    <d v="2021-11-03T00:00:00"/>
    <n v="735.77170731707315"/>
    <x v="2"/>
    <n v="6"/>
    <n v="122.62861788617886"/>
    <n v="1"/>
    <n v="735.77170731707315"/>
    <n v="20.529699999999998"/>
    <n v="15105.172419707316"/>
    <n v="116.884"/>
    <n v="120.15900000000001"/>
    <n v="1.028"/>
    <n v="15528.117247459122"/>
    <n v="2588.0195412431872"/>
    <m/>
    <n v="6"/>
    <s v="Sale"/>
    <x v="40"/>
    <s v="USD"/>
    <n v="646.04999999999995"/>
    <n v="1"/>
    <n v="646.04999999999995"/>
    <n v="20.0093"/>
    <n v="12927.008264999999"/>
    <n v="15528.117247459122"/>
    <n v="-2601.1089824591236"/>
    <n v="0.44109589041095892"/>
    <n v="1"/>
    <n v="-2601.1089824591236"/>
    <n v="0"/>
    <m/>
    <n v="-89.721707317073196"/>
  </r>
  <r>
    <x v="0"/>
    <m/>
    <x v="0"/>
    <x v="0"/>
    <m/>
    <m/>
    <m/>
    <x v="0"/>
    <n v="0"/>
    <n v="0"/>
    <n v="0"/>
    <n v="0"/>
    <n v="0"/>
    <n v="0"/>
    <n v="0"/>
    <n v="0"/>
    <n v="0"/>
    <n v="0"/>
    <n v="0"/>
    <m/>
    <m/>
    <m/>
    <x v="0"/>
    <m/>
    <m/>
    <n v="0"/>
    <n v="0"/>
    <n v="0"/>
    <n v="0"/>
    <n v="0"/>
    <n v="0"/>
    <n v="0"/>
    <n v="1"/>
    <n v="0"/>
    <n v="0"/>
    <m/>
    <n v="0"/>
  </r>
  <r>
    <x v="4"/>
    <s v="Purchase"/>
    <x v="63"/>
    <x v="1"/>
    <s v="USD"/>
    <d v="2020-12-30T00:00:00"/>
    <n v="3255.0281376518219"/>
    <x v="1"/>
    <n v="83"/>
    <n v="39.217206477732795"/>
    <n v="1"/>
    <n v="3255.0281376518219"/>
    <n v="20.047699999999999"/>
    <n v="65255.827595202427"/>
    <n v="109.271"/>
    <n v="118.002"/>
    <n v="1.0799000000000001"/>
    <n v="70469.768220059108"/>
    <n v="849.03335204890493"/>
    <m/>
    <n v="83"/>
    <s v="Sale"/>
    <x v="44"/>
    <s v="USD"/>
    <n v="4101.7785660377358"/>
    <n v="1"/>
    <n v="4101.7785660377358"/>
    <n v="20.378499999999999"/>
    <n v="83588.094507999995"/>
    <n v="70469.768220059108"/>
    <n v="13118.326287940887"/>
    <n v="1.0383561643835617"/>
    <n v="1"/>
    <n v="13118.326287940887"/>
    <n v="0"/>
    <m/>
    <n v="846.75042838591389"/>
  </r>
  <r>
    <x v="4"/>
    <s v="Purchase"/>
    <x v="63"/>
    <x v="1"/>
    <s v="USD"/>
    <d v="2021-03-04T00:00:00"/>
    <n v="8708.7000000000007"/>
    <x v="1"/>
    <n v="182"/>
    <n v="47.85"/>
    <n v="1"/>
    <n v="8708.7000000000007"/>
    <n v="20.690300000000001"/>
    <n v="180185.61561000001"/>
    <n v="111.824"/>
    <n v="118.002"/>
    <n v="1.0551999999999999"/>
    <n v="190131.861591672"/>
    <n v="1044.680558196"/>
    <m/>
    <n v="182"/>
    <s v="Sale"/>
    <x v="44"/>
    <s v="USD"/>
    <n v="8994.2614339622633"/>
    <n v="1"/>
    <n v="8994.2614339622633"/>
    <n v="20.378499999999999"/>
    <n v="183289.55663199996"/>
    <n v="190131.861591672"/>
    <n v="-6842.3049596720375"/>
    <n v="0.86301369863013699"/>
    <n v="1"/>
    <n v="-6842.3049596720375"/>
    <n v="0"/>
    <m/>
    <n v="285.56143396226253"/>
  </r>
  <r>
    <x v="4"/>
    <s v="Purchase"/>
    <x v="63"/>
    <x v="1"/>
    <s v="USD"/>
    <d v="2021-03-04T00:00:00"/>
    <n v="287.10000000000002"/>
    <x v="1"/>
    <n v="6"/>
    <n v="47.85"/>
    <n v="1"/>
    <n v="287.10000000000002"/>
    <n v="20.690300000000001"/>
    <n v="5940.1851300000008"/>
    <n v="111.824"/>
    <n v="118.002"/>
    <n v="1.0551999999999999"/>
    <n v="6268.0833491760004"/>
    <n v="1044.680558196"/>
    <m/>
    <n v="6"/>
    <s v="Sale"/>
    <x v="44"/>
    <s v="USD"/>
    <n v="294.02999999999997"/>
    <n v="1"/>
    <n v="294.02999999999997"/>
    <n v="20.378499999999999"/>
    <n v="5991.8903549999995"/>
    <n v="6268.0833491760004"/>
    <n v="-276.19299417600087"/>
    <n v="0.86301369863013699"/>
    <n v="1"/>
    <n v="-276.19299417600087"/>
    <n v="0"/>
    <m/>
    <n v="6.92999999999995"/>
  </r>
  <r>
    <x v="4"/>
    <s v="Purchase"/>
    <x v="63"/>
    <x v="1"/>
    <s v="USD"/>
    <d v="2021-03-04T00:00:00"/>
    <n v="526.35"/>
    <x v="1"/>
    <n v="11"/>
    <n v="47.85"/>
    <n v="1"/>
    <n v="526.35"/>
    <n v="20.690300000000001"/>
    <n v="10890.339405000001"/>
    <n v="111.824"/>
    <n v="118.002"/>
    <n v="1.0551999999999999"/>
    <n v="11491.486140155999"/>
    <n v="1044.680558196"/>
    <m/>
    <n v="11"/>
    <s v="Sale"/>
    <x v="2"/>
    <s v="USD"/>
    <n v="528.29"/>
    <n v="1"/>
    <n v="528.29"/>
    <n v="20.366"/>
    <n v="10759.154139999999"/>
    <n v="11491.486140155999"/>
    <n v="-732.3320001560005"/>
    <n v="0.86575342465753424"/>
    <n v="1"/>
    <n v="-732.3320001560005"/>
    <n v="0"/>
    <m/>
    <n v="1.9399999999999409"/>
  </r>
  <r>
    <x v="4"/>
    <s v="Purchase"/>
    <x v="63"/>
    <x v="1"/>
    <s v="USD"/>
    <d v="2021-03-04T00:00:00"/>
    <n v="1674.75"/>
    <x v="1"/>
    <n v="35"/>
    <n v="47.85"/>
    <n v="1"/>
    <n v="1674.75"/>
    <n v="20.690300000000001"/>
    <n v="34651.079924999998"/>
    <n v="111.824"/>
    <n v="118.002"/>
    <n v="1.0551999999999999"/>
    <n v="36563.819536859992"/>
    <n v="1044.6805581959998"/>
    <m/>
    <n v="35"/>
    <s v="Sale"/>
    <x v="2"/>
    <s v="USD"/>
    <n v="1694.56"/>
    <n v="1"/>
    <n v="1694.56"/>
    <n v="20.366"/>
    <n v="34511.408960000001"/>
    <n v="36563.819536859992"/>
    <n v="-2052.4105768599911"/>
    <n v="0.86575342465753424"/>
    <n v="1"/>
    <n v="-2052.4105768599911"/>
    <n v="0"/>
    <m/>
    <n v="19.809999999999945"/>
  </r>
  <r>
    <x v="4"/>
    <s v="Purchase"/>
    <x v="63"/>
    <x v="1"/>
    <s v="USD"/>
    <d v="2021-03-04T00:00:00"/>
    <n v="287.10000000000002"/>
    <x v="1"/>
    <n v="6"/>
    <n v="47.85"/>
    <n v="1"/>
    <n v="287.10000000000002"/>
    <n v="20.690300000000001"/>
    <n v="5940.1851300000008"/>
    <n v="111.824"/>
    <n v="118.002"/>
    <n v="1.0551999999999999"/>
    <n v="6268.0833491760004"/>
    <n v="1044.680558196"/>
    <m/>
    <n v="6"/>
    <s v="Sale"/>
    <x v="2"/>
    <s v="USD"/>
    <n v="287.91000000000003"/>
    <n v="1"/>
    <n v="287.91000000000003"/>
    <n v="20.366"/>
    <n v="5863.5750600000001"/>
    <n v="6268.0833491760004"/>
    <n v="-404.50828917600029"/>
    <n v="0.86575342465753424"/>
    <n v="1"/>
    <n v="-404.50828917600029"/>
    <n v="0"/>
    <m/>
    <n v="0.81000000000000227"/>
  </r>
  <r>
    <x v="4"/>
    <s v="Purchase"/>
    <x v="63"/>
    <x v="1"/>
    <s v="USD"/>
    <d v="2021-03-04T00:00:00"/>
    <n v="669.9"/>
    <x v="1"/>
    <n v="14"/>
    <n v="47.85"/>
    <n v="1"/>
    <n v="669.9"/>
    <n v="20.690300000000001"/>
    <n v="13860.43197"/>
    <n v="111.824"/>
    <n v="118.002"/>
    <n v="1.0551999999999999"/>
    <n v="14625.527814743999"/>
    <n v="1044.680558196"/>
    <m/>
    <n v="14"/>
    <s v="Sale"/>
    <x v="47"/>
    <s v="USD"/>
    <n v="682.36"/>
    <n v="1"/>
    <n v="682.36"/>
    <n v="20.311800000000002"/>
    <n v="13859.959848000002"/>
    <n v="14625.527814744"/>
    <n v="-765.56796674399811"/>
    <n v="0.87671232876712324"/>
    <n v="1"/>
    <n v="-765.56796674399811"/>
    <n v="0"/>
    <m/>
    <n v="12.460000000000036"/>
  </r>
  <r>
    <x v="4"/>
    <s v="Purchase"/>
    <x v="63"/>
    <x v="1"/>
    <s v="USD"/>
    <d v="2021-03-04T00:00:00"/>
    <n v="574.20000000000005"/>
    <x v="1"/>
    <n v="12"/>
    <n v="47.85"/>
    <n v="1"/>
    <n v="574.20000000000005"/>
    <n v="20.690300000000001"/>
    <n v="11880.370260000002"/>
    <n v="111.824"/>
    <n v="118.002"/>
    <n v="1.0551999999999999"/>
    <n v="12536.166698352001"/>
    <n v="1044.680558196"/>
    <m/>
    <n v="12"/>
    <s v="Sale"/>
    <x v="47"/>
    <s v="USD"/>
    <n v="589.05600000000004"/>
    <n v="1"/>
    <n v="589.05600000000004"/>
    <n v="20.311800000000002"/>
    <n v="11964.787660800002"/>
    <n v="12536.166698352001"/>
    <n v="-571.37903755199841"/>
    <n v="0.87671232876712324"/>
    <n v="1"/>
    <n v="-571.37903755199841"/>
    <n v="0"/>
    <m/>
    <n v="14.855999999999995"/>
  </r>
  <r>
    <x v="4"/>
    <s v="Purchase"/>
    <x v="63"/>
    <x v="1"/>
    <s v="USD"/>
    <d v="2021-04-07T00:00:00"/>
    <n v="1125.3854901960785"/>
    <x v="1"/>
    <n v="23"/>
    <n v="48.929803921568634"/>
    <n v="1"/>
    <n v="1125.3854901960785"/>
    <n v="20.2483"/>
    <n v="22787.143021137257"/>
    <n v="112.19"/>
    <n v="118.002"/>
    <n v="1.0518000000000001"/>
    <n v="23967.51702963217"/>
    <n v="1042.0659578100945"/>
    <m/>
    <n v="23"/>
    <s v="Sale"/>
    <x v="47"/>
    <s v="USD"/>
    <n v="1129.0240000000001"/>
    <n v="1"/>
    <n v="1129.0240000000001"/>
    <n v="20.311800000000002"/>
    <n v="22932.509683200005"/>
    <n v="23967.517029632174"/>
    <n v="-1035.0073464321686"/>
    <n v="0.78356164383561644"/>
    <n v="1"/>
    <n v="-1035.0073464321686"/>
    <n v="0"/>
    <m/>
    <n v="3.6385098039215791"/>
  </r>
  <r>
    <x v="4"/>
    <s v="Purchase"/>
    <x v="63"/>
    <x v="1"/>
    <s v="USD"/>
    <d v="2021-04-07T00:00:00"/>
    <n v="1370.0345098039215"/>
    <x v="1"/>
    <n v="28"/>
    <n v="48.929803921568627"/>
    <n v="1"/>
    <n v="1370.0345098039215"/>
    <n v="20.2483"/>
    <n v="27740.869764862746"/>
    <n v="112.19"/>
    <n v="118.002"/>
    <n v="1.0518000000000001"/>
    <n v="29177.846818682639"/>
    <n v="1042.0659578100942"/>
    <m/>
    <n v="28"/>
    <s v="Sale"/>
    <x v="47"/>
    <s v="USD"/>
    <n v="1370.1615094339622"/>
    <n v="1"/>
    <n v="1370.1615094339622"/>
    <n v="20.311800000000002"/>
    <n v="27830.446547320757"/>
    <n v="29177.846818682639"/>
    <n v="-1347.4002713618829"/>
    <n v="0.78356164383561644"/>
    <n v="1"/>
    <n v="-1347.4002713618829"/>
    <n v="0"/>
    <m/>
    <n v="0.12699963004070014"/>
  </r>
  <r>
    <x v="4"/>
    <s v="Purchase"/>
    <x v="63"/>
    <x v="1"/>
    <s v="USD"/>
    <d v="2021-04-07T00:00:00"/>
    <n v="1226.5"/>
    <x v="1"/>
    <n v="25"/>
    <n v="49.06"/>
    <n v="1"/>
    <n v="1226.5"/>
    <n v="20.2483"/>
    <n v="24834.539950000002"/>
    <n v="112.19"/>
    <n v="118.002"/>
    <n v="1.0518000000000001"/>
    <n v="26120.969119410005"/>
    <n v="1044.8387647764002"/>
    <m/>
    <n v="25"/>
    <s v="Sale"/>
    <x v="47"/>
    <s v="USD"/>
    <n v="1223.3584905660377"/>
    <n v="1"/>
    <n v="1223.3584905660377"/>
    <n v="20.311800000000002"/>
    <n v="24848.612988679248"/>
    <n v="26120.969119410005"/>
    <n v="-1272.3561307307573"/>
    <n v="0.78356164383561644"/>
    <n v="1"/>
    <n v="-1272.3561307307573"/>
    <n v="0"/>
    <m/>
    <n v="-3.1415094339622556"/>
  </r>
  <r>
    <x v="4"/>
    <s v="Purchase"/>
    <x v="63"/>
    <x v="1"/>
    <s v="USD"/>
    <d v="2021-04-07T00:00:00"/>
    <n v="1030.26"/>
    <x v="1"/>
    <n v="21"/>
    <n v="49.06"/>
    <n v="1"/>
    <n v="1030.26"/>
    <n v="20.2483"/>
    <n v="20861.013557999999"/>
    <n v="112.19"/>
    <n v="118.002"/>
    <n v="1.0518000000000001"/>
    <n v="21941.6140603044"/>
    <n v="1044.8387647764"/>
    <m/>
    <n v="21"/>
    <s v="Sale"/>
    <x v="47"/>
    <s v="USD"/>
    <n v="1025.89375"/>
    <n v="1"/>
    <n v="1025.89375"/>
    <n v="20.311800000000002"/>
    <n v="20837.748671249999"/>
    <n v="21941.6140603044"/>
    <n v="-1103.865389054401"/>
    <n v="0.78356164383561644"/>
    <n v="1"/>
    <n v="-1103.865389054401"/>
    <n v="0"/>
    <m/>
    <n v="-4.3662500000000364"/>
  </r>
  <r>
    <x v="4"/>
    <s v="Purchase"/>
    <x v="63"/>
    <x v="1"/>
    <s v="USD"/>
    <d v="2021-04-07T00:00:00"/>
    <n v="2255.12"/>
    <x v="1"/>
    <n v="46"/>
    <n v="49.024347826086952"/>
    <n v="1"/>
    <n v="2255.12"/>
    <n v="20.2483"/>
    <n v="45662.346295999996"/>
    <n v="112.19"/>
    <n v="118.002"/>
    <n v="1.0518000000000001"/>
    <n v="48027.655834132798"/>
    <n v="1044.0794746550607"/>
    <m/>
    <n v="46"/>
    <s v="Sale"/>
    <x v="47"/>
    <s v="USD"/>
    <n v="2247.1958333333332"/>
    <n v="1"/>
    <n v="2247.1958333333332"/>
    <n v="20.311800000000002"/>
    <n v="45644.592327500002"/>
    <n v="48027.655834132791"/>
    <n v="-2383.0635066327886"/>
    <n v="0.78356164383561644"/>
    <n v="1"/>
    <n v="-2383.0635066327886"/>
    <n v="0"/>
    <m/>
    <n v="-7.9241666666666788"/>
  </r>
  <r>
    <x v="4"/>
    <s v="Purchase"/>
    <x v="63"/>
    <x v="1"/>
    <s v="USD"/>
    <d v="2021-04-07T00:00:00"/>
    <n v="1424.0960952380951"/>
    <x v="1"/>
    <n v="29"/>
    <n v="49.106761904761903"/>
    <n v="1"/>
    <n v="1424.0960952380951"/>
    <n v="20.2483"/>
    <n v="28835.524965209523"/>
    <n v="112.19"/>
    <n v="118.002"/>
    <n v="1.0518000000000001"/>
    <n v="30329.205158407378"/>
    <n v="1045.8346606347372"/>
    <m/>
    <n v="29"/>
    <s v="Sale"/>
    <x v="47"/>
    <s v="USD"/>
    <n v="1416.7104166666666"/>
    <n v="1"/>
    <n v="1416.7104166666666"/>
    <n v="20.311800000000002"/>
    <n v="28775.938641249999"/>
    <n v="30329.205158407382"/>
    <n v="-1553.2665171573826"/>
    <n v="0.78356164383561644"/>
    <n v="1"/>
    <n v="-1553.2665171573826"/>
    <n v="0"/>
    <m/>
    <n v="-7.3856785714285706"/>
  </r>
  <r>
    <x v="4"/>
    <s v="Purchase"/>
    <x v="63"/>
    <x v="1"/>
    <s v="USD"/>
    <d v="2021-04-07T00:00:00"/>
    <n v="1473.2028571428571"/>
    <x v="1"/>
    <n v="30"/>
    <n v="49.106761904761903"/>
    <n v="1"/>
    <n v="1473.2028571428571"/>
    <n v="20.2483"/>
    <n v="29829.853412285713"/>
    <n v="112.19"/>
    <n v="118.002"/>
    <n v="1.0518000000000001"/>
    <n v="31375.039819042115"/>
    <n v="1045.8346606347372"/>
    <m/>
    <n v="30"/>
    <s v="Sale"/>
    <x v="15"/>
    <s v="USD"/>
    <n v="1421.49"/>
    <n v="1"/>
    <n v="1421.49"/>
    <n v="20.3002"/>
    <n v="28856.531298000002"/>
    <n v="31375.039819042118"/>
    <n v="-2518.5085210421166"/>
    <n v="0.78630136986301369"/>
    <n v="1"/>
    <n v="-2518.5085210421166"/>
    <n v="0"/>
    <m/>
    <n v="-51.712857142857047"/>
  </r>
  <r>
    <x v="4"/>
    <s v="Purchase"/>
    <x v="63"/>
    <x v="1"/>
    <s v="USD"/>
    <d v="2021-04-07T00:00:00"/>
    <n v="589.28114285714287"/>
    <x v="1"/>
    <n v="12"/>
    <n v="49.106761904761903"/>
    <n v="1"/>
    <n v="589.28114285714287"/>
    <n v="20.2483"/>
    <n v="11931.941364914286"/>
    <n v="112.19"/>
    <n v="118.002"/>
    <n v="1.0518000000000001"/>
    <n v="12550.015927616847"/>
    <n v="1045.8346606347372"/>
    <m/>
    <n v="12"/>
    <s v="Sale"/>
    <x v="48"/>
    <s v="USD"/>
    <n v="519.36"/>
    <n v="1"/>
    <n v="519.36"/>
    <n v="20.630800000000001"/>
    <n v="10714.812288000001"/>
    <n v="12550.015927616847"/>
    <n v="-1835.203639616846"/>
    <n v="0.80547945205479454"/>
    <n v="1"/>
    <n v="-1835.203639616846"/>
    <n v="0"/>
    <m/>
    <n v="-69.921142857142854"/>
  </r>
  <r>
    <x v="4"/>
    <s v="Purchase"/>
    <x v="63"/>
    <x v="1"/>
    <s v="USD"/>
    <d v="2021-04-07T00:00:00"/>
    <n v="589.28114285714287"/>
    <x v="1"/>
    <n v="12"/>
    <n v="49.106761904761903"/>
    <n v="1"/>
    <n v="589.28114285714287"/>
    <n v="20.2483"/>
    <n v="11931.941364914286"/>
    <n v="112.19"/>
    <n v="118.002"/>
    <n v="1.0518000000000001"/>
    <n v="12550.015927616847"/>
    <n v="1045.8346606347372"/>
    <m/>
    <n v="12"/>
    <s v="Sale"/>
    <x v="48"/>
    <s v="USD"/>
    <n v="541.74"/>
    <n v="1"/>
    <n v="541.74"/>
    <n v="20.630800000000001"/>
    <n v="11176.529592000001"/>
    <n v="12550.015927616847"/>
    <n v="-1373.4863356168462"/>
    <n v="0.80547945205479454"/>
    <n v="1"/>
    <n v="-1373.4863356168462"/>
    <n v="0"/>
    <m/>
    <n v="-47.541142857142859"/>
  </r>
  <r>
    <x v="4"/>
    <s v="Purchase"/>
    <x v="63"/>
    <x v="1"/>
    <s v="USD"/>
    <d v="2021-04-07T00:00:00"/>
    <n v="1080.3487619047619"/>
    <x v="1"/>
    <n v="22"/>
    <n v="49.106761904761903"/>
    <n v="1"/>
    <n v="1080.3487619047619"/>
    <n v="20.2483"/>
    <n v="21875.225835676192"/>
    <n v="112.19"/>
    <n v="118.002"/>
    <n v="1.0518000000000001"/>
    <n v="23008.36253396422"/>
    <n v="1045.8346606347372"/>
    <m/>
    <n v="22"/>
    <s v="Sale"/>
    <x v="49"/>
    <s v="USD"/>
    <n v="984.57920000000001"/>
    <n v="1"/>
    <n v="984.57920000000001"/>
    <n v="20.668299999999999"/>
    <n v="20349.578279359997"/>
    <n v="23008.36253396422"/>
    <n v="-2658.784254604223"/>
    <n v="0.80821917808219179"/>
    <n v="1"/>
    <n v="-2658.784254604223"/>
    <n v="0"/>
    <m/>
    <n v="-95.769561904761872"/>
  </r>
  <r>
    <x v="4"/>
    <s v="Purchase"/>
    <x v="63"/>
    <x v="1"/>
    <s v="USD"/>
    <d v="2021-06-02T00:00:00"/>
    <n v="151.59873626373627"/>
    <x v="1"/>
    <n v="3"/>
    <n v="50.532912087912088"/>
    <n v="1"/>
    <n v="151.59873626373627"/>
    <n v="19.921299999999999"/>
    <n v="3020.0439047307691"/>
    <n v="113.018"/>
    <n v="118.002"/>
    <n v="1.044"/>
    <n v="3152.9258365389232"/>
    <n v="1050.9752788463077"/>
    <m/>
    <n v="3"/>
    <s v="Sale"/>
    <x v="49"/>
    <s v="USD"/>
    <n v="134.26079999999999"/>
    <n v="1"/>
    <n v="134.26079999999999"/>
    <n v="20.668299999999999"/>
    <n v="2774.9424926399997"/>
    <n v="3152.9258365389232"/>
    <n v="-377.98334389892352"/>
    <n v="0.65479452054794518"/>
    <n v="1"/>
    <n v="-377.98334389892352"/>
    <n v="0"/>
    <m/>
    <n v="-17.337936263736282"/>
  </r>
  <r>
    <x v="4"/>
    <s v="Purchase"/>
    <x v="63"/>
    <x v="1"/>
    <s v="USD"/>
    <d v="2021-06-02T00:00:00"/>
    <n v="4194.231703296703"/>
    <x v="1"/>
    <n v="83"/>
    <n v="50.532912087912088"/>
    <n v="1"/>
    <n v="4194.231703296703"/>
    <n v="19.921299999999999"/>
    <n v="83554.548030884602"/>
    <n v="113.018"/>
    <n v="118.002"/>
    <n v="1.044"/>
    <n v="87230.948144243521"/>
    <n v="1050.9752788463074"/>
    <m/>
    <n v="83"/>
    <s v="Sale"/>
    <x v="49"/>
    <s v="USD"/>
    <n v="3641.13"/>
    <n v="1"/>
    <n v="3641.13"/>
    <n v="20.668299999999999"/>
    <n v="75255.967178999999"/>
    <n v="87230.948144243521"/>
    <n v="-11974.980965243521"/>
    <n v="0.65479452054794518"/>
    <n v="1"/>
    <n v="-11974.980965243521"/>
    <n v="0"/>
    <m/>
    <n v="-553.10170329670291"/>
  </r>
  <r>
    <x v="4"/>
    <s v="Purchase"/>
    <x v="63"/>
    <x v="1"/>
    <s v="USD"/>
    <d v="2021-06-02T00:00:00"/>
    <n v="4699.5608241758246"/>
    <x v="1"/>
    <n v="93"/>
    <n v="50.532912087912095"/>
    <n v="1"/>
    <n v="4699.5608241758246"/>
    <n v="19.921299999999999"/>
    <n v="93621.361046653852"/>
    <n v="113.018"/>
    <n v="118.002"/>
    <n v="1.044"/>
    <n v="97740.700932706619"/>
    <n v="1050.9752788463077"/>
    <m/>
    <n v="93"/>
    <s v="Sale"/>
    <x v="48"/>
    <s v="USD"/>
    <n v="4194.3999999999996"/>
    <n v="1"/>
    <n v="4194.3999999999996"/>
    <n v="20.630800000000001"/>
    <n v="86533.827519999992"/>
    <n v="97740.700932706619"/>
    <n v="-11206.873412706627"/>
    <n v="0.65205479452054793"/>
    <n v="1"/>
    <n v="-11206.873412706627"/>
    <n v="0"/>
    <m/>
    <n v="-505.16082417582493"/>
  </r>
  <r>
    <x v="4"/>
    <s v="Purchase"/>
    <x v="63"/>
    <x v="1"/>
    <s v="USD"/>
    <d v="2021-06-02T00:00:00"/>
    <n v="151.59873626373627"/>
    <x v="1"/>
    <n v="3"/>
    <n v="50.532912087912088"/>
    <n v="1"/>
    <n v="151.59873626373627"/>
    <n v="19.921299999999999"/>
    <n v="3020.0439047307691"/>
    <n v="113.018"/>
    <n v="118.98099999999999"/>
    <n v="1.0527"/>
    <n v="3179.2002185100805"/>
    <n v="1059.7334061700269"/>
    <m/>
    <n v="3"/>
    <s v="Sale"/>
    <x v="50"/>
    <s v="USD"/>
    <n v="148.9425"/>
    <n v="1"/>
    <n v="148.9425"/>
    <n v="20.5562"/>
    <n v="3061.6918185"/>
    <n v="3179.200218510081"/>
    <n v="-117.508400010081"/>
    <n v="0.68767123287671228"/>
    <n v="1"/>
    <n v="-117.508400010081"/>
    <n v="0"/>
    <m/>
    <n v="-2.6562362637362753"/>
  </r>
  <r>
    <x v="4"/>
    <s v="Purchase"/>
    <x v="63"/>
    <x v="1"/>
    <s v="USD"/>
    <d v="2021-06-02T00:00:00"/>
    <n v="376.93173913043478"/>
    <x v="1"/>
    <n v="9"/>
    <n v="41.881304347826088"/>
    <n v="1"/>
    <n v="376.93173913043478"/>
    <n v="19.921299999999999"/>
    <n v="7508.9702547391298"/>
    <n v="113.018"/>
    <n v="118.98099999999999"/>
    <n v="1.0527"/>
    <n v="7904.6929871638813"/>
    <n v="878.2992207959868"/>
    <m/>
    <n v="9"/>
    <s v="Sale"/>
    <x v="50"/>
    <s v="USD"/>
    <n v="446.82749999999999"/>
    <n v="1"/>
    <n v="446.82749999999999"/>
    <n v="20.5562"/>
    <n v="9185.0754555000003"/>
    <n v="7904.6929871638813"/>
    <n v="1280.382468336119"/>
    <n v="0.68767123287671228"/>
    <n v="1"/>
    <n v="1280.382468336119"/>
    <n v="0"/>
    <m/>
    <n v="69.895760869565208"/>
  </r>
  <r>
    <x v="4"/>
    <s v="Purchase"/>
    <x v="63"/>
    <x v="1"/>
    <s v="USD"/>
    <d v="2021-07-20T00:00:00"/>
    <n v="586.33826086956526"/>
    <x v="1"/>
    <n v="14"/>
    <n v="41.881304347826088"/>
    <n v="1"/>
    <n v="586.33826086956526"/>
    <n v="19.8537"/>
    <n v="11640.983929826089"/>
    <n v="113.682"/>
    <n v="118.98099999999999"/>
    <n v="1.0466"/>
    <n v="12183.453780955984"/>
    <n v="870.24669863971314"/>
    <m/>
    <n v="14"/>
    <s v="Sale"/>
    <x v="50"/>
    <s v="USD"/>
    <n v="691.63906976744192"/>
    <n v="1"/>
    <n v="691.63906976744192"/>
    <n v="20.5562"/>
    <n v="14217.471045953491"/>
    <n v="12183.453780955984"/>
    <n v="2034.0172649975066"/>
    <n v="0.55616438356164388"/>
    <n v="1"/>
    <n v="2034.0172649975066"/>
    <n v="0"/>
    <m/>
    <n v="105.30080889787666"/>
  </r>
  <r>
    <x v="4"/>
    <s v="Purchase"/>
    <x v="63"/>
    <x v="1"/>
    <s v="USD"/>
    <d v="2021-07-20T00:00:00"/>
    <n v="1215.82"/>
    <x v="1"/>
    <n v="29"/>
    <n v="41.924827586206895"/>
    <n v="1"/>
    <n v="1215.82"/>
    <n v="19.8537"/>
    <n v="24138.525534"/>
    <n v="113.682"/>
    <n v="118.98099999999999"/>
    <n v="1.0466"/>
    <n v="25263.380823884399"/>
    <n v="871.15106289256551"/>
    <m/>
    <n v="29"/>
    <s v="Sale"/>
    <x v="50"/>
    <s v="USD"/>
    <n v="1432.6809302325582"/>
    <n v="1"/>
    <n v="1432.6809302325582"/>
    <n v="20.5562"/>
    <n v="29450.475738046513"/>
    <n v="25263.380823884399"/>
    <n v="4187.0949141621131"/>
    <n v="0.55616438356164388"/>
    <n v="1"/>
    <n v="4187.0949141621131"/>
    <n v="0"/>
    <m/>
    <n v="216.8609302325583"/>
  </r>
  <r>
    <x v="4"/>
    <s v="Purchase"/>
    <x v="63"/>
    <x v="1"/>
    <s v="USD"/>
    <d v="2021-07-20T00:00:00"/>
    <n v="251.54896551724136"/>
    <x v="1"/>
    <n v="6"/>
    <n v="41.924827586206895"/>
    <n v="1"/>
    <n v="251.54896551724136"/>
    <n v="19.8537"/>
    <n v="4994.177696689655"/>
    <n v="113.682"/>
    <n v="118.98099999999999"/>
    <n v="1.0466"/>
    <n v="5226.9063773553926"/>
    <n v="871.15106289256539"/>
    <m/>
    <n v="6"/>
    <s v="Sale"/>
    <x v="50"/>
    <s v="USD"/>
    <n v="296.33999999999997"/>
    <n v="1"/>
    <n v="296.33999999999997"/>
    <n v="20.5562"/>
    <n v="6091.6243079999995"/>
    <n v="5226.9063773553926"/>
    <n v="864.71793064460689"/>
    <n v="0.55616438356164388"/>
    <n v="1"/>
    <n v="864.71793064460689"/>
    <n v="0"/>
    <m/>
    <n v="44.791034482758619"/>
  </r>
  <r>
    <x v="4"/>
    <s v="Purchase"/>
    <x v="63"/>
    <x v="1"/>
    <s v="USD"/>
    <d v="2021-07-20T00:00:00"/>
    <n v="251.54896551724136"/>
    <x v="1"/>
    <n v="6"/>
    <n v="41.924827586206895"/>
    <n v="1"/>
    <n v="251.54896551724136"/>
    <n v="19.8537"/>
    <n v="4994.177696689655"/>
    <n v="113.682"/>
    <n v="118.98099999999999"/>
    <n v="1.0466"/>
    <n v="5226.9063773553926"/>
    <n v="871.15106289256539"/>
    <m/>
    <n v="6"/>
    <s v="Sale"/>
    <x v="50"/>
    <s v="USD"/>
    <n v="297.33"/>
    <n v="1"/>
    <n v="297.33"/>
    <n v="20.5562"/>
    <n v="6111.9749459999994"/>
    <n v="5226.9063773553926"/>
    <n v="885.06856864460678"/>
    <n v="0.55616438356164388"/>
    <n v="1"/>
    <n v="885.06856864460678"/>
    <n v="0"/>
    <m/>
    <n v="45.781034482758628"/>
  </r>
  <r>
    <x v="4"/>
    <s v="Purchase"/>
    <x v="63"/>
    <x v="1"/>
    <s v="USD"/>
    <d v="2021-07-20T00:00:00"/>
    <n v="712.72206896551722"/>
    <x v="1"/>
    <n v="17"/>
    <n v="41.924827586206895"/>
    <n v="1"/>
    <n v="712.72206896551722"/>
    <n v="19.8537"/>
    <n v="14150.170140620688"/>
    <n v="113.682"/>
    <n v="118.98099999999999"/>
    <n v="1.0466"/>
    <n v="14809.568069173612"/>
    <n v="871.15106289256539"/>
    <m/>
    <n v="17"/>
    <s v="Sale"/>
    <x v="50"/>
    <s v="USD"/>
    <n v="840.4516666666666"/>
    <n v="1"/>
    <n v="840.4516666666666"/>
    <n v="20.5562"/>
    <n v="17276.492550333332"/>
    <n v="14809.568069173612"/>
    <n v="2466.92448115972"/>
    <n v="0.55616438356164388"/>
    <n v="1"/>
    <n v="2466.92448115972"/>
    <n v="0"/>
    <m/>
    <n v="127.72959770114937"/>
  </r>
  <r>
    <x v="4"/>
    <s v="Purchase"/>
    <x v="63"/>
    <x v="1"/>
    <s v="USD"/>
    <d v="2021-07-20T00:00:00"/>
    <n v="2054.1837226277371"/>
    <x v="1"/>
    <n v="49"/>
    <n v="41.922116788321162"/>
    <n v="1"/>
    <n v="2054.1837226277371"/>
    <n v="19.8537"/>
    <n v="40783.147373934306"/>
    <n v="113.682"/>
    <n v="118.98099999999999"/>
    <n v="1.0466"/>
    <n v="42683.642041559644"/>
    <n v="871.0947355420335"/>
    <m/>
    <n v="49"/>
    <s v="Sale"/>
    <x v="50"/>
    <s v="USD"/>
    <n v="2422.4783333333335"/>
    <n v="1"/>
    <n v="2422.4783333333335"/>
    <n v="20.5562"/>
    <n v="49796.94911566667"/>
    <n v="42683.642041559644"/>
    <n v="7113.307074107026"/>
    <n v="0.55616438356164388"/>
    <n v="1"/>
    <n v="7113.307074107026"/>
    <n v="0"/>
    <m/>
    <n v="368.29461070559637"/>
  </r>
  <r>
    <x v="4"/>
    <s v="Purchase"/>
    <x v="63"/>
    <x v="1"/>
    <s v="USD"/>
    <d v="2021-07-20T00:00:00"/>
    <n v="377.2990510948905"/>
    <x v="1"/>
    <n v="9"/>
    <n v="41.922116788321169"/>
    <n v="1"/>
    <n v="377.2990510948905"/>
    <n v="19.8537"/>
    <n v="7490.7821707226276"/>
    <n v="113.682"/>
    <n v="118.98099999999999"/>
    <n v="1.0466"/>
    <n v="7839.852619878302"/>
    <n v="871.0947355420335"/>
    <m/>
    <n v="9"/>
    <s v="Sale"/>
    <x v="50"/>
    <s v="USD"/>
    <n v="447.57"/>
    <n v="1"/>
    <n v="447.57"/>
    <n v="20.5562"/>
    <n v="9200.3384339999993"/>
    <n v="7839.852619878302"/>
    <n v="1360.4858141216973"/>
    <n v="0.55616438356164388"/>
    <n v="1"/>
    <n v="1360.4858141216973"/>
    <n v="0"/>
    <m/>
    <n v="70.270948905109492"/>
  </r>
  <r>
    <x v="4"/>
    <s v="Purchase"/>
    <x v="63"/>
    <x v="1"/>
    <s v="USD"/>
    <d v="2021-07-20T00:00:00"/>
    <n v="3311.8472262773726"/>
    <x v="1"/>
    <n v="79"/>
    <n v="41.922116788321169"/>
    <n v="1"/>
    <n v="3311.8472262773726"/>
    <n v="19.8537"/>
    <n v="65752.42127634307"/>
    <n v="113.682"/>
    <n v="121.02200000000001"/>
    <n v="1.0645"/>
    <n v="69993.452448667202"/>
    <n v="885.99306897047086"/>
    <m/>
    <n v="79"/>
    <s v="Sale"/>
    <x v="51"/>
    <s v="USD"/>
    <n v="2783.2915384615385"/>
    <n v="1"/>
    <n v="2783.2915384615385"/>
    <n v="20.335000000000001"/>
    <n v="56598.233434615388"/>
    <n v="69993.452448667202"/>
    <n v="-13395.219014051814"/>
    <n v="0.79452054794520544"/>
    <n v="1"/>
    <n v="-13395.219014051814"/>
    <n v="0"/>
    <m/>
    <n v="-528.55568781583406"/>
  </r>
  <r>
    <x v="4"/>
    <s v="Purchase"/>
    <x v="63"/>
    <x v="1"/>
    <s v="USD"/>
    <d v="2021-07-20T00:00:00"/>
    <n v="3242.855"/>
    <x v="1"/>
    <n v="77"/>
    <n v="42.115000000000002"/>
    <n v="1"/>
    <n v="3242.855"/>
    <n v="19.8537"/>
    <n v="64382.670313499999"/>
    <n v="113.682"/>
    <n v="121.02200000000001"/>
    <n v="1.0645"/>
    <n v="68535.352548720752"/>
    <n v="890.06951361975007"/>
    <m/>
    <n v="77"/>
    <s v="Sale"/>
    <x v="51"/>
    <s v="USD"/>
    <n v="2712.8284615384619"/>
    <n v="1"/>
    <n v="2712.8284615384619"/>
    <n v="20.335000000000001"/>
    <n v="55165.366765384621"/>
    <n v="68535.352548720752"/>
    <n v="-13369.985783336131"/>
    <n v="0.79452054794520544"/>
    <n v="1"/>
    <n v="-13369.985783336131"/>
    <n v="0"/>
    <m/>
    <n v="-530.02653846153817"/>
  </r>
  <r>
    <x v="4"/>
    <s v="Purchase"/>
    <x v="63"/>
    <x v="1"/>
    <s v="USD"/>
    <d v="2021-07-20T00:00:00"/>
    <n v="463.26500000000004"/>
    <x v="1"/>
    <n v="11"/>
    <n v="42.115000000000002"/>
    <n v="1"/>
    <n v="463.26500000000004"/>
    <n v="19.8537"/>
    <n v="9197.5243305000004"/>
    <n v="113.682"/>
    <n v="121.02200000000001"/>
    <n v="1.0645"/>
    <n v="9790.7646498172508"/>
    <n v="890.06951361975007"/>
    <m/>
    <n v="11"/>
    <s v="Sale"/>
    <x v="51"/>
    <s v="USD"/>
    <n v="383.87282352941179"/>
    <n v="1"/>
    <n v="383.87282352941179"/>
    <n v="20.335000000000001"/>
    <n v="7806.0538664705891"/>
    <n v="9790.7646498172508"/>
    <n v="-1984.7107833466616"/>
    <n v="0.79452054794520544"/>
    <n v="1"/>
    <n v="-1984.7107833466616"/>
    <n v="0"/>
    <m/>
    <n v="-79.392176470588254"/>
  </r>
  <r>
    <x v="4"/>
    <s v="Purchase"/>
    <x v="63"/>
    <x v="1"/>
    <s v="USD"/>
    <d v="2021-08-18T00:00:00"/>
    <n v="1016.1300000000001"/>
    <x v="1"/>
    <n v="25"/>
    <n v="40.645200000000003"/>
    <n v="1"/>
    <n v="1016.1300000000001"/>
    <n v="19.886299999999999"/>
    <n v="20207.066019000002"/>
    <n v="113.899"/>
    <n v="121.02200000000001"/>
    <n v="1.0625"/>
    <n v="21470.007645187503"/>
    <n v="858.80030580750008"/>
    <m/>
    <n v="25"/>
    <s v="Sale"/>
    <x v="51"/>
    <s v="USD"/>
    <n v="872.4382352941177"/>
    <n v="1"/>
    <n v="872.4382352941177"/>
    <n v="20.335000000000001"/>
    <n v="17741.031514705883"/>
    <n v="21470.007645187503"/>
    <n v="-3728.9761304816202"/>
    <n v="0.71506849315068488"/>
    <n v="1"/>
    <n v="-3728.9761304816202"/>
    <n v="0"/>
    <m/>
    <n v="-143.69176470588241"/>
  </r>
  <r>
    <x v="4"/>
    <s v="Purchase"/>
    <x v="63"/>
    <x v="1"/>
    <s v="USD"/>
    <d v="2021-08-18T00:00:00"/>
    <n v="4211.78"/>
    <x v="1"/>
    <n v="104"/>
    <n v="40.497884615384613"/>
    <n v="1"/>
    <n v="4211.78"/>
    <n v="19.886299999999999"/>
    <n v="83756.720613999991"/>
    <n v="113.899"/>
    <n v="121.02200000000001"/>
    <n v="1.0625"/>
    <n v="88991.51565237499"/>
    <n v="855.68765050360571"/>
    <m/>
    <n v="104"/>
    <s v="Sale"/>
    <x v="51"/>
    <s v="USD"/>
    <n v="3629.3430588235296"/>
    <n v="1"/>
    <n v="3629.3430588235296"/>
    <n v="20.335000000000001"/>
    <n v="73802.691101176475"/>
    <n v="88991.51565237499"/>
    <n v="-15188.824551198515"/>
    <n v="0.71506849315068488"/>
    <n v="1"/>
    <n v="-15188.824551198515"/>
    <n v="0"/>
    <m/>
    <n v="-582.4369411764701"/>
  </r>
  <r>
    <x v="4"/>
    <s v="Purchase"/>
    <x v="63"/>
    <x v="1"/>
    <s v="USD"/>
    <d v="2021-08-18T00:00:00"/>
    <n v="1103.9100000000001"/>
    <x v="1"/>
    <n v="27"/>
    <n v="40.885555555555555"/>
    <n v="1"/>
    <n v="1103.9100000000001"/>
    <n v="19.886299999999999"/>
    <n v="21952.685432999999"/>
    <n v="113.899"/>
    <n v="121.02200000000001"/>
    <n v="1.0625"/>
    <n v="23324.728272562497"/>
    <n v="863.87882490972208"/>
    <m/>
    <n v="27"/>
    <s v="Sale"/>
    <x v="51"/>
    <s v="USD"/>
    <n v="942.23329411764712"/>
    <n v="1"/>
    <n v="942.23329411764712"/>
    <n v="20.335000000000001"/>
    <n v="19160.314035882355"/>
    <n v="23324.728272562497"/>
    <n v="-4164.4142366801425"/>
    <n v="0.71506849315068488"/>
    <n v="1"/>
    <n v="-4164.4142366801425"/>
    <n v="0"/>
    <m/>
    <n v="-161.67670588235296"/>
  </r>
  <r>
    <x v="4"/>
    <s v="Purchase"/>
    <x v="63"/>
    <x v="1"/>
    <s v="USD"/>
    <d v="2021-08-19T00:00:00"/>
    <n v="117.12384"/>
    <x v="1"/>
    <n v="3"/>
    <n v="39.04128"/>
    <n v="1"/>
    <n v="117.12384"/>
    <n v="19.991199999999999"/>
    <n v="2341.4461102079999"/>
    <n v="113.899"/>
    <n v="121.02200000000001"/>
    <n v="1.0625"/>
    <n v="2487.7864920960001"/>
    <n v="829.26216403199999"/>
    <m/>
    <n v="3"/>
    <s v="Sale"/>
    <x v="51"/>
    <s v="USD"/>
    <n v="104.69258823529412"/>
    <n v="1"/>
    <n v="104.69258823529412"/>
    <n v="20.335000000000001"/>
    <n v="2128.9237817647063"/>
    <n v="2487.7864920960001"/>
    <n v="-358.86271033129378"/>
    <n v="0.71232876712328763"/>
    <n v="1"/>
    <n v="-358.86271033129378"/>
    <n v="0"/>
    <m/>
    <n v="-12.431251764705877"/>
  </r>
  <r>
    <x v="4"/>
    <s v="Purchase"/>
    <x v="63"/>
    <x v="1"/>
    <s v="USD"/>
    <d v="2021-08-19T00:00:00"/>
    <n v="780.82560000000001"/>
    <x v="1"/>
    <n v="20"/>
    <n v="39.04128"/>
    <n v="1"/>
    <n v="780.82560000000001"/>
    <n v="19.991199999999999"/>
    <n v="15609.64073472"/>
    <n v="113.899"/>
    <n v="121.02200000000001"/>
    <n v="1.0625"/>
    <n v="16585.243280639999"/>
    <n v="829.26216403199999"/>
    <m/>
    <n v="20"/>
    <s v="Sale"/>
    <x v="51"/>
    <s v="USD"/>
    <n v="697.36999999999989"/>
    <n v="1"/>
    <n v="697.36999999999989"/>
    <n v="20.335000000000001"/>
    <n v="14181.018949999998"/>
    <n v="16585.243280639999"/>
    <n v="-2404.2243306400014"/>
    <n v="0.71232876712328763"/>
    <n v="1"/>
    <n v="-2404.2243306400014"/>
    <n v="0"/>
    <m/>
    <n v="-83.455600000000118"/>
  </r>
  <r>
    <x v="4"/>
    <s v="Purchase"/>
    <x v="63"/>
    <x v="1"/>
    <s v="USD"/>
    <d v="2021-08-19T00:00:00"/>
    <n v="1171.2384"/>
    <x v="1"/>
    <n v="30"/>
    <n v="39.04128"/>
    <n v="1"/>
    <n v="1171.2384"/>
    <n v="19.991199999999999"/>
    <n v="23414.461102079997"/>
    <n v="113.899"/>
    <n v="121.02200000000001"/>
    <n v="1.0625"/>
    <n v="24877.864920959997"/>
    <n v="829.26216403199987"/>
    <m/>
    <n v="30"/>
    <s v="Sale"/>
    <x v="51"/>
    <s v="USD"/>
    <n v="1060.99"/>
    <n v="1"/>
    <n v="1060.99"/>
    <n v="20.335000000000001"/>
    <n v="21575.231650000002"/>
    <n v="24877.864920959997"/>
    <n v="-3302.6332709599956"/>
    <n v="0.71232876712328763"/>
    <n v="1"/>
    <n v="-3302.6332709599956"/>
    <n v="0"/>
    <m/>
    <n v="-110.24839999999995"/>
  </r>
  <r>
    <x v="4"/>
    <s v="Purchase"/>
    <x v="63"/>
    <x v="1"/>
    <s v="USD"/>
    <d v="2021-08-19T00:00:00"/>
    <n v="1561.6512"/>
    <x v="1"/>
    <n v="40"/>
    <n v="39.04128"/>
    <n v="1"/>
    <n v="1561.6512"/>
    <n v="19.991199999999999"/>
    <n v="31219.28146944"/>
    <n v="113.899"/>
    <n v="121.02200000000001"/>
    <n v="1.0625"/>
    <n v="33170.486561279999"/>
    <n v="829.26216403199999"/>
    <m/>
    <n v="40"/>
    <s v="Sale"/>
    <x v="51"/>
    <s v="USD"/>
    <n v="1402.63"/>
    <n v="1"/>
    <n v="1402.63"/>
    <n v="20.335000000000001"/>
    <n v="28522.481050000002"/>
    <n v="33170.486561279999"/>
    <n v="-4648.0055112799964"/>
    <n v="0.71232876712328763"/>
    <n v="1"/>
    <n v="-4648.0055112799964"/>
    <n v="0"/>
    <m/>
    <n v="-159.02119999999991"/>
  </r>
  <r>
    <x v="4"/>
    <s v="Purchase"/>
    <x v="63"/>
    <x v="1"/>
    <s v="USD"/>
    <d v="2021-08-19T00:00:00"/>
    <n v="273.28895999999997"/>
    <x v="1"/>
    <n v="7"/>
    <n v="39.041279999999993"/>
    <n v="1"/>
    <n v="273.28895999999997"/>
    <n v="19.991199999999999"/>
    <n v="5463.3742571519997"/>
    <n v="113.899"/>
    <n v="121.02200000000001"/>
    <n v="1.0625"/>
    <n v="5804.8351482239996"/>
    <n v="829.26216403199999"/>
    <m/>
    <n v="7"/>
    <s v="Sale"/>
    <x v="51"/>
    <s v="USD"/>
    <n v="246.54"/>
    <n v="1"/>
    <n v="246.54"/>
    <n v="20.335000000000001"/>
    <n v="5013.3909000000003"/>
    <n v="5804.8351482239996"/>
    <n v="-791.44424822399924"/>
    <n v="0.71232876712328763"/>
    <n v="1"/>
    <n v="-791.44424822399924"/>
    <n v="0"/>
    <m/>
    <n v="-26.748959999999983"/>
  </r>
  <r>
    <x v="4"/>
    <s v="Purchase"/>
    <x v="63"/>
    <x v="1"/>
    <s v="USD"/>
    <d v="2021-08-19T00:00:00"/>
    <n v="976.03200000000004"/>
    <x v="1"/>
    <n v="25"/>
    <n v="39.04128"/>
    <n v="1"/>
    <n v="976.03200000000004"/>
    <n v="19.991199999999999"/>
    <n v="19512.0509184"/>
    <n v="113.899"/>
    <n v="121.02200000000001"/>
    <n v="1.0625"/>
    <n v="20731.5541008"/>
    <n v="829.26216403199999"/>
    <m/>
    <n v="25"/>
    <s v="Sale"/>
    <x v="52"/>
    <s v="USD"/>
    <n v="797.77611940298505"/>
    <n v="1"/>
    <n v="797.77611940298505"/>
    <n v="20.253499999999999"/>
    <n v="16157.758634328356"/>
    <n v="20731.5541008"/>
    <n v="-4573.7954664716435"/>
    <n v="0.72054794520547949"/>
    <n v="1"/>
    <n v="-4573.7954664716435"/>
    <n v="0"/>
    <m/>
    <n v="-178.25588059701499"/>
  </r>
  <r>
    <x v="4"/>
    <s v="Purchase"/>
    <x v="63"/>
    <x v="1"/>
    <s v="USD"/>
    <d v="2021-08-19T00:00:00"/>
    <n v="534.19000000000005"/>
    <x v="1"/>
    <n v="14"/>
    <n v="38.156428571428577"/>
    <n v="1"/>
    <n v="534.19000000000005"/>
    <n v="19.991199999999999"/>
    <n v="10679.099128"/>
    <n v="113.899"/>
    <n v="121.02200000000001"/>
    <n v="1.0625"/>
    <n v="11346.5428235"/>
    <n v="810.46734453571423"/>
    <m/>
    <n v="14"/>
    <s v="Sale"/>
    <x v="52"/>
    <s v="USD"/>
    <n v="446.75462686567164"/>
    <n v="1"/>
    <n v="446.75462686567164"/>
    <n v="20.253499999999999"/>
    <n v="9048.3448352238793"/>
    <n v="11346.5428235"/>
    <n v="-2298.1979882761207"/>
    <n v="0.72054794520547949"/>
    <n v="1"/>
    <n v="-2298.1979882761207"/>
    <n v="0"/>
    <m/>
    <n v="-87.435373134328415"/>
  </r>
  <r>
    <x v="4"/>
    <s v="Purchase"/>
    <x v="63"/>
    <x v="1"/>
    <s v="USD"/>
    <d v="2021-11-29T00:00:00"/>
    <n v="2857.72"/>
    <x v="1"/>
    <n v="74"/>
    <n v="38.617837837837833"/>
    <n v="1"/>
    <n v="2857.72"/>
    <n v="21.546199999999999"/>
    <n v="61573.006663999993"/>
    <n v="116.884"/>
    <n v="121.02200000000001"/>
    <n v="1.0354000000000001"/>
    <n v="63752.691099905598"/>
    <n v="861.52285270142704"/>
    <m/>
    <n v="74"/>
    <s v="Sale"/>
    <x v="52"/>
    <s v="USD"/>
    <n v="2361.4173134328357"/>
    <n v="1"/>
    <n v="2361.4173134328357"/>
    <n v="20.253499999999999"/>
    <n v="47826.965557611933"/>
    <n v="63752.691099905598"/>
    <n v="-15925.725542293665"/>
    <n v="0.44109589041095892"/>
    <n v="1"/>
    <n v="-15925.725542293665"/>
    <n v="0"/>
    <m/>
    <n v="-496.30268656716407"/>
  </r>
  <r>
    <x v="4"/>
    <s v="Purchase"/>
    <x v="63"/>
    <x v="1"/>
    <s v="USD"/>
    <d v="2021-11-29T00:00:00"/>
    <n v="818.89255813953491"/>
    <x v="1"/>
    <n v="21"/>
    <n v="38.994883720930233"/>
    <n v="1"/>
    <n v="818.89255813953491"/>
    <n v="21.546199999999999"/>
    <n v="17644.022836186046"/>
    <n v="116.884"/>
    <n v="121.02200000000001"/>
    <n v="1.0354000000000001"/>
    <n v="18268.621244587033"/>
    <n v="869.93434498033491"/>
    <m/>
    <n v="21"/>
    <s v="Sale"/>
    <x v="52"/>
    <s v="USD"/>
    <n v="670.13194029850752"/>
    <n v="1"/>
    <n v="670.13194029850752"/>
    <n v="20.253499999999999"/>
    <n v="13572.517252835822"/>
    <n v="18268.621244587033"/>
    <n v="-4696.1039917512117"/>
    <n v="0.44109589041095892"/>
    <n v="1"/>
    <n v="-4696.1039917512117"/>
    <n v="0"/>
    <m/>
    <n v="-148.7606178410274"/>
  </r>
  <r>
    <x v="4"/>
    <s v="Purchase"/>
    <x v="63"/>
    <x v="1"/>
    <s v="USD"/>
    <d v="2021-11-29T00:00:00"/>
    <n v="5888.2274418604648"/>
    <x v="1"/>
    <n v="151"/>
    <n v="38.994883720930233"/>
    <n v="1"/>
    <n v="5888.2274418604648"/>
    <n v="21.546199999999999"/>
    <n v="126868.92610781394"/>
    <n v="116.884"/>
    <n v="121.02200000000001"/>
    <n v="1.0354000000000001"/>
    <n v="131360.08609203057"/>
    <n v="869.93434498033491"/>
    <m/>
    <n v="151"/>
    <s v="Sale"/>
    <x v="53"/>
    <s v="USD"/>
    <n v="4737.9615662650604"/>
    <n v="1"/>
    <n v="4737.9615662650604"/>
    <n v="20.108499999999999"/>
    <n v="95273.30015524097"/>
    <n v="131360.08609203057"/>
    <n v="-36086.785936789602"/>
    <n v="0.44383561643835617"/>
    <n v="1"/>
    <n v="-36086.785936789602"/>
    <n v="0"/>
    <m/>
    <n v="-1150.2658755954044"/>
  </r>
  <r>
    <x v="4"/>
    <s v="Purchase"/>
    <x v="63"/>
    <x v="1"/>
    <s v="USD"/>
    <d v="2022-03-09T00:00:00"/>
    <n v="472.44999999999993"/>
    <x v="1"/>
    <n v="11"/>
    <n v="42.949999999999996"/>
    <n v="1"/>
    <n v="472.44999999999993"/>
    <n v="21.194700000000001"/>
    <n v="10013.436014999999"/>
    <n v="120.15900000000001"/>
    <n v="121.02200000000001"/>
    <n v="1.0071000000000001"/>
    <n v="10084.531410706501"/>
    <n v="916.77558279150003"/>
    <m/>
    <n v="11"/>
    <s v="Sale"/>
    <x v="53"/>
    <s v="USD"/>
    <n v="345.14951807228914"/>
    <n v="1"/>
    <n v="345.14951807228914"/>
    <n v="20.108499999999999"/>
    <n v="6940.4390841566255"/>
    <n v="10084.531410706501"/>
    <n v="-3144.092326549875"/>
    <n v="0.16986301369863013"/>
    <n v="1"/>
    <n v="-3144.092326549875"/>
    <n v="0"/>
    <m/>
    <n v="-127.30048192771079"/>
  </r>
  <r>
    <x v="4"/>
    <s v="Purchase"/>
    <x v="63"/>
    <x v="1"/>
    <s v="USD"/>
    <d v="2022-03-09T00:00:00"/>
    <n v="170.67999999999998"/>
    <x v="1"/>
    <n v="4"/>
    <n v="42.669999999999995"/>
    <n v="1"/>
    <n v="170.67999999999998"/>
    <n v="21.194700000000001"/>
    <n v="3617.5113959999999"/>
    <n v="120.15900000000001"/>
    <n v="121.02200000000001"/>
    <n v="1.0071000000000001"/>
    <n v="3643.1957269116001"/>
    <n v="910.79893172790003"/>
    <m/>
    <n v="4"/>
    <s v="Sale"/>
    <x v="53"/>
    <s v="USD"/>
    <n v="125.50891566265059"/>
    <n v="1"/>
    <n v="125.50891566265059"/>
    <n v="20.108499999999999"/>
    <n v="2523.7960306024092"/>
    <n v="3643.1957269116001"/>
    <n v="-1119.3996963091909"/>
    <n v="0.16986301369863013"/>
    <n v="1"/>
    <n v="-1119.3996963091909"/>
    <n v="0"/>
    <m/>
    <n v="-45.171084337349384"/>
  </r>
  <r>
    <x v="4"/>
    <s v="Purchase"/>
    <x v="63"/>
    <x v="1"/>
    <s v="USD"/>
    <d v="2022-03-09T00:00:00"/>
    <n v="341.35999999999996"/>
    <x v="1"/>
    <n v="8"/>
    <n v="42.669999999999995"/>
    <n v="1"/>
    <n v="341.35999999999996"/>
    <n v="21.194700000000001"/>
    <n v="7235.0227919999998"/>
    <n v="120.15900000000001"/>
    <n v="121.02200000000001"/>
    <n v="1.0071000000000001"/>
    <n v="7286.3914538232002"/>
    <n v="910.79893172790003"/>
    <m/>
    <n v="8"/>
    <s v="Sale"/>
    <x v="53"/>
    <s v="USD"/>
    <n v="249.92"/>
    <n v="1"/>
    <n v="249.92"/>
    <n v="20.108499999999999"/>
    <n v="5025.5163199999997"/>
    <n v="7286.3914538232002"/>
    <n v="-2260.8751338232005"/>
    <n v="0.16986301369863013"/>
    <n v="1"/>
    <n v="-2260.8751338232005"/>
    <n v="0"/>
    <m/>
    <n v="-91.439999999999969"/>
  </r>
  <r>
    <x v="4"/>
    <s v="Purchase"/>
    <x v="63"/>
    <x v="1"/>
    <s v="USD"/>
    <d v="2022-03-09T00:00:00"/>
    <n v="253.11"/>
    <x v="1"/>
    <n v="6"/>
    <n v="42.185000000000002"/>
    <n v="1"/>
    <n v="253.11"/>
    <n v="21.194700000000001"/>
    <n v="5364.5905170000005"/>
    <n v="120.15900000000001"/>
    <n v="121.02200000000001"/>
    <n v="1.0071000000000001"/>
    <n v="5402.6791096707011"/>
    <n v="900.44651827845018"/>
    <m/>
    <n v="6"/>
    <s v="Sale"/>
    <x v="53"/>
    <s v="USD"/>
    <n v="187.44"/>
    <n v="1"/>
    <n v="187.44"/>
    <n v="20.108499999999999"/>
    <n v="3769.13724"/>
    <n v="5402.6791096707011"/>
    <n v="-1633.5418696707011"/>
    <n v="0.16986301369863013"/>
    <n v="1"/>
    <n v="-1633.5418696707011"/>
    <n v="0"/>
    <m/>
    <n v="-65.670000000000016"/>
  </r>
  <r>
    <x v="4"/>
    <s v="Purchase"/>
    <x v="63"/>
    <x v="1"/>
    <s v="USD"/>
    <d v="2022-03-09T00:00:00"/>
    <n v="299.97935483870964"/>
    <x v="1"/>
    <n v="7"/>
    <n v="42.854193548387094"/>
    <n v="1"/>
    <n v="299.97935483870964"/>
    <n v="21.194700000000001"/>
    <n v="6357.9724319999996"/>
    <n v="120.15900000000001"/>
    <n v="121.02200000000001"/>
    <n v="1.0071000000000001"/>
    <n v="6403.1140362672004"/>
    <n v="914.73057660960001"/>
    <m/>
    <n v="7"/>
    <s v="Sale"/>
    <x v="53"/>
    <s v="USD"/>
    <n v="218.67999999999998"/>
    <n v="1"/>
    <n v="218.67999999999998"/>
    <n v="20.108499999999999"/>
    <n v="4397.3267799999994"/>
    <n v="6403.1140362672004"/>
    <n v="-2005.787256267201"/>
    <n v="0.16986301369863013"/>
    <n v="1"/>
    <n v="-2005.787256267201"/>
    <n v="0"/>
    <m/>
    <n v="-81.299354838709661"/>
  </r>
  <r>
    <x v="4"/>
    <s v="Purchase"/>
    <x v="63"/>
    <x v="1"/>
    <s v="USD"/>
    <d v="2022-03-09T00:00:00"/>
    <n v="899.93806451612897"/>
    <x v="1"/>
    <n v="21"/>
    <n v="42.854193548387094"/>
    <n v="1"/>
    <n v="899.93806451612897"/>
    <n v="21.194700000000001"/>
    <n v="19073.917296"/>
    <n v="120.15900000000001"/>
    <n v="121.02200000000001"/>
    <n v="1.0071000000000001"/>
    <n v="19209.3421088016"/>
    <n v="914.73057660960001"/>
    <m/>
    <n v="21"/>
    <s v="Sale"/>
    <x v="53"/>
    <s v="USD"/>
    <n v="664.14"/>
    <n v="1"/>
    <n v="664.14"/>
    <n v="20.108499999999999"/>
    <n v="13354.859189999999"/>
    <n v="19209.3421088016"/>
    <n v="-5854.482918801601"/>
    <n v="0.16986301369863013"/>
    <n v="1"/>
    <n v="-5854.482918801601"/>
    <n v="0"/>
    <m/>
    <n v="-235.79806451612899"/>
  </r>
  <r>
    <x v="4"/>
    <s v="Purchase"/>
    <x v="63"/>
    <x v="1"/>
    <s v="USD"/>
    <d v="2022-03-09T00:00:00"/>
    <n v="1457.0425806451613"/>
    <x v="1"/>
    <n v="34"/>
    <n v="42.854193548387094"/>
    <n v="1"/>
    <n v="1457.0425806451613"/>
    <n v="21.194700000000001"/>
    <n v="30881.580384000001"/>
    <n v="120.15900000000001"/>
    <n v="121.02200000000001"/>
    <n v="1.0071000000000001"/>
    <n v="31100.839604726403"/>
    <n v="914.73057660960012"/>
    <m/>
    <n v="34"/>
    <s v="Sale"/>
    <x v="53"/>
    <s v="USD"/>
    <n v="1060.8144680851065"/>
    <n v="1"/>
    <n v="1060.8144680851065"/>
    <n v="20.108499999999999"/>
    <n v="21331.387731489362"/>
    <n v="31100.839604726403"/>
    <n v="-9769.4518732370416"/>
    <n v="0.16986301369863013"/>
    <n v="1"/>
    <n v="-9769.4518732370416"/>
    <n v="0"/>
    <m/>
    <n v="-396.2281125600548"/>
  </r>
  <r>
    <x v="4"/>
    <s v="Purchase"/>
    <x v="63"/>
    <x v="1"/>
    <s v="USD"/>
    <d v="2022-03-09T00:00:00"/>
    <n v="549.74199999999996"/>
    <x v="1"/>
    <n v="13"/>
    <n v="42.287846153846154"/>
    <n v="1"/>
    <n v="549.74199999999996"/>
    <n v="21.194700000000001"/>
    <n v="11651.616767399999"/>
    <n v="120.15900000000001"/>
    <n v="121.02200000000001"/>
    <n v="1.0071000000000001"/>
    <n v="11734.34324644854"/>
    <n v="902.64178818834921"/>
    <m/>
    <n v="13"/>
    <s v="Sale"/>
    <x v="53"/>
    <s v="USD"/>
    <n v="405.60553191489362"/>
    <n v="1"/>
    <n v="405.60553191489362"/>
    <n v="20.108499999999999"/>
    <n v="8156.1188385106379"/>
    <n v="11734.34324644854"/>
    <n v="-3578.2244079379016"/>
    <n v="0.16986301369863013"/>
    <n v="1"/>
    <n v="-3578.2244079379016"/>
    <n v="0"/>
    <m/>
    <n v="-144.13646808510634"/>
  </r>
  <r>
    <x v="4"/>
    <s v="Purchase"/>
    <x v="63"/>
    <x v="1"/>
    <s v="USD"/>
    <d v="2022-03-09T00:00:00"/>
    <n v="253.72707692307694"/>
    <x v="1"/>
    <n v="6"/>
    <n v="42.287846153846154"/>
    <n v="1"/>
    <n v="253.72707692307694"/>
    <n v="21.194700000000001"/>
    <n v="5377.6692772615388"/>
    <n v="120.15900000000001"/>
    <n v="121.02200000000001"/>
    <n v="1.0071000000000001"/>
    <n v="5415.8507291300966"/>
    <n v="902.64178818834944"/>
    <m/>
    <n v="6"/>
    <s v="Sale"/>
    <x v="53"/>
    <s v="USD"/>
    <n v="186.78"/>
    <n v="1"/>
    <n v="186.78"/>
    <n v="20.108499999999999"/>
    <n v="3755.8656299999998"/>
    <n v="5415.8507291300966"/>
    <n v="-1659.9850991300968"/>
    <n v="0.16986301369863013"/>
    <n v="1"/>
    <n v="-1659.9850991300968"/>
    <n v="0"/>
    <m/>
    <n v="-66.947076923076935"/>
  </r>
  <r>
    <x v="4"/>
    <s v="Purchase"/>
    <x v="63"/>
    <x v="1"/>
    <s v="USD"/>
    <d v="2022-03-09T00:00:00"/>
    <n v="1945.2409230769231"/>
    <x v="1"/>
    <n v="46"/>
    <n v="42.287846153846154"/>
    <n v="1"/>
    <n v="1945.2409230769231"/>
    <n v="21.194700000000001"/>
    <n v="41228.797792338461"/>
    <n v="120.15900000000001"/>
    <n v="121.02200000000001"/>
    <n v="1.0071000000000001"/>
    <n v="41521.522256664066"/>
    <n v="902.64178818834921"/>
    <m/>
    <n v="46"/>
    <s v="Sale"/>
    <x v="5"/>
    <s v="USD"/>
    <n v="1430.4553225806451"/>
    <n v="1"/>
    <n v="1430.4553225806451"/>
    <n v="20.3172"/>
    <n v="29062.846879935481"/>
    <n v="41521.522256664066"/>
    <n v="-12458.675376728585"/>
    <n v="0.17260273972602741"/>
    <n v="1"/>
    <n v="-12458.675376728585"/>
    <n v="0"/>
    <m/>
    <n v="-514.78560049627799"/>
  </r>
  <r>
    <x v="4"/>
    <s v="Purchase"/>
    <x v="63"/>
    <x v="1"/>
    <s v="USD"/>
    <d v="2022-03-09T00:00:00"/>
    <n v="2990.97"/>
    <x v="1"/>
    <n v="70"/>
    <n v="42.728142857142856"/>
    <n v="1"/>
    <n v="2990.97"/>
    <n v="21.194700000000001"/>
    <n v="63392.711858999995"/>
    <n v="120.15900000000001"/>
    <n v="121.02200000000001"/>
    <n v="1.0071000000000001"/>
    <n v="63842.8001131989"/>
    <n v="912.04000161712713"/>
    <m/>
    <n v="70"/>
    <s v="Sale"/>
    <x v="5"/>
    <s v="USD"/>
    <n v="2176.7798387096773"/>
    <n v="1"/>
    <n v="2176.7798387096773"/>
    <n v="20.3172"/>
    <n v="44226.071339032256"/>
    <n v="63842.8001131989"/>
    <n v="-19616.728774166644"/>
    <n v="0.17260273972602741"/>
    <n v="1"/>
    <n v="-19616.728774166644"/>
    <n v="0"/>
    <m/>
    <n v="-814.19016129032252"/>
  </r>
  <r>
    <x v="4"/>
    <s v="Purchase"/>
    <x v="63"/>
    <x v="1"/>
    <s v="USD"/>
    <d v="2022-03-10T00:00:00"/>
    <n v="348.49684210526311"/>
    <x v="1"/>
    <n v="8"/>
    <n v="43.562105263157889"/>
    <n v="1"/>
    <n v="348.49684210526311"/>
    <n v="21.377500000000001"/>
    <n v="7449.9912421052622"/>
    <n v="120.15900000000001"/>
    <n v="121.02200000000001"/>
    <n v="1.0071000000000001"/>
    <n v="7502.8861799242104"/>
    <n v="937.8607724905263"/>
    <m/>
    <n v="8"/>
    <s v="Sale"/>
    <x v="5"/>
    <s v="USD"/>
    <n v="248.77483870967743"/>
    <n v="1"/>
    <n v="248.77483870967743"/>
    <n v="20.3172"/>
    <n v="5054.4081530322583"/>
    <n v="7502.8861799242104"/>
    <n v="-2448.4780268919521"/>
    <n v="0.16986301369863013"/>
    <n v="1"/>
    <n v="-2448.4780268919521"/>
    <n v="0"/>
    <m/>
    <n v="-99.722003395585688"/>
  </r>
  <r>
    <x v="4"/>
    <s v="Purchase"/>
    <x v="63"/>
    <x v="1"/>
    <s v="USD"/>
    <d v="2022-03-10T00:00:00"/>
    <n v="479.18315789473678"/>
    <x v="1"/>
    <n v="11"/>
    <n v="43.562105263157889"/>
    <n v="1"/>
    <n v="479.18315789473678"/>
    <n v="21.377500000000001"/>
    <n v="10243.737957894737"/>
    <n v="120.15900000000001"/>
    <n v="121.02200000000001"/>
    <n v="1.0071000000000001"/>
    <n v="10316.46849739579"/>
    <n v="937.86077249052641"/>
    <m/>
    <n v="11"/>
    <s v="Sale"/>
    <x v="5"/>
    <s v="USD"/>
    <n v="339.73500000000001"/>
    <n v="1"/>
    <n v="339.73500000000001"/>
    <n v="20.3172"/>
    <n v="6902.4639420000003"/>
    <n v="10316.46849739579"/>
    <n v="-3414.0045553957898"/>
    <n v="0.16986301369863013"/>
    <n v="1"/>
    <n v="-3414.0045553957898"/>
    <n v="0"/>
    <m/>
    <n v="-139.44815789473677"/>
  </r>
  <r>
    <x v="4"/>
    <s v="Purchase"/>
    <x v="63"/>
    <x v="1"/>
    <s v="USD"/>
    <d v="2022-03-16T00:00:00"/>
    <n v="600.92882352941183"/>
    <x v="1"/>
    <n v="13"/>
    <n v="46.225294117647067"/>
    <n v="1"/>
    <n v="600.92882352941183"/>
    <n v="20.890799999999999"/>
    <n v="12553.883866588236"/>
    <n v="120.15900000000001"/>
    <n v="121.02200000000001"/>
    <n v="1.0071000000000001"/>
    <n v="12643.016442041013"/>
    <n v="972.53972631084719"/>
    <m/>
    <n v="13"/>
    <s v="Sale"/>
    <x v="5"/>
    <s v="USD"/>
    <n v="401.505"/>
    <n v="1"/>
    <n v="401.505"/>
    <n v="20.3172"/>
    <n v="8157.457386"/>
    <n v="12643.016442041013"/>
    <n v="-4485.5590560410128"/>
    <n v="0.15342465753424658"/>
    <n v="1"/>
    <n v="-4485.5590560410128"/>
    <n v="0"/>
    <m/>
    <n v="-199.42382352941183"/>
  </r>
  <r>
    <x v="4"/>
    <s v="Purchase"/>
    <x v="63"/>
    <x v="1"/>
    <s v="USD"/>
    <d v="2022-03-16T00:00:00"/>
    <n v="184.90117647058824"/>
    <x v="1"/>
    <n v="4"/>
    <n v="46.22529411764706"/>
    <n v="1"/>
    <n v="184.90117647058824"/>
    <n v="20.890799999999999"/>
    <n v="3862.7334974117643"/>
    <n v="120.15900000000001"/>
    <n v="121.02200000000001"/>
    <n v="1.0071000000000001"/>
    <n v="3890.1589052433883"/>
    <n v="972.53972631084707"/>
    <m/>
    <n v="4"/>
    <s v="Sale"/>
    <x v="5"/>
    <s v="USD"/>
    <n v="129.36571428571429"/>
    <n v="1"/>
    <n v="129.36571428571429"/>
    <n v="20.3172"/>
    <n v="2628.3490902857143"/>
    <n v="3890.1589052433883"/>
    <n v="-1261.809814957674"/>
    <n v="0.15342465753424658"/>
    <n v="1"/>
    <n v="-1261.809814957674"/>
    <n v="0"/>
    <m/>
    <n v="-55.53546218487395"/>
  </r>
  <r>
    <x v="4"/>
    <s v="Purchase"/>
    <x v="63"/>
    <x v="1"/>
    <s v="USD"/>
    <d v="2022-03-16T00:00:00"/>
    <n v="137.11588235294118"/>
    <x v="1"/>
    <n v="3"/>
    <n v="45.705294117647064"/>
    <n v="1"/>
    <n v="137.11588235294118"/>
    <n v="20.890799999999999"/>
    <n v="2864.4604750588237"/>
    <n v="120.15900000000001"/>
    <n v="121.02200000000001"/>
    <n v="1.0071000000000001"/>
    <n v="2884.7981444317415"/>
    <n v="961.59938147724722"/>
    <m/>
    <n v="3"/>
    <s v="Sale"/>
    <x v="5"/>
    <s v="USD"/>
    <n v="97.024285714285725"/>
    <n v="1"/>
    <n v="97.024285714285725"/>
    <n v="20.3172"/>
    <n v="1971.2618177142858"/>
    <n v="2884.7981444317415"/>
    <n v="-913.53632671745572"/>
    <n v="0.15342465753424658"/>
    <n v="1"/>
    <n v="-913.53632671745572"/>
    <n v="0"/>
    <m/>
    <n v="-40.09159663865546"/>
  </r>
  <r>
    <x v="4"/>
    <s v="Purchase"/>
    <x v="63"/>
    <x v="1"/>
    <s v="USD"/>
    <d v="2022-03-16T00:00:00"/>
    <n v="639.87411764705882"/>
    <x v="1"/>
    <n v="14"/>
    <n v="45.705294117647057"/>
    <n v="1"/>
    <n v="639.87411764705882"/>
    <n v="20.890799999999999"/>
    <n v="13367.482216941176"/>
    <n v="120.15900000000001"/>
    <n v="121.02200000000001"/>
    <n v="1.0071000000000001"/>
    <n v="13462.391340681461"/>
    <n v="961.59938147724722"/>
    <m/>
    <n v="14"/>
    <s v="Sale"/>
    <x v="5"/>
    <s v="USD"/>
    <n v="443.00215053763441"/>
    <n v="1"/>
    <n v="443.00215053763441"/>
    <n v="20.3172"/>
    <n v="9000.5632929032254"/>
    <n v="13462.391340681461"/>
    <n v="-4461.8280477782355"/>
    <n v="0.15342465753424658"/>
    <n v="1"/>
    <n v="-4461.8280477782355"/>
    <n v="0"/>
    <m/>
    <n v="-196.87196710942442"/>
  </r>
  <r>
    <x v="4"/>
    <s v="Purchase"/>
    <x v="63"/>
    <x v="1"/>
    <s v="USD"/>
    <d v="2022-03-16T00:00:00"/>
    <n v="1156.69"/>
    <x v="1"/>
    <n v="25"/>
    <n v="46.267600000000002"/>
    <n v="1"/>
    <n v="1156.69"/>
    <n v="20.890799999999999"/>
    <n v="24164.179452"/>
    <n v="120.15900000000001"/>
    <n v="121.02200000000001"/>
    <n v="1.0071000000000001"/>
    <n v="24335.745126109203"/>
    <n v="973.42980504436809"/>
    <m/>
    <n v="25"/>
    <s v="Sale"/>
    <x v="5"/>
    <s v="USD"/>
    <n v="791.07526881720435"/>
    <n v="1"/>
    <n v="791.07526881720435"/>
    <n v="20.3172"/>
    <n v="16072.434451612904"/>
    <n v="24335.745126109203"/>
    <n v="-8263.3106744962988"/>
    <n v="0.15342465753424658"/>
    <n v="1"/>
    <n v="-8263.3106744962988"/>
    <n v="0"/>
    <m/>
    <n v="-365.61473118279571"/>
  </r>
  <r>
    <x v="4"/>
    <s v="Purchase"/>
    <x v="63"/>
    <x v="1"/>
    <s v="USD"/>
    <d v="2022-03-16T00:00:00"/>
    <n v="2484.1583999999998"/>
    <x v="1"/>
    <n v="54"/>
    <n v="46.002933333333331"/>
    <n v="1"/>
    <n v="2484.1583999999998"/>
    <n v="20.890799999999999"/>
    <n v="51896.05630271999"/>
    <n v="120.15900000000001"/>
    <n v="121.02200000000001"/>
    <n v="1.0071000000000001"/>
    <n v="52264.518302469311"/>
    <n v="967.86145004572802"/>
    <m/>
    <n v="54"/>
    <s v="Sale"/>
    <x v="5"/>
    <s v="USD"/>
    <n v="1708.7225806451613"/>
    <n v="1"/>
    <n v="1708.7225806451613"/>
    <n v="20.3172"/>
    <n v="34716.458415483874"/>
    <n v="52264.518302469311"/>
    <n v="-17548.059886985437"/>
    <n v="0.15342465753424658"/>
    <n v="1"/>
    <n v="-17548.059886985437"/>
    <n v="0"/>
    <m/>
    <n v="-775.43581935483849"/>
  </r>
  <r>
    <x v="4"/>
    <s v="Purchase"/>
    <x v="63"/>
    <x v="1"/>
    <s v="USD"/>
    <d v="2022-03-16T00:00:00"/>
    <n v="966.0616"/>
    <x v="1"/>
    <n v="21"/>
    <n v="46.002933333333331"/>
    <n v="1"/>
    <n v="966.0616"/>
    <n v="20.890799999999999"/>
    <n v="20181.799673279998"/>
    <n v="120.15900000000001"/>
    <n v="121.02200000000001"/>
    <n v="1.0071000000000001"/>
    <n v="20325.090450960288"/>
    <n v="967.86145004572802"/>
    <m/>
    <n v="21"/>
    <s v="Sale"/>
    <x v="1"/>
    <s v="USD"/>
    <n v="619.41999999999996"/>
    <n v="1"/>
    <n v="619.41999999999996"/>
    <n v="20.372"/>
    <n v="12618.82424"/>
    <n v="20325.090450960288"/>
    <n v="-7706.2662109602879"/>
    <n v="0.15616438356164383"/>
    <n v="1"/>
    <n v="-7706.2662109602879"/>
    <n v="0"/>
    <m/>
    <n v="-346.64160000000004"/>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4"/>
    <s v="Purchase"/>
    <x v="64"/>
    <x v="2"/>
    <s v="USD"/>
    <d v="2021-03-04T00:00:00"/>
    <n v="17419.359999999997"/>
    <x v="2"/>
    <n v="206"/>
    <n v="84.559999999999988"/>
    <n v="1"/>
    <n v="17419.359999999997"/>
    <n v="20.690300000000001"/>
    <n v="360411.78420799994"/>
    <n v="111.824"/>
    <n v="121.02200000000001"/>
    <n v="1.0822000000000001"/>
    <n v="390037.63286989753"/>
    <n v="1893.3865673295998"/>
    <m/>
    <n v="206"/>
    <s v="Sale"/>
    <x v="23"/>
    <s v="USD"/>
    <n v="9930.56"/>
    <n v="1"/>
    <n v="9930.56"/>
    <n v="19.6128"/>
    <n v="194766.087168"/>
    <n v="390037.63286989753"/>
    <n v="-195271.54570189753"/>
    <n v="1.2767123287671234"/>
    <n v="1"/>
    <n v="-195271.54570189753"/>
    <n v="0"/>
    <m/>
    <n v="-7488.7999999999975"/>
  </r>
  <r>
    <x v="4"/>
    <s v="Purchase"/>
    <x v="64"/>
    <x v="2"/>
    <s v="USD"/>
    <d v="2021-03-04T00:00:00"/>
    <n v="1268.3999999999999"/>
    <x v="2"/>
    <n v="15"/>
    <n v="84.559999999999988"/>
    <n v="1"/>
    <n v="1268.3999999999999"/>
    <n v="20.690300000000001"/>
    <n v="26243.576519999999"/>
    <n v="111.824"/>
    <n v="121.02200000000001"/>
    <n v="1.0822000000000001"/>
    <n v="28400.798509944001"/>
    <n v="1893.3865673296"/>
    <m/>
    <n v="15"/>
    <s v="Sale"/>
    <x v="23"/>
    <s v="USD"/>
    <n v="712.92364864864874"/>
    <n v="1"/>
    <n v="712.92364864864874"/>
    <n v="19.6128"/>
    <n v="13982.428936216218"/>
    <n v="28400.798509944001"/>
    <n v="-14418.369573727783"/>
    <n v="1.2767123287671234"/>
    <n v="1"/>
    <n v="-14418.369573727783"/>
    <n v="0"/>
    <m/>
    <n v="-555.47635135135113"/>
  </r>
  <r>
    <x v="4"/>
    <s v="Purchase"/>
    <x v="64"/>
    <x v="2"/>
    <s v="USD"/>
    <d v="2021-06-01T00:00:00"/>
    <n v="5244.6004032258061"/>
    <x v="2"/>
    <n v="59"/>
    <n v="88.891532258064515"/>
    <n v="1"/>
    <n v="5244.6004032258061"/>
    <n v="19.944199999999999"/>
    <n v="104599.35936201611"/>
    <n v="113.018"/>
    <n v="121.02200000000001"/>
    <n v="1.0708"/>
    <n v="112004.99400484686"/>
    <n v="1898.3897288957094"/>
    <m/>
    <n v="59"/>
    <s v="Sale"/>
    <x v="23"/>
    <s v="USD"/>
    <n v="2804.1663513513513"/>
    <n v="1"/>
    <n v="2804.1663513513513"/>
    <n v="19.6128"/>
    <n v="54997.55381578378"/>
    <n v="112004.99400484686"/>
    <n v="-57007.440189063076"/>
    <n v="1.0328767123287672"/>
    <n v="1"/>
    <n v="-57007.440189063076"/>
    <n v="0"/>
    <m/>
    <n v="-2440.4340518744548"/>
  </r>
  <r>
    <x v="4"/>
    <s v="Purchase"/>
    <x v="64"/>
    <x v="2"/>
    <s v="USD"/>
    <d v="2021-06-01T00:00:00"/>
    <n v="3377.8782258064516"/>
    <x v="2"/>
    <n v="38"/>
    <n v="88.891532258064515"/>
    <n v="1"/>
    <n v="3377.8782258064516"/>
    <n v="19.944199999999999"/>
    <n v="67369.078911129021"/>
    <n v="113.018"/>
    <n v="121.02200000000001"/>
    <n v="1.0708"/>
    <n v="72138.809698036959"/>
    <n v="1898.3897288957094"/>
    <m/>
    <n v="38"/>
    <s v="Sale"/>
    <x v="54"/>
    <s v="USD"/>
    <n v="1715.66"/>
    <n v="1"/>
    <n v="1715.66"/>
    <n v="19.9297"/>
    <n v="34192.589102000005"/>
    <n v="72138.809698036959"/>
    <n v="-37946.220596036954"/>
    <n v="1.0356164383561643"/>
    <n v="1"/>
    <n v="-37946.220596036954"/>
    <n v="0"/>
    <m/>
    <n v="-1662.2182258064515"/>
  </r>
  <r>
    <x v="4"/>
    <s v="Purchase"/>
    <x v="64"/>
    <x v="2"/>
    <s v="USD"/>
    <d v="2021-06-01T00:00:00"/>
    <n v="2400.071370967742"/>
    <x v="2"/>
    <n v="27"/>
    <n v="88.891532258064515"/>
    <n v="1"/>
    <n v="2400.071370967742"/>
    <n v="19.944199999999999"/>
    <n v="47867.503436854837"/>
    <n v="113.018"/>
    <n v="121.02200000000001"/>
    <n v="1.0708"/>
    <n v="51256.522680184156"/>
    <n v="1898.3897288957096"/>
    <m/>
    <n v="27"/>
    <s v="Sale"/>
    <x v="54"/>
    <s v="USD"/>
    <n v="1227.8647058823528"/>
    <n v="1"/>
    <n v="1227.8647058823528"/>
    <n v="19.9297"/>
    <n v="24470.975228823529"/>
    <n v="51256.522680184156"/>
    <n v="-26785.547451360628"/>
    <n v="1.0356164383561643"/>
    <n v="1"/>
    <n v="-26785.547451360628"/>
    <n v="0"/>
    <m/>
    <n v="-1172.2066650853892"/>
  </r>
  <r>
    <x v="4"/>
    <s v="Purchase"/>
    <x v="64"/>
    <x v="2"/>
    <s v="USD"/>
    <d v="2021-12-17T00:00:00"/>
    <n v="2432.0663414634146"/>
    <x v="2"/>
    <n v="24"/>
    <n v="101.3360975609756"/>
    <n v="1"/>
    <n v="2432.0663414634146"/>
    <n v="21.2393"/>
    <n v="51655.386646243904"/>
    <n v="117.30800000000001"/>
    <n v="121.02200000000001"/>
    <n v="1.0316000000000001"/>
    <n v="53287.696864265214"/>
    <n v="2220.3207026777172"/>
    <m/>
    <n v="24"/>
    <s v="Sale"/>
    <x v="54"/>
    <s v="USD"/>
    <n v="1091.4352941176471"/>
    <n v="1"/>
    <n v="1091.4352941176471"/>
    <n v="19.9297"/>
    <n v="21751.977981176471"/>
    <n v="53287.696864265214"/>
    <n v="-31535.718883088743"/>
    <n v="0.49041095890410957"/>
    <n v="1"/>
    <n v="-31535.718883088743"/>
    <n v="0"/>
    <m/>
    <n v="-1340.6310473457675"/>
  </r>
  <r>
    <x v="4"/>
    <s v="Purchase"/>
    <x v="64"/>
    <x v="2"/>
    <s v="USD"/>
    <d v="2021-12-17T00:00:00"/>
    <n v="5877.4936585365849"/>
    <x v="2"/>
    <n v="58"/>
    <n v="101.3360975609756"/>
    <n v="1"/>
    <n v="5877.4936585365849"/>
    <n v="21.2393"/>
    <n v="124833.85106175608"/>
    <n v="117.30800000000001"/>
    <n v="121.02200000000001"/>
    <n v="1.0316000000000001"/>
    <n v="128778.60075530759"/>
    <n v="2220.3207026777172"/>
    <m/>
    <n v="58"/>
    <s v="Sale"/>
    <x v="54"/>
    <s v="USD"/>
    <n v="2659.4288888888887"/>
    <n v="1"/>
    <n v="2659.4288888888887"/>
    <n v="19.9297"/>
    <n v="53001.619926888889"/>
    <n v="128778.60075530761"/>
    <n v="-75776.980828418717"/>
    <n v="0.49041095890410957"/>
    <n v="1"/>
    <n v="-75776.980828418717"/>
    <n v="0"/>
    <m/>
    <n v="-3218.0647696476963"/>
  </r>
  <r>
    <x v="4"/>
    <s v="Purchase"/>
    <x v="64"/>
    <x v="2"/>
    <s v="USD"/>
    <d v="2021-12-27T00:00:00"/>
    <n v="105.83"/>
    <x v="2"/>
    <n v="1"/>
    <n v="105.83"/>
    <n v="1"/>
    <n v="105.83"/>
    <n v="20.658200000000001"/>
    <n v="2186.257306"/>
    <n v="117.30800000000001"/>
    <n v="121.02200000000001"/>
    <n v="1.0316000000000001"/>
    <n v="2255.3430368695999"/>
    <n v="2255.3430368695999"/>
    <m/>
    <n v="1"/>
    <s v="Sale"/>
    <x v="54"/>
    <s v="USD"/>
    <n v="45.852222222222217"/>
    <n v="1"/>
    <n v="45.852222222222217"/>
    <n v="19.9297"/>
    <n v="913.82103322222213"/>
    <n v="2255.3430368695999"/>
    <n v="-1341.5220036473779"/>
    <n v="0.46301369863013697"/>
    <n v="1"/>
    <n v="-1341.5220036473779"/>
    <n v="0"/>
    <m/>
    <n v="-59.977777777777781"/>
  </r>
  <r>
    <x v="4"/>
    <s v="Purchase"/>
    <x v="64"/>
    <x v="2"/>
    <s v="USD"/>
    <d v="2021-12-27T00:00:00"/>
    <n v="632.01"/>
    <x v="2"/>
    <n v="6"/>
    <n v="105.33499999999999"/>
    <n v="1"/>
    <n v="632.01"/>
    <n v="20.658200000000001"/>
    <n v="13056.188982"/>
    <n v="117.30800000000001"/>
    <n v="121.02200000000001"/>
    <n v="1.0316000000000001"/>
    <n v="13468.764553831201"/>
    <n v="2244.7940923052001"/>
    <m/>
    <n v="6"/>
    <s v="Sale"/>
    <x v="54"/>
    <s v="USD"/>
    <n v="275.11333333333329"/>
    <n v="1"/>
    <n v="275.11333333333329"/>
    <n v="19.9297"/>
    <n v="5482.9261993333321"/>
    <n v="13468.764553831201"/>
    <n v="-7985.8383544978687"/>
    <n v="0.46301369863013697"/>
    <n v="1"/>
    <n v="-7985.8383544978687"/>
    <n v="0"/>
    <m/>
    <n v="-356.8966666666667"/>
  </r>
  <r>
    <x v="4"/>
    <s v="Purchase"/>
    <x v="64"/>
    <x v="2"/>
    <s v="USD"/>
    <d v="2021-12-27T00:00:00"/>
    <n v="1381.64"/>
    <x v="2"/>
    <n v="13"/>
    <n v="106.28"/>
    <n v="1"/>
    <n v="1381.64"/>
    <n v="20.658200000000001"/>
    <n v="28542.195448000002"/>
    <n v="117.30800000000001"/>
    <n v="121.02200000000001"/>
    <n v="1.0316000000000001"/>
    <n v="29444.128824156804"/>
    <n v="2264.9329864736001"/>
    <m/>
    <n v="13"/>
    <s v="Sale"/>
    <x v="54"/>
    <s v="USD"/>
    <n v="596.07888888888886"/>
    <n v="1"/>
    <n v="596.07888888888886"/>
    <n v="19.9297"/>
    <n v="11879.673431888888"/>
    <n v="29444.1288241568"/>
    <n v="-17564.455392267912"/>
    <n v="0.46301369863013697"/>
    <n v="1"/>
    <n v="-17564.455392267912"/>
    <n v="0"/>
    <m/>
    <n v="-785.56111111111125"/>
  </r>
  <r>
    <x v="4"/>
    <s v="Purchase"/>
    <x v="64"/>
    <x v="2"/>
    <s v="USD"/>
    <d v="2021-12-27T00:00:00"/>
    <n v="1268.9112"/>
    <x v="2"/>
    <n v="12"/>
    <n v="105.7426"/>
    <n v="1"/>
    <n v="1268.9112"/>
    <n v="20.658200000000001"/>
    <n v="26213.421351840003"/>
    <n v="117.30800000000001"/>
    <n v="121.02200000000001"/>
    <n v="1.0316000000000001"/>
    <n v="27041.76546655815"/>
    <n v="2253.4804555465125"/>
    <m/>
    <n v="12"/>
    <s v="Sale"/>
    <x v="54"/>
    <s v="USD"/>
    <n v="550.22666666666657"/>
    <n v="1"/>
    <n v="550.22666666666657"/>
    <n v="19.9297"/>
    <n v="10965.852398666664"/>
    <n v="27041.76546655815"/>
    <n v="-16075.913067891486"/>
    <n v="0.46301369863013697"/>
    <n v="1"/>
    <n v="-16075.913067891486"/>
    <n v="0"/>
    <m/>
    <n v="-718.68453333333343"/>
  </r>
  <r>
    <x v="4"/>
    <s v="Purchase"/>
    <x v="64"/>
    <x v="2"/>
    <s v="USD"/>
    <d v="2021-12-27T00:00:00"/>
    <n v="1057.4259999999999"/>
    <x v="2"/>
    <n v="10"/>
    <n v="105.7426"/>
    <n v="1"/>
    <n v="1057.4259999999999"/>
    <n v="20.658200000000001"/>
    <n v="21844.517793200001"/>
    <n v="117.30800000000001"/>
    <n v="121.02200000000001"/>
    <n v="1.0316000000000001"/>
    <n v="22534.804555465122"/>
    <n v="2253.4804555465121"/>
    <m/>
    <n v="10"/>
    <s v="Sale"/>
    <x v="55"/>
    <s v="USD"/>
    <n v="465.89"/>
    <n v="1"/>
    <n v="465.89"/>
    <n v="20.4527"/>
    <n v="9528.7084030000005"/>
    <n v="22534.804555465122"/>
    <n v="-13006.096152465121"/>
    <n v="0.46575342465753422"/>
    <n v="1"/>
    <n v="-13006.096152465121"/>
    <n v="0"/>
    <m/>
    <n v="-591.53599999999994"/>
  </r>
  <r>
    <x v="4"/>
    <s v="Purchase"/>
    <x v="64"/>
    <x v="2"/>
    <s v="USD"/>
    <d v="2021-12-27T00:00:00"/>
    <n v="2960.7927999999997"/>
    <x v="2"/>
    <n v="28"/>
    <n v="105.7426"/>
    <n v="1"/>
    <n v="2960.7927999999997"/>
    <n v="20.658200000000001"/>
    <n v="61164.649820959996"/>
    <n v="117.30800000000001"/>
    <n v="121.02200000000001"/>
    <n v="1.0316000000000001"/>
    <n v="63097.452755302336"/>
    <n v="2253.4804555465121"/>
    <m/>
    <n v="28"/>
    <s v="Sale"/>
    <x v="55"/>
    <s v="USD"/>
    <n v="1316.2372881355932"/>
    <n v="1"/>
    <n v="1316.2372881355932"/>
    <n v="20.4527"/>
    <n v="26920.606383050846"/>
    <n v="63097.452755302336"/>
    <n v="-36176.846372251486"/>
    <n v="0.46575342465753422"/>
    <n v="1"/>
    <n v="-36176.846372251486"/>
    <n v="0"/>
    <m/>
    <n v="-1644.5555118644065"/>
  </r>
  <r>
    <x v="4"/>
    <s v="Purchase"/>
    <x v="64"/>
    <x v="2"/>
    <s v="USD"/>
    <d v="2021-12-28T00:00:00"/>
    <n v="736.89"/>
    <x v="2"/>
    <n v="7"/>
    <n v="105.27"/>
    <n v="1"/>
    <n v="736.89"/>
    <n v="20.6112"/>
    <n v="15188.187168"/>
    <n v="117.30800000000001"/>
    <n v="121.02200000000001"/>
    <n v="1.0316000000000001"/>
    <n v="15668.133882508802"/>
    <n v="2238.3048403584003"/>
    <m/>
    <n v="7"/>
    <s v="Sale"/>
    <x v="55"/>
    <s v="USD"/>
    <n v="329.0593220338983"/>
    <n v="1"/>
    <n v="329.0593220338983"/>
    <n v="20.4527"/>
    <n v="6730.1515957627116"/>
    <n v="15668.133882508802"/>
    <n v="-8937.9822867460898"/>
    <n v="0.46301369863013697"/>
    <n v="1"/>
    <n v="-8937.9822867460898"/>
    <n v="0"/>
    <m/>
    <n v="-407.83067796610169"/>
  </r>
  <r>
    <x v="4"/>
    <s v="Purchase"/>
    <x v="64"/>
    <x v="2"/>
    <s v="USD"/>
    <d v="2021-12-28T00:00:00"/>
    <n v="737.55"/>
    <x v="2"/>
    <n v="7"/>
    <n v="105.36428571428571"/>
    <n v="1"/>
    <n v="737.55"/>
    <n v="20.6112"/>
    <n v="15201.790559999999"/>
    <n v="117.30800000000001"/>
    <n v="121.02200000000001"/>
    <n v="1.0316000000000001"/>
    <n v="15682.167141696"/>
    <n v="2240.3095916708571"/>
    <m/>
    <n v="7"/>
    <s v="Sale"/>
    <x v="55"/>
    <s v="USD"/>
    <n v="329.0593220338983"/>
    <n v="1"/>
    <n v="329.0593220338983"/>
    <n v="20.4527"/>
    <n v="6730.1515957627116"/>
    <n v="15682.167141696"/>
    <n v="-8952.0155459332891"/>
    <n v="0.46301369863013697"/>
    <n v="1"/>
    <n v="-8952.0155459332891"/>
    <n v="0"/>
    <m/>
    <n v="-408.49067796610166"/>
  </r>
  <r>
    <x v="4"/>
    <s v="Purchase"/>
    <x v="64"/>
    <x v="2"/>
    <s v="USD"/>
    <d v="2021-12-28T00:00:00"/>
    <n v="1896.02"/>
    <x v="2"/>
    <n v="18"/>
    <n v="105.33444444444444"/>
    <n v="1"/>
    <n v="1896.02"/>
    <n v="20.6112"/>
    <n v="39079.247424000001"/>
    <n v="117.30800000000001"/>
    <n v="121.02200000000001"/>
    <n v="1.0316000000000001"/>
    <n v="40314.151642598401"/>
    <n v="2239.6750912554667"/>
    <m/>
    <n v="18"/>
    <s v="Sale"/>
    <x v="55"/>
    <s v="USD"/>
    <n v="846.15254237288127"/>
    <n v="1"/>
    <n v="846.15254237288127"/>
    <n v="20.4527"/>
    <n v="17306.104103389829"/>
    <n v="40314.151642598401"/>
    <n v="-23008.047539208572"/>
    <n v="0.46301369863013697"/>
    <n v="1"/>
    <n v="-23008.047539208572"/>
    <n v="0"/>
    <m/>
    <n v="-1049.8674576271187"/>
  </r>
  <r>
    <x v="4"/>
    <s v="Purchase"/>
    <x v="64"/>
    <x v="2"/>
    <s v="USD"/>
    <d v="2021-12-29T00:00:00"/>
    <n v="1258.26"/>
    <x v="2"/>
    <n v="12"/>
    <n v="104.855"/>
    <n v="1"/>
    <n v="1258.26"/>
    <n v="20.6828"/>
    <n v="26024.339928000001"/>
    <n v="117.30800000000001"/>
    <n v="121.02200000000001"/>
    <n v="1.0316000000000001"/>
    <n v="26846.709069724802"/>
    <n v="2237.2257558104002"/>
    <m/>
    <n v="12"/>
    <s v="Sale"/>
    <x v="55"/>
    <s v="USD"/>
    <n v="564.10169491525426"/>
    <n v="1"/>
    <n v="564.10169491525426"/>
    <n v="20.4527"/>
    <n v="11537.402735593221"/>
    <n v="26846.709069724802"/>
    <n v="-15309.306334131581"/>
    <n v="0.46027397260273972"/>
    <n v="1"/>
    <n v="-15309.306334131581"/>
    <n v="0"/>
    <m/>
    <n v="-694.15830508474573"/>
  </r>
  <r>
    <x v="4"/>
    <s v="Purchase"/>
    <x v="64"/>
    <x v="2"/>
    <s v="USD"/>
    <d v="2021-12-29T00:00:00"/>
    <n v="4835.6276595744685"/>
    <x v="2"/>
    <n v="46"/>
    <n v="105.12234042553192"/>
    <n v="1"/>
    <n v="4835.6276595744685"/>
    <n v="20.6828"/>
    <n v="100014.31975744682"/>
    <n v="117.30800000000001"/>
    <n v="121.02200000000001"/>
    <n v="1.0316000000000001"/>
    <n v="103174.77226178214"/>
    <n v="2242.9298317778726"/>
    <m/>
    <n v="46"/>
    <s v="Sale"/>
    <x v="55"/>
    <s v="USD"/>
    <n v="2162.3898305084745"/>
    <n v="1"/>
    <n v="2162.3898305084745"/>
    <n v="20.4527"/>
    <n v="44226.710486440679"/>
    <n v="103174.77226178214"/>
    <n v="-58948.061775341463"/>
    <n v="0.46027397260273972"/>
    <n v="1"/>
    <n v="-58948.061775341463"/>
    <n v="0"/>
    <m/>
    <n v="-2673.237829065994"/>
  </r>
  <r>
    <x v="4"/>
    <s v="Purchase"/>
    <x v="64"/>
    <x v="2"/>
    <s v="USD"/>
    <d v="2021-12-29T00:00:00"/>
    <n v="105.12234042553192"/>
    <x v="2"/>
    <n v="1"/>
    <n v="105.12234042553192"/>
    <n v="1"/>
    <n v="105.12234042553192"/>
    <n v="20.6828"/>
    <n v="2174.2243425531915"/>
    <n v="117.30800000000001"/>
    <n v="121.02200000000001"/>
    <n v="1.0316000000000001"/>
    <n v="2242.9298317778726"/>
    <n v="2242.9298317778726"/>
    <m/>
    <n v="1"/>
    <s v="Sale"/>
    <x v="55"/>
    <s v="USD"/>
    <n v="47.229322033898306"/>
    <n v="1"/>
    <n v="47.229322033898306"/>
    <n v="20.4527"/>
    <n v="965.96715476271186"/>
    <n v="2242.9298317778726"/>
    <n v="-1276.9626770151608"/>
    <n v="0.46027397260273972"/>
    <n v="1"/>
    <n v="-1276.9626770151608"/>
    <n v="0"/>
    <m/>
    <n v="-57.893018391633611"/>
  </r>
  <r>
    <x v="4"/>
    <s v="Purchase"/>
    <x v="64"/>
    <x v="2"/>
    <s v="USD"/>
    <d v="2022-01-20T00:00:00"/>
    <n v="4684.58"/>
    <x v="2"/>
    <n v="58"/>
    <n v="80.768620689655165"/>
    <n v="1"/>
    <n v="4684.58"/>
    <n v="20.402999999999999"/>
    <n v="95579.485739999989"/>
    <n v="118.002"/>
    <n v="121.02200000000001"/>
    <n v="1.0255000000000001"/>
    <n v="98016.762626369993"/>
    <n v="1689.9441832132757"/>
    <m/>
    <n v="58"/>
    <s v="Sale"/>
    <x v="55"/>
    <s v="USD"/>
    <n v="2739.3006779661018"/>
    <n v="1"/>
    <n v="2739.3006779661018"/>
    <n v="20.4527"/>
    <n v="56026.094976237291"/>
    <n v="98016.762626369993"/>
    <n v="-41990.667650132702"/>
    <n v="0.4"/>
    <n v="1"/>
    <n v="-41990.667650132702"/>
    <n v="0"/>
    <m/>
    <n v="-1945.2793220338981"/>
  </r>
  <r>
    <x v="4"/>
    <s v="Purchase"/>
    <x v="65"/>
    <x v="2"/>
    <s v="USD"/>
    <d v="2020-09-30T00:00:00"/>
    <n v="4793.2781999999997"/>
    <x v="2"/>
    <n v="38"/>
    <n v="126.13889999999999"/>
    <n v="1"/>
    <n v="4793.2781999999997"/>
    <n v="22.4573"/>
    <n v="107644.08652086"/>
    <n v="108.114"/>
    <n v="118.98099999999999"/>
    <n v="1.1005"/>
    <n v="118462.31721620643"/>
    <n v="3117.4294004264848"/>
    <m/>
    <n v="38"/>
    <s v="Sale"/>
    <x v="56"/>
    <s v="USD"/>
    <n v="4473.6328571428576"/>
    <n v="1"/>
    <n v="4473.6328571428576"/>
    <n v="20.974299999999999"/>
    <n v="93831.317635571439"/>
    <n v="118462.31721620643"/>
    <n v="-24630.999580634991"/>
    <n v="1.452054794520548"/>
    <n v="1"/>
    <n v="-24630.999580634991"/>
    <n v="0"/>
    <m/>
    <n v="-319.64534285714217"/>
  </r>
  <r>
    <x v="4"/>
    <s v="Purchase"/>
    <x v="65"/>
    <x v="2"/>
    <s v="USD"/>
    <d v="2020-11-06T00:00:00"/>
    <n v="17842.02"/>
    <x v="2"/>
    <n v="138"/>
    <n v="129.29"/>
    <n v="1"/>
    <n v="17842.02"/>
    <n v="21.034500000000001"/>
    <n v="375297.96969000006"/>
    <n v="108.85599999999999"/>
    <n v="118.98099999999999"/>
    <n v="1.093"/>
    <n v="410200.68087117007"/>
    <n v="2972.4687019650005"/>
    <m/>
    <n v="138"/>
    <s v="Sale"/>
    <x v="56"/>
    <s v="USD"/>
    <n v="16246.350902255639"/>
    <n v="1"/>
    <n v="16246.350902255639"/>
    <n v="20.974299999999999"/>
    <n v="340755.83772918046"/>
    <n v="410200.68087117007"/>
    <n v="-69444.843141989608"/>
    <n v="1.3506849315068492"/>
    <n v="1"/>
    <n v="-69444.843141989608"/>
    <n v="0"/>
    <m/>
    <n v="-1595.6690977443614"/>
  </r>
  <r>
    <x v="4"/>
    <s v="Purchase"/>
    <x v="65"/>
    <x v="2"/>
    <s v="USD"/>
    <d v="2020-11-24T00:00:00"/>
    <n v="12140.566666666666"/>
    <x v="2"/>
    <n v="90"/>
    <n v="134.89518518518517"/>
    <n v="1"/>
    <n v="12140.566666666666"/>
    <n v="20.1172"/>
    <n v="244234.20774666665"/>
    <n v="108.85599999999999"/>
    <n v="118.98099999999999"/>
    <n v="1.093"/>
    <n v="266947.98906710662"/>
    <n v="2966.088767412296"/>
    <m/>
    <n v="90"/>
    <s v="Sale"/>
    <x v="56"/>
    <s v="USD"/>
    <n v="10595.446240601505"/>
    <n v="1"/>
    <n v="10595.446240601505"/>
    <n v="20.974299999999999"/>
    <n v="222232.06808424814"/>
    <n v="266947.98906710662"/>
    <n v="-44715.920982858486"/>
    <n v="1.3013698630136987"/>
    <n v="1"/>
    <n v="-44715.920982858486"/>
    <n v="0"/>
    <m/>
    <n v="-1545.1204260651612"/>
  </r>
  <r>
    <x v="4"/>
    <s v="Purchase"/>
    <x v="66"/>
    <x v="2"/>
    <s v="USD"/>
    <d v="2020-11-06T00:00:00"/>
    <n v="12183.561"/>
    <x v="2"/>
    <n v="39"/>
    <n v="312.399"/>
    <n v="1"/>
    <n v="12183.561"/>
    <n v="21.034500000000001"/>
    <n v="256275.1138545"/>
    <n v="108.85599999999999"/>
    <n v="117.30800000000001"/>
    <n v="1.0775999999999999"/>
    <n v="276162.06268960919"/>
    <n v="7081.0785305027994"/>
    <m/>
    <n v="39"/>
    <s v="Sale"/>
    <x v="57"/>
    <s v="USD"/>
    <n v="14425.139268292683"/>
    <n v="1"/>
    <n v="14425.139268292683"/>
    <n v="20.402999999999999"/>
    <n v="294316.1164909756"/>
    <n v="276162.06268960919"/>
    <n v="18154.053801366419"/>
    <n v="1.2054794520547945"/>
    <n v="1"/>
    <n v="18154.053801366419"/>
    <n v="0"/>
    <m/>
    <n v="2241.5782682926838"/>
  </r>
  <r>
    <x v="4"/>
    <s v="Purchase"/>
    <x v="66"/>
    <x v="2"/>
    <s v="USD"/>
    <d v="2020-11-09T00:00:00"/>
    <n v="689.39032258064515"/>
    <x v="2"/>
    <n v="2"/>
    <n v="344.69516129032257"/>
    <n v="1"/>
    <n v="689.39032258064515"/>
    <n v="20.761199999999999"/>
    <n v="14312.570365161289"/>
    <n v="108.85599999999999"/>
    <n v="117.30800000000001"/>
    <n v="1.0775999999999999"/>
    <n v="15423.225825497804"/>
    <n v="7711.6129127489021"/>
    <m/>
    <n v="2"/>
    <s v="Sale"/>
    <x v="57"/>
    <s v="USD"/>
    <n v="739.75073170731707"/>
    <n v="1"/>
    <n v="739.75073170731707"/>
    <n v="20.402999999999999"/>
    <n v="15093.13417902439"/>
    <n v="15423.225825497804"/>
    <n v="-330.09164647341458"/>
    <n v="1.1972602739726028"/>
    <n v="1"/>
    <n v="-330.09164647341458"/>
    <n v="0"/>
    <m/>
    <n v="50.360409126671925"/>
  </r>
  <r>
    <x v="4"/>
    <s v="Purchase"/>
    <x v="66"/>
    <x v="2"/>
    <s v="USD"/>
    <d v="2020-11-09T00:00:00"/>
    <n v="9996.1596774193549"/>
    <x v="2"/>
    <n v="29"/>
    <n v="344.69516129032257"/>
    <n v="1"/>
    <n v="9996.1596774193549"/>
    <n v="20.761199999999999"/>
    <n v="207532.2702948387"/>
    <n v="108.85599999999999"/>
    <n v="121.02200000000001"/>
    <n v="1.1116999999999999"/>
    <n v="230713.62488677216"/>
    <n v="7955.6422374749018"/>
    <m/>
    <n v="29"/>
    <s v="Sale"/>
    <x v="58"/>
    <s v="USD"/>
    <n v="9502.9547619047626"/>
    <n v="1"/>
    <n v="9502.9547619047626"/>
    <n v="20.046500000000002"/>
    <n v="190500.98263452383"/>
    <n v="230713.62488677216"/>
    <n v="-40212.642252248334"/>
    <n v="1.6219178082191781"/>
    <n v="1"/>
    <n v="-40212.642252248334"/>
    <n v="0"/>
    <m/>
    <n v="-493.20491551459236"/>
  </r>
  <r>
    <x v="4"/>
    <s v="Purchase"/>
    <x v="66"/>
    <x v="2"/>
    <s v="USD"/>
    <d v="2020-11-24T00:00:00"/>
    <n v="4363.9015789473688"/>
    <x v="2"/>
    <n v="13"/>
    <n v="335.68473684210528"/>
    <n v="1"/>
    <n v="4363.9015789473688"/>
    <n v="20.1172"/>
    <n v="87789.480844000005"/>
    <n v="108.85599999999999"/>
    <n v="121.02200000000001"/>
    <n v="1.1116999999999999"/>
    <n v="97595.565854274799"/>
    <n v="7507.3512195595995"/>
    <m/>
    <n v="13"/>
    <s v="Sale"/>
    <x v="58"/>
    <s v="USD"/>
    <n v="4259.945238095238"/>
    <n v="1"/>
    <n v="4259.945238095238"/>
    <n v="20.046500000000002"/>
    <n v="85396.992215476203"/>
    <n v="97595.565854274799"/>
    <n v="-12198.573638798596"/>
    <n v="1.5808219178082192"/>
    <n v="1"/>
    <n v="-12198.573638798596"/>
    <n v="0"/>
    <m/>
    <n v="-103.95634085213078"/>
  </r>
  <r>
    <x v="4"/>
    <s v="Purchase"/>
    <x v="67"/>
    <x v="2"/>
    <s v="USD"/>
    <d v="2021-10-22T00:00:00"/>
    <n v="13550.794114713217"/>
    <x v="2"/>
    <n v="238"/>
    <n v="56.936109725685789"/>
    <n v="1"/>
    <n v="13550.794114713217"/>
    <n v="20.184999999999999"/>
    <n v="273522.77920548629"/>
    <n v="115.56100000000001"/>
    <n v="120.809"/>
    <n v="1.0454000000000001"/>
    <n v="285940.71338141541"/>
    <n v="1201.4315688294764"/>
    <m/>
    <n v="238"/>
    <s v="Sale"/>
    <x v="7"/>
    <s v="USD"/>
    <n v="3228.7280613026824"/>
    <n v="1"/>
    <n v="3228.7280613026824"/>
    <n v="19.8657"/>
    <n v="64140.943047420697"/>
    <n v="285940.71338141541"/>
    <n v="-221799.7703339947"/>
    <n v="0.58630136986301373"/>
    <n v="1"/>
    <n v="-221799.7703339947"/>
    <n v="0"/>
    <m/>
    <n v="-10322.066053410534"/>
  </r>
  <r>
    <x v="4"/>
    <s v="Purchase"/>
    <x v="67"/>
    <x v="2"/>
    <s v="USD"/>
    <d v="2021-10-26T00:00:00"/>
    <n v="735.81"/>
    <x v="2"/>
    <n v="13"/>
    <n v="56.600769230769224"/>
    <n v="1"/>
    <n v="735.81"/>
    <n v="20.183700000000002"/>
    <n v="14851.368297000001"/>
    <n v="115.56100000000001"/>
    <n v="120.809"/>
    <n v="1.0454000000000001"/>
    <n v="15525.620417683802"/>
    <n v="1194.2784936679848"/>
    <m/>
    <n v="13"/>
    <s v="Sale"/>
    <x v="7"/>
    <s v="USD"/>
    <n v="176.35909578544062"/>
    <n v="1"/>
    <n v="176.35909578544062"/>
    <n v="19.8657"/>
    <n v="3503.4968891448275"/>
    <n v="15525.620417683802"/>
    <n v="-12022.123528538974"/>
    <n v="0.57534246575342463"/>
    <n v="1"/>
    <n v="-12022.123528538974"/>
    <n v="0"/>
    <m/>
    <n v="-559.45090421455939"/>
  </r>
  <r>
    <x v="4"/>
    <s v="Purchase"/>
    <x v="67"/>
    <x v="2"/>
    <s v="USD"/>
    <d v="2021-10-26T00:00:00"/>
    <n v="834.61"/>
    <x v="2"/>
    <n v="15"/>
    <n v="55.640666666666668"/>
    <n v="1"/>
    <n v="834.61"/>
    <n v="20.183700000000002"/>
    <n v="16845.517857000003"/>
    <n v="115.56100000000001"/>
    <n v="120.809"/>
    <n v="1.0454000000000001"/>
    <n v="17610.304367707806"/>
    <n v="1174.0202911805204"/>
    <m/>
    <n v="15"/>
    <s v="Sale"/>
    <x v="7"/>
    <s v="USD"/>
    <n v="203.49126436781611"/>
    <n v="1"/>
    <n v="203.49126436781611"/>
    <n v="19.8657"/>
    <n v="4042.4964105517247"/>
    <n v="17610.304367707806"/>
    <n v="-13567.807957156081"/>
    <n v="0.57534246575342463"/>
    <n v="1"/>
    <n v="-13567.807957156081"/>
    <n v="0"/>
    <m/>
    <n v="-631.11873563218387"/>
  </r>
  <r>
    <x v="4"/>
    <s v="Purchase"/>
    <x v="67"/>
    <x v="2"/>
    <s v="USD"/>
    <d v="2021-10-26T00:00:00"/>
    <n v="1220.74"/>
    <x v="2"/>
    <n v="22"/>
    <n v="55.488181818181822"/>
    <n v="1"/>
    <n v="1220.74"/>
    <n v="20.183700000000002"/>
    <n v="24639.049938000004"/>
    <n v="115.56100000000001"/>
    <n v="120.809"/>
    <n v="1.0454000000000001"/>
    <n v="25757.662805185206"/>
    <n v="1170.8028547811457"/>
    <m/>
    <n v="22"/>
    <s v="Sale"/>
    <x v="7"/>
    <s v="USD"/>
    <n v="298.45385440613029"/>
    <n v="1"/>
    <n v="298.45385440613029"/>
    <n v="19.8657"/>
    <n v="5928.9947354758624"/>
    <n v="25757.662805185206"/>
    <n v="-19828.668069709343"/>
    <n v="0.57534246575342463"/>
    <n v="1"/>
    <n v="-19828.668069709343"/>
    <n v="0"/>
    <m/>
    <n v="-922.28614559386972"/>
  </r>
  <r>
    <x v="4"/>
    <s v="Purchase"/>
    <x v="67"/>
    <x v="2"/>
    <s v="USD"/>
    <d v="2021-10-26T00:00:00"/>
    <n v="1714.58"/>
    <x v="2"/>
    <n v="31"/>
    <n v="55.309032258064512"/>
    <n v="1"/>
    <n v="1714.58"/>
    <n v="20.183700000000002"/>
    <n v="34606.568346"/>
    <n v="115.56100000000001"/>
    <n v="120.809"/>
    <n v="1.0454000000000001"/>
    <n v="36177.706548908405"/>
    <n v="1167.0227919002712"/>
    <m/>
    <n v="31"/>
    <s v="Sale"/>
    <x v="7"/>
    <s v="USD"/>
    <n v="420.54861302681996"/>
    <n v="1"/>
    <n v="420.54861302681996"/>
    <n v="19.8657"/>
    <n v="8354.4925818068969"/>
    <n v="36177.706548908405"/>
    <n v="-27823.21396710151"/>
    <n v="0.57534246575342463"/>
    <n v="1"/>
    <n v="-27823.21396710151"/>
    <n v="0"/>
    <m/>
    <n v="-1294.0313869731799"/>
  </r>
  <r>
    <x v="4"/>
    <s v="Purchase"/>
    <x v="67"/>
    <x v="2"/>
    <s v="USD"/>
    <d v="2021-10-26T00:00:00"/>
    <n v="2678.39"/>
    <x v="2"/>
    <n v="48"/>
    <n v="55.799791666666664"/>
    <n v="1"/>
    <n v="2678.39"/>
    <n v="20.183700000000002"/>
    <n v="54059.820243000002"/>
    <n v="115.56100000000001"/>
    <n v="120.809"/>
    <n v="1.0454000000000001"/>
    <n v="56514.136082032208"/>
    <n v="1177.3778350423377"/>
    <m/>
    <n v="48"/>
    <s v="Sale"/>
    <x v="7"/>
    <s v="USD"/>
    <n v="651.17204597701152"/>
    <n v="1"/>
    <n v="651.17204597701152"/>
    <n v="19.8657"/>
    <n v="12935.988513765518"/>
    <n v="56514.136082032208"/>
    <n v="-43578.147568266693"/>
    <n v="0.57534246575342463"/>
    <n v="1"/>
    <n v="-43578.147568266693"/>
    <n v="0"/>
    <m/>
    <n v="-2027.2179540229884"/>
  </r>
  <r>
    <x v="4"/>
    <s v="Purchase"/>
    <x v="67"/>
    <x v="2"/>
    <s v="USD"/>
    <d v="2021-10-26T00:00:00"/>
    <n v="8663.83"/>
    <x v="2"/>
    <n v="155"/>
    <n v="55.89567741935484"/>
    <n v="1"/>
    <n v="8663.83"/>
    <n v="20.183700000000002"/>
    <n v="174868.145571"/>
    <n v="115.56100000000001"/>
    <n v="120.809"/>
    <n v="1.0454000000000001"/>
    <n v="182807.15937992343"/>
    <n v="1179.4010282575705"/>
    <m/>
    <n v="155"/>
    <s v="Sale"/>
    <x v="7"/>
    <s v="USD"/>
    <n v="2102.7430651340997"/>
    <n v="1"/>
    <n v="2102.7430651340997"/>
    <n v="19.8657"/>
    <n v="41772.462909034482"/>
    <n v="182807.15937992343"/>
    <n v="-141034.69647088894"/>
    <n v="0.57534246575342463"/>
    <n v="1"/>
    <n v="-141034.69647088894"/>
    <n v="0"/>
    <m/>
    <n v="-6561.0869348658998"/>
  </r>
  <r>
    <x v="4"/>
    <s v="Purchase"/>
    <x v="67"/>
    <x v="2"/>
    <s v="USD"/>
    <d v="2021-11-23T00:00:00"/>
    <n v="8764.31"/>
    <x v="2"/>
    <n v="168"/>
    <n v="52.1685119047619"/>
    <n v="1"/>
    <n v="8764.31"/>
    <n v="20.828299999999999"/>
    <n v="182545.67797299998"/>
    <n v="116.884"/>
    <n v="120.809"/>
    <n v="1.0335000000000001"/>
    <n v="188660.95818509549"/>
    <n v="1122.9818939589018"/>
    <m/>
    <n v="168"/>
    <s v="Sale"/>
    <x v="7"/>
    <s v="USD"/>
    <n v="2279.1021609195404"/>
    <n v="1"/>
    <n v="2279.1021609195404"/>
    <n v="19.8657"/>
    <n v="45275.959798179312"/>
    <n v="188660.95818509549"/>
    <n v="-143384.99838691618"/>
    <n v="0.49863013698630138"/>
    <n v="1"/>
    <n v="-143384.99838691618"/>
    <n v="0"/>
    <m/>
    <n v="-6485.2078390804591"/>
  </r>
  <r>
    <x v="4"/>
    <s v="Purchase"/>
    <x v="67"/>
    <x v="2"/>
    <s v="USD"/>
    <d v="2021-11-23T00:00:00"/>
    <n v="49.25"/>
    <x v="2"/>
    <n v="1"/>
    <n v="49.25"/>
    <n v="1"/>
    <n v="49.25"/>
    <n v="20.828299999999999"/>
    <n v="1025.7937749999999"/>
    <n v="116.884"/>
    <n v="120.809"/>
    <n v="1.0335000000000001"/>
    <n v="1060.1578664624999"/>
    <n v="1060.1578664624999"/>
    <m/>
    <n v="1"/>
    <s v="Sale"/>
    <x v="7"/>
    <s v="USD"/>
    <n v="13.566084291187741"/>
    <n v="1"/>
    <n v="13.566084291187741"/>
    <n v="19.8657"/>
    <n v="269.49976070344832"/>
    <n v="1060.1578664624999"/>
    <n v="-790.65810575905152"/>
    <n v="0.49863013698630138"/>
    <n v="1"/>
    <n v="-790.65810575905152"/>
    <n v="0"/>
    <m/>
    <n v="-35.683915708812258"/>
  </r>
  <r>
    <x v="4"/>
    <s v="Purchase"/>
    <x v="67"/>
    <x v="2"/>
    <s v="USD"/>
    <d v="2021-11-23T00:00:00"/>
    <n v="1767.63"/>
    <x v="2"/>
    <n v="35"/>
    <n v="50.503714285714288"/>
    <n v="1"/>
    <n v="1767.63"/>
    <n v="20.828299999999999"/>
    <n v="36816.727929000001"/>
    <n v="116.884"/>
    <n v="120.809"/>
    <n v="1.0335000000000001"/>
    <n v="38050.088314621506"/>
    <n v="1087.1453804177572"/>
    <m/>
    <n v="35"/>
    <s v="Sale"/>
    <x v="7"/>
    <s v="USD"/>
    <n v="474.81295019157091"/>
    <n v="1"/>
    <n v="474.81295019157091"/>
    <n v="19.8657"/>
    <n v="9432.4916246206903"/>
    <n v="38050.088314621506"/>
    <n v="-28617.596690000813"/>
    <n v="0.49863013698630138"/>
    <n v="1"/>
    <n v="-28617.596690000813"/>
    <n v="0"/>
    <m/>
    <n v="-1292.8170498084291"/>
  </r>
  <r>
    <x v="4"/>
    <s v="Purchase"/>
    <x v="67"/>
    <x v="2"/>
    <s v="USD"/>
    <d v="2021-11-23T00:00:00"/>
    <n v="2532.84"/>
    <x v="2"/>
    <n v="51"/>
    <n v="49.663529411764706"/>
    <n v="1"/>
    <n v="2532.84"/>
    <n v="20.828299999999999"/>
    <n v="52754.751371999999"/>
    <n v="116.884"/>
    <n v="120.809"/>
    <n v="1.0335000000000001"/>
    <n v="54522.035542962003"/>
    <n v="1069.0595204502354"/>
    <m/>
    <n v="51"/>
    <s v="Sale"/>
    <x v="7"/>
    <s v="USD"/>
    <n v="691.87029885057473"/>
    <n v="1"/>
    <n v="691.87029885057473"/>
    <n v="19.8657"/>
    <n v="13744.487795875863"/>
    <n v="54522.035542962003"/>
    <n v="-40777.547747086137"/>
    <n v="0.49863013698630138"/>
    <n v="1"/>
    <n v="-40777.547747086137"/>
    <n v="0"/>
    <m/>
    <n v="-1840.9697011494254"/>
  </r>
  <r>
    <x v="4"/>
    <s v="Purchase"/>
    <x v="67"/>
    <x v="2"/>
    <s v="USD"/>
    <d v="2022-01-25T00:00:00"/>
    <n v="5645.13"/>
    <x v="2"/>
    <n v="115"/>
    <n v="49.088086956521742"/>
    <n v="1"/>
    <n v="5645.13"/>
    <n v="20.459800000000001"/>
    <n v="115498.23077400001"/>
    <n v="118.002"/>
    <n v="120.809"/>
    <n v="1.0237000000000001"/>
    <n v="118235.53884334382"/>
    <n v="1028.1351203769027"/>
    <m/>
    <n v="115"/>
    <s v="Sale"/>
    <x v="7"/>
    <s v="USD"/>
    <n v="1560.0996934865902"/>
    <n v="1"/>
    <n v="1560.0996934865902"/>
    <n v="19.8657"/>
    <n v="30992.472480896555"/>
    <n v="118235.53884334381"/>
    <n v="-87243.066362447251"/>
    <n v="0.32602739726027397"/>
    <n v="1"/>
    <n v="-87243.066362447251"/>
    <n v="0"/>
    <m/>
    <n v="-4085.0303065134099"/>
  </r>
  <r>
    <x v="4"/>
    <s v="Purchase"/>
    <x v="67"/>
    <x v="2"/>
    <s v="USD"/>
    <d v="2022-02-08T00:00:00"/>
    <n v="6887.89"/>
    <x v="2"/>
    <n v="224"/>
    <n v="30.74950892857143"/>
    <n v="1"/>
    <n v="6887.89"/>
    <n v="20.5562"/>
    <n v="141588.84441800002"/>
    <n v="118.98099999999999"/>
    <n v="120.809"/>
    <n v="1.0153000000000001"/>
    <n v="143755.15373759542"/>
    <n v="641.76407918569384"/>
    <m/>
    <n v="224"/>
    <s v="Sale"/>
    <x v="7"/>
    <s v="USD"/>
    <n v="3038.8028812260541"/>
    <n v="1"/>
    <n v="3038.8028812260541"/>
    <n v="19.8657"/>
    <n v="60367.946397572421"/>
    <n v="143755.15373759542"/>
    <n v="-83387.207340023"/>
    <n v="0.28767123287671231"/>
    <n v="1"/>
    <n v="-83387.207340023"/>
    <n v="0"/>
    <m/>
    <n v="-3849.0871187739463"/>
  </r>
  <r>
    <x v="4"/>
    <s v="Purchase"/>
    <x v="67"/>
    <x v="2"/>
    <s v="USD"/>
    <d v="2022-05-24T00:00:00"/>
    <n v="6936.8100000000013"/>
    <x v="2"/>
    <n v="189"/>
    <n v="36.702698412698417"/>
    <n v="1"/>
    <n v="6936.8100000000013"/>
    <n v="19.8657"/>
    <n v="137804.58641700004"/>
    <n v="121.02200000000001"/>
    <n v="120.809"/>
    <n v="1"/>
    <n v="137804.58641700004"/>
    <n v="729.12479585714311"/>
    <m/>
    <n v="189"/>
    <s v="Sale"/>
    <x v="7"/>
    <s v="USD"/>
    <n v="2563.9899310344831"/>
    <n v="1"/>
    <n v="2563.9899310344831"/>
    <n v="19.8657"/>
    <n v="50935.454772951729"/>
    <n v="137804.58641700004"/>
    <n v="-86869.131644048321"/>
    <n v="0"/>
    <n v="1"/>
    <n v="-86869.131644048321"/>
    <n v="0"/>
    <m/>
    <n v="-4372.8200689655187"/>
  </r>
  <r>
    <x v="4"/>
    <s v="Purchase"/>
    <x v="68"/>
    <x v="2"/>
    <s v="USD"/>
    <d v="2020-09-30T00:00:00"/>
    <n v="377.44393782383418"/>
    <x v="2"/>
    <n v="4"/>
    <n v="94.360984455958544"/>
    <n v="1"/>
    <n v="377.44393782383418"/>
    <n v="22.4573"/>
    <n v="8476.3717448911921"/>
    <n v="108.114"/>
    <n v="117.30800000000001"/>
    <n v="1.085"/>
    <n v="9196.8633432069437"/>
    <n v="2299.2158358017359"/>
    <m/>
    <n v="4"/>
    <s v="Sale"/>
    <x v="43"/>
    <s v="USD"/>
    <n v="437.91803278688525"/>
    <n v="1"/>
    <n v="437.91803278688525"/>
    <n v="20.4453"/>
    <n v="8953.3655557377042"/>
    <n v="9196.8633432069437"/>
    <n v="-243.49778746923948"/>
    <n v="1.284931506849315"/>
    <n v="1"/>
    <n v="-243.49778746923948"/>
    <n v="0"/>
    <m/>
    <n v="60.474094963051073"/>
  </r>
  <r>
    <x v="4"/>
    <s v="Purchase"/>
    <x v="68"/>
    <x v="2"/>
    <s v="USD"/>
    <d v="2020-11-06T00:00:00"/>
    <n v="11507.226917293232"/>
    <x v="2"/>
    <n v="118"/>
    <n v="97.518872180451112"/>
    <n v="1"/>
    <n v="11507.226917293232"/>
    <n v="21.034500000000001"/>
    <n v="242048.7645918045"/>
    <n v="108.85599999999999"/>
    <n v="117.30800000000001"/>
    <n v="1.0775999999999999"/>
    <n v="260831.7487241285"/>
    <n v="2210.4385485095636"/>
    <m/>
    <n v="118"/>
    <s v="Sale"/>
    <x v="43"/>
    <s v="USD"/>
    <n v="12918.581967213115"/>
    <n v="1"/>
    <n v="12918.581967213115"/>
    <n v="20.4453"/>
    <n v="264124.28389426228"/>
    <n v="260831.7487241285"/>
    <n v="3292.5351701337786"/>
    <n v="1.1835616438356165"/>
    <n v="1"/>
    <n v="3292.5351701337786"/>
    <n v="0"/>
    <m/>
    <n v="1411.3550499198827"/>
  </r>
  <r>
    <x v="4"/>
    <s v="Purchase"/>
    <x v="68"/>
    <x v="2"/>
    <s v="USD"/>
    <d v="2020-11-06T00:00:00"/>
    <n v="1462.7830827067669"/>
    <x v="2"/>
    <n v="15"/>
    <n v="97.518872180451126"/>
    <n v="1"/>
    <n v="1462.7830827067669"/>
    <n v="21.034500000000001"/>
    <n v="30768.910753195491"/>
    <n v="108.85599999999999"/>
    <n v="117.30800000000001"/>
    <n v="1.0775999999999999"/>
    <n v="33156.578227643455"/>
    <n v="2210.4385485095636"/>
    <m/>
    <n v="15"/>
    <s v="Sale"/>
    <x v="43"/>
    <s v="USD"/>
    <n v="1637.8423076923077"/>
    <n v="1"/>
    <n v="1637.8423076923077"/>
    <n v="20.4453"/>
    <n v="33486.177333461535"/>
    <n v="33156.578227643455"/>
    <n v="329.59910581808072"/>
    <n v="1.1835616438356165"/>
    <n v="1"/>
    <n v="329.59910581808072"/>
    <n v="0"/>
    <m/>
    <n v="175.05922498554082"/>
  </r>
  <r>
    <x v="4"/>
    <s v="Purchase"/>
    <x v="68"/>
    <x v="2"/>
    <s v="USD"/>
    <d v="2020-11-24T00:00:00"/>
    <n v="2138.9261538461542"/>
    <x v="2"/>
    <n v="24"/>
    <n v="89.121923076923096"/>
    <n v="1"/>
    <n v="2138.9261538461542"/>
    <n v="20.1172"/>
    <n v="43029.205222153854"/>
    <n v="108.85599999999999"/>
    <n v="117.30800000000001"/>
    <n v="1.0775999999999999"/>
    <n v="46368.271547392986"/>
    <n v="1932.0113144747077"/>
    <m/>
    <n v="24"/>
    <s v="Sale"/>
    <x v="43"/>
    <s v="USD"/>
    <n v="2620.5476923076926"/>
    <n v="1"/>
    <n v="2620.5476923076926"/>
    <n v="20.4453"/>
    <n v="53577.883733538467"/>
    <n v="46368.271547392986"/>
    <n v="7209.6121861454812"/>
    <n v="1.1342465753424658"/>
    <n v="1"/>
    <n v="7209.6121861454812"/>
    <n v="0"/>
    <m/>
    <n v="481.62153846153842"/>
  </r>
  <r>
    <x v="4"/>
    <s v="Purchase"/>
    <x v="68"/>
    <x v="2"/>
    <s v="USD"/>
    <d v="2020-11-24T00:00:00"/>
    <n v="1604.1946153846154"/>
    <x v="2"/>
    <n v="18"/>
    <n v="89.121923076923082"/>
    <n v="1"/>
    <n v="1604.1946153846154"/>
    <n v="20.1172"/>
    <n v="32271.903916615385"/>
    <n v="108.85599999999999"/>
    <n v="117.30800000000001"/>
    <n v="1.0775999999999999"/>
    <n v="34776.203660544736"/>
    <n v="1932.0113144747074"/>
    <m/>
    <n v="18"/>
    <s v="Sale"/>
    <x v="15"/>
    <s v="USD"/>
    <n v="1951.02"/>
    <n v="1"/>
    <n v="1951.02"/>
    <n v="20.3002"/>
    <n v="39606.096204000001"/>
    <n v="34776.203660544736"/>
    <n v="4829.8925434552657"/>
    <n v="1.1534246575342466"/>
    <n v="1"/>
    <n v="4829.8925434552657"/>
    <n v="0"/>
    <m/>
    <n v="346.82538461538456"/>
  </r>
  <r>
    <x v="4"/>
    <s v="Purchase"/>
    <x v="68"/>
    <x v="2"/>
    <s v="USD"/>
    <d v="2020-11-24T00:00:00"/>
    <n v="2138.9261538461542"/>
    <x v="2"/>
    <n v="24"/>
    <n v="89.121923076923096"/>
    <n v="1"/>
    <n v="2138.9261538461542"/>
    <n v="20.1172"/>
    <n v="43029.205222153854"/>
    <n v="108.85599999999999"/>
    <n v="117.30800000000001"/>
    <n v="1.0775999999999999"/>
    <n v="46368.271547392986"/>
    <n v="1932.0113144747077"/>
    <m/>
    <n v="24"/>
    <s v="Sale"/>
    <x v="15"/>
    <s v="USD"/>
    <n v="2602.1999999999998"/>
    <n v="1"/>
    <n v="2602.1999999999998"/>
    <n v="20.3002"/>
    <n v="52825.180439999996"/>
    <n v="46368.271547392986"/>
    <n v="6456.9088926070108"/>
    <n v="1.1534246575342466"/>
    <n v="1"/>
    <n v="6456.9088926070108"/>
    <n v="0"/>
    <m/>
    <n v="463.27384615384562"/>
  </r>
  <r>
    <x v="4"/>
    <s v="Purchase"/>
    <x v="68"/>
    <x v="2"/>
    <s v="USD"/>
    <d v="2020-11-24T00:00:00"/>
    <n v="2138.9261538461542"/>
    <x v="2"/>
    <n v="24"/>
    <n v="89.121923076923096"/>
    <n v="1"/>
    <n v="2138.9261538461542"/>
    <n v="20.1172"/>
    <n v="43029.205222153854"/>
    <n v="108.85599999999999"/>
    <n v="117.30800000000001"/>
    <n v="1.0775999999999999"/>
    <n v="46368.271547392986"/>
    <n v="1932.0113144747077"/>
    <m/>
    <n v="24"/>
    <s v="Sale"/>
    <x v="15"/>
    <s v="USD"/>
    <n v="2609.3000000000002"/>
    <n v="1"/>
    <n v="2609.3000000000002"/>
    <n v="20.3002"/>
    <n v="52969.311860000002"/>
    <n v="46368.271547392986"/>
    <n v="6601.0403126070159"/>
    <n v="1.1534246575342466"/>
    <n v="1"/>
    <n v="6601.0403126070159"/>
    <n v="0"/>
    <m/>
    <n v="470.37384615384599"/>
  </r>
  <r>
    <x v="4"/>
    <s v="Purchase"/>
    <x v="68"/>
    <x v="2"/>
    <s v="USD"/>
    <d v="2020-11-24T00:00:00"/>
    <n v="267.36576923076927"/>
    <x v="2"/>
    <n v="3"/>
    <n v="89.121923076923096"/>
    <n v="1"/>
    <n v="267.36576923076927"/>
    <n v="20.1172"/>
    <n v="5378.6506527692318"/>
    <n v="108.85599999999999"/>
    <n v="117.30800000000001"/>
    <n v="1.0775999999999999"/>
    <n v="5796.0339434241232"/>
    <n v="1932.0113144747077"/>
    <m/>
    <n v="3"/>
    <s v="Sale"/>
    <x v="15"/>
    <s v="USD"/>
    <n v="324.24"/>
    <n v="1"/>
    <n v="324.24"/>
    <n v="20.3002"/>
    <n v="6582.1368480000001"/>
    <n v="5796.0339434241232"/>
    <n v="786.10290457587689"/>
    <n v="1.1534246575342466"/>
    <n v="1"/>
    <n v="786.10290457587689"/>
    <n v="0"/>
    <m/>
    <n v="56.874230769230735"/>
  </r>
  <r>
    <x v="4"/>
    <s v="Purchase"/>
    <x v="68"/>
    <x v="2"/>
    <s v="USD"/>
    <d v="2020-11-24T00:00:00"/>
    <n v="2673.6576923076923"/>
    <x v="2"/>
    <n v="30"/>
    <n v="89.121923076923082"/>
    <n v="1"/>
    <n v="2673.6576923076923"/>
    <n v="20.1172"/>
    <n v="53786.506527692305"/>
    <n v="108.85599999999999"/>
    <n v="117.30800000000001"/>
    <n v="1.0775999999999999"/>
    <n v="57960.339434241221"/>
    <n v="1932.0113144747074"/>
    <m/>
    <n v="30"/>
    <s v="Sale"/>
    <x v="15"/>
    <s v="USD"/>
    <n v="3259.39"/>
    <n v="1"/>
    <n v="3259.39"/>
    <n v="20.3002"/>
    <n v="66166.268878000003"/>
    <n v="57960.339434241221"/>
    <n v="8205.9294437587814"/>
    <n v="1.1534246575342466"/>
    <n v="1"/>
    <n v="8205.9294437587814"/>
    <n v="0"/>
    <m/>
    <n v="585.73230769230759"/>
  </r>
  <r>
    <x v="4"/>
    <s v="Purchase"/>
    <x v="68"/>
    <x v="2"/>
    <s v="USD"/>
    <d v="2020-11-24T00:00:00"/>
    <n v="623.8534615384616"/>
    <x v="2"/>
    <n v="7"/>
    <n v="89.121923076923082"/>
    <n v="1"/>
    <n v="623.8534615384616"/>
    <n v="20.1172"/>
    <n v="12550.184856461539"/>
    <n v="108.85599999999999"/>
    <n v="117.30800000000001"/>
    <n v="1.0775999999999999"/>
    <n v="13524.079201322953"/>
    <n v="1932.0113144747077"/>
    <m/>
    <n v="7"/>
    <s v="Sale"/>
    <x v="15"/>
    <s v="USD"/>
    <n v="760.47222222222217"/>
    <n v="1"/>
    <n v="760.47222222222217"/>
    <n v="20.3002"/>
    <n v="15437.738205555555"/>
    <n v="13524.079201322953"/>
    <n v="1913.6590042326025"/>
    <n v="1.1534246575342466"/>
    <n v="1"/>
    <n v="1913.6590042326025"/>
    <n v="0"/>
    <m/>
    <n v="136.61876068376057"/>
  </r>
  <r>
    <x v="4"/>
    <s v="Purchase"/>
    <x v="68"/>
    <x v="2"/>
    <s v="USD"/>
    <d v="2021-03-05T00:00:00"/>
    <n v="175.79357894736842"/>
    <x v="2"/>
    <n v="2"/>
    <n v="87.896789473684208"/>
    <n v="1"/>
    <n v="175.79357894736842"/>
    <n v="20.895700000000001"/>
    <n v="3673.3298876105264"/>
    <n v="111.824"/>
    <n v="117.30800000000001"/>
    <n v="1.0489999999999999"/>
    <n v="3853.323052103442"/>
    <n v="1926.661526051721"/>
    <m/>
    <n v="2"/>
    <s v="Sale"/>
    <x v="15"/>
    <s v="USD"/>
    <n v="217.27777777777777"/>
    <n v="1"/>
    <n v="217.27777777777777"/>
    <n v="20.3002"/>
    <n v="4410.7823444444448"/>
    <n v="3853.323052103442"/>
    <n v="557.45929234100277"/>
    <n v="0.87671232876712324"/>
    <n v="1"/>
    <n v="557.45929234100277"/>
    <n v="0"/>
    <m/>
    <n v="41.484198830409355"/>
  </r>
  <r>
    <x v="4"/>
    <s v="Purchase"/>
    <x v="68"/>
    <x v="2"/>
    <s v="USD"/>
    <d v="2021-03-05T00:00:00"/>
    <n v="87.896789473684208"/>
    <x v="2"/>
    <n v="1"/>
    <n v="87.896789473684208"/>
    <n v="1"/>
    <n v="87.896789473684208"/>
    <n v="20.895700000000001"/>
    <n v="1836.6649438052632"/>
    <n v="111.824"/>
    <n v="117.30800000000001"/>
    <n v="1.0489999999999999"/>
    <n v="1926.661526051721"/>
    <n v="1926.661526051721"/>
    <m/>
    <n v="1"/>
    <s v="Sale"/>
    <x v="57"/>
    <s v="USD"/>
    <n v="107.16"/>
    <n v="1"/>
    <n v="107.16"/>
    <n v="20.402999999999999"/>
    <n v="2186.3854799999999"/>
    <n v="1926.661526051721"/>
    <n v="259.7239539482789"/>
    <n v="0.8794520547945206"/>
    <n v="1"/>
    <n v="259.7239539482789"/>
    <n v="0"/>
    <m/>
    <n v="19.263210526315788"/>
  </r>
  <r>
    <x v="4"/>
    <s v="Purchase"/>
    <x v="68"/>
    <x v="2"/>
    <s v="USD"/>
    <d v="2021-03-05T00:00:00"/>
    <n v="1757.9357894736841"/>
    <x v="2"/>
    <n v="20"/>
    <n v="87.896789473684208"/>
    <n v="1"/>
    <n v="1757.9357894736841"/>
    <n v="20.895700000000001"/>
    <n v="36733.298876105262"/>
    <n v="111.824"/>
    <n v="117.30800000000001"/>
    <n v="1.0489999999999999"/>
    <n v="38533.23052103442"/>
    <n v="1926.661526051721"/>
    <m/>
    <n v="20"/>
    <s v="Sale"/>
    <x v="57"/>
    <s v="USD"/>
    <n v="2157.4899999999998"/>
    <n v="1"/>
    <n v="2157.4899999999998"/>
    <n v="20.402999999999999"/>
    <n v="44019.268469999995"/>
    <n v="38533.23052103442"/>
    <n v="5486.0379489655752"/>
    <n v="0.8794520547945206"/>
    <n v="1"/>
    <n v="5486.0379489655752"/>
    <n v="0"/>
    <m/>
    <n v="399.55421052631573"/>
  </r>
  <r>
    <x v="4"/>
    <s v="Purchase"/>
    <x v="68"/>
    <x v="2"/>
    <s v="USD"/>
    <d v="2021-03-05T00:00:00"/>
    <n v="2549.0068947368422"/>
    <x v="2"/>
    <n v="29"/>
    <n v="87.896789473684208"/>
    <n v="1"/>
    <n v="2549.0068947368422"/>
    <n v="20.895700000000001"/>
    <n v="53263.283370352641"/>
    <n v="111.824"/>
    <n v="117.30800000000001"/>
    <n v="1.0489999999999999"/>
    <n v="55873.184255499917"/>
    <n v="1926.6615260517212"/>
    <m/>
    <n v="29"/>
    <s v="Sale"/>
    <x v="57"/>
    <s v="USD"/>
    <n v="3140.98"/>
    <n v="1"/>
    <n v="3140.98"/>
    <n v="20.402999999999999"/>
    <n v="64085.414939999995"/>
    <n v="55873.184255499917"/>
    <n v="8212.2306845000785"/>
    <n v="0.8794520547945206"/>
    <n v="1"/>
    <n v="8212.2306845000785"/>
    <n v="0"/>
    <m/>
    <n v="591.97310526315778"/>
  </r>
  <r>
    <x v="4"/>
    <s v="Purchase"/>
    <x v="68"/>
    <x v="2"/>
    <s v="USD"/>
    <d v="2021-03-05T00:00:00"/>
    <n v="351.58715789473683"/>
    <x v="2"/>
    <n v="4"/>
    <n v="87.896789473684208"/>
    <n v="1"/>
    <n v="351.58715789473683"/>
    <n v="20.895700000000001"/>
    <n v="7346.6597752210528"/>
    <n v="111.824"/>
    <n v="117.30800000000001"/>
    <n v="1.0489999999999999"/>
    <n v="7706.646104206884"/>
    <n v="1926.661526051721"/>
    <m/>
    <n v="4"/>
    <s v="Sale"/>
    <x v="57"/>
    <s v="USD"/>
    <n v="432.12"/>
    <n v="1"/>
    <n v="432.12"/>
    <n v="20.402999999999999"/>
    <n v="8816.5443599999999"/>
    <n v="7706.646104206884"/>
    <n v="1109.8982557931158"/>
    <n v="0.8794520547945206"/>
    <n v="1"/>
    <n v="1109.8982557931158"/>
    <n v="0"/>
    <m/>
    <n v="80.532842105263171"/>
  </r>
  <r>
    <x v="4"/>
    <s v="Purchase"/>
    <x v="68"/>
    <x v="2"/>
    <s v="USD"/>
    <d v="2021-03-05T00:00:00"/>
    <n v="7119.6399473684205"/>
    <x v="2"/>
    <n v="81"/>
    <n v="87.896789473684208"/>
    <n v="1"/>
    <n v="7119.6399473684205"/>
    <n v="20.895700000000001"/>
    <n v="148769.8604482263"/>
    <n v="111.824"/>
    <n v="117.30800000000001"/>
    <n v="1.0489999999999999"/>
    <n v="156059.58361018938"/>
    <n v="1926.6615260517208"/>
    <m/>
    <n v="81"/>
    <s v="Sale"/>
    <x v="48"/>
    <s v="USD"/>
    <n v="8646.7344230769231"/>
    <n v="1"/>
    <n v="8646.7344230769231"/>
    <n v="20.630800000000001"/>
    <n v="178389.04853561538"/>
    <n v="156059.58361018938"/>
    <n v="22329.464925426"/>
    <n v="0.89589041095890409"/>
    <n v="1"/>
    <n v="22329.464925426"/>
    <n v="0"/>
    <m/>
    <n v="1527.0944757085026"/>
  </r>
  <r>
    <x v="4"/>
    <s v="Purchase"/>
    <x v="68"/>
    <x v="2"/>
    <s v="USD"/>
    <d v="2021-03-12T00:00:00"/>
    <n v="2140.7437209302325"/>
    <x v="2"/>
    <n v="23"/>
    <n v="93.075813953488364"/>
    <n v="1"/>
    <n v="2140.7437209302325"/>
    <n v="20.985299999999999"/>
    <n v="44924.149206837203"/>
    <n v="111.824"/>
    <n v="117.30800000000001"/>
    <n v="1.0489999999999999"/>
    <n v="47125.432517972222"/>
    <n v="2048.9318486074881"/>
    <m/>
    <n v="23"/>
    <s v="Sale"/>
    <x v="48"/>
    <s v="USD"/>
    <n v="2455.2455769230769"/>
    <n v="1"/>
    <n v="2455.2455769230769"/>
    <n v="20.630800000000001"/>
    <n v="50653.680448384614"/>
    <n v="47125.432517972222"/>
    <n v="3528.2479304123917"/>
    <n v="0.87671232876712324"/>
    <n v="1"/>
    <n v="3528.2479304123917"/>
    <n v="0"/>
    <m/>
    <n v="314.50185599284441"/>
  </r>
  <r>
    <x v="4"/>
    <s v="Purchase"/>
    <x v="69"/>
    <x v="2"/>
    <s v="USD"/>
    <d v="2020-11-24T00:00:00"/>
    <n v="2457.8999999999996"/>
    <x v="2"/>
    <n v="12"/>
    <n v="204.82499999999996"/>
    <n v="1"/>
    <n v="2457.8999999999996"/>
    <n v="20.1172"/>
    <n v="49446.065879999995"/>
    <n v="108.85599999999999"/>
    <n v="118.002"/>
    <n v="1.0840000000000001"/>
    <n v="53599.535413919999"/>
    <n v="4466.6279511599996"/>
    <m/>
    <n v="12"/>
    <s v="Sale"/>
    <x v="46"/>
    <s v="USD"/>
    <n v="1141.4052705882352"/>
    <n v="1"/>
    <n v="1141.4052705882352"/>
    <n v="20.3063"/>
    <n v="23177.717846145883"/>
    <n v="53599.535413919992"/>
    <n v="-30421.817567774109"/>
    <n v="1.2465753424657535"/>
    <n v="1"/>
    <n v="-30421.817567774109"/>
    <n v="0"/>
    <m/>
    <n v="-1316.4947294117644"/>
  </r>
  <r>
    <x v="4"/>
    <s v="Purchase"/>
    <x v="69"/>
    <x v="2"/>
    <s v="USD"/>
    <d v="2021-03-04T00:00:00"/>
    <n v="14214.74"/>
    <x v="2"/>
    <n v="62"/>
    <n v="229.27"/>
    <n v="1"/>
    <n v="14214.74"/>
    <n v="20.690300000000001"/>
    <n v="294107.23502199998"/>
    <n v="111.824"/>
    <n v="118.002"/>
    <n v="1.0551999999999999"/>
    <n v="310341.95439521433"/>
    <n v="5005.5153934711989"/>
    <m/>
    <n v="62"/>
    <s v="Sale"/>
    <x v="46"/>
    <s v="USD"/>
    <n v="5897.2605647058817"/>
    <n v="1"/>
    <n v="5897.2605647058817"/>
    <n v="20.3063"/>
    <n v="119751.54220508705"/>
    <n v="310341.95439521433"/>
    <n v="-190590.41219012727"/>
    <n v="0.9726027397260274"/>
    <n v="1"/>
    <n v="-190590.41219012727"/>
    <n v="0"/>
    <m/>
    <n v="-8317.4794352941171"/>
  </r>
  <r>
    <x v="4"/>
    <s v="Purchase"/>
    <x v="69"/>
    <x v="2"/>
    <s v="USD"/>
    <d v="2021-05-20T00:00:00"/>
    <n v="8868.06"/>
    <x v="2"/>
    <n v="45"/>
    <n v="197.06799999999998"/>
    <n v="1"/>
    <n v="8868.06"/>
    <n v="19.831299999999999"/>
    <n v="175865.15827799999"/>
    <n v="112.419"/>
    <n v="118.002"/>
    <n v="1.0496000000000001"/>
    <n v="184588.07012858879"/>
    <n v="4101.9571139686395"/>
    <m/>
    <n v="45"/>
    <s v="Sale"/>
    <x v="46"/>
    <s v="USD"/>
    <n v="4280.2697647058822"/>
    <n v="1"/>
    <n v="4280.2697647058822"/>
    <n v="20.3063"/>
    <n v="86916.441923047052"/>
    <n v="184588.07012858879"/>
    <n v="-97671.62820554174"/>
    <n v="0.76164383561643834"/>
    <n v="1"/>
    <n v="-97671.62820554174"/>
    <n v="0"/>
    <m/>
    <n v="-4587.7902352941173"/>
  </r>
  <r>
    <x v="4"/>
    <s v="Purchase"/>
    <x v="69"/>
    <x v="2"/>
    <s v="USD"/>
    <d v="2021-06-02T00:00:00"/>
    <n v="5641.95"/>
    <x v="2"/>
    <n v="25"/>
    <n v="225.678"/>
    <n v="1"/>
    <n v="5641.95"/>
    <n v="19.921299999999999"/>
    <n v="112394.97853499999"/>
    <n v="113.018"/>
    <n v="118.002"/>
    <n v="1.044"/>
    <n v="117340.35759053999"/>
    <n v="4693.6143036215999"/>
    <m/>
    <n v="25"/>
    <s v="Sale"/>
    <x v="46"/>
    <s v="USD"/>
    <n v="2377.9276470588234"/>
    <n v="1"/>
    <n v="2377.9276470588234"/>
    <n v="20.3063"/>
    <n v="48286.912179470586"/>
    <n v="117340.35759053999"/>
    <n v="-69053.445411069406"/>
    <n v="0.72602739726027399"/>
    <n v="1"/>
    <n v="-69053.445411069406"/>
    <n v="0"/>
    <m/>
    <n v="-3264.0223529411765"/>
  </r>
  <r>
    <x v="4"/>
    <s v="Purchase"/>
    <x v="69"/>
    <x v="2"/>
    <s v="USD"/>
    <d v="2021-06-08T00:00:00"/>
    <n v="11028.3"/>
    <x v="2"/>
    <n v="51"/>
    <n v="216.24117647058821"/>
    <n v="1"/>
    <n v="11028.3"/>
    <n v="19.9328"/>
    <n v="219824.89823999998"/>
    <n v="113.018"/>
    <n v="118.002"/>
    <n v="1.044"/>
    <n v="229497.19376256"/>
    <n v="4499.944975736471"/>
    <m/>
    <n v="51"/>
    <s v="Sale"/>
    <x v="46"/>
    <s v="USD"/>
    <n v="4850.9723999999997"/>
    <n v="1"/>
    <n v="4850.9723999999997"/>
    <n v="20.3063"/>
    <n v="98505.300846119993"/>
    <n v="229497.19376256003"/>
    <n v="-130991.89291644003"/>
    <n v="0.70958904109589038"/>
    <n v="1"/>
    <n v="-130991.89291644003"/>
    <n v="0"/>
    <m/>
    <n v="-6177.3275999999996"/>
  </r>
  <r>
    <x v="4"/>
    <s v="Purchase"/>
    <x v="69"/>
    <x v="2"/>
    <s v="USD"/>
    <d v="2021-07-27T00:00:00"/>
    <n v="11989.97"/>
    <x v="2"/>
    <n v="48"/>
    <n v="249.79104166666664"/>
    <n v="1"/>
    <n v="11989.97"/>
    <n v="20.023800000000001"/>
    <n v="240084.76128599999"/>
    <n v="113.682"/>
    <n v="118.002"/>
    <n v="1.038"/>
    <n v="249207.98221486801"/>
    <n v="5191.8329628097499"/>
    <m/>
    <n v="48"/>
    <s v="Sale"/>
    <x v="46"/>
    <s v="USD"/>
    <n v="4565.6210823529409"/>
    <n v="1"/>
    <n v="4565.6210823529409"/>
    <n v="20.3063"/>
    <n v="92710.87138458353"/>
    <n v="249207.98221486801"/>
    <n v="-156497.11083028448"/>
    <n v="0.57534246575342463"/>
    <n v="1"/>
    <n v="-156497.11083028448"/>
    <n v="0"/>
    <m/>
    <n v="-7424.3489176470584"/>
  </r>
  <r>
    <x v="4"/>
    <s v="Purchase"/>
    <x v="69"/>
    <x v="2"/>
    <s v="USD"/>
    <d v="2021-09-16T00:00:00"/>
    <n v="13471.96"/>
    <x v="2"/>
    <n v="53"/>
    <n v="254.18792452830186"/>
    <n v="1"/>
    <n v="13471.96"/>
    <n v="19.903500000000001"/>
    <n v="268139.15586"/>
    <n v="114.601"/>
    <n v="118.002"/>
    <n v="1.0296000000000001"/>
    <n v="276076.07487345603"/>
    <n v="5208.9825447821895"/>
    <m/>
    <n v="53"/>
    <s v="Sale"/>
    <x v="46"/>
    <s v="USD"/>
    <n v="5041.2066117647055"/>
    <n v="1"/>
    <n v="5041.2066117647055"/>
    <n v="20.3063"/>
    <n v="102368.25382047764"/>
    <n v="276076.07487345603"/>
    <n v="-173707.8210529784"/>
    <n v="0.43561643835616437"/>
    <n v="1"/>
    <n v="-173707.8210529784"/>
    <n v="0"/>
    <m/>
    <n v="-8430.7533882352946"/>
  </r>
  <r>
    <x v="4"/>
    <s v="Purchase"/>
    <x v="69"/>
    <x v="2"/>
    <s v="USD"/>
    <d v="2021-09-24T00:00:00"/>
    <n v="12833.430000000002"/>
    <x v="2"/>
    <n v="49"/>
    <n v="261.90673469387758"/>
    <n v="1"/>
    <n v="12833.430000000002"/>
    <n v="20.032800000000002"/>
    <n v="257089.53650400008"/>
    <n v="114.601"/>
    <n v="118.002"/>
    <n v="1.0296000000000001"/>
    <n v="264699.38678451849"/>
    <n v="5402.0283017248667"/>
    <m/>
    <n v="49"/>
    <s v="Sale"/>
    <x v="46"/>
    <s v="USD"/>
    <n v="4660.7381882352938"/>
    <n v="1"/>
    <n v="4660.7381882352938"/>
    <n v="20.3063"/>
    <n v="94642.347871762351"/>
    <n v="264699.38678451849"/>
    <n v="-170057.03891275614"/>
    <n v="0.41369863013698632"/>
    <n v="1"/>
    <n v="-170057.03891275614"/>
    <n v="0"/>
    <m/>
    <n v="-8172.6918117647083"/>
  </r>
  <r>
    <x v="4"/>
    <s v="Purchase"/>
    <x v="69"/>
    <x v="2"/>
    <s v="USD"/>
    <d v="2022-02-10T00:00:00"/>
    <n v="9207.5499999999993"/>
    <x v="2"/>
    <n v="80"/>
    <n v="115.09437499999999"/>
    <n v="1"/>
    <n v="9207.5499999999993"/>
    <n v="20.641300000000001"/>
    <n v="190055.80181499998"/>
    <n v="118.98099999999999"/>
    <n v="118.002"/>
    <n v="1"/>
    <n v="190055.80181499998"/>
    <n v="2375.6975226874997"/>
    <m/>
    <n v="80"/>
    <s v="Sale"/>
    <x v="46"/>
    <s v="USD"/>
    <n v="7609.3684705882342"/>
    <n v="1"/>
    <n v="7609.3684705882342"/>
    <n v="20.3063"/>
    <n v="154518.11897430586"/>
    <n v="190055.80181499998"/>
    <n v="-35537.68284069412"/>
    <n v="3.287671232876712E-2"/>
    <n v="1"/>
    <n v="-35537.68284069412"/>
    <n v="0"/>
    <m/>
    <n v="-1598.181529411765"/>
  </r>
  <r>
    <x v="4"/>
    <s v="Purchase"/>
    <x v="70"/>
    <x v="2"/>
    <s v="USD"/>
    <d v="2020-11-24T00:00:00"/>
    <n v="15548.208372093026"/>
    <x v="2"/>
    <n v="29"/>
    <n v="536.14511627906984"/>
    <n v="1"/>
    <n v="15548.208372093026"/>
    <n v="20.1172"/>
    <n v="312786.41746306984"/>
    <n v="108.85599999999999"/>
    <n v="120.15900000000001"/>
    <n v="1.1037999999999999"/>
    <n v="345253.64759573643"/>
    <n v="11905.298192956428"/>
    <m/>
    <n v="29"/>
    <s v="Sale"/>
    <x v="39"/>
    <s v="USD"/>
    <n v="29806.670655737707"/>
    <n v="1"/>
    <n v="29806.670655737707"/>
    <n v="19.901199999999999"/>
    <n v="593188.5140539672"/>
    <n v="345253.64759573643"/>
    <n v="247934.86645823077"/>
    <n v="1.3671232876712329"/>
    <n v="1"/>
    <n v="247934.86645823077"/>
    <n v="0"/>
    <m/>
    <n v="14258.462283644682"/>
  </r>
  <r>
    <x v="4"/>
    <s v="Purchase"/>
    <x v="70"/>
    <x v="2"/>
    <s v="USD"/>
    <d v="2021-03-04T00:00:00"/>
    <n v="20471.36"/>
    <x v="2"/>
    <n v="32"/>
    <n v="639.73"/>
    <n v="1"/>
    <n v="20471.36"/>
    <n v="20.690300000000001"/>
    <n v="423558.57980800001"/>
    <n v="111.824"/>
    <n v="120.15900000000001"/>
    <n v="1.0745"/>
    <n v="455113.69400369603"/>
    <n v="14222.302937615501"/>
    <m/>
    <n v="32"/>
    <s v="Sale"/>
    <x v="39"/>
    <s v="USD"/>
    <n v="32890.119344262297"/>
    <n v="1"/>
    <n v="32890.119344262297"/>
    <n v="19.901199999999999"/>
    <n v="654552.84309403284"/>
    <n v="455113.69400369603"/>
    <n v="199439.14909033681"/>
    <n v="1.0931506849315069"/>
    <n v="1"/>
    <n v="199439.14909033681"/>
    <n v="0"/>
    <m/>
    <n v="12418.759344262297"/>
  </r>
  <r>
    <x v="4"/>
    <s v="Purchase"/>
    <x v="71"/>
    <x v="2"/>
    <s v="USD"/>
    <d v="2020-12-11T00:00:00"/>
    <n v="348.14781249999999"/>
    <x v="2"/>
    <n v="1"/>
    <n v="348.14781249999999"/>
    <n v="1"/>
    <n v="348.14781249999999"/>
    <n v="19.8368"/>
    <n v="6906.1385270000001"/>
    <n v="109.271"/>
    <n v="120.15900000000001"/>
    <n v="1.0995999999999999"/>
    <n v="7593.9899242891997"/>
    <n v="7593.9899242891997"/>
    <m/>
    <n v="1"/>
    <s v="Sale"/>
    <x v="59"/>
    <s v="USD"/>
    <n v="513.74"/>
    <n v="1"/>
    <n v="513.74"/>
    <n v="19.8432"/>
    <n v="10194.245568"/>
    <n v="7593.9899242891997"/>
    <n v="2600.2556437108005"/>
    <n v="1.3150684931506849"/>
    <n v="1"/>
    <n v="2600.2556437108005"/>
    <n v="0"/>
    <m/>
    <n v="165.59218750000002"/>
  </r>
  <r>
    <x v="4"/>
    <s v="Purchase"/>
    <x v="71"/>
    <x v="2"/>
    <s v="USD"/>
    <d v="2020-12-11T00:00:00"/>
    <n v="2785.1824999999999"/>
    <x v="2"/>
    <n v="8"/>
    <n v="348.14781249999999"/>
    <n v="1"/>
    <n v="2785.1824999999999"/>
    <n v="19.8368"/>
    <n v="55249.108216000001"/>
    <n v="109.271"/>
    <n v="120.15900000000001"/>
    <n v="1.0995999999999999"/>
    <n v="60751.919394313598"/>
    <n v="7593.9899242891997"/>
    <m/>
    <n v="8"/>
    <s v="Sale"/>
    <x v="59"/>
    <s v="USD"/>
    <n v="4084.4184615384615"/>
    <n v="1"/>
    <n v="4084.4184615384615"/>
    <n v="19.8432"/>
    <n v="81047.932415999996"/>
    <n v="60751.919394313598"/>
    <n v="20296.013021686398"/>
    <n v="1.3150684931506849"/>
    <n v="1"/>
    <n v="20296.013021686398"/>
    <n v="0"/>
    <m/>
    <n v="1299.2359615384617"/>
  </r>
  <r>
    <x v="4"/>
    <s v="Purchase"/>
    <x v="71"/>
    <x v="2"/>
    <s v="USD"/>
    <d v="2021-03-05T00:00:00"/>
    <n v="1847.8326086956522"/>
    <x v="2"/>
    <n v="5"/>
    <n v="369.56652173913045"/>
    <n v="1"/>
    <n v="1847.8326086956522"/>
    <n v="20.895700000000001"/>
    <n v="38611.755841521743"/>
    <n v="111.824"/>
    <n v="120.15900000000001"/>
    <n v="1.0745"/>
    <n v="41488.331651715111"/>
    <n v="8297.6663303430214"/>
    <m/>
    <n v="5"/>
    <s v="Sale"/>
    <x v="59"/>
    <s v="USD"/>
    <n v="2552.7615384615383"/>
    <n v="1"/>
    <n v="2552.7615384615383"/>
    <n v="19.8432"/>
    <n v="50654.957759999998"/>
    <n v="41488.331651715111"/>
    <n v="9166.6261082848869"/>
    <n v="1.0849315068493151"/>
    <n v="1"/>
    <n v="9166.6261082848869"/>
    <n v="0"/>
    <m/>
    <n v="704.9289297658861"/>
  </r>
  <r>
    <x v="4"/>
    <s v="Purchase"/>
    <x v="71"/>
    <x v="2"/>
    <s v="USD"/>
    <d v="2021-03-05T00:00:00"/>
    <n v="2956.5321739130436"/>
    <x v="2"/>
    <n v="8"/>
    <n v="369.56652173913045"/>
    <n v="1"/>
    <n v="2956.5321739130436"/>
    <n v="20.895700000000001"/>
    <n v="61778.809346434791"/>
    <n v="111.824"/>
    <n v="120.15900000000001"/>
    <n v="1.0745"/>
    <n v="66381.330642744186"/>
    <n v="8297.6663303430232"/>
    <m/>
    <n v="8"/>
    <s v="Sale"/>
    <x v="59"/>
    <s v="USD"/>
    <n v="4102.5600000000004"/>
    <n v="1"/>
    <n v="4102.5600000000004"/>
    <n v="19.8432"/>
    <n v="81407.918592000002"/>
    <n v="66381.330642744186"/>
    <n v="15026.587949255816"/>
    <n v="1.0849315068493151"/>
    <n v="1"/>
    <n v="15026.587949255816"/>
    <n v="0"/>
    <m/>
    <n v="1146.0278260869568"/>
  </r>
  <r>
    <x v="4"/>
    <s v="Purchase"/>
    <x v="71"/>
    <x v="2"/>
    <s v="USD"/>
    <d v="2021-03-05T00:00:00"/>
    <n v="3326.0986956521742"/>
    <x v="2"/>
    <n v="9"/>
    <n v="369.56652173913045"/>
    <n v="1"/>
    <n v="3326.0986956521742"/>
    <n v="20.895700000000001"/>
    <n v="69501.160514739138"/>
    <n v="111.824"/>
    <n v="120.15900000000001"/>
    <n v="1.0745"/>
    <n v="74678.996973087211"/>
    <n v="8297.6663303430232"/>
    <m/>
    <n v="9"/>
    <s v="Sale"/>
    <x v="59"/>
    <s v="USD"/>
    <n v="4624.84"/>
    <n v="1"/>
    <n v="4624.84"/>
    <n v="19.8432"/>
    <n v="91771.625088000001"/>
    <n v="74678.996973087211"/>
    <n v="17092.62811491279"/>
    <n v="1.0849315068493151"/>
    <n v="1"/>
    <n v="17092.62811491279"/>
    <n v="0"/>
    <m/>
    <n v="1298.7413043478259"/>
  </r>
  <r>
    <x v="4"/>
    <s v="Purchase"/>
    <x v="71"/>
    <x v="2"/>
    <s v="USD"/>
    <d v="2021-03-05T00:00:00"/>
    <n v="3326.0986956521742"/>
    <x v="2"/>
    <n v="9"/>
    <n v="369.56652173913045"/>
    <n v="1"/>
    <n v="3326.0986956521742"/>
    <n v="20.895700000000001"/>
    <n v="69501.160514739138"/>
    <n v="111.824"/>
    <n v="120.15900000000001"/>
    <n v="1.0745"/>
    <n v="74678.996973087211"/>
    <n v="8297.6663303430232"/>
    <m/>
    <n v="9"/>
    <s v="Sale"/>
    <x v="59"/>
    <s v="USD"/>
    <n v="4632.51"/>
    <n v="1"/>
    <n v="4632.51"/>
    <n v="19.8432"/>
    <n v="91923.822432000001"/>
    <n v="74678.996973087211"/>
    <n v="17244.82545891279"/>
    <n v="1.0849315068493151"/>
    <n v="1"/>
    <n v="17244.82545891279"/>
    <n v="0"/>
    <m/>
    <n v="1306.411304347826"/>
  </r>
  <r>
    <x v="4"/>
    <s v="Purchase"/>
    <x v="71"/>
    <x v="2"/>
    <s v="USD"/>
    <d v="2021-03-05T00:00:00"/>
    <n v="2586.965652173913"/>
    <x v="2"/>
    <n v="7"/>
    <n v="369.56652173913045"/>
    <n v="1"/>
    <n v="2586.965652173913"/>
    <n v="20.895700000000001"/>
    <n v="54056.458178130437"/>
    <n v="111.824"/>
    <n v="120.809"/>
    <n v="1.0803"/>
    <n v="58397.19176983431"/>
    <n v="8342.4559671191873"/>
    <m/>
    <n v="7"/>
    <s v="Sale"/>
    <x v="60"/>
    <s v="USD"/>
    <n v="1945.1599999999999"/>
    <n v="1"/>
    <n v="1945.1599999999999"/>
    <n v="19.887"/>
    <n v="38683.396919999999"/>
    <n v="58397.19176983431"/>
    <n v="-19713.79484983431"/>
    <n v="1.2246575342465753"/>
    <n v="1"/>
    <n v="-19713.79484983431"/>
    <n v="0"/>
    <m/>
    <n v="-641.80565217391313"/>
  </r>
  <r>
    <x v="4"/>
    <s v="Purchase"/>
    <x v="71"/>
    <x v="2"/>
    <s v="USD"/>
    <d v="2021-03-05T00:00:00"/>
    <n v="2956.5321739130436"/>
    <x v="2"/>
    <n v="8"/>
    <n v="369.56652173913045"/>
    <n v="1"/>
    <n v="2956.5321739130436"/>
    <n v="20.895700000000001"/>
    <n v="61778.809346434791"/>
    <n v="111.824"/>
    <n v="120.809"/>
    <n v="1.0803"/>
    <n v="66739.647736953513"/>
    <n v="8342.4559671191892"/>
    <m/>
    <n v="8"/>
    <s v="Sale"/>
    <x v="60"/>
    <s v="USD"/>
    <n v="2238.1524210526318"/>
    <n v="1"/>
    <n v="2238.1524210526318"/>
    <n v="19.887"/>
    <n v="44510.13719747369"/>
    <n v="66739.647736953513"/>
    <n v="-22229.510539479823"/>
    <n v="1.2246575342465753"/>
    <n v="1"/>
    <n v="-22229.510539479823"/>
    <n v="0"/>
    <m/>
    <n v="-718.37975286041183"/>
  </r>
  <r>
    <x v="4"/>
    <s v="Purchase"/>
    <x v="71"/>
    <x v="2"/>
    <s v="USD"/>
    <d v="2021-06-01T00:00:00"/>
    <n v="8138.83"/>
    <x v="2"/>
    <n v="22"/>
    <n v="369.94681818181817"/>
    <n v="1"/>
    <n v="8138.83"/>
    <n v="19.944199999999999"/>
    <n v="162322.45328599997"/>
    <n v="113.018"/>
    <n v="120.809"/>
    <n v="1.0689"/>
    <n v="173506.47031740536"/>
    <n v="7886.6577417002436"/>
    <m/>
    <n v="22"/>
    <s v="Sale"/>
    <x v="60"/>
    <s v="USD"/>
    <n v="6154.9191578947375"/>
    <n v="1"/>
    <n v="6154.9191578947375"/>
    <n v="19.887"/>
    <n v="122402.87729305265"/>
    <n v="173506.47031740536"/>
    <n v="-51103.593024352711"/>
    <n v="0.98356164383561639"/>
    <n v="1"/>
    <n v="-51103.593024352711"/>
    <n v="0"/>
    <m/>
    <n v="-1983.9108421052624"/>
  </r>
  <r>
    <x v="4"/>
    <s v="Purchase"/>
    <x v="71"/>
    <x v="2"/>
    <s v="USD"/>
    <d v="2021-06-03T00:00:00"/>
    <n v="4055.3100000000004"/>
    <x v="2"/>
    <n v="11"/>
    <n v="368.66454545454548"/>
    <n v="1"/>
    <n v="4055.3100000000004"/>
    <n v="19.892700000000001"/>
    <n v="80671.065237000017"/>
    <n v="113.018"/>
    <n v="120.809"/>
    <n v="1.0689"/>
    <n v="86229.301631829308"/>
    <n v="7839.0274210753914"/>
    <m/>
    <n v="11"/>
    <s v="Sale"/>
    <x v="60"/>
    <s v="USD"/>
    <n v="3077.4595789473688"/>
    <n v="1"/>
    <n v="3077.4595789473688"/>
    <n v="19.887"/>
    <n v="61201.438646526323"/>
    <n v="86229.301631829308"/>
    <n v="-25027.862985302985"/>
    <n v="0.9780821917808219"/>
    <n v="1"/>
    <n v="-25027.862985302985"/>
    <n v="0"/>
    <m/>
    <n v="-977.85042105263165"/>
  </r>
  <r>
    <x v="4"/>
    <s v="Purchase"/>
    <x v="71"/>
    <x v="2"/>
    <s v="USD"/>
    <d v="2021-06-03T00:00:00"/>
    <n v="4822.9399999999996"/>
    <x v="2"/>
    <n v="13"/>
    <n v="370.99538461538458"/>
    <n v="1"/>
    <n v="4822.9399999999996"/>
    <n v="19.892700000000001"/>
    <n v="95941.298538000003"/>
    <n v="113.018"/>
    <n v="120.809"/>
    <n v="1.0689"/>
    <n v="102551.6540072682"/>
    <n v="7888.5887697898615"/>
    <m/>
    <n v="13"/>
    <s v="Sale"/>
    <x v="60"/>
    <s v="USD"/>
    <n v="3636.9976842105266"/>
    <n v="1"/>
    <n v="3636.9976842105266"/>
    <n v="19.887"/>
    <n v="72328.97294589474"/>
    <n v="102551.6540072682"/>
    <n v="-30222.681061373456"/>
    <n v="0.9780821917808219"/>
    <n v="1"/>
    <n v="-30222.681061373456"/>
    <n v="0"/>
    <m/>
    <n v="-1185.942315789473"/>
  </r>
  <r>
    <x v="4"/>
    <s v="Purchase"/>
    <x v="71"/>
    <x v="2"/>
    <s v="USD"/>
    <d v="2022-01-12T00:00:00"/>
    <n v="10422.92"/>
    <x v="2"/>
    <n v="21"/>
    <n v="496.32952380952383"/>
    <n v="1"/>
    <n v="10422.92"/>
    <n v="20.4453"/>
    <n v="213099.726276"/>
    <n v="118.002"/>
    <n v="120.809"/>
    <n v="1.0237000000000001"/>
    <n v="218150.18978874121"/>
    <n v="10388.104275654343"/>
    <m/>
    <n v="21"/>
    <s v="Sale"/>
    <x v="60"/>
    <s v="USD"/>
    <n v="5875.1501052631584"/>
    <n v="1"/>
    <n v="5875.1501052631584"/>
    <n v="19.887"/>
    <n v="116839.11014336844"/>
    <n v="218150.18978874121"/>
    <n v="-101311.07964537277"/>
    <n v="0.36712328767123287"/>
    <n v="1"/>
    <n v="-101311.07964537277"/>
    <n v="0"/>
    <m/>
    <n v="-4547.7698947368417"/>
  </r>
  <r>
    <x v="4"/>
    <s v="Purchase"/>
    <x v="71"/>
    <x v="2"/>
    <s v="USD"/>
    <d v="2022-01-13T00:00:00"/>
    <n v="9268.69"/>
    <x v="2"/>
    <n v="20"/>
    <n v="463.43450000000001"/>
    <n v="1"/>
    <n v="9268.69"/>
    <n v="20.378499999999999"/>
    <n v="188881.99916499999"/>
    <n v="118.002"/>
    <n v="120.809"/>
    <n v="1.0237000000000001"/>
    <n v="193358.5025452105"/>
    <n v="9667.9251272605252"/>
    <m/>
    <n v="20"/>
    <s v="Sale"/>
    <x v="60"/>
    <s v="USD"/>
    <n v="5595.3810526315792"/>
    <n v="1"/>
    <n v="5595.3810526315792"/>
    <n v="19.887"/>
    <n v="111275.34299368421"/>
    <n v="193358.5025452105"/>
    <n v="-82083.159551526289"/>
    <n v="0.36438356164383562"/>
    <n v="1"/>
    <n v="-82083.159551526289"/>
    <n v="0"/>
    <m/>
    <n v="-3673.3089473684213"/>
  </r>
  <r>
    <x v="4"/>
    <s v="Purchase"/>
    <x v="72"/>
    <x v="2"/>
    <s v="USD"/>
    <d v="2021-04-22T00:00:00"/>
    <n v="9592.1080550098231"/>
    <x v="2"/>
    <n v="396"/>
    <n v="24.222495088408646"/>
    <n v="1"/>
    <n v="9592.1080550098231"/>
    <n v="19.887699999999999"/>
    <n v="190764.96736561885"/>
    <n v="112.19"/>
    <n v="117.30800000000001"/>
    <n v="1.0456000000000001"/>
    <n v="199463.8498774911"/>
    <n v="503.69659059972497"/>
    <m/>
    <n v="396"/>
    <s v="Sale"/>
    <x v="44"/>
    <s v="USD"/>
    <n v="13782.67"/>
    <n v="1"/>
    <n v="13782.67"/>
    <n v="20.378499999999999"/>
    <n v="280870.140595"/>
    <n v="199463.8498774911"/>
    <n v="81406.290717508906"/>
    <n v="0.72876712328767124"/>
    <n v="1"/>
    <n v="81406.290717508906"/>
    <n v="0"/>
    <m/>
    <n v="4190.5619449901769"/>
  </r>
  <r>
    <x v="4"/>
    <s v="Purchase"/>
    <x v="72"/>
    <x v="2"/>
    <s v="USD"/>
    <d v="2021-04-22T00:00:00"/>
    <n v="2204.2470530451869"/>
    <x v="2"/>
    <n v="91"/>
    <n v="24.222495088408646"/>
    <n v="1"/>
    <n v="2204.2470530451869"/>
    <n v="19.887699999999999"/>
    <n v="43837.404116846759"/>
    <n v="112.19"/>
    <n v="117.30800000000001"/>
    <n v="1.0456000000000001"/>
    <n v="45836.389744574975"/>
    <n v="503.69659059972503"/>
    <m/>
    <n v="91"/>
    <s v="Sale"/>
    <x v="57"/>
    <s v="USD"/>
    <n v="3277.885389221557"/>
    <n v="1"/>
    <n v="3277.885389221557"/>
    <n v="20.402999999999999"/>
    <n v="66878.69559628742"/>
    <n v="45836.389744574975"/>
    <n v="21042.305851712445"/>
    <n v="0.74794520547945209"/>
    <n v="1"/>
    <n v="21042.305851712445"/>
    <n v="0"/>
    <m/>
    <n v="1073.6383361763701"/>
  </r>
  <r>
    <x v="4"/>
    <s v="Purchase"/>
    <x v="72"/>
    <x v="2"/>
    <s v="USD"/>
    <d v="2021-06-02T00:00:00"/>
    <n v="6752.6313934426225"/>
    <x v="2"/>
    <n v="243"/>
    <n v="27.788606557377047"/>
    <n v="1"/>
    <n v="6752.6313934426225"/>
    <n v="19.921299999999999"/>
    <n v="134521.1957781885"/>
    <n v="113.018"/>
    <n v="117.30800000000001"/>
    <n v="1.0379"/>
    <n v="139619.54909818186"/>
    <n v="574.56604567153033"/>
    <m/>
    <n v="243"/>
    <s v="Sale"/>
    <x v="57"/>
    <s v="USD"/>
    <n v="8753.0346107784426"/>
    <n v="1"/>
    <n v="8753.0346107784426"/>
    <n v="20.402999999999999"/>
    <n v="178588.16516371255"/>
    <n v="139619.54909818186"/>
    <n v="38968.616065530689"/>
    <n v="0.63561643835616444"/>
    <n v="1"/>
    <n v="38968.616065530689"/>
    <n v="0"/>
    <m/>
    <n v="2000.40321733582"/>
  </r>
  <r>
    <x v="4"/>
    <s v="Purchase"/>
    <x v="72"/>
    <x v="2"/>
    <s v="USD"/>
    <d v="2021-06-02T00:00:00"/>
    <n v="55.577213114754095"/>
    <x v="2"/>
    <n v="2"/>
    <n v="27.788606557377047"/>
    <n v="1"/>
    <n v="55.577213114754095"/>
    <n v="19.921299999999999"/>
    <n v="1107.1703356229507"/>
    <n v="113.018"/>
    <n v="117.30800000000001"/>
    <n v="1.0379"/>
    <n v="1149.1320913430607"/>
    <n v="574.56604567153033"/>
    <m/>
    <n v="2"/>
    <s v="Sale"/>
    <x v="61"/>
    <s v="USD"/>
    <n v="64.510000000000005"/>
    <n v="1"/>
    <n v="64.510000000000005"/>
    <n v="20.450700000000001"/>
    <n v="1319.2746570000002"/>
    <n v="1149.1320913430607"/>
    <n v="170.1425656569395"/>
    <n v="0.64657534246575343"/>
    <n v="1"/>
    <n v="170.1425656569395"/>
    <n v="0"/>
    <m/>
    <n v="8.9327868852459105"/>
  </r>
  <r>
    <x v="4"/>
    <s v="Purchase"/>
    <x v="72"/>
    <x v="2"/>
    <s v="USD"/>
    <d v="2021-06-02T00:00:00"/>
    <n v="3362.4213934426225"/>
    <x v="2"/>
    <n v="121"/>
    <n v="27.788606557377044"/>
    <n v="1"/>
    <n v="3362.4213934426225"/>
    <n v="19.921299999999999"/>
    <n v="66983.805305188507"/>
    <n v="113.018"/>
    <n v="117.30800000000001"/>
    <n v="1.0379"/>
    <n v="69522.491526255151"/>
    <n v="574.56604567153022"/>
    <m/>
    <n v="121"/>
    <s v="Sale"/>
    <x v="61"/>
    <s v="USD"/>
    <n v="3862.8197826086957"/>
    <n v="1"/>
    <n v="3862.8197826086957"/>
    <n v="20.450700000000001"/>
    <n v="78997.368528195657"/>
    <n v="69522.491526255151"/>
    <n v="9474.8770019405056"/>
    <n v="0.64657534246575343"/>
    <n v="1"/>
    <n v="9474.8770019405056"/>
    <n v="0"/>
    <m/>
    <n v="500.39838916607323"/>
  </r>
  <r>
    <x v="4"/>
    <s v="Purchase"/>
    <x v="72"/>
    <x v="2"/>
    <s v="USD"/>
    <d v="2021-06-02T00:00:00"/>
    <n v="5804.03"/>
    <x v="2"/>
    <n v="238"/>
    <n v="24.386680672268906"/>
    <n v="1"/>
    <n v="5804.03"/>
    <n v="19.921299999999999"/>
    <n v="115623.82283899999"/>
    <n v="113.018"/>
    <n v="117.30800000000001"/>
    <n v="1.0379"/>
    <n v="120005.96572459809"/>
    <n v="504.2267467420088"/>
    <m/>
    <n v="238"/>
    <s v="Sale"/>
    <x v="61"/>
    <s v="USD"/>
    <n v="7597.9430434782607"/>
    <n v="1"/>
    <n v="7597.9430434782607"/>
    <n v="20.450700000000001"/>
    <n v="155383.25379926088"/>
    <n v="120005.96572459809"/>
    <n v="35377.288074662792"/>
    <n v="0.64657534246575343"/>
    <n v="1"/>
    <n v="35377.288074662792"/>
    <n v="0"/>
    <m/>
    <n v="1793.913043478261"/>
  </r>
  <r>
    <x v="4"/>
    <s v="Purchase"/>
    <x v="72"/>
    <x v="2"/>
    <s v="USD"/>
    <d v="2021-06-02T00:00:00"/>
    <n v="1319.3232984293193"/>
    <x v="2"/>
    <n v="55"/>
    <n v="23.987696335078532"/>
    <n v="1"/>
    <n v="1319.3232984293193"/>
    <n v="19.921299999999999"/>
    <n v="26282.635224999995"/>
    <n v="113.018"/>
    <n v="117.30800000000001"/>
    <n v="1.0379"/>
    <n v="27278.747100027496"/>
    <n v="495.97722000049993"/>
    <m/>
    <n v="55"/>
    <s v="Sale"/>
    <x v="61"/>
    <s v="USD"/>
    <n v="1755.8271739130435"/>
    <n v="1"/>
    <n v="1755.8271739130435"/>
    <n v="20.450700000000001"/>
    <n v="35907.894785543482"/>
    <n v="27278.747100027496"/>
    <n v="8629.1476855159854"/>
    <n v="0.64657534246575343"/>
    <n v="1"/>
    <n v="8629.1476855159854"/>
    <n v="0"/>
    <m/>
    <n v="436.50387548372419"/>
  </r>
  <r>
    <x v="4"/>
    <s v="Purchase"/>
    <x v="72"/>
    <x v="2"/>
    <s v="USD"/>
    <d v="2021-08-18T00:00:00"/>
    <n v="3262.3267015706801"/>
    <x v="2"/>
    <n v="136"/>
    <n v="23.987696335078532"/>
    <n v="1"/>
    <n v="3262.3267015706801"/>
    <n v="19.886299999999999"/>
    <n v="64875.607485445013"/>
    <n v="113.899"/>
    <n v="118.002"/>
    <n v="1.036"/>
    <n v="67211.129354921039"/>
    <n v="494.19948055088997"/>
    <m/>
    <n v="136"/>
    <s v="Sale"/>
    <x v="50"/>
    <s v="USD"/>
    <n v="5342.7215094339626"/>
    <n v="1"/>
    <n v="5342.7215094339626"/>
    <n v="20.5562"/>
    <n v="109826.05189222643"/>
    <n v="67211.129354921039"/>
    <n v="42614.922537305392"/>
    <n v="0.47671232876712327"/>
    <n v="1"/>
    <n v="42614.922537305392"/>
    <n v="0"/>
    <m/>
    <n v="2080.3948078632825"/>
  </r>
  <r>
    <x v="4"/>
    <s v="Purchase"/>
    <x v="72"/>
    <x v="2"/>
    <s v="USD"/>
    <d v="2021-08-18T00:00:00"/>
    <n v="1866.57"/>
    <x v="2"/>
    <n v="77"/>
    <n v="24.241168831168832"/>
    <n v="1"/>
    <n v="1866.57"/>
    <n v="19.886299999999999"/>
    <n v="37119.170990999999"/>
    <n v="113.899"/>
    <n v="118.002"/>
    <n v="1.036"/>
    <n v="38455.461146676003"/>
    <n v="499.4215733334546"/>
    <m/>
    <n v="77"/>
    <s v="Sale"/>
    <x v="50"/>
    <s v="USD"/>
    <n v="3024.92320754717"/>
    <n v="1"/>
    <n v="3024.92320754717"/>
    <n v="20.5562"/>
    <n v="62180.926438981136"/>
    <n v="38455.461146676003"/>
    <n v="23725.465292305133"/>
    <n v="0.47671232876712327"/>
    <n v="1"/>
    <n v="23725.465292305133"/>
    <n v="0"/>
    <m/>
    <n v="1158.3532075471701"/>
  </r>
  <r>
    <x v="4"/>
    <s v="Purchase"/>
    <x v="72"/>
    <x v="2"/>
    <s v="USD"/>
    <d v="2021-09-22T00:00:00"/>
    <n v="1391.52"/>
    <x v="2"/>
    <n v="52"/>
    <n v="26.759999999999998"/>
    <n v="1"/>
    <n v="1391.52"/>
    <n v="20.173500000000001"/>
    <n v="28071.828720000001"/>
    <n v="114.601"/>
    <n v="118.002"/>
    <n v="1.0296000000000001"/>
    <n v="28902.754850112004"/>
    <n v="555.82220865600004"/>
    <m/>
    <n v="52"/>
    <s v="Sale"/>
    <x v="50"/>
    <s v="USD"/>
    <n v="2042.8052830188681"/>
    <n v="1"/>
    <n v="2042.8052830188681"/>
    <n v="20.5562"/>
    <n v="41992.31395879246"/>
    <n v="28902.754850112004"/>
    <n v="13089.559108680456"/>
    <n v="0.38082191780821917"/>
    <n v="1"/>
    <n v="13089.559108680456"/>
    <n v="0"/>
    <m/>
    <n v="651.28528301886809"/>
  </r>
  <r>
    <x v="4"/>
    <s v="Purchase"/>
    <x v="72"/>
    <x v="2"/>
    <s v="USD"/>
    <d v="2021-09-22T00:00:00"/>
    <n v="2702.76"/>
    <x v="2"/>
    <n v="101"/>
    <n v="26.76"/>
    <n v="1"/>
    <n v="2702.76"/>
    <n v="20.173500000000001"/>
    <n v="54524.128860000004"/>
    <n v="114.601"/>
    <n v="118.002"/>
    <n v="1.0296000000000001"/>
    <n v="56138.043074256006"/>
    <n v="555.82220865600004"/>
    <m/>
    <n v="101"/>
    <s v="Sale"/>
    <x v="62"/>
    <s v="USD"/>
    <n v="4008.9641428571431"/>
    <n v="1"/>
    <n v="4008.9641428571431"/>
    <n v="20.418800000000001"/>
    <n v="81858.237040171443"/>
    <n v="56138.043074256006"/>
    <n v="25720.193965915438"/>
    <n v="0.4"/>
    <n v="1"/>
    <n v="25720.193965915438"/>
    <n v="0"/>
    <m/>
    <n v="1306.2041428571429"/>
  </r>
  <r>
    <x v="4"/>
    <s v="Purchase"/>
    <x v="72"/>
    <x v="2"/>
    <s v="USD"/>
    <d v="2021-09-22T00:00:00"/>
    <n v="6706.7632907348252"/>
    <x v="2"/>
    <n v="249"/>
    <n v="26.934792332268373"/>
    <n v="1"/>
    <n v="6706.7632907348252"/>
    <n v="20.173500000000001"/>
    <n v="135298.889245639"/>
    <n v="114.601"/>
    <n v="118.002"/>
    <n v="1.0296000000000001"/>
    <n v="139303.73636730993"/>
    <n v="559.45275649522057"/>
    <m/>
    <n v="249"/>
    <s v="Sale"/>
    <x v="62"/>
    <s v="USD"/>
    <n v="9883.4858571428576"/>
    <n v="1"/>
    <n v="9883.4858571428576"/>
    <n v="20.418800000000001"/>
    <n v="201808.92101982859"/>
    <n v="139303.73636730993"/>
    <n v="62505.184652518656"/>
    <n v="0.4"/>
    <n v="1"/>
    <n v="62505.184652518656"/>
    <n v="0"/>
    <m/>
    <n v="3176.7225664080324"/>
  </r>
  <r>
    <x v="4"/>
    <s v="Purchase"/>
    <x v="72"/>
    <x v="2"/>
    <s v="USD"/>
    <d v="2021-09-22T00:00:00"/>
    <n v="1723.8267092651759"/>
    <x v="2"/>
    <n v="64"/>
    <n v="26.934792332268373"/>
    <n v="1"/>
    <n v="1723.8267092651759"/>
    <n v="20.173500000000001"/>
    <n v="34775.618119361025"/>
    <n v="114.601"/>
    <n v="118.98099999999999"/>
    <n v="1.0382"/>
    <n v="36104.046731520619"/>
    <n v="564.12573018000967"/>
    <m/>
    <n v="64"/>
    <s v="Sale"/>
    <x v="63"/>
    <s v="USD"/>
    <n v="3521.7788235294115"/>
    <n v="1"/>
    <n v="3521.7788235294115"/>
    <n v="20.703299999999999"/>
    <n v="72912.443517176464"/>
    <n v="36104.046731520619"/>
    <n v="36808.396785655845"/>
    <n v="0.45479452054794522"/>
    <n v="1"/>
    <n v="36808.396785655845"/>
    <n v="0"/>
    <m/>
    <n v="1797.9521142642357"/>
  </r>
  <r>
    <x v="4"/>
    <s v="Purchase"/>
    <x v="72"/>
    <x v="2"/>
    <s v="USD"/>
    <d v="2021-11-19T00:00:00"/>
    <n v="29.75"/>
    <x v="2"/>
    <n v="1"/>
    <n v="29.75"/>
    <n v="1"/>
    <n v="29.75"/>
    <n v="20.691199999999998"/>
    <n v="615.56319999999994"/>
    <n v="116.884"/>
    <n v="118.98099999999999"/>
    <n v="1.0179"/>
    <n v="626.58178127999997"/>
    <n v="626.58178127999997"/>
    <m/>
    <n v="1"/>
    <s v="Sale"/>
    <x v="63"/>
    <s v="USD"/>
    <n v="55.027794117647055"/>
    <n v="1"/>
    <n v="55.027794117647055"/>
    <n v="20.703299999999999"/>
    <n v="1139.2569299558822"/>
    <n v="626.58178127999997"/>
    <n v="512.67514867588227"/>
    <n v="0.29589041095890412"/>
    <n v="1"/>
    <n v="512.67514867588227"/>
    <n v="0"/>
    <m/>
    <n v="25.277794117647055"/>
  </r>
  <r>
    <x v="4"/>
    <s v="Purchase"/>
    <x v="72"/>
    <x v="2"/>
    <s v="USD"/>
    <d v="2021-11-23T00:00:00"/>
    <n v="2238.6807142857142"/>
    <x v="2"/>
    <n v="71"/>
    <n v="31.530714285714286"/>
    <n v="1"/>
    <n v="2238.6807142857142"/>
    <n v="20.828299999999999"/>
    <n v="46627.913521357135"/>
    <n v="116.884"/>
    <n v="118.98099999999999"/>
    <n v="1.0179"/>
    <n v="47462.553173389431"/>
    <n v="668.48666441393561"/>
    <m/>
    <n v="71"/>
    <s v="Sale"/>
    <x v="63"/>
    <s v="USD"/>
    <n v="3906.9733823529409"/>
    <n v="1"/>
    <n v="3906.9733823529409"/>
    <n v="20.703299999999999"/>
    <n v="80887.242026867636"/>
    <n v="47462.553173389431"/>
    <n v="33424.688853478205"/>
    <n v="0.28493150684931506"/>
    <n v="1"/>
    <n v="33424.688853478205"/>
    <n v="0"/>
    <m/>
    <n v="1668.2926680672267"/>
  </r>
  <r>
    <x v="4"/>
    <s v="Purchase"/>
    <x v="72"/>
    <x v="2"/>
    <s v="USD"/>
    <d v="2021-11-23T00:00:00"/>
    <n v="7062.88"/>
    <x v="2"/>
    <n v="224"/>
    <n v="31.530714285714286"/>
    <n v="1"/>
    <n v="7062.88"/>
    <n v="20.828299999999999"/>
    <n v="147107.78350399999"/>
    <n v="116.884"/>
    <n v="118.98099999999999"/>
    <n v="1.0179"/>
    <n v="149741.01282872161"/>
    <n v="668.48666441393573"/>
    <m/>
    <n v="224"/>
    <s v="Sale"/>
    <x v="13"/>
    <s v="USD"/>
    <n v="12365.64"/>
    <n v="1"/>
    <n v="12365.64"/>
    <n v="20.926200000000001"/>
    <n v="258765.85576800001"/>
    <n v="149741.01282872161"/>
    <n v="109024.8429392784"/>
    <n v="0.28767123287671231"/>
    <n v="1"/>
    <n v="109024.8429392784"/>
    <n v="0"/>
    <m/>
    <n v="5302.7599999999993"/>
  </r>
  <r>
    <x v="4"/>
    <s v="Purchase"/>
    <x v="72"/>
    <x v="2"/>
    <s v="USD"/>
    <d v="2021-11-23T00:00:00"/>
    <n v="1734.1892857142857"/>
    <x v="2"/>
    <n v="55"/>
    <n v="31.530714285714286"/>
    <n v="1"/>
    <n v="1734.1892857142857"/>
    <n v="20.828299999999999"/>
    <n v="36120.214699642856"/>
    <n v="116.884"/>
    <n v="118.98099999999999"/>
    <n v="1.0179"/>
    <n v="36766.766542766461"/>
    <n v="668.48666441393561"/>
    <m/>
    <n v="55"/>
    <s v="Sale"/>
    <x v="41"/>
    <s v="USD"/>
    <n v="3029.1751302083335"/>
    <n v="1"/>
    <n v="3029.1751302083335"/>
    <n v="21.194700000000001"/>
    <n v="64202.458132226566"/>
    <n v="36766.766542766461"/>
    <n v="27435.691589460104"/>
    <n v="0.29041095890410956"/>
    <n v="1"/>
    <n v="27435.691589460104"/>
    <n v="0"/>
    <m/>
    <n v="1294.9858444940478"/>
  </r>
  <r>
    <x v="4"/>
    <s v="Purchase"/>
    <x v="72"/>
    <x v="2"/>
    <s v="USD"/>
    <d v="2021-11-30T00:00:00"/>
    <n v="9693.1299999999992"/>
    <x v="2"/>
    <n v="329"/>
    <n v="29.462401215805468"/>
    <n v="1"/>
    <n v="9693.1299999999992"/>
    <n v="21.8185"/>
    <n v="211489.55690499998"/>
    <n v="116.884"/>
    <n v="118.98099999999999"/>
    <n v="1.0179"/>
    <n v="215275.21997359948"/>
    <n v="654.33197560364579"/>
    <m/>
    <n v="329"/>
    <s v="Sale"/>
    <x v="41"/>
    <s v="USD"/>
    <n v="18119.974869791669"/>
    <n v="1"/>
    <n v="18119.974869791669"/>
    <n v="21.194700000000001"/>
    <n v="384047.43137277348"/>
    <n v="215275.21997359945"/>
    <n v="168772.21139917403"/>
    <n v="0.27123287671232876"/>
    <n v="1"/>
    <n v="168772.21139917403"/>
    <n v="0"/>
    <m/>
    <n v="8426.8448697916701"/>
  </r>
  <r>
    <x v="4"/>
    <s v="Purchase"/>
    <x v="73"/>
    <x v="2"/>
    <s v="USD"/>
    <d v="2021-05-18T00:00:00"/>
    <n v="7525.5276923076926"/>
    <x v="2"/>
    <n v="42"/>
    <n v="179.17923076923077"/>
    <n v="1"/>
    <n v="7525.5276923076926"/>
    <n v="19.848700000000001"/>
    <n v="149371.94150630772"/>
    <n v="112.419"/>
    <n v="117.30800000000001"/>
    <n v="1.0434000000000001"/>
    <n v="155854.68376768148"/>
    <n v="3710.8258039924162"/>
    <m/>
    <n v="42"/>
    <s v="Sale"/>
    <x v="43"/>
    <s v="USD"/>
    <n v="7038.9182926829271"/>
    <n v="1"/>
    <n v="7038.9182926829271"/>
    <n v="20.4453"/>
    <n v="143912.79616939026"/>
    <n v="155854.68376768148"/>
    <n v="-11941.887598291214"/>
    <n v="0.65479452054794518"/>
    <n v="1"/>
    <n v="-11941.887598291214"/>
    <n v="0"/>
    <m/>
    <n v="-486.6093996247655"/>
  </r>
  <r>
    <x v="4"/>
    <s v="Purchase"/>
    <x v="73"/>
    <x v="2"/>
    <s v="USD"/>
    <d v="2021-05-18T00:00:00"/>
    <n v="3201.73"/>
    <x v="2"/>
    <n v="18"/>
    <n v="177.8738888888889"/>
    <n v="1"/>
    <n v="3201.73"/>
    <n v="19.848700000000001"/>
    <n v="63550.178251000005"/>
    <n v="112.419"/>
    <n v="117.30800000000001"/>
    <n v="1.0434000000000001"/>
    <n v="66308.255987093406"/>
    <n v="3683.791999282967"/>
    <m/>
    <n v="18"/>
    <s v="Sale"/>
    <x v="43"/>
    <s v="USD"/>
    <n v="3016.679268292683"/>
    <n v="1"/>
    <n v="3016.679268292683"/>
    <n v="20.4453"/>
    <n v="61676.912644024393"/>
    <n v="66308.255987093406"/>
    <n v="-4631.3433430690129"/>
    <n v="0.65479452054794518"/>
    <n v="1"/>
    <n v="-4631.3433430690129"/>
    <n v="0"/>
    <m/>
    <n v="-185.05073170731703"/>
  </r>
  <r>
    <x v="4"/>
    <s v="Purchase"/>
    <x v="73"/>
    <x v="2"/>
    <s v="USD"/>
    <d v="2021-05-18T00:00:00"/>
    <n v="3959.34"/>
    <x v="2"/>
    <n v="22"/>
    <n v="179.97"/>
    <n v="1"/>
    <n v="3959.34"/>
    <n v="19.848700000000001"/>
    <n v="78587.751858000003"/>
    <n v="112.419"/>
    <n v="117.30800000000001"/>
    <n v="1.0434000000000001"/>
    <n v="81998.460288637216"/>
    <n v="3727.2027403926008"/>
    <m/>
    <n v="22"/>
    <s v="Sale"/>
    <x v="43"/>
    <s v="USD"/>
    <n v="3687.0524390243904"/>
    <n v="1"/>
    <n v="3687.0524390243904"/>
    <n v="20.4453"/>
    <n v="75382.893231585374"/>
    <n v="81998.460288637216"/>
    <n v="-6615.5670570518414"/>
    <n v="0.65479452054794518"/>
    <n v="1"/>
    <n v="-6615.5670570518414"/>
    <n v="0"/>
    <m/>
    <n v="-272.28756097560972"/>
  </r>
  <r>
    <x v="4"/>
    <s v="Purchase"/>
    <x v="74"/>
    <x v="2"/>
    <s v="USD"/>
    <d v="2020-11-06T00:00:00"/>
    <n v="1718.5662499999999"/>
    <x v="2"/>
    <n v="3"/>
    <n v="572.85541666666666"/>
    <n v="1"/>
    <n v="1718.5662499999999"/>
    <n v="21.034500000000001"/>
    <n v="36149.181785624998"/>
    <n v="108.85599999999999"/>
    <n v="120.15900000000001"/>
    <n v="1.1037999999999999"/>
    <n v="39901.466854972867"/>
    <n v="13300.488951657622"/>
    <m/>
    <n v="3"/>
    <s v="Sale"/>
    <x v="40"/>
    <s v="USD"/>
    <n v="816.46"/>
    <n v="1"/>
    <n v="816.46"/>
    <n v="20.0093"/>
    <n v="16336.793078000001"/>
    <n v="39901.466854972867"/>
    <n v="-23564.673776972864"/>
    <n v="1.4328767123287671"/>
    <n v="1"/>
    <n v="-23564.673776972864"/>
    <n v="0"/>
    <m/>
    <n v="-902.10624999999982"/>
  </r>
  <r>
    <x v="4"/>
    <s v="Purchase"/>
    <x v="74"/>
    <x v="2"/>
    <s v="USD"/>
    <d v="2020-11-06T00:00:00"/>
    <n v="6874.2649999999994"/>
    <x v="2"/>
    <n v="12"/>
    <n v="572.85541666666666"/>
    <n v="1"/>
    <n v="6874.2649999999994"/>
    <n v="21.034500000000001"/>
    <n v="144596.72714249999"/>
    <n v="108.85599999999999"/>
    <n v="120.15900000000001"/>
    <n v="1.1037999999999999"/>
    <n v="159605.86741989147"/>
    <n v="13300.488951657622"/>
    <m/>
    <n v="12"/>
    <s v="Sale"/>
    <x v="40"/>
    <s v="USD"/>
    <n v="3263.0181818181813"/>
    <n v="1"/>
    <n v="3263.0181818181813"/>
    <n v="20.0093"/>
    <n v="65290.709705454537"/>
    <n v="159605.86741989147"/>
    <n v="-94315.157714436937"/>
    <n v="1.4328767123287671"/>
    <n v="1"/>
    <n v="-94315.157714436937"/>
    <n v="0"/>
    <m/>
    <n v="-3611.2468181818181"/>
  </r>
  <r>
    <x v="4"/>
    <s v="Purchase"/>
    <x v="74"/>
    <x v="2"/>
    <s v="USD"/>
    <d v="2020-12-04T00:00:00"/>
    <n v="11951.607499999998"/>
    <x v="2"/>
    <n v="21"/>
    <n v="569.12416666666661"/>
    <n v="1"/>
    <n v="11951.607499999998"/>
    <n v="20.049700000000001"/>
    <n v="239626.14489274999"/>
    <n v="109.271"/>
    <n v="120.15900000000001"/>
    <n v="1.0995999999999999"/>
    <n v="263492.90892406786"/>
    <n v="12547.281377336565"/>
    <m/>
    <n v="21"/>
    <s v="Sale"/>
    <x v="40"/>
    <s v="USD"/>
    <n v="5710.2818181818175"/>
    <n v="1"/>
    <n v="5710.2818181818175"/>
    <n v="20.0093"/>
    <n v="114258.74198454544"/>
    <n v="263492.90892406786"/>
    <n v="-149234.16693952243"/>
    <n v="1.3561643835616439"/>
    <n v="1"/>
    <n v="-149234.16693952243"/>
    <n v="0"/>
    <m/>
    <n v="-6241.3256818181808"/>
  </r>
  <r>
    <x v="4"/>
    <s v="Purchase"/>
    <x v="74"/>
    <x v="2"/>
    <s v="USD"/>
    <d v="2020-12-04T00:00:00"/>
    <n v="1707.3724999999999"/>
    <x v="2"/>
    <n v="3"/>
    <n v="569.12416666666661"/>
    <n v="1"/>
    <n v="1707.3724999999999"/>
    <n v="20.049700000000001"/>
    <n v="34232.30641325"/>
    <n v="109.271"/>
    <n v="120.15900000000001"/>
    <n v="1.0995999999999999"/>
    <n v="37641.844132009697"/>
    <n v="12547.281377336565"/>
    <m/>
    <n v="3"/>
    <s v="Sale"/>
    <x v="64"/>
    <s v="USD"/>
    <n v="815.97"/>
    <n v="1"/>
    <n v="815.97"/>
    <n v="19.840699999999998"/>
    <n v="16189.415978999999"/>
    <n v="37641.844132009697"/>
    <n v="-21452.4281530097"/>
    <n v="1.3589041095890411"/>
    <n v="1"/>
    <n v="-21452.4281530097"/>
    <n v="0"/>
    <m/>
    <n v="-891.40249999999992"/>
  </r>
  <r>
    <x v="4"/>
    <s v="Purchase"/>
    <x v="74"/>
    <x v="2"/>
    <s v="USD"/>
    <d v="2021-05-18T00:00:00"/>
    <n v="2728.89"/>
    <x v="2"/>
    <n v="6"/>
    <n v="454.815"/>
    <n v="1"/>
    <n v="2728.89"/>
    <n v="19.848700000000001"/>
    <n v="54164.918942999997"/>
    <n v="112.419"/>
    <n v="120.15900000000001"/>
    <n v="1.0688"/>
    <n v="57891.465366278397"/>
    <n v="9648.5775610463988"/>
    <m/>
    <n v="6"/>
    <s v="Sale"/>
    <x v="64"/>
    <s v="USD"/>
    <n v="1631.94"/>
    <n v="1"/>
    <n v="1631.94"/>
    <n v="19.840699999999998"/>
    <n v="32378.831957999999"/>
    <n v="57891.465366278397"/>
    <n v="-25512.633408278398"/>
    <n v="0.9068493150684932"/>
    <n v="1"/>
    <n v="-25512.633408278398"/>
    <n v="0"/>
    <m/>
    <n v="-1096.9499999999998"/>
  </r>
  <r>
    <x v="4"/>
    <s v="Purchase"/>
    <x v="74"/>
    <x v="2"/>
    <s v="USD"/>
    <d v="2021-05-27T00:00:00"/>
    <n v="2785.8818181818183"/>
    <x v="2"/>
    <n v="6"/>
    <n v="464.31363636363636"/>
    <n v="1"/>
    <n v="2785.8818181818183"/>
    <n v="19.8903"/>
    <n v="55412.02512818182"/>
    <n v="112.419"/>
    <n v="120.15900000000001"/>
    <n v="1.0688"/>
    <n v="59224.372457000725"/>
    <n v="9870.7287428334548"/>
    <m/>
    <n v="6"/>
    <s v="Sale"/>
    <x v="64"/>
    <s v="USD"/>
    <n v="1631.94"/>
    <n v="1"/>
    <n v="1631.94"/>
    <n v="19.840699999999998"/>
    <n v="32378.831957999999"/>
    <n v="59224.372457000733"/>
    <n v="-26845.540499000734"/>
    <n v="0.88219178082191785"/>
    <n v="1"/>
    <n v="-26845.540499000734"/>
    <n v="0"/>
    <m/>
    <n v="-1153.9418181818182"/>
  </r>
  <r>
    <x v="4"/>
    <s v="Purchase"/>
    <x v="74"/>
    <x v="2"/>
    <s v="USD"/>
    <d v="2021-05-27T00:00:00"/>
    <n v="2321.568181818182"/>
    <x v="2"/>
    <n v="5"/>
    <n v="464.31363636363642"/>
    <n v="1"/>
    <n v="2321.568181818182"/>
    <n v="19.8903"/>
    <n v="46176.687606818188"/>
    <n v="112.419"/>
    <n v="120.15900000000001"/>
    <n v="1.0688"/>
    <n v="49353.64371416728"/>
    <n v="9870.7287428334566"/>
    <m/>
    <n v="5"/>
    <s v="Sale"/>
    <x v="65"/>
    <s v="USD"/>
    <n v="1294.9921875"/>
    <n v="1"/>
    <n v="1294.9921875"/>
    <n v="19.840699999999998"/>
    <n v="25693.551494531246"/>
    <n v="49353.64371416728"/>
    <n v="-23660.092219636033"/>
    <n v="0.89315068493150684"/>
    <n v="1"/>
    <n v="-23660.092219636033"/>
    <n v="0"/>
    <m/>
    <n v="-1026.575994318182"/>
  </r>
  <r>
    <x v="4"/>
    <s v="Purchase"/>
    <x v="74"/>
    <x v="2"/>
    <s v="USD"/>
    <d v="2021-05-27T00:00:00"/>
    <n v="5551.82"/>
    <x v="2"/>
    <n v="12"/>
    <n v="462.65166666666664"/>
    <n v="1"/>
    <n v="5551.82"/>
    <n v="19.8903"/>
    <n v="110427.36534599999"/>
    <n v="112.419"/>
    <n v="120.15900000000001"/>
    <n v="1.0688"/>
    <n v="118024.76808180478"/>
    <n v="9835.397340150399"/>
    <m/>
    <n v="12"/>
    <s v="Sale"/>
    <x v="65"/>
    <s v="USD"/>
    <n v="3107.9812500000003"/>
    <n v="1"/>
    <n v="3107.9812500000003"/>
    <n v="19.840699999999998"/>
    <n v="61664.523586875002"/>
    <n v="118024.7680818048"/>
    <n v="-56360.244494929793"/>
    <n v="0.89315068493150684"/>
    <n v="1"/>
    <n v="-56360.244494929793"/>
    <n v="0"/>
    <m/>
    <n v="-2443.8387499999994"/>
  </r>
  <r>
    <x v="4"/>
    <s v="Purchase"/>
    <x v="74"/>
    <x v="2"/>
    <s v="USD"/>
    <d v="2021-06-01T00:00:00"/>
    <n v="6522.74"/>
    <x v="2"/>
    <n v="14"/>
    <n v="465.90999999999997"/>
    <n v="1"/>
    <n v="6522.74"/>
    <n v="19.944199999999999"/>
    <n v="130090.83110799998"/>
    <n v="113.018"/>
    <n v="120.15900000000001"/>
    <n v="1.0630999999999999"/>
    <n v="138299.56255091476"/>
    <n v="9878.5401822081967"/>
    <m/>
    <n v="14"/>
    <s v="Sale"/>
    <x v="65"/>
    <s v="USD"/>
    <n v="3625.9781250000005"/>
    <n v="1"/>
    <n v="3625.9781250000005"/>
    <n v="19.840699999999998"/>
    <n v="71941.944184687498"/>
    <n v="138299.56255091476"/>
    <n v="-66357.618366227267"/>
    <n v="0.8794520547945206"/>
    <n v="1"/>
    <n v="-66357.618366227267"/>
    <n v="0"/>
    <m/>
    <n v="-2896.7618749999992"/>
  </r>
  <r>
    <x v="4"/>
    <s v="Purchase"/>
    <x v="74"/>
    <x v="2"/>
    <s v="USD"/>
    <d v="2021-08-02T00:00:00"/>
    <n v="476.85"/>
    <x v="2"/>
    <n v="1"/>
    <n v="476.85"/>
    <n v="1"/>
    <n v="476.85"/>
    <n v="19.844799999999999"/>
    <n v="9462.9928799999998"/>
    <n v="113.899"/>
    <n v="120.15900000000001"/>
    <n v="1.0548999999999999"/>
    <n v="9982.5111891119996"/>
    <n v="9982.5111891119996"/>
    <m/>
    <n v="1"/>
    <s v="Sale"/>
    <x v="65"/>
    <s v="USD"/>
    <n v="258.99843750000002"/>
    <n v="1"/>
    <n v="258.99843750000002"/>
    <n v="19.840699999999998"/>
    <n v="5138.7102989062496"/>
    <n v="9982.5111891119996"/>
    <n v="-4843.80089020575"/>
    <n v="0.70958904109589038"/>
    <n v="1"/>
    <n v="-4843.80089020575"/>
    <n v="0"/>
    <m/>
    <n v="-217.8515625"/>
  </r>
  <r>
    <x v="4"/>
    <s v="Purchase"/>
    <x v="74"/>
    <x v="2"/>
    <s v="USD"/>
    <d v="2021-08-02T00:00:00"/>
    <n v="3381.0583333333334"/>
    <x v="2"/>
    <n v="7"/>
    <n v="483.00833333333333"/>
    <n v="1"/>
    <n v="3381.0583333333334"/>
    <n v="19.844799999999999"/>
    <n v="67096.426413333334"/>
    <n v="113.899"/>
    <n v="120.15900000000001"/>
    <n v="1.0548999999999999"/>
    <n v="70780.020223425337"/>
    <n v="10111.431460489333"/>
    <m/>
    <n v="7"/>
    <s v="Sale"/>
    <x v="65"/>
    <s v="USD"/>
    <n v="1799.7600000000002"/>
    <n v="1"/>
    <n v="1799.7600000000002"/>
    <n v="19.840699999999998"/>
    <n v="35708.498231999998"/>
    <n v="70780.020223425337"/>
    <n v="-35071.521991425339"/>
    <n v="0.70958904109589038"/>
    <n v="1"/>
    <n v="-35071.521991425339"/>
    <n v="0"/>
    <m/>
    <n v="-1581.2983333333332"/>
  </r>
  <r>
    <x v="4"/>
    <s v="Purchase"/>
    <x v="74"/>
    <x v="2"/>
    <s v="USD"/>
    <d v="2021-08-02T00:00:00"/>
    <n v="5313.0916666666662"/>
    <x v="2"/>
    <n v="11"/>
    <n v="483.00833333333327"/>
    <n v="1"/>
    <n v="5313.0916666666662"/>
    <n v="19.844799999999999"/>
    <n v="105437.24150666666"/>
    <n v="113.899"/>
    <n v="120.15900000000001"/>
    <n v="1.0548999999999999"/>
    <n v="111225.74606538266"/>
    <n v="10111.431460489332"/>
    <m/>
    <n v="11"/>
    <s v="Sale"/>
    <x v="66"/>
    <s v="USD"/>
    <n v="2845.4196774193551"/>
    <n v="1"/>
    <n v="2845.4196774193551"/>
    <n v="19.796700000000001"/>
    <n v="56329.919727967754"/>
    <n v="111225.74606538264"/>
    <n v="-54895.826337414888"/>
    <n v="0.71232876712328763"/>
    <n v="1"/>
    <n v="-54895.826337414888"/>
    <n v="0"/>
    <m/>
    <n v="-2467.6719892473111"/>
  </r>
  <r>
    <x v="4"/>
    <s v="Purchase"/>
    <x v="74"/>
    <x v="2"/>
    <s v="USD"/>
    <d v="2021-08-03T00:00:00"/>
    <n v="9556.255172413792"/>
    <x v="2"/>
    <n v="20"/>
    <n v="477.81275862068958"/>
    <n v="1"/>
    <n v="9556.255172413792"/>
    <n v="19.845500000000001"/>
    <n v="189648.66202413791"/>
    <n v="113.899"/>
    <n v="120.15900000000001"/>
    <n v="1.0548999999999999"/>
    <n v="200060.37356926309"/>
    <n v="10003.018678463155"/>
    <m/>
    <n v="20"/>
    <s v="Sale"/>
    <x v="66"/>
    <s v="USD"/>
    <n v="5173.4903225806456"/>
    <n v="1"/>
    <n v="5173.4903225806456"/>
    <n v="19.796700000000001"/>
    <n v="102418.03586903228"/>
    <n v="200060.37356926309"/>
    <n v="-97642.337700230812"/>
    <n v="0.70958904109589038"/>
    <n v="1"/>
    <n v="-97642.337700230812"/>
    <n v="0"/>
    <m/>
    <n v="-4382.7648498331464"/>
  </r>
  <r>
    <x v="4"/>
    <s v="Purchase"/>
    <x v="74"/>
    <x v="2"/>
    <s v="USD"/>
    <d v="2021-08-03T00:00:00"/>
    <n v="4300.3148275862068"/>
    <x v="2"/>
    <n v="9"/>
    <n v="477.81275862068964"/>
    <n v="1"/>
    <n v="4300.3148275862068"/>
    <n v="19.845500000000001"/>
    <n v="85341.89791086207"/>
    <n v="113.899"/>
    <n v="120.15900000000001"/>
    <n v="1.0548999999999999"/>
    <n v="90027.168106168392"/>
    <n v="10003.018678463155"/>
    <m/>
    <n v="9"/>
    <s v="Sale"/>
    <x v="67"/>
    <s v="USD"/>
    <n v="2449.3868181818184"/>
    <n v="1"/>
    <n v="2449.3868181818184"/>
    <n v="19.9377"/>
    <n v="48835.139564863639"/>
    <n v="90027.168106168392"/>
    <n v="-41192.028541304753"/>
    <n v="0.71232876712328763"/>
    <n v="1"/>
    <n v="-41192.028541304753"/>
    <n v="0"/>
    <m/>
    <n v="-1850.9280094043884"/>
  </r>
  <r>
    <x v="4"/>
    <s v="Purchase"/>
    <x v="74"/>
    <x v="2"/>
    <s v="USD"/>
    <d v="2021-08-03T00:00:00"/>
    <n v="1435.48"/>
    <x v="2"/>
    <n v="3"/>
    <n v="478.49333333333334"/>
    <n v="1"/>
    <n v="1435.48"/>
    <n v="19.845500000000001"/>
    <n v="28487.818340000002"/>
    <n v="113.899"/>
    <n v="120.15900000000001"/>
    <n v="1.0548999999999999"/>
    <n v="30051.799566866001"/>
    <n v="10017.266522288666"/>
    <m/>
    <n v="3"/>
    <s v="Sale"/>
    <x v="67"/>
    <s v="USD"/>
    <n v="816.46227272727288"/>
    <n v="1"/>
    <n v="816.46227272727288"/>
    <n v="19.9377"/>
    <n v="16278.379854954548"/>
    <n v="30051.799566866001"/>
    <n v="-13773.419711911452"/>
    <n v="0.71232876712328763"/>
    <n v="1"/>
    <n v="-13773.419711911452"/>
    <n v="0"/>
    <m/>
    <n v="-619.01772727272714"/>
  </r>
  <r>
    <x v="4"/>
    <s v="Purchase"/>
    <x v="74"/>
    <x v="2"/>
    <s v="USD"/>
    <d v="2021-08-18T00:00:00"/>
    <n v="2310.4"/>
    <x v="2"/>
    <n v="5"/>
    <n v="462.08000000000004"/>
    <n v="1"/>
    <n v="2310.4"/>
    <n v="19.886299999999999"/>
    <n v="45945.307519999995"/>
    <n v="113.899"/>
    <n v="120.15900000000001"/>
    <n v="1.0548999999999999"/>
    <n v="48467.704902847989"/>
    <n v="9693.5409805695981"/>
    <m/>
    <n v="5"/>
    <s v="Sale"/>
    <x v="67"/>
    <s v="USD"/>
    <n v="1360.7704545454546"/>
    <n v="1"/>
    <n v="1360.7704545454546"/>
    <n v="19.9377"/>
    <n v="27130.633091590909"/>
    <n v="48467.704902847989"/>
    <n v="-21337.071811257079"/>
    <n v="0.67123287671232879"/>
    <n v="1"/>
    <n v="-21337.071811257079"/>
    <n v="0"/>
    <m/>
    <n v="-949.62954545454545"/>
  </r>
  <r>
    <x v="4"/>
    <s v="Purchase"/>
    <x v="74"/>
    <x v="2"/>
    <s v="USD"/>
    <d v="2021-08-19T00:00:00"/>
    <n v="2356.6999999999998"/>
    <x v="2"/>
    <n v="5"/>
    <n v="471.34"/>
    <n v="1"/>
    <n v="2356.6999999999998"/>
    <n v="19.991199999999999"/>
    <n v="47113.261039999998"/>
    <n v="113.899"/>
    <n v="120.15900000000001"/>
    <n v="1.0548999999999999"/>
    <n v="49699.779071095996"/>
    <n v="9939.9558142192"/>
    <m/>
    <n v="5"/>
    <s v="Sale"/>
    <x v="67"/>
    <s v="USD"/>
    <n v="1360.7704545454546"/>
    <n v="1"/>
    <n v="1360.7704545454546"/>
    <n v="19.9377"/>
    <n v="27130.633091590909"/>
    <n v="49699.779071095996"/>
    <n v="-22569.145979505087"/>
    <n v="0.66849315068493154"/>
    <n v="1"/>
    <n v="-22569.145979505087"/>
    <n v="0"/>
    <m/>
    <n v="-995.92954545454518"/>
  </r>
  <r>
    <x v="4"/>
    <s v="Purchase"/>
    <x v="74"/>
    <x v="2"/>
    <s v="USD"/>
    <d v="2021-08-19T00:00:00"/>
    <n v="471.34"/>
    <x v="2"/>
    <n v="1"/>
    <n v="471.34"/>
    <n v="1"/>
    <n v="471.34"/>
    <n v="19.991199999999999"/>
    <n v="9422.6522079999995"/>
    <n v="113.899"/>
    <n v="120.15900000000001"/>
    <n v="1.0548999999999999"/>
    <n v="9939.9558142191981"/>
    <n v="9939.9558142191981"/>
    <m/>
    <n v="1"/>
    <s v="Sale"/>
    <x v="67"/>
    <s v="USD"/>
    <n v="274.67454545454547"/>
    <n v="1"/>
    <n v="274.67454545454547"/>
    <n v="19.9377"/>
    <n v="5476.3786849090911"/>
    <n v="9939.9558142191981"/>
    <n v="-4463.577129310107"/>
    <n v="0.66849315068493154"/>
    <n v="1"/>
    <n v="-4463.577129310107"/>
    <n v="0"/>
    <m/>
    <n v="-196.66545454545451"/>
  </r>
  <r>
    <x v="4"/>
    <s v="Purchase"/>
    <x v="74"/>
    <x v="2"/>
    <s v="USD"/>
    <d v="2021-08-19T00:00:00"/>
    <n v="3299.93"/>
    <x v="2"/>
    <n v="7"/>
    <n v="471.4185714285714"/>
    <n v="1"/>
    <n v="3299.93"/>
    <n v="19.991199999999999"/>
    <n v="65969.560615999988"/>
    <n v="113.899"/>
    <n v="120.15900000000001"/>
    <n v="1.0548999999999999"/>
    <n v="69591.289493818389"/>
    <n v="9941.612784831199"/>
    <m/>
    <n v="7"/>
    <s v="Sale"/>
    <x v="67"/>
    <s v="USD"/>
    <n v="1922.7218181818182"/>
    <n v="1"/>
    <n v="1922.7218181818182"/>
    <n v="19.9377"/>
    <n v="38334.650794363639"/>
    <n v="69591.289493818389"/>
    <n v="-31256.63869945475"/>
    <n v="0.66849315068493154"/>
    <n v="1"/>
    <n v="-31256.63869945475"/>
    <n v="0"/>
    <m/>
    <n v="-1377.2081818181816"/>
  </r>
  <r>
    <x v="4"/>
    <s v="Purchase"/>
    <x v="74"/>
    <x v="2"/>
    <s v="USD"/>
    <d v="2021-08-19T00:00:00"/>
    <n v="1405.71"/>
    <x v="2"/>
    <n v="3"/>
    <n v="468.57"/>
    <n v="1"/>
    <n v="1405.71"/>
    <n v="19.991199999999999"/>
    <n v="28101.829751999998"/>
    <n v="113.899"/>
    <n v="120.15900000000001"/>
    <n v="1.0548999999999999"/>
    <n v="29644.620205384796"/>
    <n v="9881.5400684615979"/>
    <m/>
    <n v="3"/>
    <s v="Sale"/>
    <x v="67"/>
    <s v="USD"/>
    <n v="824.02363636363634"/>
    <n v="1"/>
    <n v="824.02363636363634"/>
    <n v="19.9377"/>
    <n v="16429.136054727271"/>
    <n v="29644.620205384796"/>
    <n v="-13215.484150657525"/>
    <n v="0.66849315068493154"/>
    <n v="1"/>
    <n v="-13215.484150657525"/>
    <n v="0"/>
    <m/>
    <n v="-581.68636363636369"/>
  </r>
  <r>
    <x v="4"/>
    <s v="Purchase"/>
    <x v="74"/>
    <x v="2"/>
    <s v="USD"/>
    <d v="2021-08-19T00:00:00"/>
    <n v="1415.58"/>
    <x v="2"/>
    <n v="3"/>
    <n v="471.85999999999996"/>
    <n v="1"/>
    <n v="1415.58"/>
    <n v="19.991199999999999"/>
    <n v="28299.142895999998"/>
    <n v="113.899"/>
    <n v="120.15900000000001"/>
    <n v="1.0548999999999999"/>
    <n v="29852.765840990396"/>
    <n v="9950.9219469967993"/>
    <m/>
    <n v="3"/>
    <s v="Sale"/>
    <x v="67"/>
    <s v="USD"/>
    <n v="824.02363636363634"/>
    <n v="1"/>
    <n v="824.02363636363634"/>
    <n v="19.9377"/>
    <n v="16429.136054727271"/>
    <n v="29852.765840990396"/>
    <n v="-13423.629786263125"/>
    <n v="0.66849315068493154"/>
    <n v="1"/>
    <n v="-13423.629786263125"/>
    <n v="0"/>
    <m/>
    <n v="-591.55636363636359"/>
  </r>
  <r>
    <x v="4"/>
    <s v="Purchase"/>
    <x v="74"/>
    <x v="2"/>
    <s v="USD"/>
    <d v="2021-10-07T00:00:00"/>
    <n v="2099.25"/>
    <x v="2"/>
    <n v="5"/>
    <n v="419.85"/>
    <n v="1"/>
    <n v="2099.25"/>
    <n v="20.581800000000001"/>
    <n v="43206.343650000003"/>
    <n v="115.56100000000001"/>
    <n v="120.15900000000001"/>
    <n v="1.0397000000000001"/>
    <n v="44921.635492905007"/>
    <n v="8984.3270985810013"/>
    <m/>
    <n v="5"/>
    <s v="Sale"/>
    <x v="67"/>
    <s v="USD"/>
    <n v="1373.3727272727274"/>
    <n v="1"/>
    <n v="1373.3727272727274"/>
    <n v="19.9377"/>
    <n v="27381.893424545455"/>
    <n v="44921.635492905007"/>
    <n v="-17539.742068359552"/>
    <n v="0.53424657534246578"/>
    <n v="1"/>
    <n v="-17539.742068359552"/>
    <n v="0"/>
    <m/>
    <n v="-725.87727272727261"/>
  </r>
  <r>
    <x v="4"/>
    <s v="Purchase"/>
    <x v="74"/>
    <x v="2"/>
    <s v="USD"/>
    <d v="2021-10-07T00:00:00"/>
    <n v="5895.9809999999998"/>
    <x v="2"/>
    <n v="14"/>
    <n v="421.14150000000001"/>
    <n v="1"/>
    <n v="5895.9809999999998"/>
    <n v="20.581800000000001"/>
    <n v="121349.9017458"/>
    <n v="115.56100000000001"/>
    <n v="120.15900000000001"/>
    <n v="1.0397000000000001"/>
    <n v="126167.49284510827"/>
    <n v="9011.9637746505905"/>
    <m/>
    <n v="14"/>
    <s v="Sale"/>
    <x v="67"/>
    <s v="USD"/>
    <n v="3845.4436363636364"/>
    <n v="1"/>
    <n v="3845.4436363636364"/>
    <n v="19.9377"/>
    <n v="76669.301588727278"/>
    <n v="126167.49284510827"/>
    <n v="-49498.191256380989"/>
    <n v="0.53424657534246578"/>
    <n v="1"/>
    <n v="-49498.191256380989"/>
    <n v="0"/>
    <m/>
    <n v="-2050.5373636363634"/>
  </r>
  <r>
    <x v="4"/>
    <s v="Purchase"/>
    <x v="74"/>
    <x v="2"/>
    <s v="USD"/>
    <d v="2021-10-07T00:00:00"/>
    <n v="2526.8490000000002"/>
    <x v="2"/>
    <n v="6"/>
    <n v="421.14150000000001"/>
    <n v="1"/>
    <n v="2526.8490000000002"/>
    <n v="20.581800000000001"/>
    <n v="52007.100748200006"/>
    <n v="115.56100000000001"/>
    <n v="120.15900000000001"/>
    <n v="1.0397000000000001"/>
    <n v="54071.78264790355"/>
    <n v="9011.9637746505923"/>
    <m/>
    <n v="6"/>
    <s v="Sale"/>
    <x v="67"/>
    <s v="USD"/>
    <n v="1646.2719402985072"/>
    <n v="1"/>
    <n v="1646.2719402985072"/>
    <n v="19.9377"/>
    <n v="32822.876064089549"/>
    <n v="54071.782647903558"/>
    <n v="-21248.906583814009"/>
    <n v="0.53424657534246578"/>
    <n v="1"/>
    <n v="-21248.906583814009"/>
    <n v="0"/>
    <m/>
    <n v="-880.577059701493"/>
  </r>
  <r>
    <x v="4"/>
    <s v="Purchase"/>
    <x v="74"/>
    <x v="2"/>
    <s v="USD"/>
    <d v="2021-12-07T00:00:00"/>
    <n v="2272.62"/>
    <x v="2"/>
    <n v="6"/>
    <n v="378.77"/>
    <n v="1"/>
    <n v="2272.62"/>
    <n v="21.4177"/>
    <n v="48674.293374000001"/>
    <n v="117.30800000000001"/>
    <n v="120.15900000000001"/>
    <n v="1.0243"/>
    <n v="49857.078702988198"/>
    <n v="8309.513117164699"/>
    <m/>
    <n v="6"/>
    <s v="Sale"/>
    <x v="67"/>
    <s v="USD"/>
    <n v="1646.2719402985072"/>
    <n v="1"/>
    <n v="1646.2719402985072"/>
    <n v="19.9377"/>
    <n v="32822.876064089549"/>
    <n v="49857.07870298819"/>
    <n v="-17034.202638898641"/>
    <n v="0.36712328767123287"/>
    <n v="1"/>
    <n v="-17034.202638898641"/>
    <n v="0"/>
    <m/>
    <n v="-626.34805970149273"/>
  </r>
  <r>
    <x v="4"/>
    <s v="Purchase"/>
    <x v="74"/>
    <x v="2"/>
    <s v="USD"/>
    <d v="2021-12-07T00:00:00"/>
    <n v="3045.33"/>
    <x v="2"/>
    <n v="8"/>
    <n v="380.66624999999999"/>
    <n v="1"/>
    <n v="3045.33"/>
    <n v="21.4177"/>
    <n v="65223.964340999999"/>
    <n v="117.30800000000001"/>
    <n v="120.15900000000001"/>
    <n v="1.0243"/>
    <n v="66808.906674486294"/>
    <n v="8351.1133343107867"/>
    <m/>
    <n v="8"/>
    <s v="Sale"/>
    <x v="67"/>
    <s v="USD"/>
    <n v="2195.029253731343"/>
    <n v="1"/>
    <n v="2195.029253731343"/>
    <n v="19.9377"/>
    <n v="43763.834752119394"/>
    <n v="66808.906674486294"/>
    <n v="-23045.0719223669"/>
    <n v="0.36712328767123287"/>
    <n v="1"/>
    <n v="-23045.0719223669"/>
    <n v="0"/>
    <m/>
    <n v="-850.30074626865689"/>
  </r>
  <r>
    <x v="4"/>
    <s v="Purchase"/>
    <x v="74"/>
    <x v="2"/>
    <s v="USD"/>
    <d v="2021-12-07T00:00:00"/>
    <n v="10256.870000000001"/>
    <x v="2"/>
    <n v="27"/>
    <n v="379.88407407407408"/>
    <n v="1"/>
    <n v="10256.870000000001"/>
    <n v="21.4177"/>
    <n v="219678.564599"/>
    <n v="117.30800000000001"/>
    <n v="120.15900000000001"/>
    <n v="1.0243"/>
    <n v="225016.7537187557"/>
    <n v="8333.9538414353956"/>
    <m/>
    <n v="27"/>
    <s v="Sale"/>
    <x v="67"/>
    <s v="USD"/>
    <n v="7408.2237313432825"/>
    <n v="1"/>
    <n v="7408.2237313432825"/>
    <n v="19.9377"/>
    <n v="147702.94228840296"/>
    <n v="225016.75371875567"/>
    <n v="-77313.811430352711"/>
    <n v="0.36712328767123287"/>
    <n v="1"/>
    <n v="-77313.811430352711"/>
    <n v="0"/>
    <m/>
    <n v="-2848.6462686567183"/>
  </r>
  <r>
    <x v="4"/>
    <s v="Purchase"/>
    <x v="74"/>
    <x v="2"/>
    <s v="USD"/>
    <d v="2022-02-07T00:00:00"/>
    <n v="373.49"/>
    <x v="2"/>
    <n v="1"/>
    <n v="373.49"/>
    <n v="1"/>
    <n v="373.49"/>
    <n v="20.5562"/>
    <n v="7677.5351380000002"/>
    <n v="118.98099999999999"/>
    <n v="120.15900000000001"/>
    <n v="1.0099"/>
    <n v="7753.5427358662"/>
    <n v="7753.5427358662"/>
    <m/>
    <n v="1"/>
    <s v="Sale"/>
    <x v="67"/>
    <s v="USD"/>
    <n v="274.37865671641788"/>
    <n v="1"/>
    <n v="274.37865671641788"/>
    <n v="19.9377"/>
    <n v="5470.4793440149242"/>
    <n v="7753.5427358662"/>
    <n v="-2283.0633918512758"/>
    <n v="0.19726027397260273"/>
    <n v="1"/>
    <n v="-2283.0633918512758"/>
    <n v="0"/>
    <m/>
    <n v="-99.11134328358213"/>
  </r>
  <r>
    <x v="4"/>
    <s v="Purchase"/>
    <x v="74"/>
    <x v="2"/>
    <s v="USD"/>
    <d v="2022-02-07T00:00:00"/>
    <n v="4852.6899999999996"/>
    <x v="2"/>
    <n v="13"/>
    <n v="373.28384615384613"/>
    <n v="1"/>
    <n v="4852.6899999999996"/>
    <n v="20.5562"/>
    <n v="99752.866177999997"/>
    <n v="118.98099999999999"/>
    <n v="120.15900000000001"/>
    <n v="1.0099"/>
    <n v="100740.4195531622"/>
    <n v="7749.2630425509378"/>
    <m/>
    <n v="13"/>
    <s v="Sale"/>
    <x v="67"/>
    <s v="USD"/>
    <n v="3566.9225373134323"/>
    <n v="1"/>
    <n v="3566.9225373134323"/>
    <n v="19.9377"/>
    <n v="71116.23147219402"/>
    <n v="100740.4195531622"/>
    <n v="-29624.188080968175"/>
    <n v="0.19726027397260273"/>
    <n v="1"/>
    <n v="-29624.188080968175"/>
    <n v="0"/>
    <m/>
    <n v="-1285.7674626865673"/>
  </r>
  <r>
    <x v="4"/>
    <s v="Purchase"/>
    <x v="74"/>
    <x v="2"/>
    <s v="USD"/>
    <d v="2022-02-07T00:00:00"/>
    <n v="2248.8200000000002"/>
    <x v="2"/>
    <n v="6"/>
    <n v="374.80333333333334"/>
    <n v="1"/>
    <n v="2248.8200000000002"/>
    <n v="20.5562"/>
    <n v="46227.193684000005"/>
    <n v="118.98099999999999"/>
    <n v="120.15900000000001"/>
    <n v="1.0099"/>
    <n v="46684.842901471609"/>
    <n v="7780.8071502452685"/>
    <m/>
    <n v="6"/>
    <s v="Sale"/>
    <x v="67"/>
    <s v="USD"/>
    <n v="1646.2719402985072"/>
    <n v="1"/>
    <n v="1646.2719402985072"/>
    <n v="19.9377"/>
    <n v="32822.876064089549"/>
    <n v="46684.842901471609"/>
    <n v="-13861.96683738206"/>
    <n v="0.19726027397260273"/>
    <n v="1"/>
    <n v="-13861.96683738206"/>
    <n v="0"/>
    <m/>
    <n v="-602.548059701493"/>
  </r>
  <r>
    <x v="4"/>
    <s v="Purchase"/>
    <x v="75"/>
    <x v="1"/>
    <s v="USD"/>
    <d v="2021-05-18T00:00:00"/>
    <n v="1495.4802499999998"/>
    <x v="1"/>
    <n v="11"/>
    <n v="135.95274999999998"/>
    <n v="1"/>
    <n v="1495.4802499999998"/>
    <n v="19.848700000000001"/>
    <n v="29683.338838174997"/>
    <n v="112.419"/>
    <n v="118.002"/>
    <n v="1.0496000000000001"/>
    <n v="31155.632444548479"/>
    <n v="2832.3302222316797"/>
    <m/>
    <n v="11"/>
    <s v="Sale"/>
    <x v="43"/>
    <s v="USD"/>
    <n v="1309.5999999999999"/>
    <n v="1"/>
    <n v="1309.5999999999999"/>
    <n v="20.4453"/>
    <n v="26775.164879999997"/>
    <n v="31155.632444548479"/>
    <n v="-4380.4675645484822"/>
    <n v="0.65479452054794518"/>
    <n v="1"/>
    <n v="-4380.4675645484822"/>
    <n v="0"/>
    <m/>
    <n v="-185.88024999999993"/>
  </r>
  <r>
    <x v="4"/>
    <s v="Purchase"/>
    <x v="75"/>
    <x v="1"/>
    <s v="USD"/>
    <d v="2021-05-18T00:00:00"/>
    <n v="951.66924999999992"/>
    <x v="1"/>
    <n v="7"/>
    <n v="135.95274999999998"/>
    <n v="1"/>
    <n v="951.66924999999992"/>
    <n v="19.848700000000001"/>
    <n v="18889.397442474998"/>
    <n v="112.419"/>
    <n v="118.002"/>
    <n v="1.0496000000000001"/>
    <n v="19826.31155562176"/>
    <n v="2832.3302222316802"/>
    <m/>
    <n v="7"/>
    <s v="Sale"/>
    <x v="43"/>
    <s v="USD"/>
    <n v="832.57416666666666"/>
    <n v="1"/>
    <n v="832.57416666666666"/>
    <n v="20.4453"/>
    <n v="17022.22860975"/>
    <n v="19826.31155562176"/>
    <n v="-2804.0829458717599"/>
    <n v="0.65479452054794518"/>
    <n v="1"/>
    <n v="-2804.0829458717599"/>
    <n v="0"/>
    <m/>
    <n v="-119.09508333333326"/>
  </r>
  <r>
    <x v="4"/>
    <s v="Purchase"/>
    <x v="75"/>
    <x v="1"/>
    <s v="USD"/>
    <d v="2021-05-18T00:00:00"/>
    <n v="684.75"/>
    <x v="1"/>
    <n v="5"/>
    <n v="136.94999999999999"/>
    <n v="1"/>
    <n v="684.75"/>
    <n v="19.848700000000001"/>
    <n v="13591.397325"/>
    <n v="112.419"/>
    <n v="118.002"/>
    <n v="1.0496000000000001"/>
    <n v="14265.53063232"/>
    <n v="2853.1061264640002"/>
    <m/>
    <n v="5"/>
    <s v="Sale"/>
    <x v="43"/>
    <s v="USD"/>
    <n v="594.69583333333333"/>
    <n v="1"/>
    <n v="594.69583333333333"/>
    <n v="20.4453"/>
    <n v="12158.734721249999"/>
    <n v="14265.530632320002"/>
    <n v="-2106.7959110700031"/>
    <n v="0.65479452054794518"/>
    <n v="1"/>
    <n v="-2106.7959110700031"/>
    <n v="0"/>
    <m/>
    <n v="-90.054166666666674"/>
  </r>
  <r>
    <x v="4"/>
    <s v="Purchase"/>
    <x v="75"/>
    <x v="1"/>
    <s v="USD"/>
    <d v="2021-05-18T00:00:00"/>
    <n v="1095.5999999999999"/>
    <x v="1"/>
    <n v="8"/>
    <n v="136.94999999999999"/>
    <n v="1"/>
    <n v="1095.5999999999999"/>
    <n v="19.848700000000001"/>
    <n v="21746.235720000001"/>
    <n v="112.419"/>
    <n v="118.002"/>
    <n v="1.0496000000000001"/>
    <n v="22824.849011712002"/>
    <n v="2853.1061264640002"/>
    <m/>
    <n v="8"/>
    <s v="Sale"/>
    <x v="43"/>
    <s v="USD"/>
    <n v="951.54412698412693"/>
    <n v="1"/>
    <n v="951.54412698412693"/>
    <n v="20.4453"/>
    <n v="19454.605139428571"/>
    <n v="22824.849011712002"/>
    <n v="-3370.2438722834304"/>
    <n v="0.65479452054794518"/>
    <n v="1"/>
    <n v="-3370.2438722834304"/>
    <n v="0"/>
    <m/>
    <n v="-144.05587301587298"/>
  </r>
  <r>
    <x v="4"/>
    <s v="Purchase"/>
    <x v="75"/>
    <x v="1"/>
    <s v="USD"/>
    <d v="2021-05-19T00:00:00"/>
    <n v="5159.7700000000004"/>
    <x v="1"/>
    <n v="38"/>
    <n v="135.78342105263158"/>
    <n v="1"/>
    <n v="5159.7700000000004"/>
    <n v="19.802800000000001"/>
    <n v="102177.89335600002"/>
    <n v="112.419"/>
    <n v="118.002"/>
    <n v="1.0496000000000001"/>
    <n v="107245.91686645763"/>
    <n v="2822.2609701699375"/>
    <m/>
    <n v="38"/>
    <s v="Sale"/>
    <x v="43"/>
    <s v="USD"/>
    <n v="4519.8346031746032"/>
    <n v="1"/>
    <n v="4519.8346031746032"/>
    <n v="20.4453"/>
    <n v="92409.374412285717"/>
    <n v="107245.91686645763"/>
    <n v="-14836.542454171911"/>
    <n v="0.65205479452054793"/>
    <n v="1"/>
    <n v="-14836.542454171911"/>
    <n v="0"/>
    <m/>
    <n v="-639.93539682539722"/>
  </r>
  <r>
    <x v="4"/>
    <s v="Purchase"/>
    <x v="75"/>
    <x v="1"/>
    <s v="USD"/>
    <d v="2021-06-01T00:00:00"/>
    <n v="2277.7258064516127"/>
    <x v="1"/>
    <n v="17"/>
    <n v="133.98387096774192"/>
    <n v="1"/>
    <n v="2277.7258064516127"/>
    <n v="19.944199999999999"/>
    <n v="45427.419029032251"/>
    <n v="113.018"/>
    <n v="118.002"/>
    <n v="1.044"/>
    <n v="47426.225466309676"/>
    <n v="2789.7779686064514"/>
    <m/>
    <n v="17"/>
    <s v="Sale"/>
    <x v="43"/>
    <s v="USD"/>
    <n v="2022.0312698412697"/>
    <n v="1"/>
    <n v="2022.0312698412697"/>
    <n v="20.4453"/>
    <n v="41341.035921285707"/>
    <n v="47426.225466309676"/>
    <n v="-6085.1895450239681"/>
    <n v="0.61643835616438358"/>
    <n v="1"/>
    <n v="-6085.1895450239681"/>
    <n v="0"/>
    <m/>
    <n v="-255.69453661034299"/>
  </r>
  <r>
    <x v="4"/>
    <s v="Purchase"/>
    <x v="75"/>
    <x v="1"/>
    <s v="USD"/>
    <d v="2021-06-01T00:00:00"/>
    <n v="937.88709677419342"/>
    <x v="1"/>
    <n v="7"/>
    <n v="133.98387096774192"/>
    <n v="1"/>
    <n v="937.88709677419342"/>
    <n v="19.944199999999999"/>
    <n v="18705.407835483868"/>
    <n v="113.018"/>
    <n v="118.002"/>
    <n v="1.044"/>
    <n v="19528.445780245158"/>
    <n v="2789.7779686064509"/>
    <m/>
    <n v="7"/>
    <s v="Sale"/>
    <x v="43"/>
    <s v="USD"/>
    <n v="836.08"/>
    <n v="1"/>
    <n v="836.08"/>
    <n v="20.4453"/>
    <n v="17093.906424000001"/>
    <n v="19528.445780245158"/>
    <n v="-2434.5393562451573"/>
    <n v="0.61643835616438358"/>
    <n v="1"/>
    <n v="-2434.5393562451573"/>
    <n v="0"/>
    <m/>
    <n v="-101.80709677419338"/>
  </r>
  <r>
    <x v="4"/>
    <s v="Purchase"/>
    <x v="75"/>
    <x v="1"/>
    <s v="USD"/>
    <d v="2021-06-01T00:00:00"/>
    <n v="937.88709677419342"/>
    <x v="1"/>
    <n v="7"/>
    <n v="133.98387096774192"/>
    <n v="1"/>
    <n v="937.88709677419342"/>
    <n v="19.944199999999999"/>
    <n v="18705.407835483868"/>
    <n v="113.018"/>
    <n v="118.002"/>
    <n v="1.044"/>
    <n v="19528.445780245158"/>
    <n v="2789.7779686064509"/>
    <m/>
    <n v="7"/>
    <s v="Sale"/>
    <x v="44"/>
    <s v="USD"/>
    <n v="854.42466666666678"/>
    <n v="1"/>
    <n v="854.42466666666678"/>
    <n v="20.378499999999999"/>
    <n v="17411.893069666668"/>
    <n v="19528.445780245158"/>
    <n v="-2116.5527105784895"/>
    <n v="0.61917808219178083"/>
    <n v="1"/>
    <n v="-2116.5527105784895"/>
    <n v="0"/>
    <m/>
    <n v="-83.462430107526643"/>
  </r>
  <r>
    <x v="4"/>
    <s v="Purchase"/>
    <x v="75"/>
    <x v="1"/>
    <s v="USD"/>
    <d v="2021-06-08T00:00:00"/>
    <n v="1040.3311111111111"/>
    <x v="1"/>
    <n v="8"/>
    <n v="130.04138888888889"/>
    <n v="1"/>
    <n v="1040.3311111111111"/>
    <n v="19.9328"/>
    <n v="20736.711971555556"/>
    <n v="113.018"/>
    <n v="118.002"/>
    <n v="1.044"/>
    <n v="21649.127298304"/>
    <n v="2706.140912288"/>
    <m/>
    <n v="8"/>
    <s v="Sale"/>
    <x v="44"/>
    <s v="USD"/>
    <n v="976.48533333333341"/>
    <n v="1"/>
    <n v="976.48533333333341"/>
    <n v="20.378499999999999"/>
    <n v="19899.306365333334"/>
    <n v="21649.127298304"/>
    <n v="-1749.820932970666"/>
    <n v="0.6"/>
    <n v="1"/>
    <n v="-1749.820932970666"/>
    <n v="0"/>
    <m/>
    <n v="-63.845777777777698"/>
  </r>
  <r>
    <x v="4"/>
    <s v="Purchase"/>
    <x v="75"/>
    <x v="1"/>
    <s v="USD"/>
    <d v="2021-06-08T00:00:00"/>
    <n v="910.28972222222228"/>
    <x v="1"/>
    <n v="7"/>
    <n v="130.04138888888889"/>
    <n v="1"/>
    <n v="910.28972222222228"/>
    <n v="19.9328"/>
    <n v="18144.622975111113"/>
    <n v="113.018"/>
    <n v="118.002"/>
    <n v="1.044"/>
    <n v="18942.986386016004"/>
    <n v="2706.1409122880004"/>
    <m/>
    <n v="7"/>
    <s v="Sale"/>
    <x v="44"/>
    <s v="USD"/>
    <n v="845.74"/>
    <n v="1"/>
    <n v="845.74"/>
    <n v="20.378499999999999"/>
    <n v="17234.91259"/>
    <n v="18942.986386016004"/>
    <n v="-1708.0737960160041"/>
    <n v="0.6"/>
    <n v="1"/>
    <n v="-1708.0737960160041"/>
    <n v="0"/>
    <m/>
    <n v="-64.549722222222272"/>
  </r>
  <r>
    <x v="4"/>
    <s v="Purchase"/>
    <x v="75"/>
    <x v="1"/>
    <s v="USD"/>
    <d v="2021-06-08T00:00:00"/>
    <n v="910.28972222222228"/>
    <x v="1"/>
    <n v="7"/>
    <n v="130.04138888888889"/>
    <n v="1"/>
    <n v="910.28972222222228"/>
    <n v="19.9328"/>
    <n v="18144.622975111113"/>
    <n v="113.018"/>
    <n v="118.002"/>
    <n v="1.044"/>
    <n v="18942.986386016004"/>
    <n v="2706.1409122880004"/>
    <m/>
    <n v="7"/>
    <s v="Sale"/>
    <x v="44"/>
    <s v="USD"/>
    <n v="854.25"/>
    <n v="1"/>
    <n v="854.25"/>
    <n v="20.378499999999999"/>
    <n v="17408.333624999999"/>
    <n v="18942.986386016004"/>
    <n v="-1534.6527610160047"/>
    <n v="0.6"/>
    <n v="1"/>
    <n v="-1534.6527610160047"/>
    <n v="0"/>
    <m/>
    <n v="-56.039722222222281"/>
  </r>
  <r>
    <x v="4"/>
    <s v="Purchase"/>
    <x v="75"/>
    <x v="1"/>
    <s v="USD"/>
    <d v="2021-06-08T00:00:00"/>
    <n v="1820.5794444444446"/>
    <x v="1"/>
    <n v="14"/>
    <n v="130.04138888888889"/>
    <n v="1"/>
    <n v="1820.5794444444446"/>
    <n v="19.9328"/>
    <n v="36289.245950222226"/>
    <n v="113.018"/>
    <n v="118.002"/>
    <n v="1.044"/>
    <n v="37885.972772032008"/>
    <n v="2706.1409122880004"/>
    <m/>
    <n v="14"/>
    <s v="Sale"/>
    <x v="15"/>
    <s v="USD"/>
    <n v="1694.2362499999999"/>
    <n v="1"/>
    <n v="1694.2362499999999"/>
    <n v="20.3002"/>
    <n v="34393.334722250002"/>
    <n v="37885.972772032008"/>
    <n v="-3492.6380497820064"/>
    <n v="0.61643835616438358"/>
    <n v="1"/>
    <n v="-3492.6380497820064"/>
    <n v="0"/>
    <m/>
    <n v="-126.34319444444463"/>
  </r>
  <r>
    <x v="4"/>
    <s v="Purchase"/>
    <x v="75"/>
    <x v="1"/>
    <s v="USD"/>
    <d v="2021-06-08T00:00:00"/>
    <n v="261.03587301587299"/>
    <x v="1"/>
    <n v="2"/>
    <n v="130.5179365079365"/>
    <n v="1"/>
    <n v="261.03587301587299"/>
    <n v="19.9328"/>
    <n v="5203.1758496507937"/>
    <n v="113.018"/>
    <n v="118.002"/>
    <n v="1.044"/>
    <n v="5432.1155870354287"/>
    <n v="2716.0577935177143"/>
    <m/>
    <n v="2"/>
    <s v="Sale"/>
    <x v="15"/>
    <s v="USD"/>
    <n v="242.03375"/>
    <n v="1"/>
    <n v="242.03375"/>
    <n v="20.3002"/>
    <n v="4913.3335317499996"/>
    <n v="5432.1155870354287"/>
    <n v="-518.78205528542912"/>
    <n v="0.61643835616438358"/>
    <n v="1"/>
    <n v="-518.78205528542912"/>
    <n v="0"/>
    <m/>
    <n v="-19.002123015872996"/>
  </r>
  <r>
    <x v="4"/>
    <s v="Purchase"/>
    <x v="75"/>
    <x v="1"/>
    <s v="USD"/>
    <d v="2021-06-08T00:00:00"/>
    <n v="2610.3587301587299"/>
    <x v="1"/>
    <n v="20"/>
    <n v="130.5179365079365"/>
    <n v="1"/>
    <n v="2610.3587301587299"/>
    <n v="19.9328"/>
    <n v="52031.75849650793"/>
    <n v="113.018"/>
    <n v="118.002"/>
    <n v="1.044"/>
    <n v="54321.155870354283"/>
    <n v="2716.0577935177143"/>
    <m/>
    <n v="20"/>
    <s v="Sale"/>
    <x v="15"/>
    <s v="USD"/>
    <n v="2421.79"/>
    <n v="1"/>
    <n v="2421.79"/>
    <n v="20.3002"/>
    <n v="49162.821358000001"/>
    <n v="54321.155870354283"/>
    <n v="-5158.3345123542822"/>
    <n v="0.61643835616438358"/>
    <n v="1"/>
    <n v="-5158.3345123542822"/>
    <n v="0"/>
    <m/>
    <n v="-188.56873015872998"/>
  </r>
  <r>
    <x v="4"/>
    <s v="Purchase"/>
    <x v="75"/>
    <x v="1"/>
    <s v="USD"/>
    <d v="2021-06-08T00:00:00"/>
    <n v="3132.4304761904759"/>
    <x v="1"/>
    <n v="24"/>
    <n v="130.5179365079365"/>
    <n v="1"/>
    <n v="3132.4304761904759"/>
    <n v="19.9328"/>
    <n v="62438.110195809517"/>
    <n v="113.018"/>
    <n v="118.002"/>
    <n v="1.044"/>
    <n v="65185.387044425137"/>
    <n v="2716.0577935177139"/>
    <m/>
    <n v="24"/>
    <s v="Sale"/>
    <x v="15"/>
    <s v="USD"/>
    <n v="2898.53"/>
    <n v="1"/>
    <n v="2898.53"/>
    <n v="20.3002"/>
    <n v="58840.738706000004"/>
    <n v="65185.387044425137"/>
    <n v="-6344.6483384251333"/>
    <n v="0.61643835616438358"/>
    <n v="1"/>
    <n v="-6344.6483384251333"/>
    <n v="0"/>
    <m/>
    <n v="-233.90047619047573"/>
  </r>
  <r>
    <x v="4"/>
    <s v="Purchase"/>
    <x v="75"/>
    <x v="1"/>
    <s v="USD"/>
    <d v="2021-06-08T00:00:00"/>
    <n v="783.10761904761898"/>
    <x v="1"/>
    <n v="6"/>
    <n v="130.5179365079365"/>
    <n v="1"/>
    <n v="783.10761904761898"/>
    <n v="19.9328"/>
    <n v="15609.527548952379"/>
    <n v="113.018"/>
    <n v="118.002"/>
    <n v="1.044"/>
    <n v="16296.346761106284"/>
    <n v="2716.0577935177139"/>
    <m/>
    <n v="6"/>
    <s v="Sale"/>
    <x v="57"/>
    <s v="USD"/>
    <n v="725.97"/>
    <n v="1"/>
    <n v="725.97"/>
    <n v="20.402999999999999"/>
    <n v="14811.965909999999"/>
    <n v="16296.346761106284"/>
    <n v="-1484.3808511062853"/>
    <n v="0.61917808219178083"/>
    <n v="1"/>
    <n v="-1484.3808511062853"/>
    <n v="0"/>
    <m/>
    <n v="-57.137619047618955"/>
  </r>
  <r>
    <x v="4"/>
    <s v="Purchase"/>
    <x v="75"/>
    <x v="1"/>
    <s v="USD"/>
    <d v="2021-06-08T00:00:00"/>
    <n v="783.10761904761898"/>
    <x v="1"/>
    <n v="6"/>
    <n v="130.5179365079365"/>
    <n v="1"/>
    <n v="783.10761904761898"/>
    <n v="19.9328"/>
    <n v="15609.527548952379"/>
    <n v="113.018"/>
    <n v="118.002"/>
    <n v="1.044"/>
    <n v="16296.346761106284"/>
    <n v="2716.0577935177139"/>
    <m/>
    <n v="6"/>
    <s v="Sale"/>
    <x v="57"/>
    <s v="USD"/>
    <n v="727.08"/>
    <n v="1"/>
    <n v="727.08"/>
    <n v="20.402999999999999"/>
    <n v="14834.613240000001"/>
    <n v="16296.346761106284"/>
    <n v="-1461.7335211062837"/>
    <n v="0.61917808219178083"/>
    <n v="1"/>
    <n v="-1461.7335211062837"/>
    <n v="0"/>
    <m/>
    <n v="-56.027619047618941"/>
  </r>
  <r>
    <x v="4"/>
    <s v="Purchase"/>
    <x v="75"/>
    <x v="1"/>
    <s v="USD"/>
    <d v="2021-06-08T00:00:00"/>
    <n v="652.58968253968249"/>
    <x v="1"/>
    <n v="5"/>
    <n v="130.5179365079365"/>
    <n v="1"/>
    <n v="652.58968253968249"/>
    <n v="19.9328"/>
    <n v="13007.939624126982"/>
    <n v="113.018"/>
    <n v="118.002"/>
    <n v="1.044"/>
    <n v="13580.288967588571"/>
    <n v="2716.0577935177143"/>
    <m/>
    <n v="5"/>
    <s v="Sale"/>
    <x v="57"/>
    <s v="USD"/>
    <n v="605.40499999999997"/>
    <n v="1"/>
    <n v="605.40499999999997"/>
    <n v="20.402999999999999"/>
    <n v="12352.078215"/>
    <n v="13580.288967588571"/>
    <n v="-1228.2107525885713"/>
    <n v="0.61917808219178083"/>
    <n v="1"/>
    <n v="-1228.2107525885713"/>
    <n v="0"/>
    <m/>
    <n v="-47.184682539682512"/>
  </r>
  <r>
    <x v="4"/>
    <s v="Purchase"/>
    <x v="75"/>
    <x v="1"/>
    <s v="USD"/>
    <d v="2021-07-20T00:00:00"/>
    <n v="1513.21"/>
    <x v="1"/>
    <n v="13"/>
    <n v="116.40076923076923"/>
    <n v="1"/>
    <n v="1513.21"/>
    <n v="19.8537"/>
    <n v="30042.817376999999"/>
    <n v="113.682"/>
    <n v="118.002"/>
    <n v="1.038"/>
    <n v="31184.444437326001"/>
    <n v="2398.8034182558463"/>
    <m/>
    <n v="13"/>
    <s v="Sale"/>
    <x v="57"/>
    <s v="USD"/>
    <n v="1574.0529999999999"/>
    <n v="1"/>
    <n v="1574.0529999999999"/>
    <n v="20.402999999999999"/>
    <n v="32115.403358999996"/>
    <n v="31184.444437326001"/>
    <n v="930.95892167399506"/>
    <n v="0.50410958904109593"/>
    <n v="1"/>
    <n v="930.95892167399506"/>
    <n v="0"/>
    <m/>
    <n v="60.842999999999847"/>
  </r>
  <r>
    <x v="4"/>
    <s v="Purchase"/>
    <x v="75"/>
    <x v="1"/>
    <s v="USD"/>
    <d v="2021-07-20T00:00:00"/>
    <n v="234.9403846153846"/>
    <x v="1"/>
    <n v="2"/>
    <n v="117.4701923076923"/>
    <n v="1"/>
    <n v="234.9403846153846"/>
    <n v="19.8537"/>
    <n v="4664.4359140384613"/>
    <n v="113.682"/>
    <n v="118.002"/>
    <n v="1.038"/>
    <n v="4841.6844787719228"/>
    <n v="2420.8422393859614"/>
    <m/>
    <n v="2"/>
    <s v="Sale"/>
    <x v="57"/>
    <s v="USD"/>
    <n v="242.16199999999998"/>
    <n v="1"/>
    <n v="242.16199999999998"/>
    <n v="20.402999999999999"/>
    <n v="4940.8312859999996"/>
    <n v="4841.6844787719228"/>
    <n v="99.146807228076796"/>
    <n v="0.50410958904109593"/>
    <n v="1"/>
    <n v="99.146807228076796"/>
    <n v="0"/>
    <m/>
    <n v="7.2216153846153759"/>
  </r>
  <r>
    <x v="4"/>
    <s v="Purchase"/>
    <x v="75"/>
    <x v="1"/>
    <s v="USD"/>
    <d v="2021-07-20T00:00:00"/>
    <n v="1057.2317307692308"/>
    <x v="1"/>
    <n v="9"/>
    <n v="117.47019230769232"/>
    <n v="1"/>
    <n v="1057.2317307692308"/>
    <n v="19.8537"/>
    <n v="20989.961613173076"/>
    <n v="113.682"/>
    <n v="118.002"/>
    <n v="1.038"/>
    <n v="21787.580154473653"/>
    <n v="2420.8422393859614"/>
    <m/>
    <n v="9"/>
    <s v="Sale"/>
    <x v="68"/>
    <s v="USD"/>
    <n v="1090.1600000000001"/>
    <n v="1"/>
    <n v="1090.1600000000001"/>
    <n v="20.46"/>
    <n v="22304.673600000002"/>
    <n v="21787.580154473653"/>
    <n v="517.09344552634866"/>
    <n v="0.50684931506849318"/>
    <n v="1"/>
    <n v="517.09344552634866"/>
    <n v="0"/>
    <m/>
    <n v="32.928269230769274"/>
  </r>
  <r>
    <x v="4"/>
    <s v="Purchase"/>
    <x v="75"/>
    <x v="1"/>
    <s v="USD"/>
    <d v="2021-07-20T00:00:00"/>
    <n v="1409.6423076923077"/>
    <x v="1"/>
    <n v="12"/>
    <n v="117.4701923076923"/>
    <n v="1"/>
    <n v="1409.6423076923077"/>
    <n v="19.8537"/>
    <n v="27986.61548423077"/>
    <n v="113.682"/>
    <n v="118.002"/>
    <n v="1.038"/>
    <n v="29050.106872631539"/>
    <n v="2420.8422393859614"/>
    <m/>
    <n v="12"/>
    <s v="Sale"/>
    <x v="48"/>
    <s v="USD"/>
    <n v="1453.32"/>
    <n v="1"/>
    <n v="1453.32"/>
    <n v="20.630800000000001"/>
    <n v="29983.154255999998"/>
    <n v="29050.106872631535"/>
    <n v="933.04738336846276"/>
    <n v="0.52054794520547942"/>
    <n v="1"/>
    <n v="933.04738336846276"/>
    <n v="0"/>
    <m/>
    <n v="43.677692307692269"/>
  </r>
  <r>
    <x v="4"/>
    <s v="Purchase"/>
    <x v="75"/>
    <x v="1"/>
    <s v="USD"/>
    <d v="2021-07-20T00:00:00"/>
    <n v="1879.5230769230768"/>
    <x v="1"/>
    <n v="16"/>
    <n v="117.4701923076923"/>
    <n v="1"/>
    <n v="1879.5230769230768"/>
    <n v="19.8537"/>
    <n v="37315.48731230769"/>
    <n v="113.682"/>
    <n v="118.98099999999999"/>
    <n v="1.0466"/>
    <n v="39054.38902106123"/>
    <n v="2440.8993138163269"/>
    <m/>
    <n v="16"/>
    <s v="Sale"/>
    <x v="69"/>
    <s v="USD"/>
    <n v="1827.17"/>
    <n v="1"/>
    <n v="1827.17"/>
    <n v="20.8597"/>
    <n v="38114.218049000003"/>
    <n v="39054.38902106123"/>
    <n v="-940.17097206122708"/>
    <n v="0.53698630136986303"/>
    <n v="1"/>
    <n v="-940.17097206122708"/>
    <n v="0"/>
    <m/>
    <n v="-52.353076923076742"/>
  </r>
  <r>
    <x v="4"/>
    <s v="Purchase"/>
    <x v="75"/>
    <x v="1"/>
    <s v="USD"/>
    <d v="2021-07-20T00:00:00"/>
    <n v="704.82115384615383"/>
    <x v="1"/>
    <n v="6"/>
    <n v="117.4701923076923"/>
    <n v="1"/>
    <n v="704.82115384615383"/>
    <n v="19.8537"/>
    <n v="13993.307742115385"/>
    <n v="113.682"/>
    <n v="118.98099999999999"/>
    <n v="1.0466"/>
    <n v="14645.395882897961"/>
    <n v="2440.8993138163269"/>
    <m/>
    <n v="6"/>
    <s v="Sale"/>
    <x v="69"/>
    <s v="USD"/>
    <n v="683.43"/>
    <n v="1"/>
    <n v="683.43"/>
    <n v="20.8597"/>
    <n v="14256.144770999999"/>
    <n v="14645.395882897961"/>
    <n v="-389.25111189796189"/>
    <n v="0.53698630136986303"/>
    <n v="1"/>
    <n v="-389.25111189796189"/>
    <n v="0"/>
    <m/>
    <n v="-21.391153846153884"/>
  </r>
  <r>
    <x v="4"/>
    <s v="Purchase"/>
    <x v="75"/>
    <x v="1"/>
    <s v="USD"/>
    <d v="2021-07-20T00:00:00"/>
    <n v="704.82115384615383"/>
    <x v="1"/>
    <n v="6"/>
    <n v="117.4701923076923"/>
    <n v="1"/>
    <n v="704.82115384615383"/>
    <n v="19.8537"/>
    <n v="13993.307742115385"/>
    <n v="113.682"/>
    <n v="118.98099999999999"/>
    <n v="1.0466"/>
    <n v="14645.395882897961"/>
    <n v="2440.8993138163269"/>
    <m/>
    <n v="6"/>
    <s v="Sale"/>
    <x v="69"/>
    <s v="USD"/>
    <n v="685.26"/>
    <n v="1"/>
    <n v="685.26"/>
    <n v="20.8597"/>
    <n v="14294.318021999999"/>
    <n v="14645.395882897961"/>
    <n v="-351.07786089796173"/>
    <n v="0.53698630136986303"/>
    <n v="1"/>
    <n v="-351.07786089796173"/>
    <n v="0"/>
    <m/>
    <n v="-19.561153846153843"/>
  </r>
  <r>
    <x v="4"/>
    <s v="Purchase"/>
    <x v="76"/>
    <x v="2"/>
    <s v="USD"/>
    <d v="2021-06-03T00:00:00"/>
    <n v="616.79444444444448"/>
    <x v="2"/>
    <n v="10"/>
    <n v="61.679444444444449"/>
    <n v="1"/>
    <n v="616.79444444444448"/>
    <n v="19.892700000000001"/>
    <n v="12269.706845000002"/>
    <n v="113.018"/>
    <n v="118.98099999999999"/>
    <n v="1.0527"/>
    <n v="12916.320395731502"/>
    <n v="1291.6320395731502"/>
    <m/>
    <n v="10"/>
    <s v="Sale"/>
    <x v="63"/>
    <s v="USD"/>
    <n v="472.24545454545455"/>
    <n v="1"/>
    <n v="472.24545454545455"/>
    <n v="20.703299999999999"/>
    <n v="9777.039319090909"/>
    <n v="12916.320395731502"/>
    <n v="-3139.2810766405928"/>
    <n v="0.75890410958904109"/>
    <n v="1"/>
    <n v="-3139.2810766405928"/>
    <n v="0"/>
    <m/>
    <n v="-144.54898989898993"/>
  </r>
  <r>
    <x v="4"/>
    <s v="Purchase"/>
    <x v="76"/>
    <x v="2"/>
    <s v="USD"/>
    <d v="2021-06-03T00:00:00"/>
    <n v="61.725172413793103"/>
    <x v="2"/>
    <n v="1"/>
    <n v="61.725172413793103"/>
    <n v="1"/>
    <n v="61.725172413793103"/>
    <n v="19.892700000000001"/>
    <n v="1227.8803372758621"/>
    <n v="113.018"/>
    <n v="118.98099999999999"/>
    <n v="1.0527"/>
    <n v="1292.5896310502999"/>
    <n v="1292.5896310502999"/>
    <m/>
    <n v="1"/>
    <s v="Sale"/>
    <x v="63"/>
    <s v="USD"/>
    <n v="47.224545454545456"/>
    <n v="1"/>
    <n v="47.224545454545456"/>
    <n v="20.703299999999999"/>
    <n v="977.7039319090909"/>
    <n v="1292.5896310502999"/>
    <n v="-314.88569914120899"/>
    <n v="0.75890410958904109"/>
    <n v="1"/>
    <n v="-314.88569914120899"/>
    <n v="0"/>
    <m/>
    <n v="-14.500626959247647"/>
  </r>
  <r>
    <x v="4"/>
    <s v="Purchase"/>
    <x v="76"/>
    <x v="2"/>
    <s v="USD"/>
    <d v="2021-06-03T00:00:00"/>
    <n v="802.42724137931032"/>
    <x v="2"/>
    <n v="13"/>
    <n v="61.725172413793103"/>
    <n v="1"/>
    <n v="802.42724137931032"/>
    <n v="19.892700000000001"/>
    <n v="15962.444384586208"/>
    <n v="113.018"/>
    <n v="118.98099999999999"/>
    <n v="1.0527"/>
    <n v="16803.665203653902"/>
    <n v="1292.5896310503001"/>
    <m/>
    <n v="13"/>
    <s v="Sale"/>
    <x v="63"/>
    <s v="USD"/>
    <n v="605.15"/>
    <n v="1"/>
    <n v="605.15"/>
    <n v="20.703299999999999"/>
    <n v="12528.601994999999"/>
    <n v="16803.665203653902"/>
    <n v="-4275.0632086539026"/>
    <n v="0.75890410958904109"/>
    <n v="1"/>
    <n v="-4275.0632086539026"/>
    <n v="0"/>
    <m/>
    <n v="-197.27724137931034"/>
  </r>
  <r>
    <x v="4"/>
    <s v="Purchase"/>
    <x v="76"/>
    <x v="2"/>
    <s v="USD"/>
    <d v="2021-06-03T00:00:00"/>
    <n v="925.87758620689658"/>
    <x v="2"/>
    <n v="15"/>
    <n v="61.725172413793103"/>
    <n v="1"/>
    <n v="925.87758620689658"/>
    <n v="19.892700000000001"/>
    <n v="18418.205059137934"/>
    <n v="113.018"/>
    <n v="118.98099999999999"/>
    <n v="1.0527"/>
    <n v="19388.844465754504"/>
    <n v="1292.5896310503003"/>
    <m/>
    <n v="15"/>
    <s v="Sale"/>
    <x v="63"/>
    <s v="USD"/>
    <n v="698.25"/>
    <n v="1"/>
    <n v="698.25"/>
    <n v="20.703299999999999"/>
    <n v="14456.079224999999"/>
    <n v="19388.844465754504"/>
    <n v="-4932.7652407545047"/>
    <n v="0.75890410958904109"/>
    <n v="1"/>
    <n v="-4932.7652407545047"/>
    <n v="0"/>
    <m/>
    <n v="-227.62758620689658"/>
  </r>
  <r>
    <x v="4"/>
    <s v="Purchase"/>
    <x v="76"/>
    <x v="2"/>
    <s v="USD"/>
    <d v="2021-06-03T00:00:00"/>
    <n v="61.679411764705883"/>
    <x v="2"/>
    <n v="1"/>
    <n v="61.679411764705883"/>
    <n v="1"/>
    <n v="61.679411764705883"/>
    <n v="19.892700000000001"/>
    <n v="1226.9700344117648"/>
    <n v="113.018"/>
    <n v="118.98099999999999"/>
    <n v="1.0527"/>
    <n v="1291.6313552252648"/>
    <n v="1291.6313552252648"/>
    <m/>
    <n v="1"/>
    <s v="Sale"/>
    <x v="63"/>
    <s v="USD"/>
    <n v="46.55"/>
    <n v="1"/>
    <n v="46.55"/>
    <n v="20.703299999999999"/>
    <n v="963.73861499999987"/>
    <n v="1291.6313552252648"/>
    <n v="-327.8927402252649"/>
    <n v="0.75890410958904109"/>
    <n v="1"/>
    <n v="-327.8927402252649"/>
    <n v="0"/>
    <m/>
    <n v="-15.129411764705885"/>
  </r>
  <r>
    <x v="4"/>
    <s v="Purchase"/>
    <x v="76"/>
    <x v="2"/>
    <s v="USD"/>
    <d v="2021-06-03T00:00:00"/>
    <n v="1110.2294117647059"/>
    <x v="2"/>
    <n v="18"/>
    <n v="61.679411764705883"/>
    <n v="1"/>
    <n v="1110.2294117647059"/>
    <n v="19.892700000000001"/>
    <n v="22085.460619411766"/>
    <n v="113.018"/>
    <n v="118.98099999999999"/>
    <n v="1.0527"/>
    <n v="23249.364394054766"/>
    <n v="1291.6313552252648"/>
    <m/>
    <n v="18"/>
    <s v="Sale"/>
    <x v="63"/>
    <s v="USD"/>
    <n v="869.12999999999988"/>
    <n v="1"/>
    <n v="869.12999999999988"/>
    <n v="20.703299999999999"/>
    <n v="17993.859128999997"/>
    <n v="23249.364394054766"/>
    <n v="-5255.5052650547696"/>
    <n v="0.75890410958904109"/>
    <n v="1"/>
    <n v="-5255.5052650547696"/>
    <n v="0"/>
    <m/>
    <n v="-241.09941176470602"/>
  </r>
  <r>
    <x v="4"/>
    <s v="Purchase"/>
    <x v="76"/>
    <x v="2"/>
    <s v="USD"/>
    <d v="2021-06-03T00:00:00"/>
    <n v="925.19117647058829"/>
    <x v="2"/>
    <n v="15"/>
    <n v="61.679411764705883"/>
    <n v="1"/>
    <n v="925.19117647058829"/>
    <n v="19.892700000000001"/>
    <n v="18404.550516176474"/>
    <n v="113.018"/>
    <n v="118.98099999999999"/>
    <n v="1.0527"/>
    <n v="19374.470328378975"/>
    <n v="1291.631355225265"/>
    <m/>
    <n v="15"/>
    <s v="Sale"/>
    <x v="63"/>
    <s v="USD"/>
    <n v="724.27173913043475"/>
    <n v="1"/>
    <n v="724.27173913043475"/>
    <n v="20.703299999999999"/>
    <n v="14994.815096739128"/>
    <n v="19374.470328378975"/>
    <n v="-4379.6552316398465"/>
    <n v="0.75890410958904109"/>
    <n v="1"/>
    <n v="-4379.6552316398465"/>
    <n v="0"/>
    <m/>
    <n v="-200.91943734015354"/>
  </r>
  <r>
    <x v="4"/>
    <s v="Purchase"/>
    <x v="76"/>
    <x v="2"/>
    <s v="USD"/>
    <d v="2021-06-08T00:00:00"/>
    <n v="493.94742857142859"/>
    <x v="2"/>
    <n v="8"/>
    <n v="61.743428571428574"/>
    <n v="1"/>
    <n v="493.94742857142859"/>
    <n v="19.9328"/>
    <n v="9845.7553042285726"/>
    <n v="113.018"/>
    <n v="118.98099999999999"/>
    <n v="1.0527"/>
    <n v="10364.626608761419"/>
    <n v="1295.5783260951773"/>
    <m/>
    <n v="8"/>
    <s v="Sale"/>
    <x v="63"/>
    <s v="USD"/>
    <n v="386.2782608695652"/>
    <n v="1"/>
    <n v="386.2782608695652"/>
    <n v="20.703299999999999"/>
    <n v="7997.2347182608692"/>
    <n v="10364.626608761419"/>
    <n v="-2367.3918905005494"/>
    <n v="0.74520547945205484"/>
    <n v="1"/>
    <n v="-2367.3918905005494"/>
    <n v="0"/>
    <m/>
    <n v="-107.66916770186339"/>
  </r>
  <r>
    <x v="4"/>
    <s v="Purchase"/>
    <x v="76"/>
    <x v="2"/>
    <s v="USD"/>
    <d v="2021-06-08T00:00:00"/>
    <n v="2840.1977142857145"/>
    <x v="2"/>
    <n v="46"/>
    <n v="61.743428571428574"/>
    <n v="1"/>
    <n v="2840.1977142857145"/>
    <n v="19.9328"/>
    <n v="56613.092999314293"/>
    <n v="113.018"/>
    <n v="118.98099999999999"/>
    <n v="1.0527"/>
    <n v="59596.603000378156"/>
    <n v="1295.5783260951773"/>
    <m/>
    <n v="46"/>
    <s v="Sale"/>
    <x v="63"/>
    <s v="USD"/>
    <n v="2164.89"/>
    <n v="1"/>
    <n v="2164.89"/>
    <n v="20.703299999999999"/>
    <n v="44820.367136999994"/>
    <n v="59596.603000378156"/>
    <n v="-14776.235863378162"/>
    <n v="0.74520547945205484"/>
    <n v="1"/>
    <n v="-14776.235863378162"/>
    <n v="0"/>
    <m/>
    <n v="-675.30771428571461"/>
  </r>
  <r>
    <x v="4"/>
    <s v="Purchase"/>
    <x v="76"/>
    <x v="2"/>
    <s v="USD"/>
    <d v="2021-06-08T00:00:00"/>
    <n v="987.89485714285718"/>
    <x v="2"/>
    <n v="16"/>
    <n v="61.743428571428574"/>
    <n v="1"/>
    <n v="987.89485714285718"/>
    <n v="19.9328"/>
    <n v="19691.510608457145"/>
    <n v="113.018"/>
    <n v="118.98099999999999"/>
    <n v="1.0527"/>
    <n v="20729.253217522837"/>
    <n v="1295.5783260951773"/>
    <m/>
    <n v="16"/>
    <s v="Sale"/>
    <x v="63"/>
    <s v="USD"/>
    <n v="753.00571428571425"/>
    <n v="1"/>
    <n v="753.00571428571425"/>
    <n v="20.703299999999999"/>
    <n v="15589.703204571428"/>
    <n v="20729.253217522837"/>
    <n v="-5139.5500129514094"/>
    <n v="0.74520547945205484"/>
    <n v="1"/>
    <n v="-5139.5500129514094"/>
    <n v="0"/>
    <m/>
    <n v="-234.88914285714293"/>
  </r>
  <r>
    <x v="4"/>
    <s v="Purchase"/>
    <x v="76"/>
    <x v="2"/>
    <s v="USD"/>
    <d v="2021-06-08T00:00:00"/>
    <n v="2511.8169934640528"/>
    <x v="2"/>
    <n v="40"/>
    <n v="62.79542483660132"/>
    <n v="1"/>
    <n v="2511.8169934640528"/>
    <n v="19.9328"/>
    <n v="50067.545767320269"/>
    <n v="113.018"/>
    <n v="118.98099999999999"/>
    <n v="1.0527"/>
    <n v="52706.105429258045"/>
    <n v="1317.652635731451"/>
    <m/>
    <n v="40"/>
    <s v="Sale"/>
    <x v="63"/>
    <s v="USD"/>
    <n v="1882.5142857142855"/>
    <n v="1"/>
    <n v="1882.5142857142855"/>
    <n v="20.703299999999999"/>
    <n v="38974.258011428567"/>
    <n v="52706.105429258037"/>
    <n v="-13731.847417829471"/>
    <n v="0.74520547945205484"/>
    <n v="1"/>
    <n v="-13731.847417829471"/>
    <n v="0"/>
    <m/>
    <n v="-629.30270774976725"/>
  </r>
  <r>
    <x v="4"/>
    <s v="Purchase"/>
    <x v="76"/>
    <x v="2"/>
    <s v="USD"/>
    <d v="2021-06-08T00:00:00"/>
    <n v="565.15882352941185"/>
    <x v="2"/>
    <n v="9"/>
    <n v="62.795424836601313"/>
    <n v="1"/>
    <n v="565.15882352941185"/>
    <n v="19.9328"/>
    <n v="11265.197797647061"/>
    <n v="113.018"/>
    <n v="118.98099999999999"/>
    <n v="1.0527"/>
    <n v="11858.873721583061"/>
    <n v="1317.6526357314513"/>
    <m/>
    <n v="9"/>
    <s v="Sale"/>
    <x v="63"/>
    <s v="USD"/>
    <n v="425.02"/>
    <n v="1"/>
    <n v="425.02"/>
    <n v="20.703299999999999"/>
    <n v="8799.3165659999995"/>
    <n v="11858.873721583061"/>
    <n v="-3059.5571555830611"/>
    <n v="0.74520547945205484"/>
    <n v="1"/>
    <n v="-3059.5571555830611"/>
    <n v="0"/>
    <m/>
    <n v="-140.13882352941187"/>
  </r>
  <r>
    <x v="4"/>
    <s v="Purchase"/>
    <x v="76"/>
    <x v="2"/>
    <s v="USD"/>
    <d v="2021-06-24T00:00:00"/>
    <n v="62.795424836601313"/>
    <x v="2"/>
    <n v="1"/>
    <n v="62.795424836601313"/>
    <n v="1"/>
    <n v="62.795424836601313"/>
    <n v="20.571200000000001"/>
    <n v="1291.7772433986929"/>
    <n v="113.018"/>
    <n v="118.98099999999999"/>
    <n v="1.0527"/>
    <n v="1359.8539041258041"/>
    <n v="1359.8539041258041"/>
    <m/>
    <n v="1"/>
    <s v="Sale"/>
    <x v="13"/>
    <s v="USD"/>
    <n v="47.12"/>
    <n v="1"/>
    <n v="47.12"/>
    <n v="20.926200000000001"/>
    <n v="986.04254400000002"/>
    <n v="1359.8539041258041"/>
    <n v="-373.81136012580407"/>
    <n v="0.70410958904109588"/>
    <n v="1"/>
    <n v="-373.81136012580407"/>
    <n v="0"/>
    <m/>
    <n v="-15.675424836601316"/>
  </r>
  <r>
    <x v="4"/>
    <s v="Purchase"/>
    <x v="76"/>
    <x v="2"/>
    <s v="USD"/>
    <d v="2021-06-24T00:00:00"/>
    <n v="62.795424836601313"/>
    <x v="2"/>
    <n v="1"/>
    <n v="62.795424836601313"/>
    <n v="1"/>
    <n v="62.795424836601313"/>
    <n v="20.571200000000001"/>
    <n v="1291.7772433986929"/>
    <n v="113.018"/>
    <n v="118.98099999999999"/>
    <n v="1.0527"/>
    <n v="1359.8539041258041"/>
    <n v="1359.8539041258041"/>
    <m/>
    <n v="1"/>
    <s v="Sale"/>
    <x v="13"/>
    <s v="USD"/>
    <n v="47.12"/>
    <n v="1"/>
    <n v="47.12"/>
    <n v="20.926200000000001"/>
    <n v="986.04254400000002"/>
    <n v="1359.8539041258041"/>
    <n v="-373.81136012580407"/>
    <n v="0.70410958904109588"/>
    <n v="1"/>
    <n v="-373.81136012580407"/>
    <n v="0"/>
    <m/>
    <n v="-15.675424836601316"/>
  </r>
  <r>
    <x v="4"/>
    <s v="Purchase"/>
    <x v="76"/>
    <x v="2"/>
    <s v="USD"/>
    <d v="2021-08-27T00:00:00"/>
    <n v="690.74967320261442"/>
    <x v="2"/>
    <n v="11"/>
    <n v="62.795424836601313"/>
    <n v="1"/>
    <n v="690.74967320261442"/>
    <n v="20.293299999999999"/>
    <n v="14017.590343202613"/>
    <n v="113.899"/>
    <n v="118.98099999999999"/>
    <n v="1.0446"/>
    <n v="14642.77487250945"/>
    <n v="1331.1613520463136"/>
    <m/>
    <n v="11"/>
    <s v="Sale"/>
    <x v="13"/>
    <s v="USD"/>
    <n v="518.69000000000005"/>
    <n v="1"/>
    <n v="518.69000000000005"/>
    <n v="20.926200000000001"/>
    <n v="10854.210678000001"/>
    <n v="14642.77487250945"/>
    <n v="-3788.5641945094485"/>
    <n v="0.52876712328767128"/>
    <n v="1"/>
    <n v="-3788.5641945094485"/>
    <n v="0"/>
    <m/>
    <n v="-172.05967320261436"/>
  </r>
  <r>
    <x v="4"/>
    <s v="Purchase"/>
    <x v="76"/>
    <x v="2"/>
    <s v="USD"/>
    <d v="2021-08-27T00:00:00"/>
    <n v="816.3405228758171"/>
    <x v="2"/>
    <n v="13"/>
    <n v="62.795424836601313"/>
    <n v="1"/>
    <n v="816.3405228758171"/>
    <n v="20.293299999999999"/>
    <n v="16566.243132875818"/>
    <n v="113.899"/>
    <n v="118.98099999999999"/>
    <n v="1.0446"/>
    <n v="17305.097576602078"/>
    <n v="1331.1613520463138"/>
    <m/>
    <n v="13"/>
    <s v="Sale"/>
    <x v="13"/>
    <s v="USD"/>
    <n v="612.99"/>
    <n v="1"/>
    <n v="612.99"/>
    <n v="20.926200000000001"/>
    <n v="12827.551338000001"/>
    <n v="17305.097576602078"/>
    <n v="-4477.5462386020772"/>
    <n v="0.52876712328767128"/>
    <n v="1"/>
    <n v="-4477.5462386020772"/>
    <n v="0"/>
    <m/>
    <n v="-203.35052287581709"/>
  </r>
  <r>
    <x v="4"/>
    <s v="Purchase"/>
    <x v="76"/>
    <x v="2"/>
    <s v="USD"/>
    <d v="2021-08-27T00:00:00"/>
    <n v="3390.9529411764711"/>
    <x v="2"/>
    <n v="54"/>
    <n v="62.795424836601313"/>
    <n v="1"/>
    <n v="3390.9529411764711"/>
    <n v="20.293299999999999"/>
    <n v="68813.625321176471"/>
    <n v="113.899"/>
    <n v="118.98099999999999"/>
    <n v="1.0446"/>
    <n v="71882.713010500942"/>
    <n v="1331.1613520463138"/>
    <m/>
    <n v="54"/>
    <s v="Sale"/>
    <x v="13"/>
    <s v="USD"/>
    <n v="2564.6799999999998"/>
    <n v="1"/>
    <n v="2564.6799999999998"/>
    <n v="20.926200000000001"/>
    <n v="53669.006615999999"/>
    <n v="71882.713010500942"/>
    <n v="-18213.706394500943"/>
    <n v="0.52876712328767128"/>
    <n v="1"/>
    <n v="-18213.706394500943"/>
    <n v="0"/>
    <m/>
    <n v="-826.27294117647125"/>
  </r>
  <r>
    <x v="4"/>
    <s v="Purchase"/>
    <x v="76"/>
    <x v="2"/>
    <s v="USD"/>
    <d v="2021-08-27T00:00:00"/>
    <n v="376.77254901960788"/>
    <x v="2"/>
    <n v="6"/>
    <n v="62.795424836601313"/>
    <n v="1"/>
    <n v="376.77254901960788"/>
    <n v="20.293299999999999"/>
    <n v="7645.9583690196077"/>
    <n v="113.899"/>
    <n v="118.98099999999999"/>
    <n v="1.0446"/>
    <n v="7986.968112277882"/>
    <n v="1331.1613520463136"/>
    <m/>
    <n v="6"/>
    <s v="Sale"/>
    <x v="13"/>
    <s v="USD"/>
    <n v="287.52999999999997"/>
    <n v="1"/>
    <n v="287.52999999999997"/>
    <n v="20.926200000000001"/>
    <n v="6016.9102860000003"/>
    <n v="7986.968112277882"/>
    <n v="-1970.0578262778818"/>
    <n v="0.52876712328767128"/>
    <n v="1"/>
    <n v="-1970.0578262778818"/>
    <n v="0"/>
    <m/>
    <n v="-89.242549019607907"/>
  </r>
  <r>
    <x v="4"/>
    <s v="Purchase"/>
    <x v="76"/>
    <x v="2"/>
    <s v="USD"/>
    <d v="2021-06-08T00:00:00"/>
    <n v="1130.3176470588237"/>
    <x v="2"/>
    <n v="18"/>
    <n v="62.795424836601313"/>
    <n v="1"/>
    <n v="1130.3176470588237"/>
    <n v="19.9328"/>
    <n v="22530.395595294121"/>
    <n v="113.018"/>
    <n v="118.98099999999999"/>
    <n v="1.0527"/>
    <n v="23717.747443166121"/>
    <n v="1317.6526357314513"/>
    <m/>
    <n v="18"/>
    <s v="Sale"/>
    <x v="13"/>
    <s v="USD"/>
    <n v="854.89090909090908"/>
    <n v="1"/>
    <n v="854.89090909090908"/>
    <n v="20.926200000000001"/>
    <n v="17889.618141818184"/>
    <n v="23717.747443166121"/>
    <n v="-5828.1293013479371"/>
    <n v="0.74794520547945209"/>
    <n v="1"/>
    <n v="-5828.1293013479371"/>
    <n v="0"/>
    <m/>
    <n v="-275.42673796791462"/>
  </r>
  <r>
    <x v="4"/>
    <s v="Purchase"/>
    <x v="76"/>
    <x v="2"/>
    <s v="USD"/>
    <d v="2021-06-24T00:00:00"/>
    <n v="3078.0613953488369"/>
    <x v="2"/>
    <n v="48"/>
    <n v="64.126279069767435"/>
    <n v="1"/>
    <n v="3078.0613953488369"/>
    <n v="20.571200000000001"/>
    <n v="63319.416575999996"/>
    <n v="113.018"/>
    <n v="118.98099999999999"/>
    <n v="1.0527"/>
    <n v="66656.349829555198"/>
    <n v="1388.6739547824"/>
    <m/>
    <n v="48"/>
    <s v="Sale"/>
    <x v="13"/>
    <s v="USD"/>
    <n v="2279.7090909090907"/>
    <n v="1"/>
    <n v="2279.7090909090907"/>
    <n v="20.926200000000001"/>
    <n v="47705.648378181817"/>
    <n v="66656.349829555198"/>
    <n v="-18950.701451373381"/>
    <n v="0.70410958904109588"/>
    <n v="1"/>
    <n v="-18950.701451373381"/>
    <n v="0"/>
    <m/>
    <n v="-798.35230443974615"/>
  </r>
  <r>
    <x v="4"/>
    <s v="Purchase"/>
    <x v="76"/>
    <x v="2"/>
    <s v="USD"/>
    <d v="2021-06-24T00:00:00"/>
    <n v="448.88395348837207"/>
    <x v="2"/>
    <n v="7"/>
    <n v="64.126279069767435"/>
    <n v="1"/>
    <n v="448.88395348837207"/>
    <n v="20.571200000000001"/>
    <n v="9234.0815839999996"/>
    <n v="113.018"/>
    <n v="118.98099999999999"/>
    <n v="1.0527"/>
    <n v="9720.7176834767997"/>
    <n v="1388.6739547824"/>
    <m/>
    <n v="7"/>
    <s v="Sale"/>
    <x v="13"/>
    <s v="USD"/>
    <n v="318.99"/>
    <n v="1"/>
    <n v="318.99"/>
    <n v="20.926200000000001"/>
    <n v="6675.2485380000007"/>
    <n v="9720.7176834767997"/>
    <n v="-3045.469145476799"/>
    <n v="0.70410958904109588"/>
    <n v="1"/>
    <n v="-3045.469145476799"/>
    <n v="0"/>
    <m/>
    <n v="-129.89395348837206"/>
  </r>
  <r>
    <x v="4"/>
    <s v="Purchase"/>
    <x v="76"/>
    <x v="2"/>
    <s v="USD"/>
    <d v="2021-06-24T00:00:00"/>
    <n v="513.01023255813948"/>
    <x v="2"/>
    <n v="8"/>
    <n v="64.126279069767435"/>
    <n v="1"/>
    <n v="513.01023255813948"/>
    <n v="20.571200000000001"/>
    <n v="10553.236095999999"/>
    <n v="113.018"/>
    <n v="118.98099999999999"/>
    <n v="1.0527"/>
    <n v="11109.391638259198"/>
    <n v="1388.6739547823997"/>
    <m/>
    <n v="8"/>
    <s v="Sale"/>
    <x v="13"/>
    <s v="USD"/>
    <n v="383.38"/>
    <n v="1"/>
    <n v="383.38"/>
    <n v="20.926200000000001"/>
    <n v="8022.6865560000006"/>
    <n v="11109.391638259198"/>
    <n v="-3086.7050822591973"/>
    <n v="0.70410958904109588"/>
    <n v="1"/>
    <n v="-3086.7050822591973"/>
    <n v="0"/>
    <m/>
    <n v="-129.63023255813948"/>
  </r>
  <r>
    <x v="4"/>
    <s v="Purchase"/>
    <x v="76"/>
    <x v="2"/>
    <s v="USD"/>
    <d v="2021-06-24T00:00:00"/>
    <n v="577.13651162790688"/>
    <x v="2"/>
    <n v="9"/>
    <n v="64.126279069767435"/>
    <n v="1"/>
    <n v="577.13651162790688"/>
    <n v="20.571200000000001"/>
    <n v="11872.390607999998"/>
    <n v="113.018"/>
    <n v="118.98099999999999"/>
    <n v="1.0527"/>
    <n v="12498.065593041598"/>
    <n v="1388.6739547823997"/>
    <m/>
    <n v="9"/>
    <s v="Sale"/>
    <x v="13"/>
    <s v="USD"/>
    <n v="410.13"/>
    <n v="1"/>
    <n v="410.13"/>
    <n v="20.926200000000001"/>
    <n v="8582.4624060000006"/>
    <n v="12498.065593041598"/>
    <n v="-3915.6031870415973"/>
    <n v="0.70410958904109588"/>
    <n v="1"/>
    <n v="-3915.6031870415973"/>
    <n v="0"/>
    <m/>
    <n v="-167.00651162790689"/>
  </r>
  <r>
    <x v="4"/>
    <s v="Purchase"/>
    <x v="76"/>
    <x v="2"/>
    <s v="USD"/>
    <d v="2021-06-24T00:00:00"/>
    <n v="833.64162790697662"/>
    <x v="2"/>
    <n v="13"/>
    <n v="64.126279069767435"/>
    <n v="1"/>
    <n v="833.64162790697662"/>
    <n v="20.571200000000001"/>
    <n v="17149.008655999998"/>
    <n v="113.018"/>
    <n v="118.98099999999999"/>
    <n v="1.0527"/>
    <n v="18052.761412171196"/>
    <n v="1388.6739547823997"/>
    <m/>
    <n v="13"/>
    <s v="Sale"/>
    <x v="56"/>
    <s v="USD"/>
    <n v="497.58000000000004"/>
    <n v="1"/>
    <n v="497.58000000000004"/>
    <n v="20.974299999999999"/>
    <n v="10436.392194"/>
    <n v="18052.761412171196"/>
    <n v="-7616.3692181711958"/>
    <n v="0.72054794520547949"/>
    <n v="1"/>
    <n v="-7616.3692181711958"/>
    <n v="0"/>
    <m/>
    <n v="-336.06162790697658"/>
  </r>
  <r>
    <x v="4"/>
    <s v="Purchase"/>
    <x v="76"/>
    <x v="2"/>
    <s v="USD"/>
    <d v="2021-06-24T00:00:00"/>
    <n v="64.126279069767435"/>
    <x v="2"/>
    <n v="1"/>
    <n v="64.126279069767435"/>
    <n v="1"/>
    <n v="64.126279069767435"/>
    <n v="20.571200000000001"/>
    <n v="1319.1545119999998"/>
    <n v="113.018"/>
    <n v="118.98099999999999"/>
    <n v="1.0527"/>
    <n v="1388.6739547823997"/>
    <n v="1388.6739547823997"/>
    <m/>
    <n v="1"/>
    <s v="Sale"/>
    <x v="56"/>
    <s v="USD"/>
    <n v="38.716923076923074"/>
    <n v="1"/>
    <n v="38.716923076923074"/>
    <n v="20.974299999999999"/>
    <n v="812.06035969230766"/>
    <n v="1388.6739547823997"/>
    <n v="-576.61359509009208"/>
    <n v="0.72054794520547949"/>
    <n v="1"/>
    <n v="-576.61359509009208"/>
    <n v="0"/>
    <m/>
    <n v="-25.409355992844361"/>
  </r>
  <r>
    <x v="4"/>
    <s v="Purchase"/>
    <x v="76"/>
    <x v="2"/>
    <s v="USD"/>
    <d v="2021-06-24T00:00:00"/>
    <n v="773.07500000000005"/>
    <x v="2"/>
    <n v="12"/>
    <n v="64.422916666666666"/>
    <n v="1"/>
    <n v="773.07500000000005"/>
    <n v="20.571200000000001"/>
    <n v="15903.080440000002"/>
    <n v="113.018"/>
    <n v="118.98099999999999"/>
    <n v="1.0527"/>
    <n v="16741.172779188"/>
    <n v="1395.0977315990001"/>
    <m/>
    <n v="12"/>
    <s v="Sale"/>
    <x v="56"/>
    <s v="USD"/>
    <n v="464.60307692307686"/>
    <n v="1"/>
    <n v="464.60307692307686"/>
    <n v="20.974299999999999"/>
    <n v="9744.724316307691"/>
    <n v="16741.172779188"/>
    <n v="-6996.4484628803093"/>
    <n v="0.72054794520547949"/>
    <n v="1"/>
    <n v="-6996.4484628803093"/>
    <n v="0"/>
    <m/>
    <n v="-308.47192307692319"/>
  </r>
  <r>
    <x v="4"/>
    <s v="Purchase"/>
    <x v="76"/>
    <x v="2"/>
    <s v="USD"/>
    <d v="2021-06-24T00:00:00"/>
    <n v="3865.375"/>
    <x v="2"/>
    <n v="60"/>
    <n v="64.422916666666666"/>
    <n v="1"/>
    <n v="3865.375"/>
    <n v="20.571200000000001"/>
    <n v="79515.402199999997"/>
    <n v="113.018"/>
    <n v="118.98099999999999"/>
    <n v="1.0527"/>
    <n v="83705.863895939998"/>
    <n v="1395.0977315989999"/>
    <m/>
    <n v="60"/>
    <s v="Sale"/>
    <x v="56"/>
    <s v="USD"/>
    <n v="2390.2055865921789"/>
    <n v="1"/>
    <n v="2390.2055865921789"/>
    <n v="20.974299999999999"/>
    <n v="50132.889034860338"/>
    <n v="83705.863895939998"/>
    <n v="-33572.97486107966"/>
    <n v="0.72054794520547949"/>
    <n v="1"/>
    <n v="-33572.97486107966"/>
    <n v="0"/>
    <m/>
    <n v="-1475.1694134078211"/>
  </r>
  <r>
    <x v="4"/>
    <s v="Purchase"/>
    <x v="76"/>
    <x v="2"/>
    <s v="USD"/>
    <d v="2021-08-27T00:00:00"/>
    <n v="558.54"/>
    <x v="2"/>
    <n v="9"/>
    <n v="62.059999999999995"/>
    <n v="1"/>
    <n v="558.54"/>
    <n v="20.293299999999999"/>
    <n v="11334.619781999998"/>
    <n v="113.899"/>
    <n v="118.98099999999999"/>
    <n v="1.0446"/>
    <n v="11840.143824277198"/>
    <n v="1315.5715360307997"/>
    <m/>
    <n v="9"/>
    <s v="Sale"/>
    <x v="56"/>
    <s v="USD"/>
    <n v="358.53083798882682"/>
    <n v="1"/>
    <n v="358.53083798882682"/>
    <n v="20.974299999999999"/>
    <n v="7519.93335522905"/>
    <n v="11840.143824277198"/>
    <n v="-4320.2104690481483"/>
    <n v="0.54520547945205478"/>
    <n v="1"/>
    <n v="-4320.2104690481483"/>
    <n v="0"/>
    <m/>
    <n v="-200.00916201117315"/>
  </r>
  <r>
    <x v="4"/>
    <s v="Purchase"/>
    <x v="76"/>
    <x v="2"/>
    <s v="USD"/>
    <d v="2021-08-27T00:00:00"/>
    <n v="558.14"/>
    <x v="2"/>
    <n v="9"/>
    <n v="62.015555555555551"/>
    <n v="1"/>
    <n v="558.14"/>
    <n v="20.293299999999999"/>
    <n v="11326.502461999999"/>
    <n v="113.899"/>
    <n v="118.98099999999999"/>
    <n v="1.0446"/>
    <n v="11831.664471805198"/>
    <n v="1314.6293857561332"/>
    <m/>
    <n v="9"/>
    <s v="Sale"/>
    <x v="56"/>
    <s v="USD"/>
    <n v="358.53083798882682"/>
    <n v="1"/>
    <n v="358.53083798882682"/>
    <n v="20.974299999999999"/>
    <n v="7519.93335522905"/>
    <n v="11831.664471805198"/>
    <n v="-4311.7311165761475"/>
    <n v="0.54520547945205478"/>
    <n v="1"/>
    <n v="-4311.7311165761475"/>
    <n v="0"/>
    <m/>
    <n v="-199.60916201117317"/>
  </r>
  <r>
    <x v="4"/>
    <s v="Purchase"/>
    <x v="76"/>
    <x v="2"/>
    <s v="USD"/>
    <d v="2021-08-27T00:00:00"/>
    <n v="496.42"/>
    <x v="2"/>
    <n v="8"/>
    <n v="62.052500000000002"/>
    <n v="1"/>
    <n v="496.42"/>
    <n v="20.293299999999999"/>
    <n v="10073.999985999999"/>
    <n v="113.899"/>
    <n v="118.98099999999999"/>
    <n v="1.0446"/>
    <n v="10523.300385375598"/>
    <n v="1315.4125481719498"/>
    <m/>
    <n v="8"/>
    <s v="Sale"/>
    <x v="56"/>
    <s v="USD"/>
    <n v="318.69407821229049"/>
    <n v="1"/>
    <n v="318.69407821229049"/>
    <n v="20.974299999999999"/>
    <n v="6684.3852046480442"/>
    <n v="10523.300385375598"/>
    <n v="-3838.9151807275539"/>
    <n v="0.54520547945205478"/>
    <n v="1"/>
    <n v="-3838.9151807275539"/>
    <n v="0"/>
    <m/>
    <n v="-177.72592178770952"/>
  </r>
  <r>
    <x v="4"/>
    <s v="Purchase"/>
    <x v="76"/>
    <x v="2"/>
    <s v="USD"/>
    <d v="2021-08-27T00:00:00"/>
    <n v="3406.85"/>
    <x v="2"/>
    <n v="55"/>
    <n v="61.942727272727268"/>
    <n v="1"/>
    <n v="3406.85"/>
    <n v="20.293299999999999"/>
    <n v="69136.229104999991"/>
    <n v="113.899"/>
    <n v="118.98099999999999"/>
    <n v="1.0446"/>
    <n v="72219.704923082987"/>
    <n v="1313.0855440560542"/>
    <m/>
    <n v="55"/>
    <s v="Sale"/>
    <x v="56"/>
    <s v="USD"/>
    <n v="2191.0217877094969"/>
    <n v="1"/>
    <n v="2191.0217877094969"/>
    <n v="20.974299999999999"/>
    <n v="45955.148281955298"/>
    <n v="72219.704923082987"/>
    <n v="-26264.556641127689"/>
    <n v="0.54520547945205478"/>
    <n v="1"/>
    <n v="-26264.556641127689"/>
    <n v="0"/>
    <m/>
    <n v="-1215.828212290503"/>
  </r>
  <r>
    <x v="4"/>
    <s v="Purchase"/>
    <x v="76"/>
    <x v="2"/>
    <s v="USD"/>
    <d v="2021-08-30T00:00:00"/>
    <n v="2312.94"/>
    <x v="2"/>
    <n v="37"/>
    <n v="62.511891891891892"/>
    <n v="1"/>
    <n v="2312.94"/>
    <n v="20.3522"/>
    <n v="47073.417468"/>
    <n v="113.899"/>
    <n v="118.98099999999999"/>
    <n v="1.0446"/>
    <n v="49172.891887072801"/>
    <n v="1328.9970780289946"/>
    <m/>
    <n v="37"/>
    <s v="Sale"/>
    <x v="56"/>
    <s v="USD"/>
    <n v="1473.9601117318434"/>
    <n v="1"/>
    <n v="1473.9601117318434"/>
    <n v="20.974299999999999"/>
    <n v="30915.281571497202"/>
    <n v="49172.891887072801"/>
    <n v="-18257.610315575599"/>
    <n v="0.53698630136986303"/>
    <n v="1"/>
    <n v="-18257.610315575599"/>
    <n v="0"/>
    <m/>
    <n v="-838.97988826815663"/>
  </r>
  <r>
    <x v="4"/>
    <s v="Purchase"/>
    <x v="76"/>
    <x v="2"/>
    <s v="USD"/>
    <d v="2021-10-26T00:00:00"/>
    <n v="70.955555555555563"/>
    <x v="2"/>
    <n v="1"/>
    <n v="70.955555555555563"/>
    <n v="1"/>
    <n v="70.955555555555563"/>
    <n v="20.183700000000002"/>
    <n v="1432.1456466666668"/>
    <n v="115.56100000000001"/>
    <n v="118.98099999999999"/>
    <n v="1.0295000000000001"/>
    <n v="1474.3939432433335"/>
    <n v="1474.3939432433335"/>
    <m/>
    <n v="1"/>
    <s v="Sale"/>
    <x v="56"/>
    <s v="USD"/>
    <n v="39.836759776536312"/>
    <n v="1"/>
    <n v="39.836759776536312"/>
    <n v="20.974299999999999"/>
    <n v="835.54815058100553"/>
    <n v="1474.3939432433335"/>
    <n v="-638.84579266232799"/>
    <n v="0.38082191780821917"/>
    <n v="1"/>
    <n v="-638.84579266232799"/>
    <n v="0"/>
    <m/>
    <n v="-31.118795779019251"/>
  </r>
  <r>
    <x v="4"/>
    <s v="Purchase"/>
    <x v="76"/>
    <x v="2"/>
    <s v="USD"/>
    <d v="2021-10-26T00:00:00"/>
    <n v="425.73333333333335"/>
    <x v="2"/>
    <n v="6"/>
    <n v="70.955555555555563"/>
    <n v="1"/>
    <n v="425.73333333333335"/>
    <n v="20.183700000000002"/>
    <n v="8592.873880000001"/>
    <n v="115.56100000000001"/>
    <n v="118.98099999999999"/>
    <n v="1.0295000000000001"/>
    <n v="8846.3636594600011"/>
    <n v="1474.3939432433335"/>
    <m/>
    <n v="6"/>
    <s v="Sale"/>
    <x v="56"/>
    <s v="USD"/>
    <n v="233.94"/>
    <n v="1"/>
    <n v="233.94"/>
    <n v="20.974299999999999"/>
    <n v="4906.727742"/>
    <n v="8846.3636594600011"/>
    <n v="-3939.6359174600011"/>
    <n v="0.38082191780821917"/>
    <n v="1"/>
    <n v="-3939.6359174600011"/>
    <n v="0"/>
    <m/>
    <n v="-191.79333333333335"/>
  </r>
  <r>
    <x v="4"/>
    <s v="Purchase"/>
    <x v="76"/>
    <x v="2"/>
    <s v="USD"/>
    <d v="2021-10-26T00:00:00"/>
    <n v="141.91111111111113"/>
    <x v="2"/>
    <n v="2"/>
    <n v="70.955555555555563"/>
    <n v="1"/>
    <n v="141.91111111111113"/>
    <n v="20.183700000000002"/>
    <n v="2864.2912933333337"/>
    <n v="115.56100000000001"/>
    <n v="118.98099999999999"/>
    <n v="1.0295000000000001"/>
    <n v="2948.787886486667"/>
    <n v="1474.3939432433335"/>
    <m/>
    <n v="2"/>
    <s v="Sale"/>
    <x v="70"/>
    <s v="USD"/>
    <n v="77.572478632478635"/>
    <n v="1"/>
    <n v="77.572478632478635"/>
    <n v="20.9695"/>
    <n v="1626.6560906837608"/>
    <n v="2948.787886486667"/>
    <n v="-1322.1317958029063"/>
    <n v="0.38356164383561642"/>
    <n v="1"/>
    <n v="-1322.1317958029063"/>
    <n v="0"/>
    <m/>
    <n v="-64.338632478632491"/>
  </r>
  <r>
    <x v="4"/>
    <s v="Purchase"/>
    <x v="76"/>
    <x v="2"/>
    <s v="USD"/>
    <d v="2021-10-26T00:00:00"/>
    <n v="1268.26"/>
    <x v="2"/>
    <n v="18"/>
    <n v="70.458888888888893"/>
    <n v="1"/>
    <n v="1268.26"/>
    <n v="20.183700000000002"/>
    <n v="25598.179362000003"/>
    <n v="115.56100000000001"/>
    <n v="118.98099999999999"/>
    <n v="1.0295000000000001"/>
    <n v="26353.325653179003"/>
    <n v="1464.0736473988336"/>
    <m/>
    <n v="18"/>
    <s v="Sale"/>
    <x v="70"/>
    <s v="USD"/>
    <n v="698.15230769230766"/>
    <n v="1"/>
    <n v="698.15230769230766"/>
    <n v="20.9695"/>
    <n v="14639.904816153845"/>
    <n v="26353.325653179003"/>
    <n v="-11713.420837025158"/>
    <n v="0.38356164383561642"/>
    <n v="1"/>
    <n v="-11713.420837025158"/>
    <n v="0"/>
    <m/>
    <n v="-570.10769230769233"/>
  </r>
  <r>
    <x v="4"/>
    <s v="Purchase"/>
    <x v="76"/>
    <x v="2"/>
    <s v="USD"/>
    <d v="2021-10-26T00:00:00"/>
    <n v="1833.7900000000002"/>
    <x v="2"/>
    <n v="26"/>
    <n v="70.530384615384619"/>
    <n v="1"/>
    <n v="1833.7900000000002"/>
    <n v="20.183700000000002"/>
    <n v="37012.667223000004"/>
    <n v="115.56100000000001"/>
    <n v="118.98099999999999"/>
    <n v="1.0295000000000001"/>
    <n v="38104.54090607851"/>
    <n v="1465.5592656184042"/>
    <m/>
    <n v="26"/>
    <s v="Sale"/>
    <x v="70"/>
    <s v="USD"/>
    <n v="1008.4422222222222"/>
    <n v="1"/>
    <n v="1008.4422222222222"/>
    <n v="20.9695"/>
    <n v="21146.52917888889"/>
    <n v="38104.54090607851"/>
    <n v="-16958.01172718962"/>
    <n v="0.38356164383561642"/>
    <n v="1"/>
    <n v="-16958.01172718962"/>
    <n v="0"/>
    <m/>
    <n v="-825.34777777777799"/>
  </r>
  <r>
    <x v="4"/>
    <s v="Purchase"/>
    <x v="76"/>
    <x v="2"/>
    <s v="USD"/>
    <d v="2021-10-26T00:00:00"/>
    <n v="2204.5700000000002"/>
    <x v="2"/>
    <n v="31"/>
    <n v="71.11516129032259"/>
    <n v="1"/>
    <n v="2204.5700000000002"/>
    <n v="20.183700000000002"/>
    <n v="44496.379509000006"/>
    <n v="115.56100000000001"/>
    <n v="118.98099999999999"/>
    <n v="1.0295000000000001"/>
    <n v="45809.022704515512"/>
    <n v="1477.7104098230809"/>
    <m/>
    <n v="31"/>
    <s v="Sale"/>
    <x v="70"/>
    <s v="USD"/>
    <n v="1202.3734188034189"/>
    <n v="1"/>
    <n v="1202.3734188034189"/>
    <n v="20.9695"/>
    <n v="25213.169405598292"/>
    <n v="45809.022704515512"/>
    <n v="-20595.85329891722"/>
    <n v="0.38356164383561642"/>
    <n v="1"/>
    <n v="-20595.85329891722"/>
    <n v="0"/>
    <m/>
    <n v="-1002.1965811965813"/>
  </r>
  <r>
    <x v="4"/>
    <s v="Purchase"/>
    <x v="76"/>
    <x v="2"/>
    <s v="USD"/>
    <d v="2021-10-26T00:00:00"/>
    <n v="2844.6000000000004"/>
    <x v="2"/>
    <n v="40"/>
    <n v="71.115000000000009"/>
    <n v="1"/>
    <n v="2844.6000000000004"/>
    <n v="20.183700000000002"/>
    <n v="57414.553020000014"/>
    <n v="115.56100000000001"/>
    <n v="118.98099999999999"/>
    <n v="1.0295000000000001"/>
    <n v="59108.282334090021"/>
    <n v="1477.7070583522504"/>
    <m/>
    <n v="40"/>
    <s v="Sale"/>
    <x v="70"/>
    <s v="USD"/>
    <n v="1551.4495726495727"/>
    <n v="1"/>
    <n v="1551.4495726495727"/>
    <n v="20.9695"/>
    <n v="32533.121813675214"/>
    <n v="59108.282334090021"/>
    <n v="-26575.160520414807"/>
    <n v="0.38356164383561642"/>
    <n v="1"/>
    <n v="-26575.160520414807"/>
    <n v="0"/>
    <m/>
    <n v="-1293.1504273504277"/>
  </r>
  <r>
    <x v="4"/>
    <s v="Purchase"/>
    <x v="76"/>
    <x v="2"/>
    <s v="USD"/>
    <d v="2021-10-26T00:00:00"/>
    <n v="213.34500000000003"/>
    <x v="2"/>
    <n v="3"/>
    <n v="71.115000000000009"/>
    <n v="1"/>
    <n v="213.34500000000003"/>
    <n v="20.183700000000002"/>
    <n v="4306.0914765000007"/>
    <n v="115.56100000000001"/>
    <n v="118.98099999999999"/>
    <n v="1.0295000000000001"/>
    <n v="4433.1211750567509"/>
    <n v="1477.7070583522502"/>
    <m/>
    <n v="3"/>
    <s v="Sale"/>
    <x v="70"/>
    <s v="USD"/>
    <n v="116.1"/>
    <n v="1"/>
    <n v="116.1"/>
    <n v="20.9695"/>
    <n v="2434.5589500000001"/>
    <n v="4433.1211750567509"/>
    <n v="-1998.5622250567508"/>
    <n v="0.38356164383561642"/>
    <n v="1"/>
    <n v="-1998.5622250567508"/>
    <n v="0"/>
    <m/>
    <n v="-97.245000000000033"/>
  </r>
  <r>
    <x v="4"/>
    <s v="Purchase"/>
    <x v="76"/>
    <x v="2"/>
    <s v="USD"/>
    <d v="2021-10-26T00:00:00"/>
    <n v="1920.1050000000002"/>
    <x v="2"/>
    <n v="27"/>
    <n v="71.115000000000009"/>
    <n v="1"/>
    <n v="1920.1050000000002"/>
    <n v="20.183700000000002"/>
    <n v="38754.823288500011"/>
    <n v="115.56100000000001"/>
    <n v="118.98099999999999"/>
    <n v="1.0295000000000001"/>
    <n v="39898.090575510767"/>
    <n v="1477.7070583522507"/>
    <m/>
    <n v="27"/>
    <s v="Sale"/>
    <x v="70"/>
    <s v="USD"/>
    <n v="1036.233870967742"/>
    <n v="1"/>
    <n v="1036.233870967742"/>
    <n v="20.9695"/>
    <n v="21729.306157258066"/>
    <n v="39898.090575510767"/>
    <n v="-18168.784418252701"/>
    <n v="0.38356164383561642"/>
    <n v="1"/>
    <n v="-18168.784418252701"/>
    <n v="0"/>
    <m/>
    <n v="-883.8711290322583"/>
  </r>
  <r>
    <x v="4"/>
    <s v="Purchase"/>
    <x v="76"/>
    <x v="2"/>
    <s v="USD"/>
    <d v="2021-10-27T00:00:00"/>
    <n v="273.92"/>
    <x v="2"/>
    <n v="4"/>
    <n v="68.48"/>
    <n v="1"/>
    <n v="273.92"/>
    <n v="20.189699999999998"/>
    <n v="5530.3626240000003"/>
    <n v="115.56100000000001"/>
    <n v="118.98099999999999"/>
    <n v="1.0295000000000001"/>
    <n v="5693.5083214080005"/>
    <n v="1423.3770803520001"/>
    <m/>
    <n v="4"/>
    <s v="Sale"/>
    <x v="70"/>
    <s v="USD"/>
    <n v="153.51612903225808"/>
    <n v="1"/>
    <n v="153.51612903225808"/>
    <n v="20.9695"/>
    <n v="3219.1564677419356"/>
    <n v="5693.5083214080005"/>
    <n v="-2474.3518536660649"/>
    <n v="0.38082191780821917"/>
    <n v="1"/>
    <n v="-2474.3518536660649"/>
    <n v="0"/>
    <m/>
    <n v="-120.40387096774194"/>
  </r>
  <r>
    <x v="4"/>
    <s v="Purchase"/>
    <x v="76"/>
    <x v="2"/>
    <s v="USD"/>
    <d v="2021-10-27T00:00:00"/>
    <n v="273.92"/>
    <x v="2"/>
    <n v="4"/>
    <n v="68.48"/>
    <n v="1"/>
    <n v="273.92"/>
    <n v="20.189699999999998"/>
    <n v="5530.3626240000003"/>
    <n v="115.56100000000001"/>
    <n v="118.98099999999999"/>
    <n v="1.0295000000000001"/>
    <n v="5693.5083214080005"/>
    <n v="1423.3770803520001"/>
    <m/>
    <n v="4"/>
    <s v="Sale"/>
    <x v="70"/>
    <s v="USD"/>
    <n v="158.52571428571429"/>
    <n v="1"/>
    <n v="158.52571428571429"/>
    <n v="20.9695"/>
    <n v="3324.2049657142857"/>
    <n v="5693.5083214080005"/>
    <n v="-2369.3033556937148"/>
    <n v="0.38082191780821917"/>
    <n v="1"/>
    <n v="-2369.3033556937148"/>
    <n v="0"/>
    <m/>
    <n v="-115.39428571428573"/>
  </r>
  <r>
    <x v="4"/>
    <s v="Purchase"/>
    <x v="76"/>
    <x v="2"/>
    <s v="USD"/>
    <d v="2021-10-27T00:00:00"/>
    <n v="906.97"/>
    <x v="2"/>
    <n v="13"/>
    <n v="69.766923076923078"/>
    <n v="1"/>
    <n v="906.97"/>
    <n v="20.189699999999998"/>
    <n v="18311.452208999999"/>
    <n v="115.56100000000001"/>
    <n v="118.98099999999999"/>
    <n v="1.0295000000000001"/>
    <n v="18851.6400491655"/>
    <n v="1450.1261576281154"/>
    <m/>
    <n v="13"/>
    <s v="Sale"/>
    <x v="70"/>
    <s v="USD"/>
    <n v="515.20857142857142"/>
    <n v="1"/>
    <n v="515.20857142857142"/>
    <n v="20.9695"/>
    <n v="10803.666138571429"/>
    <n v="18851.6400491655"/>
    <n v="-8047.9739105940716"/>
    <n v="0.38082191780821917"/>
    <n v="1"/>
    <n v="-8047.9739105940716"/>
    <n v="0"/>
    <m/>
    <n v="-391.76142857142861"/>
  </r>
  <r>
    <x v="4"/>
    <s v="Purchase"/>
    <x v="76"/>
    <x v="2"/>
    <s v="USD"/>
    <d v="2021-10-27T00:00:00"/>
    <n v="1697.375"/>
    <x v="2"/>
    <n v="25"/>
    <n v="67.894999999999996"/>
    <n v="1"/>
    <n v="1697.375"/>
    <n v="20.189699999999998"/>
    <n v="34269.4920375"/>
    <n v="115.56100000000001"/>
    <n v="118.98099999999999"/>
    <n v="1.0295000000000001"/>
    <n v="35280.442052606253"/>
    <n v="1411.2176821042501"/>
    <m/>
    <n v="25"/>
    <s v="Sale"/>
    <x v="70"/>
    <s v="USD"/>
    <n v="990.78571428571433"/>
    <n v="1"/>
    <n v="990.78571428571433"/>
    <n v="20.9695"/>
    <n v="20776.281035714288"/>
    <n v="35280.442052606253"/>
    <n v="-14504.161016891965"/>
    <n v="0.38082191780821917"/>
    <n v="1"/>
    <n v="-14504.161016891965"/>
    <n v="0"/>
    <m/>
    <n v="-706.58928571428567"/>
  </r>
  <r>
    <x v="4"/>
    <s v="Purchase"/>
    <x v="76"/>
    <x v="2"/>
    <s v="USD"/>
    <d v="2021-10-27T00:00:00"/>
    <n v="339.47499999999997"/>
    <x v="2"/>
    <n v="5"/>
    <n v="67.894999999999996"/>
    <n v="1"/>
    <n v="339.47499999999997"/>
    <n v="20.189699999999998"/>
    <n v="6853.8984074999989"/>
    <n v="115.56100000000001"/>
    <n v="118.98099999999999"/>
    <n v="1.0295000000000001"/>
    <n v="7056.0884105212499"/>
    <n v="1411.2176821042499"/>
    <m/>
    <n v="5"/>
    <s v="Sale"/>
    <x v="70"/>
    <s v="USD"/>
    <n v="198.1"/>
    <n v="1"/>
    <n v="198.1"/>
    <n v="20.9695"/>
    <n v="4154.0579499999994"/>
    <n v="7056.0884105212499"/>
    <n v="-2902.0304605212505"/>
    <n v="0.38082191780821917"/>
    <n v="1"/>
    <n v="-2902.0304605212505"/>
    <n v="0"/>
    <m/>
    <n v="-141.37499999999997"/>
  </r>
  <r>
    <x v="4"/>
    <s v="Purchase"/>
    <x v="76"/>
    <x v="2"/>
    <s v="USD"/>
    <d v="2021-10-27T00:00:00"/>
    <n v="139.24031746031744"/>
    <x v="2"/>
    <n v="2"/>
    <n v="69.620158730158721"/>
    <n v="1"/>
    <n v="139.24031746031744"/>
    <n v="20.189699999999998"/>
    <n v="2811.2202374285707"/>
    <n v="115.56100000000001"/>
    <n v="118.98099999999999"/>
    <n v="1.0295000000000001"/>
    <n v="2894.1512344327139"/>
    <n v="1447.0756172163569"/>
    <m/>
    <n v="2"/>
    <s v="Sale"/>
    <x v="70"/>
    <s v="USD"/>
    <n v="79.239999999999995"/>
    <n v="1"/>
    <n v="79.239999999999995"/>
    <n v="20.9695"/>
    <n v="1661.6231799999998"/>
    <n v="2894.1512344327139"/>
    <n v="-1232.528054432714"/>
    <n v="0.38082191780821917"/>
    <n v="1"/>
    <n v="-1232.528054432714"/>
    <n v="0"/>
    <m/>
    <n v="-60.000317460317447"/>
  </r>
  <r>
    <x v="4"/>
    <s v="Purchase"/>
    <x v="76"/>
    <x v="2"/>
    <s v="USD"/>
    <d v="2021-10-27T00:00:00"/>
    <n v="2367.0853968253964"/>
    <x v="2"/>
    <n v="34"/>
    <n v="69.620158730158721"/>
    <n v="1"/>
    <n v="2367.0853968253964"/>
    <n v="20.189699999999998"/>
    <n v="47790.744036285701"/>
    <n v="115.56100000000001"/>
    <n v="118.98099999999999"/>
    <n v="1.0295000000000001"/>
    <n v="49200.570985356135"/>
    <n v="1447.0756172163569"/>
    <m/>
    <n v="34"/>
    <s v="Sale"/>
    <x v="71"/>
    <s v="USD"/>
    <n v="1403.48"/>
    <n v="1"/>
    <n v="1403.48"/>
    <n v="20.890799999999999"/>
    <n v="29319.819983999998"/>
    <n v="49200.570985356135"/>
    <n v="-19880.751001356137"/>
    <n v="0.38356164383561642"/>
    <n v="1"/>
    <n v="-19880.751001356137"/>
    <n v="0"/>
    <m/>
    <n v="-963.60539682539638"/>
  </r>
  <r>
    <x v="4"/>
    <s v="Purchase"/>
    <x v="76"/>
    <x v="2"/>
    <s v="USD"/>
    <d v="2021-10-27T00:00:00"/>
    <n v="1879.7442857142855"/>
    <x v="2"/>
    <n v="27"/>
    <n v="69.620158730158721"/>
    <n v="1"/>
    <n v="1879.7442857142855"/>
    <n v="20.189699999999998"/>
    <n v="37951.473205285707"/>
    <n v="115.56100000000001"/>
    <n v="118.98099999999999"/>
    <n v="1.0295000000000001"/>
    <n v="39071.041664841636"/>
    <n v="1447.0756172163569"/>
    <m/>
    <n v="27"/>
    <s v="Sale"/>
    <x v="71"/>
    <s v="USD"/>
    <n v="1097.1232258064517"/>
    <n v="1"/>
    <n v="1097.1232258064517"/>
    <n v="20.890799999999999"/>
    <n v="22919.781885677421"/>
    <n v="39071.041664841636"/>
    <n v="-16151.259779164215"/>
    <n v="0.38356164383561642"/>
    <n v="1"/>
    <n v="-16151.259779164215"/>
    <n v="0"/>
    <m/>
    <n v="-782.6210599078338"/>
  </r>
  <r>
    <x v="4"/>
    <s v="Purchase"/>
    <x v="76"/>
    <x v="2"/>
    <s v="USD"/>
    <d v="2021-10-28T00:00:00"/>
    <n v="562.28"/>
    <x v="2"/>
    <n v="8"/>
    <n v="70.284999999999997"/>
    <n v="1"/>
    <n v="562.28"/>
    <n v="20.188800000000001"/>
    <n v="11351.758464"/>
    <n v="115.56100000000001"/>
    <n v="118.98099999999999"/>
    <n v="1.0295000000000001"/>
    <n v="11686.635338688002"/>
    <n v="1460.8294173360002"/>
    <m/>
    <n v="8"/>
    <s v="Sale"/>
    <x v="71"/>
    <s v="USD"/>
    <n v="325.07354838709682"/>
    <n v="1"/>
    <n v="325.07354838709682"/>
    <n v="20.890799999999999"/>
    <n v="6791.0464846451614"/>
    <n v="11686.635338688002"/>
    <n v="-4895.5888540428405"/>
    <n v="0.38082191780821917"/>
    <n v="1"/>
    <n v="-4895.5888540428405"/>
    <n v="0"/>
    <m/>
    <n v="-237.20645161290315"/>
  </r>
  <r>
    <x v="4"/>
    <s v="Purchase"/>
    <x v="76"/>
    <x v="2"/>
    <s v="USD"/>
    <d v="2021-10-28T00:00:00"/>
    <n v="1903.3620000000001"/>
    <x v="2"/>
    <n v="27"/>
    <n v="70.494888888888894"/>
    <n v="1"/>
    <n v="1903.3620000000001"/>
    <n v="20.188800000000001"/>
    <n v="38426.594745599999"/>
    <n v="115.56100000000001"/>
    <n v="118.98099999999999"/>
    <n v="1.0295000000000001"/>
    <n v="39560.179290595202"/>
    <n v="1465.1918255776002"/>
    <m/>
    <n v="27"/>
    <s v="Sale"/>
    <x v="71"/>
    <s v="USD"/>
    <n v="1097.1232258064517"/>
    <n v="1"/>
    <n v="1097.1232258064517"/>
    <n v="20.890799999999999"/>
    <n v="22919.781885677421"/>
    <n v="39560.179290595202"/>
    <n v="-16640.397404917781"/>
    <n v="0.38082191780821917"/>
    <n v="1"/>
    <n v="-16640.397404917781"/>
    <n v="0"/>
    <m/>
    <n v="-806.23877419354835"/>
  </r>
  <r>
    <x v="4"/>
    <s v="Purchase"/>
    <x v="76"/>
    <x v="2"/>
    <s v="USD"/>
    <d v="2021-10-28T00:00:00"/>
    <n v="1268.9080000000001"/>
    <x v="2"/>
    <n v="18"/>
    <n v="70.494888888888894"/>
    <n v="1"/>
    <n v="1268.9080000000001"/>
    <n v="20.188800000000001"/>
    <n v="25617.729830400003"/>
    <n v="115.56100000000001"/>
    <n v="118.98099999999999"/>
    <n v="1.0295000000000001"/>
    <n v="26373.452860396806"/>
    <n v="1465.1918255776004"/>
    <m/>
    <n v="18"/>
    <s v="Sale"/>
    <x v="71"/>
    <s v="USD"/>
    <n v="730.71359999999993"/>
    <n v="1"/>
    <n v="730.71359999999993"/>
    <n v="20.890799999999999"/>
    <n v="15265.191674879998"/>
    <n v="26373.452860396806"/>
    <n v="-11108.261185516809"/>
    <n v="0.38082191780821917"/>
    <n v="1"/>
    <n v="-11108.261185516809"/>
    <n v="0"/>
    <m/>
    <n v="-538.1944000000002"/>
  </r>
  <r>
    <x v="4"/>
    <s v="Purchase"/>
    <x v="76"/>
    <x v="2"/>
    <s v="USD"/>
    <d v="2021-12-02T00:00:00"/>
    <n v="2897.0333009708738"/>
    <x v="2"/>
    <n v="57"/>
    <n v="50.825145631067961"/>
    <n v="1"/>
    <n v="2897.0333009708738"/>
    <n v="21.4453"/>
    <n v="62127.74824931068"/>
    <n v="117.30800000000001"/>
    <n v="118.98099999999999"/>
    <n v="1.0142"/>
    <n v="63009.962274450889"/>
    <n v="1105.4379346394892"/>
    <m/>
    <n v="57"/>
    <s v="Sale"/>
    <x v="71"/>
    <s v="USD"/>
    <n v="2313.9263999999998"/>
    <n v="1"/>
    <n v="2313.9263999999998"/>
    <n v="20.890799999999999"/>
    <n v="48339.773637119994"/>
    <n v="63009.962274450882"/>
    <n v="-14670.188637330888"/>
    <n v="0.28493150684931506"/>
    <n v="1"/>
    <n v="-14670.188637330888"/>
    <n v="0"/>
    <m/>
    <n v="-583.10690097087399"/>
  </r>
  <r>
    <x v="4"/>
    <s v="Purchase"/>
    <x v="76"/>
    <x v="2"/>
    <s v="USD"/>
    <d v="2021-12-02T00:00:00"/>
    <n v="2337.9566990291264"/>
    <x v="2"/>
    <n v="46"/>
    <n v="50.825145631067969"/>
    <n v="1"/>
    <n v="2337.9566990291264"/>
    <n v="21.4453"/>
    <n v="50138.182797689326"/>
    <n v="117.30800000000001"/>
    <n v="118.98099999999999"/>
    <n v="1.0142"/>
    <n v="50850.144993416514"/>
    <n v="1105.4379346394894"/>
    <m/>
    <n v="46"/>
    <s v="Sale"/>
    <x v="72"/>
    <s v="USD"/>
    <n v="1966.85"/>
    <n v="1"/>
    <n v="1966.85"/>
    <n v="20.874300000000002"/>
    <n v="41056.616954999998"/>
    <n v="50850.144993416514"/>
    <n v="-9793.5280384165162"/>
    <n v="0.28767123287671231"/>
    <n v="1"/>
    <n v="-9793.5280384165162"/>
    <n v="0"/>
    <m/>
    <n v="-371.1066990291265"/>
  </r>
  <r>
    <x v="4"/>
    <s v="Purchase"/>
    <x v="77"/>
    <x v="2"/>
    <s v="USD"/>
    <d v="2021-06-28T00:00:00"/>
    <n v="3896.5461165048546"/>
    <x v="2"/>
    <n v="50"/>
    <n v="77.93092233009709"/>
    <n v="1"/>
    <n v="3896.5461165048546"/>
    <n v="20.048300000000001"/>
    <n v="78119.125507524281"/>
    <n v="113.018"/>
    <n v="118.98099999999999"/>
    <n v="1.0527"/>
    <n v="82236.003421770802"/>
    <n v="1644.7200684354161"/>
    <m/>
    <n v="50"/>
    <s v="Sale"/>
    <x v="63"/>
    <s v="USD"/>
    <n v="3060.8161764705878"/>
    <n v="1"/>
    <n v="3060.8161764705878"/>
    <n v="20.703299999999999"/>
    <n v="63368.995546323516"/>
    <n v="82236.003421770802"/>
    <n v="-18867.007875447285"/>
    <n v="0.69041095890410964"/>
    <n v="1"/>
    <n v="-18867.007875447285"/>
    <n v="0"/>
    <m/>
    <n v="-835.72994003426675"/>
  </r>
  <r>
    <x v="4"/>
    <s v="Purchase"/>
    <x v="77"/>
    <x v="2"/>
    <s v="USD"/>
    <d v="2021-06-29T00:00:00"/>
    <n v="12081.896966292135"/>
    <x v="2"/>
    <n v="154"/>
    <n v="78.45387640449438"/>
    <n v="1"/>
    <n v="12081.896966292135"/>
    <n v="19.792999999999999"/>
    <n v="239136.98665382023"/>
    <n v="113.018"/>
    <n v="118.98099999999999"/>
    <n v="1.0527"/>
    <n v="251739.50585047656"/>
    <n v="1634.6721159121855"/>
    <m/>
    <n v="154"/>
    <s v="Sale"/>
    <x v="63"/>
    <s v="USD"/>
    <n v="9427.3138235294118"/>
    <n v="1"/>
    <n v="9427.3138235294118"/>
    <n v="20.703299999999999"/>
    <n v="195176.50628267645"/>
    <n v="251739.50585047656"/>
    <n v="-56562.999567800114"/>
    <n v="0.68767123287671228"/>
    <n v="1"/>
    <n v="-56562.999567800114"/>
    <n v="0"/>
    <m/>
    <n v="-2654.5831427627236"/>
  </r>
  <r>
    <x v="4"/>
    <s v="Purchase"/>
    <x v="77"/>
    <x v="2"/>
    <s v="USD"/>
    <d v="2021-06-29T00:00:00"/>
    <n v="1882.893033707865"/>
    <x v="2"/>
    <n v="24"/>
    <n v="78.45387640449438"/>
    <n v="1"/>
    <n v="1882.893033707865"/>
    <n v="19.792999999999999"/>
    <n v="37268.101816179769"/>
    <n v="113.018"/>
    <n v="118.98099999999999"/>
    <n v="1.0527"/>
    <n v="39232.13078189244"/>
    <n v="1634.6721159121851"/>
    <m/>
    <n v="24"/>
    <s v="Sale"/>
    <x v="13"/>
    <s v="USD"/>
    <n v="1420.0757142857144"/>
    <n v="1"/>
    <n v="1420.0757142857144"/>
    <n v="20.926200000000001"/>
    <n v="29716.788412285718"/>
    <n v="39232.13078189244"/>
    <n v="-9515.3423696067221"/>
    <n v="0.69041095890410964"/>
    <n v="1"/>
    <n v="-9515.3423696067221"/>
    <n v="0"/>
    <m/>
    <n v="-462.8173194221506"/>
  </r>
  <r>
    <x v="4"/>
    <s v="Purchase"/>
    <x v="77"/>
    <x v="2"/>
    <s v="USD"/>
    <d v="2021-07-14T00:00:00"/>
    <n v="6671.9839999999995"/>
    <x v="2"/>
    <n v="88"/>
    <n v="75.817999999999998"/>
    <n v="1"/>
    <n v="6671.9839999999995"/>
    <n v="19.857700000000001"/>
    <n v="132490.2566768"/>
    <n v="113.682"/>
    <n v="118.98099999999999"/>
    <n v="1.0466"/>
    <n v="138664.30263793888"/>
    <n v="1575.7307117947601"/>
    <m/>
    <n v="88"/>
    <s v="Sale"/>
    <x v="13"/>
    <s v="USD"/>
    <n v="5206.9442857142858"/>
    <n v="1"/>
    <n v="5206.9442857142858"/>
    <n v="20.926200000000001"/>
    <n v="108961.5575117143"/>
    <n v="138664.30263793888"/>
    <n v="-29702.745126224574"/>
    <n v="0.64931506849315068"/>
    <n v="1"/>
    <n v="-29702.745126224574"/>
    <n v="0"/>
    <m/>
    <n v="-1465.0397142857137"/>
  </r>
  <r>
    <x v="4"/>
    <s v="Purchase"/>
    <x v="77"/>
    <x v="2"/>
    <s v="USD"/>
    <d v="2021-07-14T00:00:00"/>
    <n v="303.27199999999999"/>
    <x v="2"/>
    <n v="4"/>
    <n v="75.817999999999998"/>
    <n v="1"/>
    <n v="303.27199999999999"/>
    <n v="19.857700000000001"/>
    <n v="6022.2843944000006"/>
    <n v="113.682"/>
    <n v="118.98099999999999"/>
    <n v="1.0466"/>
    <n v="6302.9228471790402"/>
    <n v="1575.7307117947601"/>
    <m/>
    <n v="4"/>
    <s v="Sale"/>
    <x v="13"/>
    <s v="USD"/>
    <n v="236.49"/>
    <n v="1"/>
    <n v="236.49"/>
    <n v="20.926200000000001"/>
    <n v="4948.8370380000006"/>
    <n v="6302.9228471790402"/>
    <n v="-1354.0858091790396"/>
    <n v="0.64931506849315068"/>
    <n v="1"/>
    <n v="-1354.0858091790396"/>
    <n v="0"/>
    <m/>
    <n v="-66.781999999999982"/>
  </r>
  <r>
    <x v="4"/>
    <s v="Purchase"/>
    <x v="77"/>
    <x v="2"/>
    <s v="USD"/>
    <d v="2021-07-14T00:00:00"/>
    <n v="454.90800000000002"/>
    <x v="2"/>
    <n v="6"/>
    <n v="75.817999999999998"/>
    <n v="1"/>
    <n v="454.90800000000002"/>
    <n v="19.857700000000001"/>
    <n v="9033.4265916000004"/>
    <n v="113.682"/>
    <n v="118.98099999999999"/>
    <n v="1.0466"/>
    <n v="9454.3842707685599"/>
    <n v="1575.7307117947601"/>
    <m/>
    <n v="6"/>
    <s v="Sale"/>
    <x v="13"/>
    <s v="USD"/>
    <n v="354.89"/>
    <n v="1"/>
    <n v="354.89"/>
    <n v="20.926200000000001"/>
    <n v="7426.4991180000006"/>
    <n v="9454.3842707685599"/>
    <n v="-2027.8851527685592"/>
    <n v="0.64931506849315068"/>
    <n v="1"/>
    <n v="-2027.8851527685592"/>
    <n v="0"/>
    <m/>
    <n v="-100.01800000000003"/>
  </r>
  <r>
    <x v="4"/>
    <s v="Purchase"/>
    <x v="77"/>
    <x v="2"/>
    <s v="USD"/>
    <d v="2021-07-14T00:00:00"/>
    <n v="4928.17"/>
    <x v="2"/>
    <n v="65"/>
    <n v="75.817999999999998"/>
    <n v="1"/>
    <n v="4928.17"/>
    <n v="19.857700000000001"/>
    <n v="97862.121409000014"/>
    <n v="113.682"/>
    <n v="118.98099999999999"/>
    <n v="1.0466"/>
    <n v="102422.49626665941"/>
    <n v="1575.7307117947601"/>
    <m/>
    <n v="65"/>
    <s v="Sale"/>
    <x v="13"/>
    <s v="USD"/>
    <n v="3825.11"/>
    <n v="1"/>
    <n v="3825.11"/>
    <n v="20.926200000000001"/>
    <n v="80045.016882000011"/>
    <n v="102422.49626665941"/>
    <n v="-22377.479384659397"/>
    <n v="0.64931506849315068"/>
    <n v="1"/>
    <n v="-22377.479384659397"/>
    <n v="0"/>
    <m/>
    <n v="-1103.06"/>
  </r>
  <r>
    <x v="4"/>
    <s v="Purchase"/>
    <x v="77"/>
    <x v="2"/>
    <s v="USD"/>
    <d v="2021-07-14T00:00:00"/>
    <n v="909.81600000000003"/>
    <x v="2"/>
    <n v="12"/>
    <n v="75.817999999999998"/>
    <n v="1"/>
    <n v="909.81600000000003"/>
    <n v="19.857700000000001"/>
    <n v="18066.853183200001"/>
    <n v="113.682"/>
    <n v="118.98099999999999"/>
    <n v="1.0466"/>
    <n v="18908.76854153712"/>
    <n v="1575.7307117947601"/>
    <m/>
    <n v="12"/>
    <s v="Sale"/>
    <x v="56"/>
    <s v="USD"/>
    <n v="521.24250000000006"/>
    <n v="1"/>
    <n v="521.24250000000006"/>
    <n v="20.974299999999999"/>
    <n v="10932.696567750001"/>
    <n v="18908.76854153712"/>
    <n v="-7976.0719737871186"/>
    <n v="0.66575342465753429"/>
    <n v="1"/>
    <n v="-7976.0719737871186"/>
    <n v="0"/>
    <m/>
    <n v="-388.57349999999997"/>
  </r>
  <r>
    <x v="4"/>
    <s v="Purchase"/>
    <x v="77"/>
    <x v="2"/>
    <s v="USD"/>
    <d v="2021-07-15T00:00:00"/>
    <n v="11686.99"/>
    <x v="2"/>
    <n v="152"/>
    <n v="76.888092105263155"/>
    <n v="1"/>
    <n v="11686.99"/>
    <n v="19.998799999999999"/>
    <n v="233725.775612"/>
    <n v="113.682"/>
    <n v="118.98099999999999"/>
    <n v="1.0466"/>
    <n v="244617.39675551918"/>
    <n v="1609.3249786547315"/>
    <m/>
    <n v="152"/>
    <s v="Sale"/>
    <x v="56"/>
    <s v="USD"/>
    <n v="6602.4049999999997"/>
    <n v="1"/>
    <n v="6602.4049999999997"/>
    <n v="20.974299999999999"/>
    <n v="138480.82319149998"/>
    <n v="244617.39675551918"/>
    <n v="-106136.5735640192"/>
    <n v="0.66301369863013704"/>
    <n v="1"/>
    <n v="-106136.5735640192"/>
    <n v="0"/>
    <m/>
    <n v="-5084.585"/>
  </r>
  <r>
    <x v="4"/>
    <s v="Purchase"/>
    <x v="77"/>
    <x v="2"/>
    <s v="USD"/>
    <d v="2021-07-30T00:00:00"/>
    <n v="21306.034188034188"/>
    <x v="2"/>
    <n v="300"/>
    <n v="71.02011396011396"/>
    <n v="1"/>
    <n v="21306.034188034188"/>
    <n v="19.953499999999998"/>
    <n v="425129.95317094011"/>
    <n v="113.682"/>
    <n v="118.98099999999999"/>
    <n v="1.0466"/>
    <n v="444941.00898870593"/>
    <n v="1483.1366966290198"/>
    <m/>
    <n v="300"/>
    <s v="Sale"/>
    <x v="56"/>
    <s v="USD"/>
    <n v="13031.0625"/>
    <n v="1"/>
    <n v="13031.0625"/>
    <n v="20.974299999999999"/>
    <n v="273317.41419375001"/>
    <n v="444941.00898870593"/>
    <n v="-171623.59479495592"/>
    <n v="0.62191780821917808"/>
    <n v="1"/>
    <n v="-171623.59479495592"/>
    <n v="0"/>
    <m/>
    <n v="-8274.9716880341875"/>
  </r>
  <r>
    <x v="4"/>
    <s v="Purchase"/>
    <x v="77"/>
    <x v="2"/>
    <s v="USD"/>
    <d v="2021-07-30T00:00:00"/>
    <n v="3622.025811965812"/>
    <x v="2"/>
    <n v="51"/>
    <n v="71.02011396011396"/>
    <n v="1"/>
    <n v="3622.025811965812"/>
    <n v="19.953499999999998"/>
    <n v="72272.092039059818"/>
    <n v="113.682"/>
    <n v="118.98099999999999"/>
    <n v="1.0466"/>
    <n v="75639.971528080001"/>
    <n v="1483.1366966290195"/>
    <m/>
    <n v="51"/>
    <s v="Sale"/>
    <x v="56"/>
    <s v="USD"/>
    <n v="2225.470701030928"/>
    <n v="1"/>
    <n v="2225.470701030928"/>
    <n v="20.974299999999999"/>
    <n v="46677.690124632994"/>
    <n v="75639.971528080001"/>
    <n v="-28962.281403447007"/>
    <n v="0.62191780821917808"/>
    <n v="1"/>
    <n v="-28962.281403447007"/>
    <n v="0"/>
    <m/>
    <n v="-1396.5551109348839"/>
  </r>
  <r>
    <x v="4"/>
    <s v="Purchase"/>
    <x v="77"/>
    <x v="2"/>
    <s v="USD"/>
    <d v="2021-08-23T00:00:00"/>
    <n v="16387.57"/>
    <x v="2"/>
    <n v="260"/>
    <n v="63.02911538461538"/>
    <n v="1"/>
    <n v="16387.57"/>
    <n v="20.1175"/>
    <n v="329676.93947499996"/>
    <n v="113.899"/>
    <n v="118.98099999999999"/>
    <n v="1.0446"/>
    <n v="344380.53097558493"/>
    <n v="1324.5405037522498"/>
    <m/>
    <n v="260"/>
    <s v="Sale"/>
    <x v="56"/>
    <s v="USD"/>
    <n v="11345.536907216496"/>
    <n v="1"/>
    <n v="11345.536907216496"/>
    <n v="20.974299999999999"/>
    <n v="237964.69475303096"/>
    <n v="344380.53097558493"/>
    <n v="-106415.83622255397"/>
    <n v="0.55616438356164388"/>
    <n v="1"/>
    <n v="-106415.83622255397"/>
    <n v="0"/>
    <m/>
    <n v="-5042.0330927835039"/>
  </r>
  <r>
    <x v="4"/>
    <s v="Purchase"/>
    <x v="77"/>
    <x v="2"/>
    <s v="USD"/>
    <d v="2021-09-07T00:00:00"/>
    <n v="14269.25"/>
    <x v="2"/>
    <n v="173"/>
    <n v="82.48121387283237"/>
    <n v="1"/>
    <n v="14269.25"/>
    <n v="19.8992"/>
    <n v="283946.65960000001"/>
    <n v="114.601"/>
    <n v="118.98099999999999"/>
    <n v="1.0382"/>
    <n v="294793.42199672002"/>
    <n v="1704.0082196342198"/>
    <m/>
    <n v="173"/>
    <s v="Sale"/>
    <x v="56"/>
    <s v="USD"/>
    <n v="7549.1457113402066"/>
    <n v="1"/>
    <n v="7549.1457113402066"/>
    <n v="20.974299999999999"/>
    <n v="158338.04689336289"/>
    <n v="294793.42199672002"/>
    <n v="-136455.37510335713"/>
    <n v="0.51506849315068493"/>
    <n v="1"/>
    <n v="-136455.37510335713"/>
    <n v="0"/>
    <m/>
    <n v="-6720.1042886597934"/>
  </r>
  <r>
    <x v="4"/>
    <s v="Purchase"/>
    <x v="77"/>
    <x v="2"/>
    <s v="USD"/>
    <d v="2021-11-19T00:00:00"/>
    <n v="89.78"/>
    <x v="2"/>
    <n v="1"/>
    <n v="89.78"/>
    <n v="1"/>
    <n v="89.78"/>
    <n v="20.691199999999998"/>
    <n v="1857.6559359999999"/>
    <n v="116.884"/>
    <n v="118.98099999999999"/>
    <n v="1.0179"/>
    <n v="1890.9079772543998"/>
    <n v="1890.9079772543998"/>
    <m/>
    <n v="1"/>
    <s v="Sale"/>
    <x v="56"/>
    <s v="USD"/>
    <n v="43.636680412371135"/>
    <n v="1"/>
    <n v="43.636680412371135"/>
    <n v="20.974299999999999"/>
    <n v="915.24882597319584"/>
    <n v="1890.9079772543998"/>
    <n v="-975.659151281204"/>
    <n v="0.31506849315068491"/>
    <n v="1"/>
    <n v="-975.659151281204"/>
    <n v="0"/>
    <m/>
    <n v="-46.143319587628866"/>
  </r>
  <r>
    <x v="4"/>
    <s v="Purchase"/>
    <x v="78"/>
    <x v="2"/>
    <s v="USD"/>
    <d v="2022-03-18T00:00:00"/>
    <n v="7193.28"/>
    <x v="2"/>
    <n v="242"/>
    <n v="29.724297520661157"/>
    <n v="1"/>
    <n v="7193.28"/>
    <n v="20.703499999999998"/>
    <n v="148926.07247999997"/>
    <n v="120.15900000000001"/>
    <n v="120.809"/>
    <n v="1.0054000000000001"/>
    <n v="149730.27327139198"/>
    <n v="618.72013748509085"/>
    <m/>
    <n v="242"/>
    <s v="Sale"/>
    <x v="1"/>
    <s v="USD"/>
    <n v="3650.8729886914375"/>
    <n v="1"/>
    <n v="3650.8729886914375"/>
    <n v="20.372"/>
    <n v="74375.584525621962"/>
    <n v="149730.27327139198"/>
    <n v="-75354.688745770021"/>
    <n v="0.15068493150684931"/>
    <n v="1"/>
    <n v="-75354.688745770021"/>
    <n v="0"/>
    <m/>
    <n v="-3542.4070113085622"/>
  </r>
  <r>
    <x v="4"/>
    <s v="Purchase"/>
    <x v="78"/>
    <x v="2"/>
    <s v="USD"/>
    <d v="2022-03-18T00:00:00"/>
    <n v="756.7"/>
    <x v="2"/>
    <n v="26"/>
    <n v="29.103846153846156"/>
    <n v="1"/>
    <n v="756.7"/>
    <n v="20.703499999999998"/>
    <n v="15666.338449999999"/>
    <n v="120.15900000000001"/>
    <n v="120.809"/>
    <n v="1.0054000000000001"/>
    <n v="15750.936677630001"/>
    <n v="605.80525683192309"/>
    <m/>
    <n v="26"/>
    <s v="Sale"/>
    <x v="1"/>
    <s v="USD"/>
    <n v="392.24255250403871"/>
    <n v="1"/>
    <n v="392.24255250403871"/>
    <n v="20.372"/>
    <n v="7990.7652796122766"/>
    <n v="15750.936677630001"/>
    <n v="-7760.1713980177246"/>
    <n v="0.15068493150684931"/>
    <n v="1"/>
    <n v="-7760.1713980177246"/>
    <n v="0"/>
    <m/>
    <n v="-364.45744749596133"/>
  </r>
  <r>
    <x v="4"/>
    <s v="Purchase"/>
    <x v="78"/>
    <x v="2"/>
    <s v="USD"/>
    <d v="2022-03-18T00:00:00"/>
    <n v="1313.24"/>
    <x v="2"/>
    <n v="44"/>
    <n v="29.846363636363638"/>
    <n v="1"/>
    <n v="1313.24"/>
    <n v="20.703499999999998"/>
    <n v="27188.664339999999"/>
    <n v="120.15900000000001"/>
    <n v="120.809"/>
    <n v="1.0054000000000001"/>
    <n v="27335.483127436"/>
    <n v="621.26098016900005"/>
    <m/>
    <n v="44"/>
    <s v="Sale"/>
    <x v="1"/>
    <s v="USD"/>
    <n v="663.79508885298867"/>
    <n v="1"/>
    <n v="663.79508885298867"/>
    <n v="20.372"/>
    <n v="13522.833550113086"/>
    <n v="27335.483127436004"/>
    <n v="-13812.649577322918"/>
    <n v="0.15068493150684931"/>
    <n v="1"/>
    <n v="-13812.649577322918"/>
    <n v="0"/>
    <m/>
    <n v="-649.44491114701134"/>
  </r>
  <r>
    <x v="4"/>
    <s v="Purchase"/>
    <x v="78"/>
    <x v="2"/>
    <s v="USD"/>
    <d v="2022-03-18T00:00:00"/>
    <n v="1547.12"/>
    <x v="2"/>
    <n v="52"/>
    <n v="29.752307692307689"/>
    <n v="1"/>
    <n v="1547.12"/>
    <n v="20.703499999999998"/>
    <n v="32030.798919999994"/>
    <n v="120.15900000000001"/>
    <n v="120.809"/>
    <n v="1.0054000000000001"/>
    <n v="32203.765234167997"/>
    <n v="619.30317758015383"/>
    <m/>
    <n v="52"/>
    <s v="Sale"/>
    <x v="1"/>
    <s v="USD"/>
    <n v="784.48510500807743"/>
    <n v="1"/>
    <n v="784.48510500807743"/>
    <n v="20.372"/>
    <n v="15981.530559224553"/>
    <n v="32203.765234168"/>
    <n v="-16222.234674943447"/>
    <n v="0.15068493150684931"/>
    <n v="1"/>
    <n v="-16222.234674943447"/>
    <n v="0"/>
    <m/>
    <n v="-762.63489499192247"/>
  </r>
  <r>
    <x v="4"/>
    <s v="Purchase"/>
    <x v="78"/>
    <x v="2"/>
    <s v="USD"/>
    <d v="2022-03-18T00:00:00"/>
    <n v="266.27"/>
    <x v="2"/>
    <n v="9"/>
    <n v="29.585555555555555"/>
    <n v="1"/>
    <n v="266.27"/>
    <n v="20.703499999999998"/>
    <n v="5512.7209449999991"/>
    <n v="120.15900000000001"/>
    <n v="120.809"/>
    <n v="1.0054000000000001"/>
    <n v="5542.4896381029994"/>
    <n v="615.83218201144439"/>
    <m/>
    <n v="9"/>
    <s v="Sale"/>
    <x v="1"/>
    <s v="USD"/>
    <n v="135.77626817447495"/>
    <n v="1"/>
    <n v="135.77626817447495"/>
    <n v="20.372"/>
    <n v="2766.0341352504038"/>
    <n v="5542.4896381029994"/>
    <n v="-2776.4555028525956"/>
    <n v="0.15068493150684931"/>
    <n v="1"/>
    <n v="-2776.4555028525956"/>
    <n v="0"/>
    <m/>
    <n v="-130.49373182552503"/>
  </r>
  <r>
    <x v="4"/>
    <s v="Purchase"/>
    <x v="78"/>
    <x v="2"/>
    <s v="USD"/>
    <d v="2022-03-18T00:00:00"/>
    <n v="2676.27"/>
    <x v="2"/>
    <n v="90"/>
    <n v="29.736333333333334"/>
    <n v="1"/>
    <n v="2676.27"/>
    <n v="20.703499999999998"/>
    <n v="55408.155944999991"/>
    <n v="120.15900000000001"/>
    <n v="120.809"/>
    <n v="1.0054000000000001"/>
    <n v="55707.359987102995"/>
    <n v="618.97066652336662"/>
    <m/>
    <n v="90"/>
    <s v="Sale"/>
    <x v="1"/>
    <s v="USD"/>
    <n v="1357.7626817447494"/>
    <n v="1"/>
    <n v="1357.7626817447494"/>
    <n v="20.372"/>
    <n v="27660.341352504034"/>
    <n v="55707.359987102995"/>
    <n v="-28047.01863459896"/>
    <n v="0.15068493150684931"/>
    <n v="1"/>
    <n v="-28047.01863459896"/>
    <n v="0"/>
    <m/>
    <n v="-1318.5073182552505"/>
  </r>
  <r>
    <x v="4"/>
    <s v="Purchase"/>
    <x v="78"/>
    <x v="2"/>
    <s v="USD"/>
    <d v="2022-03-21T00:00:00"/>
    <n v="525.11"/>
    <x v="2"/>
    <n v="18"/>
    <n v="29.172777777777778"/>
    <n v="1"/>
    <n v="525.11"/>
    <n v="20.558499999999999"/>
    <n v="10795.473935"/>
    <n v="120.15900000000001"/>
    <n v="120.809"/>
    <n v="1.0054000000000001"/>
    <n v="10853.769494249002"/>
    <n v="602.98719412494449"/>
    <m/>
    <n v="18"/>
    <s v="Sale"/>
    <x v="1"/>
    <s v="USD"/>
    <n v="271.5525363489499"/>
    <n v="1"/>
    <n v="271.5525363489499"/>
    <n v="20.372"/>
    <n v="5532.0682705008076"/>
    <n v="10853.769494249002"/>
    <n v="-5321.701223748194"/>
    <n v="0.14246575342465753"/>
    <n v="1"/>
    <n v="-5321.701223748194"/>
    <n v="0"/>
    <m/>
    <n v="-253.55746365105011"/>
  </r>
  <r>
    <x v="4"/>
    <s v="Purchase"/>
    <x v="78"/>
    <x v="2"/>
    <s v="USD"/>
    <d v="2022-03-21T00:00:00"/>
    <n v="7025.19"/>
    <x v="2"/>
    <n v="239"/>
    <n v="29.394100418410041"/>
    <n v="1"/>
    <n v="7025.19"/>
    <n v="20.558499999999999"/>
    <n v="144427.36861499998"/>
    <n v="120.15900000000001"/>
    <n v="120.809"/>
    <n v="1.0054000000000001"/>
    <n v="145207.276405521"/>
    <n v="607.561825964523"/>
    <m/>
    <n v="239"/>
    <s v="Sale"/>
    <x v="1"/>
    <s v="USD"/>
    <n v="3605.6142326332792"/>
    <n v="1"/>
    <n v="3605.6142326332792"/>
    <n v="20.372"/>
    <n v="73453.57314720517"/>
    <n v="145207.276405521"/>
    <n v="-71753.703258315829"/>
    <n v="0.14246575342465753"/>
    <n v="1"/>
    <n v="-71753.703258315829"/>
    <n v="0"/>
    <m/>
    <n v="-3419.5757673667204"/>
  </r>
  <r>
    <x v="4"/>
    <s v="Purchase"/>
    <x v="78"/>
    <x v="2"/>
    <s v="USD"/>
    <d v="2022-03-21T00:00:00"/>
    <n v="1060.56"/>
    <x v="2"/>
    <n v="36"/>
    <n v="29.459999999999997"/>
    <n v="1"/>
    <n v="1060.56"/>
    <n v="20.558499999999999"/>
    <n v="21803.522759999996"/>
    <n v="120.15900000000001"/>
    <n v="120.809"/>
    <n v="1.0054000000000001"/>
    <n v="21921.261782903999"/>
    <n v="608.92393841399996"/>
    <m/>
    <n v="36"/>
    <s v="Sale"/>
    <x v="1"/>
    <s v="USD"/>
    <n v="543.1050726978998"/>
    <n v="1"/>
    <n v="543.1050726978998"/>
    <n v="20.372"/>
    <n v="11064.136541001615"/>
    <n v="21921.261782903999"/>
    <n v="-10857.125241902384"/>
    <n v="0.14246575342465753"/>
    <n v="1"/>
    <n v="-10857.125241902384"/>
    <n v="0"/>
    <m/>
    <n v="-517.45492730210015"/>
  </r>
  <r>
    <x v="4"/>
    <s v="Purchase"/>
    <x v="78"/>
    <x v="2"/>
    <s v="USD"/>
    <d v="2022-03-22T00:00:00"/>
    <n v="310.33999999999997"/>
    <x v="2"/>
    <n v="10"/>
    <n v="31.033999999999999"/>
    <n v="1"/>
    <n v="310.33999999999997"/>
    <n v="20.558499999999999"/>
    <n v="6380.1248899999991"/>
    <n v="120.15900000000001"/>
    <n v="120.809"/>
    <n v="1.0054000000000001"/>
    <n v="6414.5775644059995"/>
    <n v="641.45775644059995"/>
    <m/>
    <n v="10"/>
    <s v="Sale"/>
    <x v="1"/>
    <s v="USD"/>
    <n v="150.86252019386106"/>
    <n v="1"/>
    <n v="150.86252019386106"/>
    <n v="20.372"/>
    <n v="3073.3712613893376"/>
    <n v="6414.5775644059995"/>
    <n v="-3341.2063030166619"/>
    <n v="0.13972602739726028"/>
    <n v="1"/>
    <n v="-3341.2063030166619"/>
    <n v="0"/>
    <m/>
    <n v="-159.47747980613892"/>
  </r>
  <r>
    <x v="4"/>
    <s v="Purchase"/>
    <x v="78"/>
    <x v="2"/>
    <s v="USD"/>
    <d v="2022-03-22T00:00:00"/>
    <n v="3429.76"/>
    <x v="2"/>
    <n v="111"/>
    <n v="30.898738738738739"/>
    <n v="1"/>
    <n v="3429.76"/>
    <n v="20.558499999999999"/>
    <n v="70510.720960000006"/>
    <n v="120.15900000000001"/>
    <n v="120.809"/>
    <n v="1.0054000000000001"/>
    <n v="70891.478853184017"/>
    <n v="638.66197165030644"/>
    <m/>
    <n v="111"/>
    <s v="Sale"/>
    <x v="1"/>
    <s v="USD"/>
    <n v="1674.5739741518578"/>
    <n v="1"/>
    <n v="1674.5739741518578"/>
    <n v="20.372"/>
    <n v="34114.421001421644"/>
    <n v="70891.478853184017"/>
    <n v="-36777.057851762373"/>
    <n v="0.13972602739726028"/>
    <n v="1"/>
    <n v="-36777.057851762373"/>
    <n v="0"/>
    <m/>
    <n v="-1755.1860258481424"/>
  </r>
  <r>
    <x v="4"/>
    <s v="Purchase"/>
    <x v="78"/>
    <x v="2"/>
    <s v="USD"/>
    <d v="2022-03-23T00:00:00"/>
    <n v="6627.71"/>
    <x v="2"/>
    <n v="213"/>
    <n v="31.116009389671362"/>
    <n v="1"/>
    <n v="6627.71"/>
    <n v="20.4145"/>
    <n v="135301.38579500001"/>
    <n v="120.15900000000001"/>
    <n v="120.809"/>
    <n v="1.0054000000000001"/>
    <n v="136032.01327829302"/>
    <n v="638.6479496633475"/>
    <m/>
    <n v="213"/>
    <s v="Sale"/>
    <x v="1"/>
    <s v="USD"/>
    <n v="3213.3716801292403"/>
    <n v="1"/>
    <n v="3213.3716801292403"/>
    <n v="20.372"/>
    <n v="65462.807867592885"/>
    <n v="136032.01327829302"/>
    <n v="-70569.205410700131"/>
    <n v="0.13698630136986301"/>
    <n v="1"/>
    <n v="-70569.205410700131"/>
    <n v="0"/>
    <m/>
    <n v="-3414.3383198707597"/>
  </r>
  <r>
    <x v="4"/>
    <s v="Purchase"/>
    <x v="78"/>
    <x v="2"/>
    <s v="USD"/>
    <d v="2022-03-23T00:00:00"/>
    <n v="183.87"/>
    <x v="2"/>
    <n v="6"/>
    <n v="30.645"/>
    <n v="1"/>
    <n v="183.87"/>
    <n v="20.4145"/>
    <n v="3753.6141150000003"/>
    <n v="120.15900000000001"/>
    <n v="120.809"/>
    <n v="1.0054000000000001"/>
    <n v="3773.8836312210005"/>
    <n v="628.98060520350009"/>
    <m/>
    <n v="6"/>
    <s v="Sale"/>
    <x v="1"/>
    <s v="USD"/>
    <n v="90.517512116316624"/>
    <n v="1"/>
    <n v="90.517512116316624"/>
    <n v="20.372"/>
    <n v="1844.0227568336022"/>
    <n v="3773.8836312210005"/>
    <n v="-1929.8608743873983"/>
    <n v="0.13698630136986301"/>
    <n v="1"/>
    <n v="-1929.8608743873983"/>
    <n v="0"/>
    <m/>
    <n v="-93.352487883683381"/>
  </r>
  <r>
    <x v="4"/>
    <s v="Purchase"/>
    <x v="78"/>
    <x v="2"/>
    <s v="USD"/>
    <d v="2022-03-23T00:00:00"/>
    <n v="183.81"/>
    <x v="2"/>
    <n v="6"/>
    <n v="30.635000000000002"/>
    <n v="1"/>
    <n v="183.81"/>
    <n v="20.4145"/>
    <n v="3752.3892450000003"/>
    <n v="120.15900000000001"/>
    <n v="120.809"/>
    <n v="1.0054000000000001"/>
    <n v="3772.6521469230006"/>
    <n v="628.77535782050006"/>
    <m/>
    <n v="6"/>
    <s v="Sale"/>
    <x v="1"/>
    <s v="USD"/>
    <n v="90.517512116316624"/>
    <n v="1"/>
    <n v="90.517512116316624"/>
    <n v="20.372"/>
    <n v="1844.0227568336022"/>
    <n v="3772.6521469230001"/>
    <n v="-1928.6293900893979"/>
    <n v="0.13698630136986301"/>
    <n v="1"/>
    <n v="-1928.6293900893979"/>
    <n v="0"/>
    <m/>
    <n v="-93.292487883683378"/>
  </r>
  <r>
    <x v="4"/>
    <s v="Purchase"/>
    <x v="78"/>
    <x v="2"/>
    <s v="USD"/>
    <d v="2022-03-24T00:00:00"/>
    <n v="4084.2042009132424"/>
    <x v="2"/>
    <n v="136"/>
    <n v="30.030913242009134"/>
    <n v="1"/>
    <n v="4084.2042009132424"/>
    <n v="20.278199999999998"/>
    <n v="82820.3096269589"/>
    <n v="120.15900000000001"/>
    <n v="120.809"/>
    <n v="1.0054000000000001"/>
    <n v="83267.539298944481"/>
    <n v="612.26131837459172"/>
    <m/>
    <n v="136"/>
    <s v="Sale"/>
    <x v="1"/>
    <s v="USD"/>
    <n v="2051.7302746365103"/>
    <n v="1"/>
    <n v="2051.7302746365103"/>
    <n v="20.372"/>
    <n v="41797.84915489499"/>
    <n v="83267.539298944481"/>
    <n v="-41469.690144049491"/>
    <n v="0.13424657534246576"/>
    <n v="1"/>
    <n v="-41469.690144049491"/>
    <n v="0"/>
    <m/>
    <n v="-2032.4739262767321"/>
  </r>
  <r>
    <x v="4"/>
    <s v="Purchase"/>
    <x v="78"/>
    <x v="2"/>
    <s v="USD"/>
    <d v="2022-03-24T00:00:00"/>
    <n v="420.43278538812785"/>
    <x v="2"/>
    <n v="14"/>
    <n v="30.030913242009131"/>
    <n v="1"/>
    <n v="420.43278538812785"/>
    <n v="20.278199999999998"/>
    <n v="8525.6201086575329"/>
    <n v="120.15900000000001"/>
    <n v="120.809"/>
    <n v="1.0054000000000001"/>
    <n v="8571.6584572442844"/>
    <n v="612.26131837459172"/>
    <m/>
    <n v="14"/>
    <s v="Sale"/>
    <x v="1"/>
    <s v="USD"/>
    <n v="213.29"/>
    <n v="1"/>
    <n v="213.29"/>
    <n v="20.372"/>
    <n v="4345.1438799999996"/>
    <n v="8571.6584572442844"/>
    <n v="-4226.5145772442847"/>
    <n v="0.13424657534246576"/>
    <n v="1"/>
    <n v="-4226.5145772442847"/>
    <n v="0"/>
    <m/>
    <n v="-207.14278538812786"/>
  </r>
  <r>
    <x v="4"/>
    <s v="Purchase"/>
    <x v="78"/>
    <x v="2"/>
    <s v="USD"/>
    <d v="2022-03-24T00:00:00"/>
    <n v="1411.4529223744294"/>
    <x v="2"/>
    <n v="47"/>
    <n v="30.030913242009134"/>
    <n v="1"/>
    <n v="1411.4529223744294"/>
    <n v="20.278199999999998"/>
    <n v="28621.72465049315"/>
    <n v="120.15900000000001"/>
    <n v="120.809"/>
    <n v="1.0054000000000001"/>
    <n v="28776.281963605816"/>
    <n v="612.26131837459184"/>
    <m/>
    <n v="47"/>
    <s v="Sale"/>
    <x v="1"/>
    <s v="USD"/>
    <n v="704.03"/>
    <n v="1"/>
    <n v="704.03"/>
    <n v="20.372"/>
    <n v="14342.499159999999"/>
    <n v="28776.281963605816"/>
    <n v="-14433.782803605816"/>
    <n v="0.13424657534246576"/>
    <n v="1"/>
    <n v="-14433.782803605816"/>
    <n v="0"/>
    <m/>
    <n v="-707.42292237442939"/>
  </r>
  <r>
    <x v="4"/>
    <s v="Purchase"/>
    <x v="78"/>
    <x v="2"/>
    <s v="USD"/>
    <d v="2022-03-24T00:00:00"/>
    <n v="660.68009132420093"/>
    <x v="2"/>
    <n v="22"/>
    <n v="30.030913242009134"/>
    <n v="1"/>
    <n v="660.68009132420093"/>
    <n v="20.278199999999998"/>
    <n v="13397.40302789041"/>
    <n v="120.15900000000001"/>
    <n v="120.809"/>
    <n v="1.0054000000000001"/>
    <n v="13469.749004241019"/>
    <n v="612.26131837459172"/>
    <m/>
    <n v="22"/>
    <s v="Sale"/>
    <x v="1"/>
    <s v="USD"/>
    <n v="335.00823529411764"/>
    <n v="1"/>
    <n v="335.00823529411764"/>
    <n v="20.372"/>
    <n v="6824.7877694117642"/>
    <n v="13469.749004241017"/>
    <n v="-6644.961234829253"/>
    <n v="0.13424657534246576"/>
    <n v="1"/>
    <n v="-6644.961234829253"/>
    <n v="0"/>
    <m/>
    <n v="-325.67185603008329"/>
  </r>
  <r>
    <x v="4"/>
    <s v="Purchase"/>
    <x v="78"/>
    <x v="2"/>
    <s v="USD"/>
    <d v="2022-03-25T00:00:00"/>
    <n v="1310.7796638655461"/>
    <x v="2"/>
    <n v="46"/>
    <n v="28.495210084033612"/>
    <n v="1"/>
    <n v="1310.7796638655461"/>
    <n v="20.18"/>
    <n v="26451.533616806719"/>
    <n v="120.15900000000001"/>
    <n v="120.809"/>
    <n v="1.0054000000000001"/>
    <n v="26594.371898337478"/>
    <n v="578.13851952907567"/>
    <m/>
    <n v="46"/>
    <s v="Sale"/>
    <x v="1"/>
    <s v="USD"/>
    <n v="700.47176470588238"/>
    <n v="1"/>
    <n v="700.47176470588238"/>
    <n v="20.372"/>
    <n v="14270.010790588236"/>
    <n v="26594.371898337482"/>
    <n v="-12324.361107749246"/>
    <n v="0.13150684931506848"/>
    <n v="1"/>
    <n v="-12324.361107749246"/>
    <n v="0"/>
    <m/>
    <n v="-610.30789915966375"/>
  </r>
  <r>
    <x v="4"/>
    <s v="Purchase"/>
    <x v="78"/>
    <x v="2"/>
    <s v="USD"/>
    <d v="2022-03-25T00:00:00"/>
    <n v="1937.6742857142856"/>
    <x v="2"/>
    <n v="68"/>
    <n v="28.495210084033612"/>
    <n v="1"/>
    <n v="1937.6742857142856"/>
    <n v="20.18"/>
    <n v="39102.26708571428"/>
    <n v="120.15900000000001"/>
    <n v="120.809"/>
    <n v="1.0054000000000001"/>
    <n v="39313.419327977143"/>
    <n v="578.13851952907567"/>
    <m/>
    <n v="68"/>
    <s v="Sale"/>
    <x v="1"/>
    <s v="USD"/>
    <n v="1047.18"/>
    <n v="1"/>
    <n v="1047.18"/>
    <n v="20.372"/>
    <n v="21333.150960000003"/>
    <n v="39313.419327977143"/>
    <n v="-17980.26836797714"/>
    <n v="0.13150684931506848"/>
    <n v="1"/>
    <n v="-17980.26836797714"/>
    <n v="0"/>
    <m/>
    <n v="-890.49428571428552"/>
  </r>
  <r>
    <x v="4"/>
    <s v="Purchase"/>
    <x v="78"/>
    <x v="2"/>
    <s v="USD"/>
    <d v="2022-03-25T00:00:00"/>
    <n v="28.495210084033612"/>
    <x v="2"/>
    <n v="1"/>
    <n v="28.495210084033612"/>
    <n v="1"/>
    <n v="28.495210084033612"/>
    <n v="20.18"/>
    <n v="575.03333949579826"/>
    <n v="120.15900000000001"/>
    <n v="120.809"/>
    <n v="1.0054000000000001"/>
    <n v="578.13851952907567"/>
    <n v="578.13851952907567"/>
    <m/>
    <n v="1"/>
    <s v="Sale"/>
    <x v="73"/>
    <s v="USD"/>
    <n v="17.190000000000001"/>
    <n v="1"/>
    <n v="17.190000000000001"/>
    <n v="20.2592"/>
    <n v="348.25564800000001"/>
    <n v="578.13851952907567"/>
    <n v="-229.88287152907566"/>
    <n v="0.13424657534246576"/>
    <n v="1"/>
    <n v="-229.88287152907566"/>
    <n v="0"/>
    <m/>
    <n v="-11.305210084033611"/>
  </r>
  <r>
    <x v="4"/>
    <s v="Purchase"/>
    <x v="78"/>
    <x v="2"/>
    <s v="USD"/>
    <d v="2022-03-25T00:00:00"/>
    <n v="113.98084033613445"/>
    <x v="2"/>
    <n v="4"/>
    <n v="28.495210084033612"/>
    <n v="1"/>
    <n v="113.98084033613445"/>
    <n v="20.18"/>
    <n v="2300.133357983193"/>
    <n v="120.15900000000001"/>
    <n v="120.809"/>
    <n v="1.0054000000000001"/>
    <n v="2312.5540781163027"/>
    <n v="578.13851952907567"/>
    <m/>
    <n v="4"/>
    <s v="Sale"/>
    <x v="73"/>
    <s v="USD"/>
    <n v="68.808839779005524"/>
    <n v="1"/>
    <n v="68.808839779005524"/>
    <n v="20.2592"/>
    <n v="1394.0120468508287"/>
    <n v="2312.5540781163027"/>
    <n v="-918.54203126547395"/>
    <n v="0.13424657534246576"/>
    <n v="1"/>
    <n v="-918.54203126547395"/>
    <n v="0"/>
    <m/>
    <n v="-45.172000557128925"/>
  </r>
  <r>
    <x v="4"/>
    <s v="Purchase"/>
    <x v="78"/>
    <x v="2"/>
    <s v="USD"/>
    <d v="2022-03-25T00:00:00"/>
    <n v="113.13"/>
    <x v="2"/>
    <n v="4"/>
    <n v="28.282499999999999"/>
    <n v="1"/>
    <n v="113.13"/>
    <n v="20.18"/>
    <n v="2282.9634000000001"/>
    <n v="120.15900000000001"/>
    <n v="120.809"/>
    <n v="1.0054000000000001"/>
    <n v="2295.2914023600001"/>
    <n v="573.82285059000003"/>
    <m/>
    <n v="4"/>
    <s v="Sale"/>
    <x v="73"/>
    <s v="USD"/>
    <n v="68.808839779005524"/>
    <n v="1"/>
    <n v="68.808839779005524"/>
    <n v="20.2592"/>
    <n v="1394.0120468508287"/>
    <n v="2295.2914023600001"/>
    <n v="-901.27935550917141"/>
    <n v="0.13424657534246576"/>
    <n v="1"/>
    <n v="-901.27935550917141"/>
    <n v="0"/>
    <m/>
    <n v="-44.321160220994472"/>
  </r>
  <r>
    <x v="4"/>
    <s v="Purchase"/>
    <x v="78"/>
    <x v="2"/>
    <s v="USD"/>
    <d v="2022-03-25T00:00:00"/>
    <n v="1835.56"/>
    <x v="2"/>
    <n v="64"/>
    <n v="28.680624999999999"/>
    <n v="1"/>
    <n v="1835.56"/>
    <n v="20.18"/>
    <n v="37041.6008"/>
    <n v="120.15900000000001"/>
    <n v="120.809"/>
    <n v="1.0054000000000001"/>
    <n v="37241.625444320001"/>
    <n v="581.90039756750002"/>
    <m/>
    <n v="64"/>
    <s v="Sale"/>
    <x v="73"/>
    <s v="USD"/>
    <n v="1100.9414364640884"/>
    <n v="1"/>
    <n v="1100.9414364640884"/>
    <n v="20.2592"/>
    <n v="22304.192749613259"/>
    <n v="37241.625444320001"/>
    <n v="-14937.432694706742"/>
    <n v="0.13424657534246576"/>
    <n v="1"/>
    <n v="-14937.432694706742"/>
    <n v="0"/>
    <m/>
    <n v="-734.61856353591156"/>
  </r>
  <r>
    <x v="4"/>
    <s v="Purchase"/>
    <x v="78"/>
    <x v="2"/>
    <s v="USD"/>
    <d v="2022-04-05T00:00:00"/>
    <n v="6535.93"/>
    <x v="2"/>
    <n v="290"/>
    <n v="22.537689655172414"/>
    <n v="1"/>
    <n v="6535.93"/>
    <n v="19.8432"/>
    <n v="129693.766176"/>
    <n v="120.809"/>
    <n v="120.809"/>
    <n v="1"/>
    <n v="129693.766176"/>
    <n v="447.21988336551726"/>
    <m/>
    <n v="290"/>
    <s v="Sale"/>
    <x v="73"/>
    <s v="USD"/>
    <n v="4988.6408839779006"/>
    <n v="1"/>
    <n v="4988.6408839779006"/>
    <n v="20.2592"/>
    <n v="101065.87339668509"/>
    <n v="129693.766176"/>
    <n v="-28627.89277931492"/>
    <n v="0.10410958904109589"/>
    <n v="1"/>
    <n v="-28627.89277931492"/>
    <n v="0"/>
    <m/>
    <n v="-1547.2891160220997"/>
  </r>
  <r>
    <x v="4"/>
    <s v="Purchase"/>
    <x v="79"/>
    <x v="2"/>
    <s v="USD"/>
    <d v="2021-09-28T00:00:00"/>
    <n v="924.26275862068974"/>
    <x v="2"/>
    <n v="6"/>
    <n v="154.04379310344828"/>
    <n v="1"/>
    <n v="924.26275862068974"/>
    <n v="20.111799999999999"/>
    <n v="18588.587748827587"/>
    <n v="114.601"/>
    <n v="118.002"/>
    <n v="1.0296000000000001"/>
    <n v="19138.809946192887"/>
    <n v="3189.8016576988143"/>
    <m/>
    <n v="6"/>
    <s v="Sale"/>
    <x v="18"/>
    <s v="USD"/>
    <n v="1029.4722580645162"/>
    <n v="1"/>
    <n v="1029.4722580645162"/>
    <n v="20.4148"/>
    <n v="21016.470253935484"/>
    <n v="19138.809946192887"/>
    <n v="1877.6603077425971"/>
    <n v="0.38082191780821917"/>
    <n v="1"/>
    <n v="1877.6603077425971"/>
    <n v="0"/>
    <m/>
    <n v="105.20949944382642"/>
  </r>
  <r>
    <x v="4"/>
    <s v="Purchase"/>
    <x v="79"/>
    <x v="2"/>
    <s v="USD"/>
    <d v="2021-09-28T00:00:00"/>
    <n v="7398.2"/>
    <x v="2"/>
    <n v="48"/>
    <n v="154.12916666666666"/>
    <n v="1"/>
    <n v="7398.2"/>
    <n v="20.111799999999999"/>
    <n v="148791.11875999998"/>
    <n v="114.601"/>
    <n v="118.002"/>
    <n v="1.0296000000000001"/>
    <n v="153195.335875296"/>
    <n v="3191.5694974020003"/>
    <m/>
    <n v="48"/>
    <s v="Sale"/>
    <x v="18"/>
    <s v="USD"/>
    <n v="8235.7780645161292"/>
    <n v="1"/>
    <n v="8235.7780645161292"/>
    <n v="20.4148"/>
    <n v="168131.76203148387"/>
    <n v="153195.335875296"/>
    <n v="14936.426156187867"/>
    <n v="0.38082191780821917"/>
    <n v="1"/>
    <n v="14936.426156187867"/>
    <n v="0"/>
    <m/>
    <n v="837.57806451612942"/>
  </r>
  <r>
    <x v="4"/>
    <s v="Purchase"/>
    <x v="79"/>
    <x v="2"/>
    <s v="USD"/>
    <d v="2021-09-28T00:00:00"/>
    <n v="1233.2"/>
    <x v="2"/>
    <n v="8"/>
    <n v="154.15"/>
    <n v="1"/>
    <n v="1233.2"/>
    <n v="20.111799999999999"/>
    <n v="24801.871759999998"/>
    <n v="114.601"/>
    <n v="118.002"/>
    <n v="1.0296000000000001"/>
    <n v="25536.007164096001"/>
    <n v="3192.0008955120002"/>
    <m/>
    <n v="8"/>
    <s v="Sale"/>
    <x v="18"/>
    <s v="USD"/>
    <n v="1372.6296774193547"/>
    <n v="1"/>
    <n v="1372.6296774193547"/>
    <n v="20.4148"/>
    <n v="28021.960338580644"/>
    <n v="25536.007164096001"/>
    <n v="2485.9531744846427"/>
    <n v="0.38082191780821917"/>
    <n v="1"/>
    <n v="2485.9531744846427"/>
    <n v="0"/>
    <m/>
    <n v="139.42967741935468"/>
  </r>
  <r>
    <x v="4"/>
    <s v="Purchase"/>
    <x v="79"/>
    <x v="2"/>
    <s v="USD"/>
    <d v="2021-09-28T00:00:00"/>
    <n v="6161.7478260869566"/>
    <x v="2"/>
    <n v="40"/>
    <n v="154.04369565217391"/>
    <n v="1"/>
    <n v="6161.7478260869566"/>
    <n v="20.111799999999999"/>
    <n v="123923.83992869564"/>
    <n v="114.601"/>
    <n v="118.002"/>
    <n v="1.0296000000000001"/>
    <n v="127591.98559058504"/>
    <n v="3189.7996397646261"/>
    <m/>
    <n v="40"/>
    <s v="Sale"/>
    <x v="45"/>
    <s v="USD"/>
    <n v="7079.89"/>
    <n v="1"/>
    <n v="7079.89"/>
    <n v="20.333500000000001"/>
    <n v="143958.94331500001"/>
    <n v="127591.98559058504"/>
    <n v="16366.95772441497"/>
    <n v="0.39178082191780822"/>
    <n v="1"/>
    <n v="16366.95772441497"/>
    <n v="0"/>
    <m/>
    <n v="918.14217391304373"/>
  </r>
  <r>
    <x v="4"/>
    <s v="Purchase"/>
    <x v="80"/>
    <x v="2"/>
    <s v="USD"/>
    <d v="2021-10-12T00:00:00"/>
    <n v="2643.4301249999999"/>
    <x v="2"/>
    <n v="42"/>
    <n v="62.938812499999997"/>
    <n v="1"/>
    <n v="2643.4301249999999"/>
    <n v="20.729299999999999"/>
    <n v="54796.456090162494"/>
    <n v="115.56100000000001"/>
    <n v="117.30800000000001"/>
    <n v="1.0150999999999999"/>
    <n v="55623.882577123943"/>
    <n v="1324.3781565981892"/>
    <m/>
    <n v="42"/>
    <s v="Sale"/>
    <x v="47"/>
    <s v="USD"/>
    <n v="1875.6295384615387"/>
    <n v="1"/>
    <n v="1875.6295384615387"/>
    <n v="20.311800000000002"/>
    <n v="38097.412059323084"/>
    <n v="55623.88257712395"/>
    <n v="-17526.470517800866"/>
    <n v="0.26849315068493151"/>
    <n v="1"/>
    <n v="-17526.470517800866"/>
    <n v="0"/>
    <m/>
    <n v="-767.80058653846118"/>
  </r>
  <r>
    <x v="4"/>
    <s v="Purchase"/>
    <x v="80"/>
    <x v="2"/>
    <s v="USD"/>
    <d v="2021-10-13T00:00:00"/>
    <n v="1416.99"/>
    <x v="2"/>
    <n v="23"/>
    <n v="61.608260869565221"/>
    <n v="1"/>
    <n v="1416.99"/>
    <n v="20.8017"/>
    <n v="29475.800883"/>
    <n v="115.56100000000001"/>
    <n v="117.30800000000001"/>
    <n v="1.0150999999999999"/>
    <n v="29920.885476333297"/>
    <n v="1300.9080641884043"/>
    <m/>
    <n v="23"/>
    <s v="Sale"/>
    <x v="47"/>
    <s v="USD"/>
    <n v="1027.1304615384615"/>
    <n v="1"/>
    <n v="1027.1304615384615"/>
    <n v="20.311800000000002"/>
    <n v="20862.868508676926"/>
    <n v="29920.8854763333"/>
    <n v="-9058.0169676563746"/>
    <n v="0.26575342465753427"/>
    <n v="1"/>
    <n v="-9058.0169676563746"/>
    <n v="0"/>
    <m/>
    <n v="-389.85953846153848"/>
  </r>
  <r>
    <x v="4"/>
    <s v="Purchase"/>
    <x v="80"/>
    <x v="2"/>
    <s v="USD"/>
    <d v="2021-10-13T00:00:00"/>
    <n v="1728.81"/>
    <x v="2"/>
    <n v="28"/>
    <n v="61.743214285714281"/>
    <n v="1"/>
    <n v="1728.81"/>
    <n v="20.8017"/>
    <n v="35962.186976999998"/>
    <n v="115.56100000000001"/>
    <n v="117.30800000000001"/>
    <n v="1.0150999999999999"/>
    <n v="36505.216000352695"/>
    <n v="1303.7577142983105"/>
    <m/>
    <n v="28"/>
    <s v="Sale"/>
    <x v="47"/>
    <s v="USD"/>
    <n v="1250.4196923076925"/>
    <n v="1"/>
    <n v="1250.4196923076925"/>
    <n v="20.311800000000002"/>
    <n v="25398.27470621539"/>
    <n v="36505.216000352695"/>
    <n v="-11106.941294137305"/>
    <n v="0.26575342465753427"/>
    <n v="1"/>
    <n v="-11106.941294137305"/>
    <n v="0"/>
    <m/>
    <n v="-478.39030769230749"/>
  </r>
  <r>
    <x v="4"/>
    <s v="Purchase"/>
    <x v="80"/>
    <x v="2"/>
    <s v="USD"/>
    <d v="2021-10-13T00:00:00"/>
    <n v="2323.2788194444447"/>
    <x v="2"/>
    <n v="37"/>
    <n v="62.791319444444454"/>
    <n v="1"/>
    <n v="2323.2788194444447"/>
    <n v="20.8017"/>
    <n v="48328.149018437507"/>
    <n v="115.56100000000001"/>
    <n v="117.30800000000001"/>
    <n v="1.0150999999999999"/>
    <n v="49057.904068615906"/>
    <n v="1325.8892991517812"/>
    <m/>
    <n v="37"/>
    <s v="Sale"/>
    <x v="47"/>
    <s v="USD"/>
    <n v="1652.3403076923078"/>
    <n v="1"/>
    <n v="1652.3403076923078"/>
    <n v="20.311800000000002"/>
    <n v="33562.005861784623"/>
    <n v="49057.904068615906"/>
    <n v="-15495.898206831283"/>
    <n v="0.26575342465753427"/>
    <n v="1"/>
    <n v="-15495.898206831283"/>
    <n v="0"/>
    <m/>
    <n v="-670.93851175213695"/>
  </r>
  <r>
    <x v="4"/>
    <s v="Purchase"/>
    <x v="80"/>
    <x v="2"/>
    <s v="USD"/>
    <d v="2021-10-13T00:00:00"/>
    <n v="6718.671180555556"/>
    <x v="2"/>
    <n v="107"/>
    <n v="62.791319444444447"/>
    <n v="1"/>
    <n v="6718.671180555556"/>
    <n v="20.8017"/>
    <n v="139759.78229656251"/>
    <n v="115.56100000000001"/>
    <n v="117.30800000000001"/>
    <n v="1.0150999999999999"/>
    <n v="141870.15500924058"/>
    <n v="1325.8892991517812"/>
    <m/>
    <n v="107"/>
    <s v="Sale"/>
    <x v="47"/>
    <s v="USD"/>
    <n v="4654.979878787879"/>
    <n v="1"/>
    <n v="4654.979878787879"/>
    <n v="20.311800000000002"/>
    <n v="94551.020301963654"/>
    <n v="141870.15500924058"/>
    <n v="-47319.134707276928"/>
    <n v="0.26575342465753427"/>
    <n v="1"/>
    <n v="-47319.134707276928"/>
    <n v="0"/>
    <m/>
    <n v="-2063.691301767677"/>
  </r>
  <r>
    <x v="4"/>
    <s v="Purchase"/>
    <x v="80"/>
    <x v="2"/>
    <s v="USD"/>
    <d v="2021-10-15T00:00:00"/>
    <n v="1149.47"/>
    <x v="2"/>
    <n v="18"/>
    <n v="63.859444444444449"/>
    <n v="1"/>
    <n v="1149.47"/>
    <n v="20.682700000000001"/>
    <n v="23774.143169000003"/>
    <n v="115.56100000000001"/>
    <n v="117.30800000000001"/>
    <n v="1.0150999999999999"/>
    <n v="24133.132730851899"/>
    <n v="1340.7295961584389"/>
    <m/>
    <n v="18"/>
    <s v="Sale"/>
    <x v="47"/>
    <s v="USD"/>
    <n v="783.08072727272724"/>
    <n v="1"/>
    <n v="783.08072727272724"/>
    <n v="20.311800000000002"/>
    <n v="15905.779116218182"/>
    <n v="24133.132730851899"/>
    <n v="-8227.3536146337174"/>
    <n v="0.26027397260273971"/>
    <n v="1"/>
    <n v="-8227.3536146337174"/>
    <n v="0"/>
    <m/>
    <n v="-366.38927272727278"/>
  </r>
  <r>
    <x v="4"/>
    <s v="Purchase"/>
    <x v="80"/>
    <x v="2"/>
    <s v="USD"/>
    <d v="2021-10-15T00:00:00"/>
    <n v="1528.8"/>
    <x v="2"/>
    <n v="24"/>
    <n v="63.699999999999996"/>
    <n v="1"/>
    <n v="1528.8"/>
    <n v="20.682700000000001"/>
    <n v="31619.711759999998"/>
    <n v="115.56100000000001"/>
    <n v="117.30800000000001"/>
    <n v="1.0150999999999999"/>
    <n v="32097.169407575995"/>
    <n v="1337.3820586489999"/>
    <m/>
    <n v="24"/>
    <s v="Sale"/>
    <x v="47"/>
    <s v="USD"/>
    <n v="1044.1076363636364"/>
    <n v="1"/>
    <n v="1044.1076363636364"/>
    <n v="20.311800000000002"/>
    <n v="21207.705488290911"/>
    <n v="32097.169407575995"/>
    <n v="-10889.463919285085"/>
    <n v="0.26027397260273971"/>
    <n v="1"/>
    <n v="-10889.463919285085"/>
    <n v="0"/>
    <m/>
    <n v="-484.69236363636355"/>
  </r>
  <r>
    <x v="4"/>
    <s v="Purchase"/>
    <x v="80"/>
    <x v="2"/>
    <s v="USD"/>
    <d v="2021-10-15T00:00:00"/>
    <n v="1016.0336842105264"/>
    <x v="2"/>
    <n v="16"/>
    <n v="63.502105263157901"/>
    <n v="1"/>
    <n v="1016.0336842105264"/>
    <n v="20.682700000000001"/>
    <n v="21014.319880421055"/>
    <n v="115.56100000000001"/>
    <n v="117.30800000000001"/>
    <n v="1.0150999999999999"/>
    <n v="21331.636110615411"/>
    <n v="1333.2272569134632"/>
    <m/>
    <n v="16"/>
    <s v="Sale"/>
    <x v="47"/>
    <s v="USD"/>
    <n v="696.0717575757576"/>
    <n v="1"/>
    <n v="696.0717575757576"/>
    <n v="20.311800000000002"/>
    <n v="14138.470325527274"/>
    <n v="21331.636110615411"/>
    <n v="-7193.1657850881365"/>
    <n v="0.26027397260273971"/>
    <n v="1"/>
    <n v="-7193.1657850881365"/>
    <n v="0"/>
    <m/>
    <n v="-319.96192663476882"/>
  </r>
  <r>
    <x v="4"/>
    <s v="Purchase"/>
    <x v="80"/>
    <x v="2"/>
    <s v="USD"/>
    <d v="2021-10-15T00:00:00"/>
    <n v="381.01263157894743"/>
    <x v="2"/>
    <n v="6"/>
    <n v="63.502105263157908"/>
    <n v="1"/>
    <n v="381.01263157894743"/>
    <n v="20.682700000000001"/>
    <n v="7880.3699551578966"/>
    <n v="115.56100000000001"/>
    <n v="117.30800000000001"/>
    <n v="1.0150999999999999"/>
    <n v="7999.3635414807795"/>
    <n v="1333.2272569134632"/>
    <m/>
    <n v="6"/>
    <s v="Sale"/>
    <x v="47"/>
    <s v="USD"/>
    <n v="261.3"/>
    <n v="1"/>
    <n v="261.3"/>
    <n v="20.311800000000002"/>
    <n v="5307.4733400000005"/>
    <n v="7999.3635414807795"/>
    <n v="-2691.8902014807791"/>
    <n v="0.26027397260273971"/>
    <n v="1"/>
    <n v="-2691.8902014807791"/>
    <n v="0"/>
    <m/>
    <n v="-119.71263157894742"/>
  </r>
  <r>
    <x v="4"/>
    <s v="Purchase"/>
    <x v="80"/>
    <x v="2"/>
    <s v="USD"/>
    <d v="2021-10-15T00:00:00"/>
    <n v="571.5189473684211"/>
    <x v="2"/>
    <n v="9"/>
    <n v="63.502105263157901"/>
    <n v="1"/>
    <n v="571.5189473684211"/>
    <n v="20.682700000000001"/>
    <n v="11820.554932736843"/>
    <n v="115.56100000000001"/>
    <n v="117.30800000000001"/>
    <n v="1.0150999999999999"/>
    <n v="11999.045312221167"/>
    <n v="1333.227256913463"/>
    <m/>
    <n v="9"/>
    <s v="Sale"/>
    <x v="47"/>
    <s v="USD"/>
    <n v="408.06000000000006"/>
    <n v="1"/>
    <n v="408.06000000000006"/>
    <n v="20.311800000000002"/>
    <n v="8288.4331080000011"/>
    <n v="11999.045312221166"/>
    <n v="-3710.6122042211646"/>
    <n v="0.26027397260273971"/>
    <n v="1"/>
    <n v="-3710.6122042211646"/>
    <n v="0"/>
    <m/>
    <n v="-163.45894736842104"/>
  </r>
  <r>
    <x v="4"/>
    <s v="Purchase"/>
    <x v="80"/>
    <x v="2"/>
    <s v="USD"/>
    <d v="2021-10-15T00:00:00"/>
    <n v="1524.0505263157897"/>
    <x v="2"/>
    <n v="24"/>
    <n v="63.502105263157908"/>
    <n v="1"/>
    <n v="1524.0505263157897"/>
    <n v="20.682700000000001"/>
    <n v="31521.479820631586"/>
    <n v="115.56100000000001"/>
    <n v="117.30800000000001"/>
    <n v="1.0150999999999999"/>
    <n v="31997.454165923118"/>
    <n v="1333.2272569134632"/>
    <m/>
    <n v="24"/>
    <s v="Sale"/>
    <x v="15"/>
    <s v="USD"/>
    <n v="1012.31"/>
    <n v="1"/>
    <n v="1012.31"/>
    <n v="20.3002"/>
    <n v="20550.095461999997"/>
    <n v="31997.454165923118"/>
    <n v="-11447.358703923121"/>
    <n v="0.26301369863013696"/>
    <n v="1"/>
    <n v="-11447.358703923121"/>
    <n v="0"/>
    <m/>
    <n v="-511.74052631578979"/>
  </r>
  <r>
    <x v="4"/>
    <s v="Purchase"/>
    <x v="80"/>
    <x v="2"/>
    <s v="USD"/>
    <d v="2021-10-15T00:00:00"/>
    <n v="1524.0505263157897"/>
    <x v="2"/>
    <n v="24"/>
    <n v="63.502105263157908"/>
    <n v="1"/>
    <n v="1524.0505263157897"/>
    <n v="20.682700000000001"/>
    <n v="31521.479820631586"/>
    <n v="115.56100000000001"/>
    <n v="117.30800000000001"/>
    <n v="1.0150999999999999"/>
    <n v="31997.454165923118"/>
    <n v="1333.2272569134632"/>
    <m/>
    <n v="24"/>
    <s v="Sale"/>
    <x v="15"/>
    <s v="USD"/>
    <n v="1023.1100000000001"/>
    <n v="1"/>
    <n v="1023.1100000000001"/>
    <n v="20.3002"/>
    <n v="20769.337622000003"/>
    <n v="31997.454165923118"/>
    <n v="-11228.116543923115"/>
    <n v="0.26301369863013696"/>
    <n v="1"/>
    <n v="-11228.116543923115"/>
    <n v="0"/>
    <m/>
    <n v="-500.94052631578961"/>
  </r>
  <r>
    <x v="4"/>
    <s v="Purchase"/>
    <x v="80"/>
    <x v="2"/>
    <s v="USD"/>
    <d v="2021-10-15T00:00:00"/>
    <n v="5842.193684210527"/>
    <x v="2"/>
    <n v="92"/>
    <n v="63.502105263157901"/>
    <n v="1"/>
    <n v="5842.193684210527"/>
    <n v="20.682700000000001"/>
    <n v="120832.33931242107"/>
    <n v="115.56100000000001"/>
    <n v="117.30800000000001"/>
    <n v="1.0150999999999999"/>
    <n v="122656.90763603861"/>
    <n v="1333.2272569134632"/>
    <m/>
    <n v="92"/>
    <s v="Sale"/>
    <x v="15"/>
    <s v="USD"/>
    <n v="3927.6738842975205"/>
    <n v="1"/>
    <n v="3927.6738842975205"/>
    <n v="20.3002"/>
    <n v="79732.565386016533"/>
    <n v="122656.90763603861"/>
    <n v="-42924.342250022077"/>
    <n v="0.26301369863013696"/>
    <n v="1"/>
    <n v="-42924.342250022077"/>
    <n v="0"/>
    <m/>
    <n v="-1914.5197999130064"/>
  </r>
  <r>
    <x v="4"/>
    <s v="Purchase"/>
    <x v="80"/>
    <x v="2"/>
    <s v="USD"/>
    <d v="2021-10-26T00:00:00"/>
    <n v="10415.553370786516"/>
    <x v="2"/>
    <n v="150"/>
    <n v="69.437022471910112"/>
    <n v="1"/>
    <n v="10415.553370786516"/>
    <n v="20.183700000000002"/>
    <n v="210224.40456994381"/>
    <n v="115.56100000000001"/>
    <n v="117.30800000000001"/>
    <n v="1.0150999999999999"/>
    <n v="213398.79307894994"/>
    <n v="1422.6586205263329"/>
    <m/>
    <n v="150"/>
    <s v="Sale"/>
    <x v="15"/>
    <s v="USD"/>
    <n v="6403.8161157024788"/>
    <n v="1"/>
    <n v="6403.8161157024788"/>
    <n v="20.3002"/>
    <n v="129998.74791198346"/>
    <n v="213398.79307894994"/>
    <n v="-83400.045166966476"/>
    <n v="0.23287671232876711"/>
    <n v="1"/>
    <n v="-83400.045166966476"/>
    <n v="0"/>
    <m/>
    <n v="-4011.7372550840373"/>
  </r>
  <r>
    <x v="4"/>
    <s v="Purchase"/>
    <x v="80"/>
    <x v="2"/>
    <s v="USD"/>
    <d v="2021-10-26T00:00:00"/>
    <n v="1944.2366292134832"/>
    <x v="2"/>
    <n v="28"/>
    <n v="69.437022471910112"/>
    <n v="1"/>
    <n v="1944.2366292134832"/>
    <n v="20.183700000000002"/>
    <n v="39241.888853056182"/>
    <n v="115.56100000000001"/>
    <n v="117.30800000000001"/>
    <n v="1.0150999999999999"/>
    <n v="39834.441374737326"/>
    <n v="1422.6586205263332"/>
    <m/>
    <n v="28"/>
    <s v="Sale"/>
    <x v="57"/>
    <s v="USD"/>
    <n v="1210.5268965517241"/>
    <n v="1"/>
    <n v="1210.5268965517241"/>
    <n v="20.402999999999999"/>
    <n v="24698.380270344827"/>
    <n v="39834.441374737326"/>
    <n v="-15136.061104392498"/>
    <n v="0.23561643835616439"/>
    <n v="1"/>
    <n v="-15136.061104392498"/>
    <n v="0"/>
    <m/>
    <n v="-733.70973266175906"/>
  </r>
  <r>
    <x v="4"/>
    <s v="Purchase"/>
    <x v="80"/>
    <x v="2"/>
    <s v="USD"/>
    <d v="2021-11-19T00:00:00"/>
    <n v="74.98"/>
    <x v="2"/>
    <n v="1"/>
    <n v="74.98"/>
    <n v="1"/>
    <n v="74.98"/>
    <n v="20.691199999999998"/>
    <n v="1551.4261759999999"/>
    <n v="116.884"/>
    <n v="117.30800000000001"/>
    <n v="1.0036"/>
    <n v="1557.0113102335999"/>
    <n v="1557.0113102335999"/>
    <m/>
    <n v="1"/>
    <s v="Sale"/>
    <x v="57"/>
    <s v="USD"/>
    <n v="43.233103448275862"/>
    <n v="1"/>
    <n v="43.233103448275862"/>
    <n v="20.402999999999999"/>
    <n v="882.08500965517237"/>
    <n v="1557.0113102335999"/>
    <n v="-674.92630057842757"/>
    <n v="0.16986301369863013"/>
    <n v="1"/>
    <n v="-674.92630057842757"/>
    <n v="0"/>
    <m/>
    <n v="-31.746896551724141"/>
  </r>
  <r>
    <x v="4"/>
    <s v="Purchase"/>
    <x v="81"/>
    <x v="1"/>
    <s v="USD"/>
    <d v="2021-12-20T00:00:00"/>
    <n v="177.95"/>
    <x v="1"/>
    <n v="2"/>
    <n v="88.974999999999994"/>
    <n v="1"/>
    <n v="177.95"/>
    <n v="20.9238"/>
    <n v="3723.3902099999996"/>
    <n v="117.30800000000001"/>
    <n v="120.15900000000001"/>
    <n v="1.0243"/>
    <n v="3813.8685921029996"/>
    <n v="1906.9342960514998"/>
    <m/>
    <n v="2"/>
    <s v="Sale"/>
    <x v="63"/>
    <s v="USD"/>
    <n v="78.92192"/>
    <n v="1"/>
    <n v="78.92192"/>
    <n v="20.703299999999999"/>
    <n v="1633.9441863359998"/>
    <n v="3813.8685921029996"/>
    <n v="-2179.9244057669998"/>
    <n v="0.21095890410958903"/>
    <n v="1"/>
    <n v="-2179.9244057669998"/>
    <n v="0"/>
    <m/>
    <n v="-99.028079999999989"/>
  </r>
  <r>
    <x v="4"/>
    <s v="Purchase"/>
    <x v="81"/>
    <x v="1"/>
    <s v="USD"/>
    <d v="2021-12-20T00:00:00"/>
    <n v="1115.18"/>
    <x v="1"/>
    <n v="12"/>
    <n v="92.931666666666672"/>
    <n v="1"/>
    <n v="1115.18"/>
    <n v="20.9238"/>
    <n v="23333.803284000001"/>
    <n v="117.30800000000001"/>
    <n v="120.15900000000001"/>
    <n v="1.0243"/>
    <n v="23900.814703801203"/>
    <n v="1991.7345586501003"/>
    <m/>
    <n v="12"/>
    <s v="Sale"/>
    <x v="63"/>
    <s v="USD"/>
    <n v="473.53152"/>
    <n v="1"/>
    <n v="473.53152"/>
    <n v="20.703299999999999"/>
    <n v="9803.6651180159988"/>
    <n v="23900.814703801203"/>
    <n v="-14097.149585785204"/>
    <n v="0.21095890410958903"/>
    <n v="1"/>
    <n v="-14097.149585785204"/>
    <n v="0"/>
    <m/>
    <n v="-641.64848000000006"/>
  </r>
  <r>
    <x v="4"/>
    <s v="Purchase"/>
    <x v="81"/>
    <x v="1"/>
    <s v="USD"/>
    <d v="2021-12-20T00:00:00"/>
    <n v="10134.97640625"/>
    <x v="1"/>
    <n v="111"/>
    <n v="91.306093750000002"/>
    <n v="1"/>
    <n v="10134.97640625"/>
    <n v="20.9238"/>
    <n v="212062.21932909376"/>
    <n v="117.30800000000001"/>
    <n v="120.15900000000001"/>
    <n v="1.0243"/>
    <n v="217215.33125879074"/>
    <n v="1956.8948762053219"/>
    <m/>
    <n v="111"/>
    <s v="Sale"/>
    <x v="63"/>
    <s v="USD"/>
    <n v="4380.1665599999997"/>
    <n v="1"/>
    <n v="4380.1665599999997"/>
    <n v="20.703299999999999"/>
    <n v="90683.90234164799"/>
    <n v="217215.33125879074"/>
    <n v="-126531.42891714275"/>
    <n v="0.21095890410958903"/>
    <n v="1"/>
    <n v="-126531.42891714275"/>
    <n v="0"/>
    <m/>
    <n v="-5754.8098462500002"/>
  </r>
  <r>
    <x v="4"/>
    <s v="Purchase"/>
    <x v="81"/>
    <x v="1"/>
    <s v="USD"/>
    <d v="2021-12-20T00:00:00"/>
    <n v="456.53046875000001"/>
    <x v="1"/>
    <n v="5"/>
    <n v="91.306093750000002"/>
    <n v="1"/>
    <n v="456.53046875000001"/>
    <n v="20.9238"/>
    <n v="9552.3522220312498"/>
    <n v="117.30800000000001"/>
    <n v="120.15900000000001"/>
    <n v="1.0243"/>
    <n v="9784.4743810266082"/>
    <n v="1956.8948762053217"/>
    <m/>
    <n v="5"/>
    <s v="Sale"/>
    <x v="63"/>
    <s v="USD"/>
    <n v="189.39"/>
    <n v="1"/>
    <n v="189.39"/>
    <n v="20.703299999999999"/>
    <n v="3920.9979869999993"/>
    <n v="9784.4743810266082"/>
    <n v="-5863.4763940266093"/>
    <n v="0.21095890410958903"/>
    <n v="1"/>
    <n v="-5863.4763940266093"/>
    <n v="0"/>
    <m/>
    <n v="-267.14046875000003"/>
  </r>
  <r>
    <x v="4"/>
    <s v="Purchase"/>
    <x v="81"/>
    <x v="1"/>
    <s v="USD"/>
    <d v="2021-12-20T00:00:00"/>
    <n v="1095.673125"/>
    <x v="1"/>
    <n v="12"/>
    <n v="91.306093750000002"/>
    <n v="1"/>
    <n v="1095.673125"/>
    <n v="20.9238"/>
    <n v="22925.645332874999"/>
    <n v="117.30800000000001"/>
    <n v="120.15900000000001"/>
    <n v="1.0243"/>
    <n v="23482.738514463861"/>
    <n v="1956.8948762053217"/>
    <m/>
    <n v="12"/>
    <s v="Sale"/>
    <x v="13"/>
    <s v="USD"/>
    <n v="447.36"/>
    <n v="1"/>
    <n v="447.36"/>
    <n v="20.926200000000001"/>
    <n v="9361.5448320000014"/>
    <n v="23482.738514463861"/>
    <n v="-14121.19368246386"/>
    <n v="0.21369863013698631"/>
    <n v="1"/>
    <n v="-14121.19368246386"/>
    <n v="0"/>
    <m/>
    <n v="-648.31312500000001"/>
  </r>
  <r>
    <x v="4"/>
    <s v="Purchase"/>
    <x v="81"/>
    <x v="1"/>
    <s v="USD"/>
    <d v="2021-12-21T00:00:00"/>
    <n v="1222.21"/>
    <x v="1"/>
    <n v="13"/>
    <n v="94.016153846153856"/>
    <n v="1"/>
    <n v="1222.21"/>
    <n v="20.733699999999999"/>
    <n v="25340.935476999999"/>
    <n v="117.30800000000001"/>
    <n v="120.15900000000001"/>
    <n v="1.0243"/>
    <n v="25956.720209091098"/>
    <n v="1996.6707853146997"/>
    <m/>
    <n v="13"/>
    <s v="Sale"/>
    <x v="13"/>
    <s v="USD"/>
    <n v="517.38042168674701"/>
    <n v="1"/>
    <n v="517.38042168674701"/>
    <n v="20.926200000000001"/>
    <n v="10826.806180301206"/>
    <n v="25956.720209091098"/>
    <n v="-15129.914028789892"/>
    <n v="0.21095890410958903"/>
    <n v="1"/>
    <n v="-15129.914028789892"/>
    <n v="0"/>
    <m/>
    <n v="-704.82957831325302"/>
  </r>
  <r>
    <x v="4"/>
    <s v="Purchase"/>
    <x v="81"/>
    <x v="1"/>
    <s v="USD"/>
    <d v="2021-12-21T00:00:00"/>
    <n v="1611.47"/>
    <x v="1"/>
    <n v="17"/>
    <n v="94.792352941176475"/>
    <n v="1"/>
    <n v="1611.47"/>
    <n v="20.733699999999999"/>
    <n v="33411.735539000001"/>
    <n v="117.30800000000001"/>
    <n v="120.15900000000001"/>
    <n v="1.0243"/>
    <n v="34223.640712597698"/>
    <n v="2013.1553360351588"/>
    <m/>
    <n v="17"/>
    <s v="Sale"/>
    <x v="13"/>
    <s v="USD"/>
    <n v="676.57439759036151"/>
    <n v="1"/>
    <n v="676.57439759036151"/>
    <n v="20.926200000000001"/>
    <n v="14158.131158855424"/>
    <n v="34223.640712597698"/>
    <n v="-20065.509553742275"/>
    <n v="0.21095890410958903"/>
    <n v="1"/>
    <n v="-20065.509553742275"/>
    <n v="0"/>
    <m/>
    <n v="-934.89560240963851"/>
  </r>
  <r>
    <x v="4"/>
    <s v="Purchase"/>
    <x v="81"/>
    <x v="1"/>
    <s v="USD"/>
    <d v="2021-12-21T00:00:00"/>
    <n v="5252.48"/>
    <x v="1"/>
    <n v="56"/>
    <n v="93.794285714285706"/>
    <n v="1"/>
    <n v="5252.48"/>
    <n v="20.733699999999999"/>
    <n v="108903.34457599999"/>
    <n v="117.30800000000001"/>
    <n v="120.15900000000001"/>
    <n v="1.0243"/>
    <n v="111549.69584919678"/>
    <n v="1991.9588544499425"/>
    <m/>
    <n v="56"/>
    <s v="Sale"/>
    <x v="13"/>
    <s v="USD"/>
    <n v="2228.7156626506026"/>
    <n v="1"/>
    <n v="2228.7156626506026"/>
    <n v="20.926200000000001"/>
    <n v="46638.549699759045"/>
    <n v="111549.69584919678"/>
    <n v="-64911.146149437736"/>
    <n v="0.21095890410958903"/>
    <n v="1"/>
    <n v="-64911.146149437736"/>
    <n v="0"/>
    <m/>
    <n v="-3023.764337349397"/>
  </r>
  <r>
    <x v="4"/>
    <s v="Purchase"/>
    <x v="81"/>
    <x v="1"/>
    <s v="USD"/>
    <d v="2021-12-22T00:00:00"/>
    <n v="1247.52"/>
    <x v="1"/>
    <n v="13"/>
    <n v="95.963076923076926"/>
    <n v="1"/>
    <n v="1247.52"/>
    <n v="20.7363"/>
    <n v="25868.948976"/>
    <n v="117.30800000000001"/>
    <n v="120.15900000000001"/>
    <n v="1.0243"/>
    <n v="26497.564436116798"/>
    <n v="2038.2741873935997"/>
    <m/>
    <n v="13"/>
    <s v="Sale"/>
    <x v="13"/>
    <s v="USD"/>
    <n v="517.38042168674701"/>
    <n v="1"/>
    <n v="517.38042168674701"/>
    <n v="20.926200000000001"/>
    <n v="10826.806180301206"/>
    <n v="26497.564436116798"/>
    <n v="-15670.758255815592"/>
    <n v="0.20821917808219179"/>
    <n v="1"/>
    <n v="-15670.758255815592"/>
    <n v="0"/>
    <m/>
    <n v="-730.13957831325297"/>
  </r>
  <r>
    <x v="4"/>
    <s v="Purchase"/>
    <x v="81"/>
    <x v="1"/>
    <s v="USD"/>
    <d v="2021-12-23T00:00:00"/>
    <n v="93.44"/>
    <x v="1"/>
    <n v="1"/>
    <n v="93.44"/>
    <n v="1"/>
    <n v="93.44"/>
    <n v="20.782299999999999"/>
    <n v="1941.8981119999999"/>
    <n v="117.30800000000001"/>
    <n v="120.15900000000001"/>
    <n v="1.0243"/>
    <n v="1989.0862361215998"/>
    <n v="1989.0862361215998"/>
    <m/>
    <n v="1"/>
    <s v="Sale"/>
    <x v="13"/>
    <s v="USD"/>
    <n v="39.798493975903618"/>
    <n v="1"/>
    <n v="39.798493975903618"/>
    <n v="20.926200000000001"/>
    <n v="832.83124463855438"/>
    <n v="1989.0862361215998"/>
    <n v="-1156.2549914830454"/>
    <n v="0.20547945205479451"/>
    <n v="1"/>
    <n v="-1156.2549914830454"/>
    <n v="0"/>
    <m/>
    <n v="-53.64150602409638"/>
  </r>
  <r>
    <x v="4"/>
    <s v="Purchase"/>
    <x v="81"/>
    <x v="1"/>
    <s v="USD"/>
    <d v="2021-12-23T00:00:00"/>
    <n v="376.78"/>
    <x v="1"/>
    <n v="4"/>
    <n v="94.194999999999993"/>
    <n v="1"/>
    <n v="376.78"/>
    <n v="20.782299999999999"/>
    <n v="7830.3549939999994"/>
    <n v="117.30800000000001"/>
    <n v="120.15900000000001"/>
    <n v="1.0243"/>
    <n v="8020.6326203541994"/>
    <n v="2005.1581550885498"/>
    <m/>
    <n v="4"/>
    <s v="Sale"/>
    <x v="13"/>
    <s v="USD"/>
    <n v="159.19397590361447"/>
    <n v="1"/>
    <n v="159.19397590361447"/>
    <n v="20.926200000000001"/>
    <n v="3331.3249785542175"/>
    <n v="8020.6326203541994"/>
    <n v="-4689.3076417999819"/>
    <n v="0.20547945205479451"/>
    <n v="1"/>
    <n v="-4689.3076417999819"/>
    <n v="0"/>
    <m/>
    <n v="-217.5860240963855"/>
  </r>
  <r>
    <x v="4"/>
    <s v="Purchase"/>
    <x v="81"/>
    <x v="1"/>
    <s v="USD"/>
    <d v="2021-12-23T00:00:00"/>
    <n v="553.74"/>
    <x v="1"/>
    <n v="6"/>
    <n v="92.29"/>
    <n v="1"/>
    <n v="553.74"/>
    <n v="20.782299999999999"/>
    <n v="11507.990802"/>
    <n v="117.30800000000001"/>
    <n v="120.15900000000001"/>
    <n v="1.0243"/>
    <n v="11787.634978488601"/>
    <n v="1964.6058297481002"/>
    <m/>
    <n v="6"/>
    <s v="Sale"/>
    <x v="13"/>
    <s v="USD"/>
    <n v="238.79096385542169"/>
    <n v="1"/>
    <n v="238.79096385542169"/>
    <n v="20.926200000000001"/>
    <n v="4996.9874678313254"/>
    <n v="11787.634978488601"/>
    <n v="-6790.6475106572752"/>
    <n v="0.20547945205479451"/>
    <n v="1"/>
    <n v="-6790.6475106572752"/>
    <n v="0"/>
    <m/>
    <n v="-314.94903614457832"/>
  </r>
  <r>
    <x v="4"/>
    <s v="Purchase"/>
    <x v="81"/>
    <x v="1"/>
    <s v="USD"/>
    <d v="2021-12-23T00:00:00"/>
    <n v="3060.12"/>
    <x v="1"/>
    <n v="32"/>
    <n v="95.628749999999997"/>
    <n v="1"/>
    <n v="3060.12"/>
    <n v="20.782299999999999"/>
    <n v="63596.331875999997"/>
    <n v="117.30800000000001"/>
    <n v="120.15900000000001"/>
    <n v="1.0243"/>
    <n v="65141.722740586796"/>
    <n v="2035.6788356433374"/>
    <m/>
    <n v="32"/>
    <s v="Sale"/>
    <x v="13"/>
    <s v="USD"/>
    <n v="1273.5518072289158"/>
    <n v="1"/>
    <n v="1273.5518072289158"/>
    <n v="20.926200000000001"/>
    <n v="26650.59982843374"/>
    <n v="65141.722740586796"/>
    <n v="-38491.122912153056"/>
    <n v="0.20547945205479451"/>
    <n v="1"/>
    <n v="-38491.122912153056"/>
    <n v="0"/>
    <m/>
    <n v="-1786.5681927710841"/>
  </r>
  <r>
    <x v="4"/>
    <s v="Purchase"/>
    <x v="81"/>
    <x v="1"/>
    <s v="USD"/>
    <d v="2021-12-27T00:00:00"/>
    <n v="193.99"/>
    <x v="1"/>
    <n v="2"/>
    <n v="96.995000000000005"/>
    <n v="1"/>
    <n v="193.99"/>
    <n v="20.658200000000001"/>
    <n v="4007.4842180000005"/>
    <n v="117.30800000000001"/>
    <n v="120.15900000000001"/>
    <n v="1.0243"/>
    <n v="4104.8660844974002"/>
    <n v="2052.4330422487001"/>
    <m/>
    <n v="2"/>
    <s v="Sale"/>
    <x v="13"/>
    <s v="USD"/>
    <n v="79.596987951807236"/>
    <n v="1"/>
    <n v="79.596987951807236"/>
    <n v="20.926200000000001"/>
    <n v="1665.6624892771088"/>
    <n v="4104.8660844974002"/>
    <n v="-2439.2035952202914"/>
    <n v="0.19452054794520549"/>
    <n v="1"/>
    <n v="-2439.2035952202914"/>
    <n v="0"/>
    <m/>
    <n v="-114.39301204819277"/>
  </r>
  <r>
    <x v="4"/>
    <s v="Purchase"/>
    <x v="81"/>
    <x v="1"/>
    <s v="USD"/>
    <d v="2021-12-27T00:00:00"/>
    <n v="387.98"/>
    <x v="1"/>
    <n v="4"/>
    <n v="96.995000000000005"/>
    <n v="1"/>
    <n v="387.98"/>
    <n v="20.658200000000001"/>
    <n v="8014.968436000001"/>
    <n v="117.30800000000001"/>
    <n v="120.15900000000001"/>
    <n v="1.0243"/>
    <n v="8209.7321689948003"/>
    <n v="2052.4330422487001"/>
    <m/>
    <n v="4"/>
    <s v="Sale"/>
    <x v="13"/>
    <s v="USD"/>
    <n v="159.19397590361447"/>
    <n v="1"/>
    <n v="159.19397590361447"/>
    <n v="20.926200000000001"/>
    <n v="3331.3249785542175"/>
    <n v="8209.7321689948003"/>
    <n v="-4878.4071904405828"/>
    <n v="0.19452054794520549"/>
    <n v="1"/>
    <n v="-4878.4071904405828"/>
    <n v="0"/>
    <m/>
    <n v="-228.78602409638555"/>
  </r>
  <r>
    <x v="4"/>
    <s v="Purchase"/>
    <x v="81"/>
    <x v="1"/>
    <s v="USD"/>
    <d v="2021-12-27T00:00:00"/>
    <n v="1721.4627272727273"/>
    <x v="1"/>
    <n v="18"/>
    <n v="95.636818181818185"/>
    <n v="1"/>
    <n v="1721.4627272727273"/>
    <n v="20.658200000000001"/>
    <n v="35562.321312545457"/>
    <n v="117.30800000000001"/>
    <n v="120.15900000000001"/>
    <n v="1.0243"/>
    <n v="36426.485720440309"/>
    <n v="2023.6936511355727"/>
    <m/>
    <n v="18"/>
    <s v="Sale"/>
    <x v="13"/>
    <s v="USD"/>
    <n v="716.37289156626514"/>
    <n v="1"/>
    <n v="716.37289156626514"/>
    <n v="20.926200000000001"/>
    <n v="14990.962403493979"/>
    <n v="36426.485720440309"/>
    <n v="-21435.523316946332"/>
    <n v="0.19452054794520549"/>
    <n v="1"/>
    <n v="-21435.523316946332"/>
    <n v="0"/>
    <m/>
    <n v="-1005.0898357064622"/>
  </r>
  <r>
    <x v="4"/>
    <s v="Purchase"/>
    <x v="81"/>
    <x v="1"/>
    <s v="USD"/>
    <d v="2021-12-27T00:00:00"/>
    <n v="286.91045454545457"/>
    <x v="1"/>
    <n v="3"/>
    <n v="95.636818181818185"/>
    <n v="1"/>
    <n v="286.91045454545457"/>
    <n v="20.658200000000001"/>
    <n v="5927.0535520909098"/>
    <n v="117.30800000000001"/>
    <n v="120.15900000000001"/>
    <n v="1.0243"/>
    <n v="6071.0809534067184"/>
    <n v="2023.6936511355727"/>
    <m/>
    <n v="3"/>
    <s v="Sale"/>
    <x v="13"/>
    <s v="USD"/>
    <n v="112.09"/>
    <n v="1"/>
    <n v="112.09"/>
    <n v="20.926200000000001"/>
    <n v="2345.6177580000003"/>
    <n v="6071.0809534067184"/>
    <n v="-3725.4631954067181"/>
    <n v="0.19452054794520549"/>
    <n v="1"/>
    <n v="-3725.4631954067181"/>
    <n v="0"/>
    <m/>
    <n v="-174.82045454545457"/>
  </r>
  <r>
    <x v="4"/>
    <s v="Purchase"/>
    <x v="81"/>
    <x v="1"/>
    <s v="USD"/>
    <d v="2021-12-27T00:00:00"/>
    <n v="95.636818181818185"/>
    <x v="1"/>
    <n v="1"/>
    <n v="95.636818181818185"/>
    <n v="1"/>
    <n v="95.636818181818185"/>
    <n v="20.658200000000001"/>
    <n v="1975.6845173636366"/>
    <n v="117.30800000000001"/>
    <n v="120.15900000000001"/>
    <n v="1.0243"/>
    <n v="2023.693651135573"/>
    <n v="2023.693651135573"/>
    <m/>
    <n v="1"/>
    <s v="Sale"/>
    <x v="13"/>
    <s v="USD"/>
    <n v="37.135714285714286"/>
    <n v="1"/>
    <n v="37.135714285714286"/>
    <n v="20.926200000000001"/>
    <n v="777.10938428571433"/>
    <n v="2023.693651135573"/>
    <n v="-1246.5842668498585"/>
    <n v="0.19452054794520549"/>
    <n v="1"/>
    <n v="-1246.5842668498585"/>
    <n v="0"/>
    <m/>
    <n v="-58.501103896103899"/>
  </r>
  <r>
    <x v="4"/>
    <s v="Purchase"/>
    <x v="81"/>
    <x v="1"/>
    <s v="USD"/>
    <d v="2021-12-27T00:00:00"/>
    <n v="5164.3900000000003"/>
    <x v="1"/>
    <n v="54"/>
    <n v="95.636851851851858"/>
    <n v="1"/>
    <n v="5164.3900000000003"/>
    <n v="20.658200000000001"/>
    <n v="106687.00149800001"/>
    <n v="117.30800000000001"/>
    <n v="120.15900000000001"/>
    <n v="1.0243"/>
    <n v="109279.49563440141"/>
    <n v="2023.694363600026"/>
    <m/>
    <n v="54"/>
    <s v="Sale"/>
    <x v="13"/>
    <s v="USD"/>
    <n v="2005.3285714285714"/>
    <n v="1"/>
    <n v="2005.3285714285714"/>
    <n v="20.926200000000001"/>
    <n v="41963.906751428571"/>
    <n v="109279.49563440141"/>
    <n v="-67315.588882972836"/>
    <n v="0.19452054794520549"/>
    <n v="1"/>
    <n v="-67315.588882972836"/>
    <n v="0"/>
    <m/>
    <n v="-3159.0614285714291"/>
  </r>
  <r>
    <x v="4"/>
    <s v="Purchase"/>
    <x v="81"/>
    <x v="1"/>
    <s v="USD"/>
    <d v="2022-01-05T00:00:00"/>
    <n v="599.59999999999991"/>
    <x v="1"/>
    <n v="8"/>
    <n v="74.949999999999989"/>
    <n v="1"/>
    <n v="599.59999999999991"/>
    <n v="20.588999999999999"/>
    <n v="12345.164399999998"/>
    <n v="118.002"/>
    <n v="120.15900000000001"/>
    <n v="1.0182"/>
    <n v="12569.846392079999"/>
    <n v="1571.2307990099998"/>
    <m/>
    <n v="8"/>
    <s v="Sale"/>
    <x v="13"/>
    <s v="USD"/>
    <n v="297.08571428571429"/>
    <n v="1"/>
    <n v="297.08571428571429"/>
    <n v="20.926200000000001"/>
    <n v="6216.8750742857146"/>
    <n v="12569.846392079999"/>
    <n v="-6352.971317794284"/>
    <n v="0.16986301369863013"/>
    <n v="1"/>
    <n v="-6352.971317794284"/>
    <n v="0"/>
    <m/>
    <n v="-302.51428571428562"/>
  </r>
  <r>
    <x v="4"/>
    <s v="Purchase"/>
    <x v="81"/>
    <x v="1"/>
    <s v="USD"/>
    <d v="2022-01-05T00:00:00"/>
    <n v="2098.5999999999995"/>
    <x v="1"/>
    <n v="28"/>
    <n v="74.949999999999974"/>
    <n v="1"/>
    <n v="2098.5999999999995"/>
    <n v="20.588999999999999"/>
    <n v="43208.075399999987"/>
    <n v="118.002"/>
    <n v="120.15900000000001"/>
    <n v="1.0182"/>
    <n v="43994.462372279988"/>
    <n v="1571.2307990099996"/>
    <m/>
    <n v="28"/>
    <s v="Sale"/>
    <x v="41"/>
    <s v="USD"/>
    <n v="1162.4459259259261"/>
    <n v="1"/>
    <n v="1162.4459259259261"/>
    <n v="21.194700000000001"/>
    <n v="24637.692666222225"/>
    <n v="43994.462372279988"/>
    <n v="-19356.769706057763"/>
    <n v="0.17260273972602741"/>
    <n v="1"/>
    <n v="-19356.769706057763"/>
    <n v="0"/>
    <m/>
    <n v="-936.15407407407338"/>
  </r>
  <r>
    <x v="4"/>
    <s v="Purchase"/>
    <x v="81"/>
    <x v="1"/>
    <s v="USD"/>
    <d v="2022-01-05T00:00:00"/>
    <n v="1929.3964444444446"/>
    <x v="1"/>
    <n v="26"/>
    <n v="74.207555555555558"/>
    <n v="1"/>
    <n v="1929.3964444444446"/>
    <n v="20.588999999999999"/>
    <n v="39724.34339466667"/>
    <n v="118.002"/>
    <n v="120.15900000000001"/>
    <n v="1.0182"/>
    <n v="40447.326444449602"/>
    <n v="1555.6664017096"/>
    <m/>
    <n v="26"/>
    <s v="Sale"/>
    <x v="41"/>
    <s v="USD"/>
    <n v="1079.4140740740741"/>
    <n v="1"/>
    <n v="1079.4140740740741"/>
    <n v="21.194700000000001"/>
    <n v="22877.857475777779"/>
    <n v="40447.326444449602"/>
    <n v="-17569.468968671823"/>
    <n v="0.17260273972602741"/>
    <n v="1"/>
    <n v="-17569.468968671823"/>
    <n v="0"/>
    <m/>
    <n v="-849.98237037037052"/>
  </r>
  <r>
    <x v="4"/>
    <s v="Purchase"/>
    <x v="81"/>
    <x v="1"/>
    <s v="USD"/>
    <d v="2022-01-05T00:00:00"/>
    <n v="1409.9435555555556"/>
    <x v="1"/>
    <n v="19"/>
    <n v="74.207555555555558"/>
    <n v="1"/>
    <n v="1409.9435555555556"/>
    <n v="20.588999999999999"/>
    <n v="29029.327865333333"/>
    <n v="118.002"/>
    <n v="120.15900000000001"/>
    <n v="1.0182"/>
    <n v="29557.661632482399"/>
    <n v="1555.6664017096"/>
    <m/>
    <n v="19"/>
    <s v="Sale"/>
    <x v="74"/>
    <s v="USD"/>
    <n v="744.25590909090909"/>
    <n v="1"/>
    <n v="744.25590909090909"/>
    <n v="21.377500000000001"/>
    <n v="15910.330696590911"/>
    <n v="29557.661632482399"/>
    <n v="-13647.330935891488"/>
    <n v="0.17534246575342466"/>
    <n v="1"/>
    <n v="-13647.330935891488"/>
    <n v="0"/>
    <m/>
    <n v="-665.68764646464649"/>
  </r>
  <r>
    <x v="4"/>
    <s v="Purchase"/>
    <x v="81"/>
    <x v="1"/>
    <s v="USD"/>
    <d v="2022-01-20T00:00:00"/>
    <n v="184.00071428571428"/>
    <x v="1"/>
    <n v="3"/>
    <n v="61.333571428571425"/>
    <n v="1"/>
    <n v="184.00071428571428"/>
    <n v="20.402999999999999"/>
    <n v="3754.1665735714282"/>
    <n v="118.002"/>
    <n v="120.15900000000001"/>
    <n v="1.0182"/>
    <n v="3822.4924052104284"/>
    <n v="1274.1641350701427"/>
    <m/>
    <n v="3"/>
    <s v="Sale"/>
    <x v="74"/>
    <s v="USD"/>
    <n v="117.51409090909091"/>
    <n v="1"/>
    <n v="117.51409090909091"/>
    <n v="21.377500000000001"/>
    <n v="2512.1574784090913"/>
    <n v="3822.4924052104279"/>
    <n v="-1310.3349268013367"/>
    <n v="0.13424657534246576"/>
    <n v="1"/>
    <n v="-1310.3349268013367"/>
    <n v="0"/>
    <m/>
    <n v="-66.486623376623371"/>
  </r>
  <r>
    <x v="4"/>
    <s v="Purchase"/>
    <x v="81"/>
    <x v="1"/>
    <s v="USD"/>
    <d v="2022-01-20T00:00:00"/>
    <n v="306.66785714285714"/>
    <x v="1"/>
    <n v="5"/>
    <n v="61.333571428571432"/>
    <n v="1"/>
    <n v="306.66785714285714"/>
    <n v="20.402999999999999"/>
    <n v="6256.9442892857141"/>
    <n v="118.002"/>
    <n v="120.15900000000001"/>
    <n v="1.0182"/>
    <n v="6370.8206753507138"/>
    <n v="1274.1641350701427"/>
    <m/>
    <n v="5"/>
    <s v="Sale"/>
    <x v="74"/>
    <s v="USD"/>
    <n v="194.53"/>
    <n v="1"/>
    <n v="194.53"/>
    <n v="21.377500000000001"/>
    <n v="4158.5650750000004"/>
    <n v="6370.8206753507138"/>
    <n v="-2212.2556003507134"/>
    <n v="0.13424657534246576"/>
    <n v="1"/>
    <n v="-2212.2556003507134"/>
    <n v="0"/>
    <m/>
    <n v="-112.13785714285714"/>
  </r>
  <r>
    <x v="4"/>
    <s v="Purchase"/>
    <x v="81"/>
    <x v="1"/>
    <s v="USD"/>
    <d v="2022-01-20T00:00:00"/>
    <n v="368.00142857142856"/>
    <x v="1"/>
    <n v="6"/>
    <n v="61.333571428571425"/>
    <n v="1"/>
    <n v="368.00142857142856"/>
    <n v="20.402999999999999"/>
    <n v="7508.3331471428564"/>
    <n v="118.002"/>
    <n v="120.15900000000001"/>
    <n v="1.0182"/>
    <n v="7644.9848104208568"/>
    <n v="1274.1641350701427"/>
    <m/>
    <n v="6"/>
    <s v="Sale"/>
    <x v="74"/>
    <s v="USD"/>
    <n v="227.64794117647062"/>
    <n v="1"/>
    <n v="227.64794117647062"/>
    <n v="21.377500000000001"/>
    <n v="4866.5438625000006"/>
    <n v="7644.9848104208559"/>
    <n v="-2778.4409479208553"/>
    <n v="0.13424657534246576"/>
    <n v="1"/>
    <n v="-2778.4409479208553"/>
    <n v="0"/>
    <m/>
    <n v="-140.35348739495794"/>
  </r>
  <r>
    <x v="4"/>
    <s v="Purchase"/>
    <x v="81"/>
    <x v="1"/>
    <s v="USD"/>
    <d v="2022-01-20T00:00:00"/>
    <n v="3302.06"/>
    <x v="1"/>
    <n v="53"/>
    <n v="62.303018867924528"/>
    <n v="1"/>
    <n v="3302.06"/>
    <n v="20.402999999999999"/>
    <n v="67371.930179999996"/>
    <n v="118.002"/>
    <n v="120.15900000000001"/>
    <n v="1.0182"/>
    <n v="68598.099309275989"/>
    <n v="1294.3037605523771"/>
    <m/>
    <n v="53"/>
    <s v="Sale"/>
    <x v="74"/>
    <s v="USD"/>
    <n v="2010.8901470588237"/>
    <n v="1"/>
    <n v="2010.8901470588237"/>
    <n v="21.377500000000001"/>
    <n v="42987.804118750006"/>
    <n v="68598.099309275989"/>
    <n v="-25610.295190525983"/>
    <n v="0.13424657534246576"/>
    <n v="1"/>
    <n v="-25610.295190525983"/>
    <n v="0"/>
    <m/>
    <n v="-1291.1698529411763"/>
  </r>
  <r>
    <x v="4"/>
    <s v="Purchase"/>
    <x v="81"/>
    <x v="1"/>
    <s v="USD"/>
    <d v="2022-01-20T00:00:00"/>
    <n v="570.24"/>
    <x v="1"/>
    <n v="9"/>
    <n v="63.36"/>
    <n v="1"/>
    <n v="570.24"/>
    <n v="20.402999999999999"/>
    <n v="11634.60672"/>
    <n v="118.002"/>
    <n v="120.15900000000001"/>
    <n v="1.0182"/>
    <n v="11846.356562303999"/>
    <n v="1316.2618402559999"/>
    <m/>
    <n v="9"/>
    <s v="Sale"/>
    <x v="74"/>
    <s v="USD"/>
    <n v="341.47191176470591"/>
    <n v="1"/>
    <n v="341.47191176470591"/>
    <n v="21.377500000000001"/>
    <n v="7299.8157937500009"/>
    <n v="11846.356562303999"/>
    <n v="-4546.5407685539985"/>
    <n v="0.13424657534246576"/>
    <n v="1"/>
    <n v="-4546.5407685539985"/>
    <n v="0"/>
    <m/>
    <n v="-228.7680882352941"/>
  </r>
  <r>
    <x v="4"/>
    <s v="Purchase"/>
    <x v="82"/>
    <x v="2"/>
    <s v="USD"/>
    <d v="2021-12-20T00:00:00"/>
    <n v="1372.16"/>
    <x v="2"/>
    <n v="10"/>
    <n v="137.21600000000001"/>
    <n v="1"/>
    <n v="1372.16"/>
    <n v="20.9238"/>
    <n v="28710.801408000003"/>
    <n v="117.30800000000001"/>
    <n v="117.30800000000001"/>
    <n v="1"/>
    <n v="28710.801408000003"/>
    <n v="2871.0801408000002"/>
    <m/>
    <n v="10"/>
    <s v="Sale"/>
    <x v="28"/>
    <s v="USD"/>
    <n v="941.98922155688615"/>
    <n v="1"/>
    <n v="941.98922155688615"/>
    <n v="20.641500000000001"/>
    <n v="19444.070516766467"/>
    <n v="28710.801408000003"/>
    <n v="-9266.7308912335357"/>
    <n v="0.10684931506849316"/>
    <n v="1"/>
    <n v="-9266.7308912335357"/>
    <n v="0"/>
    <m/>
    <n v="-430.17077844311393"/>
  </r>
  <r>
    <x v="4"/>
    <s v="Purchase"/>
    <x v="82"/>
    <x v="2"/>
    <s v="USD"/>
    <d v="2021-12-20T00:00:00"/>
    <n v="9784.94"/>
    <x v="2"/>
    <n v="71"/>
    <n v="137.81605633802818"/>
    <n v="1"/>
    <n v="9784.94"/>
    <n v="20.9238"/>
    <n v="204738.127572"/>
    <n v="117.30800000000001"/>
    <n v="117.30800000000001"/>
    <n v="1"/>
    <n v="204738.127572"/>
    <n v="2883.6355996056336"/>
    <m/>
    <n v="71"/>
    <s v="Sale"/>
    <x v="28"/>
    <s v="USD"/>
    <n v="6688.1234730538918"/>
    <n v="1"/>
    <n v="6688.1234730538918"/>
    <n v="20.641500000000001"/>
    <n v="138052.9006690419"/>
    <n v="204738.127572"/>
    <n v="-66685.226902958093"/>
    <n v="0.10684931506849316"/>
    <n v="1"/>
    <n v="-66685.226902958093"/>
    <n v="0"/>
    <m/>
    <n v="-3096.8165269461088"/>
  </r>
  <r>
    <x v="4"/>
    <s v="Purchase"/>
    <x v="82"/>
    <x v="2"/>
    <s v="USD"/>
    <d v="2021-12-23T00:00:00"/>
    <n v="5825.08"/>
    <x v="2"/>
    <n v="40"/>
    <n v="145.62700000000001"/>
    <n v="1"/>
    <n v="5825.08"/>
    <n v="20.782299999999999"/>
    <n v="121058.560084"/>
    <n v="117.30800000000001"/>
    <n v="117.30800000000001"/>
    <n v="1"/>
    <n v="121058.560084"/>
    <n v="3026.4640021"/>
    <m/>
    <n v="40"/>
    <s v="Sale"/>
    <x v="28"/>
    <s v="USD"/>
    <n v="3767.9568862275446"/>
    <n v="1"/>
    <n v="3767.9568862275446"/>
    <n v="20.641500000000001"/>
    <n v="77776.282067065869"/>
    <n v="121058.560084"/>
    <n v="-43282.278016934128"/>
    <n v="9.8630136986301367E-2"/>
    <n v="1"/>
    <n v="-43282.278016934128"/>
    <n v="0"/>
    <m/>
    <n v="-2057.1231137724553"/>
  </r>
  <r>
    <x v="4"/>
    <s v="Purchase"/>
    <x v="82"/>
    <x v="2"/>
    <s v="USD"/>
    <d v="2021-12-27T00:00:00"/>
    <n v="6035.93"/>
    <x v="2"/>
    <n v="41"/>
    <n v="147.21780487804878"/>
    <n v="1"/>
    <n v="6035.93"/>
    <n v="20.658200000000001"/>
    <n v="124691.44912600001"/>
    <n v="117.30800000000001"/>
    <n v="117.30800000000001"/>
    <n v="1"/>
    <n v="124691.44912600001"/>
    <n v="3041.2548567317076"/>
    <m/>
    <n v="41"/>
    <s v="Sale"/>
    <x v="28"/>
    <s v="USD"/>
    <n v="3862.1558083832333"/>
    <n v="1"/>
    <n v="3862.1558083832333"/>
    <n v="20.641500000000001"/>
    <n v="79720.689118742506"/>
    <n v="124691.44912600001"/>
    <n v="-44970.760007257501"/>
    <n v="8.7671232876712329E-2"/>
    <n v="1"/>
    <n v="-44970.760007257501"/>
    <n v="0"/>
    <m/>
    <n v="-2173.774191616767"/>
  </r>
  <r>
    <x v="4"/>
    <s v="Purchase"/>
    <x v="82"/>
    <x v="2"/>
    <s v="USD"/>
    <d v="2021-12-29T00:00:00"/>
    <n v="719.25666666666666"/>
    <x v="2"/>
    <n v="5"/>
    <n v="143.85133333333334"/>
    <n v="1"/>
    <n v="719.25666666666666"/>
    <n v="20.6828"/>
    <n v="14876.241785333334"/>
    <n v="117.30800000000001"/>
    <n v="117.30800000000001"/>
    <n v="1"/>
    <n v="14876.241785333334"/>
    <n v="2975.2483570666668"/>
    <m/>
    <n v="5"/>
    <s v="Sale"/>
    <x v="28"/>
    <s v="USD"/>
    <n v="470.99461077844308"/>
    <n v="1"/>
    <n v="470.99461077844308"/>
    <n v="20.641500000000001"/>
    <n v="9722.0352583832337"/>
    <n v="14876.241785333334"/>
    <n v="-5154.2065269500999"/>
    <n v="8.2191780821917804E-2"/>
    <n v="1"/>
    <n v="-5154.2065269500999"/>
    <n v="0"/>
    <m/>
    <n v="-248.26205588822359"/>
  </r>
  <r>
    <x v="4"/>
    <s v="Purchase"/>
    <x v="82"/>
    <x v="2"/>
    <s v="USD"/>
    <d v="2021-12-29T00:00:00"/>
    <n v="7911.8233333333337"/>
    <x v="2"/>
    <n v="55"/>
    <n v="143.85133333333334"/>
    <n v="1"/>
    <n v="7911.8233333333337"/>
    <n v="20.6828"/>
    <n v="163638.65963866666"/>
    <n v="117.30800000000001"/>
    <n v="117.30800000000001"/>
    <n v="1"/>
    <n v="163638.65963866666"/>
    <n v="2975.2483570666668"/>
    <m/>
    <n v="55"/>
    <s v="Sale"/>
    <x v="28"/>
    <s v="USD"/>
    <n v="5172.1011235955057"/>
    <n v="1"/>
    <n v="5172.1011235955057"/>
    <n v="20.641500000000001"/>
    <n v="106759.92534269663"/>
    <n v="163638.65963866666"/>
    <n v="-56878.734295970033"/>
    <n v="8.2191780821917804E-2"/>
    <n v="1"/>
    <n v="-56878.734295970033"/>
    <n v="0"/>
    <m/>
    <n v="-2739.7222097378281"/>
  </r>
  <r>
    <x v="4"/>
    <s v="Purchase"/>
    <x v="82"/>
    <x v="2"/>
    <s v="USD"/>
    <d v="2022-01-03T00:00:00"/>
    <n v="6098.5099999999993"/>
    <x v="2"/>
    <n v="44"/>
    <n v="138.60249999999999"/>
    <n v="1"/>
    <n v="6098.5099999999993"/>
    <n v="20.515699999999999"/>
    <n v="125115.20160699998"/>
    <n v="118.002"/>
    <n v="117.30800000000001"/>
    <n v="1"/>
    <n v="125115.20160699998"/>
    <n v="2843.5273092499997"/>
    <m/>
    <n v="44"/>
    <s v="Sale"/>
    <x v="28"/>
    <s v="USD"/>
    <n v="4137.6808988764042"/>
    <n v="1"/>
    <n v="4137.6808988764042"/>
    <n v="20.641500000000001"/>
    <n v="85407.940274157299"/>
    <n v="125115.20160699998"/>
    <n v="-39707.261332842681"/>
    <n v="6.8493150684931503E-2"/>
    <n v="1"/>
    <n v="-39707.261332842681"/>
    <n v="0"/>
    <m/>
    <n v="-1960.8291011235951"/>
  </r>
  <r>
    <x v="4"/>
    <s v="Purchase"/>
    <x v="82"/>
    <x v="2"/>
    <s v="USD"/>
    <d v="2022-01-12T00:00:00"/>
    <n v="5018.2299999999996"/>
    <x v="2"/>
    <n v="39"/>
    <n v="128.67256410256408"/>
    <n v="1"/>
    <n v="5018.2299999999996"/>
    <n v="20.4453"/>
    <n v="102599.21781899998"/>
    <n v="118.002"/>
    <n v="117.30800000000001"/>
    <n v="1"/>
    <n v="102599.21781899998"/>
    <n v="2630.7491748461534"/>
    <m/>
    <n v="39"/>
    <s v="Sale"/>
    <x v="28"/>
    <s v="USD"/>
    <n v="3667.4898876404495"/>
    <n v="1"/>
    <n v="3667.4898876404495"/>
    <n v="20.641500000000001"/>
    <n v="75702.492515730337"/>
    <n v="102599.21781899998"/>
    <n v="-26896.725303269646"/>
    <n v="4.3835616438356165E-2"/>
    <n v="1"/>
    <n v="-26896.725303269646"/>
    <n v="0"/>
    <m/>
    <n v="-1350.74011235955"/>
  </r>
  <r>
    <x v="4"/>
    <s v="Purchase"/>
    <x v="82"/>
    <x v="2"/>
    <s v="USD"/>
    <d v="2022-01-20T00:00:00"/>
    <n v="4718.1000000000004"/>
    <x v="2"/>
    <n v="40"/>
    <n v="117.95250000000001"/>
    <n v="1"/>
    <n v="4718.1000000000004"/>
    <n v="20.402999999999999"/>
    <n v="96263.3943"/>
    <n v="118.002"/>
    <n v="117.30800000000001"/>
    <n v="1"/>
    <n v="96263.3943"/>
    <n v="2406.5848575"/>
    <m/>
    <n v="40"/>
    <s v="Sale"/>
    <x v="28"/>
    <s v="USD"/>
    <n v="3761.5280898876404"/>
    <n v="1"/>
    <n v="3761.5280898876404"/>
    <n v="20.641500000000001"/>
    <n v="77643.582067415729"/>
    <n v="96263.3943"/>
    <n v="-18619.812232584271"/>
    <n v="2.1917808219178082E-2"/>
    <n v="1"/>
    <n v="-18619.812232584271"/>
    <n v="0"/>
    <m/>
    <n v="-956.57191011236"/>
  </r>
  <r>
    <x v="4"/>
    <s v="Purchase"/>
    <x v="83"/>
    <x v="2"/>
    <s v="USD"/>
    <d v="2022-01-31T00:00:00"/>
    <n v="15186.91"/>
    <x v="2"/>
    <n v="36"/>
    <n v="421.85861111111109"/>
    <n v="1"/>
    <n v="15186.91"/>
    <n v="20.738299999999999"/>
    <n v="314950.69565299997"/>
    <n v="118.002"/>
    <n v="120.15900000000001"/>
    <n v="1.0182"/>
    <n v="320682.79831388459"/>
    <n v="8907.8555087190161"/>
    <m/>
    <n v="36"/>
    <s v="Sale"/>
    <x v="67"/>
    <s v="USD"/>
    <n v="7804.329504950495"/>
    <n v="1"/>
    <n v="7804.329504950495"/>
    <n v="19.9377"/>
    <n v="155600.38037085149"/>
    <n v="320682.79831388459"/>
    <n v="-165082.4179430331"/>
    <n v="0.21643835616438356"/>
    <n v="1"/>
    <n v="-165082.4179430331"/>
    <n v="0"/>
    <m/>
    <n v="-7382.5804950495049"/>
  </r>
  <r>
    <x v="4"/>
    <s v="Purchase"/>
    <x v="83"/>
    <x v="2"/>
    <s v="USD"/>
    <d v="2022-01-31T00:00:00"/>
    <n v="16808.14"/>
    <x v="2"/>
    <n v="40"/>
    <n v="420.20349999999996"/>
    <n v="1"/>
    <n v="16808.14"/>
    <n v="20.738299999999999"/>
    <n v="348572.24976199999"/>
    <n v="118.002"/>
    <n v="120.15900000000001"/>
    <n v="1.0182"/>
    <n v="354916.26470766839"/>
    <n v="8872.9066176917095"/>
    <m/>
    <n v="40"/>
    <s v="Sale"/>
    <x v="67"/>
    <s v="USD"/>
    <n v="8671.477227722773"/>
    <n v="1"/>
    <n v="8671.477227722773"/>
    <n v="19.9377"/>
    <n v="172889.31152316832"/>
    <n v="354916.26470766839"/>
    <n v="-182026.95318450007"/>
    <n v="0.21643835616438356"/>
    <n v="1"/>
    <n v="-182026.95318450007"/>
    <n v="0"/>
    <m/>
    <n v="-8136.6627722772264"/>
  </r>
  <r>
    <x v="4"/>
    <s v="Purchase"/>
    <x v="83"/>
    <x v="2"/>
    <s v="USD"/>
    <d v="2022-01-31T00:00:00"/>
    <n v="2105.3200000000002"/>
    <x v="2"/>
    <n v="5"/>
    <n v="421.06400000000002"/>
    <n v="1"/>
    <n v="2105.3200000000002"/>
    <n v="20.738299999999999"/>
    <n v="43660.757755999999"/>
    <n v="118.002"/>
    <n v="120.15900000000001"/>
    <n v="1.0182"/>
    <n v="44455.383547159196"/>
    <n v="8891.0767094318398"/>
    <m/>
    <n v="5"/>
    <s v="Sale"/>
    <x v="67"/>
    <s v="USD"/>
    <n v="1083.9346534653466"/>
    <n v="1"/>
    <n v="1083.9346534653466"/>
    <n v="19.9377"/>
    <n v="21611.16394039604"/>
    <n v="44455.383547159203"/>
    <n v="-22844.219606763163"/>
    <n v="0.21643835616438356"/>
    <n v="1"/>
    <n v="-22844.219606763163"/>
    <n v="0"/>
    <m/>
    <n v="-1021.3853465346535"/>
  </r>
  <r>
    <x v="4"/>
    <s v="Purchase"/>
    <x v="83"/>
    <x v="2"/>
    <s v="USD"/>
    <d v="2022-02-02T00:00:00"/>
    <n v="8656.68"/>
    <x v="2"/>
    <n v="20"/>
    <n v="432.834"/>
    <n v="1"/>
    <n v="8656.68"/>
    <n v="20.635200000000001"/>
    <n v="178632.32313600002"/>
    <n v="118.98099999999999"/>
    <n v="120.15900000000001"/>
    <n v="1.0099"/>
    <n v="180400.78313504643"/>
    <n v="9020.039156752322"/>
    <m/>
    <n v="20"/>
    <s v="Sale"/>
    <x v="67"/>
    <s v="USD"/>
    <n v="4335.7386138613865"/>
    <n v="1"/>
    <n v="4335.7386138613865"/>
    <n v="19.9377"/>
    <n v="86444.655761584159"/>
    <n v="180400.78313504643"/>
    <n v="-93956.127373462266"/>
    <n v="0.21095890410958903"/>
    <n v="1"/>
    <n v="-93956.127373462266"/>
    <n v="0"/>
    <m/>
    <n v="-4320.9413861386138"/>
  </r>
  <r>
    <x v="0"/>
    <m/>
    <x v="0"/>
    <x v="0"/>
    <m/>
    <m/>
    <m/>
    <x v="0"/>
    <n v="0"/>
    <n v="0"/>
    <n v="0"/>
    <n v="0"/>
    <n v="0"/>
    <n v="0"/>
    <n v="0"/>
    <n v="0"/>
    <n v="0"/>
    <n v="0"/>
    <n v="0"/>
    <m/>
    <m/>
    <m/>
    <x v="0"/>
    <m/>
    <m/>
    <n v="0"/>
    <n v="0"/>
    <n v="0"/>
    <n v="0"/>
    <n v="0"/>
    <n v="0"/>
    <n v="0"/>
    <n v="1"/>
    <n v="0"/>
    <n v="0"/>
    <m/>
    <n v="0"/>
  </r>
  <r>
    <x v="5"/>
    <s v="Purchase"/>
    <x v="84"/>
    <x v="2"/>
    <s v="MXN"/>
    <d v="2020-10-19T00:00:00"/>
    <n v="3044487.8936550836"/>
    <x v="2"/>
    <n v="2691"/>
    <n v="1131.3593064493064"/>
    <n v="4.676568521081971E-2"/>
    <n v="142377.56246282518"/>
    <n v="21.383199999999999"/>
    <n v="3044487.8936550831"/>
    <n v="108.774"/>
    <n v="120.809"/>
    <n v="1.1106"/>
    <n v="3381208.2546933354"/>
    <n v="1256.4876457425996"/>
    <m/>
    <n v="2691"/>
    <s v="Sale"/>
    <x v="75"/>
    <s v="MXN"/>
    <n v="2719267.77"/>
    <n v="4.9001592551757935E-2"/>
    <n v="133248.4513046674"/>
    <n v="20.407499999999999"/>
    <n v="2719267.7699999996"/>
    <n v="3381208.2546933354"/>
    <n v="-661940.48469333583"/>
    <n v="1.5397260273972602"/>
    <n v="1"/>
    <n v="-661940.48469333583"/>
    <n v="0"/>
    <m/>
    <n v="-9129.1111581577861"/>
  </r>
  <r>
    <x v="5"/>
    <s v="Purchase"/>
    <x v="85"/>
    <x v="2"/>
    <s v="MXN"/>
    <d v="2018-12-14T00:00:00"/>
    <n v="6917081.0616542399"/>
    <x v="2"/>
    <n v="6556"/>
    <n v="1055.0764279521416"/>
    <n v="4.9288034343902325E-2"/>
    <n v="340929.32892637054"/>
    <n v="20.288900000000002"/>
    <n v="6917081.0616542399"/>
    <n v="103.02"/>
    <n v="118.002"/>
    <n v="1.1454"/>
    <n v="7922824.6480187662"/>
    <n v="1208.4845405763829"/>
    <m/>
    <n v="6556"/>
    <s v="Sale"/>
    <x v="69"/>
    <s v="MXN"/>
    <n v="10135681.261487681"/>
    <n v="4.7939327986500288E-2"/>
    <n v="485897.74836108292"/>
    <n v="20.8597"/>
    <n v="10135681.261487681"/>
    <n v="7922824.6480187662"/>
    <n v="2212856.6134689152"/>
    <n v="3.1369863013698631"/>
    <n v="1"/>
    <n v="2212856.6134689152"/>
    <n v="0"/>
    <m/>
    <n v="144968.41943471238"/>
  </r>
  <r>
    <x v="5"/>
    <s v="Purchase"/>
    <x v="85"/>
    <x v="2"/>
    <s v="MXN"/>
    <d v="2019-10-29T00:00:00"/>
    <n v="2335356.59"/>
    <x v="2"/>
    <n v="2044"/>
    <n v="1142.5423630136986"/>
    <n v="5.2405408238130176E-2"/>
    <n v="122385.31548055759"/>
    <n v="19.082000000000001"/>
    <n v="2335356.59"/>
    <n v="104.503"/>
    <n v="118.002"/>
    <n v="1.1291"/>
    <n v="2636851.125769"/>
    <n v="1290.0445820787672"/>
    <m/>
    <n v="2044"/>
    <s v="Sale"/>
    <x v="69"/>
    <s v="MXN"/>
    <n v="3160056.8179500946"/>
    <n v="4.7939327986500288E-2"/>
    <n v="151491.00025168603"/>
    <n v="20.8597"/>
    <n v="3160056.8179500951"/>
    <n v="2636851.125769"/>
    <n v="523205.69218109502"/>
    <n v="2.2630136986301368"/>
    <n v="1"/>
    <n v="523205.69218109502"/>
    <n v="0"/>
    <m/>
    <n v="29105.684771128435"/>
  </r>
  <r>
    <x v="5"/>
    <s v="Purchase"/>
    <x v="85"/>
    <x v="2"/>
    <s v="MXN"/>
    <d v="2020-04-16T00:00:00"/>
    <n v="2672527.52"/>
    <x v="2"/>
    <n v="2300"/>
    <n v="1161.9684869565217"/>
    <n v="4.2436716246896815E-2"/>
    <n v="113413.29202826285"/>
    <n v="23.564499999999999"/>
    <n v="2672527.5199999996"/>
    <n v="105.755"/>
    <n v="118.002"/>
    <n v="1.1157999999999999"/>
    <n v="2982006.2068159995"/>
    <n v="1296.5244377460867"/>
    <m/>
    <n v="2300"/>
    <s v="Sale"/>
    <x v="69"/>
    <s v="MXN"/>
    <n v="3555836.9282217305"/>
    <n v="4.7939327986500288E-2"/>
    <n v="170464.43276853123"/>
    <n v="20.8597"/>
    <n v="3555836.928221731"/>
    <n v="2982006.2068159995"/>
    <n v="573830.72140573151"/>
    <n v="1.7972602739726027"/>
    <n v="1"/>
    <n v="573830.72140573151"/>
    <n v="0"/>
    <m/>
    <n v="57051.140740268384"/>
  </r>
  <r>
    <x v="5"/>
    <s v="Purchase"/>
    <x v="85"/>
    <x v="2"/>
    <s v="MXN"/>
    <d v="2020-06-05T00:00:00"/>
    <n v="2049712.4109913043"/>
    <x v="2"/>
    <n v="1764"/>
    <n v="1161.9684869565217"/>
    <n v="4.6287081738357647E-2"/>
    <n v="94875.205907680633"/>
    <n v="21.604299999999999"/>
    <n v="2049712.4109913046"/>
    <n v="106.74299999999999"/>
    <n v="118.002"/>
    <n v="1.1053999999999999"/>
    <n v="2265752.099109788"/>
    <n v="1284.4399654817391"/>
    <m/>
    <n v="1764"/>
    <s v="Sale"/>
    <x v="69"/>
    <s v="MXN"/>
    <n v="2727172.3223404926"/>
    <n v="4.7939327986500288E-2"/>
    <n v="130738.80843638656"/>
    <n v="20.8597"/>
    <n v="2727172.3223404926"/>
    <n v="2265752.099109788"/>
    <n v="461420.22323070467"/>
    <n v="1.6602739726027398"/>
    <n v="1"/>
    <n v="461420.22323070467"/>
    <n v="0"/>
    <m/>
    <n v="35863.602528705931"/>
  </r>
  <r>
    <x v="5"/>
    <s v="Purchase"/>
    <x v="86"/>
    <x v="2"/>
    <s v="MXN"/>
    <d v="2018-01-03T00:00:00"/>
    <n v="3159668.4962039096"/>
    <x v="2"/>
    <n v="626"/>
    <n v="5047.3937639040087"/>
    <n v="5.0857198073529335E-2"/>
    <n v="160691.8865581328"/>
    <n v="19.6629"/>
    <n v="3159668.4962039096"/>
    <n v="98.794999699501005"/>
    <n v="118.002"/>
    <n v="1.1943999999999999"/>
    <n v="3773908.0518659493"/>
    <n v="6028.6071116069479"/>
    <m/>
    <n v="626"/>
    <s v="Sale"/>
    <x v="69"/>
    <s v="MXN"/>
    <n v="5914751.3600000003"/>
    <n v="4.7939327986500288E-2"/>
    <n v="283549.20540563867"/>
    <n v="20.8597"/>
    <n v="5914751.3600000013"/>
    <n v="3773908.0518659493"/>
    <n v="2140843.308134052"/>
    <n v="4.0821917808219181"/>
    <n v="1"/>
    <n v="2140843.308134052"/>
    <n v="0"/>
    <m/>
    <n v="122857.31884750587"/>
  </r>
  <r>
    <x v="5"/>
    <s v="Purchase"/>
    <x v="87"/>
    <x v="2"/>
    <s v="MXN"/>
    <d v="2018-02-28T00:00:00"/>
    <n v="580283.94273609284"/>
    <x v="2"/>
    <n v="3657"/>
    <n v="158.67758893521815"/>
    <n v="5.3631956064701586E-2"/>
    <n v="31121.762921873942"/>
    <n v="18.645600000000002"/>
    <n v="580283.94273609284"/>
    <n v="99.171374481640001"/>
    <n v="118.002"/>
    <n v="1.1898"/>
    <n v="690421.83506740327"/>
    <n v="188.79459531512259"/>
    <m/>
    <n v="3657"/>
    <s v="Sale"/>
    <x v="20"/>
    <s v="MXN"/>
    <n v="1540634.04"/>
    <n v="4.8460882375746292E-2"/>
    <n v="74660.484996510815"/>
    <n v="20.635200000000001"/>
    <n v="1540634.04"/>
    <n v="690421.83506740327"/>
    <n v="850212.20493259677"/>
    <n v="3.9315068493150687"/>
    <n v="1"/>
    <n v="850212.20493259677"/>
    <n v="0"/>
    <m/>
    <n v="43538.722074636869"/>
  </r>
  <r>
    <x v="5"/>
    <s v="Purchase"/>
    <x v="88"/>
    <x v="2"/>
    <s v="MXN"/>
    <d v="2021-01-21T00:00:00"/>
    <n v="4885645.1357849203"/>
    <x v="2"/>
    <n v="1433"/>
    <n v="3409.3825092707052"/>
    <n v="5.081610667317113E-2"/>
    <n v="248269.46438730616"/>
    <n v="19.678799999999999"/>
    <n v="4885645.1357849203"/>
    <n v="110.21"/>
    <n v="120.809"/>
    <n v="1.0961000000000001"/>
    <n v="5355155.6333338516"/>
    <n v="3737.0241684116199"/>
    <m/>
    <n v="1433"/>
    <s v="Sale"/>
    <x v="75"/>
    <s v="MXN"/>
    <n v="4182376.2300000004"/>
    <n v="4.9001592551757935E-2"/>
    <n v="204943.09592061746"/>
    <n v="20.407499999999999"/>
    <n v="4182376.2300000004"/>
    <n v="5355155.6333338516"/>
    <n v="-1172779.4033338511"/>
    <n v="1.2821917808219179"/>
    <n v="1"/>
    <n v="-1172779.4033338511"/>
    <n v="0"/>
    <m/>
    <n v="-43326.368466688698"/>
  </r>
  <r>
    <x v="5"/>
    <s v="Purchase"/>
    <x v="89"/>
    <x v="2"/>
    <s v="MXN"/>
    <d v="2020-02-07T00:00:00"/>
    <n v="720679.41905280913"/>
    <x v="2"/>
    <n v="604"/>
    <n v="1193.1778461139224"/>
    <n v="5.3692716582995514E-2"/>
    <n v="38695.235794400338"/>
    <n v="18.624500000000001"/>
    <n v="720679.41905280913"/>
    <n v="106.889"/>
    <n v="118.002"/>
    <n v="1.1039000000000001"/>
    <n v="795558.01069239608"/>
    <n v="1317.1490243251592"/>
    <m/>
    <n v="604"/>
    <s v="Sale"/>
    <x v="69"/>
    <s v="MXN"/>
    <n v="916301.06747474754"/>
    <n v="4.7939327986500288E-2"/>
    <n v="43926.857408052252"/>
    <n v="20.8597"/>
    <n v="916301.06747474754"/>
    <n v="795558.0106923962"/>
    <n v="120743.05678235134"/>
    <n v="1.9863013698630136"/>
    <n v="1"/>
    <n v="120743.05678235134"/>
    <n v="0"/>
    <m/>
    <n v="5231.6216136519142"/>
  </r>
  <r>
    <x v="5"/>
    <s v="Purchase"/>
    <x v="89"/>
    <x v="2"/>
    <s v="MXN"/>
    <d v="2020-06-12T00:00:00"/>
    <n v="4732665.82"/>
    <x v="2"/>
    <n v="4415"/>
    <n v="1071.9514881087202"/>
    <n v="4.5614195137526799E-2"/>
    <n v="215876.7422341833"/>
    <n v="21.922999999999998"/>
    <n v="4732665.82"/>
    <n v="106.74299999999999"/>
    <n v="118.002"/>
    <n v="1.1053999999999999"/>
    <n v="5231488.7974279998"/>
    <n v="1184.9351749553794"/>
    <m/>
    <n v="4415"/>
    <s v="Sale"/>
    <x v="69"/>
    <s v="MXN"/>
    <n v="6697796.7101010103"/>
    <n v="4.7939327986500288E-2"/>
    <n v="321087.87327243492"/>
    <n v="20.8597"/>
    <n v="6697796.7101010112"/>
    <n v="5231488.7974279998"/>
    <n v="1466307.9126730114"/>
    <n v="1.6410958904109589"/>
    <n v="1"/>
    <n v="1466307.9126730114"/>
    <n v="0"/>
    <m/>
    <n v="105211.13103825162"/>
  </r>
  <r>
    <x v="5"/>
    <s v="Purchase"/>
    <x v="89"/>
    <x v="2"/>
    <s v="MXN"/>
    <d v="2020-12-11T00:00:00"/>
    <n v="606430.87491124263"/>
    <x v="2"/>
    <n v="525"/>
    <n v="1155.1064284023669"/>
    <n v="5.0411356670430715E-2"/>
    <n v="30571.003131112007"/>
    <n v="19.8368"/>
    <n v="606430.87491124263"/>
    <n v="109.271"/>
    <n v="118.002"/>
    <n v="1.0799000000000001"/>
    <n v="654884.70181665092"/>
    <n v="1247.3994320317161"/>
    <m/>
    <n v="525"/>
    <s v="Sale"/>
    <x v="69"/>
    <s v="MXN"/>
    <n v="796453.74242424243"/>
    <n v="4.7939327986500288E-2"/>
    <n v="38181.457184151375"/>
    <n v="20.8597"/>
    <n v="796453.74242424243"/>
    <n v="654884.70181665092"/>
    <n v="141569.04060759151"/>
    <n v="1.1424657534246576"/>
    <n v="1"/>
    <n v="141569.04060759151"/>
    <n v="0"/>
    <m/>
    <n v="7610.4540530393679"/>
  </r>
  <r>
    <x v="5"/>
    <s v="Purchase"/>
    <x v="90"/>
    <x v="2"/>
    <s v="MXN"/>
    <d v="2020-04-08T00:00:00"/>
    <n v="4454925.6586010763"/>
    <x v="2"/>
    <n v="2398"/>
    <n v="1857.7671637202154"/>
    <n v="4.0503047854351042E-2"/>
    <n v="180438.06713789573"/>
    <n v="24.689499999999999"/>
    <n v="4454925.6586010763"/>
    <n v="105.755"/>
    <n v="120.809"/>
    <n v="1.1423000000000001"/>
    <n v="5088861.5798200099"/>
    <n v="2122.1274311176021"/>
    <m/>
    <n v="2398"/>
    <s v="Sale"/>
    <x v="75"/>
    <s v="MXN"/>
    <n v="5083753.79"/>
    <n v="4.9001592551757935E-2"/>
    <n v="249112.03185103516"/>
    <n v="20.407499999999999"/>
    <n v="5083753.79"/>
    <n v="5088861.5798200099"/>
    <n v="-5107.7898200098425"/>
    <n v="2.0712328767123287"/>
    <n v="1"/>
    <n v="-5107.7898200098425"/>
    <n v="0"/>
    <m/>
    <n v="68673.96471313943"/>
  </r>
  <r>
    <x v="0"/>
    <m/>
    <x v="0"/>
    <x v="0"/>
    <m/>
    <m/>
    <m/>
    <x v="0"/>
    <n v="0"/>
    <n v="0"/>
    <n v="0"/>
    <n v="0"/>
    <n v="0"/>
    <n v="0"/>
    <n v="0"/>
    <n v="0"/>
    <n v="0"/>
    <n v="0"/>
    <n v="0"/>
    <m/>
    <m/>
    <m/>
    <x v="0"/>
    <m/>
    <m/>
    <n v="0"/>
    <n v="0"/>
    <n v="0"/>
    <n v="0"/>
    <n v="0"/>
    <n v="0"/>
    <n v="0"/>
    <n v="1"/>
    <n v="0"/>
    <n v="0"/>
    <m/>
    <n v="0"/>
  </r>
  <r>
    <x v="6"/>
    <s v="Purchase"/>
    <x v="91"/>
    <x v="2"/>
    <s v="MXN"/>
    <d v="2021-04-13T00:00:00"/>
    <n v="2428652.0608228785"/>
    <x v="2"/>
    <n v="3772"/>
    <n v="643.8632186699042"/>
    <n v="4.9595794276645337E-2"/>
    <n v="120450.92797812221"/>
    <n v="20.163"/>
    <n v="2428652.060822878"/>
    <n v="112.19"/>
    <n v="118.002"/>
    <n v="1.0518000000000001"/>
    <n v="2554456.2375735031"/>
    <n v="677.215333397005"/>
    <m/>
    <n v="3772"/>
    <s v="Sale"/>
    <x v="76"/>
    <s v="MXN"/>
    <n v="2677853.5499999998"/>
    <n v="4.8233449897503916E-2"/>
    <n v="129162.11503677799"/>
    <n v="20.732500000000002"/>
    <n v="2677853.5499999998"/>
    <n v="2554456.2375735031"/>
    <n v="123397.31242649676"/>
    <n v="0.82739726027397265"/>
    <n v="1"/>
    <n v="123397.31242649676"/>
    <n v="0"/>
    <m/>
    <n v="8711.1870586557779"/>
  </r>
  <r>
    <x v="6"/>
    <s v="Purchase"/>
    <x v="91"/>
    <x v="2"/>
    <s v="MXN"/>
    <d v="2021-04-13T00:00:00"/>
    <n v="2344305.9791771211"/>
    <x v="2"/>
    <n v="3641"/>
    <n v="643.8632186699042"/>
    <n v="4.9595794276645337E-2"/>
    <n v="116267.7170647781"/>
    <n v="20.163"/>
    <n v="2344305.9791771211"/>
    <n v="112.19"/>
    <n v="118.98099999999999"/>
    <n v="1.0605"/>
    <n v="2486136.4909173367"/>
    <n v="682.81694339943328"/>
    <m/>
    <n v="3641"/>
    <s v="Sale"/>
    <x v="70"/>
    <s v="MXN"/>
    <n v="2415788.35"/>
    <n v="4.7688309210996926E-2"/>
    <n v="115204.86182312407"/>
    <n v="20.9695"/>
    <n v="2415788.35"/>
    <n v="2486136.4909173367"/>
    <n v="-70348.140917336568"/>
    <n v="0.92054794520547945"/>
    <n v="1"/>
    <n v="-70348.140917336568"/>
    <n v="0"/>
    <m/>
    <n v="-1062.8552416540333"/>
  </r>
  <r>
    <x v="6"/>
    <s v="Purchase"/>
    <x v="92"/>
    <x v="2"/>
    <s v="MXN"/>
    <d v="2020-06-30T00:00:00"/>
    <n v="2383197.06"/>
    <x v="2"/>
    <n v="4161"/>
    <n v="572.74622927180963"/>
    <n v="4.3532202947130144E-2"/>
    <n v="103745.8180789239"/>
    <n v="22.971499999999999"/>
    <n v="2383197.06"/>
    <n v="106.74299999999999"/>
    <n v="118.002"/>
    <n v="1.1053999999999999"/>
    <n v="2634386.0301239998"/>
    <n v="633.11368183705838"/>
    <m/>
    <n v="4161"/>
    <s v="Sale"/>
    <x v="76"/>
    <s v="MXN"/>
    <n v="2846387.71"/>
    <n v="4.8233449897503916E-2"/>
    <n v="137291.09899915592"/>
    <n v="20.732500000000002"/>
    <n v="2846387.7100000004"/>
    <n v="2634386.0301239998"/>
    <n v="212001.67987600062"/>
    <n v="1.6136986301369862"/>
    <n v="1"/>
    <n v="212001.67987600062"/>
    <n v="0"/>
    <m/>
    <n v="33545.28092023202"/>
  </r>
  <r>
    <x v="6"/>
    <s v="Purchase"/>
    <x v="93"/>
    <x v="2"/>
    <s v="MXN"/>
    <d v="2019-07-03T00:00:00"/>
    <n v="9138950.4919166341"/>
    <x v="2"/>
    <n v="1610"/>
    <n v="5676.3667651656115"/>
    <n v="5.2421891381841057E-2"/>
    <n v="479081.07003127667"/>
    <n v="19.076000000000001"/>
    <n v="9138950.4919166341"/>
    <n v="103.687"/>
    <n v="118.002"/>
    <n v="1.1379999999999999"/>
    <n v="10400125.659801129"/>
    <n v="6459.7053787584655"/>
    <m/>
    <n v="1610"/>
    <s v="Sale"/>
    <x v="76"/>
    <s v="MXN"/>
    <n v="15034619.740000002"/>
    <n v="4.8233449897503916E-2"/>
    <n v="725171.57795731351"/>
    <n v="20.732500000000002"/>
    <n v="15034619.740000004"/>
    <n v="10400125.659801129"/>
    <n v="4634494.0801988747"/>
    <n v="2.6082191780821917"/>
    <n v="1"/>
    <n v="4634494.0801988747"/>
    <n v="0"/>
    <m/>
    <n v="246090.50792603684"/>
  </r>
  <r>
    <x v="6"/>
    <s v="Purchase"/>
    <x v="93"/>
    <x v="2"/>
    <s v="MXN"/>
    <d v="2019-07-03T00:00:00"/>
    <n v="2009433.8348686264"/>
    <x v="2"/>
    <n v="354"/>
    <n v="5676.3667651656115"/>
    <n v="5.2421891381841057E-2"/>
    <n v="105338.32223047948"/>
    <n v="19.076000000000001"/>
    <n v="2009433.8348686264"/>
    <n v="103.687"/>
    <n v="118.98099999999999"/>
    <n v="1.1475"/>
    <n v="2305825.3255117489"/>
    <n v="6513.6308630275389"/>
    <m/>
    <n v="354"/>
    <s v="Sale"/>
    <x v="70"/>
    <s v="MXN"/>
    <n v="3118054.35"/>
    <n v="4.7688309210996926E-2"/>
    <n v="148694.73997949404"/>
    <n v="20.9695"/>
    <n v="3118054.3500000006"/>
    <n v="2305825.3255117489"/>
    <n v="812229.02448825166"/>
    <n v="2.7013698630136984"/>
    <n v="1"/>
    <n v="812229.02448825166"/>
    <n v="0"/>
    <m/>
    <n v="43356.417749014567"/>
  </r>
  <r>
    <x v="6"/>
    <s v="Purchase"/>
    <x v="94"/>
    <x v="2"/>
    <s v="MXN"/>
    <d v="2019-07-03T00:00:00"/>
    <n v="1358644.6728331277"/>
    <x v="2"/>
    <n v="1283"/>
    <n v="1058.9592149907464"/>
    <n v="5.2421891381841057E-2"/>
    <n v="71222.723465775198"/>
    <n v="19.076000000000001"/>
    <n v="1358644.6728331277"/>
    <n v="103.687"/>
    <n v="118.002"/>
    <n v="1.1379999999999999"/>
    <n v="1546137.6376840991"/>
    <n v="1205.0955866594693"/>
    <m/>
    <n v="1283"/>
    <s v="Sale"/>
    <x v="76"/>
    <s v="MXN"/>
    <n v="1763834.85"/>
    <n v="4.8233449897503916E-2"/>
    <n v="85075.839864946334"/>
    <n v="20.732500000000002"/>
    <n v="1763834.85"/>
    <n v="1546137.6376840991"/>
    <n v="217697.21231590095"/>
    <n v="2.6082191780821917"/>
    <n v="1"/>
    <n v="217697.21231590095"/>
    <n v="0"/>
    <m/>
    <n v="13853.116399171136"/>
  </r>
  <r>
    <x v="6"/>
    <s v="Purchase"/>
    <x v="94"/>
    <x v="2"/>
    <s v="MXN"/>
    <d v="2019-07-03T00:00:00"/>
    <n v="6355873.2083744602"/>
    <x v="2"/>
    <n v="6002"/>
    <n v="1058.9592149907464"/>
    <n v="5.2421891381841057E-2"/>
    <n v="333186.8949661596"/>
    <n v="19.076000000000001"/>
    <n v="6355873.2083744602"/>
    <n v="103.687"/>
    <n v="118.98099999999999"/>
    <n v="1.1475"/>
    <n v="7293364.5066096932"/>
    <n v="1215.1556992018816"/>
    <m/>
    <n v="6002"/>
    <s v="Sale"/>
    <x v="70"/>
    <s v="MXN"/>
    <n v="7413032.21"/>
    <n v="4.7688309210996926E-2"/>
    <n v="353514.9722215599"/>
    <n v="20.9695"/>
    <n v="7413032.21"/>
    <n v="7293364.5066096932"/>
    <n v="119667.70339030679"/>
    <n v="2.7013698630136984"/>
    <n v="1"/>
    <n v="119667.70339030679"/>
    <n v="0"/>
    <m/>
    <n v="20328.077255400305"/>
  </r>
  <r>
    <x v="6"/>
    <s v="Purchase"/>
    <x v="95"/>
    <x v="2"/>
    <s v="MXN"/>
    <d v="2021-02-10T00:00:00"/>
    <n v="4803804.8440579707"/>
    <x v="2"/>
    <n v="3074"/>
    <n v="1562.7211594202897"/>
    <n v="4.9695120436124382E-2"/>
    <n v="238725.66027709856"/>
    <n v="20.122699999999998"/>
    <n v="4803804.8440579707"/>
    <n v="110.907"/>
    <n v="118.002"/>
    <n v="1.0639000000000001"/>
    <n v="5110767.9735932751"/>
    <n v="1662.5790415072463"/>
    <m/>
    <n v="3074"/>
    <s v="Sale"/>
    <x v="76"/>
    <s v="MXN"/>
    <n v="5371487.9308666326"/>
    <n v="4.8233449897503916E-2"/>
    <n v="259085.39398850271"/>
    <n v="20.732500000000002"/>
    <n v="5371487.9308666326"/>
    <n v="5110767.9735932751"/>
    <n v="260719.95727335755"/>
    <n v="0.99726027397260275"/>
    <n v="1"/>
    <n v="260719.95727335755"/>
    <n v="0"/>
    <m/>
    <n v="20359.733711404144"/>
  </r>
  <r>
    <x v="6"/>
    <s v="Purchase"/>
    <x v="95"/>
    <x v="2"/>
    <s v="MXN"/>
    <d v="2021-02-18T00:00:00"/>
    <n v="969623.61"/>
    <x v="2"/>
    <n v="611"/>
    <n v="1586.9453518821604"/>
    <n v="4.9499314434495081E-2"/>
    <n v="47995.703954500226"/>
    <n v="20.202300000000001"/>
    <n v="969623.61"/>
    <n v="110.907"/>
    <n v="118.002"/>
    <n v="1.0639000000000001"/>
    <n v="1031582.558679"/>
    <n v="1688.3511598674304"/>
    <m/>
    <n v="611"/>
    <s v="Sale"/>
    <x v="76"/>
    <s v="MXN"/>
    <n v="1067657.4904878049"/>
    <n v="4.8233449897503916E-2"/>
    <n v="51496.804075138301"/>
    <n v="20.732500000000002"/>
    <n v="1067657.4904878049"/>
    <n v="1031582.558679"/>
    <n v="36074.93180880486"/>
    <n v="0.97534246575342465"/>
    <n v="1"/>
    <n v="36074.93180880486"/>
    <n v="0"/>
    <m/>
    <n v="3501.1001206380752"/>
  </r>
  <r>
    <x v="6"/>
    <s v="Purchase"/>
    <x v="95"/>
    <x v="2"/>
    <s v="MXN"/>
    <d v="2021-05-05T00:00:00"/>
    <n v="274605.27079123136"/>
    <x v="2"/>
    <n v="169"/>
    <n v="1624.8832591197122"/>
    <n v="4.9528979405850361E-2"/>
    <n v="13600.918801756859"/>
    <n v="20.190200000000001"/>
    <n v="274605.27079123136"/>
    <n v="112.419"/>
    <n v="118.002"/>
    <n v="1.0496000000000001"/>
    <n v="288225.69222247647"/>
    <n v="1705.4774687720501"/>
    <m/>
    <n v="169"/>
    <s v="Sale"/>
    <x v="76"/>
    <s v="MXN"/>
    <n v="295309.51864556305"/>
    <n v="4.8233449897503916E-2"/>
    <n v="14243.796871846764"/>
    <n v="20.732500000000002"/>
    <n v="295309.51864556305"/>
    <n v="288225.69222247647"/>
    <n v="7083.8264230865752"/>
    <n v="0.76712328767123283"/>
    <n v="1"/>
    <n v="7083.8264230865752"/>
    <n v="0"/>
    <m/>
    <n v="642.87807008990421"/>
  </r>
  <r>
    <x v="6"/>
    <s v="Purchase"/>
    <x v="95"/>
    <x v="2"/>
    <s v="MXN"/>
    <d v="2021-05-05T00:00:00"/>
    <n v="682450.96883027907"/>
    <x v="2"/>
    <n v="420"/>
    <n v="1624.8832591197122"/>
    <n v="4.9528979405850361E-2"/>
    <n v="33801.099980697516"/>
    <n v="20.190200000000001"/>
    <n v="682450.96883027896"/>
    <n v="112.419"/>
    <n v="118.98099999999999"/>
    <n v="1.0583"/>
    <n v="722237.86031308421"/>
    <n v="1719.6139531263909"/>
    <m/>
    <n v="420"/>
    <s v="Sale"/>
    <x v="70"/>
    <s v="MXN"/>
    <n v="729175.04000000004"/>
    <n v="4.7688309210996926E-2"/>
    <n v="34773.124776461053"/>
    <n v="20.9695"/>
    <n v="729175.04000000004"/>
    <n v="722237.86031308421"/>
    <n v="6937.1796869158279"/>
    <n v="0.86027397260273974"/>
    <n v="1"/>
    <n v="6937.1796869158279"/>
    <n v="0"/>
    <m/>
    <n v="972.02479576353653"/>
  </r>
  <r>
    <x v="6"/>
    <s v="Purchase"/>
    <x v="96"/>
    <x v="2"/>
    <s v="MXN"/>
    <d v="2019-07-03T00:00:00"/>
    <n v="592114.96962483402"/>
    <x v="2"/>
    <n v="193"/>
    <n v="3067.9532104913678"/>
    <n v="5.2421891381841057E-2"/>
    <n v="31039.786623235166"/>
    <n v="19.076000000000001"/>
    <n v="592114.96962483402"/>
    <n v="103.687"/>
    <n v="118.98099999999999"/>
    <n v="1.1475"/>
    <n v="679451.92764449702"/>
    <n v="3520.4763090388446"/>
    <m/>
    <n v="193"/>
    <s v="Sale"/>
    <x v="70"/>
    <s v="MXN"/>
    <n v="1010536.19"/>
    <n v="4.7688309210996926E-2"/>
    <n v="48190.762297622736"/>
    <n v="20.9695"/>
    <n v="1010536.19"/>
    <n v="679451.92764449702"/>
    <n v="331084.26235550293"/>
    <n v="2.7013698630136984"/>
    <n v="1"/>
    <n v="331084.26235550293"/>
    <n v="0"/>
    <m/>
    <n v="17150.97567438757"/>
  </r>
  <r>
    <x v="6"/>
    <s v="Purchase"/>
    <x v="97"/>
    <x v="2"/>
    <s v="MXN"/>
    <d v="2020-02-10T00:00:00"/>
    <n v="2879379.9304030286"/>
    <x v="2"/>
    <n v="1192"/>
    <n v="2415.5871899354265"/>
    <n v="5.3577647405502422E-2"/>
    <n v="154270.40265761357"/>
    <n v="18.6645"/>
    <n v="2879379.9304030286"/>
    <n v="106.889"/>
    <n v="118.98099999999999"/>
    <n v="1.1131"/>
    <n v="3205037.8005316113"/>
    <n v="2688.7901011171234"/>
    <m/>
    <n v="1192"/>
    <s v="Sale"/>
    <x v="70"/>
    <s v="MXN"/>
    <n v="3876854.07"/>
    <n v="4.7688309210996926E-2"/>
    <n v="184880.61565607192"/>
    <n v="20.9695"/>
    <n v="3876854.0700000003"/>
    <n v="3205037.8005316113"/>
    <n v="671816.26946838899"/>
    <n v="2.0931506849315067"/>
    <n v="1"/>
    <n v="671816.26946838899"/>
    <n v="0"/>
    <m/>
    <n v="30610.212998458359"/>
  </r>
  <r>
    <x v="6"/>
    <s v="Purchase"/>
    <x v="98"/>
    <x v="2"/>
    <s v="MXN"/>
    <d v="2020-06-30T00:00:00"/>
    <n v="2880727.3555289758"/>
    <x v="2"/>
    <n v="1119"/>
    <n v="2574.376546495957"/>
    <n v="4.3532202947130144E-2"/>
    <n v="125404.4078762369"/>
    <n v="22.971499999999999"/>
    <n v="2880727.3555289758"/>
    <n v="106.74299999999999"/>
    <n v="118.98099999999999"/>
    <n v="1.1146"/>
    <n v="3210858.7104725963"/>
    <n v="2869.4000987243935"/>
    <m/>
    <n v="1119"/>
    <s v="Sale"/>
    <x v="70"/>
    <s v="MXN"/>
    <n v="3715545.79"/>
    <n v="4.7688309210996926E-2"/>
    <n v="177188.09652113786"/>
    <n v="20.9695"/>
    <n v="3715545.7900000005"/>
    <n v="3210858.7104725963"/>
    <n v="504687.07952740416"/>
    <n v="1.7068493150684931"/>
    <n v="1"/>
    <n v="504687.07952740416"/>
    <n v="0"/>
    <m/>
    <n v="51783.688644900962"/>
  </r>
  <r>
    <x v="6"/>
    <s v="Purchase"/>
    <x v="99"/>
    <x v="2"/>
    <s v="MXN"/>
    <d v="2019-10-14T00:00:00"/>
    <n v="451586.02876651986"/>
    <x v="2"/>
    <n v="203"/>
    <n v="2224.5617180616741"/>
    <n v="5.1344190918239503E-2"/>
    <n v="23186.31927699779"/>
    <n v="19.476400000000002"/>
    <n v="451586.0287665198"/>
    <n v="104.503"/>
    <n v="118.98099999999999"/>
    <n v="1.1385000000000001"/>
    <n v="514130.69375068281"/>
    <n v="2532.6635160132159"/>
    <m/>
    <n v="203"/>
    <s v="Sale"/>
    <x v="70"/>
    <s v="MXN"/>
    <n v="641605.09331804281"/>
    <n v="4.7688309210996926E-2"/>
    <n v="30597.062081501364"/>
    <n v="20.9695"/>
    <n v="641605.09331804281"/>
    <n v="514130.69375068281"/>
    <n v="127474.39956736"/>
    <n v="2.419178082191781"/>
    <n v="1"/>
    <n v="127474.39956736"/>
    <n v="0"/>
    <m/>
    <n v="7410.742804503574"/>
  </r>
  <r>
    <x v="6"/>
    <s v="Purchase"/>
    <x v="99"/>
    <x v="2"/>
    <s v="MXN"/>
    <d v="2020-04-13T00:00:00"/>
    <n v="1474546.5"/>
    <x v="2"/>
    <n v="635"/>
    <n v="2322.1204724409449"/>
    <n v="4.1599414280246938E-2"/>
    <n v="61340.270728988144"/>
    <n v="24.038799999999998"/>
    <n v="1474546.5"/>
    <n v="105.755"/>
    <n v="118.98099999999999"/>
    <n v="1.125"/>
    <n v="1658864.8125"/>
    <n v="2612.3855314960629"/>
    <m/>
    <n v="635"/>
    <s v="Sale"/>
    <x v="70"/>
    <s v="MXN"/>
    <n v="2006991.3017584099"/>
    <n v="4.7688309210996926E-2"/>
    <n v="95710.021782036289"/>
    <n v="20.9695"/>
    <n v="2006991.3017584099"/>
    <n v="1658864.8125"/>
    <n v="348126.48925840994"/>
    <n v="1.9205479452054794"/>
    <n v="1"/>
    <n v="348126.48925840994"/>
    <n v="0"/>
    <m/>
    <n v="34369.751053048145"/>
  </r>
  <r>
    <x v="6"/>
    <s v="Purchase"/>
    <x v="99"/>
    <x v="2"/>
    <s v="MXN"/>
    <d v="2020-05-12T00:00:00"/>
    <n v="1211301.8488397193"/>
    <x v="2"/>
    <n v="470"/>
    <n v="2577.2379762547221"/>
    <n v="4.222883807352041E-2"/>
    <n v="51151.869632808404"/>
    <n v="23.680499999999999"/>
    <n v="1211301.8488397193"/>
    <n v="106.16200000000001"/>
    <n v="118.98099999999999"/>
    <n v="1.1207"/>
    <n v="1357505.9819946734"/>
    <n v="2888.3105999886666"/>
    <m/>
    <n v="470"/>
    <s v="Sale"/>
    <x v="70"/>
    <s v="MXN"/>
    <n v="1485489.6249235475"/>
    <n v="4.7688309210996926E-2"/>
    <n v="70840.488563081977"/>
    <n v="20.9695"/>
    <n v="1485489.6249235475"/>
    <n v="1357505.9819946734"/>
    <n v="127983.64292887412"/>
    <n v="1.8410958904109589"/>
    <n v="1"/>
    <n v="127983.64292887412"/>
    <n v="0"/>
    <m/>
    <n v="19688.618930273573"/>
  </r>
  <r>
    <x v="6"/>
    <s v="Purchase"/>
    <x v="100"/>
    <x v="2"/>
    <s v="MXN"/>
    <d v="2021-08-05T00:00:00"/>
    <n v="2401298.6202153955"/>
    <x v="2"/>
    <n v="1349"/>
    <n v="1780.0582803672316"/>
    <n v="5.0271465915946112E-2"/>
    <n v="120716.80174016669"/>
    <n v="19.891999999999999"/>
    <n v="2401298.6202153955"/>
    <n v="113.899"/>
    <n v="118.98099999999999"/>
    <n v="1.0446"/>
    <n v="2508396.5386770018"/>
    <n v="1859.44887967161"/>
    <m/>
    <n v="1349"/>
    <s v="Sale"/>
    <x v="70"/>
    <s v="MXN"/>
    <n v="2114626.14"/>
    <n v="4.7688309210996926E-2"/>
    <n v="100842.94522997689"/>
    <n v="20.9695"/>
    <n v="2114626.1400000006"/>
    <n v="2508396.5386770018"/>
    <n v="-393770.39867700124"/>
    <n v="0.60821917808219184"/>
    <n v="1"/>
    <n v="-393770.39867700124"/>
    <n v="0"/>
    <m/>
    <n v="-19873.856510189798"/>
  </r>
  <r>
    <x v="6"/>
    <s v="Purchase"/>
    <x v="101"/>
    <x v="2"/>
    <s v="MXN"/>
    <d v="2019-07-03T00:00:00"/>
    <n v="1105482.8654981789"/>
    <x v="2"/>
    <n v="994"/>
    <n v="1112.1558002999786"/>
    <n v="5.2421891381841057E-2"/>
    <n v="57951.502699631943"/>
    <n v="19.076000000000001"/>
    <n v="1105482.8654981789"/>
    <n v="103.687"/>
    <n v="118.98099999999999"/>
    <n v="1.1475"/>
    <n v="1268541.5881591602"/>
    <n v="1276.1987808442257"/>
    <m/>
    <n v="994"/>
    <s v="Sale"/>
    <x v="70"/>
    <s v="MXN"/>
    <n v="1316745.8163253013"/>
    <n v="4.7688309210996926E-2"/>
    <n v="62793.381641207532"/>
    <n v="20.9695"/>
    <n v="1316745.8163253013"/>
    <n v="1268541.5881591602"/>
    <n v="48204.228166141082"/>
    <n v="2.7013698630136984"/>
    <n v="1"/>
    <n v="48204.228166141082"/>
    <n v="0"/>
    <m/>
    <n v="4841.8789415755891"/>
  </r>
  <r>
    <x v="6"/>
    <s v="Purchase"/>
    <x v="101"/>
    <x v="2"/>
    <s v="MXN"/>
    <d v="2020-04-13T00:00:00"/>
    <n v="582910.32999999996"/>
    <x v="2"/>
    <n v="519"/>
    <n v="1123.1412909441233"/>
    <n v="4.1599414280246938E-2"/>
    <n v="24248.728305905453"/>
    <n v="24.038799999999998"/>
    <n v="582910.32999999996"/>
    <n v="105.755"/>
    <n v="118.98099999999999"/>
    <n v="1.125"/>
    <n v="655774.12124999997"/>
    <n v="1263.5339523121386"/>
    <m/>
    <n v="519"/>
    <s v="Sale"/>
    <x v="70"/>
    <s v="MXN"/>
    <n v="687516.17572719452"/>
    <n v="4.7688309210996926E-2"/>
    <n v="32786.483975640549"/>
    <n v="20.9695"/>
    <n v="687516.17572719452"/>
    <n v="655774.12124999997"/>
    <n v="31742.054477194557"/>
    <n v="1.9205479452054794"/>
    <n v="1"/>
    <n v="31742.054477194557"/>
    <n v="0"/>
    <m/>
    <n v="8537.7556697350956"/>
  </r>
  <r>
    <x v="6"/>
    <s v="Purchase"/>
    <x v="101"/>
    <x v="2"/>
    <s v="MXN"/>
    <d v="2020-09-10T00:00:00"/>
    <n v="1671663.73"/>
    <x v="2"/>
    <n v="1336"/>
    <n v="1251.2453068862276"/>
    <n v="4.6053661726643887E-2"/>
    <n v="76986.235942119762"/>
    <n v="21.713799999999999"/>
    <n v="1671663.73"/>
    <n v="108.114"/>
    <n v="118.98099999999999"/>
    <n v="1.1005"/>
    <n v="1839665.934865"/>
    <n v="1376.9954602282935"/>
    <m/>
    <n v="1336"/>
    <s v="Sale"/>
    <x v="70"/>
    <s v="MXN"/>
    <n v="1769791.1575559382"/>
    <n v="4.7688309210996926E-2"/>
    <n v="84398.347960415762"/>
    <n v="20.9695"/>
    <n v="1769791.1575559382"/>
    <n v="1839665.9348650002"/>
    <n v="-69874.777309061959"/>
    <n v="1.5095890410958903"/>
    <n v="1"/>
    <n v="-69874.777309061959"/>
    <n v="0"/>
    <m/>
    <n v="7412.1120182960003"/>
  </r>
  <r>
    <x v="6"/>
    <s v="Purchase"/>
    <x v="101"/>
    <x v="2"/>
    <s v="MXN"/>
    <d v="2020-12-02T00:00:00"/>
    <n v="1784084.95"/>
    <x v="2"/>
    <n v="1352"/>
    <n v="1319.5894600591716"/>
    <n v="4.9652926046931944E-2"/>
    <n v="88585.038083794279"/>
    <n v="20.139800000000001"/>
    <n v="1784084.9500000002"/>
    <n v="109.271"/>
    <n v="118.98099999999999"/>
    <n v="1.0888"/>
    <n v="1942511.6935600003"/>
    <n v="1436.7690041124263"/>
    <m/>
    <n v="1352"/>
    <s v="Sale"/>
    <x v="70"/>
    <s v="MXN"/>
    <n v="1790986.2612392427"/>
    <n v="4.7688309210996926E-2"/>
    <n v="85409.106618624326"/>
    <n v="20.9695"/>
    <n v="1790986.2612392427"/>
    <n v="1942511.6935600003"/>
    <n v="-151525.43232075754"/>
    <n v="1.2821917808219179"/>
    <n v="1"/>
    <n v="-151525.43232075754"/>
    <n v="0"/>
    <m/>
    <n v="-3175.9314651699533"/>
  </r>
  <r>
    <x v="6"/>
    <s v="Purchase"/>
    <x v="101"/>
    <x v="2"/>
    <s v="MXN"/>
    <d v="2021-02-18T00:00:00"/>
    <n v="649867.55000000005"/>
    <x v="2"/>
    <n v="447"/>
    <n v="1453.842393736018"/>
    <n v="4.9499314434495081E-2"/>
    <n v="32167.998198224956"/>
    <n v="20.202300000000001"/>
    <n v="649867.55000000005"/>
    <n v="110.907"/>
    <n v="118.98099999999999"/>
    <n v="1.0727"/>
    <n v="697112.92088500003"/>
    <n v="1559.5367357606265"/>
    <m/>
    <n v="447"/>
    <s v="Sale"/>
    <x v="70"/>
    <s v="MXN"/>
    <n v="592138.20915232366"/>
    <n v="4.7688309210996926E-2"/>
    <n v="28238.070013701981"/>
    <n v="20.9695"/>
    <n v="592138.20915232366"/>
    <n v="697112.92088500003"/>
    <n v="-104974.71173267637"/>
    <n v="1.0684931506849316"/>
    <n v="1"/>
    <n v="-104974.71173267637"/>
    <n v="0"/>
    <m/>
    <n v="-3929.9281845229743"/>
  </r>
  <r>
    <x v="6"/>
    <s v="Purchase"/>
    <x v="102"/>
    <x v="2"/>
    <s v="MXN"/>
    <d v="2022-02-09T00:00:00"/>
    <n v="312940.48354154034"/>
    <x v="2"/>
    <n v="312"/>
    <n v="1003.0143703254498"/>
    <n v="4.8233449897503916E-2"/>
    <n v="15094.199133801534"/>
    <n v="20.732500000000002"/>
    <n v="312940.48354154034"/>
    <n v="118.98099999999999"/>
    <n v="118.98099999999999"/>
    <n v="1"/>
    <n v="312940.48354154034"/>
    <n v="1003.0143703254498"/>
    <m/>
    <n v="312"/>
    <s v="Sale"/>
    <x v="70"/>
    <s v="MXN"/>
    <n v="306816.31"/>
    <n v="4.7688309210996926E-2"/>
    <n v="14631.551062257089"/>
    <n v="20.9695"/>
    <n v="306816.31000000006"/>
    <n v="312940.48354154034"/>
    <n v="-6124.17354154028"/>
    <n v="9.3150684931506855E-2"/>
    <n v="1"/>
    <n v="-6124.17354154028"/>
    <n v="0"/>
    <m/>
    <n v="-462.64807154444497"/>
  </r>
  <r>
    <x v="6"/>
    <s v="Purchase"/>
    <x v="103"/>
    <x v="2"/>
    <s v="MXN"/>
    <d v="2019-10-14T00:00:00"/>
    <n v="629148.33733681461"/>
    <x v="2"/>
    <n v="352"/>
    <n v="1787.3532310704961"/>
    <n v="5.1344190918239503E-2"/>
    <n v="32303.112348114359"/>
    <n v="19.476400000000002"/>
    <n v="629148.3373368145"/>
    <n v="104.503"/>
    <n v="118.98099999999999"/>
    <n v="1.1385000000000001"/>
    <n v="716285.3820579634"/>
    <n v="2034.9016535737596"/>
    <m/>
    <n v="352"/>
    <s v="Sale"/>
    <x v="70"/>
    <s v="MXN"/>
    <n v="917185.89000000013"/>
    <n v="4.7688309210996926E-2"/>
    <n v="43739.044326283423"/>
    <n v="20.9695"/>
    <n v="917185.89000000025"/>
    <n v="716285.3820579634"/>
    <n v="200900.50794203684"/>
    <n v="2.419178082191781"/>
    <n v="1"/>
    <n v="200900.50794203684"/>
    <n v="0"/>
    <m/>
    <n v="11435.931978169065"/>
  </r>
  <r>
    <x v="6"/>
    <s v="Purchase"/>
    <x v="104"/>
    <x v="2"/>
    <s v="MXN"/>
    <d v="2019-07-03T00:00:00"/>
    <n v="2705560.7150884005"/>
    <x v="2"/>
    <n v="2549"/>
    <n v="1061.4204453073364"/>
    <n v="5.2421891381841057E-2"/>
    <n v="141830.60993334034"/>
    <n v="19.076000000000001"/>
    <n v="2705560.7150884005"/>
    <n v="103.687"/>
    <n v="118.98099999999999"/>
    <n v="1.1475"/>
    <n v="3104630.9205639395"/>
    <n v="1217.9799609901686"/>
    <m/>
    <n v="2549"/>
    <s v="Sale"/>
    <x v="70"/>
    <s v="MXN"/>
    <n v="3150876.61"/>
    <n v="4.7688309210996926E-2"/>
    <n v="150259.97806337776"/>
    <n v="20.9695"/>
    <n v="3150876.61"/>
    <n v="3104630.92056394"/>
    <n v="46245.689436059911"/>
    <n v="2.7013698630136984"/>
    <n v="1"/>
    <n v="46245.689436059911"/>
    <n v="0"/>
    <m/>
    <n v="8429.3681300374155"/>
  </r>
  <r>
    <x v="6"/>
    <s v="Purchase"/>
    <x v="105"/>
    <x v="2"/>
    <s v="MXN"/>
    <d v="2019-07-03T00:00:00"/>
    <n v="851598.63699516747"/>
    <x v="2"/>
    <n v="635"/>
    <n v="1341.1002157404212"/>
    <n v="5.2421891381841057E-2"/>
    <n v="44642.411249484561"/>
    <n v="19.076000000000001"/>
    <n v="851598.63699516747"/>
    <n v="103.687"/>
    <n v="118.98099999999999"/>
    <n v="1.1475"/>
    <n v="977209.43595195469"/>
    <n v="1538.9124975621335"/>
    <m/>
    <n v="635"/>
    <s v="Sale"/>
    <x v="70"/>
    <s v="MXN"/>
    <n v="913263.57"/>
    <n v="4.7688309210996926E-2"/>
    <n v="43551.995517298936"/>
    <n v="20.9695"/>
    <n v="913263.57000000007"/>
    <n v="977209.4359519548"/>
    <n v="-63945.865951954736"/>
    <n v="2.7013698630136984"/>
    <n v="1"/>
    <n v="-63945.865951954736"/>
    <n v="0"/>
    <m/>
    <n v="-1090.4157321856255"/>
  </r>
  <r>
    <x v="0"/>
    <m/>
    <x v="0"/>
    <x v="0"/>
    <m/>
    <m/>
    <m/>
    <x v="0"/>
    <n v="0"/>
    <n v="0"/>
    <n v="0"/>
    <n v="0"/>
    <n v="0"/>
    <n v="0"/>
    <n v="0"/>
    <n v="0"/>
    <n v="0"/>
    <n v="0"/>
    <n v="0"/>
    <m/>
    <m/>
    <m/>
    <x v="0"/>
    <m/>
    <m/>
    <n v="0"/>
    <n v="0"/>
    <n v="0"/>
    <n v="0"/>
    <n v="0"/>
    <n v="0"/>
    <n v="0"/>
    <n v="1"/>
    <n v="0"/>
    <n v="0"/>
    <m/>
    <n v="0"/>
  </r>
  <r>
    <x v="3"/>
    <s v="Purchase"/>
    <x v="106"/>
    <x v="1"/>
    <s v="USD"/>
    <d v="2022-06-08T00:00:00"/>
    <n v="5370.18"/>
    <x v="1"/>
    <n v="41"/>
    <n v="130.98000000000002"/>
    <n v="1"/>
    <n v="5370.18"/>
    <n v="19.5547"/>
    <n v="105012.25884600001"/>
    <n v="122.044"/>
    <n v="122.94799999999999"/>
    <n v="1.0074000000000001"/>
    <n v="105789.34956146042"/>
    <n v="2580.2280380844004"/>
    <m/>
    <n v="41"/>
    <s v="Sale"/>
    <x v="77"/>
    <s v="USD"/>
    <n v="5209.78"/>
    <n v="1"/>
    <n v="5209.78"/>
    <n v="20.747299999999999"/>
    <n v="108088.86859399999"/>
    <n v="105789.34956146042"/>
    <n v="2299.519032539567"/>
    <n v="9.5890410958904104E-2"/>
    <n v="1"/>
    <n v="2299.519032539567"/>
    <n v="0"/>
    <m/>
    <n v="-160.40000000000055"/>
  </r>
  <r>
    <x v="3"/>
    <s v="Purchase"/>
    <x v="107"/>
    <x v="2"/>
    <s v="USD"/>
    <d v="2022-06-08T00:00:00"/>
    <n v="4393.8"/>
    <x v="2"/>
    <n v="329"/>
    <n v="13.35501519756839"/>
    <n v="1"/>
    <n v="4393.8"/>
    <n v="19.5547"/>
    <n v="85919.440860000002"/>
    <n v="122.044"/>
    <n v="122.044"/>
    <n v="1"/>
    <n v="85919.440860000002"/>
    <n v="261.15331568389058"/>
    <m/>
    <n v="329"/>
    <s v="Sale"/>
    <x v="77"/>
    <s v="USD"/>
    <n v="4069.28"/>
    <n v="1"/>
    <n v="4069.28"/>
    <n v="20.747299999999999"/>
    <n v="84426.572944"/>
    <n v="85919.440860000002"/>
    <n v="-1492.8679160000029"/>
    <n v="9.5890410958904104E-2"/>
    <n v="1"/>
    <n v="-1492.8679160000029"/>
    <n v="0"/>
    <m/>
    <n v="-324.52"/>
  </r>
  <r>
    <x v="3"/>
    <s v="Purchase"/>
    <x v="108"/>
    <x v="1"/>
    <s v="USD"/>
    <d v="2022-06-08T00:00:00"/>
    <n v="2561.7199999999998"/>
    <x v="1"/>
    <n v="87"/>
    <n v="29.445057471264366"/>
    <n v="1"/>
    <n v="2561.7199999999998"/>
    <n v="19.5547"/>
    <n v="50093.666083999997"/>
    <n v="122.044"/>
    <n v="122.94799999999999"/>
    <n v="1.0074000000000001"/>
    <n v="50464.359213021598"/>
    <n v="580.05010589680001"/>
    <m/>
    <n v="87"/>
    <s v="Sale"/>
    <x v="77"/>
    <s v="USD"/>
    <n v="2217.5500000000002"/>
    <n v="1"/>
    <n v="2217.5500000000002"/>
    <n v="20.747299999999999"/>
    <n v="46008.175115000005"/>
    <n v="50464.359213021598"/>
    <n v="-4456.1840980215929"/>
    <n v="9.5890410958904104E-2"/>
    <n v="1"/>
    <n v="-4456.1840980215929"/>
    <n v="0"/>
    <m/>
    <n v="-344.16999999999962"/>
  </r>
  <r>
    <x v="3"/>
    <s v="Purchase"/>
    <x v="109"/>
    <x v="2"/>
    <s v="USD"/>
    <d v="2022-06-08T00:00:00"/>
    <n v="906.14"/>
    <x v="2"/>
    <n v="22"/>
    <n v="41.188181818181818"/>
    <n v="1"/>
    <n v="906.14"/>
    <n v="19.5547"/>
    <n v="17719.295858000001"/>
    <n v="122.044"/>
    <n v="122.044"/>
    <n v="1"/>
    <n v="17719.295858000001"/>
    <n v="805.42253900000003"/>
    <m/>
    <n v="22"/>
    <s v="Sale"/>
    <x v="77"/>
    <s v="USD"/>
    <n v="820.4"/>
    <n v="1"/>
    <n v="820.4"/>
    <n v="20.747299999999999"/>
    <n v="17021.084919999998"/>
    <n v="17719.295858000001"/>
    <n v="-698.21093800000381"/>
    <n v="9.5890410958904104E-2"/>
    <n v="1"/>
    <n v="-698.21093800000381"/>
    <n v="0"/>
    <m/>
    <n v="-85.740000000000009"/>
  </r>
  <r>
    <x v="3"/>
    <s v="Purchase"/>
    <x v="110"/>
    <x v="2"/>
    <s v="USD"/>
    <d v="2022-06-08T00:00:00"/>
    <n v="3394.08"/>
    <x v="2"/>
    <n v="171"/>
    <n v="19.848421052631579"/>
    <n v="1"/>
    <n v="3394.08"/>
    <n v="19.5547"/>
    <n v="66370.216176000002"/>
    <n v="122.044"/>
    <n v="122.044"/>
    <n v="1"/>
    <n v="66370.216176000002"/>
    <n v="388.12991915789473"/>
    <m/>
    <n v="171"/>
    <s v="Sale"/>
    <x v="77"/>
    <s v="USD"/>
    <n v="2844.57"/>
    <n v="1"/>
    <n v="2844.57"/>
    <n v="20.747299999999999"/>
    <n v="59017.147161000001"/>
    <n v="66370.216176000002"/>
    <n v="-7353.0690150000009"/>
    <n v="9.5890410958904104E-2"/>
    <n v="1"/>
    <n v="-7353.0690150000009"/>
    <n v="0"/>
    <m/>
    <n v="-549.50999999999976"/>
  </r>
  <r>
    <x v="3"/>
    <s v="Purchase"/>
    <x v="111"/>
    <x v="2"/>
    <s v="USD"/>
    <d v="2022-06-08T00:00:00"/>
    <n v="7430.88"/>
    <x v="2"/>
    <n v="145"/>
    <n v="51.24744827586207"/>
    <n v="1"/>
    <n v="7430.88"/>
    <n v="19.5547"/>
    <n v="145308.629136"/>
    <n v="122.044"/>
    <n v="122.044"/>
    <n v="1"/>
    <n v="145308.629136"/>
    <n v="1002.1284768"/>
    <m/>
    <n v="145"/>
    <s v="Sale"/>
    <x v="77"/>
    <s v="USD"/>
    <n v="6965.05"/>
    <n v="1"/>
    <n v="6965.05"/>
    <n v="20.747299999999999"/>
    <n v="144505.98186500001"/>
    <n v="145308.629136"/>
    <n v="-802.64727099999436"/>
    <n v="9.5890410958904104E-2"/>
    <n v="1"/>
    <n v="-802.64727099999436"/>
    <n v="0"/>
    <m/>
    <n v="-465.82999999999993"/>
  </r>
  <r>
    <x v="3"/>
    <s v="Purchase"/>
    <x v="112"/>
    <x v="2"/>
    <s v="USD"/>
    <d v="2022-06-08T00:00:00"/>
    <n v="6107.74"/>
    <x v="2"/>
    <n v="25"/>
    <n v="244.30959999999999"/>
    <n v="1"/>
    <n v="6107.74"/>
    <n v="19.5547"/>
    <n v="119435.023378"/>
    <n v="122.044"/>
    <n v="122.044"/>
    <n v="1"/>
    <n v="119435.023378"/>
    <n v="4777.4009351200002"/>
    <m/>
    <n v="25"/>
    <s v="Sale"/>
    <x v="77"/>
    <s v="USD"/>
    <n v="5696.42"/>
    <n v="1"/>
    <n v="5696.42"/>
    <n v="20.747299999999999"/>
    <n v="118185.334666"/>
    <n v="119435.02337800001"/>
    <n v="-1249.6887120000174"/>
    <n v="9.5890410958904104E-2"/>
    <n v="1"/>
    <n v="-1249.6887120000174"/>
    <n v="0"/>
    <m/>
    <n v="-411.31999999999971"/>
  </r>
  <r>
    <x v="3"/>
    <s v="Purchase"/>
    <x v="113"/>
    <x v="2"/>
    <s v="USD"/>
    <d v="2022-06-08T00:00:00"/>
    <n v="8988.33"/>
    <x v="2"/>
    <n v="19"/>
    <n v="473.07"/>
    <n v="1"/>
    <n v="8988.33"/>
    <n v="19.5547"/>
    <n v="175764.096651"/>
    <n v="122.044"/>
    <n v="122.044"/>
    <n v="1"/>
    <n v="175764.096651"/>
    <n v="9250.7419289999998"/>
    <m/>
    <n v="19"/>
    <s v="Sale"/>
    <x v="77"/>
    <s v="USD"/>
    <n v="8891.61"/>
    <n v="1"/>
    <n v="8891.61"/>
    <n v="20.747299999999999"/>
    <n v="184476.900153"/>
    <n v="175764.096651"/>
    <n v="8712.8035019999952"/>
    <n v="9.5890410958904104E-2"/>
    <n v="1"/>
    <n v="8712.8035019999952"/>
    <n v="0"/>
    <m/>
    <n v="-96.719999999999345"/>
  </r>
  <r>
    <x v="3"/>
    <s v="Purchase"/>
    <x v="68"/>
    <x v="2"/>
    <s v="USD"/>
    <d v="2022-06-08T00:00:00"/>
    <n v="2271.25"/>
    <x v="2"/>
    <n v="19"/>
    <n v="119.53947368421052"/>
    <n v="1"/>
    <n v="2271.25"/>
    <n v="19.5547"/>
    <n v="44413.612375000004"/>
    <n v="122.044"/>
    <n v="122.044"/>
    <n v="1"/>
    <n v="44413.612375000004"/>
    <n v="2337.5585460526318"/>
    <m/>
    <n v="19"/>
    <s v="Sale"/>
    <x v="77"/>
    <s v="USD"/>
    <n v="2234.12"/>
    <n v="1"/>
    <n v="2234.12"/>
    <n v="20.747299999999999"/>
    <n v="46351.957875999993"/>
    <n v="44413.612375000004"/>
    <n v="1938.3455009999889"/>
    <n v="9.5890410958904104E-2"/>
    <n v="1"/>
    <n v="1938.3455009999889"/>
    <n v="0"/>
    <m/>
    <n v="-37.130000000000109"/>
  </r>
  <r>
    <x v="3"/>
    <s v="Purchase"/>
    <x v="17"/>
    <x v="2"/>
    <s v="USD"/>
    <d v="2020-09-28T00:00:00"/>
    <n v="440.67"/>
    <x v="2"/>
    <n v="13"/>
    <n v="33.89769230769231"/>
    <n v="1"/>
    <n v="440.67"/>
    <n v="22.367799999999999"/>
    <n v="9856.8184259999998"/>
    <n v="108.114"/>
    <n v="122.044"/>
    <n v="1.1288"/>
    <n v="11126.376639268799"/>
    <n v="855.87512609759995"/>
    <m/>
    <n v="13"/>
    <s v="Sale"/>
    <x v="78"/>
    <s v="USD"/>
    <n v="1157.29"/>
    <n v="1"/>
    <n v="1157.29"/>
    <n v="20.656199999999998"/>
    <n v="23905.213697999996"/>
    <n v="11126.376639268799"/>
    <n v="12778.837058731197"/>
    <n v="1.821917808219178"/>
    <n v="1"/>
    <n v="12778.837058731197"/>
    <n v="0"/>
    <m/>
    <n v="716.61999999999989"/>
  </r>
  <r>
    <x v="3"/>
    <s v="Purchase"/>
    <x v="17"/>
    <x v="2"/>
    <s v="USD"/>
    <d v="2020-10-22T00:00:00"/>
    <n v="5362.2"/>
    <x v="2"/>
    <n v="169"/>
    <n v="31.728994082840234"/>
    <n v="1"/>
    <n v="5362.2"/>
    <n v="21.090199999999999"/>
    <n v="113089.87044"/>
    <n v="108.774"/>
    <n v="122.044"/>
    <n v="1.1218999999999999"/>
    <n v="126875.52564663599"/>
    <n v="750.74275530553837"/>
    <m/>
    <n v="169"/>
    <s v="Sale"/>
    <x v="78"/>
    <s v="USD"/>
    <n v="15044.82"/>
    <n v="1"/>
    <n v="15044.82"/>
    <n v="20.656199999999998"/>
    <n v="310768.81088399998"/>
    <n v="126875.52564663599"/>
    <n v="183893.28523736401"/>
    <n v="1.7561643835616438"/>
    <n v="1"/>
    <n v="183893.28523736401"/>
    <n v="0"/>
    <m/>
    <n v="9682.619999999999"/>
  </r>
  <r>
    <x v="3"/>
    <s v="Purchase"/>
    <x v="109"/>
    <x v="2"/>
    <s v="USD"/>
    <d v="2020-05-14T00:00:00"/>
    <n v="31677.22"/>
    <x v="2"/>
    <n v="553"/>
    <n v="57.282495479204343"/>
    <n v="1"/>
    <n v="31677.22"/>
    <n v="24.0487"/>
    <n v="761795.96061399998"/>
    <n v="106.16200000000001"/>
    <n v="122.044"/>
    <n v="1.1496"/>
    <n v="875760.63632185431"/>
    <n v="1583.6539535657403"/>
    <m/>
    <n v="553"/>
    <s v="Sale"/>
    <x v="78"/>
    <s v="USD"/>
    <n v="21549.03"/>
    <n v="1"/>
    <n v="21549.03"/>
    <n v="20.656199999999998"/>
    <n v="445121.07348599995"/>
    <n v="875760.63632185431"/>
    <n v="-430639.56283585436"/>
    <n v="2.1972602739726028"/>
    <n v="1"/>
    <n v="-430639.56283585436"/>
    <n v="0"/>
    <m/>
    <n v="-10128.190000000002"/>
  </r>
  <r>
    <x v="3"/>
    <s v="Purchase"/>
    <x v="109"/>
    <x v="2"/>
    <s v="USD"/>
    <d v="2020-09-28T00:00:00"/>
    <n v="909.86"/>
    <x v="2"/>
    <n v="18"/>
    <n v="50.547777777777782"/>
    <n v="1"/>
    <n v="909.86"/>
    <n v="22.367799999999999"/>
    <n v="20351.566508"/>
    <n v="108.114"/>
    <n v="122.044"/>
    <n v="1.1288"/>
    <n v="22972.8482742304"/>
    <n v="1276.2693485683556"/>
    <m/>
    <n v="18"/>
    <s v="Sale"/>
    <x v="78"/>
    <s v="USD"/>
    <n v="701.42"/>
    <n v="1"/>
    <n v="701.42"/>
    <n v="20.656199999999998"/>
    <n v="14488.671803999998"/>
    <n v="22972.8482742304"/>
    <n v="-8484.1764702304026"/>
    <n v="1.821917808219178"/>
    <n v="1"/>
    <n v="-8484.1764702304026"/>
    <n v="0"/>
    <m/>
    <n v="-208.44000000000005"/>
  </r>
  <r>
    <x v="0"/>
    <m/>
    <x v="0"/>
    <x v="0"/>
    <m/>
    <m/>
    <m/>
    <x v="0"/>
    <n v="0"/>
    <n v="0"/>
    <n v="0"/>
    <n v="0"/>
    <n v="0"/>
    <n v="0"/>
    <n v="0"/>
    <n v="0"/>
    <n v="0"/>
    <n v="0"/>
    <n v="0"/>
    <m/>
    <m/>
    <m/>
    <x v="0"/>
    <m/>
    <m/>
    <n v="0"/>
    <n v="0"/>
    <n v="0"/>
    <n v="0"/>
    <n v="0"/>
    <n v="0"/>
    <n v="0"/>
    <n v="1"/>
    <n v="0"/>
    <n v="0"/>
    <m/>
    <n v="0"/>
  </r>
  <r>
    <x v="6"/>
    <s v="Purchase"/>
    <x v="114"/>
    <x v="2"/>
    <s v="MXN"/>
    <d v="2019-07-03T00:00:00"/>
    <n v="1522993.9961873607"/>
    <x v="2"/>
    <n v="1852"/>
    <n v="822.35096986358576"/>
    <n v="5.2421891381841057E-2"/>
    <n v="79838.22584332987"/>
    <n v="19.076000000000001"/>
    <n v="1522993.9961873607"/>
    <n v="103.687"/>
    <n v="122.044"/>
    <n v="1.177"/>
    <n v="1792563.9335125235"/>
    <n v="967.90709152944032"/>
    <m/>
    <n v="1852"/>
    <s v="Sale"/>
    <x v="79"/>
    <s v="MXN"/>
    <n v="1505169.4"/>
    <n v="4.8801198557436573E-2"/>
    <n v="73454.070751977662"/>
    <n v="20.491299999999999"/>
    <n v="1505169.4"/>
    <n v="1792563.9335125235"/>
    <n v="-287394.53351252363"/>
    <n v="3.0547945205479454"/>
    <n v="1"/>
    <n v="-287394.53351252363"/>
    <n v="0"/>
    <m/>
    <n v="-6384.1550913522078"/>
  </r>
  <r>
    <x v="6"/>
    <s v="Purchase"/>
    <x v="115"/>
    <x v="2"/>
    <s v="MXN"/>
    <d v="2022-02-09T00:00:00"/>
    <n v="5010350.4000000004"/>
    <x v="2"/>
    <n v="7092"/>
    <n v="706.47918781725889"/>
    <n v="4.8233449897503916E-2"/>
    <n v="241666.48498733871"/>
    <n v="20.732500000000002"/>
    <n v="5010350.4000000004"/>
    <n v="118.98099999999999"/>
    <n v="122.044"/>
    <n v="1.0257000000000001"/>
    <n v="5139116.4052800005"/>
    <n v="724.63570294416252"/>
    <m/>
    <n v="7092"/>
    <s v="Sale"/>
    <x v="79"/>
    <s v="MXN"/>
    <n v="3483153.3221340766"/>
    <n v="4.8801198557436573E-2"/>
    <n v="169982.05687945991"/>
    <n v="20.491299999999999"/>
    <n v="3483153.3221340766"/>
    <n v="5139116.4052800005"/>
    <n v="-1655963.0831459239"/>
    <n v="0.44657534246575342"/>
    <n v="1"/>
    <n v="-1655963.0831459239"/>
    <n v="0"/>
    <m/>
    <n v="-71684.428107878804"/>
  </r>
  <r>
    <x v="6"/>
    <s v="Purchase"/>
    <x v="115"/>
    <x v="2"/>
    <s v="MXN"/>
    <d v="2022-03-15T00:00:00"/>
    <n v="463843.43"/>
    <x v="2"/>
    <n v="799"/>
    <n v="580.52994993742175"/>
    <n v="4.7688309210996926E-2"/>
    <n v="22119.908915329408"/>
    <n v="20.9695"/>
    <n v="463843.43000000005"/>
    <n v="120.15900000000001"/>
    <n v="122.044"/>
    <n v="1.0156000000000001"/>
    <n v="471079.38750800007"/>
    <n v="589.58621715644563"/>
    <m/>
    <n v="799"/>
    <s v="Sale"/>
    <x v="79"/>
    <s v="MXN"/>
    <n v="392419.55786592321"/>
    <n v="4.8801198557436573E-2"/>
    <n v="19150.54476123639"/>
    <n v="20.491299999999999"/>
    <n v="392419.55786592321"/>
    <n v="471079.38750800007"/>
    <n v="-78659.82964207686"/>
    <n v="0.35342465753424657"/>
    <n v="1"/>
    <n v="-78659.82964207686"/>
    <n v="0"/>
    <m/>
    <n v="-2969.3641540930184"/>
  </r>
  <r>
    <x v="6"/>
    <s v="Purchase"/>
    <x v="116"/>
    <x v="2"/>
    <s v="MXN"/>
    <d v="2022-03-15T00:00:00"/>
    <n v="12242112.16"/>
    <x v="2"/>
    <n v="2227"/>
    <n v="5497.1316389762014"/>
    <n v="4.7688309210996926E-2"/>
    <n v="583805.63008178549"/>
    <n v="20.9695"/>
    <n v="12242112.16"/>
    <n v="120.15900000000001"/>
    <n v="122.044"/>
    <n v="1.0156000000000001"/>
    <n v="12433089.109696001"/>
    <n v="5582.8868925442302"/>
    <m/>
    <n v="2227"/>
    <s v="Sale"/>
    <x v="79"/>
    <s v="MXN"/>
    <n v="9699832.3000000007"/>
    <n v="4.8801198557436573E-2"/>
    <n v="473363.44204613671"/>
    <n v="20.491299999999999"/>
    <n v="9699832.3000000007"/>
    <n v="12433089.109696001"/>
    <n v="-2733256.8096960001"/>
    <n v="0.35342465753424657"/>
    <n v="1"/>
    <n v="-2733256.8096960001"/>
    <n v="0"/>
    <m/>
    <n v="-110442.18803564878"/>
  </r>
  <r>
    <x v="0"/>
    <m/>
    <x v="0"/>
    <x v="0"/>
    <m/>
    <m/>
    <m/>
    <x v="0"/>
    <n v="0"/>
    <n v="0"/>
    <n v="0"/>
    <n v="0"/>
    <n v="0"/>
    <n v="0"/>
    <n v="0"/>
    <n v="0"/>
    <n v="0"/>
    <n v="0"/>
    <n v="0"/>
    <m/>
    <m/>
    <m/>
    <x v="0"/>
    <m/>
    <m/>
    <n v="0"/>
    <n v="0"/>
    <n v="0"/>
    <n v="0"/>
    <n v="0"/>
    <n v="0"/>
    <n v="0"/>
    <n v="1"/>
    <n v="0"/>
    <n v="0"/>
    <m/>
    <n v="0"/>
  </r>
  <r>
    <x v="4"/>
    <s v="Purchase"/>
    <x v="57"/>
    <x v="2"/>
    <s v="USD"/>
    <d v="2021-03-04T00:00:00"/>
    <n v="14938.178906249999"/>
    <x v="2"/>
    <n v="94"/>
    <n v="158.91679687499999"/>
    <n v="1"/>
    <n v="14938.178906249999"/>
    <n v="20.690300000000001"/>
    <n v="309075.40302398434"/>
    <n v="111.824"/>
    <n v="122.044"/>
    <n v="1.0912999999999999"/>
    <n v="337293.98732007411"/>
    <n v="3588.233907660363"/>
    <m/>
    <n v="94"/>
    <s v="Sale"/>
    <x v="80"/>
    <s v="USD"/>
    <n v="10307.629999999999"/>
    <n v="1"/>
    <n v="10307.629999999999"/>
    <n v="20.433"/>
    <n v="210615.80378999998"/>
    <n v="337293.98732007411"/>
    <n v="-126678.18353007414"/>
    <n v="1.4"/>
    <n v="1"/>
    <n v="-126678.18353007414"/>
    <n v="0"/>
    <m/>
    <n v="-4630.5489062500001"/>
  </r>
  <r>
    <x v="4"/>
    <s v="Purchase"/>
    <x v="57"/>
    <x v="2"/>
    <s v="USD"/>
    <d v="2021-03-04T00:00:00"/>
    <n v="4131.8367187499998"/>
    <x v="2"/>
    <n v="26"/>
    <n v="158.91679687499999"/>
    <n v="1"/>
    <n v="4131.8367187499998"/>
    <n v="20.690300000000001"/>
    <n v="85488.941261953121"/>
    <n v="111.824"/>
    <n v="122.044"/>
    <n v="1.0912999999999999"/>
    <n v="93294.08159916944"/>
    <n v="3588.233907660363"/>
    <m/>
    <n v="26"/>
    <s v="Sale"/>
    <x v="80"/>
    <s v="USD"/>
    <n v="2880.0034042553189"/>
    <n v="1"/>
    <n v="2880.0034042553189"/>
    <n v="20.433"/>
    <n v="58847.109559148928"/>
    <n v="93294.08159916944"/>
    <n v="-34446.972040020511"/>
    <n v="1.4"/>
    <n v="1"/>
    <n v="-34446.972040020511"/>
    <n v="0"/>
    <m/>
    <n v="-1251.833314494681"/>
  </r>
  <r>
    <x v="4"/>
    <s v="Purchase"/>
    <x v="57"/>
    <x v="2"/>
    <s v="USD"/>
    <d v="2021-05-25T00:00:00"/>
    <n v="3527.0017391304345"/>
    <x v="2"/>
    <n v="21"/>
    <n v="167.95246376811593"/>
    <n v="1"/>
    <n v="3527.0017391304345"/>
    <n v="19.951000000000001"/>
    <n v="70367.211697391307"/>
    <n v="112.419"/>
    <n v="122.044"/>
    <n v="1.0855999999999999"/>
    <n v="76390.645018687996"/>
    <n v="3637.6497627946665"/>
    <m/>
    <n v="21"/>
    <s v="Sale"/>
    <x v="80"/>
    <s v="USD"/>
    <n v="2326.1565957446805"/>
    <n v="1"/>
    <n v="2326.1565957446805"/>
    <n v="20.433"/>
    <n v="47530.357720851054"/>
    <n v="76390.645018687996"/>
    <n v="-28860.287297836941"/>
    <n v="1.1753424657534246"/>
    <n v="1"/>
    <n v="-28860.287297836941"/>
    <n v="0"/>
    <m/>
    <n v="-1200.845143385754"/>
  </r>
  <r>
    <x v="4"/>
    <s v="Purchase"/>
    <x v="117"/>
    <x v="1"/>
    <s v="USD"/>
    <d v="2022-01-25T00:00:00"/>
    <n v="5274.517935483871"/>
    <x v="1"/>
    <n v="108"/>
    <n v="48.838129032258067"/>
    <n v="1"/>
    <n v="5274.517935483871"/>
    <n v="20.459800000000001"/>
    <n v="107915.58205641291"/>
    <n v="118.002"/>
    <n v="122.94799999999999"/>
    <n v="1.0419"/>
    <n v="112437.24494457661"/>
    <n v="1041.0856013386724"/>
    <m/>
    <n v="108"/>
    <s v="Sale"/>
    <x v="81"/>
    <s v="USD"/>
    <n v="4062.91"/>
    <n v="1"/>
    <n v="4062.91"/>
    <n v="20.442299999999999"/>
    <n v="83055.225093000001"/>
    <n v="112437.24494457663"/>
    <n v="-29382.019851576624"/>
    <n v="0.46027397260273972"/>
    <n v="1"/>
    <n v="-29382.019851576624"/>
    <n v="0"/>
    <m/>
    <n v="-1211.6079354838712"/>
  </r>
  <r>
    <x v="4"/>
    <s v="Purchase"/>
    <x v="117"/>
    <x v="1"/>
    <s v="USD"/>
    <d v="2022-01-25T00:00:00"/>
    <n v="2295.3920645161293"/>
    <x v="1"/>
    <n v="47"/>
    <n v="48.838129032258067"/>
    <n v="1"/>
    <n v="2295.3920645161293"/>
    <n v="20.459800000000001"/>
    <n v="46963.262561587107"/>
    <n v="118.002"/>
    <n v="122.94799999999999"/>
    <n v="1.0419"/>
    <n v="48931.02326291761"/>
    <n v="1041.0856013386726"/>
    <m/>
    <n v="47"/>
    <s v="Sale"/>
    <x v="81"/>
    <s v="USD"/>
    <n v="1792.5533962264151"/>
    <n v="1"/>
    <n v="1792.5533962264151"/>
    <n v="20.442299999999999"/>
    <n v="36643.914291679241"/>
    <n v="48931.023262917617"/>
    <n v="-12287.108971238376"/>
    <n v="0.46027397260273972"/>
    <n v="1"/>
    <n v="-12287.108971238376"/>
    <n v="0"/>
    <m/>
    <n v="-502.83866828971418"/>
  </r>
  <r>
    <x v="4"/>
    <s v="Purchase"/>
    <x v="117"/>
    <x v="1"/>
    <s v="USD"/>
    <d v="2022-01-25T00:00:00"/>
    <n v="292.48457142857143"/>
    <x v="1"/>
    <n v="6"/>
    <n v="48.747428571428571"/>
    <n v="1"/>
    <n v="292.48457142857143"/>
    <n v="20.459800000000001"/>
    <n v="5984.1758345142862"/>
    <n v="118.002"/>
    <n v="122.94799999999999"/>
    <n v="1.0419"/>
    <n v="6234.9128019804348"/>
    <n v="1039.1521336634057"/>
    <m/>
    <n v="6"/>
    <s v="Sale"/>
    <x v="81"/>
    <s v="USD"/>
    <n v="228.8366037735849"/>
    <n v="1"/>
    <n v="228.8366037735849"/>
    <n v="20.442299999999999"/>
    <n v="4677.9465053207541"/>
    <n v="6234.9128019804339"/>
    <n v="-1556.9662966596798"/>
    <n v="0.46027397260273972"/>
    <n v="1"/>
    <n v="-1556.9662966596798"/>
    <n v="0"/>
    <m/>
    <n v="-63.64796765498653"/>
  </r>
  <r>
    <x v="4"/>
    <s v="Purchase"/>
    <x v="59"/>
    <x v="2"/>
    <s v="USD"/>
    <d v="2021-10-11T00:00:00"/>
    <n v="3315.9"/>
    <x v="2"/>
    <n v="14"/>
    <n v="236.85"/>
    <n v="1"/>
    <n v="3315.9"/>
    <n v="20.603999999999999"/>
    <n v="68320.803599999999"/>
    <n v="115.56100000000001"/>
    <n v="122.044"/>
    <n v="1.0561"/>
    <n v="72153.600681960001"/>
    <n v="5153.8286201399997"/>
    <m/>
    <n v="14"/>
    <s v="Sale"/>
    <x v="82"/>
    <s v="USD"/>
    <n v="4619.6815000000006"/>
    <n v="1"/>
    <n v="4619.6815000000006"/>
    <n v="20.761299999999999"/>
    <n v="95910.593525950011"/>
    <n v="72153.600681960001"/>
    <n v="23756.99284399001"/>
    <n v="0.75890410958904109"/>
    <n v="1"/>
    <n v="23756.99284399001"/>
    <n v="0"/>
    <m/>
    <n v="1303.7815000000005"/>
  </r>
  <r>
    <x v="4"/>
    <s v="Purchase"/>
    <x v="59"/>
    <x v="2"/>
    <s v="USD"/>
    <d v="2021-10-11T00:00:00"/>
    <n v="6123.2321428571431"/>
    <x v="2"/>
    <n v="26"/>
    <n v="235.50892857142858"/>
    <n v="1"/>
    <n v="6123.2321428571431"/>
    <n v="20.603999999999999"/>
    <n v="126163.07507142857"/>
    <n v="115.56100000000001"/>
    <n v="122.044"/>
    <n v="1.0561"/>
    <n v="133240.82358293573"/>
    <n v="5124.6470608821437"/>
    <m/>
    <n v="26"/>
    <s v="Sale"/>
    <x v="82"/>
    <s v="USD"/>
    <n v="8579.4085000000014"/>
    <n v="1"/>
    <n v="8579.4085000000014"/>
    <n v="20.761299999999999"/>
    <n v="178119.67369105"/>
    <n v="133240.82358293573"/>
    <n v="44878.850108114275"/>
    <n v="0.75890410958904109"/>
    <n v="1"/>
    <n v="44878.850108114275"/>
    <n v="0"/>
    <m/>
    <n v="2456.1763571428583"/>
  </r>
  <r>
    <x v="4"/>
    <s v="Purchase"/>
    <x v="118"/>
    <x v="2"/>
    <s v="USD"/>
    <d v="2022-01-31T00:00:00"/>
    <n v="5838.44"/>
    <x v="2"/>
    <n v="23"/>
    <n v="253.84521739130432"/>
    <n v="1"/>
    <n v="5838.44"/>
    <n v="20.738299999999999"/>
    <n v="121079.32025199999"/>
    <n v="118.002"/>
    <n v="122.044"/>
    <n v="1.0342"/>
    <n v="125220.23300461839"/>
    <n v="5444.3579567225388"/>
    <m/>
    <n v="23"/>
    <s v="Sale"/>
    <x v="81"/>
    <s v="USD"/>
    <n v="3506.062857142857"/>
    <n v="1"/>
    <n v="3506.062857142857"/>
    <n v="20.442299999999999"/>
    <n v="71671.988744571427"/>
    <n v="125220.23300461839"/>
    <n v="-53548.244260046966"/>
    <n v="0.44383561643835617"/>
    <n v="1"/>
    <n v="-53548.244260046966"/>
    <n v="0"/>
    <m/>
    <n v="-2332.3771428571426"/>
  </r>
  <r>
    <x v="4"/>
    <s v="Purchase"/>
    <x v="118"/>
    <x v="2"/>
    <s v="USD"/>
    <d v="2022-01-31T00:00:00"/>
    <n v="9640.7800000000007"/>
    <x v="2"/>
    <n v="38"/>
    <n v="253.70473684210529"/>
    <n v="1"/>
    <n v="9640.7800000000007"/>
    <n v="20.738299999999999"/>
    <n v="199933.38787400001"/>
    <n v="118.002"/>
    <n v="122.044"/>
    <n v="1.0342"/>
    <n v="206771.10973929081"/>
    <n v="5441.3449931392315"/>
    <m/>
    <n v="38"/>
    <s v="Sale"/>
    <x v="81"/>
    <s v="USD"/>
    <n v="5792.6255900621109"/>
    <n v="1"/>
    <n v="5792.6255900621109"/>
    <n v="20.442299999999999"/>
    <n v="118414.59009972669"/>
    <n v="206771.10973929078"/>
    <n v="-88356.519639564096"/>
    <n v="0.44383561643835617"/>
    <n v="1"/>
    <n v="-88356.519639564096"/>
    <n v="0"/>
    <m/>
    <n v="-3848.1544099378898"/>
  </r>
  <r>
    <x v="4"/>
    <s v="Purchase"/>
    <x v="118"/>
    <x v="2"/>
    <s v="USD"/>
    <d v="2022-02-01T00:00:00"/>
    <n v="2609.1899999999996"/>
    <x v="2"/>
    <n v="10"/>
    <n v="260.91899999999998"/>
    <n v="1"/>
    <n v="2609.1899999999996"/>
    <n v="20.8597"/>
    <n v="54426.92064299999"/>
    <n v="118.98099999999999"/>
    <n v="122.044"/>
    <n v="1.0257000000000001"/>
    <n v="55825.69250352509"/>
    <n v="5582.5692503525088"/>
    <m/>
    <n v="10"/>
    <s v="Sale"/>
    <x v="81"/>
    <s v="USD"/>
    <n v="1524.3751552795029"/>
    <n v="1"/>
    <n v="1524.3751552795029"/>
    <n v="20.442299999999999"/>
    <n v="31161.734236770182"/>
    <n v="55825.69250352509"/>
    <n v="-24663.958266754908"/>
    <n v="0.44109589041095892"/>
    <n v="1"/>
    <n v="-24663.958266754908"/>
    <n v="0"/>
    <m/>
    <n v="-1084.8148447204967"/>
  </r>
  <r>
    <x v="4"/>
    <s v="Purchase"/>
    <x v="118"/>
    <x v="2"/>
    <s v="USD"/>
    <d v="2022-02-01T00:00:00"/>
    <n v="7873.3499999999995"/>
    <x v="2"/>
    <n v="30"/>
    <n v="262.44499999999999"/>
    <n v="1"/>
    <n v="7873.3499999999995"/>
    <n v="20.8597"/>
    <n v="164235.718995"/>
    <n v="118.98099999999999"/>
    <n v="122.044"/>
    <n v="1.0257000000000001"/>
    <n v="168456.57697317153"/>
    <n v="5615.2192324390508"/>
    <m/>
    <n v="30"/>
    <s v="Sale"/>
    <x v="81"/>
    <s v="USD"/>
    <n v="4573.1254658385087"/>
    <n v="1"/>
    <n v="4573.1254658385087"/>
    <n v="20.442299999999999"/>
    <n v="93485.20271031055"/>
    <n v="168456.57697317153"/>
    <n v="-74971.374262860976"/>
    <n v="0.44109589041095892"/>
    <n v="1"/>
    <n v="-74971.374262860976"/>
    <n v="0"/>
    <m/>
    <n v="-3300.2245341614907"/>
  </r>
  <r>
    <x v="4"/>
    <s v="Purchase"/>
    <x v="118"/>
    <x v="2"/>
    <s v="USD"/>
    <d v="2022-02-07T00:00:00"/>
    <n v="10993.23"/>
    <x v="2"/>
    <n v="41"/>
    <n v="268.12756097560975"/>
    <n v="1"/>
    <n v="10993.23"/>
    <n v="20.5562"/>
    <n v="225979.034526"/>
    <n v="118.98099999999999"/>
    <n v="122.044"/>
    <n v="1.0257000000000001"/>
    <n v="231786.69571331821"/>
    <n v="5653.3340417882491"/>
    <m/>
    <n v="41"/>
    <s v="Sale"/>
    <x v="81"/>
    <s v="USD"/>
    <n v="6249.938136645962"/>
    <n v="1"/>
    <n v="6249.938136645962"/>
    <n v="20.442299999999999"/>
    <n v="127763.11037075774"/>
    <n v="231786.69571331821"/>
    <n v="-104023.58534256047"/>
    <n v="0.42465753424657532"/>
    <n v="1"/>
    <n v="-104023.58534256047"/>
    <n v="0"/>
    <m/>
    <n v="-4743.2918633540376"/>
  </r>
  <r>
    <x v="4"/>
    <s v="Purchase"/>
    <x v="118"/>
    <x v="2"/>
    <s v="USD"/>
    <d v="2022-04-28T00:00:00"/>
    <n v="3934.58"/>
    <x v="2"/>
    <n v="19"/>
    <n v="207.08315789473684"/>
    <n v="1"/>
    <n v="3934.58"/>
    <n v="20.356000000000002"/>
    <n v="80092.31048"/>
    <n v="120.809"/>
    <n v="122.044"/>
    <n v="1.0102"/>
    <n v="80909.252046895999"/>
    <n v="4258.3816866787365"/>
    <m/>
    <n v="19"/>
    <s v="Sale"/>
    <x v="81"/>
    <s v="USD"/>
    <n v="2896.3127950310554"/>
    <n v="1"/>
    <n v="2896.3127950310554"/>
    <n v="20.442299999999999"/>
    <n v="59207.295049863344"/>
    <n v="80909.252046895999"/>
    <n v="-21701.956997032656"/>
    <n v="0.20547945205479451"/>
    <n v="1"/>
    <n v="-21701.956997032656"/>
    <n v="0"/>
    <m/>
    <n v="-1038.2672049689445"/>
  </r>
  <r>
    <x v="4"/>
    <s v="Purchase"/>
    <x v="66"/>
    <x v="2"/>
    <s v="USD"/>
    <d v="2020-11-24T00:00:00"/>
    <n v="10741.911578947369"/>
    <x v="2"/>
    <n v="32"/>
    <n v="335.68473684210528"/>
    <n v="1"/>
    <n v="10741.911578947369"/>
    <n v="20.1172"/>
    <n v="216097.18361600002"/>
    <n v="108.85599999999999"/>
    <n v="122.044"/>
    <n v="1.1211"/>
    <n v="242266.55255189762"/>
    <n v="7570.8297672468007"/>
    <m/>
    <n v="32"/>
    <s v="Sale"/>
    <x v="81"/>
    <s v="USD"/>
    <n v="10350.77"/>
    <n v="1"/>
    <n v="10350.77"/>
    <n v="20.442299999999999"/>
    <n v="211593.545571"/>
    <n v="242266.55255189762"/>
    <n v="-30673.006980897626"/>
    <n v="1.6301369863013699"/>
    <n v="1"/>
    <n v="-30673.006980897626"/>
    <n v="0"/>
    <m/>
    <n v="-391.14157894736854"/>
  </r>
  <r>
    <x v="4"/>
    <s v="Purchase"/>
    <x v="66"/>
    <x v="2"/>
    <s v="USD"/>
    <d v="2020-11-24T00:00:00"/>
    <n v="2685.4778947368422"/>
    <x v="2"/>
    <n v="8"/>
    <n v="335.68473684210528"/>
    <n v="1"/>
    <n v="2685.4778947368422"/>
    <n v="20.1172"/>
    <n v="54024.295904000006"/>
    <n v="108.85599999999999"/>
    <n v="122.044"/>
    <n v="1.1211"/>
    <n v="60566.638137974405"/>
    <n v="7570.8297672468007"/>
    <m/>
    <n v="8"/>
    <s v="Sale"/>
    <x v="81"/>
    <s v="USD"/>
    <n v="2585.65"/>
    <n v="1"/>
    <n v="2585.65"/>
    <n v="20.442299999999999"/>
    <n v="52856.632995"/>
    <n v="60566.638137974405"/>
    <n v="-7710.0051429744053"/>
    <n v="1.6301369863013699"/>
    <n v="1"/>
    <n v="-7710.0051429744053"/>
    <n v="0"/>
    <m/>
    <n v="-99.827894736842154"/>
  </r>
  <r>
    <x v="4"/>
    <s v="Purchase"/>
    <x v="119"/>
    <x v="2"/>
    <s v="USD"/>
    <d v="2021-03-29T00:00:00"/>
    <n v="4282.8133333333335"/>
    <x v="2"/>
    <n v="3"/>
    <n v="1427.6044444444444"/>
    <n v="1"/>
    <n v="4282.8133333333335"/>
    <n v="20.766200000000001"/>
    <n v="88937.758242666678"/>
    <n v="111.824"/>
    <n v="122.044"/>
    <n v="1.0912999999999999"/>
    <n v="97057.775570222133"/>
    <n v="32352.59185674071"/>
    <m/>
    <n v="3"/>
    <s v="Sale"/>
    <x v="78"/>
    <s v="USD"/>
    <n v="3977.3861538461538"/>
    <n v="1"/>
    <n v="3977.3861538461538"/>
    <n v="20.656199999999998"/>
    <n v="82157.683871076908"/>
    <n v="97057.775570222133"/>
    <n v="-14900.091699145225"/>
    <n v="1.3232876712328767"/>
    <n v="1"/>
    <n v="-14900.091699145225"/>
    <n v="0"/>
    <m/>
    <n v="-305.42717948717973"/>
  </r>
  <r>
    <x v="4"/>
    <s v="Purchase"/>
    <x v="119"/>
    <x v="2"/>
    <s v="USD"/>
    <d v="2021-04-12T00:00:00"/>
    <n v="3062.86"/>
    <x v="2"/>
    <n v="2"/>
    <n v="1531.43"/>
    <n v="1"/>
    <n v="3062.86"/>
    <n v="20.088999999999999"/>
    <n v="61529.794539999995"/>
    <n v="112.19"/>
    <n v="122.044"/>
    <n v="1.0878000000000001"/>
    <n v="66932.110500612005"/>
    <n v="33466.055250306003"/>
    <m/>
    <n v="2"/>
    <s v="Sale"/>
    <x v="78"/>
    <s v="USD"/>
    <n v="2651.5907692307692"/>
    <n v="1"/>
    <n v="2651.5907692307692"/>
    <n v="20.656199999999998"/>
    <n v="54771.789247384608"/>
    <n v="66932.110500612005"/>
    <n v="-12160.321253227397"/>
    <n v="1.284931506849315"/>
    <n v="1"/>
    <n v="-12160.321253227397"/>
    <n v="0"/>
    <m/>
    <n v="-411.26923076923094"/>
  </r>
  <r>
    <x v="4"/>
    <s v="Purchase"/>
    <x v="119"/>
    <x v="2"/>
    <s v="USD"/>
    <d v="2021-04-12T00:00:00"/>
    <n v="12217.076923076924"/>
    <x v="2"/>
    <n v="8"/>
    <n v="1527.1346153846155"/>
    <n v="1"/>
    <n v="12217.076923076924"/>
    <n v="20.088999999999999"/>
    <n v="245428.85830769231"/>
    <n v="112.19"/>
    <n v="122.044"/>
    <n v="1.0878000000000001"/>
    <n v="266977.51206710772"/>
    <n v="33372.189008388465"/>
    <m/>
    <n v="8"/>
    <s v="Sale"/>
    <x v="78"/>
    <s v="USD"/>
    <n v="10606.363076923077"/>
    <n v="1"/>
    <n v="10606.363076923077"/>
    <n v="20.656199999999998"/>
    <n v="219087.15698953843"/>
    <n v="266977.51206710772"/>
    <n v="-47890.355077569286"/>
    <n v="1.284931506849315"/>
    <n v="1"/>
    <n v="-47890.355077569286"/>
    <n v="0"/>
    <m/>
    <n v="-1610.713846153847"/>
  </r>
  <r>
    <x v="4"/>
    <s v="Purchase"/>
    <x v="119"/>
    <x v="2"/>
    <s v="USD"/>
    <d v="2021-04-12T00:00:00"/>
    <n v="7635.6730769230771"/>
    <x v="2"/>
    <n v="5"/>
    <n v="1527.1346153846155"/>
    <n v="1"/>
    <n v="7635.6730769230771"/>
    <n v="20.088999999999999"/>
    <n v="153393.0364423077"/>
    <n v="112.19"/>
    <n v="122.044"/>
    <n v="1.0878000000000001"/>
    <n v="166860.94504194232"/>
    <n v="33372.189008388465"/>
    <m/>
    <n v="5"/>
    <s v="Sale"/>
    <x v="78"/>
    <s v="USD"/>
    <n v="6614.5062499999995"/>
    <n v="1"/>
    <n v="6614.5062499999995"/>
    <n v="20.656199999999998"/>
    <n v="136630.56400124996"/>
    <n v="166860.94504194232"/>
    <n v="-30230.381040692359"/>
    <n v="1.284931506849315"/>
    <n v="1"/>
    <n v="-30230.381040692359"/>
    <n v="0"/>
    <m/>
    <n v="-1021.1668269230777"/>
  </r>
  <r>
    <x v="4"/>
    <s v="Purchase"/>
    <x v="119"/>
    <x v="2"/>
    <s v="USD"/>
    <d v="2021-06-01T00:00:00"/>
    <n v="2744.14"/>
    <x v="2"/>
    <n v="2"/>
    <n v="1372.07"/>
    <n v="1"/>
    <n v="2744.14"/>
    <n v="19.944199999999999"/>
    <n v="54729.676987999992"/>
    <n v="113.018"/>
    <n v="122.044"/>
    <n v="1.0798000000000001"/>
    <n v="59097.105211642396"/>
    <n v="29548.552605821198"/>
    <m/>
    <n v="2"/>
    <s v="Sale"/>
    <x v="78"/>
    <s v="USD"/>
    <n v="2645.8024999999998"/>
    <n v="1"/>
    <n v="2645.8024999999998"/>
    <n v="20.656199999999998"/>
    <n v="54652.225600499994"/>
    <n v="59097.105211642396"/>
    <n v="-4444.8796111424017"/>
    <n v="1.1479452054794521"/>
    <n v="1"/>
    <n v="-4444.8796111424017"/>
    <n v="0"/>
    <m/>
    <n v="-98.337500000000091"/>
  </r>
  <r>
    <x v="4"/>
    <s v="Purchase"/>
    <x v="119"/>
    <x v="2"/>
    <s v="USD"/>
    <d v="2021-12-07T00:00:00"/>
    <n v="1708.5628571428572"/>
    <x v="2"/>
    <n v="1"/>
    <n v="1708.5628571428572"/>
    <n v="1"/>
    <n v="1708.5628571428572"/>
    <n v="21.4177"/>
    <n v="36593.486705428571"/>
    <n v="117.30800000000001"/>
    <n v="122.044"/>
    <n v="1.0403"/>
    <n v="38068.204219657346"/>
    <n v="38068.204219657346"/>
    <m/>
    <n v="1"/>
    <s v="Sale"/>
    <x v="78"/>
    <s v="USD"/>
    <n v="1322.9012499999999"/>
    <n v="1"/>
    <n v="1322.9012499999999"/>
    <n v="20.656199999999998"/>
    <n v="27326.112800249997"/>
    <n v="38068.204219657346"/>
    <n v="-10742.091419407348"/>
    <n v="0.63013698630136983"/>
    <n v="1"/>
    <n v="-10742.091419407348"/>
    <n v="0"/>
    <m/>
    <n v="-385.66160714285729"/>
  </r>
  <r>
    <x v="4"/>
    <s v="Purchase"/>
    <x v="119"/>
    <x v="2"/>
    <s v="USD"/>
    <d v="2021-12-07T00:00:00"/>
    <n v="23919.88"/>
    <x v="2"/>
    <n v="14"/>
    <n v="1708.5628571428572"/>
    <n v="1"/>
    <n v="23919.88"/>
    <n v="21.4177"/>
    <n v="512308.813876"/>
    <n v="117.30800000000001"/>
    <n v="122.044"/>
    <n v="1.0403"/>
    <n v="532954.85907520284"/>
    <n v="38068.204219657346"/>
    <m/>
    <n v="14"/>
    <s v="Sale"/>
    <x v="83"/>
    <s v="USD"/>
    <n v="20909.2"/>
    <n v="1"/>
    <n v="20909.2"/>
    <n v="20.465199999999999"/>
    <n v="427910.95984000002"/>
    <n v="532954.85907520284"/>
    <n v="-105043.89923520281"/>
    <n v="0.63561643835616444"/>
    <n v="1"/>
    <n v="-105043.89923520281"/>
    <n v="0"/>
    <m/>
    <n v="-3010.6800000000003"/>
  </r>
  <r>
    <x v="4"/>
    <s v="Purchase"/>
    <x v="119"/>
    <x v="2"/>
    <s v="USD"/>
    <d v="2021-12-07T00:00:00"/>
    <n v="10251.377142857144"/>
    <x v="2"/>
    <n v="6"/>
    <n v="1708.5628571428572"/>
    <n v="1"/>
    <n v="10251.377142857144"/>
    <n v="21.4177"/>
    <n v="219560.92023257143"/>
    <n v="117.30800000000001"/>
    <n v="122.044"/>
    <n v="1.0403"/>
    <n v="228409.22531794404"/>
    <n v="38068.204219657338"/>
    <m/>
    <n v="6"/>
    <s v="Sale"/>
    <x v="83"/>
    <s v="USD"/>
    <n v="8880.75"/>
    <n v="1"/>
    <n v="8880.75"/>
    <n v="20.465199999999999"/>
    <n v="181746.32490000001"/>
    <n v="228409.22531794402"/>
    <n v="-46662.900417944009"/>
    <n v="0.63561643835616444"/>
    <n v="1"/>
    <n v="-46662.900417944009"/>
    <n v="0"/>
    <m/>
    <n v="-1370.6271428571436"/>
  </r>
  <r>
    <x v="4"/>
    <s v="Purchase"/>
    <x v="73"/>
    <x v="2"/>
    <s v="USD"/>
    <d v="2021-05-18T00:00:00"/>
    <n v="1259.79"/>
    <x v="2"/>
    <n v="7"/>
    <n v="179.97"/>
    <n v="1"/>
    <n v="1259.79"/>
    <n v="19.848700000000001"/>
    <n v="25005.193772999999"/>
    <n v="112.419"/>
    <n v="122.044"/>
    <n v="1.0855999999999999"/>
    <n v="27145.638359968798"/>
    <n v="3877.9483371383999"/>
    <m/>
    <n v="7"/>
    <s v="Sale"/>
    <x v="84"/>
    <s v="USD"/>
    <n v="805.11316666666676"/>
    <n v="1"/>
    <n v="805.11316666666676"/>
    <n v="20.941500000000001"/>
    <n v="16860.277379750001"/>
    <n v="27145.638359968798"/>
    <n v="-10285.360980218797"/>
    <n v="1.167123287671233"/>
    <n v="1"/>
    <n v="-10285.360980218797"/>
    <n v="0"/>
    <m/>
    <n v="-454.67683333333321"/>
  </r>
  <r>
    <x v="4"/>
    <s v="Purchase"/>
    <x v="73"/>
    <x v="2"/>
    <s v="USD"/>
    <d v="2021-06-01T00:00:00"/>
    <n v="4542.46"/>
    <x v="2"/>
    <n v="25"/>
    <n v="181.69839999999999"/>
    <n v="1"/>
    <n v="4542.46"/>
    <n v="19.944199999999999"/>
    <n v="90595.730731999996"/>
    <n v="113.018"/>
    <n v="122.044"/>
    <n v="1.0798000000000001"/>
    <n v="97825.270044413599"/>
    <n v="3913.0108017765438"/>
    <m/>
    <n v="25"/>
    <s v="Sale"/>
    <x v="84"/>
    <s v="USD"/>
    <n v="2875.4041666666672"/>
    <n v="1"/>
    <n v="2875.4041666666672"/>
    <n v="20.941500000000001"/>
    <n v="60215.276356250011"/>
    <n v="97825.270044413599"/>
    <n v="-37609.993688163588"/>
    <n v="1.1287671232876713"/>
    <n v="1"/>
    <n v="-37609.993688163588"/>
    <n v="0"/>
    <m/>
    <n v="-1667.0558333333329"/>
  </r>
  <r>
    <x v="4"/>
    <s v="Purchase"/>
    <x v="73"/>
    <x v="2"/>
    <s v="USD"/>
    <d v="2021-07-26T00:00:00"/>
    <n v="4598.7030303030306"/>
    <x v="2"/>
    <n v="28"/>
    <n v="164.23939393939395"/>
    <n v="1"/>
    <n v="4598.7030303030306"/>
    <n v="20.1812"/>
    <n v="92807.345595151521"/>
    <n v="113.682"/>
    <n v="122.044"/>
    <n v="1.0734999999999999"/>
    <n v="99628.685496395148"/>
    <n v="3558.1673391569698"/>
    <m/>
    <n v="28"/>
    <s v="Sale"/>
    <x v="84"/>
    <s v="USD"/>
    <n v="3220.452666666667"/>
    <n v="1"/>
    <n v="3220.452666666667"/>
    <n v="20.941500000000001"/>
    <n v="67441.109519000005"/>
    <n v="99628.685496395148"/>
    <n v="-32187.575977395143"/>
    <n v="0.9780821917808219"/>
    <n v="1"/>
    <n v="-32187.575977395143"/>
    <n v="0"/>
    <m/>
    <n v="-1378.2503636363635"/>
  </r>
  <r>
    <x v="4"/>
    <s v="Purchase"/>
    <x v="73"/>
    <x v="2"/>
    <s v="USD"/>
    <d v="2021-07-26T00:00:00"/>
    <n v="8211.9696969696979"/>
    <x v="2"/>
    <n v="50"/>
    <n v="164.23939393939395"/>
    <n v="1"/>
    <n v="8211.9696969696979"/>
    <n v="20.1812"/>
    <n v="165727.40284848487"/>
    <n v="113.682"/>
    <n v="122.044"/>
    <n v="1.0734999999999999"/>
    <n v="177908.36695784848"/>
    <n v="3558.1673391569698"/>
    <m/>
    <n v="50"/>
    <s v="Sale"/>
    <x v="84"/>
    <s v="USD"/>
    <n v="5847.08"/>
    <n v="1"/>
    <n v="5847.08"/>
    <n v="20.941500000000001"/>
    <n v="122446.62582"/>
    <n v="177908.36695784848"/>
    <n v="-55461.741137848483"/>
    <n v="0.9780821917808219"/>
    <n v="1"/>
    <n v="-55461.741137848483"/>
    <n v="0"/>
    <m/>
    <n v="-2364.889696969698"/>
  </r>
  <r>
    <x v="4"/>
    <s v="Purchase"/>
    <x v="73"/>
    <x v="2"/>
    <s v="USD"/>
    <d v="2021-07-26T00:00:00"/>
    <n v="3449.0272727272732"/>
    <x v="2"/>
    <n v="21"/>
    <n v="164.23939393939395"/>
    <n v="1"/>
    <n v="3449.0272727272732"/>
    <n v="20.1812"/>
    <n v="69605.509196363651"/>
    <n v="113.682"/>
    <n v="122.044"/>
    <n v="1.0734999999999999"/>
    <n v="74721.514122296372"/>
    <n v="3558.1673391569702"/>
    <m/>
    <n v="21"/>
    <s v="Sale"/>
    <x v="84"/>
    <s v="USD"/>
    <n v="2469.0708"/>
    <n v="1"/>
    <n v="2469.0708"/>
    <n v="20.941500000000001"/>
    <n v="51706.046158199999"/>
    <n v="74721.514122296372"/>
    <n v="-23015.467964096373"/>
    <n v="0.9780821917808219"/>
    <n v="1"/>
    <n v="-23015.467964096373"/>
    <n v="0"/>
    <m/>
    <n v="-979.95647272727319"/>
  </r>
  <r>
    <x v="4"/>
    <s v="Purchase"/>
    <x v="73"/>
    <x v="2"/>
    <s v="USD"/>
    <d v="2021-08-10T00:00:00"/>
    <n v="668.18857142857144"/>
    <x v="2"/>
    <n v="4"/>
    <n v="167.04714285714286"/>
    <n v="1"/>
    <n v="668.18857142857144"/>
    <n v="20.003699999999998"/>
    <n v="13366.243726285713"/>
    <n v="113.899"/>
    <n v="122.044"/>
    <n v="1.0714999999999999"/>
    <n v="14321.93015271514"/>
    <n v="3580.482538178785"/>
    <m/>
    <n v="4"/>
    <s v="Sale"/>
    <x v="84"/>
    <s v="USD"/>
    <n v="470.29919999999998"/>
    <n v="1"/>
    <n v="470.29919999999998"/>
    <n v="20.941500000000001"/>
    <n v="9848.7706968000002"/>
    <n v="14321.93015271514"/>
    <n v="-4473.1594559151399"/>
    <n v="0.93698630136986305"/>
    <n v="1"/>
    <n v="-4473.1594559151399"/>
    <n v="0"/>
    <m/>
    <n v="-197.88937142857145"/>
  </r>
  <r>
    <x v="4"/>
    <s v="Purchase"/>
    <x v="73"/>
    <x v="2"/>
    <s v="USD"/>
    <d v="2021-08-10T00:00:00"/>
    <n v="2839.8014285714285"/>
    <x v="2"/>
    <n v="17"/>
    <n v="167.04714285714286"/>
    <n v="1"/>
    <n v="2839.8014285714285"/>
    <n v="20.003699999999998"/>
    <n v="56806.535836714276"/>
    <n v="113.899"/>
    <n v="122.044"/>
    <n v="1.0714999999999999"/>
    <n v="60868.203149039342"/>
    <n v="3580.482538178785"/>
    <m/>
    <n v="17"/>
    <s v="Sale"/>
    <x v="84"/>
    <s v="USD"/>
    <n v="2000.34"/>
    <n v="1"/>
    <n v="2000.34"/>
    <n v="20.941500000000001"/>
    <n v="41890.120110000003"/>
    <n v="60868.203149039342"/>
    <n v="-18978.083039039338"/>
    <n v="0.93698630136986305"/>
    <n v="1"/>
    <n v="-18978.083039039338"/>
    <n v="0"/>
    <m/>
    <n v="-839.46142857142854"/>
  </r>
  <r>
    <x v="4"/>
    <s v="Purchase"/>
    <x v="73"/>
    <x v="2"/>
    <s v="USD"/>
    <d v="2021-08-10T00:00:00"/>
    <n v="1503.1384615384613"/>
    <x v="2"/>
    <n v="9"/>
    <n v="167.01538461538459"/>
    <n v="1"/>
    <n v="1503.1384615384613"/>
    <n v="20.003699999999998"/>
    <n v="30068.330843076918"/>
    <n v="113.899"/>
    <n v="122.044"/>
    <n v="1.0714999999999999"/>
    <n v="32218.216498356913"/>
    <n v="3579.8018331507683"/>
    <m/>
    <n v="9"/>
    <s v="Sale"/>
    <x v="84"/>
    <s v="USD"/>
    <n v="1057.3900000000001"/>
    <n v="1"/>
    <n v="1057.3900000000001"/>
    <n v="20.941500000000001"/>
    <n v="22143.332685000005"/>
    <n v="32218.216498356916"/>
    <n v="-10074.883813356912"/>
    <n v="0.93698630136986305"/>
    <n v="1"/>
    <n v="-10074.883813356912"/>
    <n v="0"/>
    <m/>
    <n v="-445.74846153846124"/>
  </r>
  <r>
    <x v="4"/>
    <s v="Purchase"/>
    <x v="120"/>
    <x v="2"/>
    <s v="USD"/>
    <d v="2021-06-09T00:00:00"/>
    <n v="1161.2948148148148"/>
    <x v="2"/>
    <n v="26"/>
    <n v="44.665185185185187"/>
    <n v="1"/>
    <n v="1161.2948148148148"/>
    <n v="19.797000000000001"/>
    <n v="22990.15344888889"/>
    <n v="113.018"/>
    <n v="122.044"/>
    <n v="1.0798000000000001"/>
    <n v="24824.767694110225"/>
    <n v="954.79875746577795"/>
    <m/>
    <n v="26"/>
    <s v="Sale"/>
    <x v="84"/>
    <s v="USD"/>
    <n v="829.63006060606062"/>
    <n v="1"/>
    <n v="829.63006060606062"/>
    <n v="20.941500000000001"/>
    <n v="17373.697914181819"/>
    <n v="24824.767694110225"/>
    <n v="-7451.0697799284062"/>
    <n v="1.106849315068493"/>
    <n v="1"/>
    <n v="-7451.0697799284062"/>
    <n v="0"/>
    <m/>
    <n v="-331.66475420875418"/>
  </r>
  <r>
    <x v="4"/>
    <s v="Purchase"/>
    <x v="120"/>
    <x v="2"/>
    <s v="USD"/>
    <d v="2021-06-09T00:00:00"/>
    <n v="2518.98"/>
    <x v="2"/>
    <n v="56"/>
    <n v="44.981785714285714"/>
    <n v="1"/>
    <n v="2518.98"/>
    <n v="19.797000000000001"/>
    <n v="49868.247060000002"/>
    <n v="113.018"/>
    <n v="122.044"/>
    <n v="1.0798000000000001"/>
    <n v="53847.733175388006"/>
    <n v="961.5666638462144"/>
    <m/>
    <n v="56"/>
    <s v="Sale"/>
    <x v="84"/>
    <s v="USD"/>
    <n v="1786.8955151515152"/>
    <n v="1"/>
    <n v="1786.8955151515152"/>
    <n v="20.941500000000001"/>
    <n v="37420.272430545454"/>
    <n v="53847.733175388006"/>
    <n v="-16427.460744842552"/>
    <n v="1.106849315068493"/>
    <n v="1"/>
    <n v="-16427.460744842552"/>
    <n v="0"/>
    <m/>
    <n v="-732.08448484848486"/>
  </r>
  <r>
    <x v="4"/>
    <s v="Purchase"/>
    <x v="120"/>
    <x v="2"/>
    <s v="USD"/>
    <d v="2021-06-11T00:00:00"/>
    <n v="1464.6"/>
    <x v="2"/>
    <n v="31"/>
    <n v="47.245161290322578"/>
    <n v="1"/>
    <n v="1464.6"/>
    <n v="19.689699999999998"/>
    <n v="28837.534619999995"/>
    <n v="113.018"/>
    <n v="122.044"/>
    <n v="1.0798000000000001"/>
    <n v="31138.769882675999"/>
    <n v="1004.4764478282581"/>
    <m/>
    <n v="31"/>
    <s v="Sale"/>
    <x v="84"/>
    <s v="USD"/>
    <n v="989.17430303030301"/>
    <n v="1"/>
    <n v="989.17430303030301"/>
    <n v="20.941500000000001"/>
    <n v="20714.793666909092"/>
    <n v="31138.769882675999"/>
    <n v="-10423.976215766907"/>
    <n v="1.1013698630136985"/>
    <n v="1"/>
    <n v="-10423.976215766907"/>
    <n v="0"/>
    <m/>
    <n v="-475.4256969696969"/>
  </r>
  <r>
    <x v="4"/>
    <s v="Purchase"/>
    <x v="120"/>
    <x v="2"/>
    <s v="USD"/>
    <d v="2021-06-11T00:00:00"/>
    <n v="1193.8499999999999"/>
    <x v="2"/>
    <n v="25"/>
    <n v="47.753999999999998"/>
    <n v="1"/>
    <n v="1193.8499999999999"/>
    <n v="19.689699999999998"/>
    <n v="23506.548344999996"/>
    <n v="113.018"/>
    <n v="122.044"/>
    <n v="1.0798000000000001"/>
    <n v="25382.370902930998"/>
    <n v="1015.2948361172399"/>
    <m/>
    <n v="25"/>
    <s v="Sale"/>
    <x v="84"/>
    <s v="USD"/>
    <n v="797.72121212121215"/>
    <n v="1"/>
    <n v="797.72121212121215"/>
    <n v="20.941500000000001"/>
    <n v="16705.478763636365"/>
    <n v="25382.370902930998"/>
    <n v="-8676.8921392946322"/>
    <n v="1.1013698630136985"/>
    <n v="1"/>
    <n v="-8676.8921392946322"/>
    <n v="0"/>
    <m/>
    <n v="-396.12878787878776"/>
  </r>
  <r>
    <x v="4"/>
    <s v="Purchase"/>
    <x v="120"/>
    <x v="2"/>
    <s v="USD"/>
    <d v="2021-06-11T00:00:00"/>
    <n v="331.42"/>
    <x v="2"/>
    <n v="7"/>
    <n v="47.345714285714287"/>
    <n v="1"/>
    <n v="331.42"/>
    <n v="19.689699999999998"/>
    <n v="6525.5603739999997"/>
    <n v="113.018"/>
    <n v="122.044"/>
    <n v="1.0798000000000001"/>
    <n v="7046.3000918451999"/>
    <n v="1006.6142988350285"/>
    <m/>
    <n v="7"/>
    <s v="Sale"/>
    <x v="84"/>
    <s v="USD"/>
    <n v="223.36193939393939"/>
    <n v="1"/>
    <n v="223.36193939393939"/>
    <n v="20.941500000000001"/>
    <n v="4677.5340538181817"/>
    <n v="7046.3000918451999"/>
    <n v="-2368.7660380270181"/>
    <n v="1.1013698630136985"/>
    <n v="1"/>
    <n v="-2368.7660380270181"/>
    <n v="0"/>
    <m/>
    <n v="-108.05806060606062"/>
  </r>
  <r>
    <x v="4"/>
    <s v="Purchase"/>
    <x v="120"/>
    <x v="2"/>
    <s v="USD"/>
    <d v="2021-06-11T00:00:00"/>
    <n v="938.84444444444455"/>
    <x v="2"/>
    <n v="20"/>
    <n v="46.942222222222227"/>
    <n v="1"/>
    <n v="938.84444444444455"/>
    <n v="19.689699999999998"/>
    <n v="18485.565457777779"/>
    <n v="113.018"/>
    <n v="122.044"/>
    <n v="1.0798000000000001"/>
    <n v="19960.713581308446"/>
    <n v="998.0356790654223"/>
    <m/>
    <n v="20"/>
    <s v="Sale"/>
    <x v="84"/>
    <s v="USD"/>
    <n v="638.17696969696965"/>
    <n v="1"/>
    <n v="638.17696969696965"/>
    <n v="20.941500000000001"/>
    <n v="13364.38301090909"/>
    <n v="19960.713581308446"/>
    <n v="-6596.3305703993556"/>
    <n v="1.1013698630136985"/>
    <n v="1"/>
    <n v="-6596.3305703993556"/>
    <n v="0"/>
    <m/>
    <n v="-300.6674747474749"/>
  </r>
  <r>
    <x v="4"/>
    <s v="Purchase"/>
    <x v="120"/>
    <x v="2"/>
    <s v="USD"/>
    <d v="2021-06-11T00:00:00"/>
    <n v="328.59555555555562"/>
    <x v="2"/>
    <n v="7"/>
    <n v="46.942222222222235"/>
    <n v="1"/>
    <n v="328.59555555555562"/>
    <n v="19.689699999999998"/>
    <n v="6469.9479102222231"/>
    <n v="113.018"/>
    <n v="122.044"/>
    <n v="1.0798000000000001"/>
    <n v="6986.249753457957"/>
    <n v="998.03567906542241"/>
    <m/>
    <n v="7"/>
    <s v="Sale"/>
    <x v="84"/>
    <s v="USD"/>
    <n v="232.77555555555554"/>
    <n v="1"/>
    <n v="232.77555555555554"/>
    <n v="20.941500000000001"/>
    <n v="4874.6692966666669"/>
    <n v="6986.249753457957"/>
    <n v="-2111.5804567912901"/>
    <n v="1.1013698630136985"/>
    <n v="1"/>
    <n v="-2111.5804567912901"/>
    <n v="0"/>
    <m/>
    <n v="-95.820000000000078"/>
  </r>
  <r>
    <x v="4"/>
    <s v="Purchase"/>
    <x v="120"/>
    <x v="2"/>
    <s v="USD"/>
    <d v="2021-06-14T00:00:00"/>
    <n v="238.15"/>
    <x v="2"/>
    <n v="5"/>
    <n v="47.63"/>
    <n v="1"/>
    <n v="238.15"/>
    <n v="19.700199999999999"/>
    <n v="4691.6026299999994"/>
    <n v="113.018"/>
    <n v="122.044"/>
    <n v="1.0798000000000001"/>
    <n v="5065.9925198740002"/>
    <n v="1013.1985039748"/>
    <m/>
    <n v="5"/>
    <s v="Sale"/>
    <x v="84"/>
    <s v="USD"/>
    <n v="166.26825396825396"/>
    <n v="1"/>
    <n v="166.26825396825396"/>
    <n v="20.941500000000001"/>
    <n v="3481.9066404761907"/>
    <n v="5065.9925198740002"/>
    <n v="-1584.0858793978095"/>
    <n v="1.0931506849315069"/>
    <n v="1"/>
    <n v="-1584.0858793978095"/>
    <n v="0"/>
    <m/>
    <n v="-71.881746031746047"/>
  </r>
  <r>
    <x v="4"/>
    <s v="Purchase"/>
    <x v="120"/>
    <x v="2"/>
    <s v="USD"/>
    <d v="2021-06-14T00:00:00"/>
    <n v="2410.3632911392401"/>
    <x v="2"/>
    <n v="51"/>
    <n v="47.262025316455691"/>
    <n v="1"/>
    <n v="2410.3632911392401"/>
    <n v="19.700199999999999"/>
    <n v="47484.638908101253"/>
    <n v="113.018"/>
    <n v="122.044"/>
    <n v="1.0798000000000001"/>
    <n v="51273.913092967734"/>
    <n v="1005.3708449601517"/>
    <m/>
    <n v="51"/>
    <s v="Sale"/>
    <x v="84"/>
    <s v="USD"/>
    <n v="1695.9361904761904"/>
    <n v="1"/>
    <n v="1695.9361904761904"/>
    <n v="20.941500000000001"/>
    <n v="35515.447732857145"/>
    <n v="51273.913092967734"/>
    <n v="-15758.465360110589"/>
    <n v="1.0931506849315069"/>
    <n v="1"/>
    <n v="-15758.465360110589"/>
    <n v="0"/>
    <m/>
    <n v="-714.42710066304971"/>
  </r>
  <r>
    <x v="4"/>
    <s v="Purchase"/>
    <x v="120"/>
    <x v="2"/>
    <s v="USD"/>
    <d v="2021-06-14T00:00:00"/>
    <n v="1323.3367088607592"/>
    <x v="2"/>
    <n v="28"/>
    <n v="47.262025316455684"/>
    <n v="1"/>
    <n v="1323.3367088607592"/>
    <n v="19.700199999999999"/>
    <n v="26069.997831898727"/>
    <n v="113.018"/>
    <n v="122.044"/>
    <n v="1.0798000000000001"/>
    <n v="28150.383658884246"/>
    <n v="1005.3708449601517"/>
    <m/>
    <n v="28"/>
    <s v="Sale"/>
    <x v="84"/>
    <s v="USD"/>
    <n v="887.90731707317082"/>
    <n v="1"/>
    <n v="887.90731707317082"/>
    <n v="20.941500000000001"/>
    <n v="18594.111080487808"/>
    <n v="28150.383658884246"/>
    <n v="-9556.2725783964379"/>
    <n v="1.0931506849315069"/>
    <n v="1"/>
    <n v="-9556.2725783964379"/>
    <n v="0"/>
    <m/>
    <n v="-435.42939178758843"/>
  </r>
  <r>
    <x v="4"/>
    <s v="Purchase"/>
    <x v="120"/>
    <x v="2"/>
    <s v="USD"/>
    <d v="2021-06-14T00:00:00"/>
    <n v="617.84357142857152"/>
    <x v="2"/>
    <n v="13"/>
    <n v="47.526428571428582"/>
    <n v="1"/>
    <n v="617.84357142857152"/>
    <n v="19.700199999999999"/>
    <n v="12171.641925857144"/>
    <n v="113.018"/>
    <n v="122.044"/>
    <n v="1.0798000000000001"/>
    <n v="13142.938951540546"/>
    <n v="1010.9953039646573"/>
    <m/>
    <n v="13"/>
    <s v="Sale"/>
    <x v="84"/>
    <s v="USD"/>
    <n v="412.24268292682933"/>
    <n v="1"/>
    <n v="412.24268292682933"/>
    <n v="20.941500000000001"/>
    <n v="8632.9801445121975"/>
    <n v="13142.938951540546"/>
    <n v="-4509.958807028348"/>
    <n v="1.0931506849315069"/>
    <n v="1"/>
    <n v="-4509.958807028348"/>
    <n v="0"/>
    <m/>
    <n v="-205.60088850174219"/>
  </r>
  <r>
    <x v="4"/>
    <s v="Purchase"/>
    <x v="120"/>
    <x v="2"/>
    <s v="USD"/>
    <d v="2021-06-14T00:00:00"/>
    <n v="47.526428571428575"/>
    <x v="2"/>
    <n v="1"/>
    <n v="47.526428571428575"/>
    <n v="1"/>
    <n v="47.526428571428575"/>
    <n v="19.700199999999999"/>
    <n v="936.28014814285712"/>
    <n v="113.018"/>
    <n v="122.044"/>
    <n v="1.0798000000000001"/>
    <n v="1010.9953039646572"/>
    <n v="1010.9953039646572"/>
    <m/>
    <n v="1"/>
    <s v="Sale"/>
    <x v="84"/>
    <s v="USD"/>
    <n v="31.779411764705884"/>
    <n v="1"/>
    <n v="31.779411764705884"/>
    <n v="20.941500000000001"/>
    <n v="665.50855147058826"/>
    <n v="1010.9953039646572"/>
    <n v="-345.48675249406892"/>
    <n v="1.0931506849315069"/>
    <n v="1"/>
    <n v="-345.48675249406892"/>
    <n v="0"/>
    <m/>
    <n v="-15.747016806722691"/>
  </r>
  <r>
    <x v="4"/>
    <s v="Purchase"/>
    <x v="120"/>
    <x v="2"/>
    <s v="USD"/>
    <d v="2021-06-15T00:00:00"/>
    <n v="814.80224299065412"/>
    <x v="2"/>
    <n v="16"/>
    <n v="50.925140186915883"/>
    <n v="1"/>
    <n v="814.80224299065412"/>
    <n v="19.882300000000001"/>
    <n v="16200.142635813083"/>
    <n v="113.018"/>
    <n v="122.044"/>
    <n v="1.0798000000000001"/>
    <n v="17492.914018150968"/>
    <n v="1093.3071261344355"/>
    <m/>
    <n v="16"/>
    <s v="Sale"/>
    <x v="84"/>
    <s v="USD"/>
    <n v="508.47058823529414"/>
    <n v="1"/>
    <n v="508.47058823529414"/>
    <n v="20.941500000000001"/>
    <n v="10648.136823529412"/>
    <n v="17492.914018150968"/>
    <n v="-6844.7771946215562"/>
    <n v="1.0904109589041096"/>
    <n v="1"/>
    <n v="-6844.7771946215562"/>
    <n v="0"/>
    <m/>
    <n v="-306.33165475535998"/>
  </r>
  <r>
    <x v="4"/>
    <s v="Purchase"/>
    <x v="120"/>
    <x v="2"/>
    <s v="USD"/>
    <d v="2021-06-15T00:00:00"/>
    <n v="4634.1877570093457"/>
    <x v="2"/>
    <n v="91"/>
    <n v="50.92514018691589"/>
    <n v="1"/>
    <n v="4634.1877570093457"/>
    <n v="19.882300000000001"/>
    <n v="92138.311241186922"/>
    <n v="113.018"/>
    <n v="122.044"/>
    <n v="1.0798000000000001"/>
    <n v="99490.948478233651"/>
    <n v="1093.3071261344357"/>
    <m/>
    <n v="91"/>
    <s v="Sale"/>
    <x v="85"/>
    <s v="USD"/>
    <n v="2972.0541290322581"/>
    <n v="1"/>
    <n v="2972.0541290322581"/>
    <n v="20.611000000000001"/>
    <n v="61257.007653483874"/>
    <n v="99490.948478233651"/>
    <n v="-38233.940824749778"/>
    <n v="1.0931506849315069"/>
    <n v="1"/>
    <n v="-38233.940824749778"/>
    <n v="0"/>
    <m/>
    <n v="-1662.1336279770876"/>
  </r>
  <r>
    <x v="4"/>
    <s v="Purchase"/>
    <x v="120"/>
    <x v="2"/>
    <s v="USD"/>
    <d v="2021-06-15T00:00:00"/>
    <n v="603.54"/>
    <x v="2"/>
    <n v="12"/>
    <n v="50.294999999999995"/>
    <n v="1"/>
    <n v="603.54"/>
    <n v="19.882300000000001"/>
    <n v="11999.763342"/>
    <n v="113.018"/>
    <n v="122.044"/>
    <n v="1.0798000000000001"/>
    <n v="12957.3444566916"/>
    <n v="1079.7787047243"/>
    <m/>
    <n v="12"/>
    <s v="Sale"/>
    <x v="85"/>
    <s v="USD"/>
    <n v="391.91922580645161"/>
    <n v="1"/>
    <n v="391.91922580645161"/>
    <n v="20.611000000000001"/>
    <n v="8077.8471630967742"/>
    <n v="12957.3444566916"/>
    <n v="-4879.4972935948263"/>
    <n v="1.0931506849315069"/>
    <n v="1"/>
    <n v="-4879.4972935948263"/>
    <n v="0"/>
    <m/>
    <n v="-211.62077419354836"/>
  </r>
  <r>
    <x v="4"/>
    <s v="Purchase"/>
    <x v="120"/>
    <x v="2"/>
    <s v="USD"/>
    <d v="2021-06-22T00:00:00"/>
    <n v="2754.44"/>
    <x v="2"/>
    <n v="52"/>
    <n v="52.97"/>
    <n v="1"/>
    <n v="2754.44"/>
    <n v="20.700199999999999"/>
    <n v="57017.458888000001"/>
    <n v="113.018"/>
    <n v="122.044"/>
    <n v="1.0798000000000001"/>
    <n v="61567.452107262405"/>
    <n v="1183.9894636012"/>
    <m/>
    <n v="52"/>
    <s v="Sale"/>
    <x v="85"/>
    <s v="USD"/>
    <n v="1698.3166451612904"/>
    <n v="1"/>
    <n v="1698.3166451612904"/>
    <n v="20.611000000000001"/>
    <n v="35004.004373419353"/>
    <n v="61567.452107262397"/>
    <n v="-26563.447733843044"/>
    <n v="1.0739726027397261"/>
    <n v="1"/>
    <n v="-26563.447733843044"/>
    <n v="0"/>
    <m/>
    <n v="-1056.1233548387097"/>
  </r>
  <r>
    <x v="4"/>
    <s v="Purchase"/>
    <x v="120"/>
    <x v="2"/>
    <s v="USD"/>
    <d v="2021-06-22T00:00:00"/>
    <n v="1800.98"/>
    <x v="2"/>
    <n v="34"/>
    <n v="52.97"/>
    <n v="1"/>
    <n v="1800.98"/>
    <n v="20.700199999999999"/>
    <n v="37280.646196000002"/>
    <n v="113.018"/>
    <n v="122.044"/>
    <n v="1.0798000000000001"/>
    <n v="40255.641762440806"/>
    <n v="1183.9894636012002"/>
    <m/>
    <n v="34"/>
    <s v="Sale"/>
    <x v="85"/>
    <s v="USD"/>
    <n v="1110.43"/>
    <n v="1"/>
    <n v="1110.43"/>
    <n v="20.611000000000001"/>
    <n v="22887.072730000004"/>
    <n v="40255.641762440806"/>
    <n v="-17368.569032440802"/>
    <n v="1.0739726027397261"/>
    <n v="1"/>
    <n v="-17368.569032440802"/>
    <n v="0"/>
    <m/>
    <n v="-690.55"/>
  </r>
  <r>
    <x v="4"/>
    <s v="Purchase"/>
    <x v="120"/>
    <x v="2"/>
    <s v="USD"/>
    <d v="2021-06-22T00:00:00"/>
    <n v="688.61"/>
    <x v="2"/>
    <n v="13"/>
    <n v="52.97"/>
    <n v="1"/>
    <n v="688.61"/>
    <n v="20.700199999999999"/>
    <n v="14254.364722"/>
    <n v="113.018"/>
    <n v="122.044"/>
    <n v="1.0798000000000001"/>
    <n v="15391.863026815601"/>
    <n v="1183.9894636012"/>
    <m/>
    <n v="13"/>
    <s v="Sale"/>
    <x v="85"/>
    <s v="USD"/>
    <n v="428.27"/>
    <n v="1"/>
    <n v="428.27"/>
    <n v="20.611000000000001"/>
    <n v="8827.0729699999993"/>
    <n v="15391.863026815599"/>
    <n v="-6564.7900568156001"/>
    <n v="1.0739726027397261"/>
    <n v="1"/>
    <n v="-6564.7900568156001"/>
    <n v="0"/>
    <m/>
    <n v="-260.34000000000003"/>
  </r>
  <r>
    <x v="4"/>
    <s v="Purchase"/>
    <x v="120"/>
    <x v="2"/>
    <s v="USD"/>
    <d v="2021-06-22T00:00:00"/>
    <n v="158.91"/>
    <x v="2"/>
    <n v="3"/>
    <n v="52.97"/>
    <n v="1"/>
    <n v="158.91"/>
    <n v="20.700199999999999"/>
    <n v="3289.4687819999999"/>
    <n v="113.018"/>
    <n v="122.044"/>
    <n v="1.0798000000000001"/>
    <n v="3551.9683908036004"/>
    <n v="1183.9894636012002"/>
    <m/>
    <n v="3"/>
    <s v="Sale"/>
    <x v="85"/>
    <s v="USD"/>
    <n v="98.830000000000013"/>
    <n v="1"/>
    <n v="98.830000000000013"/>
    <n v="20.611000000000001"/>
    <n v="2036.9851300000003"/>
    <n v="3551.9683908036004"/>
    <n v="-1514.9832608036002"/>
    <n v="1.0739726027397261"/>
    <n v="1"/>
    <n v="-1514.9832608036002"/>
    <n v="0"/>
    <m/>
    <n v="-60.079999999999984"/>
  </r>
  <r>
    <x v="4"/>
    <s v="Purchase"/>
    <x v="120"/>
    <x v="2"/>
    <s v="USD"/>
    <d v="2021-06-22T00:00:00"/>
    <n v="105.94"/>
    <x v="2"/>
    <n v="2"/>
    <n v="52.97"/>
    <n v="1"/>
    <n v="105.94"/>
    <n v="20.700199999999999"/>
    <n v="2192.9791879999998"/>
    <n v="113.018"/>
    <n v="122.044"/>
    <n v="1.0798000000000001"/>
    <n v="2367.9789272024"/>
    <n v="1183.9894636012"/>
    <m/>
    <n v="2"/>
    <s v="Sale"/>
    <x v="85"/>
    <s v="USD"/>
    <n v="64.94"/>
    <n v="1"/>
    <n v="64.94"/>
    <n v="20.611000000000001"/>
    <n v="1338.4783399999999"/>
    <n v="2367.9789272024"/>
    <n v="-1029.5005872024001"/>
    <n v="1.0739726027397261"/>
    <n v="1"/>
    <n v="-1029.5005872024001"/>
    <n v="0"/>
    <m/>
    <n v="-41"/>
  </r>
  <r>
    <x v="4"/>
    <s v="Purchase"/>
    <x v="120"/>
    <x v="2"/>
    <s v="USD"/>
    <d v="2021-06-22T00:00:00"/>
    <n v="2383.65"/>
    <x v="2"/>
    <n v="45"/>
    <n v="52.97"/>
    <n v="1"/>
    <n v="2383.65"/>
    <n v="20.700199999999999"/>
    <n v="49342.031730000002"/>
    <n v="113.018"/>
    <n v="122.044"/>
    <n v="1.0798000000000001"/>
    <n v="53279.525862054004"/>
    <n v="1183.9894636012"/>
    <m/>
    <n v="45"/>
    <s v="Sale"/>
    <x v="86"/>
    <s v="USD"/>
    <n v="1556.9"/>
    <n v="1"/>
    <n v="1556.9"/>
    <n v="20.395700000000001"/>
    <n v="31754.065330000005"/>
    <n v="53279.525862053997"/>
    <n v="-21525.460532053992"/>
    <n v="1.0767123287671232"/>
    <n v="1"/>
    <n v="-21525.460532053992"/>
    <n v="0"/>
    <m/>
    <n v="-826.75"/>
  </r>
  <r>
    <x v="4"/>
    <s v="Purchase"/>
    <x v="120"/>
    <x v="2"/>
    <s v="USD"/>
    <d v="2021-06-22T00:00:00"/>
    <n v="847.52"/>
    <x v="2"/>
    <n v="16"/>
    <n v="52.97"/>
    <n v="1"/>
    <n v="847.52"/>
    <n v="20.700199999999999"/>
    <n v="17543.833503999998"/>
    <n v="113.018"/>
    <n v="122.044"/>
    <n v="1.0798000000000001"/>
    <n v="18943.8314176192"/>
    <n v="1183.9894636012"/>
    <m/>
    <n v="16"/>
    <s v="Sale"/>
    <x v="86"/>
    <s v="USD"/>
    <n v="547.30999999999995"/>
    <n v="1"/>
    <n v="547.30999999999995"/>
    <n v="20.395700000000001"/>
    <n v="11162.770567"/>
    <n v="18943.8314176192"/>
    <n v="-7781.0608506192002"/>
    <n v="1.0767123287671232"/>
    <n v="1"/>
    <n v="-7781.0608506192002"/>
    <n v="0"/>
    <m/>
    <n v="-300.21000000000004"/>
  </r>
  <r>
    <x v="4"/>
    <s v="Purchase"/>
    <x v="120"/>
    <x v="2"/>
    <s v="USD"/>
    <d v="2021-06-22T00:00:00"/>
    <n v="582.66999999999996"/>
    <x v="2"/>
    <n v="11"/>
    <n v="52.97"/>
    <n v="1"/>
    <n v="582.66999999999996"/>
    <n v="20.700199999999999"/>
    <n v="12061.385533999999"/>
    <n v="113.018"/>
    <n v="122.044"/>
    <n v="1.0798000000000001"/>
    <n v="13023.8840996132"/>
    <n v="1183.9894636012"/>
    <m/>
    <n v="11"/>
    <s v="Sale"/>
    <x v="86"/>
    <s v="USD"/>
    <n v="379.14"/>
    <n v="1"/>
    <n v="379.14"/>
    <n v="20.395700000000001"/>
    <n v="7732.8256980000006"/>
    <n v="13023.8840996132"/>
    <n v="-5291.0584016131997"/>
    <n v="1.0767123287671232"/>
    <n v="1"/>
    <n v="-5291.0584016131997"/>
    <n v="0"/>
    <m/>
    <n v="-203.52999999999997"/>
  </r>
  <r>
    <x v="4"/>
    <s v="Purchase"/>
    <x v="120"/>
    <x v="2"/>
    <s v="USD"/>
    <d v="2021-06-22T00:00:00"/>
    <n v="529.70000000000005"/>
    <x v="2"/>
    <n v="10"/>
    <n v="52.970000000000006"/>
    <n v="1"/>
    <n v="529.70000000000005"/>
    <n v="20.700199999999999"/>
    <n v="10964.89594"/>
    <n v="113.018"/>
    <n v="122.044"/>
    <n v="1.0798000000000001"/>
    <n v="11839.894636012001"/>
    <n v="1183.9894636012"/>
    <m/>
    <n v="10"/>
    <s v="Sale"/>
    <x v="86"/>
    <s v="USD"/>
    <n v="345.98"/>
    <n v="1"/>
    <n v="345.98"/>
    <n v="20.395700000000001"/>
    <n v="7056.5042860000012"/>
    <n v="11839.894636011999"/>
    <n v="-4783.3903500119977"/>
    <n v="1.0767123287671232"/>
    <n v="1"/>
    <n v="-4783.3903500119977"/>
    <n v="0"/>
    <m/>
    <n v="-183.72000000000003"/>
  </r>
  <r>
    <x v="4"/>
    <s v="Purchase"/>
    <x v="120"/>
    <x v="2"/>
    <s v="USD"/>
    <d v="2021-06-22T00:00:00"/>
    <n v="476.73"/>
    <x v="2"/>
    <n v="9"/>
    <n v="52.97"/>
    <n v="1"/>
    <n v="476.73"/>
    <n v="20.700199999999999"/>
    <n v="9868.4063459999998"/>
    <n v="113.018"/>
    <n v="122.044"/>
    <n v="1.0798000000000001"/>
    <n v="10655.905172410801"/>
    <n v="1183.9894636012002"/>
    <m/>
    <n v="9"/>
    <s v="Sale"/>
    <x v="86"/>
    <s v="USD"/>
    <n v="312.11"/>
    <n v="1"/>
    <n v="312.11"/>
    <n v="20.395700000000001"/>
    <n v="6365.701927000001"/>
    <n v="10655.905172410801"/>
    <n v="-4290.2032454108003"/>
    <n v="1.0767123287671232"/>
    <n v="1"/>
    <n v="-4290.2032454108003"/>
    <n v="0"/>
    <m/>
    <n v="-164.62"/>
  </r>
  <r>
    <x v="4"/>
    <s v="Purchase"/>
    <x v="120"/>
    <x v="2"/>
    <s v="USD"/>
    <d v="2021-06-22T00:00:00"/>
    <n v="211.88"/>
    <x v="2"/>
    <n v="4"/>
    <n v="52.97"/>
    <n v="1"/>
    <n v="211.88"/>
    <n v="20.700199999999999"/>
    <n v="4385.9583759999996"/>
    <n v="113.018"/>
    <n v="122.044"/>
    <n v="1.0798000000000001"/>
    <n v="4735.9578544047999"/>
    <n v="1183.9894636012"/>
    <m/>
    <n v="4"/>
    <s v="Sale"/>
    <x v="86"/>
    <s v="USD"/>
    <n v="136.83000000000001"/>
    <n v="1"/>
    <n v="136.83000000000001"/>
    <n v="20.395700000000001"/>
    <n v="2790.7436310000003"/>
    <n v="4735.9578544047999"/>
    <n v="-1945.2142234047997"/>
    <n v="1.0767123287671232"/>
    <n v="1"/>
    <n v="-1945.2142234047997"/>
    <n v="0"/>
    <m/>
    <n v="-75.049999999999983"/>
  </r>
  <r>
    <x v="4"/>
    <s v="Purchase"/>
    <x v="120"/>
    <x v="2"/>
    <s v="USD"/>
    <d v="2021-06-22T00:00:00"/>
    <n v="105.94"/>
    <x v="2"/>
    <n v="2"/>
    <n v="52.97"/>
    <n v="1"/>
    <n v="105.94"/>
    <n v="20.700199999999999"/>
    <n v="2192.9791879999998"/>
    <n v="113.018"/>
    <n v="122.044"/>
    <n v="1.0798000000000001"/>
    <n v="2367.9789272024"/>
    <n v="1183.9894636012"/>
    <m/>
    <n v="2"/>
    <s v="Sale"/>
    <x v="86"/>
    <s v="USD"/>
    <n v="68.94"/>
    <n v="1"/>
    <n v="68.94"/>
    <n v="20.395700000000001"/>
    <n v="1406.0795580000001"/>
    <n v="2367.9789272024"/>
    <n v="-961.89936920239984"/>
    <n v="1.0767123287671232"/>
    <n v="1"/>
    <n v="-961.89936920239984"/>
    <n v="0"/>
    <m/>
    <n v="-37"/>
  </r>
  <r>
    <x v="4"/>
    <s v="Purchase"/>
    <x v="120"/>
    <x v="2"/>
    <s v="USD"/>
    <d v="2021-06-22T00:00:00"/>
    <n v="105.94"/>
    <x v="2"/>
    <n v="2"/>
    <n v="52.97"/>
    <n v="1"/>
    <n v="105.94"/>
    <n v="20.700199999999999"/>
    <n v="2192.9791879999998"/>
    <n v="113.018"/>
    <n v="122.044"/>
    <n v="1.0798000000000001"/>
    <n v="2367.9789272024"/>
    <n v="1183.9894636012"/>
    <m/>
    <n v="2"/>
    <s v="Sale"/>
    <x v="86"/>
    <s v="USD"/>
    <n v="69.36"/>
    <n v="1"/>
    <n v="69.36"/>
    <n v="20.395700000000001"/>
    <n v="1414.6457520000001"/>
    <n v="2367.9789272024"/>
    <n v="-953.33317520239984"/>
    <n v="1.0767123287671232"/>
    <n v="1"/>
    <n v="-953.33317520239984"/>
    <n v="0"/>
    <m/>
    <n v="-36.58"/>
  </r>
  <r>
    <x v="4"/>
    <s v="Purchase"/>
    <x v="120"/>
    <x v="2"/>
    <s v="USD"/>
    <d v="2021-06-22T00:00:00"/>
    <n v="52.97"/>
    <x v="2"/>
    <n v="1"/>
    <n v="52.97"/>
    <n v="1"/>
    <n v="52.97"/>
    <n v="20.700199999999999"/>
    <n v="1096.4895939999999"/>
    <n v="113.018"/>
    <n v="122.044"/>
    <n v="1.0798000000000001"/>
    <n v="1183.9894636012"/>
    <n v="1183.9894636012"/>
    <m/>
    <n v="1"/>
    <s v="Sale"/>
    <x v="86"/>
    <s v="USD"/>
    <n v="33.79"/>
    <n v="1"/>
    <n v="33.79"/>
    <n v="20.395700000000001"/>
    <n v="689.170703"/>
    <n v="1183.9894636012"/>
    <n v="-494.81876060119998"/>
    <n v="1.0767123287671232"/>
    <n v="1"/>
    <n v="-494.81876060119998"/>
    <n v="0"/>
    <m/>
    <n v="-19.18"/>
  </r>
  <r>
    <x v="4"/>
    <s v="Purchase"/>
    <x v="120"/>
    <x v="2"/>
    <s v="USD"/>
    <d v="2021-06-22T00:00:00"/>
    <n v="1165.3399999999999"/>
    <x v="2"/>
    <n v="22"/>
    <n v="52.97"/>
    <n v="1"/>
    <n v="1165.3399999999999"/>
    <n v="20.700199999999999"/>
    <n v="24122.771067999998"/>
    <n v="113.018"/>
    <n v="122.044"/>
    <n v="1.0798000000000001"/>
    <n v="26047.768199226401"/>
    <n v="1183.9894636012"/>
    <m/>
    <n v="22"/>
    <s v="Sale"/>
    <x v="87"/>
    <s v="USD"/>
    <n v="780.6889655172414"/>
    <n v="1"/>
    <n v="780.6889655172414"/>
    <n v="20.4407"/>
    <n v="15957.828937448276"/>
    <n v="26047.768199226401"/>
    <n v="-10089.939261778125"/>
    <n v="1.0794520547945206"/>
    <n v="1"/>
    <n v="-10089.939261778125"/>
    <n v="0"/>
    <m/>
    <n v="-384.65103448275852"/>
  </r>
  <r>
    <x v="4"/>
    <s v="Purchase"/>
    <x v="120"/>
    <x v="2"/>
    <s v="USD"/>
    <d v="2021-08-12T00:00:00"/>
    <n v="5922.6588679245287"/>
    <x v="2"/>
    <n v="123"/>
    <n v="48.151698113207551"/>
    <n v="1"/>
    <n v="5922.6588679245287"/>
    <n v="20.1038"/>
    <n v="119067.94934898114"/>
    <n v="113.899"/>
    <n v="122.044"/>
    <n v="1.0714999999999999"/>
    <n v="127581.30772743328"/>
    <n v="1037.2464042880754"/>
    <m/>
    <n v="123"/>
    <s v="Sale"/>
    <x v="87"/>
    <s v="USD"/>
    <n v="4364.761034482759"/>
    <n v="1"/>
    <n v="4364.761034482759"/>
    <n v="20.4407"/>
    <n v="89218.770877551724"/>
    <n v="127581.30772743328"/>
    <n v="-38362.536849881551"/>
    <n v="0.9397260273972603"/>
    <n v="1"/>
    <n v="-38362.536849881551"/>
    <n v="0"/>
    <m/>
    <n v="-1557.8978334417698"/>
  </r>
  <r>
    <x v="4"/>
    <s v="Purchase"/>
    <x v="120"/>
    <x v="2"/>
    <s v="USD"/>
    <d v="2021-08-12T00:00:00"/>
    <n v="1396.3992452830189"/>
    <x v="2"/>
    <n v="29"/>
    <n v="48.151698113207551"/>
    <n v="1"/>
    <n v="1396.3992452830189"/>
    <n v="20.1038"/>
    <n v="28072.931147320756"/>
    <n v="113.899"/>
    <n v="122.044"/>
    <n v="1.0714999999999999"/>
    <n v="30080.145724354188"/>
    <n v="1037.2464042880754"/>
    <m/>
    <n v="29"/>
    <s v="Sale"/>
    <x v="87"/>
    <s v="USD"/>
    <n v="1029.0899999999999"/>
    <n v="1"/>
    <n v="1029.0899999999999"/>
    <n v="20.4407"/>
    <n v="21035.319962999998"/>
    <n v="30080.145724354184"/>
    <n v="-9044.8257613541864"/>
    <n v="0.9397260273972603"/>
    <n v="1"/>
    <n v="-9044.8257613541864"/>
    <n v="0"/>
    <m/>
    <n v="-367.30924528301898"/>
  </r>
  <r>
    <x v="4"/>
    <s v="Purchase"/>
    <x v="120"/>
    <x v="2"/>
    <s v="USD"/>
    <d v="2021-08-12T00:00:00"/>
    <n v="818.57886792452837"/>
    <x v="2"/>
    <n v="17"/>
    <n v="48.151698113207551"/>
    <n v="1"/>
    <n v="818.57886792452837"/>
    <n v="20.1038"/>
    <n v="16456.545844981134"/>
    <n v="113.899"/>
    <n v="122.044"/>
    <n v="1.0714999999999999"/>
    <n v="17633.188872897284"/>
    <n v="1037.2464042880756"/>
    <m/>
    <n v="17"/>
    <s v="Sale"/>
    <x v="87"/>
    <s v="USD"/>
    <n v="603.94000000000005"/>
    <n v="1"/>
    <n v="603.94000000000005"/>
    <n v="20.4407"/>
    <n v="12344.956358000001"/>
    <n v="17633.188872897284"/>
    <n v="-5288.2325148972832"/>
    <n v="0.9397260273972603"/>
    <n v="1"/>
    <n v="-5288.2325148972832"/>
    <n v="0"/>
    <m/>
    <n v="-214.63886792452831"/>
  </r>
  <r>
    <x v="4"/>
    <s v="Purchase"/>
    <x v="120"/>
    <x v="2"/>
    <s v="USD"/>
    <d v="2021-08-12T00:00:00"/>
    <n v="288.91018867924532"/>
    <x v="2"/>
    <n v="6"/>
    <n v="48.151698113207551"/>
    <n v="1"/>
    <n v="288.91018867924532"/>
    <n v="20.1038"/>
    <n v="5808.1926511698121"/>
    <n v="113.899"/>
    <n v="122.044"/>
    <n v="1.0714999999999999"/>
    <n v="6223.4784257284527"/>
    <n v="1037.2464042880754"/>
    <m/>
    <n v="6"/>
    <s v="Sale"/>
    <x v="87"/>
    <s v="USD"/>
    <n v="212.92"/>
    <n v="1"/>
    <n v="212.92"/>
    <n v="20.4407"/>
    <n v="4352.2338439999994"/>
    <n v="6223.4784257284518"/>
    <n v="-1871.2445817284524"/>
    <n v="0.9397260273972603"/>
    <n v="1"/>
    <n v="-1871.2445817284524"/>
    <n v="0"/>
    <m/>
    <n v="-75.990188679245335"/>
  </r>
  <r>
    <x v="4"/>
    <s v="Purchase"/>
    <x v="120"/>
    <x v="2"/>
    <s v="USD"/>
    <d v="2021-08-12T00:00:00"/>
    <n v="144.45509433962266"/>
    <x v="2"/>
    <n v="3"/>
    <n v="48.151698113207551"/>
    <n v="1"/>
    <n v="144.45509433962266"/>
    <n v="20.1038"/>
    <n v="2904.096325584906"/>
    <n v="113.899"/>
    <n v="122.044"/>
    <n v="1.0714999999999999"/>
    <n v="3111.7392128642264"/>
    <n v="1037.2464042880754"/>
    <m/>
    <n v="3"/>
    <s v="Sale"/>
    <x v="87"/>
    <s v="USD"/>
    <n v="106.57999999999998"/>
    <n v="1"/>
    <n v="106.57999999999998"/>
    <n v="20.4407"/>
    <n v="2178.5698059999995"/>
    <n v="3111.7392128642259"/>
    <n v="-933.1694068642264"/>
    <n v="0.9397260273972603"/>
    <n v="1"/>
    <n v="-933.1694068642264"/>
    <n v="0"/>
    <m/>
    <n v="-37.875094339622677"/>
  </r>
  <r>
    <x v="4"/>
    <s v="Purchase"/>
    <x v="120"/>
    <x v="2"/>
    <s v="USD"/>
    <d v="2021-08-12T00:00:00"/>
    <n v="48.151698113207551"/>
    <x v="2"/>
    <n v="1"/>
    <n v="48.151698113207551"/>
    <n v="1"/>
    <n v="48.151698113207551"/>
    <n v="20.1038"/>
    <n v="968.03210852830193"/>
    <n v="113.899"/>
    <n v="122.044"/>
    <n v="1.0714999999999999"/>
    <n v="1037.2464042880754"/>
    <n v="1037.2464042880754"/>
    <m/>
    <n v="1"/>
    <s v="Sale"/>
    <x v="87"/>
    <s v="USD"/>
    <n v="35.53"/>
    <n v="1"/>
    <n v="35.53"/>
    <n v="20.4407"/>
    <n v="726.25807099999997"/>
    <n v="1037.2464042880754"/>
    <n v="-310.98833328807541"/>
    <n v="0.9397260273972603"/>
    <n v="1"/>
    <n v="-310.98833328807541"/>
    <n v="0"/>
    <m/>
    <n v="-12.62169811320755"/>
  </r>
  <r>
    <x v="4"/>
    <s v="Purchase"/>
    <x v="120"/>
    <x v="2"/>
    <s v="USD"/>
    <d v="2021-08-12T00:00:00"/>
    <n v="2648.3433962264153"/>
    <x v="2"/>
    <n v="55"/>
    <n v="48.151698113207551"/>
    <n v="1"/>
    <n v="2648.3433962264153"/>
    <n v="20.1038"/>
    <n v="53241.765969056607"/>
    <n v="113.899"/>
    <n v="122.044"/>
    <n v="1.0714999999999999"/>
    <n v="57048.552235844152"/>
    <n v="1037.2464042880754"/>
    <m/>
    <n v="55"/>
    <s v="Sale"/>
    <x v="79"/>
    <s v="USD"/>
    <n v="1855.86"/>
    <n v="1"/>
    <n v="1855.86"/>
    <n v="20.491299999999999"/>
    <n v="38028.984017999996"/>
    <n v="57048.552235844145"/>
    <n v="-19019.568217844149"/>
    <n v="0.94246575342465755"/>
    <n v="1"/>
    <n v="-19019.568217844149"/>
    <n v="0"/>
    <m/>
    <n v="-792.48339622641538"/>
  </r>
  <r>
    <x v="4"/>
    <s v="Purchase"/>
    <x v="120"/>
    <x v="2"/>
    <s v="USD"/>
    <d v="2021-08-12T00:00:00"/>
    <n v="1107.4890566037736"/>
    <x v="2"/>
    <n v="23"/>
    <n v="48.151698113207551"/>
    <n v="1"/>
    <n v="1107.4890566037736"/>
    <n v="20.1038"/>
    <n v="22264.738496150945"/>
    <n v="113.899"/>
    <n v="122.044"/>
    <n v="1.0714999999999999"/>
    <n v="23856.667298625736"/>
    <n v="1037.2464042880754"/>
    <m/>
    <n v="23"/>
    <s v="Sale"/>
    <x v="79"/>
    <s v="USD"/>
    <n v="825.36000000000013"/>
    <n v="1"/>
    <n v="825.36000000000013"/>
    <n v="20.491299999999999"/>
    <n v="16912.699368000001"/>
    <n v="23856.667298625733"/>
    <n v="-6943.9679306257312"/>
    <n v="0.94246575342465755"/>
    <n v="1"/>
    <n v="-6943.9679306257312"/>
    <n v="0"/>
    <m/>
    <n v="-282.12905660377351"/>
  </r>
  <r>
    <x v="4"/>
    <s v="Purchase"/>
    <x v="120"/>
    <x v="2"/>
    <s v="USD"/>
    <d v="2021-08-12T00:00:00"/>
    <n v="385.21358490566041"/>
    <x v="2"/>
    <n v="8"/>
    <n v="48.151698113207551"/>
    <n v="1"/>
    <n v="385.21358490566041"/>
    <n v="20.1038"/>
    <n v="7744.2568682264155"/>
    <n v="113.899"/>
    <n v="122.044"/>
    <n v="1.0714999999999999"/>
    <n v="8297.9712343046031"/>
    <n v="1037.2464042880754"/>
    <m/>
    <n v="8"/>
    <s v="Sale"/>
    <x v="79"/>
    <s v="USD"/>
    <n v="269.47199999999998"/>
    <n v="1"/>
    <n v="269.47199999999998"/>
    <n v="20.491299999999999"/>
    <n v="5521.831593599999"/>
    <n v="8297.9712343046031"/>
    <n v="-2776.1396407046041"/>
    <n v="0.94246575342465755"/>
    <n v="1"/>
    <n v="-2776.1396407046041"/>
    <n v="0"/>
    <m/>
    <n v="-115.74158490566043"/>
  </r>
  <r>
    <x v="4"/>
    <s v="Purchase"/>
    <x v="120"/>
    <x v="2"/>
    <s v="USD"/>
    <d v="2021-08-12T00:00:00"/>
    <n v="579.84"/>
    <x v="2"/>
    <n v="12"/>
    <n v="48.32"/>
    <n v="1"/>
    <n v="579.84"/>
    <n v="20.1038"/>
    <n v="11656.987392000001"/>
    <n v="113.899"/>
    <n v="122.044"/>
    <n v="1.0714999999999999"/>
    <n v="12490.461990528"/>
    <n v="1040.871832544"/>
    <m/>
    <n v="12"/>
    <s v="Sale"/>
    <x v="79"/>
    <s v="USD"/>
    <n v="404.20799999999997"/>
    <n v="1"/>
    <n v="404.20799999999997"/>
    <n v="20.491299999999999"/>
    <n v="8282.7473903999999"/>
    <n v="12490.461990528"/>
    <n v="-4207.7146001279998"/>
    <n v="0.94246575342465755"/>
    <n v="1"/>
    <n v="-4207.7146001279998"/>
    <n v="0"/>
    <m/>
    <n v="-175.63200000000006"/>
  </r>
  <r>
    <x v="4"/>
    <s v="Purchase"/>
    <x v="120"/>
    <x v="2"/>
    <s v="USD"/>
    <d v="2021-08-12T00:00:00"/>
    <n v="48.32"/>
    <x v="2"/>
    <n v="1"/>
    <n v="48.32"/>
    <n v="1"/>
    <n v="48.32"/>
    <n v="20.1038"/>
    <n v="971.415616"/>
    <n v="113.899"/>
    <n v="122.044"/>
    <n v="1.0714999999999999"/>
    <n v="1040.871832544"/>
    <n v="1040.871832544"/>
    <m/>
    <n v="1"/>
    <s v="Sale"/>
    <x v="79"/>
    <s v="USD"/>
    <n v="33.742727272727272"/>
    <n v="1"/>
    <n v="33.742727272727272"/>
    <n v="20.491299999999999"/>
    <n v="691.43234736363627"/>
    <n v="1040.871832544"/>
    <n v="-349.4394851803637"/>
    <n v="0.94246575342465755"/>
    <n v="1"/>
    <n v="-349.4394851803637"/>
    <n v="0"/>
    <m/>
    <n v="-14.577272727272728"/>
  </r>
  <r>
    <x v="4"/>
    <s v="Purchase"/>
    <x v="120"/>
    <x v="2"/>
    <s v="USD"/>
    <d v="2021-08-12T00:00:00"/>
    <n v="508.4"/>
    <x v="2"/>
    <n v="10"/>
    <n v="50.839999999999996"/>
    <n v="1"/>
    <n v="508.4"/>
    <n v="20.1038"/>
    <n v="10220.771919999999"/>
    <n v="113.899"/>
    <n v="122.044"/>
    <n v="1.0714999999999999"/>
    <n v="10951.557112279997"/>
    <n v="1095.1557112279997"/>
    <m/>
    <n v="10"/>
    <s v="Sale"/>
    <x v="79"/>
    <s v="USD"/>
    <n v="337.42727272727274"/>
    <n v="1"/>
    <n v="337.42727272727274"/>
    <n v="20.491299999999999"/>
    <n v="6914.3234736363638"/>
    <n v="10951.557112279997"/>
    <n v="-4037.2336386436336"/>
    <n v="0.94246575342465755"/>
    <n v="1"/>
    <n v="-4037.2336386436336"/>
    <n v="0"/>
    <m/>
    <n v="-170.97272727272724"/>
  </r>
  <r>
    <x v="4"/>
    <s v="Purchase"/>
    <x v="120"/>
    <x v="2"/>
    <s v="USD"/>
    <d v="2021-08-12T00:00:00"/>
    <n v="254.2"/>
    <x v="2"/>
    <n v="5"/>
    <n v="50.839999999999996"/>
    <n v="1"/>
    <n v="254.2"/>
    <n v="20.1038"/>
    <n v="5110.3859599999996"/>
    <n v="113.899"/>
    <n v="122.044"/>
    <n v="1.0714999999999999"/>
    <n v="5475.7785561399987"/>
    <n v="1095.1557112279997"/>
    <m/>
    <n v="5"/>
    <s v="Sale"/>
    <x v="79"/>
    <s v="USD"/>
    <n v="179.43"/>
    <n v="1"/>
    <n v="179.43"/>
    <n v="20.491299999999999"/>
    <n v="3676.7539590000001"/>
    <n v="5475.7785561399987"/>
    <n v="-1799.0245971399986"/>
    <n v="0.94246575342465755"/>
    <n v="1"/>
    <n v="-1799.0245971399986"/>
    <n v="0"/>
    <m/>
    <n v="-74.769999999999982"/>
  </r>
  <r>
    <x v="4"/>
    <s v="Purchase"/>
    <x v="120"/>
    <x v="2"/>
    <s v="USD"/>
    <d v="2021-08-12T00:00:00"/>
    <n v="101.67999999999999"/>
    <x v="2"/>
    <n v="2"/>
    <n v="50.839999999999996"/>
    <n v="1"/>
    <n v="101.67999999999999"/>
    <n v="20.1038"/>
    <n v="2044.1543839999997"/>
    <n v="113.899"/>
    <n v="122.044"/>
    <n v="1.0714999999999999"/>
    <n v="2190.3114224559995"/>
    <n v="1095.1557112279997"/>
    <m/>
    <n v="2"/>
    <s v="Sale"/>
    <x v="79"/>
    <s v="USD"/>
    <n v="67.37"/>
    <n v="1"/>
    <n v="67.37"/>
    <n v="20.491299999999999"/>
    <n v="1380.498881"/>
    <n v="2190.3114224559995"/>
    <n v="-809.81254145599951"/>
    <n v="0.94246575342465755"/>
    <n v="1"/>
    <n v="-809.81254145599951"/>
    <n v="0"/>
    <m/>
    <n v="-34.309999999999988"/>
  </r>
  <r>
    <x v="4"/>
    <s v="Purchase"/>
    <x v="120"/>
    <x v="2"/>
    <s v="USD"/>
    <d v="2021-08-12T00:00:00"/>
    <n v="101.68"/>
    <x v="2"/>
    <n v="2"/>
    <n v="50.84"/>
    <n v="1"/>
    <n v="101.68"/>
    <n v="20.1038"/>
    <n v="2044.1543840000002"/>
    <n v="113.899"/>
    <n v="122.044"/>
    <n v="1.0714999999999999"/>
    <n v="2190.3114224559999"/>
    <n v="1095.155711228"/>
    <m/>
    <n v="2"/>
    <s v="Sale"/>
    <x v="79"/>
    <s v="USD"/>
    <n v="67.37"/>
    <n v="1"/>
    <n v="67.37"/>
    <n v="20.491299999999999"/>
    <n v="1380.498881"/>
    <n v="2190.3114224559999"/>
    <n v="-809.81254145599996"/>
    <n v="0.94246575342465755"/>
    <n v="1"/>
    <n v="-809.81254145599996"/>
    <n v="0"/>
    <m/>
    <n v="-34.31"/>
  </r>
  <r>
    <x v="4"/>
    <s v="Purchase"/>
    <x v="120"/>
    <x v="2"/>
    <s v="USD"/>
    <d v="2021-08-12T00:00:00"/>
    <n v="101.68"/>
    <x v="2"/>
    <n v="2"/>
    <n v="50.84"/>
    <n v="1"/>
    <n v="101.68"/>
    <n v="20.1038"/>
    <n v="2044.1543840000002"/>
    <n v="113.899"/>
    <n v="122.044"/>
    <n v="1.0714999999999999"/>
    <n v="2190.3114224559999"/>
    <n v="1095.155711228"/>
    <m/>
    <n v="2"/>
    <s v="Sale"/>
    <x v="79"/>
    <s v="USD"/>
    <n v="67.489999999999995"/>
    <n v="1"/>
    <n v="67.489999999999995"/>
    <n v="20.491299999999999"/>
    <n v="1382.9578369999999"/>
    <n v="2190.3114224559999"/>
    <n v="-807.35358545600002"/>
    <n v="0.94246575342465755"/>
    <n v="1"/>
    <n v="-807.35358545600002"/>
    <n v="0"/>
    <m/>
    <n v="-34.190000000000012"/>
  </r>
  <r>
    <x v="4"/>
    <s v="Purchase"/>
    <x v="120"/>
    <x v="2"/>
    <s v="USD"/>
    <d v="2021-08-12T00:00:00"/>
    <n v="50.84"/>
    <x v="2"/>
    <n v="1"/>
    <n v="50.84"/>
    <n v="1"/>
    <n v="50.84"/>
    <n v="20.1038"/>
    <n v="1022.0771920000001"/>
    <n v="113.899"/>
    <n v="122.044"/>
    <n v="1.0714999999999999"/>
    <n v="1095.155711228"/>
    <n v="1095.155711228"/>
    <m/>
    <n v="1"/>
    <s v="Sale"/>
    <x v="79"/>
    <s v="USD"/>
    <n v="33.68"/>
    <n v="1"/>
    <n v="33.68"/>
    <n v="20.491299999999999"/>
    <n v="690.14698399999997"/>
    <n v="1095.155711228"/>
    <n v="-405.008727228"/>
    <n v="0.94246575342465755"/>
    <n v="1"/>
    <n v="-405.008727228"/>
    <n v="0"/>
    <m/>
    <n v="-17.160000000000004"/>
  </r>
  <r>
    <x v="4"/>
    <s v="Purchase"/>
    <x v="120"/>
    <x v="2"/>
    <s v="USD"/>
    <d v="2021-08-12T00:00:00"/>
    <n v="50.84"/>
    <x v="2"/>
    <n v="1"/>
    <n v="50.84"/>
    <n v="1"/>
    <n v="50.84"/>
    <n v="20.1038"/>
    <n v="1022.0771920000001"/>
    <n v="113.899"/>
    <n v="122.044"/>
    <n v="1.0714999999999999"/>
    <n v="1095.155711228"/>
    <n v="1095.155711228"/>
    <m/>
    <n v="1"/>
    <s v="Sale"/>
    <x v="79"/>
    <s v="USD"/>
    <n v="35.89"/>
    <n v="1"/>
    <n v="35.89"/>
    <n v="20.491299999999999"/>
    <n v="735.43275699999992"/>
    <n v="1095.155711228"/>
    <n v="-359.72295422800005"/>
    <n v="0.94246575342465755"/>
    <n v="1"/>
    <n v="-359.72295422800005"/>
    <n v="0"/>
    <m/>
    <n v="-14.950000000000003"/>
  </r>
  <r>
    <x v="4"/>
    <s v="Purchase"/>
    <x v="121"/>
    <x v="2"/>
    <s v="USD"/>
    <d v="2022-01-11T00:00:00"/>
    <n v="7817.3846153846162"/>
    <x v="2"/>
    <n v="20"/>
    <n v="390.8692307692308"/>
    <n v="1"/>
    <n v="7817.3846153846162"/>
    <n v="20.4237"/>
    <n v="159659.91816923078"/>
    <n v="118.002"/>
    <n v="122.044"/>
    <n v="1.0342"/>
    <n v="165120.28737061846"/>
    <n v="8256.0143685309231"/>
    <m/>
    <n v="20"/>
    <s v="Sale"/>
    <x v="84"/>
    <s v="USD"/>
    <n v="9793.5"/>
    <n v="1"/>
    <n v="9793.5"/>
    <n v="20.941500000000001"/>
    <n v="205090.58025"/>
    <n v="165120.28737061846"/>
    <n v="39970.292879381537"/>
    <n v="0.51506849315068493"/>
    <n v="1"/>
    <n v="39970.292879381537"/>
    <n v="0"/>
    <m/>
    <n v="1976.1153846153838"/>
  </r>
  <r>
    <x v="4"/>
    <s v="Purchase"/>
    <x v="121"/>
    <x v="2"/>
    <s v="USD"/>
    <d v="2022-01-11T00:00:00"/>
    <n v="2345.2153846153847"/>
    <x v="2"/>
    <n v="6"/>
    <n v="390.8692307692308"/>
    <n v="1"/>
    <n v="2345.2153846153847"/>
    <n v="20.4237"/>
    <n v="47897.975450769234"/>
    <n v="118.002"/>
    <n v="122.044"/>
    <n v="1.0342"/>
    <n v="49536.086211185546"/>
    <n v="8256.0143685309249"/>
    <m/>
    <n v="6"/>
    <s v="Sale"/>
    <x v="84"/>
    <s v="USD"/>
    <n v="2937.508421052632"/>
    <n v="1"/>
    <n v="2937.508421052632"/>
    <n v="20.941500000000001"/>
    <n v="61515.832599473695"/>
    <n v="49536.086211185553"/>
    <n v="11979.746388288142"/>
    <n v="0.51506849315068493"/>
    <n v="1"/>
    <n v="11979.746388288142"/>
    <n v="0"/>
    <m/>
    <n v="592.29303643724734"/>
  </r>
  <r>
    <x v="4"/>
    <s v="Purchase"/>
    <x v="121"/>
    <x v="2"/>
    <s v="USD"/>
    <d v="2022-01-11T00:00:00"/>
    <n v="2706.89"/>
    <x v="2"/>
    <n v="7"/>
    <n v="386.69857142857143"/>
    <n v="1"/>
    <n v="2706.89"/>
    <n v="20.4237"/>
    <n v="55284.709293"/>
    <n v="118.002"/>
    <n v="122.044"/>
    <n v="1.0342"/>
    <n v="57175.446350820603"/>
    <n v="8167.9209072600861"/>
    <m/>
    <n v="7"/>
    <s v="Sale"/>
    <x v="84"/>
    <s v="USD"/>
    <n v="3427.093157894737"/>
    <n v="1"/>
    <n v="3427.093157894737"/>
    <n v="20.941500000000001"/>
    <n v="71768.471366052647"/>
    <n v="57175.446350820603"/>
    <n v="14593.025015232044"/>
    <n v="0.51506849315068493"/>
    <n v="1"/>
    <n v="14593.025015232044"/>
    <n v="0"/>
    <m/>
    <n v="720.20315789473716"/>
  </r>
  <r>
    <x v="4"/>
    <s v="Purchase"/>
    <x v="121"/>
    <x v="2"/>
    <s v="USD"/>
    <d v="2022-01-11T00:00:00"/>
    <n v="2306.04"/>
    <x v="2"/>
    <n v="6"/>
    <n v="384.34"/>
    <n v="1"/>
    <n v="2306.04"/>
    <n v="20.4237"/>
    <n v="47097.869147999998"/>
    <n v="118.002"/>
    <n v="122.044"/>
    <n v="1.0342"/>
    <n v="48708.616272861596"/>
    <n v="8118.1027121435991"/>
    <m/>
    <n v="6"/>
    <s v="Sale"/>
    <x v="84"/>
    <s v="USD"/>
    <n v="2937.508421052632"/>
    <n v="1"/>
    <n v="2937.508421052632"/>
    <n v="20.941500000000001"/>
    <n v="61515.832599473695"/>
    <n v="48708.616272861596"/>
    <n v="12807.216326612099"/>
    <n v="0.51506849315068493"/>
    <n v="1"/>
    <n v="12807.216326612099"/>
    <n v="0"/>
    <m/>
    <n v="631.46842105263204"/>
  </r>
  <r>
    <x v="4"/>
    <s v="Purchase"/>
    <x v="121"/>
    <x v="2"/>
    <s v="USD"/>
    <d v="2022-01-11T00:00:00"/>
    <n v="384.34000000000003"/>
    <x v="2"/>
    <n v="1"/>
    <n v="384.34000000000003"/>
    <n v="1"/>
    <n v="384.34000000000003"/>
    <n v="20.4237"/>
    <n v="7849.6448580000006"/>
    <n v="118.002"/>
    <n v="122.044"/>
    <n v="1.0342"/>
    <n v="8118.1027121436009"/>
    <n v="8118.1027121436009"/>
    <m/>
    <n v="1"/>
    <s v="Sale"/>
    <x v="84"/>
    <s v="USD"/>
    <n v="485.625"/>
    <n v="1"/>
    <n v="485.625"/>
    <n v="20.941500000000001"/>
    <n v="10169.715937500001"/>
    <n v="8118.1027121436009"/>
    <n v="2051.6132253564001"/>
    <n v="0.51506849315068493"/>
    <n v="1"/>
    <n v="2051.6132253564001"/>
    <n v="0"/>
    <m/>
    <n v="101.28499999999997"/>
  </r>
  <r>
    <x v="4"/>
    <s v="Purchase"/>
    <x v="121"/>
    <x v="2"/>
    <s v="USD"/>
    <d v="2022-01-12T00:00:00"/>
    <n v="392.89575000000002"/>
    <x v="2"/>
    <n v="1"/>
    <n v="392.89575000000002"/>
    <n v="1"/>
    <n v="392.89575000000002"/>
    <n v="20.4453"/>
    <n v="8032.8714774750006"/>
    <n v="118.002"/>
    <n v="122.044"/>
    <n v="1.0342"/>
    <n v="8307.5956820046449"/>
    <n v="8307.5956820046449"/>
    <m/>
    <n v="1"/>
    <s v="Sale"/>
    <x v="84"/>
    <s v="USD"/>
    <n v="485.625"/>
    <n v="1"/>
    <n v="485.625"/>
    <n v="20.941500000000001"/>
    <n v="10169.715937500001"/>
    <n v="8307.5956820046449"/>
    <n v="1862.1202554953561"/>
    <n v="0.51232876712328768"/>
    <n v="1"/>
    <n v="1862.1202554953561"/>
    <n v="0"/>
    <m/>
    <n v="92.729249999999979"/>
  </r>
  <r>
    <x v="4"/>
    <s v="Purchase"/>
    <x v="121"/>
    <x v="2"/>
    <s v="USD"/>
    <d v="2022-01-12T00:00:00"/>
    <n v="15322.93425"/>
    <x v="2"/>
    <n v="39"/>
    <n v="392.89575000000002"/>
    <n v="1"/>
    <n v="15322.93425"/>
    <n v="20.4453"/>
    <n v="313281.98762152501"/>
    <n v="118.002"/>
    <n v="122.044"/>
    <n v="1.0342"/>
    <n v="323996.23159818118"/>
    <n v="8307.5956820046449"/>
    <m/>
    <n v="39"/>
    <s v="Sale"/>
    <x v="87"/>
    <s v="USD"/>
    <n v="18936.125"/>
    <n v="1"/>
    <n v="18936.125"/>
    <n v="20.4407"/>
    <n v="387067.6502875"/>
    <n v="323996.23159818113"/>
    <n v="63071.418689318874"/>
    <n v="0.52054794520547942"/>
    <n v="1"/>
    <n v="63071.418689318874"/>
    <n v="0"/>
    <m/>
    <n v="3613.1907499999998"/>
  </r>
  <r>
    <x v="4"/>
    <s v="Purchase"/>
    <x v="121"/>
    <x v="2"/>
    <s v="USD"/>
    <d v="2022-01-13T00:00:00"/>
    <n v="5088.33"/>
    <x v="2"/>
    <n v="13"/>
    <n v="391.40999999999997"/>
    <n v="1"/>
    <n v="5088.33"/>
    <n v="20.378499999999999"/>
    <n v="103692.532905"/>
    <n v="118.002"/>
    <n v="122.044"/>
    <n v="1.0342"/>
    <n v="107238.81753035101"/>
    <n v="8249.1398100269998"/>
    <m/>
    <n v="13"/>
    <s v="Sale"/>
    <x v="87"/>
    <s v="USD"/>
    <n v="6312.041666666667"/>
    <n v="1"/>
    <n v="6312.041666666667"/>
    <n v="20.4407"/>
    <n v="129022.55009583334"/>
    <n v="107238.81753035099"/>
    <n v="21783.732565482351"/>
    <n v="0.51780821917808217"/>
    <n v="1"/>
    <n v="21783.732565482351"/>
    <n v="0"/>
    <m/>
    <n v="1223.711666666667"/>
  </r>
  <r>
    <x v="4"/>
    <s v="Purchase"/>
    <x v="121"/>
    <x v="2"/>
    <s v="USD"/>
    <d v="2022-01-13T00:00:00"/>
    <n v="3165.6622222222222"/>
    <x v="2"/>
    <n v="8"/>
    <n v="395.70777777777778"/>
    <n v="1"/>
    <n v="3165.6622222222222"/>
    <n v="20.378499999999999"/>
    <n v="64511.447595555554"/>
    <n v="118.002"/>
    <n v="122.044"/>
    <n v="1.0342"/>
    <n v="66717.739103323547"/>
    <n v="8339.7173879154434"/>
    <m/>
    <n v="8"/>
    <s v="Sale"/>
    <x v="87"/>
    <s v="USD"/>
    <n v="3884.3333333333335"/>
    <n v="1"/>
    <n v="3884.3333333333335"/>
    <n v="20.4407"/>
    <n v="79398.492366666673"/>
    <n v="66717.739103323547"/>
    <n v="12680.753263343126"/>
    <n v="0.51780821917808217"/>
    <n v="1"/>
    <n v="12680.753263343126"/>
    <n v="0"/>
    <m/>
    <n v="718.67111111111126"/>
  </r>
  <r>
    <x v="4"/>
    <s v="Purchase"/>
    <x v="121"/>
    <x v="2"/>
    <s v="USD"/>
    <d v="2022-01-13T00:00:00"/>
    <n v="395.70777777777778"/>
    <x v="2"/>
    <n v="1"/>
    <n v="395.70777777777778"/>
    <n v="1"/>
    <n v="395.70777777777778"/>
    <n v="20.378499999999999"/>
    <n v="8063.9309494444442"/>
    <n v="118.002"/>
    <n v="122.044"/>
    <n v="1.0342"/>
    <n v="8339.7173879154434"/>
    <n v="8339.7173879154434"/>
    <m/>
    <n v="1"/>
    <s v="Sale"/>
    <x v="79"/>
    <s v="USD"/>
    <n v="484.33"/>
    <n v="1"/>
    <n v="484.33"/>
    <n v="20.491299999999999"/>
    <n v="9924.5513289999999"/>
    <n v="8339.7173879154434"/>
    <n v="1584.8339410845565"/>
    <n v="0.52054794520547942"/>
    <n v="1"/>
    <n v="1584.8339410845565"/>
    <n v="0"/>
    <m/>
    <n v="88.622222222222206"/>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2"/>
    <s v="Purchase"/>
    <x v="122"/>
    <x v="2"/>
    <s v="USD"/>
    <d v="2020-04-28T00:00:00"/>
    <n v="126541.74"/>
    <x v="2"/>
    <n v="945"/>
    <n v="133.90660317460319"/>
    <n v="1"/>
    <n v="126541.74"/>
    <n v="24.8583"/>
    <n v="3145612.5354420003"/>
    <n v="105.755"/>
    <n v="122.94799999999999"/>
    <n v="1.1625000000000001"/>
    <n v="3656774.5724513256"/>
    <n v="3869.602722170715"/>
    <m/>
    <n v="945"/>
    <s v="Sale"/>
    <x v="88"/>
    <s v="USD"/>
    <n v="158720.54999999999"/>
    <n v="1"/>
    <n v="158720.54999999999"/>
    <n v="19.930299999999999"/>
    <n v="3163348.1776649994"/>
    <n v="3656774.5724513256"/>
    <n v="-493426.39478632621"/>
    <n v="2.3068493150684932"/>
    <n v="1"/>
    <n v="-493426.39478632621"/>
    <n v="0"/>
    <m/>
    <n v="32178.809999999983"/>
  </r>
  <r>
    <x v="2"/>
    <s v="Purchase"/>
    <x v="122"/>
    <x v="2"/>
    <s v="USD"/>
    <d v="2020-05-19T00:00:00"/>
    <n v="115372.58"/>
    <x v="2"/>
    <n v="865"/>
    <n v="133.37870520231215"/>
    <n v="1"/>
    <n v="115372.58"/>
    <n v="23.957999999999998"/>
    <n v="2764096.2716399999"/>
    <n v="106.16200000000001"/>
    <n v="122.94799999999999"/>
    <n v="1.1580999999999999"/>
    <n v="3201099.8921862836"/>
    <n v="3700.6935169783624"/>
    <m/>
    <n v="865"/>
    <s v="Sale"/>
    <x v="88"/>
    <s v="USD"/>
    <n v="145283.89000000001"/>
    <n v="1"/>
    <n v="145283.89000000001"/>
    <n v="19.930299999999999"/>
    <n v="2895551.512867"/>
    <n v="3201099.8921862836"/>
    <n v="-305548.37931928365"/>
    <n v="2.2493150684931509"/>
    <n v="1"/>
    <n v="-305548.37931928365"/>
    <n v="0"/>
    <m/>
    <n v="29911.310000000012"/>
  </r>
  <r>
    <x v="2"/>
    <s v="Purchase"/>
    <x v="122"/>
    <x v="2"/>
    <s v="USD"/>
    <d v="2021-01-13T00:00:00"/>
    <n v="199575.26"/>
    <x v="2"/>
    <n v="960"/>
    <n v="207.89089583333333"/>
    <n v="1"/>
    <n v="199575.26"/>
    <n v="20.113"/>
    <n v="4014057.20438"/>
    <n v="110.21"/>
    <n v="122.94799999999999"/>
    <n v="1.1154999999999999"/>
    <n v="4477680.8114858894"/>
    <n v="4664.2508452978018"/>
    <m/>
    <n v="960"/>
    <s v="Sale"/>
    <x v="88"/>
    <s v="USD"/>
    <n v="161239.92000000001"/>
    <n v="1"/>
    <n v="161239.92000000001"/>
    <n v="19.930299999999999"/>
    <n v="3213559.9775760002"/>
    <n v="4477680.8114858894"/>
    <n v="-1264120.8339098892"/>
    <n v="1.5945205479452054"/>
    <n v="1"/>
    <n v="-1264120.8339098892"/>
    <n v="0"/>
    <m/>
    <n v="-38335.339999999997"/>
  </r>
  <r>
    <x v="2"/>
    <s v="Purchase"/>
    <x v="122"/>
    <x v="2"/>
    <s v="USD"/>
    <d v="2022-05-11T00:00:00"/>
    <n v="203914.05"/>
    <x v="2"/>
    <n v="1500"/>
    <n v="135.9427"/>
    <n v="1"/>
    <n v="203914.05"/>
    <n v="20.3172"/>
    <n v="4142962.5366599998"/>
    <n v="121.02200000000001"/>
    <n v="122.94799999999999"/>
    <n v="1.0159"/>
    <n v="4208835.6409928938"/>
    <n v="2805.8904273285957"/>
    <m/>
    <n v="1500"/>
    <s v="Sale"/>
    <x v="88"/>
    <s v="USD"/>
    <n v="251937.38"/>
    <n v="1"/>
    <n v="251937.38"/>
    <n v="19.930299999999999"/>
    <n v="5021187.5646139998"/>
    <n v="4208835.6409928938"/>
    <n v="812351.92362110596"/>
    <n v="0.27123287671232876"/>
    <n v="1"/>
    <n v="812351.92362110596"/>
    <n v="0"/>
    <m/>
    <n v="48023.330000000016"/>
  </r>
  <r>
    <x v="2"/>
    <s v="Purchase"/>
    <x v="123"/>
    <x v="2"/>
    <s v="USD"/>
    <d v="2020-10-30T00:00:00"/>
    <n v="604199.23"/>
    <x v="2"/>
    <n v="1750"/>
    <n v="345.25670285714284"/>
    <n v="1"/>
    <n v="604199.23"/>
    <n v="21.1648"/>
    <n v="12787755.863103999"/>
    <n v="108.774"/>
    <n v="122.94799999999999"/>
    <n v="1.1303000000000001"/>
    <n v="14454000.452066451"/>
    <n v="8259.428829752258"/>
    <m/>
    <n v="1750"/>
    <s v="Sale"/>
    <x v="88"/>
    <s v="USD"/>
    <n v="832979.17"/>
    <n v="1"/>
    <n v="832979.17"/>
    <n v="19.930299999999999"/>
    <n v="16601524.751851"/>
    <n v="14454000.452066451"/>
    <n v="2147524.2997845486"/>
    <n v="1.8"/>
    <n v="1"/>
    <n v="2147524.2997845486"/>
    <n v="0"/>
    <m/>
    <n v="228779.94000000006"/>
  </r>
  <r>
    <x v="2"/>
    <s v="Purchase"/>
    <x v="123"/>
    <x v="2"/>
    <s v="USD"/>
    <d v="2022-05-11T00:00:00"/>
    <n v="210246.45"/>
    <x v="2"/>
    <n v="475"/>
    <n v="442.6241052631579"/>
    <n v="1"/>
    <n v="210246.45"/>
    <n v="20.3172"/>
    <n v="4271619.1739400001"/>
    <n v="121.02200000000001"/>
    <n v="122.94799999999999"/>
    <n v="1.0159"/>
    <n v="4339537.9188056458"/>
    <n v="9135.8693027487279"/>
    <m/>
    <n v="475"/>
    <s v="Sale"/>
    <x v="88"/>
    <s v="USD"/>
    <n v="226094.35"/>
    <n v="1"/>
    <n v="226094.35"/>
    <n v="19.930299999999999"/>
    <n v="4506128.2238050001"/>
    <n v="4339537.9188056458"/>
    <n v="166590.3049993543"/>
    <n v="0.27123287671232876"/>
    <n v="1"/>
    <n v="166590.3049993543"/>
    <n v="0"/>
    <m/>
    <n v="15847.899999999994"/>
  </r>
  <r>
    <x v="2"/>
    <s v="Purchase"/>
    <x v="11"/>
    <x v="2"/>
    <s v="USD"/>
    <d v="2020-10-30T00:00:00"/>
    <n v="713306"/>
    <x v="2"/>
    <n v="2200"/>
    <n v="324.23"/>
    <n v="1"/>
    <n v="713306"/>
    <n v="21.1648"/>
    <n v="15096978.8288"/>
    <n v="108.774"/>
    <n v="122.94799999999999"/>
    <n v="1.1303000000000001"/>
    <n v="17064115.17019264"/>
    <n v="7756.4159864512003"/>
    <m/>
    <n v="2200"/>
    <s v="Sale"/>
    <x v="88"/>
    <s v="USD"/>
    <n v="938145.86"/>
    <n v="1"/>
    <n v="938145.86"/>
    <n v="19.930299999999999"/>
    <n v="18697528.433557998"/>
    <n v="17064115.17019264"/>
    <n v="1633413.2633653581"/>
    <n v="1.8"/>
    <n v="1"/>
    <n v="1633413.2633653581"/>
    <n v="0"/>
    <m/>
    <n v="224839.86"/>
  </r>
  <r>
    <x v="2"/>
    <s v="Purchase"/>
    <x v="11"/>
    <x v="2"/>
    <s v="USD"/>
    <d v="2022-05-11T00:00:00"/>
    <n v="110858.44"/>
    <x v="2"/>
    <n v="275"/>
    <n v="403.1216"/>
    <n v="1"/>
    <n v="110858.44"/>
    <n v="20.3172"/>
    <n v="2252333.0971679999"/>
    <n v="121.02200000000001"/>
    <n v="122.94799999999999"/>
    <n v="1.0159"/>
    <n v="2288145.1934129712"/>
    <n v="8320.5279760471676"/>
    <m/>
    <n v="275"/>
    <s v="Sale"/>
    <x v="88"/>
    <s v="USD"/>
    <n v="117268.23"/>
    <n v="1"/>
    <n v="117268.23"/>
    <n v="19.930299999999999"/>
    <n v="2337191.004369"/>
    <n v="2288145.1934129712"/>
    <n v="49045.810956028756"/>
    <n v="0.27123287671232876"/>
    <n v="1"/>
    <n v="49045.810956028756"/>
    <n v="0"/>
    <m/>
    <n v="6409.7899999999936"/>
  </r>
  <r>
    <x v="2"/>
    <s v="Purchase"/>
    <x v="124"/>
    <x v="2"/>
    <s v="USD"/>
    <d v="2022-05-11T00:00:00"/>
    <n v="500707.9"/>
    <x v="2"/>
    <n v="7000"/>
    <n v="71.529700000000005"/>
    <n v="1"/>
    <n v="500707.9"/>
    <n v="20.3172"/>
    <n v="10172982.545880001"/>
    <n v="121.02200000000001"/>
    <n v="122.94799999999999"/>
    <n v="1.0159"/>
    <n v="10334732.968359493"/>
    <n v="1476.3904240513561"/>
    <m/>
    <n v="7000"/>
    <s v="Sale"/>
    <x v="88"/>
    <s v="USD"/>
    <n v="618670.32999999996"/>
    <n v="1"/>
    <n v="618670.32999999996"/>
    <n v="19.930299999999999"/>
    <n v="12330285.277998999"/>
    <n v="10334732.968359493"/>
    <n v="1995552.309639506"/>
    <n v="0.27123287671232876"/>
    <n v="1"/>
    <n v="1995552.309639506"/>
    <n v="0"/>
    <m/>
    <n v="117962.42999999993"/>
  </r>
  <r>
    <x v="2"/>
    <s v="Purchase"/>
    <x v="124"/>
    <x v="2"/>
    <s v="USD"/>
    <d v="2022-05-17T00:00:00"/>
    <n v="125175.42"/>
    <x v="2"/>
    <n v="1700"/>
    <n v="73.632599999999996"/>
    <n v="1"/>
    <n v="125175.42"/>
    <n v="20.144300000000001"/>
    <n v="2521571.2131060003"/>
    <n v="121.02200000000001"/>
    <n v="122.94799999999999"/>
    <n v="1.0159"/>
    <n v="2561664.1953943856"/>
    <n v="1506.8612914084622"/>
    <m/>
    <n v="1700"/>
    <s v="Sale"/>
    <x v="88"/>
    <s v="USD"/>
    <n v="150248.51"/>
    <n v="1"/>
    <n v="150248.51"/>
    <n v="19.930299999999999"/>
    <n v="2994497.8788530002"/>
    <n v="2561664.1953943856"/>
    <n v="432833.68345861463"/>
    <n v="0.25479452054794521"/>
    <n v="1"/>
    <n v="432833.68345861463"/>
    <n v="0"/>
    <m/>
    <n v="25073.090000000011"/>
  </r>
  <r>
    <x v="2"/>
    <s v="Purchase"/>
    <x v="3"/>
    <x v="2"/>
    <s v="USD"/>
    <d v="2022-05-18T00:00:00"/>
    <n v="492563.20000000001"/>
    <x v="2"/>
    <n v="4000"/>
    <n v="123.1408"/>
    <n v="1"/>
    <n v="492563.20000000001"/>
    <n v="20.078199999999999"/>
    <n v="9889782.4422399998"/>
    <n v="121.02200000000001"/>
    <n v="122.94799999999999"/>
    <n v="1.0159"/>
    <n v="10047029.983071616"/>
    <n v="2511.7574957679039"/>
    <m/>
    <n v="4000"/>
    <s v="Sale"/>
    <x v="88"/>
    <s v="USD"/>
    <n v="555307.28"/>
    <n v="1"/>
    <n v="555307.28"/>
    <n v="19.930299999999999"/>
    <n v="11067440.682584001"/>
    <n v="10047029.983071616"/>
    <n v="1020410.6995123848"/>
    <n v="0.25205479452054796"/>
    <n v="1"/>
    <n v="1020410.6995123848"/>
    <n v="0"/>
    <m/>
    <n v="62744.080000000016"/>
  </r>
  <r>
    <x v="0"/>
    <m/>
    <x v="0"/>
    <x v="0"/>
    <m/>
    <m/>
    <m/>
    <x v="0"/>
    <n v="0"/>
    <n v="0"/>
    <n v="0"/>
    <n v="0"/>
    <n v="0"/>
    <n v="0"/>
    <n v="0"/>
    <n v="0"/>
    <n v="0"/>
    <n v="0"/>
    <n v="0"/>
    <m/>
    <m/>
    <m/>
    <x v="0"/>
    <m/>
    <m/>
    <n v="0"/>
    <n v="0"/>
    <n v="0"/>
    <n v="0"/>
    <n v="0"/>
    <n v="0"/>
    <n v="0"/>
    <n v="1"/>
    <n v="0"/>
    <n v="0"/>
    <m/>
    <n v="0"/>
  </r>
  <r>
    <x v="3"/>
    <s v="Purchase"/>
    <x v="125"/>
    <x v="2"/>
    <s v="USD"/>
    <d v="2021-01-21T00:00:00"/>
    <n v="8100.11"/>
    <x v="2"/>
    <n v="70"/>
    <n v="115.71585714285713"/>
    <n v="1"/>
    <n v="8100.11"/>
    <n v="19.678799999999999"/>
    <n v="159400.44466799998"/>
    <n v="110.21"/>
    <n v="122.94799999999999"/>
    <n v="1.1154999999999999"/>
    <n v="177811.19602715396"/>
    <n v="2540.1599432450566"/>
    <m/>
    <n v="70"/>
    <s v="Sale"/>
    <x v="89"/>
    <s v="USD"/>
    <n v="7743.22"/>
    <n v="1"/>
    <n v="7743.22"/>
    <n v="19.861799999999999"/>
    <n v="153794.28699600001"/>
    <n v="177811.19602715396"/>
    <n v="-24016.909031153948"/>
    <n v="1.5698630136986302"/>
    <n v="1"/>
    <n v="-24016.909031153948"/>
    <n v="0"/>
    <m/>
    <n v="-356.88999999999942"/>
  </r>
  <r>
    <x v="3"/>
    <s v="Purchase"/>
    <x v="126"/>
    <x v="2"/>
    <s v="USD"/>
    <d v="2018-08-03T00:00:00"/>
    <n v="6042.72"/>
    <x v="2"/>
    <n v="24"/>
    <n v="251.78"/>
    <n v="1"/>
    <n v="6042.72"/>
    <n v="18.5899"/>
    <n v="112333.560528"/>
    <n v="100.492"/>
    <n v="122.94799999999999"/>
    <n v="1.2234"/>
    <n v="137428.8779499552"/>
    <n v="5726.2032479148002"/>
    <m/>
    <n v="24"/>
    <s v="Sale"/>
    <x v="89"/>
    <s v="USD"/>
    <n v="10539.12"/>
    <n v="1"/>
    <n v="10539.12"/>
    <n v="19.861799999999999"/>
    <n v="209325.89361600002"/>
    <n v="137428.8779499552"/>
    <n v="71897.015666044812"/>
    <n v="4.0410958904109586"/>
    <n v="1"/>
    <n v="71897.015666044812"/>
    <n v="0"/>
    <m/>
    <n v="4496.4000000000005"/>
  </r>
  <r>
    <x v="3"/>
    <s v="Purchase"/>
    <x v="106"/>
    <x v="1"/>
    <s v="USD"/>
    <d v="2022-06-08T00:00:00"/>
    <n v="5370.18"/>
    <x v="1"/>
    <n v="41"/>
    <n v="130.98000000000002"/>
    <n v="1"/>
    <n v="5370.18"/>
    <n v="19.5547"/>
    <n v="105012.25884600001"/>
    <n v="122.044"/>
    <n v="123.803"/>
    <n v="1.0144"/>
    <n v="106524.43537338241"/>
    <n v="2598.1569603264002"/>
    <m/>
    <n v="41"/>
    <s v="Sale"/>
    <x v="89"/>
    <s v="USD"/>
    <n v="5397.89"/>
    <n v="1"/>
    <n v="5397.89"/>
    <n v="19.861799999999999"/>
    <n v="107211.811602"/>
    <n v="106524.43537338241"/>
    <n v="687.37622861759155"/>
    <n v="0.19178082191780821"/>
    <n v="1"/>
    <n v="687.37622861759155"/>
    <n v="0"/>
    <m/>
    <n v="27.710000000000036"/>
  </r>
  <r>
    <x v="3"/>
    <s v="Purchase"/>
    <x v="37"/>
    <x v="2"/>
    <s v="USD"/>
    <d v="2018-08-03T00:00:00"/>
    <n v="15814.34"/>
    <x v="2"/>
    <n v="255"/>
    <n v="62.017019607843139"/>
    <n v="1"/>
    <n v="15814.34"/>
    <n v="18.5899"/>
    <n v="293986.99916599999"/>
    <n v="100.492"/>
    <n v="122.94799999999999"/>
    <n v="1.2234"/>
    <n v="359663.69477968442"/>
    <n v="1410.4458618811154"/>
    <m/>
    <n v="255"/>
    <s v="Sale"/>
    <x v="89"/>
    <s v="USD"/>
    <n v="30569.98"/>
    <n v="1"/>
    <n v="30569.98"/>
    <n v="19.861799999999999"/>
    <n v="607174.82876399998"/>
    <n v="359663.69477968442"/>
    <n v="247511.13398431556"/>
    <n v="4.0410958904109586"/>
    <n v="1"/>
    <n v="247511.13398431556"/>
    <n v="0"/>
    <m/>
    <n v="14755.64"/>
  </r>
  <r>
    <x v="3"/>
    <s v="Purchase"/>
    <x v="38"/>
    <x v="2"/>
    <s v="USD"/>
    <d v="2019-04-23T00:00:00"/>
    <n v="19933.89"/>
    <x v="2"/>
    <n v="207"/>
    <n v="96.298985507246371"/>
    <n v="1"/>
    <n v="19933.89"/>
    <n v="18.847999999999999"/>
    <n v="375713.95872"/>
    <n v="103.53100000000001"/>
    <n v="122.94799999999999"/>
    <n v="1.1875"/>
    <n v="446160.32597999997"/>
    <n v="2155.3638936231882"/>
    <m/>
    <n v="207"/>
    <s v="Sale"/>
    <x v="89"/>
    <s v="USD"/>
    <n v="29414.03"/>
    <n v="1"/>
    <n v="29414.03"/>
    <n v="19.861799999999999"/>
    <n v="584215.58105399995"/>
    <n v="446160.32597999997"/>
    <n v="138055.25507399999"/>
    <n v="3.3205479452054796"/>
    <n v="1"/>
    <n v="138055.25507399999"/>
    <n v="0"/>
    <m/>
    <n v="9480.14"/>
  </r>
  <r>
    <x v="3"/>
    <s v="Purchase"/>
    <x v="127"/>
    <x v="2"/>
    <s v="USD"/>
    <d v="2019-12-18T00:00:00"/>
    <n v="856.8"/>
    <x v="2"/>
    <n v="4"/>
    <n v="214.2"/>
    <n v="1"/>
    <n v="856.8"/>
    <n v="18.970199999999998"/>
    <n v="16253.667359999998"/>
    <n v="105.934"/>
    <n v="122.94799999999999"/>
    <n v="1.1606000000000001"/>
    <n v="18864.006338015999"/>
    <n v="4716.0015845039998"/>
    <m/>
    <n v="4"/>
    <s v="Sale"/>
    <x v="89"/>
    <s v="USD"/>
    <n v="1111.01"/>
    <n v="1"/>
    <n v="1111.01"/>
    <n v="19.861799999999999"/>
    <n v="22066.658417999999"/>
    <n v="18864.006338015999"/>
    <n v="3202.652079984"/>
    <n v="2.6657534246575341"/>
    <n v="1"/>
    <n v="3202.652079984"/>
    <n v="0"/>
    <m/>
    <n v="254.21000000000004"/>
  </r>
  <r>
    <x v="3"/>
    <s v="Purchase"/>
    <x v="127"/>
    <x v="2"/>
    <s v="USD"/>
    <d v="2020-03-04T00:00:00"/>
    <n v="5916.6"/>
    <x v="2"/>
    <n v="24"/>
    <n v="246.52500000000001"/>
    <n v="1"/>
    <n v="5916.6"/>
    <n v="19.698499999999999"/>
    <n v="116548.14510000001"/>
    <n v="106.83799999999999"/>
    <n v="122.94799999999999"/>
    <n v="1.1507000000000001"/>
    <n v="134111.95056657001"/>
    <n v="5587.9979402737508"/>
    <m/>
    <n v="24"/>
    <s v="Sale"/>
    <x v="89"/>
    <s v="USD"/>
    <n v="6666.09"/>
    <n v="1"/>
    <n v="6666.09"/>
    <n v="19.861799999999999"/>
    <n v="132400.54636199999"/>
    <n v="134111.95056657001"/>
    <n v="-1711.4042045700189"/>
    <n v="2.4547945205479453"/>
    <n v="1"/>
    <n v="-1711.4042045700189"/>
    <n v="0"/>
    <m/>
    <n v="749.48999999999978"/>
  </r>
  <r>
    <x v="3"/>
    <s v="Purchase"/>
    <x v="14"/>
    <x v="2"/>
    <s v="USD"/>
    <d v="2019-01-11T00:00:00"/>
    <n v="2840.07"/>
    <x v="2"/>
    <n v="25"/>
    <n v="113.6028"/>
    <n v="1"/>
    <n v="2840.07"/>
    <n v="19.2456"/>
    <n v="54658.851192000002"/>
    <n v="103.108"/>
    <n v="122.94799999999999"/>
    <n v="1.1923999999999999"/>
    <n v="65175.214161340795"/>
    <n v="2607.0085664536318"/>
    <m/>
    <n v="25"/>
    <s v="Sale"/>
    <x v="89"/>
    <s v="USD"/>
    <n v="7206.08"/>
    <n v="1"/>
    <n v="7206.08"/>
    <n v="19.861799999999999"/>
    <n v="143125.719744"/>
    <n v="65175.214161340795"/>
    <n v="77950.505582659214"/>
    <n v="3.6"/>
    <n v="1"/>
    <n v="77950.505582659214"/>
    <n v="0"/>
    <m/>
    <n v="4366.01"/>
  </r>
  <r>
    <x v="3"/>
    <s v="Purchase"/>
    <x v="14"/>
    <x v="2"/>
    <s v="USD"/>
    <d v="2019-01-11T00:00:00"/>
    <n v="1476.84"/>
    <x v="2"/>
    <n v="13"/>
    <n v="113.60307692307691"/>
    <n v="1"/>
    <n v="1476.84"/>
    <n v="19.2456"/>
    <n v="28422.671903999999"/>
    <n v="103.108"/>
    <n v="122.94799999999999"/>
    <n v="1.1923999999999999"/>
    <n v="33891.193978329597"/>
    <n v="2607.0149214099688"/>
    <m/>
    <n v="13"/>
    <s v="Sale"/>
    <x v="90"/>
    <s v="USD"/>
    <n v="3536.75"/>
    <n v="1"/>
    <n v="3536.75"/>
    <n v="19.9437"/>
    <n v="70535.880974999993"/>
    <n v="33891.193978329597"/>
    <n v="36644.686996670396"/>
    <n v="3.6328767123287671"/>
    <n v="1"/>
    <n v="36644.686996670396"/>
    <n v="0"/>
    <m/>
    <n v="2059.91"/>
  </r>
  <r>
    <x v="3"/>
    <s v="Purchase"/>
    <x v="39"/>
    <x v="2"/>
    <s v="USD"/>
    <d v="2020-06-08T00:00:00"/>
    <n v="12402.35"/>
    <x v="2"/>
    <n v="149"/>
    <n v="83.23724832214765"/>
    <n v="1"/>
    <n v="12402.35"/>
    <n v="21.838799999999999"/>
    <n v="270852.44118000002"/>
    <n v="106.74299999999999"/>
    <n v="122.94799999999999"/>
    <n v="1.1517999999999999"/>
    <n v="311967.84175112401"/>
    <n v="2093.7439043699596"/>
    <m/>
    <n v="149"/>
    <s v="Sale"/>
    <x v="89"/>
    <s v="USD"/>
    <n v="26050.560000000001"/>
    <n v="1"/>
    <n v="26050.560000000001"/>
    <n v="19.861799999999999"/>
    <n v="517411.01260800002"/>
    <n v="311967.84175112401"/>
    <n v="205443.17085687601"/>
    <n v="2.1917808219178081"/>
    <n v="1"/>
    <n v="205443.17085687601"/>
    <n v="0"/>
    <m/>
    <n v="13648.210000000001"/>
  </r>
  <r>
    <x v="3"/>
    <s v="Purchase"/>
    <x v="128"/>
    <x v="2"/>
    <s v="USD"/>
    <d v="2021-03-09T00:00:00"/>
    <n v="8707.91"/>
    <x v="2"/>
    <n v="77"/>
    <n v="113.08974025974025"/>
    <n v="1"/>
    <n v="8707.91"/>
    <n v="21.263500000000001"/>
    <n v="185160.64428499999"/>
    <n v="111.824"/>
    <n v="122.94799999999999"/>
    <n v="1.0993999999999999"/>
    <n v="203565.61232692897"/>
    <n v="2643.7092509990775"/>
    <m/>
    <n v="77"/>
    <s v="Sale"/>
    <x v="89"/>
    <s v="USD"/>
    <n v="8189.55"/>
    <n v="1"/>
    <n v="8189.55"/>
    <n v="19.861799999999999"/>
    <n v="162659.20418999999"/>
    <n v="203565.61232692897"/>
    <n v="-40906.408136928978"/>
    <n v="1.441095890410959"/>
    <n v="1"/>
    <n v="-40906.408136928978"/>
    <n v="0"/>
    <m/>
    <n v="-518.35999999999967"/>
  </r>
  <r>
    <x v="3"/>
    <s v="Purchase"/>
    <x v="129"/>
    <x v="2"/>
    <s v="USD"/>
    <d v="2022-06-08T00:00:00"/>
    <n v="1640.73"/>
    <x v="2"/>
    <n v="78"/>
    <n v="21.035"/>
    <n v="1"/>
    <n v="1640.73"/>
    <n v="19.5547"/>
    <n v="32083.982931000002"/>
    <n v="122.044"/>
    <n v="122.94799999999999"/>
    <n v="1.0074000000000001"/>
    <n v="32321.404404689405"/>
    <n v="414.37697954730004"/>
    <m/>
    <n v="78"/>
    <s v="Sale"/>
    <x v="89"/>
    <s v="USD"/>
    <n v="1446.85"/>
    <n v="1"/>
    <n v="1446.85"/>
    <n v="19.861799999999999"/>
    <n v="28737.045329999997"/>
    <n v="32321.404404689401"/>
    <n v="-3584.3590746894042"/>
    <n v="0.19178082191780821"/>
    <n v="1"/>
    <n v="-3584.3590746894042"/>
    <n v="0"/>
    <m/>
    <n v="-193.88000000000011"/>
  </r>
  <r>
    <x v="3"/>
    <s v="Purchase"/>
    <x v="130"/>
    <x v="2"/>
    <s v="USD"/>
    <d v="2021-08-23T00:00:00"/>
    <n v="8489.27"/>
    <x v="2"/>
    <n v="4"/>
    <n v="2122.3175000000001"/>
    <n v="1"/>
    <n v="8489.27"/>
    <n v="20.1175"/>
    <n v="170782.88922500002"/>
    <n v="113.899"/>
    <n v="122.94799999999999"/>
    <n v="1.0793999999999999"/>
    <n v="184343.050629465"/>
    <n v="46085.762657366249"/>
    <m/>
    <n v="4"/>
    <s v="Sale"/>
    <x v="89"/>
    <s v="USD"/>
    <n v="8513.75"/>
    <n v="1"/>
    <n v="8513.75"/>
    <n v="19.861799999999999"/>
    <n v="169098.39974999998"/>
    <n v="184343.050629465"/>
    <n v="-15244.650879465014"/>
    <n v="0.98356164383561639"/>
    <n v="1"/>
    <n v="-15244.650879465014"/>
    <n v="0"/>
    <m/>
    <n v="24.479999999999563"/>
  </r>
  <r>
    <x v="3"/>
    <s v="Purchase"/>
    <x v="131"/>
    <x v="2"/>
    <s v="USD"/>
    <d v="2021-02-24T00:00:00"/>
    <n v="7353.94"/>
    <x v="2"/>
    <n v="187"/>
    <n v="39.325882352941171"/>
    <n v="1"/>
    <n v="7353.94"/>
    <n v="20.6783"/>
    <n v="152066.97750199999"/>
    <n v="110.907"/>
    <n v="122.94799999999999"/>
    <n v="1.1085"/>
    <n v="168566.244560967"/>
    <n v="901.42376770570581"/>
    <m/>
    <n v="187"/>
    <s v="Sale"/>
    <x v="89"/>
    <s v="USD"/>
    <n v="7922.08"/>
    <n v="1"/>
    <n v="7922.08"/>
    <n v="19.861799999999999"/>
    <n v="157346.76854399999"/>
    <n v="168566.244560967"/>
    <n v="-11219.476016967004"/>
    <n v="1.4767123287671233"/>
    <n v="1"/>
    <n v="-11219.476016967004"/>
    <n v="0"/>
    <m/>
    <n v="568.14000000000033"/>
  </r>
  <r>
    <x v="3"/>
    <s v="Purchase"/>
    <x v="132"/>
    <x v="1"/>
    <s v="USD"/>
    <d v="2022-06-08T00:00:00"/>
    <n v="5379.31"/>
    <x v="1"/>
    <n v="34"/>
    <n v="158.215"/>
    <n v="1"/>
    <n v="5379.31"/>
    <n v="19.5547"/>
    <n v="105190.79325700001"/>
    <n v="122.044"/>
    <n v="123.803"/>
    <n v="1.0144"/>
    <n v="106705.54067990081"/>
    <n v="3138.3982552912003"/>
    <m/>
    <n v="34"/>
    <s v="Sale"/>
    <x v="89"/>
    <s v="USD"/>
    <n v="3897.89"/>
    <n v="1"/>
    <n v="3897.89"/>
    <n v="19.861799999999999"/>
    <n v="77419.11160199999"/>
    <n v="106705.54067990081"/>
    <n v="-29286.429077900815"/>
    <n v="0.19178082191780821"/>
    <n v="1"/>
    <n v="-29286.429077900815"/>
    <n v="0"/>
    <m/>
    <n v="-1481.4200000000005"/>
  </r>
  <r>
    <x v="3"/>
    <s v="Purchase"/>
    <x v="18"/>
    <x v="2"/>
    <s v="USD"/>
    <d v="2019-11-15T00:00:00"/>
    <n v="3358.41"/>
    <x v="2"/>
    <n v="11"/>
    <n v="305.31"/>
    <n v="1"/>
    <n v="3358.41"/>
    <n v="19.4543"/>
    <n v="65335.515662999998"/>
    <n v="105.346"/>
    <n v="122.94799999999999"/>
    <n v="1.167"/>
    <n v="76246.546778721007"/>
    <n v="6931.504252611001"/>
    <m/>
    <n v="11"/>
    <s v="Sale"/>
    <x v="89"/>
    <s v="USD"/>
    <n v="6124"/>
    <n v="1"/>
    <n v="6124"/>
    <n v="19.861799999999999"/>
    <n v="121633.6632"/>
    <n v="76246.546778721007"/>
    <n v="45387.116421278988"/>
    <n v="2.7561643835616438"/>
    <n v="1"/>
    <n v="45387.116421278988"/>
    <n v="0"/>
    <m/>
    <n v="2765.59"/>
  </r>
  <r>
    <x v="3"/>
    <s v="Purchase"/>
    <x v="133"/>
    <x v="2"/>
    <s v="USD"/>
    <d v="2019-09-23T00:00:00"/>
    <n v="8917.92"/>
    <x v="2"/>
    <n v="68"/>
    <n v="131.14588235294119"/>
    <n v="1"/>
    <n v="8917.92"/>
    <n v="19.398099999999999"/>
    <n v="172990.70395200001"/>
    <n v="103.94199999999999"/>
    <n v="122.94799999999999"/>
    <n v="1.1828000000000001"/>
    <n v="204613.40463442562"/>
    <n v="3009.0206563886122"/>
    <m/>
    <n v="68"/>
    <s v="Sale"/>
    <x v="89"/>
    <s v="USD"/>
    <n v="6918.16"/>
    <n v="1"/>
    <n v="6918.16"/>
    <n v="19.861799999999999"/>
    <n v="137407.110288"/>
    <n v="204613.40463442562"/>
    <n v="-67206.294346425624"/>
    <n v="2.9013698630136986"/>
    <n v="1"/>
    <n v="-67206.294346425624"/>
    <n v="0"/>
    <m/>
    <n v="-1999.7600000000002"/>
  </r>
  <r>
    <x v="3"/>
    <s v="Purchase"/>
    <x v="43"/>
    <x v="2"/>
    <s v="USD"/>
    <d v="2019-06-20T00:00:00"/>
    <n v="841.57"/>
    <x v="2"/>
    <n v="4"/>
    <n v="210.39250000000001"/>
    <n v="1"/>
    <n v="841.57"/>
    <n v="19.101099999999999"/>
    <n v="16074.912727000001"/>
    <n v="103.29900000000001"/>
    <n v="122.94799999999999"/>
    <n v="1.1901999999999999"/>
    <n v="19132.361127675398"/>
    <n v="4783.0902819188495"/>
    <m/>
    <n v="4"/>
    <s v="Sale"/>
    <x v="89"/>
    <s v="USD"/>
    <n v="1304.82"/>
    <n v="1"/>
    <n v="1304.82"/>
    <n v="19.861799999999999"/>
    <n v="25916.073875999999"/>
    <n v="19132.361127675398"/>
    <n v="6783.7127483246004"/>
    <n v="3.1616438356164385"/>
    <n v="1"/>
    <n v="6783.7127483246004"/>
    <n v="0"/>
    <m/>
    <n v="463.24999999999989"/>
  </r>
  <r>
    <x v="3"/>
    <s v="Purchase"/>
    <x v="43"/>
    <x v="2"/>
    <s v="USD"/>
    <d v="2020-03-04T00:00:00"/>
    <n v="3987.18"/>
    <x v="2"/>
    <n v="17"/>
    <n v="234.54"/>
    <n v="1"/>
    <n v="3987.18"/>
    <n v="19.698499999999999"/>
    <n v="78541.465229999987"/>
    <n v="106.83799999999999"/>
    <n v="122.94799999999999"/>
    <n v="1.1507000000000001"/>
    <n v="90377.664040160991"/>
    <n v="5316.3331788329997"/>
    <m/>
    <n v="17"/>
    <s v="Sale"/>
    <x v="89"/>
    <s v="USD"/>
    <n v="5545.47"/>
    <n v="1"/>
    <n v="5545.47"/>
    <n v="19.861799999999999"/>
    <n v="110143.016046"/>
    <n v="90377.664040160991"/>
    <n v="19765.352005839013"/>
    <n v="2.4547945205479453"/>
    <n v="1"/>
    <n v="19765.352005839013"/>
    <n v="0"/>
    <m/>
    <n v="1558.2900000000004"/>
  </r>
  <r>
    <x v="3"/>
    <s v="Purchase"/>
    <x v="22"/>
    <x v="2"/>
    <s v="USD"/>
    <d v="2020-06-08T00:00:00"/>
    <n v="5513.42"/>
    <x v="2"/>
    <n v="34"/>
    <n v="162.15941176470588"/>
    <n v="1"/>
    <n v="5513.42"/>
    <n v="21.838799999999999"/>
    <n v="120406.476696"/>
    <n v="106.74299999999999"/>
    <n v="122.94799999999999"/>
    <n v="1.1517999999999999"/>
    <n v="138684.17985845279"/>
    <n v="4078.9464664250818"/>
    <m/>
    <n v="34"/>
    <s v="Sale"/>
    <x v="89"/>
    <s v="USD"/>
    <n v="6898.95"/>
    <n v="1"/>
    <n v="6898.95"/>
    <n v="19.861799999999999"/>
    <n v="137025.56511"/>
    <n v="138684.17985845279"/>
    <n v="-1658.6147484527901"/>
    <n v="2.1917808219178081"/>
    <n v="1"/>
    <n v="-1658.6147484527901"/>
    <n v="0"/>
    <m/>
    <n v="1385.5299999999997"/>
  </r>
  <r>
    <x v="3"/>
    <s v="Purchase"/>
    <x v="109"/>
    <x v="2"/>
    <s v="USD"/>
    <d v="2022-06-10T00:00:00"/>
    <n v="21685.4"/>
    <x v="2"/>
    <n v="550"/>
    <n v="39.428000000000004"/>
    <n v="1"/>
    <n v="21685.4"/>
    <n v="19.59"/>
    <n v="424816.98600000003"/>
    <n v="122.044"/>
    <n v="122.94799999999999"/>
    <n v="1.0074000000000001"/>
    <n v="427960.63169640006"/>
    <n v="778.11023944800013"/>
    <m/>
    <n v="550"/>
    <s v="Sale"/>
    <x v="91"/>
    <s v="USD"/>
    <n v="19680.97"/>
    <n v="1"/>
    <n v="19680.97"/>
    <n v="19.956199999999999"/>
    <n v="392757.37351399998"/>
    <n v="427960.63169640006"/>
    <n v="-35203.258182400081"/>
    <n v="0.17260273972602741"/>
    <n v="1"/>
    <n v="-35203.258182400081"/>
    <n v="0"/>
    <m/>
    <n v="-2004.4300000000003"/>
  </r>
  <r>
    <x v="3"/>
    <s v="Purchase"/>
    <x v="109"/>
    <x v="2"/>
    <s v="USD"/>
    <d v="2022-06-13T00:00:00"/>
    <n v="14426.94"/>
    <x v="2"/>
    <n v="379"/>
    <n v="38.065804749340373"/>
    <n v="1"/>
    <n v="14426.94"/>
    <n v="19.6128"/>
    <n v="282952.68883200001"/>
    <n v="122.044"/>
    <n v="122.94799999999999"/>
    <n v="1.0074000000000001"/>
    <n v="285046.53872935683"/>
    <n v="752.10168530173303"/>
    <m/>
    <n v="379"/>
    <s v="Sale"/>
    <x v="91"/>
    <s v="USD"/>
    <n v="13561.98"/>
    <n v="1"/>
    <n v="13561.98"/>
    <n v="19.956199999999999"/>
    <n v="270645.58527599997"/>
    <n v="285046.53872935683"/>
    <n v="-14400.953453356866"/>
    <n v="0.16438356164383561"/>
    <n v="1"/>
    <n v="-14400.953453356866"/>
    <n v="0"/>
    <m/>
    <n v="-864.96000000000095"/>
  </r>
  <r>
    <x v="3"/>
    <s v="Purchase"/>
    <x v="109"/>
    <x v="2"/>
    <s v="USD"/>
    <d v="2020-09-28T00:00:00"/>
    <n v="7885.47"/>
    <x v="2"/>
    <n v="156"/>
    <n v="50.547884615384618"/>
    <n v="1"/>
    <n v="7885.47"/>
    <n v="22.367799999999999"/>
    <n v="176380.61586600001"/>
    <n v="108.114"/>
    <n v="122.94799999999999"/>
    <n v="1.1372"/>
    <n v="200580.03636281521"/>
    <n v="1285.7694638642001"/>
    <m/>
    <n v="156"/>
    <s v="Sale"/>
    <x v="91"/>
    <s v="USD"/>
    <n v="5582.24"/>
    <n v="1"/>
    <n v="5582.24"/>
    <n v="19.956199999999999"/>
    <n v="111400.29788799999"/>
    <n v="200580.03636281521"/>
    <n v="-89179.738474815225"/>
    <n v="1.8712328767123287"/>
    <n v="1"/>
    <n v="-89179.738474815225"/>
    <n v="0"/>
    <m/>
    <n v="-2303.2300000000005"/>
  </r>
  <r>
    <x v="3"/>
    <s v="Purchase"/>
    <x v="109"/>
    <x v="2"/>
    <s v="USD"/>
    <d v="2020-11-22T00:00:00"/>
    <n v="29753.96"/>
    <x v="2"/>
    <n v="550"/>
    <n v="54.098109090909091"/>
    <n v="1"/>
    <n v="29753.96"/>
    <n v="20.1858"/>
    <n v="600607.48576800001"/>
    <n v="108.85599999999999"/>
    <n v="122.94799999999999"/>
    <n v="1.1294"/>
    <n v="678326.09442637919"/>
    <n v="1233.3201716843257"/>
    <m/>
    <n v="550"/>
    <s v="Sale"/>
    <x v="91"/>
    <s v="USD"/>
    <n v="19680.97"/>
    <n v="1"/>
    <n v="19680.97"/>
    <n v="19.956199999999999"/>
    <n v="392757.37351399998"/>
    <n v="678326.09442637919"/>
    <n v="-285568.72091237921"/>
    <n v="1.7205479452054795"/>
    <n v="1"/>
    <n v="-285568.72091237921"/>
    <n v="0"/>
    <m/>
    <n v="-10072.989999999998"/>
  </r>
  <r>
    <x v="3"/>
    <s v="Purchase"/>
    <x v="109"/>
    <x v="2"/>
    <s v="USD"/>
    <d v="2021-03-10T00:00:00"/>
    <n v="9972.2199999999993"/>
    <x v="2"/>
    <n v="158"/>
    <n v="63.115316455696195"/>
    <n v="1"/>
    <n v="9972.2199999999993"/>
    <n v="21.4177"/>
    <n v="213582.01629399997"/>
    <n v="111.824"/>
    <n v="122.94799999999999"/>
    <n v="1.0993999999999999"/>
    <n v="234812.06871362356"/>
    <n v="1486.1523336305288"/>
    <m/>
    <n v="158"/>
    <s v="Sale"/>
    <x v="91"/>
    <s v="USD"/>
    <n v="5653.8"/>
    <n v="1"/>
    <n v="5653.8"/>
    <n v="19.956199999999999"/>
    <n v="112828.36356"/>
    <n v="234812.06871362356"/>
    <n v="-121983.70515362357"/>
    <n v="1.4246575342465753"/>
    <n v="1"/>
    <n v="-121983.70515362357"/>
    <n v="0"/>
    <m/>
    <n v="-4318.4199999999992"/>
  </r>
  <r>
    <x v="3"/>
    <s v="Purchase"/>
    <x v="109"/>
    <x v="2"/>
    <s v="USD"/>
    <d v="2021-05-27T00:00:00"/>
    <n v="10308.200000000001"/>
    <x v="2"/>
    <n v="179"/>
    <n v="57.58770949720671"/>
    <n v="1"/>
    <n v="10308.200000000001"/>
    <n v="19.8903"/>
    <n v="205033.19046000001"/>
    <n v="112.419"/>
    <n v="122.94799999999999"/>
    <n v="1.0935999999999999"/>
    <n v="224224.29708705598"/>
    <n v="1252.6497043969607"/>
    <m/>
    <n v="179"/>
    <s v="Sale"/>
    <x v="91"/>
    <s v="USD"/>
    <n v="6405.26"/>
    <n v="1"/>
    <n v="6405.26"/>
    <n v="19.956199999999999"/>
    <n v="127824.64961199999"/>
    <n v="224224.29708705598"/>
    <n v="-96399.647475055986"/>
    <n v="1.210958904109589"/>
    <n v="1"/>
    <n v="-96399.647475055986"/>
    <n v="0"/>
    <m/>
    <n v="-3902.9400000000005"/>
  </r>
  <r>
    <x v="3"/>
    <s v="Purchase"/>
    <x v="44"/>
    <x v="2"/>
    <s v="USD"/>
    <d v="2018-08-03T00:00:00"/>
    <n v="4356.79"/>
    <x v="2"/>
    <n v="60"/>
    <n v="72.613166666666672"/>
    <n v="1"/>
    <n v="4356.79"/>
    <n v="18.5899"/>
    <n v="80992.290420999998"/>
    <n v="100.492"/>
    <n v="122.94799999999999"/>
    <n v="1.2234"/>
    <n v="99085.968101051403"/>
    <n v="1651.4328016841901"/>
    <m/>
    <n v="60"/>
    <s v="Sale"/>
    <x v="89"/>
    <s v="USD"/>
    <n v="6701.25"/>
    <n v="1"/>
    <n v="6701.25"/>
    <n v="19.861799999999999"/>
    <n v="133098.88725"/>
    <n v="99085.968101051403"/>
    <n v="34012.919148948597"/>
    <n v="4.0410958904109586"/>
    <n v="1"/>
    <n v="34012.919148948597"/>
    <n v="0"/>
    <m/>
    <n v="2344.46"/>
  </r>
  <r>
    <x v="3"/>
    <s v="Purchase"/>
    <x v="44"/>
    <x v="2"/>
    <s v="USD"/>
    <d v="2018-08-03T00:00:00"/>
    <n v="10383.69"/>
    <x v="2"/>
    <n v="143"/>
    <n v="72.613216783216785"/>
    <n v="1"/>
    <n v="10383.69"/>
    <n v="18.5899"/>
    <n v="193031.75873100001"/>
    <n v="100.492"/>
    <n v="122.94799999999999"/>
    <n v="1.2234"/>
    <n v="236155.05363150541"/>
    <n v="1651.4339414790588"/>
    <m/>
    <n v="143"/>
    <s v="Sale"/>
    <x v="90"/>
    <s v="USD"/>
    <n v="14625.41"/>
    <n v="1"/>
    <n v="14625.41"/>
    <n v="19.9437"/>
    <n v="291684.78941700002"/>
    <n v="236155.05363150541"/>
    <n v="55529.735785494617"/>
    <n v="4.0739726027397261"/>
    <n v="1"/>
    <n v="55529.735785494617"/>
    <n v="0"/>
    <m/>
    <n v="4241.7199999999993"/>
  </r>
  <r>
    <x v="3"/>
    <s v="Purchase"/>
    <x v="134"/>
    <x v="2"/>
    <s v="USD"/>
    <d v="2022-03-28T00:00:00"/>
    <n v="7857.86"/>
    <x v="2"/>
    <n v="27"/>
    <n v="291.03185185185185"/>
    <n v="1"/>
    <n v="7857.86"/>
    <n v="20.1313"/>
    <n v="158188.937018"/>
    <n v="120.15900000000001"/>
    <n v="122.94799999999999"/>
    <n v="1.0232000000000001"/>
    <n v="161858.9203568176"/>
    <n v="5994.7748280302812"/>
    <m/>
    <n v="27"/>
    <s v="Sale"/>
    <x v="89"/>
    <s v="USD"/>
    <n v="6211.75"/>
    <n v="1"/>
    <n v="6211.75"/>
    <n v="19.861799999999999"/>
    <n v="123376.53614999999"/>
    <n v="161858.9203568176"/>
    <n v="-38482.384206817616"/>
    <n v="0.38904109589041097"/>
    <n v="1"/>
    <n v="-38482.384206817616"/>
    <n v="0"/>
    <m/>
    <n v="-1646.1099999999997"/>
  </r>
  <r>
    <x v="3"/>
    <s v="Purchase"/>
    <x v="135"/>
    <x v="2"/>
    <s v="USD"/>
    <d v="2022-06-08T00:00:00"/>
    <n v="4641.87"/>
    <x v="2"/>
    <n v="19"/>
    <n v="244.30894736842106"/>
    <n v="1"/>
    <n v="4641.87"/>
    <n v="19.5547"/>
    <n v="90770.375289000003"/>
    <n v="122.044"/>
    <n v="122.94799999999999"/>
    <n v="1.0074000000000001"/>
    <n v="91442.076066138616"/>
    <n v="4812.7408455862433"/>
    <m/>
    <n v="19"/>
    <s v="Sale"/>
    <x v="89"/>
    <s v="USD"/>
    <n v="4575.91"/>
    <n v="1"/>
    <n v="4575.91"/>
    <n v="19.861799999999999"/>
    <n v="90885.809237999987"/>
    <n v="91442.076066138616"/>
    <n v="-556.26682813862863"/>
    <n v="0.19178082191780821"/>
    <n v="1"/>
    <n v="-556.26682813862863"/>
    <n v="0"/>
    <m/>
    <n v="-65.960000000000036"/>
  </r>
  <r>
    <x v="3"/>
    <s v="Purchase"/>
    <x v="136"/>
    <x v="2"/>
    <s v="USD"/>
    <d v="2019-03-13T00:00:00"/>
    <n v="3207.74"/>
    <x v="2"/>
    <n v="20"/>
    <n v="160.387"/>
    <n v="1"/>
    <n v="3207.74"/>
    <n v="19.424299999999999"/>
    <n v="62308.104081999991"/>
    <n v="103.476"/>
    <n v="122.94799999999999"/>
    <n v="1.1880999999999999"/>
    <n v="74028.258459824181"/>
    <n v="3701.4129229912091"/>
    <m/>
    <n v="20"/>
    <s v="Sale"/>
    <x v="89"/>
    <s v="USD"/>
    <n v="5538.87"/>
    <n v="1"/>
    <n v="5538.87"/>
    <n v="19.861799999999999"/>
    <n v="110011.928166"/>
    <n v="74028.258459824181"/>
    <n v="35983.669706175817"/>
    <n v="3.4328767123287673"/>
    <n v="1"/>
    <n v="35983.669706175817"/>
    <n v="0"/>
    <m/>
    <n v="2331.13"/>
  </r>
  <r>
    <x v="3"/>
    <s v="Purchase"/>
    <x v="25"/>
    <x v="2"/>
    <s v="USD"/>
    <d v="2018-08-03T00:00:00"/>
    <n v="15731.31"/>
    <x v="2"/>
    <n v="161"/>
    <n v="97.71"/>
    <n v="1"/>
    <n v="15731.31"/>
    <n v="18.5899"/>
    <n v="292443.47976899997"/>
    <n v="100.492"/>
    <n v="122.044"/>
    <n v="1.2143999999999999"/>
    <n v="355143.36183147354"/>
    <n v="2205.8593902575994"/>
    <m/>
    <n v="161"/>
    <s v="Sale"/>
    <x v="92"/>
    <s v="USD"/>
    <n v="30706.27"/>
    <n v="1"/>
    <n v="30706.27"/>
    <n v="20.512"/>
    <n v="629847.01023999997"/>
    <n v="355143.36183147354"/>
    <n v="274703.64840852644"/>
    <n v="3.989041095890411"/>
    <n v="1"/>
    <n v="274703.64840852644"/>
    <n v="0"/>
    <m/>
    <n v="14974.960000000001"/>
  </r>
  <r>
    <x v="3"/>
    <s v="Purchase"/>
    <x v="25"/>
    <x v="2"/>
    <s v="USD"/>
    <d v="2020-03-04T00:00:00"/>
    <n v="1333.8"/>
    <x v="2"/>
    <n v="12"/>
    <n v="111.14999999999999"/>
    <n v="1"/>
    <n v="1333.8"/>
    <n v="19.698499999999999"/>
    <n v="26273.859299999996"/>
    <n v="106.83799999999999"/>
    <n v="122.044"/>
    <n v="1.1423000000000001"/>
    <n v="30012.629478389998"/>
    <n v="2501.0524565324999"/>
    <m/>
    <n v="12"/>
    <s v="Sale"/>
    <x v="92"/>
    <s v="USD"/>
    <n v="2288.67"/>
    <n v="1"/>
    <n v="2288.67"/>
    <n v="20.512"/>
    <n v="46945.19904"/>
    <n v="30012.629478390001"/>
    <n v="16932.569561609998"/>
    <n v="2.4027397260273973"/>
    <n v="1"/>
    <n v="16932.569561609998"/>
    <n v="0"/>
    <m/>
    <n v="954.87000000000012"/>
  </r>
  <r>
    <x v="3"/>
    <s v="Purchase"/>
    <x v="25"/>
    <x v="2"/>
    <s v="USD"/>
    <d v="2021-09-30T00:00:00"/>
    <n v="6141.07"/>
    <x v="2"/>
    <n v="30"/>
    <n v="204.70233333333331"/>
    <n v="1"/>
    <n v="6141.07"/>
    <n v="20.306000000000001"/>
    <n v="124700.56742000001"/>
    <n v="114.601"/>
    <n v="122.94799999999999"/>
    <n v="1.0728"/>
    <n v="133778.76872817602"/>
    <n v="4459.2922909392009"/>
    <m/>
    <n v="30"/>
    <s v="Sale"/>
    <x v="93"/>
    <s v="USD"/>
    <n v="5826.66"/>
    <n v="1"/>
    <n v="5826.66"/>
    <n v="20.377800000000001"/>
    <n v="118734.51214799999"/>
    <n v="133778.76872817602"/>
    <n v="-15044.256580176021"/>
    <n v="0.83561643835616439"/>
    <n v="1"/>
    <n v="-15044.256580176021"/>
    <n v="0"/>
    <m/>
    <n v="-314.40999999999985"/>
  </r>
  <r>
    <x v="3"/>
    <s v="Purchase"/>
    <x v="25"/>
    <x v="2"/>
    <s v="USD"/>
    <d v="2020-03-04T00:00:00"/>
    <n v="3001.05"/>
    <x v="2"/>
    <n v="27"/>
    <n v="111.15"/>
    <n v="1"/>
    <n v="3001.05"/>
    <n v="19.698499999999999"/>
    <n v="59116.183425000003"/>
    <n v="106.83799999999999"/>
    <n v="122.94799999999999"/>
    <n v="1.1507000000000001"/>
    <n v="68024.992267147507"/>
    <n v="2519.4441580425005"/>
    <m/>
    <n v="27"/>
    <s v="Sale"/>
    <x v="93"/>
    <s v="USD"/>
    <n v="5244"/>
    <n v="1"/>
    <n v="5244"/>
    <n v="20.377800000000001"/>
    <n v="106861.1832"/>
    <n v="68024.992267147507"/>
    <n v="38836.190932852493"/>
    <n v="2.4109589041095889"/>
    <n v="1"/>
    <n v="38836.190932852493"/>
    <n v="0"/>
    <m/>
    <n v="2242.9499999999998"/>
  </r>
  <r>
    <x v="3"/>
    <s v="Purchase"/>
    <x v="25"/>
    <x v="2"/>
    <s v="USD"/>
    <d v="2020-05-13T00:00:00"/>
    <n v="10557.95"/>
    <x v="2"/>
    <n v="97"/>
    <n v="108.84484536082475"/>
    <n v="1"/>
    <n v="10557.95"/>
    <n v="23.869299999999999"/>
    <n v="252010.87593500002"/>
    <n v="106.16200000000001"/>
    <n v="122.94799999999999"/>
    <n v="1.1580999999999999"/>
    <n v="291853.7954203235"/>
    <n v="3008.8020146425101"/>
    <m/>
    <n v="97"/>
    <s v="Sale"/>
    <x v="93"/>
    <s v="USD"/>
    <n v="18839.54"/>
    <n v="1"/>
    <n v="18839.54"/>
    <n v="20.377800000000001"/>
    <n v="383908.37821200001"/>
    <n v="291853.7954203235"/>
    <n v="92054.582791676512"/>
    <n v="2.2191780821917808"/>
    <n v="1"/>
    <n v="92054.582791676512"/>
    <n v="0"/>
    <m/>
    <n v="8281.59"/>
  </r>
  <r>
    <x v="3"/>
    <s v="Purchase"/>
    <x v="25"/>
    <x v="2"/>
    <s v="USD"/>
    <d v="2021-09-30T00:00:00"/>
    <n v="11258.62"/>
    <x v="2"/>
    <n v="55"/>
    <n v="204.70218181818183"/>
    <n v="1"/>
    <n v="11258.62"/>
    <n v="20.306000000000001"/>
    <n v="228617.53772000002"/>
    <n v="114.601"/>
    <n v="122.94799999999999"/>
    <n v="1.0728"/>
    <n v="245260.89446601601"/>
    <n v="4459.2889902912002"/>
    <m/>
    <n v="55"/>
    <s v="Sale"/>
    <x v="94"/>
    <s v="USD"/>
    <n v="10429.85"/>
    <n v="1"/>
    <n v="10429.85"/>
    <n v="20.348500000000001"/>
    <n v="212231.80272500002"/>
    <n v="245260.89446601601"/>
    <n v="-33029.091741015989"/>
    <n v="0.83835616438356164"/>
    <n v="1"/>
    <n v="-33029.091741015989"/>
    <n v="0"/>
    <m/>
    <n v="-828.77000000000044"/>
  </r>
  <r>
    <x v="3"/>
    <s v="Purchase"/>
    <x v="25"/>
    <x v="2"/>
    <s v="USD"/>
    <d v="2021-10-01T00:00:00"/>
    <n v="5701.36"/>
    <x v="2"/>
    <n v="28"/>
    <n v="203.61999999999998"/>
    <n v="1"/>
    <n v="5701.36"/>
    <n v="20.497699999999998"/>
    <n v="116864.76687199998"/>
    <n v="115.56100000000001"/>
    <n v="122.94799999999999"/>
    <n v="1.0639000000000001"/>
    <n v="124332.42547512079"/>
    <n v="4440.4437669685994"/>
    <m/>
    <n v="28"/>
    <s v="Sale"/>
    <x v="94"/>
    <s v="USD"/>
    <n v="5309.75"/>
    <n v="1"/>
    <n v="5309.75"/>
    <n v="20.348500000000001"/>
    <n v="108045.44787500001"/>
    <n v="124332.42547512078"/>
    <n v="-16286.977600120765"/>
    <n v="0.83561643835616439"/>
    <n v="1"/>
    <n v="-16286.977600120765"/>
    <n v="0"/>
    <m/>
    <n v="-391.60999999999967"/>
  </r>
  <r>
    <x v="3"/>
    <s v="Purchase"/>
    <x v="25"/>
    <x v="2"/>
    <s v="USD"/>
    <d v="2022-06-16T00:00:00"/>
    <n v="2926.32"/>
    <x v="2"/>
    <n v="17"/>
    <n v="172.13647058823531"/>
    <n v="1"/>
    <n v="2926.32"/>
    <n v="20.658300000000001"/>
    <n v="60452.796456000004"/>
    <n v="122.044"/>
    <n v="122.94799999999999"/>
    <n v="1.0074000000000001"/>
    <n v="60900.147149774406"/>
    <n v="3582.3615970455535"/>
    <m/>
    <n v="17"/>
    <s v="Sale"/>
    <x v="94"/>
    <s v="USD"/>
    <n v="3223.77"/>
    <n v="1"/>
    <n v="3223.77"/>
    <n v="20.348500000000001"/>
    <n v="65598.883845000004"/>
    <n v="60900.147149774406"/>
    <n v="4698.7366952255979"/>
    <n v="0.12876712328767123"/>
    <n v="1"/>
    <n v="4698.7366952255979"/>
    <n v="0"/>
    <m/>
    <n v="297.44999999999982"/>
  </r>
  <r>
    <x v="3"/>
    <s v="Purchase"/>
    <x v="137"/>
    <x v="2"/>
    <s v="USD"/>
    <d v="2021-09-30T00:00:00"/>
    <n v="54195.74"/>
    <x v="2"/>
    <n v="427"/>
    <n v="126.92210772833724"/>
    <n v="1"/>
    <n v="54195.74"/>
    <n v="20.306000000000001"/>
    <n v="1100498.6964400001"/>
    <n v="114.601"/>
    <n v="122.94799999999999"/>
    <n v="1.0728"/>
    <n v="1180615.001540832"/>
    <n v="2764.9063267935176"/>
    <m/>
    <n v="427"/>
    <s v="Sale"/>
    <x v="91"/>
    <s v="USD"/>
    <n v="40191.730000000003"/>
    <n v="1"/>
    <n v="40191.730000000003"/>
    <n v="19.956199999999999"/>
    <n v="802074.20222600002"/>
    <n v="1180615.001540832"/>
    <n v="-378540.79931483197"/>
    <n v="0.86575342465753424"/>
    <n v="1"/>
    <n v="-378540.79931483197"/>
    <n v="0"/>
    <m/>
    <n v="-14004.009999999995"/>
  </r>
  <r>
    <x v="3"/>
    <s v="Purchase"/>
    <x v="137"/>
    <x v="2"/>
    <s v="USD"/>
    <d v="2021-12-08T00:00:00"/>
    <n v="11358.26"/>
    <x v="2"/>
    <n v="101"/>
    <n v="112.4580198019802"/>
    <n v="1"/>
    <n v="11358.26"/>
    <n v="21.204699999999999"/>
    <n v="240848.495822"/>
    <n v="117.30800000000001"/>
    <n v="122.94799999999999"/>
    <n v="1.048"/>
    <n v="252409.22362145601"/>
    <n v="2499.101223974812"/>
    <m/>
    <n v="101"/>
    <s v="Sale"/>
    <x v="91"/>
    <s v="USD"/>
    <n v="9506.7099999999991"/>
    <n v="1"/>
    <n v="9506.7099999999991"/>
    <n v="19.956199999999999"/>
    <n v="189717.80610199997"/>
    <n v="252409.22362145601"/>
    <n v="-62691.417519456038"/>
    <n v="0.67671232876712328"/>
    <n v="1"/>
    <n v="-62691.417519456038"/>
    <n v="0"/>
    <m/>
    <n v="-1851.5500000000011"/>
  </r>
  <r>
    <x v="3"/>
    <s v="Purchase"/>
    <x v="137"/>
    <x v="2"/>
    <s v="USD"/>
    <d v="2022-06-10T00:00:00"/>
    <n v="16931.46"/>
    <x v="2"/>
    <n v="182"/>
    <n v="93.03"/>
    <n v="1"/>
    <n v="16931.46"/>
    <n v="19.59"/>
    <n v="331687.3014"/>
    <n v="122.044"/>
    <n v="122.94799999999999"/>
    <n v="1.0074000000000001"/>
    <n v="334141.78743036004"/>
    <n v="1835.9438869800001"/>
    <m/>
    <n v="182"/>
    <s v="Sale"/>
    <x v="91"/>
    <s v="USD"/>
    <n v="17130.91"/>
    <n v="1"/>
    <n v="17130.91"/>
    <n v="19.956199999999999"/>
    <n v="341867.86614199996"/>
    <n v="334141.78743036004"/>
    <n v="7726.0787116399151"/>
    <n v="0.17260273972602741"/>
    <n v="1"/>
    <n v="7726.0787116399151"/>
    <n v="0"/>
    <m/>
    <n v="199.45000000000073"/>
  </r>
  <r>
    <x v="3"/>
    <s v="Purchase"/>
    <x v="137"/>
    <x v="2"/>
    <s v="USD"/>
    <d v="2022-06-13T00:00:00"/>
    <n v="11275.94"/>
    <x v="2"/>
    <n v="124"/>
    <n v="90.935000000000002"/>
    <n v="1"/>
    <n v="11275.94"/>
    <n v="19.6128"/>
    <n v="221152.756032"/>
    <n v="122.044"/>
    <n v="122.94799999999999"/>
    <n v="1.0074000000000001"/>
    <n v="222789.28642663683"/>
    <n v="1796.6877937632003"/>
    <m/>
    <n v="124"/>
    <s v="Sale"/>
    <x v="91"/>
    <s v="USD"/>
    <n v="11671.6"/>
    <n v="1"/>
    <n v="11671.6"/>
    <n v="19.956199999999999"/>
    <n v="232920.78391999999"/>
    <n v="222789.28642663683"/>
    <n v="10131.49749336316"/>
    <n v="0.16438356164383561"/>
    <n v="1"/>
    <n v="10131.49749336316"/>
    <n v="0"/>
    <m/>
    <n v="395.65999999999985"/>
  </r>
  <r>
    <x v="3"/>
    <s v="Purchase"/>
    <x v="46"/>
    <x v="2"/>
    <s v="USD"/>
    <d v="2018-08-03T00:00:00"/>
    <n v="17092.169999999998"/>
    <x v="2"/>
    <n v="159"/>
    <n v="107.49792452830188"/>
    <n v="1"/>
    <n v="17092.169999999998"/>
    <n v="18.5899"/>
    <n v="317741.73108299996"/>
    <n v="100.492"/>
    <n v="122.94799999999999"/>
    <n v="1.2234"/>
    <n v="388725.23380694218"/>
    <n v="2444.8127912386299"/>
    <m/>
    <n v="159"/>
    <s v="Sale"/>
    <x v="89"/>
    <s v="USD"/>
    <n v="46317.23"/>
    <n v="1"/>
    <n v="46317.23"/>
    <n v="19.861799999999999"/>
    <n v="919943.55881399999"/>
    <n v="388725.23380694212"/>
    <n v="531218.32500705787"/>
    <n v="4.0410958904109586"/>
    <n v="1"/>
    <n v="531218.32500705787"/>
    <n v="0"/>
    <m/>
    <n v="29225.060000000005"/>
  </r>
  <r>
    <x v="3"/>
    <s v="Purchase"/>
    <x v="65"/>
    <x v="2"/>
    <s v="USD"/>
    <d v="2021-09-30T00:00:00"/>
    <n v="7584.9"/>
    <x v="2"/>
    <n v="52"/>
    <n v="145.86346153846154"/>
    <n v="1"/>
    <n v="7584.9"/>
    <n v="20.306000000000001"/>
    <n v="154018.97940000001"/>
    <n v="114.601"/>
    <n v="122.94799999999999"/>
    <n v="1.0728"/>
    <n v="165231.56110032002"/>
    <n v="3177.5300211600002"/>
    <m/>
    <n v="52"/>
    <s v="Sale"/>
    <x v="89"/>
    <s v="USD"/>
    <n v="6089.06"/>
    <n v="1"/>
    <n v="6089.06"/>
    <n v="19.861799999999999"/>
    <n v="120939.69190799999"/>
    <n v="165231.56110032002"/>
    <n v="-44291.869192320024"/>
    <n v="0.8794520547945206"/>
    <n v="1"/>
    <n v="-44291.869192320024"/>
    <n v="0"/>
    <m/>
    <n v="-1495.8399999999992"/>
  </r>
  <r>
    <x v="3"/>
    <s v="Purchase"/>
    <x v="49"/>
    <x v="1"/>
    <s v="USD"/>
    <d v="2020-05-13T00:00:00"/>
    <n v="717.38"/>
    <x v="1"/>
    <n v="11.086"/>
    <n v="64.710445607071975"/>
    <n v="1"/>
    <n v="717.38"/>
    <n v="23.869299999999999"/>
    <n v="17123.358433999998"/>
    <n v="106.16200000000001"/>
    <n v="123.803"/>
    <n v="1.1660999999999999"/>
    <n v="19967.548269887397"/>
    <n v="1801.1499431614104"/>
    <m/>
    <n v="11.086"/>
    <s v="Sale"/>
    <x v="89"/>
    <s v="USD"/>
    <n v="922.61"/>
    <n v="1"/>
    <n v="922.61"/>
    <n v="19.861799999999999"/>
    <n v="18324.695297999999"/>
    <n v="19967.548269887397"/>
    <n v="-1642.8529718873979"/>
    <n v="2.2630136986301368"/>
    <n v="1"/>
    <n v="-1642.8529718873979"/>
    <n v="0"/>
    <m/>
    <n v="205.23000000000002"/>
  </r>
  <r>
    <x v="3"/>
    <s v="Purchase"/>
    <x v="29"/>
    <x v="2"/>
    <s v="USD"/>
    <d v="2018-08-03T00:00:00"/>
    <n v="3403.76"/>
    <x v="2"/>
    <n v="11"/>
    <n v="309.43272727272728"/>
    <n v="1"/>
    <n v="3403.76"/>
    <n v="18.5899"/>
    <n v="63275.558024000005"/>
    <n v="100.492"/>
    <n v="122.044"/>
    <n v="1.2143999999999999"/>
    <n v="76841.837664345599"/>
    <n v="6985.6216058496002"/>
    <m/>
    <n v="11"/>
    <s v="Sale"/>
    <x v="92"/>
    <s v="USD"/>
    <n v="7723.54"/>
    <n v="1"/>
    <n v="7723.54"/>
    <n v="20.512"/>
    <n v="158425.25248"/>
    <n v="76841.837664345599"/>
    <n v="81583.414815654396"/>
    <n v="3.989041095890411"/>
    <n v="1"/>
    <n v="81583.414815654396"/>
    <n v="0"/>
    <m/>
    <n v="4319.78"/>
  </r>
  <r>
    <x v="3"/>
    <s v="Purchase"/>
    <x v="29"/>
    <x v="2"/>
    <s v="USD"/>
    <d v="2010-02-26T00:00:00"/>
    <n v="5354.83"/>
    <x v="2"/>
    <n v="14"/>
    <n v="382.48785714285714"/>
    <n v="1"/>
    <n v="5354.83"/>
    <n v="12.853899999999999"/>
    <n v="68830.449336999998"/>
    <n v="72.971670511062001"/>
    <n v="122.94799999999999"/>
    <n v="1.6848000000000001"/>
    <n v="115965.54104297761"/>
    <n v="8283.2529316412583"/>
    <m/>
    <n v="14"/>
    <s v="Sale"/>
    <x v="89"/>
    <s v="USD"/>
    <n v="10426.4"/>
    <n v="1"/>
    <n v="10426.4"/>
    <n v="19.861799999999999"/>
    <n v="207087.07151999997"/>
    <n v="115965.54104297762"/>
    <n v="91121.530477022345"/>
    <n v="12.479452054794521"/>
    <n v="1"/>
    <n v="91121.530477022345"/>
    <n v="0"/>
    <m/>
    <n v="5071.57"/>
  </r>
  <r>
    <x v="3"/>
    <s v="Purchase"/>
    <x v="30"/>
    <x v="2"/>
    <s v="USD"/>
    <d v="2019-01-11T00:00:00"/>
    <n v="1735.08"/>
    <x v="2"/>
    <n v="11"/>
    <n v="157.73454545454544"/>
    <n v="1"/>
    <n v="1735.08"/>
    <n v="19.2456"/>
    <n v="33392.655648"/>
    <n v="103.108"/>
    <n v="122.94799999999999"/>
    <n v="1.1923999999999999"/>
    <n v="39817.402594675194"/>
    <n v="3619.7638722431993"/>
    <m/>
    <n v="11"/>
    <s v="Sale"/>
    <x v="89"/>
    <s v="USD"/>
    <n v="3303.99"/>
    <n v="1"/>
    <n v="3303.99"/>
    <n v="19.861799999999999"/>
    <n v="65623.188581999988"/>
    <n v="39817.402594675194"/>
    <n v="25805.785987324794"/>
    <n v="3.6"/>
    <n v="1"/>
    <n v="25805.785987324794"/>
    <n v="0"/>
    <m/>
    <n v="1568.9099999999999"/>
  </r>
  <r>
    <x v="3"/>
    <s v="Purchase"/>
    <x v="30"/>
    <x v="2"/>
    <s v="USD"/>
    <d v="2019-11-15T00:00:00"/>
    <n v="1767.51"/>
    <x v="2"/>
    <n v="9"/>
    <n v="196.39"/>
    <n v="1"/>
    <n v="1767.51"/>
    <n v="19.4543"/>
    <n v="34385.669793000001"/>
    <n v="105.346"/>
    <n v="122.94799999999999"/>
    <n v="1.167"/>
    <n v="40128.076648431001"/>
    <n v="4458.675183159"/>
    <m/>
    <n v="9"/>
    <s v="Sale"/>
    <x v="89"/>
    <s v="USD"/>
    <n v="2703.27"/>
    <n v="1"/>
    <n v="2703.27"/>
    <n v="19.861799999999999"/>
    <n v="53691.808085999997"/>
    <n v="40128.076648431001"/>
    <n v="13563.731437568997"/>
    <n v="2.7561643835616438"/>
    <n v="1"/>
    <n v="13563.731437568997"/>
    <n v="0"/>
    <m/>
    <n v="935.76"/>
  </r>
  <r>
    <x v="3"/>
    <s v="Purchase"/>
    <x v="50"/>
    <x v="1"/>
    <s v="USD"/>
    <d v="2020-02-06T00:00:00"/>
    <n v="527192.61"/>
    <x v="1"/>
    <n v="17150.05"/>
    <n v="30.740004256547358"/>
    <n v="1"/>
    <n v="527192.61"/>
    <n v="18.6797"/>
    <n v="9847799.7970170006"/>
    <n v="106.889"/>
    <n v="123.803"/>
    <n v="1.1581999999999999"/>
    <n v="11405721.724905089"/>
    <n v="665.05472140927225"/>
    <m/>
    <n v="17150.05"/>
    <s v="Sale"/>
    <x v="89"/>
    <s v="USD"/>
    <n v="639353.87"/>
    <n v="1"/>
    <n v="639353.87"/>
    <n v="19.861799999999999"/>
    <n v="12698718.695165999"/>
    <n v="11405721.724905089"/>
    <n v="1292996.9702609107"/>
    <n v="2.5287671232876714"/>
    <n v="1"/>
    <n v="1292996.9702609107"/>
    <n v="0"/>
    <m/>
    <n v="112161.26000000001"/>
  </r>
  <r>
    <x v="3"/>
    <s v="Purchase"/>
    <x v="50"/>
    <x v="1"/>
    <s v="USD"/>
    <d v="2020-03-03T00:00:00"/>
    <n v="10473.030000000001"/>
    <x v="1"/>
    <n v="356.83"/>
    <n v="29.350194770619066"/>
    <n v="1"/>
    <n v="10473.030000000001"/>
    <n v="19.776"/>
    <n v="207114.64128000001"/>
    <n v="106.83799999999999"/>
    <n v="123.803"/>
    <n v="1.1587000000000001"/>
    <n v="239983.73485113602"/>
    <n v="672.54360578184583"/>
    <m/>
    <n v="356.83"/>
    <s v="Sale"/>
    <x v="89"/>
    <s v="USD"/>
    <n v="13302.62"/>
    <n v="1"/>
    <n v="13302.62"/>
    <n v="19.861799999999999"/>
    <n v="264213.977916"/>
    <n v="239983.73485113605"/>
    <n v="24230.243064863957"/>
    <n v="2.4575342465753423"/>
    <n v="1"/>
    <n v="24230.243064863957"/>
    <n v="0"/>
    <m/>
    <n v="2829.59"/>
  </r>
  <r>
    <x v="3"/>
    <s v="Purchase"/>
    <x v="68"/>
    <x v="2"/>
    <s v="USD"/>
    <d v="2022-06-08T00:00:00"/>
    <n v="4901.13"/>
    <x v="2"/>
    <n v="41"/>
    <n v="119.53975609756098"/>
    <n v="1"/>
    <n v="4901.13"/>
    <n v="19.5547"/>
    <n v="95840.126811000009"/>
    <n v="122.044"/>
    <n v="122.94799999999999"/>
    <n v="1.0074000000000001"/>
    <n v="96549.343749401422"/>
    <n v="2354.8620426683274"/>
    <m/>
    <n v="41"/>
    <s v="Sale"/>
    <x v="89"/>
    <s v="USD"/>
    <n v="5179.34"/>
    <n v="1"/>
    <n v="5179.34"/>
    <n v="19.861799999999999"/>
    <n v="102871.015212"/>
    <n v="96549.343749401422"/>
    <n v="6321.6714625985769"/>
    <n v="0.19178082191780821"/>
    <n v="1"/>
    <n v="6321.6714625985769"/>
    <n v="0"/>
    <m/>
    <n v="278.21000000000004"/>
  </r>
  <r>
    <x v="3"/>
    <s v="Purchase"/>
    <x v="138"/>
    <x v="2"/>
    <s v="USD"/>
    <d v="2022-06-08T00:00:00"/>
    <n v="1722.24"/>
    <x v="2"/>
    <n v="39"/>
    <n v="44.160000000000004"/>
    <n v="1"/>
    <n v="1722.24"/>
    <n v="19.5547"/>
    <n v="33677.886528000003"/>
    <n v="122.044"/>
    <n v="122.94799999999999"/>
    <n v="1.0074000000000001"/>
    <n v="33927.102888307207"/>
    <n v="869.92571508480012"/>
    <m/>
    <n v="39"/>
    <s v="Sale"/>
    <x v="89"/>
    <s v="USD"/>
    <n v="1695.1"/>
    <n v="1"/>
    <n v="1695.1"/>
    <n v="19.861799999999999"/>
    <n v="33667.737179999996"/>
    <n v="33927.102888307207"/>
    <n v="-259.3657083072103"/>
    <n v="0.19178082191780821"/>
    <n v="1"/>
    <n v="-259.3657083072103"/>
    <n v="0"/>
    <m/>
    <n v="-27.1400000000001"/>
  </r>
  <r>
    <x v="3"/>
    <s v="Purchase"/>
    <x v="139"/>
    <x v="2"/>
    <s v="USD"/>
    <d v="2021-05-21T00:00:00"/>
    <n v="6041.45"/>
    <x v="2"/>
    <n v="16"/>
    <n v="377.59062499999999"/>
    <n v="1"/>
    <n v="6041.45"/>
    <n v="19.814299999999999"/>
    <n v="119707.10273499999"/>
    <n v="112.419"/>
    <n v="122.94799999999999"/>
    <n v="1.0935999999999999"/>
    <n v="130911.68755099598"/>
    <n v="8181.9804719372487"/>
    <m/>
    <n v="16"/>
    <s v="Sale"/>
    <x v="89"/>
    <s v="USD"/>
    <n v="6208.9"/>
    <n v="1"/>
    <n v="6208.9"/>
    <n v="19.861799999999999"/>
    <n v="123319.93001999999"/>
    <n v="130911.68755099598"/>
    <n v="-7591.7575309959939"/>
    <n v="1.2410958904109588"/>
    <n v="1"/>
    <n v="-7591.7575309959939"/>
    <n v="0"/>
    <m/>
    <n v="167.44999999999982"/>
  </r>
  <r>
    <x v="3"/>
    <s v="Purchase"/>
    <x v="139"/>
    <x v="2"/>
    <s v="USD"/>
    <d v="2021-05-21T00:00:00"/>
    <n v="7551.81"/>
    <x v="2"/>
    <n v="20"/>
    <n v="377.59050000000002"/>
    <n v="1"/>
    <n v="7551.81"/>
    <n v="19.814299999999999"/>
    <n v="149633.82888300001"/>
    <n v="112.419"/>
    <n v="122.94799999999999"/>
    <n v="1.0935999999999999"/>
    <n v="163639.55526644879"/>
    <n v="8181.9777633224394"/>
    <m/>
    <n v="20"/>
    <s v="Sale"/>
    <x v="90"/>
    <s v="USD"/>
    <n v="7273.77"/>
    <n v="1"/>
    <n v="7273.77"/>
    <n v="19.9437"/>
    <n v="145065.886749"/>
    <n v="163639.55526644879"/>
    <n v="-18573.668517448794"/>
    <n v="1.273972602739726"/>
    <n v="1"/>
    <n v="-18573.668517448794"/>
    <n v="0"/>
    <m/>
    <n v="-278.03999999999996"/>
  </r>
  <r>
    <x v="3"/>
    <s v="Purchase"/>
    <x v="140"/>
    <x v="2"/>
    <s v="USD"/>
    <d v="2020-05-11T00:00:00"/>
    <n v="8863.58"/>
    <x v="2"/>
    <n v="49"/>
    <n v="180.88938775510204"/>
    <n v="1"/>
    <n v="8863.58"/>
    <n v="24.0563"/>
    <n v="213224.93955400001"/>
    <n v="106.16200000000001"/>
    <n v="122.94799999999999"/>
    <n v="1.1580999999999999"/>
    <n v="246935.8024974874"/>
    <n v="5039.5061734181099"/>
    <m/>
    <n v="49"/>
    <s v="Sale"/>
    <x v="89"/>
    <s v="USD"/>
    <n v="9206.4"/>
    <n v="1"/>
    <n v="9206.4"/>
    <n v="19.861799999999999"/>
    <n v="182855.67551999999"/>
    <n v="246935.8024974874"/>
    <n v="-64080.126977487409"/>
    <n v="2.2684931506849315"/>
    <n v="1"/>
    <n v="-64080.126977487409"/>
    <n v="0"/>
    <m/>
    <n v="342.81999999999971"/>
  </r>
  <r>
    <x v="3"/>
    <s v="Purchase"/>
    <x v="141"/>
    <x v="2"/>
    <s v="USD"/>
    <d v="2020-05-11T00:00:00"/>
    <n v="4280.8100000000004"/>
    <x v="2"/>
    <n v="23"/>
    <n v="186.1221739130435"/>
    <n v="1"/>
    <n v="4280.8100000000004"/>
    <n v="24.0563"/>
    <n v="102980.44960300002"/>
    <n v="106.16200000000001"/>
    <n v="122.94799999999999"/>
    <n v="1.1580999999999999"/>
    <n v="119261.6586852343"/>
    <n v="5185.2895080536655"/>
    <m/>
    <n v="23"/>
    <s v="Sale"/>
    <x v="89"/>
    <s v="USD"/>
    <n v="5813.35"/>
    <n v="1"/>
    <n v="5813.35"/>
    <n v="19.861799999999999"/>
    <n v="115463.59503"/>
    <n v="119261.6586852343"/>
    <n v="-3798.0636552343058"/>
    <n v="2.2684931506849315"/>
    <n v="1"/>
    <n v="-3798.0636552343058"/>
    <n v="0"/>
    <m/>
    <n v="1532.54"/>
  </r>
  <r>
    <x v="3"/>
    <s v="Purchase"/>
    <x v="142"/>
    <x v="2"/>
    <s v="USD"/>
    <d v="2022-06-08T00:00:00"/>
    <n v="10608.22"/>
    <x v="2"/>
    <n v="83"/>
    <n v="127.80987951807228"/>
    <n v="1"/>
    <n v="10608.22"/>
    <n v="19.5547"/>
    <n v="207440.559634"/>
    <n v="122.044"/>
    <n v="122.94799999999999"/>
    <n v="1.0074000000000001"/>
    <n v="208975.61977529162"/>
    <n v="2517.7785515095375"/>
    <m/>
    <n v="83"/>
    <s v="Sale"/>
    <x v="89"/>
    <s v="USD"/>
    <n v="11552.82"/>
    <n v="1"/>
    <n v="11552.82"/>
    <n v="19.861799999999999"/>
    <n v="229459.80027599999"/>
    <n v="208975.61977529162"/>
    <n v="20484.180500708375"/>
    <n v="0.19178082191780821"/>
    <n v="1"/>
    <n v="20484.180500708375"/>
    <n v="0"/>
    <m/>
    <n v="944.60000000000036"/>
  </r>
  <r>
    <x v="3"/>
    <s v="Purchase"/>
    <x v="143"/>
    <x v="2"/>
    <s v="USD"/>
    <d v="2021-03-09T00:00:00"/>
    <n v="7472.13"/>
    <x v="2"/>
    <n v="44"/>
    <n v="169.82113636363636"/>
    <n v="1"/>
    <n v="7472.13"/>
    <n v="21.263500000000001"/>
    <n v="158883.63625500002"/>
    <n v="111.824"/>
    <n v="122.94799999999999"/>
    <n v="1.0993999999999999"/>
    <n v="174676.66969874702"/>
    <n v="3969.9243113351595"/>
    <m/>
    <n v="44"/>
    <s v="Sale"/>
    <x v="89"/>
    <s v="USD"/>
    <n v="7800.36"/>
    <n v="1"/>
    <n v="7800.36"/>
    <n v="19.861799999999999"/>
    <n v="154929.19024799997"/>
    <n v="174676.66969874702"/>
    <n v="-19747.479450747051"/>
    <n v="1.441095890410959"/>
    <n v="1"/>
    <n v="-19747.479450747051"/>
    <n v="0"/>
    <m/>
    <n v="328.22999999999956"/>
  </r>
  <r>
    <x v="3"/>
    <s v="Purchase"/>
    <x v="32"/>
    <x v="2"/>
    <s v="USD"/>
    <d v="2018-08-03T00:00:00"/>
    <n v="5283.23"/>
    <x v="2"/>
    <n v="109"/>
    <n v="48.47"/>
    <n v="1"/>
    <n v="5283.23"/>
    <n v="18.5899"/>
    <n v="98214.717376999994"/>
    <n v="100.492"/>
    <n v="122.044"/>
    <n v="1.2143999999999999"/>
    <n v="119271.95278262878"/>
    <n v="1094.2380989231999"/>
    <m/>
    <n v="109"/>
    <s v="Sale"/>
    <x v="92"/>
    <s v="USD"/>
    <n v="6630.3"/>
    <n v="1"/>
    <n v="6630.3"/>
    <n v="20.512"/>
    <n v="136000.71360000002"/>
    <n v="119271.9527826288"/>
    <n v="16728.760817371221"/>
    <n v="3.989041095890411"/>
    <n v="1"/>
    <n v="16728.760817371221"/>
    <n v="0"/>
    <m/>
    <n v="1347.0700000000006"/>
  </r>
  <r>
    <x v="3"/>
    <s v="Purchase"/>
    <x v="32"/>
    <x v="2"/>
    <s v="USD"/>
    <d v="2018-08-03T00:00:00"/>
    <n v="4604.6499999999996"/>
    <x v="2"/>
    <n v="95"/>
    <n v="48.47"/>
    <n v="1"/>
    <n v="4604.6499999999996"/>
    <n v="18.5899"/>
    <n v="85599.983034999997"/>
    <n v="100.492"/>
    <n v="122.94799999999999"/>
    <n v="1.2234"/>
    <n v="104723.01924501899"/>
    <n v="1102.3475710001999"/>
    <m/>
    <n v="95"/>
    <s v="Sale"/>
    <x v="93"/>
    <s v="USD"/>
    <n v="5908.17"/>
    <n v="1"/>
    <n v="5908.17"/>
    <n v="20.377800000000001"/>
    <n v="120395.506626"/>
    <n v="104723.01924501899"/>
    <n v="15672.487380981009"/>
    <n v="3.9972602739726026"/>
    <n v="1"/>
    <n v="15672.487380981009"/>
    <n v="0"/>
    <m/>
    <n v="1303.5200000000004"/>
  </r>
  <r>
    <x v="3"/>
    <s v="Purchase"/>
    <x v="32"/>
    <x v="2"/>
    <s v="USD"/>
    <d v="2018-08-03T00:00:00"/>
    <n v="4410.7700000000004"/>
    <x v="2"/>
    <n v="91"/>
    <n v="48.470000000000006"/>
    <n v="1"/>
    <n v="4410.7700000000004"/>
    <n v="18.5899"/>
    <n v="81995.773223000011"/>
    <n v="100.492"/>
    <n v="122.94799999999999"/>
    <n v="1.2234"/>
    <n v="100313.62896101821"/>
    <n v="1102.3475710002001"/>
    <m/>
    <n v="91"/>
    <s v="Sale"/>
    <x v="89"/>
    <s v="USD"/>
    <n v="6240.64"/>
    <n v="1"/>
    <n v="6240.64"/>
    <n v="19.861799999999999"/>
    <n v="123950.34355200001"/>
    <n v="100313.62896101821"/>
    <n v="23636.714590981792"/>
    <n v="4.0410958904109586"/>
    <n v="1"/>
    <n v="23636.714590981792"/>
    <n v="0"/>
    <m/>
    <n v="1829.87"/>
  </r>
  <r>
    <x v="3"/>
    <s v="Purchase"/>
    <x v="34"/>
    <x v="2"/>
    <s v="USD"/>
    <d v="2021-04-28T00:00:00"/>
    <n v="6793.92"/>
    <x v="2"/>
    <n v="30"/>
    <n v="226.464"/>
    <n v="1"/>
    <n v="6793.92"/>
    <n v="19.836200000000002"/>
    <n v="134765.55590400001"/>
    <n v="112.19"/>
    <n v="122.94799999999999"/>
    <n v="1.0958000000000001"/>
    <n v="147676.09615960321"/>
    <n v="4922.5365386534404"/>
    <m/>
    <n v="30"/>
    <s v="Sale"/>
    <x v="89"/>
    <s v="USD"/>
    <n v="7224.82"/>
    <n v="1"/>
    <n v="7224.82"/>
    <n v="19.861799999999999"/>
    <n v="143497.92987599998"/>
    <n v="147676.09615960321"/>
    <n v="-4178.1662836032338"/>
    <n v="1.3041095890410959"/>
    <n v="1"/>
    <n v="-4178.1662836032338"/>
    <n v="0"/>
    <m/>
    <n v="430.89999999999964"/>
  </r>
  <r>
    <x v="3"/>
    <s v="Purchase"/>
    <x v="36"/>
    <x v="2"/>
    <s v="USD"/>
    <d v="2020-04-13T00:00:00"/>
    <n v="1305.46"/>
    <x v="2"/>
    <n v="5"/>
    <n v="261.09199999999998"/>
    <n v="1"/>
    <n v="1305.46"/>
    <n v="24.038799999999998"/>
    <n v="31381.691847999999"/>
    <n v="105.755"/>
    <n v="122.94799999999999"/>
    <n v="1.1625000000000001"/>
    <n v="36481.216773300002"/>
    <n v="7296.2433546600005"/>
    <m/>
    <n v="5"/>
    <s v="Sale"/>
    <x v="89"/>
    <s v="USD"/>
    <n v="2730.06"/>
    <n v="1"/>
    <n v="2730.06"/>
    <n v="19.861799999999999"/>
    <n v="54223.905707999998"/>
    <n v="36481.216773300002"/>
    <n v="17742.688934699996"/>
    <n v="2.3452054794520549"/>
    <n v="1"/>
    <n v="17742.688934699996"/>
    <n v="0"/>
    <m/>
    <n v="1424.6"/>
  </r>
  <r>
    <x v="3"/>
    <s v="Purchase"/>
    <x v="36"/>
    <x v="2"/>
    <s v="USD"/>
    <d v="2020-04-14T00:00:00"/>
    <n v="1352.97"/>
    <x v="2"/>
    <n v="5"/>
    <n v="270.59399999999999"/>
    <n v="1"/>
    <n v="1352.97"/>
    <n v="24.092500000000001"/>
    <n v="32596.429725000002"/>
    <n v="105.755"/>
    <n v="122.94799999999999"/>
    <n v="1.1625000000000001"/>
    <n v="37893.349555312503"/>
    <n v="7578.6699110625004"/>
    <m/>
    <n v="5"/>
    <s v="Sale"/>
    <x v="89"/>
    <s v="USD"/>
    <n v="2730.06"/>
    <n v="1"/>
    <n v="2730.06"/>
    <n v="19.861799999999999"/>
    <n v="54223.905707999998"/>
    <n v="37893.349555312503"/>
    <n v="16330.556152687495"/>
    <n v="2.3424657534246576"/>
    <n v="1"/>
    <n v="16330.556152687495"/>
    <n v="0"/>
    <m/>
    <n v="1377.09"/>
  </r>
  <r>
    <x v="3"/>
    <s v="Purchase"/>
    <x v="144"/>
    <x v="1"/>
    <s v="USD"/>
    <d v="2019-02-01T00:00:00"/>
    <n v="460888.61"/>
    <x v="1"/>
    <n v="27159.023000000001"/>
    <n v="16.969999620383987"/>
    <n v="1"/>
    <n v="460888.61"/>
    <n v="19.162299999999998"/>
    <n v="8831685.8114029989"/>
    <n v="103.07899999999999"/>
    <n v="123.803"/>
    <n v="1.2010000000000001"/>
    <n v="10606854.659495002"/>
    <n v="390.54625269454652"/>
    <m/>
    <n v="27159.023000000001"/>
    <s v="Sale"/>
    <x v="89"/>
    <s v="USD"/>
    <n v="638237.05000000005"/>
    <n v="1"/>
    <n v="638237.05000000005"/>
    <n v="19.861799999999999"/>
    <n v="12676536.639690001"/>
    <n v="10606854.659495002"/>
    <n v="2069681.9801949989"/>
    <n v="3.5424657534246577"/>
    <n v="1"/>
    <n v="2069681.9801949989"/>
    <n v="0"/>
    <m/>
    <n v="177348.44000000006"/>
  </r>
  <r>
    <x v="3"/>
    <s v="Purchase"/>
    <x v="144"/>
    <x v="1"/>
    <s v="USD"/>
    <d v="2020-03-03T00:00:00"/>
    <n v="17855.259999999998"/>
    <x v="1"/>
    <n v="923.70699999999999"/>
    <n v="19.330003994773232"/>
    <n v="1"/>
    <n v="17855.259999999998"/>
    <n v="19.776"/>
    <n v="353105.62175999995"/>
    <n v="106.83799999999999"/>
    <n v="123.803"/>
    <n v="1.1587000000000001"/>
    <n v="409143.48393331195"/>
    <n v="442.93643323403626"/>
    <m/>
    <n v="923.70699999999999"/>
    <s v="Sale"/>
    <x v="89"/>
    <s v="USD"/>
    <n v="21707.11"/>
    <n v="1"/>
    <n v="21707.11"/>
    <n v="19.861799999999999"/>
    <n v="431142.27739800001"/>
    <n v="409143.48393331195"/>
    <n v="21998.79346468806"/>
    <n v="2.4575342465753423"/>
    <n v="1"/>
    <n v="21998.79346468806"/>
    <n v="0"/>
    <m/>
    <n v="3851.8500000000022"/>
  </r>
  <r>
    <x v="3"/>
    <s v="Purchase"/>
    <x v="145"/>
    <x v="2"/>
    <s v="USD"/>
    <d v="2018-08-03T00:00:00"/>
    <n v="9857.99"/>
    <x v="2"/>
    <n v="71"/>
    <n v="138.8449295774648"/>
    <n v="1"/>
    <n v="9857.99"/>
    <n v="18.5899"/>
    <n v="183259.048301"/>
    <n v="100.492"/>
    <n v="122.94799999999999"/>
    <n v="1.2234"/>
    <n v="224199.1196914434"/>
    <n v="3157.7340801611745"/>
    <m/>
    <n v="71"/>
    <s v="Sale"/>
    <x v="89"/>
    <s v="USD"/>
    <n v="15250.81"/>
    <n v="1"/>
    <n v="15250.81"/>
    <n v="19.861799999999999"/>
    <n v="302908.53805799998"/>
    <n v="224199.1196914434"/>
    <n v="78709.41836655658"/>
    <n v="4.0410958904109586"/>
    <n v="1"/>
    <n v="78709.41836655658"/>
    <n v="0"/>
    <m/>
    <n v="5392.82"/>
  </r>
  <r>
    <x v="0"/>
    <m/>
    <x v="0"/>
    <x v="0"/>
    <m/>
    <m/>
    <m/>
    <x v="0"/>
    <n v="0"/>
    <n v="0"/>
    <n v="0"/>
    <n v="0"/>
    <n v="0"/>
    <n v="0"/>
    <n v="0"/>
    <n v="0"/>
    <n v="0"/>
    <n v="0"/>
    <n v="0"/>
    <m/>
    <m/>
    <m/>
    <x v="0"/>
    <m/>
    <m/>
    <n v="0"/>
    <n v="0"/>
    <n v="0"/>
    <n v="0"/>
    <n v="0"/>
    <n v="0"/>
    <n v="0"/>
    <n v="1"/>
    <n v="0"/>
    <n v="0"/>
    <m/>
    <n v="0"/>
  </r>
  <r>
    <x v="3"/>
    <s v="Purchase"/>
    <x v="14"/>
    <x v="2"/>
    <s v="USD"/>
    <d v="2019-01-11T00:00:00"/>
    <n v="1249.6300000000001"/>
    <x v="2"/>
    <n v="11"/>
    <n v="113.60272727272728"/>
    <n v="1"/>
    <n v="1249.6300000000001"/>
    <n v="19.2456"/>
    <n v="24049.879128"/>
    <n v="103.108"/>
    <n v="122.94799999999999"/>
    <n v="1.1923999999999999"/>
    <n v="28677.075872227197"/>
    <n v="2607.0068974751998"/>
    <m/>
    <n v="11"/>
    <s v="Sale"/>
    <x v="95"/>
    <s v="USD"/>
    <n v="2959.89"/>
    <n v="1"/>
    <n v="2959.89"/>
    <n v="19.9268"/>
    <n v="58981.136051999994"/>
    <n v="28677.075872227197"/>
    <n v="30304.060179772798"/>
    <n v="3.6356164383561644"/>
    <n v="1"/>
    <n v="30304.060179772798"/>
    <n v="0"/>
    <m/>
    <n v="1710.2599999999998"/>
  </r>
  <r>
    <x v="3"/>
    <s v="Purchase"/>
    <x v="44"/>
    <x v="2"/>
    <s v="USD"/>
    <d v="2018-08-03T00:00:00"/>
    <n v="3703.27"/>
    <x v="2"/>
    <n v="51"/>
    <n v="72.613137254901957"/>
    <n v="1"/>
    <n v="3703.27"/>
    <n v="18.5899"/>
    <n v="68843.418973000007"/>
    <n v="100.492"/>
    <n v="122.94799999999999"/>
    <n v="1.2234"/>
    <n v="84223.038771568215"/>
    <n v="1651.4321327758473"/>
    <m/>
    <n v="51"/>
    <s v="Sale"/>
    <x v="95"/>
    <s v="USD"/>
    <n v="5152.83"/>
    <n v="1"/>
    <n v="5152.83"/>
    <n v="19.9268"/>
    <n v="102679.41284400001"/>
    <n v="84223.038771568215"/>
    <n v="18456.37407243179"/>
    <n v="4.0767123287671234"/>
    <n v="1"/>
    <n v="18456.37407243179"/>
    <n v="0"/>
    <m/>
    <n v="1449.56"/>
  </r>
  <r>
    <x v="3"/>
    <s v="Purchase"/>
    <x v="44"/>
    <x v="2"/>
    <s v="USD"/>
    <d v="2019-04-23T00:00:00"/>
    <n v="5319.06"/>
    <x v="2"/>
    <n v="66"/>
    <n v="80.591818181818184"/>
    <n v="1"/>
    <n v="5319.06"/>
    <n v="18.847999999999999"/>
    <n v="100253.64288"/>
    <n v="103.53100000000001"/>
    <n v="122.94799999999999"/>
    <n v="1.1875"/>
    <n v="119051.20092"/>
    <n v="1803.8060745454545"/>
    <m/>
    <n v="66"/>
    <s v="Sale"/>
    <x v="95"/>
    <s v="USD"/>
    <n v="6668.37"/>
    <n v="1"/>
    <n v="6668.37"/>
    <n v="19.9268"/>
    <n v="132879.27531599998"/>
    <n v="119051.20092"/>
    <n v="13828.074395999982"/>
    <n v="3.3561643835616439"/>
    <n v="1"/>
    <n v="13828.074395999982"/>
    <n v="0"/>
    <m/>
    <n v="1349.3099999999995"/>
  </r>
  <r>
    <x v="3"/>
    <s v="Purchase"/>
    <x v="139"/>
    <x v="2"/>
    <s v="USD"/>
    <d v="2021-05-21T00:00:00"/>
    <n v="6419.03"/>
    <x v="2"/>
    <n v="17"/>
    <n v="377.59"/>
    <n v="1"/>
    <n v="6419.03"/>
    <n v="19.814299999999999"/>
    <n v="127188.58612899999"/>
    <n v="112.419"/>
    <n v="122.94799999999999"/>
    <n v="1.0935999999999999"/>
    <n v="139093.43779067436"/>
    <n v="8181.9669288631976"/>
    <m/>
    <n v="17"/>
    <s v="Sale"/>
    <x v="95"/>
    <s v="USD"/>
    <n v="6048.23"/>
    <n v="1"/>
    <n v="6048.23"/>
    <n v="19.9268"/>
    <n v="120521.86956399999"/>
    <n v="139093.43779067436"/>
    <n v="-18571.568226674368"/>
    <n v="1.2767123287671234"/>
    <n v="1"/>
    <n v="-18571.568226674368"/>
    <n v="0"/>
    <m/>
    <n v="-370.80000000000018"/>
  </r>
  <r>
    <x v="3"/>
    <s v="Purchase"/>
    <x v="44"/>
    <x v="2"/>
    <s v="USD"/>
    <d v="2019-04-23T00:00:00"/>
    <n v="10154.57"/>
    <x v="2"/>
    <n v="126"/>
    <n v="80.591825396825399"/>
    <n v="1"/>
    <n v="10154.57"/>
    <n v="18.847999999999999"/>
    <n v="191393.33536"/>
    <n v="103.53100000000001"/>
    <n v="122.94799999999999"/>
    <n v="1.1875"/>
    <n v="227279.58574000001"/>
    <n v="1803.806236031746"/>
    <m/>
    <n v="126"/>
    <s v="Sale"/>
    <x v="96"/>
    <s v="USD"/>
    <n v="12740.36"/>
    <n v="1"/>
    <n v="12740.36"/>
    <n v="19.994499999999999"/>
    <n v="254737.12802"/>
    <n v="227279.58574000001"/>
    <n v="27457.542279999994"/>
    <n v="3.3589041095890413"/>
    <n v="1"/>
    <n v="27457.542279999994"/>
    <n v="0"/>
    <m/>
    <n v="2585.7900000000009"/>
  </r>
  <r>
    <x v="3"/>
    <s v="Purchase"/>
    <x v="139"/>
    <x v="2"/>
    <s v="USD"/>
    <d v="2021-05-21T00:00:00"/>
    <n v="4153.5"/>
    <x v="2"/>
    <n v="11"/>
    <n v="377.59090909090907"/>
    <n v="1"/>
    <n v="4153.5"/>
    <n v="19.814299999999999"/>
    <n v="82298.695049999995"/>
    <n v="112.419"/>
    <n v="122.94799999999999"/>
    <n v="1.0935999999999999"/>
    <n v="90001.852906679982"/>
    <n v="8181.9866278799982"/>
    <m/>
    <n v="11"/>
    <s v="Sale"/>
    <x v="96"/>
    <s v="USD"/>
    <n v="3928.82"/>
    <n v="1"/>
    <n v="3928.82"/>
    <n v="19.994499999999999"/>
    <n v="78554.791490000003"/>
    <n v="90001.852906679982"/>
    <n v="-11447.061416679979"/>
    <n v="1.2794520547945205"/>
    <n v="1"/>
    <n v="-11447.061416679979"/>
    <n v="0"/>
    <m/>
    <n v="-224.67999999999984"/>
  </r>
  <r>
    <x v="3"/>
    <s v="Purchase"/>
    <x v="44"/>
    <x v="2"/>
    <s v="USD"/>
    <d v="2019-04-23T00:00:00"/>
    <n v="4190.7700000000004"/>
    <x v="2"/>
    <n v="52"/>
    <n v="80.591730769230779"/>
    <n v="1"/>
    <n v="4190.7700000000004"/>
    <n v="18.847999999999999"/>
    <n v="78987.632960000003"/>
    <n v="103.53100000000001"/>
    <n v="123.803"/>
    <n v="1.1958"/>
    <n v="94453.411493567997"/>
    <n v="1816.4117594916922"/>
    <m/>
    <n v="52"/>
    <s v="Sale"/>
    <x v="97"/>
    <s v="USD"/>
    <n v="5220.1499999999996"/>
    <n v="1"/>
    <n v="5220.1499999999996"/>
    <n v="20.1465"/>
    <n v="105167.75197499999"/>
    <n v="94453.411493567997"/>
    <n v="10714.340481431995"/>
    <n v="3.3616438356164382"/>
    <n v="1"/>
    <n v="10714.340481431995"/>
    <n v="0"/>
    <m/>
    <n v="1029.3799999999992"/>
  </r>
  <r>
    <x v="3"/>
    <s v="Purchase"/>
    <x v="44"/>
    <x v="2"/>
    <s v="USD"/>
    <d v="2020-05-13T00:00:00"/>
    <n v="6268.2"/>
    <x v="2"/>
    <n v="68"/>
    <n v="92.179411764705875"/>
    <n v="1"/>
    <n v="6268.2"/>
    <n v="23.869299999999999"/>
    <n v="149617.54626"/>
    <n v="106.16200000000001"/>
    <n v="123.803"/>
    <n v="1.1660999999999999"/>
    <n v="174469.02069378598"/>
    <n v="2565.7208925556761"/>
    <m/>
    <n v="68"/>
    <s v="Sale"/>
    <x v="97"/>
    <s v="USD"/>
    <n v="6826.35"/>
    <n v="1"/>
    <n v="6826.35"/>
    <n v="20.1465"/>
    <n v="137527.060275"/>
    <n v="174469.02069378598"/>
    <n v="-36941.96041878598"/>
    <n v="2.3041095890410959"/>
    <n v="1"/>
    <n v="-36941.96041878598"/>
    <n v="0"/>
    <m/>
    <n v="558.15000000000055"/>
  </r>
  <r>
    <x v="3"/>
    <s v="Purchase"/>
    <x v="139"/>
    <x v="2"/>
    <s v="USD"/>
    <d v="2021-05-21T00:00:00"/>
    <n v="377.59"/>
    <x v="2"/>
    <n v="1"/>
    <n v="377.59"/>
    <n v="1"/>
    <n v="377.59"/>
    <n v="19.814299999999999"/>
    <n v="7481.6815369999995"/>
    <n v="112.419"/>
    <n v="123.803"/>
    <n v="1.1012"/>
    <n v="8238.8277085443988"/>
    <n v="8238.8277085443988"/>
    <m/>
    <n v="1"/>
    <s v="Sale"/>
    <x v="97"/>
    <s v="USD"/>
    <n v="348.69"/>
    <n v="1"/>
    <n v="348.69"/>
    <n v="20.1465"/>
    <n v="7024.8830849999995"/>
    <n v="8238.8277085443988"/>
    <n v="-1213.9446235443993"/>
    <n v="1.2821917808219179"/>
    <n v="1"/>
    <n v="-1213.9446235443993"/>
    <n v="0"/>
    <m/>
    <n v="-28.899999999999977"/>
  </r>
  <r>
    <x v="3"/>
    <s v="Purchase"/>
    <x v="139"/>
    <x v="2"/>
    <s v="USD"/>
    <d v="2021-05-24T00:00:00"/>
    <n v="4561.92"/>
    <x v="2"/>
    <n v="12"/>
    <n v="380.16"/>
    <n v="1"/>
    <n v="4561.92"/>
    <n v="19.881"/>
    <n v="90695.531520000004"/>
    <n v="112.419"/>
    <n v="123.803"/>
    <n v="1.1012"/>
    <n v="99873.919309824007"/>
    <n v="8322.8266091519999"/>
    <m/>
    <n v="12"/>
    <s v="Sale"/>
    <x v="97"/>
    <s v="USD"/>
    <n v="4184.2700000000004"/>
    <n v="1"/>
    <n v="4184.2700000000004"/>
    <n v="20.1465"/>
    <n v="84298.39555500001"/>
    <n v="99873.919309824007"/>
    <n v="-15575.523754823997"/>
    <n v="1.273972602739726"/>
    <n v="1"/>
    <n v="-15575.523754823997"/>
    <n v="0"/>
    <m/>
    <n v="-377.64999999999964"/>
  </r>
  <r>
    <x v="3"/>
    <s v="Purchase"/>
    <x v="146"/>
    <x v="2"/>
    <s v="USD"/>
    <d v="2021-01-12T00:00:00"/>
    <n v="29706.58"/>
    <x v="2"/>
    <n v="355"/>
    <n v="83.680507042253524"/>
    <n v="1"/>
    <n v="29706.58"/>
    <n v="19.970500000000001"/>
    <n v="593255.25589000003"/>
    <n v="110.21"/>
    <n v="123.803"/>
    <n v="1.1233"/>
    <n v="666403.628941237"/>
    <n v="1877.1933209612309"/>
    <m/>
    <n v="355"/>
    <s v="Sale"/>
    <x v="98"/>
    <s v="USD"/>
    <n v="27629.83"/>
    <n v="1"/>
    <n v="27629.83"/>
    <n v="20.052499999999998"/>
    <n v="554047.16607499996"/>
    <n v="666403.628941237"/>
    <n v="-112356.46286623704"/>
    <n v="1.6876712328767123"/>
    <n v="1"/>
    <n v="-112356.46286623704"/>
    <n v="0"/>
    <m/>
    <n v="-2076.75"/>
  </r>
  <r>
    <x v="3"/>
    <s v="Purchase"/>
    <x v="146"/>
    <x v="2"/>
    <s v="USD"/>
    <d v="2021-01-13T00:00:00"/>
    <n v="2735.3"/>
    <x v="2"/>
    <n v="33"/>
    <n v="82.88787878787879"/>
    <n v="1"/>
    <n v="2735.3"/>
    <n v="20.113"/>
    <n v="55015.088900000002"/>
    <n v="110.21"/>
    <n v="123.803"/>
    <n v="1.1233"/>
    <n v="61798.449361370003"/>
    <n v="1872.6802836778788"/>
    <m/>
    <n v="33"/>
    <s v="Sale"/>
    <x v="98"/>
    <s v="USD"/>
    <n v="2568.41"/>
    <n v="1"/>
    <n v="2568.41"/>
    <n v="20.052499999999998"/>
    <n v="51503.041524999993"/>
    <n v="61798.449361370003"/>
    <n v="-10295.40783637001"/>
    <n v="1.6849315068493151"/>
    <n v="1"/>
    <n v="-10295.40783637001"/>
    <n v="0"/>
    <m/>
    <n v="-166.89000000000033"/>
  </r>
  <r>
    <x v="3"/>
    <s v="Purchase"/>
    <x v="147"/>
    <x v="2"/>
    <s v="USD"/>
    <d v="2020-05-14T00:00:00"/>
    <n v="9186.17"/>
    <x v="2"/>
    <n v="169"/>
    <n v="54.356035502958584"/>
    <n v="1"/>
    <n v="9186.17"/>
    <n v="24.0487"/>
    <n v="220915.44647900001"/>
    <n v="106.16200000000001"/>
    <n v="123.803"/>
    <n v="1.1660999999999999"/>
    <n v="257609.50213916189"/>
    <n v="1524.3165807051"/>
    <m/>
    <n v="169"/>
    <s v="Sale"/>
    <x v="98"/>
    <s v="USD"/>
    <n v="6536.3"/>
    <n v="1"/>
    <n v="6536.3"/>
    <n v="20.052499999999998"/>
    <n v="131069.15574999999"/>
    <n v="257609.50213916189"/>
    <n v="-126540.3463891619"/>
    <n v="2.3534246575342466"/>
    <n v="1"/>
    <n v="-126540.3463891619"/>
    <n v="0"/>
    <m/>
    <n v="-2649.87"/>
  </r>
  <r>
    <x v="3"/>
    <s v="Purchase"/>
    <x v="147"/>
    <x v="2"/>
    <s v="USD"/>
    <d v="2020-06-08T00:00:00"/>
    <n v="2231.92"/>
    <x v="2"/>
    <n v="33"/>
    <n v="67.6339393939394"/>
    <n v="1"/>
    <n v="2231.92"/>
    <n v="21.838799999999999"/>
    <n v="48742.454495999998"/>
    <n v="106.74299999999999"/>
    <n v="123.803"/>
    <n v="1.1597999999999999"/>
    <n v="56531.498724460798"/>
    <n v="1713.0757189230544"/>
    <m/>
    <n v="33"/>
    <s v="Sale"/>
    <x v="98"/>
    <s v="USD"/>
    <n v="1276.31"/>
    <n v="1"/>
    <n v="1276.31"/>
    <n v="20.052499999999998"/>
    <n v="25593.206274999997"/>
    <n v="56531.498724460798"/>
    <n v="-30938.292449460801"/>
    <n v="2.2849315068493152"/>
    <n v="1"/>
    <n v="-30938.292449460801"/>
    <n v="0"/>
    <m/>
    <n v="-955.61000000000013"/>
  </r>
  <r>
    <x v="3"/>
    <s v="Purchase"/>
    <x v="147"/>
    <x v="2"/>
    <s v="USD"/>
    <d v="2020-09-28T00:00:00"/>
    <n v="8042.07"/>
    <x v="2"/>
    <n v="112"/>
    <n v="71.80419642857143"/>
    <n v="1"/>
    <n v="8042.07"/>
    <n v="22.367799999999999"/>
    <n v="179883.41334599999"/>
    <n v="108.114"/>
    <n v="123.803"/>
    <n v="1.1451"/>
    <n v="205984.49662250458"/>
    <n v="1839.1472912723623"/>
    <m/>
    <n v="112"/>
    <s v="Sale"/>
    <x v="98"/>
    <s v="USD"/>
    <n v="4331.75"/>
    <n v="1"/>
    <n v="4331.75"/>
    <n v="20.052499999999998"/>
    <n v="86862.416874999995"/>
    <n v="205984.49662250458"/>
    <n v="-119122.07974750458"/>
    <n v="1.978082191780822"/>
    <n v="1"/>
    <n v="-119122.07974750458"/>
    <n v="0"/>
    <m/>
    <n v="-3710.3199999999997"/>
  </r>
  <r>
    <x v="3"/>
    <s v="Purchase"/>
    <x v="147"/>
    <x v="2"/>
    <s v="USD"/>
    <d v="2020-10-22T00:00:00"/>
    <n v="3371.72"/>
    <x v="2"/>
    <n v="46"/>
    <n v="73.298260869565212"/>
    <n v="1"/>
    <n v="3371.72"/>
    <n v="21.090199999999999"/>
    <n v="71110.249143999987"/>
    <n v="108.774"/>
    <n v="123.803"/>
    <n v="1.1380999999999999"/>
    <n v="80930.574550786376"/>
    <n v="1759.360316321443"/>
    <m/>
    <n v="46"/>
    <s v="Sale"/>
    <x v="98"/>
    <s v="USD"/>
    <n v="1779.11"/>
    <n v="1"/>
    <n v="1779.11"/>
    <n v="20.052499999999998"/>
    <n v="35675.603274999994"/>
    <n v="80930.574550786376"/>
    <n v="-45254.971275786382"/>
    <n v="1.9123287671232876"/>
    <n v="1"/>
    <n v="-45254.971275786382"/>
    <n v="0"/>
    <m/>
    <n v="-1592.61"/>
  </r>
  <r>
    <x v="3"/>
    <s v="Purchase"/>
    <x v="146"/>
    <x v="2"/>
    <s v="USD"/>
    <d v="2021-01-13T00:00:00"/>
    <n v="14671.16"/>
    <x v="2"/>
    <n v="177"/>
    <n v="82.887909604519777"/>
    <n v="1"/>
    <n v="14671.16"/>
    <n v="20.113"/>
    <n v="295081.04108"/>
    <n v="110.21"/>
    <n v="123.803"/>
    <n v="1.1233"/>
    <n v="331464.53344516398"/>
    <n v="1872.6809799161806"/>
    <m/>
    <n v="177"/>
    <s v="Sale"/>
    <x v="99"/>
    <s v="USD"/>
    <n v="13873.58"/>
    <n v="1"/>
    <n v="13873.58"/>
    <n v="19.994299999999999"/>
    <n v="277392.520594"/>
    <n v="331464.53344516398"/>
    <n v="-54072.012851163978"/>
    <n v="1.6876712328767123"/>
    <n v="1"/>
    <n v="-54072.012851163978"/>
    <n v="0"/>
    <m/>
    <n v="-797.57999999999993"/>
  </r>
  <r>
    <x v="3"/>
    <s v="Purchase"/>
    <x v="147"/>
    <x v="2"/>
    <s v="USD"/>
    <d v="2021-10-07T00:00:00"/>
    <n v="9988.8799999999992"/>
    <x v="2"/>
    <n v="145"/>
    <n v="68.888827586206887"/>
    <n v="1"/>
    <n v="9988.8799999999992"/>
    <n v="20.581800000000001"/>
    <n v="205589.13038399999"/>
    <n v="115.56100000000001"/>
    <n v="123.803"/>
    <n v="1.0712999999999999"/>
    <n v="220247.63538037919"/>
    <n v="1518.9492095198564"/>
    <m/>
    <n v="145"/>
    <s v="Sale"/>
    <x v="99"/>
    <s v="USD"/>
    <n v="5543.16"/>
    <n v="1"/>
    <n v="5543.16"/>
    <n v="19.994299999999999"/>
    <n v="110831.60398799999"/>
    <n v="220247.63538037919"/>
    <n v="-109416.0313923792"/>
    <n v="0.95616438356164379"/>
    <n v="1"/>
    <n v="-109416.0313923792"/>
    <n v="0"/>
    <m/>
    <n v="-4445.7199999999993"/>
  </r>
  <r>
    <x v="3"/>
    <s v="Purchase"/>
    <x v="147"/>
    <x v="2"/>
    <s v="USD"/>
    <d v="2022-06-10T00:00:00"/>
    <n v="7284.31"/>
    <x v="2"/>
    <n v="153"/>
    <n v="47.609869281045754"/>
    <n v="1"/>
    <n v="7284.31"/>
    <n v="19.59"/>
    <n v="142699.6329"/>
    <n v="122.044"/>
    <n v="123.803"/>
    <n v="1.0144"/>
    <n v="144754.50761375998"/>
    <n v="946.10789290039202"/>
    <m/>
    <n v="153"/>
    <s v="Sale"/>
    <x v="99"/>
    <s v="USD"/>
    <n v="5849"/>
    <n v="1"/>
    <n v="5849"/>
    <n v="19.994299999999999"/>
    <n v="116946.66069999999"/>
    <n v="144754.50761375998"/>
    <n v="-27807.84691375999"/>
    <n v="0.28219178082191781"/>
    <n v="1"/>
    <n v="-27807.84691375999"/>
    <n v="0"/>
    <m/>
    <n v="-1435.3100000000004"/>
  </r>
  <r>
    <x v="3"/>
    <s v="Purchase"/>
    <x v="147"/>
    <x v="2"/>
    <s v="USD"/>
    <d v="2020-10-22T00:00:00"/>
    <n v="21989.49"/>
    <x v="2"/>
    <n v="300"/>
    <n v="73.298300000000012"/>
    <n v="1"/>
    <n v="21989.49"/>
    <n v="21.090199999999999"/>
    <n v="463762.74199800001"/>
    <n v="108.774"/>
    <n v="123.803"/>
    <n v="1.1380999999999999"/>
    <n v="527808.37666792376"/>
    <n v="1759.3612555597458"/>
    <m/>
    <n v="300"/>
    <s v="Sale"/>
    <x v="99"/>
    <s v="USD"/>
    <n v="11468.62"/>
    <n v="1"/>
    <n v="11468.62"/>
    <n v="19.994299999999999"/>
    <n v="229307.02886600001"/>
    <n v="527808.37666792376"/>
    <n v="-298501.34780192375"/>
    <n v="1.9150684931506849"/>
    <n v="1"/>
    <n v="-298501.34780192375"/>
    <n v="0"/>
    <m/>
    <n v="-10520.87"/>
  </r>
  <r>
    <x v="3"/>
    <s v="Purchase"/>
    <x v="147"/>
    <x v="2"/>
    <s v="USD"/>
    <d v="2022-06-10T00:00:00"/>
    <n v="5951.24"/>
    <x v="2"/>
    <n v="125"/>
    <n v="47.609919999999995"/>
    <n v="1"/>
    <n v="5951.24"/>
    <n v="19.59"/>
    <n v="116584.7916"/>
    <n v="122.044"/>
    <n v="123.803"/>
    <n v="1.0144"/>
    <n v="118263.61259903999"/>
    <n v="946.1089007923199"/>
    <m/>
    <n v="125"/>
    <s v="Sale"/>
    <x v="100"/>
    <s v="USD"/>
    <n v="4566.3599999999997"/>
    <n v="1"/>
    <n v="4566.3599999999997"/>
    <n v="20"/>
    <n v="91327.2"/>
    <n v="118263.61259903999"/>
    <n v="-26936.412599039992"/>
    <n v="0.28493150684931506"/>
    <n v="1"/>
    <n v="-26936.412599039992"/>
    <n v="0"/>
    <m/>
    <n v="-1384.88"/>
  </r>
  <r>
    <x v="3"/>
    <s v="Purchase"/>
    <x v="147"/>
    <x v="2"/>
    <s v="USD"/>
    <d v="2022-06-10T00:00:00"/>
    <n v="8344.66"/>
    <x v="2"/>
    <n v="182"/>
    <n v="45.849780219780222"/>
    <n v="1"/>
    <n v="8344.66"/>
    <n v="19.59"/>
    <n v="163471.88939999999"/>
    <n v="122.044"/>
    <n v="123.803"/>
    <n v="1.0144"/>
    <n v="165825.88460735997"/>
    <n v="911.13123410637343"/>
    <m/>
    <n v="182"/>
    <s v="Sale"/>
    <x v="100"/>
    <s v="USD"/>
    <n v="6648.61"/>
    <n v="1"/>
    <n v="6648.61"/>
    <n v="20"/>
    <n v="132972.19999999998"/>
    <n v="165825.88460735997"/>
    <n v="-32853.684607359988"/>
    <n v="0.28493150684931506"/>
    <n v="1"/>
    <n v="-32853.684607359988"/>
    <n v="0"/>
    <m/>
    <n v="-1696.0500000000002"/>
  </r>
  <r>
    <x v="3"/>
    <s v="Purchase"/>
    <x v="147"/>
    <x v="2"/>
    <s v="USD"/>
    <d v="2022-06-10T00:00:00"/>
    <n v="366.8"/>
    <x v="2"/>
    <n v="8"/>
    <n v="45.85"/>
    <n v="1"/>
    <n v="366.8"/>
    <n v="19.59"/>
    <n v="7185.6120000000001"/>
    <n v="122.044"/>
    <n v="123.803"/>
    <n v="1.0144"/>
    <n v="7289.0848127999998"/>
    <n v="911.13560159999997"/>
    <m/>
    <n v="8"/>
    <s v="Sale"/>
    <x v="101"/>
    <s v="USD"/>
    <n v="285.67"/>
    <n v="1"/>
    <n v="285.67"/>
    <n v="20.002700000000001"/>
    <n v="5714.1713090000003"/>
    <n v="7289.0848127999998"/>
    <n v="-1574.9135037999995"/>
    <n v="0.28767123287671231"/>
    <n v="1"/>
    <n v="-1574.9135037999995"/>
    <n v="0"/>
    <m/>
    <n v="-81.13"/>
  </r>
  <r>
    <x v="3"/>
    <s v="Purchase"/>
    <x v="147"/>
    <x v="2"/>
    <s v="USD"/>
    <d v="2022-08-17T00:00:00"/>
    <n v="11776.25"/>
    <x v="2"/>
    <n v="250"/>
    <n v="47.104999999999997"/>
    <n v="1"/>
    <n v="11776.25"/>
    <n v="19.861799999999999"/>
    <n v="233897.52224999998"/>
    <n v="123.803"/>
    <n v="123.803"/>
    <n v="1"/>
    <n v="233897.52224999998"/>
    <n v="935.59008899999992"/>
    <m/>
    <n v="250"/>
    <s v="Sale"/>
    <x v="101"/>
    <s v="USD"/>
    <n v="8927.2999999999993"/>
    <n v="1"/>
    <n v="8927.2999999999993"/>
    <n v="20.002700000000001"/>
    <n v="178570.10371"/>
    <n v="233897.52224999998"/>
    <n v="-55327.418539999984"/>
    <n v="0.10136986301369863"/>
    <n v="1"/>
    <n v="-55327.418539999984"/>
    <n v="0"/>
    <m/>
    <n v="-2848.9500000000007"/>
  </r>
  <r>
    <x v="3"/>
    <s v="Purchase"/>
    <x v="126"/>
    <x v="2"/>
    <s v="USD"/>
    <d v="2018-08-03T00:00:00"/>
    <n v="30465.38"/>
    <x v="2"/>
    <n v="121"/>
    <n v="251.78"/>
    <n v="1"/>
    <n v="30465.38"/>
    <n v="18.5899"/>
    <n v="566348.367662"/>
    <n v="100.492"/>
    <n v="123.803"/>
    <n v="1.2319"/>
    <n v="697684.55412281782"/>
    <n v="5765.9880506017998"/>
    <m/>
    <n v="121"/>
    <s v="Sale"/>
    <x v="102"/>
    <s v="USD"/>
    <n v="34101.85"/>
    <n v="1"/>
    <n v="34101.85"/>
    <n v="19.960799999999999"/>
    <n v="680700.20747999998"/>
    <n v="697684.55412281782"/>
    <n v="-16984.346642817836"/>
    <n v="4.1506849315068495"/>
    <n v="1"/>
    <n v="-16984.346642817836"/>
    <n v="0"/>
    <m/>
    <n v="3636.4699999999975"/>
  </r>
  <r>
    <x v="3"/>
    <s v="Purchase"/>
    <x v="14"/>
    <x v="2"/>
    <s v="USD"/>
    <d v="2019-01-11T00:00:00"/>
    <n v="3180.88"/>
    <x v="2"/>
    <n v="28"/>
    <n v="113.60285714285715"/>
    <n v="1"/>
    <n v="3180.88"/>
    <n v="19.2456"/>
    <n v="61217.944128000003"/>
    <n v="103.108"/>
    <n v="123.803"/>
    <n v="1.2007000000000001"/>
    <n v="73504.385514489608"/>
    <n v="2625.1566255174862"/>
    <m/>
    <n v="28"/>
    <s v="Sale"/>
    <x v="102"/>
    <s v="USD"/>
    <n v="7131.37"/>
    <n v="1"/>
    <n v="7131.37"/>
    <n v="19.960799999999999"/>
    <n v="142347.85029599999"/>
    <n v="73504.385514489608"/>
    <n v="68843.464781510382"/>
    <n v="3.7095890410958905"/>
    <n v="1"/>
    <n v="68843.464781510382"/>
    <n v="0"/>
    <m/>
    <n v="3950.49"/>
  </r>
  <r>
    <x v="3"/>
    <s v="Purchase"/>
    <x v="147"/>
    <x v="2"/>
    <s v="USD"/>
    <d v="2022-08-17T00:00:00"/>
    <n v="8855.74"/>
    <x v="2"/>
    <n v="188"/>
    <n v="47.104999999999997"/>
    <n v="1"/>
    <n v="8855.74"/>
    <n v="19.861799999999999"/>
    <n v="175890.93673199997"/>
    <n v="123.803"/>
    <n v="123.803"/>
    <n v="1"/>
    <n v="175890.93673199997"/>
    <n v="935.59008899999981"/>
    <m/>
    <n v="188"/>
    <s v="Sale"/>
    <x v="102"/>
    <s v="USD"/>
    <n v="6651.27"/>
    <n v="1"/>
    <n v="6651.27"/>
    <n v="19.960799999999999"/>
    <n v="132764.670216"/>
    <n v="175890.93673199997"/>
    <n v="-43126.266515999974"/>
    <n v="0.1095890410958904"/>
    <n v="1"/>
    <n v="-43126.266515999974"/>
    <n v="0"/>
    <m/>
    <n v="-2204.4699999999993"/>
  </r>
  <r>
    <x v="3"/>
    <s v="Purchase"/>
    <x v="126"/>
    <x v="2"/>
    <s v="USD"/>
    <d v="2022-02-14T00:00:00"/>
    <n v="25592.720000000001"/>
    <x v="2"/>
    <n v="54"/>
    <n v="473.9392592592593"/>
    <n v="1"/>
    <n v="25592.720000000001"/>
    <n v="20.4148"/>
    <n v="522470.26025600004"/>
    <n v="118.98099999999999"/>
    <n v="123.803"/>
    <n v="1.0405"/>
    <n v="543630.30579636805"/>
    <n v="10067.227885117927"/>
    <m/>
    <n v="54"/>
    <s v="Sale"/>
    <x v="103"/>
    <s v="USD"/>
    <n v="15030.79"/>
    <n v="1"/>
    <n v="15030.79"/>
    <n v="20.162700000000001"/>
    <n v="303061.30953300005"/>
    <n v="543630.30579636805"/>
    <n v="-240568.996263368"/>
    <n v="0.61643835616438358"/>
    <n v="1"/>
    <n v="-240568.996263368"/>
    <n v="0"/>
    <m/>
    <n v="-10561.93"/>
  </r>
  <r>
    <x v="3"/>
    <s v="Purchase"/>
    <x v="126"/>
    <x v="2"/>
    <s v="USD"/>
    <d v="2022-05-20T00:00:00"/>
    <n v="3943.18"/>
    <x v="2"/>
    <n v="10"/>
    <n v="394.31799999999998"/>
    <n v="1"/>
    <n v="3943.18"/>
    <n v="19.9663"/>
    <n v="78730.714833999999"/>
    <n v="121.02200000000001"/>
    <n v="123.803"/>
    <n v="1.0228999999999999"/>
    <n v="80533.648203698598"/>
    <n v="8053.3648203698594"/>
    <m/>
    <n v="10"/>
    <s v="Sale"/>
    <x v="103"/>
    <s v="USD"/>
    <n v="2783.48"/>
    <n v="1"/>
    <n v="2783.48"/>
    <n v="20.162700000000001"/>
    <n v="56122.472196000002"/>
    <n v="80533.648203698598"/>
    <n v="-24411.176007698596"/>
    <n v="0.35616438356164382"/>
    <n v="1"/>
    <n v="-24411.176007698596"/>
    <n v="0"/>
    <m/>
    <n v="-1159.6999999999998"/>
  </r>
  <r>
    <x v="3"/>
    <s v="Purchase"/>
    <x v="126"/>
    <x v="2"/>
    <s v="USD"/>
    <d v="2018-08-03T00:00:00"/>
    <n v="13847.9"/>
    <x v="2"/>
    <n v="55"/>
    <n v="251.78"/>
    <n v="1"/>
    <n v="13847.9"/>
    <n v="18.5899"/>
    <n v="257431.07621"/>
    <n v="100.492"/>
    <n v="123.803"/>
    <n v="1.2319"/>
    <n v="317129.34278309898"/>
    <n v="5765.9880506017998"/>
    <m/>
    <n v="55"/>
    <s v="Sale"/>
    <x v="103"/>
    <s v="USD"/>
    <n v="15309.13"/>
    <n v="1"/>
    <n v="15309.13"/>
    <n v="20.162700000000001"/>
    <n v="308673.39545100002"/>
    <n v="317129.34278309898"/>
    <n v="-8455.9473320989637"/>
    <n v="4.1534246575342468"/>
    <n v="1"/>
    <n v="-8455.9473320989637"/>
    <n v="0"/>
    <m/>
    <n v="1461.2299999999996"/>
  </r>
  <r>
    <x v="3"/>
    <s v="Purchase"/>
    <x v="126"/>
    <x v="2"/>
    <s v="USD"/>
    <d v="2020-05-13T00:00:00"/>
    <n v="8497.4"/>
    <x v="2"/>
    <n v="24"/>
    <n v="354.05833333333334"/>
    <n v="1"/>
    <n v="8497.4"/>
    <n v="23.869299999999999"/>
    <n v="202826.98981999999"/>
    <n v="106.16200000000001"/>
    <n v="123.803"/>
    <n v="1.1660999999999999"/>
    <n v="236516.55282910197"/>
    <n v="9854.8563678792489"/>
    <m/>
    <n v="24"/>
    <s v="Sale"/>
    <x v="103"/>
    <s v="USD"/>
    <n v="6680.35"/>
    <n v="1"/>
    <n v="6680.35"/>
    <n v="20.162700000000001"/>
    <n v="134693.892945"/>
    <n v="236516.55282910197"/>
    <n v="-101822.65988410197"/>
    <n v="2.3753424657534246"/>
    <n v="1"/>
    <n v="-101822.65988410197"/>
    <n v="0"/>
    <m/>
    <n v="-1817.0499999999993"/>
  </r>
  <r>
    <x v="3"/>
    <s v="Purchase"/>
    <x v="14"/>
    <x v="2"/>
    <s v="USD"/>
    <d v="2019-01-11T00:00:00"/>
    <n v="227.21"/>
    <x v="2"/>
    <n v="2"/>
    <n v="113.605"/>
    <n v="1"/>
    <n v="227.21"/>
    <n v="19.2456"/>
    <n v="4372.7927760000002"/>
    <n v="103.108"/>
    <n v="123.803"/>
    <n v="1.2007000000000001"/>
    <n v="5250.4122861432006"/>
    <n v="2625.2061430716003"/>
    <m/>
    <n v="2"/>
    <s v="Sale"/>
    <x v="103"/>
    <s v="USD"/>
    <n v="505.91"/>
    <n v="1"/>
    <n v="505.91"/>
    <n v="20.162700000000001"/>
    <n v="10200.511557000002"/>
    <n v="5250.4122861432006"/>
    <n v="4950.099270856801"/>
    <n v="3.7123287671232879"/>
    <n v="1"/>
    <n v="4950.099270856801"/>
    <n v="0"/>
    <m/>
    <n v="278.70000000000005"/>
  </r>
  <r>
    <x v="3"/>
    <s v="Purchase"/>
    <x v="14"/>
    <x v="2"/>
    <s v="USD"/>
    <d v="2020-05-13T00:00:00"/>
    <n v="2892.48"/>
    <x v="2"/>
    <n v="25"/>
    <n v="115.6992"/>
    <n v="1"/>
    <n v="2892.48"/>
    <n v="23.869299999999999"/>
    <n v="69041.472863999996"/>
    <n v="106.16200000000001"/>
    <n v="123.803"/>
    <n v="1.1660999999999999"/>
    <n v="80509.261506710391"/>
    <n v="3220.3704602684156"/>
    <m/>
    <n v="25"/>
    <s v="Sale"/>
    <x v="103"/>
    <s v="USD"/>
    <n v="6323.89"/>
    <n v="1"/>
    <n v="6323.89"/>
    <n v="20.162700000000001"/>
    <n v="127506.69690300002"/>
    <n v="80509.261506710391"/>
    <n v="46997.435396289628"/>
    <n v="2.3753424657534246"/>
    <n v="1"/>
    <n v="46997.435396289628"/>
    <n v="0"/>
    <m/>
    <n v="3431.4100000000003"/>
  </r>
  <r>
    <x v="3"/>
    <s v="Purchase"/>
    <x v="126"/>
    <x v="2"/>
    <s v="USD"/>
    <d v="2022-05-20T00:00:00"/>
    <n v="17350.009999999998"/>
    <x v="2"/>
    <n v="44"/>
    <n v="394.31840909090903"/>
    <n v="1"/>
    <n v="17350.009999999998"/>
    <n v="19.9663"/>
    <n v="346415.504663"/>
    <n v="121.02200000000001"/>
    <n v="123.803"/>
    <n v="1.0228999999999999"/>
    <n v="354348.41971978266"/>
    <n v="8053.3731754496057"/>
    <m/>
    <n v="44"/>
    <s v="Sale"/>
    <x v="104"/>
    <s v="USD"/>
    <n v="12306.94"/>
    <n v="1"/>
    <n v="12306.94"/>
    <n v="20.351700000000001"/>
    <n v="250467.15079800002"/>
    <n v="354348.41971978266"/>
    <n v="-103881.26892178264"/>
    <n v="0.35890410958904112"/>
    <n v="1"/>
    <n v="-103881.26892178264"/>
    <n v="0"/>
    <m/>
    <n v="-5043.0699999999979"/>
  </r>
  <r>
    <x v="3"/>
    <s v="Purchase"/>
    <x v="126"/>
    <x v="2"/>
    <s v="USD"/>
    <d v="2022-06-16T00:00:00"/>
    <n v="4029.19"/>
    <x v="2"/>
    <n v="11"/>
    <n v="366.29"/>
    <n v="1"/>
    <n v="4029.19"/>
    <n v="20.658300000000001"/>
    <n v="83236.215777000005"/>
    <n v="122.044"/>
    <n v="123.803"/>
    <n v="1.0144"/>
    <n v="84434.817284188801"/>
    <n v="7675.8924803808004"/>
    <m/>
    <n v="11"/>
    <s v="Sale"/>
    <x v="104"/>
    <s v="USD"/>
    <n v="3076.73"/>
    <n v="1"/>
    <n v="3076.73"/>
    <n v="20.351700000000001"/>
    <n v="62616.685941000003"/>
    <n v="84434.817284188801"/>
    <n v="-21818.131343188797"/>
    <n v="0.28493150684931506"/>
    <n v="1"/>
    <n v="-21818.131343188797"/>
    <n v="0"/>
    <m/>
    <n v="-952.46"/>
  </r>
  <r>
    <x v="0"/>
    <m/>
    <x v="0"/>
    <x v="0"/>
    <m/>
    <m/>
    <m/>
    <x v="0"/>
    <n v="0"/>
    <n v="0"/>
    <n v="0"/>
    <n v="0"/>
    <n v="0"/>
    <n v="0"/>
    <n v="0"/>
    <n v="0"/>
    <n v="0"/>
    <n v="0"/>
    <n v="0"/>
    <m/>
    <m/>
    <m/>
    <x v="0"/>
    <m/>
    <m/>
    <n v="0"/>
    <n v="0"/>
    <n v="0"/>
    <n v="0"/>
    <n v="0"/>
    <n v="0"/>
    <n v="0"/>
    <n v="1"/>
    <n v="0"/>
    <n v="0"/>
    <m/>
    <n v="0"/>
  </r>
  <r>
    <x v="7"/>
    <s v="Purchase"/>
    <x v="148"/>
    <x v="2"/>
    <s v="USD"/>
    <d v="2021-11-04T00:00:00"/>
    <n v="30540.16"/>
    <x v="2"/>
    <n v="362"/>
    <n v="84.36508287292817"/>
    <n v="1"/>
    <n v="30540.16"/>
    <n v="20.8598"/>
    <n v="637061.62956799997"/>
    <n v="116.884"/>
    <n v="122.94799999999999"/>
    <n v="1.0518000000000001"/>
    <n v="670061.42197962245"/>
    <n v="1850.9984032586256"/>
    <m/>
    <n v="362"/>
    <s v="Sale"/>
    <x v="105"/>
    <s v="USD"/>
    <n v="20144.84"/>
    <n v="1"/>
    <n v="20144.84"/>
    <n v="20.195699999999999"/>
    <n v="406839.14518799999"/>
    <n v="670061.42197962245"/>
    <n v="-263222.27679162245"/>
    <n v="0.8"/>
    <n v="1"/>
    <n v="-263222.27679162245"/>
    <n v="0"/>
    <m/>
    <n v="-10395.32"/>
  </r>
  <r>
    <x v="7"/>
    <s v="Purchase"/>
    <x v="148"/>
    <x v="2"/>
    <s v="USD"/>
    <d v="2021-11-16T00:00:00"/>
    <n v="88583.35"/>
    <x v="2"/>
    <n v="1050"/>
    <n v="84.36509523809525"/>
    <n v="1"/>
    <n v="88583.35"/>
    <n v="20.465199999999999"/>
    <n v="1812875.9744200001"/>
    <n v="116.884"/>
    <n v="122.94799999999999"/>
    <n v="1.0518000000000001"/>
    <n v="1906782.9498949563"/>
    <n v="1815.9837618047202"/>
    <m/>
    <n v="1050"/>
    <s v="Sale"/>
    <x v="105"/>
    <s v="USD"/>
    <n v="58431.15"/>
    <n v="1"/>
    <n v="58431.15"/>
    <n v="20.195699999999999"/>
    <n v="1180057.976055"/>
    <n v="1906782.9498949563"/>
    <n v="-726724.97383995634"/>
    <n v="0.76712328767123283"/>
    <n v="1"/>
    <n v="-726724.97383995634"/>
    <n v="0"/>
    <m/>
    <n v="-30152.200000000004"/>
  </r>
  <r>
    <x v="7"/>
    <s v="Purchase"/>
    <x v="149"/>
    <x v="1"/>
    <s v="USD"/>
    <d v="2021-11-04T00:00:00"/>
    <n v="51858.19"/>
    <x v="1"/>
    <n v="2300"/>
    <n v="22.547039130434783"/>
    <n v="1"/>
    <n v="51858.19"/>
    <n v="20.8598"/>
    <n v="1081751.4717620001"/>
    <n v="116.884"/>
    <n v="123.803"/>
    <n v="1.0590999999999999"/>
    <n v="1145682.9837431342"/>
    <n v="498.12303641005832"/>
    <m/>
    <n v="2300"/>
    <s v="Sale"/>
    <x v="105"/>
    <s v="USD"/>
    <n v="6523.34"/>
    <n v="1"/>
    <n v="6523.34"/>
    <n v="20.195699999999999"/>
    <n v="131743.41763799998"/>
    <n v="1145682.9837431342"/>
    <n v="-1013939.5661051342"/>
    <n v="0.8"/>
    <n v="1"/>
    <n v="-1013939.5661051342"/>
    <n v="0"/>
    <m/>
    <n v="-45334.850000000006"/>
  </r>
  <r>
    <x v="7"/>
    <s v="Purchase"/>
    <x v="149"/>
    <x v="1"/>
    <s v="USD"/>
    <d v="2021-11-05T00:00:00"/>
    <n v="21645.16"/>
    <x v="1"/>
    <n v="960"/>
    <n v="22.547041666666665"/>
    <n v="1"/>
    <n v="21645.16"/>
    <n v="20.8352"/>
    <n v="450981.237632"/>
    <n v="116.884"/>
    <n v="123.803"/>
    <n v="1.0590999999999999"/>
    <n v="477634.2287760512"/>
    <n v="497.53565497505332"/>
    <m/>
    <n v="960"/>
    <s v="Sale"/>
    <x v="105"/>
    <s v="USD"/>
    <n v="2722.79"/>
    <n v="1"/>
    <n v="2722.79"/>
    <n v="20.195699999999999"/>
    <n v="54988.650002999995"/>
    <n v="477634.2287760512"/>
    <n v="-422645.57877305121"/>
    <n v="0.79726027397260268"/>
    <n v="1"/>
    <n v="-422645.57877305121"/>
    <n v="0"/>
    <m/>
    <n v="-18922.37"/>
  </r>
  <r>
    <x v="7"/>
    <s v="Purchase"/>
    <x v="149"/>
    <x v="1"/>
    <s v="USD"/>
    <d v="2021-11-16T00:00:00"/>
    <n v="78914.63"/>
    <x v="1"/>
    <n v="3500"/>
    <n v="22.547037142857143"/>
    <n v="1"/>
    <n v="78914.63"/>
    <n v="20.465199999999999"/>
    <n v="1615003.685876"/>
    <n v="116.884"/>
    <n v="123.803"/>
    <n v="1.0590999999999999"/>
    <n v="1710450.4037112715"/>
    <n v="488.70011534607755"/>
    <m/>
    <n v="3500"/>
    <s v="Sale"/>
    <x v="105"/>
    <s v="USD"/>
    <n v="9926.83"/>
    <n v="1"/>
    <n v="9926.83"/>
    <n v="20.195699999999999"/>
    <n v="200479.28063099997"/>
    <n v="1710450.4037112715"/>
    <n v="-1509971.1230802715"/>
    <n v="0.76712328767123283"/>
    <n v="1"/>
    <n v="-1509971.1230802715"/>
    <n v="0"/>
    <m/>
    <n v="-68987.8"/>
  </r>
  <r>
    <x v="7"/>
    <s v="Purchase"/>
    <x v="150"/>
    <x v="2"/>
    <s v="USD"/>
    <d v="2021-11-04T00:00:00"/>
    <n v="51558.68"/>
    <x v="2"/>
    <n v="827"/>
    <n v="62.344232164449821"/>
    <n v="1"/>
    <n v="51558.68"/>
    <n v="20.8598"/>
    <n v="1075503.753064"/>
    <n v="116.884"/>
    <n v="122.94799999999999"/>
    <n v="1.0518000000000001"/>
    <n v="1131214.8474727154"/>
    <n v="1367.8535035945772"/>
    <m/>
    <n v="827"/>
    <s v="Sale"/>
    <x v="105"/>
    <s v="USD"/>
    <n v="32740.18"/>
    <n v="1"/>
    <n v="32740.18"/>
    <n v="20.195699999999999"/>
    <n v="661210.85322599998"/>
    <n v="1131214.8474727154"/>
    <n v="-470003.99424671545"/>
    <n v="0.8"/>
    <n v="1"/>
    <n v="-470003.99424671545"/>
    <n v="0"/>
    <m/>
    <n v="-18818.5"/>
  </r>
  <r>
    <x v="7"/>
    <s v="Purchase"/>
    <x v="150"/>
    <x v="2"/>
    <s v="USD"/>
    <d v="2021-11-05T00:00:00"/>
    <n v="21384.07"/>
    <x v="2"/>
    <n v="343"/>
    <n v="62.344227405247814"/>
    <n v="1"/>
    <n v="21384.07"/>
    <n v="20.8352"/>
    <n v="445541.37526400003"/>
    <n v="116.884"/>
    <n v="122.94799999999999"/>
    <n v="1.0518000000000001"/>
    <n v="468620.41850267525"/>
    <n v="1366.2402871798113"/>
    <m/>
    <n v="343"/>
    <s v="Sale"/>
    <x v="105"/>
    <s v="USD"/>
    <n v="13579.06"/>
    <n v="1"/>
    <n v="13579.06"/>
    <n v="20.195699999999999"/>
    <n v="274238.62204199994"/>
    <n v="468620.41850267525"/>
    <n v="-194381.79646067531"/>
    <n v="0.79726027397260268"/>
    <n v="1"/>
    <n v="-194381.79646067531"/>
    <n v="0"/>
    <m/>
    <n v="-7805.01"/>
  </r>
  <r>
    <x v="7"/>
    <s v="Purchase"/>
    <x v="150"/>
    <x v="2"/>
    <s v="USD"/>
    <d v="2021-11-16T00:00:00"/>
    <n v="77930.3"/>
    <x v="2"/>
    <n v="1250"/>
    <n v="62.344239999999999"/>
    <n v="1"/>
    <n v="77930.3"/>
    <n v="20.465199999999999"/>
    <n v="1594859.1755600001"/>
    <n v="116.884"/>
    <n v="122.94799999999999"/>
    <n v="1.0518000000000001"/>
    <n v="1677472.8808540083"/>
    <n v="1341.9783046832067"/>
    <m/>
    <n v="1250"/>
    <s v="Sale"/>
    <x v="105"/>
    <s v="USD"/>
    <n v="49486.36"/>
    <n v="1"/>
    <n v="49486.36"/>
    <n v="20.195699999999999"/>
    <n v="999411.68065199989"/>
    <n v="1677472.8808540085"/>
    <n v="-678061.20020200859"/>
    <n v="0.76712328767123283"/>
    <n v="1"/>
    <n v="-678061.20020200859"/>
    <n v="0"/>
    <m/>
    <n v="-28443.940000000002"/>
  </r>
  <r>
    <x v="0"/>
    <m/>
    <x v="0"/>
    <x v="0"/>
    <m/>
    <m/>
    <m/>
    <x v="0"/>
    <n v="0"/>
    <n v="0"/>
    <n v="0"/>
    <n v="0"/>
    <n v="0"/>
    <n v="0"/>
    <n v="0"/>
    <n v="0"/>
    <n v="0"/>
    <n v="0"/>
    <n v="0"/>
    <m/>
    <m/>
    <m/>
    <x v="0"/>
    <m/>
    <m/>
    <n v="0"/>
    <n v="0"/>
    <n v="0"/>
    <n v="0"/>
    <n v="0"/>
    <n v="0"/>
    <n v="0"/>
    <n v="1"/>
    <n v="0"/>
    <n v="0"/>
    <m/>
    <n v="0"/>
  </r>
  <r>
    <x v="3"/>
    <s v="Purchase"/>
    <x v="151"/>
    <x v="1"/>
    <s v="USD"/>
    <d v="2022-06-08T00:00:00"/>
    <n v="5926.5"/>
    <x v="1"/>
    <n v="225"/>
    <n v="26.34"/>
    <n v="1"/>
    <n v="5926.5"/>
    <n v="19.5547"/>
    <n v="115890.92955"/>
    <n v="122.044"/>
    <n v="125.276"/>
    <n v="1.0264"/>
    <n v="118950.45009011999"/>
    <n v="528.66866706719998"/>
    <m/>
    <n v="225"/>
    <s v="Sale"/>
    <x v="106"/>
    <s v="USD"/>
    <n v="3760.58"/>
    <n v="1"/>
    <n v="3760.58"/>
    <n v="20.020700000000001"/>
    <n v="75289.444006000005"/>
    <n v="118950.45009011999"/>
    <n v="-43661.006084119988"/>
    <n v="0.36712328767123287"/>
    <n v="1"/>
    <n v="-43661.006084119988"/>
    <n v="0"/>
    <m/>
    <n v="-2165.92"/>
  </r>
  <r>
    <x v="3"/>
    <s v="Purchase"/>
    <x v="129"/>
    <x v="2"/>
    <s v="USD"/>
    <d v="2022-06-08T00:00:00"/>
    <n v="6226.36"/>
    <x v="2"/>
    <n v="296"/>
    <n v="21.035"/>
    <n v="1"/>
    <n v="6226.36"/>
    <n v="19.5547"/>
    <n v="121754.60189199999"/>
    <n v="122.044"/>
    <n v="124.571"/>
    <n v="1.0206999999999999"/>
    <n v="124274.92215116438"/>
    <n v="419.84770997014994"/>
    <m/>
    <n v="296"/>
    <s v="Sale"/>
    <x v="106"/>
    <s v="USD"/>
    <n v="4952.8599999999997"/>
    <n v="1"/>
    <n v="4952.8599999999997"/>
    <n v="20.020700000000001"/>
    <n v="99159.724201999998"/>
    <n v="124274.92215116438"/>
    <n v="-25115.197949164387"/>
    <n v="0.36712328767123287"/>
    <n v="1"/>
    <n v="-25115.197949164387"/>
    <n v="0"/>
    <m/>
    <n v="-1273.5"/>
  </r>
  <r>
    <x v="3"/>
    <s v="Purchase"/>
    <x v="152"/>
    <x v="2"/>
    <s v="USD"/>
    <d v="2022-08-18T00:00:00"/>
    <n v="2326.25"/>
    <x v="2"/>
    <n v="1"/>
    <n v="2326.25"/>
    <n v="1"/>
    <n v="2326.25"/>
    <n v="19.930299999999999"/>
    <n v="46362.860374999997"/>
    <n v="123.803"/>
    <n v="124.571"/>
    <n v="1.0062"/>
    <n v="46650.310109324993"/>
    <n v="46650.310109324993"/>
    <m/>
    <n v="1"/>
    <s v="Sale"/>
    <x v="106"/>
    <s v="USD"/>
    <n v="2262.6799999999998"/>
    <n v="1"/>
    <n v="2262.6799999999998"/>
    <n v="20.020700000000001"/>
    <n v="45300.437475999999"/>
    <n v="46650.310109324993"/>
    <n v="-1349.8726333249942"/>
    <n v="0.17260273972602741"/>
    <n v="1"/>
    <n v="-1349.8726333249942"/>
    <n v="0"/>
    <m/>
    <n v="-63.570000000000164"/>
  </r>
  <r>
    <x v="3"/>
    <s v="Purchase"/>
    <x v="153"/>
    <x v="2"/>
    <s v="USD"/>
    <d v="2022-06-08T00:00:00"/>
    <n v="5982.99"/>
    <x v="2"/>
    <n v="29"/>
    <n v="206.31"/>
    <n v="1"/>
    <n v="5982.99"/>
    <n v="19.5547"/>
    <n v="116995.574553"/>
    <n v="122.044"/>
    <n v="124.571"/>
    <n v="1.0206999999999999"/>
    <n v="119417.38294624709"/>
    <n v="4117.8407912498997"/>
    <m/>
    <n v="29"/>
    <s v="Sale"/>
    <x v="106"/>
    <s v="USD"/>
    <n v="7577.26"/>
    <n v="1"/>
    <n v="7577.26"/>
    <n v="20.020700000000001"/>
    <n v="151702.04928200002"/>
    <n v="119417.38294624709"/>
    <n v="32284.666335752932"/>
    <n v="0.36712328767123287"/>
    <n v="1"/>
    <n v="32284.666335752932"/>
    <n v="0"/>
    <m/>
    <n v="1594.2700000000004"/>
  </r>
  <r>
    <x v="3"/>
    <s v="Purchase"/>
    <x v="154"/>
    <x v="2"/>
    <s v="USD"/>
    <d v="2022-06-08T00:00:00"/>
    <n v="5385.8"/>
    <x v="2"/>
    <n v="14"/>
    <n v="384.7"/>
    <n v="1"/>
    <n v="5385.8"/>
    <n v="19.5547"/>
    <n v="105317.70326000001"/>
    <n v="122.044"/>
    <n v="124.571"/>
    <n v="1.0206999999999999"/>
    <n v="107497.779717482"/>
    <n v="7678.4128369629998"/>
    <m/>
    <n v="14"/>
    <s v="Sale"/>
    <x v="106"/>
    <s v="USD"/>
    <n v="4487.05"/>
    <n v="1"/>
    <n v="4487.05"/>
    <n v="20.020700000000001"/>
    <n v="89833.881935000012"/>
    <n v="107497.779717482"/>
    <n v="-17663.897782481989"/>
    <n v="0.36712328767123287"/>
    <n v="1"/>
    <n v="-17663.897782481989"/>
    <n v="0"/>
    <m/>
    <n v="-898.75"/>
  </r>
  <r>
    <x v="3"/>
    <s v="Purchase"/>
    <x v="154"/>
    <x v="2"/>
    <s v="USD"/>
    <d v="2022-08-18T00:00:00"/>
    <n v="1667.75"/>
    <x v="2"/>
    <n v="4"/>
    <n v="416.9375"/>
    <n v="1"/>
    <n v="1667.75"/>
    <n v="19.930299999999999"/>
    <n v="33238.757825000001"/>
    <n v="123.803"/>
    <n v="124.571"/>
    <n v="1.0062"/>
    <n v="33444.838123515001"/>
    <n v="8361.2095308787502"/>
    <m/>
    <n v="4"/>
    <s v="Sale"/>
    <x v="106"/>
    <s v="USD"/>
    <n v="1282.01"/>
    <n v="1"/>
    <n v="1282.01"/>
    <n v="20.020700000000001"/>
    <n v="25666.737607000003"/>
    <n v="33444.838123515001"/>
    <n v="-7778.1005165149982"/>
    <n v="0.17260273972602741"/>
    <n v="1"/>
    <n v="-7778.1005165149982"/>
    <n v="0"/>
    <m/>
    <n v="-385.74"/>
  </r>
  <r>
    <x v="3"/>
    <s v="Purchase"/>
    <x v="155"/>
    <x v="1"/>
    <s v="USD"/>
    <d v="2022-06-08T00:00:00"/>
    <n v="1570.08"/>
    <x v="1"/>
    <n v="6"/>
    <n v="261.68"/>
    <n v="1"/>
    <n v="1570.08"/>
    <n v="19.5547"/>
    <n v="30702.443375999999"/>
    <n v="122.044"/>
    <n v="125.276"/>
    <n v="1.0264"/>
    <n v="31512.987881126399"/>
    <n v="5252.1646468543995"/>
    <m/>
    <n v="6"/>
    <s v="Sale"/>
    <x v="106"/>
    <s v="USD"/>
    <n v="1684.73"/>
    <n v="1"/>
    <n v="1684.73"/>
    <n v="20.020700000000001"/>
    <n v="33729.473911000001"/>
    <n v="31512.987881126399"/>
    <n v="2216.4860298736021"/>
    <n v="0.36712328767123287"/>
    <n v="1"/>
    <n v="2216.4860298736021"/>
    <n v="0"/>
    <m/>
    <n v="114.65000000000009"/>
  </r>
  <r>
    <x v="3"/>
    <s v="Purchase"/>
    <x v="155"/>
    <x v="1"/>
    <s v="USD"/>
    <d v="2022-08-18T00:00:00"/>
    <n v="5035.68"/>
    <x v="1"/>
    <n v="16"/>
    <n v="314.73"/>
    <n v="1"/>
    <n v="5035.68"/>
    <n v="19.930299999999999"/>
    <n v="100362.613104"/>
    <n v="123.803"/>
    <n v="125.276"/>
    <n v="1.0118"/>
    <n v="101546.8919386272"/>
    <n v="6346.6807461642002"/>
    <m/>
    <n v="16"/>
    <s v="Sale"/>
    <x v="106"/>
    <s v="USD"/>
    <n v="4492.62"/>
    <n v="1"/>
    <n v="4492.62"/>
    <n v="20.020700000000001"/>
    <n v="89945.397234000004"/>
    <n v="101546.8919386272"/>
    <n v="-11601.494704627199"/>
    <n v="0.17260273972602741"/>
    <n v="1"/>
    <n v="-11601.494704627199"/>
    <n v="0"/>
    <m/>
    <n v="-543.0600000000004"/>
  </r>
  <r>
    <x v="3"/>
    <s v="Purchase"/>
    <x v="156"/>
    <x v="2"/>
    <s v="USD"/>
    <d v="2022-06-08T00:00:00"/>
    <n v="2697.29"/>
    <x v="2"/>
    <n v="71"/>
    <n v="37.99"/>
    <n v="1"/>
    <n v="2697.29"/>
    <n v="19.5547"/>
    <n v="52744.696763"/>
    <n v="122.044"/>
    <n v="124.571"/>
    <n v="1.0206999999999999"/>
    <n v="53836.511985994097"/>
    <n v="758.26073219709997"/>
    <m/>
    <n v="71"/>
    <s v="Sale"/>
    <x v="106"/>
    <s v="USD"/>
    <n v="1817.72"/>
    <n v="1"/>
    <n v="1817.72"/>
    <n v="20.020700000000001"/>
    <n v="36392.026804000001"/>
    <n v="53836.511985994097"/>
    <n v="-17444.485181994096"/>
    <n v="0.36712328767123287"/>
    <n v="1"/>
    <n v="-17444.485181994096"/>
    <n v="0"/>
    <m/>
    <n v="-879.56999999999994"/>
  </r>
  <r>
    <x v="3"/>
    <s v="Purchase"/>
    <x v="109"/>
    <x v="2"/>
    <s v="USD"/>
    <d v="2022-06-08T00:00:00"/>
    <n v="6507.7"/>
    <x v="2"/>
    <n v="158"/>
    <n v="41.187974683544304"/>
    <n v="1"/>
    <n v="6507.7"/>
    <n v="19.5547"/>
    <n v="127256.12119000001"/>
    <n v="122.044"/>
    <n v="124.571"/>
    <n v="1.0206999999999999"/>
    <n v="129890.32289863299"/>
    <n v="822.09065125717086"/>
    <m/>
    <n v="158"/>
    <s v="Sale"/>
    <x v="106"/>
    <s v="USD"/>
    <n v="4140.63"/>
    <n v="1"/>
    <n v="4140.63"/>
    <n v="20.020700000000001"/>
    <n v="82898.311041000008"/>
    <n v="129890.32289863299"/>
    <n v="-46992.011857632984"/>
    <n v="0.36712328767123287"/>
    <n v="1"/>
    <n v="-46992.011857632984"/>
    <n v="0"/>
    <m/>
    <n v="-2367.0699999999997"/>
  </r>
  <r>
    <x v="3"/>
    <s v="Purchase"/>
    <x v="157"/>
    <x v="2"/>
    <s v="USD"/>
    <d v="2022-06-08T00:00:00"/>
    <n v="7660.8"/>
    <x v="2"/>
    <n v="140"/>
    <n v="54.72"/>
    <n v="1"/>
    <n v="7660.8"/>
    <n v="19.5547"/>
    <n v="149804.64576000001"/>
    <n v="122.044"/>
    <n v="124.571"/>
    <n v="1.0206999999999999"/>
    <n v="152905.601927232"/>
    <n v="1092.1828709087999"/>
    <m/>
    <n v="140"/>
    <s v="Sale"/>
    <x v="106"/>
    <s v="USD"/>
    <n v="7147.46"/>
    <n v="1"/>
    <n v="7147.46"/>
    <n v="20.020700000000001"/>
    <n v="143097.15242200001"/>
    <n v="152905.601927232"/>
    <n v="-9808.4495052319835"/>
    <n v="0.36712328767123287"/>
    <n v="1"/>
    <n v="-9808.4495052319835"/>
    <n v="0"/>
    <m/>
    <n v="-513.34000000000015"/>
  </r>
  <r>
    <x v="3"/>
    <s v="Purchase"/>
    <x v="111"/>
    <x v="2"/>
    <s v="USD"/>
    <d v="2022-06-08T00:00:00"/>
    <n v="3074.84"/>
    <x v="2"/>
    <n v="60"/>
    <n v="51.247333333333337"/>
    <n v="1"/>
    <n v="3074.84"/>
    <n v="19.5547"/>
    <n v="60127.573748000003"/>
    <n v="122.044"/>
    <n v="124.571"/>
    <n v="1.0206999999999999"/>
    <n v="61372.2145245836"/>
    <n v="1022.8702420763933"/>
    <m/>
    <n v="60"/>
    <s v="Sale"/>
    <x v="106"/>
    <s v="USD"/>
    <n v="2533.42"/>
    <n v="1"/>
    <n v="2533.42"/>
    <n v="20.020700000000001"/>
    <n v="50720.841794000007"/>
    <n v="61372.2145245836"/>
    <n v="-10651.372730583593"/>
    <n v="0.36712328767123287"/>
    <n v="1"/>
    <n v="-10651.372730583593"/>
    <n v="0"/>
    <m/>
    <n v="-541.42000000000007"/>
  </r>
  <r>
    <x v="3"/>
    <s v="Purchase"/>
    <x v="158"/>
    <x v="2"/>
    <s v="USD"/>
    <d v="2022-06-08T00:00:00"/>
    <n v="4211.87"/>
    <x v="2"/>
    <n v="362"/>
    <n v="11.635"/>
    <n v="1"/>
    <n v="4211.87"/>
    <n v="19.5547"/>
    <n v="82361.854288999995"/>
    <n v="122.044"/>
    <n v="124.571"/>
    <n v="1.0206999999999999"/>
    <n v="84066.744672782297"/>
    <n v="232.22857644414998"/>
    <m/>
    <n v="362"/>
    <s v="Sale"/>
    <x v="106"/>
    <s v="USD"/>
    <n v="2430.9899999999998"/>
    <n v="1"/>
    <n v="2430.9899999999998"/>
    <n v="20.020700000000001"/>
    <n v="48670.121492999999"/>
    <n v="84066.744672782297"/>
    <n v="-35396.623179782298"/>
    <n v="0.36712328767123287"/>
    <n v="1"/>
    <n v="-35396.623179782298"/>
    <n v="0"/>
    <m/>
    <n v="-1780.88"/>
  </r>
  <r>
    <x v="3"/>
    <s v="Purchase"/>
    <x v="159"/>
    <x v="2"/>
    <s v="USD"/>
    <d v="2022-06-08T00:00:00"/>
    <n v="315.20999999999998"/>
    <x v="2"/>
    <n v="1"/>
    <n v="315.20999999999998"/>
    <n v="1"/>
    <n v="315.20999999999998"/>
    <n v="19.5547"/>
    <n v="6163.8369869999997"/>
    <n v="122.044"/>
    <n v="124.571"/>
    <n v="1.0206999999999999"/>
    <n v="6291.4284126308994"/>
    <n v="6291.4284126308994"/>
    <m/>
    <n v="1"/>
    <s v="Sale"/>
    <x v="106"/>
    <s v="USD"/>
    <n v="360.56"/>
    <n v="1"/>
    <n v="360.56"/>
    <n v="20.020700000000001"/>
    <n v="7218.6635920000008"/>
    <n v="6291.4284126308994"/>
    <n v="927.23517936910139"/>
    <n v="0.36712328767123287"/>
    <n v="1"/>
    <n v="927.23517936910139"/>
    <n v="0"/>
    <m/>
    <n v="45.350000000000023"/>
  </r>
  <r>
    <x v="3"/>
    <s v="Purchase"/>
    <x v="159"/>
    <x v="2"/>
    <s v="USD"/>
    <d v="2022-08-18T00:00:00"/>
    <n v="5520.15"/>
    <x v="2"/>
    <n v="15"/>
    <n v="368.01"/>
    <n v="1"/>
    <n v="5520.15"/>
    <n v="19.930299999999999"/>
    <n v="110018.24554499998"/>
    <n v="123.803"/>
    <n v="124.571"/>
    <n v="1.0062"/>
    <n v="110700.35866737898"/>
    <n v="7380.0239111585988"/>
    <m/>
    <n v="15"/>
    <s v="Sale"/>
    <x v="106"/>
    <s v="USD"/>
    <n v="5408.35"/>
    <n v="1"/>
    <n v="5408.35"/>
    <n v="20.020700000000001"/>
    <n v="108278.95284500002"/>
    <n v="110700.35866737898"/>
    <n v="-2421.4058223789616"/>
    <n v="0.17260273972602741"/>
    <n v="1"/>
    <n v="-2421.4058223789616"/>
    <n v="0"/>
    <m/>
    <n v="-111.79999999999927"/>
  </r>
  <r>
    <x v="3"/>
    <s v="Purchase"/>
    <x v="160"/>
    <x v="2"/>
    <s v="USD"/>
    <d v="2022-06-08T00:00:00"/>
    <n v="3916.41"/>
    <x v="2"/>
    <n v="55"/>
    <n v="71.207454545454539"/>
    <n v="1"/>
    <n v="3916.41"/>
    <n v="19.5547"/>
    <n v="76584.222626999996"/>
    <n v="122.044"/>
    <n v="124.571"/>
    <n v="1.0206999999999999"/>
    <n v="78169.516035378896"/>
    <n v="1421.2639279159798"/>
    <m/>
    <n v="55"/>
    <s v="Sale"/>
    <x v="106"/>
    <s v="USD"/>
    <n v="3770.94"/>
    <n v="1"/>
    <n v="3770.94"/>
    <n v="20.020700000000001"/>
    <n v="75496.858458000002"/>
    <n v="78169.516035378896"/>
    <n v="-2672.6575773788936"/>
    <n v="0.36712328767123287"/>
    <n v="1"/>
    <n v="-2672.6575773788936"/>
    <n v="0"/>
    <m/>
    <n v="-145.4699999999998"/>
  </r>
  <r>
    <x v="3"/>
    <s v="Purchase"/>
    <x v="160"/>
    <x v="2"/>
    <s v="USD"/>
    <d v="2022-08-18T00:00:00"/>
    <n v="3338.87"/>
    <x v="2"/>
    <n v="42"/>
    <n v="79.496904761904759"/>
    <n v="1"/>
    <n v="3338.87"/>
    <n v="19.930299999999999"/>
    <n v="66544.680760999996"/>
    <n v="123.803"/>
    <n v="124.571"/>
    <n v="1.0062"/>
    <n v="66957.257781718188"/>
    <n v="1594.2204233742425"/>
    <m/>
    <n v="42"/>
    <s v="Sale"/>
    <x v="106"/>
    <s v="USD"/>
    <n v="2879.62"/>
    <n v="1"/>
    <n v="2879.62"/>
    <n v="20.020700000000001"/>
    <n v="57652.008134000003"/>
    <n v="66957.257781718188"/>
    <n v="-9305.2496477181849"/>
    <n v="0.17260273972602741"/>
    <n v="1"/>
    <n v="-9305.2496477181849"/>
    <n v="0"/>
    <m/>
    <n v="-459.25"/>
  </r>
  <r>
    <x v="3"/>
    <s v="Purchase"/>
    <x v="161"/>
    <x v="2"/>
    <s v="USD"/>
    <d v="2022-06-08T00:00:00"/>
    <n v="6777.72"/>
    <x v="2"/>
    <n v="50"/>
    <n v="135.55440000000002"/>
    <n v="1"/>
    <n v="6777.72"/>
    <n v="19.5547"/>
    <n v="132536.281284"/>
    <n v="122.044"/>
    <n v="124.571"/>
    <n v="1.0206999999999999"/>
    <n v="135279.7823065788"/>
    <n v="2705.5956461315759"/>
    <m/>
    <n v="50"/>
    <s v="Sale"/>
    <x v="106"/>
    <s v="USD"/>
    <n v="6675.75"/>
    <n v="1"/>
    <n v="6675.75"/>
    <n v="20.020700000000001"/>
    <n v="133653.18802500001"/>
    <n v="135279.7823065788"/>
    <n v="-1626.5942815787857"/>
    <n v="0.36712328767123287"/>
    <n v="1"/>
    <n v="-1626.5942815787857"/>
    <n v="0"/>
    <m/>
    <n v="-101.97000000000025"/>
  </r>
  <r>
    <x v="3"/>
    <s v="Purchase"/>
    <x v="161"/>
    <x v="2"/>
    <s v="USD"/>
    <d v="2022-08-18T00:00:00"/>
    <n v="2180.15"/>
    <x v="2"/>
    <n v="16"/>
    <n v="136.25937500000001"/>
    <n v="1"/>
    <n v="2180.15"/>
    <n v="19.930299999999999"/>
    <n v="43451.043545"/>
    <n v="123.803"/>
    <n v="124.571"/>
    <n v="1.0062"/>
    <n v="43720.440014979002"/>
    <n v="2732.5275009361876"/>
    <m/>
    <n v="16"/>
    <s v="Sale"/>
    <x v="106"/>
    <s v="USD"/>
    <n v="2136.2399999999998"/>
    <n v="1"/>
    <n v="2136.2399999999998"/>
    <n v="20.020700000000001"/>
    <n v="42769.020167999995"/>
    <n v="43720.440014979002"/>
    <n v="-951.41984697900625"/>
    <n v="0.17260273972602741"/>
    <n v="1"/>
    <n v="-951.41984697900625"/>
    <n v="0"/>
    <m/>
    <n v="-43.910000000000309"/>
  </r>
  <r>
    <x v="3"/>
    <s v="Purchase"/>
    <x v="162"/>
    <x v="2"/>
    <s v="USD"/>
    <d v="2022-06-08T00:00:00"/>
    <n v="2674.88"/>
    <x v="2"/>
    <n v="32"/>
    <n v="83.59"/>
    <n v="1"/>
    <n v="2674.88"/>
    <n v="19.5547"/>
    <n v="52306.475936000003"/>
    <n v="122.044"/>
    <n v="124.571"/>
    <n v="1.0206999999999999"/>
    <n v="53389.2199878752"/>
    <n v="1668.4131246211"/>
    <m/>
    <n v="32"/>
    <s v="Sale"/>
    <x v="106"/>
    <s v="USD"/>
    <n v="1694.4"/>
    <n v="1"/>
    <n v="1694.4"/>
    <n v="20.020700000000001"/>
    <n v="33923.074080000006"/>
    <n v="53389.2199878752"/>
    <n v="-19466.145907875194"/>
    <n v="0.36712328767123287"/>
    <n v="1"/>
    <n v="-19466.145907875194"/>
    <n v="0"/>
    <m/>
    <n v="-980.48"/>
  </r>
  <r>
    <x v="3"/>
    <s v="Purchase"/>
    <x v="163"/>
    <x v="2"/>
    <s v="USD"/>
    <d v="2022-06-08T00:00:00"/>
    <n v="1507.87"/>
    <x v="2"/>
    <n v="14"/>
    <n v="107.705"/>
    <n v="1"/>
    <n v="1507.87"/>
    <n v="19.5547"/>
    <n v="29485.945488999998"/>
    <n v="122.044"/>
    <n v="124.571"/>
    <n v="1.0206999999999999"/>
    <n v="30096.304560622295"/>
    <n v="2149.7360400444495"/>
    <m/>
    <n v="14"/>
    <s v="Sale"/>
    <x v="106"/>
    <s v="USD"/>
    <n v="1385.34"/>
    <n v="1"/>
    <n v="1385.34"/>
    <n v="20.020700000000001"/>
    <n v="27735.476537999999"/>
    <n v="30096.304560622295"/>
    <n v="-2360.828022622296"/>
    <n v="0.36712328767123287"/>
    <n v="1"/>
    <n v="-2360.828022622296"/>
    <n v="0"/>
    <m/>
    <n v="-122.52999999999997"/>
  </r>
  <r>
    <x v="3"/>
    <s v="Purchase"/>
    <x v="34"/>
    <x v="2"/>
    <s v="USD"/>
    <d v="2022-06-08T00:00:00"/>
    <n v="3758.7"/>
    <x v="2"/>
    <n v="17"/>
    <n v="221.1"/>
    <n v="1"/>
    <n v="3758.7"/>
    <n v="19.5547"/>
    <n v="73500.250889999996"/>
    <n v="122.044"/>
    <n v="124.571"/>
    <n v="1.0206999999999999"/>
    <n v="75021.706083422992"/>
    <n v="4413.0415343189998"/>
    <m/>
    <n v="17"/>
    <s v="Sale"/>
    <x v="106"/>
    <s v="USD"/>
    <n v="3197.04"/>
    <n v="1"/>
    <n v="3197.04"/>
    <n v="20.020700000000001"/>
    <n v="64006.978728000002"/>
    <n v="75021.706083422992"/>
    <n v="-11014.727355422991"/>
    <n v="0.36712328767123287"/>
    <n v="1"/>
    <n v="-11014.727355422991"/>
    <n v="0"/>
    <m/>
    <n v="-561.65999999999985"/>
  </r>
  <r>
    <x v="0"/>
    <m/>
    <x v="0"/>
    <x v="0"/>
    <m/>
    <m/>
    <m/>
    <x v="0"/>
    <n v="0"/>
    <n v="0"/>
    <n v="0"/>
    <n v="0"/>
    <n v="0"/>
    <n v="0"/>
    <n v="0"/>
    <n v="0"/>
    <n v="0"/>
    <n v="0"/>
    <n v="0"/>
    <m/>
    <m/>
    <m/>
    <x v="0"/>
    <m/>
    <m/>
    <n v="0"/>
    <n v="0"/>
    <n v="0"/>
    <n v="0"/>
    <n v="0"/>
    <n v="0"/>
    <n v="0"/>
    <n v="1"/>
    <n v="0"/>
    <n v="0"/>
    <m/>
    <n v="0"/>
  </r>
  <r>
    <x v="6"/>
    <s v="Purchase"/>
    <x v="93"/>
    <x v="2"/>
    <s v="USD"/>
    <d v="2019-07-03T00:00:00"/>
    <n v="13146465.428123556"/>
    <x v="2"/>
    <n v="2316"/>
    <n v="5676.3667651656115"/>
    <n v="1"/>
    <n v="13146465.428123556"/>
    <n v="19.076000000000001"/>
    <n v="250781974.50688496"/>
    <n v="103.687"/>
    <n v="122.94799999999999"/>
    <n v="1.1857"/>
    <n v="297352187.17281348"/>
    <n v="128390.40896926315"/>
    <m/>
    <n v="2316"/>
    <s v="Sale"/>
    <x v="95"/>
    <s v="USD"/>
    <n v="18505076"/>
    <n v="1"/>
    <n v="18505076"/>
    <n v="19.9268"/>
    <n v="368746948.4368"/>
    <n v="297352187.17281348"/>
    <n v="71394761.263986528"/>
    <n v="3.1616438356164385"/>
    <n v="1"/>
    <n v="71394761.263986528"/>
    <n v="0"/>
    <m/>
    <n v="5358610.5718764439"/>
  </r>
  <r>
    <x v="6"/>
    <s v="Purchase"/>
    <x v="94"/>
    <x v="2"/>
    <s v="USD"/>
    <d v="2019-07-03T00:00:00"/>
    <n v="6891706.5711597782"/>
    <x v="2"/>
    <n v="6508"/>
    <n v="1058.9592149907464"/>
    <n v="1"/>
    <n v="6891706.5711597782"/>
    <n v="19.076000000000001"/>
    <n v="131466194.55144393"/>
    <n v="103.687"/>
    <n v="122.94799999999999"/>
    <n v="1.1857"/>
    <n v="155879466.87964708"/>
    <n v="23951.977086608338"/>
    <m/>
    <n v="6508"/>
    <s v="Sale"/>
    <x v="95"/>
    <s v="USD"/>
    <n v="6758821.0500000007"/>
    <n v="1"/>
    <n v="6758821.0500000007"/>
    <n v="19.9268"/>
    <n v="134681675.29914001"/>
    <n v="155879466.87964708"/>
    <n v="-21197791.58050707"/>
    <n v="3.1616438356164385"/>
    <n v="1"/>
    <n v="-21197791.58050707"/>
    <n v="0"/>
    <m/>
    <n v="-132885.52115977742"/>
  </r>
  <r>
    <x v="6"/>
    <s v="Purchase"/>
    <x v="95"/>
    <x v="2"/>
    <s v="USD"/>
    <d v="2021-05-05T00:00:00"/>
    <n v="2622561.5802192152"/>
    <x v="2"/>
    <n v="1614"/>
    <n v="1624.883259119712"/>
    <n v="1"/>
    <n v="2622561.5802192152"/>
    <n v="20.190200000000001"/>
    <n v="52950042.816941999"/>
    <n v="112.419"/>
    <n v="122.94799999999999"/>
    <n v="1.0935999999999999"/>
    <n v="57906166.824607767"/>
    <n v="35877.426781045702"/>
    <m/>
    <n v="1614"/>
    <s v="Sale"/>
    <x v="95"/>
    <s v="USD"/>
    <n v="2559017.8199999998"/>
    <n v="1"/>
    <n v="2559017.8199999998"/>
    <n v="19.9268"/>
    <n v="50993036.295575999"/>
    <n v="57906166.82460776"/>
    <n v="-6913130.529031761"/>
    <n v="1.3205479452054794"/>
    <n v="1"/>
    <n v="-6913130.529031761"/>
    <n v="0"/>
    <m/>
    <n v="-63543.760219215415"/>
  </r>
  <r>
    <x v="6"/>
    <s v="Purchase"/>
    <x v="96"/>
    <x v="2"/>
    <s v="USD"/>
    <d v="2019-07-03T00:00:00"/>
    <n v="1208773.564933599"/>
    <x v="2"/>
    <n v="394"/>
    <n v="3067.9532104913678"/>
    <n v="1"/>
    <n v="1208773.564933599"/>
    <n v="19.076000000000001"/>
    <n v="23058564.524673335"/>
    <n v="103.687"/>
    <n v="122.94799999999999"/>
    <n v="1.1857"/>
    <n v="27340539.956905171"/>
    <n v="69392.233393160335"/>
    <m/>
    <n v="394"/>
    <s v="Sale"/>
    <x v="95"/>
    <s v="USD"/>
    <n v="1860276.4199999997"/>
    <n v="1"/>
    <n v="1860276.4199999997"/>
    <n v="19.9268"/>
    <n v="37069356.166055992"/>
    <n v="27340539.956905171"/>
    <n v="9728816.209150821"/>
    <n v="3.1616438356164385"/>
    <n v="1"/>
    <n v="9728816.209150821"/>
    <n v="0"/>
    <m/>
    <n v="651502.85506640072"/>
  </r>
  <r>
    <x v="6"/>
    <s v="Purchase"/>
    <x v="97"/>
    <x v="2"/>
    <s v="USD"/>
    <d v="2020-02-10T00:00:00"/>
    <n v="2850392.8841238031"/>
    <x v="2"/>
    <n v="1180"/>
    <n v="2415.5871899354265"/>
    <n v="1"/>
    <n v="2850392.8841238031"/>
    <n v="18.6645"/>
    <n v="53201157.985728726"/>
    <n v="106.889"/>
    <n v="122.94799999999999"/>
    <n v="1.1501999999999999"/>
    <n v="61191971.915185176"/>
    <n v="51857.603317953537"/>
    <m/>
    <n v="1180"/>
    <s v="Sale"/>
    <x v="95"/>
    <s v="USD"/>
    <n v="3528184.68"/>
    <n v="1"/>
    <n v="3528184.68"/>
    <n v="19.9268"/>
    <n v="70305430.481424004"/>
    <n v="61191971.915185176"/>
    <n v="9113458.566238828"/>
    <n v="2.5534246575342467"/>
    <n v="1"/>
    <n v="9113458.566238828"/>
    <n v="0"/>
    <m/>
    <n v="677791.79587619705"/>
  </r>
  <r>
    <x v="6"/>
    <s v="Purchase"/>
    <x v="98"/>
    <x v="2"/>
    <s v="USD"/>
    <d v="2020-06-30T00:00:00"/>
    <n v="2105840.0150336926"/>
    <x v="2"/>
    <n v="818"/>
    <n v="2574.3765464959565"/>
    <n v="1"/>
    <n v="2105840.0150336926"/>
    <n v="22.971499999999999"/>
    <n v="48374303.905346468"/>
    <n v="106.74299999999999"/>
    <n v="122.94799999999999"/>
    <n v="1.1517999999999999"/>
    <n v="55717523.238178059"/>
    <n v="68114.331587014749"/>
    <m/>
    <n v="818"/>
    <s v="Sale"/>
    <x v="95"/>
    <s v="USD"/>
    <n v="2482999.3328708131"/>
    <n v="1"/>
    <n v="2482999.3328708131"/>
    <n v="19.9268"/>
    <n v="49478231.106250115"/>
    <n v="55717523.238178067"/>
    <n v="-6239292.1319279522"/>
    <n v="2.1671232876712327"/>
    <n v="1"/>
    <n v="-6239292.1319279522"/>
    <n v="0"/>
    <m/>
    <n v="377159.3178371205"/>
  </r>
  <r>
    <x v="6"/>
    <s v="Purchase"/>
    <x v="98"/>
    <x v="2"/>
    <s v="USD"/>
    <d v="2020-12-02T00:00:00"/>
    <n v="1171882.2091254753"/>
    <x v="2"/>
    <n v="436"/>
    <n v="2687.8032319391637"/>
    <n v="1"/>
    <n v="1171882.2091254753"/>
    <n v="20.139800000000001"/>
    <n v="23601473.315345246"/>
    <n v="109.271"/>
    <n v="122.94799999999999"/>
    <n v="1.1251"/>
    <n v="26554017.627094936"/>
    <n v="60903.71015388747"/>
    <m/>
    <n v="436"/>
    <s v="Sale"/>
    <x v="95"/>
    <s v="USD"/>
    <n v="1323456.8571291866"/>
    <n v="1"/>
    <n v="1323456.8571291866"/>
    <n v="19.9268"/>
    <n v="26372260.100641876"/>
    <n v="26554017.627094936"/>
    <n v="-181757.52645305917"/>
    <n v="1.7424657534246575"/>
    <n v="1"/>
    <n v="-181757.52645305917"/>
    <n v="0"/>
    <m/>
    <n v="151574.64800371137"/>
  </r>
  <r>
    <x v="6"/>
    <s v="Purchase"/>
    <x v="99"/>
    <x v="2"/>
    <s v="USD"/>
    <d v="2020-05-12T00:00:00"/>
    <n v="3721531.6377118188"/>
    <x v="2"/>
    <n v="1444"/>
    <n v="2577.2379762547221"/>
    <n v="1"/>
    <n v="3721531.6377118188"/>
    <n v="23.680499999999999"/>
    <n v="88127729.946834713"/>
    <n v="106.16200000000001"/>
    <n v="122.94799999999999"/>
    <n v="1.1580999999999999"/>
    <n v="102060724.05142927"/>
    <n v="70679.1717807682"/>
    <m/>
    <n v="1444"/>
    <s v="Sale"/>
    <x v="95"/>
    <s v="USD"/>
    <n v="4128595.2700000005"/>
    <n v="1"/>
    <n v="4128595.2700000005"/>
    <n v="19.9268"/>
    <n v="82269692.226236016"/>
    <n v="102060724.05142929"/>
    <n v="-19791031.825193271"/>
    <n v="2.3013698630136985"/>
    <n v="1"/>
    <n v="-19791031.825193271"/>
    <n v="0"/>
    <m/>
    <n v="407063.63228818169"/>
  </r>
  <r>
    <x v="6"/>
    <s v="Purchase"/>
    <x v="100"/>
    <x v="2"/>
    <s v="USD"/>
    <d v="2021-08-05T00:00:00"/>
    <n v="2178791.3351694914"/>
    <x v="2"/>
    <n v="1224"/>
    <n v="1780.0582803672314"/>
    <n v="1"/>
    <n v="2178791.3351694914"/>
    <n v="19.891999999999999"/>
    <n v="43340517.239191517"/>
    <n v="113.899"/>
    <n v="122.94799999999999"/>
    <n v="1.0793999999999999"/>
    <n v="46781754.307983316"/>
    <n v="38220.387506522318"/>
    <m/>
    <n v="1224"/>
    <s v="Sale"/>
    <x v="95"/>
    <s v="USD"/>
    <n v="1668416.71"/>
    <n v="1"/>
    <n v="1668416.71"/>
    <n v="19.9268"/>
    <n v="33246206.096827999"/>
    <n v="46781754.307983316"/>
    <n v="-13535548.211155318"/>
    <n v="1.0684931506849316"/>
    <n v="1"/>
    <n v="-13535548.211155318"/>
    <n v="0"/>
    <m/>
    <n v="-510374.6251694914"/>
  </r>
  <r>
    <x v="6"/>
    <s v="Purchase"/>
    <x v="102"/>
    <x v="2"/>
    <s v="USD"/>
    <d v="2022-02-09T00:00:00"/>
    <n v="1313948.8251263392"/>
    <x v="2"/>
    <n v="1310"/>
    <n v="1003.0143703254498"/>
    <n v="1"/>
    <n v="1313948.8251263392"/>
    <n v="20.732500000000002"/>
    <n v="27241444.016931832"/>
    <n v="118.98099999999999"/>
    <n v="122.94799999999999"/>
    <n v="1.0333000000000001"/>
    <n v="28148584.102695666"/>
    <n v="21487.468780683714"/>
    <m/>
    <n v="1310"/>
    <s v="Sale"/>
    <x v="95"/>
    <s v="USD"/>
    <n v="1133456.4099999999"/>
    <n v="1"/>
    <n v="1133456.4099999999"/>
    <n v="19.9268"/>
    <n v="22586159.190787997"/>
    <n v="28148584.102695666"/>
    <n v="-5562424.9119076692"/>
    <n v="0.55342465753424652"/>
    <n v="1"/>
    <n v="-5562424.9119076692"/>
    <n v="0"/>
    <m/>
    <n v="-180492.4151263393"/>
  </r>
  <r>
    <x v="6"/>
    <s v="Purchase"/>
    <x v="164"/>
    <x v="2"/>
    <s v="USD"/>
    <d v="2019-10-14T00:00:00"/>
    <n v="984831.63031984342"/>
    <x v="2"/>
    <n v="551"/>
    <n v="1787.3532310704961"/>
    <n v="1"/>
    <n v="984831.63031984342"/>
    <n v="19.476400000000002"/>
    <n v="19180974.764761399"/>
    <n v="104.503"/>
    <n v="122.94799999999999"/>
    <n v="1.1765000000000001"/>
    <n v="22566416.81074179"/>
    <n v="40955.3844115096"/>
    <m/>
    <n v="551"/>
    <s v="Sale"/>
    <x v="95"/>
    <s v="USD"/>
    <n v="1290802.9017473436"/>
    <n v="1"/>
    <n v="1290802.9017473436"/>
    <n v="19.9268"/>
    <n v="25721571.262538966"/>
    <n v="22566416.81074179"/>
    <n v="3155154.4517971762"/>
    <n v="2.8794520547945206"/>
    <n v="1"/>
    <n v="3155154.4517971762"/>
    <n v="0"/>
    <m/>
    <n v="305971.27142750018"/>
  </r>
  <r>
    <x v="6"/>
    <s v="Purchase"/>
    <x v="164"/>
    <x v="2"/>
    <s v="USD"/>
    <d v="2020-04-13T00:00:00"/>
    <n v="612437.02471153846"/>
    <x v="2"/>
    <n v="296"/>
    <n v="2069.0440024038462"/>
    <n v="1"/>
    <n v="612437.02471153846"/>
    <n v="24.038799999999998"/>
    <n v="14722251.14963573"/>
    <n v="105.755"/>
    <n v="122.94799999999999"/>
    <n v="1.1625000000000001"/>
    <n v="17114616.961451538"/>
    <n v="57819.651896795738"/>
    <m/>
    <n v="296"/>
    <s v="Sale"/>
    <x v="95"/>
    <s v="USD"/>
    <n v="693425.87825265655"/>
    <n v="1"/>
    <n v="693425.87825265655"/>
    <n v="19.9268"/>
    <n v="13817758.790765036"/>
    <n v="17114616.961451538"/>
    <n v="-3296858.170686502"/>
    <n v="2.3808219178082193"/>
    <n v="1"/>
    <n v="-3296858.170686502"/>
    <n v="0"/>
    <m/>
    <n v="80988.853541118093"/>
  </r>
  <r>
    <x v="6"/>
    <s v="Purchase"/>
    <x v="104"/>
    <x v="2"/>
    <s v="USD"/>
    <d v="2019-07-03T00:00:00"/>
    <n v="2486908.1033550892"/>
    <x v="2"/>
    <n v="2343"/>
    <n v="1061.4204453073364"/>
    <n v="1"/>
    <n v="2486908.1033550892"/>
    <n v="19.076000000000001"/>
    <n v="47440258.979601681"/>
    <n v="103.687"/>
    <n v="122.94799999999999"/>
    <n v="1.1857"/>
    <n v="56249915.072113715"/>
    <n v="24007.646210889336"/>
    <m/>
    <n v="2343"/>
    <s v="Sale"/>
    <x v="95"/>
    <s v="USD"/>
    <n v="2533550.54"/>
    <n v="1"/>
    <n v="2533550.54"/>
    <n v="19.9268"/>
    <n v="50485554.900472"/>
    <n v="56249915.072113715"/>
    <n v="-5764360.1716417149"/>
    <n v="3.1616438356164385"/>
    <n v="1"/>
    <n v="-5764360.1716417149"/>
    <n v="0"/>
    <m/>
    <n v="46642.436644910835"/>
  </r>
  <r>
    <x v="6"/>
    <s v="Purchase"/>
    <x v="105"/>
    <x v="2"/>
    <s v="USD"/>
    <d v="2019-07-03T00:00:00"/>
    <n v="1704538.3742060752"/>
    <x v="2"/>
    <n v="1271"/>
    <n v="1341.1002157404212"/>
    <n v="1"/>
    <n v="1704538.3742060752"/>
    <n v="19.076000000000001"/>
    <n v="32515774.026355091"/>
    <n v="103.687"/>
    <n v="122.94799999999999"/>
    <n v="1.1857"/>
    <n v="38553953.26304923"/>
    <n v="30333.558822225987"/>
    <m/>
    <n v="1271"/>
    <s v="Sale"/>
    <x v="95"/>
    <s v="USD"/>
    <n v="1693450.2600000002"/>
    <n v="1"/>
    <n v="1693450.2600000002"/>
    <n v="19.9268"/>
    <n v="33745044.640968002"/>
    <n v="38553953.26304923"/>
    <n v="-4808908.6220812276"/>
    <n v="3.1616438356164385"/>
    <n v="1"/>
    <n v="-4808908.6220812276"/>
    <n v="0"/>
    <m/>
    <n v="-11088.11420607497"/>
  </r>
  <r>
    <x v="6"/>
    <s v="Purchase"/>
    <x v="165"/>
    <x v="2"/>
    <s v="USD"/>
    <d v="2022-03-15T00:00:00"/>
    <n v="7348592.7699999996"/>
    <x v="2"/>
    <n v="4052"/>
    <n v="1813.5717596248764"/>
    <n v="1"/>
    <n v="7348592.7699999996"/>
    <n v="20.9695"/>
    <n v="154096316.09051499"/>
    <n v="120.15900000000001"/>
    <n v="122.94799999999999"/>
    <n v="1.0232000000000001"/>
    <n v="157671350.62381494"/>
    <n v="38911.981891365976"/>
    <m/>
    <n v="4052"/>
    <s v="Sale"/>
    <x v="95"/>
    <s v="USD"/>
    <n v="6047269.9930244014"/>
    <n v="1"/>
    <n v="6047269.9930244014"/>
    <n v="19.9268"/>
    <n v="120502739.69699864"/>
    <n v="157671350.62381494"/>
    <n v="-37168610.9268163"/>
    <n v="0.46027397260273972"/>
    <n v="1"/>
    <n v="-37168610.9268163"/>
    <n v="0"/>
    <m/>
    <n v="-1301322.7769755982"/>
  </r>
  <r>
    <x v="6"/>
    <s v="Purchase"/>
    <x v="165"/>
    <x v="2"/>
    <s v="USD"/>
    <d v="2022-07-22T00:00:00"/>
    <n v="628236.26"/>
    <x v="2"/>
    <n v="415"/>
    <n v="1513.822313253012"/>
    <n v="1"/>
    <n v="628236.26"/>
    <n v="20.491299999999999"/>
    <n v="12873377.674538"/>
    <n v="122.94799999999999"/>
    <n v="122.94799999999999"/>
    <n v="1"/>
    <n v="12873377.674538"/>
    <n v="31020.187167561446"/>
    <m/>
    <n v="415"/>
    <s v="Sale"/>
    <x v="95"/>
    <s v="USD"/>
    <n v="619352.67697559879"/>
    <n v="1"/>
    <n v="619352.67697559879"/>
    <n v="19.9268"/>
    <n v="12341716.923557362"/>
    <n v="12873377.674538"/>
    <n v="-531660.75098063797"/>
    <n v="0.10684931506849316"/>
    <n v="1"/>
    <n v="-531660.75098063797"/>
    <n v="0"/>
    <m/>
    <n v="-8883.5830244012177"/>
  </r>
  <r>
    <x v="6"/>
    <s v="Purchase"/>
    <x v="166"/>
    <x v="2"/>
    <s v="USD"/>
    <d v="2022-07-22T00:00:00"/>
    <n v="1409781.5638009312"/>
    <x v="2"/>
    <n v="1323"/>
    <n v="1065.5945304617771"/>
    <n v="1"/>
    <n v="1409781.5638009312"/>
    <n v="20.491299999999999"/>
    <n v="28888256.95831402"/>
    <n v="122.94799999999999"/>
    <n v="122.94799999999999"/>
    <n v="1"/>
    <n v="28888256.95831402"/>
    <n v="21835.417202051412"/>
    <m/>
    <n v="1323"/>
    <s v="Sale"/>
    <x v="95"/>
    <s v="USD"/>
    <n v="1297305.28"/>
    <n v="1"/>
    <n v="1297305.28"/>
    <n v="19.9268"/>
    <n v="25851142.853504002"/>
    <n v="28888256.95831402"/>
    <n v="-3037114.1048100181"/>
    <n v="0.10684931506849316"/>
    <n v="1"/>
    <n v="-3037114.1048100181"/>
    <n v="0"/>
    <m/>
    <n v="-112476.28380093118"/>
  </r>
  <r>
    <x v="6"/>
    <s v="Purchase"/>
    <x v="167"/>
    <x v="2"/>
    <s v="USD"/>
    <d v="2019-07-03T00:00:00"/>
    <n v="12123097.997728981"/>
    <x v="2"/>
    <n v="14742"/>
    <n v="822.35096986358576"/>
    <n v="1"/>
    <n v="12123097.997728981"/>
    <n v="19.076000000000001"/>
    <n v="231260217.40467805"/>
    <n v="103.687"/>
    <n v="122.94799999999999"/>
    <n v="1.1857"/>
    <n v="274205239.77672678"/>
    <n v="18600.274031795332"/>
    <m/>
    <n v="14742"/>
    <s v="Sale"/>
    <x v="95"/>
    <s v="USD"/>
    <n v="11619659.289999999"/>
    <n v="1"/>
    <n v="11619659.289999999"/>
    <n v="19.9268"/>
    <n v="231542626.739972"/>
    <n v="274205239.77672678"/>
    <n v="-42662613.036754787"/>
    <n v="3.1616438356164385"/>
    <n v="1"/>
    <n v="-42662613.036754787"/>
    <n v="0"/>
    <m/>
    <n v="-503438.70772898197"/>
  </r>
  <r>
    <x v="6"/>
    <s v="Purchase"/>
    <x v="168"/>
    <x v="2"/>
    <s v="USD"/>
    <d v="2022-03-15T00:00:00"/>
    <n v="4968835.4000000004"/>
    <x v="2"/>
    <n v="7013"/>
    <n v="708.51780978183376"/>
    <n v="1"/>
    <n v="4968835.4000000004"/>
    <n v="20.9695"/>
    <n v="104193993.92030001"/>
    <n v="120.15900000000001"/>
    <n v="122.94799999999999"/>
    <n v="1.0232000000000001"/>
    <n v="106611294.57925098"/>
    <n v="15201.952741943673"/>
    <m/>
    <n v="7013"/>
    <s v="Sale"/>
    <x v="95"/>
    <s v="USD"/>
    <n v="5275298.03"/>
    <n v="1"/>
    <n v="5275298.03"/>
    <n v="19.9268"/>
    <n v="105119808.78420401"/>
    <n v="106611294.57925098"/>
    <n v="-1491485.7950469702"/>
    <n v="0.46027397260273972"/>
    <n v="1"/>
    <n v="-1491485.7950469702"/>
    <n v="0"/>
    <m/>
    <n v="306462.62999999989"/>
  </r>
  <r>
    <x v="6"/>
    <s v="Purchase"/>
    <x v="169"/>
    <x v="2"/>
    <s v="USD"/>
    <d v="2022-03-15T00:00:00"/>
    <n v="3304394.0905689076"/>
    <x v="2"/>
    <n v="4313"/>
    <n v="766.14748216297414"/>
    <n v="1"/>
    <n v="3304394.0905689076"/>
    <n v="20.9695"/>
    <n v="69291491.882184714"/>
    <n v="120.15900000000001"/>
    <n v="122.94799999999999"/>
    <n v="1.0232000000000001"/>
    <n v="70899054.493851408"/>
    <n v="16438.454554567914"/>
    <m/>
    <n v="4313"/>
    <s v="Sale"/>
    <x v="95"/>
    <s v="USD"/>
    <n v="2830807.36"/>
    <n v="1"/>
    <n v="2830807.36"/>
    <n v="19.9268"/>
    <n v="56408932.101247996"/>
    <n v="70899054.493851408"/>
    <n v="-14490122.392603412"/>
    <n v="0.46027397260273972"/>
    <n v="1"/>
    <n v="-14490122.392603412"/>
    <n v="0"/>
    <m/>
    <n v="-473586.73056890769"/>
  </r>
  <r>
    <x v="0"/>
    <m/>
    <x v="0"/>
    <x v="0"/>
    <m/>
    <m/>
    <m/>
    <x v="0"/>
    <n v="0"/>
    <n v="0"/>
    <n v="0"/>
    <n v="0"/>
    <n v="0"/>
    <n v="0"/>
    <n v="0"/>
    <n v="0"/>
    <n v="0"/>
    <n v="0"/>
    <n v="0"/>
    <m/>
    <m/>
    <m/>
    <x v="0"/>
    <m/>
    <m/>
    <n v="0"/>
    <n v="0"/>
    <n v="0"/>
    <n v="0"/>
    <n v="0"/>
    <n v="0"/>
    <n v="0"/>
    <n v="1"/>
    <n v="0"/>
    <n v="0"/>
    <m/>
    <n v="0"/>
  </r>
  <r>
    <x v="5"/>
    <s v="Purchase"/>
    <x v="84"/>
    <x v="2"/>
    <s v="MXN"/>
    <d v="2020-10-19T00:00:00"/>
    <n v="2250273.6605276703"/>
    <x v="2"/>
    <n v="1989"/>
    <n v="1131.3593064493064"/>
    <n v="4.676568521081971E-2"/>
    <n v="105235.589646436"/>
    <n v="21.383199999999999"/>
    <n v="2250273.6605276703"/>
    <n v="108.774"/>
    <n v="122.94799999999999"/>
    <n v="1.1303000000000001"/>
    <n v="2543484.3184944261"/>
    <n v="1278.7754240796512"/>
    <m/>
    <n v="1989"/>
    <s v="Sale"/>
    <x v="107"/>
    <s v="MXN"/>
    <n v="1927518.39"/>
    <n v="4.9903436849695844E-2"/>
    <n v="96189.792251992403"/>
    <n v="20.038699999999999"/>
    <n v="1927518.3900000001"/>
    <n v="2543484.3184944261"/>
    <n v="-615965.92849442596"/>
    <n v="1.832876712328767"/>
    <n v="1"/>
    <n v="-615965.92849442596"/>
    <n v="0"/>
    <m/>
    <n v="-9045.7973944435944"/>
  </r>
  <r>
    <x v="5"/>
    <s v="Purchase"/>
    <x v="84"/>
    <x v="2"/>
    <s v="MXN"/>
    <d v="2020-10-19T00:00:00"/>
    <n v="1566932.6394322894"/>
    <x v="2"/>
    <n v="1385"/>
    <n v="1131.3593064493064"/>
    <n v="4.676568521081971E-2"/>
    <n v="73278.678562249304"/>
    <n v="21.383199999999999"/>
    <n v="1566932.6394322892"/>
    <n v="108.774"/>
    <n v="123.803"/>
    <n v="1.1380999999999999"/>
    <n v="1783326.0369378882"/>
    <n v="1287.6000266699555"/>
    <m/>
    <n v="1385"/>
    <s v="Sale"/>
    <x v="103"/>
    <s v="MXN"/>
    <n v="1146172.8899999999"/>
    <n v="4.9596532210467843E-2"/>
    <n v="56846.200657650013"/>
    <n v="20.162700000000001"/>
    <n v="1146172.8899999999"/>
    <n v="1783326.0369378882"/>
    <n v="-637153.14693788835"/>
    <n v="1.9397260273972603"/>
    <n v="1"/>
    <n v="-637153.14693788835"/>
    <n v="0"/>
    <m/>
    <n v="-16432.477904599291"/>
  </r>
  <r>
    <x v="5"/>
    <s v="Purchase"/>
    <x v="85"/>
    <x v="2"/>
    <s v="MXN"/>
    <d v="2020-06-05T00:00:00"/>
    <n v="467316.39263955894"/>
    <x v="2"/>
    <n v="376"/>
    <n v="1242.8627463818057"/>
    <n v="4.6287081738357647E-2"/>
    <n v="21630.712063781699"/>
    <n v="21.604299999999999"/>
    <n v="467316.39263955894"/>
    <n v="106.74299999999999"/>
    <n v="123.803"/>
    <n v="1.1597999999999999"/>
    <n v="541993.55218336044"/>
    <n v="1441.4722132536183"/>
    <m/>
    <n v="376"/>
    <s v="Sale"/>
    <x v="103"/>
    <s v="MXN"/>
    <n v="419975.01"/>
    <n v="4.9596532210467843E-2"/>
    <n v="20829.304111056554"/>
    <n v="20.162700000000001"/>
    <n v="419975.01"/>
    <n v="541993.55218336044"/>
    <n v="-122018.54218336043"/>
    <n v="2.3123287671232875"/>
    <n v="1"/>
    <n v="-122018.54218336043"/>
    <n v="0"/>
    <m/>
    <n v="-801.40795272514515"/>
  </r>
  <r>
    <x v="5"/>
    <s v="Purchase"/>
    <x v="86"/>
    <x v="2"/>
    <s v="MXN"/>
    <d v="2018-01-03T00:00:00"/>
    <n v="17766826.048942111"/>
    <x v="2"/>
    <n v="3520"/>
    <n v="5047.3937639040087"/>
    <n v="5.0857198073529335E-2"/>
    <n v="903570.99150898959"/>
    <n v="19.6629"/>
    <n v="17766826.048942111"/>
    <n v="98.794999699501005"/>
    <n v="122.94799999999999"/>
    <n v="1.2444"/>
    <n v="22109038.335303564"/>
    <n v="6280.9767998021489"/>
    <m/>
    <n v="3520"/>
    <s v="Sale"/>
    <x v="107"/>
    <s v="MXN"/>
    <n v="30967199.850000001"/>
    <n v="4.9903436849695844E-2"/>
    <n v="1545369.7021263856"/>
    <n v="20.038699999999999"/>
    <n v="30967199.850000001"/>
    <n v="22109038.335303564"/>
    <n v="8858161.5146964379"/>
    <n v="4.6273972602739724"/>
    <n v="1"/>
    <n v="8858161.5146964379"/>
    <n v="0"/>
    <m/>
    <n v="641798.71061739605"/>
  </r>
  <r>
    <x v="5"/>
    <s v="Purchase"/>
    <x v="86"/>
    <x v="2"/>
    <s v="MXN"/>
    <d v="2018-01-03T00:00:00"/>
    <n v="9897939.1710157618"/>
    <x v="2"/>
    <n v="1961"/>
    <n v="5047.3937639040087"/>
    <n v="5.0857198073529335E-2"/>
    <n v="503381.45294009335"/>
    <n v="19.6629"/>
    <n v="9897939.1710157618"/>
    <n v="98.794999699501005"/>
    <n v="123.803"/>
    <n v="1.2531000000000001"/>
    <n v="12403107.575199852"/>
    <n v="6324.889125548114"/>
    <m/>
    <n v="1961"/>
    <s v="Sale"/>
    <x v="103"/>
    <s v="MXN"/>
    <n v="15216676.41"/>
    <n v="4.9596532210467843E-2"/>
    <n v="754694.38170483115"/>
    <n v="20.162700000000001"/>
    <n v="15216676.41"/>
    <n v="12403107.575199852"/>
    <n v="2813568.8348001484"/>
    <n v="4.7342465753424658"/>
    <n v="1"/>
    <n v="2813568.8348001484"/>
    <n v="0"/>
    <m/>
    <n v="251312.92876473779"/>
  </r>
  <r>
    <x v="5"/>
    <s v="Purchase"/>
    <x v="170"/>
    <x v="2"/>
    <s v="MXN"/>
    <d v="2018-01-03T00:00:00"/>
    <n v="2951232.944839017"/>
    <x v="2"/>
    <n v="968"/>
    <n v="3048.7943645031169"/>
    <n v="5.0857198073529335E-2"/>
    <n v="150091.43843680318"/>
    <n v="19.6629"/>
    <n v="2951232.944839017"/>
    <n v="98.794999699501005"/>
    <n v="122.94799999999999"/>
    <n v="1.2444"/>
    <n v="3672514.2765576728"/>
    <n v="3793.9197071876783"/>
    <m/>
    <n v="968"/>
    <s v="Sale"/>
    <x v="107"/>
    <s v="MXN"/>
    <n v="3035763.08"/>
    <n v="4.9903436849695844E-2"/>
    <n v="151495.01115341816"/>
    <n v="20.038699999999999"/>
    <n v="3035763.0800000005"/>
    <n v="3672514.2765576728"/>
    <n v="-636751.19655767223"/>
    <n v="4.6273972602739724"/>
    <n v="1"/>
    <n v="-636751.19655767223"/>
    <n v="0"/>
    <m/>
    <n v="1403.5727166149882"/>
  </r>
  <r>
    <x v="5"/>
    <s v="Purchase"/>
    <x v="170"/>
    <x v="2"/>
    <s v="MXN"/>
    <d v="2018-01-03T00:00:00"/>
    <n v="3414649.6882434911"/>
    <x v="2"/>
    <n v="1120"/>
    <n v="3048.7943645031169"/>
    <n v="5.0857198073529335E-2"/>
    <n v="173659.51554671442"/>
    <n v="19.6629"/>
    <n v="3414649.6882434911"/>
    <n v="98.794999699501005"/>
    <n v="123.803"/>
    <n v="1.2531000000000001"/>
    <n v="4278897.5243379194"/>
    <n v="3820.4442181588565"/>
    <m/>
    <n v="1120"/>
    <s v="Sale"/>
    <x v="103"/>
    <s v="MXN"/>
    <n v="3133984.32"/>
    <n v="4.9596532210467843E-2"/>
    <n v="155434.75427398115"/>
    <n v="20.162700000000001"/>
    <n v="3133984.32"/>
    <n v="4278897.5243379194"/>
    <n v="-1144913.2043379196"/>
    <n v="4.7342465753424658"/>
    <n v="1"/>
    <n v="-1144913.2043379196"/>
    <n v="0"/>
    <m/>
    <n v="-18224.761272733274"/>
  </r>
  <r>
    <x v="5"/>
    <s v="Purchase"/>
    <x v="171"/>
    <x v="2"/>
    <s v="MXN"/>
    <d v="2019-05-17T00:00:00"/>
    <n v="1199730.2312463976"/>
    <x v="2"/>
    <n v="422"/>
    <n v="2842.9626332853022"/>
    <n v="5.2291409567236297E-2"/>
    <n v="62735.584892300489"/>
    <n v="19.1236"/>
    <n v="1199730.2312463976"/>
    <n v="103.233"/>
    <n v="123.803"/>
    <n v="1.1992"/>
    <n v="1438716.4933106801"/>
    <n v="3409.280789835735"/>
    <m/>
    <n v="422"/>
    <s v="Sale"/>
    <x v="103"/>
    <s v="MXN"/>
    <n v="1236569.9976315789"/>
    <n v="4.9596532210467843E-2"/>
    <n v="61329.583718032751"/>
    <n v="20.162700000000001"/>
    <n v="1236569.9976315789"/>
    <n v="1438716.4933106801"/>
    <n v="-202146.49567910121"/>
    <n v="3.3671232876712329"/>
    <n v="1"/>
    <n v="-202146.49567910121"/>
    <n v="0"/>
    <m/>
    <n v="-1406.001174267738"/>
  </r>
  <r>
    <x v="5"/>
    <s v="Purchase"/>
    <x v="171"/>
    <x v="2"/>
    <s v="MXN"/>
    <d v="2019-06-07T00:00:00"/>
    <n v="546187.26666173211"/>
    <x v="2"/>
    <n v="186"/>
    <n v="2936.4906809770541"/>
    <n v="5.1172358738703703E-2"/>
    <n v="27949.690748126177"/>
    <n v="19.541799999999999"/>
    <n v="546187.26666173211"/>
    <n v="103.29900000000001"/>
    <n v="123.803"/>
    <n v="1.1983999999999999"/>
    <n v="654550.82036741974"/>
    <n v="3519.0904320829018"/>
    <m/>
    <n v="186"/>
    <s v="Sale"/>
    <x v="103"/>
    <s v="MXN"/>
    <n v="545028.48236842104"/>
    <n v="4.9596532210467843E-2"/>
    <n v="27031.522681407798"/>
    <n v="20.162700000000001"/>
    <n v="545028.48236842104"/>
    <n v="654550.82036741974"/>
    <n v="-109522.3379989987"/>
    <n v="3.3095890410958906"/>
    <n v="1"/>
    <n v="-109522.3379989987"/>
    <n v="0"/>
    <m/>
    <n v="-918.16806671837912"/>
  </r>
  <r>
    <x v="5"/>
    <s v="Purchase"/>
    <x v="87"/>
    <x v="2"/>
    <s v="MXN"/>
    <d v="2018-02-28T00:00:00"/>
    <n v="584250.88245947321"/>
    <x v="2"/>
    <n v="3682"/>
    <n v="158.67758893521815"/>
    <n v="5.3631956064701586E-2"/>
    <n v="31334.517658829598"/>
    <n v="18.645600000000002"/>
    <n v="584250.88245947321"/>
    <n v="99.171374481640001"/>
    <n v="122.94799999999999"/>
    <n v="1.2397"/>
    <n v="724295.81898500898"/>
    <n v="196.71260700298996"/>
    <m/>
    <n v="3682"/>
    <s v="Sale"/>
    <x v="107"/>
    <s v="MXN"/>
    <n v="1386188.3979813536"/>
    <n v="4.9903436849695844E-2"/>
    <n v="69175.565180443533"/>
    <n v="20.038699999999999"/>
    <n v="1386188.3979813538"/>
    <n v="724295.81898500898"/>
    <n v="661892.57899634482"/>
    <n v="4.4739726027397264"/>
    <n v="1"/>
    <n v="661892.57899634482"/>
    <n v="0"/>
    <m/>
    <n v="37841.047521613931"/>
  </r>
  <r>
    <x v="5"/>
    <s v="Purchase"/>
    <x v="87"/>
    <x v="2"/>
    <s v="MXN"/>
    <d v="2018-05-14T00:00:00"/>
    <n v="1908625.1399999997"/>
    <x v="2"/>
    <n v="11348"/>
    <n v="168.19044236869931"/>
    <n v="5.18164247703237E-2"/>
    <n v="98898.130981558526"/>
    <n v="19.2989"/>
    <n v="1908625.14"/>
    <n v="98.994080173086999"/>
    <n v="122.94799999999999"/>
    <n v="1.2419"/>
    <n v="2370321.5613659997"/>
    <n v="208.87571037768768"/>
    <m/>
    <n v="11348"/>
    <s v="Sale"/>
    <x v="107"/>
    <s v="MXN"/>
    <n v="4272261.254832265"/>
    <n v="4.9903436849695844E-2"/>
    <n v="213200.51973592426"/>
    <n v="20.038699999999999"/>
    <n v="4272261.254832265"/>
    <n v="2370321.5613659997"/>
    <n v="1901939.6934662652"/>
    <n v="4.2684931506849315"/>
    <n v="1"/>
    <n v="1901939.6934662652"/>
    <n v="0"/>
    <m/>
    <n v="114302.38875436573"/>
  </r>
  <r>
    <x v="5"/>
    <s v="Purchase"/>
    <x v="87"/>
    <x v="2"/>
    <s v="MXN"/>
    <d v="2020-04-20T00:00:00"/>
    <n v="2419407.2530232556"/>
    <x v="2"/>
    <n v="8996"/>
    <n v="268.94255813953487"/>
    <n v="4.1305586993696762E-2"/>
    <n v="99935.036762932999"/>
    <n v="24.209800000000001"/>
    <n v="2419407.2530232556"/>
    <n v="105.755"/>
    <n v="122.94799999999999"/>
    <n v="1.1625000000000001"/>
    <n v="2812560.9316395349"/>
    <n v="312.64572383720929"/>
    <m/>
    <n v="8996"/>
    <s v="Sale"/>
    <x v="107"/>
    <s v="MXN"/>
    <n v="3386787.2971863812"/>
    <n v="4.9903436849695844E-2"/>
    <n v="169012.32600849264"/>
    <n v="20.038699999999999"/>
    <n v="3386787.2971863812"/>
    <n v="2812560.9316395349"/>
    <n v="574226.3655468463"/>
    <n v="2.3315068493150686"/>
    <n v="1"/>
    <n v="574226.3655468463"/>
    <n v="0"/>
    <m/>
    <n v="69077.289245559645"/>
  </r>
  <r>
    <x v="5"/>
    <s v="Purchase"/>
    <x v="87"/>
    <x v="2"/>
    <s v="MXN"/>
    <d v="2020-04-20T00:00:00"/>
    <n v="55402.166976744185"/>
    <x v="2"/>
    <n v="206"/>
    <n v="268.94255813953487"/>
    <n v="4.1305586993696762E-2"/>
    <n v="2288.4190276972208"/>
    <n v="24.209800000000001"/>
    <n v="55402.166976744178"/>
    <n v="105.755"/>
    <n v="123.803"/>
    <n v="1.1706000000000001"/>
    <n v="64853.776662976743"/>
    <n v="314.82415855813952"/>
    <m/>
    <n v="206"/>
    <s v="Sale"/>
    <x v="103"/>
    <s v="MXN"/>
    <n v="65599.55409533935"/>
    <n v="4.9596532210467843E-2"/>
    <n v="3253.5103976818259"/>
    <n v="20.162700000000001"/>
    <n v="65599.55409533935"/>
    <n v="64853.776662976743"/>
    <n v="745.77743236260721"/>
    <n v="2.4383561643835616"/>
    <n v="1"/>
    <n v="745.77743236260721"/>
    <n v="0"/>
    <m/>
    <n v="965.09136998460508"/>
  </r>
  <r>
    <x v="5"/>
    <s v="Purchase"/>
    <x v="87"/>
    <x v="2"/>
    <s v="MXN"/>
    <d v="2020-06-05T00:00:00"/>
    <n v="1535271.1739162505"/>
    <x v="2"/>
    <n v="5437"/>
    <n v="282.37468712824176"/>
    <n v="4.6287081738357647E-2"/>
    <n v="71063.222317605789"/>
    <n v="21.604299999999999"/>
    <n v="1535271.1739162507"/>
    <n v="106.74299999999999"/>
    <n v="123.803"/>
    <n v="1.1597999999999999"/>
    <n v="1780607.5075080674"/>
    <n v="327.49816213133482"/>
    <m/>
    <n v="5437"/>
    <s v="Sale"/>
    <x v="103"/>
    <s v="MXN"/>
    <n v="1731382.4059046607"/>
    <n v="4.9596532210467843E-2"/>
    <n v="85870.56326308781"/>
    <n v="20.162700000000001"/>
    <n v="1731382.4059046607"/>
    <n v="1780607.5075080674"/>
    <n v="-49225.101603406714"/>
    <n v="2.3123287671232875"/>
    <n v="1"/>
    <n v="-49225.101603406714"/>
    <n v="0"/>
    <m/>
    <n v="14807.340945482021"/>
  </r>
  <r>
    <x v="5"/>
    <s v="Purchase"/>
    <x v="172"/>
    <x v="2"/>
    <s v="MXN"/>
    <d v="2020-06-15T00:00:00"/>
    <n v="1374596.395389322"/>
    <x v="2"/>
    <n v="10794"/>
    <n v="127.3481930136485"/>
    <n v="4.4592690366195176E-2"/>
    <n v="61296.951438084034"/>
    <n v="22.4252"/>
    <n v="1374596.3953893222"/>
    <n v="106.74299999999999"/>
    <n v="122.94799999999999"/>
    <n v="1.1517999999999999"/>
    <n v="1583260.1282094212"/>
    <n v="146.67964871312037"/>
    <m/>
    <n v="10794"/>
    <s v="Sale"/>
    <x v="107"/>
    <s v="MXN"/>
    <n v="1734830.7700000003"/>
    <n v="4.9903436849695844E-2"/>
    <n v="86574.017775604225"/>
    <n v="20.038699999999999"/>
    <n v="1734830.7700000003"/>
    <n v="1583260.1282094212"/>
    <n v="151570.64179057907"/>
    <n v="2.1780821917808217"/>
    <n v="1"/>
    <n v="151570.64179057907"/>
    <n v="0"/>
    <m/>
    <n v="25277.066337520191"/>
  </r>
  <r>
    <x v="5"/>
    <s v="Purchase"/>
    <x v="172"/>
    <x v="2"/>
    <s v="MXN"/>
    <d v="2020-06-15T00:00:00"/>
    <n v="573066.86856141826"/>
    <x v="2"/>
    <n v="4500"/>
    <n v="127.3481930136485"/>
    <n v="4.4592690366195176E-2"/>
    <n v="25554.593428884393"/>
    <n v="22.4252"/>
    <n v="573066.86856141826"/>
    <n v="106.74299999999999"/>
    <n v="123.803"/>
    <n v="1.1597999999999999"/>
    <n v="664642.95415753289"/>
    <n v="147.69843425722954"/>
    <m/>
    <n v="4500"/>
    <s v="Sale"/>
    <x v="103"/>
    <s v="MXN"/>
    <n v="667059.81999999995"/>
    <n v="4.9596532210467843E-2"/>
    <n v="33083.853848938881"/>
    <n v="20.162700000000001"/>
    <n v="667059.82000000007"/>
    <n v="664642.95415753289"/>
    <n v="2416.8658424671739"/>
    <n v="2.2849315068493152"/>
    <n v="1"/>
    <n v="2416.8658424671739"/>
    <n v="0"/>
    <m/>
    <n v="7529.2604200544883"/>
  </r>
  <r>
    <x v="5"/>
    <s v="Purchase"/>
    <x v="173"/>
    <x v="2"/>
    <s v="MXN"/>
    <d v="2021-10-21T00:00:00"/>
    <n v="2602683.7304412457"/>
    <x v="2"/>
    <n v="24188"/>
    <n v="107.60227097904935"/>
    <n v="4.9346893859765997E-2"/>
    <n v="128434.35779662397"/>
    <n v="20.264700000000001"/>
    <n v="2602683.7304412457"/>
    <n v="115.56100000000001"/>
    <n v="122.94799999999999"/>
    <n v="1.0639000000000001"/>
    <n v="2768995.2208164413"/>
    <n v="114.47805609461061"/>
    <m/>
    <n v="24188"/>
    <s v="Sale"/>
    <x v="107"/>
    <s v="MXN"/>
    <n v="3621308.16"/>
    <n v="4.9903436849695844E-2"/>
    <n v="180715.72307584825"/>
    <n v="20.038699999999999"/>
    <n v="3621308.16"/>
    <n v="2768995.2208164413"/>
    <n v="852312.9391835588"/>
    <n v="0.82739726027397265"/>
    <n v="1"/>
    <n v="852312.9391835588"/>
    <n v="0"/>
    <m/>
    <n v="52281.365279224279"/>
  </r>
  <r>
    <x v="5"/>
    <s v="Purchase"/>
    <x v="173"/>
    <x v="2"/>
    <s v="MXN"/>
    <d v="2021-10-21T00:00:00"/>
    <n v="563082.68403336522"/>
    <x v="2"/>
    <n v="5233"/>
    <n v="107.60227097904935"/>
    <n v="4.9346893859765997E-2"/>
    <n v="27786.381443266626"/>
    <n v="20.264700000000001"/>
    <n v="563082.68403336522"/>
    <n v="115.56100000000001"/>
    <n v="123.803"/>
    <n v="1.0712999999999999"/>
    <n v="603230.47940494411"/>
    <n v="115.27431289985556"/>
    <m/>
    <n v="5233"/>
    <s v="Sale"/>
    <x v="103"/>
    <s v="MXN"/>
    <n v="709329.61"/>
    <n v="4.9596532210467843E-2"/>
    <n v="35180.288850203593"/>
    <n v="20.162700000000001"/>
    <n v="709329.61"/>
    <n v="603230.47940494411"/>
    <n v="106099.13059505587"/>
    <n v="0.9342465753424658"/>
    <n v="1"/>
    <n v="106099.13059505587"/>
    <n v="0"/>
    <m/>
    <n v="7393.9074069369672"/>
  </r>
  <r>
    <x v="5"/>
    <s v="Purchase"/>
    <x v="174"/>
    <x v="2"/>
    <s v="MXN"/>
    <d v="2020-03-11T00:00:00"/>
    <n v="1317657.4887102132"/>
    <x v="2"/>
    <n v="11879"/>
    <n v="110.92326700144905"/>
    <n v="4.7367099759848805E-2"/>
    <n v="62413.613717048516"/>
    <n v="21.111699999999999"/>
    <n v="1317657.488710213"/>
    <n v="106.83799999999999"/>
    <n v="122.94799999999999"/>
    <n v="1.1507000000000001"/>
    <n v="1516228.4722588421"/>
    <n v="127.63940333856739"/>
    <m/>
    <n v="11879"/>
    <s v="Sale"/>
    <x v="107"/>
    <s v="MXN"/>
    <n v="1911588.98"/>
    <n v="4.9903436849695844E-2"/>
    <n v="95394.859946004493"/>
    <n v="20.038699999999999"/>
    <n v="1911588.9800000002"/>
    <n v="1516228.4722588421"/>
    <n v="395360.50774115813"/>
    <n v="2.441095890410959"/>
    <n v="1"/>
    <n v="395360.50774115813"/>
    <n v="0"/>
    <m/>
    <n v="32981.246228955977"/>
  </r>
  <r>
    <x v="5"/>
    <s v="Purchase"/>
    <x v="174"/>
    <x v="2"/>
    <s v="MXN"/>
    <d v="2020-03-11T00:00:00"/>
    <n v="535648.45634999743"/>
    <x v="2"/>
    <n v="4829"/>
    <n v="110.92326700144905"/>
    <n v="4.7367099759848805E-2"/>
    <n v="25372.113868139346"/>
    <n v="21.111699999999999"/>
    <n v="535648.45634999743"/>
    <n v="106.83799999999999"/>
    <n v="123.803"/>
    <n v="1.1587000000000001"/>
    <n v="620655.86637274211"/>
    <n v="128.52678947457903"/>
    <m/>
    <n v="4829"/>
    <s v="Sale"/>
    <x v="103"/>
    <s v="MXN"/>
    <n v="673491.68000000017"/>
    <n v="4.9596532210467843E-2"/>
    <n v="33402.851800602111"/>
    <n v="20.162700000000001"/>
    <n v="673491.68000000017"/>
    <n v="620655.86637274211"/>
    <n v="52835.81362725806"/>
    <n v="2.547945205479452"/>
    <n v="1"/>
    <n v="52835.81362725806"/>
    <n v="0"/>
    <m/>
    <n v="8030.7379324627655"/>
  </r>
  <r>
    <x v="5"/>
    <s v="Purchase"/>
    <x v="175"/>
    <x v="2"/>
    <s v="MXN"/>
    <d v="2019-05-16T00:00:00"/>
    <n v="3091384.63718112"/>
    <x v="2"/>
    <n v="21750"/>
    <n v="142.1326269968331"/>
    <n v="5.2239234799688651E-2"/>
    <n v="161491.56791785485"/>
    <n v="19.142700000000001"/>
    <n v="3091384.63718112"/>
    <n v="103.233"/>
    <n v="122.94799999999999"/>
    <n v="1.1909000000000001"/>
    <n v="3681529.9644189961"/>
    <n v="169.26574549052856"/>
    <m/>
    <n v="21750"/>
    <s v="Sale"/>
    <x v="107"/>
    <s v="MXN"/>
    <n v="4843576.49"/>
    <n v="4.9903436849695844E-2"/>
    <n v="241711.11349538647"/>
    <n v="20.038699999999999"/>
    <n v="4843576.49"/>
    <n v="3681529.9644189961"/>
    <n v="1162046.5255810041"/>
    <n v="3.2630136986301368"/>
    <n v="1"/>
    <n v="1162046.5255810041"/>
    <n v="0"/>
    <m/>
    <n v="80219.545577531622"/>
  </r>
  <r>
    <x v="5"/>
    <s v="Purchase"/>
    <x v="175"/>
    <x v="2"/>
    <s v="MXN"/>
    <d v="2019-05-16T00:00:00"/>
    <n v="625383.55878606567"/>
    <x v="2"/>
    <n v="4400"/>
    <n v="142.1326269968331"/>
    <n v="5.2239234799688651E-2"/>
    <n v="32669.558567290176"/>
    <n v="19.142700000000001"/>
    <n v="625383.55878606567"/>
    <n v="103.233"/>
    <n v="123.803"/>
    <n v="1.1992"/>
    <n v="749959.96369624999"/>
    <n v="170.44544629460228"/>
    <m/>
    <n v="4400"/>
    <s v="Sale"/>
    <x v="103"/>
    <s v="MXN"/>
    <n v="870234.84994923847"/>
    <n v="4.9596532210467843E-2"/>
    <n v="43160.630766179056"/>
    <n v="20.162700000000001"/>
    <n v="870234.84994923847"/>
    <n v="749959.96369624999"/>
    <n v="120274.88625298848"/>
    <n v="3.3698630136986303"/>
    <n v="1"/>
    <n v="120274.88625298848"/>
    <n v="0"/>
    <m/>
    <n v="10491.07219888888"/>
  </r>
  <r>
    <x v="5"/>
    <s v="Purchase"/>
    <x v="175"/>
    <x v="2"/>
    <s v="MXN"/>
    <d v="2020-09-30T00:00:00"/>
    <n v="1205411.0141591344"/>
    <x v="2"/>
    <n v="5450"/>
    <n v="221.17633287323565"/>
    <n v="4.452895049716573E-2"/>
    <n v="53675.687378230432"/>
    <n v="22.4573"/>
    <n v="1205411.0141591344"/>
    <n v="108.114"/>
    <n v="123.803"/>
    <n v="1.1451"/>
    <n v="1380316.1523136247"/>
    <n v="253.26901877314216"/>
    <m/>
    <n v="5450"/>
    <s v="Sale"/>
    <x v="103"/>
    <s v="MXN"/>
    <n v="1077904.5300507613"/>
    <n v="4.9596532210467843E-2"/>
    <n v="53460.326744471786"/>
    <n v="20.162700000000001"/>
    <n v="1077904.5300507613"/>
    <n v="1380316.1523136247"/>
    <n v="-302411.62226286344"/>
    <n v="1.9917808219178081"/>
    <n v="1"/>
    <n v="-302411.62226286344"/>
    <n v="0"/>
    <m/>
    <n v="-215.36063375864614"/>
  </r>
  <r>
    <x v="5"/>
    <s v="Purchase"/>
    <x v="176"/>
    <x v="2"/>
    <s v="MXN"/>
    <d v="2018-01-03T00:00:00"/>
    <n v="1925793.8146275538"/>
    <x v="2"/>
    <n v="16561"/>
    <n v="116.28487498505849"/>
    <n v="5.0857198073529335E-2"/>
    <n v="97940.477479291134"/>
    <n v="19.6629"/>
    <n v="1925793.8146275536"/>
    <n v="98.794999699501005"/>
    <n v="122.94799999999999"/>
    <n v="1.2444"/>
    <n v="2396457.8229225278"/>
    <n v="144.70489843140678"/>
    <m/>
    <n v="16561"/>
    <s v="Sale"/>
    <x v="107"/>
    <s v="MXN"/>
    <n v="3385542.92"/>
    <n v="4.9903436849695844E-2"/>
    <n v="168950.22731015488"/>
    <n v="20.038699999999999"/>
    <n v="3385542.9200000004"/>
    <n v="2396457.8229225278"/>
    <n v="989085.0970774726"/>
    <n v="4.6273972602739724"/>
    <n v="1"/>
    <n v="989085.0970774726"/>
    <n v="0"/>
    <m/>
    <n v="71009.749830863744"/>
  </r>
  <r>
    <x v="5"/>
    <s v="Purchase"/>
    <x v="176"/>
    <x v="2"/>
    <s v="MXN"/>
    <d v="2018-01-03T00:00:00"/>
    <n v="1532634.652303071"/>
    <x v="2"/>
    <n v="13180"/>
    <n v="116.28487498505849"/>
    <n v="5.0857198073529335E-2"/>
    <n v="77945.504086532048"/>
    <n v="19.6629"/>
    <n v="1532634.652303071"/>
    <n v="98.794999699501005"/>
    <n v="123.803"/>
    <n v="1.2531000000000001"/>
    <n v="1920544.4828009785"/>
    <n v="145.71657684377681"/>
    <m/>
    <n v="13180"/>
    <s v="Sale"/>
    <x v="103"/>
    <s v="MXN"/>
    <n v="2516361.2637209687"/>
    <n v="4.9596532210467843E-2"/>
    <n v="124802.79246931059"/>
    <n v="20.162700000000001"/>
    <n v="2516361.2637209687"/>
    <n v="1920544.4828009782"/>
    <n v="595816.7809199905"/>
    <n v="4.7342465753424658"/>
    <n v="1"/>
    <n v="595816.7809199905"/>
    <n v="0"/>
    <m/>
    <n v="46857.288382778541"/>
  </r>
  <r>
    <x v="5"/>
    <s v="Purchase"/>
    <x v="176"/>
    <x v="2"/>
    <s v="MXN"/>
    <d v="2019-05-14T00:00:00"/>
    <n v="1297114.1372640384"/>
    <x v="2"/>
    <n v="11104"/>
    <n v="116.81503397550779"/>
    <n v="5.2253702174799084E-2"/>
    <n v="67779.015815316525"/>
    <n v="19.1374"/>
    <n v="1297114.1372640384"/>
    <n v="103.233"/>
    <n v="123.803"/>
    <n v="1.1992"/>
    <n v="1555499.273407035"/>
    <n v="140.08458874342895"/>
    <m/>
    <n v="11104"/>
    <s v="Sale"/>
    <x v="103"/>
    <s v="MXN"/>
    <n v="2120005.7262790315"/>
    <n v="4.9596532210467843E-2"/>
    <n v="105144.93228977425"/>
    <n v="20.162700000000001"/>
    <n v="2120005.7262790315"/>
    <n v="1555499.273407035"/>
    <n v="564506.45287199644"/>
    <n v="3.3753424657534246"/>
    <n v="1"/>
    <n v="564506.45287199644"/>
    <n v="0"/>
    <m/>
    <n v="37365.916474457728"/>
  </r>
  <r>
    <x v="5"/>
    <s v="Purchase"/>
    <x v="88"/>
    <x v="2"/>
    <s v="MXN"/>
    <d v="2021-01-21T00:00:00"/>
    <n v="630735.76421508042"/>
    <x v="2"/>
    <n v="185"/>
    <n v="3409.3825092707048"/>
    <n v="5.081610667317113E-2"/>
    <n v="32051.53587693764"/>
    <n v="19.678799999999999"/>
    <n v="630735.76421508042"/>
    <n v="110.21"/>
    <n v="122.94799999999999"/>
    <n v="1.1154999999999999"/>
    <n v="703585.74498192221"/>
    <n v="3803.1661890914716"/>
    <m/>
    <n v="185"/>
    <s v="Sale"/>
    <x v="107"/>
    <s v="MXN"/>
    <n v="552153.65394295298"/>
    <n v="4.9903436849695844E-2"/>
    <n v="27554.365000870966"/>
    <n v="20.038699999999999"/>
    <n v="552153.65394295298"/>
    <n v="703585.74498192221"/>
    <n v="-151432.09103896923"/>
    <n v="1.5753424657534247"/>
    <n v="1"/>
    <n v="-151432.09103896923"/>
    <n v="0"/>
    <m/>
    <n v="-4497.1708760666734"/>
  </r>
  <r>
    <x v="5"/>
    <s v="Purchase"/>
    <x v="88"/>
    <x v="2"/>
    <s v="MXN"/>
    <d v="2021-10-21T00:00:00"/>
    <n v="1625914.5390326274"/>
    <x v="2"/>
    <n v="411"/>
    <n v="3955.9964453348598"/>
    <n v="4.9346893859765997E-2"/>
    <n v="80233.832182693426"/>
    <n v="20.264700000000001"/>
    <n v="1625914.5390326276"/>
    <n v="115.56100000000001"/>
    <n v="122.94799999999999"/>
    <n v="1.0639000000000001"/>
    <n v="1729810.4780768126"/>
    <n v="4208.7846181917585"/>
    <m/>
    <n v="411"/>
    <s v="Sale"/>
    <x v="107"/>
    <s v="MXN"/>
    <n v="1226676.496057047"/>
    <n v="4.9903436849695844E-2"/>
    <n v="61215.373055989017"/>
    <n v="20.038699999999999"/>
    <n v="1226676.496057047"/>
    <n v="1729810.4780768128"/>
    <n v="-503133.98201976577"/>
    <n v="0.82739726027397265"/>
    <n v="1"/>
    <n v="-503133.98201976577"/>
    <n v="0"/>
    <m/>
    <n v="-19018.459126704409"/>
  </r>
  <r>
    <x v="5"/>
    <s v="Purchase"/>
    <x v="88"/>
    <x v="2"/>
    <s v="MXN"/>
    <d v="2021-10-21T00:00:00"/>
    <n v="553839.50234688038"/>
    <x v="2"/>
    <n v="140"/>
    <n v="3955.9964453348598"/>
    <n v="4.9346893859765997E-2"/>
    <n v="27330.259137657129"/>
    <n v="20.264700000000001"/>
    <n v="553839.5023468805"/>
    <n v="115.56100000000001"/>
    <n v="123.803"/>
    <n v="1.0712999999999999"/>
    <n v="593328.25886421301"/>
    <n v="4238.0589918872356"/>
    <m/>
    <n v="140"/>
    <s v="Sale"/>
    <x v="103"/>
    <s v="MXN"/>
    <n v="355337.97"/>
    <n v="4.9596532210467843E-2"/>
    <n v="17623.531074707254"/>
    <n v="20.162700000000001"/>
    <n v="355337.97"/>
    <n v="593328.25886421301"/>
    <n v="-237990.28886421304"/>
    <n v="0.9342465753424658"/>
    <n v="1"/>
    <n v="-237990.28886421304"/>
    <n v="0"/>
    <m/>
    <n v="-9706.7280629498746"/>
  </r>
  <r>
    <x v="5"/>
    <s v="Purchase"/>
    <x v="177"/>
    <x v="2"/>
    <s v="MXN"/>
    <d v="2019-11-01T00:00:00"/>
    <n v="1143843.1399999999"/>
    <x v="2"/>
    <n v="274"/>
    <n v="4174.6099999999997"/>
    <n v="5.2180356183111301E-2"/>
    <n v="59686.142462808442"/>
    <n v="19.164300000000001"/>
    <n v="1143843.1399999999"/>
    <n v="105.346"/>
    <n v="122.94799999999999"/>
    <n v="1.167"/>
    <n v="1334864.94438"/>
    <n v="4871.7698700000001"/>
    <m/>
    <n v="274"/>
    <s v="Sale"/>
    <x v="107"/>
    <s v="MXN"/>
    <n v="1295773.6299999999"/>
    <n v="4.9903436849695844E-2"/>
    <n v="64663.557516206143"/>
    <n v="20.038699999999999"/>
    <n v="1295773.6299999999"/>
    <n v="1334864.94438"/>
    <n v="-39091.314380000113"/>
    <n v="2.8"/>
    <n v="1"/>
    <n v="-39091.314380000113"/>
    <n v="0"/>
    <m/>
    <n v="4977.4150533977008"/>
  </r>
  <r>
    <x v="5"/>
    <s v="Purchase"/>
    <x v="177"/>
    <x v="2"/>
    <s v="MXN"/>
    <d v="2019-11-01T00:00:00"/>
    <n v="993557.17999999993"/>
    <x v="2"/>
    <n v="238"/>
    <n v="4174.6099999999997"/>
    <n v="5.2180356183111301E-2"/>
    <n v="51844.167540687624"/>
    <n v="19.164300000000001"/>
    <n v="993557.17999999982"/>
    <n v="105.346"/>
    <n v="123.803"/>
    <n v="1.1752"/>
    <n v="1167628.3979359998"/>
    <n v="4906.0016719999994"/>
    <m/>
    <n v="238"/>
    <s v="Sale"/>
    <x v="103"/>
    <s v="MXN"/>
    <n v="1000161.42"/>
    <n v="4.9596532210467843E-2"/>
    <n v="49604.538082697261"/>
    <n v="20.162700000000001"/>
    <n v="1000161.4200000002"/>
    <n v="1167628.3979359998"/>
    <n v="-167466.97793599963"/>
    <n v="2.9068493150684933"/>
    <n v="1"/>
    <n v="-167466.97793599963"/>
    <n v="0"/>
    <m/>
    <n v="-2239.6294579903624"/>
  </r>
  <r>
    <x v="5"/>
    <s v="Purchase"/>
    <x v="178"/>
    <x v="2"/>
    <s v="MXN"/>
    <d v="2019-05-17T00:00:00"/>
    <n v="1376594.7546473029"/>
    <x v="2"/>
    <n v="486"/>
    <n v="2832.4994951590593"/>
    <n v="5.2291409567236297E-2"/>
    <n v="71984.080123371285"/>
    <n v="19.1236"/>
    <n v="1376594.7546473031"/>
    <n v="103.233"/>
    <n v="122.94799999999999"/>
    <n v="1.1909000000000001"/>
    <n v="1639386.6933094733"/>
    <n v="3373.2236487849245"/>
    <m/>
    <n v="486"/>
    <s v="Sale"/>
    <x v="107"/>
    <s v="MXN"/>
    <n v="1868502.94"/>
    <n v="4.9903436849695844E-2"/>
    <n v="93244.718469761021"/>
    <n v="20.038699999999999"/>
    <n v="1868502.94"/>
    <n v="1639386.6933094733"/>
    <n v="229116.2466905266"/>
    <n v="3.2602739726027399"/>
    <n v="1"/>
    <n v="229116.2466905266"/>
    <n v="0"/>
    <m/>
    <n v="21260.638346389736"/>
  </r>
  <r>
    <x v="5"/>
    <s v="Purchase"/>
    <x v="178"/>
    <x v="2"/>
    <s v="MXN"/>
    <d v="2019-05-17T00:00:00"/>
    <n v="1257629.7758506222"/>
    <x v="2"/>
    <n v="444"/>
    <n v="2832.4994951590588"/>
    <n v="5.2291409567236297E-2"/>
    <n v="65763.233692956463"/>
    <n v="19.1236"/>
    <n v="1257629.7758506222"/>
    <n v="103.233"/>
    <n v="123.803"/>
    <n v="1.1992"/>
    <n v="1508149.6272000661"/>
    <n v="3396.7333945947435"/>
    <m/>
    <n v="444"/>
    <s v="Sale"/>
    <x v="103"/>
    <s v="MXN"/>
    <n v="1496705.53"/>
    <n v="4.9596532210467843E-2"/>
    <n v="74231.404028230347"/>
    <n v="20.162700000000001"/>
    <n v="1496705.53"/>
    <n v="1508149.6272000661"/>
    <n v="-11444.097200066084"/>
    <n v="3.3671232876712329"/>
    <n v="1"/>
    <n v="-11444.097200066084"/>
    <n v="0"/>
    <m/>
    <n v="8468.1703352738841"/>
  </r>
  <r>
    <x v="5"/>
    <s v="Purchase"/>
    <x v="179"/>
    <x v="2"/>
    <s v="MXN"/>
    <d v="2019-07-15T00:00:00"/>
    <n v="1561271.3412081313"/>
    <x v="2"/>
    <n v="6337"/>
    <n v="246.37389004389004"/>
    <n v="5.2293870635422825E-2"/>
    <n v="81644.921543931108"/>
    <n v="19.122699999999998"/>
    <n v="1561271.3412081313"/>
    <n v="103.687"/>
    <n v="122.94799999999999"/>
    <n v="1.1857"/>
    <n v="1851199.4292704812"/>
    <n v="292.12552142504046"/>
    <m/>
    <n v="6337"/>
    <s v="Sale"/>
    <x v="107"/>
    <s v="MXN"/>
    <n v="2123715.2000000002"/>
    <n v="4.9903436849695844E-2"/>
    <n v="105980.68736993919"/>
    <n v="20.038699999999999"/>
    <n v="2123715.2000000002"/>
    <n v="1851199.4292704815"/>
    <n v="272515.77072951873"/>
    <n v="3.0986301369863014"/>
    <n v="1"/>
    <n v="272515.77072951873"/>
    <n v="0"/>
    <m/>
    <n v="24335.765826008079"/>
  </r>
  <r>
    <x v="5"/>
    <s v="Purchase"/>
    <x v="179"/>
    <x v="2"/>
    <s v="MXN"/>
    <d v="2019-07-15T00:00:00"/>
    <n v="1164855.7521275121"/>
    <x v="2"/>
    <n v="4728"/>
    <n v="246.37389004389004"/>
    <n v="5.2293870635422825E-2"/>
    <n v="60914.816010684277"/>
    <n v="19.122699999999998"/>
    <n v="1164855.7521275121"/>
    <n v="103.687"/>
    <n v="123.803"/>
    <n v="1.194"/>
    <n v="1390837.7680402494"/>
    <n v="294.17042471240467"/>
    <m/>
    <n v="4728"/>
    <s v="Sale"/>
    <x v="103"/>
    <s v="MXN"/>
    <n v="1393348.99"/>
    <n v="4.9596532210467843E-2"/>
    <n v="69105.278062957834"/>
    <n v="20.162700000000001"/>
    <n v="1393348.99"/>
    <n v="1390837.7680402494"/>
    <n v="2511.2219597506337"/>
    <n v="3.2054794520547945"/>
    <n v="1"/>
    <n v="2511.2219597506337"/>
    <n v="0"/>
    <m/>
    <n v="8190.4620522735568"/>
  </r>
  <r>
    <x v="5"/>
    <s v="Purchase"/>
    <x v="180"/>
    <x v="2"/>
    <s v="MXN"/>
    <d v="2020-04-20T00:00:00"/>
    <n v="1715304.2568381939"/>
    <x v="2"/>
    <n v="11973"/>
    <n v="143.26436622719402"/>
    <n v="4.1305586993696762E-2"/>
    <n v="70851.649201488384"/>
    <n v="24.209800000000001"/>
    <n v="1715304.2568381936"/>
    <n v="105.755"/>
    <n v="122.94799999999999"/>
    <n v="1.1625000000000001"/>
    <n v="1994041.1985744003"/>
    <n v="166.54482573911304"/>
    <m/>
    <n v="11973"/>
    <s v="Sale"/>
    <x v="107"/>
    <s v="MXN"/>
    <n v="2369583.7200000002"/>
    <n v="4.9903436849695844E-2"/>
    <n v="118250.37153108737"/>
    <n v="20.038699999999999"/>
    <n v="2369583.7200000002"/>
    <n v="1994041.1985744005"/>
    <n v="375542.5214255997"/>
    <n v="2.3315068493150686"/>
    <n v="1"/>
    <n v="375542.5214255997"/>
    <n v="0"/>
    <m/>
    <n v="47398.722329598982"/>
  </r>
  <r>
    <x v="5"/>
    <s v="Purchase"/>
    <x v="180"/>
    <x v="2"/>
    <s v="MXN"/>
    <d v="2020-04-20T00:00:00"/>
    <n v="268334.15794353437"/>
    <x v="2"/>
    <n v="1873"/>
    <n v="143.26436622719402"/>
    <n v="4.1305586993696762E-2"/>
    <n v="11083.699904317025"/>
    <n v="24.209800000000001"/>
    <n v="268334.15794353432"/>
    <n v="105.755"/>
    <n v="123.803"/>
    <n v="1.1706000000000001"/>
    <n v="314111.96528870129"/>
    <n v="167.70526710555328"/>
    <m/>
    <n v="1873"/>
    <s v="Sale"/>
    <x v="103"/>
    <s v="MXN"/>
    <n v="330185.73501521116"/>
    <n v="4.9596532210467843E-2"/>
    <n v="16376.06744211892"/>
    <n v="20.162700000000001"/>
    <n v="330185.73501521116"/>
    <n v="314111.96528870129"/>
    <n v="16073.769726509869"/>
    <n v="2.4383561643835616"/>
    <n v="1"/>
    <n v="16073.769726509869"/>
    <n v="0"/>
    <m/>
    <n v="5292.3675378018943"/>
  </r>
  <r>
    <x v="5"/>
    <s v="Purchase"/>
    <x v="180"/>
    <x v="2"/>
    <s v="MXN"/>
    <d v="2020-05-07T00:00:00"/>
    <n v="1330821.1566670449"/>
    <x v="2"/>
    <n v="9303"/>
    <n v="143.05290300623938"/>
    <n v="4.1956340232354214E-2"/>
    <n v="55836.385237537703"/>
    <n v="23.834299999999999"/>
    <n v="1330821.1566670449"/>
    <n v="106.16200000000001"/>
    <n v="123.803"/>
    <n v="1.1660999999999999"/>
    <n v="1551870.550789441"/>
    <n v="166.81399019557571"/>
    <m/>
    <n v="9303"/>
    <s v="Sale"/>
    <x v="103"/>
    <s v="MXN"/>
    <n v="1639998.8749847889"/>
    <n v="4.9596532210467843E-2"/>
    <n v="81338.25702831411"/>
    <n v="20.162700000000001"/>
    <n v="1639998.8749847889"/>
    <n v="1551870.5507894407"/>
    <n v="88128.324195348192"/>
    <n v="2.3917808219178083"/>
    <n v="1"/>
    <n v="88128.324195348192"/>
    <n v="0"/>
    <m/>
    <n v="25501.871790776408"/>
  </r>
  <r>
    <x v="5"/>
    <s v="Purchase"/>
    <x v="89"/>
    <x v="2"/>
    <s v="MXN"/>
    <d v="2020-12-11T00:00:00"/>
    <n v="2221269.6618177514"/>
    <x v="2"/>
    <n v="1923"/>
    <n v="1155.1064284023669"/>
    <n v="5.0411356670430715E-2"/>
    <n v="111977.21718310167"/>
    <n v="19.8368"/>
    <n v="2221269.6618177514"/>
    <n v="109.271"/>
    <n v="123.803"/>
    <n v="1.1329"/>
    <n v="2516476.3998733307"/>
    <n v="1308.6200727370415"/>
    <m/>
    <n v="1923"/>
    <s v="Sale"/>
    <x v="103"/>
    <s v="MXN"/>
    <n v="2034385.02"/>
    <n v="4.9596532210467843E-2"/>
    <n v="100898.44217292327"/>
    <n v="20.162700000000001"/>
    <n v="2034385.02"/>
    <n v="2516476.3998733307"/>
    <n v="-482091.3798733307"/>
    <n v="1.7945205479452055"/>
    <n v="1"/>
    <n v="-482091.3798733307"/>
    <n v="0"/>
    <m/>
    <n v="-11078.775010178404"/>
  </r>
  <r>
    <x v="5"/>
    <s v="Purchase"/>
    <x v="181"/>
    <x v="2"/>
    <s v="MXN"/>
    <d v="2021-05-24T00:00:00"/>
    <n v="2319041.264369064"/>
    <x v="2"/>
    <n v="816"/>
    <n v="2841.9623337856178"/>
    <n v="5.0299280720285701E-2"/>
    <n v="116646.10755842584"/>
    <n v="19.881"/>
    <n v="2319041.264369064"/>
    <n v="112.419"/>
    <n v="122.94799999999999"/>
    <n v="1.0935999999999999"/>
    <n v="2536103.5267140083"/>
    <n v="3107.9700082279514"/>
    <m/>
    <n v="816"/>
    <s v="Sale"/>
    <x v="107"/>
    <s v="MXN"/>
    <n v="2874093.19"/>
    <n v="4.9903436849695844E-2"/>
    <n v="143427.12800730587"/>
    <n v="20.038699999999999"/>
    <n v="2874093.19"/>
    <n v="2536103.5267140083"/>
    <n v="337989.66328599164"/>
    <n v="1.2383561643835617"/>
    <n v="1"/>
    <n v="337989.66328599164"/>
    <n v="0"/>
    <m/>
    <n v="26781.020448880037"/>
  </r>
  <r>
    <x v="5"/>
    <s v="Purchase"/>
    <x v="181"/>
    <x v="2"/>
    <s v="MXN"/>
    <d v="2021-05-24T00:00:00"/>
    <n v="932163.6454816825"/>
    <x v="2"/>
    <n v="328"/>
    <n v="2841.9623337856174"/>
    <n v="5.0299280720285701E-2"/>
    <n v="46887.160881328025"/>
    <n v="19.881"/>
    <n v="932163.6454816825"/>
    <n v="112.419"/>
    <n v="123.803"/>
    <n v="1.1012"/>
    <n v="1026498.6064044287"/>
    <n v="3129.5689219647215"/>
    <m/>
    <n v="328"/>
    <s v="Sale"/>
    <x v="103"/>
    <s v="MXN"/>
    <n v="1027709.19"/>
    <n v="4.9596532210467843E-2"/>
    <n v="50970.811944828813"/>
    <n v="20.162700000000001"/>
    <n v="1027709.19"/>
    <n v="1026498.6064044287"/>
    <n v="1210.5835955712246"/>
    <n v="1.3452054794520547"/>
    <n v="1"/>
    <n v="1210.5835955712246"/>
    <n v="0"/>
    <m/>
    <n v="4083.6510635007871"/>
  </r>
  <r>
    <x v="5"/>
    <s v="Purchase"/>
    <x v="90"/>
    <x v="2"/>
    <s v="MXN"/>
    <d v="2020-04-08T00:00:00"/>
    <n v="378984.50139892392"/>
    <x v="2"/>
    <n v="204"/>
    <n v="1857.7671637202154"/>
    <n v="4.0503047854351042E-2"/>
    <n v="15350.027396217985"/>
    <n v="24.689499999999999"/>
    <n v="378984.50139892392"/>
    <n v="105.755"/>
    <n v="122.94799999999999"/>
    <n v="1.1625000000000001"/>
    <n v="440569.48287624912"/>
    <n v="2159.6543278247505"/>
    <m/>
    <n v="204"/>
    <s v="Sale"/>
    <x v="107"/>
    <s v="MXN"/>
    <n v="411730.00051282055"/>
    <n v="4.9903436849695844E-2"/>
    <n v="20546.742079716776"/>
    <n v="20.038699999999999"/>
    <n v="411730.00051282055"/>
    <n v="440569.48287624907"/>
    <n v="-28839.482363428513"/>
    <n v="2.3643835616438356"/>
    <n v="1"/>
    <n v="-28839.482363428513"/>
    <n v="0"/>
    <m/>
    <n v="5196.7146834987907"/>
  </r>
  <r>
    <x v="5"/>
    <s v="Purchase"/>
    <x v="90"/>
    <x v="2"/>
    <s v="MXN"/>
    <d v="2022-02-01T00:00:00"/>
    <n v="77988.889689213902"/>
    <x v="2"/>
    <n v="30"/>
    <n v="2599.6296563071301"/>
    <n v="4.7939327986500288E-2"/>
    <n v="3738.7349621142157"/>
    <n v="20.8597"/>
    <n v="77988.889689213902"/>
    <n v="118.98099999999999"/>
    <n v="122.94799999999999"/>
    <n v="1.0333000000000001"/>
    <n v="80585.919715864729"/>
    <n v="2686.1973238621576"/>
    <m/>
    <n v="30"/>
    <s v="Sale"/>
    <x v="107"/>
    <s v="MXN"/>
    <n v="60548.52948717949"/>
    <n v="4.9903436849695844E-2"/>
    <n v="3021.5797176054084"/>
    <n v="20.038699999999999"/>
    <n v="60548.52948717949"/>
    <n v="80585.919715864729"/>
    <n v="-20037.390228685239"/>
    <n v="0.54520547945205478"/>
    <n v="1"/>
    <n v="-20037.390228685239"/>
    <n v="0"/>
    <m/>
    <n v="-717.1552445088073"/>
  </r>
  <r>
    <x v="5"/>
    <s v="Purchase"/>
    <x v="182"/>
    <x v="2"/>
    <s v="MXN"/>
    <d v="2020-06-15T00:00:00"/>
    <n v="410077.13615090732"/>
    <x v="2"/>
    <n v="85"/>
    <n v="4824.4368958930272"/>
    <n v="4.4592690366195176E-2"/>
    <n v="18286.442758633471"/>
    <n v="22.4252"/>
    <n v="410077.13615090732"/>
    <n v="106.74299999999999"/>
    <n v="123.803"/>
    <n v="1.1597999999999999"/>
    <n v="475607.46250782226"/>
    <n v="5595.3819118567326"/>
    <m/>
    <n v="85"/>
    <s v="Sale"/>
    <x v="103"/>
    <s v="MXN"/>
    <n v="391474.97"/>
    <n v="4.9596532210467843E-2"/>
    <n v="19415.800959196931"/>
    <n v="20.162700000000001"/>
    <n v="391474.97"/>
    <n v="475607.46250782226"/>
    <n v="-84132.492507822288"/>
    <n v="2.2849315068493152"/>
    <n v="1"/>
    <n v="-84132.492507822288"/>
    <n v="0"/>
    <m/>
    <n v="1129.3582005634598"/>
  </r>
  <r>
    <x v="5"/>
    <s v="Purchase"/>
    <x v="183"/>
    <x v="2"/>
    <s v="MXN"/>
    <d v="2019-10-29T00:00:00"/>
    <n v="435281.19545064378"/>
    <x v="2"/>
    <n v="110"/>
    <n v="3957.1017768240345"/>
    <n v="5.2405408238130176E-2"/>
    <n v="22811.08874597232"/>
    <n v="19.082000000000001"/>
    <n v="435281.19545064383"/>
    <n v="104.503"/>
    <n v="122.94799999999999"/>
    <n v="1.1765000000000001"/>
    <n v="512108.32644768251"/>
    <n v="4655.530240433477"/>
    <m/>
    <n v="110"/>
    <s v="Sale"/>
    <x v="107"/>
    <s v="MXN"/>
    <n v="500565.39"/>
    <n v="4.9903436849695844E-2"/>
    <n v="24979.93332900837"/>
    <n v="20.038699999999999"/>
    <n v="500565.39"/>
    <n v="512108.32644768246"/>
    <n v="-11542.936447682441"/>
    <n v="2.8082191780821919"/>
    <n v="1"/>
    <n v="-11542.936447682441"/>
    <n v="0"/>
    <m/>
    <n v="2168.8445830360506"/>
  </r>
  <r>
    <x v="5"/>
    <s v="Purchase"/>
    <x v="183"/>
    <x v="2"/>
    <s v="MXN"/>
    <d v="2019-10-29T00:00:00"/>
    <n v="284911.32793133048"/>
    <x v="2"/>
    <n v="72"/>
    <n v="3957.1017768240345"/>
    <n v="5.2405408238130176E-2"/>
    <n v="14930.894451909155"/>
    <n v="19.082000000000001"/>
    <n v="284911.32793133048"/>
    <n v="104.503"/>
    <n v="123.803"/>
    <n v="1.1846000000000001"/>
    <n v="337505.9590674541"/>
    <n v="4687.5827648257509"/>
    <m/>
    <n v="72"/>
    <s v="Sale"/>
    <x v="103"/>
    <s v="MXN"/>
    <n v="272124.42"/>
    <n v="4.9596532210467843E-2"/>
    <n v="13496.42756178488"/>
    <n v="20.162700000000001"/>
    <n v="272124.42"/>
    <n v="337505.9590674541"/>
    <n v="-65381.539067454112"/>
    <n v="2.9150684931506849"/>
    <n v="1"/>
    <n v="-65381.539067454112"/>
    <n v="0"/>
    <m/>
    <n v="-1434.4668901242749"/>
  </r>
  <r>
    <x v="0"/>
    <m/>
    <x v="0"/>
    <x v="0"/>
    <m/>
    <m/>
    <m/>
    <x v="0"/>
    <n v="0"/>
    <n v="0"/>
    <n v="0"/>
    <n v="0"/>
    <n v="0"/>
    <n v="0"/>
    <n v="0"/>
    <n v="0"/>
    <n v="0"/>
    <n v="0"/>
    <n v="0"/>
    <m/>
    <m/>
    <m/>
    <x v="0"/>
    <m/>
    <m/>
    <n v="0"/>
    <n v="0"/>
    <n v="0"/>
    <n v="0"/>
    <n v="0"/>
    <n v="0"/>
    <n v="0"/>
    <n v="1"/>
    <n v="0"/>
    <n v="0"/>
    <m/>
    <n v="0"/>
  </r>
  <r>
    <x v="4"/>
    <s v="Purchase"/>
    <x v="57"/>
    <x v="2"/>
    <s v="USD"/>
    <d v="2021-02-26T00:00:00"/>
    <n v="163.63714285714286"/>
    <x v="2"/>
    <n v="1"/>
    <n v="163.63714285714286"/>
    <n v="1"/>
    <n v="163.63714285714286"/>
    <n v="20.475200000000001"/>
    <n v="3350.5032274285718"/>
    <n v="110.907"/>
    <n v="120.15900000000001"/>
    <n v="1.0833999999999999"/>
    <n v="3629.9351965961146"/>
    <n v="3629.9351965961146"/>
    <m/>
    <n v="1"/>
    <s v="Sale"/>
    <x v="31"/>
    <s v="USD"/>
    <n v="126.19555555555556"/>
    <n v="1"/>
    <n v="126.19555555555556"/>
    <n v="20.0383"/>
    <n v="2528.7444008888888"/>
    <n v="3629.9351965961146"/>
    <n v="-1101.1907957072258"/>
    <n v="1.1506849315068493"/>
    <n v="1"/>
    <n v="-1101.1907957072258"/>
    <n v="0"/>
    <m/>
    <n v="-37.441587301587305"/>
  </r>
  <r>
    <x v="4"/>
    <s v="Purchase"/>
    <x v="57"/>
    <x v="2"/>
    <s v="USD"/>
    <d v="2021-03-04T00:00:00"/>
    <n v="1271.3343749999999"/>
    <x v="2"/>
    <n v="8"/>
    <n v="158.91679687499999"/>
    <n v="1"/>
    <n v="1271.3343749999999"/>
    <n v="20.690300000000001"/>
    <n v="26304.2896190625"/>
    <n v="111.824"/>
    <n v="120.15900000000001"/>
    <n v="1.0745"/>
    <n v="28263.959195682655"/>
    <n v="3532.9948994603319"/>
    <m/>
    <n v="8"/>
    <s v="Sale"/>
    <x v="31"/>
    <s v="USD"/>
    <n v="1009.5644444444445"/>
    <n v="1"/>
    <n v="1009.5644444444445"/>
    <n v="20.0383"/>
    <n v="20229.95520711111"/>
    <n v="28263.959195682655"/>
    <n v="-8034.0039885715451"/>
    <n v="1.1342465753424658"/>
    <n v="1"/>
    <n v="-8034.0039885715451"/>
    <n v="0"/>
    <m/>
    <n v="-261.76993055555545"/>
  </r>
  <r>
    <x v="4"/>
    <s v="Purchase"/>
    <x v="38"/>
    <x v="2"/>
    <s v="USD"/>
    <d v="2020-11-24T00:00:00"/>
    <n v="15484.8"/>
    <x v="2"/>
    <n v="38"/>
    <n v="407.49473684210523"/>
    <n v="1"/>
    <n v="15484.8"/>
    <n v="20.1172"/>
    <n v="311510.81855999999"/>
    <n v="108.85599999999999"/>
    <n v="122.044"/>
    <n v="1.1211"/>
    <n v="349234.778687616"/>
    <n v="9190.3889128320006"/>
    <m/>
    <n v="38"/>
    <s v="Sale"/>
    <x v="87"/>
    <s v="USD"/>
    <n v="4682.1397551020409"/>
    <n v="1"/>
    <n v="4682.1397551020409"/>
    <n v="20.4407"/>
    <n v="95706.214092114285"/>
    <n v="349234.778687616"/>
    <n v="-253528.5645955017"/>
    <n v="1.6547945205479453"/>
    <n v="1"/>
    <n v="-253528.5645955017"/>
    <n v="0"/>
    <m/>
    <n v="-10802.660244897957"/>
  </r>
  <r>
    <x v="4"/>
    <s v="Purchase"/>
    <x v="38"/>
    <x v="2"/>
    <s v="USD"/>
    <d v="2021-03-04T00:00:00"/>
    <n v="33483.050000000003"/>
    <x v="2"/>
    <n v="57"/>
    <n v="587.4219298245614"/>
    <n v="1"/>
    <n v="33483.050000000003"/>
    <n v="20.690300000000001"/>
    <n v="692774.34941500006"/>
    <n v="111.824"/>
    <n v="122.044"/>
    <n v="1.0912999999999999"/>
    <n v="756024.6475165895"/>
    <n v="13263.590307308588"/>
    <m/>
    <n v="57"/>
    <s v="Sale"/>
    <x v="87"/>
    <s v="USD"/>
    <n v="7023.2096326530609"/>
    <n v="1"/>
    <n v="7023.2096326530609"/>
    <n v="20.4407"/>
    <n v="143559.32113817142"/>
    <n v="756024.6475165895"/>
    <n v="-612465.32637841813"/>
    <n v="1.3808219178082193"/>
    <n v="1"/>
    <n v="-612465.32637841813"/>
    <n v="0"/>
    <m/>
    <n v="-26459.840367346944"/>
  </r>
  <r>
    <x v="4"/>
    <s v="Purchase"/>
    <x v="38"/>
    <x v="2"/>
    <s v="USD"/>
    <d v="2021-04-30T00:00:00"/>
    <n v="27467.869565217388"/>
    <x v="2"/>
    <n v="150"/>
    <n v="183.11913043478259"/>
    <n v="1"/>
    <n v="27467.869565217388"/>
    <n v="19.9712"/>
    <n v="548566.31666086952"/>
    <n v="112.19"/>
    <n v="122.044"/>
    <n v="1.0878000000000001"/>
    <n v="596730.43926369387"/>
    <n v="3978.202928424626"/>
    <m/>
    <n v="150"/>
    <s v="Sale"/>
    <x v="87"/>
    <s v="USD"/>
    <n v="18482.130612244895"/>
    <n v="1"/>
    <n v="18482.130612244895"/>
    <n v="20.4407"/>
    <n v="377787.68720571423"/>
    <n v="596730.43926369387"/>
    <n v="-218942.75205797964"/>
    <n v="1.2246575342465753"/>
    <n v="1"/>
    <n v="-218942.75205797964"/>
    <n v="0"/>
    <m/>
    <n v="-8985.7389529724933"/>
  </r>
  <r>
    <x v="4"/>
    <s v="Purchase"/>
    <x v="37"/>
    <x v="2"/>
    <s v="USD"/>
    <d v="2021-03-05T00:00:00"/>
    <n v="3303.8443636363631"/>
    <x v="2"/>
    <n v="32"/>
    <n v="103.24513636363635"/>
    <n v="1"/>
    <n v="3303.8443636363631"/>
    <n v="20.895700000000001"/>
    <n v="69036.140669236353"/>
    <n v="111.824"/>
    <n v="122.044"/>
    <n v="1.0912999999999999"/>
    <n v="75339.140312337622"/>
    <n v="2354.3481347605507"/>
    <m/>
    <n v="32"/>
    <s v="Sale"/>
    <x v="83"/>
    <s v="USD"/>
    <n v="3531.87"/>
    <n v="1"/>
    <n v="3531.87"/>
    <n v="20.465199999999999"/>
    <n v="72280.425923999996"/>
    <n v="75339.140312337622"/>
    <n v="-3058.7143883376266"/>
    <n v="1.3945205479452054"/>
    <n v="1"/>
    <n v="-3058.7143883376266"/>
    <n v="0"/>
    <m/>
    <n v="228.02563636363675"/>
  </r>
  <r>
    <x v="4"/>
    <s v="Purchase"/>
    <x v="37"/>
    <x v="2"/>
    <s v="USD"/>
    <d v="2021-03-05T00:00:00"/>
    <n v="18790.614818181817"/>
    <x v="2"/>
    <n v="182"/>
    <n v="103.24513636363636"/>
    <n v="1"/>
    <n v="18790.614818181817"/>
    <n v="20.895700000000001"/>
    <n v="392643.05005628185"/>
    <n v="111.824"/>
    <n v="122.044"/>
    <n v="1.0912999999999999"/>
    <n v="428491.36052642035"/>
    <n v="2354.3481347605516"/>
    <m/>
    <n v="182"/>
    <s v="Sale"/>
    <x v="80"/>
    <s v="USD"/>
    <n v="20051.32"/>
    <n v="1"/>
    <n v="20051.32"/>
    <n v="20.433"/>
    <n v="409708.62156"/>
    <n v="428491.36052642041"/>
    <n v="-18782.738966420409"/>
    <n v="1.3972602739726028"/>
    <n v="1"/>
    <n v="-18782.738966420409"/>
    <n v="0"/>
    <m/>
    <n v="1260.7051818181826"/>
  </r>
  <r>
    <x v="0"/>
    <m/>
    <x v="0"/>
    <x v="0"/>
    <m/>
    <m/>
    <m/>
    <x v="0"/>
    <n v="0"/>
    <n v="0"/>
    <n v="0"/>
    <n v="0"/>
    <n v="0"/>
    <n v="0"/>
    <n v="0"/>
    <n v="0"/>
    <n v="0"/>
    <n v="0"/>
    <n v="0"/>
    <m/>
    <m/>
    <m/>
    <x v="0"/>
    <m/>
    <m/>
    <n v="0"/>
    <n v="0"/>
    <n v="0"/>
    <n v="0"/>
    <n v="0"/>
    <n v="0"/>
    <n v="0"/>
    <n v="1"/>
    <n v="0"/>
    <n v="0"/>
    <m/>
    <n v="0"/>
  </r>
  <r>
    <x v="4"/>
    <s v="Purchase"/>
    <x v="57"/>
    <x v="2"/>
    <s v="USD"/>
    <d v="2021-05-25T00:00:00"/>
    <n v="8061.7182608695648"/>
    <x v="2"/>
    <n v="48"/>
    <n v="167.95246376811593"/>
    <n v="1"/>
    <n v="8061.7182608695648"/>
    <n v="19.951000000000001"/>
    <n v="160839.34102260869"/>
    <n v="112.419"/>
    <n v="122.94799999999999"/>
    <n v="1.0935999999999999"/>
    <n v="175893.90334232483"/>
    <n v="3664.4563196317672"/>
    <m/>
    <n v="48"/>
    <s v="Sale"/>
    <x v="93"/>
    <s v="USD"/>
    <n v="5258.512941176471"/>
    <n v="1"/>
    <n v="5258.512941176471"/>
    <n v="20.377800000000001"/>
    <n v="107156.92501270589"/>
    <n v="175893.90334232483"/>
    <n v="-68736.978329618942"/>
    <n v="1.1863013698630136"/>
    <n v="1"/>
    <n v="-68736.978329618942"/>
    <n v="0"/>
    <m/>
    <n v="-2803.2053196930938"/>
  </r>
  <r>
    <x v="4"/>
    <s v="Purchase"/>
    <x v="57"/>
    <x v="2"/>
    <s v="USD"/>
    <d v="2021-06-01T00:00:00"/>
    <n v="3388.9396226415097"/>
    <x v="2"/>
    <n v="20"/>
    <n v="169.44698113207548"/>
    <n v="1"/>
    <n v="3388.9396226415097"/>
    <n v="19.944199999999999"/>
    <n v="67589.689621886791"/>
    <n v="113.018"/>
    <n v="122.94799999999999"/>
    <n v="1.0878000000000001"/>
    <n v="73524.064370688458"/>
    <n v="3676.2032185344228"/>
    <m/>
    <n v="20"/>
    <s v="Sale"/>
    <x v="93"/>
    <s v="USD"/>
    <n v="2191.0470588235294"/>
    <n v="1"/>
    <n v="2191.0470588235294"/>
    <n v="20.377800000000001"/>
    <n v="44648.718755294118"/>
    <n v="73524.064370688458"/>
    <n v="-28875.345615394341"/>
    <n v="1.167123287671233"/>
    <n v="1"/>
    <n v="-28875.345615394341"/>
    <n v="0"/>
    <m/>
    <n v="-1197.8925638179803"/>
  </r>
  <r>
    <x v="4"/>
    <s v="Purchase"/>
    <x v="57"/>
    <x v="2"/>
    <s v="USD"/>
    <d v="2021-06-01T00:00:00"/>
    <n v="4236.1745283018872"/>
    <x v="2"/>
    <n v="25"/>
    <n v="169.44698113207548"/>
    <n v="1"/>
    <n v="4236.1745283018872"/>
    <n v="19.944199999999999"/>
    <n v="84487.112027358497"/>
    <n v="113.018"/>
    <n v="122.94799999999999"/>
    <n v="1.0878000000000001"/>
    <n v="91905.080463360588"/>
    <n v="3676.2032185344233"/>
    <m/>
    <n v="25"/>
    <s v="Sale"/>
    <x v="93"/>
    <s v="USD"/>
    <n v="2745.24"/>
    <n v="1"/>
    <n v="2745.24"/>
    <n v="20.377800000000001"/>
    <n v="55941.951671999996"/>
    <n v="91905.080463360588"/>
    <n v="-35963.128791360592"/>
    <n v="1.167123287671233"/>
    <n v="1"/>
    <n v="-35963.128791360592"/>
    <n v="0"/>
    <m/>
    <n v="-1490.9345283018874"/>
  </r>
  <r>
    <x v="4"/>
    <s v="Purchase"/>
    <x v="57"/>
    <x v="2"/>
    <s v="USD"/>
    <d v="2021-06-01T00:00:00"/>
    <n v="1355.5758490566038"/>
    <x v="2"/>
    <n v="8"/>
    <n v="169.44698113207548"/>
    <n v="1"/>
    <n v="1355.5758490566038"/>
    <n v="19.944199999999999"/>
    <n v="27035.875848754717"/>
    <n v="113.018"/>
    <n v="122.94799999999999"/>
    <n v="1.0878000000000001"/>
    <n v="29409.625748275383"/>
    <n v="3676.2032185344228"/>
    <m/>
    <n v="8"/>
    <s v="Sale"/>
    <x v="93"/>
    <s v="USD"/>
    <n v="877.97714285714289"/>
    <n v="1"/>
    <n v="877.97714285714289"/>
    <n v="20.377800000000001"/>
    <n v="17891.242621714286"/>
    <n v="29409.625748275383"/>
    <n v="-11518.383126561097"/>
    <n v="1.167123287671233"/>
    <n v="1"/>
    <n v="-11518.383126561097"/>
    <n v="0"/>
    <m/>
    <n v="-477.59870619946093"/>
  </r>
  <r>
    <x v="4"/>
    <s v="Purchase"/>
    <x v="57"/>
    <x v="2"/>
    <s v="USD"/>
    <d v="2021-06-08T00:00:00"/>
    <n v="951.14076923076914"/>
    <x v="2"/>
    <n v="6"/>
    <n v="158.52346153846153"/>
    <n v="1"/>
    <n v="951.14076923076914"/>
    <n v="19.9328"/>
    <n v="18958.898724923074"/>
    <n v="113.018"/>
    <n v="122.94799999999999"/>
    <n v="1.0878000000000001"/>
    <n v="20623.49003297132"/>
    <n v="3437.2483388285532"/>
    <m/>
    <n v="6"/>
    <s v="Sale"/>
    <x v="93"/>
    <s v="USD"/>
    <n v="658.48285714285714"/>
    <n v="1"/>
    <n v="658.48285714285714"/>
    <n v="20.377800000000001"/>
    <n v="13418.431966285714"/>
    <n v="20623.49003297132"/>
    <n v="-7205.0580666856058"/>
    <n v="1.1479452054794521"/>
    <n v="1"/>
    <n v="-7205.0580666856058"/>
    <n v="0"/>
    <m/>
    <n v="-292.657912087912"/>
  </r>
  <r>
    <x v="4"/>
    <s v="Purchase"/>
    <x v="57"/>
    <x v="2"/>
    <s v="USD"/>
    <d v="2021-06-08T00:00:00"/>
    <n v="2060.8049999999998"/>
    <x v="2"/>
    <n v="13"/>
    <n v="158.52346153846153"/>
    <n v="1"/>
    <n v="2060.8049999999998"/>
    <n v="19.9328"/>
    <n v="41077.613903999998"/>
    <n v="113.018"/>
    <n v="122.94799999999999"/>
    <n v="1.0878000000000001"/>
    <n v="44684.228404771202"/>
    <n v="3437.2483388285541"/>
    <m/>
    <n v="13"/>
    <s v="Sale"/>
    <x v="93"/>
    <s v="USD"/>
    <n v="1421.58"/>
    <n v="1"/>
    <n v="1421.58"/>
    <n v="20.377800000000001"/>
    <n v="28968.672923999999"/>
    <n v="44684.228404771202"/>
    <n v="-15715.555480771203"/>
    <n v="1.1479452054794521"/>
    <n v="1"/>
    <n v="-15715.555480771203"/>
    <n v="0"/>
    <m/>
    <n v="-639.22499999999991"/>
  </r>
  <r>
    <x v="4"/>
    <s v="Purchase"/>
    <x v="57"/>
    <x v="2"/>
    <s v="USD"/>
    <d v="2021-06-08T00:00:00"/>
    <n v="1902.2815384615383"/>
    <x v="2"/>
    <n v="12"/>
    <n v="158.52346153846153"/>
    <n v="1"/>
    <n v="1902.2815384615383"/>
    <n v="19.9328"/>
    <n v="37917.797449846148"/>
    <n v="113.018"/>
    <n v="122.94799999999999"/>
    <n v="1.0878000000000001"/>
    <n v="41246.98006594264"/>
    <n v="3437.2483388285532"/>
    <m/>
    <n v="12"/>
    <s v="Sale"/>
    <x v="93"/>
    <s v="USD"/>
    <n v="1319.49"/>
    <n v="1"/>
    <n v="1319.49"/>
    <n v="20.377800000000001"/>
    <n v="26888.303322"/>
    <n v="41246.98006594264"/>
    <n v="-14358.67674394264"/>
    <n v="1.1479452054794521"/>
    <n v="1"/>
    <n v="-14358.67674394264"/>
    <n v="0"/>
    <m/>
    <n v="-582.79153846153827"/>
  </r>
  <r>
    <x v="4"/>
    <s v="Purchase"/>
    <x v="57"/>
    <x v="2"/>
    <s v="USD"/>
    <d v="2021-06-08T00:00:00"/>
    <n v="1743.7580769230769"/>
    <x v="2"/>
    <n v="11"/>
    <n v="158.52346153846153"/>
    <n v="1"/>
    <n v="1743.7580769230769"/>
    <n v="19.9328"/>
    <n v="34757.980995692305"/>
    <n v="113.018"/>
    <n v="122.94799999999999"/>
    <n v="1.0878000000000001"/>
    <n v="37809.731727114093"/>
    <n v="3437.2483388285541"/>
    <m/>
    <n v="11"/>
    <s v="Sale"/>
    <x v="93"/>
    <s v="USD"/>
    <n v="1202.98"/>
    <n v="1"/>
    <n v="1202.98"/>
    <n v="20.377800000000001"/>
    <n v="24514.085844000001"/>
    <n v="37809.731727114093"/>
    <n v="-13295.645883114092"/>
    <n v="1.1479452054794521"/>
    <n v="1"/>
    <n v="-13295.645883114092"/>
    <n v="0"/>
    <m/>
    <n v="-540.77807692307692"/>
  </r>
  <r>
    <x v="4"/>
    <s v="Purchase"/>
    <x v="57"/>
    <x v="2"/>
    <s v="USD"/>
    <d v="2021-06-08T00:00:00"/>
    <n v="2377.851923076923"/>
    <x v="2"/>
    <n v="15"/>
    <n v="158.52346153846153"/>
    <n v="1"/>
    <n v="2377.851923076923"/>
    <n v="19.9328"/>
    <n v="47397.246812307691"/>
    <n v="113.018"/>
    <n v="122.94799999999999"/>
    <n v="1.0878000000000001"/>
    <n v="51558.725082428311"/>
    <n v="3437.2483388285541"/>
    <m/>
    <n v="15"/>
    <s v="Sale"/>
    <x v="108"/>
    <s v="USD"/>
    <n v="1763.14"/>
    <n v="1"/>
    <n v="1763.14"/>
    <n v="19.959499999999998"/>
    <n v="35191.392829999997"/>
    <n v="51558.725082428311"/>
    <n v="-16367.332252428314"/>
    <n v="1.1863013698630136"/>
    <n v="1"/>
    <n v="-16367.332252428314"/>
    <n v="0"/>
    <m/>
    <n v="-614.71192307692286"/>
  </r>
  <r>
    <x v="4"/>
    <s v="Purchase"/>
    <x v="57"/>
    <x v="2"/>
    <s v="USD"/>
    <d v="2021-06-08T00:00:00"/>
    <n v="3328.9926923076923"/>
    <x v="2"/>
    <n v="21"/>
    <n v="158.52346153846153"/>
    <n v="1"/>
    <n v="3328.9926923076923"/>
    <n v="19.9328"/>
    <n v="66356.145537230768"/>
    <n v="113.018"/>
    <n v="122.94799999999999"/>
    <n v="1.0878000000000001"/>
    <n v="72182.215115399638"/>
    <n v="3437.2483388285541"/>
    <m/>
    <n v="21"/>
    <s v="Sale"/>
    <x v="108"/>
    <s v="USD"/>
    <n v="2463.0734210526316"/>
    <n v="1"/>
    <n v="2463.0734210526316"/>
    <n v="19.959499999999998"/>
    <n v="49161.713947499993"/>
    <n v="72182.215115399638"/>
    <n v="-23020.501167899645"/>
    <n v="1.1863013698630136"/>
    <n v="1"/>
    <n v="-23020.501167899645"/>
    <n v="0"/>
    <m/>
    <n v="-865.91927125506072"/>
  </r>
  <r>
    <x v="4"/>
    <s v="Purchase"/>
    <x v="57"/>
    <x v="2"/>
    <s v="USD"/>
    <d v="2021-06-23T00:00:00"/>
    <n v="6986.98"/>
    <x v="2"/>
    <n v="42"/>
    <n v="166.35666666666665"/>
    <n v="1"/>
    <n v="6986.98"/>
    <n v="20.6"/>
    <n v="143931.788"/>
    <n v="113.018"/>
    <n v="122.94799999999999"/>
    <n v="1.0878000000000001"/>
    <n v="156568.99898640002"/>
    <n v="3727.8333092000007"/>
    <m/>
    <n v="42"/>
    <s v="Sale"/>
    <x v="108"/>
    <s v="USD"/>
    <n v="4926.1468421052632"/>
    <n v="1"/>
    <n v="4926.1468421052632"/>
    <n v="19.959499999999998"/>
    <n v="98323.427894999986"/>
    <n v="156568.99898640002"/>
    <n v="-58245.571091400037"/>
    <n v="1.1452054794520548"/>
    <n v="1"/>
    <n v="-58245.571091400037"/>
    <n v="0"/>
    <m/>
    <n v="-2060.8331578947364"/>
  </r>
  <r>
    <x v="4"/>
    <s v="Purchase"/>
    <x v="57"/>
    <x v="2"/>
    <s v="USD"/>
    <d v="2021-06-23T00:00:00"/>
    <n v="3972.09"/>
    <x v="2"/>
    <n v="24"/>
    <n v="165.50375"/>
    <n v="1"/>
    <n v="3972.09"/>
    <n v="20.6"/>
    <n v="81825.054000000004"/>
    <n v="113.018"/>
    <n v="122.94799999999999"/>
    <n v="1.0878000000000001"/>
    <n v="89009.293741200017"/>
    <n v="3708.7205725500007"/>
    <m/>
    <n v="24"/>
    <s v="Sale"/>
    <x v="108"/>
    <s v="USD"/>
    <n v="2814.9410526315787"/>
    <n v="1"/>
    <n v="2814.9410526315787"/>
    <n v="19.959499999999998"/>
    <n v="56184.815939999993"/>
    <n v="89009.293741200017"/>
    <n v="-32824.477801200024"/>
    <n v="1.1452054794520548"/>
    <n v="1"/>
    <n v="-32824.477801200024"/>
    <n v="0"/>
    <m/>
    <n v="-1157.1489473684214"/>
  </r>
  <r>
    <x v="4"/>
    <s v="Purchase"/>
    <x v="57"/>
    <x v="2"/>
    <s v="USD"/>
    <d v="2021-06-23T00:00:00"/>
    <n v="4492.8147945205483"/>
    <x v="2"/>
    <n v="27"/>
    <n v="166.40054794520549"/>
    <n v="1"/>
    <n v="4492.8147945205483"/>
    <n v="20.6"/>
    <n v="92551.9847671233"/>
    <n v="113.018"/>
    <n v="122.94799999999999"/>
    <n v="1.0878000000000001"/>
    <n v="100678.04902967674"/>
    <n v="3728.8166307287679"/>
    <m/>
    <n v="27"/>
    <s v="Sale"/>
    <x v="108"/>
    <s v="USD"/>
    <n v="3166.8086842105263"/>
    <n v="1"/>
    <n v="3166.8086842105263"/>
    <n v="19.959499999999998"/>
    <n v="63207.917932499993"/>
    <n v="100678.04902967674"/>
    <n v="-37470.131097176745"/>
    <n v="1.1452054794520548"/>
    <n v="1"/>
    <n v="-37470.131097176745"/>
    <n v="0"/>
    <m/>
    <n v="-1326.006110310022"/>
  </r>
  <r>
    <x v="4"/>
    <s v="Purchase"/>
    <x v="57"/>
    <x v="2"/>
    <s v="USD"/>
    <d v="2021-06-23T00:00:00"/>
    <n v="1664.0054794520549"/>
    <x v="2"/>
    <n v="10"/>
    <n v="166.40054794520549"/>
    <n v="1"/>
    <n v="1664.0054794520549"/>
    <n v="20.6"/>
    <n v="34278.512876712331"/>
    <n v="113.018"/>
    <n v="122.94799999999999"/>
    <n v="1.0878000000000001"/>
    <n v="37288.166307287676"/>
    <n v="3728.8166307287674"/>
    <m/>
    <n v="10"/>
    <s v="Sale"/>
    <x v="108"/>
    <s v="USD"/>
    <n v="1171.6600000000001"/>
    <n v="1"/>
    <n v="1171.6600000000001"/>
    <n v="19.959499999999998"/>
    <n v="23385.747769999998"/>
    <n v="37288.166307287676"/>
    <n v="-13902.418537287678"/>
    <n v="1.1452054794520548"/>
    <n v="1"/>
    <n v="-13902.418537287678"/>
    <n v="0"/>
    <m/>
    <n v="-492.34547945205486"/>
  </r>
  <r>
    <x v="4"/>
    <s v="Purchase"/>
    <x v="57"/>
    <x v="2"/>
    <s v="USD"/>
    <d v="2021-06-23T00:00:00"/>
    <n v="5990.4197260273977"/>
    <x v="2"/>
    <n v="36"/>
    <n v="166.40054794520549"/>
    <n v="1"/>
    <n v="5990.4197260273977"/>
    <n v="20.6"/>
    <n v="123402.64635616441"/>
    <n v="113.018"/>
    <n v="122.94799999999999"/>
    <n v="1.0878000000000001"/>
    <n v="134237.39870623566"/>
    <n v="3728.8166307287684"/>
    <m/>
    <n v="36"/>
    <s v="Sale"/>
    <x v="89"/>
    <s v="USD"/>
    <n v="4173.3119999999999"/>
    <n v="1"/>
    <n v="4173.3119999999999"/>
    <n v="19.861799999999999"/>
    <n v="82889.488281599988"/>
    <n v="134237.39870623566"/>
    <n v="-51347.910424635673"/>
    <n v="1.1506849315068493"/>
    <n v="1"/>
    <n v="-51347.910424635673"/>
    <n v="0"/>
    <m/>
    <n v="-1817.1077260273978"/>
  </r>
  <r>
    <x v="4"/>
    <s v="Purchase"/>
    <x v="57"/>
    <x v="2"/>
    <s v="USD"/>
    <d v="2021-06-23T00:00:00"/>
    <n v="1491.98"/>
    <x v="2"/>
    <n v="9"/>
    <n v="165.77555555555557"/>
    <n v="1"/>
    <n v="1491.98"/>
    <n v="20.6"/>
    <n v="30734.788000000004"/>
    <n v="113.018"/>
    <n v="122.94799999999999"/>
    <n v="1.0878000000000001"/>
    <n v="33433.302386400006"/>
    <n v="3714.8113762666671"/>
    <m/>
    <n v="9"/>
    <s v="Sale"/>
    <x v="89"/>
    <s v="USD"/>
    <n v="1043.328"/>
    <n v="1"/>
    <n v="1043.328"/>
    <n v="19.861799999999999"/>
    <n v="20722.372070399997"/>
    <n v="33433.302386400006"/>
    <n v="-12710.930316000009"/>
    <n v="1.1506849315068493"/>
    <n v="1"/>
    <n v="-12710.930316000009"/>
    <n v="0"/>
    <m/>
    <n v="-448.65200000000004"/>
  </r>
  <r>
    <x v="4"/>
    <s v="Purchase"/>
    <x v="57"/>
    <x v="2"/>
    <s v="USD"/>
    <d v="2021-11-04T00:00:00"/>
    <n v="418.95000000000005"/>
    <x v="2"/>
    <n v="3"/>
    <n v="139.65"/>
    <n v="1"/>
    <n v="418.95000000000005"/>
    <n v="20.8598"/>
    <n v="8739.2132100000017"/>
    <n v="116.884"/>
    <n v="122.94799999999999"/>
    <n v="1.0518000000000001"/>
    <n v="9191.904454278003"/>
    <n v="3063.968151426001"/>
    <m/>
    <n v="3"/>
    <s v="Sale"/>
    <x v="89"/>
    <s v="USD"/>
    <n v="347.77600000000001"/>
    <n v="1"/>
    <n v="347.77600000000001"/>
    <n v="19.861799999999999"/>
    <n v="6907.4573567999996"/>
    <n v="9191.904454278003"/>
    <n v="-2284.4470974780033"/>
    <n v="0.78356164383561644"/>
    <n v="1"/>
    <n v="-2284.4470974780033"/>
    <n v="0"/>
    <m/>
    <n v="-71.174000000000035"/>
  </r>
  <r>
    <x v="4"/>
    <s v="Purchase"/>
    <x v="57"/>
    <x v="2"/>
    <s v="USD"/>
    <d v="2021-11-04T00:00:00"/>
    <n v="1693.476923076923"/>
    <x v="2"/>
    <n v="12"/>
    <n v="141.12307692307692"/>
    <n v="1"/>
    <n v="1693.476923076923"/>
    <n v="20.8598"/>
    <n v="35325.589919999999"/>
    <n v="116.884"/>
    <n v="122.94799999999999"/>
    <n v="1.0518000000000001"/>
    <n v="37155.455477855998"/>
    <n v="3096.287956488"/>
    <m/>
    <n v="12"/>
    <s v="Sale"/>
    <x v="89"/>
    <s v="USD"/>
    <n v="1391.104"/>
    <n v="1"/>
    <n v="1391.104"/>
    <n v="19.861799999999999"/>
    <n v="27629.829427199998"/>
    <n v="37155.455477855998"/>
    <n v="-9525.6260506559993"/>
    <n v="0.78356164383561644"/>
    <n v="1"/>
    <n v="-9525.6260506559993"/>
    <n v="0"/>
    <m/>
    <n v="-302.37292307692292"/>
  </r>
  <r>
    <x v="4"/>
    <s v="Purchase"/>
    <x v="57"/>
    <x v="2"/>
    <s v="USD"/>
    <d v="2021-11-04T00:00:00"/>
    <n v="141.12307692307692"/>
    <x v="2"/>
    <n v="1"/>
    <n v="141.12307692307692"/>
    <n v="1"/>
    <n v="141.12307692307692"/>
    <n v="20.8598"/>
    <n v="2943.79916"/>
    <n v="116.884"/>
    <n v="122.94799999999999"/>
    <n v="1.0518000000000001"/>
    <n v="3096.2879564880004"/>
    <n v="3096.2879564880004"/>
    <m/>
    <n v="1"/>
    <s v="Sale"/>
    <x v="89"/>
    <s v="USD"/>
    <n v="115.90177419354839"/>
    <n v="1"/>
    <n v="115.90177419354839"/>
    <n v="19.861799999999999"/>
    <n v="2302.0178586774191"/>
    <n v="3096.2879564880004"/>
    <n v="-794.27009781058132"/>
    <n v="0.78356164383561644"/>
    <n v="1"/>
    <n v="-794.27009781058132"/>
    <n v="0"/>
    <m/>
    <n v="-25.221302729528531"/>
  </r>
  <r>
    <x v="4"/>
    <s v="Purchase"/>
    <x v="57"/>
    <x v="2"/>
    <s v="USD"/>
    <d v="2021-11-04T00:00:00"/>
    <n v="1996.67"/>
    <x v="2"/>
    <n v="14"/>
    <n v="142.61928571428572"/>
    <n v="1"/>
    <n v="1996.67"/>
    <n v="20.8598"/>
    <n v="41650.136866000001"/>
    <n v="116.884"/>
    <n v="122.94799999999999"/>
    <n v="1.0518000000000001"/>
    <n v="43807.613955658802"/>
    <n v="3129.1152825470572"/>
    <m/>
    <n v="14"/>
    <s v="Sale"/>
    <x v="89"/>
    <s v="USD"/>
    <n v="1622.6248387096775"/>
    <n v="1"/>
    <n v="1622.6248387096775"/>
    <n v="19.861799999999999"/>
    <n v="32228.250021483873"/>
    <n v="43807.613955658802"/>
    <n v="-11579.363934174929"/>
    <n v="0.78356164383561644"/>
    <n v="1"/>
    <n v="-11579.363934174929"/>
    <n v="0"/>
    <m/>
    <n v="-374.04516129032254"/>
  </r>
  <r>
    <x v="4"/>
    <s v="Purchase"/>
    <x v="57"/>
    <x v="2"/>
    <s v="USD"/>
    <d v="2021-11-04T00:00:00"/>
    <n v="6473.4"/>
    <x v="2"/>
    <n v="45"/>
    <n v="143.85333333333332"/>
    <n v="1"/>
    <n v="6473.4"/>
    <n v="20.8598"/>
    <n v="135033.82931999999"/>
    <n v="116.884"/>
    <n v="122.94799999999999"/>
    <n v="1.0518000000000001"/>
    <n v="142028.58167877601"/>
    <n v="3156.1907039728003"/>
    <m/>
    <n v="45"/>
    <s v="Sale"/>
    <x v="89"/>
    <s v="USD"/>
    <n v="5215.5798387096775"/>
    <n v="1"/>
    <n v="5215.5798387096775"/>
    <n v="19.861799999999999"/>
    <n v="103590.80364048386"/>
    <n v="142028.58167877601"/>
    <n v="-38437.778038292148"/>
    <n v="0.78356164383561644"/>
    <n v="1"/>
    <n v="-38437.778038292148"/>
    <n v="0"/>
    <m/>
    <n v="-1257.8201612903222"/>
  </r>
  <r>
    <x v="4"/>
    <s v="Purchase"/>
    <x v="57"/>
    <x v="2"/>
    <s v="USD"/>
    <d v="2021-11-19T00:00:00"/>
    <n v="257.91000000000003"/>
    <x v="2"/>
    <n v="2"/>
    <n v="128.95500000000001"/>
    <n v="1"/>
    <n v="257.91000000000003"/>
    <n v="20.691199999999998"/>
    <n v="5336.4673920000005"/>
    <n v="116.884"/>
    <n v="122.94799999999999"/>
    <n v="1.0518000000000001"/>
    <n v="5612.8964029056006"/>
    <n v="2806.4482014528003"/>
    <m/>
    <n v="2"/>
    <s v="Sale"/>
    <x v="89"/>
    <s v="USD"/>
    <n v="231.80354838709678"/>
    <n v="1"/>
    <n v="231.80354838709678"/>
    <n v="19.861799999999999"/>
    <n v="4604.0357173548382"/>
    <n v="5612.8964029056006"/>
    <n v="-1008.8606855507624"/>
    <n v="0.74246575342465748"/>
    <n v="1"/>
    <n v="-1008.8606855507624"/>
    <n v="0"/>
    <m/>
    <n v="-26.106451612903243"/>
  </r>
  <r>
    <x v="4"/>
    <s v="Purchase"/>
    <x v="26"/>
    <x v="2"/>
    <s v="USD"/>
    <d v="2022-07-27T00:00:00"/>
    <n v="839.88"/>
    <x v="2"/>
    <n v="5"/>
    <n v="167.976"/>
    <n v="1"/>
    <n v="839.88"/>
    <n v="20.465199999999999"/>
    <n v="17188.312175999999"/>
    <n v="122.94799999999999"/>
    <n v="124.571"/>
    <n v="1.0132000000000001"/>
    <n v="17415.197896723203"/>
    <n v="3483.0395793446405"/>
    <m/>
    <n v="5"/>
    <s v="Sale"/>
    <x v="109"/>
    <s v="USD"/>
    <n v="500.34256465517245"/>
    <n v="1"/>
    <n v="500.34256465517245"/>
    <n v="19.871200000000002"/>
    <n v="9942.4071707758631"/>
    <n v="17415.197896723203"/>
    <n v="-7472.7907259473395"/>
    <n v="0.25205479452054796"/>
    <n v="1"/>
    <n v="-7472.7907259473395"/>
    <n v="0"/>
    <m/>
    <n v="-339.53743534482754"/>
  </r>
  <r>
    <x v="4"/>
    <s v="Purchase"/>
    <x v="26"/>
    <x v="2"/>
    <s v="USD"/>
    <d v="2022-07-27T00:00:00"/>
    <n v="14421.85"/>
    <x v="2"/>
    <n v="86"/>
    <n v="167.69593023255814"/>
    <n v="1"/>
    <n v="14421.85"/>
    <n v="20.465199999999999"/>
    <n v="295146.04462"/>
    <n v="122.94799999999999"/>
    <n v="124.571"/>
    <n v="1.0132000000000001"/>
    <n v="299041.97240898403"/>
    <n v="3477.2322373137677"/>
    <m/>
    <n v="86"/>
    <s v="Sale"/>
    <x v="109"/>
    <s v="USD"/>
    <n v="8605.8921120689665"/>
    <n v="1"/>
    <n v="8605.8921120689665"/>
    <n v="19.871200000000002"/>
    <n v="171009.40333734488"/>
    <n v="299041.97240898403"/>
    <n v="-128032.56907163915"/>
    <n v="0.25205479452054796"/>
    <n v="1"/>
    <n v="-128032.56907163915"/>
    <n v="0"/>
    <m/>
    <n v="-5815.9578879310338"/>
  </r>
  <r>
    <x v="4"/>
    <s v="Purchase"/>
    <x v="26"/>
    <x v="2"/>
    <s v="USD"/>
    <d v="2022-07-27T00:00:00"/>
    <n v="15335.78"/>
    <x v="2"/>
    <n v="91"/>
    <n v="168.52505494505496"/>
    <n v="1"/>
    <n v="15335.78"/>
    <n v="20.465199999999999"/>
    <n v="313849.804856"/>
    <n v="122.94799999999999"/>
    <n v="124.571"/>
    <n v="1.0132000000000001"/>
    <n v="317992.62228009925"/>
    <n v="3494.4244206604312"/>
    <m/>
    <n v="91"/>
    <s v="Sale"/>
    <x v="109"/>
    <s v="USD"/>
    <n v="9106.2346767241379"/>
    <n v="1"/>
    <n v="9106.2346767241379"/>
    <n v="19.871200000000002"/>
    <n v="180951.81050812072"/>
    <n v="317992.62228009925"/>
    <n v="-137040.81177197854"/>
    <n v="0.25205479452054796"/>
    <n v="1"/>
    <n v="-137040.81177197854"/>
    <n v="0"/>
    <m/>
    <n v="-6229.5453232758628"/>
  </r>
  <r>
    <x v="4"/>
    <s v="Purchase"/>
    <x v="26"/>
    <x v="2"/>
    <s v="USD"/>
    <d v="2022-08-01T00:00:00"/>
    <n v="16383.67"/>
    <x v="2"/>
    <n v="100"/>
    <n v="163.83670000000001"/>
    <n v="1"/>
    <n v="16383.67"/>
    <n v="20.377800000000001"/>
    <n v="333863.15052600001"/>
    <n v="123.803"/>
    <n v="124.571"/>
    <n v="1.0062"/>
    <n v="335933.10205926123"/>
    <n v="3359.3310205926123"/>
    <m/>
    <n v="100"/>
    <s v="Sale"/>
    <x v="109"/>
    <s v="USD"/>
    <n v="10006.851293103449"/>
    <n v="1"/>
    <n v="10006.851293103449"/>
    <n v="19.871200000000002"/>
    <n v="198848.14341551729"/>
    <n v="335933.10205926123"/>
    <n v="-137084.95864374394"/>
    <n v="0.23835616438356164"/>
    <n v="1"/>
    <n v="-137084.95864374394"/>
    <n v="0"/>
    <m/>
    <n v="-6376.8187068965508"/>
  </r>
  <r>
    <x v="4"/>
    <s v="Purchase"/>
    <x v="26"/>
    <x v="2"/>
    <s v="USD"/>
    <d v="2022-08-03T00:00:00"/>
    <n v="13866.64"/>
    <x v="2"/>
    <n v="82"/>
    <n v="169.10536585365853"/>
    <n v="1"/>
    <n v="13866.64"/>
    <n v="20.263300000000001"/>
    <n v="280983.88631199999"/>
    <n v="123.803"/>
    <n v="124.571"/>
    <n v="1.0062"/>
    <n v="282725.98640713439"/>
    <n v="3447.877883013834"/>
    <m/>
    <n v="82"/>
    <s v="Sale"/>
    <x v="109"/>
    <s v="USD"/>
    <n v="8205.6180603448283"/>
    <n v="1"/>
    <n v="8205.6180603448283"/>
    <n v="19.871200000000002"/>
    <n v="163055.47760072417"/>
    <n v="282725.98640713439"/>
    <n v="-119670.50880641022"/>
    <n v="0.23287671232876711"/>
    <n v="1"/>
    <n v="-119670.50880641022"/>
    <n v="0"/>
    <m/>
    <n v="-5661.0219396551711"/>
  </r>
  <r>
    <x v="4"/>
    <s v="Purchase"/>
    <x v="26"/>
    <x v="2"/>
    <s v="USD"/>
    <d v="2022-08-08T00:00:00"/>
    <n v="17207.39"/>
    <x v="2"/>
    <n v="100"/>
    <n v="172.07389999999998"/>
    <n v="1"/>
    <n v="17207.39"/>
    <n v="20.335799999999999"/>
    <n v="349926.041562"/>
    <n v="123.803"/>
    <n v="124.571"/>
    <n v="1.0062"/>
    <n v="352095.58301968442"/>
    <n v="3520.9558301968441"/>
    <m/>
    <n v="100"/>
    <s v="Sale"/>
    <x v="109"/>
    <s v="USD"/>
    <n v="10006.851293103449"/>
    <n v="1"/>
    <n v="10006.851293103449"/>
    <n v="19.871200000000002"/>
    <n v="198848.14341551729"/>
    <n v="352095.58301968442"/>
    <n v="-153247.43960416713"/>
    <n v="0.21917808219178081"/>
    <n v="1"/>
    <n v="-153247.43960416713"/>
    <n v="0"/>
    <m/>
    <n v="-7200.5387068965501"/>
  </r>
  <r>
    <x v="4"/>
    <s v="Purchase"/>
    <x v="61"/>
    <x v="2"/>
    <s v="USD"/>
    <d v="2021-03-04T00:00:00"/>
    <n v="4649.92"/>
    <x v="2"/>
    <n v="16"/>
    <n v="290.62"/>
    <n v="1"/>
    <n v="4649.92"/>
    <n v="20.690300000000001"/>
    <n v="96208.239776000002"/>
    <n v="111.824"/>
    <n v="124.571"/>
    <n v="1.1138999999999999"/>
    <n v="107166.35828648639"/>
    <n v="6697.8973929053991"/>
    <m/>
    <n v="16"/>
    <s v="Sale"/>
    <x v="110"/>
    <s v="USD"/>
    <n v="3180.0689230769231"/>
    <n v="1"/>
    <n v="3180.0689230769231"/>
    <n v="20.127199999999998"/>
    <n v="64005.883228553837"/>
    <n v="107166.35828648639"/>
    <n v="-43160.475057932548"/>
    <n v="1.6328767123287671"/>
    <n v="1"/>
    <n v="-43160.475057932548"/>
    <n v="0"/>
    <m/>
    <n v="-1469.851076923077"/>
  </r>
  <r>
    <x v="4"/>
    <s v="Purchase"/>
    <x v="61"/>
    <x v="2"/>
    <s v="USD"/>
    <d v="2021-03-29T00:00:00"/>
    <n v="11798.930000000002"/>
    <x v="2"/>
    <n v="41"/>
    <n v="287.77878048780491"/>
    <n v="1"/>
    <n v="11798.930000000002"/>
    <n v="20.766200000000001"/>
    <n v="245018.94016600007"/>
    <n v="111.824"/>
    <n v="124.571"/>
    <n v="1.1138999999999999"/>
    <n v="272926.59745090746"/>
    <n v="6656.7462792904262"/>
    <m/>
    <n v="41"/>
    <s v="Sale"/>
    <x v="110"/>
    <s v="USD"/>
    <n v="8148.9266153846156"/>
    <n v="1"/>
    <n v="8148.9266153846156"/>
    <n v="20.127199999999998"/>
    <n v="164015.07577316923"/>
    <n v="272926.59745090746"/>
    <n v="-108911.52167773823"/>
    <n v="1.5643835616438355"/>
    <n v="1"/>
    <n v="-108911.52167773823"/>
    <n v="0"/>
    <m/>
    <n v="-3650.0033846153865"/>
  </r>
  <r>
    <x v="4"/>
    <s v="Purchase"/>
    <x v="61"/>
    <x v="2"/>
    <s v="USD"/>
    <d v="2021-06-01T00:00:00"/>
    <n v="2469.04"/>
    <x v="2"/>
    <n v="8"/>
    <n v="308.63"/>
    <n v="1"/>
    <n v="2469.04"/>
    <n v="19.944199999999999"/>
    <n v="49243.027567999998"/>
    <n v="113.018"/>
    <n v="124.571"/>
    <n v="1.1022000000000001"/>
    <n v="54275.664985449599"/>
    <n v="6784.4581231811999"/>
    <m/>
    <n v="8"/>
    <s v="Sale"/>
    <x v="110"/>
    <s v="USD"/>
    <n v="1590.0344615384615"/>
    <n v="1"/>
    <n v="1590.0344615384615"/>
    <n v="20.127199999999998"/>
    <n v="32002.941614276919"/>
    <n v="54275.664985449599"/>
    <n v="-22272.72337117268"/>
    <n v="1.3890410958904109"/>
    <n v="1"/>
    <n v="-22272.72337117268"/>
    <n v="0"/>
    <m/>
    <n v="-879.00553846153844"/>
  </r>
  <r>
    <x v="4"/>
    <s v="Purchase"/>
    <x v="61"/>
    <x v="2"/>
    <s v="USD"/>
    <d v="2021-06-01T00:00:00"/>
    <n v="5246.71"/>
    <x v="2"/>
    <n v="17"/>
    <n v="308.63"/>
    <n v="1"/>
    <n v="5246.71"/>
    <n v="19.944199999999999"/>
    <n v="104641.433582"/>
    <n v="113.018"/>
    <n v="124.571"/>
    <n v="1.1022000000000001"/>
    <n v="115335.7880940804"/>
    <n v="6784.4581231811999"/>
    <m/>
    <n v="17"/>
    <s v="Sale"/>
    <x v="110"/>
    <s v="USD"/>
    <n v="3401.0530555555556"/>
    <n v="1"/>
    <n v="3401.0530555555556"/>
    <n v="20.127199999999998"/>
    <n v="68453.675059777772"/>
    <n v="115335.7880940804"/>
    <n v="-46882.113034302631"/>
    <n v="1.3890410958904109"/>
    <n v="1"/>
    <n v="-46882.113034302631"/>
    <n v="0"/>
    <m/>
    <n v="-1845.6569444444444"/>
  </r>
  <r>
    <x v="4"/>
    <s v="Purchase"/>
    <x v="61"/>
    <x v="2"/>
    <s v="USD"/>
    <d v="2021-08-23T00:00:00"/>
    <n v="6429.0870000000014"/>
    <x v="2"/>
    <n v="19"/>
    <n v="338.37300000000005"/>
    <n v="1"/>
    <n v="6429.0870000000014"/>
    <n v="20.1175"/>
    <n v="129337.15772250002"/>
    <n v="113.899"/>
    <n v="124.571"/>
    <n v="1.0935999999999999"/>
    <n v="141443.11568532602"/>
    <n v="7444.3745097540013"/>
    <m/>
    <n v="19"/>
    <s v="Sale"/>
    <x v="110"/>
    <s v="USD"/>
    <n v="3801.1769444444444"/>
    <n v="1"/>
    <n v="3801.1769444444444"/>
    <n v="20.127199999999998"/>
    <n v="76507.048596222216"/>
    <n v="141443.11568532602"/>
    <n v="-64936.067089103803"/>
    <n v="1.1616438356164382"/>
    <n v="1"/>
    <n v="-64936.067089103803"/>
    <n v="0"/>
    <m/>
    <n v="-2627.9100555555569"/>
  </r>
  <r>
    <x v="4"/>
    <s v="Purchase"/>
    <x v="184"/>
    <x v="2"/>
    <s v="USD"/>
    <d v="2020-12-09T00:00:00"/>
    <n v="1095.245789473684"/>
    <x v="2"/>
    <n v="15"/>
    <n v="73.01638596491226"/>
    <n v="1"/>
    <n v="1095.245789473684"/>
    <n v="19.821300000000001"/>
    <n v="21709.195366894735"/>
    <n v="109.271"/>
    <n v="122.94799999999999"/>
    <n v="1.1251"/>
    <n v="24425.015707293267"/>
    <n v="1628.3343804862177"/>
    <m/>
    <n v="15"/>
    <s v="Sale"/>
    <x v="111"/>
    <s v="USD"/>
    <n v="1337.7583333333332"/>
    <n v="1"/>
    <n v="1337.7583333333332"/>
    <n v="20.2789"/>
    <n v="27128.267465833331"/>
    <n v="24425.015707293267"/>
    <n v="2703.2517585400637"/>
    <n v="1.6684931506849314"/>
    <n v="1"/>
    <n v="2703.2517585400637"/>
    <n v="0"/>
    <m/>
    <n v="242.51254385964921"/>
  </r>
  <r>
    <x v="4"/>
    <s v="Purchase"/>
    <x v="184"/>
    <x v="2"/>
    <s v="USD"/>
    <d v="2020-12-14T00:00:00"/>
    <n v="8463.98"/>
    <x v="2"/>
    <n v="113"/>
    <n v="74.90247787610619"/>
    <n v="1"/>
    <n v="8463.98"/>
    <n v="19.9572"/>
    <n v="168917.341656"/>
    <n v="109.271"/>
    <n v="122.94799999999999"/>
    <n v="1.1251"/>
    <n v="190048.9010971656"/>
    <n v="1681.8486822758018"/>
    <m/>
    <n v="113"/>
    <s v="Sale"/>
    <x v="111"/>
    <s v="USD"/>
    <n v="10077.779444444444"/>
    <n v="1"/>
    <n v="10077.779444444444"/>
    <n v="20.2789"/>
    <n v="204366.28157594445"/>
    <n v="190048.9010971656"/>
    <n v="14317.380478778854"/>
    <n v="1.6547945205479453"/>
    <n v="1"/>
    <n v="14317.380478778854"/>
    <n v="0"/>
    <m/>
    <n v="1613.7994444444448"/>
  </r>
  <r>
    <x v="4"/>
    <s v="Purchase"/>
    <x v="184"/>
    <x v="2"/>
    <s v="USD"/>
    <d v="2020-12-15T00:00:00"/>
    <n v="2536.0543333333339"/>
    <x v="2"/>
    <n v="34"/>
    <n v="74.589833333333345"/>
    <n v="1"/>
    <n v="2536.0543333333339"/>
    <n v="20.107500000000002"/>
    <n v="50993.712507500015"/>
    <n v="109.271"/>
    <n v="122.94799999999999"/>
    <n v="1.1251"/>
    <n v="57373.025942188266"/>
    <n v="1687.4419394761255"/>
    <m/>
    <n v="34"/>
    <s v="Sale"/>
    <x v="111"/>
    <s v="USD"/>
    <n v="3032.2522222222224"/>
    <n v="1"/>
    <n v="3032.2522222222224"/>
    <n v="20.2789"/>
    <n v="61490.739589222227"/>
    <n v="57373.025942188266"/>
    <n v="4117.713647033961"/>
    <n v="1.6520547945205479"/>
    <n v="1"/>
    <n v="4117.713647033961"/>
    <n v="0"/>
    <m/>
    <n v="496.19788888888843"/>
  </r>
  <r>
    <x v="4"/>
    <s v="Purchase"/>
    <x v="184"/>
    <x v="2"/>
    <s v="USD"/>
    <d v="2020-12-15T00:00:00"/>
    <n v="1566.3865000000003"/>
    <x v="2"/>
    <n v="21"/>
    <n v="74.589833333333345"/>
    <n v="1"/>
    <n v="1566.3865000000003"/>
    <n v="20.107500000000002"/>
    <n v="31496.116548750007"/>
    <n v="109.271"/>
    <n v="122.94799999999999"/>
    <n v="1.1251"/>
    <n v="35436.28072899863"/>
    <n v="1687.4419394761253"/>
    <m/>
    <n v="21"/>
    <s v="Sale"/>
    <x v="111"/>
    <s v="USD"/>
    <n v="1871.43"/>
    <n v="1"/>
    <n v="1871.43"/>
    <n v="20.2789"/>
    <n v="37950.541827000001"/>
    <n v="35436.28072899863"/>
    <n v="2514.2610980013706"/>
    <n v="1.6520547945205479"/>
    <n v="1"/>
    <n v="2514.2610980013706"/>
    <n v="0"/>
    <m/>
    <n v="305.04349999999977"/>
  </r>
  <r>
    <x v="4"/>
    <s v="Purchase"/>
    <x v="184"/>
    <x v="2"/>
    <s v="USD"/>
    <d v="2020-12-15T00:00:00"/>
    <n v="4848.3391666666676"/>
    <x v="2"/>
    <n v="65"/>
    <n v="74.589833333333345"/>
    <n v="1"/>
    <n v="4848.3391666666676"/>
    <n v="20.107500000000002"/>
    <n v="97487.979793750026"/>
    <n v="109.271"/>
    <n v="124.571"/>
    <n v="1.1399999999999999"/>
    <n v="111136.29696487501"/>
    <n v="1709.7891840750003"/>
    <m/>
    <n v="65"/>
    <s v="Sale"/>
    <x v="112"/>
    <s v="USD"/>
    <n v="4635.4854357798167"/>
    <n v="1"/>
    <n v="4635.4854357798167"/>
    <n v="19.965199999999999"/>
    <n v="92548.393822431201"/>
    <n v="111136.29696487501"/>
    <n v="-18587.903142443814"/>
    <n v="1.8273972602739725"/>
    <n v="1"/>
    <n v="-18587.903142443814"/>
    <n v="0"/>
    <m/>
    <n v="-212.85373088685083"/>
  </r>
  <r>
    <x v="4"/>
    <s v="Purchase"/>
    <x v="184"/>
    <x v="2"/>
    <s v="USD"/>
    <d v="2020-12-29T00:00:00"/>
    <n v="9052.5400000000009"/>
    <x v="2"/>
    <n v="120"/>
    <n v="75.437833333333344"/>
    <n v="1"/>
    <n v="9052.5400000000009"/>
    <n v="19.851700000000001"/>
    <n v="179708.30831800002"/>
    <n v="109.271"/>
    <n v="124.571"/>
    <n v="1.1399999999999999"/>
    <n v="204867.47148252002"/>
    <n v="1707.2289290210001"/>
    <m/>
    <n v="120"/>
    <s v="Sale"/>
    <x v="112"/>
    <s v="USD"/>
    <n v="8557.8192660550449"/>
    <n v="1"/>
    <n v="8557.8192660550449"/>
    <n v="19.965199999999999"/>
    <n v="170858.57321064218"/>
    <n v="204867.47148252002"/>
    <n v="-34008.898271877842"/>
    <n v="1.789041095890411"/>
    <n v="1"/>
    <n v="-34008.898271877842"/>
    <n v="0"/>
    <m/>
    <n v="-494.72073394495601"/>
  </r>
  <r>
    <x v="4"/>
    <s v="Purchase"/>
    <x v="184"/>
    <x v="2"/>
    <s v="USD"/>
    <d v="2021-03-02T00:00:00"/>
    <n v="3282.2708547008542"/>
    <x v="2"/>
    <n v="43"/>
    <n v="76.331880341880336"/>
    <n v="1"/>
    <n v="3282.2708547008542"/>
    <n v="20.939"/>
    <n v="68727.469426581185"/>
    <n v="111.824"/>
    <n v="124.571"/>
    <n v="1.1138999999999999"/>
    <n v="76555.528194268772"/>
    <n v="1780.3611207969482"/>
    <m/>
    <n v="43"/>
    <s v="Sale"/>
    <x v="112"/>
    <s v="USD"/>
    <n v="3066.5519036697247"/>
    <n v="1"/>
    <n v="3066.5519036697247"/>
    <n v="19.965199999999999"/>
    <n v="61224.322067146786"/>
    <n v="76555.528194268772"/>
    <n v="-15331.206127121986"/>
    <n v="1.6164383561643836"/>
    <n v="1"/>
    <n v="-15331.206127121986"/>
    <n v="0"/>
    <m/>
    <n v="-215.71895103112956"/>
  </r>
  <r>
    <x v="4"/>
    <s v="Purchase"/>
    <x v="184"/>
    <x v="2"/>
    <s v="USD"/>
    <d v="2021-03-04T00:00:00"/>
    <n v="15139.466041055721"/>
    <x v="2"/>
    <n v="208"/>
    <n v="72.785894428152503"/>
    <n v="1"/>
    <n v="15139.466041055721"/>
    <n v="20.690300000000001"/>
    <n v="313240.09422925516"/>
    <n v="111.824"/>
    <n v="124.571"/>
    <n v="1.1138999999999999"/>
    <n v="348918.14096196729"/>
    <n v="1677.4910623171504"/>
    <m/>
    <n v="208"/>
    <s v="Sale"/>
    <x v="112"/>
    <s v="USD"/>
    <n v="14833.553394495413"/>
    <n v="1"/>
    <n v="14833.553394495413"/>
    <n v="19.965199999999999"/>
    <n v="296154.86023177981"/>
    <n v="348918.14096196729"/>
    <n v="-52763.280730187485"/>
    <n v="1.6109589041095891"/>
    <n v="1"/>
    <n v="-52763.280730187485"/>
    <n v="0"/>
    <m/>
    <n v="-305.91264656030762"/>
  </r>
  <r>
    <x v="4"/>
    <s v="Purchase"/>
    <x v="184"/>
    <x v="2"/>
    <s v="USD"/>
    <d v="2021-03-04T00:00:00"/>
    <n v="655.07304985337248"/>
    <x v="2"/>
    <n v="9"/>
    <n v="72.785894428152503"/>
    <n v="1"/>
    <n v="655.07304985337248"/>
    <n v="20.690300000000001"/>
    <n v="13553.657923381234"/>
    <n v="111.824"/>
    <n v="124.571"/>
    <n v="1.1138999999999999"/>
    <n v="15097.419560854354"/>
    <n v="1677.4910623171504"/>
    <m/>
    <n v="9"/>
    <s v="Sale"/>
    <x v="112"/>
    <s v="USD"/>
    <n v="639.4"/>
    <n v="1"/>
    <n v="639.4"/>
    <n v="19.965199999999999"/>
    <n v="12765.748879999999"/>
    <n v="15097.419560854354"/>
    <n v="-2331.6706808543549"/>
    <n v="1.6109589041095891"/>
    <n v="1"/>
    <n v="-2331.6706808543549"/>
    <n v="0"/>
    <m/>
    <n v="-15.673049853372504"/>
  </r>
  <r>
    <x v="4"/>
    <s v="Purchase"/>
    <x v="185"/>
    <x v="2"/>
    <s v="USD"/>
    <d v="2021-03-05T00:00:00"/>
    <n v="11543.05806451613"/>
    <x v="2"/>
    <n v="200"/>
    <n v="57.71529032258065"/>
    <n v="1"/>
    <n v="11543.05806451613"/>
    <n v="20.895700000000001"/>
    <n v="241200.27839870972"/>
    <n v="111.824"/>
    <n v="124.571"/>
    <n v="1.1138999999999999"/>
    <n v="268672.99010832276"/>
    <n v="1343.3649505416138"/>
    <m/>
    <n v="200"/>
    <s v="Sale"/>
    <x v="110"/>
    <s v="USD"/>
    <n v="8181.9704433497545"/>
    <n v="1"/>
    <n v="8181.9704433497545"/>
    <n v="20.127199999999998"/>
    <n v="164680.15550738916"/>
    <n v="268672.99010832276"/>
    <n v="-103992.83460093359"/>
    <n v="1.6301369863013699"/>
    <n v="1"/>
    <n v="-103992.83460093359"/>
    <n v="0"/>
    <m/>
    <n v="-3361.0876211663754"/>
  </r>
  <r>
    <x v="4"/>
    <s v="Purchase"/>
    <x v="185"/>
    <x v="2"/>
    <s v="USD"/>
    <d v="2021-03-22T00:00:00"/>
    <n v="176.71540540540536"/>
    <x v="2"/>
    <n v="3"/>
    <n v="58.905135135135119"/>
    <n v="1"/>
    <n v="176.71540540540536"/>
    <n v="20.441500000000001"/>
    <n v="3612.3279595945942"/>
    <n v="111.824"/>
    <n v="124.571"/>
    <n v="1.1138999999999999"/>
    <n v="4023.772114192418"/>
    <n v="1341.2573713974728"/>
    <m/>
    <n v="3"/>
    <s v="Sale"/>
    <x v="110"/>
    <s v="USD"/>
    <n v="122.72955665024632"/>
    <n v="1"/>
    <n v="122.72955665024632"/>
    <n v="20.127199999999998"/>
    <n v="2470.2023326108374"/>
    <n v="4023.7721141924185"/>
    <n v="-1553.5697815815811"/>
    <n v="1.5835616438356164"/>
    <n v="1"/>
    <n v="-1553.5697815815811"/>
    <n v="0"/>
    <m/>
    <n v="-53.98584875515904"/>
  </r>
  <r>
    <x v="4"/>
    <s v="Purchase"/>
    <x v="185"/>
    <x v="2"/>
    <s v="USD"/>
    <d v="2021-03-22T00:00:00"/>
    <n v="2002.7745945945942"/>
    <x v="2"/>
    <n v="34"/>
    <n v="58.905135135135126"/>
    <n v="1"/>
    <n v="2002.7745945945942"/>
    <n v="20.441500000000001"/>
    <n v="40939.7168754054"/>
    <n v="111.824"/>
    <n v="124.571"/>
    <n v="1.1138999999999999"/>
    <n v="45602.750627514069"/>
    <n v="1341.2573713974725"/>
    <m/>
    <n v="34"/>
    <s v="Sale"/>
    <x v="110"/>
    <s v="USD"/>
    <n v="1390.9362637362638"/>
    <n v="1"/>
    <n v="1390.9362637362638"/>
    <n v="20.127199999999998"/>
    <n v="27995.652367472525"/>
    <n v="45602.750627514062"/>
    <n v="-17607.098260041537"/>
    <n v="1.5835616438356164"/>
    <n v="1"/>
    <n v="-17607.098260041537"/>
    <n v="0"/>
    <m/>
    <n v="-611.83833085833044"/>
  </r>
  <r>
    <x v="4"/>
    <s v="Purchase"/>
    <x v="185"/>
    <x v="2"/>
    <s v="USD"/>
    <d v="2021-03-22T00:00:00"/>
    <n v="8685.8832000000002"/>
    <x v="2"/>
    <n v="148"/>
    <n v="58.688400000000001"/>
    <n v="1"/>
    <n v="8685.8832000000002"/>
    <n v="20.441500000000001"/>
    <n v="177552.48143280001"/>
    <n v="111.824"/>
    <n v="124.571"/>
    <n v="1.1138999999999999"/>
    <n v="197775.70906799592"/>
    <n v="1336.32235856754"/>
    <m/>
    <n v="148"/>
    <s v="Sale"/>
    <x v="110"/>
    <s v="USD"/>
    <n v="6054.6637362637366"/>
    <n v="1"/>
    <n v="6054.6637362637366"/>
    <n v="20.127199999999998"/>
    <n v="121863.42795252748"/>
    <n v="197775.70906799592"/>
    <n v="-75912.281115468446"/>
    <n v="1.5835616438356164"/>
    <n v="1"/>
    <n v="-75912.281115468446"/>
    <n v="0"/>
    <m/>
    <n v="-2631.2194637362636"/>
  </r>
  <r>
    <x v="4"/>
    <s v="Purchase"/>
    <x v="186"/>
    <x v="2"/>
    <s v="USD"/>
    <d v="2021-01-26T00:00:00"/>
    <n v="328.71066666666667"/>
    <x v="2"/>
    <n v="7"/>
    <n v="46.958666666666666"/>
    <n v="1"/>
    <n v="328.71066666666667"/>
    <n v="19.9833"/>
    <n v="6568.7238651999996"/>
    <n v="110.21"/>
    <n v="123.803"/>
    <n v="1.1233"/>
    <n v="7378.647517779159"/>
    <n v="1054.0925025398799"/>
    <m/>
    <n v="7"/>
    <s v="Sale"/>
    <x v="104"/>
    <s v="USD"/>
    <n v="256.74098765432103"/>
    <n v="1"/>
    <n v="256.74098765432103"/>
    <n v="20.351700000000001"/>
    <n v="5225.1155584444459"/>
    <n v="7378.647517779159"/>
    <n v="-2153.5319593347131"/>
    <n v="1.6712328767123288"/>
    <n v="1"/>
    <n v="-2153.5319593347131"/>
    <n v="0"/>
    <m/>
    <n v="-71.969679012345637"/>
  </r>
  <r>
    <x v="4"/>
    <s v="Purchase"/>
    <x v="186"/>
    <x v="2"/>
    <s v="USD"/>
    <d v="2021-01-26T00:00:00"/>
    <n v="661.33"/>
    <x v="2"/>
    <n v="14"/>
    <n v="47.237857142857145"/>
    <n v="1"/>
    <n v="661.33"/>
    <n v="19.9833"/>
    <n v="13215.555789"/>
    <n v="110.21"/>
    <n v="123.803"/>
    <n v="1.1233"/>
    <n v="14845.0338177837"/>
    <n v="1060.3595584131215"/>
    <m/>
    <n v="14"/>
    <s v="Sale"/>
    <x v="104"/>
    <s v="USD"/>
    <n v="513.48197530864206"/>
    <n v="1"/>
    <n v="513.48197530864206"/>
    <n v="20.351700000000001"/>
    <n v="10450.231116888892"/>
    <n v="14845.0338177837"/>
    <n v="-4394.8027008948084"/>
    <n v="1.6712328767123288"/>
    <n v="1"/>
    <n v="-4394.8027008948084"/>
    <n v="0"/>
    <m/>
    <n v="-147.84802469135798"/>
  </r>
  <r>
    <x v="4"/>
    <s v="Purchase"/>
    <x v="186"/>
    <x v="2"/>
    <s v="USD"/>
    <d v="2021-01-26T00:00:00"/>
    <n v="328.71"/>
    <x v="2"/>
    <n v="7"/>
    <n v="46.958571428571425"/>
    <n v="1"/>
    <n v="328.71"/>
    <n v="19.9833"/>
    <n v="6568.7105429999992"/>
    <n v="110.21"/>
    <n v="123.803"/>
    <n v="1.1233"/>
    <n v="7378.632552951899"/>
    <n v="1054.0903647074142"/>
    <m/>
    <n v="7"/>
    <s v="Sale"/>
    <x v="104"/>
    <s v="USD"/>
    <n v="256.74098765432103"/>
    <n v="1"/>
    <n v="256.74098765432103"/>
    <n v="20.351700000000001"/>
    <n v="5225.1155584444459"/>
    <n v="7378.6325529518999"/>
    <n v="-2153.516994507454"/>
    <n v="1.6712328767123288"/>
    <n v="1"/>
    <n v="-2153.516994507454"/>
    <n v="0"/>
    <m/>
    <n v="-71.969012345678948"/>
  </r>
  <r>
    <x v="4"/>
    <s v="Purchase"/>
    <x v="186"/>
    <x v="2"/>
    <s v="USD"/>
    <d v="2021-01-27T00:00:00"/>
    <n v="191.1"/>
    <x v="2"/>
    <n v="4"/>
    <n v="47.774999999999999"/>
    <n v="1"/>
    <n v="191.1"/>
    <n v="20.159800000000001"/>
    <n v="3852.5377800000001"/>
    <n v="110.21"/>
    <n v="123.803"/>
    <n v="1.1233"/>
    <n v="4327.5556882740002"/>
    <n v="1081.8889220685001"/>
    <m/>
    <n v="4"/>
    <s v="Sale"/>
    <x v="104"/>
    <s v="USD"/>
    <n v="146.70913580246915"/>
    <n v="1"/>
    <n v="146.70913580246915"/>
    <n v="20.351700000000001"/>
    <n v="2985.7803191111116"/>
    <n v="4327.5556882740002"/>
    <n v="-1341.7753691628886"/>
    <n v="1.6684931506849314"/>
    <n v="1"/>
    <n v="-1341.7753691628886"/>
    <n v="0"/>
    <m/>
    <n v="-44.390864197530846"/>
  </r>
  <r>
    <x v="4"/>
    <s v="Purchase"/>
    <x v="186"/>
    <x v="2"/>
    <s v="USD"/>
    <d v="2021-01-27T00:00:00"/>
    <n v="143.33000000000001"/>
    <x v="2"/>
    <n v="3"/>
    <n v="47.776666666666671"/>
    <n v="1"/>
    <n v="143.33000000000001"/>
    <n v="20.159800000000001"/>
    <n v="2889.5041340000002"/>
    <n v="110.21"/>
    <n v="123.803"/>
    <n v="1.1233"/>
    <n v="3245.7799937222003"/>
    <n v="1081.9266645740668"/>
    <m/>
    <n v="3"/>
    <s v="Sale"/>
    <x v="104"/>
    <s v="USD"/>
    <n v="110.03185185185185"/>
    <n v="1"/>
    <n v="110.03185185185185"/>
    <n v="20.351700000000001"/>
    <n v="2239.3352393333334"/>
    <n v="3245.7799937222003"/>
    <n v="-1006.4447543888668"/>
    <n v="1.6684931506849314"/>
    <n v="1"/>
    <n v="-1006.4447543888668"/>
    <n v="0"/>
    <m/>
    <n v="-33.298148148148158"/>
  </r>
  <r>
    <x v="4"/>
    <s v="Purchase"/>
    <x v="186"/>
    <x v="2"/>
    <s v="USD"/>
    <d v="2021-01-27T00:00:00"/>
    <n v="191.1"/>
    <x v="2"/>
    <n v="4"/>
    <n v="47.774999999999999"/>
    <n v="1"/>
    <n v="191.1"/>
    <n v="20.159800000000001"/>
    <n v="3852.5377800000001"/>
    <n v="110.21"/>
    <n v="123.803"/>
    <n v="1.1233"/>
    <n v="4327.5556882740002"/>
    <n v="1081.8889220685001"/>
    <m/>
    <n v="4"/>
    <s v="Sale"/>
    <x v="104"/>
    <s v="USD"/>
    <n v="146.70913580246915"/>
    <n v="1"/>
    <n v="146.70913580246915"/>
    <n v="20.351700000000001"/>
    <n v="2985.7803191111116"/>
    <n v="4327.5556882740002"/>
    <n v="-1341.7753691628886"/>
    <n v="1.6684931506849314"/>
    <n v="1"/>
    <n v="-1341.7753691628886"/>
    <n v="0"/>
    <m/>
    <n v="-44.390864197530846"/>
  </r>
  <r>
    <x v="4"/>
    <s v="Purchase"/>
    <x v="186"/>
    <x v="2"/>
    <s v="USD"/>
    <d v="2021-03-04T00:00:00"/>
    <n v="2436.159928825623"/>
    <x v="2"/>
    <n v="42"/>
    <n v="58.003807829181497"/>
    <n v="1"/>
    <n v="2436.159928825623"/>
    <n v="20.690300000000001"/>
    <n v="50404.879775380788"/>
    <n v="111.824"/>
    <n v="123.803"/>
    <n v="1.1071"/>
    <n v="55803.242399324066"/>
    <n v="1328.6486285553349"/>
    <m/>
    <n v="42"/>
    <s v="Sale"/>
    <x v="104"/>
    <s v="USD"/>
    <n v="1540.4459259259261"/>
    <n v="1"/>
    <n v="1540.4459259259261"/>
    <n v="20.351700000000001"/>
    <n v="31350.693350666672"/>
    <n v="55803.242399324066"/>
    <n v="-24452.549048657394"/>
    <n v="1.5698630136986302"/>
    <n v="1"/>
    <n v="-24452.549048657394"/>
    <n v="0"/>
    <m/>
    <n v="-895.71400289969688"/>
  </r>
  <r>
    <x v="4"/>
    <s v="Purchase"/>
    <x v="186"/>
    <x v="2"/>
    <s v="USD"/>
    <d v="2021-03-04T00:00:00"/>
    <n v="2494.1637366548043"/>
    <x v="2"/>
    <n v="43"/>
    <n v="58.003807829181497"/>
    <n v="1"/>
    <n v="2494.1637366548043"/>
    <n v="20.690300000000001"/>
    <n v="51604.995960508902"/>
    <n v="111.824"/>
    <n v="123.803"/>
    <n v="1.1071"/>
    <n v="57131.891027879406"/>
    <n v="1328.6486285553351"/>
    <m/>
    <n v="43"/>
    <s v="Sale"/>
    <x v="104"/>
    <s v="USD"/>
    <n v="1584.64"/>
    <n v="1"/>
    <n v="1584.64"/>
    <n v="20.351700000000001"/>
    <n v="32250.117888000004"/>
    <n v="57131.891027879406"/>
    <n v="-24881.773139879402"/>
    <n v="1.5698630136986302"/>
    <n v="1"/>
    <n v="-24881.773139879402"/>
    <n v="0"/>
    <m/>
    <n v="-909.52373665480422"/>
  </r>
  <r>
    <x v="4"/>
    <s v="Purchase"/>
    <x v="186"/>
    <x v="2"/>
    <s v="USD"/>
    <d v="2021-03-04T00:00:00"/>
    <n v="2204.144697508897"/>
    <x v="2"/>
    <n v="38"/>
    <n v="58.003807829181504"/>
    <n v="1"/>
    <n v="2204.144697508897"/>
    <n v="20.690300000000001"/>
    <n v="45604.415034868332"/>
    <n v="111.824"/>
    <n v="123.803"/>
    <n v="1.1071"/>
    <n v="50488.647885102728"/>
    <n v="1328.6486285553349"/>
    <m/>
    <n v="38"/>
    <s v="Sale"/>
    <x v="104"/>
    <s v="USD"/>
    <n v="1393.4300000000003"/>
    <n v="1"/>
    <n v="1393.4300000000003"/>
    <n v="20.351700000000001"/>
    <n v="28358.669331000008"/>
    <n v="50488.647885102728"/>
    <n v="-22129.978554102719"/>
    <n v="1.5698630136986302"/>
    <n v="1"/>
    <n v="-22129.978554102719"/>
    <n v="0"/>
    <m/>
    <n v="-810.71469750889673"/>
  </r>
  <r>
    <x v="4"/>
    <s v="Purchase"/>
    <x v="186"/>
    <x v="2"/>
    <s v="USD"/>
    <d v="2021-03-04T00:00:00"/>
    <n v="174.0114234875445"/>
    <x v="2"/>
    <n v="3"/>
    <n v="58.003807829181504"/>
    <n v="1"/>
    <n v="174.0114234875445"/>
    <n v="20.690300000000001"/>
    <n v="3600.348555384342"/>
    <n v="111.824"/>
    <n v="123.803"/>
    <n v="1.1071"/>
    <n v="3985.9458856660049"/>
    <n v="1328.6486285553349"/>
    <m/>
    <n v="3"/>
    <s v="Sale"/>
    <x v="104"/>
    <s v="USD"/>
    <n v="110.16"/>
    <n v="1"/>
    <n v="110.16"/>
    <n v="20.351700000000001"/>
    <n v="2241.943272"/>
    <n v="3985.9458856660049"/>
    <n v="-1744.0026136660049"/>
    <n v="1.5698630136986302"/>
    <n v="1"/>
    <n v="-1744.0026136660049"/>
    <n v="0"/>
    <m/>
    <n v="-63.851423487544508"/>
  </r>
  <r>
    <x v="4"/>
    <s v="Purchase"/>
    <x v="186"/>
    <x v="2"/>
    <s v="USD"/>
    <d v="2021-06-01T00:00:00"/>
    <n v="1117.6779661016949"/>
    <x v="2"/>
    <n v="17"/>
    <n v="65.745762711864401"/>
    <n v="1"/>
    <n v="1117.6779661016949"/>
    <n v="19.944199999999999"/>
    <n v="22291.192891525421"/>
    <n v="113.018"/>
    <n v="123.803"/>
    <n v="1.0953999999999999"/>
    <n v="24417.772693376945"/>
    <n v="1436.3395701986437"/>
    <m/>
    <n v="17"/>
    <s v="Sale"/>
    <x v="104"/>
    <s v="USD"/>
    <n v="624.24"/>
    <n v="1"/>
    <n v="624.24"/>
    <n v="20.351700000000001"/>
    <n v="12704.345208000001"/>
    <n v="24417.772693376945"/>
    <n v="-11713.427485376944"/>
    <n v="1.3260273972602741"/>
    <n v="1"/>
    <n v="-11713.427485376944"/>
    <n v="0"/>
    <m/>
    <n v="-493.43796610169488"/>
  </r>
  <r>
    <x v="4"/>
    <s v="Purchase"/>
    <x v="186"/>
    <x v="2"/>
    <s v="USD"/>
    <d v="2021-06-01T00:00:00"/>
    <n v="591.71186440677957"/>
    <x v="2"/>
    <n v="9"/>
    <n v="65.745762711864401"/>
    <n v="1"/>
    <n v="591.71186440677957"/>
    <n v="19.944199999999999"/>
    <n v="11801.219766101693"/>
    <n v="113.018"/>
    <n v="123.803"/>
    <n v="1.0953999999999999"/>
    <n v="12927.056131787793"/>
    <n v="1436.3395701986437"/>
    <m/>
    <n v="9"/>
    <s v="Sale"/>
    <x v="104"/>
    <s v="USD"/>
    <n v="329.97"/>
    <n v="1"/>
    <n v="329.97"/>
    <n v="20.351700000000001"/>
    <n v="6715.4504490000008"/>
    <n v="12927.056131787795"/>
    <n v="-6211.6056827877937"/>
    <n v="1.3260273972602741"/>
    <n v="1"/>
    <n v="-6211.6056827877937"/>
    <n v="0"/>
    <m/>
    <n v="-261.74186440677954"/>
  </r>
  <r>
    <x v="4"/>
    <s v="Purchase"/>
    <x v="186"/>
    <x v="2"/>
    <s v="USD"/>
    <d v="2021-06-01T00:00:00"/>
    <n v="2432.593220338983"/>
    <x v="2"/>
    <n v="37"/>
    <n v="65.745762711864401"/>
    <n v="1"/>
    <n v="2432.593220338983"/>
    <n v="19.944199999999999"/>
    <n v="48516.125705084742"/>
    <n v="113.018"/>
    <n v="123.803"/>
    <n v="1.0953999999999999"/>
    <n v="53144.564097349823"/>
    <n v="1436.339570198644"/>
    <m/>
    <n v="37"/>
    <s v="Sale"/>
    <x v="113"/>
    <s v="USD"/>
    <n v="1312.93"/>
    <n v="1"/>
    <n v="1312.93"/>
    <n v="20.356999999999999"/>
    <n v="26727.316009999999"/>
    <n v="53144.56409734983"/>
    <n v="-26417.248087349832"/>
    <n v="1.3287671232876712"/>
    <n v="1"/>
    <n v="-26417.248087349832"/>
    <n v="0"/>
    <m/>
    <n v="-1119.6632203389829"/>
  </r>
  <r>
    <x v="4"/>
    <s v="Purchase"/>
    <x v="186"/>
    <x v="2"/>
    <s v="USD"/>
    <d v="2021-06-01T00:00:00"/>
    <n v="3616.0169491525421"/>
    <x v="2"/>
    <n v="55"/>
    <n v="65.745762711864401"/>
    <n v="1"/>
    <n v="3616.0169491525421"/>
    <n v="19.944199999999999"/>
    <n v="72118.56523728813"/>
    <n v="113.018"/>
    <n v="123.803"/>
    <n v="1.0953999999999999"/>
    <n v="78998.676360925412"/>
    <n v="1436.339570198644"/>
    <m/>
    <n v="55"/>
    <s v="Sale"/>
    <x v="114"/>
    <s v="USD"/>
    <n v="1906.4469465648856"/>
    <n v="1"/>
    <n v="1906.4469465648856"/>
    <n v="20.305800000000001"/>
    <n v="38711.930407557258"/>
    <n v="78998.676360925412"/>
    <n v="-40286.745953368154"/>
    <n v="1.3315068493150686"/>
    <n v="1"/>
    <n v="-40286.745953368154"/>
    <n v="0"/>
    <m/>
    <n v="-1709.5700025876565"/>
  </r>
  <r>
    <x v="4"/>
    <s v="Purchase"/>
    <x v="186"/>
    <x v="2"/>
    <s v="USD"/>
    <d v="2021-07-20T00:00:00"/>
    <n v="1221.23"/>
    <x v="2"/>
    <n v="22"/>
    <n v="55.510454545454543"/>
    <n v="1"/>
    <n v="1221.23"/>
    <n v="19.8537"/>
    <n v="24245.934051"/>
    <n v="113.682"/>
    <n v="123.803"/>
    <n v="1.089"/>
    <n v="26403.822181538999"/>
    <n v="1200.1737355245"/>
    <m/>
    <n v="22"/>
    <s v="Sale"/>
    <x v="114"/>
    <s v="USD"/>
    <n v="762.57877862595421"/>
    <n v="1"/>
    <n v="762.57877862595421"/>
    <n v="20.305800000000001"/>
    <n v="15484.772163022903"/>
    <n v="26403.822181538999"/>
    <n v="-10919.050018516096"/>
    <n v="1.1972602739726028"/>
    <n v="1"/>
    <n v="-10919.050018516096"/>
    <n v="0"/>
    <m/>
    <n v="-458.6512213740458"/>
  </r>
  <r>
    <x v="4"/>
    <s v="Purchase"/>
    <x v="186"/>
    <x v="2"/>
    <s v="USD"/>
    <d v="2021-07-20T00:00:00"/>
    <n v="2996.9657142857141"/>
    <x v="2"/>
    <n v="54"/>
    <n v="55.499365079365077"/>
    <n v="1"/>
    <n v="2996.9657142857141"/>
    <n v="19.8537"/>
    <n v="59500.858201714283"/>
    <n v="113.682"/>
    <n v="123.803"/>
    <n v="1.089"/>
    <n v="64796.43458166685"/>
    <n v="1199.9339737345713"/>
    <m/>
    <n v="54"/>
    <s v="Sale"/>
    <x v="114"/>
    <s v="USD"/>
    <n v="1871.7842748091605"/>
    <n v="1"/>
    <n v="1871.7842748091605"/>
    <n v="20.305800000000001"/>
    <n v="38008.077127419856"/>
    <n v="64796.43458166685"/>
    <n v="-26788.357454246994"/>
    <n v="1.1972602739726028"/>
    <n v="1"/>
    <n v="-26788.357454246994"/>
    <n v="0"/>
    <m/>
    <n v="-1125.1814394765536"/>
  </r>
  <r>
    <x v="4"/>
    <s v="Purchase"/>
    <x v="186"/>
    <x v="2"/>
    <s v="USD"/>
    <d v="2021-07-20T00:00:00"/>
    <n v="1109.9873015873015"/>
    <x v="2"/>
    <n v="20"/>
    <n v="55.499365079365077"/>
    <n v="1"/>
    <n v="1109.9873015873015"/>
    <n v="19.8537"/>
    <n v="22037.354889523809"/>
    <n v="113.682"/>
    <n v="123.803"/>
    <n v="1.089"/>
    <n v="23998.679474691427"/>
    <n v="1199.9339737345713"/>
    <m/>
    <n v="20"/>
    <s v="Sale"/>
    <x v="114"/>
    <s v="USD"/>
    <n v="697.28"/>
    <n v="1"/>
    <n v="697.28"/>
    <n v="20.305800000000001"/>
    <n v="14158.828224000001"/>
    <n v="23998.679474691424"/>
    <n v="-9839.851250691423"/>
    <n v="1.1972602739726028"/>
    <n v="1"/>
    <n v="-9839.851250691423"/>
    <n v="0"/>
    <m/>
    <n v="-412.70730158730157"/>
  </r>
  <r>
    <x v="4"/>
    <s v="Purchase"/>
    <x v="186"/>
    <x v="2"/>
    <s v="USD"/>
    <d v="2021-07-20T00:00:00"/>
    <n v="443.99492063492062"/>
    <x v="2"/>
    <n v="8"/>
    <n v="55.499365079365077"/>
    <n v="1"/>
    <n v="443.99492063492062"/>
    <n v="19.8537"/>
    <n v="8814.9419558095233"/>
    <n v="113.682"/>
    <n v="123.803"/>
    <n v="1.089"/>
    <n v="9599.4717898765703"/>
    <n v="1199.9339737345713"/>
    <m/>
    <n v="8"/>
    <s v="Sale"/>
    <x v="114"/>
    <s v="USD"/>
    <n v="272.87"/>
    <n v="1"/>
    <n v="272.87"/>
    <n v="20.305800000000001"/>
    <n v="5540.8436460000003"/>
    <n v="9599.4717898765703"/>
    <n v="-4058.62814387657"/>
    <n v="1.1972602739726028"/>
    <n v="1"/>
    <n v="-4058.62814387657"/>
    <n v="0"/>
    <m/>
    <n v="-171.12492063492061"/>
  </r>
  <r>
    <x v="4"/>
    <s v="Purchase"/>
    <x v="186"/>
    <x v="2"/>
    <s v="USD"/>
    <d v="2021-07-20T00:00:00"/>
    <n v="2441.9720634920632"/>
    <x v="2"/>
    <n v="44"/>
    <n v="55.49936507936507"/>
    <n v="1"/>
    <n v="2441.9720634920632"/>
    <n v="19.8537"/>
    <n v="48482.180756952373"/>
    <n v="113.682"/>
    <n v="124.571"/>
    <n v="1.0956999999999999"/>
    <n v="53121.925455392709"/>
    <n v="1207.3164876225617"/>
    <m/>
    <n v="44"/>
    <s v="Sale"/>
    <x v="115"/>
    <s v="USD"/>
    <n v="1557.6669565217392"/>
    <n v="1"/>
    <n v="1557.6669565217392"/>
    <n v="20.192699999999999"/>
    <n v="31453.501552956521"/>
    <n v="53121.925455392717"/>
    <n v="-21668.423902436196"/>
    <n v="1.2054794520547945"/>
    <n v="1"/>
    <n v="-21668.423902436196"/>
    <n v="0"/>
    <m/>
    <n v="-884.305106970324"/>
  </r>
  <r>
    <x v="4"/>
    <s v="Purchase"/>
    <x v="186"/>
    <x v="2"/>
    <s v="USD"/>
    <d v="2021-07-21T00:00:00"/>
    <n v="116.08"/>
    <x v="2"/>
    <n v="2"/>
    <n v="58.04"/>
    <n v="1"/>
    <n v="116.08"/>
    <n v="20"/>
    <n v="2321.6"/>
    <n v="113.682"/>
    <n v="124.571"/>
    <n v="1.0956999999999999"/>
    <n v="2543.7771199999997"/>
    <n v="1271.8885599999999"/>
    <m/>
    <n v="2"/>
    <s v="Sale"/>
    <x v="115"/>
    <s v="USD"/>
    <n v="70.803043478260875"/>
    <n v="1"/>
    <n v="70.803043478260875"/>
    <n v="20.192699999999999"/>
    <n v="1429.7046160434784"/>
    <n v="2543.7771199999997"/>
    <n v="-1114.0725039565214"/>
    <n v="1.2027397260273973"/>
    <n v="1"/>
    <n v="-1114.0725039565214"/>
    <n v="0"/>
    <m/>
    <n v="-45.276956521739123"/>
  </r>
  <r>
    <x v="4"/>
    <s v="Purchase"/>
    <x v="186"/>
    <x v="2"/>
    <s v="USD"/>
    <d v="2021-07-21T00:00:00"/>
    <n v="406.28"/>
    <x v="2"/>
    <n v="7"/>
    <n v="58.04"/>
    <n v="1"/>
    <n v="406.28"/>
    <n v="20"/>
    <n v="8125.5999999999995"/>
    <n v="113.682"/>
    <n v="124.571"/>
    <n v="1.0956999999999999"/>
    <n v="8903.2199199999977"/>
    <n v="1271.8885599999996"/>
    <m/>
    <n v="7"/>
    <s v="Sale"/>
    <x v="115"/>
    <s v="USD"/>
    <n v="249.14000000000001"/>
    <n v="1"/>
    <n v="249.14000000000001"/>
    <n v="20.192699999999999"/>
    <n v="5030.8092779999997"/>
    <n v="8903.2199199999977"/>
    <n v="-3872.410641999998"/>
    <n v="1.2027397260273973"/>
    <n v="1"/>
    <n v="-3872.410641999998"/>
    <n v="0"/>
    <m/>
    <n v="-157.13999999999996"/>
  </r>
  <r>
    <x v="4"/>
    <s v="Purchase"/>
    <x v="186"/>
    <x v="2"/>
    <s v="USD"/>
    <d v="2021-07-21T00:00:00"/>
    <n v="1451.16"/>
    <x v="2"/>
    <n v="25"/>
    <n v="58.046400000000006"/>
    <n v="1"/>
    <n v="1451.16"/>
    <n v="20"/>
    <n v="29023.200000000001"/>
    <n v="113.682"/>
    <n v="124.571"/>
    <n v="1.0956999999999999"/>
    <n v="31800.720239999999"/>
    <n v="1272.0288095999999"/>
    <m/>
    <n v="25"/>
    <s v="Sale"/>
    <x v="115"/>
    <s v="USD"/>
    <n v="889.78571428571433"/>
    <n v="1"/>
    <n v="889.78571428571433"/>
    <n v="20.192699999999999"/>
    <n v="17967.175992857141"/>
    <n v="31800.720239999999"/>
    <n v="-13833.544247142858"/>
    <n v="1.2027397260273973"/>
    <n v="1"/>
    <n v="-13833.544247142858"/>
    <n v="0"/>
    <m/>
    <n v="-561.37428571428575"/>
  </r>
  <r>
    <x v="4"/>
    <s v="Purchase"/>
    <x v="186"/>
    <x v="2"/>
    <s v="USD"/>
    <d v="2021-07-21T00:00:00"/>
    <n v="172.49307692307693"/>
    <x v="2"/>
    <n v="3"/>
    <n v="57.497692307692311"/>
    <n v="1"/>
    <n v="172.49307692307693"/>
    <n v="20"/>
    <n v="3449.8615384615387"/>
    <n v="113.682"/>
    <n v="124.571"/>
    <n v="1.0956999999999999"/>
    <n v="3780.0132876923076"/>
    <n v="1260.0044292307691"/>
    <m/>
    <n v="3"/>
    <s v="Sale"/>
    <x v="115"/>
    <s v="USD"/>
    <n v="106.77428571428572"/>
    <n v="1"/>
    <n v="106.77428571428572"/>
    <n v="20.192699999999999"/>
    <n v="2156.061119142857"/>
    <n v="3780.0132876923071"/>
    <n v="-1623.9521685494501"/>
    <n v="1.2027397260273973"/>
    <n v="1"/>
    <n v="-1623.9521685494501"/>
    <n v="0"/>
    <m/>
    <n v="-65.718791208791203"/>
  </r>
  <r>
    <x v="4"/>
    <s v="Purchase"/>
    <x v="186"/>
    <x v="2"/>
    <s v="USD"/>
    <d v="2021-07-21T00:00:00"/>
    <n v="919.96307692307698"/>
    <x v="2"/>
    <n v="16"/>
    <n v="57.497692307692311"/>
    <n v="1"/>
    <n v="919.96307692307698"/>
    <n v="20"/>
    <n v="18399.261538461538"/>
    <n v="113.682"/>
    <n v="124.571"/>
    <n v="1.0956999999999999"/>
    <n v="20160.070867692306"/>
    <n v="1260.0044292307691"/>
    <m/>
    <n v="16"/>
    <s v="Sale"/>
    <x v="115"/>
    <s v="USD"/>
    <n v="566.54999999999995"/>
    <n v="1"/>
    <n v="566.54999999999995"/>
    <n v="20.192699999999999"/>
    <n v="11440.174184999998"/>
    <n v="20160.070867692306"/>
    <n v="-8719.8966826923079"/>
    <n v="1.2027397260273973"/>
    <n v="1"/>
    <n v="-8719.8966826923079"/>
    <n v="0"/>
    <m/>
    <n v="-353.41307692307703"/>
  </r>
  <r>
    <x v="4"/>
    <s v="Purchase"/>
    <x v="186"/>
    <x v="2"/>
    <s v="USD"/>
    <d v="2021-07-21T00:00:00"/>
    <n v="402.48384615384617"/>
    <x v="2"/>
    <n v="7"/>
    <n v="57.497692307692311"/>
    <n v="1"/>
    <n v="402.48384615384617"/>
    <n v="20"/>
    <n v="8049.6769230769232"/>
    <n v="113.682"/>
    <n v="124.571"/>
    <n v="1.0956999999999999"/>
    <n v="8820.0310046153845"/>
    <n v="1260.0044292307691"/>
    <m/>
    <n v="7"/>
    <s v="Sale"/>
    <x v="115"/>
    <s v="USD"/>
    <n v="251.57999999999998"/>
    <n v="1"/>
    <n v="251.57999999999998"/>
    <n v="20.192699999999999"/>
    <n v="5080.0794659999992"/>
    <n v="8820.0310046153845"/>
    <n v="-3739.9515386153853"/>
    <n v="1.2027397260273973"/>
    <n v="1"/>
    <n v="-3739.9515386153853"/>
    <n v="0"/>
    <m/>
    <n v="-150.90384615384619"/>
  </r>
  <r>
    <x v="4"/>
    <s v="Purchase"/>
    <x v="186"/>
    <x v="2"/>
    <s v="USD"/>
    <d v="2021-07-22T00:00:00"/>
    <n v="57.2"/>
    <x v="2"/>
    <n v="1"/>
    <n v="57.2"/>
    <n v="1"/>
    <n v="57.2"/>
    <n v="20.134799999999998"/>
    <n v="1151.71056"/>
    <n v="113.682"/>
    <n v="124.571"/>
    <n v="1.0956999999999999"/>
    <n v="1261.9292605919998"/>
    <n v="1261.9292605919998"/>
    <m/>
    <n v="1"/>
    <s v="Sale"/>
    <x v="115"/>
    <s v="USD"/>
    <n v="35.94"/>
    <n v="1"/>
    <n v="35.94"/>
    <n v="20.192699999999999"/>
    <n v="725.72563799999989"/>
    <n v="1261.9292605919998"/>
    <n v="-536.20362259199987"/>
    <n v="1.2"/>
    <n v="1"/>
    <n v="-536.20362259199987"/>
    <n v="0"/>
    <m/>
    <n v="-21.260000000000005"/>
  </r>
  <r>
    <x v="4"/>
    <s v="Purchase"/>
    <x v="186"/>
    <x v="2"/>
    <s v="USD"/>
    <d v="2021-07-22T00:00:00"/>
    <n v="1024.31"/>
    <x v="2"/>
    <n v="18"/>
    <n v="56.906111111111109"/>
    <n v="1"/>
    <n v="1024.31"/>
    <n v="20.134799999999998"/>
    <n v="20624.276987999998"/>
    <n v="113.682"/>
    <n v="124.571"/>
    <n v="1.0956999999999999"/>
    <n v="22598.020295751594"/>
    <n v="1255.4455719861996"/>
    <m/>
    <n v="18"/>
    <s v="Sale"/>
    <x v="116"/>
    <s v="USD"/>
    <n v="674.46375"/>
    <n v="1"/>
    <n v="674.46375"/>
    <n v="20.092500000000001"/>
    <n v="13551.662896875001"/>
    <n v="22598.020295751594"/>
    <n v="-9046.3573988765929"/>
    <n v="1.2027397260273973"/>
    <n v="1"/>
    <n v="-9046.3573988765929"/>
    <n v="0"/>
    <m/>
    <n v="-349.84624999999994"/>
  </r>
  <r>
    <x v="4"/>
    <s v="Purchase"/>
    <x v="186"/>
    <x v="2"/>
    <s v="USD"/>
    <d v="2022-04-11T00:00:00"/>
    <n v="657.09"/>
    <x v="2"/>
    <n v="13"/>
    <n v="50.54538461538462"/>
    <n v="1"/>
    <n v="657.09"/>
    <n v="20.160499999999999"/>
    <n v="13247.262945"/>
    <n v="120.809"/>
    <n v="124.571"/>
    <n v="1.0310999999999999"/>
    <n v="13659.252822589498"/>
    <n v="1050.7117555838076"/>
    <m/>
    <n v="13"/>
    <s v="Sale"/>
    <x v="116"/>
    <s v="USD"/>
    <n v="487.11270833333333"/>
    <n v="1"/>
    <n v="487.11270833333333"/>
    <n v="20.092500000000001"/>
    <n v="9787.3120921874997"/>
    <n v="13659.2528225895"/>
    <n v="-3871.9407304020006"/>
    <n v="0.48219178082191783"/>
    <n v="1"/>
    <n v="-3871.9407304020006"/>
    <n v="0"/>
    <m/>
    <n v="-169.9772916666667"/>
  </r>
  <r>
    <x v="4"/>
    <s v="Purchase"/>
    <x v="186"/>
    <x v="2"/>
    <s v="USD"/>
    <d v="2022-04-11T00:00:00"/>
    <n v="303.39"/>
    <x v="2"/>
    <n v="6"/>
    <n v="50.564999999999998"/>
    <n v="1"/>
    <n v="303.39"/>
    <n v="20.160499999999999"/>
    <n v="6116.4940949999991"/>
    <n v="120.809"/>
    <n v="124.571"/>
    <n v="1.0310999999999999"/>
    <n v="6306.7170613544986"/>
    <n v="1051.1195102257498"/>
    <m/>
    <n v="6"/>
    <s v="Sale"/>
    <x v="116"/>
    <s v="USD"/>
    <n v="224.82124999999999"/>
    <n v="1"/>
    <n v="224.82124999999999"/>
    <n v="20.092500000000001"/>
    <n v="4517.2209656249997"/>
    <n v="6306.7170613544986"/>
    <n v="-1789.4960957294988"/>
    <n v="0.48219178082191783"/>
    <n v="1"/>
    <n v="-1789.4960957294988"/>
    <n v="0"/>
    <m/>
    <n v="-78.568749999999994"/>
  </r>
  <r>
    <x v="4"/>
    <s v="Purchase"/>
    <x v="186"/>
    <x v="2"/>
    <s v="USD"/>
    <d v="2022-04-11T00:00:00"/>
    <n v="555.80904761904765"/>
    <x v="2"/>
    <n v="11"/>
    <n v="50.52809523809524"/>
    <n v="1"/>
    <n v="555.80904761904765"/>
    <n v="20.160499999999999"/>
    <n v="11205.388304523809"/>
    <n v="120.809"/>
    <n v="124.571"/>
    <n v="1.0310999999999999"/>
    <n v="11553.875880794498"/>
    <n v="1050.3523527994998"/>
    <m/>
    <n v="11"/>
    <s v="Sale"/>
    <x v="116"/>
    <s v="USD"/>
    <n v="412.17229166666664"/>
    <n v="1"/>
    <n v="412.17229166666664"/>
    <n v="20.092500000000001"/>
    <n v="8281.5717703124992"/>
    <n v="11553.875880794498"/>
    <n v="-3272.3041104819986"/>
    <n v="0.48219178082191783"/>
    <n v="1"/>
    <n v="-3272.3041104819986"/>
    <n v="0"/>
    <m/>
    <n v="-143.63675595238101"/>
  </r>
  <r>
    <x v="4"/>
    <s v="Purchase"/>
    <x v="186"/>
    <x v="2"/>
    <s v="USD"/>
    <d v="2022-04-11T00:00:00"/>
    <n v="960.03380952380951"/>
    <x v="2"/>
    <n v="19"/>
    <n v="50.52809523809524"/>
    <n v="1"/>
    <n v="960.03380952380951"/>
    <n v="20.160499999999999"/>
    <n v="19354.761616904761"/>
    <n v="120.809"/>
    <n v="124.571"/>
    <n v="1.0310999999999999"/>
    <n v="19956.694703190497"/>
    <n v="1050.3523527994998"/>
    <m/>
    <n v="19"/>
    <s v="Sale"/>
    <x v="116"/>
    <s v="USD"/>
    <n v="713.42999999999984"/>
    <n v="1"/>
    <n v="713.42999999999984"/>
    <n v="20.092500000000001"/>
    <n v="14334.592274999997"/>
    <n v="19956.694703190497"/>
    <n v="-5622.1024281904993"/>
    <n v="0.48219178082191783"/>
    <n v="1"/>
    <n v="-5622.1024281904993"/>
    <n v="0"/>
    <m/>
    <n v="-246.60380952380967"/>
  </r>
  <r>
    <x v="4"/>
    <s v="Purchase"/>
    <x v="186"/>
    <x v="2"/>
    <s v="USD"/>
    <d v="2022-04-11T00:00:00"/>
    <n v="858.9776190476191"/>
    <x v="2"/>
    <n v="17"/>
    <n v="50.52809523809524"/>
    <n v="1"/>
    <n v="858.9776190476191"/>
    <n v="20.160499999999999"/>
    <n v="17317.418288809524"/>
    <n v="120.809"/>
    <n v="124.571"/>
    <n v="1.0310999999999999"/>
    <n v="17855.9899975915"/>
    <n v="1050.3523527995001"/>
    <m/>
    <n v="17"/>
    <s v="Sale"/>
    <x v="116"/>
    <s v="USD"/>
    <n v="626.5"/>
    <n v="1"/>
    <n v="626.5"/>
    <n v="20.092500000000001"/>
    <n v="12587.95125"/>
    <n v="17855.9899975915"/>
    <n v="-5268.0387475914995"/>
    <n v="0.48219178082191783"/>
    <n v="1"/>
    <n v="-5268.0387475914995"/>
    <n v="0"/>
    <m/>
    <n v="-232.4776190476191"/>
  </r>
  <r>
    <x v="4"/>
    <s v="Purchase"/>
    <x v="186"/>
    <x v="2"/>
    <s v="USD"/>
    <d v="2022-04-11T00:00:00"/>
    <n v="808.44952380952384"/>
    <x v="2"/>
    <n v="16"/>
    <n v="50.52809523809524"/>
    <n v="1"/>
    <n v="808.44952380952384"/>
    <n v="20.160499999999999"/>
    <n v="16298.746624761905"/>
    <n v="120.809"/>
    <n v="124.571"/>
    <n v="1.0310999999999999"/>
    <n v="16805.637644791997"/>
    <n v="1050.3523527994998"/>
    <m/>
    <n v="16"/>
    <s v="Sale"/>
    <x v="116"/>
    <s v="USD"/>
    <n v="600.01882352941175"/>
    <n v="1"/>
    <n v="600.01882352941175"/>
    <n v="20.092500000000001"/>
    <n v="12055.878211764706"/>
    <n v="16805.637644791997"/>
    <n v="-4749.7594330272914"/>
    <n v="0.48219178082191783"/>
    <n v="1"/>
    <n v="-4749.7594330272914"/>
    <n v="0"/>
    <m/>
    <n v="-208.43070028011209"/>
  </r>
  <r>
    <x v="4"/>
    <s v="Purchase"/>
    <x v="186"/>
    <x v="2"/>
    <s v="USD"/>
    <d v="2022-04-11T00:00:00"/>
    <n v="50.57714285714286"/>
    <x v="2"/>
    <n v="1"/>
    <n v="50.57714285714286"/>
    <n v="1"/>
    <n v="50.57714285714286"/>
    <n v="20.160499999999999"/>
    <n v="1019.6604885714286"/>
    <n v="120.809"/>
    <n v="124.571"/>
    <n v="1.0310999999999999"/>
    <n v="1051.371929766"/>
    <n v="1051.371929766"/>
    <m/>
    <n v="1"/>
    <s v="Sale"/>
    <x v="116"/>
    <s v="USD"/>
    <n v="37.501176470588234"/>
    <n v="1"/>
    <n v="37.501176470588234"/>
    <n v="20.092500000000001"/>
    <n v="753.49238823529413"/>
    <n v="1051.371929766"/>
    <n v="-297.87954153070586"/>
    <n v="0.48219178082191783"/>
    <n v="1"/>
    <n v="-297.87954153070586"/>
    <n v="0"/>
    <m/>
    <n v="-13.075966386554626"/>
  </r>
  <r>
    <x v="4"/>
    <s v="Purchase"/>
    <x v="186"/>
    <x v="2"/>
    <s v="USD"/>
    <d v="2022-04-11T00:00:00"/>
    <n v="303.46285714285716"/>
    <x v="2"/>
    <n v="6"/>
    <n v="50.57714285714286"/>
    <n v="1"/>
    <n v="303.46285714285716"/>
    <n v="20.160499999999999"/>
    <n v="6117.9629314285712"/>
    <n v="120.809"/>
    <n v="124.571"/>
    <n v="1.0310999999999999"/>
    <n v="6308.2315785959991"/>
    <n v="1051.3719297659998"/>
    <m/>
    <n v="6"/>
    <s v="Sale"/>
    <x v="116"/>
    <s v="USD"/>
    <n v="225.60750000000002"/>
    <n v="1"/>
    <n v="225.60750000000002"/>
    <n v="20.092500000000001"/>
    <n v="4533.0186937500002"/>
    <n v="6308.2315785959981"/>
    <n v="-1775.2128848459979"/>
    <n v="0.48219178082191783"/>
    <n v="1"/>
    <n v="-1775.2128848459979"/>
    <n v="0"/>
    <m/>
    <n v="-77.855357142857144"/>
  </r>
  <r>
    <x v="4"/>
    <s v="Purchase"/>
    <x v="186"/>
    <x v="2"/>
    <s v="USD"/>
    <d v="2022-04-11T00:00:00"/>
    <n v="100.79111111111111"/>
    <x v="2"/>
    <n v="2"/>
    <n v="50.395555555555553"/>
    <n v="1"/>
    <n v="100.79111111111111"/>
    <n v="20.160499999999999"/>
    <n v="2031.9991955555554"/>
    <n v="120.809"/>
    <n v="124.571"/>
    <n v="1.0310999999999999"/>
    <n v="2095.1943705373328"/>
    <n v="1047.5971852686664"/>
    <m/>
    <n v="2"/>
    <s v="Sale"/>
    <x v="116"/>
    <s v="USD"/>
    <n v="75.202500000000001"/>
    <n v="1"/>
    <n v="75.202500000000001"/>
    <n v="20.092500000000001"/>
    <n v="1511.0062312500002"/>
    <n v="2095.1943705373328"/>
    <n v="-584.18813928733266"/>
    <n v="0.48219178082191783"/>
    <n v="1"/>
    <n v="-584.18813928733266"/>
    <n v="0"/>
    <m/>
    <n v="-25.588611111111106"/>
  </r>
  <r>
    <x v="4"/>
    <s v="Purchase"/>
    <x v="186"/>
    <x v="2"/>
    <s v="USD"/>
    <d v="2022-04-11T00:00:00"/>
    <n v="352.76888888888885"/>
    <x v="2"/>
    <n v="7"/>
    <n v="50.395555555555553"/>
    <n v="1"/>
    <n v="352.76888888888885"/>
    <n v="20.160499999999999"/>
    <n v="7111.9971844444435"/>
    <n v="120.809"/>
    <n v="124.571"/>
    <n v="1.0310999999999999"/>
    <n v="7333.1802968806651"/>
    <n v="1047.5971852686664"/>
    <m/>
    <n v="7"/>
    <s v="Sale"/>
    <x v="116"/>
    <s v="USD"/>
    <n v="258.64"/>
    <n v="1"/>
    <n v="258.64"/>
    <n v="20.092500000000001"/>
    <n v="5196.7241999999997"/>
    <n v="7333.1802968806651"/>
    <n v="-2136.4560968806654"/>
    <n v="0.48219178082191783"/>
    <n v="1"/>
    <n v="-2136.4560968806654"/>
    <n v="0"/>
    <m/>
    <n v="-94.128888888888866"/>
  </r>
  <r>
    <x v="4"/>
    <s v="Purchase"/>
    <x v="186"/>
    <x v="2"/>
    <s v="USD"/>
    <d v="2022-04-11T00:00:00"/>
    <n v="1915.0311111111109"/>
    <x v="2"/>
    <n v="38"/>
    <n v="50.395555555555553"/>
    <n v="1"/>
    <n v="1915.0311111111109"/>
    <n v="20.160499999999999"/>
    <n v="38607.984715555547"/>
    <n v="120.809"/>
    <n v="124.571"/>
    <n v="1.0310999999999999"/>
    <n v="39808.69304020932"/>
    <n v="1047.5971852686664"/>
    <m/>
    <n v="38"/>
    <s v="Sale"/>
    <x v="117"/>
    <s v="USD"/>
    <n v="1420.58"/>
    <n v="1"/>
    <n v="1420.58"/>
    <n v="20.000800000000002"/>
    <n v="28412.736464000001"/>
    <n v="39808.69304020932"/>
    <n v="-11395.956576209319"/>
    <n v="0.48493150684931507"/>
    <n v="1"/>
    <n v="-11395.956576209319"/>
    <n v="0"/>
    <m/>
    <n v="-494.451111111111"/>
  </r>
  <r>
    <x v="4"/>
    <s v="Purchase"/>
    <x v="186"/>
    <x v="2"/>
    <s v="USD"/>
    <d v="2022-04-11T00:00:00"/>
    <n v="1259.8888888888889"/>
    <x v="2"/>
    <n v="25"/>
    <n v="50.395555555555553"/>
    <n v="1"/>
    <n v="1259.8888888888889"/>
    <n v="20.160499999999999"/>
    <n v="25399.989944444445"/>
    <n v="120.809"/>
    <n v="124.571"/>
    <n v="1.0310999999999999"/>
    <n v="26189.929631716666"/>
    <n v="1047.5971852686666"/>
    <m/>
    <n v="25"/>
    <s v="Sale"/>
    <x v="117"/>
    <s v="USD"/>
    <n v="941.39"/>
    <n v="1"/>
    <n v="941.39"/>
    <n v="20.000800000000002"/>
    <n v="18828.553112000001"/>
    <n v="26189.929631716666"/>
    <n v="-7361.3765197166649"/>
    <n v="0.48493150684931507"/>
    <n v="1"/>
    <n v="-7361.3765197166649"/>
    <n v="0"/>
    <m/>
    <n v="-318.49888888888893"/>
  </r>
  <r>
    <x v="4"/>
    <s v="Purchase"/>
    <x v="187"/>
    <x v="2"/>
    <s v="USD"/>
    <d v="2021-02-09T00:00:00"/>
    <n v="148.28272727272727"/>
    <x v="2"/>
    <n v="1"/>
    <n v="148.28272727272727"/>
    <n v="1"/>
    <n v="148.28272727272727"/>
    <n v="20.1388"/>
    <n v="2986.2361879999999"/>
    <n v="110.907"/>
    <n v="123.803"/>
    <n v="1.1162000000000001"/>
    <n v="3333.2368330456002"/>
    <n v="3333.2368330456002"/>
    <m/>
    <n v="1"/>
    <s v="Sale"/>
    <x v="98"/>
    <s v="USD"/>
    <n v="154.57037735849056"/>
    <n v="1"/>
    <n v="154.57037735849056"/>
    <n v="20.052499999999998"/>
    <n v="3099.5224919811317"/>
    <n v="3333.2368330456002"/>
    <n v="-233.7143410644685"/>
    <n v="1.6109589041095891"/>
    <n v="1"/>
    <n v="-233.7143410644685"/>
    <n v="0"/>
    <m/>
    <n v="6.2876500857632891"/>
  </r>
  <r>
    <x v="4"/>
    <s v="Purchase"/>
    <x v="187"/>
    <x v="2"/>
    <s v="USD"/>
    <d v="2021-03-04T00:00:00"/>
    <n v="8129.8146428571417"/>
    <x v="2"/>
    <n v="52"/>
    <n v="156.34258928571427"/>
    <n v="1"/>
    <n v="8129.8146428571417"/>
    <n v="20.690300000000001"/>
    <n v="168208.30390510711"/>
    <n v="111.824"/>
    <n v="123.803"/>
    <n v="1.1071"/>
    <n v="186223.41325334407"/>
    <n v="3581.219485641232"/>
    <m/>
    <n v="52"/>
    <s v="Sale"/>
    <x v="98"/>
    <s v="USD"/>
    <n v="8037.6596226415095"/>
    <n v="1"/>
    <n v="8037.6596226415095"/>
    <n v="20.052499999999998"/>
    <n v="161175.16958301887"/>
    <n v="186223.41325334407"/>
    <n v="-25048.243670325202"/>
    <n v="1.547945205479452"/>
    <n v="1"/>
    <n v="-25048.243670325202"/>
    <n v="0"/>
    <m/>
    <n v="-92.155020215632248"/>
  </r>
  <r>
    <x v="4"/>
    <s v="Purchase"/>
    <x v="187"/>
    <x v="2"/>
    <s v="USD"/>
    <d v="2021-03-04T00:00:00"/>
    <n v="1407.0833035714284"/>
    <x v="2"/>
    <n v="9"/>
    <n v="156.34258928571427"/>
    <n v="1"/>
    <n v="1407.0833035714284"/>
    <n v="20.690300000000001"/>
    <n v="29112.975675883925"/>
    <n v="111.824"/>
    <n v="123.803"/>
    <n v="1.1071"/>
    <n v="32230.975370771092"/>
    <n v="3581.2194856412325"/>
    <m/>
    <n v="9"/>
    <s v="Sale"/>
    <x v="98"/>
    <s v="USD"/>
    <n v="1397.97"/>
    <n v="1"/>
    <n v="1397.97"/>
    <n v="20.052499999999998"/>
    <n v="28032.793425"/>
    <n v="32230.975370771092"/>
    <n v="-4198.1819457710917"/>
    <n v="1.547945205479452"/>
    <n v="1"/>
    <n v="-4198.1819457710917"/>
    <n v="0"/>
    <m/>
    <n v="-9.1133035714283324"/>
  </r>
  <r>
    <x v="4"/>
    <s v="Purchase"/>
    <x v="187"/>
    <x v="2"/>
    <s v="USD"/>
    <d v="2021-03-04T00:00:00"/>
    <n v="7973.4720535714278"/>
    <x v="2"/>
    <n v="51"/>
    <n v="156.34258928571427"/>
    <n v="1"/>
    <n v="7973.4720535714278"/>
    <n v="20.690300000000001"/>
    <n v="164973.52883000893"/>
    <n v="111.824"/>
    <n v="123.803"/>
    <n v="1.1071"/>
    <n v="182642.19376770288"/>
    <n v="3581.219485641233"/>
    <m/>
    <n v="51"/>
    <s v="Sale"/>
    <x v="99"/>
    <s v="USD"/>
    <n v="7925.901206896553"/>
    <n v="1"/>
    <n v="7925.901206896553"/>
    <n v="19.994299999999999"/>
    <n v="158472.84650105174"/>
    <n v="182642.19376770288"/>
    <n v="-24169.347266651137"/>
    <n v="1.5506849315068494"/>
    <n v="1"/>
    <n v="-24169.347266651137"/>
    <n v="0"/>
    <m/>
    <n v="-47.570846674874701"/>
  </r>
  <r>
    <x v="4"/>
    <s v="Purchase"/>
    <x v="187"/>
    <x v="2"/>
    <s v="USD"/>
    <d v="2021-03-08T00:00:00"/>
    <n v="1099.3877528089888"/>
    <x v="2"/>
    <n v="7"/>
    <n v="157.05539325842696"/>
    <n v="1"/>
    <n v="1099.3877528089888"/>
    <n v="20.849799999999998"/>
    <n v="22922.014768516852"/>
    <n v="111.824"/>
    <n v="123.803"/>
    <n v="1.1071"/>
    <n v="25376.962550225006"/>
    <n v="3625.2803643178581"/>
    <m/>
    <n v="7"/>
    <s v="Sale"/>
    <x v="99"/>
    <s v="USD"/>
    <n v="1087.8687931034483"/>
    <n v="1"/>
    <n v="1087.8687931034483"/>
    <n v="19.994299999999999"/>
    <n v="21751.175009948274"/>
    <n v="25376.962550225006"/>
    <n v="-3625.7875402767313"/>
    <n v="1.5397260273972602"/>
    <n v="1"/>
    <n v="-3625.7875402767313"/>
    <n v="0"/>
    <m/>
    <n v="-11.51895970554051"/>
  </r>
  <r>
    <x v="4"/>
    <s v="Purchase"/>
    <x v="187"/>
    <x v="2"/>
    <s v="USD"/>
    <d v="2021-03-08T00:00:00"/>
    <n v="314.11078651685392"/>
    <x v="2"/>
    <n v="2"/>
    <n v="157.05539325842696"/>
    <n v="1"/>
    <n v="314.11078651685392"/>
    <n v="20.849799999999998"/>
    <n v="6549.1470767191004"/>
    <n v="111.824"/>
    <n v="123.803"/>
    <n v="1.1071"/>
    <n v="7250.5607286357163"/>
    <n v="3625.2803643178581"/>
    <m/>
    <n v="2"/>
    <s v="Sale"/>
    <x v="99"/>
    <s v="USD"/>
    <n v="313.43"/>
    <n v="1"/>
    <n v="313.43"/>
    <n v="19.994299999999999"/>
    <n v="6266.8134490000002"/>
    <n v="7250.5607286357163"/>
    <n v="-983.74727963571604"/>
    <n v="1.5397260273972602"/>
    <n v="1"/>
    <n v="-983.74727963571604"/>
    <n v="0"/>
    <m/>
    <n v="-0.68078651685391378"/>
  </r>
  <r>
    <x v="4"/>
    <s v="Purchase"/>
    <x v="187"/>
    <x v="2"/>
    <s v="USD"/>
    <d v="2021-03-08T00:00:00"/>
    <n v="6282.2157303370786"/>
    <x v="2"/>
    <n v="40"/>
    <n v="157.05539325842696"/>
    <n v="1"/>
    <n v="6282.2157303370786"/>
    <n v="20.849799999999998"/>
    <n v="130982.94153438201"/>
    <n v="111.824"/>
    <n v="124.571"/>
    <n v="1.1138999999999999"/>
    <n v="145901.89857514811"/>
    <n v="3647.5474643787029"/>
    <m/>
    <n v="40"/>
    <s v="Sale"/>
    <x v="118"/>
    <s v="USD"/>
    <n v="5842.05"/>
    <n v="1"/>
    <n v="5842.05"/>
    <n v="20.0398"/>
    <n v="117073.51359"/>
    <n v="145901.89857514811"/>
    <n v="-28828.384985148106"/>
    <n v="1.6109589041095891"/>
    <n v="1"/>
    <n v="-28828.384985148106"/>
    <n v="0"/>
    <m/>
    <n v="-440.16573033707846"/>
  </r>
  <r>
    <x v="4"/>
    <s v="Purchase"/>
    <x v="187"/>
    <x v="2"/>
    <s v="USD"/>
    <d v="2021-03-08T00:00:00"/>
    <n v="3298.163258426966"/>
    <x v="2"/>
    <n v="21"/>
    <n v="157.05539325842696"/>
    <n v="1"/>
    <n v="3298.163258426966"/>
    <n v="20.849799999999998"/>
    <n v="68766.044305550546"/>
    <n v="111.824"/>
    <n v="124.571"/>
    <n v="1.1138999999999999"/>
    <n v="76598.496751952742"/>
    <n v="3647.547464378702"/>
    <m/>
    <n v="21"/>
    <s v="Sale"/>
    <x v="118"/>
    <s v="USD"/>
    <n v="3054.29"/>
    <n v="1"/>
    <n v="3054.29"/>
    <n v="20.0398"/>
    <n v="61207.360741999997"/>
    <n v="76598.496751952742"/>
    <n v="-15391.136009952745"/>
    <n v="1.6109589041095891"/>
    <n v="1"/>
    <n v="-15391.136009952745"/>
    <n v="0"/>
    <m/>
    <n v="-243.873258426966"/>
  </r>
  <r>
    <x v="4"/>
    <s v="Purchase"/>
    <x v="65"/>
    <x v="2"/>
    <s v="USD"/>
    <d v="2020-11-24T00:00:00"/>
    <n v="6070.2833333333328"/>
    <x v="2"/>
    <n v="45"/>
    <n v="134.89518518518517"/>
    <n v="1"/>
    <n v="6070.2833333333328"/>
    <n v="20.1172"/>
    <n v="122117.10387333333"/>
    <n v="108.85599999999999"/>
    <n v="123.803"/>
    <n v="1.1373"/>
    <n v="138883.78223514199"/>
    <n v="3086.3062718920442"/>
    <m/>
    <n v="45"/>
    <s v="Sale"/>
    <x v="114"/>
    <s v="USD"/>
    <n v="3836.6209923664119"/>
    <n v="1"/>
    <n v="3836.6209923664119"/>
    <n v="20.305800000000001"/>
    <n v="77905.658546793886"/>
    <n v="138883.78223514199"/>
    <n v="-60978.123688348103"/>
    <n v="1.8493150684931507"/>
    <n v="1"/>
    <n v="-60978.123688348103"/>
    <n v="0"/>
    <m/>
    <n v="-2233.662340966921"/>
  </r>
  <r>
    <x v="4"/>
    <s v="Purchase"/>
    <x v="65"/>
    <x v="2"/>
    <s v="USD"/>
    <d v="2021-06-02T00:00:00"/>
    <n v="4236.7925454545457"/>
    <x v="2"/>
    <n v="31"/>
    <n v="136.67072727272728"/>
    <n v="1"/>
    <n v="4236.7925454545457"/>
    <n v="19.921299999999999"/>
    <n v="84402.415335763639"/>
    <n v="113.018"/>
    <n v="123.803"/>
    <n v="1.0953999999999999"/>
    <n v="92454.405758795489"/>
    <n v="2982.4001857675962"/>
    <m/>
    <n v="31"/>
    <s v="Sale"/>
    <x v="114"/>
    <s v="USD"/>
    <n v="2643.0055725190841"/>
    <n v="1"/>
    <n v="2643.0055725190841"/>
    <n v="20.305800000000001"/>
    <n v="53668.342554458024"/>
    <n v="92454.405758795489"/>
    <n v="-38786.063204337464"/>
    <n v="1.3287671232876712"/>
    <n v="1"/>
    <n v="-38786.063204337464"/>
    <n v="0"/>
    <m/>
    <n v="-1593.7869729354616"/>
  </r>
  <r>
    <x v="4"/>
    <s v="Purchase"/>
    <x v="65"/>
    <x v="2"/>
    <s v="USD"/>
    <d v="2021-07-23T00:00:00"/>
    <n v="21045.72"/>
    <x v="2"/>
    <n v="127"/>
    <n v="165.71433070866144"/>
    <n v="1"/>
    <n v="21045.72"/>
    <n v="20.1907"/>
    <n v="424927.81880400004"/>
    <n v="113.682"/>
    <n v="123.803"/>
    <n v="1.089"/>
    <n v="462746.394677556"/>
    <n v="3643.6723990358742"/>
    <m/>
    <n v="127"/>
    <s v="Sale"/>
    <x v="114"/>
    <s v="USD"/>
    <n v="10827.797022900762"/>
    <n v="1"/>
    <n v="10827.797022900762"/>
    <n v="20.305800000000001"/>
    <n v="219867.08078761832"/>
    <n v="462746.394677556"/>
    <n v="-242879.31388993768"/>
    <n v="1.189041095890411"/>
    <n v="1"/>
    <n v="-242879.31388993768"/>
    <n v="0"/>
    <m/>
    <n v="-10217.922977099239"/>
  </r>
  <r>
    <x v="4"/>
    <s v="Purchase"/>
    <x v="65"/>
    <x v="2"/>
    <s v="USD"/>
    <d v="2021-07-28T00:00:00"/>
    <n v="12565.69"/>
    <x v="2"/>
    <n v="76"/>
    <n v="165.33802631578948"/>
    <n v="1"/>
    <n v="12565.69"/>
    <n v="20.0245"/>
    <n v="251621.65940500001"/>
    <n v="113.682"/>
    <n v="123.803"/>
    <n v="1.089"/>
    <n v="274015.98709204502"/>
    <n v="3605.4735143690136"/>
    <m/>
    <n v="76"/>
    <s v="Sale"/>
    <x v="114"/>
    <s v="USD"/>
    <n v="6479.626564885496"/>
    <n v="1"/>
    <n v="6479.626564885496"/>
    <n v="20.305800000000001"/>
    <n v="131574.00110125192"/>
    <n v="274015.98709204502"/>
    <n v="-142441.98599079309"/>
    <n v="1.1753424657534246"/>
    <n v="1"/>
    <n v="-142441.98599079309"/>
    <n v="0"/>
    <m/>
    <n v="-6086.0634351145045"/>
  </r>
  <r>
    <x v="4"/>
    <s v="Purchase"/>
    <x v="65"/>
    <x v="2"/>
    <s v="USD"/>
    <d v="2021-09-27T00:00:00"/>
    <n v="15504.240000000002"/>
    <x v="2"/>
    <n v="104"/>
    <n v="149.07923076923078"/>
    <n v="1"/>
    <n v="15504.240000000002"/>
    <n v="20.027999999999999"/>
    <n v="310518.91872000002"/>
    <n v="114.601"/>
    <n v="123.803"/>
    <n v="1.0802"/>
    <n v="335422.53600134404"/>
    <n v="3225.2166923206159"/>
    <m/>
    <n v="104"/>
    <s v="Sale"/>
    <x v="114"/>
    <s v="USD"/>
    <n v="8866.8574045801524"/>
    <n v="1"/>
    <n v="8866.8574045801524"/>
    <n v="20.305800000000001"/>
    <n v="180048.63308592368"/>
    <n v="335422.53600134404"/>
    <n v="-155373.90291542036"/>
    <n v="1.0082191780821919"/>
    <n v="1"/>
    <n v="-155373.90291542036"/>
    <n v="0"/>
    <m/>
    <n v="-6637.3825954198492"/>
  </r>
  <r>
    <x v="4"/>
    <s v="Purchase"/>
    <x v="65"/>
    <x v="2"/>
    <s v="USD"/>
    <d v="2021-11-19T00:00:00"/>
    <n v="171.7"/>
    <x v="2"/>
    <n v="1"/>
    <n v="171.7"/>
    <n v="1"/>
    <n v="171.7"/>
    <n v="20.691199999999998"/>
    <n v="3552.6790399999995"/>
    <n v="116.884"/>
    <n v="123.803"/>
    <n v="1.0590999999999999"/>
    <n v="3762.6423712639994"/>
    <n v="3762.6423712639994"/>
    <m/>
    <n v="1"/>
    <s v="Sale"/>
    <x v="114"/>
    <s v="USD"/>
    <n v="85.258244274809158"/>
    <n v="1"/>
    <n v="85.258244274809158"/>
    <n v="20.305800000000001"/>
    <n v="1731.23685659542"/>
    <n v="3762.6423712639994"/>
    <n v="-2031.4055146685794"/>
    <n v="0.86301369863013699"/>
    <n v="1"/>
    <n v="-2031.4055146685794"/>
    <n v="0"/>
    <m/>
    <n v="-86.441755725190831"/>
  </r>
  <r>
    <x v="4"/>
    <s v="Purchase"/>
    <x v="65"/>
    <x v="2"/>
    <s v="USD"/>
    <d v="2022-06-28T00:00:00"/>
    <n v="8455"/>
    <x v="2"/>
    <n v="81"/>
    <n v="104.38271604938272"/>
    <n v="1"/>
    <n v="8455"/>
    <n v="19.870699999999999"/>
    <n v="168006.76850000001"/>
    <n v="122.044"/>
    <n v="123.803"/>
    <n v="1.0144"/>
    <n v="170426.0659664"/>
    <n v="2104.0255057580248"/>
    <m/>
    <n v="81"/>
    <s v="Sale"/>
    <x v="114"/>
    <s v="USD"/>
    <n v="6905.9177862595416"/>
    <n v="1"/>
    <n v="6905.9177862595416"/>
    <n v="20.305800000000001"/>
    <n v="140230.185384229"/>
    <n v="170426.0659664"/>
    <n v="-30195.880582170998"/>
    <n v="0.25753424657534246"/>
    <n v="1"/>
    <n v="-30195.880582170998"/>
    <n v="0"/>
    <m/>
    <n v="-1549.0822137404584"/>
  </r>
  <r>
    <x v="4"/>
    <s v="Purchase"/>
    <x v="65"/>
    <x v="2"/>
    <s v="USD"/>
    <d v="2022-09-02T00:00:00"/>
    <n v="6364.25"/>
    <x v="2"/>
    <n v="59"/>
    <n v="107.86864406779661"/>
    <n v="1"/>
    <n v="6364.25"/>
    <n v="20.0962"/>
    <n v="127897.24085"/>
    <n v="124.571"/>
    <n v="123.803"/>
    <n v="1"/>
    <n v="127897.24085"/>
    <n v="2167.7498449152545"/>
    <m/>
    <n v="59"/>
    <s v="Sale"/>
    <x v="114"/>
    <s v="USD"/>
    <n v="5030.2364122137406"/>
    <n v="1"/>
    <n v="5030.2364122137406"/>
    <n v="20.305800000000001"/>
    <n v="102142.97453912978"/>
    <n v="127897.24085000002"/>
    <n v="-25754.26631087024"/>
    <n v="7.6712328767123292E-2"/>
    <n v="1"/>
    <n v="-25754.26631087024"/>
    <n v="0"/>
    <m/>
    <n v="-1334.0135877862594"/>
  </r>
  <r>
    <x v="4"/>
    <s v="Purchase"/>
    <x v="66"/>
    <x v="2"/>
    <s v="USD"/>
    <d v="2020-11-24T00:00:00"/>
    <n v="7385.0642105263159"/>
    <x v="2"/>
    <n v="22"/>
    <n v="335.68473684210528"/>
    <n v="1"/>
    <n v="7385.0642105263159"/>
    <n v="20.1172"/>
    <n v="148566.81373600001"/>
    <n v="108.85599999999999"/>
    <n v="122.94799999999999"/>
    <n v="1.1294"/>
    <n v="167791.3594334384"/>
    <n v="7626.8799742472002"/>
    <m/>
    <n v="22"/>
    <s v="Sale"/>
    <x v="119"/>
    <s v="USD"/>
    <n v="7640.14"/>
    <n v="1"/>
    <n v="7640.14"/>
    <n v="20.401"/>
    <n v="155866.49614"/>
    <n v="167791.3594334384"/>
    <n v="-11924.863293438393"/>
    <n v="1.7068493150684931"/>
    <n v="1"/>
    <n v="-11924.863293438393"/>
    <n v="0"/>
    <m/>
    <n v="255.07578947368438"/>
  </r>
  <r>
    <x v="4"/>
    <s v="Purchase"/>
    <x v="66"/>
    <x v="2"/>
    <s v="USD"/>
    <d v="2020-11-24T00:00:00"/>
    <n v="335.68473684210528"/>
    <x v="2"/>
    <n v="1"/>
    <n v="335.68473684210528"/>
    <n v="1"/>
    <n v="335.68473684210528"/>
    <n v="20.1172"/>
    <n v="6753.0369880000007"/>
    <n v="108.85599999999999"/>
    <n v="122.94799999999999"/>
    <n v="1.1294"/>
    <n v="7626.8799742472002"/>
    <n v="7626.8799742472002"/>
    <m/>
    <n v="1"/>
    <s v="Sale"/>
    <x v="119"/>
    <s v="USD"/>
    <n v="346.4136842105263"/>
    <n v="1"/>
    <n v="346.4136842105263"/>
    <n v="20.401"/>
    <n v="7067.185571578947"/>
    <n v="7626.8799742472002"/>
    <n v="-559.69440266825313"/>
    <n v="1.7068493150684931"/>
    <n v="1"/>
    <n v="-559.69440266825313"/>
    <n v="0"/>
    <m/>
    <n v="10.728947368421018"/>
  </r>
  <r>
    <x v="4"/>
    <s v="Purchase"/>
    <x v="66"/>
    <x v="2"/>
    <s v="USD"/>
    <d v="2021-03-05T00:00:00"/>
    <n v="1793"/>
    <x v="2"/>
    <n v="5"/>
    <n v="358.6"/>
    <n v="1"/>
    <n v="1793"/>
    <n v="20.895700000000001"/>
    <n v="37465.990100000003"/>
    <n v="111.824"/>
    <n v="122.94799999999999"/>
    <n v="1.0993999999999999"/>
    <n v="41190.109515939999"/>
    <n v="8238.0219031880006"/>
    <m/>
    <n v="5"/>
    <s v="Sale"/>
    <x v="119"/>
    <s v="USD"/>
    <n v="1732.0684210526315"/>
    <n v="1"/>
    <n v="1732.0684210526315"/>
    <n v="20.401"/>
    <n v="35335.927857894734"/>
    <n v="41190.109515939999"/>
    <n v="-5854.1816580452651"/>
    <n v="1.4301369863013698"/>
    <n v="1"/>
    <n v="-5854.1816580452651"/>
    <n v="0"/>
    <m/>
    <n v="-60.931578947368507"/>
  </r>
  <r>
    <x v="4"/>
    <s v="Purchase"/>
    <x v="66"/>
    <x v="2"/>
    <s v="USD"/>
    <d v="2021-06-02T00:00:00"/>
    <n v="4733.8864444444444"/>
    <x v="2"/>
    <n v="13"/>
    <n v="364.14511111111108"/>
    <n v="1"/>
    <n v="4733.8864444444444"/>
    <n v="19.921299999999999"/>
    <n v="94305.172025711101"/>
    <n v="113.018"/>
    <n v="122.94799999999999"/>
    <n v="1.0878000000000001"/>
    <n v="102585.16612956855"/>
    <n v="7891.1666253514268"/>
    <m/>
    <n v="13"/>
    <s v="Sale"/>
    <x v="119"/>
    <s v="USD"/>
    <n v="4503.3778947368419"/>
    <n v="1"/>
    <n v="4503.3778947368419"/>
    <n v="20.401"/>
    <n v="91873.41243052631"/>
    <n v="102585.16612956855"/>
    <n v="-10711.753699042238"/>
    <n v="1.1863013698630136"/>
    <n v="1"/>
    <n v="-10711.753699042238"/>
    <n v="0"/>
    <m/>
    <n v="-230.50854970760247"/>
  </r>
  <r>
    <x v="4"/>
    <s v="Purchase"/>
    <x v="66"/>
    <x v="2"/>
    <s v="USD"/>
    <d v="2021-06-02T00:00:00"/>
    <n v="11652.643555555554"/>
    <x v="2"/>
    <n v="32"/>
    <n v="364.14511111111108"/>
    <n v="1"/>
    <n v="11652.643555555554"/>
    <n v="19.921299999999999"/>
    <n v="232135.80806328886"/>
    <n v="113.018"/>
    <n v="124.571"/>
    <n v="1.1022000000000001"/>
    <n v="255860.087647357"/>
    <n v="7995.6277389799061"/>
    <m/>
    <n v="32"/>
    <s v="Sale"/>
    <x v="109"/>
    <s v="USD"/>
    <n v="10085.880000000001"/>
    <n v="1"/>
    <n v="10085.880000000001"/>
    <n v="19.871200000000002"/>
    <n v="200418.53865600005"/>
    <n v="255860.087647357"/>
    <n v="-55441.548991356947"/>
    <n v="1.4027397260273973"/>
    <n v="1"/>
    <n v="-55441.548991356947"/>
    <n v="0"/>
    <m/>
    <n v="-1566.7635555555535"/>
  </r>
  <r>
    <x v="4"/>
    <s v="Purchase"/>
    <x v="66"/>
    <x v="2"/>
    <s v="USD"/>
    <d v="2021-09-07T00:00:00"/>
    <n v="346"/>
    <x v="2"/>
    <n v="1"/>
    <n v="346"/>
    <n v="1"/>
    <n v="346"/>
    <n v="19.8992"/>
    <n v="6885.1232"/>
    <n v="114.601"/>
    <n v="124.571"/>
    <n v="1.0869"/>
    <n v="7483.4404060799998"/>
    <n v="7483.4404060799998"/>
    <m/>
    <n v="1"/>
    <s v="Sale"/>
    <x v="109"/>
    <s v="USD"/>
    <n v="315.18375000000003"/>
    <n v="1"/>
    <n v="315.18375000000003"/>
    <n v="19.871200000000002"/>
    <n v="6263.0793330000015"/>
    <n v="7483.4404060799998"/>
    <n v="-1220.3610730799983"/>
    <n v="1.1369863013698631"/>
    <n v="1"/>
    <n v="-1220.3610730799983"/>
    <n v="0"/>
    <m/>
    <n v="-30.816249999999968"/>
  </r>
  <r>
    <x v="4"/>
    <s v="Purchase"/>
    <x v="66"/>
    <x v="2"/>
    <s v="USD"/>
    <d v="2021-09-07T00:00:00"/>
    <n v="2423.511428571429"/>
    <x v="2"/>
    <n v="7"/>
    <n v="346.215918367347"/>
    <n v="1"/>
    <n v="2423.511428571429"/>
    <n v="19.8992"/>
    <n v="48225.938619428583"/>
    <n v="114.601"/>
    <n v="124.571"/>
    <n v="1.0869"/>
    <n v="52416.772685456926"/>
    <n v="7488.1103836367038"/>
    <m/>
    <n v="7"/>
    <s v="Sale"/>
    <x v="109"/>
    <s v="USD"/>
    <n v="2206.2862500000001"/>
    <n v="1"/>
    <n v="2206.2862500000001"/>
    <n v="19.871200000000002"/>
    <n v="43841.555331000003"/>
    <n v="52416.772685456926"/>
    <n v="-8575.2173544569232"/>
    <n v="1.1369863013698631"/>
    <n v="1"/>
    <n v="-8575.2173544569232"/>
    <n v="0"/>
    <m/>
    <n v="-217.22517857142884"/>
  </r>
  <r>
    <x v="4"/>
    <s v="Purchase"/>
    <x v="39"/>
    <x v="2"/>
    <s v="USD"/>
    <d v="2020-11-24T00:00:00"/>
    <n v="11851.568892508145"/>
    <x v="2"/>
    <n v="105"/>
    <n v="112.87208469055376"/>
    <n v="1"/>
    <n v="11851.568892508145"/>
    <n v="20.1172"/>
    <n v="238420.38172436485"/>
    <n v="108.85599999999999"/>
    <n v="124.571"/>
    <n v="1.1443000000000001"/>
    <n v="272824.4428071907"/>
    <n v="2598.3280267351497"/>
    <m/>
    <n v="105"/>
    <s v="Sale"/>
    <x v="112"/>
    <s v="USD"/>
    <n v="14313.88"/>
    <n v="1"/>
    <n v="14313.88"/>
    <n v="19.965199999999999"/>
    <n v="285779.47697599995"/>
    <n v="272824.4428071907"/>
    <n v="12955.034168809245"/>
    <n v="1.8849315068493151"/>
    <n v="1"/>
    <n v="12955.034168809245"/>
    <n v="0"/>
    <m/>
    <n v="2462.3111074918543"/>
  </r>
  <r>
    <x v="4"/>
    <s v="Purchase"/>
    <x v="188"/>
    <x v="2"/>
    <s v="USD"/>
    <d v="2022-05-26T00:00:00"/>
    <n v="28557.469999999998"/>
    <x v="2"/>
    <n v="162"/>
    <n v="176.28067901234567"/>
    <n v="1"/>
    <n v="28557.469999999998"/>
    <n v="19.887"/>
    <n v="567922.40588999994"/>
    <n v="121.02200000000001"/>
    <n v="123.803"/>
    <n v="1.0228999999999999"/>
    <n v="580927.82898488094"/>
    <n v="3585.9742529930923"/>
    <m/>
    <n v="162"/>
    <s v="Sale"/>
    <x v="104"/>
    <s v="USD"/>
    <n v="20439.704531249998"/>
    <n v="1"/>
    <n v="20439.704531249998"/>
    <n v="20.351700000000001"/>
    <n v="415982.73470864061"/>
    <n v="580927.82898488094"/>
    <n v="-164945.09427624033"/>
    <n v="0.34246575342465752"/>
    <n v="1"/>
    <n v="-164945.09427624033"/>
    <n v="0"/>
    <m/>
    <n v="-8117.7654687499999"/>
  </r>
  <r>
    <x v="4"/>
    <s v="Purchase"/>
    <x v="188"/>
    <x v="2"/>
    <s v="USD"/>
    <d v="2022-05-27T00:00:00"/>
    <n v="14772.379999999997"/>
    <x v="2"/>
    <n v="80"/>
    <n v="184.65474999999998"/>
    <n v="1"/>
    <n v="14772.379999999997"/>
    <n v="19.837700000000002"/>
    <n v="293050.04272599996"/>
    <n v="121.02200000000001"/>
    <n v="123.803"/>
    <n v="1.0228999999999999"/>
    <n v="299760.88870442531"/>
    <n v="3747.0111088053163"/>
    <m/>
    <n v="80"/>
    <s v="Sale"/>
    <x v="104"/>
    <s v="USD"/>
    <n v="10093.68125"/>
    <n v="1"/>
    <n v="10093.68125"/>
    <n v="20.351700000000001"/>
    <n v="205423.57269562501"/>
    <n v="299760.88870442531"/>
    <n v="-94337.316008800291"/>
    <n v="0.33972602739726027"/>
    <n v="1"/>
    <n v="-94337.316008800291"/>
    <n v="0"/>
    <m/>
    <n v="-4678.6987499999977"/>
  </r>
  <r>
    <x v="4"/>
    <s v="Purchase"/>
    <x v="188"/>
    <x v="2"/>
    <s v="USD"/>
    <d v="2022-08-02T00:00:00"/>
    <n v="15289.010000000002"/>
    <x v="2"/>
    <n v="81"/>
    <n v="188.75320987654322"/>
    <n v="1"/>
    <n v="15289.010000000002"/>
    <n v="20.348500000000001"/>
    <n v="311108.41998500004"/>
    <n v="123.803"/>
    <n v="123.803"/>
    <n v="1"/>
    <n v="311108.41998500004"/>
    <n v="3840.8446911728402"/>
    <m/>
    <n v="81"/>
    <s v="Sale"/>
    <x v="104"/>
    <s v="USD"/>
    <n v="10219.852265624999"/>
    <n v="1"/>
    <n v="10219.852265624999"/>
    <n v="20.351700000000001"/>
    <n v="207991.3673543203"/>
    <n v="311108.41998500004"/>
    <n v="-103117.05263067974"/>
    <n v="0.15616438356164383"/>
    <n v="1"/>
    <n v="-103117.05263067974"/>
    <n v="0"/>
    <m/>
    <n v="-5069.1577343750032"/>
  </r>
  <r>
    <x v="4"/>
    <s v="Purchase"/>
    <x v="188"/>
    <x v="2"/>
    <s v="USD"/>
    <d v="2022-08-08T00:00:00"/>
    <n v="10695.54"/>
    <x v="2"/>
    <n v="61"/>
    <n v="175.33672131147543"/>
    <n v="1"/>
    <n v="10695.54"/>
    <n v="20.335799999999999"/>
    <n v="217502.36233200002"/>
    <n v="123.803"/>
    <n v="123.803"/>
    <n v="1"/>
    <n v="217502.36233200002"/>
    <n v="3565.612497245902"/>
    <m/>
    <n v="61"/>
    <s v="Sale"/>
    <x v="104"/>
    <s v="USD"/>
    <n v="7696.4319531249994"/>
    <n v="1"/>
    <n v="7696.4319531249994"/>
    <n v="20.351700000000001"/>
    <n v="156635.47418041405"/>
    <n v="217502.36233200002"/>
    <n v="-60866.888151585968"/>
    <n v="0.13972602739726028"/>
    <n v="1"/>
    <n v="-60866.888151585968"/>
    <n v="0"/>
    <m/>
    <n v="-2999.1080468750015"/>
  </r>
  <r>
    <x v="4"/>
    <s v="Purchase"/>
    <x v="189"/>
    <x v="2"/>
    <s v="USD"/>
    <d v="2021-03-18T00:00:00"/>
    <n v="467.23199999999997"/>
    <x v="2"/>
    <n v="1"/>
    <n v="467.23199999999997"/>
    <n v="1"/>
    <n v="467.23199999999997"/>
    <n v="20.575299999999999"/>
    <n v="9613.438569599999"/>
    <n v="111.824"/>
    <n v="122.94799999999999"/>
    <n v="1.0993999999999999"/>
    <n v="10569.014363418239"/>
    <n v="10569.014363418239"/>
    <m/>
    <n v="1"/>
    <s v="Sale"/>
    <x v="120"/>
    <s v="USD"/>
    <n v="350.76904761904763"/>
    <n v="1"/>
    <n v="350.76904761904763"/>
    <n v="20.263300000000001"/>
    <n v="7107.7384426190483"/>
    <n v="10569.014363418239"/>
    <n v="-3461.2759207991903"/>
    <n v="1.3780821917808219"/>
    <n v="1"/>
    <n v="-3461.2759207991903"/>
    <n v="0"/>
    <m/>
    <n v="-116.46295238095234"/>
  </r>
  <r>
    <x v="4"/>
    <s v="Purchase"/>
    <x v="189"/>
    <x v="2"/>
    <s v="USD"/>
    <d v="2021-03-24T00:00:00"/>
    <n v="6422.52"/>
    <x v="2"/>
    <n v="14"/>
    <n v="458.75142857142862"/>
    <n v="1"/>
    <n v="6422.52"/>
    <n v="20.578800000000001"/>
    <n v="132167.75457600001"/>
    <n v="111.824"/>
    <n v="122.94799999999999"/>
    <n v="1.0993999999999999"/>
    <n v="145305.22938085441"/>
    <n v="10378.944955775314"/>
    <m/>
    <n v="14"/>
    <s v="Sale"/>
    <x v="120"/>
    <s v="USD"/>
    <n v="4910.7666666666664"/>
    <n v="1"/>
    <n v="4910.7666666666664"/>
    <n v="20.263300000000001"/>
    <n v="99508.338196666664"/>
    <n v="145305.22938085441"/>
    <n v="-45796.891184187742"/>
    <n v="1.3616438356164384"/>
    <n v="1"/>
    <n v="-45796.891184187742"/>
    <n v="0"/>
    <m/>
    <n v="-1511.753333333334"/>
  </r>
  <r>
    <x v="4"/>
    <s v="Purchase"/>
    <x v="189"/>
    <x v="2"/>
    <s v="USD"/>
    <d v="2021-03-25T00:00:00"/>
    <n v="2707.17"/>
    <x v="2"/>
    <n v="6"/>
    <n v="451.19499999999999"/>
    <n v="1"/>
    <n v="2707.17"/>
    <n v="20.640799999999999"/>
    <n v="55878.154535999995"/>
    <n v="111.824"/>
    <n v="122.94799999999999"/>
    <n v="1.0993999999999999"/>
    <n v="61432.443096878393"/>
    <n v="10238.740516146399"/>
    <m/>
    <n v="6"/>
    <s v="Sale"/>
    <x v="120"/>
    <s v="USD"/>
    <n v="2104.6142857142859"/>
    <n v="1"/>
    <n v="2104.6142857142859"/>
    <n v="20.263300000000001"/>
    <n v="42646.430655714292"/>
    <n v="61432.4430968784"/>
    <n v="-18786.012441164108"/>
    <n v="1.3589041095890411"/>
    <n v="1"/>
    <n v="-18786.012441164108"/>
    <n v="0"/>
    <m/>
    <n v="-602.5557142857142"/>
  </r>
  <r>
    <x v="4"/>
    <s v="Purchase"/>
    <x v="190"/>
    <x v="2"/>
    <s v="USD"/>
    <d v="2021-04-28T00:00:00"/>
    <n v="10538.559692307692"/>
    <x v="2"/>
    <n v="62"/>
    <n v="169.97676923076924"/>
    <n v="1"/>
    <n v="10538.559692307692"/>
    <n v="19.836200000000002"/>
    <n v="209044.97776855386"/>
    <n v="112.19"/>
    <n v="123.803"/>
    <n v="1.1034999999999999"/>
    <n v="230681.13296759917"/>
    <n v="3720.6634349612768"/>
    <m/>
    <n v="62"/>
    <s v="Sale"/>
    <x v="114"/>
    <s v="USD"/>
    <n v="9328.0565048543685"/>
    <n v="1"/>
    <n v="9328.0565048543685"/>
    <n v="20.305800000000001"/>
    <n v="189413.64977627184"/>
    <n v="230681.13296759917"/>
    <n v="-41267.483191327337"/>
    <n v="1.4246575342465753"/>
    <n v="1"/>
    <n v="-41267.483191327337"/>
    <n v="0"/>
    <m/>
    <n v="-1210.5031874533233"/>
  </r>
  <r>
    <x v="4"/>
    <s v="Purchase"/>
    <x v="190"/>
    <x v="2"/>
    <s v="USD"/>
    <d v="2021-04-29T00:00:00"/>
    <n v="1556.16"/>
    <x v="2"/>
    <n v="9"/>
    <n v="172.90666666666667"/>
    <n v="1"/>
    <n v="1556.16"/>
    <n v="19.9785"/>
    <n v="31089.742560000002"/>
    <n v="112.19"/>
    <n v="123.803"/>
    <n v="1.1034999999999999"/>
    <n v="34307.53091496"/>
    <n v="3811.9478794400002"/>
    <m/>
    <n v="9"/>
    <s v="Sale"/>
    <x v="114"/>
    <s v="USD"/>
    <n v="1354.0727184466018"/>
    <n v="1"/>
    <n v="1354.0727184466018"/>
    <n v="20.305800000000001"/>
    <n v="27495.529806233008"/>
    <n v="34307.53091496"/>
    <n v="-6812.0011087269922"/>
    <n v="1.4219178082191781"/>
    <n v="1"/>
    <n v="-6812.0011087269922"/>
    <n v="0"/>
    <m/>
    <n v="-202.08728155339827"/>
  </r>
  <r>
    <x v="4"/>
    <s v="Purchase"/>
    <x v="190"/>
    <x v="2"/>
    <s v="USD"/>
    <d v="2021-04-29T00:00:00"/>
    <n v="5487.8826666666673"/>
    <x v="2"/>
    <n v="32"/>
    <n v="171.49633333333335"/>
    <n v="1"/>
    <n v="5487.8826666666673"/>
    <n v="19.9785"/>
    <n v="109639.66385600001"/>
    <n v="112.19"/>
    <n v="123.803"/>
    <n v="1.1034999999999999"/>
    <n v="120987.36906509601"/>
    <n v="3780.8552832842502"/>
    <m/>
    <n v="32"/>
    <s v="Sale"/>
    <x v="114"/>
    <s v="USD"/>
    <n v="4814.4807766990289"/>
    <n v="1"/>
    <n v="4814.4807766990289"/>
    <n v="20.305800000000001"/>
    <n v="97761.883755495146"/>
    <n v="120987.36906509601"/>
    <n v="-23225.485309600859"/>
    <n v="1.4219178082191781"/>
    <n v="1"/>
    <n v="-23225.485309600859"/>
    <n v="0"/>
    <m/>
    <n v="-673.40188996763845"/>
  </r>
  <r>
    <x v="4"/>
    <s v="Purchase"/>
    <x v="190"/>
    <x v="2"/>
    <s v="USD"/>
    <d v="2021-04-29T00:00:00"/>
    <n v="4801.8973333333342"/>
    <x v="2"/>
    <n v="28"/>
    <n v="171.49633333333335"/>
    <n v="1"/>
    <n v="4801.8973333333342"/>
    <n v="19.9785"/>
    <n v="95934.705874000021"/>
    <n v="112.19"/>
    <n v="124.571"/>
    <n v="1.1103000000000001"/>
    <n v="106516.30393190224"/>
    <n v="3804.1537118536512"/>
    <m/>
    <n v="28"/>
    <s v="Sale"/>
    <x v="109"/>
    <s v="USD"/>
    <n v="4230.6511111111113"/>
    <n v="1"/>
    <n v="4230.6511111111113"/>
    <n v="19.871200000000002"/>
    <n v="84068.114359111118"/>
    <n v="106516.30393190224"/>
    <n v="-22448.189572791118"/>
    <n v="1.4958904109589042"/>
    <n v="1"/>
    <n v="-22448.189572791118"/>
    <n v="0"/>
    <m/>
    <n v="-571.24622222222297"/>
  </r>
  <r>
    <x v="4"/>
    <s v="Purchase"/>
    <x v="190"/>
    <x v="2"/>
    <s v="USD"/>
    <d v="2021-04-30T00:00:00"/>
    <n v="17075.546249999999"/>
    <x v="2"/>
    <n v="98"/>
    <n v="174.24026785714284"/>
    <n v="1"/>
    <n v="17075.546249999999"/>
    <n v="19.9712"/>
    <n v="341019.14926799998"/>
    <n v="112.19"/>
    <n v="124.571"/>
    <n v="1.1103000000000001"/>
    <n v="378633.56143226038"/>
    <n v="3863.6077697169426"/>
    <m/>
    <n v="98"/>
    <s v="Sale"/>
    <x v="109"/>
    <s v="USD"/>
    <n v="14807.278888888888"/>
    <n v="1"/>
    <n v="14807.278888888888"/>
    <n v="19.871200000000002"/>
    <n v="294238.40025688888"/>
    <n v="378633.56143226038"/>
    <n v="-84395.161175371497"/>
    <n v="1.4931506849315068"/>
    <n v="1"/>
    <n v="-84395.161175371497"/>
    <n v="0"/>
    <m/>
    <n v="-2268.2673611111113"/>
  </r>
  <r>
    <x v="4"/>
    <s v="Purchase"/>
    <x v="190"/>
    <x v="2"/>
    <s v="USD"/>
    <d v="2021-04-30T00:00:00"/>
    <n v="2439.36375"/>
    <x v="2"/>
    <n v="14"/>
    <n v="174.24026785714287"/>
    <n v="1"/>
    <n v="2439.36375"/>
    <n v="19.9712"/>
    <n v="48717.021324000001"/>
    <n v="112.19"/>
    <n v="124.571"/>
    <n v="1.1103000000000001"/>
    <n v="54090.508776037204"/>
    <n v="3863.607769716943"/>
    <m/>
    <n v="14"/>
    <s v="Sale"/>
    <x v="109"/>
    <s v="USD"/>
    <n v="2122.0207272727275"/>
    <n v="1"/>
    <n v="2122.0207272727275"/>
    <n v="19.871200000000002"/>
    <n v="42167.098275781827"/>
    <n v="54090.508776037204"/>
    <n v="-11923.410500255377"/>
    <n v="1.4931506849315068"/>
    <n v="1"/>
    <n v="-11923.410500255377"/>
    <n v="0"/>
    <m/>
    <n v="-317.34302272727246"/>
  </r>
  <r>
    <x v="4"/>
    <s v="Purchase"/>
    <x v="190"/>
    <x v="2"/>
    <s v="USD"/>
    <d v="2021-06-01T00:00:00"/>
    <n v="7239.74"/>
    <x v="2"/>
    <n v="41"/>
    <n v="176.57902439024389"/>
    <n v="1"/>
    <n v="7239.74"/>
    <n v="19.944199999999999"/>
    <n v="144390.82250799998"/>
    <n v="113.018"/>
    <n v="124.571"/>
    <n v="1.1022000000000001"/>
    <n v="159147.56456831758"/>
    <n v="3881.6479163004287"/>
    <m/>
    <n v="41"/>
    <s v="Sale"/>
    <x v="109"/>
    <s v="USD"/>
    <n v="6214.4892727272727"/>
    <n v="1"/>
    <n v="6214.4892727272727"/>
    <n v="19.871200000000002"/>
    <n v="123489.3592362182"/>
    <n v="159147.56456831758"/>
    <n v="-35658.205332099387"/>
    <n v="1.4054794520547946"/>
    <n v="1"/>
    <n v="-35658.205332099387"/>
    <n v="0"/>
    <m/>
    <n v="-1025.2507272727271"/>
  </r>
  <r>
    <x v="4"/>
    <s v="Purchase"/>
    <x v="75"/>
    <x v="1"/>
    <s v="USD"/>
    <d v="2021-07-20T00:00:00"/>
    <n v="117.4701923076923"/>
    <x v="1"/>
    <n v="1"/>
    <n v="117.4701923076923"/>
    <n v="1"/>
    <n v="117.4701923076923"/>
    <n v="19.8537"/>
    <n v="2332.2179570192307"/>
    <n v="113.682"/>
    <n v="125.276"/>
    <n v="1.1019000000000001"/>
    <n v="2569.8709668394904"/>
    <n v="2569.8709668394904"/>
    <m/>
    <n v="1"/>
    <s v="Sale"/>
    <x v="121"/>
    <s v="USD"/>
    <n v="75.635925925925932"/>
    <n v="1"/>
    <n v="75.635925925925932"/>
    <n v="19.975200000000001"/>
    <n v="1510.8427475555557"/>
    <n v="2569.8709668394904"/>
    <n v="-1059.0282192839347"/>
    <n v="1.2301369863013698"/>
    <n v="1"/>
    <n v="-1059.0282192839347"/>
    <n v="0"/>
    <m/>
    <n v="-41.834266381766369"/>
  </r>
  <r>
    <x v="4"/>
    <s v="Purchase"/>
    <x v="75"/>
    <x v="1"/>
    <s v="USD"/>
    <d v="2021-07-20T00:00:00"/>
    <n v="470.6"/>
    <x v="1"/>
    <n v="4"/>
    <n v="117.65"/>
    <n v="1"/>
    <n v="470.6"/>
    <n v="19.8537"/>
    <n v="9343.1512199999997"/>
    <n v="113.682"/>
    <n v="125.276"/>
    <n v="1.1019000000000001"/>
    <n v="10295.218329318001"/>
    <n v="2573.8045823295001"/>
    <m/>
    <n v="4"/>
    <s v="Sale"/>
    <x v="121"/>
    <s v="USD"/>
    <n v="302.54370370370373"/>
    <n v="1"/>
    <n v="302.54370370370373"/>
    <n v="19.975200000000001"/>
    <n v="6043.3709902222226"/>
    <n v="10295.218329318001"/>
    <n v="-4251.8473390957779"/>
    <n v="1.2301369863013698"/>
    <n v="1"/>
    <n v="-4251.8473390957779"/>
    <n v="0"/>
    <m/>
    <n v="-168.0562962962963"/>
  </r>
  <r>
    <x v="4"/>
    <s v="Purchase"/>
    <x v="75"/>
    <x v="1"/>
    <s v="USD"/>
    <d v="2021-07-21T00:00:00"/>
    <n v="2046.4"/>
    <x v="1"/>
    <n v="17"/>
    <n v="120.37647058823529"/>
    <n v="1"/>
    <n v="2046.4"/>
    <n v="20"/>
    <n v="40928"/>
    <n v="113.682"/>
    <n v="125.276"/>
    <n v="1.1019000000000001"/>
    <n v="45098.563200000004"/>
    <n v="2652.8566588235299"/>
    <m/>
    <n v="17"/>
    <s v="Sale"/>
    <x v="121"/>
    <s v="USD"/>
    <n v="1285.8107407407408"/>
    <n v="1"/>
    <n v="1285.8107407407408"/>
    <n v="19.975200000000001"/>
    <n v="25684.326708444449"/>
    <n v="45098.563200000004"/>
    <n v="-19414.236491555555"/>
    <n v="1.2273972602739727"/>
    <n v="1"/>
    <n v="-19414.236491555555"/>
    <n v="0"/>
    <m/>
    <n v="-760.58925925925928"/>
  </r>
  <r>
    <x v="4"/>
    <s v="Purchase"/>
    <x v="75"/>
    <x v="1"/>
    <s v="USD"/>
    <d v="2021-07-21T00:00:00"/>
    <n v="599.53235294117644"/>
    <x v="1"/>
    <n v="5"/>
    <n v="119.90647058823529"/>
    <n v="1"/>
    <n v="599.53235294117644"/>
    <n v="20"/>
    <n v="11990.647058823528"/>
    <n v="113.682"/>
    <n v="125.276"/>
    <n v="1.1019000000000001"/>
    <n v="13212.493994117647"/>
    <n v="2642.4987988235293"/>
    <m/>
    <n v="5"/>
    <s v="Sale"/>
    <x v="121"/>
    <s v="USD"/>
    <n v="378.17962962962963"/>
    <n v="1"/>
    <n v="378.17962962962963"/>
    <n v="19.975200000000001"/>
    <n v="7554.2137377777781"/>
    <n v="13212.493994117647"/>
    <n v="-5658.2802563398691"/>
    <n v="1.2273972602739727"/>
    <n v="1"/>
    <n v="-5658.2802563398691"/>
    <n v="0"/>
    <m/>
    <n v="-221.35272331154681"/>
  </r>
  <r>
    <x v="4"/>
    <s v="Purchase"/>
    <x v="75"/>
    <x v="1"/>
    <s v="USD"/>
    <d v="2021-07-21T00:00:00"/>
    <n v="1438.8776470588236"/>
    <x v="1"/>
    <n v="12"/>
    <n v="119.90647058823531"/>
    <n v="1"/>
    <n v="1438.8776470588236"/>
    <n v="20"/>
    <n v="28777.552941176473"/>
    <n v="113.682"/>
    <n v="125.276"/>
    <n v="1.1019000000000001"/>
    <n v="31709.985585882358"/>
    <n v="2642.4987988235298"/>
    <m/>
    <n v="12"/>
    <s v="Sale"/>
    <x v="121"/>
    <s v="USD"/>
    <n v="907.62239999999997"/>
    <n v="1"/>
    <n v="907.62239999999997"/>
    <n v="19.975200000000001"/>
    <n v="18129.938964479999"/>
    <n v="31709.985585882358"/>
    <n v="-13580.046621402358"/>
    <n v="1.2273972602739727"/>
    <n v="1"/>
    <n v="-13580.046621402358"/>
    <n v="0"/>
    <m/>
    <n v="-531.25524705882367"/>
  </r>
  <r>
    <x v="4"/>
    <s v="Purchase"/>
    <x v="75"/>
    <x v="1"/>
    <s v="USD"/>
    <d v="2021-07-30T00:00:00"/>
    <n v="237.65"/>
    <x v="1"/>
    <n v="2"/>
    <n v="118.825"/>
    <n v="1"/>
    <n v="237.65"/>
    <n v="19.953499999999998"/>
    <n v="4741.9492749999999"/>
    <n v="113.682"/>
    <n v="125.276"/>
    <n v="1.1019000000000001"/>
    <n v="5225.1539061225003"/>
    <n v="2612.5769530612502"/>
    <m/>
    <n v="2"/>
    <s v="Sale"/>
    <x v="121"/>
    <s v="USD"/>
    <n v="151.2704"/>
    <n v="1"/>
    <n v="151.2704"/>
    <n v="19.975200000000001"/>
    <n v="3021.6564940799999"/>
    <n v="5225.1539061225003"/>
    <n v="-2203.4974120425004"/>
    <n v="1.2027397260273973"/>
    <n v="1"/>
    <n v="-2203.4974120425004"/>
    <n v="0"/>
    <m/>
    <n v="-86.379600000000011"/>
  </r>
  <r>
    <x v="4"/>
    <s v="Purchase"/>
    <x v="75"/>
    <x v="1"/>
    <s v="USD"/>
    <d v="2021-07-30T00:00:00"/>
    <n v="1166.1500000000001"/>
    <x v="1"/>
    <n v="10"/>
    <n v="116.61500000000001"/>
    <n v="1"/>
    <n v="1166.1500000000001"/>
    <n v="19.953499999999998"/>
    <n v="23268.774024999999"/>
    <n v="113.682"/>
    <n v="125.276"/>
    <n v="1.1019000000000001"/>
    <n v="25639.8620981475"/>
    <n v="2563.9862098147501"/>
    <m/>
    <n v="10"/>
    <s v="Sale"/>
    <x v="121"/>
    <s v="USD"/>
    <n v="756.35199999999998"/>
    <n v="1"/>
    <n v="756.35199999999998"/>
    <n v="19.975200000000001"/>
    <n v="15108.2824704"/>
    <n v="25639.8620981475"/>
    <n v="-10531.5796277475"/>
    <n v="1.2027397260273973"/>
    <n v="1"/>
    <n v="-10531.5796277475"/>
    <n v="0"/>
    <m/>
    <n v="-409.79800000000012"/>
  </r>
  <r>
    <x v="4"/>
    <s v="Purchase"/>
    <x v="75"/>
    <x v="1"/>
    <s v="USD"/>
    <d v="2021-07-30T00:00:00"/>
    <n v="118.26363636363637"/>
    <x v="1"/>
    <n v="1"/>
    <n v="118.26363636363637"/>
    <n v="1"/>
    <n v="118.26363636363637"/>
    <n v="19.953499999999998"/>
    <n v="2359.7734681818179"/>
    <n v="113.682"/>
    <n v="125.276"/>
    <n v="1.1019000000000001"/>
    <n v="2600.2343845895452"/>
    <n v="2600.2343845895452"/>
    <m/>
    <n v="1"/>
    <s v="Sale"/>
    <x v="121"/>
    <s v="USD"/>
    <n v="75.635199999999998"/>
    <n v="1"/>
    <n v="75.635199999999998"/>
    <n v="19.975200000000001"/>
    <n v="1510.82824704"/>
    <n v="2600.2343845895452"/>
    <n v="-1089.4061375495453"/>
    <n v="1.2027397260273973"/>
    <n v="1"/>
    <n v="-1089.4061375495453"/>
    <n v="0"/>
    <m/>
    <n v="-42.628436363636368"/>
  </r>
  <r>
    <x v="4"/>
    <s v="Purchase"/>
    <x v="75"/>
    <x v="1"/>
    <s v="USD"/>
    <d v="2021-07-30T00:00:00"/>
    <n v="1182.6363636363637"/>
    <x v="1"/>
    <n v="10"/>
    <n v="118.26363636363638"/>
    <n v="1"/>
    <n v="1182.6363636363637"/>
    <n v="19.953499999999998"/>
    <n v="23597.734681818183"/>
    <n v="113.682"/>
    <n v="125.276"/>
    <n v="1.1019000000000001"/>
    <n v="26002.343845895459"/>
    <n v="2600.2343845895457"/>
    <m/>
    <n v="10"/>
    <s v="Sale"/>
    <x v="121"/>
    <s v="USD"/>
    <n v="751.57500000000005"/>
    <n v="1"/>
    <n v="751.57500000000005"/>
    <n v="19.975200000000001"/>
    <n v="15012.860940000002"/>
    <n v="26002.343845895455"/>
    <n v="-10989.482905895453"/>
    <n v="1.2027397260273973"/>
    <n v="1"/>
    <n v="-10989.482905895453"/>
    <n v="0"/>
    <m/>
    <n v="-431.06136363636369"/>
  </r>
  <r>
    <x v="4"/>
    <s v="Purchase"/>
    <x v="75"/>
    <x v="1"/>
    <s v="USD"/>
    <d v="2021-07-30T00:00:00"/>
    <n v="716.44499999999994"/>
    <x v="1"/>
    <n v="6"/>
    <n v="119.40749999999998"/>
    <n v="1"/>
    <n v="716.44499999999994"/>
    <n v="19.953499999999998"/>
    <n v="14295.585307499998"/>
    <n v="113.682"/>
    <n v="125.276"/>
    <n v="1.1019000000000001"/>
    <n v="15752.305450334248"/>
    <n v="2625.3842417223746"/>
    <m/>
    <n v="6"/>
    <s v="Sale"/>
    <x v="121"/>
    <s v="USD"/>
    <n v="450.94499999999999"/>
    <n v="1"/>
    <n v="450.94499999999999"/>
    <n v="19.975200000000001"/>
    <n v="9007.7165640000003"/>
    <n v="15752.305450334246"/>
    <n v="-6744.5888863342461"/>
    <n v="1.2027397260273973"/>
    <n v="1"/>
    <n v="-6744.5888863342461"/>
    <n v="0"/>
    <m/>
    <n v="-265.49999999999994"/>
  </r>
  <r>
    <x v="4"/>
    <s v="Purchase"/>
    <x v="75"/>
    <x v="1"/>
    <s v="USD"/>
    <d v="2021-07-30T00:00:00"/>
    <n v="1671.7049999999999"/>
    <x v="1"/>
    <n v="14"/>
    <n v="119.4075"/>
    <n v="1"/>
    <n v="1671.7049999999999"/>
    <n v="19.953499999999998"/>
    <n v="33356.365717499997"/>
    <n v="113.682"/>
    <n v="125.276"/>
    <n v="1.1019000000000001"/>
    <n v="36755.37938411325"/>
    <n v="2625.384241722375"/>
    <m/>
    <n v="14"/>
    <s v="Sale"/>
    <x v="121"/>
    <s v="USD"/>
    <n v="1057.8699999999999"/>
    <n v="1"/>
    <n v="1057.8699999999999"/>
    <n v="19.975200000000001"/>
    <n v="21131.164823999999"/>
    <n v="36755.37938411325"/>
    <n v="-15624.214560113251"/>
    <n v="1.2027397260273973"/>
    <n v="1"/>
    <n v="-15624.214560113251"/>
    <n v="0"/>
    <m/>
    <n v="-613.83500000000004"/>
  </r>
  <r>
    <x v="4"/>
    <s v="Purchase"/>
    <x v="75"/>
    <x v="1"/>
    <s v="USD"/>
    <d v="2021-07-30T00:00:00"/>
    <n v="1910.52"/>
    <x v="1"/>
    <n v="16"/>
    <n v="119.4075"/>
    <n v="1"/>
    <n v="1910.52"/>
    <n v="19.953499999999998"/>
    <n v="38121.560819999999"/>
    <n v="113.682"/>
    <n v="125.276"/>
    <n v="1.1019000000000001"/>
    <n v="42006.147867558"/>
    <n v="2625.384241722375"/>
    <m/>
    <n v="16"/>
    <s v="Sale"/>
    <x v="112"/>
    <s v="USD"/>
    <n v="1238.3721739130435"/>
    <n v="1"/>
    <n v="1238.3721739130435"/>
    <n v="19.965199999999999"/>
    <n v="24724.348126608696"/>
    <n v="42006.147867558"/>
    <n v="-17281.799740949304"/>
    <n v="1.2054794520547945"/>
    <n v="1"/>
    <n v="-17281.799740949304"/>
    <n v="0"/>
    <m/>
    <n v="-672.14782608695646"/>
  </r>
  <r>
    <x v="4"/>
    <s v="Purchase"/>
    <x v="75"/>
    <x v="1"/>
    <s v="USD"/>
    <d v="2021-08-02T00:00:00"/>
    <n v="838.49062500000002"/>
    <x v="1"/>
    <n v="7"/>
    <n v="119.784375"/>
    <n v="1"/>
    <n v="838.49062500000002"/>
    <n v="19.844799999999999"/>
    <n v="16639.678755000001"/>
    <n v="113.899"/>
    <n v="125.276"/>
    <n v="1.0998000000000001"/>
    <n v="18300.318694749003"/>
    <n v="2614.3312421070004"/>
    <m/>
    <n v="7"/>
    <s v="Sale"/>
    <x v="112"/>
    <s v="USD"/>
    <n v="541.78782608695656"/>
    <n v="1"/>
    <n v="541.78782608695656"/>
    <n v="19.965199999999999"/>
    <n v="10816.902305391304"/>
    <n v="18300.318694749003"/>
    <n v="-7483.4163893576988"/>
    <n v="1.1972602739726028"/>
    <n v="1"/>
    <n v="-7483.4163893576988"/>
    <n v="0"/>
    <m/>
    <n v="-296.70279891304347"/>
  </r>
  <r>
    <x v="4"/>
    <s v="Purchase"/>
    <x v="75"/>
    <x v="1"/>
    <s v="USD"/>
    <d v="2021-08-02T00:00:00"/>
    <n v="1078.059375"/>
    <x v="1"/>
    <n v="9"/>
    <n v="119.78437500000001"/>
    <n v="1"/>
    <n v="1078.059375"/>
    <n v="19.844799999999999"/>
    <n v="21393.872684999998"/>
    <n v="113.899"/>
    <n v="125.276"/>
    <n v="1.0998000000000001"/>
    <n v="23528.981178963"/>
    <n v="2614.331242107"/>
    <m/>
    <n v="9"/>
    <s v="Sale"/>
    <x v="112"/>
    <s v="USD"/>
    <n v="677.52"/>
    <n v="1"/>
    <n v="677.52"/>
    <n v="19.965199999999999"/>
    <n v="13526.822303999999"/>
    <n v="23528.981178963"/>
    <n v="-10002.158874963001"/>
    <n v="1.1972602739726028"/>
    <n v="1"/>
    <n v="-10002.158874963001"/>
    <n v="0"/>
    <m/>
    <n v="-400.53937500000006"/>
  </r>
  <r>
    <x v="4"/>
    <s v="Purchase"/>
    <x v="75"/>
    <x v="1"/>
    <s v="USD"/>
    <d v="2021-08-10T00:00:00"/>
    <n v="1426.4349999999999"/>
    <x v="1"/>
    <n v="12"/>
    <n v="118.86958333333332"/>
    <n v="1"/>
    <n v="1426.4349999999999"/>
    <n v="20.003699999999998"/>
    <n v="28533.977809499997"/>
    <n v="113.899"/>
    <n v="125.276"/>
    <n v="1.0998000000000001"/>
    <n v="31381.668794888101"/>
    <n v="2615.1390662406752"/>
    <m/>
    <n v="12"/>
    <s v="Sale"/>
    <x v="112"/>
    <s v="USD"/>
    <n v="903.36"/>
    <n v="1"/>
    <n v="903.36"/>
    <n v="19.965199999999999"/>
    <n v="18035.763071999998"/>
    <n v="31381.668794888101"/>
    <n v="-13345.905722888103"/>
    <n v="1.1753424657534246"/>
    <n v="1"/>
    <n v="-13345.905722888103"/>
    <n v="0"/>
    <m/>
    <n v="-523.07499999999993"/>
  </r>
  <r>
    <x v="4"/>
    <s v="Purchase"/>
    <x v="75"/>
    <x v="1"/>
    <s v="USD"/>
    <d v="2021-08-10T00:00:00"/>
    <n v="1426.4349999999999"/>
    <x v="1"/>
    <n v="12"/>
    <n v="118.86958333333332"/>
    <n v="1"/>
    <n v="1426.4349999999999"/>
    <n v="20.003699999999998"/>
    <n v="28533.977809499997"/>
    <n v="113.899"/>
    <n v="125.276"/>
    <n v="1.0998000000000001"/>
    <n v="31381.668794888101"/>
    <n v="2615.1390662406752"/>
    <m/>
    <n v="12"/>
    <s v="Sale"/>
    <x v="112"/>
    <s v="USD"/>
    <n v="928.30285714285708"/>
    <n v="1"/>
    <n v="928.30285714285708"/>
    <n v="19.965199999999999"/>
    <n v="18533.752203428568"/>
    <n v="31381.668794888101"/>
    <n v="-12847.916591459532"/>
    <n v="1.1753424657534246"/>
    <n v="1"/>
    <n v="-12847.916591459532"/>
    <n v="0"/>
    <m/>
    <n v="-498.13214285714287"/>
  </r>
  <r>
    <x v="4"/>
    <s v="Purchase"/>
    <x v="75"/>
    <x v="1"/>
    <s v="USD"/>
    <d v="2021-08-10T00:00:00"/>
    <n v="237.50472727272728"/>
    <x v="1"/>
    <n v="2"/>
    <n v="118.75236363636364"/>
    <n v="1"/>
    <n v="237.50472727272728"/>
    <n v="20.003699999999998"/>
    <n v="4750.9733129454544"/>
    <n v="113.899"/>
    <n v="125.276"/>
    <n v="1.0998000000000001"/>
    <n v="5225.1204495774109"/>
    <n v="2612.5602247887055"/>
    <m/>
    <n v="2"/>
    <s v="Sale"/>
    <x v="112"/>
    <s v="USD"/>
    <n v="154.71714285714285"/>
    <n v="1"/>
    <n v="154.71714285714285"/>
    <n v="19.965199999999999"/>
    <n v="3088.9587005714284"/>
    <n v="5225.1204495774109"/>
    <n v="-2136.1617490059825"/>
    <n v="1.1753424657534246"/>
    <n v="1"/>
    <n v="-2136.1617490059825"/>
    <n v="0"/>
    <m/>
    <n v="-82.787584415584433"/>
  </r>
  <r>
    <x v="4"/>
    <s v="Purchase"/>
    <x v="75"/>
    <x v="1"/>
    <s v="USD"/>
    <d v="2021-08-10T00:00:00"/>
    <n v="950.01890909090912"/>
    <x v="1"/>
    <n v="8"/>
    <n v="118.75236363636364"/>
    <n v="1"/>
    <n v="950.01890909090912"/>
    <n v="20.003699999999998"/>
    <n v="19003.893251781818"/>
    <n v="113.899"/>
    <n v="125.276"/>
    <n v="1.0998000000000001"/>
    <n v="20900.481798309644"/>
    <n v="2612.5602247887055"/>
    <m/>
    <n v="8"/>
    <s v="Sale"/>
    <x v="112"/>
    <s v="USD"/>
    <n v="600.63"/>
    <n v="1"/>
    <n v="600.63"/>
    <n v="19.965199999999999"/>
    <n v="11991.698075999999"/>
    <n v="20900.481798309644"/>
    <n v="-8908.7837223096449"/>
    <n v="1.1753424657534246"/>
    <n v="1"/>
    <n v="-8908.7837223096449"/>
    <n v="0"/>
    <m/>
    <n v="-349.38890909090912"/>
  </r>
  <r>
    <x v="4"/>
    <s v="Purchase"/>
    <x v="75"/>
    <x v="1"/>
    <s v="USD"/>
    <d v="2021-08-10T00:00:00"/>
    <n v="831.26654545454551"/>
    <x v="1"/>
    <n v="7"/>
    <n v="118.75236363636364"/>
    <n v="1"/>
    <n v="831.26654545454551"/>
    <n v="20.003699999999998"/>
    <n v="16628.40659530909"/>
    <n v="113.899"/>
    <n v="125.276"/>
    <n v="1.0998000000000001"/>
    <n v="18287.92157352094"/>
    <n v="2612.5602247887059"/>
    <m/>
    <n v="7"/>
    <s v="Sale"/>
    <x v="112"/>
    <s v="USD"/>
    <n v="525.05999999999995"/>
    <n v="1"/>
    <n v="525.05999999999995"/>
    <n v="19.965199999999999"/>
    <n v="10482.927911999999"/>
    <n v="18287.92157352094"/>
    <n v="-7804.9936615209408"/>
    <n v="1.1753424657534246"/>
    <n v="1"/>
    <n v="-7804.9936615209408"/>
    <n v="0"/>
    <m/>
    <n v="-306.20654545454556"/>
  </r>
  <r>
    <x v="4"/>
    <s v="Purchase"/>
    <x v="75"/>
    <x v="1"/>
    <s v="USD"/>
    <d v="2021-08-10T00:00:00"/>
    <n v="593.76181818181817"/>
    <x v="1"/>
    <n v="5"/>
    <n v="118.75236363636364"/>
    <n v="1"/>
    <n v="593.76181818181817"/>
    <n v="20.003699999999998"/>
    <n v="11877.433282363636"/>
    <n v="113.899"/>
    <n v="125.276"/>
    <n v="1.0998000000000001"/>
    <n v="13062.801123943527"/>
    <n v="2612.5602247887055"/>
    <m/>
    <n v="5"/>
    <s v="Sale"/>
    <x v="112"/>
    <s v="USD"/>
    <n v="386.99"/>
    <n v="1"/>
    <n v="386.99"/>
    <n v="19.965199999999999"/>
    <n v="7726.3327479999998"/>
    <n v="13062.801123943527"/>
    <n v="-5336.4683759435275"/>
    <n v="1.1753424657534246"/>
    <n v="1"/>
    <n v="-5336.4683759435275"/>
    <n v="0"/>
    <m/>
    <n v="-206.77181818181816"/>
  </r>
  <r>
    <x v="4"/>
    <s v="Purchase"/>
    <x v="75"/>
    <x v="1"/>
    <s v="USD"/>
    <d v="2021-08-10T00:00:00"/>
    <n v="475.00945454545456"/>
    <x v="1"/>
    <n v="4"/>
    <n v="118.75236363636364"/>
    <n v="1"/>
    <n v="475.00945454545456"/>
    <n v="20.003699999999998"/>
    <n v="9501.9466258909088"/>
    <n v="113.899"/>
    <n v="125.276"/>
    <n v="1.0998000000000001"/>
    <n v="10450.240899154822"/>
    <n v="2612.5602247887055"/>
    <m/>
    <n v="4"/>
    <s v="Sale"/>
    <x v="112"/>
    <s v="USD"/>
    <n v="301.12"/>
    <n v="1"/>
    <n v="301.12"/>
    <n v="19.965199999999999"/>
    <n v="6011.9210240000002"/>
    <n v="10450.240899154822"/>
    <n v="-4438.3198751548216"/>
    <n v="1.1753424657534246"/>
    <n v="1"/>
    <n v="-4438.3198751548216"/>
    <n v="0"/>
    <m/>
    <n v="-173.88945454545456"/>
  </r>
  <r>
    <x v="4"/>
    <s v="Purchase"/>
    <x v="75"/>
    <x v="1"/>
    <s v="USD"/>
    <d v="2021-08-10T00:00:00"/>
    <n v="356.25709090909095"/>
    <x v="1"/>
    <n v="3"/>
    <n v="118.75236363636365"/>
    <n v="1"/>
    <n v="356.25709090909095"/>
    <n v="20.003699999999998"/>
    <n v="7126.4599694181825"/>
    <n v="113.899"/>
    <n v="125.276"/>
    <n v="1.0998000000000001"/>
    <n v="7837.6806743661182"/>
    <n v="2612.5602247887059"/>
    <m/>
    <n v="3"/>
    <s v="Sale"/>
    <x v="112"/>
    <s v="USD"/>
    <n v="232.07"/>
    <n v="1"/>
    <n v="232.07"/>
    <n v="19.965199999999999"/>
    <n v="4633.3239640000002"/>
    <n v="7837.6806743661182"/>
    <n v="-3204.356710366118"/>
    <n v="1.1753424657534246"/>
    <n v="1"/>
    <n v="-3204.356710366118"/>
    <n v="0"/>
    <m/>
    <n v="-124.18709090909095"/>
  </r>
  <r>
    <x v="4"/>
    <s v="Purchase"/>
    <x v="75"/>
    <x v="1"/>
    <s v="USD"/>
    <d v="2021-08-10T00:00:00"/>
    <n v="237.50472727272728"/>
    <x v="1"/>
    <n v="2"/>
    <n v="118.75236363636364"/>
    <n v="1"/>
    <n v="237.50472727272728"/>
    <n v="20.003699999999998"/>
    <n v="4750.9733129454544"/>
    <n v="113.899"/>
    <n v="125.276"/>
    <n v="1.0998000000000001"/>
    <n v="5225.1204495774109"/>
    <n v="2612.5602247887055"/>
    <m/>
    <n v="2"/>
    <s v="Sale"/>
    <x v="112"/>
    <s v="USD"/>
    <n v="150.02000000000001"/>
    <n v="1"/>
    <n v="150.02000000000001"/>
    <n v="19.965199999999999"/>
    <n v="2995.1793040000002"/>
    <n v="5225.1204495774109"/>
    <n v="-2229.9411455774107"/>
    <n v="1.1753424657534246"/>
    <n v="1"/>
    <n v="-2229.9411455774107"/>
    <n v="0"/>
    <m/>
    <n v="-87.48472727272727"/>
  </r>
  <r>
    <x v="4"/>
    <s v="Purchase"/>
    <x v="75"/>
    <x v="1"/>
    <s v="USD"/>
    <d v="2021-08-10T00:00:00"/>
    <n v="237.50472727272728"/>
    <x v="1"/>
    <n v="2"/>
    <n v="118.75236363636364"/>
    <n v="1"/>
    <n v="237.50472727272728"/>
    <n v="20.003699999999998"/>
    <n v="4750.9733129454544"/>
    <n v="113.899"/>
    <n v="125.276"/>
    <n v="1.0998000000000001"/>
    <n v="5225.1204495774109"/>
    <n v="2612.5602247887055"/>
    <m/>
    <n v="2"/>
    <s v="Sale"/>
    <x v="112"/>
    <s v="USD"/>
    <n v="150.16"/>
    <n v="1"/>
    <n v="150.16"/>
    <n v="19.965199999999999"/>
    <n v="2997.974432"/>
    <n v="5225.1204495774109"/>
    <n v="-2227.1460175774109"/>
    <n v="1.1753424657534246"/>
    <n v="1"/>
    <n v="-2227.1460175774109"/>
    <n v="0"/>
    <m/>
    <n v="-87.344727272727283"/>
  </r>
  <r>
    <x v="4"/>
    <s v="Purchase"/>
    <x v="75"/>
    <x v="1"/>
    <s v="USD"/>
    <d v="2021-08-10T00:00:00"/>
    <n v="950.01890909090912"/>
    <x v="1"/>
    <n v="8"/>
    <n v="118.75236363636364"/>
    <n v="1"/>
    <n v="950.01890909090912"/>
    <n v="20.003699999999998"/>
    <n v="19003.893251781818"/>
    <n v="113.899"/>
    <n v="125.276"/>
    <n v="1.0998000000000001"/>
    <n v="20900.481798309644"/>
    <n v="2612.5602247887055"/>
    <m/>
    <n v="8"/>
    <s v="Sale"/>
    <x v="122"/>
    <s v="USD"/>
    <n v="606.54"/>
    <n v="1"/>
    <n v="606.54"/>
    <n v="20.0352"/>
    <n v="12152.150207999999"/>
    <n v="20900.481798309644"/>
    <n v="-8748.3315903096445"/>
    <n v="1.178082191780822"/>
    <n v="1"/>
    <n v="-8748.3315903096445"/>
    <n v="0"/>
    <m/>
    <n v="-343.47890909090916"/>
  </r>
  <r>
    <x v="4"/>
    <s v="Purchase"/>
    <x v="75"/>
    <x v="1"/>
    <s v="USD"/>
    <d v="2021-08-10T00:00:00"/>
    <n v="950.01890909090912"/>
    <x v="1"/>
    <n v="8"/>
    <n v="118.75236363636364"/>
    <n v="1"/>
    <n v="950.01890909090912"/>
    <n v="20.003699999999998"/>
    <n v="19003.893251781818"/>
    <n v="113.899"/>
    <n v="125.276"/>
    <n v="1.0998000000000001"/>
    <n v="20900.481798309644"/>
    <n v="2612.5602247887055"/>
    <m/>
    <n v="8"/>
    <s v="Sale"/>
    <x v="122"/>
    <s v="USD"/>
    <n v="609.70000000000005"/>
    <n v="1"/>
    <n v="609.70000000000005"/>
    <n v="20.0352"/>
    <n v="12215.461440000001"/>
    <n v="20900.481798309644"/>
    <n v="-8685.0203583096427"/>
    <n v="1.178082191780822"/>
    <n v="1"/>
    <n v="-8685.0203583096427"/>
    <n v="0"/>
    <m/>
    <n v="-340.31890909090907"/>
  </r>
  <r>
    <x v="4"/>
    <s v="Purchase"/>
    <x v="75"/>
    <x v="1"/>
    <s v="USD"/>
    <d v="2021-08-10T00:00:00"/>
    <n v="712.5141818181819"/>
    <x v="1"/>
    <n v="6"/>
    <n v="118.75236363636365"/>
    <n v="1"/>
    <n v="712.5141818181819"/>
    <n v="20.003699999999998"/>
    <n v="14252.919938836365"/>
    <n v="113.899"/>
    <n v="125.276"/>
    <n v="1.0998000000000001"/>
    <n v="15675.361348732236"/>
    <n v="2612.5602247887059"/>
    <m/>
    <n v="6"/>
    <s v="Sale"/>
    <x v="122"/>
    <s v="USD"/>
    <n v="454.07142857142856"/>
    <n v="1"/>
    <n v="454.07142857142856"/>
    <n v="20.0352"/>
    <n v="9097.4118857142857"/>
    <n v="15675.361348732236"/>
    <n v="-6577.9494630179506"/>
    <n v="1.178082191780822"/>
    <n v="1"/>
    <n v="-6577.9494630179506"/>
    <n v="0"/>
    <m/>
    <n v="-258.44275324675334"/>
  </r>
  <r>
    <x v="4"/>
    <s v="Purchase"/>
    <x v="75"/>
    <x v="1"/>
    <s v="USD"/>
    <d v="2021-08-10T00:00:00"/>
    <n v="118.02555555555556"/>
    <x v="1"/>
    <n v="1"/>
    <n v="118.02555555555556"/>
    <n v="1"/>
    <n v="118.02555555555556"/>
    <n v="20.003699999999998"/>
    <n v="2360.9478056666667"/>
    <n v="113.899"/>
    <n v="125.276"/>
    <n v="1.0998000000000001"/>
    <n v="2596.5703966722003"/>
    <n v="2596.5703966722003"/>
    <m/>
    <n v="1"/>
    <s v="Sale"/>
    <x v="122"/>
    <s v="USD"/>
    <n v="75.678571428571431"/>
    <n v="1"/>
    <n v="75.678571428571431"/>
    <n v="20.0352"/>
    <n v="1516.2353142857144"/>
    <n v="2596.5703966722003"/>
    <n v="-1080.335082386486"/>
    <n v="1.178082191780822"/>
    <n v="1"/>
    <n v="-1080.335082386486"/>
    <n v="0"/>
    <m/>
    <n v="-42.346984126984125"/>
  </r>
  <r>
    <x v="4"/>
    <s v="Purchase"/>
    <x v="75"/>
    <x v="1"/>
    <s v="USD"/>
    <d v="2021-08-10T00:00:00"/>
    <n v="354.07666666666665"/>
    <x v="1"/>
    <n v="3"/>
    <n v="118.02555555555556"/>
    <n v="1"/>
    <n v="354.07666666666665"/>
    <n v="20.003699999999998"/>
    <n v="7082.8434169999991"/>
    <n v="113.899"/>
    <n v="125.276"/>
    <n v="1.0998000000000001"/>
    <n v="7789.7111900166001"/>
    <n v="2596.5703966721999"/>
    <m/>
    <n v="3"/>
    <s v="Sale"/>
    <x v="122"/>
    <s v="USD"/>
    <n v="229.93"/>
    <n v="1"/>
    <n v="229.93"/>
    <n v="20.0352"/>
    <n v="4606.6935359999998"/>
    <n v="7789.7111900166001"/>
    <n v="-3183.0176540166003"/>
    <n v="1.178082191780822"/>
    <n v="1"/>
    <n v="-3183.0176540166003"/>
    <n v="0"/>
    <m/>
    <n v="-124.14666666666665"/>
  </r>
  <r>
    <x v="4"/>
    <s v="Purchase"/>
    <x v="75"/>
    <x v="1"/>
    <s v="USD"/>
    <d v="2021-08-10T00:00:00"/>
    <n v="236.05111111111111"/>
    <x v="1"/>
    <n v="2"/>
    <n v="118.02555555555556"/>
    <n v="1"/>
    <n v="236.05111111111111"/>
    <n v="20.003699999999998"/>
    <n v="4721.8956113333334"/>
    <n v="113.899"/>
    <n v="125.276"/>
    <n v="1.0998000000000001"/>
    <n v="5193.1407933444007"/>
    <n v="2596.5703966722003"/>
    <m/>
    <n v="2"/>
    <s v="Sale"/>
    <x v="122"/>
    <s v="USD"/>
    <n v="151.63999999999999"/>
    <n v="1"/>
    <n v="151.63999999999999"/>
    <n v="20.0352"/>
    <n v="3038.1377279999997"/>
    <n v="5193.1407933444007"/>
    <n v="-2155.003065344401"/>
    <n v="1.178082191780822"/>
    <n v="1"/>
    <n v="-2155.003065344401"/>
    <n v="0"/>
    <m/>
    <n v="-84.411111111111126"/>
  </r>
  <r>
    <x v="4"/>
    <s v="Purchase"/>
    <x v="75"/>
    <x v="1"/>
    <s v="USD"/>
    <d v="2021-08-10T00:00:00"/>
    <n v="118.02555555555556"/>
    <x v="1"/>
    <n v="1"/>
    <n v="118.02555555555556"/>
    <n v="1"/>
    <n v="118.02555555555556"/>
    <n v="20.003699999999998"/>
    <n v="2360.9478056666667"/>
    <n v="113.899"/>
    <n v="125.276"/>
    <n v="1.0998000000000001"/>
    <n v="2596.5703966722003"/>
    <n v="2596.5703966722003"/>
    <m/>
    <n v="1"/>
    <s v="Sale"/>
    <x v="122"/>
    <s v="USD"/>
    <n v="75.680000000000007"/>
    <n v="1"/>
    <n v="75.680000000000007"/>
    <n v="20.0352"/>
    <n v="1516.2639360000001"/>
    <n v="2596.5703966722003"/>
    <n v="-1080.3064606722003"/>
    <n v="1.178082191780822"/>
    <n v="1"/>
    <n v="-1080.3064606722003"/>
    <n v="0"/>
    <m/>
    <n v="-42.345555555555549"/>
  </r>
  <r>
    <x v="4"/>
    <s v="Purchase"/>
    <x v="75"/>
    <x v="1"/>
    <s v="USD"/>
    <d v="2021-08-10T00:00:00"/>
    <n v="118.02555555555556"/>
    <x v="1"/>
    <n v="1"/>
    <n v="118.02555555555556"/>
    <n v="1"/>
    <n v="118.02555555555556"/>
    <n v="20.003699999999998"/>
    <n v="2360.9478056666667"/>
    <n v="113.899"/>
    <n v="125.276"/>
    <n v="1.0998000000000001"/>
    <n v="2596.5703966722003"/>
    <n v="2596.5703966722003"/>
    <m/>
    <n v="1"/>
    <s v="Sale"/>
    <x v="122"/>
    <s v="USD"/>
    <n v="76.209999999999994"/>
    <n v="1"/>
    <n v="76.209999999999994"/>
    <n v="20.0352"/>
    <n v="1526.8825919999999"/>
    <n v="2596.5703966722003"/>
    <n v="-1069.6878046722004"/>
    <n v="1.178082191780822"/>
    <n v="1"/>
    <n v="-1069.6878046722004"/>
    <n v="0"/>
    <m/>
    <n v="-41.815555555555562"/>
  </r>
  <r>
    <x v="4"/>
    <s v="Purchase"/>
    <x v="75"/>
    <x v="1"/>
    <s v="USD"/>
    <d v="2021-08-10T00:00:00"/>
    <n v="118.02555555555556"/>
    <x v="1"/>
    <n v="1"/>
    <n v="118.02555555555556"/>
    <n v="1"/>
    <n v="118.02555555555556"/>
    <n v="20.003699999999998"/>
    <n v="2360.9478056666667"/>
    <n v="113.899"/>
    <n v="125.276"/>
    <n v="1.0998000000000001"/>
    <n v="2596.5703966722003"/>
    <n v="2596.5703966722003"/>
    <m/>
    <n v="1"/>
    <s v="Sale"/>
    <x v="122"/>
    <s v="USD"/>
    <n v="76.650000000000006"/>
    <n v="1"/>
    <n v="76.650000000000006"/>
    <n v="20.0352"/>
    <n v="1535.6980800000001"/>
    <n v="2596.5703966722003"/>
    <n v="-1060.8723166722002"/>
    <n v="1.178082191780822"/>
    <n v="1"/>
    <n v="-1060.8723166722002"/>
    <n v="0"/>
    <m/>
    <n v="-41.37555555555555"/>
  </r>
  <r>
    <x v="4"/>
    <s v="Purchase"/>
    <x v="75"/>
    <x v="1"/>
    <s v="USD"/>
    <d v="2021-08-11T00:00:00"/>
    <n v="487.15199999999999"/>
    <x v="1"/>
    <n v="4"/>
    <n v="121.788"/>
    <n v="1"/>
    <n v="487.15199999999999"/>
    <n v="20.064800000000002"/>
    <n v="9774.6074496000001"/>
    <n v="113.899"/>
    <n v="125.276"/>
    <n v="1.0998000000000001"/>
    <n v="10750.113273070081"/>
    <n v="2687.5283182675203"/>
    <m/>
    <n v="4"/>
    <s v="Sale"/>
    <x v="118"/>
    <s v="USD"/>
    <n v="310.13"/>
    <n v="1"/>
    <n v="310.13"/>
    <n v="20.0398"/>
    <n v="6214.943174"/>
    <n v="10750.113273070081"/>
    <n v="-4535.1700990700811"/>
    <n v="1.1835616438356165"/>
    <n v="1"/>
    <n v="-4535.1700990700811"/>
    <n v="0"/>
    <m/>
    <n v="-177.02199999999999"/>
  </r>
  <r>
    <x v="4"/>
    <s v="Purchase"/>
    <x v="75"/>
    <x v="1"/>
    <s v="USD"/>
    <d v="2021-08-11T00:00:00"/>
    <n v="121.788"/>
    <x v="1"/>
    <n v="1"/>
    <n v="121.788"/>
    <n v="1"/>
    <n v="121.788"/>
    <n v="20.064800000000002"/>
    <n v="2443.6518624"/>
    <n v="113.899"/>
    <n v="125.276"/>
    <n v="1.0998000000000001"/>
    <n v="2687.5283182675203"/>
    <n v="2687.5283182675203"/>
    <m/>
    <n v="1"/>
    <s v="Sale"/>
    <x v="118"/>
    <s v="USD"/>
    <n v="77.540000000000006"/>
    <n v="1"/>
    <n v="77.540000000000006"/>
    <n v="20.0398"/>
    <n v="1553.8860920000002"/>
    <n v="2687.5283182675203"/>
    <n v="-1133.6422262675201"/>
    <n v="1.1835616438356165"/>
    <n v="1"/>
    <n v="-1133.6422262675201"/>
    <n v="0"/>
    <m/>
    <n v="-44.24799999999999"/>
  </r>
  <r>
    <x v="4"/>
    <s v="Purchase"/>
    <x v="191"/>
    <x v="2"/>
    <s v="USD"/>
    <d v="2020-09-30T00:00:00"/>
    <n v="4920.6162962962962"/>
    <x v="2"/>
    <n v="63"/>
    <n v="78.105020576131693"/>
    <n v="1"/>
    <n v="4920.6162962962962"/>
    <n v="22.4573"/>
    <n v="110503.75635081482"/>
    <n v="108.114"/>
    <n v="122.94799999999999"/>
    <n v="1.1372"/>
    <n v="125664.87172214661"/>
    <n v="1994.6805035261366"/>
    <m/>
    <n v="63"/>
    <s v="Sale"/>
    <x v="94"/>
    <s v="USD"/>
    <n v="5153.0936301369866"/>
    <n v="1"/>
    <n v="5153.0936301369866"/>
    <n v="20.348500000000001"/>
    <n v="104857.72573284247"/>
    <n v="125664.87172214661"/>
    <n v="-20807.145989304132"/>
    <n v="1.8383561643835618"/>
    <n v="1"/>
    <n v="-20807.145989304132"/>
    <n v="0"/>
    <m/>
    <n v="232.47733384069033"/>
  </r>
  <r>
    <x v="4"/>
    <s v="Purchase"/>
    <x v="191"/>
    <x v="2"/>
    <s v="USD"/>
    <d v="2020-11-06T00:00:00"/>
    <n v="6503.4649999999992"/>
    <x v="2"/>
    <n v="83"/>
    <n v="78.35499999999999"/>
    <n v="1"/>
    <n v="6503.4649999999992"/>
    <n v="21.034500000000001"/>
    <n v="136797.13454249999"/>
    <n v="108.85599999999999"/>
    <n v="122.94799999999999"/>
    <n v="1.1294"/>
    <n v="154498.68375229949"/>
    <n v="1861.4299247264998"/>
    <m/>
    <n v="83"/>
    <s v="Sale"/>
    <x v="94"/>
    <s v="USD"/>
    <n v="6788.9963698630136"/>
    <n v="1"/>
    <n v="6788.9963698630136"/>
    <n v="20.348500000000001"/>
    <n v="138145.89263215754"/>
    <n v="154498.68375229949"/>
    <n v="-16352.791120141948"/>
    <n v="1.736986301369863"/>
    <n v="1"/>
    <n v="-16352.791120141948"/>
    <n v="0"/>
    <m/>
    <n v="285.53136986301433"/>
  </r>
  <r>
    <x v="4"/>
    <s v="Purchase"/>
    <x v="191"/>
    <x v="2"/>
    <s v="USD"/>
    <d v="2020-11-06T00:00:00"/>
    <n v="1958.8749999999998"/>
    <x v="2"/>
    <n v="25"/>
    <n v="78.35499999999999"/>
    <n v="1"/>
    <n v="1958.8749999999998"/>
    <n v="21.034500000000001"/>
    <n v="41203.9561875"/>
    <n v="108.85599999999999"/>
    <n v="122.94799999999999"/>
    <n v="1.1294"/>
    <n v="46535.748118162497"/>
    <n v="1861.4299247264998"/>
    <m/>
    <n v="25"/>
    <s v="Sale"/>
    <x v="94"/>
    <s v="USD"/>
    <n v="2062.11"/>
    <n v="1"/>
    <n v="2062.11"/>
    <n v="20.348500000000001"/>
    <n v="41960.845335000005"/>
    <n v="46535.748118162497"/>
    <n v="-4574.9027831624917"/>
    <n v="1.736986301369863"/>
    <n v="1"/>
    <n v="-4574.9027831624917"/>
    <n v="0"/>
    <m/>
    <n v="103.23500000000035"/>
  </r>
  <r>
    <x v="4"/>
    <s v="Purchase"/>
    <x v="191"/>
    <x v="2"/>
    <s v="USD"/>
    <d v="2020-11-06T00:00:00"/>
    <n v="626.83999999999992"/>
    <x v="2"/>
    <n v="8"/>
    <n v="78.35499999999999"/>
    <n v="1"/>
    <n v="626.83999999999992"/>
    <n v="21.034500000000001"/>
    <n v="13185.265979999998"/>
    <n v="108.85599999999999"/>
    <n v="122.94799999999999"/>
    <n v="1.1294"/>
    <n v="14891.439397811997"/>
    <n v="1861.4299247264996"/>
    <m/>
    <n v="8"/>
    <s v="Sale"/>
    <x v="94"/>
    <s v="USD"/>
    <n v="660.98"/>
    <n v="1"/>
    <n v="660.98"/>
    <n v="20.348500000000001"/>
    <n v="13449.951530000002"/>
    <n v="14891.439397811997"/>
    <n v="-1441.4878678119949"/>
    <n v="1.736986301369863"/>
    <n v="1"/>
    <n v="-1441.4878678119949"/>
    <n v="0"/>
    <m/>
    <n v="34.1400000000001"/>
  </r>
  <r>
    <x v="4"/>
    <s v="Purchase"/>
    <x v="191"/>
    <x v="2"/>
    <s v="USD"/>
    <d v="2020-11-06T00:00:00"/>
    <n v="626.83999999999992"/>
    <x v="2"/>
    <n v="8"/>
    <n v="78.35499999999999"/>
    <n v="1"/>
    <n v="626.83999999999992"/>
    <n v="21.034500000000001"/>
    <n v="13185.265979999998"/>
    <n v="108.85599999999999"/>
    <n v="122.94799999999999"/>
    <n v="1.1294"/>
    <n v="14891.439397811997"/>
    <n v="1861.4299247264996"/>
    <m/>
    <n v="8"/>
    <s v="Sale"/>
    <x v="94"/>
    <s v="USD"/>
    <n v="660.98"/>
    <n v="1"/>
    <n v="660.98"/>
    <n v="20.348500000000001"/>
    <n v="13449.951530000002"/>
    <n v="14891.439397811997"/>
    <n v="-1441.4878678119949"/>
    <n v="1.736986301369863"/>
    <n v="1"/>
    <n v="-1441.4878678119949"/>
    <n v="0"/>
    <m/>
    <n v="34.1400000000001"/>
  </r>
  <r>
    <x v="4"/>
    <s v="Purchase"/>
    <x v="192"/>
    <x v="2"/>
    <s v="USD"/>
    <d v="2021-11-08T00:00:00"/>
    <n v="15088.900621468927"/>
    <x v="2"/>
    <n v="206"/>
    <n v="73.247090395480228"/>
    <n v="1"/>
    <n v="15088.900621468927"/>
    <n v="20.624199999999998"/>
    <n v="311196.50419729942"/>
    <n v="116.884"/>
    <n v="124.571"/>
    <n v="1.0657000000000001"/>
    <n v="331642.11452306202"/>
    <n v="1609.9131772964176"/>
    <m/>
    <n v="206"/>
    <s v="Sale"/>
    <x v="121"/>
    <s v="USD"/>
    <n v="7787.2788596491228"/>
    <n v="1"/>
    <n v="7787.2788596491228"/>
    <n v="19.975200000000001"/>
    <n v="155552.45267726315"/>
    <n v="331642.11452306202"/>
    <n v="-176089.66184579887"/>
    <n v="0.92602739726027394"/>
    <n v="1"/>
    <n v="-176089.66184579887"/>
    <n v="0"/>
    <m/>
    <n v="-7301.6217618198043"/>
  </r>
  <r>
    <x v="4"/>
    <s v="Purchase"/>
    <x v="192"/>
    <x v="2"/>
    <s v="USD"/>
    <d v="2021-11-10T00:00:00"/>
    <n v="1081.02"/>
    <x v="2"/>
    <n v="15"/>
    <n v="72.067999999999998"/>
    <n v="1"/>
    <n v="1081.02"/>
    <n v="20.326499999999999"/>
    <n v="21973.353029999998"/>
    <n v="116.884"/>
    <n v="124.571"/>
    <n v="1.0657000000000001"/>
    <n v="23417.002324071"/>
    <n v="1561.1334882714"/>
    <m/>
    <n v="15"/>
    <s v="Sale"/>
    <x v="121"/>
    <s v="USD"/>
    <n v="567.03486842105258"/>
    <n v="1"/>
    <n v="567.03486842105258"/>
    <n v="19.975200000000001"/>
    <n v="11326.634903684209"/>
    <n v="23417.002324071"/>
    <n v="-12090.36742038679"/>
    <n v="0.92054794520547945"/>
    <n v="1"/>
    <n v="-12090.36742038679"/>
    <n v="0"/>
    <m/>
    <n v="-513.9851315789474"/>
  </r>
  <r>
    <x v="4"/>
    <s v="Purchase"/>
    <x v="192"/>
    <x v="2"/>
    <s v="USD"/>
    <d v="2021-11-10T00:00:00"/>
    <n v="508.53452631578949"/>
    <x v="2"/>
    <n v="7"/>
    <n v="72.647789473684213"/>
    <n v="1"/>
    <n v="508.53452631578949"/>
    <n v="20.326499999999999"/>
    <n v="10336.727049157895"/>
    <n v="116.884"/>
    <n v="124.571"/>
    <n v="1.0657000000000001"/>
    <n v="11015.85001628757"/>
    <n v="1573.6928594696528"/>
    <m/>
    <n v="7"/>
    <s v="Sale"/>
    <x v="121"/>
    <s v="USD"/>
    <n v="264.61627192982456"/>
    <n v="1"/>
    <n v="264.61627192982456"/>
    <n v="19.975200000000001"/>
    <n v="5285.7629550526317"/>
    <n v="11015.85001628757"/>
    <n v="-5730.0870612349381"/>
    <n v="0.92054794520547945"/>
    <n v="1"/>
    <n v="-5730.0870612349381"/>
    <n v="0"/>
    <m/>
    <n v="-243.91825438596493"/>
  </r>
  <r>
    <x v="4"/>
    <s v="Purchase"/>
    <x v="192"/>
    <x v="2"/>
    <s v="USD"/>
    <d v="2021-11-10T00:00:00"/>
    <n v="13294.545473684211"/>
    <x v="2"/>
    <n v="183"/>
    <n v="72.647789473684213"/>
    <n v="1"/>
    <n v="13294.545473684211"/>
    <n v="20.326499999999999"/>
    <n v="270231.5785708421"/>
    <n v="116.884"/>
    <n v="124.571"/>
    <n v="1.0657000000000001"/>
    <n v="287985.79328294646"/>
    <n v="1573.6928594696528"/>
    <m/>
    <n v="183"/>
    <s v="Sale"/>
    <x v="110"/>
    <s v="USD"/>
    <n v="7031.1174874371854"/>
    <n v="1"/>
    <n v="7031.1174874371854"/>
    <n v="20.127199999999998"/>
    <n v="141516.70789314571"/>
    <n v="287985.79328294646"/>
    <n v="-146469.08538980075"/>
    <n v="0.9452054794520548"/>
    <n v="1"/>
    <n v="-146469.08538980075"/>
    <n v="0"/>
    <m/>
    <n v="-6263.4279862470257"/>
  </r>
  <r>
    <x v="4"/>
    <s v="Purchase"/>
    <x v="192"/>
    <x v="2"/>
    <s v="USD"/>
    <d v="2021-11-12T00:00:00"/>
    <n v="1181.0018461538461"/>
    <x v="2"/>
    <n v="16"/>
    <n v="73.812615384615384"/>
    <n v="1"/>
    <n v="1181.0018461538461"/>
    <n v="20.470199999999998"/>
    <n v="24175.343991138459"/>
    <n v="116.884"/>
    <n v="124.571"/>
    <n v="1.0657000000000001"/>
    <n v="25763.664091356259"/>
    <n v="1610.2290057097662"/>
    <m/>
    <n v="16"/>
    <s v="Sale"/>
    <x v="110"/>
    <s v="USD"/>
    <n v="614.742512562814"/>
    <n v="1"/>
    <n v="614.742512562814"/>
    <n v="20.127199999999998"/>
    <n v="12373.04549885427"/>
    <n v="25763.664091356259"/>
    <n v="-13390.618592501989"/>
    <n v="0.9397260273972603"/>
    <n v="1"/>
    <n v="-13390.618592501989"/>
    <n v="0"/>
    <m/>
    <n v="-566.25933359103215"/>
  </r>
  <r>
    <x v="4"/>
    <s v="Purchase"/>
    <x v="193"/>
    <x v="2"/>
    <s v="USD"/>
    <d v="2022-04-20T00:00:00"/>
    <n v="10037.037317073171"/>
    <x v="2"/>
    <n v="19"/>
    <n v="528.2651219512195"/>
    <n v="1"/>
    <n v="10037.037317073171"/>
    <n v="19.9377"/>
    <n v="200115.43891660977"/>
    <n v="120.809"/>
    <n v="124.571"/>
    <n v="1.0310999999999999"/>
    <n v="206339.02906691632"/>
    <n v="10859.948898258754"/>
    <m/>
    <n v="19"/>
    <s v="Sale"/>
    <x v="109"/>
    <s v="USD"/>
    <n v="10115.959999999999"/>
    <n v="1"/>
    <n v="10115.959999999999"/>
    <n v="19.871200000000002"/>
    <n v="201016.264352"/>
    <n v="206339.02906691632"/>
    <n v="-5322.764714916324"/>
    <n v="0.52054794520547942"/>
    <n v="1"/>
    <n v="-5322.764714916324"/>
    <n v="0"/>
    <m/>
    <n v="78.922682926828202"/>
  </r>
  <r>
    <x v="4"/>
    <s v="Purchase"/>
    <x v="194"/>
    <x v="2"/>
    <s v="USD"/>
    <d v="2022-08-04T00:00:00"/>
    <n v="823.65"/>
    <x v="2"/>
    <n v="2"/>
    <n v="411.82499999999999"/>
    <n v="1"/>
    <n v="823.65"/>
    <n v="20.5152"/>
    <n v="16897.34448"/>
    <n v="123.803"/>
    <n v="124.571"/>
    <n v="1.0062"/>
    <n v="17002.108015776001"/>
    <n v="8501.0540078880003"/>
    <m/>
    <n v="2"/>
    <s v="Sale"/>
    <x v="110"/>
    <s v="USD"/>
    <n v="496.79311475409838"/>
    <n v="1"/>
    <n v="496.79311475409838"/>
    <n v="20.127199999999998"/>
    <n v="9999.0543792786884"/>
    <n v="17002.108015776001"/>
    <n v="-7003.0536364973123"/>
    <n v="0.21369863013698631"/>
    <n v="1"/>
    <n v="-7003.0536364973123"/>
    <n v="0"/>
    <m/>
    <n v="-326.85688524590159"/>
  </r>
  <r>
    <x v="4"/>
    <s v="Purchase"/>
    <x v="194"/>
    <x v="2"/>
    <s v="USD"/>
    <d v="2022-08-04T00:00:00"/>
    <n v="2081.35"/>
    <x v="2"/>
    <n v="5"/>
    <n v="416.27"/>
    <n v="1"/>
    <n v="2081.35"/>
    <n v="20.5152"/>
    <n v="42699.311519999996"/>
    <n v="123.803"/>
    <n v="124.571"/>
    <n v="1.0062"/>
    <n v="42964.047251423995"/>
    <n v="8592.8094502847998"/>
    <m/>
    <n v="5"/>
    <s v="Sale"/>
    <x v="110"/>
    <s v="USD"/>
    <n v="1241.982786885246"/>
    <n v="1"/>
    <n v="1241.982786885246"/>
    <n v="20.127199999999998"/>
    <n v="24997.635948196723"/>
    <n v="42964.047251423995"/>
    <n v="-17966.411303227273"/>
    <n v="0.21369863013698631"/>
    <n v="1"/>
    <n v="-17966.411303227273"/>
    <n v="0"/>
    <m/>
    <n v="-839.36721311475389"/>
  </r>
  <r>
    <x v="4"/>
    <s v="Purchase"/>
    <x v="194"/>
    <x v="2"/>
    <s v="USD"/>
    <d v="2022-08-04T00:00:00"/>
    <n v="4579.55"/>
    <x v="2"/>
    <n v="11"/>
    <n v="416.32272727272726"/>
    <n v="1"/>
    <n v="4579.55"/>
    <n v="20.5152"/>
    <n v="93950.384160000001"/>
    <n v="123.803"/>
    <n v="124.571"/>
    <n v="1.0062"/>
    <n v="94532.876541791993"/>
    <n v="8593.8978674356349"/>
    <m/>
    <n v="11"/>
    <s v="Sale"/>
    <x v="110"/>
    <s v="USD"/>
    <n v="2732.3621311475413"/>
    <n v="1"/>
    <n v="2732.3621311475413"/>
    <n v="20.127199999999998"/>
    <n v="54994.799086032792"/>
    <n v="94532.876541791979"/>
    <n v="-39538.077455759187"/>
    <n v="0.21369863013698631"/>
    <n v="1"/>
    <n v="-39538.077455759187"/>
    <n v="0"/>
    <m/>
    <n v="-1847.1878688524589"/>
  </r>
  <r>
    <x v="4"/>
    <s v="Purchase"/>
    <x v="194"/>
    <x v="2"/>
    <s v="USD"/>
    <d v="2022-08-04T00:00:00"/>
    <n v="9144.34"/>
    <x v="2"/>
    <n v="22"/>
    <n v="415.65181818181821"/>
    <n v="1"/>
    <n v="9144.34"/>
    <n v="20.5152"/>
    <n v="187597.963968"/>
    <n v="123.803"/>
    <n v="124.571"/>
    <n v="1.0062"/>
    <n v="188761.0713446016"/>
    <n v="8580.0486974818905"/>
    <m/>
    <n v="22"/>
    <s v="Sale"/>
    <x v="110"/>
    <s v="USD"/>
    <n v="5464.7242622950826"/>
    <n v="1"/>
    <n v="5464.7242622950826"/>
    <n v="20.127199999999998"/>
    <n v="109989.59817206558"/>
    <n v="188761.0713446016"/>
    <n v="-78771.473172536018"/>
    <n v="0.21369863013698631"/>
    <n v="1"/>
    <n v="-78771.473172536018"/>
    <n v="0"/>
    <m/>
    <n v="-3679.6157377049176"/>
  </r>
  <r>
    <x v="4"/>
    <s v="Purchase"/>
    <x v="194"/>
    <x v="2"/>
    <s v="USD"/>
    <d v="2022-09-15T00:00:00"/>
    <n v="384.89"/>
    <x v="2"/>
    <n v="1"/>
    <n v="384.89"/>
    <n v="1"/>
    <n v="384.89"/>
    <n v="20.055"/>
    <n v="7718.9689499999995"/>
    <n v="124.571"/>
    <n v="124.571"/>
    <n v="1"/>
    <n v="7718.9689499999995"/>
    <n v="7718.9689499999995"/>
    <m/>
    <n v="1"/>
    <s v="Sale"/>
    <x v="110"/>
    <s v="USD"/>
    <n v="248.39655737704919"/>
    <n v="1"/>
    <n v="248.39655737704919"/>
    <n v="20.127199999999998"/>
    <n v="4999.5271896393442"/>
    <n v="7718.9689499999995"/>
    <n v="-2719.4417603606553"/>
    <n v="9.8630136986301367E-2"/>
    <n v="1"/>
    <n v="-2719.4417603606553"/>
    <n v="0"/>
    <m/>
    <n v="-136.49344262295079"/>
  </r>
  <r>
    <x v="4"/>
    <s v="Purchase"/>
    <x v="194"/>
    <x v="2"/>
    <s v="USD"/>
    <d v="2022-09-15T00:00:00"/>
    <n v="7749.09"/>
    <x v="2"/>
    <n v="20"/>
    <n v="387.4545"/>
    <n v="1"/>
    <n v="7749.09"/>
    <n v="20.055"/>
    <n v="155407.99995"/>
    <n v="124.571"/>
    <n v="124.571"/>
    <n v="1"/>
    <n v="155407.99995"/>
    <n v="7770.3999974999997"/>
    <m/>
    <n v="20"/>
    <s v="Sale"/>
    <x v="110"/>
    <s v="USD"/>
    <n v="4967.9311475409841"/>
    <n v="1"/>
    <n v="4967.9311475409841"/>
    <n v="20.127199999999998"/>
    <n v="99990.543792786892"/>
    <n v="155407.99995"/>
    <n v="-55417.456157213106"/>
    <n v="9.8630136986301367E-2"/>
    <n v="1"/>
    <n v="-55417.456157213106"/>
    <n v="0"/>
    <m/>
    <n v="-2781.1588524590161"/>
  </r>
  <r>
    <x v="0"/>
    <m/>
    <x v="0"/>
    <x v="0"/>
    <m/>
    <m/>
    <m/>
    <x v="0"/>
    <n v="0"/>
    <n v="0"/>
    <n v="0"/>
    <n v="0"/>
    <n v="0"/>
    <n v="0"/>
    <n v="0"/>
    <n v="0"/>
    <n v="0"/>
    <n v="0"/>
    <n v="0"/>
    <m/>
    <m/>
    <m/>
    <x v="0"/>
    <m/>
    <m/>
    <n v="0"/>
    <n v="0"/>
    <n v="0"/>
    <n v="0"/>
    <n v="0"/>
    <n v="0"/>
    <n v="0"/>
    <n v="1"/>
    <n v="0"/>
    <n v="0"/>
    <m/>
    <n v="0"/>
  </r>
  <r>
    <x v="4"/>
    <s v="Purchase"/>
    <x v="195"/>
    <x v="2"/>
    <s v="USD"/>
    <d v="2022-03-02T00:00:00"/>
    <n v="1591.81"/>
    <x v="2"/>
    <n v="40"/>
    <n v="39.795249999999996"/>
    <n v="1"/>
    <n v="1591.81"/>
    <n v="20.425699999999999"/>
    <n v="32513.833516999999"/>
    <n v="120.15900000000001"/>
    <n v="118.98099999999999"/>
    <n v="1"/>
    <n v="32513.833516999999"/>
    <n v="812.84583792499996"/>
    <m/>
    <n v="40"/>
    <s v="Sale"/>
    <x v="123"/>
    <s v="USD"/>
    <n v="921.15"/>
    <n v="1"/>
    <n v="921.15"/>
    <n v="20.7193"/>
    <n v="19085.583194999999"/>
    <n v="32513.833516999999"/>
    <n v="-13428.250322"/>
    <n v="5.4794520547945206E-3"/>
    <n v="1"/>
    <n v="-13428.250322"/>
    <n v="0"/>
    <m/>
    <n v="-670.66"/>
  </r>
  <r>
    <x v="4"/>
    <s v="Purchase"/>
    <x v="195"/>
    <x v="2"/>
    <s v="USD"/>
    <d v="2022-03-02T00:00:00"/>
    <n v="318.36199999999997"/>
    <x v="2"/>
    <n v="8"/>
    <n v="39.795249999999996"/>
    <n v="1"/>
    <n v="318.36199999999997"/>
    <n v="20.425699999999999"/>
    <n v="6502.7667033999987"/>
    <n v="120.15900000000001"/>
    <n v="118.98099999999999"/>
    <n v="1"/>
    <n v="6502.7667033999987"/>
    <n v="812.84583792499984"/>
    <m/>
    <n v="8"/>
    <s v="Sale"/>
    <x v="63"/>
    <s v="USD"/>
    <n v="187.38"/>
    <n v="1"/>
    <n v="187.38"/>
    <n v="20.703299999999999"/>
    <n v="3879.3843539999998"/>
    <n v="6502.7667033999987"/>
    <n v="-2623.3823493999989"/>
    <n v="1.3698630136986301E-2"/>
    <n v="1"/>
    <n v="-2623.3823493999989"/>
    <n v="0"/>
    <m/>
    <n v="-130.98199999999997"/>
  </r>
  <r>
    <x v="4"/>
    <s v="Purchase"/>
    <x v="195"/>
    <x v="2"/>
    <s v="USD"/>
    <d v="2022-03-02T00:00:00"/>
    <n v="397.95249999999999"/>
    <x v="2"/>
    <n v="10"/>
    <n v="39.795249999999996"/>
    <n v="1"/>
    <n v="397.95249999999999"/>
    <n v="20.425699999999999"/>
    <n v="8128.4583792499998"/>
    <n v="120.15900000000001"/>
    <n v="118.98099999999999"/>
    <n v="1"/>
    <n v="8128.4583792499998"/>
    <n v="812.84583792499996"/>
    <m/>
    <n v="10"/>
    <s v="Sale"/>
    <x v="63"/>
    <s v="USD"/>
    <n v="234.59"/>
    <n v="1"/>
    <n v="234.59"/>
    <n v="20.703299999999999"/>
    <n v="4856.787147"/>
    <n v="8128.4583792499998"/>
    <n v="-3271.6712322499998"/>
    <n v="1.3698630136986301E-2"/>
    <n v="1"/>
    <n v="-3271.6712322499998"/>
    <n v="0"/>
    <m/>
    <n v="-163.36249999999998"/>
  </r>
  <r>
    <x v="4"/>
    <s v="Purchase"/>
    <x v="195"/>
    <x v="2"/>
    <s v="USD"/>
    <d v="2022-03-02T00:00:00"/>
    <n v="79.590499999999992"/>
    <x v="2"/>
    <n v="2"/>
    <n v="39.795249999999996"/>
    <n v="1"/>
    <n v="79.590499999999992"/>
    <n v="20.425699999999999"/>
    <n v="1625.6916758499997"/>
    <n v="120.15900000000001"/>
    <n v="118.98099999999999"/>
    <n v="1"/>
    <n v="1625.6916758499997"/>
    <n v="812.84583792499984"/>
    <m/>
    <n v="2"/>
    <s v="Sale"/>
    <x v="13"/>
    <s v="USD"/>
    <n v="44.97"/>
    <n v="1"/>
    <n v="44.97"/>
    <n v="20.926200000000001"/>
    <n v="941.05121400000007"/>
    <n v="1625.6916758499997"/>
    <n v="-684.64046184999961"/>
    <n v="1.643835616438356E-2"/>
    <n v="1"/>
    <n v="-684.64046184999961"/>
    <n v="0"/>
    <m/>
    <n v="-34.620499999999993"/>
  </r>
  <r>
    <x v="4"/>
    <s v="Purchase"/>
    <x v="195"/>
    <x v="2"/>
    <s v="USD"/>
    <d v="2022-03-02T00:00:00"/>
    <n v="119.38574999999999"/>
    <x v="2"/>
    <n v="3"/>
    <n v="39.795249999999996"/>
    <n v="1"/>
    <n v="119.38574999999999"/>
    <n v="20.425699999999999"/>
    <n v="2438.5375137749998"/>
    <n v="120.15900000000001"/>
    <n v="118.98099999999999"/>
    <n v="1"/>
    <n v="2438.5375137749998"/>
    <n v="812.84583792499996"/>
    <m/>
    <n v="3"/>
    <s v="Sale"/>
    <x v="13"/>
    <s v="USD"/>
    <n v="66.510000000000005"/>
    <n v="1"/>
    <n v="66.510000000000005"/>
    <n v="20.926200000000001"/>
    <n v="1391.8015620000001"/>
    <n v="2438.5375137749998"/>
    <n v="-1046.7359517749996"/>
    <n v="1.643835616438356E-2"/>
    <n v="1"/>
    <n v="-1046.7359517749996"/>
    <n v="0"/>
    <m/>
    <n v="-52.875749999999982"/>
  </r>
  <r>
    <x v="4"/>
    <s v="Purchase"/>
    <x v="195"/>
    <x v="2"/>
    <s v="USD"/>
    <d v="2022-03-02T00:00:00"/>
    <n v="79.590499999999992"/>
    <x v="2"/>
    <n v="2"/>
    <n v="39.795249999999996"/>
    <n v="1"/>
    <n v="79.590499999999992"/>
    <n v="20.425699999999999"/>
    <n v="1625.6916758499997"/>
    <n v="120.15900000000001"/>
    <n v="118.98099999999999"/>
    <n v="1"/>
    <n v="1625.6916758499997"/>
    <n v="812.84583792499984"/>
    <m/>
    <n v="2"/>
    <s v="Sale"/>
    <x v="41"/>
    <s v="USD"/>
    <n v="44.81"/>
    <n v="1"/>
    <n v="44.81"/>
    <n v="21.194700000000001"/>
    <n v="949.73450700000012"/>
    <n v="1625.6916758499997"/>
    <n v="-675.95716884999956"/>
    <n v="1.9178082191780823E-2"/>
    <n v="1"/>
    <n v="-675.95716884999956"/>
    <n v="0"/>
    <m/>
    <n v="-34.780499999999989"/>
  </r>
  <r>
    <x v="0"/>
    <m/>
    <x v="0"/>
    <x v="0"/>
    <m/>
    <m/>
    <m/>
    <x v="0"/>
    <n v="0"/>
    <n v="0"/>
    <n v="0"/>
    <n v="0"/>
    <n v="0"/>
    <n v="0"/>
    <n v="0"/>
    <n v="0"/>
    <n v="0"/>
    <n v="0"/>
    <n v="0"/>
    <m/>
    <m/>
    <m/>
    <x v="0"/>
    <m/>
    <m/>
    <n v="0"/>
    <n v="0"/>
    <n v="0"/>
    <n v="0"/>
    <n v="0"/>
    <n v="0"/>
    <n v="0"/>
    <n v="1"/>
    <n v="0"/>
    <n v="0"/>
    <m/>
    <n v="0"/>
  </r>
  <r>
    <x v="4"/>
    <s v="Purchase"/>
    <x v="186"/>
    <x v="2"/>
    <s v="USD"/>
    <d v="2021-01-18T00:00:00"/>
    <n v="236.84385964912281"/>
    <x v="2"/>
    <n v="5"/>
    <n v="47.368771929824561"/>
    <n v="1"/>
    <n v="236.84385964912281"/>
    <n v="19.779299999999999"/>
    <n v="4684.6057531578945"/>
    <n v="110.21"/>
    <n v="118.002"/>
    <n v="1.0707"/>
    <n v="5015.8073799061576"/>
    <n v="1003.1614759812315"/>
    <m/>
    <n v="5"/>
    <s v="Sale"/>
    <x v="50"/>
    <s v="USD"/>
    <n v="296.20416666666665"/>
    <n v="1"/>
    <n v="296.20416666666665"/>
    <n v="20.5562"/>
    <n v="6088.8320908333335"/>
    <n v="5015.8073799061576"/>
    <n v="1073.0247109271759"/>
    <n v="1.0575342465753426"/>
    <n v="1"/>
    <n v="1073.0247109271759"/>
    <n v="0"/>
    <m/>
    <n v="59.360307017543846"/>
  </r>
  <r>
    <x v="4"/>
    <s v="Purchase"/>
    <x v="186"/>
    <x v="2"/>
    <s v="USD"/>
    <d v="2021-01-20T00:00:00"/>
    <n v="920.75433962264162"/>
    <x v="2"/>
    <n v="19"/>
    <n v="48.460754716981135"/>
    <n v="1"/>
    <n v="920.75433962264162"/>
    <n v="19.757000000000001"/>
    <n v="18191.343487924532"/>
    <n v="110.21"/>
    <n v="118.002"/>
    <n v="1.0707"/>
    <n v="19477.471472520796"/>
    <n v="1025.1300775010945"/>
    <m/>
    <n v="19"/>
    <s v="Sale"/>
    <x v="50"/>
    <s v="USD"/>
    <n v="1125.5758333333333"/>
    <n v="1"/>
    <n v="1125.5758333333333"/>
    <n v="20.5562"/>
    <n v="23137.561945166668"/>
    <n v="19477.471472520796"/>
    <n v="3660.0904726458721"/>
    <n v="1.0520547945205478"/>
    <n v="1"/>
    <n v="3660.0904726458721"/>
    <n v="0"/>
    <m/>
    <n v="204.8214937106917"/>
  </r>
  <r>
    <x v="4"/>
    <s v="Purchase"/>
    <x v="186"/>
    <x v="2"/>
    <s v="USD"/>
    <d v="2021-01-20T00:00:00"/>
    <n v="193.84301886792454"/>
    <x v="2"/>
    <n v="4"/>
    <n v="48.460754716981135"/>
    <n v="1"/>
    <n v="193.84301886792454"/>
    <n v="19.757000000000001"/>
    <n v="3829.7565237735853"/>
    <n v="110.21"/>
    <n v="118.002"/>
    <n v="1.0707"/>
    <n v="4100.5203100043773"/>
    <n v="1025.1300775010943"/>
    <m/>
    <n v="4"/>
    <s v="Sale"/>
    <x v="50"/>
    <s v="USD"/>
    <n v="238.08"/>
    <n v="1"/>
    <n v="238.08"/>
    <n v="20.5562"/>
    <n v="4894.0200960000002"/>
    <n v="4100.5203100043773"/>
    <n v="793.49978599562291"/>
    <n v="1.0520547945205478"/>
    <n v="1"/>
    <n v="793.49978599562291"/>
    <n v="0"/>
    <m/>
    <n v="44.236981132075471"/>
  </r>
  <r>
    <x v="4"/>
    <s v="Purchase"/>
    <x v="186"/>
    <x v="2"/>
    <s v="USD"/>
    <d v="2021-01-20T00:00:00"/>
    <n v="1453.8226415094341"/>
    <x v="2"/>
    <n v="30"/>
    <n v="48.460754716981135"/>
    <n v="1"/>
    <n v="1453.8226415094341"/>
    <n v="19.757000000000001"/>
    <n v="28723.173928301891"/>
    <n v="110.21"/>
    <n v="118.002"/>
    <n v="1.0707"/>
    <n v="30753.902325032836"/>
    <n v="1025.1300775010945"/>
    <m/>
    <n v="30"/>
    <s v="Sale"/>
    <x v="50"/>
    <s v="USD"/>
    <n v="1776.5534482758621"/>
    <n v="1"/>
    <n v="1776.5534482758621"/>
    <n v="20.5562"/>
    <n v="36519.187993448279"/>
    <n v="30753.902325032836"/>
    <n v="5765.2856684154431"/>
    <n v="1.0520547945205478"/>
    <n v="1"/>
    <n v="5765.2856684154431"/>
    <n v="0"/>
    <m/>
    <n v="322.73080676642803"/>
  </r>
  <r>
    <x v="4"/>
    <s v="Purchase"/>
    <x v="186"/>
    <x v="2"/>
    <s v="USD"/>
    <d v="2021-01-20T00:00:00"/>
    <n v="385.6"/>
    <x v="2"/>
    <n v="8"/>
    <n v="48.2"/>
    <n v="1"/>
    <n v="385.6"/>
    <n v="19.757000000000001"/>
    <n v="7618.2992000000013"/>
    <n v="110.21"/>
    <n v="118.002"/>
    <n v="1.0707"/>
    <n v="8156.9129534400008"/>
    <n v="1019.6141191800001"/>
    <m/>
    <n v="8"/>
    <s v="Sale"/>
    <x v="50"/>
    <s v="USD"/>
    <n v="473.74758620689659"/>
    <n v="1"/>
    <n v="473.74758620689659"/>
    <n v="20.5562"/>
    <n v="9738.4501315862071"/>
    <n v="8156.9129534400008"/>
    <n v="1581.5371781462063"/>
    <n v="1.0520547945205478"/>
    <n v="1"/>
    <n v="1581.5371781462063"/>
    <n v="0"/>
    <m/>
    <n v="88.147586206896563"/>
  </r>
  <r>
    <x v="4"/>
    <s v="Purchase"/>
    <x v="186"/>
    <x v="2"/>
    <s v="USD"/>
    <d v="2021-01-20T00:00:00"/>
    <n v="969.21224489795918"/>
    <x v="2"/>
    <n v="20"/>
    <n v="48.460612244897959"/>
    <n v="1"/>
    <n v="969.21224489795918"/>
    <n v="19.757000000000001"/>
    <n v="19148.72632244898"/>
    <n v="110.21"/>
    <n v="118.002"/>
    <n v="1.0707"/>
    <n v="20502.541273446121"/>
    <n v="1025.1270636723061"/>
    <m/>
    <n v="20"/>
    <s v="Sale"/>
    <x v="50"/>
    <s v="USD"/>
    <n v="1184.3689655172416"/>
    <n v="1"/>
    <n v="1184.3689655172416"/>
    <n v="20.5562"/>
    <n v="24346.125328965521"/>
    <n v="20502.541273446121"/>
    <n v="3843.5840555194009"/>
    <n v="1.0520547945205478"/>
    <n v="1"/>
    <n v="3843.5840555194009"/>
    <n v="0"/>
    <m/>
    <n v="215.1567206192824"/>
  </r>
  <r>
    <x v="4"/>
    <s v="Purchase"/>
    <x v="186"/>
    <x v="2"/>
    <s v="USD"/>
    <d v="2021-01-20T00:00:00"/>
    <n v="290.7645283018868"/>
    <x v="2"/>
    <n v="6"/>
    <n v="48.460754716981135"/>
    <n v="1"/>
    <n v="290.7645283018868"/>
    <n v="19.757000000000001"/>
    <n v="5744.6347856603779"/>
    <n v="110.21"/>
    <n v="118.002"/>
    <n v="1.0707"/>
    <n v="6150.7804650065664"/>
    <n v="1025.1300775010943"/>
    <m/>
    <n v="6"/>
    <s v="Sale"/>
    <x v="50"/>
    <s v="USD"/>
    <n v="354.66"/>
    <n v="1"/>
    <n v="354.66"/>
    <n v="20.5562"/>
    <n v="7290.4618920000003"/>
    <n v="6150.7804650065664"/>
    <n v="1139.6814269934339"/>
    <n v="1.0520547945205478"/>
    <n v="1"/>
    <n v="1139.6814269934339"/>
    <n v="0"/>
    <m/>
    <n v="63.895471698113226"/>
  </r>
  <r>
    <x v="4"/>
    <s v="Purchase"/>
    <x v="186"/>
    <x v="2"/>
    <s v="USD"/>
    <d v="2021-01-20T00:00:00"/>
    <n v="387.68603773584908"/>
    <x v="2"/>
    <n v="8"/>
    <n v="48.460754716981135"/>
    <n v="1"/>
    <n v="387.68603773584908"/>
    <n v="19.757000000000001"/>
    <n v="7659.5130475471706"/>
    <n v="110.21"/>
    <n v="118.002"/>
    <n v="1.0707"/>
    <n v="8201.0406200087546"/>
    <n v="1025.1300775010943"/>
    <m/>
    <n v="8"/>
    <s v="Sale"/>
    <x v="50"/>
    <s v="USD"/>
    <n v="467.1"/>
    <n v="1"/>
    <n v="467.1"/>
    <n v="20.5562"/>
    <n v="9601.8010200000008"/>
    <n v="8201.0406200087546"/>
    <n v="1400.7603999912462"/>
    <n v="1.0520547945205478"/>
    <n v="1"/>
    <n v="1400.7603999912462"/>
    <n v="0"/>
    <m/>
    <n v="79.413962264150939"/>
  </r>
  <r>
    <x v="4"/>
    <s v="Purchase"/>
    <x v="186"/>
    <x v="2"/>
    <s v="USD"/>
    <d v="2021-01-20T00:00:00"/>
    <n v="48.460754716981135"/>
    <x v="2"/>
    <n v="1"/>
    <n v="48.460754716981135"/>
    <n v="1"/>
    <n v="48.460754716981135"/>
    <n v="19.757000000000001"/>
    <n v="957.43913094339632"/>
    <n v="110.21"/>
    <n v="118.002"/>
    <n v="1.0707"/>
    <n v="1025.1300775010943"/>
    <n v="1025.1300775010943"/>
    <m/>
    <n v="1"/>
    <s v="Sale"/>
    <x v="76"/>
    <s v="USD"/>
    <n v="60.57"/>
    <n v="1"/>
    <n v="60.57"/>
    <n v="20.732500000000002"/>
    <n v="1255.7675250000002"/>
    <n v="1025.1300775010943"/>
    <n v="230.63744749890589"/>
    <n v="1.0547945205479452"/>
    <n v="1"/>
    <n v="230.63744749890589"/>
    <n v="0"/>
    <m/>
    <n v="12.109245283018865"/>
  </r>
  <r>
    <x v="4"/>
    <s v="Purchase"/>
    <x v="186"/>
    <x v="2"/>
    <s v="USD"/>
    <d v="2021-01-20T00:00:00"/>
    <n v="484.60754716981137"/>
    <x v="2"/>
    <n v="10"/>
    <n v="48.460754716981135"/>
    <n v="1"/>
    <n v="484.60754716981137"/>
    <n v="19.757000000000001"/>
    <n v="9574.3913094339641"/>
    <n v="110.21"/>
    <n v="118.002"/>
    <n v="1.0707"/>
    <n v="10251.300775010945"/>
    <n v="1025.1300775010945"/>
    <m/>
    <n v="10"/>
    <s v="Sale"/>
    <x v="76"/>
    <s v="USD"/>
    <n v="605.52"/>
    <n v="1"/>
    <n v="605.52"/>
    <n v="20.732500000000002"/>
    <n v="12553.9434"/>
    <n v="10251.300775010946"/>
    <n v="2302.6426249890537"/>
    <n v="1.0547945205479452"/>
    <n v="1"/>
    <n v="2302.6426249890537"/>
    <n v="0"/>
    <m/>
    <n v="120.91245283018861"/>
  </r>
  <r>
    <x v="4"/>
    <s v="Purchase"/>
    <x v="186"/>
    <x v="2"/>
    <s v="USD"/>
    <d v="2021-01-20T00:00:00"/>
    <n v="193.84244897959184"/>
    <x v="2"/>
    <n v="4"/>
    <n v="48.460612244897959"/>
    <n v="1"/>
    <n v="193.84244897959184"/>
    <n v="19.757000000000001"/>
    <n v="3829.7452644897962"/>
    <n v="110.21"/>
    <n v="118.002"/>
    <n v="1.0707"/>
    <n v="4100.5082546892245"/>
    <n v="1025.1270636723061"/>
    <m/>
    <n v="4"/>
    <s v="Sale"/>
    <x v="76"/>
    <s v="USD"/>
    <n v="242.12"/>
    <n v="1"/>
    <n v="242.12"/>
    <n v="20.732500000000002"/>
    <n v="5019.7529000000004"/>
    <n v="4100.5082546892245"/>
    <n v="919.24464531077592"/>
    <n v="1.0547945205479452"/>
    <n v="1"/>
    <n v="919.24464531077592"/>
    <n v="0"/>
    <m/>
    <n v="48.277551020408168"/>
  </r>
  <r>
    <x v="4"/>
    <s v="Purchase"/>
    <x v="186"/>
    <x v="2"/>
    <s v="USD"/>
    <d v="2021-01-20T00:00:00"/>
    <n v="337.40000000000003"/>
    <x v="2"/>
    <n v="7"/>
    <n v="48.2"/>
    <n v="1"/>
    <n v="337.40000000000003"/>
    <n v="19.757000000000001"/>
    <n v="6666.0118000000011"/>
    <n v="110.21"/>
    <n v="118.002"/>
    <n v="1.0707"/>
    <n v="7137.2988342600011"/>
    <n v="1019.6141191800001"/>
    <m/>
    <n v="7"/>
    <s v="Sale"/>
    <x v="76"/>
    <s v="USD"/>
    <n v="423.71000000000004"/>
    <n v="1"/>
    <n v="423.71000000000004"/>
    <n v="20.732500000000002"/>
    <n v="8784.5675750000009"/>
    <n v="7137.2988342600011"/>
    <n v="1647.2687407399999"/>
    <n v="1.0547945205479452"/>
    <n v="1"/>
    <n v="1647.2687407399999"/>
    <n v="0"/>
    <m/>
    <n v="86.31"/>
  </r>
  <r>
    <x v="4"/>
    <s v="Purchase"/>
    <x v="186"/>
    <x v="2"/>
    <s v="USD"/>
    <d v="2021-01-20T00:00:00"/>
    <n v="48.2"/>
    <x v="2"/>
    <n v="1"/>
    <n v="48.2"/>
    <n v="1"/>
    <n v="48.2"/>
    <n v="19.757000000000001"/>
    <n v="952.28740000000016"/>
    <n v="110.21"/>
    <n v="118.002"/>
    <n v="1.0707"/>
    <n v="1019.6141191800001"/>
    <n v="1019.6141191800001"/>
    <m/>
    <n v="1"/>
    <s v="Sale"/>
    <x v="76"/>
    <s v="USD"/>
    <n v="60.555833333333332"/>
    <n v="1"/>
    <n v="60.555833333333332"/>
    <n v="20.732500000000002"/>
    <n v="1255.4738145833335"/>
    <n v="1019.6141191800001"/>
    <n v="235.85969540333338"/>
    <n v="1.0547945205479452"/>
    <n v="1"/>
    <n v="235.85969540333338"/>
    <n v="0"/>
    <m/>
    <n v="12.355833333333329"/>
  </r>
  <r>
    <x v="4"/>
    <s v="Purchase"/>
    <x v="186"/>
    <x v="2"/>
    <s v="USD"/>
    <d v="2021-01-21T00:00:00"/>
    <n v="544.16694444444443"/>
    <x v="2"/>
    <n v="11"/>
    <n v="49.469722222222224"/>
    <n v="1"/>
    <n v="544.16694444444443"/>
    <n v="19.678799999999999"/>
    <n v="10708.552466333333"/>
    <n v="110.21"/>
    <n v="118.002"/>
    <n v="1.0707"/>
    <n v="11465.647125703099"/>
    <n v="1042.3315568820999"/>
    <m/>
    <n v="11"/>
    <s v="Sale"/>
    <x v="76"/>
    <s v="USD"/>
    <n v="666.11416666666662"/>
    <n v="1"/>
    <n v="666.11416666666662"/>
    <n v="20.732500000000002"/>
    <n v="13810.211960416667"/>
    <n v="11465.647125703099"/>
    <n v="2344.5648347135684"/>
    <n v="1.0520547945205478"/>
    <n v="1"/>
    <n v="2344.5648347135684"/>
    <n v="0"/>
    <m/>
    <n v="121.94722222222219"/>
  </r>
  <r>
    <x v="4"/>
    <s v="Purchase"/>
    <x v="186"/>
    <x v="2"/>
    <s v="USD"/>
    <d v="2021-01-21T00:00:00"/>
    <n v="692.57611111111112"/>
    <x v="2"/>
    <n v="14"/>
    <n v="49.469722222222224"/>
    <n v="1"/>
    <n v="692.57611111111112"/>
    <n v="19.678799999999999"/>
    <n v="13629.066775333333"/>
    <n v="110.21"/>
    <n v="118.002"/>
    <n v="1.0707"/>
    <n v="14592.641796349399"/>
    <n v="1042.3315568820999"/>
    <m/>
    <n v="14"/>
    <s v="Sale"/>
    <x v="76"/>
    <s v="USD"/>
    <n v="844.03"/>
    <n v="1"/>
    <n v="844.03"/>
    <n v="20.732500000000002"/>
    <n v="17498.851975000001"/>
    <n v="14592.641796349399"/>
    <n v="2906.2101786506028"/>
    <n v="1.0520547945205478"/>
    <n v="1"/>
    <n v="2906.2101786506028"/>
    <n v="0"/>
    <m/>
    <n v="151.45388888888886"/>
  </r>
  <r>
    <x v="4"/>
    <s v="Purchase"/>
    <x v="186"/>
    <x v="2"/>
    <s v="USD"/>
    <d v="2021-01-21T00:00:00"/>
    <n v="98.939444444444447"/>
    <x v="2"/>
    <n v="2"/>
    <n v="49.469722222222224"/>
    <n v="1"/>
    <n v="98.939444444444447"/>
    <n v="19.678799999999999"/>
    <n v="1947.0095393333334"/>
    <n v="110.21"/>
    <n v="118.002"/>
    <n v="1.0707"/>
    <n v="2084.6631137641998"/>
    <n v="1042.3315568820999"/>
    <m/>
    <n v="2"/>
    <s v="Sale"/>
    <x v="76"/>
    <s v="USD"/>
    <n v="120.58"/>
    <n v="1"/>
    <n v="120.58"/>
    <n v="20.732500000000002"/>
    <n v="2499.9248500000003"/>
    <n v="2084.6631137641998"/>
    <n v="415.26173623580053"/>
    <n v="1.0520547945205478"/>
    <n v="1"/>
    <n v="415.26173623580053"/>
    <n v="0"/>
    <m/>
    <n v="21.640555555555551"/>
  </r>
  <r>
    <x v="4"/>
    <s v="Purchase"/>
    <x v="186"/>
    <x v="2"/>
    <s v="USD"/>
    <d v="2021-01-21T00:00:00"/>
    <n v="98.939444444444447"/>
    <x v="2"/>
    <n v="2"/>
    <n v="49.469722222222224"/>
    <n v="1"/>
    <n v="98.939444444444447"/>
    <n v="19.678799999999999"/>
    <n v="1947.0095393333334"/>
    <n v="110.21"/>
    <n v="118.002"/>
    <n v="1.0707"/>
    <n v="2084.6631137641998"/>
    <n v="1042.3315568820999"/>
    <m/>
    <n v="2"/>
    <s v="Sale"/>
    <x v="76"/>
    <s v="USD"/>
    <n v="121.06"/>
    <n v="1"/>
    <n v="121.06"/>
    <n v="20.732500000000002"/>
    <n v="2509.8764500000002"/>
    <n v="2084.6631137641998"/>
    <n v="425.2133362358004"/>
    <n v="1.0520547945205478"/>
    <n v="1"/>
    <n v="425.2133362358004"/>
    <n v="0"/>
    <m/>
    <n v="22.120555555555555"/>
  </r>
  <r>
    <x v="4"/>
    <s v="Purchase"/>
    <x v="186"/>
    <x v="2"/>
    <s v="USD"/>
    <d v="2021-01-22T00:00:00"/>
    <n v="98.939444444444447"/>
    <x v="2"/>
    <n v="2"/>
    <n v="49.469722222222224"/>
    <n v="1"/>
    <n v="98.939444444444447"/>
    <n v="19.5793"/>
    <n v="1937.1650646111111"/>
    <n v="110.21"/>
    <n v="118.002"/>
    <n v="1.0707"/>
    <n v="2074.1226346791168"/>
    <n v="1037.0613173395584"/>
    <m/>
    <n v="2"/>
    <s v="Sale"/>
    <x v="76"/>
    <s v="USD"/>
    <n v="121.11"/>
    <n v="1"/>
    <n v="121.11"/>
    <n v="20.732500000000002"/>
    <n v="2510.9130750000004"/>
    <n v="2074.1226346791168"/>
    <n v="436.79044032088359"/>
    <n v="1.0493150684931507"/>
    <n v="1"/>
    <n v="436.79044032088359"/>
    <n v="0"/>
    <m/>
    <n v="22.170555555555552"/>
  </r>
  <r>
    <x v="4"/>
    <s v="Purchase"/>
    <x v="186"/>
    <x v="2"/>
    <s v="USD"/>
    <d v="2021-01-22T00:00:00"/>
    <n v="247.34861111111113"/>
    <x v="2"/>
    <n v="5"/>
    <n v="49.469722222222224"/>
    <n v="1"/>
    <n v="247.34861111111113"/>
    <n v="19.5793"/>
    <n v="4842.9126615277783"/>
    <n v="110.21"/>
    <n v="118.002"/>
    <n v="1.0707"/>
    <n v="5185.3065866977922"/>
    <n v="1037.0613173395584"/>
    <m/>
    <n v="5"/>
    <s v="Sale"/>
    <x v="76"/>
    <s v="USD"/>
    <n v="302.85000000000002"/>
    <n v="1"/>
    <n v="302.85000000000002"/>
    <n v="20.732500000000002"/>
    <n v="6278.837625000001"/>
    <n v="5185.3065866977922"/>
    <n v="1093.5310383022088"/>
    <n v="1.0493150684931507"/>
    <n v="1"/>
    <n v="1093.5310383022088"/>
    <n v="0"/>
    <m/>
    <n v="55.501388888888897"/>
  </r>
  <r>
    <x v="4"/>
    <s v="Purchase"/>
    <x v="186"/>
    <x v="2"/>
    <s v="USD"/>
    <d v="2021-01-21T00:00:00"/>
    <n v="1929.32"/>
    <x v="2"/>
    <n v="39"/>
    <n v="49.469743589743587"/>
    <n v="1"/>
    <n v="1929.32"/>
    <n v="19.678799999999999"/>
    <n v="37966.702416"/>
    <n v="110.21"/>
    <n v="118.002"/>
    <n v="1.0707"/>
    <n v="40650.948276811199"/>
    <n v="1042.3320070977231"/>
    <m/>
    <n v="39"/>
    <s v="Sale"/>
    <x v="76"/>
    <s v="USD"/>
    <n v="2361.5149999999999"/>
    <n v="1"/>
    <n v="2361.5149999999999"/>
    <n v="20.732500000000002"/>
    <n v="48960.109737500003"/>
    <n v="40650.948276811199"/>
    <n v="8309.1614606888033"/>
    <n v="1.0520547945205478"/>
    <n v="1"/>
    <n v="8309.1614606888033"/>
    <n v="0"/>
    <m/>
    <n v="432.19499999999994"/>
  </r>
  <r>
    <x v="4"/>
    <s v="Purchase"/>
    <x v="186"/>
    <x v="2"/>
    <s v="USD"/>
    <d v="2021-01-22T00:00:00"/>
    <n v="1338.4945161290323"/>
    <x v="2"/>
    <n v="27"/>
    <n v="49.573870967741932"/>
    <n v="1"/>
    <n v="1338.4945161290323"/>
    <n v="19.5793"/>
    <n v="26206.78567964516"/>
    <n v="110.21"/>
    <n v="118.002"/>
    <n v="1.0707"/>
    <n v="28059.605427196071"/>
    <n v="1039.2446454517064"/>
    <m/>
    <n v="27"/>
    <s v="Sale"/>
    <x v="76"/>
    <s v="USD"/>
    <n v="1634.895"/>
    <n v="1"/>
    <n v="1634.895"/>
    <n v="20.732500000000002"/>
    <n v="33895.460587500005"/>
    <n v="28059.605427196075"/>
    <n v="5835.8551603039305"/>
    <n v="1.0493150684931507"/>
    <n v="1"/>
    <n v="5835.8551603039305"/>
    <n v="0"/>
    <m/>
    <n v="296.40048387096772"/>
  </r>
  <r>
    <x v="4"/>
    <s v="Purchase"/>
    <x v="186"/>
    <x v="2"/>
    <s v="USD"/>
    <d v="2021-01-22T00:00:00"/>
    <n v="198.29548387096773"/>
    <x v="2"/>
    <n v="4"/>
    <n v="49.573870967741932"/>
    <n v="1"/>
    <n v="198.29548387096773"/>
    <n v="19.5793"/>
    <n v="3882.4867673548383"/>
    <n v="110.21"/>
    <n v="118.002"/>
    <n v="1.0707"/>
    <n v="4156.9785818068258"/>
    <n v="1039.2446454517064"/>
    <m/>
    <n v="4"/>
    <s v="Sale"/>
    <x v="124"/>
    <s v="USD"/>
    <n v="246.0575"/>
    <n v="1"/>
    <n v="246.0575"/>
    <n v="20.641300000000001"/>
    <n v="5078.9466747500001"/>
    <n v="4156.9785818068258"/>
    <n v="921.96809294317427"/>
    <n v="1.0520547945205478"/>
    <n v="1"/>
    <n v="921.96809294317427"/>
    <n v="0"/>
    <m/>
    <n v="47.762016129032276"/>
  </r>
  <r>
    <x v="4"/>
    <s v="Purchase"/>
    <x v="186"/>
    <x v="2"/>
    <s v="USD"/>
    <d v="2021-01-22T00:00:00"/>
    <n v="594.18000000000006"/>
    <x v="2"/>
    <n v="12"/>
    <n v="49.515000000000008"/>
    <n v="1"/>
    <n v="594.18000000000006"/>
    <n v="19.5793"/>
    <n v="11633.628474000001"/>
    <n v="110.21"/>
    <n v="118.002"/>
    <n v="1.0707"/>
    <n v="12456.126007111801"/>
    <n v="1038.01050059265"/>
    <m/>
    <n v="12"/>
    <s v="Sale"/>
    <x v="124"/>
    <s v="USD"/>
    <n v="738.17250000000001"/>
    <n v="1"/>
    <n v="738.17250000000001"/>
    <n v="20.641300000000001"/>
    <n v="15236.840024250001"/>
    <n v="12456.126007111801"/>
    <n v="2780.7140171381998"/>
    <n v="1.0520547945205478"/>
    <n v="1"/>
    <n v="2780.7140171381998"/>
    <n v="0"/>
    <m/>
    <n v="143.99249999999995"/>
  </r>
  <r>
    <x v="4"/>
    <s v="Purchase"/>
    <x v="186"/>
    <x v="2"/>
    <s v="USD"/>
    <d v="2021-01-22T00:00:00"/>
    <n v="99.03"/>
    <x v="2"/>
    <n v="2"/>
    <n v="49.515000000000001"/>
    <n v="1"/>
    <n v="99.03"/>
    <n v="19.5793"/>
    <n v="1938.938079"/>
    <n v="110.21"/>
    <n v="118.002"/>
    <n v="1.0707"/>
    <n v="2076.0210011853001"/>
    <n v="1038.01050059265"/>
    <m/>
    <n v="2"/>
    <s v="Sale"/>
    <x v="124"/>
    <s v="USD"/>
    <n v="122.23333333333333"/>
    <n v="1"/>
    <n v="122.23333333333333"/>
    <n v="20.641300000000001"/>
    <n v="2523.0549033333336"/>
    <n v="2076.0210011853001"/>
    <n v="447.03390214803358"/>
    <n v="1.0520547945205478"/>
    <n v="1"/>
    <n v="447.03390214803358"/>
    <n v="0"/>
    <m/>
    <n v="23.203333333333333"/>
  </r>
  <r>
    <x v="4"/>
    <s v="Purchase"/>
    <x v="186"/>
    <x v="2"/>
    <s v="USD"/>
    <d v="2021-01-22T00:00:00"/>
    <n v="394.16"/>
    <x v="2"/>
    <n v="8"/>
    <n v="49.27"/>
    <n v="1"/>
    <n v="394.16"/>
    <n v="19.5793"/>
    <n v="7717.3768880000007"/>
    <n v="110.21"/>
    <n v="118.002"/>
    <n v="1.0707"/>
    <n v="8262.9954339816013"/>
    <n v="1032.8744292477002"/>
    <m/>
    <n v="8"/>
    <s v="Sale"/>
    <x v="124"/>
    <s v="USD"/>
    <n v="488.93333333333334"/>
    <n v="1"/>
    <n v="488.93333333333334"/>
    <n v="20.641300000000001"/>
    <n v="10092.219613333335"/>
    <n v="8262.9954339816013"/>
    <n v="1829.2241793517333"/>
    <n v="1.0520547945205478"/>
    <n v="1"/>
    <n v="1829.2241793517333"/>
    <n v="0"/>
    <m/>
    <n v="94.773333333333312"/>
  </r>
  <r>
    <x v="4"/>
    <s v="Purchase"/>
    <x v="186"/>
    <x v="2"/>
    <s v="USD"/>
    <d v="2021-01-22T00:00:00"/>
    <n v="195.81"/>
    <x v="2"/>
    <n v="4"/>
    <n v="48.952500000000001"/>
    <n v="1"/>
    <n v="195.81"/>
    <n v="19.5793"/>
    <n v="3833.822733"/>
    <n v="110.21"/>
    <n v="118.002"/>
    <n v="1.0707"/>
    <n v="4104.8740002230998"/>
    <n v="1026.2185000557749"/>
    <m/>
    <n v="4"/>
    <s v="Sale"/>
    <x v="124"/>
    <s v="USD"/>
    <n v="244.46666666666667"/>
    <n v="1"/>
    <n v="244.46666666666667"/>
    <n v="20.641300000000001"/>
    <n v="5046.1098066666673"/>
    <n v="4104.8740002230998"/>
    <n v="941.23580644356753"/>
    <n v="1.0520547945205478"/>
    <n v="1"/>
    <n v="941.23580644356753"/>
    <n v="0"/>
    <m/>
    <n v="48.656666666666666"/>
  </r>
  <r>
    <x v="4"/>
    <s v="Purchase"/>
    <x v="186"/>
    <x v="2"/>
    <s v="USD"/>
    <d v="2021-01-22T00:00:00"/>
    <n v="347.01882352941175"/>
    <x v="2"/>
    <n v="7"/>
    <n v="49.57411764705882"/>
    <n v="1"/>
    <n v="347.01882352941175"/>
    <n v="19.5793"/>
    <n v="6794.385651529411"/>
    <n v="110.21"/>
    <n v="118.002"/>
    <n v="1.0707"/>
    <n v="7274.7487170925406"/>
    <n v="1039.2498167275057"/>
    <m/>
    <n v="7"/>
    <s v="Sale"/>
    <x v="124"/>
    <s v="USD"/>
    <n v="427.81666666666666"/>
    <n v="1"/>
    <n v="427.81666666666666"/>
    <n v="20.641300000000001"/>
    <n v="8830.6921616666677"/>
    <n v="7274.7487170925397"/>
    <n v="1555.9434445741281"/>
    <n v="1.0520547945205478"/>
    <n v="1"/>
    <n v="1555.9434445741281"/>
    <n v="0"/>
    <m/>
    <n v="80.797843137254915"/>
  </r>
  <r>
    <x v="4"/>
    <s v="Purchase"/>
    <x v="186"/>
    <x v="2"/>
    <s v="USD"/>
    <d v="2021-01-22T00:00:00"/>
    <n v="148.72235294117647"/>
    <x v="2"/>
    <n v="3"/>
    <n v="49.57411764705882"/>
    <n v="1"/>
    <n v="148.72235294117647"/>
    <n v="19.5793"/>
    <n v="2911.8795649411763"/>
    <n v="110.21"/>
    <n v="118.002"/>
    <n v="1.0707"/>
    <n v="3117.7494501825176"/>
    <n v="1039.249816727506"/>
    <m/>
    <n v="3"/>
    <s v="Sale"/>
    <x v="124"/>
    <s v="USD"/>
    <n v="183.35"/>
    <n v="1"/>
    <n v="183.35"/>
    <n v="20.641300000000001"/>
    <n v="3784.582355"/>
    <n v="3117.7494501825176"/>
    <n v="666.83290481748236"/>
    <n v="1.0520547945205478"/>
    <n v="1"/>
    <n v="666.83290481748236"/>
    <n v="0"/>
    <m/>
    <n v="34.627647058823527"/>
  </r>
  <r>
    <x v="4"/>
    <s v="Purchase"/>
    <x v="186"/>
    <x v="2"/>
    <s v="USD"/>
    <d v="2021-01-22T00:00:00"/>
    <n v="148.72235294117647"/>
    <x v="2"/>
    <n v="3"/>
    <n v="49.57411764705882"/>
    <n v="1"/>
    <n v="148.72235294117647"/>
    <n v="19.5793"/>
    <n v="2911.8795649411763"/>
    <n v="110.21"/>
    <n v="118.002"/>
    <n v="1.0707"/>
    <n v="3117.7494501825176"/>
    <n v="1039.249816727506"/>
    <m/>
    <n v="3"/>
    <s v="Sale"/>
    <x v="124"/>
    <s v="USD"/>
    <n v="184.55"/>
    <n v="1"/>
    <n v="184.55"/>
    <n v="20.641300000000001"/>
    <n v="3809.3519150000006"/>
    <n v="3117.7494501825176"/>
    <n v="691.602464817483"/>
    <n v="1.0520547945205478"/>
    <n v="1"/>
    <n v="691.602464817483"/>
    <n v="0"/>
    <m/>
    <n v="35.827647058823544"/>
  </r>
  <r>
    <x v="4"/>
    <s v="Purchase"/>
    <x v="186"/>
    <x v="2"/>
    <s v="USD"/>
    <d v="2021-01-22T00:00:00"/>
    <n v="297.44470588235293"/>
    <x v="2"/>
    <n v="6"/>
    <n v="49.57411764705882"/>
    <n v="1"/>
    <n v="297.44470588235293"/>
    <n v="19.5793"/>
    <n v="5823.7591298823527"/>
    <n v="110.21"/>
    <n v="118.002"/>
    <n v="1.0707"/>
    <n v="6235.4989003650353"/>
    <n v="1039.249816727506"/>
    <m/>
    <n v="6"/>
    <s v="Sale"/>
    <x v="14"/>
    <s v="USD"/>
    <n v="376.83"/>
    <n v="1"/>
    <n v="376.83"/>
    <n v="20.411000000000001"/>
    <n v="7691.4771300000002"/>
    <n v="6235.4989003650353"/>
    <n v="1455.9782296349649"/>
    <n v="1.0684931506849316"/>
    <n v="1"/>
    <n v="1455.9782296349649"/>
    <n v="0"/>
    <m/>
    <n v="79.385294117647049"/>
  </r>
  <r>
    <x v="4"/>
    <s v="Purchase"/>
    <x v="186"/>
    <x v="2"/>
    <s v="USD"/>
    <d v="2021-01-22T00:00:00"/>
    <n v="743.61176470588225"/>
    <x v="2"/>
    <n v="15"/>
    <n v="49.57411764705882"/>
    <n v="1"/>
    <n v="743.61176470588225"/>
    <n v="19.5793"/>
    <n v="14559.39782470588"/>
    <n v="110.21"/>
    <n v="118.002"/>
    <n v="1.0707"/>
    <n v="15588.747250912586"/>
    <n v="1039.2498167275057"/>
    <m/>
    <n v="15"/>
    <s v="Sale"/>
    <x v="14"/>
    <s v="USD"/>
    <n v="931.20872093023263"/>
    <n v="1"/>
    <n v="931.20872093023263"/>
    <n v="20.411000000000001"/>
    <n v="19006.901202906978"/>
    <n v="15588.747250912586"/>
    <n v="3418.1539519943926"/>
    <n v="1.0684931506849316"/>
    <n v="1"/>
    <n v="3418.1539519943926"/>
    <n v="0"/>
    <m/>
    <n v="187.59695622435038"/>
  </r>
  <r>
    <x v="4"/>
    <s v="Purchase"/>
    <x v="186"/>
    <x v="2"/>
    <s v="USD"/>
    <d v="2021-01-22T00:00:00"/>
    <n v="346.61"/>
    <x v="2"/>
    <n v="7"/>
    <n v="49.515714285714289"/>
    <n v="1"/>
    <n v="346.61"/>
    <n v="19.5793"/>
    <n v="6786.3811730000007"/>
    <n v="110.21"/>
    <n v="118.002"/>
    <n v="1.0707"/>
    <n v="7266.178321931101"/>
    <n v="1038.025474561586"/>
    <m/>
    <n v="7"/>
    <s v="Sale"/>
    <x v="14"/>
    <s v="USD"/>
    <n v="434.56406976744188"/>
    <n v="1"/>
    <n v="434.56406976744188"/>
    <n v="20.411000000000001"/>
    <n v="8869.8872280232572"/>
    <n v="7266.1783219311019"/>
    <n v="1603.7089060921553"/>
    <n v="1.0684931506849316"/>
    <n v="1"/>
    <n v="1603.7089060921553"/>
    <n v="0"/>
    <m/>
    <n v="87.954069767441865"/>
  </r>
  <r>
    <x v="4"/>
    <s v="Purchase"/>
    <x v="186"/>
    <x v="2"/>
    <s v="USD"/>
    <d v="2021-01-22T00:00:00"/>
    <n v="3024.01"/>
    <x v="2"/>
    <n v="61"/>
    <n v="49.573934426229513"/>
    <n v="1"/>
    <n v="3024.01"/>
    <n v="19.5793"/>
    <n v="59207.998993000001"/>
    <n v="110.21"/>
    <n v="118.002"/>
    <n v="1.0707"/>
    <n v="63394.004521805102"/>
    <n v="1039.2459757672968"/>
    <m/>
    <n v="61"/>
    <s v="Sale"/>
    <x v="14"/>
    <s v="USD"/>
    <n v="3786.9154651162794"/>
    <n v="1"/>
    <n v="3786.9154651162794"/>
    <n v="20.411000000000001"/>
    <n v="77294.731558488391"/>
    <n v="63394.004521805109"/>
    <n v="13900.727036683282"/>
    <n v="1.0684931506849316"/>
    <n v="1"/>
    <n v="13900.727036683282"/>
    <n v="0"/>
    <m/>
    <n v="762.90546511627917"/>
  </r>
  <r>
    <x v="4"/>
    <s v="Purchase"/>
    <x v="186"/>
    <x v="2"/>
    <s v="USD"/>
    <d v="2021-01-22T00:00:00"/>
    <n v="147.81"/>
    <x v="2"/>
    <n v="3"/>
    <n v="49.27"/>
    <n v="1"/>
    <n v="147.81"/>
    <n v="19.5793"/>
    <n v="2894.016333"/>
    <n v="110.21"/>
    <n v="118.002"/>
    <n v="1.0707"/>
    <n v="3098.6232877430998"/>
    <n v="1032.8744292476999"/>
    <m/>
    <n v="3"/>
    <s v="Sale"/>
    <x v="14"/>
    <s v="USD"/>
    <n v="186.24174418604653"/>
    <n v="1"/>
    <n v="186.24174418604653"/>
    <n v="20.411000000000001"/>
    <n v="3801.3802405813958"/>
    <n v="3098.6232877430998"/>
    <n v="702.756952838296"/>
    <n v="1.0684931506849316"/>
    <n v="1"/>
    <n v="702.756952838296"/>
    <n v="0"/>
    <m/>
    <n v="38.431744186046529"/>
  </r>
  <r>
    <x v="4"/>
    <s v="Purchase"/>
    <x v="186"/>
    <x v="2"/>
    <s v="USD"/>
    <d v="2021-01-22T00:00:00"/>
    <n v="541.96999999999991"/>
    <x v="2"/>
    <n v="11"/>
    <n v="49.269999999999989"/>
    <n v="1"/>
    <n v="541.96999999999991"/>
    <n v="19.5793"/>
    <n v="10611.393220999998"/>
    <n v="110.21"/>
    <n v="118.002"/>
    <n v="1.0707"/>
    <n v="11361.618721724699"/>
    <n v="1032.8744292476999"/>
    <m/>
    <n v="11"/>
    <s v="Sale"/>
    <x v="125"/>
    <s v="USD"/>
    <n v="659.75937499999998"/>
    <n v="1"/>
    <n v="659.75937499999998"/>
    <n v="20.3992"/>
    <n v="13458.563442499999"/>
    <n v="11361.618721724699"/>
    <n v="2096.9447207753001"/>
    <n v="1.0712328767123287"/>
    <n v="1"/>
    <n v="2096.9447207753001"/>
    <n v="0"/>
    <m/>
    <n v="117.78937500000006"/>
  </r>
  <r>
    <x v="4"/>
    <s v="Purchase"/>
    <x v="186"/>
    <x v="2"/>
    <s v="USD"/>
    <d v="2021-01-22T00:00:00"/>
    <n v="48.95"/>
    <x v="2"/>
    <n v="1"/>
    <n v="48.95"/>
    <n v="1"/>
    <n v="48.95"/>
    <n v="19.5793"/>
    <n v="958.40673500000003"/>
    <n v="110.21"/>
    <n v="118.002"/>
    <n v="1.0707"/>
    <n v="1026.1660911644999"/>
    <n v="1026.1660911644999"/>
    <m/>
    <n v="1"/>
    <s v="Sale"/>
    <x v="125"/>
    <s v="USD"/>
    <n v="59.978124999999999"/>
    <n v="1"/>
    <n v="59.978124999999999"/>
    <n v="20.3992"/>
    <n v="1223.5057675"/>
    <n v="1026.1660911644999"/>
    <n v="197.33967633550014"/>
    <n v="1.0712328767123287"/>
    <n v="1"/>
    <n v="197.33967633550014"/>
    <n v="0"/>
    <m/>
    <n v="11.028124999999996"/>
  </r>
  <r>
    <x v="4"/>
    <s v="Purchase"/>
    <x v="186"/>
    <x v="2"/>
    <s v="USD"/>
    <d v="2021-01-22T00:00:00"/>
    <n v="197.07999999999998"/>
    <x v="2"/>
    <n v="4"/>
    <n v="49.269999999999996"/>
    <n v="1"/>
    <n v="197.07999999999998"/>
    <n v="19.5793"/>
    <n v="3858.6884439999999"/>
    <n v="110.21"/>
    <n v="118.002"/>
    <n v="1.0707"/>
    <n v="4131.4977169907997"/>
    <n v="1032.8744292476999"/>
    <m/>
    <n v="4"/>
    <s v="Sale"/>
    <x v="125"/>
    <s v="USD"/>
    <n v="239.91249999999999"/>
    <n v="1"/>
    <n v="239.91249999999999"/>
    <n v="20.3992"/>
    <n v="4894.0230700000002"/>
    <n v="4131.4977169907997"/>
    <n v="762.52535300920044"/>
    <n v="1.0712328767123287"/>
    <n v="1"/>
    <n v="762.52535300920044"/>
    <n v="0"/>
    <m/>
    <n v="42.83250000000001"/>
  </r>
  <r>
    <x v="4"/>
    <s v="Purchase"/>
    <x v="186"/>
    <x v="2"/>
    <s v="USD"/>
    <d v="2021-01-22T00:00:00"/>
    <n v="147.81"/>
    <x v="2"/>
    <n v="3"/>
    <n v="49.27"/>
    <n v="1"/>
    <n v="147.81"/>
    <n v="19.5793"/>
    <n v="2894.016333"/>
    <n v="110.21"/>
    <n v="118.002"/>
    <n v="1.0707"/>
    <n v="3098.6232877430998"/>
    <n v="1032.8744292476999"/>
    <m/>
    <n v="3"/>
    <s v="Sale"/>
    <x v="125"/>
    <s v="USD"/>
    <n v="181.48439999999999"/>
    <n v="1"/>
    <n v="181.48439999999999"/>
    <n v="20.3992"/>
    <n v="3702.1365724799998"/>
    <n v="3098.6232877430998"/>
    <n v="603.5132847369"/>
    <n v="1.0712328767123287"/>
    <n v="1"/>
    <n v="603.5132847369"/>
    <n v="0"/>
    <m/>
    <n v="33.674399999999991"/>
  </r>
  <r>
    <x v="4"/>
    <s v="Purchase"/>
    <x v="186"/>
    <x v="2"/>
    <s v="USD"/>
    <d v="2021-01-22T00:00:00"/>
    <n v="48.95"/>
    <x v="2"/>
    <n v="1"/>
    <n v="48.95"/>
    <n v="1"/>
    <n v="48.95"/>
    <n v="19.5793"/>
    <n v="958.40673500000003"/>
    <n v="110.21"/>
    <n v="118.002"/>
    <n v="1.0707"/>
    <n v="1026.1660911644999"/>
    <n v="1026.1660911644999"/>
    <m/>
    <n v="1"/>
    <s v="Sale"/>
    <x v="125"/>
    <s v="USD"/>
    <n v="60.494799999999998"/>
    <n v="1"/>
    <n v="60.494799999999998"/>
    <n v="20.3992"/>
    <n v="1234.04552416"/>
    <n v="1026.1660911644999"/>
    <n v="207.87943299550011"/>
    <n v="1.0712328767123287"/>
    <n v="1"/>
    <n v="207.87943299550011"/>
    <n v="0"/>
    <m/>
    <n v="11.544799999999995"/>
  </r>
  <r>
    <x v="4"/>
    <s v="Purchase"/>
    <x v="186"/>
    <x v="2"/>
    <s v="USD"/>
    <d v="2021-01-22T00:00:00"/>
    <n v="396.12"/>
    <x v="2"/>
    <n v="8"/>
    <n v="49.515000000000001"/>
    <n v="1"/>
    <n v="396.12"/>
    <n v="19.5793"/>
    <n v="7755.7523160000001"/>
    <n v="110.21"/>
    <n v="118.002"/>
    <n v="1.0707"/>
    <n v="8304.0840047412003"/>
    <n v="1038.01050059265"/>
    <m/>
    <n v="8"/>
    <s v="Sale"/>
    <x v="125"/>
    <s v="USD"/>
    <n v="483.95839999999998"/>
    <n v="1"/>
    <n v="483.95839999999998"/>
    <n v="20.3992"/>
    <n v="9872.3641932800001"/>
    <n v="8304.0840047412003"/>
    <n v="1568.2801885387998"/>
    <n v="1.0712328767123287"/>
    <n v="1"/>
    <n v="1568.2801885387998"/>
    <n v="0"/>
    <m/>
    <n v="87.838399999999979"/>
  </r>
  <r>
    <x v="4"/>
    <s v="Purchase"/>
    <x v="186"/>
    <x v="2"/>
    <s v="USD"/>
    <d v="2021-01-25T00:00:00"/>
    <n v="338.52"/>
    <x v="2"/>
    <n v="7"/>
    <n v="48.36"/>
    <n v="1"/>
    <n v="338.52"/>
    <n v="19.7393"/>
    <n v="6682.1478360000001"/>
    <n v="110.21"/>
    <n v="118.002"/>
    <n v="1.0707"/>
    <n v="7154.5756880052004"/>
    <n v="1022.0822411436001"/>
    <m/>
    <n v="7"/>
    <s v="Sale"/>
    <x v="125"/>
    <s v="USD"/>
    <n v="423.46359999999999"/>
    <n v="1"/>
    <n v="423.46359999999999"/>
    <n v="20.3992"/>
    <n v="8638.3186691200008"/>
    <n v="7154.5756880052004"/>
    <n v="1483.7429811148004"/>
    <n v="1.0630136986301371"/>
    <n v="1"/>
    <n v="1483.7429811148004"/>
    <n v="0"/>
    <m/>
    <n v="84.943600000000004"/>
  </r>
  <r>
    <x v="4"/>
    <s v="Purchase"/>
    <x v="186"/>
    <x v="2"/>
    <s v="USD"/>
    <d v="2021-01-25T00:00:00"/>
    <n v="288.47199999999998"/>
    <x v="2"/>
    <n v="6"/>
    <n v="48.078666666666663"/>
    <n v="1"/>
    <n v="288.47199999999998"/>
    <n v="19.7393"/>
    <n v="5694.2353495999996"/>
    <n v="110.21"/>
    <n v="118.002"/>
    <n v="1.0707"/>
    <n v="6096.8177888167193"/>
    <n v="1016.1362981361199"/>
    <m/>
    <n v="6"/>
    <s v="Sale"/>
    <x v="125"/>
    <s v="USD"/>
    <n v="362.96879999999999"/>
    <n v="1"/>
    <n v="362.96879999999999"/>
    <n v="20.3992"/>
    <n v="7404.2731449599996"/>
    <n v="6096.8177888167193"/>
    <n v="1307.4553561432804"/>
    <n v="1.0630136986301371"/>
    <n v="1"/>
    <n v="1307.4553561432804"/>
    <n v="0"/>
    <m/>
    <n v="74.496800000000007"/>
  </r>
  <r>
    <x v="4"/>
    <s v="Purchase"/>
    <x v="186"/>
    <x v="2"/>
    <s v="USD"/>
    <d v="2021-01-25T00:00:00"/>
    <n v="432.70799999999997"/>
    <x v="2"/>
    <n v="9"/>
    <n v="48.078666666666663"/>
    <n v="1"/>
    <n v="432.70799999999997"/>
    <n v="19.7393"/>
    <n v="8541.3530243999994"/>
    <n v="110.21"/>
    <n v="118.002"/>
    <n v="1.0707"/>
    <n v="9145.2266832250789"/>
    <n v="1016.1362981361199"/>
    <m/>
    <n v="9"/>
    <s v="Sale"/>
    <x v="45"/>
    <s v="USD"/>
    <n v="534.11727272727273"/>
    <n v="1"/>
    <n v="534.11727272727273"/>
    <n v="20.333500000000001"/>
    <n v="10860.473565"/>
    <n v="9145.2266832250789"/>
    <n v="1715.2468817749213"/>
    <n v="1.0657534246575342"/>
    <n v="1"/>
    <n v="1715.2468817749213"/>
    <n v="0"/>
    <m/>
    <n v="101.40927272727276"/>
  </r>
  <r>
    <x v="4"/>
    <s v="Purchase"/>
    <x v="186"/>
    <x v="2"/>
    <s v="USD"/>
    <d v="2021-01-25T00:00:00"/>
    <n v="96.72"/>
    <x v="2"/>
    <n v="2"/>
    <n v="48.36"/>
    <n v="1"/>
    <n v="96.72"/>
    <n v="19.7393"/>
    <n v="1909.1850959999999"/>
    <n v="110.21"/>
    <n v="118.002"/>
    <n v="1.0707"/>
    <n v="2044.1644822871999"/>
    <n v="1022.0822411436"/>
    <m/>
    <n v="2"/>
    <s v="Sale"/>
    <x v="45"/>
    <s v="USD"/>
    <n v="118.69272727272727"/>
    <n v="1"/>
    <n v="118.69272727272727"/>
    <n v="20.333500000000001"/>
    <n v="2413.4385699999998"/>
    <n v="2044.1644822871999"/>
    <n v="369.27408771279988"/>
    <n v="1.0657534246575342"/>
    <n v="1"/>
    <n v="369.27408771279988"/>
    <n v="0"/>
    <m/>
    <n v="21.972727272727269"/>
  </r>
  <r>
    <x v="4"/>
    <s v="Purchase"/>
    <x v="186"/>
    <x v="2"/>
    <s v="USD"/>
    <d v="2021-01-25T00:00:00"/>
    <n v="193.44"/>
    <x v="2"/>
    <n v="4"/>
    <n v="48.36"/>
    <n v="1"/>
    <n v="193.44"/>
    <n v="19.7393"/>
    <n v="3818.3701919999999"/>
    <n v="110.21"/>
    <n v="118.002"/>
    <n v="1.0707"/>
    <n v="4088.3289645743998"/>
    <n v="1022.0822411436"/>
    <m/>
    <n v="4"/>
    <s v="Sale"/>
    <x v="45"/>
    <s v="USD"/>
    <n v="235.96"/>
    <n v="1"/>
    <n v="235.96"/>
    <n v="20.333500000000001"/>
    <n v="4797.8926600000004"/>
    <n v="4088.3289645743998"/>
    <n v="709.5636954256006"/>
    <n v="1.0657534246575342"/>
    <n v="1"/>
    <n v="709.5636954256006"/>
    <n v="0"/>
    <m/>
    <n v="42.52000000000001"/>
  </r>
  <r>
    <x v="4"/>
    <s v="Purchase"/>
    <x v="186"/>
    <x v="2"/>
    <s v="USD"/>
    <d v="2021-01-25T00:00:00"/>
    <n v="48.36"/>
    <x v="2"/>
    <n v="1"/>
    <n v="48.36"/>
    <n v="1"/>
    <n v="48.36"/>
    <n v="19.7393"/>
    <n v="954.59254799999997"/>
    <n v="110.21"/>
    <n v="118.002"/>
    <n v="1.0707"/>
    <n v="1022.0822411436"/>
    <n v="1022.0822411436"/>
    <m/>
    <n v="1"/>
    <s v="Sale"/>
    <x v="45"/>
    <s v="USD"/>
    <n v="59.145000000000003"/>
    <n v="1"/>
    <n v="59.145000000000003"/>
    <n v="20.333500000000001"/>
    <n v="1202.6248575000002"/>
    <n v="1022.0822411436"/>
    <n v="180.54261635640023"/>
    <n v="1.0657534246575342"/>
    <n v="1"/>
    <n v="180.54261635640023"/>
    <n v="0"/>
    <m/>
    <n v="10.785000000000004"/>
  </r>
  <r>
    <x v="4"/>
    <s v="Purchase"/>
    <x v="186"/>
    <x v="2"/>
    <s v="USD"/>
    <d v="2021-01-25T00:00:00"/>
    <n v="240.39310344827587"/>
    <x v="2"/>
    <n v="5"/>
    <n v="48.078620689655175"/>
    <n v="1"/>
    <n v="240.39310344827587"/>
    <n v="19.7393"/>
    <n v="4745.1915868965516"/>
    <n v="110.21"/>
    <n v="118.002"/>
    <n v="1.0707"/>
    <n v="5080.6766320901379"/>
    <n v="1016.1353264180276"/>
    <m/>
    <n v="5"/>
    <s v="Sale"/>
    <x v="45"/>
    <s v="USD"/>
    <n v="295.72500000000002"/>
    <n v="1"/>
    <n v="295.72500000000002"/>
    <n v="20.333500000000001"/>
    <n v="6013.1242875000007"/>
    <n v="5080.6766320901379"/>
    <n v="932.44765540986282"/>
    <n v="1.0657534246575342"/>
    <n v="1"/>
    <n v="932.44765540986282"/>
    <n v="0"/>
    <m/>
    <n v="55.331896551724157"/>
  </r>
  <r>
    <x v="4"/>
    <s v="Purchase"/>
    <x v="186"/>
    <x v="2"/>
    <s v="USD"/>
    <d v="2021-01-25T00:00:00"/>
    <n v="384.6289655172414"/>
    <x v="2"/>
    <n v="8"/>
    <n v="48.078620689655175"/>
    <n v="1"/>
    <n v="384.6289655172414"/>
    <n v="19.7393"/>
    <n v="7592.3065390344827"/>
    <n v="110.21"/>
    <n v="118.002"/>
    <n v="1.0707"/>
    <n v="8129.0826113442208"/>
    <n v="1016.1353264180276"/>
    <m/>
    <n v="8"/>
    <s v="Sale"/>
    <x v="45"/>
    <s v="USD"/>
    <n v="471.77"/>
    <n v="1"/>
    <n v="471.77"/>
    <n v="20.333500000000001"/>
    <n v="9592.7352950000004"/>
    <n v="8129.0826113442208"/>
    <n v="1463.6526836557796"/>
    <n v="1.0657534246575342"/>
    <n v="1"/>
    <n v="1463.6526836557796"/>
    <n v="0"/>
    <m/>
    <n v="87.141034482758585"/>
  </r>
  <r>
    <x v="4"/>
    <s v="Purchase"/>
    <x v="186"/>
    <x v="2"/>
    <s v="USD"/>
    <d v="2021-01-25T00:00:00"/>
    <n v="769.25793103448279"/>
    <x v="2"/>
    <n v="16"/>
    <n v="48.078620689655175"/>
    <n v="1"/>
    <n v="769.25793103448279"/>
    <n v="19.7393"/>
    <n v="15184.613078068965"/>
    <n v="110.21"/>
    <n v="118.002"/>
    <n v="1.0707"/>
    <n v="16258.165222688442"/>
    <n v="1016.1353264180276"/>
    <m/>
    <n v="16"/>
    <s v="Sale"/>
    <x v="46"/>
    <s v="USD"/>
    <n v="938.39157894736832"/>
    <n v="1"/>
    <n v="938.39157894736832"/>
    <n v="20.3063"/>
    <n v="19055.260919578945"/>
    <n v="16258.165222688442"/>
    <n v="2797.0956968905029"/>
    <n v="1.0767123287671232"/>
    <n v="1"/>
    <n v="2797.0956968905029"/>
    <n v="0"/>
    <m/>
    <n v="169.13364791288552"/>
  </r>
  <r>
    <x v="4"/>
    <s v="Purchase"/>
    <x v="186"/>
    <x v="2"/>
    <s v="USD"/>
    <d v="2021-01-25T00:00:00"/>
    <n v="144.23624999999998"/>
    <x v="2"/>
    <n v="3"/>
    <n v="48.078749999999992"/>
    <n v="1"/>
    <n v="144.23624999999998"/>
    <n v="19.7393"/>
    <n v="2847.1226096249998"/>
    <n v="110.21"/>
    <n v="118.002"/>
    <n v="1.0707"/>
    <n v="3048.4141781254871"/>
    <n v="1016.1380593751624"/>
    <m/>
    <n v="3"/>
    <s v="Sale"/>
    <x v="46"/>
    <s v="USD"/>
    <n v="175.94842105263155"/>
    <n v="1"/>
    <n v="175.94842105263155"/>
    <n v="20.3063"/>
    <n v="3572.8614224210519"/>
    <n v="3048.4141781254871"/>
    <n v="524.44724429556481"/>
    <n v="1.0767123287671232"/>
    <n v="1"/>
    <n v="524.44724429556481"/>
    <n v="0"/>
    <m/>
    <n v="31.712171052631561"/>
  </r>
  <r>
    <x v="4"/>
    <s v="Purchase"/>
    <x v="186"/>
    <x v="2"/>
    <s v="USD"/>
    <d v="2021-01-25T00:00:00"/>
    <n v="625.02374999999995"/>
    <x v="2"/>
    <n v="13"/>
    <n v="48.078749999999999"/>
    <n v="1"/>
    <n v="625.02374999999995"/>
    <n v="19.7393"/>
    <n v="12337.531308374999"/>
    <n v="110.21"/>
    <n v="118.002"/>
    <n v="1.0707"/>
    <n v="13209.79477187711"/>
    <n v="1016.1380593751624"/>
    <m/>
    <n v="13"/>
    <s v="Sale"/>
    <x v="46"/>
    <s v="USD"/>
    <n v="764.63883720930232"/>
    <n v="1"/>
    <n v="764.63883720930232"/>
    <n v="20.3063"/>
    <n v="15526.985620023255"/>
    <n v="13209.79477187711"/>
    <n v="2317.1908481461451"/>
    <n v="1.0767123287671232"/>
    <n v="1"/>
    <n v="2317.1908481461451"/>
    <n v="0"/>
    <m/>
    <n v="139.61508720930237"/>
  </r>
  <r>
    <x v="4"/>
    <s v="Purchase"/>
    <x v="186"/>
    <x v="2"/>
    <s v="USD"/>
    <d v="2021-01-25T00:00:00"/>
    <n v="628.67999999999995"/>
    <x v="2"/>
    <n v="13"/>
    <n v="48.36"/>
    <n v="1"/>
    <n v="628.67999999999995"/>
    <n v="19.7393"/>
    <n v="12409.703124"/>
    <n v="110.21"/>
    <n v="118.002"/>
    <n v="1.0707"/>
    <n v="13287.069134866799"/>
    <n v="1022.0822411436"/>
    <m/>
    <n v="13"/>
    <s v="Sale"/>
    <x v="46"/>
    <s v="USD"/>
    <n v="764.63883720930232"/>
    <n v="1"/>
    <n v="764.63883720930232"/>
    <n v="20.3063"/>
    <n v="15526.985620023255"/>
    <n v="13287.069134866799"/>
    <n v="2239.9164851564565"/>
    <n v="1.0767123287671232"/>
    <n v="1"/>
    <n v="2239.9164851564565"/>
    <n v="0"/>
    <m/>
    <n v="135.95883720930237"/>
  </r>
  <r>
    <x v="4"/>
    <s v="Purchase"/>
    <x v="186"/>
    <x v="2"/>
    <s v="USD"/>
    <d v="2021-01-26T00:00:00"/>
    <n v="282.24"/>
    <x v="2"/>
    <n v="6"/>
    <n v="47.04"/>
    <n v="1"/>
    <n v="282.24"/>
    <n v="19.9833"/>
    <n v="5640.0865920000006"/>
    <n v="110.21"/>
    <n v="118.002"/>
    <n v="1.0707"/>
    <n v="6038.8407140544005"/>
    <n v="1006.4734523424"/>
    <m/>
    <n v="6"/>
    <s v="Sale"/>
    <x v="46"/>
    <s v="USD"/>
    <n v="352.91023255813957"/>
    <n v="1"/>
    <n v="352.91023255813957"/>
    <n v="20.3063"/>
    <n v="7166.30105539535"/>
    <n v="6038.8407140544005"/>
    <n v="1127.4603413409495"/>
    <n v="1.0739726027397261"/>
    <n v="1"/>
    <n v="1127.4603413409495"/>
    <n v="0"/>
    <m/>
    <n v="70.67023255813956"/>
  </r>
  <r>
    <x v="4"/>
    <s v="Purchase"/>
    <x v="186"/>
    <x v="2"/>
    <s v="USD"/>
    <d v="2021-01-26T00:00:00"/>
    <n v="47.04"/>
    <x v="2"/>
    <n v="1"/>
    <n v="47.04"/>
    <n v="1"/>
    <n v="47.04"/>
    <n v="19.9833"/>
    <n v="940.01443199999994"/>
    <n v="110.21"/>
    <n v="118.002"/>
    <n v="1.0707"/>
    <n v="1006.4734523423999"/>
    <n v="1006.4734523423999"/>
    <m/>
    <n v="1"/>
    <s v="Sale"/>
    <x v="46"/>
    <s v="USD"/>
    <n v="58.818372093023257"/>
    <n v="1"/>
    <n v="58.818372093023257"/>
    <n v="20.3063"/>
    <n v="1194.3835092325583"/>
    <n v="1006.4734523423999"/>
    <n v="187.91005689015833"/>
    <n v="1.0739726027397261"/>
    <n v="1"/>
    <n v="187.91005689015833"/>
    <n v="0"/>
    <m/>
    <n v="11.778372093023258"/>
  </r>
  <r>
    <x v="4"/>
    <s v="Purchase"/>
    <x v="186"/>
    <x v="2"/>
    <s v="USD"/>
    <d v="2021-01-26T00:00:00"/>
    <n v="472.37333333333333"/>
    <x v="2"/>
    <n v="10"/>
    <n v="47.237333333333332"/>
    <n v="1"/>
    <n v="472.37333333333333"/>
    <n v="19.9833"/>
    <n v="9439.5780319999994"/>
    <n v="110.21"/>
    <n v="118.002"/>
    <n v="1.0707"/>
    <n v="10106.956198862399"/>
    <n v="1010.6956198862399"/>
    <m/>
    <n v="10"/>
    <s v="Sale"/>
    <x v="46"/>
    <s v="USD"/>
    <n v="588.18372093023254"/>
    <n v="1"/>
    <n v="588.18372093023254"/>
    <n v="20.3063"/>
    <n v="11943.83509232558"/>
    <n v="10106.956198862399"/>
    <n v="1836.8788934631812"/>
    <n v="1.0739726027397261"/>
    <n v="1"/>
    <n v="1836.8788934631812"/>
    <n v="0"/>
    <m/>
    <n v="115.8103875968992"/>
  </r>
  <r>
    <x v="4"/>
    <s v="Purchase"/>
    <x v="186"/>
    <x v="2"/>
    <s v="USD"/>
    <d v="2021-01-26T00:00:00"/>
    <n v="236.18666666666667"/>
    <x v="2"/>
    <n v="5"/>
    <n v="47.237333333333332"/>
    <n v="1"/>
    <n v="236.18666666666667"/>
    <n v="19.9833"/>
    <n v="4719.7890159999997"/>
    <n v="110.21"/>
    <n v="118.002"/>
    <n v="1.0707"/>
    <n v="5053.4780994311996"/>
    <n v="1010.6956198862399"/>
    <m/>
    <n v="5"/>
    <s v="Sale"/>
    <x v="46"/>
    <s v="USD"/>
    <n v="293.05"/>
    <n v="1"/>
    <n v="293.05"/>
    <n v="20.3063"/>
    <n v="5950.7612150000004"/>
    <n v="5053.4780994311996"/>
    <n v="897.28311556880089"/>
    <n v="1.0739726027397261"/>
    <n v="1"/>
    <n v="897.28311556880089"/>
    <n v="0"/>
    <m/>
    <n v="56.863333333333344"/>
  </r>
  <r>
    <x v="4"/>
    <s v="Purchase"/>
    <x v="186"/>
    <x v="2"/>
    <s v="USD"/>
    <d v="2021-01-26T00:00:00"/>
    <n v="187.83555555555554"/>
    <x v="2"/>
    <n v="4"/>
    <n v="46.958888888888886"/>
    <n v="1"/>
    <n v="187.83555555555554"/>
    <n v="19.9833"/>
    <n v="3753.5742573333332"/>
    <n v="110.21"/>
    <n v="118.002"/>
    <n v="1.0707"/>
    <n v="4018.9519573267999"/>
    <n v="1004.7379893317"/>
    <m/>
    <n v="4"/>
    <s v="Sale"/>
    <x v="46"/>
    <s v="USD"/>
    <n v="234.44"/>
    <n v="1"/>
    <n v="234.44"/>
    <n v="20.3063"/>
    <n v="4760.608972"/>
    <n v="4018.9519573267999"/>
    <n v="741.65701467320014"/>
    <n v="1.0739726027397261"/>
    <n v="1"/>
    <n v="741.65701467320014"/>
    <n v="0"/>
    <m/>
    <n v="46.604444444444454"/>
  </r>
  <r>
    <x v="4"/>
    <s v="Purchase"/>
    <x v="186"/>
    <x v="2"/>
    <s v="USD"/>
    <d v="2021-01-26T00:00:00"/>
    <n v="234.79444444444442"/>
    <x v="2"/>
    <n v="5"/>
    <n v="46.958888888888886"/>
    <n v="1"/>
    <n v="234.79444444444442"/>
    <n v="19.9833"/>
    <n v="4691.9678216666662"/>
    <n v="110.21"/>
    <n v="118.002"/>
    <n v="1.0707"/>
    <n v="5023.6899466584991"/>
    <n v="1004.7379893316999"/>
    <m/>
    <n v="5"/>
    <s v="Sale"/>
    <x v="126"/>
    <s v="USD"/>
    <n v="288.06590909090909"/>
    <n v="1"/>
    <n v="288.06590909090909"/>
    <n v="20.282499999999999"/>
    <n v="5842.6968011363633"/>
    <n v="5023.6899466584991"/>
    <n v="819.00685447786418"/>
    <n v="1.0767123287671232"/>
    <n v="1"/>
    <n v="819.00685447786418"/>
    <n v="0"/>
    <m/>
    <n v="53.271464646464665"/>
  </r>
  <r>
    <x v="4"/>
    <s v="Purchase"/>
    <x v="186"/>
    <x v="2"/>
    <s v="USD"/>
    <d v="2021-01-26T00:00:00"/>
    <n v="1369.89"/>
    <x v="2"/>
    <n v="29"/>
    <n v="47.237586206896552"/>
    <n v="1"/>
    <n v="1369.89"/>
    <n v="19.9833"/>
    <n v="27374.922837000002"/>
    <n v="110.21"/>
    <n v="118.002"/>
    <n v="1.0707"/>
    <n v="29310.329881575901"/>
    <n v="1010.701030399169"/>
    <m/>
    <n v="29"/>
    <s v="Sale"/>
    <x v="126"/>
    <s v="USD"/>
    <n v="1670.7822727272728"/>
    <n v="1"/>
    <n v="1670.7822727272728"/>
    <n v="20.282499999999999"/>
    <n v="33887.641446590911"/>
    <n v="29310.329881575901"/>
    <n v="4577.3115650150103"/>
    <n v="1.0767123287671232"/>
    <n v="1"/>
    <n v="4577.3115650150103"/>
    <n v="0"/>
    <m/>
    <n v="300.89227272727271"/>
  </r>
  <r>
    <x v="4"/>
    <s v="Purchase"/>
    <x v="186"/>
    <x v="2"/>
    <s v="USD"/>
    <d v="2021-01-26T00:00:00"/>
    <n v="94.08"/>
    <x v="2"/>
    <n v="2"/>
    <n v="47.04"/>
    <n v="1"/>
    <n v="94.08"/>
    <n v="19.9833"/>
    <n v="1880.0288639999999"/>
    <n v="110.21"/>
    <n v="118.002"/>
    <n v="1.0707"/>
    <n v="2012.9469046847998"/>
    <n v="1006.4734523423999"/>
    <m/>
    <n v="2"/>
    <s v="Sale"/>
    <x v="126"/>
    <s v="USD"/>
    <n v="115.22636363636364"/>
    <n v="1"/>
    <n v="115.22636363636364"/>
    <n v="20.282499999999999"/>
    <n v="2337.0787204545454"/>
    <n v="2012.9469046847998"/>
    <n v="324.13181576974557"/>
    <n v="1.0767123287671232"/>
    <n v="1"/>
    <n v="324.13181576974557"/>
    <n v="0"/>
    <m/>
    <n v="21.146363636363645"/>
  </r>
  <r>
    <x v="4"/>
    <s v="Purchase"/>
    <x v="186"/>
    <x v="2"/>
    <s v="USD"/>
    <d v="2021-01-26T00:00:00"/>
    <n v="375.66933333333333"/>
    <x v="2"/>
    <n v="8"/>
    <n v="46.958666666666666"/>
    <n v="1"/>
    <n v="375.66933333333333"/>
    <n v="19.9833"/>
    <n v="7507.1129887999996"/>
    <n v="110.21"/>
    <n v="118.002"/>
    <n v="1.0707"/>
    <n v="8037.8658771081591"/>
    <n v="1004.7332346385199"/>
    <m/>
    <n v="8"/>
    <s v="Sale"/>
    <x v="126"/>
    <s v="USD"/>
    <n v="460.90545454545457"/>
    <n v="1"/>
    <n v="460.90545454545457"/>
    <n v="20.282499999999999"/>
    <n v="9348.3148818181817"/>
    <n v="8037.8658771081591"/>
    <n v="1310.4490047100226"/>
    <n v="1.0767123287671232"/>
    <n v="1"/>
    <n v="1310.4490047100226"/>
    <n v="0"/>
    <m/>
    <n v="85.236121212121247"/>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0"/>
    <n v="0"/>
    <n v="0"/>
    <n v="0"/>
    <n v="0"/>
    <n v="0"/>
    <n v="0"/>
    <n v="0"/>
    <n v="0"/>
    <n v="0"/>
    <n v="0"/>
    <n v="0"/>
    <m/>
    <m/>
    <m/>
    <x v="0"/>
    <m/>
    <m/>
    <n v="0"/>
    <n v="0"/>
    <n v="0"/>
    <n v="0"/>
    <n v="0"/>
    <n v="0"/>
    <n v="0"/>
    <n v="1"/>
    <n v="0"/>
    <n v="0"/>
    <m/>
    <n v="0"/>
  </r>
  <r>
    <x v="0"/>
    <m/>
    <x v="0"/>
    <x v="0"/>
    <m/>
    <m/>
    <m/>
    <x v="3"/>
    <m/>
    <m/>
    <m/>
    <m/>
    <m/>
    <m/>
    <m/>
    <m/>
    <m/>
    <m/>
    <m/>
    <m/>
    <m/>
    <m/>
    <x v="0"/>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59">
  <r>
    <x v="0"/>
    <m/>
    <x v="0"/>
    <x v="0"/>
    <x v="0"/>
    <x v="0"/>
    <m/>
    <x v="0"/>
    <n v="0"/>
    <n v="0"/>
    <n v="0"/>
    <n v="0"/>
    <n v="0"/>
    <n v="0"/>
    <n v="0"/>
    <n v="0"/>
    <n v="0"/>
    <n v="0"/>
    <n v="0"/>
    <m/>
    <m/>
    <m/>
    <x v="0"/>
    <x v="0"/>
    <m/>
    <n v="0"/>
    <n v="0"/>
    <n v="0"/>
    <n v="0"/>
    <n v="0"/>
    <n v="0"/>
    <n v="0"/>
    <n v="1"/>
    <n v="0"/>
    <n v="0"/>
    <m/>
    <n v="0"/>
    <m/>
    <n v="0"/>
    <m/>
  </r>
  <r>
    <x v="1"/>
    <s v="Purchase"/>
    <x v="1"/>
    <x v="1"/>
    <x v="1"/>
    <x v="1"/>
    <n v="2500000"/>
    <x v="1"/>
    <n v="19187.915000000001"/>
    <n v="130.29034160303502"/>
    <n v="1"/>
    <n v="2500000"/>
    <n v="19.900300000000001"/>
    <n v="49750750"/>
    <n v="114.601"/>
    <n v="121.02200000000001"/>
    <n v="1.056"/>
    <n v="52536792"/>
    <n v="2738.0146305630392"/>
    <m/>
    <n v="19187.915000000001"/>
    <s v="Sale"/>
    <x v="1"/>
    <x v="1"/>
    <n v="2372771.5699999998"/>
    <n v="1"/>
    <n v="2372771.5699999998"/>
    <n v="20.372"/>
    <n v="48338102.424039997"/>
    <n v="52536792"/>
    <n v="-4198689.5759600028"/>
    <n v="0.64109589041095894"/>
    <n v="1"/>
    <n v="-4198689.5759600028"/>
    <n v="0"/>
    <m/>
    <n v="-127228.43000000017"/>
    <m/>
    <n v="-5.0891372000000067E-2"/>
    <m/>
  </r>
  <r>
    <x v="2"/>
    <s v="Purchase"/>
    <x v="2"/>
    <x v="2"/>
    <x v="1"/>
    <x v="2"/>
    <n v="373589.16"/>
    <x v="2"/>
    <n v="12900"/>
    <n v="28.960399999999996"/>
    <n v="1"/>
    <n v="373589.16"/>
    <n v="19.821300000000001"/>
    <n v="7405022.8171079997"/>
    <n v="109.271"/>
    <n v="117.30800000000001"/>
    <n v="1.0734999999999999"/>
    <n v="7949291.9941654373"/>
    <n v="616.22418559421999"/>
    <m/>
    <n v="12900"/>
    <s v="Sale"/>
    <x v="2"/>
    <x v="1"/>
    <n v="746446.95"/>
    <n v="1"/>
    <n v="746446.95"/>
    <n v="20.366"/>
    <n v="15202138.583699999"/>
    <n v="7949291.9941654382"/>
    <n v="7252846.5895345611"/>
    <n v="1.0986301369863014"/>
    <n v="1"/>
    <n v="7252846.5895345611"/>
    <n v="0"/>
    <m/>
    <n v="372857.79"/>
    <m/>
    <n v="0.9980423147181251"/>
    <m/>
  </r>
  <r>
    <x v="2"/>
    <s v="Purchase"/>
    <x v="3"/>
    <x v="2"/>
    <x v="1"/>
    <x v="3"/>
    <n v="283321.5"/>
    <x v="2"/>
    <n v="2200"/>
    <n v="128.7825"/>
    <n v="1"/>
    <n v="283321.5"/>
    <n v="20.612300000000001"/>
    <n v="5839907.7544499999"/>
    <n v="111.824"/>
    <n v="120.15900000000001"/>
    <n v="1.0745"/>
    <n v="6274980.8821565248"/>
    <n v="2852.2640373438749"/>
    <m/>
    <n v="2200"/>
    <s v="Sale"/>
    <x v="3"/>
    <x v="1"/>
    <n v="340998.26"/>
    <n v="1"/>
    <n v="340998.26"/>
    <n v="20.12"/>
    <n v="6860884.991200001"/>
    <n v="6274980.8821565248"/>
    <n v="585904.10904347617"/>
    <n v="1.1095890410958904"/>
    <n v="1"/>
    <n v="585904.10904347617"/>
    <n v="0"/>
    <m/>
    <n v="57676.760000000009"/>
    <m/>
    <n v="0.20357353748303608"/>
    <m/>
  </r>
  <r>
    <x v="2"/>
    <s v="Purchase"/>
    <x v="4"/>
    <x v="2"/>
    <x v="1"/>
    <x v="4"/>
    <n v="409762"/>
    <x v="2"/>
    <n v="10000"/>
    <n v="40.976199999999999"/>
    <n v="1"/>
    <n v="409762"/>
    <n v="23.957999999999998"/>
    <n v="9817077.9959999993"/>
    <n v="106.16200000000001"/>
    <n v="120.809"/>
    <n v="1.1378999999999999"/>
    <n v="11170853.051648399"/>
    <n v="1117.0853051648398"/>
    <m/>
    <n v="10000"/>
    <s v="Sale"/>
    <x v="4"/>
    <x v="1"/>
    <n v="566761.02"/>
    <n v="1"/>
    <n v="566761.02"/>
    <n v="19.596499999999999"/>
    <n v="11106532.328429999"/>
    <n v="11170853.051648399"/>
    <n v="-64320.723218400031"/>
    <n v="2.032876712328767"/>
    <n v="1"/>
    <n v="-64320.723218400031"/>
    <n v="0"/>
    <m/>
    <n v="156999.02000000002"/>
    <m/>
    <n v="0.38314685109893065"/>
    <m/>
  </r>
  <r>
    <x v="2"/>
    <s v="Purchase"/>
    <x v="4"/>
    <x v="2"/>
    <x v="1"/>
    <x v="5"/>
    <n v="224542.83"/>
    <x v="2"/>
    <n v="3550"/>
    <n v="63.2515014084507"/>
    <n v="1"/>
    <n v="224542.83"/>
    <n v="19.844799999999999"/>
    <n v="4456007.5527839996"/>
    <n v="113.899"/>
    <n v="120.809"/>
    <n v="1.0606"/>
    <n v="4726041.6104827095"/>
    <n v="1331.2793268965379"/>
    <m/>
    <n v="3550"/>
    <s v="Sale"/>
    <x v="4"/>
    <x v="1"/>
    <n v="201200.16"/>
    <n v="1"/>
    <n v="201200.16"/>
    <n v="19.596499999999999"/>
    <n v="3942818.9354399997"/>
    <n v="4726041.6104827095"/>
    <n v="-783222.6750427098"/>
    <n v="0.82739726027397265"/>
    <n v="1"/>
    <n v="-783222.6750427098"/>
    <n v="0"/>
    <m/>
    <n v="-23342.669999999984"/>
    <m/>
    <n v="-0.10395642559595417"/>
    <m/>
  </r>
  <r>
    <x v="2"/>
    <s v="Purchase"/>
    <x v="5"/>
    <x v="2"/>
    <x v="1"/>
    <x v="6"/>
    <n v="1246372.51"/>
    <x v="2"/>
    <n v="39850"/>
    <n v="31.276600000000002"/>
    <n v="1"/>
    <n v="1246372.51"/>
    <n v="19.903500000000001"/>
    <n v="24807175.252785001"/>
    <n v="114.601"/>
    <n v="120.809"/>
    <n v="1.0541"/>
    <n v="26149243.433960669"/>
    <n v="656.19180511821003"/>
    <m/>
    <n v="39850"/>
    <s v="Sale"/>
    <x v="5"/>
    <x v="1"/>
    <n v="1196115.56"/>
    <n v="1"/>
    <n v="1196115.56"/>
    <n v="20.3172"/>
    <n v="24301719.055631999"/>
    <n v="26149243.433960669"/>
    <n v="-1847524.3783286698"/>
    <n v="0.64931506849315068"/>
    <n v="1"/>
    <n v="-1847524.3783286698"/>
    <n v="0"/>
    <m/>
    <n v="-50256.949999999953"/>
    <m/>
    <n v="-4.0322575792368809E-2"/>
    <m/>
  </r>
  <r>
    <x v="2"/>
    <s v="Purchase"/>
    <x v="5"/>
    <x v="2"/>
    <x v="1"/>
    <x v="7"/>
    <n v="1255426.26"/>
    <x v="2"/>
    <n v="40150"/>
    <n v="31.2684"/>
    <n v="1"/>
    <n v="1255426.26"/>
    <n v="19.903500000000001"/>
    <n v="24987376.56591"/>
    <n v="114.601"/>
    <n v="120.809"/>
    <n v="1.0541"/>
    <n v="26339193.638125733"/>
    <n v="656.01976682754002"/>
    <m/>
    <n v="40150"/>
    <s v="Sale"/>
    <x v="5"/>
    <x v="1"/>
    <n v="1205120.19"/>
    <n v="1"/>
    <n v="1205120.19"/>
    <n v="20.3172"/>
    <n v="24484667.924268"/>
    <n v="26339193.638125733"/>
    <n v="-1854525.7138577327"/>
    <n v="0.64657534246575343"/>
    <n v="1"/>
    <n v="-1854525.7138577327"/>
    <n v="0"/>
    <m/>
    <n v="-50306.070000000065"/>
    <m/>
    <n v="-4.0070907868376165E-2"/>
    <m/>
  </r>
  <r>
    <x v="2"/>
    <s v="Purchase"/>
    <x v="6"/>
    <x v="2"/>
    <x v="1"/>
    <x v="8"/>
    <n v="575980.80000000005"/>
    <x v="2"/>
    <n v="65500"/>
    <n v="8.7936000000000014"/>
    <n v="1"/>
    <n v="575980.80000000005"/>
    <n v="20.2483"/>
    <n v="11662632.032640001"/>
    <n v="112.19"/>
    <n v="120.809"/>
    <n v="1.0768"/>
    <n v="12558322.172746753"/>
    <n v="191.73010950758402"/>
    <m/>
    <n v="65500"/>
    <s v="Sale"/>
    <x v="4"/>
    <x v="1"/>
    <n v="657310.18999999994"/>
    <n v="1"/>
    <n v="657310.18999999994"/>
    <n v="19.596499999999999"/>
    <n v="12880979.138334999"/>
    <n v="12558322.172746753"/>
    <n v="322656.96558824554"/>
    <n v="1.1479452054794521"/>
    <n v="1"/>
    <n v="322656.96558824554"/>
    <n v="0"/>
    <m/>
    <n v="81329.389999999898"/>
    <m/>
    <n v="0.14120156435770062"/>
    <m/>
  </r>
  <r>
    <x v="2"/>
    <s v="Purchase"/>
    <x v="7"/>
    <x v="2"/>
    <x v="1"/>
    <x v="9"/>
    <n v="464984.2"/>
    <x v="2"/>
    <n v="4554"/>
    <n v="102.10456741326307"/>
    <n v="1"/>
    <n v="464984.2"/>
    <n v="20.4833"/>
    <n v="9524410.8638599999"/>
    <n v="108.85599999999999"/>
    <n v="120.809"/>
    <n v="1.1097999999999999"/>
    <n v="10570191.176711828"/>
    <n v="2321.078431425522"/>
    <m/>
    <n v="4554"/>
    <s v="Sale"/>
    <x v="5"/>
    <x v="1"/>
    <n v="464524.3"/>
    <n v="1"/>
    <n v="464524.3"/>
    <n v="20.3172"/>
    <n v="9437833.1079599988"/>
    <n v="10570191.176711828"/>
    <n v="-1132358.0687518287"/>
    <n v="1.4767123287671233"/>
    <n v="1"/>
    <n v="-1132358.0687518287"/>
    <n v="0"/>
    <m/>
    <n v="-459.90000000002328"/>
    <m/>
    <n v="-9.8906586503374376E-4"/>
    <m/>
  </r>
  <r>
    <x v="2"/>
    <s v="Purchase"/>
    <x v="7"/>
    <x v="2"/>
    <x v="1"/>
    <x v="10"/>
    <n v="2496486.81"/>
    <x v="2"/>
    <n v="24450"/>
    <n v="102.1058"/>
    <n v="1"/>
    <n v="2496486.81"/>
    <n v="20.193000000000001"/>
    <n v="50411558.154330008"/>
    <n v="115.56100000000001"/>
    <n v="120.809"/>
    <n v="1.0454000000000001"/>
    <n v="52700242.894536592"/>
    <n v="2155.4291572407606"/>
    <m/>
    <n v="24450"/>
    <s v="Sale"/>
    <x v="5"/>
    <x v="1"/>
    <n v="2493987.52"/>
    <n v="1"/>
    <n v="2493987.52"/>
    <n v="20.3172"/>
    <n v="50670843.241343997"/>
    <n v="52700242.894536592"/>
    <n v="-2029399.6531925946"/>
    <n v="0.53150684931506853"/>
    <n v="1"/>
    <n v="-2029399.6531925946"/>
    <n v="0"/>
    <m/>
    <n v="-2499.2900000000373"/>
    <m/>
    <n v="-1.0011228539196797E-3"/>
    <m/>
  </r>
  <r>
    <x v="2"/>
    <s v="Purchase"/>
    <x v="7"/>
    <x v="2"/>
    <x v="1"/>
    <x v="11"/>
    <n v="714728.7"/>
    <x v="2"/>
    <n v="7000"/>
    <n v="102.10409999999999"/>
    <n v="1"/>
    <n v="714728.7"/>
    <n v="21.8185"/>
    <n v="15594308.14095"/>
    <n v="116.884"/>
    <n v="120.809"/>
    <n v="1.0335000000000001"/>
    <n v="16116717.463671826"/>
    <n v="2302.3882090959751"/>
    <m/>
    <n v="7000"/>
    <s v="Sale"/>
    <x v="5"/>
    <x v="1"/>
    <n v="714025.06"/>
    <n v="1"/>
    <n v="714025.06"/>
    <n v="20.3172"/>
    <n v="14506989.949032001"/>
    <n v="16116717.463671826"/>
    <n v="-1609727.5146398246"/>
    <n v="0.44383561643835617"/>
    <n v="1"/>
    <n v="-1609727.5146398246"/>
    <n v="0"/>
    <m/>
    <n v="-703.63999999989755"/>
    <m/>
    <n v="-9.8448544181854963E-4"/>
    <m/>
  </r>
  <r>
    <x v="2"/>
    <s v="Purchase"/>
    <x v="8"/>
    <x v="1"/>
    <x v="1"/>
    <x v="6"/>
    <n v="838378.24"/>
    <x v="1"/>
    <n v="39200"/>
    <n v="21.3872"/>
    <n v="1"/>
    <n v="838378.24"/>
    <n v="19.903500000000001"/>
    <n v="16686661.299840001"/>
    <n v="114.601"/>
    <n v="121.02200000000001"/>
    <n v="1.056"/>
    <n v="17621114.332631044"/>
    <n v="449.5182227712001"/>
    <m/>
    <n v="39200"/>
    <s v="Sale"/>
    <x v="4"/>
    <x v="1"/>
    <n v="797341.1"/>
    <n v="1"/>
    <n v="797341.1"/>
    <n v="19.596499999999999"/>
    <n v="15625094.866149999"/>
    <n v="17621114.332631044"/>
    <n v="-1996019.4664810449"/>
    <n v="0.70410958904109588"/>
    <n v="1"/>
    <n v="-1996019.4664810449"/>
    <n v="0"/>
    <m/>
    <n v="-41037.140000000014"/>
    <m/>
    <n v="-4.8948240832204823E-2"/>
    <m/>
  </r>
  <r>
    <x v="2"/>
    <s v="Purchase"/>
    <x v="9"/>
    <x v="2"/>
    <x v="1"/>
    <x v="12"/>
    <n v="463086.97"/>
    <x v="2"/>
    <n v="6590"/>
    <n v="70.27116388467374"/>
    <n v="1"/>
    <n v="463086.97"/>
    <n v="22.4252"/>
    <n v="10384817.919644"/>
    <n v="106.74299999999999"/>
    <n v="120.809"/>
    <n v="1.1316999999999999"/>
    <n v="11752498.439661114"/>
    <n v="1783.3836782490309"/>
    <m/>
    <n v="6590"/>
    <s v="Sale"/>
    <x v="6"/>
    <x v="1"/>
    <n v="619807.59"/>
    <n v="1"/>
    <n v="619807.59"/>
    <n v="20.144300000000001"/>
    <n v="12485590.035236999"/>
    <n v="11752498.439661114"/>
    <n v="733091.59557588585"/>
    <n v="1.9205479452054794"/>
    <n v="1"/>
    <n v="733091.59557588585"/>
    <n v="0"/>
    <m/>
    <n v="156720.62"/>
    <m/>
    <n v="0.33842589006553131"/>
    <m/>
  </r>
  <r>
    <x v="2"/>
    <s v="Purchase"/>
    <x v="9"/>
    <x v="2"/>
    <x v="1"/>
    <x v="12"/>
    <n v="87838.95"/>
    <x v="2"/>
    <n v="1250"/>
    <n v="70.271159999999995"/>
    <n v="1"/>
    <n v="87838.95"/>
    <n v="22.4252"/>
    <n v="1969806.0215399999"/>
    <n v="106.74299999999999"/>
    <n v="120.809"/>
    <n v="1.1316999999999999"/>
    <n v="2229229.4745768178"/>
    <n v="1783.3835796614542"/>
    <m/>
    <n v="1250"/>
    <s v="Sale"/>
    <x v="7"/>
    <x v="1"/>
    <n v="117797.68"/>
    <n v="1"/>
    <n v="117797.68"/>
    <n v="19.8657"/>
    <n v="2340133.371576"/>
    <n v="2229229.4745768178"/>
    <n v="110903.89699918218"/>
    <n v="1.9397260273972603"/>
    <n v="1"/>
    <n v="110903.89699918218"/>
    <n v="0"/>
    <m/>
    <n v="29958.729999999996"/>
    <m/>
    <n v="0.34106430006278532"/>
    <m/>
  </r>
  <r>
    <x v="2"/>
    <s v="Purchase"/>
    <x v="9"/>
    <x v="2"/>
    <x v="1"/>
    <x v="13"/>
    <n v="380668.14"/>
    <x v="2"/>
    <n v="5350"/>
    <n v="71.152923364485986"/>
    <n v="1"/>
    <n v="380668.14"/>
    <n v="20.416499999999999"/>
    <n v="7771911.0803100001"/>
    <n v="110.907"/>
    <n v="120.809"/>
    <n v="1.0891999999999999"/>
    <n v="8465165.5486736521"/>
    <n v="1582.2739343315238"/>
    <m/>
    <n v="5350"/>
    <s v="Sale"/>
    <x v="7"/>
    <x v="1"/>
    <n v="504174.05"/>
    <n v="1"/>
    <n v="504174.05"/>
    <n v="19.8657"/>
    <n v="10015770.425085001"/>
    <n v="8465165.5486736521"/>
    <n v="1550604.8764113486"/>
    <n v="1.2493150684931507"/>
    <n v="1"/>
    <n v="1550604.8764113486"/>
    <n v="0"/>
    <m/>
    <n v="123505.90999999997"/>
    <m/>
    <n v="0.32444509277818723"/>
    <m/>
  </r>
  <r>
    <x v="2"/>
    <s v="Purchase"/>
    <x v="10"/>
    <x v="2"/>
    <x v="1"/>
    <x v="14"/>
    <n v="426959.93"/>
    <x v="2"/>
    <n v="12850"/>
    <n v="33.226453696498055"/>
    <n v="1"/>
    <n v="426959.93"/>
    <n v="18.670300000000001"/>
    <n v="7971469.981079"/>
    <n v="99.171374481640001"/>
    <n v="120.809"/>
    <n v="1.2181"/>
    <n v="9710047.5839523301"/>
    <n v="755.64572637761319"/>
    <m/>
    <n v="12850"/>
    <s v="Sale"/>
    <x v="4"/>
    <x v="1"/>
    <n v="681996.85"/>
    <n v="1"/>
    <n v="681996.85"/>
    <n v="19.596499999999999"/>
    <n v="13364751.271024998"/>
    <n v="9710047.5839523301"/>
    <n v="3654703.6870726682"/>
    <n v="4.2931506849315069"/>
    <n v="1"/>
    <n v="3654703.6870726682"/>
    <n v="0"/>
    <m/>
    <n v="255036.91999999998"/>
    <m/>
    <n v="0.59733221335313591"/>
    <m/>
  </r>
  <r>
    <x v="2"/>
    <s v="Purchase"/>
    <x v="11"/>
    <x v="2"/>
    <x v="1"/>
    <x v="15"/>
    <n v="794363.5"/>
    <x v="2"/>
    <n v="2450"/>
    <n v="324.23"/>
    <n v="1"/>
    <n v="794363.5"/>
    <n v="21.1648"/>
    <n v="16812544.604800001"/>
    <n v="108.774"/>
    <n v="120.809"/>
    <n v="1.1106"/>
    <n v="18672012.038090881"/>
    <n v="7621.2294033024"/>
    <m/>
    <n v="2450"/>
    <s v="Sale"/>
    <x v="4"/>
    <x v="1"/>
    <n v="1017106.94"/>
    <n v="1"/>
    <n v="1017106.94"/>
    <n v="19.596499999999999"/>
    <n v="19931736.14971"/>
    <n v="18672012.038090881"/>
    <n v="1259724.1116191186"/>
    <n v="1.5835616438356164"/>
    <n v="1"/>
    <n v="1259724.1116191186"/>
    <n v="0"/>
    <m/>
    <n v="222743.43999999994"/>
    <m/>
    <n v="0.28040492797063304"/>
    <m/>
  </r>
  <r>
    <x v="3"/>
    <s v="Purchase"/>
    <x v="12"/>
    <x v="2"/>
    <x v="1"/>
    <x v="16"/>
    <n v="7080.41"/>
    <x v="2"/>
    <n v="79"/>
    <n v="89.625443037974676"/>
    <n v="1"/>
    <n v="7080.41"/>
    <n v="24.0487"/>
    <n v="170274.655967"/>
    <n v="106.16200000000001"/>
    <n v="118.98099999999999"/>
    <n v="1.1207"/>
    <n v="190826.80694221691"/>
    <n v="2415.5292018002142"/>
    <m/>
    <n v="79"/>
    <s v="Sale"/>
    <x v="8"/>
    <x v="1"/>
    <n v="12580.14"/>
    <n v="1"/>
    <n v="12580.14"/>
    <n v="20.558499999999999"/>
    <n v="258628.80818999998"/>
    <n v="190826.80694221694"/>
    <n v="67802.001247783046"/>
    <n v="1.8547945205479452"/>
    <n v="1"/>
    <n v="67802.001247783046"/>
    <n v="0"/>
    <m/>
    <n v="5499.73"/>
    <m/>
    <n v="0.77675304113744825"/>
    <m/>
  </r>
  <r>
    <x v="3"/>
    <s v="Purchase"/>
    <x v="13"/>
    <x v="2"/>
    <x v="1"/>
    <x v="16"/>
    <n v="3117.14"/>
    <x v="2"/>
    <n v="38"/>
    <n v="82.03"/>
    <n v="1"/>
    <n v="3117.14"/>
    <n v="24.0487"/>
    <n v="74963.164718"/>
    <n v="106.16200000000001"/>
    <n v="120.809"/>
    <n v="1.1378999999999999"/>
    <n v="85300.585132612192"/>
    <n v="2244.7522403318999"/>
    <m/>
    <n v="38"/>
    <s v="Sale"/>
    <x v="9"/>
    <x v="1"/>
    <n v="5852.54"/>
    <n v="1"/>
    <n v="5852.54"/>
    <n v="19.9663"/>
    <n v="116853.56940200001"/>
    <n v="85300.585132612192"/>
    <n v="31552.984269387816"/>
    <n v="2.0164383561643837"/>
    <n v="1"/>
    <n v="31552.984269387816"/>
    <n v="0"/>
    <m/>
    <n v="2735.4"/>
    <m/>
    <n v="0.8775351764758722"/>
    <m/>
  </r>
  <r>
    <x v="3"/>
    <s v="Purchase"/>
    <x v="13"/>
    <x v="2"/>
    <x v="1"/>
    <x v="16"/>
    <n v="5413.98"/>
    <x v="2"/>
    <n v="66"/>
    <n v="82.029999999999987"/>
    <n v="1"/>
    <n v="5413.98"/>
    <n v="24.0487"/>
    <n v="130199.180826"/>
    <n v="106.16200000000001"/>
    <n v="120.15900000000001"/>
    <n v="1.1317999999999999"/>
    <n v="147359.43285886678"/>
    <n v="2232.7186796797996"/>
    <m/>
    <n v="66"/>
    <s v="Sale"/>
    <x v="10"/>
    <x v="1"/>
    <n v="11775.21"/>
    <n v="1"/>
    <n v="11775.21"/>
    <n v="20.299199999999999"/>
    <n v="239027.34283199997"/>
    <n v="147359.43285886678"/>
    <n v="91667.909973133181"/>
    <n v="1.9534246575342467"/>
    <n v="1"/>
    <n v="91667.909973133181"/>
    <n v="0"/>
    <m/>
    <n v="6361.23"/>
    <m/>
    <n v="1.1749637050746402"/>
    <m/>
  </r>
  <r>
    <x v="3"/>
    <s v="Purchase"/>
    <x v="13"/>
    <x v="2"/>
    <x v="1"/>
    <x v="17"/>
    <n v="790.04"/>
    <x v="2"/>
    <n v="7"/>
    <n v="112.86285714285714"/>
    <n v="1"/>
    <n v="790.04"/>
    <n v="21.838799999999999"/>
    <n v="17253.525551999999"/>
    <n v="106.74299999999999"/>
    <n v="120.809"/>
    <n v="1.1316999999999999"/>
    <n v="19525.814867198398"/>
    <n v="2789.4021238854853"/>
    <m/>
    <n v="7"/>
    <s v="Sale"/>
    <x v="9"/>
    <x v="1"/>
    <n v="1078.0999999999999"/>
    <n v="1"/>
    <n v="1078.0999999999999"/>
    <n v="19.9663"/>
    <n v="21525.668029999997"/>
    <n v="19525.814867198398"/>
    <n v="1999.853162801599"/>
    <n v="1.9479452054794522"/>
    <n v="1"/>
    <n v="1999.853162801599"/>
    <n v="0"/>
    <m/>
    <n v="288.05999999999995"/>
    <m/>
    <n v="0.36461444990127079"/>
    <m/>
  </r>
  <r>
    <x v="3"/>
    <s v="Purchase"/>
    <x v="13"/>
    <x v="2"/>
    <x v="1"/>
    <x v="18"/>
    <n v="780.35"/>
    <x v="2"/>
    <n v="7"/>
    <n v="111.47857142857143"/>
    <n v="1"/>
    <n v="780.35"/>
    <n v="21.5837"/>
    <n v="16842.840295000002"/>
    <n v="106.74299999999999"/>
    <n v="120.809"/>
    <n v="1.1316999999999999"/>
    <n v="19061.042361851501"/>
    <n v="2723.0060516930716"/>
    <m/>
    <n v="7"/>
    <s v="Sale"/>
    <x v="9"/>
    <x v="1"/>
    <n v="1078.0999999999999"/>
    <n v="1"/>
    <n v="1078.0999999999999"/>
    <n v="19.9663"/>
    <n v="21525.668029999997"/>
    <n v="19061.042361851501"/>
    <n v="2464.6256681484956"/>
    <n v="1.9452054794520548"/>
    <n v="1"/>
    <n v="2464.6256681484956"/>
    <n v="0"/>
    <m/>
    <n v="297.74999999999989"/>
    <m/>
    <n v="0.38155955660921365"/>
    <m/>
  </r>
  <r>
    <x v="3"/>
    <s v="Purchase"/>
    <x v="13"/>
    <x v="2"/>
    <x v="1"/>
    <x v="19"/>
    <n v="1386.14"/>
    <x v="2"/>
    <n v="14"/>
    <n v="99.01"/>
    <n v="1"/>
    <n v="1386.14"/>
    <n v="22.367799999999999"/>
    <n v="31004.902292000002"/>
    <n v="108.114"/>
    <n v="120.809"/>
    <n v="1.1173999999999999"/>
    <n v="34644.877821080801"/>
    <n v="2474.6341300772001"/>
    <m/>
    <n v="14"/>
    <s v="Sale"/>
    <x v="9"/>
    <x v="1"/>
    <n v="2156.1999999999998"/>
    <n v="1"/>
    <n v="2156.1999999999998"/>
    <n v="19.9663"/>
    <n v="43051.336059999994"/>
    <n v="34644.877821080801"/>
    <n v="8406.4582389191928"/>
    <n v="1.6410958904109589"/>
    <n v="1"/>
    <n v="8406.4582389191928"/>
    <n v="0"/>
    <m/>
    <n v="770.05999999999972"/>
    <m/>
    <n v="0.55554273017155531"/>
    <m/>
  </r>
  <r>
    <x v="3"/>
    <s v="Purchase"/>
    <x v="14"/>
    <x v="2"/>
    <x v="1"/>
    <x v="20"/>
    <n v="2726.47"/>
    <x v="2"/>
    <n v="24"/>
    <n v="113.60291666666666"/>
    <n v="1"/>
    <n v="2726.47"/>
    <n v="19.2456"/>
    <n v="52472.551031999996"/>
    <n v="103.108"/>
    <n v="118.98099999999999"/>
    <n v="1.1538999999999999"/>
    <n v="60548.076635824793"/>
    <n v="2522.8365264926997"/>
    <m/>
    <n v="24"/>
    <s v="Sale"/>
    <x v="11"/>
    <x v="1"/>
    <n v="7507.73"/>
    <n v="1"/>
    <n v="7507.73"/>
    <n v="19.957699999999999"/>
    <n v="149837.02302099997"/>
    <n v="60548.076635824793"/>
    <n v="89288.946385175179"/>
    <n v="3.2136986301369861"/>
    <n v="1"/>
    <n v="89288.946385175179"/>
    <n v="0"/>
    <m/>
    <n v="4781.26"/>
    <m/>
    <n v="1.7536448227928423"/>
    <m/>
  </r>
  <r>
    <x v="3"/>
    <s v="Purchase"/>
    <x v="14"/>
    <x v="2"/>
    <x v="1"/>
    <x v="20"/>
    <n v="2044.85"/>
    <x v="2"/>
    <n v="18"/>
    <n v="113.60277777777777"/>
    <n v="1"/>
    <n v="2044.85"/>
    <n v="19.2456"/>
    <n v="39354.365159999994"/>
    <n v="103.108"/>
    <n v="118.98099999999999"/>
    <n v="1.1538999999999999"/>
    <n v="45411.00195812399"/>
    <n v="2522.8334421179993"/>
    <m/>
    <n v="18"/>
    <s v="Sale"/>
    <x v="12"/>
    <x v="1"/>
    <n v="5611.96"/>
    <n v="1"/>
    <n v="5611.96"/>
    <n v="20.1313"/>
    <n v="112976.050348"/>
    <n v="45411.00195812399"/>
    <n v="67565.048389876014"/>
    <n v="3.2109589041095892"/>
    <n v="1"/>
    <n v="67565.048389876014"/>
    <n v="0"/>
    <m/>
    <n v="3567.11"/>
    <m/>
    <n v="1.7444360222021176"/>
    <m/>
  </r>
  <r>
    <x v="3"/>
    <s v="Purchase"/>
    <x v="14"/>
    <x v="2"/>
    <x v="1"/>
    <x v="20"/>
    <n v="6702.57"/>
    <x v="2"/>
    <n v="59"/>
    <n v="113.6028813559322"/>
    <n v="1"/>
    <n v="6702.57"/>
    <n v="19.2456"/>
    <n v="128994.98119199999"/>
    <n v="103.108"/>
    <n v="118.98099999999999"/>
    <n v="1.1538999999999999"/>
    <n v="148847.30879744879"/>
    <n v="2522.8357423296407"/>
    <m/>
    <n v="59"/>
    <s v="Sale"/>
    <x v="13"/>
    <x v="1"/>
    <n v="15630.38"/>
    <n v="1"/>
    <n v="15630.38"/>
    <n v="20.926200000000001"/>
    <n v="327084.457956"/>
    <n v="148847.30879744879"/>
    <n v="178237.14915855121"/>
    <n v="3.1561643835616437"/>
    <n v="1"/>
    <n v="178237.14915855121"/>
    <n v="0"/>
    <m/>
    <n v="8927.81"/>
    <m/>
    <n v="1.3319980246383103"/>
    <m/>
  </r>
  <r>
    <x v="3"/>
    <s v="Purchase"/>
    <x v="15"/>
    <x v="2"/>
    <x v="1"/>
    <x v="16"/>
    <n v="4684.7700000000004"/>
    <x v="2"/>
    <n v="18"/>
    <n v="260.26500000000004"/>
    <n v="1"/>
    <n v="4684.7700000000004"/>
    <n v="24.0487"/>
    <n v="112662.62829900002"/>
    <n v="106.16200000000001"/>
    <n v="118.002"/>
    <n v="1.1114999999999999"/>
    <n v="125224.51135433851"/>
    <n v="6956.9172974632502"/>
    <m/>
    <n v="18"/>
    <s v="Sale"/>
    <x v="14"/>
    <x v="1"/>
    <n v="10681.18"/>
    <n v="1"/>
    <n v="10681.18"/>
    <n v="20.411000000000001"/>
    <n v="218013.56498000002"/>
    <n v="125224.51135433851"/>
    <n v="92789.053625661516"/>
    <n v="1.7616438356164383"/>
    <n v="1"/>
    <n v="92789.053625661516"/>
    <n v="0"/>
    <m/>
    <n v="5996.41"/>
    <m/>
    <n v="1.2799795934485576"/>
    <m/>
  </r>
  <r>
    <x v="3"/>
    <s v="Purchase"/>
    <x v="16"/>
    <x v="2"/>
    <x v="1"/>
    <x v="19"/>
    <n v="6084.33"/>
    <x v="2"/>
    <n v="36"/>
    <n v="169.00916666666666"/>
    <n v="1"/>
    <n v="6084.33"/>
    <n v="22.367799999999999"/>
    <n v="136093.07657400001"/>
    <n v="108.114"/>
    <n v="118.98099999999999"/>
    <n v="1.1005"/>
    <n v="149770.43076968702"/>
    <n v="4160.2897436024177"/>
    <m/>
    <n v="36"/>
    <s v="Sale"/>
    <x v="8"/>
    <x v="1"/>
    <n v="8940.9"/>
    <n v="1"/>
    <n v="8940.9"/>
    <n v="20.558499999999999"/>
    <n v="183811.49264999997"/>
    <n v="149770.43076968705"/>
    <n v="34041.061880312918"/>
    <n v="1.4794520547945205"/>
    <n v="1"/>
    <n v="34041.061880312918"/>
    <n v="0"/>
    <m/>
    <n v="2856.5699999999997"/>
    <m/>
    <n v="0.46949623048059519"/>
    <m/>
  </r>
  <r>
    <x v="3"/>
    <s v="Purchase"/>
    <x v="16"/>
    <x v="2"/>
    <x v="1"/>
    <x v="21"/>
    <n v="2301.0300000000002"/>
    <x v="2"/>
    <n v="14"/>
    <n v="164.35928571428573"/>
    <n v="1"/>
    <n v="2301.0300000000002"/>
    <n v="21.090199999999999"/>
    <n v="48529.182906000002"/>
    <n v="108.774"/>
    <n v="118.98099999999999"/>
    <n v="1.0938000000000001"/>
    <n v="53081.220262582807"/>
    <n v="3791.5157330416291"/>
    <m/>
    <n v="14"/>
    <s v="Sale"/>
    <x v="8"/>
    <x v="1"/>
    <n v="3477.02"/>
    <n v="1"/>
    <n v="3477.02"/>
    <n v="20.558499999999999"/>
    <n v="71482.315669999996"/>
    <n v="53081.220262582807"/>
    <n v="18401.09540741719"/>
    <n v="1.4136986301369863"/>
    <n v="1"/>
    <n v="18401.09540741719"/>
    <n v="0"/>
    <m/>
    <n v="1175.9899999999998"/>
    <m/>
    <n v="0.51107112901613616"/>
    <m/>
  </r>
  <r>
    <x v="3"/>
    <s v="Purchase"/>
    <x v="17"/>
    <x v="2"/>
    <x v="1"/>
    <x v="22"/>
    <n v="3075.92"/>
    <x v="2"/>
    <n v="81"/>
    <n v="37.974320987654323"/>
    <n v="1"/>
    <n v="3075.92"/>
    <n v="22.784500000000001"/>
    <n v="70083.299240000008"/>
    <n v="107.867"/>
    <n v="120.15900000000001"/>
    <n v="1.1138999999999999"/>
    <n v="78065.787023436002"/>
    <n v="963.77514843748145"/>
    <m/>
    <n v="81"/>
    <s v="Sale"/>
    <x v="10"/>
    <x v="1"/>
    <n v="7329.31"/>
    <n v="1"/>
    <n v="7329.31"/>
    <n v="20.299199999999999"/>
    <n v="148779.129552"/>
    <n v="78065.787023436002"/>
    <n v="70713.342528563997"/>
    <n v="1.7232876712328766"/>
    <n v="1"/>
    <n v="70713.342528563997"/>
    <n v="0"/>
    <m/>
    <n v="4253.3900000000003"/>
    <m/>
    <n v="1.3828025436292233"/>
    <m/>
  </r>
  <r>
    <x v="3"/>
    <s v="Purchase"/>
    <x v="17"/>
    <x v="2"/>
    <x v="1"/>
    <x v="22"/>
    <n v="10936.6"/>
    <x v="2"/>
    <n v="288"/>
    <n v="37.97430555555556"/>
    <n v="1"/>
    <n v="10936.6"/>
    <n v="22.784500000000001"/>
    <n v="249184.96270000003"/>
    <n v="107.867"/>
    <n v="117.30800000000001"/>
    <n v="1.0874999999999999"/>
    <n v="270988.64693625004"/>
    <n v="940.93280186197933"/>
    <m/>
    <n v="288"/>
    <s v="Sale"/>
    <x v="15"/>
    <x v="1"/>
    <n v="25047.46"/>
    <n v="1"/>
    <n v="25047.46"/>
    <n v="20.3002"/>
    <n v="508468.44749200001"/>
    <n v="270988.64693625004"/>
    <n v="237479.80055574997"/>
    <n v="1.4547945205479451"/>
    <n v="1"/>
    <n v="237479.80055574997"/>
    <n v="0"/>
    <m/>
    <n v="14110.859999999999"/>
    <m/>
    <n v="1.2902419399081979"/>
    <m/>
  </r>
  <r>
    <x v="3"/>
    <s v="Purchase"/>
    <x v="17"/>
    <x v="2"/>
    <x v="1"/>
    <x v="19"/>
    <n v="1762.7"/>
    <x v="2"/>
    <n v="52"/>
    <n v="33.898076923076921"/>
    <n v="1"/>
    <n v="1762.7"/>
    <n v="22.367799999999999"/>
    <n v="39427.721059999996"/>
    <n v="108.114"/>
    <n v="120.15900000000001"/>
    <n v="1.1113999999999999"/>
    <n v="43819.969186083996"/>
    <n v="842.69171511699994"/>
    <m/>
    <n v="52"/>
    <s v="Sale"/>
    <x v="10"/>
    <x v="1"/>
    <n v="4705.2299999999996"/>
    <n v="1"/>
    <n v="4705.2299999999996"/>
    <n v="20.299199999999999"/>
    <n v="95512.40481599998"/>
    <n v="43819.969186083996"/>
    <n v="51692.435629915984"/>
    <n v="1.5780821917808219"/>
    <n v="1"/>
    <n v="51692.435629915984"/>
    <n v="0"/>
    <m/>
    <n v="2942.5299999999997"/>
    <m/>
    <n v="1.6693311397288249"/>
    <m/>
  </r>
  <r>
    <x v="3"/>
    <s v="Purchase"/>
    <x v="18"/>
    <x v="2"/>
    <x v="1"/>
    <x v="23"/>
    <n v="14960.19"/>
    <x v="2"/>
    <n v="49"/>
    <n v="305.31"/>
    <n v="1"/>
    <n v="14960.19"/>
    <n v="19.4543"/>
    <n v="291040.024317"/>
    <n v="105.346"/>
    <n v="118.98099999999999"/>
    <n v="1.1294"/>
    <n v="328700.60346361977"/>
    <n v="6708.1755808901999"/>
    <m/>
    <n v="49"/>
    <s v="Sale"/>
    <x v="12"/>
    <x v="1"/>
    <n v="27345.05"/>
    <n v="1"/>
    <n v="27345.05"/>
    <n v="20.1313"/>
    <n v="550491.40506499994"/>
    <n v="328700.60346361977"/>
    <n v="221790.80160138017"/>
    <n v="2.3671232876712329"/>
    <n v="1"/>
    <n v="221790.80160138017"/>
    <n v="0"/>
    <m/>
    <n v="12384.859999999999"/>
    <m/>
    <n v="0.82785445906769894"/>
    <m/>
  </r>
  <r>
    <x v="3"/>
    <s v="Purchase"/>
    <x v="19"/>
    <x v="2"/>
    <x v="1"/>
    <x v="24"/>
    <n v="10054.19"/>
    <x v="2"/>
    <n v="55"/>
    <n v="182.80345454545454"/>
    <n v="1"/>
    <n v="10054.19"/>
    <n v="24.0563"/>
    <n v="241866.61089700001"/>
    <n v="106.16200000000001"/>
    <n v="120.809"/>
    <n v="1.1378999999999999"/>
    <n v="275220.01653969631"/>
    <n v="5004.000300721751"/>
    <m/>
    <n v="55"/>
    <s v="Sale"/>
    <x v="9"/>
    <x v="1"/>
    <n v="10295.61"/>
    <n v="1"/>
    <n v="10295.61"/>
    <n v="19.9663"/>
    <n v="205565.23794300001"/>
    <n v="275220.01653969631"/>
    <n v="-69654.778596696298"/>
    <n v="2.0246575342465754"/>
    <n v="1"/>
    <n v="-69654.778596696298"/>
    <n v="0"/>
    <m/>
    <n v="241.42000000000007"/>
    <m/>
    <n v="2.4011879624315838E-2"/>
    <m/>
  </r>
  <r>
    <x v="3"/>
    <s v="Purchase"/>
    <x v="20"/>
    <x v="2"/>
    <x v="1"/>
    <x v="16"/>
    <n v="11.87"/>
    <x v="2"/>
    <n v="0.4"/>
    <n v="29.674999999999997"/>
    <n v="1"/>
    <n v="11.87"/>
    <n v="24.0487"/>
    <n v="285.45806899999997"/>
    <n v="106.16200000000001"/>
    <n v="120.15900000000001"/>
    <n v="1.1317999999999999"/>
    <n v="323.08144249419996"/>
    <n v="807.70360623549982"/>
    <m/>
    <n v="0.4"/>
    <s v="Sale"/>
    <x v="16"/>
    <x v="1"/>
    <n v="12.24"/>
    <n v="1"/>
    <n v="12.24"/>
    <n v="19.863199999999999"/>
    <n v="243.12556799999999"/>
    <n v="323.08144249419996"/>
    <n v="-79.955874494199975"/>
    <n v="1.8821917808219177"/>
    <n v="1"/>
    <n v="-79.955874494199975"/>
    <n v="0"/>
    <m/>
    <n v="0.37000000000000099"/>
    <m/>
    <n v="3.1171019376579699E-2"/>
    <m/>
  </r>
  <r>
    <x v="3"/>
    <s v="Purchase"/>
    <x v="20"/>
    <x v="2"/>
    <x v="1"/>
    <x v="16"/>
    <n v="451.12"/>
    <x v="2"/>
    <n v="15.2"/>
    <n v="29.678947368421053"/>
    <n v="1"/>
    <n v="451.12"/>
    <n v="24.0487"/>
    <n v="10848.849544000001"/>
    <n v="106.16200000000001"/>
    <n v="120.15900000000001"/>
    <n v="1.1317999999999999"/>
    <n v="12278.7279138992"/>
    <n v="807.81104696705268"/>
    <m/>
    <n v="15.2"/>
    <s v="Sale"/>
    <x v="17"/>
    <x v="1"/>
    <n v="465.06"/>
    <n v="1"/>
    <n v="465.06"/>
    <n v="19.911200000000001"/>
    <n v="9259.9026720000002"/>
    <n v="12278.7279138992"/>
    <n v="-3018.8252418991997"/>
    <n v="1.8904109589041096"/>
    <n v="1"/>
    <n v="-3018.8252418991997"/>
    <n v="0"/>
    <m/>
    <n v="13.939999999999998"/>
    <m/>
    <n v="3.09008689483951E-2"/>
    <m/>
  </r>
  <r>
    <x v="3"/>
    <s v="Purchase"/>
    <x v="20"/>
    <x v="2"/>
    <x v="1"/>
    <x v="19"/>
    <n v="166.91"/>
    <x v="2"/>
    <n v="6.4"/>
    <n v="26.079687499999999"/>
    <n v="1"/>
    <n v="166.91"/>
    <n v="22.367799999999999"/>
    <n v="3733.409498"/>
    <n v="108.114"/>
    <n v="120.15900000000001"/>
    <n v="1.1113999999999999"/>
    <n v="4149.3113160772"/>
    <n v="648.32989313706241"/>
    <m/>
    <n v="6.4"/>
    <s v="Sale"/>
    <x v="17"/>
    <x v="1"/>
    <n v="195.82"/>
    <n v="1"/>
    <n v="195.82"/>
    <n v="19.911200000000001"/>
    <n v="3899.011184"/>
    <n v="4149.3113160772"/>
    <n v="-250.30013207720003"/>
    <n v="1.515068493150685"/>
    <n v="1"/>
    <n v="-250.30013207720003"/>
    <n v="0"/>
    <m/>
    <n v="28.909999999999997"/>
    <m/>
    <n v="0.17320711760829188"/>
    <m/>
  </r>
  <r>
    <x v="3"/>
    <s v="Purchase"/>
    <x v="20"/>
    <x v="2"/>
    <x v="1"/>
    <x v="21"/>
    <n v="454.06"/>
    <x v="2"/>
    <n v="16.399999999999999"/>
    <n v="27.686585365853659"/>
    <n v="1"/>
    <n v="454.06"/>
    <n v="21.090199999999999"/>
    <n v="9576.2162119999994"/>
    <n v="108.774"/>
    <n v="120.15900000000001"/>
    <n v="1.1046"/>
    <n v="10577.8884277752"/>
    <n v="644.99319681556108"/>
    <m/>
    <n v="16.399999999999999"/>
    <s v="Sale"/>
    <x v="17"/>
    <x v="1"/>
    <n v="501.78"/>
    <n v="1"/>
    <n v="501.78"/>
    <n v="19.911200000000001"/>
    <n v="9991.0419359999996"/>
    <n v="10577.8884277752"/>
    <n v="-586.84649177520078"/>
    <n v="1.4493150684931506"/>
    <n v="1"/>
    <n v="-586.84649177520078"/>
    <n v="0"/>
    <m/>
    <n v="47.71999999999997"/>
    <m/>
    <n v="0.10509624278729676"/>
    <m/>
  </r>
  <r>
    <x v="0"/>
    <m/>
    <x v="0"/>
    <x v="0"/>
    <x v="0"/>
    <x v="0"/>
    <m/>
    <x v="0"/>
    <n v="0"/>
    <n v="0"/>
    <n v="0"/>
    <n v="0"/>
    <n v="0"/>
    <n v="0"/>
    <n v="0"/>
    <n v="0"/>
    <n v="0"/>
    <n v="0"/>
    <n v="0"/>
    <m/>
    <m/>
    <m/>
    <x v="0"/>
    <x v="0"/>
    <m/>
    <n v="0"/>
    <n v="0"/>
    <n v="0"/>
    <n v="0"/>
    <n v="0"/>
    <n v="0"/>
    <n v="0"/>
    <n v="1"/>
    <n v="0"/>
    <n v="0"/>
    <m/>
    <n v="0"/>
    <m/>
    <n v="0"/>
    <m/>
  </r>
  <r>
    <x v="3"/>
    <s v="Purchase"/>
    <x v="21"/>
    <x v="2"/>
    <x v="1"/>
    <x v="22"/>
    <n v="614.42999999999995"/>
    <x v="2"/>
    <n v="3"/>
    <n v="204.80999999999997"/>
    <n v="1"/>
    <n v="614.42999999999995"/>
    <n v="22.784500000000001"/>
    <n v="13999.480335"/>
    <n v="107.867"/>
    <n v="118.002"/>
    <n v="1.0939000000000001"/>
    <n v="15314.031538456502"/>
    <n v="5104.6771794855003"/>
    <m/>
    <n v="3"/>
    <s v="Sale"/>
    <x v="14"/>
    <x v="1"/>
    <n v="1084.6199999999999"/>
    <n v="1"/>
    <n v="1084.6199999999999"/>
    <n v="20.411000000000001"/>
    <n v="22138.178820000001"/>
    <n v="15314.0315384565"/>
    <n v="6824.1472815435009"/>
    <n v="1.5315068493150685"/>
    <n v="1"/>
    <n v="6824.1472815435009"/>
    <n v="0"/>
    <m/>
    <n v="470.18999999999994"/>
    <m/>
    <n v="0.76524583760558562"/>
    <m/>
  </r>
  <r>
    <x v="3"/>
    <s v="Purchase"/>
    <x v="21"/>
    <x v="2"/>
    <x v="1"/>
    <x v="19"/>
    <n v="6017.51"/>
    <x v="2"/>
    <n v="30"/>
    <n v="200.58366666666669"/>
    <n v="1"/>
    <n v="6017.51"/>
    <n v="22.367799999999999"/>
    <n v="134598.46017800001"/>
    <n v="108.114"/>
    <n v="118.98099999999999"/>
    <n v="1.1005"/>
    <n v="148125.60542588902"/>
    <n v="4937.5201808629672"/>
    <m/>
    <n v="30"/>
    <s v="Sale"/>
    <x v="8"/>
    <x v="1"/>
    <n v="10234.51"/>
    <n v="1"/>
    <n v="10234.51"/>
    <n v="20.558499999999999"/>
    <n v="210406.17383499999"/>
    <n v="148125.60542588902"/>
    <n v="62280.568409110972"/>
    <n v="1.4794520547945205"/>
    <n v="1"/>
    <n v="62280.568409110972"/>
    <n v="0"/>
    <m/>
    <n v="4217"/>
    <m/>
    <n v="0.70078819977033691"/>
    <m/>
  </r>
  <r>
    <x v="3"/>
    <s v="Purchase"/>
    <x v="21"/>
    <x v="2"/>
    <x v="1"/>
    <x v="19"/>
    <n v="6017.51"/>
    <x v="2"/>
    <n v="30"/>
    <n v="200.58366666666669"/>
    <n v="1"/>
    <n v="6017.51"/>
    <n v="22.367799999999999"/>
    <n v="134598.46017800001"/>
    <n v="108.114"/>
    <n v="118.002"/>
    <n v="1.0913999999999999"/>
    <n v="146900.75943826919"/>
    <n v="4896.6919812756396"/>
    <m/>
    <n v="30"/>
    <s v="Sale"/>
    <x v="14"/>
    <x v="1"/>
    <n v="10846.22"/>
    <n v="1"/>
    <n v="10846.22"/>
    <n v="20.411000000000001"/>
    <n v="221382.19641999999"/>
    <n v="146900.75943826919"/>
    <n v="74481.436981730803"/>
    <n v="1.3863013698630138"/>
    <n v="1"/>
    <n v="74481.436981730803"/>
    <n v="0"/>
    <m/>
    <n v="4828.7099999999991"/>
    <m/>
    <n v="0.80244320325184315"/>
    <m/>
  </r>
  <r>
    <x v="3"/>
    <s v="Purchase"/>
    <x v="22"/>
    <x v="2"/>
    <x v="1"/>
    <x v="25"/>
    <n v="5362.1"/>
    <x v="2"/>
    <n v="36"/>
    <n v="148.94722222222222"/>
    <n v="1"/>
    <n v="5362.1"/>
    <n v="18.5899"/>
    <n v="99680.902790000007"/>
    <n v="100.492"/>
    <n v="120.809"/>
    <n v="1.2020999999999999"/>
    <n v="119826.413243859"/>
    <n v="3328.5114789960835"/>
    <m/>
    <n v="36"/>
    <s v="Sale"/>
    <x v="9"/>
    <x v="1"/>
    <n v="6802.98"/>
    <n v="1"/>
    <n v="6802.98"/>
    <n v="19.9663"/>
    <n v="135830.33957399998"/>
    <n v="119826.413243859"/>
    <n v="16003.926330140981"/>
    <n v="3.7972602739726029"/>
    <n v="1"/>
    <n v="16003.926330140981"/>
    <n v="0"/>
    <m/>
    <n v="1440.8799999999992"/>
    <m/>
    <n v="0.2687156151507803"/>
    <m/>
  </r>
  <r>
    <x v="3"/>
    <s v="Purchase"/>
    <x v="22"/>
    <x v="2"/>
    <x v="1"/>
    <x v="17"/>
    <n v="1297.27"/>
    <x v="2"/>
    <n v="8"/>
    <n v="162.15875"/>
    <n v="1"/>
    <n v="1297.27"/>
    <n v="21.838799999999999"/>
    <n v="28330.820076"/>
    <n v="106.74299999999999"/>
    <n v="120.809"/>
    <n v="1.1316999999999999"/>
    <n v="32061.989080009196"/>
    <n v="4007.7486350011495"/>
    <m/>
    <n v="8"/>
    <s v="Sale"/>
    <x v="9"/>
    <x v="1"/>
    <n v="1511.77"/>
    <n v="1"/>
    <n v="1511.77"/>
    <n v="19.9663"/>
    <n v="30184.453351"/>
    <n v="32061.989080009196"/>
    <n v="-1877.5357290091961"/>
    <n v="1.9479452054794522"/>
    <n v="1"/>
    <n v="-1877.5357290091961"/>
    <n v="0"/>
    <m/>
    <n v="214.5"/>
    <m/>
    <n v="0.1653472291812807"/>
    <m/>
  </r>
  <r>
    <x v="3"/>
    <s v="Purchase"/>
    <x v="23"/>
    <x v="2"/>
    <x v="1"/>
    <x v="16"/>
    <n v="8182.61"/>
    <x v="2"/>
    <n v="94"/>
    <n v="87.049042553191484"/>
    <n v="1"/>
    <n v="8182.61"/>
    <n v="24.0487"/>
    <n v="196781.133107"/>
    <n v="106.16200000000001"/>
    <n v="117.30800000000001"/>
    <n v="1.1049"/>
    <n v="217423.47396992429"/>
    <n v="2313.0156805311094"/>
    <m/>
    <n v="94"/>
    <s v="Sale"/>
    <x v="15"/>
    <x v="1"/>
    <n v="14163.22"/>
    <n v="1"/>
    <n v="14163.22"/>
    <n v="20.3002"/>
    <n v="287516.19864399999"/>
    <n v="217423.47396992429"/>
    <n v="70092.724674075696"/>
    <n v="1.6849315068493151"/>
    <n v="1"/>
    <n v="70092.724674075696"/>
    <n v="0"/>
    <m/>
    <n v="5980.61"/>
    <m/>
    <n v="0.7308927102721503"/>
    <m/>
  </r>
  <r>
    <x v="3"/>
    <s v="Purchase"/>
    <x v="23"/>
    <x v="2"/>
    <x v="1"/>
    <x v="19"/>
    <n v="5154.7299999999996"/>
    <x v="2"/>
    <n v="54"/>
    <n v="95.457962962962952"/>
    <n v="1"/>
    <n v="5154.7299999999996"/>
    <n v="22.367799999999999"/>
    <n v="115299.96969399998"/>
    <n v="108.114"/>
    <n v="117.30800000000001"/>
    <n v="1.085"/>
    <n v="125100.46711798997"/>
    <n v="2316.6753169998142"/>
    <m/>
    <n v="54"/>
    <s v="Sale"/>
    <x v="15"/>
    <x v="1"/>
    <n v="8136.32"/>
    <n v="1"/>
    <n v="8136.32"/>
    <n v="20.3002"/>
    <n v="165168.92326399998"/>
    <n v="125100.46711798996"/>
    <n v="40068.456146010023"/>
    <n v="1.3095890410958904"/>
    <n v="1"/>
    <n v="40068.456146010023"/>
    <n v="0"/>
    <m/>
    <n v="2981.59"/>
    <m/>
    <n v="0.57841826827011311"/>
    <m/>
  </r>
  <r>
    <x v="3"/>
    <s v="Purchase"/>
    <x v="24"/>
    <x v="2"/>
    <x v="1"/>
    <x v="16"/>
    <n v="11377.11"/>
    <x v="2"/>
    <n v="32"/>
    <n v="355.53468750000002"/>
    <n v="1"/>
    <n v="11377.11"/>
    <n v="24.0487"/>
    <n v="273604.70525699999"/>
    <n v="106.16200000000001"/>
    <n v="118.002"/>
    <n v="1.1114999999999999"/>
    <n v="304111.62989315548"/>
    <n v="9503.4884341611087"/>
    <m/>
    <n v="32"/>
    <s v="Sale"/>
    <x v="14"/>
    <x v="1"/>
    <n v="12284.15"/>
    <n v="1"/>
    <n v="12284.15"/>
    <n v="20.411000000000001"/>
    <n v="250731.78565000001"/>
    <n v="304111.62989315548"/>
    <n v="-53379.844243155472"/>
    <n v="1.7616438356164383"/>
    <n v="1"/>
    <n v="-53379.844243155472"/>
    <n v="0"/>
    <m/>
    <n v="907.03999999999905"/>
    <m/>
    <n v="7.9724991671874398E-2"/>
    <m/>
  </r>
  <r>
    <x v="3"/>
    <s v="Purchase"/>
    <x v="25"/>
    <x v="2"/>
    <x v="1"/>
    <x v="25"/>
    <n v="6351.15"/>
    <x v="2"/>
    <n v="65"/>
    <n v="97.71"/>
    <n v="1"/>
    <n v="6351.15"/>
    <n v="18.5899"/>
    <n v="118067.24338499999"/>
    <n v="100.492"/>
    <n v="120.809"/>
    <n v="1.2020999999999999"/>
    <n v="141928.63327310848"/>
    <n v="2183.5174349708996"/>
    <m/>
    <n v="65"/>
    <s v="Sale"/>
    <x v="9"/>
    <x v="1"/>
    <n v="11899.01"/>
    <n v="1"/>
    <n v="11899.01"/>
    <n v="19.9663"/>
    <n v="237579.20336300001"/>
    <n v="141928.63327310848"/>
    <n v="95650.570089891524"/>
    <n v="3.7972602739726029"/>
    <n v="1"/>
    <n v="95650.570089891524"/>
    <n v="0"/>
    <m/>
    <n v="5547.8600000000006"/>
    <m/>
    <n v="0.87352054352361397"/>
    <m/>
  </r>
  <r>
    <x v="3"/>
    <s v="Purchase"/>
    <x v="26"/>
    <x v="2"/>
    <x v="1"/>
    <x v="26"/>
    <n v="22978.75"/>
    <x v="2"/>
    <n v="138"/>
    <n v="166.51268115942028"/>
    <n v="1"/>
    <n v="22978.75"/>
    <n v="19.162299999999998"/>
    <n v="440325.70112499996"/>
    <n v="103.07899999999999"/>
    <n v="118.002"/>
    <n v="1.1447000000000001"/>
    <n v="504040.83007778745"/>
    <n v="3652.4697831723729"/>
    <m/>
    <n v="138"/>
    <s v="Sale"/>
    <x v="18"/>
    <x v="1"/>
    <n v="30081.54"/>
    <n v="1"/>
    <n v="30081.54"/>
    <n v="20.4148"/>
    <n v="614108.62279199995"/>
    <n v="504040.83007778745"/>
    <n v="110067.7927142125"/>
    <n v="3.0383561643835617"/>
    <n v="1"/>
    <n v="110067.7927142125"/>
    <n v="0"/>
    <m/>
    <n v="7102.7900000000009"/>
    <m/>
    <n v="0.30910254039057827"/>
    <m/>
  </r>
  <r>
    <x v="3"/>
    <s v="Purchase"/>
    <x v="26"/>
    <x v="2"/>
    <x v="1"/>
    <x v="27"/>
    <n v="30839.54"/>
    <x v="2"/>
    <n v="167"/>
    <n v="184.66790419161677"/>
    <n v="1"/>
    <n v="30839.54"/>
    <n v="19.145399999999999"/>
    <n v="590435.32911599998"/>
    <n v="103.233"/>
    <n v="118.002"/>
    <n v="1.143"/>
    <n v="674867.58117958799"/>
    <n v="4041.1232405963351"/>
    <m/>
    <n v="167"/>
    <s v="Sale"/>
    <x v="18"/>
    <x v="1"/>
    <n v="36403.03"/>
    <n v="1"/>
    <n v="36403.03"/>
    <n v="20.4148"/>
    <n v="743160.57684399991"/>
    <n v="674867.58117958799"/>
    <n v="68292.995664411923"/>
    <n v="2.7397260273972601"/>
    <n v="1"/>
    <n v="68292.995664411923"/>
    <n v="0"/>
    <m/>
    <n v="5563.489999999998"/>
    <m/>
    <n v="0.18040119923967732"/>
    <m/>
  </r>
  <r>
    <x v="3"/>
    <s v="Purchase"/>
    <x v="26"/>
    <x v="2"/>
    <x v="1"/>
    <x v="28"/>
    <n v="11038.85"/>
    <x v="2"/>
    <n v="55"/>
    <n v="200.70636363636365"/>
    <n v="1"/>
    <n v="11038.85"/>
    <n v="19.119700000000002"/>
    <n v="211059.50034500004"/>
    <n v="106.889"/>
    <n v="118.002"/>
    <n v="1.1039000000000001"/>
    <n v="232988.58243084556"/>
    <n v="4236.1560441971924"/>
    <m/>
    <n v="55"/>
    <s v="Sale"/>
    <x v="18"/>
    <x v="1"/>
    <n v="11989.02"/>
    <n v="1"/>
    <n v="11989.02"/>
    <n v="20.4148"/>
    <n v="244753.445496"/>
    <n v="232988.58243084559"/>
    <n v="11764.863065154408"/>
    <n v="1.9698630136986301"/>
    <n v="1"/>
    <n v="11764.863065154408"/>
    <n v="0"/>
    <m/>
    <n v="950.17000000000007"/>
    <m/>
    <n v="8.6075089343545755E-2"/>
    <m/>
  </r>
  <r>
    <x v="3"/>
    <s v="Purchase"/>
    <x v="27"/>
    <x v="2"/>
    <x v="1"/>
    <x v="16"/>
    <n v="3740.5"/>
    <x v="2"/>
    <n v="100"/>
    <n v="37.405000000000001"/>
    <n v="1"/>
    <n v="3740.5"/>
    <n v="24.0487"/>
    <n v="89954.162349999999"/>
    <n v="106.16200000000001"/>
    <n v="118.98099999999999"/>
    <n v="1.1207"/>
    <n v="100811.629745645"/>
    <n v="1008.11629745645"/>
    <m/>
    <n v="100"/>
    <s v="Sale"/>
    <x v="8"/>
    <x v="1"/>
    <n v="9321.32"/>
    <n v="1"/>
    <n v="9321.32"/>
    <n v="20.558499999999999"/>
    <n v="191632.35721999998"/>
    <n v="100811.629745645"/>
    <n v="90820.727474354979"/>
    <n v="1.8547945205479452"/>
    <n v="1"/>
    <n v="90820.727474354979"/>
    <n v="0"/>
    <m/>
    <n v="5580.82"/>
    <m/>
    <n v="1.4919983959363721"/>
    <m/>
  </r>
  <r>
    <x v="3"/>
    <s v="Purchase"/>
    <x v="27"/>
    <x v="2"/>
    <x v="1"/>
    <x v="16"/>
    <n v="4825.25"/>
    <x v="2"/>
    <n v="129"/>
    <n v="37.405038759689923"/>
    <n v="1"/>
    <n v="4825.25"/>
    <n v="24.0487"/>
    <n v="116040.989675"/>
    <n v="106.16200000000001"/>
    <n v="118.002"/>
    <n v="1.1114999999999999"/>
    <n v="128979.5600237625"/>
    <n v="999.84155057180237"/>
    <m/>
    <n v="129"/>
    <s v="Sale"/>
    <x v="14"/>
    <x v="1"/>
    <n v="13209.71"/>
    <n v="1"/>
    <n v="13209.71"/>
    <n v="20.411000000000001"/>
    <n v="269623.39081000001"/>
    <n v="128979.5600237625"/>
    <n v="140643.83078623749"/>
    <n v="1.7616438356164383"/>
    <n v="1"/>
    <n v="140643.83078623749"/>
    <n v="0"/>
    <m/>
    <n v="8384.4599999999991"/>
    <m/>
    <n v="1.7376218848764311"/>
    <m/>
  </r>
  <r>
    <x v="3"/>
    <s v="Purchase"/>
    <x v="28"/>
    <x v="2"/>
    <x v="1"/>
    <x v="16"/>
    <n v="8121.75"/>
    <x v="2"/>
    <n v="50"/>
    <n v="162.435"/>
    <n v="1"/>
    <n v="8121.75"/>
    <n v="24.0487"/>
    <n v="195317.52922500001"/>
    <n v="106.16200000000001"/>
    <n v="120.15900000000001"/>
    <n v="1.1317999999999999"/>
    <n v="221060.37957685499"/>
    <n v="4421.2075915370997"/>
    <m/>
    <n v="50"/>
    <s v="Sale"/>
    <x v="10"/>
    <x v="1"/>
    <n v="12815.77"/>
    <n v="1"/>
    <n v="12815.77"/>
    <n v="20.299199999999999"/>
    <n v="260149.87838400001"/>
    <n v="221060.37957685499"/>
    <n v="39089.498807145021"/>
    <n v="1.9534246575342467"/>
    <n v="1"/>
    <n v="39089.498807145021"/>
    <n v="0"/>
    <m/>
    <n v="4694.0200000000004"/>
    <m/>
    <n v="0.57795672114999852"/>
    <m/>
  </r>
  <r>
    <x v="3"/>
    <s v="Purchase"/>
    <x v="29"/>
    <x v="2"/>
    <x v="1"/>
    <x v="25"/>
    <n v="2784.9"/>
    <x v="2"/>
    <n v="9"/>
    <n v="309.43333333333334"/>
    <n v="1"/>
    <n v="2784.9"/>
    <n v="18.5899"/>
    <n v="51771.01251"/>
    <n v="100.492"/>
    <n v="120.809"/>
    <n v="1.2020999999999999"/>
    <n v="62233.934138270997"/>
    <n v="6914.8815709189994"/>
    <m/>
    <n v="9"/>
    <s v="Sale"/>
    <x v="19"/>
    <x v="1"/>
    <n v="5187.4799999999996"/>
    <n v="1"/>
    <n v="5187.4799999999996"/>
    <n v="19.9267"/>
    <n v="103369.357716"/>
    <n v="62233.934138270997"/>
    <n v="41135.423577729001"/>
    <n v="3.8054794520547945"/>
    <n v="1"/>
    <n v="41135.423577729001"/>
    <n v="0"/>
    <m/>
    <n v="2402.5799999999995"/>
    <m/>
    <n v="0.86271679413982527"/>
    <m/>
  </r>
  <r>
    <x v="3"/>
    <s v="Purchase"/>
    <x v="29"/>
    <x v="2"/>
    <x v="1"/>
    <x v="25"/>
    <n v="3094.33"/>
    <x v="2"/>
    <n v="10"/>
    <n v="309.43299999999999"/>
    <n v="1"/>
    <n v="3094.33"/>
    <n v="18.5899"/>
    <n v="57523.285266999999"/>
    <n v="100.492"/>
    <n v="120.809"/>
    <n v="1.2020999999999999"/>
    <n v="69148.741219460702"/>
    <n v="6914.8741219460699"/>
    <m/>
    <n v="10"/>
    <s v="Sale"/>
    <x v="9"/>
    <x v="1"/>
    <n v="5745.04"/>
    <n v="1"/>
    <n v="5745.04"/>
    <n v="19.9663"/>
    <n v="114707.192152"/>
    <n v="69148.741219460702"/>
    <n v="45558.450932539301"/>
    <n v="3.7972602739726029"/>
    <n v="1"/>
    <n v="45558.450932539301"/>
    <n v="0"/>
    <m/>
    <n v="2650.71"/>
    <m/>
    <n v="0.85663455416843071"/>
    <m/>
  </r>
  <r>
    <x v="3"/>
    <s v="Purchase"/>
    <x v="29"/>
    <x v="2"/>
    <x v="1"/>
    <x v="25"/>
    <n v="3403.76"/>
    <x v="2"/>
    <n v="11"/>
    <n v="309.43272727272728"/>
    <n v="1"/>
    <n v="3403.76"/>
    <n v="18.5899"/>
    <n v="63275.558024000005"/>
    <n v="100.492"/>
    <n v="118.98099999999999"/>
    <n v="1.1839"/>
    <n v="74911.933144613606"/>
    <n v="6810.1757404194186"/>
    <m/>
    <n v="11"/>
    <s v="Sale"/>
    <x v="11"/>
    <x v="1"/>
    <n v="7633.6"/>
    <n v="1"/>
    <n v="7633.6"/>
    <n v="19.957699999999999"/>
    <n v="152349.09872000001"/>
    <n v="74911.933144613606"/>
    <n v="77437.165575386403"/>
    <n v="3.6547945205479451"/>
    <n v="1"/>
    <n v="77437.165575386403"/>
    <n v="0"/>
    <m/>
    <n v="4229.84"/>
    <m/>
    <n v="1.2426963123134416"/>
    <m/>
  </r>
  <r>
    <x v="3"/>
    <s v="Purchase"/>
    <x v="29"/>
    <x v="2"/>
    <x v="1"/>
    <x v="25"/>
    <n v="2784.9"/>
    <x v="2"/>
    <n v="9"/>
    <n v="309.43333333333334"/>
    <n v="1"/>
    <n v="2784.9"/>
    <n v="18.5899"/>
    <n v="51771.01251"/>
    <n v="100.492"/>
    <n v="118.98099999999999"/>
    <n v="1.1839"/>
    <n v="61291.701710588997"/>
    <n v="6810.1890789543331"/>
    <m/>
    <n v="9"/>
    <s v="Sale"/>
    <x v="12"/>
    <x v="1"/>
    <n v="6223.23"/>
    <n v="1"/>
    <n v="6223.23"/>
    <n v="20.1313"/>
    <n v="125281.71009899999"/>
    <n v="61291.701710588997"/>
    <n v="63990.008388410992"/>
    <n v="3.6520547945205482"/>
    <n v="1"/>
    <n v="63990.008388410992"/>
    <n v="0"/>
    <m/>
    <n v="3438.3299999999995"/>
    <m/>
    <n v="1.2346332004739844"/>
    <m/>
  </r>
  <r>
    <x v="3"/>
    <s v="Purchase"/>
    <x v="29"/>
    <x v="2"/>
    <x v="1"/>
    <x v="25"/>
    <n v="7116.96"/>
    <x v="2"/>
    <n v="23"/>
    <n v="309.43304347826086"/>
    <n v="1"/>
    <n v="7116.96"/>
    <n v="18.5899"/>
    <n v="132303.574704"/>
    <n v="100.492"/>
    <n v="118.98099999999999"/>
    <n v="1.1839"/>
    <n v="156634.20209206559"/>
    <n v="6810.1826996550253"/>
    <m/>
    <n v="23"/>
    <s v="Sale"/>
    <x v="13"/>
    <x v="1"/>
    <n v="15258.35"/>
    <n v="1"/>
    <n v="15258.35"/>
    <n v="20.926200000000001"/>
    <n v="319299.28377000004"/>
    <n v="156634.20209206559"/>
    <n v="162665.08167793445"/>
    <n v="3.5972602739726027"/>
    <n v="1"/>
    <n v="162665.08167793445"/>
    <n v="0"/>
    <m/>
    <n v="8141.39"/>
    <m/>
    <n v="1.1439420763921675"/>
    <m/>
  </r>
  <r>
    <x v="3"/>
    <s v="Purchase"/>
    <x v="29"/>
    <x v="2"/>
    <x v="1"/>
    <x v="25"/>
    <n v="4641.5"/>
    <x v="2"/>
    <n v="15"/>
    <n v="309.43333333333334"/>
    <n v="1"/>
    <n v="4641.5"/>
    <n v="18.5899"/>
    <n v="86285.020850000001"/>
    <n v="100.492"/>
    <n v="118.002"/>
    <n v="1.1741999999999999"/>
    <n v="101315.87148207"/>
    <n v="6754.3914321379998"/>
    <m/>
    <n v="15"/>
    <s v="Sale"/>
    <x v="18"/>
    <x v="1"/>
    <n v="9884.61"/>
    <n v="1"/>
    <n v="9884.61"/>
    <n v="20.4148"/>
    <n v="201792.336228"/>
    <n v="101315.87148207"/>
    <n v="100476.46474593"/>
    <n v="3.536986301369863"/>
    <n v="1"/>
    <n v="100476.46474593"/>
    <n v="0"/>
    <m/>
    <n v="5243.1100000000006"/>
    <m/>
    <n v="1.1296154260476141"/>
    <m/>
  </r>
  <r>
    <x v="3"/>
    <s v="Purchase"/>
    <x v="30"/>
    <x v="2"/>
    <x v="1"/>
    <x v="20"/>
    <n v="4574.3"/>
    <x v="2"/>
    <n v="29"/>
    <n v="157.73448275862069"/>
    <n v="1"/>
    <n v="4574.3"/>
    <n v="19.2456"/>
    <n v="88035.148079999999"/>
    <n v="103.108"/>
    <n v="120.809"/>
    <n v="1.1716"/>
    <n v="103141.979490528"/>
    <n v="3556.6199824320001"/>
    <m/>
    <n v="29"/>
    <s v="Sale"/>
    <x v="19"/>
    <x v="1"/>
    <n v="7589.84"/>
    <n v="1"/>
    <n v="7589.84"/>
    <n v="19.9267"/>
    <n v="151240.46472799999"/>
    <n v="103141.979490528"/>
    <n v="48098.485237471992"/>
    <n v="3.3643835616438356"/>
    <n v="1"/>
    <n v="48098.485237471992"/>
    <n v="0"/>
    <m/>
    <n v="3015.54"/>
    <m/>
    <n v="0.65923529283169002"/>
    <m/>
  </r>
  <r>
    <x v="3"/>
    <s v="Purchase"/>
    <x v="30"/>
    <x v="2"/>
    <x v="1"/>
    <x v="20"/>
    <n v="4416.57"/>
    <x v="2"/>
    <n v="28"/>
    <n v="157.73464285714286"/>
    <n v="1"/>
    <n v="4416.57"/>
    <n v="19.2456"/>
    <n v="84999.539591999986"/>
    <n v="103.108"/>
    <n v="120.809"/>
    <n v="1.1716"/>
    <n v="99585.460585987181"/>
    <n v="3556.6235923566851"/>
    <m/>
    <n v="28"/>
    <s v="Sale"/>
    <x v="9"/>
    <x v="1"/>
    <n v="7218.39"/>
    <n v="1"/>
    <n v="7218.39"/>
    <n v="19.9663"/>
    <n v="144124.54025700002"/>
    <n v="99585.460585987181"/>
    <n v="44539.079671012834"/>
    <n v="3.3561643835616439"/>
    <n v="1"/>
    <n v="44539.079671012834"/>
    <n v="0"/>
    <m/>
    <n v="2801.8200000000006"/>
    <m/>
    <n v="0.63438822434604247"/>
    <m/>
  </r>
  <r>
    <x v="3"/>
    <s v="Purchase"/>
    <x v="30"/>
    <x v="2"/>
    <x v="1"/>
    <x v="20"/>
    <n v="3627.89"/>
    <x v="2"/>
    <n v="23"/>
    <n v="157.73434782608695"/>
    <n v="1"/>
    <n v="3627.89"/>
    <n v="19.2456"/>
    <n v="69820.919783999998"/>
    <n v="103.108"/>
    <n v="118.98099999999999"/>
    <n v="1.1538999999999999"/>
    <n v="80566.359338757597"/>
    <n v="3502.8851886416346"/>
    <m/>
    <n v="23"/>
    <s v="Sale"/>
    <x v="12"/>
    <x v="1"/>
    <n v="6600.99"/>
    <n v="1"/>
    <n v="6600.99"/>
    <n v="20.1313"/>
    <n v="132886.509987"/>
    <n v="80566.359338757597"/>
    <n v="52320.150648242401"/>
    <n v="3.2109589041095892"/>
    <n v="1"/>
    <n v="52320.150648242401"/>
    <n v="0"/>
    <m/>
    <n v="2973.1"/>
    <m/>
    <n v="0.81951216823001805"/>
    <m/>
  </r>
  <r>
    <x v="3"/>
    <s v="Purchase"/>
    <x v="31"/>
    <x v="2"/>
    <x v="1"/>
    <x v="16"/>
    <n v="8129.66"/>
    <x v="2"/>
    <n v="154"/>
    <n v="52.79"/>
    <n v="1"/>
    <n v="8129.66"/>
    <n v="24.0487"/>
    <n v="195507.754442"/>
    <n v="106.16200000000001"/>
    <n v="118.98099999999999"/>
    <n v="1.1207"/>
    <n v="219105.54040314941"/>
    <n v="1422.7632493711001"/>
    <m/>
    <n v="154"/>
    <s v="Sale"/>
    <x v="8"/>
    <x v="1"/>
    <n v="15347.5"/>
    <n v="1"/>
    <n v="15347.5"/>
    <n v="20.558499999999999"/>
    <n v="315521.57874999999"/>
    <n v="219105.54040314941"/>
    <n v="96416.038346850575"/>
    <n v="1.8547945205479452"/>
    <n v="1"/>
    <n v="96416.038346850575"/>
    <n v="0"/>
    <m/>
    <n v="7217.84"/>
    <m/>
    <n v="0.88784032788579104"/>
    <m/>
  </r>
  <r>
    <x v="3"/>
    <s v="Purchase"/>
    <x v="32"/>
    <x v="2"/>
    <x v="1"/>
    <x v="29"/>
    <n v="3131.99"/>
    <x v="2"/>
    <n v="82"/>
    <n v="38.195"/>
    <n v="1"/>
    <n v="3131.99"/>
    <n v="18.524799999999999"/>
    <n v="58019.488351999993"/>
    <n v="99.171374481640001"/>
    <n v="118.98099999999999"/>
    <n v="1.1997"/>
    <n v="69605.980175894394"/>
    <n v="848.85341677919996"/>
    <m/>
    <n v="82"/>
    <s v="Sale"/>
    <x v="13"/>
    <x v="1"/>
    <n v="4857.96"/>
    <n v="1"/>
    <n v="4857.96"/>
    <n v="20.926200000000001"/>
    <n v="101658.642552"/>
    <n v="69605.980175894394"/>
    <n v="32052.662376105611"/>
    <n v="4.0821917808219181"/>
    <n v="1"/>
    <n v="32052.662376105611"/>
    <n v="0"/>
    <m/>
    <n v="1725.9700000000003"/>
    <m/>
    <n v="0.55107774929038733"/>
    <m/>
  </r>
  <r>
    <x v="3"/>
    <s v="Purchase"/>
    <x v="32"/>
    <x v="2"/>
    <x v="1"/>
    <x v="30"/>
    <n v="5633.73"/>
    <x v="2"/>
    <n v="136"/>
    <n v="41.424485294117645"/>
    <n v="1"/>
    <n v="5633.73"/>
    <n v="18.790199999999999"/>
    <n v="105858.91344599999"/>
    <n v="99.492156980588007"/>
    <n v="118.98099999999999"/>
    <n v="1.1958"/>
    <n v="126586.08869872679"/>
    <n v="930.78006396122635"/>
    <m/>
    <n v="136"/>
    <s v="Sale"/>
    <x v="13"/>
    <x v="1"/>
    <n v="8057.1"/>
    <n v="1"/>
    <n v="8057.1"/>
    <n v="20.926200000000001"/>
    <n v="168604.48602000001"/>
    <n v="126586.08869872679"/>
    <n v="42018.397321273223"/>
    <n v="4.021917808219178"/>
    <n v="1"/>
    <n v="42018.397321273223"/>
    <n v="0"/>
    <m/>
    <n v="2423.3700000000008"/>
    <m/>
    <n v="0.43015373473702168"/>
    <m/>
  </r>
  <r>
    <x v="3"/>
    <s v="Purchase"/>
    <x v="32"/>
    <x v="2"/>
    <x v="1"/>
    <x v="30"/>
    <n v="2154.08"/>
    <x v="2"/>
    <n v="52"/>
    <n v="41.424615384615386"/>
    <n v="1"/>
    <n v="2154.08"/>
    <n v="18.790199999999999"/>
    <n v="40475.594015999995"/>
    <n v="99.492156980588007"/>
    <n v="120.809"/>
    <n v="1.2141999999999999"/>
    <n v="49145.466254227191"/>
    <n v="945.10512027359982"/>
    <m/>
    <n v="52"/>
    <s v="Sale"/>
    <x v="9"/>
    <x v="1"/>
    <n v="3003.18"/>
    <n v="1"/>
    <n v="3003.18"/>
    <n v="19.9663"/>
    <n v="59962.392833999998"/>
    <n v="49145.466254227191"/>
    <n v="10816.926579772808"/>
    <n v="4.2219178082191782"/>
    <n v="1"/>
    <n v="10816.926579772808"/>
    <n v="0"/>
    <m/>
    <n v="849.09999999999991"/>
    <m/>
    <n v="0.39418220307509466"/>
    <m/>
  </r>
  <r>
    <x v="3"/>
    <s v="Purchase"/>
    <x v="32"/>
    <x v="2"/>
    <x v="1"/>
    <x v="31"/>
    <n v="336.12"/>
    <x v="2"/>
    <n v="8"/>
    <n v="42.015000000000001"/>
    <n v="1"/>
    <n v="336.12"/>
    <n v="18.861000000000001"/>
    <n v="6339.5593200000003"/>
    <n v="99.492156980588007"/>
    <n v="120.809"/>
    <n v="1.2141999999999999"/>
    <n v="7697.4929263439999"/>
    <n v="962.18661579299999"/>
    <m/>
    <n v="8"/>
    <s v="Sale"/>
    <x v="9"/>
    <x v="1"/>
    <n v="462.03"/>
    <n v="1"/>
    <n v="462.03"/>
    <n v="19.9663"/>
    <n v="9225.0295889999998"/>
    <n v="7697.4929263439999"/>
    <n v="1527.5366626559999"/>
    <n v="4.2109589041095887"/>
    <n v="1"/>
    <n v="1527.5366626559999"/>
    <n v="0"/>
    <m/>
    <n v="125.90999999999997"/>
    <m/>
    <n v="0.37459835772938227"/>
    <m/>
  </r>
  <r>
    <x v="3"/>
    <s v="Purchase"/>
    <x v="32"/>
    <x v="2"/>
    <x v="1"/>
    <x v="25"/>
    <n v="6446.51"/>
    <x v="2"/>
    <n v="133"/>
    <n v="48.47"/>
    <n v="1"/>
    <n v="6446.51"/>
    <n v="18.5899"/>
    <n v="119839.976249"/>
    <n v="100.492"/>
    <n v="120.809"/>
    <n v="1.2020999999999999"/>
    <n v="144059.6354489229"/>
    <n v="1083.1551537513001"/>
    <m/>
    <n v="133"/>
    <s v="Sale"/>
    <x v="9"/>
    <x v="1"/>
    <n v="7681.21"/>
    <n v="1"/>
    <n v="7681.21"/>
    <n v="19.9663"/>
    <n v="153365.343223"/>
    <n v="144059.6354489229"/>
    <n v="9305.7077740771056"/>
    <n v="3.7972602739726029"/>
    <n v="1"/>
    <n v="9305.7077740771056"/>
    <n v="0"/>
    <m/>
    <n v="1234.6999999999998"/>
    <m/>
    <n v="0.19152999064610149"/>
    <m/>
  </r>
  <r>
    <x v="3"/>
    <s v="Purchase"/>
    <x v="33"/>
    <x v="2"/>
    <x v="1"/>
    <x v="16"/>
    <n v="5169.25"/>
    <x v="2"/>
    <n v="58"/>
    <n v="89.125"/>
    <n v="1"/>
    <n v="5169.25"/>
    <n v="24.0487"/>
    <n v="124313.74247500001"/>
    <n v="106.16200000000001"/>
    <n v="120.15900000000001"/>
    <n v="1.1317999999999999"/>
    <n v="140698.29373320501"/>
    <n v="2425.8326505724999"/>
    <m/>
    <n v="58"/>
    <s v="Sale"/>
    <x v="10"/>
    <x v="1"/>
    <n v="10041.99"/>
    <n v="1"/>
    <n v="10041.99"/>
    <n v="20.299199999999999"/>
    <n v="203844.36340799998"/>
    <n v="140698.29373320501"/>
    <n v="63146.06967479497"/>
    <n v="1.9534246575342467"/>
    <n v="1"/>
    <n v="63146.06967479497"/>
    <n v="0"/>
    <m/>
    <n v="4872.74"/>
    <m/>
    <n v="0.9426396479179765"/>
    <m/>
  </r>
  <r>
    <x v="3"/>
    <s v="Purchase"/>
    <x v="33"/>
    <x v="2"/>
    <x v="1"/>
    <x v="32"/>
    <n v="932.51"/>
    <x v="2"/>
    <n v="9"/>
    <n v="103.61222222222221"/>
    <n v="1"/>
    <n v="932.51"/>
    <n v="22.7928"/>
    <n v="21254.513928"/>
    <n v="106.16200000000001"/>
    <n v="120.15900000000001"/>
    <n v="1.1317999999999999"/>
    <n v="24055.8588637104"/>
    <n v="2672.8732070789333"/>
    <m/>
    <n v="9"/>
    <s v="Sale"/>
    <x v="10"/>
    <x v="1"/>
    <n v="1558.24"/>
    <n v="1"/>
    <n v="1558.24"/>
    <n v="20.299199999999999"/>
    <n v="31631.025407999998"/>
    <n v="24055.8588637104"/>
    <n v="7575.1665442895974"/>
    <n v="1.9205479452054794"/>
    <n v="1"/>
    <n v="7575.1665442895974"/>
    <n v="0"/>
    <m/>
    <n v="625.73"/>
    <m/>
    <n v="0.67101693279428642"/>
    <m/>
  </r>
  <r>
    <x v="3"/>
    <s v="Purchase"/>
    <x v="34"/>
    <x v="2"/>
    <x v="1"/>
    <x v="33"/>
    <n v="12393.98"/>
    <x v="2"/>
    <n v="55"/>
    <n v="225.34509090909091"/>
    <n v="1"/>
    <n v="12393.98"/>
    <n v="19.886500000000002"/>
    <n v="246472.88327000002"/>
    <n v="112.19"/>
    <n v="118.98099999999999"/>
    <n v="1.0605"/>
    <n v="261384.49270783502"/>
    <n v="4752.4453219606366"/>
    <m/>
    <n v="55"/>
    <s v="Sale"/>
    <x v="13"/>
    <x v="1"/>
    <n v="14176.7"/>
    <n v="1"/>
    <n v="14176.7"/>
    <n v="20.926200000000001"/>
    <n v="296664.45954000001"/>
    <n v="261384.49270783502"/>
    <n v="35279.966832164995"/>
    <n v="0.86575342465753424"/>
    <n v="1"/>
    <n v="35279.966832164995"/>
    <n v="0"/>
    <m/>
    <n v="1782.7200000000012"/>
    <m/>
    <n v="0.14383757275709669"/>
    <m/>
  </r>
  <r>
    <x v="3"/>
    <s v="Purchase"/>
    <x v="34"/>
    <x v="2"/>
    <x v="1"/>
    <x v="34"/>
    <n v="9474.8700000000008"/>
    <x v="2"/>
    <n v="42"/>
    <n v="225.59214285714287"/>
    <n v="1"/>
    <n v="9474.8700000000008"/>
    <n v="19.869499999999999"/>
    <n v="188260.92946499999"/>
    <n v="112.19"/>
    <n v="118.98099999999999"/>
    <n v="1.0605"/>
    <n v="199650.71569763249"/>
    <n v="4753.58846899125"/>
    <m/>
    <n v="42"/>
    <s v="Sale"/>
    <x v="13"/>
    <x v="1"/>
    <n v="10825.85"/>
    <n v="1"/>
    <n v="10825.85"/>
    <n v="20.926200000000001"/>
    <n v="226543.90227000002"/>
    <n v="199650.71569763249"/>
    <n v="26893.186572367529"/>
    <n v="0.86301369863013699"/>
    <n v="1"/>
    <n v="26893.186572367529"/>
    <n v="0"/>
    <m/>
    <n v="1350.9799999999996"/>
    <m/>
    <n v="0.14258559748049307"/>
    <m/>
  </r>
  <r>
    <x v="3"/>
    <s v="Purchase"/>
    <x v="34"/>
    <x v="2"/>
    <x v="1"/>
    <x v="34"/>
    <n v="5865.4"/>
    <x v="2"/>
    <n v="26"/>
    <n v="225.59230769230768"/>
    <n v="1"/>
    <n v="5865.4"/>
    <n v="19.869499999999999"/>
    <n v="116542.56529999999"/>
    <n v="112.19"/>
    <n v="120.809"/>
    <n v="1.0768"/>
    <n v="125493.03431503999"/>
    <n v="4826.6551659630768"/>
    <m/>
    <n v="26"/>
    <s v="Sale"/>
    <x v="9"/>
    <x v="1"/>
    <n v="5549.54"/>
    <n v="1"/>
    <n v="5549.54"/>
    <n v="19.9663"/>
    <n v="110803.78050199999"/>
    <n v="125493.03431504"/>
    <n v="-14689.253813040006"/>
    <n v="1.0630136986301371"/>
    <n v="1"/>
    <n v="-14689.253813040006"/>
    <n v="0"/>
    <m/>
    <n v="-315.85999999999967"/>
    <m/>
    <n v="-5.3851399734033432E-2"/>
    <m/>
  </r>
  <r>
    <x v="3"/>
    <s v="Purchase"/>
    <x v="34"/>
    <x v="2"/>
    <x v="1"/>
    <x v="35"/>
    <n v="5661.6"/>
    <x v="2"/>
    <n v="25"/>
    <n v="226.46400000000003"/>
    <n v="1"/>
    <n v="5661.6"/>
    <n v="19.836200000000002"/>
    <n v="112304.62992000002"/>
    <n v="112.19"/>
    <n v="120.809"/>
    <n v="1.0768"/>
    <n v="120929.62549785602"/>
    <n v="4837.1850199142409"/>
    <m/>
    <n v="25"/>
    <s v="Sale"/>
    <x v="9"/>
    <x v="1"/>
    <n v="5336.09"/>
    <n v="1"/>
    <n v="5336.09"/>
    <n v="19.9663"/>
    <n v="106541.973767"/>
    <n v="120929.62549785602"/>
    <n v="-14387.651730856014"/>
    <n v="1.0602739726027397"/>
    <n v="1"/>
    <n v="-14387.651730856014"/>
    <n v="0"/>
    <m/>
    <n v="-325.51000000000022"/>
    <m/>
    <n v="-5.7494347887522994E-2"/>
    <m/>
  </r>
  <r>
    <x v="3"/>
    <s v="Purchase"/>
    <x v="35"/>
    <x v="2"/>
    <x v="1"/>
    <x v="36"/>
    <n v="11294.47"/>
    <x v="2"/>
    <n v="57"/>
    <n v="198.14859649122806"/>
    <n v="1"/>
    <n v="11294.47"/>
    <n v="20.058800000000002"/>
    <n v="226553.51483600002"/>
    <n v="113.018"/>
    <n v="118.002"/>
    <n v="1.044"/>
    <n v="236521.86948878402"/>
    <n v="4149.5064822593686"/>
    <m/>
    <n v="57"/>
    <s v="Sale"/>
    <x v="20"/>
    <x v="1"/>
    <n v="13064.05"/>
    <n v="1"/>
    <n v="13064.05"/>
    <n v="20.635200000000001"/>
    <n v="269579.28456"/>
    <n v="236521.869488784"/>
    <n v="33057.415071216004"/>
    <n v="0.62739726027397258"/>
    <n v="1"/>
    <n v="33057.415071216004"/>
    <n v="0"/>
    <m/>
    <n v="1769.58"/>
    <m/>
    <n v="0.15667667451416489"/>
    <m/>
  </r>
  <r>
    <x v="3"/>
    <s v="Purchase"/>
    <x v="36"/>
    <x v="2"/>
    <x v="1"/>
    <x v="25"/>
    <n v="11502"/>
    <x v="2"/>
    <n v="45"/>
    <n v="255.6"/>
    <n v="1"/>
    <n v="11502"/>
    <n v="18.5899"/>
    <n v="213821.02979999999"/>
    <n v="100.492"/>
    <n v="118.98099999999999"/>
    <n v="1.1839"/>
    <n v="253142.71718021997"/>
    <n v="5625.3937151159998"/>
    <m/>
    <n v="45"/>
    <s v="Sale"/>
    <x v="12"/>
    <x v="1"/>
    <n v="22989.07"/>
    <n v="1"/>
    <n v="22989.07"/>
    <n v="20.1313"/>
    <n v="462799.86489099998"/>
    <n v="253142.71718022"/>
    <n v="209657.14771077997"/>
    <n v="3.6520547945205482"/>
    <n v="1"/>
    <n v="209657.14771077997"/>
    <n v="0"/>
    <m/>
    <n v="11487.07"/>
    <m/>
    <n v="0.99870196487567375"/>
    <m/>
  </r>
  <r>
    <x v="3"/>
    <s v="Purchase"/>
    <x v="36"/>
    <x v="2"/>
    <x v="1"/>
    <x v="25"/>
    <n v="7156.8"/>
    <x v="2"/>
    <n v="28"/>
    <n v="255.6"/>
    <n v="1"/>
    <n v="7156.8"/>
    <n v="18.5899"/>
    <n v="133044.19632000002"/>
    <n v="100.492"/>
    <n v="118.98099999999999"/>
    <n v="1.1839"/>
    <n v="157511.02402324803"/>
    <n v="5625.3937151160007"/>
    <m/>
    <n v="28"/>
    <s v="Sale"/>
    <x v="13"/>
    <x v="1"/>
    <n v="13355.47"/>
    <n v="1"/>
    <n v="13355.47"/>
    <n v="20.926200000000001"/>
    <n v="279479.23631399998"/>
    <n v="157511.02402324803"/>
    <n v="121968.21229075195"/>
    <n v="3.5972602739726027"/>
    <n v="1"/>
    <n v="121968.21229075195"/>
    <n v="0"/>
    <m/>
    <n v="6198.6699999999992"/>
    <m/>
    <n v="0.86612312765481769"/>
    <m/>
  </r>
  <r>
    <x v="3"/>
    <s v="Purchase"/>
    <x v="36"/>
    <x v="2"/>
    <x v="1"/>
    <x v="37"/>
    <n v="13054.57"/>
    <x v="2"/>
    <n v="50"/>
    <n v="261.09140000000002"/>
    <n v="1"/>
    <n v="13054.57"/>
    <n v="24.038799999999998"/>
    <n v="313816.19731599995"/>
    <n v="105.755"/>
    <n v="118.98099999999999"/>
    <n v="1.125"/>
    <n v="353043.22198049992"/>
    <n v="7060.864439609998"/>
    <m/>
    <n v="50"/>
    <s v="Sale"/>
    <x v="11"/>
    <x v="1"/>
    <n v="25642.39"/>
    <n v="1"/>
    <n v="25642.39"/>
    <n v="19.957699999999999"/>
    <n v="511763.12690299994"/>
    <n v="353043.22198049992"/>
    <n v="158719.90492250002"/>
    <n v="1.9589041095890412"/>
    <n v="1"/>
    <n v="158719.90492250002"/>
    <n v="0"/>
    <m/>
    <n v="12587.82"/>
    <m/>
    <n v="0.96424623714147617"/>
    <m/>
  </r>
  <r>
    <x v="3"/>
    <s v="Purchase"/>
    <x v="36"/>
    <x v="2"/>
    <x v="1"/>
    <x v="37"/>
    <n v="2088.73"/>
    <x v="2"/>
    <n v="8"/>
    <n v="261.09125"/>
    <n v="1"/>
    <n v="2088.73"/>
    <n v="24.038799999999998"/>
    <n v="50210.562723999996"/>
    <n v="105.755"/>
    <n v="118.98099999999999"/>
    <n v="1.125"/>
    <n v="56486.883064499998"/>
    <n v="7060.8603830624997"/>
    <m/>
    <n v="8"/>
    <s v="Sale"/>
    <x v="12"/>
    <x v="1"/>
    <n v="4086.95"/>
    <n v="1"/>
    <n v="4086.95"/>
    <n v="20.1313"/>
    <n v="82275.616534999994"/>
    <n v="56486.883064499998"/>
    <n v="25788.733470499996"/>
    <n v="1.9561643835616438"/>
    <n v="1"/>
    <n v="25788.733470499996"/>
    <n v="0"/>
    <m/>
    <n v="1998.2199999999998"/>
    <m/>
    <n v="0.95666744864104014"/>
    <m/>
  </r>
  <r>
    <x v="3"/>
    <s v="Purchase"/>
    <x v="20"/>
    <x v="2"/>
    <x v="1"/>
    <x v="36"/>
    <n v="473.29"/>
    <x v="2"/>
    <n v="17"/>
    <n v="27.840588235294121"/>
    <n v="1"/>
    <n v="473.29"/>
    <n v="20.058800000000002"/>
    <n v="9493.629452000001"/>
    <n v="113.018"/>
    <n v="120.15900000000001"/>
    <n v="1.0630999999999999"/>
    <n v="10092.6774704212"/>
    <n v="593.68691002477647"/>
    <m/>
    <n v="17"/>
    <s v="Sale"/>
    <x v="17"/>
    <x v="1"/>
    <n v="520.14"/>
    <n v="1"/>
    <n v="520.14"/>
    <n v="19.911200000000001"/>
    <n v="10356.611568"/>
    <n v="10092.6774704212"/>
    <n v="263.93409757879999"/>
    <n v="0.79452054794520544"/>
    <n v="1"/>
    <n v="263.93409757879999"/>
    <n v="0"/>
    <m/>
    <n v="46.849999999999966"/>
    <m/>
    <n v="9.8987935515223155E-2"/>
    <m/>
  </r>
  <r>
    <x v="3"/>
    <s v="Purchase"/>
    <x v="37"/>
    <x v="2"/>
    <x v="1"/>
    <x v="25"/>
    <n v="2480.67"/>
    <x v="2"/>
    <n v="2"/>
    <n v="1240.335"/>
    <n v="1"/>
    <n v="2480.67"/>
    <n v="18.5899"/>
    <n v="46115.407232999998"/>
    <n v="100.492"/>
    <n v="121.02200000000001"/>
    <n v="1.2041999999999999"/>
    <n v="55532.173389978598"/>
    <n v="27766.086694989299"/>
    <m/>
    <n v="2"/>
    <s v="Sale"/>
    <x v="21"/>
    <x v="1"/>
    <n v="4494.8"/>
    <n v="1"/>
    <n v="4494.8"/>
    <n v="19.59"/>
    <n v="88053.131999999998"/>
    <n v="55532.173389978598"/>
    <n v="32520.9586100214"/>
    <n v="3.8547945205479452"/>
    <n v="1"/>
    <n v="32520.9586100214"/>
    <n v="0"/>
    <m/>
    <n v="2014.13"/>
    <m/>
    <n v="0.81192984153474668"/>
    <m/>
  </r>
  <r>
    <x v="3"/>
    <s v="Purchase"/>
    <x v="38"/>
    <x v="2"/>
    <x v="1"/>
    <x v="38"/>
    <n v="4429.75"/>
    <x v="2"/>
    <n v="46"/>
    <n v="96.298913043478265"/>
    <n v="1"/>
    <n v="4429.75"/>
    <n v="18.847999999999999"/>
    <n v="83491.928"/>
    <n v="103.53100000000001"/>
    <n v="121.02200000000001"/>
    <n v="1.1689000000000001"/>
    <n v="97593.7146392"/>
    <n v="2121.6024921565217"/>
    <m/>
    <n v="46"/>
    <s v="Sale"/>
    <x v="21"/>
    <x v="1"/>
    <n v="5083.34"/>
    <n v="1"/>
    <n v="5083.34"/>
    <n v="19.59"/>
    <n v="99582.630600000004"/>
    <n v="97593.7146392"/>
    <n v="1988.9159608000045"/>
    <n v="3.1342465753424658"/>
    <n v="1"/>
    <n v="1988.9159608000045"/>
    <n v="0"/>
    <m/>
    <n v="653.59000000000015"/>
    <m/>
    <n v="0.14754557254924097"/>
    <m/>
  </r>
  <r>
    <x v="3"/>
    <s v="Purchase"/>
    <x v="39"/>
    <x v="2"/>
    <x v="1"/>
    <x v="17"/>
    <n v="5909.84"/>
    <x v="2"/>
    <n v="71"/>
    <n v="83.237183098591558"/>
    <n v="1"/>
    <n v="5909.84"/>
    <n v="21.838799999999999"/>
    <n v="129063.813792"/>
    <n v="106.74299999999999"/>
    <n v="121.02200000000001"/>
    <n v="1.1336999999999999"/>
    <n v="146319.64569599039"/>
    <n v="2060.8400802252168"/>
    <m/>
    <n v="71"/>
    <s v="Sale"/>
    <x v="21"/>
    <x v="1"/>
    <n v="9865.43"/>
    <n v="1"/>
    <n v="9865.43"/>
    <n v="19.59"/>
    <n v="193263.77369999999"/>
    <n v="146319.64569599039"/>
    <n v="46944.128004009603"/>
    <n v="2.0054794520547947"/>
    <n v="1"/>
    <n v="46944.128004009603"/>
    <n v="0"/>
    <m/>
    <n v="3955.59"/>
    <m/>
    <n v="0.66932268893912528"/>
    <m/>
  </r>
  <r>
    <x v="3"/>
    <s v="Purchase"/>
    <x v="40"/>
    <x v="2"/>
    <x v="1"/>
    <x v="16"/>
    <n v="9684.5300000000007"/>
    <x v="2"/>
    <n v="222"/>
    <n v="43.624009009009015"/>
    <n v="1"/>
    <n v="9684.5300000000007"/>
    <n v="24.0487"/>
    <n v="232900.35661100002"/>
    <n v="106.16200000000001"/>
    <n v="121.02200000000001"/>
    <n v="1.1398999999999999"/>
    <n v="265483.11650087888"/>
    <n v="1195.869894148103"/>
    <m/>
    <n v="222"/>
    <s v="Sale"/>
    <x v="22"/>
    <x v="1"/>
    <n v="9631.89"/>
    <n v="1"/>
    <n v="9631.89"/>
    <n v="20.244199999999999"/>
    <n v="194989.90753799997"/>
    <n v="265483.11650087888"/>
    <n v="-70493.208962878911"/>
    <n v="2.106849315068493"/>
    <n v="1"/>
    <n v="-70493.208962878911"/>
    <n v="0"/>
    <m/>
    <n v="-52.640000000001237"/>
    <m/>
    <n v="-5.4354728623899383E-3"/>
    <m/>
  </r>
  <r>
    <x v="3"/>
    <s v="Purchase"/>
    <x v="40"/>
    <x v="2"/>
    <x v="1"/>
    <x v="22"/>
    <n v="6482.32"/>
    <x v="2"/>
    <n v="136"/>
    <n v="47.664117647058823"/>
    <n v="1"/>
    <n v="6482.32"/>
    <n v="22.784500000000001"/>
    <n v="147696.42004"/>
    <n v="107.867"/>
    <n v="121.02200000000001"/>
    <n v="1.1218999999999999"/>
    <n v="165700.61364287598"/>
    <n v="1218.3868650211468"/>
    <m/>
    <n v="136"/>
    <s v="Sale"/>
    <x v="22"/>
    <x v="1"/>
    <n v="5900.62"/>
    <n v="1"/>
    <n v="5900.62"/>
    <n v="20.244199999999999"/>
    <n v="119453.331404"/>
    <n v="165700.61364287598"/>
    <n v="-46247.282238875981"/>
    <n v="1.8767123287671232"/>
    <n v="1"/>
    <n v="-46247.282238875981"/>
    <n v="0"/>
    <m/>
    <n v="-581.69999999999982"/>
    <m/>
    <n v="-8.9736390674943517E-2"/>
    <m/>
  </r>
  <r>
    <x v="3"/>
    <s v="Purchase"/>
    <x v="41"/>
    <x v="2"/>
    <x v="1"/>
    <x v="39"/>
    <n v="40998.660000000003"/>
    <x v="2"/>
    <n v="718"/>
    <n v="57.101197771587749"/>
    <n v="1"/>
    <n v="40998.660000000003"/>
    <n v="21.4177"/>
    <n v="878097.00028200005"/>
    <n v="111.824"/>
    <n v="121.02200000000001"/>
    <n v="1.0822000000000001"/>
    <n v="950276.57370518055"/>
    <n v="1323.5049773052654"/>
    <m/>
    <n v="718"/>
    <s v="Sale"/>
    <x v="22"/>
    <x v="1"/>
    <n v="27602.15"/>
    <n v="1"/>
    <n v="27602.15"/>
    <n v="20.244199999999999"/>
    <n v="558783.44503000006"/>
    <n v="950276.57370518055"/>
    <n v="-391493.12867518049"/>
    <n v="1.284931506849315"/>
    <n v="1"/>
    <n v="-391493.12867518049"/>
    <n v="0"/>
    <m/>
    <n v="-13396.510000000002"/>
    <m/>
    <n v="-0.32675482564552111"/>
    <m/>
  </r>
  <r>
    <x v="3"/>
    <s v="Purchase"/>
    <x v="41"/>
    <x v="2"/>
    <x v="1"/>
    <x v="40"/>
    <n v="4744.26"/>
    <x v="2"/>
    <n v="83"/>
    <n v="57.159759036144578"/>
    <n v="1"/>
    <n v="4744.26"/>
    <n v="19.8903"/>
    <n v="94364.754677999998"/>
    <n v="112.419"/>
    <n v="121.02200000000001"/>
    <n v="1.0765"/>
    <n v="101583.65841086699"/>
    <n v="1223.8994989261084"/>
    <m/>
    <n v="83"/>
    <s v="Sale"/>
    <x v="22"/>
    <x v="1"/>
    <n v="3190.78"/>
    <n v="1"/>
    <n v="3190.78"/>
    <n v="20.244199999999999"/>
    <n v="64594.788476000002"/>
    <n v="101583.65841086701"/>
    <n v="-36988.869934867005"/>
    <n v="1.0712328767123287"/>
    <n v="1"/>
    <n v="-36988.869934867005"/>
    <n v="0"/>
    <m/>
    <n v="-1553.48"/>
    <m/>
    <n v="-0.32744411141042018"/>
    <m/>
  </r>
  <r>
    <x v="3"/>
    <s v="Purchase"/>
    <x v="17"/>
    <x v="2"/>
    <x v="1"/>
    <x v="19"/>
    <n v="11254.14"/>
    <x v="2"/>
    <n v="332"/>
    <n v="33.898012048192768"/>
    <n v="1"/>
    <n v="11254.14"/>
    <n v="22.367799999999999"/>
    <n v="251730.35269199999"/>
    <n v="108.114"/>
    <n v="121.02200000000001"/>
    <n v="1.1193"/>
    <n v="281761.78376815555"/>
    <n v="848.68007159082993"/>
    <m/>
    <n v="332"/>
    <s v="Sale"/>
    <x v="22"/>
    <x v="1"/>
    <n v="30718.33"/>
    <n v="1"/>
    <n v="30718.33"/>
    <n v="20.244199999999999"/>
    <n v="621868.01618599996"/>
    <n v="281761.78376815555"/>
    <n v="340106.23241784441"/>
    <n v="1.7315068493150685"/>
    <n v="1"/>
    <n v="340106.23241784441"/>
    <n v="0"/>
    <m/>
    <n v="19464.190000000002"/>
    <m/>
    <n v="1.7295137611581164"/>
    <m/>
  </r>
  <r>
    <x v="3"/>
    <s v="Purchase"/>
    <x v="42"/>
    <x v="1"/>
    <x v="1"/>
    <x v="41"/>
    <n v="29682.77"/>
    <x v="1"/>
    <n v="1827.644"/>
    <n v="16.241002076990924"/>
    <n v="1"/>
    <n v="29682.77"/>
    <n v="18.6797"/>
    <n v="554465.23876900005"/>
    <n v="106.889"/>
    <n v="122.044"/>
    <n v="1.1416999999999999"/>
    <n v="633032.96310256736"/>
    <n v="346.36557398627269"/>
    <m/>
    <n v="1827.644"/>
    <s v="Sale"/>
    <x v="23"/>
    <x v="1"/>
    <n v="31976.46"/>
    <n v="1"/>
    <n v="31976.46"/>
    <n v="19.6128"/>
    <n v="627147.91468799999"/>
    <n v="633032.96310256736"/>
    <n v="-5885.048414567369"/>
    <n v="2.3506849315068492"/>
    <n v="1"/>
    <n v="-5885.048414567369"/>
    <n v="0"/>
    <m/>
    <n v="2293.6899999999987"/>
    <m/>
    <n v="7.7273448535968806E-2"/>
    <m/>
  </r>
  <r>
    <x v="3"/>
    <s v="Purchase"/>
    <x v="43"/>
    <x v="2"/>
    <x v="1"/>
    <x v="42"/>
    <n v="16620.91"/>
    <x v="2"/>
    <n v="79"/>
    <n v="210.39126582278482"/>
    <n v="1"/>
    <n v="16620.91"/>
    <n v="19.101099999999999"/>
    <n v="317477.664001"/>
    <n v="103.29900000000001"/>
    <n v="121.02200000000001"/>
    <n v="1.1715"/>
    <n v="371925.08337717148"/>
    <n v="4707.9124478122976"/>
    <m/>
    <n v="79"/>
    <s v="Sale"/>
    <x v="24"/>
    <x v="1"/>
    <n v="21321.77"/>
    <n v="1"/>
    <n v="21321.77"/>
    <n v="20.475999999999999"/>
    <n v="436584.56251999998"/>
    <n v="371925.08337717154"/>
    <n v="64659.479142828437"/>
    <n v="3.0054794520547947"/>
    <n v="1"/>
    <n v="64659.479142828437"/>
    <n v="0"/>
    <m/>
    <n v="4700.8600000000006"/>
    <m/>
    <n v="0.28282807620040062"/>
    <m/>
  </r>
  <r>
    <x v="3"/>
    <s v="Purchase"/>
    <x v="44"/>
    <x v="2"/>
    <x v="1"/>
    <x v="25"/>
    <n v="6753.03"/>
    <x v="2"/>
    <n v="93"/>
    <n v="72.613225806451609"/>
    <n v="1"/>
    <n v="6753.03"/>
    <n v="18.5899"/>
    <n v="125538.152397"/>
    <n v="100.492"/>
    <n v="121.02200000000001"/>
    <n v="1.2041999999999999"/>
    <n v="151173.04311646739"/>
    <n v="1625.516592650187"/>
    <m/>
    <n v="93"/>
    <s v="Sale"/>
    <x v="25"/>
    <x v="1"/>
    <n v="9469.68"/>
    <n v="1"/>
    <n v="9469.68"/>
    <n v="19.738800000000001"/>
    <n v="186920.11958400003"/>
    <n v="151173.04311646739"/>
    <n v="35747.076467532635"/>
    <n v="3.8356164383561642"/>
    <n v="1"/>
    <n v="35747.076467532635"/>
    <n v="0"/>
    <m/>
    <n v="2716.6500000000005"/>
    <m/>
    <n v="0.40228608491299472"/>
    <m/>
  </r>
  <r>
    <x v="3"/>
    <s v="Purchase"/>
    <x v="45"/>
    <x v="2"/>
    <x v="1"/>
    <x v="43"/>
    <n v="810.03"/>
    <x v="2"/>
    <n v="13"/>
    <n v="62.309999999999995"/>
    <n v="1"/>
    <n v="810.03"/>
    <n v="18.517800000000001"/>
    <n v="14999.973534000001"/>
    <n v="98.794999699501005"/>
    <n v="121.02200000000001"/>
    <n v="1.2249000000000001"/>
    <n v="18373.467581796602"/>
    <n v="1413.3436601382002"/>
    <m/>
    <n v="13"/>
    <s v="Sale"/>
    <x v="26"/>
    <x v="1"/>
    <n v="681.44"/>
    <n v="1"/>
    <n v="681.44"/>
    <n v="19.574200000000001"/>
    <n v="13338.642848000001"/>
    <n v="18373.467581796602"/>
    <n v="-5034.8247337966004"/>
    <n v="4.3643835616438356"/>
    <n v="1"/>
    <n v="-5034.8247337966004"/>
    <n v="0"/>
    <m/>
    <n v="-128.58999999999992"/>
    <m/>
    <n v="-0.15874720689357175"/>
    <m/>
  </r>
  <r>
    <x v="3"/>
    <s v="Purchase"/>
    <x v="24"/>
    <x v="2"/>
    <x v="1"/>
    <x v="16"/>
    <n v="12443.72"/>
    <x v="2"/>
    <n v="35"/>
    <n v="355.53485714285711"/>
    <n v="1"/>
    <n v="12443.72"/>
    <n v="24.0487"/>
    <n v="299255.28916399996"/>
    <n v="106.16200000000001"/>
    <n v="121.02200000000001"/>
    <n v="1.1398999999999999"/>
    <n v="341121.1041180435"/>
    <n v="9746.3172605155287"/>
    <m/>
    <n v="35"/>
    <s v="Sale"/>
    <x v="22"/>
    <x v="1"/>
    <n v="14486.23"/>
    <n v="1"/>
    <n v="14486.23"/>
    <n v="20.244199999999999"/>
    <n v="293262.13736599998"/>
    <n v="341121.1041180435"/>
    <n v="-47858.966752043518"/>
    <n v="2.106849315068493"/>
    <n v="1"/>
    <n v="-47858.966752043518"/>
    <n v="0"/>
    <m/>
    <n v="2042.5100000000002"/>
    <m/>
    <n v="0.16413982313970424"/>
    <m/>
  </r>
  <r>
    <x v="3"/>
    <s v="Purchase"/>
    <x v="24"/>
    <x v="2"/>
    <x v="1"/>
    <x v="19"/>
    <n v="1181.1199999999999"/>
    <x v="2"/>
    <n v="3"/>
    <n v="393.70666666666665"/>
    <n v="1"/>
    <n v="1181.1199999999999"/>
    <n v="22.367799999999999"/>
    <n v="26419.055935999997"/>
    <n v="108.114"/>
    <n v="121.02200000000001"/>
    <n v="1.1193"/>
    <n v="29570.849309164794"/>
    <n v="9856.9497697215975"/>
    <m/>
    <n v="3"/>
    <s v="Sale"/>
    <x v="22"/>
    <x v="1"/>
    <n v="1241.68"/>
    <n v="1"/>
    <n v="1241.68"/>
    <n v="20.244199999999999"/>
    <n v="25136.818255999999"/>
    <n v="29570.849309164791"/>
    <n v="-4434.031053164792"/>
    <n v="1.7315068493150685"/>
    <n v="1"/>
    <n v="-4434.031053164792"/>
    <n v="0"/>
    <m/>
    <n v="60.560000000000173"/>
    <m/>
    <n v="5.1273367651043227E-2"/>
    <m/>
  </r>
  <r>
    <x v="3"/>
    <s v="Purchase"/>
    <x v="25"/>
    <x v="2"/>
    <x v="1"/>
    <x v="25"/>
    <n v="12311.46"/>
    <x v="2"/>
    <n v="126"/>
    <n v="97.71"/>
    <n v="1"/>
    <n v="12311.46"/>
    <n v="18.5899"/>
    <n v="228868.81025399998"/>
    <n v="100.492"/>
    <n v="121.02200000000001"/>
    <n v="1.2041999999999999"/>
    <n v="275603.82130786678"/>
    <n v="2187.3319151418"/>
    <m/>
    <n v="126"/>
    <s v="Sale"/>
    <x v="24"/>
    <x v="1"/>
    <n v="21786.880000000001"/>
    <n v="1"/>
    <n v="21786.880000000001"/>
    <n v="20.475999999999999"/>
    <n v="446108.15487999999"/>
    <n v="275603.82130786678"/>
    <n v="170504.33357213321"/>
    <n v="3.8849315068493149"/>
    <n v="1"/>
    <n v="170504.33357213321"/>
    <n v="0"/>
    <m/>
    <n v="9475.4200000000019"/>
    <m/>
    <n v="0.76964226826062887"/>
    <m/>
  </r>
  <r>
    <x v="3"/>
    <s v="Purchase"/>
    <x v="26"/>
    <x v="2"/>
    <x v="1"/>
    <x v="28"/>
    <n v="23482.63"/>
    <x v="2"/>
    <n v="117"/>
    <n v="200.70623931623933"/>
    <n v="1"/>
    <n v="23482.63"/>
    <n v="19.119700000000002"/>
    <n v="448980.84081100003"/>
    <n v="106.889"/>
    <n v="121.02200000000001"/>
    <n v="1.1322000000000001"/>
    <n v="508336.1079662143"/>
    <n v="4344.7530595402932"/>
    <m/>
    <n v="117"/>
    <s v="Sale"/>
    <x v="24"/>
    <x v="1"/>
    <n v="18695.82"/>
    <n v="1"/>
    <n v="18695.82"/>
    <n v="20.475999999999999"/>
    <n v="382815.61031999998"/>
    <n v="508336.1079662143"/>
    <n v="-125520.49764621432"/>
    <n v="2.3178082191780822"/>
    <n v="1"/>
    <n v="-125520.49764621432"/>
    <n v="0"/>
    <m/>
    <n v="-4786.8100000000013"/>
    <m/>
    <n v="-0.20384471415680447"/>
    <m/>
  </r>
  <r>
    <x v="3"/>
    <s v="Purchase"/>
    <x v="26"/>
    <x v="2"/>
    <x v="1"/>
    <x v="44"/>
    <n v="8869.98"/>
    <x v="2"/>
    <n v="58"/>
    <n v="152.93068965517242"/>
    <n v="1"/>
    <n v="8869.98"/>
    <n v="22.151800000000001"/>
    <n v="196486.022964"/>
    <n v="106.83799999999999"/>
    <n v="121.02200000000001"/>
    <n v="1.1327"/>
    <n v="222559.71821132282"/>
    <n v="3837.236520884876"/>
    <m/>
    <n v="58"/>
    <s v="Sale"/>
    <x v="24"/>
    <x v="1"/>
    <n v="9268.01"/>
    <n v="1"/>
    <n v="9268.01"/>
    <n v="20.475999999999999"/>
    <n v="189771.77275999999"/>
    <n v="222559.71821132282"/>
    <n v="-32787.945451322827"/>
    <n v="2.2657534246575342"/>
    <n v="1"/>
    <n v="-32787.945451322827"/>
    <n v="0"/>
    <m/>
    <n v="398.03000000000065"/>
    <m/>
    <n v="4.487383286095354E-2"/>
    <m/>
  </r>
  <r>
    <x v="3"/>
    <s v="Purchase"/>
    <x v="26"/>
    <x v="2"/>
    <x v="1"/>
    <x v="45"/>
    <n v="3855.71"/>
    <x v="2"/>
    <n v="26"/>
    <n v="148.29653846153846"/>
    <n v="1"/>
    <n v="3855.71"/>
    <n v="22.151800000000001"/>
    <n v="85410.916778000013"/>
    <n v="106.83799999999999"/>
    <n v="121.02200000000001"/>
    <n v="1.1327"/>
    <n v="96744.945434440626"/>
    <n v="3720.9594397861779"/>
    <m/>
    <n v="26"/>
    <s v="Sale"/>
    <x v="24"/>
    <x v="1"/>
    <n v="4154.63"/>
    <n v="1"/>
    <n v="4154.63"/>
    <n v="20.475999999999999"/>
    <n v="85070.203880000001"/>
    <n v="96744.945434440626"/>
    <n v="-11674.741554440625"/>
    <n v="2.2630136986301368"/>
    <n v="1"/>
    <n v="-11674.741554440625"/>
    <n v="0"/>
    <m/>
    <n v="298.92000000000007"/>
    <m/>
    <n v="7.752657746562891E-2"/>
    <m/>
  </r>
  <r>
    <x v="3"/>
    <s v="Purchase"/>
    <x v="26"/>
    <x v="2"/>
    <x v="1"/>
    <x v="46"/>
    <n v="35509.08"/>
    <x v="2"/>
    <n v="175"/>
    <n v="202.90902857142859"/>
    <n v="1"/>
    <n v="35509.08"/>
    <n v="23.869299999999999"/>
    <n v="847576.88324400003"/>
    <n v="106.16200000000001"/>
    <n v="121.02200000000001"/>
    <n v="1.1398999999999999"/>
    <n v="966152.88920983556"/>
    <n v="5520.8736526276316"/>
    <m/>
    <n v="175"/>
    <s v="Sale"/>
    <x v="24"/>
    <x v="1"/>
    <n v="27963.84"/>
    <n v="1"/>
    <n v="27963.84"/>
    <n v="20.475999999999999"/>
    <n v="572587.58783999993"/>
    <n v="966152.88920983556"/>
    <n v="-393565.30136983562"/>
    <n v="2.106849315068493"/>
    <n v="1"/>
    <n v="-393565.30136983562"/>
    <n v="0"/>
    <m/>
    <n v="-7545.2400000000016"/>
    <m/>
    <n v="-0.21248762288406237"/>
    <m/>
  </r>
  <r>
    <x v="3"/>
    <s v="Purchase"/>
    <x v="26"/>
    <x v="2"/>
    <x v="1"/>
    <x v="47"/>
    <n v="45342.18"/>
    <x v="2"/>
    <n v="164"/>
    <n v="276.47670731707319"/>
    <n v="1"/>
    <n v="45342.18"/>
    <n v="19.7393"/>
    <n v="895022.89367400005"/>
    <n v="110.21"/>
    <n v="121.02200000000001"/>
    <n v="1.0981000000000001"/>
    <n v="982824.63954341947"/>
    <n v="5992.8331679476796"/>
    <m/>
    <n v="164"/>
    <s v="Sale"/>
    <x v="24"/>
    <x v="1"/>
    <n v="26206.1"/>
    <n v="1"/>
    <n v="26206.1"/>
    <n v="20.475999999999999"/>
    <n v="536596.10359999991"/>
    <n v="982824.63954341947"/>
    <n v="-446228.53594341956"/>
    <n v="1.4027397260273973"/>
    <n v="1"/>
    <n v="-446228.53594341956"/>
    <n v="0"/>
    <m/>
    <n v="-19136.080000000002"/>
    <m/>
    <n v="-0.42203705247520085"/>
    <m/>
  </r>
  <r>
    <x v="3"/>
    <s v="Purchase"/>
    <x v="26"/>
    <x v="2"/>
    <x v="1"/>
    <x v="48"/>
    <n v="2272.58"/>
    <x v="2"/>
    <n v="14"/>
    <n v="162.32714285714286"/>
    <n v="1"/>
    <n v="2272.58"/>
    <n v="20.658300000000001"/>
    <n v="46947.639413999997"/>
    <n v="122.044"/>
    <n v="121.02200000000001"/>
    <n v="1"/>
    <n v="46947.639413999997"/>
    <n v="3353.402815285714"/>
    <m/>
    <n v="14"/>
    <s v="Sale"/>
    <x v="24"/>
    <x v="1"/>
    <n v="2237.11"/>
    <n v="1"/>
    <n v="2237.11"/>
    <n v="20.475999999999999"/>
    <n v="45807.064360000004"/>
    <n v="46947.639413999997"/>
    <n v="-1140.5750539999935"/>
    <n v="1.3698630136986301E-2"/>
    <n v="1"/>
    <n v="-1140.5750539999935"/>
    <n v="0"/>
    <m/>
    <n v="-35.4699999999998"/>
    <m/>
    <n v="-1.5607811386177737E-2"/>
    <m/>
  </r>
  <r>
    <x v="3"/>
    <s v="Purchase"/>
    <x v="46"/>
    <x v="2"/>
    <x v="1"/>
    <x v="25"/>
    <n v="4192.41"/>
    <x v="2"/>
    <n v="39"/>
    <n v="107.4976923076923"/>
    <n v="1"/>
    <n v="4192.41"/>
    <n v="18.5899"/>
    <n v="77936.482659000001"/>
    <n v="100.492"/>
    <n v="121.02200000000001"/>
    <n v="1.2041999999999999"/>
    <n v="93851.112417967801"/>
    <n v="2406.4387799478923"/>
    <m/>
    <n v="39"/>
    <s v="Sale"/>
    <x v="21"/>
    <x v="1"/>
    <n v="9984.61"/>
    <n v="1"/>
    <n v="9984.61"/>
    <n v="19.59"/>
    <n v="195598.5099"/>
    <n v="93851.112417967801"/>
    <n v="101747.3974820322"/>
    <n v="3.8547945205479452"/>
    <n v="1"/>
    <n v="101747.3974820322"/>
    <n v="0"/>
    <m/>
    <n v="5792.2000000000007"/>
    <m/>
    <n v="1.3815919721592118"/>
    <m/>
  </r>
  <r>
    <x v="3"/>
    <s v="Purchase"/>
    <x v="47"/>
    <x v="2"/>
    <x v="1"/>
    <x v="41"/>
    <n v="26199"/>
    <x v="2"/>
    <n v="482.13099999999997"/>
    <n v="54.340003028222625"/>
    <n v="1"/>
    <n v="26199"/>
    <n v="18.6797"/>
    <n v="489389.46030000004"/>
    <n v="106.889"/>
    <n v="121.02200000000001"/>
    <n v="1.1322000000000001"/>
    <n v="554086.74695166014"/>
    <n v="1149.245219559954"/>
    <m/>
    <n v="482.13099999999997"/>
    <s v="Sale"/>
    <x v="23"/>
    <x v="1"/>
    <n v="23214.6"/>
    <n v="1"/>
    <n v="23214.6"/>
    <n v="19.6128"/>
    <n v="455303.30687999999"/>
    <n v="554086.74695166014"/>
    <n v="-98783.440071660152"/>
    <n v="2.3506849315068492"/>
    <n v="1"/>
    <n v="-98783.440071660152"/>
    <n v="0"/>
    <m/>
    <n v="-2984.4000000000015"/>
    <m/>
    <n v="-0.11391274476125049"/>
    <m/>
  </r>
  <r>
    <x v="3"/>
    <s v="Purchase"/>
    <x v="48"/>
    <x v="2"/>
    <x v="1"/>
    <x v="26"/>
    <n v="4222.84"/>
    <x v="2"/>
    <n v="28.428999999999998"/>
    <n v="148.53987125822226"/>
    <n v="1"/>
    <n v="4222.84"/>
    <n v="19.162299999999998"/>
    <n v="80919.326931999996"/>
    <n v="103.07899999999999"/>
    <n v="121.02200000000001"/>
    <n v="1.1739999999999999"/>
    <n v="94999.289818167992"/>
    <n v="3341.633185063421"/>
    <m/>
    <n v="28.428999999999998"/>
    <s v="Sale"/>
    <x v="23"/>
    <x v="1"/>
    <n v="5752.83"/>
    <n v="1"/>
    <n v="5752.83"/>
    <n v="19.6128"/>
    <n v="112829.104224"/>
    <n v="94999.289818167992"/>
    <n v="17829.814405832003"/>
    <n v="3.3643835616438356"/>
    <n v="1"/>
    <n v="17829.814405832003"/>
    <n v="0"/>
    <m/>
    <n v="1529.9899999999998"/>
    <m/>
    <n v="0.3623130405130196"/>
    <m/>
  </r>
  <r>
    <x v="3"/>
    <s v="Purchase"/>
    <x v="49"/>
    <x v="2"/>
    <x v="1"/>
    <x v="46"/>
    <n v="11694.59"/>
    <x v="2"/>
    <n v="180.72300000000001"/>
    <n v="64.710025840651156"/>
    <n v="1"/>
    <n v="11694.59"/>
    <n v="23.869299999999999"/>
    <n v="279141.67708699999"/>
    <n v="106.16200000000001"/>
    <n v="121.02200000000001"/>
    <n v="1.1398999999999999"/>
    <n v="318193.59771147126"/>
    <n v="1760.6701842680302"/>
    <m/>
    <n v="180.72300000000001"/>
    <s v="Sale"/>
    <x v="23"/>
    <x v="1"/>
    <n v="13362.68"/>
    <n v="1"/>
    <n v="13362.68"/>
    <n v="19.6128"/>
    <n v="262079.57030399999"/>
    <n v="318193.59771147126"/>
    <n v="-56114.027407471265"/>
    <n v="2.0849315068493151"/>
    <n v="1"/>
    <n v="-56114.027407471265"/>
    <n v="0"/>
    <m/>
    <n v="1668.0900000000001"/>
    <m/>
    <n v="0.14263774959190534"/>
    <m/>
  </r>
  <r>
    <x v="3"/>
    <s v="Purchase"/>
    <x v="30"/>
    <x v="2"/>
    <x v="1"/>
    <x v="20"/>
    <n v="7098.06"/>
    <x v="2"/>
    <n v="45"/>
    <n v="157.73466666666667"/>
    <n v="1"/>
    <n v="7098.06"/>
    <n v="19.2456"/>
    <n v="136606.42353600002"/>
    <n v="103.108"/>
    <n v="121.02200000000001"/>
    <n v="1.1737"/>
    <n v="160334.95930420322"/>
    <n v="3562.9990956489605"/>
    <m/>
    <n v="45"/>
    <s v="Sale"/>
    <x v="24"/>
    <x v="1"/>
    <n v="10817.48"/>
    <n v="1"/>
    <n v="10817.48"/>
    <n v="20.475999999999999"/>
    <n v="221498.72047999999"/>
    <n v="160334.95930420322"/>
    <n v="61163.761175796768"/>
    <n v="3.4438356164383563"/>
    <n v="1"/>
    <n v="61163.761175796768"/>
    <n v="0"/>
    <m/>
    <n v="3719.4199999999992"/>
    <m/>
    <n v="0.52400515070314968"/>
    <m/>
  </r>
  <r>
    <x v="3"/>
    <s v="Purchase"/>
    <x v="50"/>
    <x v="1"/>
    <x v="1"/>
    <x v="41"/>
    <n v="4682.62"/>
    <x v="1"/>
    <n v="152.33000000000001"/>
    <n v="30.739972428280701"/>
    <n v="1"/>
    <n v="4682.62"/>
    <n v="18.6797"/>
    <n v="87469.936814000001"/>
    <n v="106.889"/>
    <n v="122.044"/>
    <n v="1.1416999999999999"/>
    <n v="99864.426860543797"/>
    <n v="655.57951067119927"/>
    <m/>
    <n v="152.33000000000001"/>
    <s v="Sale"/>
    <x v="23"/>
    <x v="1"/>
    <n v="4795.43"/>
    <n v="1"/>
    <n v="4795.43"/>
    <n v="19.6128"/>
    <n v="94051.809504000004"/>
    <n v="99864.426860543797"/>
    <n v="-5812.617356543793"/>
    <n v="2.3506849315068492"/>
    <n v="1"/>
    <n v="-5812.617356543793"/>
    <n v="0"/>
    <m/>
    <n v="112.8100000000004"/>
    <m/>
    <n v="2.409121389307704E-2"/>
    <m/>
  </r>
  <r>
    <x v="3"/>
    <s v="Purchase"/>
    <x v="50"/>
    <x v="1"/>
    <x v="1"/>
    <x v="41"/>
    <n v="15988.49"/>
    <x v="1"/>
    <n v="520.12"/>
    <n v="30.740002307159884"/>
    <n v="1"/>
    <n v="15988.49"/>
    <n v="18.6797"/>
    <n v="298660.19665300002"/>
    <n v="106.889"/>
    <n v="122.044"/>
    <n v="1.1416999999999999"/>
    <n v="340980.3465187301"/>
    <n v="655.58014788650712"/>
    <m/>
    <n v="520.12"/>
    <s v="Sale"/>
    <x v="26"/>
    <x v="1"/>
    <n v="18802.34"/>
    <n v="1"/>
    <n v="18802.34"/>
    <n v="19.574200000000001"/>
    <n v="368040.76362800004"/>
    <n v="340980.3465187301"/>
    <n v="27060.41710926994"/>
    <n v="2.3342465753424659"/>
    <n v="1"/>
    <n v="27060.41710926994"/>
    <n v="0"/>
    <m/>
    <n v="2813.8500000000004"/>
    <m/>
    <n v="0.17599222941003187"/>
    <m/>
  </r>
  <r>
    <x v="3"/>
    <s v="Purchase"/>
    <x v="31"/>
    <x v="2"/>
    <x v="1"/>
    <x v="16"/>
    <n v="9291.0400000000009"/>
    <x v="2"/>
    <n v="176"/>
    <n v="52.790000000000006"/>
    <n v="1"/>
    <n v="9291.0400000000009"/>
    <n v="24.0487"/>
    <n v="223437.43364800003"/>
    <n v="106.16200000000001"/>
    <n v="121.02200000000001"/>
    <n v="1.1398999999999999"/>
    <n v="254696.33061535523"/>
    <n v="1447.1382421327"/>
    <m/>
    <n v="176"/>
    <s v="Sale"/>
    <x v="22"/>
    <x v="1"/>
    <n v="16144.66"/>
    <n v="1"/>
    <n v="16144.66"/>
    <n v="20.244199999999999"/>
    <n v="326835.72597199999"/>
    <n v="254696.3306153552"/>
    <n v="72139.395356644789"/>
    <n v="2.106849315068493"/>
    <n v="1"/>
    <n v="72139.395356644789"/>
    <n v="0"/>
    <m/>
    <n v="6853.619999999999"/>
    <m/>
    <n v="0.73765907799342145"/>
    <m/>
  </r>
  <r>
    <x v="3"/>
    <s v="Purchase"/>
    <x v="51"/>
    <x v="2"/>
    <x v="1"/>
    <x v="49"/>
    <n v="15607.61"/>
    <x v="2"/>
    <n v="198"/>
    <n v="78.826313131313128"/>
    <n v="1"/>
    <n v="15607.61"/>
    <n v="19.970500000000001"/>
    <n v="311691.77550500003"/>
    <n v="110.21"/>
    <n v="121.02200000000001"/>
    <n v="1.0981000000000001"/>
    <n v="342268.73868204054"/>
    <n v="1728.6299933436392"/>
    <m/>
    <n v="198"/>
    <s v="Sale"/>
    <x v="22"/>
    <x v="1"/>
    <n v="15559.69"/>
    <n v="1"/>
    <n v="15559.69"/>
    <n v="20.244199999999999"/>
    <n v="314993.47629800002"/>
    <n v="342268.73868204054"/>
    <n v="-27275.262384040514"/>
    <n v="1.441095890410959"/>
    <n v="1"/>
    <n v="-27275.262384040514"/>
    <n v="0"/>
    <m/>
    <n v="-47.920000000000073"/>
    <m/>
    <n v="-3.0702971178803206E-3"/>
    <m/>
  </r>
  <r>
    <x v="3"/>
    <s v="Purchase"/>
    <x v="52"/>
    <x v="2"/>
    <x v="1"/>
    <x v="50"/>
    <n v="4142.24"/>
    <x v="2"/>
    <n v="13"/>
    <n v="318.63384615384615"/>
    <n v="1"/>
    <n v="4142.24"/>
    <n v="19.698499999999999"/>
    <n v="81595.914639999988"/>
    <n v="106.83799999999999"/>
    <n v="121.02200000000001"/>
    <n v="1.1327"/>
    <n v="92423.692512727983"/>
    <n v="7109.5148086713834"/>
    <m/>
    <n v="13"/>
    <s v="Sale"/>
    <x v="21"/>
    <x v="1"/>
    <n v="6916.41"/>
    <n v="1"/>
    <n v="6916.41"/>
    <n v="19.59"/>
    <n v="135492.4719"/>
    <n v="92423.692512727983"/>
    <n v="43068.779387272021"/>
    <n v="2.2684931506849315"/>
    <n v="1"/>
    <n v="43068.779387272021"/>
    <n v="0"/>
    <m/>
    <n v="2774.17"/>
    <m/>
    <n v="0.66972700760940951"/>
    <m/>
  </r>
  <r>
    <x v="3"/>
    <s v="Purchase"/>
    <x v="32"/>
    <x v="2"/>
    <x v="1"/>
    <x v="25"/>
    <n v="4265.3599999999997"/>
    <x v="2"/>
    <n v="88"/>
    <n v="48.47"/>
    <n v="1"/>
    <n v="4265.3599999999997"/>
    <n v="18.5899"/>
    <n v="79292.615863999992"/>
    <n v="100.492"/>
    <n v="121.02200000000001"/>
    <n v="1.2041999999999999"/>
    <n v="95484.168023428792"/>
    <n v="1085.0473639026"/>
    <m/>
    <n v="88"/>
    <s v="Sale"/>
    <x v="25"/>
    <x v="1"/>
    <n v="5486.25"/>
    <n v="1"/>
    <n v="5486.25"/>
    <n v="19.738800000000001"/>
    <n v="108291.9915"/>
    <n v="95484.168023428792"/>
    <n v="12807.823476571211"/>
    <n v="3.8356164383561642"/>
    <n v="1"/>
    <n v="12807.823476571211"/>
    <n v="0"/>
    <m/>
    <n v="1220.8900000000003"/>
    <m/>
    <n v="0.28623375283680635"/>
    <m/>
  </r>
  <r>
    <x v="3"/>
    <s v="Purchase"/>
    <x v="32"/>
    <x v="2"/>
    <x v="1"/>
    <x v="25"/>
    <n v="9209.2999999999993"/>
    <x v="2"/>
    <n v="190"/>
    <n v="48.47"/>
    <n v="1"/>
    <n v="9209.2999999999993"/>
    <n v="18.5899"/>
    <n v="171199.96606999999"/>
    <n v="100.492"/>
    <n v="121.02200000000001"/>
    <n v="1.2041999999999999"/>
    <n v="206158.99914149399"/>
    <n v="1085.0473639026"/>
    <m/>
    <n v="190"/>
    <s v="Sale"/>
    <x v="24"/>
    <x v="1"/>
    <n v="10918.58"/>
    <n v="1"/>
    <n v="10918.58"/>
    <n v="20.475999999999999"/>
    <n v="223568.84407999998"/>
    <n v="206158.99914149399"/>
    <n v="17409.844938505994"/>
    <n v="3.8849315068493149"/>
    <n v="1"/>
    <n v="17409.844938505994"/>
    <n v="0"/>
    <m/>
    <n v="1709.2800000000007"/>
    <m/>
    <n v="0.18560368323325344"/>
    <m/>
  </r>
  <r>
    <x v="3"/>
    <s v="Purchase"/>
    <x v="32"/>
    <x v="2"/>
    <x v="1"/>
    <x v="25"/>
    <n v="4847"/>
    <x v="2"/>
    <n v="100"/>
    <n v="48.47"/>
    <n v="1"/>
    <n v="4847"/>
    <n v="18.5899"/>
    <n v="90105.245299999995"/>
    <n v="100.492"/>
    <n v="121.02200000000001"/>
    <n v="1.2041999999999999"/>
    <n v="108504.73639025999"/>
    <n v="1085.0473639026"/>
    <m/>
    <n v="100"/>
    <s v="Sale"/>
    <x v="27"/>
    <x v="1"/>
    <n v="6193.71"/>
    <n v="1"/>
    <n v="6193.71"/>
    <n v="19.558499999999999"/>
    <n v="121139.67703499999"/>
    <n v="108504.73639025999"/>
    <n v="12634.940644739996"/>
    <n v="3.8438356164383563"/>
    <n v="1"/>
    <n v="12634.940644739996"/>
    <n v="0"/>
    <m/>
    <n v="1346.71"/>
    <m/>
    <n v="0.27784402723334023"/>
    <m/>
  </r>
  <r>
    <x v="3"/>
    <s v="Purchase"/>
    <x v="53"/>
    <x v="2"/>
    <x v="1"/>
    <x v="41"/>
    <n v="49852.6"/>
    <x v="2"/>
    <n v="179.798"/>
    <n v="277.27004749774744"/>
    <n v="1"/>
    <n v="49852.6"/>
    <n v="18.6797"/>
    <n v="931231.61222000001"/>
    <n v="106.889"/>
    <n v="121.02200000000001"/>
    <n v="1.1322000000000001"/>
    <n v="1054340.4313554841"/>
    <n v="5864.0275829290877"/>
    <m/>
    <n v="179.798"/>
    <s v="Sale"/>
    <x v="23"/>
    <x v="1"/>
    <n v="44615.08"/>
    <n v="1"/>
    <n v="44615.08"/>
    <n v="19.6128"/>
    <n v="875026.64102400001"/>
    <n v="1054340.4313554841"/>
    <n v="-179313.79033148405"/>
    <n v="2.3506849315068492"/>
    <n v="1"/>
    <n v="-179313.79033148405"/>
    <n v="0"/>
    <m/>
    <n v="-5237.5199999999968"/>
    <m/>
    <n v="-0.10506011722558095"/>
    <m/>
  </r>
  <r>
    <x v="3"/>
    <s v="Purchase"/>
    <x v="54"/>
    <x v="2"/>
    <x v="1"/>
    <x v="41"/>
    <n v="12816.11"/>
    <x v="2"/>
    <n v="75.004999999999995"/>
    <n v="170.87007532831146"/>
    <n v="1"/>
    <n v="12816.11"/>
    <n v="18.6797"/>
    <n v="239401.08996700001"/>
    <n v="106.889"/>
    <n v="121.02200000000001"/>
    <n v="1.1322000000000001"/>
    <n v="271049.91406063741"/>
    <n v="3613.7579369460359"/>
    <m/>
    <n v="75.004999999999995"/>
    <s v="Sale"/>
    <x v="23"/>
    <x v="1"/>
    <n v="13699.66"/>
    <n v="1"/>
    <n v="13699.66"/>
    <n v="19.6128"/>
    <n v="268688.69164799998"/>
    <n v="271049.91406063741"/>
    <n v="-2361.2224126374349"/>
    <n v="2.3506849315068492"/>
    <n v="1"/>
    <n v="-2361.2224126374349"/>
    <n v="0"/>
    <m/>
    <n v="883.54999999999927"/>
    <m/>
    <n v="6.8940575572463039E-2"/>
    <m/>
  </r>
  <r>
    <x v="3"/>
    <s v="Purchase"/>
    <x v="54"/>
    <x v="2"/>
    <x v="1"/>
    <x v="41"/>
    <n v="3005.26"/>
    <x v="2"/>
    <n v="17.588000000000001"/>
    <n v="170.86991130316125"/>
    <n v="1"/>
    <n v="3005.26"/>
    <n v="18.6797"/>
    <n v="56137.355222000006"/>
    <n v="106.889"/>
    <n v="121.02200000000001"/>
    <n v="1.1322000000000001"/>
    <n v="63558.713582348413"/>
    <n v="3613.7544679524908"/>
    <m/>
    <n v="17.588000000000001"/>
    <s v="Sale"/>
    <x v="26"/>
    <x v="1"/>
    <n v="3517.42"/>
    <n v="1"/>
    <n v="3517.42"/>
    <n v="19.574200000000001"/>
    <n v="68850.682564000002"/>
    <n v="63558.713582348413"/>
    <n v="5291.9689816515893"/>
    <n v="2.3342465753424659"/>
    <n v="1"/>
    <n v="5291.9689816515893"/>
    <n v="0"/>
    <m/>
    <n v="512.15999999999985"/>
    <m/>
    <n v="0.17042119483838331"/>
    <m/>
  </r>
  <r>
    <x v="3"/>
    <s v="Purchase"/>
    <x v="55"/>
    <x v="1"/>
    <x v="1"/>
    <x v="26"/>
    <n v="14145.86"/>
    <x v="1"/>
    <n v="833.58"/>
    <n v="16.970008877372297"/>
    <n v="1"/>
    <n v="14145.86"/>
    <n v="19.162299999999998"/>
    <n v="271067.213078"/>
    <n v="103.07899999999999"/>
    <n v="122.044"/>
    <n v="1.1839"/>
    <n v="320916.47356304422"/>
    <n v="384.9858124751604"/>
    <m/>
    <n v="833.58"/>
    <s v="Sale"/>
    <x v="23"/>
    <x v="1"/>
    <n v="17496.84"/>
    <n v="1"/>
    <n v="17496.84"/>
    <n v="19.6128"/>
    <n v="343162.023552"/>
    <n v="320916.47356304422"/>
    <n v="22245.549988955783"/>
    <n v="3.3643835616438356"/>
    <n v="1"/>
    <n v="22245.549988955783"/>
    <n v="0"/>
    <m/>
    <n v="3350.9799999999996"/>
    <m/>
    <n v="0.23688768303941926"/>
    <m/>
  </r>
  <r>
    <x v="3"/>
    <s v="Purchase"/>
    <x v="55"/>
    <x v="1"/>
    <x v="1"/>
    <x v="26"/>
    <n v="1990.1"/>
    <x v="1"/>
    <n v="117.27200000000001"/>
    <n v="16.969950201241556"/>
    <n v="1"/>
    <n v="1990.1"/>
    <n v="19.162299999999998"/>
    <n v="38134.893229999994"/>
    <n v="103.07899999999999"/>
    <n v="122.044"/>
    <n v="1.1839"/>
    <n v="45147.900094996992"/>
    <n v="384.9844813339671"/>
    <m/>
    <n v="117.27200000000001"/>
    <s v="Sale"/>
    <x v="26"/>
    <x v="1"/>
    <n v="2698.44"/>
    <n v="1"/>
    <n v="2698.44"/>
    <n v="19.574200000000001"/>
    <n v="52819.804248000008"/>
    <n v="45147.900094996992"/>
    <n v="7671.9041530030154"/>
    <n v="3.3479452054794518"/>
    <n v="1"/>
    <n v="7671.9041530030154"/>
    <n v="0"/>
    <m/>
    <n v="708.34000000000015"/>
    <m/>
    <n v="0.3559318627204664"/>
    <m/>
  </r>
  <r>
    <x v="0"/>
    <m/>
    <x v="0"/>
    <x v="0"/>
    <x v="0"/>
    <x v="0"/>
    <m/>
    <x v="0"/>
    <n v="0"/>
    <n v="0"/>
    <n v="0"/>
    <n v="0"/>
    <n v="0"/>
    <n v="0"/>
    <n v="0"/>
    <n v="0"/>
    <n v="0"/>
    <n v="0"/>
    <n v="0"/>
    <m/>
    <m/>
    <m/>
    <x v="0"/>
    <x v="0"/>
    <m/>
    <n v="0"/>
    <n v="0"/>
    <n v="0"/>
    <n v="0"/>
    <n v="0"/>
    <n v="0"/>
    <n v="0"/>
    <n v="1"/>
    <n v="0"/>
    <n v="0"/>
    <m/>
    <n v="0"/>
    <m/>
    <n v="0"/>
    <m/>
  </r>
  <r>
    <x v="4"/>
    <s v="Purchase"/>
    <x v="56"/>
    <x v="2"/>
    <x v="1"/>
    <x v="51"/>
    <n v="392.65304182509504"/>
    <x v="2"/>
    <n v="10"/>
    <n v="39.265304182509503"/>
    <n v="1"/>
    <n v="392.65304182509504"/>
    <n v="20.690300000000001"/>
    <n v="8124.1092312737646"/>
    <n v="111.824"/>
    <n v="117.30800000000001"/>
    <n v="1.0489999999999999"/>
    <n v="8522.1905836061778"/>
    <n v="852.21905836061774"/>
    <m/>
    <n v="10"/>
    <s v="Sale"/>
    <x v="28"/>
    <x v="1"/>
    <n v="412.35"/>
    <n v="1"/>
    <n v="412.35"/>
    <n v="20.641500000000001"/>
    <n v="8511.5225250000003"/>
    <n v="8522.1905836061778"/>
    <n v="-10.66805860617751"/>
    <n v="0.90410958904109584"/>
    <n v="1"/>
    <n v="-10.66805860617751"/>
    <n v="0"/>
    <m/>
    <n v="19.696958174904978"/>
    <m/>
    <n v="5.0163773298052966E-2"/>
    <m/>
  </r>
  <r>
    <x v="4"/>
    <s v="Purchase"/>
    <x v="56"/>
    <x v="2"/>
    <x v="1"/>
    <x v="51"/>
    <n v="4672.5711977186311"/>
    <x v="2"/>
    <n v="119"/>
    <n v="39.265304182509503"/>
    <n v="1"/>
    <n v="4672.5711977186311"/>
    <n v="20.690300000000001"/>
    <n v="96676.899852157789"/>
    <n v="111.824"/>
    <n v="117.30800000000001"/>
    <n v="1.0489999999999999"/>
    <n v="101414.06794491352"/>
    <n v="852.21905836061785"/>
    <m/>
    <n v="119"/>
    <s v="Sale"/>
    <x v="28"/>
    <x v="1"/>
    <n v="4891.5879687500001"/>
    <n v="1"/>
    <n v="4891.5879687500001"/>
    <n v="20.641500000000001"/>
    <n v="100969.71305695313"/>
    <n v="101414.06794491352"/>
    <n v="-444.35488796039135"/>
    <n v="0.90410958904109584"/>
    <n v="1"/>
    <n v="-444.35488796039135"/>
    <n v="0"/>
    <m/>
    <n v="219.01677103136899"/>
    <m/>
    <n v="4.6872859024235582E-2"/>
    <m/>
  </r>
  <r>
    <x v="4"/>
    <s v="Purchase"/>
    <x v="56"/>
    <x v="2"/>
    <x v="1"/>
    <x v="52"/>
    <n v="8741.66"/>
    <x v="2"/>
    <n v="180"/>
    <n v="48.564777777777778"/>
    <n v="1"/>
    <n v="8741.66"/>
    <n v="19.944199999999999"/>
    <n v="174345.41537199999"/>
    <n v="113.018"/>
    <n v="117.30800000000001"/>
    <n v="1.0379"/>
    <n v="180953.1066145988"/>
    <n v="1005.2950367477711"/>
    <m/>
    <n v="180"/>
    <s v="Sale"/>
    <x v="28"/>
    <x v="1"/>
    <n v="7399.0406249999996"/>
    <n v="1"/>
    <n v="7399.0406249999996"/>
    <n v="20.641500000000001"/>
    <n v="152727.2970609375"/>
    <n v="180953.1066145988"/>
    <n v="-28225.809553661296"/>
    <n v="0.66027397260273968"/>
    <n v="1"/>
    <n v="-28225.809553661296"/>
    <n v="0"/>
    <m/>
    <n v="-1342.6193750000002"/>
    <m/>
    <n v="-0.15358860616862247"/>
    <m/>
  </r>
  <r>
    <x v="4"/>
    <s v="Purchase"/>
    <x v="56"/>
    <x v="2"/>
    <x v="1"/>
    <x v="53"/>
    <n v="599.52"/>
    <x v="2"/>
    <n v="12"/>
    <n v="49.96"/>
    <n v="1"/>
    <n v="599.52"/>
    <n v="19.886299999999999"/>
    <n v="11922.234575999999"/>
    <n v="113.899"/>
    <n v="117.30800000000001"/>
    <n v="1.0299"/>
    <n v="12278.709389822399"/>
    <n v="1023.2257824851999"/>
    <m/>
    <n v="12"/>
    <s v="Sale"/>
    <x v="28"/>
    <x v="1"/>
    <n v="493.26937499999997"/>
    <n v="1"/>
    <n v="493.26937499999997"/>
    <n v="20.641500000000001"/>
    <n v="10181.819804062499"/>
    <n v="12278.709389822399"/>
    <n v="-2096.8895857599"/>
    <n v="0.44657534246575342"/>
    <n v="1"/>
    <n v="-2096.8895857599"/>
    <n v="0"/>
    <m/>
    <n v="-106.25062500000001"/>
    <m/>
    <n v="-0.17722615592473981"/>
    <m/>
  </r>
  <r>
    <x v="4"/>
    <s v="Purchase"/>
    <x v="56"/>
    <x v="2"/>
    <x v="1"/>
    <x v="54"/>
    <n v="457.80782608695654"/>
    <x v="2"/>
    <n v="9"/>
    <n v="50.86753623188406"/>
    <n v="1"/>
    <n v="457.80782608695654"/>
    <n v="19.991199999999999"/>
    <n v="9152.1278128695649"/>
    <n v="113.899"/>
    <n v="117.30800000000001"/>
    <n v="1.0299"/>
    <n v="9425.7764344743646"/>
    <n v="1047.3084927193738"/>
    <m/>
    <n v="9"/>
    <s v="Sale"/>
    <x v="28"/>
    <x v="1"/>
    <n v="369.95203125"/>
    <n v="1"/>
    <n v="369.95203125"/>
    <n v="20.641500000000001"/>
    <n v="7636.3648530468754"/>
    <n v="9425.7764344743646"/>
    <n v="-1789.4115814274892"/>
    <n v="0.44383561643835617"/>
    <n v="1"/>
    <n v="-1789.4115814274892"/>
    <n v="0"/>
    <m/>
    <n v="-87.855794836956534"/>
    <m/>
    <n v="-0.19190540185363519"/>
    <m/>
  </r>
  <r>
    <x v="4"/>
    <s v="Purchase"/>
    <x v="56"/>
    <x v="2"/>
    <x v="1"/>
    <x v="54"/>
    <n v="3052.0521739130436"/>
    <x v="2"/>
    <n v="60"/>
    <n v="50.86753623188406"/>
    <n v="1"/>
    <n v="3052.0521739130436"/>
    <n v="19.991199999999999"/>
    <n v="61014.185419130437"/>
    <n v="113.899"/>
    <n v="117.30800000000001"/>
    <n v="1.0299"/>
    <n v="62838.509563162443"/>
    <n v="1047.308492719374"/>
    <m/>
    <n v="60"/>
    <s v="Sale"/>
    <x v="28"/>
    <x v="1"/>
    <n v="2450.4544217687076"/>
    <n v="1"/>
    <n v="2450.4544217687076"/>
    <n v="20.641500000000001"/>
    <n v="50581.054946938777"/>
    <n v="62838.509563162443"/>
    <n v="-12257.454616223666"/>
    <n v="0.44383561643835617"/>
    <n v="1"/>
    <n v="-12257.454616223666"/>
    <n v="0"/>
    <m/>
    <n v="-601.59775214433603"/>
    <m/>
    <n v="-0.19711253866706546"/>
    <m/>
  </r>
  <r>
    <x v="4"/>
    <s v="Purchase"/>
    <x v="56"/>
    <x v="2"/>
    <x v="1"/>
    <x v="54"/>
    <n v="7034.1099999999988"/>
    <x v="2"/>
    <n v="139"/>
    <n v="50.605107913669059"/>
    <n v="1"/>
    <n v="7034.1099999999988"/>
    <n v="19.991199999999999"/>
    <n v="140620.29983199996"/>
    <n v="113.899"/>
    <n v="117.30800000000001"/>
    <n v="1.0299"/>
    <n v="144824.84679697675"/>
    <n v="1041.9053726401205"/>
    <m/>
    <n v="139"/>
    <s v="Sale"/>
    <x v="28"/>
    <x v="1"/>
    <n v="5676.8860770975061"/>
    <n v="1"/>
    <n v="5676.8860770975061"/>
    <n v="20.641500000000001"/>
    <n v="117179.44396040817"/>
    <n v="144824.84679697675"/>
    <n v="-27645.402836568581"/>
    <n v="0.44383561643835617"/>
    <n v="1"/>
    <n v="-27645.402836568581"/>
    <n v="0"/>
    <m/>
    <n v="-1357.2239229024926"/>
    <m/>
    <n v="-0.19294891932348127"/>
    <m/>
  </r>
  <r>
    <x v="4"/>
    <s v="Purchase"/>
    <x v="56"/>
    <x v="2"/>
    <x v="1"/>
    <x v="55"/>
    <n v="1148.28"/>
    <x v="2"/>
    <n v="24"/>
    <n v="47.844999999999999"/>
    <n v="1"/>
    <n v="1148.28"/>
    <n v="19.938300000000002"/>
    <n v="22894.751124000002"/>
    <n v="114.601"/>
    <n v="117.30800000000001"/>
    <n v="1.0236000000000001"/>
    <n v="23435.067250526405"/>
    <n v="976.46113543860019"/>
    <m/>
    <n v="24"/>
    <s v="Sale"/>
    <x v="28"/>
    <x v="1"/>
    <n v="980.181768707483"/>
    <n v="1"/>
    <n v="980.181768707483"/>
    <n v="20.641500000000001"/>
    <n v="20232.42197877551"/>
    <n v="23435.067250526405"/>
    <n v="-3202.6452717508946"/>
    <n v="0.38356164383561642"/>
    <n v="1"/>
    <n v="-3202.6452717508946"/>
    <n v="0"/>
    <m/>
    <n v="-168.09823129251697"/>
    <m/>
    <n v="-0.14639132554125908"/>
    <m/>
  </r>
  <r>
    <x v="4"/>
    <s v="Purchase"/>
    <x v="56"/>
    <x v="2"/>
    <x v="1"/>
    <x v="55"/>
    <n v="10412.788474576269"/>
    <x v="2"/>
    <n v="218"/>
    <n v="47.765084745762707"/>
    <n v="1"/>
    <n v="10412.788474576269"/>
    <n v="19.938300000000002"/>
    <n v="207613.30044264405"/>
    <n v="114.601"/>
    <n v="117.30800000000001"/>
    <n v="1.0236000000000001"/>
    <n v="212512.97433309045"/>
    <n v="974.83015749124058"/>
    <m/>
    <n v="218"/>
    <s v="Sale"/>
    <x v="28"/>
    <x v="1"/>
    <n v="8903.3177324263033"/>
    <n v="1"/>
    <n v="8903.3177324263033"/>
    <n v="20.641500000000001"/>
    <n v="183777.83297387755"/>
    <n v="212512.97433309045"/>
    <n v="-28735.141359212896"/>
    <n v="0.38356164383561642"/>
    <n v="1"/>
    <n v="-28735.141359212896"/>
    <n v="0"/>
    <m/>
    <n v="-1509.4707421499661"/>
    <m/>
    <n v="-0.14496316196525749"/>
    <m/>
  </r>
  <r>
    <x v="4"/>
    <s v="Purchase"/>
    <x v="56"/>
    <x v="2"/>
    <x v="1"/>
    <x v="55"/>
    <n v="286.59050847457627"/>
    <x v="2"/>
    <n v="6"/>
    <n v="47.765084745762714"/>
    <n v="1"/>
    <n v="286.59050847457627"/>
    <n v="19.938300000000002"/>
    <n v="5714.1275351186441"/>
    <n v="114.601"/>
    <n v="117.30800000000001"/>
    <n v="1.0236000000000001"/>
    <n v="5848.9809449474442"/>
    <n v="974.8301574912407"/>
    <m/>
    <n v="6"/>
    <s v="Sale"/>
    <x v="28"/>
    <x v="1"/>
    <n v="242.07"/>
    <n v="1"/>
    <n v="242.07"/>
    <n v="20.641500000000001"/>
    <n v="4996.6879049999998"/>
    <n v="5848.9809449474442"/>
    <n v="-852.29303994744441"/>
    <n v="0.38356164383561642"/>
    <n v="1"/>
    <n v="-852.29303994744441"/>
    <n v="0"/>
    <m/>
    <n v="-44.520508474576275"/>
    <m/>
    <n v="-0.15534536964096887"/>
    <m/>
  </r>
  <r>
    <x v="4"/>
    <s v="Purchase"/>
    <x v="56"/>
    <x v="2"/>
    <x v="1"/>
    <x v="55"/>
    <n v="573.18101694915254"/>
    <x v="2"/>
    <n v="12"/>
    <n v="47.765084745762714"/>
    <n v="1"/>
    <n v="573.18101694915254"/>
    <n v="19.938300000000002"/>
    <n v="11428.255070237288"/>
    <n v="114.601"/>
    <n v="117.30800000000001"/>
    <n v="1.0236000000000001"/>
    <n v="11697.961889894888"/>
    <n v="974.8301574912407"/>
    <m/>
    <n v="12"/>
    <s v="Sale"/>
    <x v="29"/>
    <x v="1"/>
    <n v="496.81600000000003"/>
    <n v="1"/>
    <n v="496.81600000000003"/>
    <n v="20.738299999999999"/>
    <n v="10303.119252799999"/>
    <n v="11697.961889894888"/>
    <n v="-1394.8426370948891"/>
    <n v="0.39178082191780822"/>
    <n v="1"/>
    <n v="-1394.8426370948891"/>
    <n v="0"/>
    <m/>
    <n v="-76.365016949152505"/>
    <m/>
    <n v="-0.13323019201790301"/>
    <m/>
  </r>
  <r>
    <x v="4"/>
    <s v="Purchase"/>
    <x v="56"/>
    <x v="2"/>
    <x v="1"/>
    <x v="56"/>
    <n v="143.97"/>
    <x v="2"/>
    <n v="3"/>
    <n v="47.99"/>
    <n v="1"/>
    <n v="143.97"/>
    <n v="20.691199999999998"/>
    <n v="2978.9120639999996"/>
    <n v="116.884"/>
    <n v="117.30800000000001"/>
    <n v="1.0036"/>
    <n v="2989.6361474303999"/>
    <n v="996.5453824768"/>
    <m/>
    <n v="3"/>
    <s v="Sale"/>
    <x v="29"/>
    <x v="1"/>
    <n v="124.20400000000001"/>
    <n v="1"/>
    <n v="124.20400000000001"/>
    <n v="20.738299999999999"/>
    <n v="2575.7798131999998"/>
    <n v="2989.6361474303999"/>
    <n v="-413.85633423040008"/>
    <n v="0.2"/>
    <n v="1"/>
    <n v="-413.85633423040008"/>
    <n v="0"/>
    <m/>
    <n v="-19.765999999999991"/>
    <m/>
    <n v="-0.13729249149128284"/>
    <m/>
  </r>
  <r>
    <x v="4"/>
    <s v="Purchase"/>
    <x v="57"/>
    <x v="2"/>
    <x v="1"/>
    <x v="57"/>
    <n v="2093.8727272727274"/>
    <x v="2"/>
    <n v="10"/>
    <n v="209.38727272727274"/>
    <n v="1"/>
    <n v="2093.8727272727274"/>
    <n v="20.6783"/>
    <n v="43297.728416363636"/>
    <n v="110.907"/>
    <n v="120.15900000000001"/>
    <n v="1.0833999999999999"/>
    <n v="46908.758966288362"/>
    <n v="4690.875896628836"/>
    <m/>
    <n v="10"/>
    <s v="Sale"/>
    <x v="30"/>
    <x v="1"/>
    <n v="1316.63"/>
    <n v="1"/>
    <n v="1316.63"/>
    <n v="20.044699999999999"/>
    <n v="26391.453361"/>
    <n v="46908.758966288362"/>
    <n v="-20517.305605288362"/>
    <n v="1.1534246575342466"/>
    <n v="1"/>
    <n v="-20517.305605288362"/>
    <n v="0"/>
    <m/>
    <n v="-777.24272727272728"/>
    <m/>
    <n v="-0.37119864887159937"/>
    <m/>
  </r>
  <r>
    <x v="4"/>
    <s v="Purchase"/>
    <x v="57"/>
    <x v="2"/>
    <x v="1"/>
    <x v="57"/>
    <n v="3350.1963636363639"/>
    <x v="2"/>
    <n v="16"/>
    <n v="209.38727272727274"/>
    <n v="1"/>
    <n v="3350.1963636363639"/>
    <n v="20.6783"/>
    <n v="69276.365466181829"/>
    <n v="110.907"/>
    <n v="120.15900000000001"/>
    <n v="1.0833999999999999"/>
    <n v="75054.014346061391"/>
    <n v="4690.8758966288369"/>
    <m/>
    <n v="16"/>
    <s v="Sale"/>
    <x v="30"/>
    <x v="1"/>
    <n v="2142.3000000000002"/>
    <n v="1"/>
    <n v="2142.3000000000002"/>
    <n v="20.044699999999999"/>
    <n v="42941.76081"/>
    <n v="75054.014346061391"/>
    <n v="-32112.253536061391"/>
    <n v="1.1534246575342466"/>
    <n v="1"/>
    <n v="-32112.253536061391"/>
    <n v="0"/>
    <m/>
    <n v="-1207.8963636363637"/>
    <m/>
    <n v="-0.36054494499101275"/>
    <m/>
  </r>
  <r>
    <x v="4"/>
    <s v="Purchase"/>
    <x v="57"/>
    <x v="2"/>
    <x v="1"/>
    <x v="57"/>
    <n v="209.38727272727274"/>
    <x v="2"/>
    <n v="1"/>
    <n v="209.38727272727274"/>
    <n v="1"/>
    <n v="209.38727272727274"/>
    <n v="20.6783"/>
    <n v="4329.7728416363643"/>
    <n v="110.907"/>
    <n v="120.15900000000001"/>
    <n v="1.0833999999999999"/>
    <n v="4690.8758966288369"/>
    <n v="4690.8758966288369"/>
    <m/>
    <n v="1"/>
    <s v="Sale"/>
    <x v="30"/>
    <x v="1"/>
    <n v="133.32166666666666"/>
    <n v="1"/>
    <n v="133.32166666666666"/>
    <n v="20.044699999999999"/>
    <n v="2672.3928118333329"/>
    <n v="4690.8758966288369"/>
    <n v="-2018.4830847955041"/>
    <n v="1.1534246575342466"/>
    <n v="1"/>
    <n v="-2018.4830847955041"/>
    <n v="0"/>
    <m/>
    <n v="-76.065606060606086"/>
    <m/>
    <n v="-0.36327712315008592"/>
    <m/>
  </r>
  <r>
    <x v="4"/>
    <s v="Purchase"/>
    <x v="57"/>
    <x v="2"/>
    <x v="1"/>
    <x v="58"/>
    <n v="818.18571428571431"/>
    <x v="2"/>
    <n v="5"/>
    <n v="163.63714285714286"/>
    <n v="1"/>
    <n v="818.18571428571431"/>
    <n v="20.475200000000001"/>
    <n v="16752.516137142858"/>
    <n v="110.907"/>
    <n v="120.15900000000001"/>
    <n v="1.0833999999999999"/>
    <n v="18149.675982980571"/>
    <n v="3629.9351965961141"/>
    <m/>
    <n v="5"/>
    <s v="Sale"/>
    <x v="30"/>
    <x v="1"/>
    <n v="666.60833333333335"/>
    <n v="1"/>
    <n v="666.60833333333335"/>
    <n v="20.044699999999999"/>
    <n v="13361.964059166667"/>
    <n v="18149.675982980571"/>
    <n v="-4787.7119238139039"/>
    <n v="1.1479452054794521"/>
    <n v="1"/>
    <n v="-4787.7119238139039"/>
    <n v="0"/>
    <m/>
    <n v="-151.57738095238096"/>
    <m/>
    <n v="-0.18526036119404724"/>
    <m/>
  </r>
  <r>
    <x v="4"/>
    <s v="Purchase"/>
    <x v="57"/>
    <x v="2"/>
    <x v="1"/>
    <x v="58"/>
    <n v="9818.2285714285717"/>
    <x v="2"/>
    <n v="60"/>
    <n v="163.63714285714286"/>
    <n v="1"/>
    <n v="9818.2285714285717"/>
    <n v="20.475200000000001"/>
    <n v="201030.19364571429"/>
    <n v="110.907"/>
    <n v="120.15900000000001"/>
    <n v="1.0833999999999999"/>
    <n v="217796.11179576683"/>
    <n v="3629.9351965961137"/>
    <m/>
    <n v="60"/>
    <s v="Sale"/>
    <x v="30"/>
    <x v="1"/>
    <n v="7949.2099999999991"/>
    <n v="1"/>
    <n v="7949.2099999999991"/>
    <n v="20.044699999999999"/>
    <n v="159339.52968699997"/>
    <n v="217796.11179576683"/>
    <n v="-58456.582108766859"/>
    <n v="1.1479452054794521"/>
    <n v="1"/>
    <n v="-58456.582108766859"/>
    <n v="0"/>
    <m/>
    <n v="-1869.0185714285726"/>
    <m/>
    <n v="-0.19036209615933058"/>
    <m/>
  </r>
  <r>
    <x v="4"/>
    <s v="Purchase"/>
    <x v="57"/>
    <x v="2"/>
    <x v="1"/>
    <x v="58"/>
    <n v="654.54857142857145"/>
    <x v="2"/>
    <n v="4"/>
    <n v="163.63714285714286"/>
    <n v="1"/>
    <n v="654.54857142857145"/>
    <n v="20.475200000000001"/>
    <n v="13402.012909714287"/>
    <n v="110.907"/>
    <n v="120.15900000000001"/>
    <n v="1.0833999999999999"/>
    <n v="14519.740786384458"/>
    <n v="3629.9351965961146"/>
    <m/>
    <n v="4"/>
    <s v="Sale"/>
    <x v="31"/>
    <x v="1"/>
    <n v="503.07"/>
    <n v="1"/>
    <n v="503.07"/>
    <n v="20.0383"/>
    <n v="10080.667581"/>
    <n v="14519.740786384458"/>
    <n v="-4439.0732053844586"/>
    <n v="1.1506849315068493"/>
    <n v="1"/>
    <n v="-4439.0732053844586"/>
    <n v="0"/>
    <m/>
    <n v="-151.47857142857146"/>
    <m/>
    <n v="-0.231424493216699"/>
    <m/>
  </r>
  <r>
    <x v="4"/>
    <s v="Purchase"/>
    <x v="58"/>
    <x v="2"/>
    <x v="1"/>
    <x v="59"/>
    <n v="1146.7802362204725"/>
    <x v="2"/>
    <n v="42"/>
    <n v="27.304291338582679"/>
    <n v="1"/>
    <n v="1146.7802362204725"/>
    <n v="19.814299999999999"/>
    <n v="22722.647634543308"/>
    <n v="112.419"/>
    <n v="118.98099999999999"/>
    <n v="1.0583"/>
    <n v="24047.377991637182"/>
    <n v="572.55661884850429"/>
    <m/>
    <n v="42"/>
    <s v="Sale"/>
    <x v="32"/>
    <x v="1"/>
    <n v="1045.089705882353"/>
    <n v="1"/>
    <n v="1045.089705882353"/>
    <n v="20.4465"/>
    <n v="21368.42667132353"/>
    <n v="24047.377991637179"/>
    <n v="-2678.9513203136485"/>
    <n v="0.77808219178082194"/>
    <n v="1"/>
    <n v="-2678.9513203136485"/>
    <n v="0"/>
    <m/>
    <n v="-101.69053033811952"/>
    <m/>
    <n v="-8.8674819399807966E-2"/>
    <m/>
  </r>
  <r>
    <x v="4"/>
    <s v="Purchase"/>
    <x v="58"/>
    <x v="2"/>
    <x v="1"/>
    <x v="52"/>
    <n v="5268.48"/>
    <x v="2"/>
    <n v="168"/>
    <n v="31.359999999999996"/>
    <n v="1"/>
    <n v="5268.48"/>
    <n v="19.944199999999999"/>
    <n v="105075.61881599999"/>
    <n v="113.018"/>
    <n v="118.98099999999999"/>
    <n v="1.0527"/>
    <n v="110613.10392760318"/>
    <n v="658.41133290239986"/>
    <m/>
    <n v="168"/>
    <s v="Sale"/>
    <x v="32"/>
    <x v="1"/>
    <n v="4180.3588235294119"/>
    <n v="1"/>
    <n v="4180.3588235294119"/>
    <n v="20.4465"/>
    <n v="85473.706685294121"/>
    <n v="110613.10392760318"/>
    <n v="-25139.39724230906"/>
    <n v="0.74794520547945209"/>
    <n v="1"/>
    <n v="-25139.39724230906"/>
    <n v="0"/>
    <m/>
    <n v="-1088.1211764705877"/>
    <m/>
    <n v="-0.2065341761704681"/>
    <m/>
  </r>
  <r>
    <x v="4"/>
    <s v="Purchase"/>
    <x v="58"/>
    <x v="2"/>
    <x v="1"/>
    <x v="60"/>
    <n v="6508.0804945054942"/>
    <x v="2"/>
    <n v="198"/>
    <n v="32.869093406593407"/>
    <n v="1"/>
    <n v="6508.0804945054942"/>
    <n v="20.571200000000001"/>
    <n v="133879.02546857143"/>
    <n v="113.018"/>
    <n v="118.98099999999999"/>
    <n v="1.0527"/>
    <n v="140934.45011076514"/>
    <n v="711.79015207457144"/>
    <m/>
    <n v="198"/>
    <s v="Sale"/>
    <x v="32"/>
    <x v="1"/>
    <n v="4926.8514705882353"/>
    <n v="1"/>
    <n v="4926.8514705882353"/>
    <n v="20.4465"/>
    <n v="100736.86859338236"/>
    <n v="140934.45011076514"/>
    <n v="-40197.581517382787"/>
    <n v="0.68493150684931503"/>
    <n v="1"/>
    <n v="-40197.581517382787"/>
    <n v="0"/>
    <m/>
    <n v="-1581.2290239172589"/>
    <m/>
    <n v="-0.24296396230074688"/>
    <m/>
  </r>
  <r>
    <x v="4"/>
    <s v="Purchase"/>
    <x v="58"/>
    <x v="2"/>
    <x v="1"/>
    <x v="60"/>
    <n v="5456.2695054945052"/>
    <x v="2"/>
    <n v="166"/>
    <n v="32.869093406593407"/>
    <n v="1"/>
    <n v="5456.2695054945052"/>
    <n v="20.571200000000001"/>
    <n v="112242.01125142857"/>
    <n v="113.018"/>
    <n v="118.98099999999999"/>
    <n v="1.0527"/>
    <n v="118157.16524437885"/>
    <n v="711.79015207457132"/>
    <m/>
    <n v="166"/>
    <s v="Sale"/>
    <x v="33"/>
    <x v="1"/>
    <n v="4807.7693766937664"/>
    <n v="1"/>
    <n v="4807.7693766937664"/>
    <n v="20.119499999999999"/>
    <n v="96729.915974390227"/>
    <n v="118157.16524437883"/>
    <n v="-21427.249269988606"/>
    <n v="0.76438356164383559"/>
    <n v="1"/>
    <n v="-21427.249269988606"/>
    <n v="0"/>
    <m/>
    <n v="-648.50012880073882"/>
    <m/>
    <n v="-0.11885412334337485"/>
    <m/>
  </r>
  <r>
    <x v="4"/>
    <s v="Purchase"/>
    <x v="58"/>
    <x v="2"/>
    <x v="1"/>
    <x v="61"/>
    <n v="5131.8219287833826"/>
    <x v="2"/>
    <n v="203"/>
    <n v="25.279910979228486"/>
    <n v="1"/>
    <n v="5131.8219287833826"/>
    <n v="19.941199999999998"/>
    <n v="102334.68744625518"/>
    <n v="113.682"/>
    <n v="118.98099999999999"/>
    <n v="1.0466"/>
    <n v="107103.48388125066"/>
    <n v="527.603368873156"/>
    <m/>
    <n v="203"/>
    <s v="Sale"/>
    <x v="33"/>
    <x v="1"/>
    <n v="5879.3806233062323"/>
    <n v="1"/>
    <n v="5879.3806233062323"/>
    <n v="20.119499999999999"/>
    <n v="118290.19845060974"/>
    <n v="107103.48388125066"/>
    <n v="11186.714569359072"/>
    <n v="0.69589041095890414"/>
    <n v="1"/>
    <n v="11186.714569359072"/>
    <n v="0"/>
    <m/>
    <n v="747.55869452284969"/>
    <m/>
    <n v="0.14567120700933514"/>
    <m/>
  </r>
  <r>
    <x v="4"/>
    <s v="Purchase"/>
    <x v="58"/>
    <x v="2"/>
    <x v="1"/>
    <x v="61"/>
    <n v="3387.5080712166173"/>
    <x v="2"/>
    <n v="134"/>
    <n v="25.279910979228486"/>
    <n v="1"/>
    <n v="3387.5080712166173"/>
    <n v="19.941199999999998"/>
    <n v="67550.97594974481"/>
    <n v="113.682"/>
    <n v="120.15900000000001"/>
    <n v="1.0569"/>
    <n v="71394.62648128529"/>
    <n v="532.79572000959172"/>
    <m/>
    <n v="134"/>
    <s v="Sale"/>
    <x v="34"/>
    <x v="1"/>
    <n v="3449.9052040816327"/>
    <n v="1"/>
    <n v="3449.9052040816327"/>
    <n v="20.160499999999999"/>
    <n v="69551.813866887751"/>
    <n v="71394.62648128529"/>
    <n v="-1842.8126143975387"/>
    <n v="0.72876712328767124"/>
    <n v="1"/>
    <n v="-1842.8126143975387"/>
    <n v="0"/>
    <m/>
    <n v="62.397132865015465"/>
    <m/>
    <n v="1.8419773932112183E-2"/>
    <m/>
  </r>
  <r>
    <x v="4"/>
    <s v="Purchase"/>
    <x v="58"/>
    <x v="2"/>
    <x v="1"/>
    <x v="62"/>
    <n v="6899.4385929648242"/>
    <x v="2"/>
    <n v="258"/>
    <n v="26.742010050251256"/>
    <n v="1"/>
    <n v="6899.4385929648242"/>
    <n v="20.293299999999999"/>
    <n v="140012.37719861305"/>
    <n v="113.899"/>
    <n v="120.15900000000001"/>
    <n v="1.0548999999999999"/>
    <n v="147699.05670681689"/>
    <n v="572.47696397991047"/>
    <m/>
    <n v="258"/>
    <s v="Sale"/>
    <x v="34"/>
    <x v="1"/>
    <n v="6642.3547959183679"/>
    <n v="1"/>
    <n v="6642.3547959183679"/>
    <n v="20.160499999999999"/>
    <n v="133913.19386311225"/>
    <n v="147699.05670681689"/>
    <n v="-13785.862843704643"/>
    <n v="0.62191780821917808"/>
    <n v="1"/>
    <n v="-13785.862843704643"/>
    <n v="0"/>
    <m/>
    <n v="-257.08379704645631"/>
    <m/>
    <n v="-3.7261553035430724E-2"/>
    <m/>
  </r>
  <r>
    <x v="4"/>
    <s v="Purchase"/>
    <x v="58"/>
    <x v="2"/>
    <x v="1"/>
    <x v="62"/>
    <n v="3743.8814070351759"/>
    <x v="2"/>
    <n v="140"/>
    <n v="26.742010050251256"/>
    <n v="1"/>
    <n v="3743.8814070351759"/>
    <n v="20.293299999999999"/>
    <n v="75975.708557386926"/>
    <n v="113.899"/>
    <n v="120.809"/>
    <n v="1.0606"/>
    <n v="80579.83649596457"/>
    <n v="575.57026068546122"/>
    <m/>
    <n v="140"/>
    <s v="Sale"/>
    <x v="1"/>
    <x v="1"/>
    <n v="1952.5494117647056"/>
    <n v="1"/>
    <n v="1952.5494117647056"/>
    <n v="20.372"/>
    <n v="39777.33661647058"/>
    <n v="80579.83649596457"/>
    <n v="-40802.499879493989"/>
    <n v="0.70684931506849313"/>
    <n v="1"/>
    <n v="-40802.499879493989"/>
    <n v="0"/>
    <m/>
    <n v="-1791.3319952704703"/>
    <m/>
    <n v="-0.47846921430373174"/>
    <m/>
  </r>
  <r>
    <x v="4"/>
    <s v="Purchase"/>
    <x v="58"/>
    <x v="2"/>
    <x v="1"/>
    <x v="62"/>
    <n v="2315.0700000000002"/>
    <x v="2"/>
    <n v="87"/>
    <n v="26.610000000000003"/>
    <n v="1"/>
    <n v="2315.0700000000002"/>
    <n v="20.293299999999999"/>
    <n v="46980.410030999999"/>
    <n v="113.899"/>
    <n v="120.809"/>
    <n v="1.0606"/>
    <n v="49827.422878878599"/>
    <n v="572.72899860780001"/>
    <m/>
    <n v="87"/>
    <s v="Sale"/>
    <x v="1"/>
    <x v="1"/>
    <n v="1213.3699915966386"/>
    <n v="1"/>
    <n v="1213.3699915966386"/>
    <n v="20.372"/>
    <n v="24718.773468806721"/>
    <n v="49827.422878878599"/>
    <n v="-25108.649410071877"/>
    <n v="0.70684931506849313"/>
    <n v="1"/>
    <n v="-25108.649410071877"/>
    <n v="0"/>
    <m/>
    <n v="-1101.7000084033616"/>
    <m/>
    <n v="-0.47588194240492149"/>
    <m/>
  </r>
  <r>
    <x v="4"/>
    <s v="Purchase"/>
    <x v="58"/>
    <x v="2"/>
    <x v="1"/>
    <x v="56"/>
    <n v="213.61"/>
    <x v="2"/>
    <n v="5"/>
    <n v="42.722000000000001"/>
    <n v="1"/>
    <n v="213.61"/>
    <n v="20.691199999999998"/>
    <n v="4419.8472320000001"/>
    <n v="116.884"/>
    <n v="120.809"/>
    <n v="1.0335000000000001"/>
    <n v="4567.9121142720005"/>
    <n v="913.58242285440008"/>
    <m/>
    <n v="5"/>
    <s v="Sale"/>
    <x v="1"/>
    <x v="1"/>
    <n v="69.733907563025198"/>
    <n v="1"/>
    <n v="69.733907563025198"/>
    <n v="20.372"/>
    <n v="1420.6191648739493"/>
    <n v="4567.9121142720005"/>
    <n v="-3147.292949398051"/>
    <n v="0.47671232876712327"/>
    <n v="1"/>
    <n v="-3147.292949398051"/>
    <n v="0"/>
    <m/>
    <n v="-143.87609243697483"/>
    <m/>
    <n v="-0.67354567874619553"/>
    <m/>
  </r>
  <r>
    <x v="4"/>
    <s v="Purchase"/>
    <x v="58"/>
    <x v="2"/>
    <x v="1"/>
    <x v="63"/>
    <n v="12810.319999999998"/>
    <x v="2"/>
    <n v="355"/>
    <n v="36.085408450704222"/>
    <n v="1"/>
    <n v="12810.319999999998"/>
    <n v="21.4177"/>
    <n v="274367.59066399996"/>
    <n v="117.30800000000001"/>
    <n v="120.809"/>
    <n v="1.0298"/>
    <n v="282543.74486578716"/>
    <n v="795.89787286137232"/>
    <m/>
    <n v="355"/>
    <s v="Sale"/>
    <x v="1"/>
    <x v="1"/>
    <n v="4951.1074369747894"/>
    <n v="1"/>
    <n v="4951.1074369747894"/>
    <n v="20.372"/>
    <n v="100863.96070605041"/>
    <n v="282543.74486578716"/>
    <n v="-181679.78415973677"/>
    <n v="0.42739726027397262"/>
    <n v="1"/>
    <n v="-181679.78415973677"/>
    <n v="0"/>
    <m/>
    <n v="-7859.2125630252085"/>
    <m/>
    <n v="-0.6135063419981085"/>
    <m/>
  </r>
  <r>
    <x v="4"/>
    <s v="Purchase"/>
    <x v="58"/>
    <x v="2"/>
    <x v="1"/>
    <x v="64"/>
    <n v="165"/>
    <x v="2"/>
    <n v="6"/>
    <n v="27.5"/>
    <n v="1"/>
    <n v="165"/>
    <n v="20.9238"/>
    <n v="3452.4270000000001"/>
    <n v="117.30800000000001"/>
    <n v="120.809"/>
    <n v="1.0298"/>
    <n v="3555.3093246000003"/>
    <n v="592.55155410000009"/>
    <m/>
    <n v="6"/>
    <s v="Sale"/>
    <x v="1"/>
    <x v="1"/>
    <n v="83.680689075630241"/>
    <n v="1"/>
    <n v="83.680689075630241"/>
    <n v="20.372"/>
    <n v="1704.7429978487392"/>
    <n v="3555.3093246000008"/>
    <n v="-1850.5663267512616"/>
    <n v="0.39178082191780822"/>
    <n v="1"/>
    <n v="-1850.5663267512616"/>
    <n v="0"/>
    <m/>
    <n v="-81.319310924369759"/>
    <m/>
    <n v="-0.49284430863254397"/>
    <m/>
  </r>
  <r>
    <x v="4"/>
    <s v="Purchase"/>
    <x v="58"/>
    <x v="2"/>
    <x v="1"/>
    <x v="64"/>
    <n v="4626.12"/>
    <x v="2"/>
    <n v="168"/>
    <n v="27.536428571428569"/>
    <n v="1"/>
    <n v="4626.12"/>
    <n v="20.9238"/>
    <n v="96796.009655999995"/>
    <n v="117.30800000000001"/>
    <n v="120.809"/>
    <n v="1.0298"/>
    <n v="99680.530743748794"/>
    <n v="593.3364925223143"/>
    <m/>
    <n v="168"/>
    <s v="Sale"/>
    <x v="1"/>
    <x v="1"/>
    <n v="2343.0592941176469"/>
    <n v="1"/>
    <n v="2343.0592941176469"/>
    <n v="20.372"/>
    <n v="47732.803939764701"/>
    <n v="99680.530743748808"/>
    <n v="-51947.726803984107"/>
    <n v="0.39178082191780822"/>
    <n v="1"/>
    <n v="-51947.726803984107"/>
    <n v="0"/>
    <m/>
    <n v="-2283.060705882353"/>
    <m/>
    <n v="-0.49351523650107498"/>
    <m/>
  </r>
  <r>
    <x v="4"/>
    <s v="Purchase"/>
    <x v="58"/>
    <x v="2"/>
    <x v="1"/>
    <x v="65"/>
    <n v="298.29000000000002"/>
    <x v="2"/>
    <n v="13"/>
    <n v="22.945384615384619"/>
    <n v="1"/>
    <n v="298.29000000000002"/>
    <n v="20.402999999999999"/>
    <n v="6086.0108700000001"/>
    <n v="118.002"/>
    <n v="120.809"/>
    <n v="1.0237000000000001"/>
    <n v="6230.2493276190007"/>
    <n v="479.24994827838469"/>
    <m/>
    <n v="13"/>
    <s v="Sale"/>
    <x v="1"/>
    <x v="1"/>
    <n v="181.30815966386552"/>
    <n v="1"/>
    <n v="181.30815966386552"/>
    <n v="20.372"/>
    <n v="3693.6098286722686"/>
    <n v="6230.2493276190007"/>
    <n v="-2536.6394989467321"/>
    <n v="0.30684931506849317"/>
    <n v="1"/>
    <n v="-2536.6394989467321"/>
    <n v="0"/>
    <m/>
    <n v="-116.9818403361345"/>
    <m/>
    <n v="-0.39217486451484962"/>
    <m/>
  </r>
  <r>
    <x v="4"/>
    <s v="Purchase"/>
    <x v="58"/>
    <x v="2"/>
    <x v="1"/>
    <x v="65"/>
    <n v="9568.25"/>
    <x v="2"/>
    <n v="416"/>
    <n v="23.00060096153846"/>
    <n v="1"/>
    <n v="9568.25"/>
    <n v="20.402999999999999"/>
    <n v="195221.00474999999"/>
    <n v="118.002"/>
    <n v="120.809"/>
    <n v="1.0237000000000001"/>
    <n v="199847.742562575"/>
    <n v="480.40322731388221"/>
    <m/>
    <n v="416"/>
    <s v="Sale"/>
    <x v="1"/>
    <x v="1"/>
    <n v="5801.8611092436968"/>
    <n v="1"/>
    <n v="5801.8611092436968"/>
    <n v="20.372"/>
    <n v="118195.51451751259"/>
    <n v="199847.742562575"/>
    <n v="-81652.228045062409"/>
    <n v="0.30684931506849317"/>
    <n v="1"/>
    <n v="-81652.228045062409"/>
    <n v="0"/>
    <m/>
    <n v="-3766.3888907563032"/>
    <m/>
    <n v="-0.393634038696345"/>
    <m/>
  </r>
  <r>
    <x v="4"/>
    <s v="Purchase"/>
    <x v="26"/>
    <x v="2"/>
    <x v="1"/>
    <x v="39"/>
    <n v="11190.83"/>
    <x v="2"/>
    <n v="42"/>
    <n v="266.44833333333332"/>
    <n v="1"/>
    <n v="11190.83"/>
    <n v="21.4177"/>
    <n v="239681.839691"/>
    <n v="111.824"/>
    <n v="118.002"/>
    <n v="1.0551999999999999"/>
    <n v="252912.27724194317"/>
    <n v="6021.720886712933"/>
    <m/>
    <n v="42"/>
    <s v="Sale"/>
    <x v="35"/>
    <x v="1"/>
    <n v="10212.819814814815"/>
    <n v="1"/>
    <n v="10212.819814814815"/>
    <n v="20.58"/>
    <n v="210179.83178888887"/>
    <n v="252912.27724194317"/>
    <n v="-42732.445453054301"/>
    <n v="0.90410958904109584"/>
    <n v="1"/>
    <n v="-42732.445453054301"/>
    <n v="0"/>
    <m/>
    <n v="-978.01018518518504"/>
    <m/>
    <n v="-8.7393891711801994E-2"/>
    <m/>
  </r>
  <r>
    <x v="4"/>
    <s v="Purchase"/>
    <x v="26"/>
    <x v="2"/>
    <x v="1"/>
    <x v="66"/>
    <n v="17611.29"/>
    <x v="2"/>
    <n v="64"/>
    <n v="275.17640625000001"/>
    <n v="1"/>
    <n v="17611.29"/>
    <n v="20.985299999999999"/>
    <n v="369578.20403700002"/>
    <n v="111.824"/>
    <n v="118.002"/>
    <n v="1.0551999999999999"/>
    <n v="389978.9208998424"/>
    <n v="6093.4206390600375"/>
    <m/>
    <n v="64"/>
    <s v="Sale"/>
    <x v="35"/>
    <x v="1"/>
    <n v="15562.392098765433"/>
    <n v="1"/>
    <n v="15562.392098765433"/>
    <n v="20.58"/>
    <n v="320274.02939259261"/>
    <n v="389978.9208998424"/>
    <n v="-69704.891507249791"/>
    <n v="0.89863013698630134"/>
    <n v="1"/>
    <n v="-69704.891507249791"/>
    <n v="0"/>
    <m/>
    <n v="-2048.8979012345681"/>
    <m/>
    <n v="-0.1163400239979336"/>
    <m/>
  </r>
  <r>
    <x v="4"/>
    <s v="Purchase"/>
    <x v="26"/>
    <x v="2"/>
    <x v="1"/>
    <x v="67"/>
    <n v="37663.56"/>
    <x v="2"/>
    <n v="128"/>
    <n v="294.24656249999998"/>
    <n v="1"/>
    <n v="37663.56"/>
    <n v="20.482299999999999"/>
    <n v="771436.33498799987"/>
    <n v="111.824"/>
    <n v="118.002"/>
    <n v="1.0551999999999999"/>
    <n v="814019.62067933741"/>
    <n v="6359.5282865573236"/>
    <m/>
    <n v="128"/>
    <s v="Sale"/>
    <x v="35"/>
    <x v="1"/>
    <n v="31124.784197530866"/>
    <n v="1"/>
    <n v="31124.784197530866"/>
    <n v="20.58"/>
    <n v="640548.05878518522"/>
    <n v="814019.62067933741"/>
    <n v="-173471.5618941522"/>
    <n v="0.86849315068493149"/>
    <n v="1"/>
    <n v="-173471.5618941522"/>
    <n v="0"/>
    <m/>
    <n v="-6538.775802469132"/>
    <m/>
    <n v="-0.17361013676001771"/>
    <m/>
  </r>
  <r>
    <x v="4"/>
    <s v="Purchase"/>
    <x v="26"/>
    <x v="2"/>
    <x v="1"/>
    <x v="68"/>
    <n v="14789.43"/>
    <x v="2"/>
    <n v="48"/>
    <n v="308.11312500000003"/>
    <n v="1"/>
    <n v="14789.43"/>
    <n v="20.058299999999999"/>
    <n v="296650.82376900001"/>
    <n v="112.19"/>
    <n v="118.002"/>
    <n v="1.0518000000000001"/>
    <n v="312017.33644023421"/>
    <n v="6500.3611758382131"/>
    <m/>
    <n v="48"/>
    <s v="Sale"/>
    <x v="35"/>
    <x v="1"/>
    <n v="11671.794074074074"/>
    <n v="1"/>
    <n v="11671.794074074074"/>
    <n v="20.58"/>
    <n v="240205.52204444443"/>
    <n v="312017.33644023421"/>
    <n v="-71811.814395789785"/>
    <n v="0.80273972602739729"/>
    <n v="1"/>
    <n v="-71811.814395789785"/>
    <n v="0"/>
    <m/>
    <n v="-3117.6359259259261"/>
    <m/>
    <n v="-0.21080162832008578"/>
    <m/>
  </r>
  <r>
    <x v="4"/>
    <s v="Purchase"/>
    <x v="26"/>
    <x v="2"/>
    <x v="1"/>
    <x v="52"/>
    <n v="13889.527826086958"/>
    <x v="2"/>
    <n v="42"/>
    <n v="330.70304347826089"/>
    <n v="1"/>
    <n v="13889.527826086958"/>
    <n v="19.944199999999999"/>
    <n v="277015.52086904348"/>
    <n v="113.018"/>
    <n v="118.002"/>
    <n v="1.044"/>
    <n v="289204.20378728141"/>
    <n v="6885.8143758876522"/>
    <m/>
    <n v="42"/>
    <s v="Sale"/>
    <x v="35"/>
    <x v="1"/>
    <n v="10212.819814814815"/>
    <n v="1"/>
    <n v="10212.819814814815"/>
    <n v="20.58"/>
    <n v="210179.83178888887"/>
    <n v="289204.20378728141"/>
    <n v="-79024.37199839254"/>
    <n v="0.67671232876712328"/>
    <n v="1"/>
    <n v="-79024.37199839254"/>
    <n v="0"/>
    <m/>
    <n v="-3676.7080112721433"/>
    <m/>
    <n v="-0.26471079919409812"/>
    <m/>
  </r>
  <r>
    <x v="4"/>
    <s v="Purchase"/>
    <x v="26"/>
    <x v="2"/>
    <x v="1"/>
    <x v="52"/>
    <n v="1322.8121739130436"/>
    <x v="2"/>
    <n v="4"/>
    <n v="330.70304347826089"/>
    <n v="1"/>
    <n v="1322.8121739130436"/>
    <n v="19.944199999999999"/>
    <n v="26382.430558956523"/>
    <n v="113.018"/>
    <n v="118.002"/>
    <n v="1.044"/>
    <n v="27543.257503550612"/>
    <n v="6885.8143758876531"/>
    <m/>
    <n v="4"/>
    <s v="Sale"/>
    <x v="36"/>
    <x v="1"/>
    <n v="929.66765432098771"/>
    <n v="1"/>
    <n v="929.66765432098771"/>
    <n v="20.600300000000001"/>
    <n v="19151.432579308643"/>
    <n v="27543.257503550612"/>
    <n v="-8391.8249242419697"/>
    <n v="0.67945205479452053"/>
    <n v="1"/>
    <n v="-8391.8249242419697"/>
    <n v="0"/>
    <m/>
    <n v="-393.14451959205587"/>
    <m/>
    <n v="-0.29720358441295963"/>
    <m/>
  </r>
  <r>
    <x v="4"/>
    <s v="Purchase"/>
    <x v="26"/>
    <x v="2"/>
    <x v="1"/>
    <x v="69"/>
    <n v="27119.71"/>
    <x v="2"/>
    <n v="77"/>
    <n v="352.20402597402597"/>
    <n v="1"/>
    <n v="27119.71"/>
    <n v="19.88"/>
    <n v="539139.83479999995"/>
    <n v="113.682"/>
    <n v="118.002"/>
    <n v="1.038"/>
    <n v="559627.14852239995"/>
    <n v="7267.8850457454537"/>
    <m/>
    <n v="77"/>
    <s v="Sale"/>
    <x v="36"/>
    <x v="1"/>
    <n v="17896.102345679014"/>
    <n v="1"/>
    <n v="17896.102345679014"/>
    <n v="20.600300000000001"/>
    <n v="368665.07715169137"/>
    <n v="559627.14852239995"/>
    <n v="-190962.07137070858"/>
    <n v="0.56438356164383563"/>
    <n v="1"/>
    <n v="-190962.07137070858"/>
    <n v="0"/>
    <m/>
    <n v="-9223.6076543209856"/>
    <m/>
    <n v="-0.3401071639158747"/>
    <m/>
  </r>
  <r>
    <x v="4"/>
    <s v="Purchase"/>
    <x v="59"/>
    <x v="2"/>
    <x v="1"/>
    <x v="70"/>
    <n v="230.76333333333332"/>
    <x v="2"/>
    <n v="1"/>
    <n v="230.76333333333332"/>
    <n v="1"/>
    <n v="230.76333333333332"/>
    <n v="20.1052"/>
    <n v="4639.5429693333335"/>
    <n v="114.601"/>
    <n v="118.98099999999999"/>
    <n v="1.0382"/>
    <n v="4816.7735107618673"/>
    <n v="4816.7735107618673"/>
    <m/>
    <n v="1"/>
    <s v="Sale"/>
    <x v="37"/>
    <x v="1"/>
    <n v="286.51"/>
    <n v="1"/>
    <n v="286.51"/>
    <n v="20.4145"/>
    <n v="5848.9583949999997"/>
    <n v="4816.7735107618673"/>
    <n v="1032.1848842381323"/>
    <n v="0.47945205479452052"/>
    <n v="1"/>
    <n v="1032.1848842381323"/>
    <n v="0"/>
    <m/>
    <n v="55.74666666666667"/>
    <m/>
    <n v="0.2415750624738188"/>
    <m/>
  </r>
  <r>
    <x v="4"/>
    <s v="Purchase"/>
    <x v="59"/>
    <x v="2"/>
    <x v="1"/>
    <x v="70"/>
    <n v="692.29"/>
    <x v="2"/>
    <n v="3"/>
    <n v="230.76333333333332"/>
    <n v="1"/>
    <n v="692.29"/>
    <n v="20.1052"/>
    <n v="13918.628907999999"/>
    <n v="114.601"/>
    <n v="118.98099999999999"/>
    <n v="1.0382"/>
    <n v="14450.320532285599"/>
    <n v="4816.7735107618664"/>
    <m/>
    <n v="3"/>
    <s v="Sale"/>
    <x v="37"/>
    <x v="1"/>
    <n v="855.73909090909092"/>
    <n v="1"/>
    <n v="855.73909090909092"/>
    <n v="20.4145"/>
    <n v="17469.485671363636"/>
    <n v="14450.320532285599"/>
    <n v="3019.1651390780371"/>
    <n v="0.47945205479452052"/>
    <n v="1"/>
    <n v="3019.1651390780371"/>
    <n v="0"/>
    <m/>
    <n v="163.44909090909096"/>
    <m/>
    <n v="0.23609916495845812"/>
    <m/>
  </r>
  <r>
    <x v="4"/>
    <s v="Purchase"/>
    <x v="59"/>
    <x v="2"/>
    <x v="1"/>
    <x v="70"/>
    <n v="1842.96"/>
    <x v="2"/>
    <n v="8"/>
    <n v="230.37"/>
    <n v="1"/>
    <n v="1842.96"/>
    <n v="20.1052"/>
    <n v="37053.079392"/>
    <n v="114.601"/>
    <n v="118.98099999999999"/>
    <n v="1.0382"/>
    <n v="38468.507024774401"/>
    <n v="4808.5633780968001"/>
    <m/>
    <n v="8"/>
    <s v="Sale"/>
    <x v="37"/>
    <x v="1"/>
    <n v="2281.9709090909091"/>
    <n v="1"/>
    <n v="2281.9709090909091"/>
    <n v="20.4145"/>
    <n v="46585.295123636366"/>
    <n v="38468.507024774401"/>
    <n v="8116.7880988619654"/>
    <n v="0.47945205479452052"/>
    <n v="1"/>
    <n v="8116.7880988619654"/>
    <n v="0"/>
    <m/>
    <n v="439.01090909090908"/>
    <m/>
    <n v="0.23820967850138314"/>
    <m/>
  </r>
  <r>
    <x v="4"/>
    <s v="Purchase"/>
    <x v="59"/>
    <x v="2"/>
    <x v="1"/>
    <x v="70"/>
    <n v="460.74"/>
    <x v="2"/>
    <n v="2"/>
    <n v="230.37"/>
    <n v="1"/>
    <n v="460.74"/>
    <n v="20.1052"/>
    <n v="9263.2698479999999"/>
    <n v="114.601"/>
    <n v="118.98099999999999"/>
    <n v="1.0382"/>
    <n v="9617.1267561936002"/>
    <n v="4808.5633780968001"/>
    <m/>
    <n v="2"/>
    <s v="Sale"/>
    <x v="37"/>
    <x v="1"/>
    <n v="568.36"/>
    <n v="1"/>
    <n v="568.36"/>
    <n v="20.4145"/>
    <n v="11602.78522"/>
    <n v="9617.1267561936002"/>
    <n v="1985.6584638063996"/>
    <n v="0.47945205479452052"/>
    <n v="1"/>
    <n v="1985.6584638063996"/>
    <n v="0"/>
    <m/>
    <n v="107.62"/>
    <m/>
    <n v="0.23358076138386075"/>
    <m/>
  </r>
  <r>
    <x v="4"/>
    <s v="Purchase"/>
    <x v="59"/>
    <x v="2"/>
    <x v="1"/>
    <x v="70"/>
    <n v="1612.5900000000001"/>
    <x v="2"/>
    <n v="7"/>
    <n v="230.37000000000003"/>
    <n v="1"/>
    <n v="1612.5900000000001"/>
    <n v="20.1052"/>
    <n v="32421.444468000002"/>
    <n v="114.601"/>
    <n v="118.98099999999999"/>
    <n v="1.0382"/>
    <n v="33659.943646677602"/>
    <n v="4808.5633780968001"/>
    <m/>
    <n v="7"/>
    <s v="Sale"/>
    <x v="38"/>
    <x v="1"/>
    <n v="2011.1175000000001"/>
    <n v="1"/>
    <n v="2011.1175000000001"/>
    <n v="20.278199999999998"/>
    <n v="40781.842888499996"/>
    <n v="33659.943646677602"/>
    <n v="7121.8992418223934"/>
    <n v="0.48219178082191783"/>
    <n v="1"/>
    <n v="7121.8992418223934"/>
    <n v="0"/>
    <m/>
    <n v="398.52749999999992"/>
    <m/>
    <n v="0.24713504362547201"/>
    <m/>
  </r>
  <r>
    <x v="4"/>
    <s v="Purchase"/>
    <x v="59"/>
    <x v="2"/>
    <x v="1"/>
    <x v="71"/>
    <n v="235.61769230769232"/>
    <x v="2"/>
    <n v="1"/>
    <n v="235.61769230769232"/>
    <n v="1"/>
    <n v="235.61769230769232"/>
    <n v="20.306000000000001"/>
    <n v="4784.4528600000003"/>
    <n v="114.601"/>
    <n v="118.98099999999999"/>
    <n v="1.0382"/>
    <n v="4967.2189592520008"/>
    <n v="4967.2189592520008"/>
    <m/>
    <n v="1"/>
    <s v="Sale"/>
    <x v="38"/>
    <x v="1"/>
    <n v="287.30250000000001"/>
    <n v="1"/>
    <n v="287.30250000000001"/>
    <n v="20.278199999999998"/>
    <n v="5825.9775554999997"/>
    <n v="4967.2189592520008"/>
    <n v="858.75859624799887"/>
    <n v="0.47945205479452052"/>
    <n v="1"/>
    <n v="858.75859624799887"/>
    <n v="0"/>
    <m/>
    <n v="51.684807692307686"/>
    <m/>
    <n v="0.21935877219615865"/>
    <m/>
  </r>
  <r>
    <x v="4"/>
    <s v="Purchase"/>
    <x v="59"/>
    <x v="2"/>
    <x v="1"/>
    <x v="71"/>
    <n v="2827.4123076923079"/>
    <x v="2"/>
    <n v="12"/>
    <n v="235.61769230769232"/>
    <n v="1"/>
    <n v="2827.4123076923079"/>
    <n v="20.306000000000001"/>
    <n v="57413.434320000008"/>
    <n v="114.601"/>
    <n v="118.98099999999999"/>
    <n v="1.0382"/>
    <n v="59606.627511024009"/>
    <n v="4967.2189592520008"/>
    <m/>
    <n v="12"/>
    <s v="Sale"/>
    <x v="33"/>
    <x v="1"/>
    <n v="3468.6942857142858"/>
    <n v="1"/>
    <n v="3468.6942857142858"/>
    <n v="20.119499999999999"/>
    <n v="69788.394681428574"/>
    <n v="59606.627511024009"/>
    <n v="10181.767170404564"/>
    <n v="0.49589041095890413"/>
    <n v="1"/>
    <n v="10181.767170404564"/>
    <n v="0"/>
    <m/>
    <n v="641.28197802197792"/>
    <m/>
    <n v="0.22680879483947031"/>
    <m/>
  </r>
  <r>
    <x v="4"/>
    <s v="Purchase"/>
    <x v="59"/>
    <x v="2"/>
    <x v="1"/>
    <x v="72"/>
    <n v="3697.28"/>
    <x v="2"/>
    <n v="16"/>
    <n v="231.08"/>
    <n v="1"/>
    <n v="3697.28"/>
    <n v="20.510300000000001"/>
    <n v="75832.321984000009"/>
    <n v="115.56100000000001"/>
    <n v="118.98099999999999"/>
    <n v="1.0295000000000001"/>
    <n v="78069.375482528019"/>
    <n v="4879.3359676580012"/>
    <m/>
    <n v="16"/>
    <s v="Sale"/>
    <x v="33"/>
    <x v="1"/>
    <n v="4624.9257142857141"/>
    <n v="1"/>
    <n v="4624.9257142857141"/>
    <n v="20.119499999999999"/>
    <n v="93051.192908571422"/>
    <n v="78069.375482528019"/>
    <n v="14981.817426043403"/>
    <n v="0.48219178082191783"/>
    <n v="1"/>
    <n v="14981.817426043403"/>
    <n v="0"/>
    <m/>
    <n v="927.64571428571389"/>
    <m/>
    <n v="0.25089950295506802"/>
    <m/>
  </r>
  <r>
    <x v="4"/>
    <s v="Purchase"/>
    <x v="59"/>
    <x v="2"/>
    <x v="1"/>
    <x v="72"/>
    <n v="924.32"/>
    <x v="2"/>
    <n v="4"/>
    <n v="231.08"/>
    <n v="1"/>
    <n v="924.32"/>
    <n v="20.510300000000001"/>
    <n v="18958.080496000002"/>
    <n v="115.56100000000001"/>
    <n v="118.98099999999999"/>
    <n v="1.0295000000000001"/>
    <n v="19517.343870632005"/>
    <n v="4879.3359676580012"/>
    <m/>
    <n v="4"/>
    <s v="Sale"/>
    <x v="33"/>
    <x v="1"/>
    <n v="1153.8499999999999"/>
    <n v="1"/>
    <n v="1153.8499999999999"/>
    <n v="20.119499999999999"/>
    <n v="23214.885074999998"/>
    <n v="19517.343870632005"/>
    <n v="3697.5412043679935"/>
    <n v="0.48219178082191783"/>
    <n v="1"/>
    <n v="3697.5412043679935"/>
    <n v="0"/>
    <m/>
    <n v="229.52999999999986"/>
    <m/>
    <n v="0.24832309157001886"/>
    <m/>
  </r>
  <r>
    <x v="4"/>
    <s v="Purchase"/>
    <x v="59"/>
    <x v="2"/>
    <x v="1"/>
    <x v="72"/>
    <n v="1617.5600000000002"/>
    <x v="2"/>
    <n v="7"/>
    <n v="231.08"/>
    <n v="1"/>
    <n v="1617.5600000000002"/>
    <n v="20.510300000000001"/>
    <n v="33176.640868000002"/>
    <n v="115.56100000000001"/>
    <n v="118.98099999999999"/>
    <n v="1.0295000000000001"/>
    <n v="34155.351773606002"/>
    <n v="4879.3359676580003"/>
    <m/>
    <n v="7"/>
    <s v="Sale"/>
    <x v="33"/>
    <x v="1"/>
    <n v="2029.15"/>
    <n v="1"/>
    <n v="2029.15"/>
    <n v="20.119499999999999"/>
    <n v="40825.483424999999"/>
    <n v="34155.351773606002"/>
    <n v="6670.1316513939964"/>
    <n v="0.48219178082191783"/>
    <n v="1"/>
    <n v="6670.1316513939964"/>
    <n v="0"/>
    <m/>
    <n v="411.58999999999992"/>
    <m/>
    <n v="0.25445114864363599"/>
    <m/>
  </r>
  <r>
    <x v="4"/>
    <s v="Purchase"/>
    <x v="59"/>
    <x v="2"/>
    <x v="1"/>
    <x v="72"/>
    <n v="5083.76"/>
    <x v="2"/>
    <n v="22"/>
    <n v="231.08"/>
    <n v="1"/>
    <n v="5083.76"/>
    <n v="20.510300000000001"/>
    <n v="104269.44272800001"/>
    <n v="115.56100000000001"/>
    <n v="120.15900000000001"/>
    <n v="1.0397000000000001"/>
    <n v="108408.93960430162"/>
    <n v="4927.6790729228005"/>
    <m/>
    <n v="22"/>
    <s v="Sale"/>
    <x v="39"/>
    <x v="1"/>
    <n v="6826.3853658536573"/>
    <n v="1"/>
    <n v="6826.3853658536573"/>
    <n v="19.901199999999999"/>
    <n v="135853.26044292681"/>
    <n v="108408.93960430162"/>
    <n v="27444.320838625194"/>
    <n v="0.50410958904109593"/>
    <n v="1"/>
    <n v="27444.320838625194"/>
    <n v="0"/>
    <m/>
    <n v="1742.6253658536571"/>
    <m/>
    <n v="0.34278277610541352"/>
    <m/>
  </r>
  <r>
    <x v="4"/>
    <s v="Purchase"/>
    <x v="59"/>
    <x v="2"/>
    <x v="1"/>
    <x v="73"/>
    <n v="1398.95"/>
    <x v="2"/>
    <n v="6"/>
    <n v="233.15833333333333"/>
    <n v="1"/>
    <n v="1398.95"/>
    <n v="20.581800000000001"/>
    <n v="28792.909110000004"/>
    <n v="115.56100000000001"/>
    <n v="120.15900000000001"/>
    <n v="1.0397000000000001"/>
    <n v="29935.987601667006"/>
    <n v="4989.3312669445013"/>
    <m/>
    <n v="6"/>
    <s v="Sale"/>
    <x v="39"/>
    <x v="1"/>
    <n v="1861.7414634146339"/>
    <n v="1"/>
    <n v="1861.7414634146339"/>
    <n v="19.901199999999999"/>
    <n v="37050.889211707312"/>
    <n v="29935.98760166701"/>
    <n v="7114.9016100403023"/>
    <n v="0.49863013698630138"/>
    <n v="1"/>
    <n v="7114.9016100403023"/>
    <n v="0"/>
    <m/>
    <n v="462.79146341463388"/>
    <m/>
    <n v="0.3308134410912712"/>
    <m/>
  </r>
  <r>
    <x v="4"/>
    <s v="Purchase"/>
    <x v="59"/>
    <x v="2"/>
    <x v="1"/>
    <x v="73"/>
    <n v="3030.6582222222223"/>
    <x v="2"/>
    <n v="13"/>
    <n v="233.12755555555557"/>
    <n v="1"/>
    <n v="3030.6582222222223"/>
    <n v="20.581800000000001"/>
    <n v="62376.401398133341"/>
    <n v="115.56100000000001"/>
    <n v="120.15900000000001"/>
    <n v="1.0397000000000001"/>
    <n v="64852.744533639241"/>
    <n v="4988.6726564337878"/>
    <m/>
    <n v="13"/>
    <s v="Sale"/>
    <x v="39"/>
    <x v="1"/>
    <n v="4033.7731707317071"/>
    <n v="1"/>
    <n v="4033.7731707317071"/>
    <n v="19.901199999999999"/>
    <n v="80276.926625365842"/>
    <n v="64852.744533639241"/>
    <n v="15424.182091726601"/>
    <n v="0.49863013698630138"/>
    <n v="1"/>
    <n v="15424.182091726601"/>
    <n v="0"/>
    <m/>
    <n v="1003.1149485094847"/>
    <m/>
    <n v="0.33098913666812396"/>
    <m/>
  </r>
  <r>
    <x v="4"/>
    <s v="Purchase"/>
    <x v="59"/>
    <x v="2"/>
    <x v="1"/>
    <x v="73"/>
    <n v="7460.0817777777775"/>
    <x v="2"/>
    <n v="32"/>
    <n v="233.12755555555555"/>
    <n v="1"/>
    <n v="7460.0817777777775"/>
    <n v="20.581800000000001"/>
    <n v="153541.91113386667"/>
    <n v="115.56100000000001"/>
    <n v="120.15900000000001"/>
    <n v="1.0397000000000001"/>
    <n v="159637.52500588118"/>
    <n v="4988.6726564337869"/>
    <m/>
    <n v="32"/>
    <s v="Sale"/>
    <x v="40"/>
    <x v="1"/>
    <n v="9693.3302857142862"/>
    <n v="1"/>
    <n v="9693.3302857142862"/>
    <n v="20.0093"/>
    <n v="193956.75368594285"/>
    <n v="159637.52500588118"/>
    <n v="34319.228680061671"/>
    <n v="0.51506849315068493"/>
    <n v="1"/>
    <n v="34319.228680061671"/>
    <n v="0"/>
    <m/>
    <n v="2233.2485079365088"/>
    <m/>
    <n v="0.29935978913648759"/>
    <m/>
  </r>
  <r>
    <x v="4"/>
    <s v="Purchase"/>
    <x v="59"/>
    <x v="2"/>
    <x v="1"/>
    <x v="74"/>
    <n v="707.09999999999991"/>
    <x v="2"/>
    <n v="3"/>
    <n v="235.69999999999996"/>
    <n v="1"/>
    <n v="707.09999999999991"/>
    <n v="20.603999999999999"/>
    <n v="14569.088399999997"/>
    <n v="115.56100000000001"/>
    <n v="120.15900000000001"/>
    <n v="1.0397000000000001"/>
    <n v="15147.481209479998"/>
    <n v="5049.1604031599991"/>
    <m/>
    <n v="3"/>
    <s v="Sale"/>
    <x v="40"/>
    <x v="1"/>
    <n v="908.74971428571439"/>
    <n v="1"/>
    <n v="908.74971428571439"/>
    <n v="20.0093"/>
    <n v="18183.445658057146"/>
    <n v="15147.481209479996"/>
    <n v="3035.9644485771496"/>
    <n v="0.50410958904109593"/>
    <n v="1"/>
    <n v="3035.9644485771496"/>
    <n v="0"/>
    <m/>
    <n v="201.64971428571448"/>
    <m/>
    <n v="0.28517849566640435"/>
    <m/>
  </r>
  <r>
    <x v="4"/>
    <s v="Purchase"/>
    <x v="59"/>
    <x v="2"/>
    <x v="1"/>
    <x v="74"/>
    <n v="1178.5"/>
    <x v="2"/>
    <n v="5"/>
    <n v="235.7"/>
    <n v="1"/>
    <n v="1178.5"/>
    <n v="20.603999999999999"/>
    <n v="24281.813999999998"/>
    <n v="115.56100000000001"/>
    <n v="120.15900000000001"/>
    <n v="1.0397000000000001"/>
    <n v="25245.8020158"/>
    <n v="5049.16040316"/>
    <m/>
    <n v="5"/>
    <s v="Sale"/>
    <x v="40"/>
    <x v="1"/>
    <n v="1508.0250000000001"/>
    <n v="1"/>
    <n v="1508.0250000000001"/>
    <n v="20.0093"/>
    <n v="30174.524632500001"/>
    <n v="25245.8020158"/>
    <n v="4928.7226167000008"/>
    <n v="0.50410958904109593"/>
    <n v="1"/>
    <n v="4928.7226167000008"/>
    <n v="0"/>
    <m/>
    <n v="329.52500000000009"/>
    <m/>
    <n v="0.27961391599490887"/>
    <m/>
  </r>
  <r>
    <x v="4"/>
    <s v="Purchase"/>
    <x v="59"/>
    <x v="2"/>
    <x v="1"/>
    <x v="74"/>
    <n v="236.85"/>
    <x v="2"/>
    <n v="1"/>
    <n v="236.85"/>
    <n v="1"/>
    <n v="236.85"/>
    <n v="20.603999999999999"/>
    <n v="4880.0573999999997"/>
    <n v="115.56100000000001"/>
    <n v="120.15900000000001"/>
    <n v="1.0397000000000001"/>
    <n v="5073.7956787800003"/>
    <n v="5073.7956787800003"/>
    <m/>
    <n v="1"/>
    <s v="Sale"/>
    <x v="40"/>
    <x v="1"/>
    <n v="301.60500000000002"/>
    <n v="1"/>
    <n v="301.60500000000002"/>
    <n v="20.0093"/>
    <n v="6034.9049265000003"/>
    <n v="5073.7956787800003"/>
    <n v="961.10924771999998"/>
    <n v="0.50410958904109593"/>
    <n v="1"/>
    <n v="961.10924771999998"/>
    <n v="0"/>
    <m/>
    <n v="64.755000000000024"/>
    <m/>
    <n v="0.27340088663711221"/>
    <m/>
  </r>
  <r>
    <x v="4"/>
    <s v="Purchase"/>
    <x v="60"/>
    <x v="1"/>
    <x v="1"/>
    <x v="39"/>
    <n v="99.86666666666666"/>
    <x v="1"/>
    <n v="1"/>
    <n v="99.86666666666666"/>
    <n v="1"/>
    <n v="99.86666666666666"/>
    <n v="21.4177"/>
    <n v="2138.9143066666666"/>
    <n v="111.824"/>
    <n v="120.15900000000001"/>
    <n v="1.0745"/>
    <n v="2298.2634225133334"/>
    <n v="2298.2634225133334"/>
    <m/>
    <n v="1"/>
    <s v="Sale"/>
    <x v="41"/>
    <x v="1"/>
    <n v="34.384687499999998"/>
    <n v="1"/>
    <n v="34.384687499999998"/>
    <n v="21.194700000000001"/>
    <n v="728.77313615624996"/>
    <n v="2298.2634225133334"/>
    <n v="-1569.4902863570833"/>
    <n v="0.99726027397260275"/>
    <n v="1"/>
    <n v="-1569.4902863570833"/>
    <n v="0"/>
    <m/>
    <n v="-65.481979166666662"/>
    <m/>
    <n v="-0.65569405040053408"/>
    <m/>
  </r>
  <r>
    <x v="4"/>
    <s v="Purchase"/>
    <x v="60"/>
    <x v="1"/>
    <x v="1"/>
    <x v="75"/>
    <n v="3129.0957142857142"/>
    <x v="1"/>
    <n v="31"/>
    <n v="100.93857142857142"/>
    <n v="1"/>
    <n v="3129.0957142857142"/>
    <n v="21.2575"/>
    <n v="66516.752146428567"/>
    <n v="111.824"/>
    <n v="120.15900000000001"/>
    <n v="1.0745"/>
    <n v="71472.250181337498"/>
    <n v="2305.5564574625"/>
    <m/>
    <n v="31"/>
    <s v="Sale"/>
    <x v="41"/>
    <x v="1"/>
    <n v="1065.9253125"/>
    <n v="1"/>
    <n v="1065.9253125"/>
    <n v="21.194700000000001"/>
    <n v="22591.967220843751"/>
    <n v="71472.250181337498"/>
    <n v="-48880.282960493743"/>
    <n v="0.9945205479452055"/>
    <n v="1"/>
    <n v="-48880.282960493743"/>
    <n v="0"/>
    <m/>
    <n v="-2063.1704017857141"/>
    <m/>
    <n v="-0.65935036514428857"/>
    <m/>
  </r>
  <r>
    <x v="4"/>
    <s v="Purchase"/>
    <x v="60"/>
    <x v="1"/>
    <x v="1"/>
    <x v="75"/>
    <n v="403.75428571428569"/>
    <x v="1"/>
    <n v="4"/>
    <n v="100.93857142857142"/>
    <n v="1"/>
    <n v="403.75428571428569"/>
    <n v="21.2575"/>
    <n v="8582.8067285714278"/>
    <n v="111.824"/>
    <n v="120.15900000000001"/>
    <n v="1.0745"/>
    <n v="9222.2258298500001"/>
    <n v="2305.5564574625"/>
    <m/>
    <n v="4"/>
    <s v="Sale"/>
    <x v="41"/>
    <x v="1"/>
    <n v="151.85720000000001"/>
    <n v="1"/>
    <n v="151.85720000000001"/>
    <n v="21.194700000000001"/>
    <n v="3218.5677968400005"/>
    <n v="9222.2258298500001"/>
    <n v="-6003.6580330099996"/>
    <n v="0.9945205479452055"/>
    <n v="1"/>
    <n v="-6003.6580330099996"/>
    <n v="0"/>
    <m/>
    <n v="-251.89708571428568"/>
    <m/>
    <n v="-0.62388708832812034"/>
    <m/>
  </r>
  <r>
    <x v="4"/>
    <s v="Purchase"/>
    <x v="60"/>
    <x v="1"/>
    <x v="1"/>
    <x v="33"/>
    <n v="670.8"/>
    <x v="1"/>
    <n v="6"/>
    <n v="111.8"/>
    <n v="1"/>
    <n v="670.8"/>
    <n v="19.886500000000002"/>
    <n v="13339.8642"/>
    <n v="112.19"/>
    <n v="120.15900000000001"/>
    <n v="1.071"/>
    <n v="14286.9945582"/>
    <n v="2381.1657596999999"/>
    <m/>
    <n v="6"/>
    <s v="Sale"/>
    <x v="41"/>
    <x v="1"/>
    <n v="227.78579999999999"/>
    <n v="1"/>
    <n v="227.78579999999999"/>
    <n v="21.194700000000001"/>
    <n v="4827.8516952600003"/>
    <n v="14286.9945582"/>
    <n v="-9459.1428629399998"/>
    <n v="0.86849315068493149"/>
    <n v="1"/>
    <n v="-9459.1428629399998"/>
    <n v="0"/>
    <m/>
    <n v="-443.01419999999996"/>
    <m/>
    <n v="-0.66042665474060824"/>
    <m/>
  </r>
  <r>
    <x v="4"/>
    <s v="Purchase"/>
    <x v="60"/>
    <x v="1"/>
    <x v="1"/>
    <x v="33"/>
    <n v="8011.73"/>
    <x v="1"/>
    <n v="72"/>
    <n v="111.27402777777777"/>
    <n v="1"/>
    <n v="8011.73"/>
    <n v="19.886500000000002"/>
    <n v="159325.268645"/>
    <n v="112.19"/>
    <n v="120.15900000000001"/>
    <n v="1.071"/>
    <n v="170637.36271879499"/>
    <n v="2369.9633710943749"/>
    <m/>
    <n v="72"/>
    <s v="Sale"/>
    <x v="41"/>
    <x v="1"/>
    <n v="2733.4295999999999"/>
    <n v="1"/>
    <n v="2733.4295999999999"/>
    <n v="21.194700000000001"/>
    <n v="57934.220343120003"/>
    <n v="170637.36271879499"/>
    <n v="-112703.14237567499"/>
    <n v="0.86849315068493149"/>
    <n v="1"/>
    <n v="-112703.14237567499"/>
    <n v="0"/>
    <m/>
    <n v="-5278.3004000000001"/>
    <m/>
    <n v="-0.65882155289806321"/>
    <m/>
  </r>
  <r>
    <x v="4"/>
    <s v="Purchase"/>
    <x v="60"/>
    <x v="1"/>
    <x v="1"/>
    <x v="34"/>
    <n v="3841.96"/>
    <x v="1"/>
    <n v="34"/>
    <n v="112.99882352941177"/>
    <n v="1"/>
    <n v="3841.96"/>
    <n v="19.869499999999999"/>
    <n v="76337.824219999995"/>
    <n v="112.19"/>
    <n v="120.15900000000001"/>
    <n v="1.071"/>
    <n v="81757.809739619988"/>
    <n v="2404.6414629299998"/>
    <m/>
    <n v="34"/>
    <s v="Sale"/>
    <x v="41"/>
    <x v="1"/>
    <n v="1290.7862"/>
    <n v="1"/>
    <n v="1290.7862"/>
    <n v="21.194700000000001"/>
    <n v="27357.826273140003"/>
    <n v="81757.809739619988"/>
    <n v="-54399.983466479986"/>
    <n v="0.86575342465753424"/>
    <n v="1"/>
    <n v="-54399.983466479986"/>
    <n v="0"/>
    <m/>
    <n v="-2551.1738"/>
    <m/>
    <n v="-0.66402924548928155"/>
    <m/>
  </r>
  <r>
    <x v="4"/>
    <s v="Purchase"/>
    <x v="60"/>
    <x v="1"/>
    <x v="1"/>
    <x v="76"/>
    <n v="6920.21"/>
    <x v="1"/>
    <n v="73"/>
    <n v="94.797397260273968"/>
    <n v="1"/>
    <n v="6920.21"/>
    <n v="19.921299999999999"/>
    <n v="137859.57947299999"/>
    <n v="113.018"/>
    <n v="120.15900000000001"/>
    <n v="1.0630999999999999"/>
    <n v="146558.51893774627"/>
    <n v="2007.6509443526886"/>
    <m/>
    <n v="73"/>
    <s v="Sale"/>
    <x v="41"/>
    <x v="1"/>
    <n v="2771.3939"/>
    <n v="1"/>
    <n v="2771.3939"/>
    <n v="21.194700000000001"/>
    <n v="58738.862292330006"/>
    <n v="146558.51893774627"/>
    <n v="-87819.656645416253"/>
    <n v="0.76712328767123283"/>
    <n v="1"/>
    <n v="-87819.656645416253"/>
    <n v="0"/>
    <m/>
    <n v="-4148.8161"/>
    <m/>
    <n v="-0.59952170526616966"/>
    <m/>
  </r>
  <r>
    <x v="4"/>
    <s v="Purchase"/>
    <x v="60"/>
    <x v="1"/>
    <x v="1"/>
    <x v="77"/>
    <n v="6298"/>
    <x v="1"/>
    <n v="54"/>
    <n v="116.62962962962963"/>
    <n v="1"/>
    <n v="6298"/>
    <n v="20"/>
    <n v="125960"/>
    <n v="113.682"/>
    <n v="120.15900000000001"/>
    <n v="1.0569"/>
    <n v="133127.12399999998"/>
    <n v="2465.317111111111"/>
    <m/>
    <n v="54"/>
    <s v="Sale"/>
    <x v="41"/>
    <x v="1"/>
    <n v="2050.0722000000001"/>
    <n v="1"/>
    <n v="2050.0722000000001"/>
    <n v="21.194700000000001"/>
    <n v="43450.665257340006"/>
    <n v="133127.12399999998"/>
    <n v="-89676.458742659976"/>
    <n v="0.63287671232876708"/>
    <n v="1"/>
    <n v="-89676.458742659976"/>
    <n v="0"/>
    <m/>
    <n v="-4247.9277999999995"/>
    <m/>
    <n v="-0.67448837726262301"/>
    <m/>
  </r>
  <r>
    <x v="4"/>
    <s v="Purchase"/>
    <x v="60"/>
    <x v="1"/>
    <x v="1"/>
    <x v="77"/>
    <n v="5424.07"/>
    <x v="1"/>
    <n v="49"/>
    <n v="110.69530612244897"/>
    <n v="1"/>
    <n v="5424.07"/>
    <n v="20"/>
    <n v="108481.4"/>
    <n v="113.682"/>
    <n v="120.15900000000001"/>
    <n v="1.0569"/>
    <n v="114653.99165999999"/>
    <n v="2339.8773808163264"/>
    <m/>
    <n v="49"/>
    <s v="Sale"/>
    <x v="41"/>
    <x v="1"/>
    <n v="1860.2507000000001"/>
    <n v="1"/>
    <n v="1860.2507000000001"/>
    <n v="21.194700000000001"/>
    <n v="39427.455511290005"/>
    <n v="114653.99166"/>
    <n v="-75226.536148710002"/>
    <n v="0.63287671232876708"/>
    <n v="1"/>
    <n v="-75226.536148710002"/>
    <n v="0"/>
    <m/>
    <n v="-3563.8192999999997"/>
    <m/>
    <n v="-0.65703785165014461"/>
    <m/>
  </r>
  <r>
    <x v="4"/>
    <s v="Purchase"/>
    <x v="60"/>
    <x v="1"/>
    <x v="1"/>
    <x v="78"/>
    <n v="570.99"/>
    <x v="1"/>
    <n v="6"/>
    <n v="95.165000000000006"/>
    <n v="1"/>
    <n v="570.99"/>
    <n v="20.828299999999999"/>
    <n v="11892.751016999999"/>
    <n v="116.884"/>
    <n v="120.15900000000001"/>
    <n v="1.028"/>
    <n v="12225.748045475999"/>
    <n v="2037.6246742459998"/>
    <m/>
    <n v="6"/>
    <s v="Sale"/>
    <x v="41"/>
    <x v="1"/>
    <n v="227.78579999999999"/>
    <n v="1"/>
    <n v="227.78579999999999"/>
    <n v="21.194700000000001"/>
    <n v="4827.8516952600003"/>
    <n v="12225.748045475999"/>
    <n v="-7397.8963502159986"/>
    <n v="0.29041095890410956"/>
    <n v="1"/>
    <n v="-7397.8963502159986"/>
    <n v="0"/>
    <m/>
    <n v="-343.20420000000001"/>
    <m/>
    <n v="-0.60106867020438193"/>
    <m/>
  </r>
  <r>
    <x v="4"/>
    <s v="Purchase"/>
    <x v="60"/>
    <x v="1"/>
    <x v="1"/>
    <x v="78"/>
    <n v="601.26"/>
    <x v="1"/>
    <n v="6"/>
    <n v="100.21"/>
    <n v="1"/>
    <n v="601.26"/>
    <n v="20.828299999999999"/>
    <n v="12523.223657999999"/>
    <n v="116.884"/>
    <n v="120.15900000000001"/>
    <n v="1.028"/>
    <n v="12873.873920423999"/>
    <n v="2145.6456534039999"/>
    <m/>
    <n v="6"/>
    <s v="Sale"/>
    <x v="41"/>
    <x v="1"/>
    <n v="227.78579999999999"/>
    <n v="1"/>
    <n v="227.78579999999999"/>
    <n v="21.194700000000001"/>
    <n v="4827.8516952600003"/>
    <n v="12873.873920423999"/>
    <n v="-8046.0222251639989"/>
    <n v="0.29041095890410956"/>
    <n v="1"/>
    <n v="-8046.0222251639989"/>
    <n v="0"/>
    <m/>
    <n v="-373.4742"/>
    <m/>
    <n v="-0.62115257958287595"/>
    <m/>
  </r>
  <r>
    <x v="4"/>
    <s v="Purchase"/>
    <x v="60"/>
    <x v="1"/>
    <x v="1"/>
    <x v="78"/>
    <n v="976.7"/>
    <x v="1"/>
    <n v="10"/>
    <n v="97.67"/>
    <n v="1"/>
    <n v="976.7"/>
    <n v="20.828299999999999"/>
    <n v="20343.000609999999"/>
    <n v="116.884"/>
    <n v="120.15900000000001"/>
    <n v="1.028"/>
    <n v="20912.60462708"/>
    <n v="2091.260462708"/>
    <m/>
    <n v="10"/>
    <s v="Sale"/>
    <x v="41"/>
    <x v="1"/>
    <n v="379.64300000000003"/>
    <n v="1"/>
    <n v="379.64300000000003"/>
    <n v="21.194700000000001"/>
    <n v="8046.4194921000008"/>
    <n v="20912.60462708"/>
    <n v="-12866.185134979998"/>
    <n v="0.29041095890410956"/>
    <n v="1"/>
    <n v="-12866.185134979998"/>
    <n v="0"/>
    <m/>
    <n v="-597.05700000000002"/>
    <m/>
    <n v="-0.61130029691819388"/>
    <m/>
  </r>
  <r>
    <x v="4"/>
    <s v="Purchase"/>
    <x v="60"/>
    <x v="1"/>
    <x v="1"/>
    <x v="78"/>
    <n v="1264.94"/>
    <x v="1"/>
    <n v="13"/>
    <n v="97.303076923076929"/>
    <n v="1"/>
    <n v="1264.94"/>
    <n v="20.828299999999999"/>
    <n v="26346.549801999998"/>
    <n v="116.884"/>
    <n v="120.15900000000001"/>
    <n v="1.028"/>
    <n v="27084.253196455997"/>
    <n v="2083.4040920350767"/>
    <m/>
    <n v="13"/>
    <s v="Sale"/>
    <x v="41"/>
    <x v="1"/>
    <n v="493.53590000000003"/>
    <n v="1"/>
    <n v="493.53590000000003"/>
    <n v="21.194700000000001"/>
    <n v="10460.345339730002"/>
    <n v="27084.253196455997"/>
    <n v="-16623.907856725993"/>
    <n v="0.29041095890410956"/>
    <n v="1"/>
    <n v="-16623.907856725993"/>
    <n v="0"/>
    <m/>
    <n v="-771.40409999999997"/>
    <m/>
    <n v="-0.60983453760652673"/>
    <m/>
  </r>
  <r>
    <x v="4"/>
    <s v="Purchase"/>
    <x v="60"/>
    <x v="1"/>
    <x v="1"/>
    <x v="78"/>
    <n v="1780.04"/>
    <x v="1"/>
    <n v="18"/>
    <n v="98.891111111111115"/>
    <n v="1"/>
    <n v="1780.04"/>
    <n v="20.828299999999999"/>
    <n v="37075.207131999996"/>
    <n v="116.884"/>
    <n v="120.15900000000001"/>
    <n v="1.028"/>
    <n v="38113.312931695997"/>
    <n v="2117.4062739831111"/>
    <m/>
    <n v="18"/>
    <s v="Sale"/>
    <x v="41"/>
    <x v="1"/>
    <n v="683.35739999999998"/>
    <n v="1"/>
    <n v="683.35739999999998"/>
    <n v="21.194700000000001"/>
    <n v="14483.555085780001"/>
    <n v="38113.312931695997"/>
    <n v="-23629.757845915996"/>
    <n v="0.29041095890410956"/>
    <n v="1"/>
    <n v="-23629.757845915996"/>
    <n v="0"/>
    <m/>
    <n v="-1096.6826000000001"/>
    <m/>
    <n v="-0.61609997528145444"/>
    <m/>
  </r>
  <r>
    <x v="4"/>
    <s v="Purchase"/>
    <x v="60"/>
    <x v="1"/>
    <x v="1"/>
    <x v="78"/>
    <n v="2294.4299999999998"/>
    <x v="1"/>
    <n v="24"/>
    <n v="95.601249999999993"/>
    <n v="1"/>
    <n v="2294.4299999999998"/>
    <n v="20.828299999999999"/>
    <n v="47789.076368999995"/>
    <n v="116.884"/>
    <n v="120.15900000000001"/>
    <n v="1.028"/>
    <n v="49127.170507331997"/>
    <n v="2046.9654378055"/>
    <m/>
    <n v="24"/>
    <s v="Sale"/>
    <x v="41"/>
    <x v="1"/>
    <n v="911.14319999999998"/>
    <n v="1"/>
    <n v="911.14319999999998"/>
    <n v="21.194700000000001"/>
    <n v="19311.406781040001"/>
    <n v="49127.170507331997"/>
    <n v="-29815.763726291996"/>
    <n v="0.29041095890410956"/>
    <n v="1"/>
    <n v="-29815.763726291996"/>
    <n v="0"/>
    <m/>
    <n v="-1383.2867999999999"/>
    <m/>
    <n v="-0.60288908356323789"/>
    <m/>
  </r>
  <r>
    <x v="4"/>
    <s v="Purchase"/>
    <x v="60"/>
    <x v="1"/>
    <x v="1"/>
    <x v="78"/>
    <n v="2547.84"/>
    <x v="1"/>
    <n v="26"/>
    <n v="97.993846153846164"/>
    <n v="1"/>
    <n v="2547.84"/>
    <n v="20.828299999999999"/>
    <n v="53067.175872"/>
    <n v="116.884"/>
    <n v="120.15900000000001"/>
    <n v="1.028"/>
    <n v="54553.056796416"/>
    <n v="2098.1944921698459"/>
    <m/>
    <n v="26"/>
    <s v="Sale"/>
    <x v="41"/>
    <x v="1"/>
    <n v="987.07180000000005"/>
    <n v="1"/>
    <n v="987.07180000000005"/>
    <n v="21.194700000000001"/>
    <n v="20920.690679460004"/>
    <n v="54553.056796415993"/>
    <n v="-33632.366116955993"/>
    <n v="0.29041095890410956"/>
    <n v="1"/>
    <n v="-33632.366116955993"/>
    <n v="0"/>
    <m/>
    <n v="-1560.7682"/>
    <m/>
    <n v="-0.6125848561919115"/>
    <m/>
  </r>
  <r>
    <x v="4"/>
    <s v="Purchase"/>
    <x v="60"/>
    <x v="1"/>
    <x v="1"/>
    <x v="63"/>
    <n v="371.46"/>
    <x v="1"/>
    <n v="4"/>
    <n v="92.864999999999995"/>
    <n v="1"/>
    <n v="371.46"/>
    <n v="21.4177"/>
    <n v="7955.8188419999997"/>
    <n v="117.30800000000001"/>
    <n v="120.15900000000001"/>
    <n v="1.0243"/>
    <n v="8149.1452398605998"/>
    <n v="2037.2863099651499"/>
    <m/>
    <n v="4"/>
    <s v="Sale"/>
    <x v="41"/>
    <x v="1"/>
    <n v="151.85720000000001"/>
    <n v="1"/>
    <n v="151.85720000000001"/>
    <n v="21.194700000000001"/>
    <n v="3218.5677968400005"/>
    <n v="8149.1452398605998"/>
    <n v="-4930.5774430205993"/>
    <n v="0.25205479452054796"/>
    <n v="1"/>
    <n v="-4930.5774430205993"/>
    <n v="0"/>
    <m/>
    <n v="-219.60279999999997"/>
    <m/>
    <n v="-0.59118828406827106"/>
    <m/>
  </r>
  <r>
    <x v="4"/>
    <s v="Purchase"/>
    <x v="60"/>
    <x v="1"/>
    <x v="1"/>
    <x v="63"/>
    <n v="94.125"/>
    <x v="1"/>
    <n v="1"/>
    <n v="94.125"/>
    <n v="1"/>
    <n v="94.125"/>
    <n v="21.4177"/>
    <n v="2015.9410124999999"/>
    <n v="117.30800000000001"/>
    <n v="120.15900000000001"/>
    <n v="1.0243"/>
    <n v="2064.9283791037501"/>
    <n v="2064.9283791037501"/>
    <m/>
    <n v="1"/>
    <s v="Sale"/>
    <x v="41"/>
    <x v="1"/>
    <n v="37.964300000000001"/>
    <n v="1"/>
    <n v="37.964300000000001"/>
    <n v="21.194700000000001"/>
    <n v="804.64194921000012"/>
    <n v="2064.9283791037501"/>
    <n v="-1260.28642989375"/>
    <n v="0.25205479452054796"/>
    <n v="1"/>
    <n v="-1260.28642989375"/>
    <n v="0"/>
    <m/>
    <n v="-56.160699999999999"/>
    <m/>
    <n v="-0.59666082337317394"/>
    <m/>
  </r>
  <r>
    <x v="4"/>
    <s v="Purchase"/>
    <x v="60"/>
    <x v="1"/>
    <x v="1"/>
    <x v="63"/>
    <n v="470.625"/>
    <x v="1"/>
    <n v="5"/>
    <n v="94.125"/>
    <n v="1"/>
    <n v="470.625"/>
    <n v="21.4177"/>
    <n v="10079.705062499999"/>
    <n v="117.30800000000001"/>
    <n v="120.15900000000001"/>
    <n v="1.0243"/>
    <n v="10324.641895518749"/>
    <n v="2064.9283791037496"/>
    <m/>
    <n v="5"/>
    <s v="Sale"/>
    <x v="41"/>
    <x v="1"/>
    <n v="149.05405405405406"/>
    <n v="1"/>
    <n v="149.05405405405406"/>
    <n v="21.194700000000001"/>
    <n v="3159.1559594594596"/>
    <n v="10324.641895518747"/>
    <n v="-7165.4859360592873"/>
    <n v="0.25205479452054796"/>
    <n v="1"/>
    <n v="-7165.4859360592873"/>
    <n v="0"/>
    <m/>
    <n v="-321.57094594594594"/>
    <m/>
    <n v="-0.68328487850400199"/>
    <m/>
  </r>
  <r>
    <x v="4"/>
    <s v="Purchase"/>
    <x v="60"/>
    <x v="1"/>
    <x v="1"/>
    <x v="63"/>
    <n v="6417.27"/>
    <x v="1"/>
    <n v="69"/>
    <n v="93.003913043478263"/>
    <n v="1"/>
    <n v="6417.27"/>
    <n v="21.4177"/>
    <n v="137443.16367900002"/>
    <n v="117.30800000000001"/>
    <n v="120.15900000000001"/>
    <n v="1.0243"/>
    <n v="140783.03255639973"/>
    <n v="2040.3338051652136"/>
    <m/>
    <n v="69"/>
    <s v="Sale"/>
    <x v="41"/>
    <x v="1"/>
    <n v="2056.9459459459458"/>
    <n v="1"/>
    <n v="2056.9459459459458"/>
    <n v="21.194700000000001"/>
    <n v="43596.352240540538"/>
    <n v="140783.03255639973"/>
    <n v="-97186.680315859194"/>
    <n v="0.25205479452054796"/>
    <n v="1"/>
    <n v="-97186.680315859194"/>
    <n v="0"/>
    <m/>
    <n v="-4360.3240540540546"/>
    <m/>
    <n v="-0.67946713385194235"/>
    <m/>
  </r>
  <r>
    <x v="4"/>
    <s v="Purchase"/>
    <x v="61"/>
    <x v="2"/>
    <x v="1"/>
    <x v="79"/>
    <n v="2949.6137142857147"/>
    <x v="2"/>
    <n v="12"/>
    <n v="245.80114285714288"/>
    <n v="1"/>
    <n v="2949.6137142857147"/>
    <n v="20.216799999999999"/>
    <n v="59631.750538971435"/>
    <n v="110.21"/>
    <n v="117.30800000000001"/>
    <n v="1.0644"/>
    <n v="63472.035273681198"/>
    <n v="5289.3362728067668"/>
    <m/>
    <n v="12"/>
    <s v="Sale"/>
    <x v="42"/>
    <x v="1"/>
    <n v="4303.0600000000004"/>
    <n v="1"/>
    <n v="4303.0600000000004"/>
    <n v="20.588999999999999"/>
    <n v="88595.702340000003"/>
    <n v="63472.035273681206"/>
    <n v="25123.667066318798"/>
    <n v="0.9342465753424658"/>
    <n v="1"/>
    <n v="25123.667066318798"/>
    <n v="0"/>
    <m/>
    <n v="1353.4462857142858"/>
    <m/>
    <n v="0.4588554355979591"/>
    <m/>
  </r>
  <r>
    <x v="4"/>
    <s v="Purchase"/>
    <x v="61"/>
    <x v="2"/>
    <x v="1"/>
    <x v="79"/>
    <n v="4670.2217142857144"/>
    <x v="2"/>
    <n v="19"/>
    <n v="245.80114285714285"/>
    <n v="1"/>
    <n v="4670.2217142857144"/>
    <n v="20.216799999999999"/>
    <n v="94416.938353371428"/>
    <n v="110.21"/>
    <n v="117.30800000000001"/>
    <n v="1.0644"/>
    <n v="100497.38918332855"/>
    <n v="5289.3362728067659"/>
    <m/>
    <n v="19"/>
    <s v="Sale"/>
    <x v="42"/>
    <x v="1"/>
    <n v="6823.913333333333"/>
    <n v="1"/>
    <n v="6823.913333333333"/>
    <n v="20.588999999999999"/>
    <n v="140497.55161999998"/>
    <n v="100497.38918332855"/>
    <n v="40000.162436671439"/>
    <n v="0.9342465753424658"/>
    <n v="1"/>
    <n v="40000.162436671439"/>
    <n v="0"/>
    <m/>
    <n v="2153.6916190476186"/>
    <m/>
    <n v="0.46115404167209101"/>
    <m/>
  </r>
  <r>
    <x v="4"/>
    <s v="Purchase"/>
    <x v="61"/>
    <x v="2"/>
    <x v="1"/>
    <x v="51"/>
    <n v="2324.96"/>
    <x v="2"/>
    <n v="8"/>
    <n v="290.62"/>
    <n v="1"/>
    <n v="2324.96"/>
    <n v="20.690300000000001"/>
    <n v="48104.119888000001"/>
    <n v="111.824"/>
    <n v="117.30800000000001"/>
    <n v="1.0489999999999999"/>
    <n v="50461.221762511996"/>
    <n v="6307.6527203139995"/>
    <m/>
    <n v="8"/>
    <s v="Sale"/>
    <x v="42"/>
    <x v="1"/>
    <n v="2873.2266666666665"/>
    <n v="1"/>
    <n v="2873.2266666666665"/>
    <n v="20.588999999999999"/>
    <n v="59156.863839999991"/>
    <n v="50461.221762511996"/>
    <n v="8695.6420774879953"/>
    <n v="0.84109589041095889"/>
    <n v="1"/>
    <n v="8695.6420774879953"/>
    <n v="0"/>
    <m/>
    <n v="548.26666666666642"/>
    <m/>
    <n v="0.23581767715000104"/>
    <m/>
  </r>
  <r>
    <x v="4"/>
    <s v="Purchase"/>
    <x v="61"/>
    <x v="2"/>
    <x v="1"/>
    <x v="51"/>
    <n v="10752.94"/>
    <x v="2"/>
    <n v="37"/>
    <n v="290.62"/>
    <n v="1"/>
    <n v="10752.94"/>
    <n v="20.690300000000001"/>
    <n v="222481.55448200001"/>
    <n v="111.824"/>
    <n v="117.30800000000001"/>
    <n v="1.0489999999999999"/>
    <n v="233383.15065161799"/>
    <n v="6307.6527203139995"/>
    <m/>
    <n v="37"/>
    <s v="Sale"/>
    <x v="42"/>
    <x v="1"/>
    <n v="13285.2"/>
    <n v="1"/>
    <n v="13285.2"/>
    <n v="20.588999999999999"/>
    <n v="273528.9828"/>
    <n v="233383.15065161797"/>
    <n v="40145.832148382033"/>
    <n v="0.84109589041095889"/>
    <n v="1"/>
    <n v="40145.832148382033"/>
    <n v="0"/>
    <m/>
    <n v="2532.2600000000002"/>
    <m/>
    <n v="0.2354946647149524"/>
    <m/>
  </r>
  <r>
    <x v="4"/>
    <s v="Purchase"/>
    <x v="61"/>
    <x v="2"/>
    <x v="1"/>
    <x v="80"/>
    <n v="1743.72"/>
    <x v="2"/>
    <n v="6"/>
    <n v="290.62"/>
    <n v="1"/>
    <n v="1743.72"/>
    <n v="20.766200000000001"/>
    <n v="36210.438264000004"/>
    <n v="111.824"/>
    <n v="117.30800000000001"/>
    <n v="1.0489999999999999"/>
    <n v="37984.749738936"/>
    <n v="6330.7916231560002"/>
    <m/>
    <n v="6"/>
    <s v="Sale"/>
    <x v="42"/>
    <x v="1"/>
    <n v="2157.14"/>
    <n v="1"/>
    <n v="2157.14"/>
    <n v="20.588999999999999"/>
    <n v="44413.355459999992"/>
    <n v="37984.749738936"/>
    <n v="6428.605721063992"/>
    <n v="0.77260273972602744"/>
    <n v="1"/>
    <n v="6428.605721063992"/>
    <n v="0"/>
    <m/>
    <n v="413.41999999999985"/>
    <m/>
    <n v="0.23709081733305798"/>
    <m/>
  </r>
  <r>
    <x v="4"/>
    <s v="Purchase"/>
    <x v="22"/>
    <x v="2"/>
    <x v="1"/>
    <x v="81"/>
    <n v="15094.725504587155"/>
    <x v="2"/>
    <n v="82"/>
    <n v="184.08201834862385"/>
    <n v="1"/>
    <n v="15094.725504587155"/>
    <n v="21.034500000000001"/>
    <n v="317510.00362623855"/>
    <n v="108.85599999999999"/>
    <n v="120.15900000000001"/>
    <n v="1.1037999999999999"/>
    <n v="350467.54200264206"/>
    <n v="4273.9944146663665"/>
    <m/>
    <n v="82"/>
    <s v="Sale"/>
    <x v="34"/>
    <x v="1"/>
    <n v="15560.13"/>
    <n v="1"/>
    <n v="15560.13"/>
    <n v="20.160499999999999"/>
    <n v="313700.00086499995"/>
    <n v="350467.54200264206"/>
    <n v="-36767.541137642111"/>
    <n v="1.4273972602739726"/>
    <n v="1"/>
    <n v="-36767.541137642111"/>
    <n v="0"/>
    <m/>
    <n v="465.40449541284397"/>
    <m/>
    <n v="3.0832259604284398E-2"/>
    <m/>
  </r>
  <r>
    <x v="4"/>
    <s v="Purchase"/>
    <x v="62"/>
    <x v="2"/>
    <x v="1"/>
    <x v="82"/>
    <n v="780.69297297297305"/>
    <x v="2"/>
    <n v="7"/>
    <n v="111.52756756756757"/>
    <n v="1"/>
    <n v="780.69297297297305"/>
    <n v="19.725000000000001"/>
    <n v="15399.168891891895"/>
    <n v="110.21"/>
    <n v="117.30800000000001"/>
    <n v="1.0644"/>
    <n v="16390.875368529734"/>
    <n v="2341.5536240756765"/>
    <m/>
    <n v="7"/>
    <s v="Sale"/>
    <x v="43"/>
    <x v="1"/>
    <n v="811.73"/>
    <n v="1"/>
    <n v="811.73"/>
    <n v="20.4453"/>
    <n v="16596.063369"/>
    <n v="16390.875368529734"/>
    <n v="205.18800047026525"/>
    <n v="1.010958904109589"/>
    <n v="1"/>
    <n v="205.18800047026525"/>
    <n v="0"/>
    <m/>
    <n v="31.037027027026966"/>
    <m/>
    <n v="3.9755740222477243E-2"/>
    <m/>
  </r>
  <r>
    <x v="4"/>
    <s v="Purchase"/>
    <x v="62"/>
    <x v="2"/>
    <x v="1"/>
    <x v="83"/>
    <n v="450.88"/>
    <x v="2"/>
    <n v="4"/>
    <n v="112.72"/>
    <n v="1"/>
    <n v="450.88"/>
    <n v="19.793500000000002"/>
    <n v="8924.4932800000006"/>
    <n v="110.21"/>
    <n v="117.30800000000001"/>
    <n v="1.0644"/>
    <n v="9499.2306472320015"/>
    <n v="2374.8076618080004"/>
    <m/>
    <n v="4"/>
    <s v="Sale"/>
    <x v="43"/>
    <x v="1"/>
    <n v="463.84571428571428"/>
    <n v="1"/>
    <n v="463.84571428571428"/>
    <n v="20.4453"/>
    <n v="9483.4647822857132"/>
    <n v="9499.2306472320015"/>
    <n v="-15.765864946288275"/>
    <n v="0.99178082191780825"/>
    <n v="1"/>
    <n v="-15.765864946288275"/>
    <n v="0"/>
    <m/>
    <n v="12.965714285714284"/>
    <m/>
    <n v="2.8756463550643818E-2"/>
    <m/>
  </r>
  <r>
    <x v="4"/>
    <s v="Purchase"/>
    <x v="62"/>
    <x v="2"/>
    <x v="1"/>
    <x v="83"/>
    <n v="1139.6948717948719"/>
    <x v="2"/>
    <n v="10"/>
    <n v="113.96948717948719"/>
    <n v="1"/>
    <n v="1139.6948717948719"/>
    <n v="19.793500000000002"/>
    <n v="22558.550444871798"/>
    <n v="110.21"/>
    <n v="117.30800000000001"/>
    <n v="1.0644"/>
    <n v="24011.321093521543"/>
    <n v="2401.1321093521542"/>
    <m/>
    <n v="10"/>
    <s v="Sale"/>
    <x v="43"/>
    <x v="1"/>
    <n v="1159.6142857142856"/>
    <n v="1"/>
    <n v="1159.6142857142856"/>
    <n v="20.4453"/>
    <n v="23708.661955714284"/>
    <n v="24011.321093521543"/>
    <n v="-302.65913780725896"/>
    <n v="0.99178082191780825"/>
    <n v="1"/>
    <n v="-302.65913780725896"/>
    <n v="0"/>
    <m/>
    <n v="19.919413919413728"/>
    <m/>
    <n v="1.7477848161274279E-2"/>
    <m/>
  </r>
  <r>
    <x v="4"/>
    <s v="Purchase"/>
    <x v="62"/>
    <x v="2"/>
    <x v="1"/>
    <x v="83"/>
    <n v="797.78641025641036"/>
    <x v="2"/>
    <n v="7"/>
    <n v="113.96948717948719"/>
    <n v="1"/>
    <n v="797.78641025641036"/>
    <n v="19.793500000000002"/>
    <n v="15790.985311410261"/>
    <n v="110.21"/>
    <n v="117.30800000000001"/>
    <n v="1.0644"/>
    <n v="16807.924765465083"/>
    <n v="2401.1321093521547"/>
    <m/>
    <n v="7"/>
    <s v="Sale"/>
    <x v="43"/>
    <x v="1"/>
    <n v="806.19"/>
    <n v="1"/>
    <n v="806.19"/>
    <n v="20.4453"/>
    <n v="16482.796407000002"/>
    <n v="16807.924765465083"/>
    <n v="-325.12835846508096"/>
    <n v="0.99178082191780825"/>
    <n v="1"/>
    <n v="-325.12835846508096"/>
    <n v="0"/>
    <m/>
    <n v="8.4035897435896914"/>
    <m/>
    <n v="1.0533633608635623E-2"/>
    <m/>
  </r>
  <r>
    <x v="4"/>
    <s v="Purchase"/>
    <x v="62"/>
    <x v="2"/>
    <x v="1"/>
    <x v="83"/>
    <n v="6952.1387179487183"/>
    <x v="2"/>
    <n v="61"/>
    <n v="113.96948717948719"/>
    <n v="1"/>
    <n v="6952.1387179487183"/>
    <n v="19.793500000000002"/>
    <n v="137607.15771371796"/>
    <n v="110.21"/>
    <n v="117.30800000000001"/>
    <n v="1.0644"/>
    <n v="146469.0586704814"/>
    <n v="2401.1321093521542"/>
    <m/>
    <n v="61"/>
    <s v="Sale"/>
    <x v="43"/>
    <x v="1"/>
    <n v="7035.5392405063294"/>
    <n v="1"/>
    <n v="7035.5392405063294"/>
    <n v="20.4453"/>
    <n v="143843.71043392405"/>
    <n v="146469.0586704814"/>
    <n v="-2625.3482365573582"/>
    <n v="0.99178082191780825"/>
    <n v="1"/>
    <n v="-2625.3482365573582"/>
    <n v="0"/>
    <m/>
    <n v="83.400522557611112"/>
    <m/>
    <n v="1.1996383550617511E-2"/>
    <m/>
  </r>
  <r>
    <x v="4"/>
    <s v="Purchase"/>
    <x v="62"/>
    <x v="2"/>
    <x v="1"/>
    <x v="51"/>
    <n v="2188.0009756097561"/>
    <x v="2"/>
    <n v="18"/>
    <n v="121.55560975609757"/>
    <n v="1"/>
    <n v="2188.0009756097561"/>
    <n v="20.690300000000001"/>
    <n v="45270.396585658535"/>
    <n v="111.824"/>
    <n v="117.30800000000001"/>
    <n v="1.0489999999999999"/>
    <n v="47488.646018355801"/>
    <n v="2638.2581121308776"/>
    <m/>
    <n v="18"/>
    <s v="Sale"/>
    <x v="43"/>
    <x v="1"/>
    <n v="2076.060759493671"/>
    <n v="1"/>
    <n v="2076.060759493671"/>
    <n v="20.4453"/>
    <n v="42445.685046075952"/>
    <n v="47488.646018355794"/>
    <n v="-5042.9609722798414"/>
    <n v="0.86027397260273974"/>
    <n v="1"/>
    <n v="-5042.9609722798414"/>
    <n v="0"/>
    <m/>
    <n v="-111.94021611608514"/>
    <m/>
    <n v="-5.1160953474844513E-2"/>
    <m/>
  </r>
  <r>
    <x v="4"/>
    <s v="Purchase"/>
    <x v="62"/>
    <x v="2"/>
    <x v="1"/>
    <x v="51"/>
    <n v="5956.2248780487807"/>
    <x v="2"/>
    <n v="49"/>
    <n v="121.55560975609757"/>
    <n v="1"/>
    <n v="5956.2248780487807"/>
    <n v="20.690300000000001"/>
    <n v="123236.07959429269"/>
    <n v="111.824"/>
    <n v="117.30800000000001"/>
    <n v="1.0489999999999999"/>
    <n v="129274.64749441303"/>
    <n v="2638.2581121308781"/>
    <m/>
    <n v="49"/>
    <s v="Sale"/>
    <x v="44"/>
    <x v="1"/>
    <n v="5755.39"/>
    <n v="1"/>
    <n v="5755.39"/>
    <n v="20.378499999999999"/>
    <n v="117286.215115"/>
    <n v="129274.64749441303"/>
    <n v="-11988.432379413032"/>
    <n v="0.86301369863013699"/>
    <n v="1"/>
    <n v="-11988.432379413032"/>
    <n v="0"/>
    <m/>
    <n v="-200.83487804878041"/>
    <m/>
    <n v="-3.3718484805525438E-2"/>
    <m/>
  </r>
  <r>
    <x v="4"/>
    <s v="Purchase"/>
    <x v="62"/>
    <x v="2"/>
    <x v="1"/>
    <x v="51"/>
    <n v="729.3336585365854"/>
    <x v="2"/>
    <n v="6"/>
    <n v="121.55560975609757"/>
    <n v="1"/>
    <n v="729.3336585365854"/>
    <n v="20.690300000000001"/>
    <n v="15090.132195219514"/>
    <n v="111.824"/>
    <n v="117.30800000000001"/>
    <n v="1.0489999999999999"/>
    <n v="15829.548672785269"/>
    <n v="2638.2581121308781"/>
    <m/>
    <n v="6"/>
    <s v="Sale"/>
    <x v="44"/>
    <x v="1"/>
    <n v="704.16"/>
    <n v="1"/>
    <n v="704.16"/>
    <n v="20.378499999999999"/>
    <n v="14349.724559999999"/>
    <n v="15829.548672785269"/>
    <n v="-1479.8241127852707"/>
    <n v="0.86301369863013699"/>
    <n v="1"/>
    <n v="-1479.8241127852707"/>
    <n v="0"/>
    <m/>
    <n v="-25.173658536585435"/>
    <m/>
    <n v="-3.4515969806050921E-2"/>
    <m/>
  </r>
  <r>
    <x v="4"/>
    <s v="Purchase"/>
    <x v="62"/>
    <x v="2"/>
    <x v="1"/>
    <x v="51"/>
    <n v="2552.6678048780491"/>
    <x v="2"/>
    <n v="21"/>
    <n v="121.55560975609758"/>
    <n v="1"/>
    <n v="2552.6678048780491"/>
    <n v="20.690300000000001"/>
    <n v="52815.462683268299"/>
    <n v="111.824"/>
    <n v="118.002"/>
    <n v="1.0551999999999999"/>
    <n v="55730.876223384701"/>
    <n v="2653.8512487326047"/>
    <m/>
    <n v="21"/>
    <s v="Sale"/>
    <x v="45"/>
    <x v="1"/>
    <n v="2660.25"/>
    <n v="1"/>
    <n v="2660.25"/>
    <n v="20.333500000000001"/>
    <n v="54092.193375000003"/>
    <n v="55730.876223384701"/>
    <n v="-1638.6828483846984"/>
    <n v="0.9616438356164384"/>
    <n v="1"/>
    <n v="-1638.6828483846984"/>
    <n v="0"/>
    <m/>
    <n v="107.58219512195092"/>
    <m/>
    <n v="4.2145004107610677E-2"/>
    <m/>
  </r>
  <r>
    <x v="4"/>
    <s v="Purchase"/>
    <x v="62"/>
    <x v="2"/>
    <x v="1"/>
    <x v="51"/>
    <n v="3525.1126829268296"/>
    <x v="2"/>
    <n v="29"/>
    <n v="121.55560975609757"/>
    <n v="1"/>
    <n v="3525.1126829268296"/>
    <n v="20.690300000000001"/>
    <n v="72935.638943560989"/>
    <n v="111.824"/>
    <n v="118.002"/>
    <n v="1.0551999999999999"/>
    <n v="76961.686213245543"/>
    <n v="2653.8512487326047"/>
    <m/>
    <n v="29"/>
    <s v="Sale"/>
    <x v="45"/>
    <x v="1"/>
    <n v="3673.68"/>
    <n v="1"/>
    <n v="3673.68"/>
    <n v="20.333500000000001"/>
    <n v="74698.772280000005"/>
    <n v="76961.686213245543"/>
    <n v="-2262.9139332455379"/>
    <n v="0.9616438356164384"/>
    <n v="1"/>
    <n v="-2262.9139332455379"/>
    <n v="0"/>
    <m/>
    <n v="148.56731707317022"/>
    <m/>
    <n v="4.2145409363146313E-2"/>
    <m/>
  </r>
  <r>
    <x v="4"/>
    <s v="Purchase"/>
    <x v="62"/>
    <x v="2"/>
    <x v="1"/>
    <x v="8"/>
    <n v="494.82068965517237"/>
    <x v="2"/>
    <n v="4"/>
    <n v="123.70517241379309"/>
    <n v="1"/>
    <n v="494.82068965517237"/>
    <n v="20.2483"/>
    <n v="10019.277770344826"/>
    <n v="112.19"/>
    <n v="118.002"/>
    <n v="1.0518000000000001"/>
    <n v="10538.276358848689"/>
    <n v="2634.5690897121722"/>
    <m/>
    <n v="4"/>
    <s v="Sale"/>
    <x v="45"/>
    <x v="1"/>
    <n v="506.28"/>
    <n v="1"/>
    <n v="506.28"/>
    <n v="20.333500000000001"/>
    <n v="10294.444379999999"/>
    <n v="10538.276358848689"/>
    <n v="-243.83197884868969"/>
    <n v="0.86849315068493149"/>
    <n v="1"/>
    <n v="-243.83197884868969"/>
    <n v="0"/>
    <m/>
    <n v="11.4593103448276"/>
    <m/>
    <n v="2.3158510920012851E-2"/>
    <m/>
  </r>
  <r>
    <x v="4"/>
    <s v="Purchase"/>
    <x v="62"/>
    <x v="2"/>
    <x v="1"/>
    <x v="8"/>
    <n v="494.82068965517237"/>
    <x v="2"/>
    <n v="4"/>
    <n v="123.70517241379309"/>
    <n v="1"/>
    <n v="494.82068965517237"/>
    <n v="20.2483"/>
    <n v="10019.277770344826"/>
    <n v="112.19"/>
    <n v="118.002"/>
    <n v="1.0518000000000001"/>
    <n v="10538.276358848689"/>
    <n v="2634.5690897121722"/>
    <m/>
    <n v="4"/>
    <s v="Sale"/>
    <x v="45"/>
    <x v="1"/>
    <n v="508.18"/>
    <n v="1"/>
    <n v="508.18"/>
    <n v="20.333500000000001"/>
    <n v="10333.078030000001"/>
    <n v="10538.276358848689"/>
    <n v="-205.19832884868811"/>
    <n v="0.86849315068493149"/>
    <n v="1"/>
    <n v="-205.19832884868811"/>
    <n v="0"/>
    <m/>
    <n v="13.359310344827634"/>
    <m/>
    <n v="2.6998285690392997E-2"/>
    <m/>
  </r>
  <r>
    <x v="4"/>
    <s v="Purchase"/>
    <x v="62"/>
    <x v="2"/>
    <x v="1"/>
    <x v="8"/>
    <n v="618.52586206896547"/>
    <x v="2"/>
    <n v="5"/>
    <n v="123.70517241379309"/>
    <n v="1"/>
    <n v="618.52586206896547"/>
    <n v="20.2483"/>
    <n v="12524.097212931034"/>
    <n v="112.19"/>
    <n v="118.002"/>
    <n v="1.0518000000000001"/>
    <n v="13172.845448560862"/>
    <n v="2634.5690897121722"/>
    <m/>
    <n v="5"/>
    <s v="Sale"/>
    <x v="45"/>
    <x v="1"/>
    <n v="632.85"/>
    <n v="1"/>
    <n v="632.85"/>
    <n v="20.333500000000001"/>
    <n v="12868.055475000001"/>
    <n v="13172.84544856086"/>
    <n v="-304.78997356085893"/>
    <n v="0.86849315068493149"/>
    <n v="1"/>
    <n v="-304.78997356085893"/>
    <n v="0"/>
    <m/>
    <n v="14.324137931034556"/>
    <m/>
    <n v="2.3158510920012945E-2"/>
    <m/>
  </r>
  <r>
    <x v="4"/>
    <s v="Purchase"/>
    <x v="62"/>
    <x v="2"/>
    <x v="1"/>
    <x v="8"/>
    <n v="618.52586206896547"/>
    <x v="2"/>
    <n v="5"/>
    <n v="123.70517241379309"/>
    <n v="1"/>
    <n v="618.52586206896547"/>
    <n v="20.2483"/>
    <n v="12524.097212931034"/>
    <n v="112.19"/>
    <n v="118.002"/>
    <n v="1.0518000000000001"/>
    <n v="13172.845448560862"/>
    <n v="2634.5690897121722"/>
    <m/>
    <n v="5"/>
    <s v="Sale"/>
    <x v="45"/>
    <x v="1"/>
    <n v="635.23"/>
    <n v="1"/>
    <n v="635.23"/>
    <n v="20.333500000000001"/>
    <n v="12916.449205000001"/>
    <n v="13172.84544856086"/>
    <n v="-256.39624356085915"/>
    <n v="0.86849315068493149"/>
    <n v="1"/>
    <n v="-256.39624356085915"/>
    <n v="0"/>
    <m/>
    <n v="16.704137931034552"/>
    <m/>
    <n v="2.7006369426751706E-2"/>
    <m/>
  </r>
  <r>
    <x v="4"/>
    <s v="Purchase"/>
    <x v="62"/>
    <x v="2"/>
    <x v="1"/>
    <x v="8"/>
    <n v="618.52586206896547"/>
    <x v="2"/>
    <n v="5"/>
    <n v="123.70517241379309"/>
    <n v="1"/>
    <n v="618.52586206896547"/>
    <n v="20.2483"/>
    <n v="12524.097212931034"/>
    <n v="112.19"/>
    <n v="118.002"/>
    <n v="1.0518000000000001"/>
    <n v="13172.845448560862"/>
    <n v="2634.5690897121722"/>
    <m/>
    <n v="5"/>
    <s v="Sale"/>
    <x v="45"/>
    <x v="1"/>
    <n v="635.29999999999995"/>
    <n v="1"/>
    <n v="635.29999999999995"/>
    <n v="20.333500000000001"/>
    <n v="12917.87255"/>
    <n v="13172.84544856086"/>
    <n v="-254.9728985608599"/>
    <n v="0.86849315068493149"/>
    <n v="1"/>
    <n v="-254.9728985608599"/>
    <n v="0"/>
    <m/>
    <n v="16.774137931034488"/>
    <m/>
    <n v="2.7119541735773332E-2"/>
    <m/>
  </r>
  <r>
    <x v="4"/>
    <s v="Purchase"/>
    <x v="62"/>
    <x v="2"/>
    <x v="1"/>
    <x v="8"/>
    <n v="742.23103448275856"/>
    <x v="2"/>
    <n v="6"/>
    <n v="123.70517241379309"/>
    <n v="1"/>
    <n v="742.23103448275856"/>
    <n v="20.2483"/>
    <n v="15028.91665551724"/>
    <n v="112.19"/>
    <n v="118.002"/>
    <n v="1.0518000000000001"/>
    <n v="15807.414538273033"/>
    <n v="2634.5690897121722"/>
    <m/>
    <n v="6"/>
    <s v="Sale"/>
    <x v="45"/>
    <x v="1"/>
    <n v="762.36"/>
    <n v="1"/>
    <n v="762.36"/>
    <n v="20.333500000000001"/>
    <n v="15501.44706"/>
    <n v="15807.414538273033"/>
    <n v="-305.96747827303261"/>
    <n v="0.86849315068493149"/>
    <n v="1"/>
    <n v="-305.96747827303261"/>
    <n v="0"/>
    <m/>
    <n v="20.128965517241454"/>
    <m/>
    <n v="2.7119541735773425E-2"/>
    <m/>
  </r>
  <r>
    <x v="4"/>
    <s v="Purchase"/>
    <x v="62"/>
    <x v="2"/>
    <x v="1"/>
    <x v="8"/>
    <n v="246.91142857142859"/>
    <x v="2"/>
    <n v="2"/>
    <n v="123.45571428571429"/>
    <n v="1"/>
    <n v="246.91142857142859"/>
    <n v="20.2483"/>
    <n v="4999.5366791428578"/>
    <n v="112.19"/>
    <n v="118.002"/>
    <n v="1.0518000000000001"/>
    <n v="5258.5126791224584"/>
    <n v="2629.2563395612292"/>
    <m/>
    <n v="2"/>
    <s v="Sale"/>
    <x v="45"/>
    <x v="1"/>
    <n v="254.12"/>
    <n v="1"/>
    <n v="254.12"/>
    <n v="20.333500000000001"/>
    <n v="5167.1490200000007"/>
    <n v="5258.5126791224584"/>
    <n v="-91.363659122457648"/>
    <n v="0.86849315068493149"/>
    <n v="1"/>
    <n v="-91.363659122457648"/>
    <n v="0"/>
    <m/>
    <n v="7.2085714285714175"/>
    <m/>
    <n v="2.9194968699012901E-2"/>
    <m/>
  </r>
  <r>
    <x v="4"/>
    <s v="Purchase"/>
    <x v="62"/>
    <x v="2"/>
    <x v="1"/>
    <x v="8"/>
    <n v="3086.3928571428573"/>
    <x v="2"/>
    <n v="25"/>
    <n v="123.45571428571429"/>
    <n v="1"/>
    <n v="3086.3928571428573"/>
    <n v="20.2483"/>
    <n v="62494.208489285716"/>
    <n v="112.19"/>
    <n v="118.002"/>
    <n v="1.0518000000000001"/>
    <n v="65731.408489030728"/>
    <n v="2629.2563395612292"/>
    <m/>
    <n v="25"/>
    <s v="Sale"/>
    <x v="46"/>
    <x v="1"/>
    <n v="3241.6899999999996"/>
    <n v="1"/>
    <n v="3241.6899999999996"/>
    <n v="20.3063"/>
    <n v="65826.729646999986"/>
    <n v="65731.408489030728"/>
    <n v="95.321157969257911"/>
    <n v="0.8794520547945206"/>
    <n v="1"/>
    <n v="95.321157969257911"/>
    <n v="0"/>
    <m/>
    <n v="155.29714285714226"/>
    <m/>
    <n v="5.0316712759925282E-2"/>
    <m/>
  </r>
  <r>
    <x v="4"/>
    <s v="Purchase"/>
    <x v="62"/>
    <x v="2"/>
    <x v="1"/>
    <x v="8"/>
    <n v="123.45571428571429"/>
    <x v="2"/>
    <n v="1"/>
    <n v="123.45571428571429"/>
    <n v="1"/>
    <n v="123.45571428571429"/>
    <n v="20.2483"/>
    <n v="2499.7683395714289"/>
    <n v="112.19"/>
    <n v="118.002"/>
    <n v="1.0518000000000001"/>
    <n v="2629.2563395612292"/>
    <n v="2629.2563395612292"/>
    <m/>
    <n v="1"/>
    <s v="Sale"/>
    <x v="46"/>
    <x v="1"/>
    <n v="129.66800000000001"/>
    <n v="1"/>
    <n v="129.66800000000001"/>
    <n v="20.3063"/>
    <n v="2633.0773084000002"/>
    <n v="2629.2563395612292"/>
    <n v="3.820968838771023"/>
    <n v="0.8794520547945206"/>
    <n v="1"/>
    <n v="3.820968838771023"/>
    <n v="0"/>
    <m/>
    <n v="6.2122857142857129"/>
    <m/>
    <n v="5.0319952788159997E-2"/>
    <m/>
  </r>
  <r>
    <x v="4"/>
    <s v="Purchase"/>
    <x v="62"/>
    <x v="2"/>
    <x v="1"/>
    <x v="8"/>
    <n v="4204.1091891891892"/>
    <x v="2"/>
    <n v="34"/>
    <n v="123.65027027027027"/>
    <n v="1"/>
    <n v="4204.1091891891892"/>
    <n v="20.2483"/>
    <n v="85126.064095459456"/>
    <n v="112.19"/>
    <n v="118.002"/>
    <n v="1.0518000000000001"/>
    <n v="89535.594215604258"/>
    <n v="2633.3998298707133"/>
    <m/>
    <n v="34"/>
    <s v="Sale"/>
    <x v="46"/>
    <x v="1"/>
    <n v="4408.7120000000004"/>
    <n v="1"/>
    <n v="4408.7120000000004"/>
    <n v="20.3063"/>
    <n v="89524.628485600013"/>
    <n v="89535.594215604258"/>
    <n v="-10.965730004245415"/>
    <n v="0.8794520547945206"/>
    <n v="1"/>
    <n v="-10.965730004245415"/>
    <n v="0"/>
    <m/>
    <n v="204.60281081081121"/>
    <m/>
    <n v="4.8667339881881426E-2"/>
    <m/>
  </r>
  <r>
    <x v="4"/>
    <s v="Purchase"/>
    <x v="62"/>
    <x v="2"/>
    <x v="1"/>
    <x v="8"/>
    <n v="370.95081081081082"/>
    <x v="2"/>
    <n v="3"/>
    <n v="123.65027027027027"/>
    <n v="1"/>
    <n v="370.95081081081082"/>
    <n v="20.2483"/>
    <n v="7511.1233025405409"/>
    <n v="112.19"/>
    <n v="120.15900000000001"/>
    <n v="1.071"/>
    <n v="8044.413057020919"/>
    <n v="2681.4710190069732"/>
    <m/>
    <n v="3"/>
    <s v="Sale"/>
    <x v="34"/>
    <x v="1"/>
    <n v="323.62384615384616"/>
    <n v="1"/>
    <n v="323.62384615384616"/>
    <n v="20.160499999999999"/>
    <n v="6524.4185503846147"/>
    <n v="8044.41305702092"/>
    <n v="-1519.9945066363052"/>
    <n v="1.010958904109589"/>
    <n v="1"/>
    <n v="-1519.9945066363052"/>
    <n v="0"/>
    <m/>
    <n v="-47.326964656964662"/>
    <m/>
    <n v="-0.12758285809786774"/>
    <m/>
  </r>
  <r>
    <x v="4"/>
    <s v="Purchase"/>
    <x v="62"/>
    <x v="2"/>
    <x v="1"/>
    <x v="52"/>
    <n v="1247.8706896551723"/>
    <x v="2"/>
    <n v="10"/>
    <n v="124.78706896551724"/>
    <n v="1"/>
    <n v="1247.8706896551723"/>
    <n v="19.944199999999999"/>
    <n v="24887.782608620688"/>
    <n v="113.018"/>
    <n v="120.15900000000001"/>
    <n v="1.0630999999999999"/>
    <n v="26458.201691224651"/>
    <n v="2645.8201691224649"/>
    <m/>
    <n v="10"/>
    <s v="Sale"/>
    <x v="34"/>
    <x v="1"/>
    <n v="1078.7461538461539"/>
    <n v="1"/>
    <n v="1078.7461538461539"/>
    <n v="20.160499999999999"/>
    <n v="21748.061834615386"/>
    <n v="26458.201691224647"/>
    <n v="-4710.1398566092612"/>
    <n v="0.86027397260273974"/>
    <n v="1"/>
    <n v="-4710.1398566092612"/>
    <n v="0"/>
    <m/>
    <n v="-169.12453580901843"/>
    <m/>
    <n v="-0.13553049784008717"/>
    <m/>
  </r>
  <r>
    <x v="4"/>
    <s v="Purchase"/>
    <x v="62"/>
    <x v="2"/>
    <x v="1"/>
    <x v="52"/>
    <n v="5989.7793103448275"/>
    <x v="2"/>
    <n v="48"/>
    <n v="124.78706896551724"/>
    <n v="1"/>
    <n v="5989.7793103448275"/>
    <n v="19.944199999999999"/>
    <n v="119461.3565213793"/>
    <n v="113.018"/>
    <n v="120.15900000000001"/>
    <n v="1.0630999999999999"/>
    <n v="126999.36811787833"/>
    <n v="2645.8201691224654"/>
    <m/>
    <n v="48"/>
    <s v="Sale"/>
    <x v="34"/>
    <x v="1"/>
    <n v="5074.8028235294114"/>
    <n v="1"/>
    <n v="5074.8028235294114"/>
    <n v="20.160499999999999"/>
    <n v="102310.56232376469"/>
    <n v="126999.36811787833"/>
    <n v="-24688.805794113636"/>
    <n v="0.86027397260273974"/>
    <n v="1"/>
    <n v="-24688.805794113636"/>
    <n v="0"/>
    <m/>
    <n v="-914.97648681541614"/>
    <m/>
    <n v="-0.15275629358083004"/>
    <m/>
  </r>
  <r>
    <x v="4"/>
    <s v="Purchase"/>
    <x v="62"/>
    <x v="2"/>
    <x v="1"/>
    <x v="60"/>
    <n v="14556.64"/>
    <x v="2"/>
    <n v="121"/>
    <n v="120.30280991735536"/>
    <n v="1"/>
    <n v="14556.64"/>
    <n v="20.571200000000001"/>
    <n v="299447.55276799999"/>
    <n v="113.018"/>
    <n v="120.15900000000001"/>
    <n v="1.0630999999999999"/>
    <n v="318342.69334766077"/>
    <n v="2630.9313499806676"/>
    <m/>
    <n v="121"/>
    <s v="Sale"/>
    <x v="34"/>
    <x v="1"/>
    <n v="12792.732117647058"/>
    <n v="1"/>
    <n v="12792.732117647058"/>
    <n v="20.160499999999999"/>
    <n v="257907.8758578235"/>
    <n v="318342.69334766077"/>
    <n v="-60434.817489837267"/>
    <n v="0.79726027397260268"/>
    <n v="1"/>
    <n v="-60434.817489837267"/>
    <n v="0"/>
    <m/>
    <n v="-1763.9078823529417"/>
    <m/>
    <n v="-0.12117548296536437"/>
    <m/>
  </r>
  <r>
    <x v="4"/>
    <s v="Purchase"/>
    <x v="62"/>
    <x v="2"/>
    <x v="1"/>
    <x v="60"/>
    <n v="118.55999999999999"/>
    <x v="2"/>
    <n v="1"/>
    <n v="118.55999999999999"/>
    <n v="1"/>
    <n v="118.55999999999999"/>
    <n v="20.571200000000001"/>
    <n v="2438.921472"/>
    <n v="113.018"/>
    <n v="120.15900000000001"/>
    <n v="1.0630999999999999"/>
    <n v="2592.8174168831997"/>
    <n v="2592.8174168831997"/>
    <m/>
    <n v="1"/>
    <s v="Sale"/>
    <x v="34"/>
    <x v="1"/>
    <n v="105.72505882352941"/>
    <n v="1"/>
    <n v="105.72505882352941"/>
    <n v="20.160499999999999"/>
    <n v="2131.4700484117648"/>
    <n v="2592.8174168831997"/>
    <n v="-461.34736847143495"/>
    <n v="0.79726027397260268"/>
    <n v="1"/>
    <n v="-461.34736847143495"/>
    <n v="0"/>
    <m/>
    <n v="-12.834941176470579"/>
    <m/>
    <n v="-0.10825692625228223"/>
    <m/>
  </r>
  <r>
    <x v="4"/>
    <s v="Purchase"/>
    <x v="62"/>
    <x v="2"/>
    <x v="1"/>
    <x v="60"/>
    <n v="474.23999999999995"/>
    <x v="2"/>
    <n v="4"/>
    <n v="118.55999999999999"/>
    <n v="1"/>
    <n v="474.23999999999995"/>
    <n v="20.571200000000001"/>
    <n v="9755.685888"/>
    <n v="113.018"/>
    <n v="120.15900000000001"/>
    <n v="1.0630999999999999"/>
    <n v="10371.269667532799"/>
    <n v="2592.8174168831997"/>
    <m/>
    <n v="4"/>
    <s v="Sale"/>
    <x v="34"/>
    <x v="1"/>
    <n v="425.69894736842105"/>
    <n v="1"/>
    <n v="425.69894736842105"/>
    <n v="20.160499999999999"/>
    <n v="8582.3036284210521"/>
    <n v="10371.269667532799"/>
    <n v="-1788.9660391117468"/>
    <n v="0.79726027397260268"/>
    <n v="1"/>
    <n v="-1788.9660391117468"/>
    <n v="0"/>
    <m/>
    <n v="-48.541052631578907"/>
    <m/>
    <n v="-0.10235545848426728"/>
    <m/>
  </r>
  <r>
    <x v="4"/>
    <s v="Purchase"/>
    <x v="62"/>
    <x v="2"/>
    <x v="1"/>
    <x v="61"/>
    <n v="1567.6012987012987"/>
    <x v="2"/>
    <n v="15"/>
    <n v="104.50675324675325"/>
    <n v="1"/>
    <n v="1567.6012987012987"/>
    <n v="19.941199999999998"/>
    <n v="31259.851017662335"/>
    <n v="113.682"/>
    <n v="120.15900000000001"/>
    <n v="1.0569"/>
    <n v="33038.536540567322"/>
    <n v="2202.5691027044882"/>
    <m/>
    <n v="15"/>
    <s v="Sale"/>
    <x v="34"/>
    <x v="1"/>
    <n v="1596.371052631579"/>
    <n v="1"/>
    <n v="1596.371052631579"/>
    <n v="20.160499999999999"/>
    <n v="32183.638606578948"/>
    <n v="33038.536540567322"/>
    <n v="-854.89793398837355"/>
    <n v="0.72876712328767124"/>
    <n v="1"/>
    <n v="-854.89793398837355"/>
    <n v="0"/>
    <m/>
    <n v="28.769753930280331"/>
    <m/>
    <n v="1.8352723970128781E-2"/>
    <m/>
  </r>
  <r>
    <x v="4"/>
    <s v="Purchase"/>
    <x v="62"/>
    <x v="2"/>
    <x v="1"/>
    <x v="61"/>
    <n v="2612.6688311688313"/>
    <x v="2"/>
    <n v="25"/>
    <n v="104.50675324675325"/>
    <n v="1"/>
    <n v="2612.6688311688313"/>
    <n v="19.941199999999998"/>
    <n v="52099.751696103893"/>
    <n v="113.682"/>
    <n v="120.15900000000001"/>
    <n v="1.0569"/>
    <n v="55064.227567612201"/>
    <n v="2202.5691027044882"/>
    <m/>
    <n v="25"/>
    <s v="Sale"/>
    <x v="34"/>
    <x v="1"/>
    <n v="2683.8"/>
    <n v="1"/>
    <n v="2683.8"/>
    <n v="20.160499999999999"/>
    <n v="54106.749900000003"/>
    <n v="55064.227567612201"/>
    <n v="-957.47766761219827"/>
    <n v="0.72876712328767124"/>
    <n v="1"/>
    <n v="-957.47766761219827"/>
    <n v="0"/>
    <m/>
    <n v="71.131168831168907"/>
    <m/>
    <n v="2.722548222820376E-2"/>
    <m/>
  </r>
  <r>
    <x v="4"/>
    <s v="Purchase"/>
    <x v="62"/>
    <x v="2"/>
    <x v="1"/>
    <x v="61"/>
    <n v="3866.74987012987"/>
    <x v="2"/>
    <n v="37"/>
    <n v="104.50675324675325"/>
    <n v="1"/>
    <n v="3866.74987012987"/>
    <n v="19.941199999999998"/>
    <n v="77107.632510233758"/>
    <n v="113.682"/>
    <n v="120.15900000000001"/>
    <n v="1.0569"/>
    <n v="81495.056800066057"/>
    <n v="2202.5691027044882"/>
    <m/>
    <n v="37"/>
    <s v="Sale"/>
    <x v="34"/>
    <x v="1"/>
    <n v="3936.6001999999999"/>
    <n v="1"/>
    <n v="3936.6001999999999"/>
    <n v="20.160499999999999"/>
    <n v="79363.828332099991"/>
    <n v="81495.056800066057"/>
    <n v="-2131.2284679660661"/>
    <n v="0.72876712328767124"/>
    <n v="1"/>
    <n v="-2131.2284679660661"/>
    <n v="0"/>
    <m/>
    <n v="69.850329870129826"/>
    <m/>
    <n v="1.8064351772457372E-2"/>
    <m/>
  </r>
  <r>
    <x v="4"/>
    <s v="Purchase"/>
    <x v="62"/>
    <x v="2"/>
    <x v="1"/>
    <x v="84"/>
    <n v="1594.172032520325"/>
    <x v="2"/>
    <n v="13"/>
    <n v="122.62861788617884"/>
    <n v="1"/>
    <n v="1594.172032520325"/>
    <n v="20.529699999999998"/>
    <n v="32727.873576032514"/>
    <n v="116.884"/>
    <n v="120.15900000000001"/>
    <n v="1.028"/>
    <n v="33644.254036161423"/>
    <n v="2588.0195412431863"/>
    <m/>
    <n v="13"/>
    <s v="Sale"/>
    <x v="34"/>
    <x v="1"/>
    <n v="1383.1297999999999"/>
    <n v="1"/>
    <n v="1383.1297999999999"/>
    <n v="20.160499999999999"/>
    <n v="27884.588332899999"/>
    <n v="33644.254036161423"/>
    <n v="-5759.6657032614239"/>
    <n v="0.43561643835616437"/>
    <n v="1"/>
    <n v="-5759.6657032614239"/>
    <n v="0"/>
    <m/>
    <n v="-211.04223252032511"/>
    <m/>
    <n v="-0.13238359989710483"/>
    <m/>
  </r>
  <r>
    <x v="4"/>
    <s v="Purchase"/>
    <x v="62"/>
    <x v="2"/>
    <x v="1"/>
    <x v="84"/>
    <n v="1839.429268292683"/>
    <x v="2"/>
    <n v="15"/>
    <n v="122.62861788617887"/>
    <n v="1"/>
    <n v="1839.429268292683"/>
    <n v="20.529699999999998"/>
    <n v="37762.931049268293"/>
    <n v="116.884"/>
    <n v="120.15900000000001"/>
    <n v="1.028"/>
    <n v="38820.293118647809"/>
    <n v="2588.0195412431872"/>
    <m/>
    <n v="15"/>
    <s v="Sale"/>
    <x v="3"/>
    <x v="1"/>
    <n v="1587.14"/>
    <n v="1"/>
    <n v="1587.14"/>
    <n v="20.12"/>
    <n v="31933.256800000003"/>
    <n v="38820.293118647809"/>
    <n v="-6887.0363186478062"/>
    <n v="0.43835616438356162"/>
    <n v="1"/>
    <n v="-6887.0363186478062"/>
    <n v="0"/>
    <m/>
    <n v="-252.28926829268289"/>
    <m/>
    <n v="-0.13715627593924942"/>
    <m/>
  </r>
  <r>
    <x v="4"/>
    <s v="Purchase"/>
    <x v="62"/>
    <x v="2"/>
    <x v="1"/>
    <x v="84"/>
    <n v="6989.8312195121953"/>
    <x v="2"/>
    <n v="57"/>
    <n v="122.62861788617886"/>
    <n v="1"/>
    <n v="6989.8312195121953"/>
    <n v="20.529699999999998"/>
    <n v="143499.1379872195"/>
    <n v="116.884"/>
    <n v="120.15900000000001"/>
    <n v="1.028"/>
    <n v="147517.11385086164"/>
    <n v="2588.0195412431867"/>
    <m/>
    <n v="57"/>
    <s v="Sale"/>
    <x v="3"/>
    <x v="1"/>
    <n v="6052.48"/>
    <n v="1"/>
    <n v="6052.48"/>
    <n v="20.12"/>
    <n v="121775.8976"/>
    <n v="147517.11385086164"/>
    <n v="-25741.216250861646"/>
    <n v="0.43835616438356162"/>
    <n v="1"/>
    <n v="-25741.216250861646"/>
    <n v="0"/>
    <m/>
    <n v="-937.35121951219571"/>
    <m/>
    <n v="-0.13410212494052343"/>
    <m/>
  </r>
  <r>
    <x v="4"/>
    <s v="Purchase"/>
    <x v="62"/>
    <x v="2"/>
    <x v="1"/>
    <x v="84"/>
    <n v="3924.1157723577235"/>
    <x v="2"/>
    <n v="32"/>
    <n v="122.62861788617886"/>
    <n v="1"/>
    <n v="3924.1157723577235"/>
    <n v="20.529699999999998"/>
    <n v="80560.919571772349"/>
    <n v="116.884"/>
    <n v="120.15900000000001"/>
    <n v="1.028"/>
    <n v="82816.625319781975"/>
    <n v="2588.0195412431867"/>
    <m/>
    <n v="32"/>
    <s v="Sale"/>
    <x v="40"/>
    <x v="1"/>
    <n v="3444.19"/>
    <n v="1"/>
    <n v="3444.19"/>
    <n v="20.0093"/>
    <n v="68915.830967000002"/>
    <n v="82816.625319781975"/>
    <n v="-13900.794352781973"/>
    <n v="0.44109589041095892"/>
    <n v="1"/>
    <n v="-13900.794352781973"/>
    <n v="0"/>
    <m/>
    <n v="-479.92577235772342"/>
    <m/>
    <n v="-0.12230163435503585"/>
    <m/>
  </r>
  <r>
    <x v="4"/>
    <s v="Purchase"/>
    <x v="62"/>
    <x v="2"/>
    <x v="1"/>
    <x v="84"/>
    <n v="735.77170731707315"/>
    <x v="2"/>
    <n v="6"/>
    <n v="122.62861788617886"/>
    <n v="1"/>
    <n v="735.77170731707315"/>
    <n v="20.529699999999998"/>
    <n v="15105.172419707316"/>
    <n v="116.884"/>
    <n v="120.15900000000001"/>
    <n v="1.028"/>
    <n v="15528.117247459122"/>
    <n v="2588.0195412431872"/>
    <m/>
    <n v="6"/>
    <s v="Sale"/>
    <x v="40"/>
    <x v="1"/>
    <n v="646.04999999999995"/>
    <n v="1"/>
    <n v="646.04999999999995"/>
    <n v="20.0093"/>
    <n v="12927.008264999999"/>
    <n v="15528.117247459122"/>
    <n v="-2601.1089824591236"/>
    <n v="0.44109589041095892"/>
    <n v="1"/>
    <n v="-2601.1089824591236"/>
    <n v="0"/>
    <m/>
    <n v="-89.721707317073196"/>
    <m/>
    <n v="-0.12194231773906544"/>
    <m/>
  </r>
  <r>
    <x v="0"/>
    <m/>
    <x v="0"/>
    <x v="0"/>
    <x v="0"/>
    <x v="0"/>
    <m/>
    <x v="0"/>
    <n v="0"/>
    <n v="0"/>
    <n v="0"/>
    <n v="0"/>
    <n v="0"/>
    <n v="0"/>
    <n v="0"/>
    <n v="0"/>
    <n v="0"/>
    <n v="0"/>
    <n v="0"/>
    <m/>
    <m/>
    <m/>
    <x v="0"/>
    <x v="0"/>
    <m/>
    <n v="0"/>
    <n v="0"/>
    <n v="0"/>
    <n v="0"/>
    <n v="0"/>
    <n v="0"/>
    <n v="0"/>
    <n v="1"/>
    <n v="0"/>
    <n v="0"/>
    <m/>
    <n v="0"/>
    <m/>
    <n v="0"/>
    <m/>
  </r>
  <r>
    <x v="4"/>
    <s v="Purchase"/>
    <x v="63"/>
    <x v="1"/>
    <x v="1"/>
    <x v="85"/>
    <n v="3255.0281376518219"/>
    <x v="1"/>
    <n v="83"/>
    <n v="39.217206477732795"/>
    <n v="1"/>
    <n v="3255.0281376518219"/>
    <n v="20.047699999999999"/>
    <n v="65255.827595202427"/>
    <n v="109.271"/>
    <n v="118.002"/>
    <n v="1.0799000000000001"/>
    <n v="70469.768220059108"/>
    <n v="849.03335204890493"/>
    <m/>
    <n v="83"/>
    <s v="Sale"/>
    <x v="44"/>
    <x v="1"/>
    <n v="4101.7785660377358"/>
    <n v="1"/>
    <n v="4101.7785660377358"/>
    <n v="20.378499999999999"/>
    <n v="83588.094507999995"/>
    <n v="70469.768220059108"/>
    <n v="13118.326287940887"/>
    <n v="1.0383561643835617"/>
    <n v="1"/>
    <n v="13118.326287940887"/>
    <n v="0"/>
    <m/>
    <n v="846.75042838591389"/>
    <m/>
    <n v="0.26013613172534966"/>
    <m/>
  </r>
  <r>
    <x v="4"/>
    <s v="Purchase"/>
    <x v="63"/>
    <x v="1"/>
    <x v="1"/>
    <x v="51"/>
    <n v="8708.7000000000007"/>
    <x v="1"/>
    <n v="182"/>
    <n v="47.85"/>
    <n v="1"/>
    <n v="8708.7000000000007"/>
    <n v="20.690300000000001"/>
    <n v="180185.61561000001"/>
    <n v="111.824"/>
    <n v="118.002"/>
    <n v="1.0551999999999999"/>
    <n v="190131.861591672"/>
    <n v="1044.680558196"/>
    <m/>
    <n v="182"/>
    <s v="Sale"/>
    <x v="44"/>
    <x v="1"/>
    <n v="8994.2614339622633"/>
    <n v="1"/>
    <n v="8994.2614339622633"/>
    <n v="20.378499999999999"/>
    <n v="183289.55663199996"/>
    <n v="190131.861591672"/>
    <n v="-6842.3049596720375"/>
    <n v="0.86301369863013699"/>
    <n v="1"/>
    <n v="-6842.3049596720375"/>
    <n v="0"/>
    <m/>
    <n v="285.56143396226253"/>
    <m/>
    <n v="3.2790362966029662E-2"/>
    <m/>
  </r>
  <r>
    <x v="4"/>
    <s v="Purchase"/>
    <x v="63"/>
    <x v="1"/>
    <x v="1"/>
    <x v="51"/>
    <n v="287.10000000000002"/>
    <x v="1"/>
    <n v="6"/>
    <n v="47.85"/>
    <n v="1"/>
    <n v="287.10000000000002"/>
    <n v="20.690300000000001"/>
    <n v="5940.1851300000008"/>
    <n v="111.824"/>
    <n v="118.002"/>
    <n v="1.0551999999999999"/>
    <n v="6268.0833491760004"/>
    <n v="1044.680558196"/>
    <m/>
    <n v="6"/>
    <s v="Sale"/>
    <x v="44"/>
    <x v="1"/>
    <n v="294.02999999999997"/>
    <n v="1"/>
    <n v="294.02999999999997"/>
    <n v="20.378499999999999"/>
    <n v="5991.8903549999995"/>
    <n v="6268.0833491760004"/>
    <n v="-276.19299417600087"/>
    <n v="0.86301369863013699"/>
    <n v="1"/>
    <n v="-276.19299417600087"/>
    <n v="0"/>
    <m/>
    <n v="6.92999999999995"/>
    <m/>
    <n v="2.4137931034482581E-2"/>
    <m/>
  </r>
  <r>
    <x v="4"/>
    <s v="Purchase"/>
    <x v="63"/>
    <x v="1"/>
    <x v="1"/>
    <x v="51"/>
    <n v="526.35"/>
    <x v="1"/>
    <n v="11"/>
    <n v="47.85"/>
    <n v="1"/>
    <n v="526.35"/>
    <n v="20.690300000000001"/>
    <n v="10890.339405000001"/>
    <n v="111.824"/>
    <n v="118.002"/>
    <n v="1.0551999999999999"/>
    <n v="11491.486140155999"/>
    <n v="1044.680558196"/>
    <m/>
    <n v="11"/>
    <s v="Sale"/>
    <x v="2"/>
    <x v="1"/>
    <n v="528.29"/>
    <n v="1"/>
    <n v="528.29"/>
    <n v="20.366"/>
    <n v="10759.154139999999"/>
    <n v="11491.486140155999"/>
    <n v="-732.3320001560005"/>
    <n v="0.86575342465753424"/>
    <n v="1"/>
    <n v="-732.3320001560005"/>
    <n v="0"/>
    <m/>
    <n v="1.9399999999999409"/>
    <m/>
    <n v="3.6857604255722252E-3"/>
    <m/>
  </r>
  <r>
    <x v="4"/>
    <s v="Purchase"/>
    <x v="63"/>
    <x v="1"/>
    <x v="1"/>
    <x v="51"/>
    <n v="1674.75"/>
    <x v="1"/>
    <n v="35"/>
    <n v="47.85"/>
    <n v="1"/>
    <n v="1674.75"/>
    <n v="20.690300000000001"/>
    <n v="34651.079924999998"/>
    <n v="111.824"/>
    <n v="118.002"/>
    <n v="1.0551999999999999"/>
    <n v="36563.819536859992"/>
    <n v="1044.6805581959998"/>
    <m/>
    <n v="35"/>
    <s v="Sale"/>
    <x v="2"/>
    <x v="1"/>
    <n v="1694.56"/>
    <n v="1"/>
    <n v="1694.56"/>
    <n v="20.366"/>
    <n v="34511.408960000001"/>
    <n v="36563.819536859992"/>
    <n v="-2052.4105768599911"/>
    <n v="0.86575342465753424"/>
    <n v="1"/>
    <n v="-2052.4105768599911"/>
    <n v="0"/>
    <m/>
    <n v="19.809999999999945"/>
    <m/>
    <n v="1.1828631138975934E-2"/>
    <m/>
  </r>
  <r>
    <x v="4"/>
    <s v="Purchase"/>
    <x v="63"/>
    <x v="1"/>
    <x v="1"/>
    <x v="51"/>
    <n v="287.10000000000002"/>
    <x v="1"/>
    <n v="6"/>
    <n v="47.85"/>
    <n v="1"/>
    <n v="287.10000000000002"/>
    <n v="20.690300000000001"/>
    <n v="5940.1851300000008"/>
    <n v="111.824"/>
    <n v="118.002"/>
    <n v="1.0551999999999999"/>
    <n v="6268.0833491760004"/>
    <n v="1044.680558196"/>
    <m/>
    <n v="6"/>
    <s v="Sale"/>
    <x v="2"/>
    <x v="1"/>
    <n v="287.91000000000003"/>
    <n v="1"/>
    <n v="287.91000000000003"/>
    <n v="20.366"/>
    <n v="5863.5750600000001"/>
    <n v="6268.0833491760004"/>
    <n v="-404.50828917600029"/>
    <n v="0.86575342465753424"/>
    <n v="1"/>
    <n v="-404.50828917600029"/>
    <n v="0"/>
    <m/>
    <n v="0.81000000000000227"/>
    <m/>
    <n v="2.8213166144200703E-3"/>
    <m/>
  </r>
  <r>
    <x v="4"/>
    <s v="Purchase"/>
    <x v="63"/>
    <x v="1"/>
    <x v="1"/>
    <x v="51"/>
    <n v="669.9"/>
    <x v="1"/>
    <n v="14"/>
    <n v="47.85"/>
    <n v="1"/>
    <n v="669.9"/>
    <n v="20.690300000000001"/>
    <n v="13860.43197"/>
    <n v="111.824"/>
    <n v="118.002"/>
    <n v="1.0551999999999999"/>
    <n v="14625.527814743999"/>
    <n v="1044.680558196"/>
    <m/>
    <n v="14"/>
    <s v="Sale"/>
    <x v="47"/>
    <x v="1"/>
    <n v="682.36"/>
    <n v="1"/>
    <n v="682.36"/>
    <n v="20.311800000000002"/>
    <n v="13859.959848000002"/>
    <n v="14625.527814744"/>
    <n v="-765.56796674399811"/>
    <n v="0.87671232876712324"/>
    <n v="1"/>
    <n v="-765.56796674399811"/>
    <n v="0"/>
    <m/>
    <n v="12.460000000000036"/>
    <m/>
    <n v="1.8599791013584173E-2"/>
    <m/>
  </r>
  <r>
    <x v="4"/>
    <s v="Purchase"/>
    <x v="63"/>
    <x v="1"/>
    <x v="1"/>
    <x v="51"/>
    <n v="574.20000000000005"/>
    <x v="1"/>
    <n v="12"/>
    <n v="47.85"/>
    <n v="1"/>
    <n v="574.20000000000005"/>
    <n v="20.690300000000001"/>
    <n v="11880.370260000002"/>
    <n v="111.824"/>
    <n v="118.002"/>
    <n v="1.0551999999999999"/>
    <n v="12536.166698352001"/>
    <n v="1044.680558196"/>
    <m/>
    <n v="12"/>
    <s v="Sale"/>
    <x v="47"/>
    <x v="1"/>
    <n v="589.05600000000004"/>
    <n v="1"/>
    <n v="589.05600000000004"/>
    <n v="20.311800000000002"/>
    <n v="11964.787660800002"/>
    <n v="12536.166698352001"/>
    <n v="-571.37903755199841"/>
    <n v="0.87671232876712324"/>
    <n v="1"/>
    <n v="-571.37903755199841"/>
    <n v="0"/>
    <m/>
    <n v="14.855999999999995"/>
    <m/>
    <n v="2.5872518286311378E-2"/>
    <m/>
  </r>
  <r>
    <x v="4"/>
    <s v="Purchase"/>
    <x v="63"/>
    <x v="1"/>
    <x v="1"/>
    <x v="8"/>
    <n v="1125.3854901960785"/>
    <x v="1"/>
    <n v="23"/>
    <n v="48.929803921568634"/>
    <n v="1"/>
    <n v="1125.3854901960785"/>
    <n v="20.2483"/>
    <n v="22787.143021137257"/>
    <n v="112.19"/>
    <n v="118.002"/>
    <n v="1.0518000000000001"/>
    <n v="23967.51702963217"/>
    <n v="1042.0659578100945"/>
    <m/>
    <n v="23"/>
    <s v="Sale"/>
    <x v="47"/>
    <x v="1"/>
    <n v="1129.0240000000001"/>
    <n v="1"/>
    <n v="1129.0240000000001"/>
    <n v="20.311800000000002"/>
    <n v="22932.509683200005"/>
    <n v="23967.517029632174"/>
    <n v="-1035.0073464321686"/>
    <n v="0.78356164383561644"/>
    <n v="1"/>
    <n v="-1035.0073464321686"/>
    <n v="0"/>
    <m/>
    <n v="3.6385098039215791"/>
    <m/>
    <n v="3.2331230814852899E-3"/>
    <m/>
  </r>
  <r>
    <x v="4"/>
    <s v="Purchase"/>
    <x v="63"/>
    <x v="1"/>
    <x v="1"/>
    <x v="8"/>
    <n v="1370.0345098039215"/>
    <x v="1"/>
    <n v="28"/>
    <n v="48.929803921568627"/>
    <n v="1"/>
    <n v="1370.0345098039215"/>
    <n v="20.2483"/>
    <n v="27740.869764862746"/>
    <n v="112.19"/>
    <n v="118.002"/>
    <n v="1.0518000000000001"/>
    <n v="29177.846818682639"/>
    <n v="1042.0659578100942"/>
    <m/>
    <n v="28"/>
    <s v="Sale"/>
    <x v="47"/>
    <x v="1"/>
    <n v="1370.1615094339622"/>
    <n v="1"/>
    <n v="1370.1615094339622"/>
    <n v="20.311800000000002"/>
    <n v="27830.446547320757"/>
    <n v="29177.846818682639"/>
    <n v="-1347.4002713618829"/>
    <n v="0.78356164383561644"/>
    <n v="1"/>
    <n v="-1347.4002713618829"/>
    <n v="0"/>
    <m/>
    <n v="0.12699963004070014"/>
    <m/>
    <n v="9.2698124851523813E-5"/>
    <m/>
  </r>
  <r>
    <x v="4"/>
    <s v="Purchase"/>
    <x v="63"/>
    <x v="1"/>
    <x v="1"/>
    <x v="8"/>
    <n v="1226.5"/>
    <x v="1"/>
    <n v="25"/>
    <n v="49.06"/>
    <n v="1"/>
    <n v="1226.5"/>
    <n v="20.2483"/>
    <n v="24834.539950000002"/>
    <n v="112.19"/>
    <n v="118.002"/>
    <n v="1.0518000000000001"/>
    <n v="26120.969119410005"/>
    <n v="1044.8387647764002"/>
    <m/>
    <n v="25"/>
    <s v="Sale"/>
    <x v="47"/>
    <x v="1"/>
    <n v="1223.3584905660377"/>
    <n v="1"/>
    <n v="1223.3584905660377"/>
    <n v="20.311800000000002"/>
    <n v="24848.612988679248"/>
    <n v="26120.969119410005"/>
    <n v="-1272.3561307307573"/>
    <n v="0.78356164383561644"/>
    <n v="1"/>
    <n v="-1272.3561307307573"/>
    <n v="0"/>
    <m/>
    <n v="-3.1415094339622556"/>
    <m/>
    <n v="-2.5613611365366941E-3"/>
    <m/>
  </r>
  <r>
    <x v="4"/>
    <s v="Purchase"/>
    <x v="63"/>
    <x v="1"/>
    <x v="1"/>
    <x v="8"/>
    <n v="1030.26"/>
    <x v="1"/>
    <n v="21"/>
    <n v="49.06"/>
    <n v="1"/>
    <n v="1030.26"/>
    <n v="20.2483"/>
    <n v="20861.013557999999"/>
    <n v="112.19"/>
    <n v="118.002"/>
    <n v="1.0518000000000001"/>
    <n v="21941.6140603044"/>
    <n v="1044.8387647764"/>
    <m/>
    <n v="21"/>
    <s v="Sale"/>
    <x v="47"/>
    <x v="1"/>
    <n v="1025.89375"/>
    <n v="1"/>
    <n v="1025.89375"/>
    <n v="20.311800000000002"/>
    <n v="20837.748671249999"/>
    <n v="21941.6140603044"/>
    <n v="-1103.865389054401"/>
    <n v="0.78356164383561644"/>
    <n v="1"/>
    <n v="-1103.865389054401"/>
    <n v="0"/>
    <m/>
    <n v="-4.3662500000000364"/>
    <m/>
    <n v="-4.2380078815056751E-3"/>
    <m/>
  </r>
  <r>
    <x v="4"/>
    <s v="Purchase"/>
    <x v="63"/>
    <x v="1"/>
    <x v="1"/>
    <x v="8"/>
    <n v="2255.12"/>
    <x v="1"/>
    <n v="46"/>
    <n v="49.024347826086952"/>
    <n v="1"/>
    <n v="2255.12"/>
    <n v="20.2483"/>
    <n v="45662.346295999996"/>
    <n v="112.19"/>
    <n v="118.002"/>
    <n v="1.0518000000000001"/>
    <n v="48027.655834132798"/>
    <n v="1044.0794746550607"/>
    <m/>
    <n v="46"/>
    <s v="Sale"/>
    <x v="47"/>
    <x v="1"/>
    <n v="2247.1958333333332"/>
    <n v="1"/>
    <n v="2247.1958333333332"/>
    <n v="20.311800000000002"/>
    <n v="45644.592327500002"/>
    <n v="48027.655834132791"/>
    <n v="-2383.0635066327886"/>
    <n v="0.78356164383561644"/>
    <n v="1"/>
    <n v="-2383.0635066327886"/>
    <n v="0"/>
    <m/>
    <n v="-7.9241666666666788"/>
    <m/>
    <n v="-3.5138558775881902E-3"/>
    <m/>
  </r>
  <r>
    <x v="4"/>
    <s v="Purchase"/>
    <x v="63"/>
    <x v="1"/>
    <x v="1"/>
    <x v="8"/>
    <n v="1424.0960952380951"/>
    <x v="1"/>
    <n v="29"/>
    <n v="49.106761904761903"/>
    <n v="1"/>
    <n v="1424.0960952380951"/>
    <n v="20.2483"/>
    <n v="28835.524965209523"/>
    <n v="112.19"/>
    <n v="118.002"/>
    <n v="1.0518000000000001"/>
    <n v="30329.205158407378"/>
    <n v="1045.8346606347372"/>
    <m/>
    <n v="29"/>
    <s v="Sale"/>
    <x v="47"/>
    <x v="1"/>
    <n v="1416.7104166666666"/>
    <n v="1"/>
    <n v="1416.7104166666666"/>
    <n v="20.311800000000002"/>
    <n v="28775.938641249999"/>
    <n v="30329.205158407382"/>
    <n v="-1553.2665171573826"/>
    <n v="0.78356164383561644"/>
    <n v="1"/>
    <n v="-1553.2665171573826"/>
    <n v="0"/>
    <m/>
    <n v="-7.3856785714285706"/>
    <m/>
    <n v="-5.1862220506922723E-3"/>
    <m/>
  </r>
  <r>
    <x v="4"/>
    <s v="Purchase"/>
    <x v="63"/>
    <x v="1"/>
    <x v="1"/>
    <x v="8"/>
    <n v="1473.2028571428571"/>
    <x v="1"/>
    <n v="30"/>
    <n v="49.106761904761903"/>
    <n v="1"/>
    <n v="1473.2028571428571"/>
    <n v="20.2483"/>
    <n v="29829.853412285713"/>
    <n v="112.19"/>
    <n v="118.002"/>
    <n v="1.0518000000000001"/>
    <n v="31375.039819042115"/>
    <n v="1045.8346606347372"/>
    <m/>
    <n v="30"/>
    <s v="Sale"/>
    <x v="15"/>
    <x v="1"/>
    <n v="1421.49"/>
    <n v="1"/>
    <n v="1421.49"/>
    <n v="20.3002"/>
    <n v="28856.531298000002"/>
    <n v="31375.039819042118"/>
    <n v="-2518.5085210421166"/>
    <n v="0.78630136986301369"/>
    <n v="1"/>
    <n v="-2518.5085210421166"/>
    <n v="0"/>
    <m/>
    <n v="-51.712857142857047"/>
    <m/>
    <n v="-3.5102332915067397E-2"/>
    <m/>
  </r>
  <r>
    <x v="4"/>
    <s v="Purchase"/>
    <x v="63"/>
    <x v="1"/>
    <x v="1"/>
    <x v="8"/>
    <n v="589.28114285714287"/>
    <x v="1"/>
    <n v="12"/>
    <n v="49.106761904761903"/>
    <n v="1"/>
    <n v="589.28114285714287"/>
    <n v="20.2483"/>
    <n v="11931.941364914286"/>
    <n v="112.19"/>
    <n v="118.002"/>
    <n v="1.0518000000000001"/>
    <n v="12550.015927616847"/>
    <n v="1045.8346606347372"/>
    <m/>
    <n v="12"/>
    <s v="Sale"/>
    <x v="48"/>
    <x v="1"/>
    <n v="519.36"/>
    <n v="1"/>
    <n v="519.36"/>
    <n v="20.630800000000001"/>
    <n v="10714.812288000001"/>
    <n v="12550.015927616847"/>
    <n v="-1835.203639616846"/>
    <n v="0.80547945205479454"/>
    <n v="1"/>
    <n v="-1835.203639616846"/>
    <n v="0"/>
    <m/>
    <n v="-69.921142857142854"/>
    <m/>
    <n v="-0.11865498108106536"/>
    <m/>
  </r>
  <r>
    <x v="4"/>
    <s v="Purchase"/>
    <x v="63"/>
    <x v="1"/>
    <x v="1"/>
    <x v="8"/>
    <n v="589.28114285714287"/>
    <x v="1"/>
    <n v="12"/>
    <n v="49.106761904761903"/>
    <n v="1"/>
    <n v="589.28114285714287"/>
    <n v="20.2483"/>
    <n v="11931.941364914286"/>
    <n v="112.19"/>
    <n v="118.002"/>
    <n v="1.0518000000000001"/>
    <n v="12550.015927616847"/>
    <n v="1045.8346606347372"/>
    <m/>
    <n v="12"/>
    <s v="Sale"/>
    <x v="48"/>
    <x v="1"/>
    <n v="541.74"/>
    <n v="1"/>
    <n v="541.74"/>
    <n v="20.630800000000001"/>
    <n v="11176.529592000001"/>
    <n v="12550.015927616847"/>
    <n v="-1373.4863356168462"/>
    <n v="0.80547945205479454"/>
    <n v="1"/>
    <n v="-1373.4863356168462"/>
    <n v="0"/>
    <m/>
    <n v="-47.541142857142859"/>
    <m/>
    <n v="-8.06765046419754E-2"/>
    <m/>
  </r>
  <r>
    <x v="4"/>
    <s v="Purchase"/>
    <x v="63"/>
    <x v="1"/>
    <x v="1"/>
    <x v="8"/>
    <n v="1080.3487619047619"/>
    <x v="1"/>
    <n v="22"/>
    <n v="49.106761904761903"/>
    <n v="1"/>
    <n v="1080.3487619047619"/>
    <n v="20.2483"/>
    <n v="21875.225835676192"/>
    <n v="112.19"/>
    <n v="118.002"/>
    <n v="1.0518000000000001"/>
    <n v="23008.36253396422"/>
    <n v="1045.8346606347372"/>
    <m/>
    <n v="22"/>
    <s v="Sale"/>
    <x v="49"/>
    <x v="1"/>
    <n v="984.57920000000001"/>
    <n v="1"/>
    <n v="984.57920000000001"/>
    <n v="20.668299999999999"/>
    <n v="20349.578279359997"/>
    <n v="23008.36253396422"/>
    <n v="-2658.784254604223"/>
    <n v="0.80821917808219179"/>
    <n v="1"/>
    <n v="-2658.784254604223"/>
    <n v="0"/>
    <m/>
    <n v="-95.769561904761872"/>
    <m/>
    <n v="-8.8646893745599933E-2"/>
    <m/>
  </r>
  <r>
    <x v="4"/>
    <s v="Purchase"/>
    <x v="63"/>
    <x v="1"/>
    <x v="1"/>
    <x v="76"/>
    <n v="151.59873626373627"/>
    <x v="1"/>
    <n v="3"/>
    <n v="50.532912087912088"/>
    <n v="1"/>
    <n v="151.59873626373627"/>
    <n v="19.921299999999999"/>
    <n v="3020.0439047307691"/>
    <n v="113.018"/>
    <n v="118.002"/>
    <n v="1.044"/>
    <n v="3152.9258365389232"/>
    <n v="1050.9752788463077"/>
    <m/>
    <n v="3"/>
    <s v="Sale"/>
    <x v="49"/>
    <x v="1"/>
    <n v="134.26079999999999"/>
    <n v="1"/>
    <n v="134.26079999999999"/>
    <n v="20.668299999999999"/>
    <n v="2774.9424926399997"/>
    <n v="3152.9258365389232"/>
    <n v="-377.98334389892352"/>
    <n v="0.65479452054794518"/>
    <n v="1"/>
    <n v="-377.98334389892352"/>
    <n v="0"/>
    <m/>
    <n v="-17.337936263736282"/>
    <m/>
    <n v="-0.1143672875582121"/>
    <m/>
  </r>
  <r>
    <x v="4"/>
    <s v="Purchase"/>
    <x v="63"/>
    <x v="1"/>
    <x v="1"/>
    <x v="76"/>
    <n v="4194.231703296703"/>
    <x v="1"/>
    <n v="83"/>
    <n v="50.532912087912088"/>
    <n v="1"/>
    <n v="4194.231703296703"/>
    <n v="19.921299999999999"/>
    <n v="83554.548030884602"/>
    <n v="113.018"/>
    <n v="118.002"/>
    <n v="1.044"/>
    <n v="87230.948144243521"/>
    <n v="1050.9752788463074"/>
    <m/>
    <n v="83"/>
    <s v="Sale"/>
    <x v="49"/>
    <x v="1"/>
    <n v="3641.13"/>
    <n v="1"/>
    <n v="3641.13"/>
    <n v="20.668299999999999"/>
    <n v="75255.967178999999"/>
    <n v="87230.948144243521"/>
    <n v="-11974.980965243521"/>
    <n v="0.65479452054794518"/>
    <n v="1"/>
    <n v="-11974.980965243521"/>
    <n v="0"/>
    <m/>
    <n v="-553.10170329670291"/>
    <m/>
    <n v="-0.13187199526005206"/>
    <m/>
  </r>
  <r>
    <x v="4"/>
    <s v="Purchase"/>
    <x v="63"/>
    <x v="1"/>
    <x v="1"/>
    <x v="76"/>
    <n v="4699.5608241758246"/>
    <x v="1"/>
    <n v="93"/>
    <n v="50.532912087912095"/>
    <n v="1"/>
    <n v="4699.5608241758246"/>
    <n v="19.921299999999999"/>
    <n v="93621.361046653852"/>
    <n v="113.018"/>
    <n v="118.002"/>
    <n v="1.044"/>
    <n v="97740.700932706619"/>
    <n v="1050.9752788463077"/>
    <m/>
    <n v="93"/>
    <s v="Sale"/>
    <x v="48"/>
    <x v="1"/>
    <n v="4194.3999999999996"/>
    <n v="1"/>
    <n v="4194.3999999999996"/>
    <n v="20.630800000000001"/>
    <n v="86533.827519999992"/>
    <n v="97740.700932706619"/>
    <n v="-11206.873412706627"/>
    <n v="0.65205479452054793"/>
    <n v="1"/>
    <n v="-11206.873412706627"/>
    <n v="0"/>
    <m/>
    <n v="-505.16082417582493"/>
    <m/>
    <n v="-0.10749107056496421"/>
    <m/>
  </r>
  <r>
    <x v="4"/>
    <s v="Purchase"/>
    <x v="63"/>
    <x v="1"/>
    <x v="1"/>
    <x v="76"/>
    <n v="151.59873626373627"/>
    <x v="1"/>
    <n v="3"/>
    <n v="50.532912087912088"/>
    <n v="1"/>
    <n v="151.59873626373627"/>
    <n v="19.921299999999999"/>
    <n v="3020.0439047307691"/>
    <n v="113.018"/>
    <n v="118.98099999999999"/>
    <n v="1.0527"/>
    <n v="3179.2002185100805"/>
    <n v="1059.7334061700269"/>
    <m/>
    <n v="3"/>
    <s v="Sale"/>
    <x v="50"/>
    <x v="1"/>
    <n v="148.9425"/>
    <n v="1"/>
    <n v="148.9425"/>
    <n v="20.5562"/>
    <n v="3061.6918185"/>
    <n v="3179.200218510081"/>
    <n v="-117.508400010081"/>
    <n v="0.68767123287671228"/>
    <n v="1"/>
    <n v="-117.508400010081"/>
    <n v="0"/>
    <m/>
    <n v="-2.6562362637362753"/>
    <m/>
    <n v="-1.7521493445138106E-2"/>
    <m/>
  </r>
  <r>
    <x v="4"/>
    <s v="Purchase"/>
    <x v="63"/>
    <x v="1"/>
    <x v="1"/>
    <x v="76"/>
    <n v="376.93173913043478"/>
    <x v="1"/>
    <n v="9"/>
    <n v="41.881304347826088"/>
    <n v="1"/>
    <n v="376.93173913043478"/>
    <n v="19.921299999999999"/>
    <n v="7508.9702547391298"/>
    <n v="113.018"/>
    <n v="118.98099999999999"/>
    <n v="1.0527"/>
    <n v="7904.6929871638813"/>
    <n v="878.2992207959868"/>
    <m/>
    <n v="9"/>
    <s v="Sale"/>
    <x v="50"/>
    <x v="1"/>
    <n v="446.82749999999999"/>
    <n v="1"/>
    <n v="446.82749999999999"/>
    <n v="20.5562"/>
    <n v="9185.0754555000003"/>
    <n v="7904.6929871638813"/>
    <n v="1280.382468336119"/>
    <n v="0.68767123287671228"/>
    <n v="1"/>
    <n v="1280.382468336119"/>
    <n v="0"/>
    <m/>
    <n v="69.895760869565208"/>
    <m/>
    <n v="0.18543347140469441"/>
    <m/>
  </r>
  <r>
    <x v="4"/>
    <s v="Purchase"/>
    <x v="63"/>
    <x v="1"/>
    <x v="1"/>
    <x v="86"/>
    <n v="586.33826086956526"/>
    <x v="1"/>
    <n v="14"/>
    <n v="41.881304347826088"/>
    <n v="1"/>
    <n v="586.33826086956526"/>
    <n v="19.8537"/>
    <n v="11640.983929826089"/>
    <n v="113.682"/>
    <n v="118.98099999999999"/>
    <n v="1.0466"/>
    <n v="12183.453780955984"/>
    <n v="870.24669863971314"/>
    <m/>
    <n v="14"/>
    <s v="Sale"/>
    <x v="50"/>
    <x v="1"/>
    <n v="691.63906976744192"/>
    <n v="1"/>
    <n v="691.63906976744192"/>
    <n v="20.5562"/>
    <n v="14217.471045953491"/>
    <n v="12183.453780955984"/>
    <n v="2034.0172649975066"/>
    <n v="0.55616438356164388"/>
    <n v="1"/>
    <n v="2034.0172649975066"/>
    <n v="0"/>
    <m/>
    <n v="105.30080889787666"/>
    <m/>
    <n v="0.17959054683163769"/>
    <m/>
  </r>
  <r>
    <x v="4"/>
    <s v="Purchase"/>
    <x v="63"/>
    <x v="1"/>
    <x v="1"/>
    <x v="86"/>
    <n v="1215.82"/>
    <x v="1"/>
    <n v="29"/>
    <n v="41.924827586206895"/>
    <n v="1"/>
    <n v="1215.82"/>
    <n v="19.8537"/>
    <n v="24138.525534"/>
    <n v="113.682"/>
    <n v="118.98099999999999"/>
    <n v="1.0466"/>
    <n v="25263.380823884399"/>
    <n v="871.15106289256551"/>
    <m/>
    <n v="29"/>
    <s v="Sale"/>
    <x v="50"/>
    <x v="1"/>
    <n v="1432.6809302325582"/>
    <n v="1"/>
    <n v="1432.6809302325582"/>
    <n v="20.5562"/>
    <n v="29450.475738046513"/>
    <n v="25263.380823884399"/>
    <n v="4187.0949141621131"/>
    <n v="0.55616438356164388"/>
    <n v="1"/>
    <n v="4187.0949141621131"/>
    <n v="0"/>
    <m/>
    <n v="216.8609302325583"/>
    <m/>
    <n v="0.17836598364277467"/>
    <m/>
  </r>
  <r>
    <x v="4"/>
    <s v="Purchase"/>
    <x v="63"/>
    <x v="1"/>
    <x v="1"/>
    <x v="86"/>
    <n v="251.54896551724136"/>
    <x v="1"/>
    <n v="6"/>
    <n v="41.924827586206895"/>
    <n v="1"/>
    <n v="251.54896551724136"/>
    <n v="19.8537"/>
    <n v="4994.177696689655"/>
    <n v="113.682"/>
    <n v="118.98099999999999"/>
    <n v="1.0466"/>
    <n v="5226.9063773553926"/>
    <n v="871.15106289256539"/>
    <m/>
    <n v="6"/>
    <s v="Sale"/>
    <x v="50"/>
    <x v="1"/>
    <n v="296.33999999999997"/>
    <n v="1"/>
    <n v="296.33999999999997"/>
    <n v="20.5562"/>
    <n v="6091.6243079999995"/>
    <n v="5226.9063773553926"/>
    <n v="864.71793064460689"/>
    <n v="0.55616438356164388"/>
    <n v="1"/>
    <n v="864.71793064460689"/>
    <n v="0"/>
    <m/>
    <n v="44.791034482758619"/>
    <m/>
    <n v="0.1780608971722788"/>
    <m/>
  </r>
  <r>
    <x v="4"/>
    <s v="Purchase"/>
    <x v="63"/>
    <x v="1"/>
    <x v="1"/>
    <x v="86"/>
    <n v="251.54896551724136"/>
    <x v="1"/>
    <n v="6"/>
    <n v="41.924827586206895"/>
    <n v="1"/>
    <n v="251.54896551724136"/>
    <n v="19.8537"/>
    <n v="4994.177696689655"/>
    <n v="113.682"/>
    <n v="118.98099999999999"/>
    <n v="1.0466"/>
    <n v="5226.9063773553926"/>
    <n v="871.15106289256539"/>
    <m/>
    <n v="6"/>
    <s v="Sale"/>
    <x v="50"/>
    <x v="1"/>
    <n v="297.33"/>
    <n v="1"/>
    <n v="297.33"/>
    <n v="20.5562"/>
    <n v="6111.9749459999994"/>
    <n v="5226.9063773553926"/>
    <n v="885.06856864460678"/>
    <n v="0.55616438356164388"/>
    <n v="1"/>
    <n v="885.06856864460678"/>
    <n v="0"/>
    <m/>
    <n v="45.781034482758628"/>
    <m/>
    <n v="0.18199651264167396"/>
    <m/>
  </r>
  <r>
    <x v="4"/>
    <s v="Purchase"/>
    <x v="63"/>
    <x v="1"/>
    <x v="1"/>
    <x v="86"/>
    <n v="712.72206896551722"/>
    <x v="1"/>
    <n v="17"/>
    <n v="41.924827586206895"/>
    <n v="1"/>
    <n v="712.72206896551722"/>
    <n v="19.8537"/>
    <n v="14150.170140620688"/>
    <n v="113.682"/>
    <n v="118.98099999999999"/>
    <n v="1.0466"/>
    <n v="14809.568069173612"/>
    <n v="871.15106289256539"/>
    <m/>
    <n v="17"/>
    <s v="Sale"/>
    <x v="50"/>
    <x v="1"/>
    <n v="840.4516666666666"/>
    <n v="1"/>
    <n v="840.4516666666666"/>
    <n v="20.5562"/>
    <n v="17276.492550333332"/>
    <n v="14809.568069173612"/>
    <n v="2466.92448115972"/>
    <n v="0.55616438356164388"/>
    <n v="1"/>
    <n v="2466.92448115972"/>
    <n v="0"/>
    <m/>
    <n v="127.72959770114937"/>
    <m/>
    <n v="0.17921375422897023"/>
    <m/>
  </r>
  <r>
    <x v="4"/>
    <s v="Purchase"/>
    <x v="63"/>
    <x v="1"/>
    <x v="1"/>
    <x v="86"/>
    <n v="2054.1837226277371"/>
    <x v="1"/>
    <n v="49"/>
    <n v="41.922116788321162"/>
    <n v="1"/>
    <n v="2054.1837226277371"/>
    <n v="19.8537"/>
    <n v="40783.147373934306"/>
    <n v="113.682"/>
    <n v="118.98099999999999"/>
    <n v="1.0466"/>
    <n v="42683.642041559644"/>
    <n v="871.0947355420335"/>
    <m/>
    <n v="49"/>
    <s v="Sale"/>
    <x v="50"/>
    <x v="1"/>
    <n v="2422.4783333333335"/>
    <n v="1"/>
    <n v="2422.4783333333335"/>
    <n v="20.5562"/>
    <n v="49796.94911566667"/>
    <n v="42683.642041559644"/>
    <n v="7113.307074107026"/>
    <n v="0.55616438356164388"/>
    <n v="1"/>
    <n v="7113.307074107026"/>
    <n v="0"/>
    <m/>
    <n v="368.29461070559637"/>
    <m/>
    <n v="0.17929000539176182"/>
    <m/>
  </r>
  <r>
    <x v="4"/>
    <s v="Purchase"/>
    <x v="63"/>
    <x v="1"/>
    <x v="1"/>
    <x v="86"/>
    <n v="377.2990510948905"/>
    <x v="1"/>
    <n v="9"/>
    <n v="41.922116788321169"/>
    <n v="1"/>
    <n v="377.2990510948905"/>
    <n v="19.8537"/>
    <n v="7490.7821707226276"/>
    <n v="113.682"/>
    <n v="118.98099999999999"/>
    <n v="1.0466"/>
    <n v="7839.852619878302"/>
    <n v="871.0947355420335"/>
    <m/>
    <n v="9"/>
    <s v="Sale"/>
    <x v="50"/>
    <x v="1"/>
    <n v="447.57"/>
    <n v="1"/>
    <n v="447.57"/>
    <n v="20.5562"/>
    <n v="9200.3384339999993"/>
    <n v="7839.852619878302"/>
    <n v="1360.4858141216973"/>
    <n v="0.55616438356164388"/>
    <n v="1"/>
    <n v="1360.4858141216973"/>
    <n v="0"/>
    <m/>
    <n v="70.270948905109492"/>
    <m/>
    <n v="0.18624735127530545"/>
    <m/>
  </r>
  <r>
    <x v="4"/>
    <s v="Purchase"/>
    <x v="63"/>
    <x v="1"/>
    <x v="1"/>
    <x v="86"/>
    <n v="3311.8472262773726"/>
    <x v="1"/>
    <n v="79"/>
    <n v="41.922116788321169"/>
    <n v="1"/>
    <n v="3311.8472262773726"/>
    <n v="19.8537"/>
    <n v="65752.42127634307"/>
    <n v="113.682"/>
    <n v="121.02200000000001"/>
    <n v="1.0645"/>
    <n v="69993.452448667202"/>
    <n v="885.99306897047086"/>
    <m/>
    <n v="79"/>
    <s v="Sale"/>
    <x v="51"/>
    <x v="1"/>
    <n v="2783.2915384615385"/>
    <n v="1"/>
    <n v="2783.2915384615385"/>
    <n v="20.335000000000001"/>
    <n v="56598.233434615388"/>
    <n v="69993.452448667202"/>
    <n v="-13395.219014051814"/>
    <n v="0.79452054794520544"/>
    <n v="1"/>
    <n v="-13395.219014051814"/>
    <n v="0"/>
    <m/>
    <n v="-528.55568781583406"/>
    <m/>
    <n v="-0.15959543170412133"/>
    <m/>
  </r>
  <r>
    <x v="4"/>
    <s v="Purchase"/>
    <x v="63"/>
    <x v="1"/>
    <x v="1"/>
    <x v="86"/>
    <n v="3242.855"/>
    <x v="1"/>
    <n v="77"/>
    <n v="42.115000000000002"/>
    <n v="1"/>
    <n v="3242.855"/>
    <n v="19.8537"/>
    <n v="64382.670313499999"/>
    <n v="113.682"/>
    <n v="121.02200000000001"/>
    <n v="1.0645"/>
    <n v="68535.352548720752"/>
    <n v="890.06951361975007"/>
    <m/>
    <n v="77"/>
    <s v="Sale"/>
    <x v="51"/>
    <x v="1"/>
    <n v="2712.8284615384619"/>
    <n v="1"/>
    <n v="2712.8284615384619"/>
    <n v="20.335000000000001"/>
    <n v="55165.366765384621"/>
    <n v="68535.352548720752"/>
    <n v="-13369.985783336131"/>
    <n v="0.79452054794520544"/>
    <n v="1"/>
    <n v="-13369.985783336131"/>
    <n v="0"/>
    <m/>
    <n v="-530.02653846153817"/>
    <m/>
    <n v="-0.16344441501748866"/>
    <m/>
  </r>
  <r>
    <x v="4"/>
    <s v="Purchase"/>
    <x v="63"/>
    <x v="1"/>
    <x v="1"/>
    <x v="86"/>
    <n v="463.26500000000004"/>
    <x v="1"/>
    <n v="11"/>
    <n v="42.115000000000002"/>
    <n v="1"/>
    <n v="463.26500000000004"/>
    <n v="19.8537"/>
    <n v="9197.5243305000004"/>
    <n v="113.682"/>
    <n v="121.02200000000001"/>
    <n v="1.0645"/>
    <n v="9790.7646498172508"/>
    <n v="890.06951361975007"/>
    <m/>
    <n v="11"/>
    <s v="Sale"/>
    <x v="51"/>
    <x v="1"/>
    <n v="383.87282352941179"/>
    <n v="1"/>
    <n v="383.87282352941179"/>
    <n v="20.335000000000001"/>
    <n v="7806.0538664705891"/>
    <n v="9790.7646498172508"/>
    <n v="-1984.7107833466616"/>
    <n v="0.79452054794520544"/>
    <n v="1"/>
    <n v="-1984.7107833466616"/>
    <n v="0"/>
    <m/>
    <n v="-79.392176470588254"/>
    <m/>
    <n v="-0.17137529593340367"/>
    <m/>
  </r>
  <r>
    <x v="4"/>
    <s v="Purchase"/>
    <x v="63"/>
    <x v="1"/>
    <x v="1"/>
    <x v="53"/>
    <n v="1016.1300000000001"/>
    <x v="1"/>
    <n v="25"/>
    <n v="40.645200000000003"/>
    <n v="1"/>
    <n v="1016.1300000000001"/>
    <n v="19.886299999999999"/>
    <n v="20207.066019000002"/>
    <n v="113.899"/>
    <n v="121.02200000000001"/>
    <n v="1.0625"/>
    <n v="21470.007645187503"/>
    <n v="858.80030580750008"/>
    <m/>
    <n v="25"/>
    <s v="Sale"/>
    <x v="51"/>
    <x v="1"/>
    <n v="872.4382352941177"/>
    <n v="1"/>
    <n v="872.4382352941177"/>
    <n v="20.335000000000001"/>
    <n v="17741.031514705883"/>
    <n v="21470.007645187503"/>
    <n v="-3728.9761304816202"/>
    <n v="0.71506849315068488"/>
    <n v="1"/>
    <n v="-3728.9761304816202"/>
    <n v="0"/>
    <m/>
    <n v="-143.69176470588241"/>
    <m/>
    <n v="-0.14141080836692391"/>
    <m/>
  </r>
  <r>
    <x v="4"/>
    <s v="Purchase"/>
    <x v="63"/>
    <x v="1"/>
    <x v="1"/>
    <x v="53"/>
    <n v="4211.78"/>
    <x v="1"/>
    <n v="104"/>
    <n v="40.497884615384613"/>
    <n v="1"/>
    <n v="4211.78"/>
    <n v="19.886299999999999"/>
    <n v="83756.720613999991"/>
    <n v="113.899"/>
    <n v="121.02200000000001"/>
    <n v="1.0625"/>
    <n v="88991.51565237499"/>
    <n v="855.68765050360571"/>
    <m/>
    <n v="104"/>
    <s v="Sale"/>
    <x v="51"/>
    <x v="1"/>
    <n v="3629.3430588235296"/>
    <n v="1"/>
    <n v="3629.3430588235296"/>
    <n v="20.335000000000001"/>
    <n v="73802.691101176475"/>
    <n v="88991.51565237499"/>
    <n v="-15188.824551198515"/>
    <n v="0.71506849315068488"/>
    <n v="1"/>
    <n v="-15188.824551198515"/>
    <n v="0"/>
    <m/>
    <n v="-582.4369411764701"/>
    <m/>
    <n v="-0.13828759839698895"/>
    <m/>
  </r>
  <r>
    <x v="4"/>
    <s v="Purchase"/>
    <x v="63"/>
    <x v="1"/>
    <x v="1"/>
    <x v="53"/>
    <n v="1103.9100000000001"/>
    <x v="1"/>
    <n v="27"/>
    <n v="40.885555555555555"/>
    <n v="1"/>
    <n v="1103.9100000000001"/>
    <n v="19.886299999999999"/>
    <n v="21952.685432999999"/>
    <n v="113.899"/>
    <n v="121.02200000000001"/>
    <n v="1.0625"/>
    <n v="23324.728272562497"/>
    <n v="863.87882490972208"/>
    <m/>
    <n v="27"/>
    <s v="Sale"/>
    <x v="51"/>
    <x v="1"/>
    <n v="942.23329411764712"/>
    <n v="1"/>
    <n v="942.23329411764712"/>
    <n v="20.335000000000001"/>
    <n v="19160.314035882355"/>
    <n v="23324.728272562497"/>
    <n v="-4164.4142366801425"/>
    <n v="0.71506849315068488"/>
    <n v="1"/>
    <n v="-4164.4142366801425"/>
    <n v="0"/>
    <m/>
    <n v="-161.67670588235296"/>
    <m/>
    <n v="-0.14645823108981071"/>
    <m/>
  </r>
  <r>
    <x v="4"/>
    <s v="Purchase"/>
    <x v="63"/>
    <x v="1"/>
    <x v="1"/>
    <x v="54"/>
    <n v="117.12384"/>
    <x v="1"/>
    <n v="3"/>
    <n v="39.04128"/>
    <n v="1"/>
    <n v="117.12384"/>
    <n v="19.991199999999999"/>
    <n v="2341.4461102079999"/>
    <n v="113.899"/>
    <n v="121.02200000000001"/>
    <n v="1.0625"/>
    <n v="2487.7864920960001"/>
    <n v="829.26216403199999"/>
    <m/>
    <n v="3"/>
    <s v="Sale"/>
    <x v="51"/>
    <x v="1"/>
    <n v="104.69258823529412"/>
    <n v="1"/>
    <n v="104.69258823529412"/>
    <n v="20.335000000000001"/>
    <n v="2128.9237817647063"/>
    <n v="2487.7864920960001"/>
    <n v="-358.86271033129378"/>
    <n v="0.71232876712328763"/>
    <n v="1"/>
    <n v="-358.86271033129378"/>
    <n v="0"/>
    <m/>
    <n v="-12.431251764705877"/>
    <m/>
    <n v="-0.10613767243889781"/>
    <m/>
  </r>
  <r>
    <x v="4"/>
    <s v="Purchase"/>
    <x v="63"/>
    <x v="1"/>
    <x v="1"/>
    <x v="54"/>
    <n v="780.82560000000001"/>
    <x v="1"/>
    <n v="20"/>
    <n v="39.04128"/>
    <n v="1"/>
    <n v="780.82560000000001"/>
    <n v="19.991199999999999"/>
    <n v="15609.64073472"/>
    <n v="113.899"/>
    <n v="121.02200000000001"/>
    <n v="1.0625"/>
    <n v="16585.243280639999"/>
    <n v="829.26216403199999"/>
    <m/>
    <n v="20"/>
    <s v="Sale"/>
    <x v="51"/>
    <x v="1"/>
    <n v="697.36999999999989"/>
    <n v="1"/>
    <n v="697.36999999999989"/>
    <n v="20.335000000000001"/>
    <n v="14181.018949999998"/>
    <n v="16585.243280639999"/>
    <n v="-2404.2243306400014"/>
    <n v="0.71232876712328763"/>
    <n v="1"/>
    <n v="-2404.2243306400014"/>
    <n v="0"/>
    <m/>
    <n v="-83.455600000000118"/>
    <m/>
    <n v="-0.1068812293039574"/>
    <m/>
  </r>
  <r>
    <x v="4"/>
    <s v="Purchase"/>
    <x v="63"/>
    <x v="1"/>
    <x v="1"/>
    <x v="54"/>
    <n v="1171.2384"/>
    <x v="1"/>
    <n v="30"/>
    <n v="39.04128"/>
    <n v="1"/>
    <n v="1171.2384"/>
    <n v="19.991199999999999"/>
    <n v="23414.461102079997"/>
    <n v="113.899"/>
    <n v="121.02200000000001"/>
    <n v="1.0625"/>
    <n v="24877.864920959997"/>
    <n v="829.26216403199987"/>
    <m/>
    <n v="30"/>
    <s v="Sale"/>
    <x v="51"/>
    <x v="1"/>
    <n v="1060.99"/>
    <n v="1"/>
    <n v="1060.99"/>
    <n v="20.335000000000001"/>
    <n v="21575.231650000002"/>
    <n v="24877.864920959997"/>
    <n v="-3302.6332709599956"/>
    <n v="0.71232876712328763"/>
    <n v="1"/>
    <n v="-3302.6332709599956"/>
    <n v="0"/>
    <m/>
    <n v="-110.24839999999995"/>
    <m/>
    <n v="-9.4129768969323374E-2"/>
    <m/>
  </r>
  <r>
    <x v="4"/>
    <s v="Purchase"/>
    <x v="63"/>
    <x v="1"/>
    <x v="1"/>
    <x v="54"/>
    <n v="1561.6512"/>
    <x v="1"/>
    <n v="40"/>
    <n v="39.04128"/>
    <n v="1"/>
    <n v="1561.6512"/>
    <n v="19.991199999999999"/>
    <n v="31219.28146944"/>
    <n v="113.899"/>
    <n v="121.02200000000001"/>
    <n v="1.0625"/>
    <n v="33170.486561279999"/>
    <n v="829.26216403199999"/>
    <m/>
    <n v="40"/>
    <s v="Sale"/>
    <x v="51"/>
    <x v="1"/>
    <n v="1402.63"/>
    <n v="1"/>
    <n v="1402.63"/>
    <n v="20.335000000000001"/>
    <n v="28522.481050000002"/>
    <n v="33170.486561279999"/>
    <n v="-4648.0055112799964"/>
    <n v="0.71232876712328763"/>
    <n v="1"/>
    <n v="-4648.0055112799964"/>
    <n v="0"/>
    <m/>
    <n v="-159.02119999999991"/>
    <m/>
    <n v="-0.10182888470869801"/>
    <m/>
  </r>
  <r>
    <x v="4"/>
    <s v="Purchase"/>
    <x v="63"/>
    <x v="1"/>
    <x v="1"/>
    <x v="54"/>
    <n v="273.28895999999997"/>
    <x v="1"/>
    <n v="7"/>
    <n v="39.041279999999993"/>
    <n v="1"/>
    <n v="273.28895999999997"/>
    <n v="19.991199999999999"/>
    <n v="5463.3742571519997"/>
    <n v="113.899"/>
    <n v="121.02200000000001"/>
    <n v="1.0625"/>
    <n v="5804.8351482239996"/>
    <n v="829.26216403199999"/>
    <m/>
    <n v="7"/>
    <s v="Sale"/>
    <x v="51"/>
    <x v="1"/>
    <n v="246.54"/>
    <n v="1"/>
    <n v="246.54"/>
    <n v="20.335000000000001"/>
    <n v="5013.3909000000003"/>
    <n v="5804.8351482239996"/>
    <n v="-791.44424822399924"/>
    <n v="0.71232876712328763"/>
    <n v="1"/>
    <n v="-791.44424822399924"/>
    <n v="0"/>
    <m/>
    <n v="-26.748959999999983"/>
    <m/>
    <n v="-9.7877938428248198E-2"/>
    <m/>
  </r>
  <r>
    <x v="4"/>
    <s v="Purchase"/>
    <x v="63"/>
    <x v="1"/>
    <x v="1"/>
    <x v="54"/>
    <n v="976.03200000000004"/>
    <x v="1"/>
    <n v="25"/>
    <n v="39.04128"/>
    <n v="1"/>
    <n v="976.03200000000004"/>
    <n v="19.991199999999999"/>
    <n v="19512.0509184"/>
    <n v="113.899"/>
    <n v="121.02200000000001"/>
    <n v="1.0625"/>
    <n v="20731.5541008"/>
    <n v="829.26216403199999"/>
    <m/>
    <n v="25"/>
    <s v="Sale"/>
    <x v="52"/>
    <x v="1"/>
    <n v="797.77611940298505"/>
    <n v="1"/>
    <n v="797.77611940298505"/>
    <n v="20.253499999999999"/>
    <n v="16157.758634328356"/>
    <n v="20731.5541008"/>
    <n v="-4573.7954664716435"/>
    <n v="0.72054794520547949"/>
    <n v="1"/>
    <n v="-4573.7954664716435"/>
    <n v="0"/>
    <m/>
    <n v="-178.25588059701499"/>
    <m/>
    <n v="-0.18263323394828754"/>
    <m/>
  </r>
  <r>
    <x v="4"/>
    <s v="Purchase"/>
    <x v="63"/>
    <x v="1"/>
    <x v="1"/>
    <x v="54"/>
    <n v="534.19000000000005"/>
    <x v="1"/>
    <n v="14"/>
    <n v="38.156428571428577"/>
    <n v="1"/>
    <n v="534.19000000000005"/>
    <n v="19.991199999999999"/>
    <n v="10679.099128"/>
    <n v="113.899"/>
    <n v="121.02200000000001"/>
    <n v="1.0625"/>
    <n v="11346.5428235"/>
    <n v="810.46734453571423"/>
    <m/>
    <n v="14"/>
    <s v="Sale"/>
    <x v="52"/>
    <x v="1"/>
    <n v="446.75462686567164"/>
    <n v="1"/>
    <n v="446.75462686567164"/>
    <n v="20.253499999999999"/>
    <n v="9048.3448352238793"/>
    <n v="11346.5428235"/>
    <n v="-2298.1979882761207"/>
    <n v="0.72054794520547949"/>
    <n v="1"/>
    <n v="-2298.1979882761207"/>
    <n v="0"/>
    <m/>
    <n v="-87.435373134328415"/>
    <m/>
    <n v="-0.16367841617089127"/>
    <m/>
  </r>
  <r>
    <x v="4"/>
    <s v="Purchase"/>
    <x v="63"/>
    <x v="1"/>
    <x v="1"/>
    <x v="87"/>
    <n v="2857.72"/>
    <x v="1"/>
    <n v="74"/>
    <n v="38.617837837837833"/>
    <n v="1"/>
    <n v="2857.72"/>
    <n v="21.546199999999999"/>
    <n v="61573.006663999993"/>
    <n v="116.884"/>
    <n v="121.02200000000001"/>
    <n v="1.0354000000000001"/>
    <n v="63752.691099905598"/>
    <n v="861.52285270142704"/>
    <m/>
    <n v="74"/>
    <s v="Sale"/>
    <x v="52"/>
    <x v="1"/>
    <n v="2361.4173134328357"/>
    <n v="1"/>
    <n v="2361.4173134328357"/>
    <n v="20.253499999999999"/>
    <n v="47826.965557611933"/>
    <n v="63752.691099905598"/>
    <n v="-15925.725542293665"/>
    <n v="0.44109589041095892"/>
    <n v="1"/>
    <n v="-15925.725542293665"/>
    <n v="0"/>
    <m/>
    <n v="-496.30268656716407"/>
    <m/>
    <n v="-0.17367085878503286"/>
    <m/>
  </r>
  <r>
    <x v="4"/>
    <s v="Purchase"/>
    <x v="63"/>
    <x v="1"/>
    <x v="1"/>
    <x v="87"/>
    <n v="818.89255813953491"/>
    <x v="1"/>
    <n v="21"/>
    <n v="38.994883720930233"/>
    <n v="1"/>
    <n v="818.89255813953491"/>
    <n v="21.546199999999999"/>
    <n v="17644.022836186046"/>
    <n v="116.884"/>
    <n v="121.02200000000001"/>
    <n v="1.0354000000000001"/>
    <n v="18268.621244587033"/>
    <n v="869.93434498033491"/>
    <m/>
    <n v="21"/>
    <s v="Sale"/>
    <x v="52"/>
    <x v="1"/>
    <n v="670.13194029850752"/>
    <n v="1"/>
    <n v="670.13194029850752"/>
    <n v="20.253499999999999"/>
    <n v="13572.517252835822"/>
    <n v="18268.621244587033"/>
    <n v="-4696.1039917512117"/>
    <n v="0.44109589041095892"/>
    <n v="1"/>
    <n v="-4696.1039917512117"/>
    <n v="0"/>
    <m/>
    <n v="-148.7606178410274"/>
    <m/>
    <n v="-0.18166072748176004"/>
    <m/>
  </r>
  <r>
    <x v="4"/>
    <s v="Purchase"/>
    <x v="63"/>
    <x v="1"/>
    <x v="1"/>
    <x v="87"/>
    <n v="5888.2274418604648"/>
    <x v="1"/>
    <n v="151"/>
    <n v="38.994883720930233"/>
    <n v="1"/>
    <n v="5888.2274418604648"/>
    <n v="21.546199999999999"/>
    <n v="126868.92610781394"/>
    <n v="116.884"/>
    <n v="121.02200000000001"/>
    <n v="1.0354000000000001"/>
    <n v="131360.08609203057"/>
    <n v="869.93434498033491"/>
    <m/>
    <n v="151"/>
    <s v="Sale"/>
    <x v="53"/>
    <x v="1"/>
    <n v="4737.9615662650604"/>
    <n v="1"/>
    <n v="4737.9615662650604"/>
    <n v="20.108499999999999"/>
    <n v="95273.30015524097"/>
    <n v="131360.08609203057"/>
    <n v="-36086.785936789602"/>
    <n v="0.44383561643835617"/>
    <n v="1"/>
    <n v="-36086.785936789602"/>
    <n v="0"/>
    <m/>
    <n v="-1150.2658755954044"/>
    <m/>
    <n v="-0.19535010951138845"/>
    <m/>
  </r>
  <r>
    <x v="4"/>
    <s v="Purchase"/>
    <x v="63"/>
    <x v="1"/>
    <x v="1"/>
    <x v="88"/>
    <n v="472.44999999999993"/>
    <x v="1"/>
    <n v="11"/>
    <n v="42.949999999999996"/>
    <n v="1"/>
    <n v="472.44999999999993"/>
    <n v="21.194700000000001"/>
    <n v="10013.436014999999"/>
    <n v="120.15900000000001"/>
    <n v="121.02200000000001"/>
    <n v="1.0071000000000001"/>
    <n v="10084.531410706501"/>
    <n v="916.77558279150003"/>
    <m/>
    <n v="11"/>
    <s v="Sale"/>
    <x v="53"/>
    <x v="1"/>
    <n v="345.14951807228914"/>
    <n v="1"/>
    <n v="345.14951807228914"/>
    <n v="20.108499999999999"/>
    <n v="6940.4390841566255"/>
    <n v="10084.531410706501"/>
    <n v="-3144.092326549875"/>
    <n v="0.16986301369863013"/>
    <n v="1"/>
    <n v="-3144.092326549875"/>
    <n v="0"/>
    <m/>
    <n v="-127.30048192771079"/>
    <m/>
    <n v="-0.26944752233614311"/>
    <m/>
  </r>
  <r>
    <x v="4"/>
    <s v="Purchase"/>
    <x v="63"/>
    <x v="1"/>
    <x v="1"/>
    <x v="88"/>
    <n v="170.67999999999998"/>
    <x v="1"/>
    <n v="4"/>
    <n v="42.669999999999995"/>
    <n v="1"/>
    <n v="170.67999999999998"/>
    <n v="21.194700000000001"/>
    <n v="3617.5113959999999"/>
    <n v="120.15900000000001"/>
    <n v="121.02200000000001"/>
    <n v="1.0071000000000001"/>
    <n v="3643.1957269116001"/>
    <n v="910.79893172790003"/>
    <m/>
    <n v="4"/>
    <s v="Sale"/>
    <x v="53"/>
    <x v="1"/>
    <n v="125.50891566265059"/>
    <n v="1"/>
    <n v="125.50891566265059"/>
    <n v="20.108499999999999"/>
    <n v="2523.7960306024092"/>
    <n v="3643.1957269116001"/>
    <n v="-1119.3996963091909"/>
    <n v="0.16986301369863013"/>
    <n v="1"/>
    <n v="-1119.3996963091909"/>
    <n v="0"/>
    <m/>
    <n v="-45.171084337349384"/>
    <m/>
    <n v="-0.26465364622304538"/>
    <m/>
  </r>
  <r>
    <x v="4"/>
    <s v="Purchase"/>
    <x v="63"/>
    <x v="1"/>
    <x v="1"/>
    <x v="88"/>
    <n v="341.35999999999996"/>
    <x v="1"/>
    <n v="8"/>
    <n v="42.669999999999995"/>
    <n v="1"/>
    <n v="341.35999999999996"/>
    <n v="21.194700000000001"/>
    <n v="7235.0227919999998"/>
    <n v="120.15900000000001"/>
    <n v="121.02200000000001"/>
    <n v="1.0071000000000001"/>
    <n v="7286.3914538232002"/>
    <n v="910.79893172790003"/>
    <m/>
    <n v="8"/>
    <s v="Sale"/>
    <x v="53"/>
    <x v="1"/>
    <n v="249.92"/>
    <n v="1"/>
    <n v="249.92"/>
    <n v="20.108499999999999"/>
    <n v="5025.5163199999997"/>
    <n v="7286.3914538232002"/>
    <n v="-2260.8751338232005"/>
    <n v="0.16986301369863013"/>
    <n v="1"/>
    <n v="-2260.8751338232005"/>
    <n v="0"/>
    <m/>
    <n v="-91.439999999999969"/>
    <m/>
    <n v="-0.26786969767986868"/>
    <m/>
  </r>
  <r>
    <x v="4"/>
    <s v="Purchase"/>
    <x v="63"/>
    <x v="1"/>
    <x v="1"/>
    <x v="88"/>
    <n v="253.11"/>
    <x v="1"/>
    <n v="6"/>
    <n v="42.185000000000002"/>
    <n v="1"/>
    <n v="253.11"/>
    <n v="21.194700000000001"/>
    <n v="5364.5905170000005"/>
    <n v="120.15900000000001"/>
    <n v="121.02200000000001"/>
    <n v="1.0071000000000001"/>
    <n v="5402.6791096707011"/>
    <n v="900.44651827845018"/>
    <m/>
    <n v="6"/>
    <s v="Sale"/>
    <x v="53"/>
    <x v="1"/>
    <n v="187.44"/>
    <n v="1"/>
    <n v="187.44"/>
    <n v="20.108499999999999"/>
    <n v="3769.13724"/>
    <n v="5402.6791096707011"/>
    <n v="-1633.5418696707011"/>
    <n v="0.16986301369863013"/>
    <n v="1"/>
    <n v="-1633.5418696707011"/>
    <n v="0"/>
    <m/>
    <n v="-65.670000000000016"/>
    <m/>
    <n v="-0.25945241199478492"/>
    <m/>
  </r>
  <r>
    <x v="4"/>
    <s v="Purchase"/>
    <x v="63"/>
    <x v="1"/>
    <x v="1"/>
    <x v="88"/>
    <n v="299.97935483870964"/>
    <x v="1"/>
    <n v="7"/>
    <n v="42.854193548387094"/>
    <n v="1"/>
    <n v="299.97935483870964"/>
    <n v="21.194700000000001"/>
    <n v="6357.9724319999996"/>
    <n v="120.15900000000001"/>
    <n v="121.02200000000001"/>
    <n v="1.0071000000000001"/>
    <n v="6403.1140362672004"/>
    <n v="914.73057660960001"/>
    <m/>
    <n v="7"/>
    <s v="Sale"/>
    <x v="53"/>
    <x v="1"/>
    <n v="218.67999999999998"/>
    <n v="1"/>
    <n v="218.67999999999998"/>
    <n v="20.108499999999999"/>
    <n v="4397.3267799999994"/>
    <n v="6403.1140362672004"/>
    <n v="-2005.787256267201"/>
    <n v="0.16986301369863013"/>
    <n v="1"/>
    <n v="-2005.787256267201"/>
    <n v="0"/>
    <m/>
    <n v="-81.299354838709661"/>
    <m/>
    <n v="-0.27101650006021916"/>
    <m/>
  </r>
  <r>
    <x v="4"/>
    <s v="Purchase"/>
    <x v="63"/>
    <x v="1"/>
    <x v="1"/>
    <x v="88"/>
    <n v="899.93806451612897"/>
    <x v="1"/>
    <n v="21"/>
    <n v="42.854193548387094"/>
    <n v="1"/>
    <n v="899.93806451612897"/>
    <n v="21.194700000000001"/>
    <n v="19073.917296"/>
    <n v="120.15900000000001"/>
    <n v="121.02200000000001"/>
    <n v="1.0071000000000001"/>
    <n v="19209.3421088016"/>
    <n v="914.73057660960001"/>
    <m/>
    <n v="21"/>
    <s v="Sale"/>
    <x v="53"/>
    <x v="1"/>
    <n v="664.14"/>
    <n v="1"/>
    <n v="664.14"/>
    <n v="20.108499999999999"/>
    <n v="13354.859189999999"/>
    <n v="19209.3421088016"/>
    <n v="-5854.482918801601"/>
    <n v="0.16986301369863013"/>
    <n v="1"/>
    <n v="-5854.482918801601"/>
    <n v="0"/>
    <m/>
    <n v="-235.79806451612899"/>
    <m/>
    <n v="-0.26201588066275527"/>
    <m/>
  </r>
  <r>
    <x v="4"/>
    <s v="Purchase"/>
    <x v="63"/>
    <x v="1"/>
    <x v="1"/>
    <x v="88"/>
    <n v="1457.0425806451613"/>
    <x v="1"/>
    <n v="34"/>
    <n v="42.854193548387094"/>
    <n v="1"/>
    <n v="1457.0425806451613"/>
    <n v="21.194700000000001"/>
    <n v="30881.580384000001"/>
    <n v="120.15900000000001"/>
    <n v="121.02200000000001"/>
    <n v="1.0071000000000001"/>
    <n v="31100.839604726403"/>
    <n v="914.73057660960012"/>
    <m/>
    <n v="34"/>
    <s v="Sale"/>
    <x v="53"/>
    <x v="1"/>
    <n v="1060.8144680851065"/>
    <n v="1"/>
    <n v="1060.8144680851065"/>
    <n v="20.108499999999999"/>
    <n v="21331.387731489362"/>
    <n v="31100.839604726403"/>
    <n v="-9769.4518732370416"/>
    <n v="0.16986301369863013"/>
    <n v="1"/>
    <n v="-9769.4518732370416"/>
    <n v="0"/>
    <m/>
    <n v="-396.2281125600548"/>
    <m/>
    <n v="-0.27193996786601093"/>
    <m/>
  </r>
  <r>
    <x v="4"/>
    <s v="Purchase"/>
    <x v="63"/>
    <x v="1"/>
    <x v="1"/>
    <x v="88"/>
    <n v="549.74199999999996"/>
    <x v="1"/>
    <n v="13"/>
    <n v="42.287846153846154"/>
    <n v="1"/>
    <n v="549.74199999999996"/>
    <n v="21.194700000000001"/>
    <n v="11651.616767399999"/>
    <n v="120.15900000000001"/>
    <n v="121.02200000000001"/>
    <n v="1.0071000000000001"/>
    <n v="11734.34324644854"/>
    <n v="902.64178818834921"/>
    <m/>
    <n v="13"/>
    <s v="Sale"/>
    <x v="53"/>
    <x v="1"/>
    <n v="405.60553191489362"/>
    <n v="1"/>
    <n v="405.60553191489362"/>
    <n v="20.108499999999999"/>
    <n v="8156.1188385106379"/>
    <n v="11734.34324644854"/>
    <n v="-3578.2244079379016"/>
    <n v="0.16986301369863013"/>
    <n v="1"/>
    <n v="-3578.2244079379016"/>
    <n v="0"/>
    <m/>
    <n v="-144.13646808510634"/>
    <m/>
    <n v="-0.26218929622460418"/>
    <m/>
  </r>
  <r>
    <x v="4"/>
    <s v="Purchase"/>
    <x v="63"/>
    <x v="1"/>
    <x v="1"/>
    <x v="88"/>
    <n v="253.72707692307694"/>
    <x v="1"/>
    <n v="6"/>
    <n v="42.287846153846154"/>
    <n v="1"/>
    <n v="253.72707692307694"/>
    <n v="21.194700000000001"/>
    <n v="5377.6692772615388"/>
    <n v="120.15900000000001"/>
    <n v="121.02200000000001"/>
    <n v="1.0071000000000001"/>
    <n v="5415.8507291300966"/>
    <n v="902.64178818834944"/>
    <m/>
    <n v="6"/>
    <s v="Sale"/>
    <x v="53"/>
    <x v="1"/>
    <n v="186.78"/>
    <n v="1"/>
    <n v="186.78"/>
    <n v="20.108499999999999"/>
    <n v="3755.8656299999998"/>
    <n v="5415.8507291300966"/>
    <n v="-1659.9850991300968"/>
    <n v="0.16986301369863013"/>
    <n v="1"/>
    <n v="-1659.9850991300968"/>
    <n v="0"/>
    <m/>
    <n v="-66.947076923076935"/>
    <m/>
    <n v="-0.2638546809230512"/>
    <m/>
  </r>
  <r>
    <x v="4"/>
    <s v="Purchase"/>
    <x v="63"/>
    <x v="1"/>
    <x v="1"/>
    <x v="88"/>
    <n v="1945.2409230769231"/>
    <x v="1"/>
    <n v="46"/>
    <n v="42.287846153846154"/>
    <n v="1"/>
    <n v="1945.2409230769231"/>
    <n v="21.194700000000001"/>
    <n v="41228.797792338461"/>
    <n v="120.15900000000001"/>
    <n v="121.02200000000001"/>
    <n v="1.0071000000000001"/>
    <n v="41521.522256664066"/>
    <n v="902.64178818834921"/>
    <m/>
    <n v="46"/>
    <s v="Sale"/>
    <x v="5"/>
    <x v="1"/>
    <n v="1430.4553225806451"/>
    <n v="1"/>
    <n v="1430.4553225806451"/>
    <n v="20.3172"/>
    <n v="29062.846879935481"/>
    <n v="41521.522256664066"/>
    <n v="-12458.675376728585"/>
    <n v="0.17260273972602741"/>
    <n v="1"/>
    <n v="-12458.675376728585"/>
    <n v="0"/>
    <m/>
    <n v="-514.78560049627799"/>
    <m/>
    <n v="-0.2646384796809671"/>
    <m/>
  </r>
  <r>
    <x v="4"/>
    <s v="Purchase"/>
    <x v="63"/>
    <x v="1"/>
    <x v="1"/>
    <x v="88"/>
    <n v="2990.97"/>
    <x v="1"/>
    <n v="70"/>
    <n v="42.728142857142856"/>
    <n v="1"/>
    <n v="2990.97"/>
    <n v="21.194700000000001"/>
    <n v="63392.711858999995"/>
    <n v="120.15900000000001"/>
    <n v="121.02200000000001"/>
    <n v="1.0071000000000001"/>
    <n v="63842.8001131989"/>
    <n v="912.04000161712713"/>
    <m/>
    <n v="70"/>
    <s v="Sale"/>
    <x v="5"/>
    <x v="1"/>
    <n v="2176.7798387096773"/>
    <n v="1"/>
    <n v="2176.7798387096773"/>
    <n v="20.3172"/>
    <n v="44226.071339032256"/>
    <n v="63842.8001131989"/>
    <n v="-19616.728774166644"/>
    <n v="0.17260273972602741"/>
    <n v="1"/>
    <n v="-19616.728774166644"/>
    <n v="0"/>
    <m/>
    <n v="-814.19016129032252"/>
    <m/>
    <n v="-0.27221609086360699"/>
    <m/>
  </r>
  <r>
    <x v="4"/>
    <s v="Purchase"/>
    <x v="63"/>
    <x v="1"/>
    <x v="1"/>
    <x v="89"/>
    <n v="348.49684210526311"/>
    <x v="1"/>
    <n v="8"/>
    <n v="43.562105263157889"/>
    <n v="1"/>
    <n v="348.49684210526311"/>
    <n v="21.377500000000001"/>
    <n v="7449.9912421052622"/>
    <n v="120.15900000000001"/>
    <n v="121.02200000000001"/>
    <n v="1.0071000000000001"/>
    <n v="7502.8861799242104"/>
    <n v="937.8607724905263"/>
    <m/>
    <n v="8"/>
    <s v="Sale"/>
    <x v="5"/>
    <x v="1"/>
    <n v="248.77483870967743"/>
    <n v="1"/>
    <n v="248.77483870967743"/>
    <n v="20.3172"/>
    <n v="5054.4081530322583"/>
    <n v="7502.8861799242104"/>
    <n v="-2448.4780268919521"/>
    <n v="0.16986301369863013"/>
    <n v="1"/>
    <n v="-2448.4780268919521"/>
    <n v="0"/>
    <m/>
    <n v="-99.722003395585688"/>
    <m/>
    <n v="-0.28614894411429059"/>
    <m/>
  </r>
  <r>
    <x v="4"/>
    <s v="Purchase"/>
    <x v="63"/>
    <x v="1"/>
    <x v="1"/>
    <x v="89"/>
    <n v="479.18315789473678"/>
    <x v="1"/>
    <n v="11"/>
    <n v="43.562105263157889"/>
    <n v="1"/>
    <n v="479.18315789473678"/>
    <n v="21.377500000000001"/>
    <n v="10243.737957894737"/>
    <n v="120.15900000000001"/>
    <n v="121.02200000000001"/>
    <n v="1.0071000000000001"/>
    <n v="10316.46849739579"/>
    <n v="937.86077249052641"/>
    <m/>
    <n v="11"/>
    <s v="Sale"/>
    <x v="5"/>
    <x v="1"/>
    <n v="339.73500000000001"/>
    <n v="1"/>
    <n v="339.73500000000001"/>
    <n v="20.3172"/>
    <n v="6902.4639420000003"/>
    <n v="10316.46849739579"/>
    <n v="-3414.0045553957898"/>
    <n v="0.16986301369863013"/>
    <n v="1"/>
    <n v="-3414.0045553957898"/>
    <n v="0"/>
    <m/>
    <n v="-139.44815789473677"/>
    <m/>
    <n v="-0.29101222694761247"/>
    <m/>
  </r>
  <r>
    <x v="4"/>
    <s v="Purchase"/>
    <x v="63"/>
    <x v="1"/>
    <x v="1"/>
    <x v="90"/>
    <n v="600.92882352941183"/>
    <x v="1"/>
    <n v="13"/>
    <n v="46.225294117647067"/>
    <n v="1"/>
    <n v="600.92882352941183"/>
    <n v="20.890799999999999"/>
    <n v="12553.883866588236"/>
    <n v="120.15900000000001"/>
    <n v="121.02200000000001"/>
    <n v="1.0071000000000001"/>
    <n v="12643.016442041013"/>
    <n v="972.53972631084719"/>
    <m/>
    <n v="13"/>
    <s v="Sale"/>
    <x v="5"/>
    <x v="1"/>
    <n v="401.505"/>
    <n v="1"/>
    <n v="401.505"/>
    <n v="20.3172"/>
    <n v="8157.457386"/>
    <n v="12643.016442041013"/>
    <n v="-4485.5590560410128"/>
    <n v="0.15342465753424658"/>
    <n v="1"/>
    <n v="-4485.5590560410128"/>
    <n v="0"/>
    <m/>
    <n v="-199.42382352941183"/>
    <m/>
    <n v="-0.33185930799282293"/>
    <m/>
  </r>
  <r>
    <x v="4"/>
    <s v="Purchase"/>
    <x v="63"/>
    <x v="1"/>
    <x v="1"/>
    <x v="90"/>
    <n v="184.90117647058824"/>
    <x v="1"/>
    <n v="4"/>
    <n v="46.22529411764706"/>
    <n v="1"/>
    <n v="184.90117647058824"/>
    <n v="20.890799999999999"/>
    <n v="3862.7334974117643"/>
    <n v="120.15900000000001"/>
    <n v="121.02200000000001"/>
    <n v="1.0071000000000001"/>
    <n v="3890.1589052433883"/>
    <n v="972.53972631084707"/>
    <m/>
    <n v="4"/>
    <s v="Sale"/>
    <x v="5"/>
    <x v="1"/>
    <n v="129.36571428571429"/>
    <n v="1"/>
    <n v="129.36571428571429"/>
    <n v="20.3172"/>
    <n v="2628.3490902857143"/>
    <n v="3890.1589052433883"/>
    <n v="-1261.809814957674"/>
    <n v="0.15342465753424658"/>
    <n v="1"/>
    <n v="-1261.809814957674"/>
    <n v="0"/>
    <m/>
    <n v="-55.53546218487395"/>
    <m/>
    <n v="-0.30035212995904237"/>
    <m/>
  </r>
  <r>
    <x v="4"/>
    <s v="Purchase"/>
    <x v="63"/>
    <x v="1"/>
    <x v="1"/>
    <x v="90"/>
    <n v="137.11588235294118"/>
    <x v="1"/>
    <n v="3"/>
    <n v="45.705294117647064"/>
    <n v="1"/>
    <n v="137.11588235294118"/>
    <n v="20.890799999999999"/>
    <n v="2864.4604750588237"/>
    <n v="120.15900000000001"/>
    <n v="121.02200000000001"/>
    <n v="1.0071000000000001"/>
    <n v="2884.7981444317415"/>
    <n v="961.59938147724722"/>
    <m/>
    <n v="3"/>
    <s v="Sale"/>
    <x v="5"/>
    <x v="1"/>
    <n v="97.024285714285725"/>
    <n v="1"/>
    <n v="97.024285714285725"/>
    <n v="20.3172"/>
    <n v="1971.2618177142858"/>
    <n v="2884.7981444317415"/>
    <n v="-913.53632671745572"/>
    <n v="0.15342465753424658"/>
    <n v="1"/>
    <n v="-913.53632671745572"/>
    <n v="0"/>
    <m/>
    <n v="-40.09159663865546"/>
    <m/>
    <n v="-0.2923920697637219"/>
    <m/>
  </r>
  <r>
    <x v="4"/>
    <s v="Purchase"/>
    <x v="63"/>
    <x v="1"/>
    <x v="1"/>
    <x v="90"/>
    <n v="639.87411764705882"/>
    <x v="1"/>
    <n v="14"/>
    <n v="45.705294117647057"/>
    <n v="1"/>
    <n v="639.87411764705882"/>
    <n v="20.890799999999999"/>
    <n v="13367.482216941176"/>
    <n v="120.15900000000001"/>
    <n v="121.02200000000001"/>
    <n v="1.0071000000000001"/>
    <n v="13462.391340681461"/>
    <n v="961.59938147724722"/>
    <m/>
    <n v="14"/>
    <s v="Sale"/>
    <x v="5"/>
    <x v="1"/>
    <n v="443.00215053763441"/>
    <n v="1"/>
    <n v="443.00215053763441"/>
    <n v="20.3172"/>
    <n v="9000.5632929032254"/>
    <n v="13462.391340681461"/>
    <n v="-4461.8280477782355"/>
    <n v="0.15342465753424658"/>
    <n v="1"/>
    <n v="-4461.8280477782355"/>
    <n v="0"/>
    <m/>
    <n v="-196.87196710942442"/>
    <m/>
    <n v="-0.30767296516596232"/>
    <m/>
  </r>
  <r>
    <x v="4"/>
    <s v="Purchase"/>
    <x v="63"/>
    <x v="1"/>
    <x v="1"/>
    <x v="90"/>
    <n v="1156.69"/>
    <x v="1"/>
    <n v="25"/>
    <n v="46.267600000000002"/>
    <n v="1"/>
    <n v="1156.69"/>
    <n v="20.890799999999999"/>
    <n v="24164.179452"/>
    <n v="120.15900000000001"/>
    <n v="121.02200000000001"/>
    <n v="1.0071000000000001"/>
    <n v="24335.745126109203"/>
    <n v="973.42980504436809"/>
    <m/>
    <n v="25"/>
    <s v="Sale"/>
    <x v="5"/>
    <x v="1"/>
    <n v="791.07526881720435"/>
    <n v="1"/>
    <n v="791.07526881720435"/>
    <n v="20.3172"/>
    <n v="16072.434451612904"/>
    <n v="24335.745126109203"/>
    <n v="-8263.3106744962988"/>
    <n v="0.15342465753424658"/>
    <n v="1"/>
    <n v="-8263.3106744962988"/>
    <n v="0"/>
    <m/>
    <n v="-365.61473118279571"/>
    <m/>
    <n v="-0.31608705113971391"/>
    <m/>
  </r>
  <r>
    <x v="4"/>
    <s v="Purchase"/>
    <x v="63"/>
    <x v="1"/>
    <x v="1"/>
    <x v="90"/>
    <n v="2484.1583999999998"/>
    <x v="1"/>
    <n v="54"/>
    <n v="46.002933333333331"/>
    <n v="1"/>
    <n v="2484.1583999999998"/>
    <n v="20.890799999999999"/>
    <n v="51896.05630271999"/>
    <n v="120.15900000000001"/>
    <n v="121.02200000000001"/>
    <n v="1.0071000000000001"/>
    <n v="52264.518302469311"/>
    <n v="967.86145004572802"/>
    <m/>
    <n v="54"/>
    <s v="Sale"/>
    <x v="5"/>
    <x v="1"/>
    <n v="1708.7225806451613"/>
    <n v="1"/>
    <n v="1708.7225806451613"/>
    <n v="20.3172"/>
    <n v="34716.458415483874"/>
    <n v="52264.518302469311"/>
    <n v="-17548.059886985437"/>
    <n v="0.15342465753424658"/>
    <n v="1"/>
    <n v="-17548.059886985437"/>
    <n v="0"/>
    <m/>
    <n v="-775.43581935483849"/>
    <m/>
    <n v="-0.31215232464839543"/>
    <m/>
  </r>
  <r>
    <x v="4"/>
    <s v="Purchase"/>
    <x v="63"/>
    <x v="1"/>
    <x v="1"/>
    <x v="90"/>
    <n v="966.0616"/>
    <x v="1"/>
    <n v="21"/>
    <n v="46.002933333333331"/>
    <n v="1"/>
    <n v="966.0616"/>
    <n v="20.890799999999999"/>
    <n v="20181.799673279998"/>
    <n v="120.15900000000001"/>
    <n v="121.02200000000001"/>
    <n v="1.0071000000000001"/>
    <n v="20325.090450960288"/>
    <n v="967.86145004572802"/>
    <m/>
    <n v="21"/>
    <s v="Sale"/>
    <x v="1"/>
    <x v="1"/>
    <n v="619.41999999999996"/>
    <n v="1"/>
    <n v="619.41999999999996"/>
    <n v="20.372"/>
    <n v="12618.82424"/>
    <n v="20325.090450960288"/>
    <n v="-7706.2662109602879"/>
    <n v="0.15616438356164383"/>
    <n v="1"/>
    <n v="-7706.2662109602879"/>
    <n v="0"/>
    <m/>
    <n v="-346.64160000000004"/>
    <m/>
    <n v="-0.35881935479062621"/>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4"/>
    <s v="Purchase"/>
    <x v="64"/>
    <x v="2"/>
    <x v="1"/>
    <x v="51"/>
    <n v="17419.359999999997"/>
    <x v="2"/>
    <n v="206"/>
    <n v="84.559999999999988"/>
    <n v="1"/>
    <n v="17419.359999999997"/>
    <n v="20.690300000000001"/>
    <n v="360411.78420799994"/>
    <n v="111.824"/>
    <n v="121.02200000000001"/>
    <n v="1.0822000000000001"/>
    <n v="390037.63286989753"/>
    <n v="1893.3865673295998"/>
    <m/>
    <n v="206"/>
    <s v="Sale"/>
    <x v="23"/>
    <x v="1"/>
    <n v="9930.56"/>
    <n v="1"/>
    <n v="9930.56"/>
    <n v="19.6128"/>
    <n v="194766.087168"/>
    <n v="390037.63286989753"/>
    <n v="-195271.54570189753"/>
    <n v="1.2767123287671234"/>
    <n v="1"/>
    <n v="-195271.54570189753"/>
    <n v="0"/>
    <m/>
    <n v="-7488.7999999999975"/>
    <m/>
    <n v="-0.42991246521112136"/>
    <m/>
  </r>
  <r>
    <x v="4"/>
    <s v="Purchase"/>
    <x v="64"/>
    <x v="2"/>
    <x v="1"/>
    <x v="51"/>
    <n v="1268.3999999999999"/>
    <x v="2"/>
    <n v="15"/>
    <n v="84.559999999999988"/>
    <n v="1"/>
    <n v="1268.3999999999999"/>
    <n v="20.690300000000001"/>
    <n v="26243.576519999999"/>
    <n v="111.824"/>
    <n v="121.02200000000001"/>
    <n v="1.0822000000000001"/>
    <n v="28400.798509944001"/>
    <n v="1893.3865673296"/>
    <m/>
    <n v="15"/>
    <s v="Sale"/>
    <x v="23"/>
    <x v="1"/>
    <n v="712.92364864864874"/>
    <n v="1"/>
    <n v="712.92364864864874"/>
    <n v="19.6128"/>
    <n v="13982.428936216218"/>
    <n v="28400.798509944001"/>
    <n v="-14418.369573727783"/>
    <n v="1.2767123287671234"/>
    <n v="1"/>
    <n v="-14418.369573727783"/>
    <n v="0"/>
    <m/>
    <n v="-555.47635135135113"/>
    <m/>
    <n v="-0.43793468255388773"/>
    <m/>
  </r>
  <r>
    <x v="4"/>
    <s v="Purchase"/>
    <x v="64"/>
    <x v="2"/>
    <x v="1"/>
    <x v="52"/>
    <n v="5244.6004032258061"/>
    <x v="2"/>
    <n v="59"/>
    <n v="88.891532258064515"/>
    <n v="1"/>
    <n v="5244.6004032258061"/>
    <n v="19.944199999999999"/>
    <n v="104599.35936201611"/>
    <n v="113.018"/>
    <n v="121.02200000000001"/>
    <n v="1.0708"/>
    <n v="112004.99400484686"/>
    <n v="1898.3897288957094"/>
    <m/>
    <n v="59"/>
    <s v="Sale"/>
    <x v="23"/>
    <x v="1"/>
    <n v="2804.1663513513513"/>
    <n v="1"/>
    <n v="2804.1663513513513"/>
    <n v="19.6128"/>
    <n v="54997.55381578378"/>
    <n v="112004.99400484686"/>
    <n v="-57007.440189063076"/>
    <n v="1.0328767123287672"/>
    <n v="1"/>
    <n v="-57007.440189063076"/>
    <n v="0"/>
    <m/>
    <n v="-2440.4340518744548"/>
    <m/>
    <n v="-0.46532316368152898"/>
    <m/>
  </r>
  <r>
    <x v="4"/>
    <s v="Purchase"/>
    <x v="64"/>
    <x v="2"/>
    <x v="1"/>
    <x v="52"/>
    <n v="3377.8782258064516"/>
    <x v="2"/>
    <n v="38"/>
    <n v="88.891532258064515"/>
    <n v="1"/>
    <n v="3377.8782258064516"/>
    <n v="19.944199999999999"/>
    <n v="67369.078911129021"/>
    <n v="113.018"/>
    <n v="121.02200000000001"/>
    <n v="1.0708"/>
    <n v="72138.809698036959"/>
    <n v="1898.3897288957094"/>
    <m/>
    <n v="38"/>
    <s v="Sale"/>
    <x v="54"/>
    <x v="1"/>
    <n v="1715.66"/>
    <n v="1"/>
    <n v="1715.66"/>
    <n v="19.9297"/>
    <n v="34192.589102000005"/>
    <n v="72138.809698036959"/>
    <n v="-37946.220596036954"/>
    <n v="1.0356164383561643"/>
    <n v="1"/>
    <n v="-37946.220596036954"/>
    <n v="0"/>
    <m/>
    <n v="-1662.2182258064515"/>
    <m/>
    <n v="-0.49208944630015644"/>
    <m/>
  </r>
  <r>
    <x v="4"/>
    <s v="Purchase"/>
    <x v="64"/>
    <x v="2"/>
    <x v="1"/>
    <x v="52"/>
    <n v="2400.071370967742"/>
    <x v="2"/>
    <n v="27"/>
    <n v="88.891532258064515"/>
    <n v="1"/>
    <n v="2400.071370967742"/>
    <n v="19.944199999999999"/>
    <n v="47867.503436854837"/>
    <n v="113.018"/>
    <n v="121.02200000000001"/>
    <n v="1.0708"/>
    <n v="51256.522680184156"/>
    <n v="1898.3897288957096"/>
    <m/>
    <n v="27"/>
    <s v="Sale"/>
    <x v="54"/>
    <x v="1"/>
    <n v="1227.8647058823528"/>
    <n v="1"/>
    <n v="1227.8647058823528"/>
    <n v="19.9297"/>
    <n v="24470.975228823529"/>
    <n v="51256.522680184156"/>
    <n v="-26785.547451360628"/>
    <n v="1.0356164383561643"/>
    <n v="1"/>
    <n v="-26785.547451360628"/>
    <n v="0"/>
    <m/>
    <n v="-1172.2066650853892"/>
    <m/>
    <n v="-0.48840491964734334"/>
    <m/>
  </r>
  <r>
    <x v="4"/>
    <s v="Purchase"/>
    <x v="64"/>
    <x v="2"/>
    <x v="1"/>
    <x v="91"/>
    <n v="2432.0663414634146"/>
    <x v="2"/>
    <n v="24"/>
    <n v="101.3360975609756"/>
    <n v="1"/>
    <n v="2432.0663414634146"/>
    <n v="21.2393"/>
    <n v="51655.386646243904"/>
    <n v="117.30800000000001"/>
    <n v="121.02200000000001"/>
    <n v="1.0316000000000001"/>
    <n v="53287.696864265214"/>
    <n v="2220.3207026777172"/>
    <m/>
    <n v="24"/>
    <s v="Sale"/>
    <x v="54"/>
    <x v="1"/>
    <n v="1091.4352941176471"/>
    <n v="1"/>
    <n v="1091.4352941176471"/>
    <n v="19.9297"/>
    <n v="21751.977981176471"/>
    <n v="53287.696864265214"/>
    <n v="-31535.718883088743"/>
    <n v="0.49041095890410957"/>
    <n v="1"/>
    <n v="-31535.718883088743"/>
    <n v="0"/>
    <m/>
    <n v="-1340.6310473457675"/>
    <m/>
    <n v="-0.55123128201309157"/>
    <m/>
  </r>
  <r>
    <x v="4"/>
    <s v="Purchase"/>
    <x v="64"/>
    <x v="2"/>
    <x v="1"/>
    <x v="91"/>
    <n v="5877.4936585365849"/>
    <x v="2"/>
    <n v="58"/>
    <n v="101.3360975609756"/>
    <n v="1"/>
    <n v="5877.4936585365849"/>
    <n v="21.2393"/>
    <n v="124833.85106175608"/>
    <n v="117.30800000000001"/>
    <n v="121.02200000000001"/>
    <n v="1.0316000000000001"/>
    <n v="128778.60075530759"/>
    <n v="2220.3207026777172"/>
    <m/>
    <n v="58"/>
    <s v="Sale"/>
    <x v="54"/>
    <x v="1"/>
    <n v="2659.4288888888887"/>
    <n v="1"/>
    <n v="2659.4288888888887"/>
    <n v="19.9297"/>
    <n v="53001.619926888889"/>
    <n v="128778.60075530761"/>
    <n v="-75776.980828418717"/>
    <n v="0.49041095890410957"/>
    <n v="1"/>
    <n v="-75776.980828418717"/>
    <n v="0"/>
    <m/>
    <n v="-3218.0647696476963"/>
    <m/>
    <n v="-0.54752330782589909"/>
    <m/>
  </r>
  <r>
    <x v="4"/>
    <s v="Purchase"/>
    <x v="64"/>
    <x v="2"/>
    <x v="1"/>
    <x v="92"/>
    <n v="105.83"/>
    <x v="2"/>
    <n v="1"/>
    <n v="105.83"/>
    <n v="1"/>
    <n v="105.83"/>
    <n v="20.658200000000001"/>
    <n v="2186.257306"/>
    <n v="117.30800000000001"/>
    <n v="121.02200000000001"/>
    <n v="1.0316000000000001"/>
    <n v="2255.3430368695999"/>
    <n v="2255.3430368695999"/>
    <m/>
    <n v="1"/>
    <s v="Sale"/>
    <x v="54"/>
    <x v="1"/>
    <n v="45.852222222222217"/>
    <n v="1"/>
    <n v="45.852222222222217"/>
    <n v="19.9297"/>
    <n v="913.82103322222213"/>
    <n v="2255.3430368695999"/>
    <n v="-1341.5220036473779"/>
    <n v="0.46301369863013697"/>
    <n v="1"/>
    <n v="-1341.5220036473779"/>
    <n v="0"/>
    <m/>
    <n v="-59.977777777777781"/>
    <m/>
    <n v="-0.56673701008955668"/>
    <m/>
  </r>
  <r>
    <x v="4"/>
    <s v="Purchase"/>
    <x v="64"/>
    <x v="2"/>
    <x v="1"/>
    <x v="92"/>
    <n v="632.01"/>
    <x v="2"/>
    <n v="6"/>
    <n v="105.33499999999999"/>
    <n v="1"/>
    <n v="632.01"/>
    <n v="20.658200000000001"/>
    <n v="13056.188982"/>
    <n v="117.30800000000001"/>
    <n v="121.02200000000001"/>
    <n v="1.0316000000000001"/>
    <n v="13468.764553831201"/>
    <n v="2244.7940923052001"/>
    <m/>
    <n v="6"/>
    <s v="Sale"/>
    <x v="54"/>
    <x v="1"/>
    <n v="275.11333333333329"/>
    <n v="1"/>
    <n v="275.11333333333329"/>
    <n v="19.9297"/>
    <n v="5482.9261993333321"/>
    <n v="13468.764553831201"/>
    <n v="-7985.8383544978687"/>
    <n v="0.46301369863013697"/>
    <n v="1"/>
    <n v="-7985.8383544978687"/>
    <n v="0"/>
    <m/>
    <n v="-356.8966666666667"/>
    <m/>
    <n v="-0.56470098046971839"/>
    <m/>
  </r>
  <r>
    <x v="4"/>
    <s v="Purchase"/>
    <x v="64"/>
    <x v="2"/>
    <x v="1"/>
    <x v="92"/>
    <n v="1381.64"/>
    <x v="2"/>
    <n v="13"/>
    <n v="106.28"/>
    <n v="1"/>
    <n v="1381.64"/>
    <n v="20.658200000000001"/>
    <n v="28542.195448000002"/>
    <n v="117.30800000000001"/>
    <n v="121.02200000000001"/>
    <n v="1.0316000000000001"/>
    <n v="29444.128824156804"/>
    <n v="2264.9329864736001"/>
    <m/>
    <n v="13"/>
    <s v="Sale"/>
    <x v="54"/>
    <x v="1"/>
    <n v="596.07888888888886"/>
    <n v="1"/>
    <n v="596.07888888888886"/>
    <n v="19.9297"/>
    <n v="11879.673431888888"/>
    <n v="29444.1288241568"/>
    <n v="-17564.455392267912"/>
    <n v="0.46301369863013697"/>
    <n v="1"/>
    <n v="-17564.455392267912"/>
    <n v="0"/>
    <m/>
    <n v="-785.56111111111125"/>
    <m/>
    <n v="-0.56857148831179694"/>
    <m/>
  </r>
  <r>
    <x v="4"/>
    <s v="Purchase"/>
    <x v="64"/>
    <x v="2"/>
    <x v="1"/>
    <x v="92"/>
    <n v="1268.9112"/>
    <x v="2"/>
    <n v="12"/>
    <n v="105.7426"/>
    <n v="1"/>
    <n v="1268.9112"/>
    <n v="20.658200000000001"/>
    <n v="26213.421351840003"/>
    <n v="117.30800000000001"/>
    <n v="121.02200000000001"/>
    <n v="1.0316000000000001"/>
    <n v="27041.76546655815"/>
    <n v="2253.4804555465125"/>
    <m/>
    <n v="12"/>
    <s v="Sale"/>
    <x v="54"/>
    <x v="1"/>
    <n v="550.22666666666657"/>
    <n v="1"/>
    <n v="550.22666666666657"/>
    <n v="19.9297"/>
    <n v="10965.852398666664"/>
    <n v="27041.76546655815"/>
    <n v="-16075.913067891486"/>
    <n v="0.46301369863013697"/>
    <n v="1"/>
    <n v="-16075.913067891486"/>
    <n v="0"/>
    <m/>
    <n v="-718.68453333333343"/>
    <m/>
    <n v="-0.56637890289985104"/>
    <m/>
  </r>
  <r>
    <x v="4"/>
    <s v="Purchase"/>
    <x v="64"/>
    <x v="2"/>
    <x v="1"/>
    <x v="92"/>
    <n v="1057.4259999999999"/>
    <x v="2"/>
    <n v="10"/>
    <n v="105.7426"/>
    <n v="1"/>
    <n v="1057.4259999999999"/>
    <n v="20.658200000000001"/>
    <n v="21844.517793200001"/>
    <n v="117.30800000000001"/>
    <n v="121.02200000000001"/>
    <n v="1.0316000000000001"/>
    <n v="22534.804555465122"/>
    <n v="2253.4804555465121"/>
    <m/>
    <n v="10"/>
    <s v="Sale"/>
    <x v="55"/>
    <x v="1"/>
    <n v="465.89"/>
    <n v="1"/>
    <n v="465.89"/>
    <n v="20.4527"/>
    <n v="9528.7084030000005"/>
    <n v="22534.804555465122"/>
    <n v="-13006.096152465121"/>
    <n v="0.46575342465753422"/>
    <n v="1"/>
    <n v="-13006.096152465121"/>
    <n v="0"/>
    <m/>
    <n v="-591.53599999999994"/>
    <m/>
    <n v="-0.55941124958153099"/>
    <m/>
  </r>
  <r>
    <x v="4"/>
    <s v="Purchase"/>
    <x v="64"/>
    <x v="2"/>
    <x v="1"/>
    <x v="92"/>
    <n v="2960.7927999999997"/>
    <x v="2"/>
    <n v="28"/>
    <n v="105.7426"/>
    <n v="1"/>
    <n v="2960.7927999999997"/>
    <n v="20.658200000000001"/>
    <n v="61164.649820959996"/>
    <n v="117.30800000000001"/>
    <n v="121.02200000000001"/>
    <n v="1.0316000000000001"/>
    <n v="63097.452755302336"/>
    <n v="2253.4804555465121"/>
    <m/>
    <n v="28"/>
    <s v="Sale"/>
    <x v="55"/>
    <x v="1"/>
    <n v="1316.2372881355932"/>
    <n v="1"/>
    <n v="1316.2372881355932"/>
    <n v="20.4527"/>
    <n v="26920.606383050846"/>
    <n v="63097.452755302336"/>
    <n v="-36176.846372251486"/>
    <n v="0.46575342465753422"/>
    <n v="1"/>
    <n v="-36176.846372251486"/>
    <n v="0"/>
    <m/>
    <n v="-1644.5555118644065"/>
    <m/>
    <n v="-0.55544430932971967"/>
    <m/>
  </r>
  <r>
    <x v="4"/>
    <s v="Purchase"/>
    <x v="64"/>
    <x v="2"/>
    <x v="1"/>
    <x v="93"/>
    <n v="736.89"/>
    <x v="2"/>
    <n v="7"/>
    <n v="105.27"/>
    <n v="1"/>
    <n v="736.89"/>
    <n v="20.6112"/>
    <n v="15188.187168"/>
    <n v="117.30800000000001"/>
    <n v="121.02200000000001"/>
    <n v="1.0316000000000001"/>
    <n v="15668.133882508802"/>
    <n v="2238.3048403584003"/>
    <m/>
    <n v="7"/>
    <s v="Sale"/>
    <x v="55"/>
    <x v="1"/>
    <n v="329.0593220338983"/>
    <n v="1"/>
    <n v="329.0593220338983"/>
    <n v="20.4527"/>
    <n v="6730.1515957627116"/>
    <n v="15668.133882508802"/>
    <n v="-8937.9822867460898"/>
    <n v="0.46301369863013697"/>
    <n v="1"/>
    <n v="-8937.9822867460898"/>
    <n v="0"/>
    <m/>
    <n v="-407.83067796610169"/>
    <m/>
    <n v="-0.55344851737179457"/>
    <m/>
  </r>
  <r>
    <x v="4"/>
    <s v="Purchase"/>
    <x v="64"/>
    <x v="2"/>
    <x v="1"/>
    <x v="93"/>
    <n v="737.55"/>
    <x v="2"/>
    <n v="7"/>
    <n v="105.36428571428571"/>
    <n v="1"/>
    <n v="737.55"/>
    <n v="20.6112"/>
    <n v="15201.790559999999"/>
    <n v="117.30800000000001"/>
    <n v="121.02200000000001"/>
    <n v="1.0316000000000001"/>
    <n v="15682.167141696"/>
    <n v="2240.3095916708571"/>
    <m/>
    <n v="7"/>
    <s v="Sale"/>
    <x v="55"/>
    <x v="1"/>
    <n v="329.0593220338983"/>
    <n v="1"/>
    <n v="329.0593220338983"/>
    <n v="20.4527"/>
    <n v="6730.1515957627116"/>
    <n v="15682.167141696"/>
    <n v="-8952.0155459332891"/>
    <n v="0.46301369863013697"/>
    <n v="1"/>
    <n v="-8952.0155459332891"/>
    <n v="0"/>
    <m/>
    <n v="-408.49067796610166"/>
    <m/>
    <n v="-0.55384811601396744"/>
    <m/>
  </r>
  <r>
    <x v="4"/>
    <s v="Purchase"/>
    <x v="64"/>
    <x v="2"/>
    <x v="1"/>
    <x v="93"/>
    <n v="1896.02"/>
    <x v="2"/>
    <n v="18"/>
    <n v="105.33444444444444"/>
    <n v="1"/>
    <n v="1896.02"/>
    <n v="20.6112"/>
    <n v="39079.247424000001"/>
    <n v="117.30800000000001"/>
    <n v="121.02200000000001"/>
    <n v="1.0316000000000001"/>
    <n v="40314.151642598401"/>
    <n v="2239.6750912554667"/>
    <m/>
    <n v="18"/>
    <s v="Sale"/>
    <x v="55"/>
    <x v="1"/>
    <n v="846.15254237288127"/>
    <n v="1"/>
    <n v="846.15254237288127"/>
    <n v="20.4527"/>
    <n v="17306.104103389829"/>
    <n v="40314.151642598401"/>
    <n v="-23008.047539208572"/>
    <n v="0.46301369863013697"/>
    <n v="1"/>
    <n v="-23008.047539208572"/>
    <n v="0"/>
    <m/>
    <n v="-1049.8674576271187"/>
    <m/>
    <n v="-0.55372172109319451"/>
    <m/>
  </r>
  <r>
    <x v="4"/>
    <s v="Purchase"/>
    <x v="64"/>
    <x v="2"/>
    <x v="1"/>
    <x v="94"/>
    <n v="1258.26"/>
    <x v="2"/>
    <n v="12"/>
    <n v="104.855"/>
    <n v="1"/>
    <n v="1258.26"/>
    <n v="20.6828"/>
    <n v="26024.339928000001"/>
    <n v="117.30800000000001"/>
    <n v="121.02200000000001"/>
    <n v="1.0316000000000001"/>
    <n v="26846.709069724802"/>
    <n v="2237.2257558104002"/>
    <m/>
    <n v="12"/>
    <s v="Sale"/>
    <x v="55"/>
    <x v="1"/>
    <n v="564.10169491525426"/>
    <n v="1"/>
    <n v="564.10169491525426"/>
    <n v="20.4527"/>
    <n v="11537.402735593221"/>
    <n v="26846.709069724802"/>
    <n v="-15309.306334131581"/>
    <n v="0.46027397260273972"/>
    <n v="1"/>
    <n v="-15309.306334131581"/>
    <n v="0"/>
    <m/>
    <n v="-694.15830508474573"/>
    <m/>
    <n v="-0.55168113512687822"/>
    <m/>
  </r>
  <r>
    <x v="4"/>
    <s v="Purchase"/>
    <x v="64"/>
    <x v="2"/>
    <x v="1"/>
    <x v="94"/>
    <n v="4835.6276595744685"/>
    <x v="2"/>
    <n v="46"/>
    <n v="105.12234042553192"/>
    <n v="1"/>
    <n v="4835.6276595744685"/>
    <n v="20.6828"/>
    <n v="100014.31975744682"/>
    <n v="117.30800000000001"/>
    <n v="121.02200000000001"/>
    <n v="1.0316000000000001"/>
    <n v="103174.77226178214"/>
    <n v="2242.9298317778726"/>
    <m/>
    <n v="46"/>
    <s v="Sale"/>
    <x v="55"/>
    <x v="1"/>
    <n v="2162.3898305084745"/>
    <n v="1"/>
    <n v="2162.3898305084745"/>
    <n v="20.4527"/>
    <n v="44226.710486440679"/>
    <n v="103174.77226178214"/>
    <n v="-58948.061775341463"/>
    <n v="0.46027397260273972"/>
    <n v="1"/>
    <n v="-58948.061775341463"/>
    <n v="0"/>
    <m/>
    <n v="-2673.237829065994"/>
    <m/>
    <n v="-0.55282127104493339"/>
    <m/>
  </r>
  <r>
    <x v="4"/>
    <s v="Purchase"/>
    <x v="64"/>
    <x v="2"/>
    <x v="1"/>
    <x v="94"/>
    <n v="105.12234042553192"/>
    <x v="2"/>
    <n v="1"/>
    <n v="105.12234042553192"/>
    <n v="1"/>
    <n v="105.12234042553192"/>
    <n v="20.6828"/>
    <n v="2174.2243425531915"/>
    <n v="117.30800000000001"/>
    <n v="121.02200000000001"/>
    <n v="1.0316000000000001"/>
    <n v="2242.9298317778726"/>
    <n v="2242.9298317778726"/>
    <m/>
    <n v="1"/>
    <s v="Sale"/>
    <x v="55"/>
    <x v="1"/>
    <n v="47.229322033898306"/>
    <n v="1"/>
    <n v="47.229322033898306"/>
    <n v="20.4527"/>
    <n v="965.96715476271186"/>
    <n v="2242.9298317778726"/>
    <n v="-1276.9626770151608"/>
    <n v="0.46027397260273972"/>
    <n v="1"/>
    <n v="-1276.9626770151608"/>
    <n v="0"/>
    <m/>
    <n v="-57.893018391633611"/>
    <m/>
    <n v="-0.5507204097367363"/>
    <m/>
  </r>
  <r>
    <x v="4"/>
    <s v="Purchase"/>
    <x v="64"/>
    <x v="2"/>
    <x v="1"/>
    <x v="65"/>
    <n v="4684.58"/>
    <x v="2"/>
    <n v="58"/>
    <n v="80.768620689655165"/>
    <n v="1"/>
    <n v="4684.58"/>
    <n v="20.402999999999999"/>
    <n v="95579.485739999989"/>
    <n v="118.002"/>
    <n v="121.02200000000001"/>
    <n v="1.0255000000000001"/>
    <n v="98016.762626369993"/>
    <n v="1689.9441832132757"/>
    <m/>
    <n v="58"/>
    <s v="Sale"/>
    <x v="55"/>
    <x v="1"/>
    <n v="2739.3006779661018"/>
    <n v="1"/>
    <n v="2739.3006779661018"/>
    <n v="20.4527"/>
    <n v="56026.094976237291"/>
    <n v="98016.762626369993"/>
    <n v="-41990.667650132702"/>
    <n v="0.4"/>
    <n v="1"/>
    <n v="-41990.667650132702"/>
    <n v="0"/>
    <m/>
    <n v="-1945.2793220338981"/>
    <m/>
    <n v="-0.41525159609482559"/>
    <m/>
  </r>
  <r>
    <x v="4"/>
    <s v="Purchase"/>
    <x v="65"/>
    <x v="2"/>
    <x v="1"/>
    <x v="95"/>
    <n v="4793.2781999999997"/>
    <x v="2"/>
    <n v="38"/>
    <n v="126.13889999999999"/>
    <n v="1"/>
    <n v="4793.2781999999997"/>
    <n v="22.4573"/>
    <n v="107644.08652086"/>
    <n v="108.114"/>
    <n v="118.98099999999999"/>
    <n v="1.1005"/>
    <n v="118462.31721620643"/>
    <n v="3117.4294004264848"/>
    <m/>
    <n v="38"/>
    <s v="Sale"/>
    <x v="56"/>
    <x v="1"/>
    <n v="4473.6328571428576"/>
    <n v="1"/>
    <n v="4473.6328571428576"/>
    <n v="20.974299999999999"/>
    <n v="93831.317635571439"/>
    <n v="118462.31721620643"/>
    <n v="-24630.999580634991"/>
    <n v="1.452054794520548"/>
    <n v="1"/>
    <n v="-24630.999580634991"/>
    <n v="0"/>
    <m/>
    <n v="-319.64534285714217"/>
    <m/>
    <n v="-6.6686165400777736E-2"/>
    <m/>
  </r>
  <r>
    <x v="4"/>
    <s v="Purchase"/>
    <x v="65"/>
    <x v="2"/>
    <x v="1"/>
    <x v="81"/>
    <n v="17842.02"/>
    <x v="2"/>
    <n v="138"/>
    <n v="129.29"/>
    <n v="1"/>
    <n v="17842.02"/>
    <n v="21.034500000000001"/>
    <n v="375297.96969000006"/>
    <n v="108.85599999999999"/>
    <n v="118.98099999999999"/>
    <n v="1.093"/>
    <n v="410200.68087117007"/>
    <n v="2972.4687019650005"/>
    <m/>
    <n v="138"/>
    <s v="Sale"/>
    <x v="56"/>
    <x v="1"/>
    <n v="16246.350902255639"/>
    <n v="1"/>
    <n v="16246.350902255639"/>
    <n v="20.974299999999999"/>
    <n v="340755.83772918046"/>
    <n v="410200.68087117007"/>
    <n v="-69444.843141989608"/>
    <n v="1.3506849315068492"/>
    <n v="1"/>
    <n v="-69444.843141989608"/>
    <n v="0"/>
    <m/>
    <n v="-1595.6690977443614"/>
    <m/>
    <n v="-8.943320866944221E-2"/>
    <m/>
  </r>
  <r>
    <x v="4"/>
    <s v="Purchase"/>
    <x v="65"/>
    <x v="2"/>
    <x v="1"/>
    <x v="96"/>
    <n v="12140.566666666666"/>
    <x v="2"/>
    <n v="90"/>
    <n v="134.89518518518517"/>
    <n v="1"/>
    <n v="12140.566666666666"/>
    <n v="20.1172"/>
    <n v="244234.20774666665"/>
    <n v="108.85599999999999"/>
    <n v="118.98099999999999"/>
    <n v="1.093"/>
    <n v="266947.98906710662"/>
    <n v="2966.088767412296"/>
    <m/>
    <n v="90"/>
    <s v="Sale"/>
    <x v="56"/>
    <x v="1"/>
    <n v="10595.446240601505"/>
    <n v="1"/>
    <n v="10595.446240601505"/>
    <n v="20.974299999999999"/>
    <n v="222232.06808424814"/>
    <n v="266947.98906710662"/>
    <n v="-44715.920982858486"/>
    <n v="1.3013698630136987"/>
    <n v="1"/>
    <n v="-44715.920982858486"/>
    <n v="0"/>
    <m/>
    <n v="-1545.1204260651612"/>
    <m/>
    <n v="-0.12726921802649199"/>
    <m/>
  </r>
  <r>
    <x v="4"/>
    <s v="Purchase"/>
    <x v="66"/>
    <x v="2"/>
    <x v="1"/>
    <x v="81"/>
    <n v="12183.561"/>
    <x v="2"/>
    <n v="39"/>
    <n v="312.399"/>
    <n v="1"/>
    <n v="12183.561"/>
    <n v="21.034500000000001"/>
    <n v="256275.1138545"/>
    <n v="108.85599999999999"/>
    <n v="117.30800000000001"/>
    <n v="1.0775999999999999"/>
    <n v="276162.06268960919"/>
    <n v="7081.0785305027994"/>
    <m/>
    <n v="39"/>
    <s v="Sale"/>
    <x v="57"/>
    <x v="1"/>
    <n v="14425.139268292683"/>
    <n v="1"/>
    <n v="14425.139268292683"/>
    <n v="20.402999999999999"/>
    <n v="294316.1164909756"/>
    <n v="276162.06268960919"/>
    <n v="18154.053801366419"/>
    <n v="1.2054794520547945"/>
    <n v="1"/>
    <n v="18154.053801366419"/>
    <n v="0"/>
    <m/>
    <n v="2241.5782682926838"/>
    <m/>
    <n v="0.18398383430695539"/>
    <m/>
  </r>
  <r>
    <x v="4"/>
    <s v="Purchase"/>
    <x v="66"/>
    <x v="2"/>
    <x v="1"/>
    <x v="97"/>
    <n v="689.39032258064515"/>
    <x v="2"/>
    <n v="2"/>
    <n v="344.69516129032257"/>
    <n v="1"/>
    <n v="689.39032258064515"/>
    <n v="20.761199999999999"/>
    <n v="14312.570365161289"/>
    <n v="108.85599999999999"/>
    <n v="117.30800000000001"/>
    <n v="1.0775999999999999"/>
    <n v="15423.225825497804"/>
    <n v="7711.6129127489021"/>
    <m/>
    <n v="2"/>
    <s v="Sale"/>
    <x v="57"/>
    <x v="1"/>
    <n v="739.75073170731707"/>
    <n v="1"/>
    <n v="739.75073170731707"/>
    <n v="20.402999999999999"/>
    <n v="15093.13417902439"/>
    <n v="15423.225825497804"/>
    <n v="-330.09164647341458"/>
    <n v="1.1972602739726028"/>
    <n v="1"/>
    <n v="-330.09164647341458"/>
    <n v="0"/>
    <m/>
    <n v="50.360409126671925"/>
    <m/>
    <n v="7.3050647038609598E-2"/>
    <m/>
  </r>
  <r>
    <x v="4"/>
    <s v="Purchase"/>
    <x v="66"/>
    <x v="2"/>
    <x v="1"/>
    <x v="97"/>
    <n v="9996.1596774193549"/>
    <x v="2"/>
    <n v="29"/>
    <n v="344.69516129032257"/>
    <n v="1"/>
    <n v="9996.1596774193549"/>
    <n v="20.761199999999999"/>
    <n v="207532.2702948387"/>
    <n v="108.85599999999999"/>
    <n v="121.02200000000001"/>
    <n v="1.1116999999999999"/>
    <n v="230713.62488677216"/>
    <n v="7955.6422374749018"/>
    <m/>
    <n v="29"/>
    <s v="Sale"/>
    <x v="58"/>
    <x v="1"/>
    <n v="9502.9547619047626"/>
    <n v="1"/>
    <n v="9502.9547619047626"/>
    <n v="20.046500000000002"/>
    <n v="190500.98263452383"/>
    <n v="230713.62488677216"/>
    <n v="-40212.642252248334"/>
    <n v="1.6219178082191781"/>
    <n v="1"/>
    <n v="-40212.642252248334"/>
    <n v="0"/>
    <m/>
    <n v="-493.20491551459236"/>
    <m/>
    <n v="-4.9339439487817383E-2"/>
    <m/>
  </r>
  <r>
    <x v="4"/>
    <s v="Purchase"/>
    <x v="66"/>
    <x v="2"/>
    <x v="1"/>
    <x v="96"/>
    <n v="4363.9015789473688"/>
    <x v="2"/>
    <n v="13"/>
    <n v="335.68473684210528"/>
    <n v="1"/>
    <n v="4363.9015789473688"/>
    <n v="20.1172"/>
    <n v="87789.480844000005"/>
    <n v="108.85599999999999"/>
    <n v="121.02200000000001"/>
    <n v="1.1116999999999999"/>
    <n v="97595.565854274799"/>
    <n v="7507.3512195595995"/>
    <m/>
    <n v="13"/>
    <s v="Sale"/>
    <x v="58"/>
    <x v="1"/>
    <n v="4259.945238095238"/>
    <n v="1"/>
    <n v="4259.945238095238"/>
    <n v="20.046500000000002"/>
    <n v="85396.992215476203"/>
    <n v="97595.565854274799"/>
    <n v="-12198.573638798596"/>
    <n v="1.5808219178082192"/>
    <n v="1"/>
    <n v="-12198.573638798596"/>
    <n v="0"/>
    <m/>
    <n v="-103.95634085213078"/>
    <m/>
    <n v="-2.3821880253588678E-2"/>
    <m/>
  </r>
  <r>
    <x v="4"/>
    <s v="Purchase"/>
    <x v="67"/>
    <x v="2"/>
    <x v="1"/>
    <x v="98"/>
    <n v="13550.794114713217"/>
    <x v="2"/>
    <n v="238"/>
    <n v="56.936109725685789"/>
    <n v="1"/>
    <n v="13550.794114713217"/>
    <n v="20.184999999999999"/>
    <n v="273522.77920548629"/>
    <n v="115.56100000000001"/>
    <n v="120.809"/>
    <n v="1.0454000000000001"/>
    <n v="285940.71338141541"/>
    <n v="1201.4315688294764"/>
    <m/>
    <n v="238"/>
    <s v="Sale"/>
    <x v="7"/>
    <x v="1"/>
    <n v="3228.7280613026824"/>
    <n v="1"/>
    <n v="3228.7280613026824"/>
    <n v="19.8657"/>
    <n v="64140.943047420697"/>
    <n v="285940.71338141541"/>
    <n v="-221799.7703339947"/>
    <n v="0.58630136986301373"/>
    <n v="1"/>
    <n v="-221799.7703339947"/>
    <n v="0"/>
    <m/>
    <n v="-10322.066053410534"/>
    <m/>
    <n v="-0.76173145027736888"/>
    <m/>
  </r>
  <r>
    <x v="4"/>
    <s v="Purchase"/>
    <x v="67"/>
    <x v="2"/>
    <x v="1"/>
    <x v="99"/>
    <n v="735.81"/>
    <x v="2"/>
    <n v="13"/>
    <n v="56.600769230769224"/>
    <n v="1"/>
    <n v="735.81"/>
    <n v="20.183700000000002"/>
    <n v="14851.368297000001"/>
    <n v="115.56100000000001"/>
    <n v="120.809"/>
    <n v="1.0454000000000001"/>
    <n v="15525.620417683802"/>
    <n v="1194.2784936679848"/>
    <m/>
    <n v="13"/>
    <s v="Sale"/>
    <x v="7"/>
    <x v="1"/>
    <n v="176.35909578544062"/>
    <n v="1"/>
    <n v="176.35909578544062"/>
    <n v="19.8657"/>
    <n v="3503.4968891448275"/>
    <n v="15525.620417683802"/>
    <n v="-12022.123528538974"/>
    <n v="0.57534246575342463"/>
    <n v="1"/>
    <n v="-12022.123528538974"/>
    <n v="0"/>
    <m/>
    <n v="-559.45090421455939"/>
    <m/>
    <n v="-0.76031978936758049"/>
    <m/>
  </r>
  <r>
    <x v="4"/>
    <s v="Purchase"/>
    <x v="67"/>
    <x v="2"/>
    <x v="1"/>
    <x v="99"/>
    <n v="834.61"/>
    <x v="2"/>
    <n v="15"/>
    <n v="55.640666666666668"/>
    <n v="1"/>
    <n v="834.61"/>
    <n v="20.183700000000002"/>
    <n v="16845.517857000003"/>
    <n v="115.56100000000001"/>
    <n v="120.809"/>
    <n v="1.0454000000000001"/>
    <n v="17610.304367707806"/>
    <n v="1174.0202911805204"/>
    <m/>
    <n v="15"/>
    <s v="Sale"/>
    <x v="7"/>
    <x v="1"/>
    <n v="203.49126436781611"/>
    <n v="1"/>
    <n v="203.49126436781611"/>
    <n v="19.8657"/>
    <n v="4042.4964105517247"/>
    <n v="17610.304367707806"/>
    <n v="-13567.807957156081"/>
    <n v="0.57534246575342463"/>
    <n v="1"/>
    <n v="-13567.807957156081"/>
    <n v="0"/>
    <m/>
    <n v="-631.11873563218387"/>
    <m/>
    <n v="-0.75618400885705161"/>
    <m/>
  </r>
  <r>
    <x v="4"/>
    <s v="Purchase"/>
    <x v="67"/>
    <x v="2"/>
    <x v="1"/>
    <x v="99"/>
    <n v="1220.74"/>
    <x v="2"/>
    <n v="22"/>
    <n v="55.488181818181822"/>
    <n v="1"/>
    <n v="1220.74"/>
    <n v="20.183700000000002"/>
    <n v="24639.049938000004"/>
    <n v="115.56100000000001"/>
    <n v="120.809"/>
    <n v="1.0454000000000001"/>
    <n v="25757.662805185206"/>
    <n v="1170.8028547811457"/>
    <m/>
    <n v="22"/>
    <s v="Sale"/>
    <x v="7"/>
    <x v="1"/>
    <n v="298.45385440613029"/>
    <n v="1"/>
    <n v="298.45385440613029"/>
    <n v="19.8657"/>
    <n v="5928.9947354758624"/>
    <n v="25757.662805185206"/>
    <n v="-19828.668069709343"/>
    <n v="0.57534246575342463"/>
    <n v="1"/>
    <n v="-19828.668069709343"/>
    <n v="0"/>
    <m/>
    <n v="-922.28614559386972"/>
    <m/>
    <n v="-0.75551398790395141"/>
    <m/>
  </r>
  <r>
    <x v="4"/>
    <s v="Purchase"/>
    <x v="67"/>
    <x v="2"/>
    <x v="1"/>
    <x v="99"/>
    <n v="1714.58"/>
    <x v="2"/>
    <n v="31"/>
    <n v="55.309032258064512"/>
    <n v="1"/>
    <n v="1714.58"/>
    <n v="20.183700000000002"/>
    <n v="34606.568346"/>
    <n v="115.56100000000001"/>
    <n v="120.809"/>
    <n v="1.0454000000000001"/>
    <n v="36177.706548908405"/>
    <n v="1167.0227919002712"/>
    <m/>
    <n v="31"/>
    <s v="Sale"/>
    <x v="7"/>
    <x v="1"/>
    <n v="420.54861302681996"/>
    <n v="1"/>
    <n v="420.54861302681996"/>
    <n v="19.8657"/>
    <n v="8354.4925818068969"/>
    <n v="36177.706548908405"/>
    <n v="-27823.21396710151"/>
    <n v="0.57534246575342463"/>
    <n v="1"/>
    <n v="-27823.21396710151"/>
    <n v="0"/>
    <m/>
    <n v="-1294.0313869731799"/>
    <m/>
    <n v="-0.7547220817769833"/>
    <m/>
  </r>
  <r>
    <x v="4"/>
    <s v="Purchase"/>
    <x v="67"/>
    <x v="2"/>
    <x v="1"/>
    <x v="99"/>
    <n v="2678.39"/>
    <x v="2"/>
    <n v="48"/>
    <n v="55.799791666666664"/>
    <n v="1"/>
    <n v="2678.39"/>
    <n v="20.183700000000002"/>
    <n v="54059.820243000002"/>
    <n v="115.56100000000001"/>
    <n v="120.809"/>
    <n v="1.0454000000000001"/>
    <n v="56514.136082032208"/>
    <n v="1177.3778350423377"/>
    <m/>
    <n v="48"/>
    <s v="Sale"/>
    <x v="7"/>
    <x v="1"/>
    <n v="651.17204597701152"/>
    <n v="1"/>
    <n v="651.17204597701152"/>
    <n v="19.8657"/>
    <n v="12935.988513765518"/>
    <n v="56514.136082032208"/>
    <n v="-43578.147568266693"/>
    <n v="0.57534246575342463"/>
    <n v="1"/>
    <n v="-43578.147568266693"/>
    <n v="0"/>
    <m/>
    <n v="-2027.2179540229884"/>
    <m/>
    <n v="-0.75687930212664645"/>
    <m/>
  </r>
  <r>
    <x v="4"/>
    <s v="Purchase"/>
    <x v="67"/>
    <x v="2"/>
    <x v="1"/>
    <x v="99"/>
    <n v="8663.83"/>
    <x v="2"/>
    <n v="155"/>
    <n v="55.89567741935484"/>
    <n v="1"/>
    <n v="8663.83"/>
    <n v="20.183700000000002"/>
    <n v="174868.145571"/>
    <n v="115.56100000000001"/>
    <n v="120.809"/>
    <n v="1.0454000000000001"/>
    <n v="182807.15937992343"/>
    <n v="1179.4010282575705"/>
    <m/>
    <n v="155"/>
    <s v="Sale"/>
    <x v="7"/>
    <x v="1"/>
    <n v="2102.7430651340997"/>
    <n v="1"/>
    <n v="2102.7430651340997"/>
    <n v="19.8657"/>
    <n v="41772.462909034482"/>
    <n v="182807.15937992343"/>
    <n v="-141034.69647088894"/>
    <n v="0.57534246575342463"/>
    <n v="1"/>
    <n v="-141034.69647088894"/>
    <n v="0"/>
    <m/>
    <n v="-6561.0869348658998"/>
    <m/>
    <n v="-0.75729636140897272"/>
    <m/>
  </r>
  <r>
    <x v="4"/>
    <s v="Purchase"/>
    <x v="67"/>
    <x v="2"/>
    <x v="1"/>
    <x v="78"/>
    <n v="8764.31"/>
    <x v="2"/>
    <n v="168"/>
    <n v="52.1685119047619"/>
    <n v="1"/>
    <n v="8764.31"/>
    <n v="20.828299999999999"/>
    <n v="182545.67797299998"/>
    <n v="116.884"/>
    <n v="120.809"/>
    <n v="1.0335000000000001"/>
    <n v="188660.95818509549"/>
    <n v="1122.9818939589018"/>
    <m/>
    <n v="168"/>
    <s v="Sale"/>
    <x v="7"/>
    <x v="1"/>
    <n v="2279.1021609195404"/>
    <n v="1"/>
    <n v="2279.1021609195404"/>
    <n v="19.8657"/>
    <n v="45275.959798179312"/>
    <n v="188660.95818509549"/>
    <n v="-143384.99838691618"/>
    <n v="0.49863013698630138"/>
    <n v="1"/>
    <n v="-143384.99838691618"/>
    <n v="0"/>
    <m/>
    <n v="-6485.2078390804591"/>
    <m/>
    <n v="-0.7399564642373968"/>
    <m/>
  </r>
  <r>
    <x v="4"/>
    <s v="Purchase"/>
    <x v="67"/>
    <x v="2"/>
    <x v="1"/>
    <x v="78"/>
    <n v="49.25"/>
    <x v="2"/>
    <n v="1"/>
    <n v="49.25"/>
    <n v="1"/>
    <n v="49.25"/>
    <n v="20.828299999999999"/>
    <n v="1025.7937749999999"/>
    <n v="116.884"/>
    <n v="120.809"/>
    <n v="1.0335000000000001"/>
    <n v="1060.1578664624999"/>
    <n v="1060.1578664624999"/>
    <m/>
    <n v="1"/>
    <s v="Sale"/>
    <x v="7"/>
    <x v="1"/>
    <n v="13.566084291187741"/>
    <n v="1"/>
    <n v="13.566084291187741"/>
    <n v="19.8657"/>
    <n v="269.49976070344832"/>
    <n v="1060.1578664624999"/>
    <n v="-790.65810575905152"/>
    <n v="0.49863013698630138"/>
    <n v="1"/>
    <n v="-790.65810575905152"/>
    <n v="0"/>
    <m/>
    <n v="-35.683915708812258"/>
    <m/>
    <n v="-0.72454651185405594"/>
    <m/>
  </r>
  <r>
    <x v="4"/>
    <s v="Purchase"/>
    <x v="67"/>
    <x v="2"/>
    <x v="1"/>
    <x v="78"/>
    <n v="1767.63"/>
    <x v="2"/>
    <n v="35"/>
    <n v="50.503714285714288"/>
    <n v="1"/>
    <n v="1767.63"/>
    <n v="20.828299999999999"/>
    <n v="36816.727929000001"/>
    <n v="116.884"/>
    <n v="120.809"/>
    <n v="1.0335000000000001"/>
    <n v="38050.088314621506"/>
    <n v="1087.1453804177572"/>
    <m/>
    <n v="35"/>
    <s v="Sale"/>
    <x v="7"/>
    <x v="1"/>
    <n v="474.81295019157091"/>
    <n v="1"/>
    <n v="474.81295019157091"/>
    <n v="19.8657"/>
    <n v="9432.4916246206903"/>
    <n v="38050.088314621506"/>
    <n v="-28617.596690000813"/>
    <n v="0.49863013698630138"/>
    <n v="1"/>
    <n v="-28617.596690000813"/>
    <n v="0"/>
    <m/>
    <n v="-1292.8170498084291"/>
    <m/>
    <n v="-0.731384424233821"/>
    <m/>
  </r>
  <r>
    <x v="4"/>
    <s v="Purchase"/>
    <x v="67"/>
    <x v="2"/>
    <x v="1"/>
    <x v="78"/>
    <n v="2532.84"/>
    <x v="2"/>
    <n v="51"/>
    <n v="49.663529411764706"/>
    <n v="1"/>
    <n v="2532.84"/>
    <n v="20.828299999999999"/>
    <n v="52754.751371999999"/>
    <n v="116.884"/>
    <n v="120.809"/>
    <n v="1.0335000000000001"/>
    <n v="54522.035542962003"/>
    <n v="1069.0595204502354"/>
    <m/>
    <n v="51"/>
    <s v="Sale"/>
    <x v="7"/>
    <x v="1"/>
    <n v="691.87029885057473"/>
    <n v="1"/>
    <n v="691.87029885057473"/>
    <n v="19.8657"/>
    <n v="13744.487795875863"/>
    <n v="54522.035542962003"/>
    <n v="-40777.547747086137"/>
    <n v="0.49863013698630138"/>
    <n v="1"/>
    <n v="-40777.547747086137"/>
    <n v="0"/>
    <m/>
    <n v="-1840.9697011494254"/>
    <m/>
    <n v="-0.72684010879069549"/>
    <m/>
  </r>
  <r>
    <x v="4"/>
    <s v="Purchase"/>
    <x v="67"/>
    <x v="2"/>
    <x v="1"/>
    <x v="100"/>
    <n v="5645.13"/>
    <x v="2"/>
    <n v="115"/>
    <n v="49.088086956521742"/>
    <n v="1"/>
    <n v="5645.13"/>
    <n v="20.459800000000001"/>
    <n v="115498.23077400001"/>
    <n v="118.002"/>
    <n v="120.809"/>
    <n v="1.0237000000000001"/>
    <n v="118235.53884334382"/>
    <n v="1028.1351203769027"/>
    <m/>
    <n v="115"/>
    <s v="Sale"/>
    <x v="7"/>
    <x v="1"/>
    <n v="1560.0996934865902"/>
    <n v="1"/>
    <n v="1560.0996934865902"/>
    <n v="19.8657"/>
    <n v="30992.472480896555"/>
    <n v="118235.53884334381"/>
    <n v="-87243.066362447251"/>
    <n v="0.32602739726027397"/>
    <n v="1"/>
    <n v="-87243.066362447251"/>
    <n v="0"/>
    <m/>
    <n v="-4085.0303065134099"/>
    <m/>
    <n v="-0.72363795103273265"/>
    <m/>
  </r>
  <r>
    <x v="4"/>
    <s v="Purchase"/>
    <x v="67"/>
    <x v="2"/>
    <x v="1"/>
    <x v="101"/>
    <n v="6887.89"/>
    <x v="2"/>
    <n v="224"/>
    <n v="30.74950892857143"/>
    <n v="1"/>
    <n v="6887.89"/>
    <n v="20.5562"/>
    <n v="141588.84441800002"/>
    <n v="118.98099999999999"/>
    <n v="120.809"/>
    <n v="1.0153000000000001"/>
    <n v="143755.15373759542"/>
    <n v="641.76407918569384"/>
    <m/>
    <n v="224"/>
    <s v="Sale"/>
    <x v="7"/>
    <x v="1"/>
    <n v="3038.8028812260541"/>
    <n v="1"/>
    <n v="3038.8028812260541"/>
    <n v="19.8657"/>
    <n v="60367.946397572421"/>
    <n v="143755.15373759542"/>
    <n v="-83387.207340023"/>
    <n v="0.28767123287671231"/>
    <n v="1"/>
    <n v="-83387.207340023"/>
    <n v="0"/>
    <m/>
    <n v="-3849.0871187739463"/>
    <m/>
    <n v="-0.55881948155007499"/>
    <m/>
  </r>
  <r>
    <x v="4"/>
    <s v="Purchase"/>
    <x v="67"/>
    <x v="2"/>
    <x v="1"/>
    <x v="102"/>
    <n v="6936.8100000000013"/>
    <x v="2"/>
    <n v="189"/>
    <n v="36.702698412698417"/>
    <n v="1"/>
    <n v="6936.8100000000013"/>
    <n v="19.8657"/>
    <n v="137804.58641700004"/>
    <n v="121.02200000000001"/>
    <n v="120.809"/>
    <n v="1"/>
    <n v="137804.58641700004"/>
    <n v="729.12479585714311"/>
    <m/>
    <n v="189"/>
    <s v="Sale"/>
    <x v="7"/>
    <x v="1"/>
    <n v="2563.9899310344831"/>
    <n v="1"/>
    <n v="2563.9899310344831"/>
    <n v="19.8657"/>
    <n v="50935.454772951729"/>
    <n v="137804.58641700004"/>
    <n v="-86869.131644048321"/>
    <n v="0"/>
    <n v="1"/>
    <n v="-86869.131644048321"/>
    <n v="0"/>
    <m/>
    <n v="-4372.8200689655187"/>
    <m/>
    <n v="-0.63037910350226078"/>
    <m/>
  </r>
  <r>
    <x v="4"/>
    <s v="Purchase"/>
    <x v="68"/>
    <x v="2"/>
    <x v="1"/>
    <x v="95"/>
    <n v="377.44393782383418"/>
    <x v="2"/>
    <n v="4"/>
    <n v="94.360984455958544"/>
    <n v="1"/>
    <n v="377.44393782383418"/>
    <n v="22.4573"/>
    <n v="8476.3717448911921"/>
    <n v="108.114"/>
    <n v="117.30800000000001"/>
    <n v="1.085"/>
    <n v="9196.8633432069437"/>
    <n v="2299.2158358017359"/>
    <m/>
    <n v="4"/>
    <s v="Sale"/>
    <x v="43"/>
    <x v="1"/>
    <n v="437.91803278688525"/>
    <n v="1"/>
    <n v="437.91803278688525"/>
    <n v="20.4453"/>
    <n v="8953.3655557377042"/>
    <n v="9196.8633432069437"/>
    <n v="-243.49778746923948"/>
    <n v="1.284931506849315"/>
    <n v="1"/>
    <n v="-243.49778746923948"/>
    <n v="0"/>
    <m/>
    <n v="60.474094963051073"/>
    <m/>
    <n v="0.16022007218268366"/>
    <m/>
  </r>
  <r>
    <x v="4"/>
    <s v="Purchase"/>
    <x v="68"/>
    <x v="2"/>
    <x v="1"/>
    <x v="81"/>
    <n v="11507.226917293232"/>
    <x v="2"/>
    <n v="118"/>
    <n v="97.518872180451112"/>
    <n v="1"/>
    <n v="11507.226917293232"/>
    <n v="21.034500000000001"/>
    <n v="242048.7645918045"/>
    <n v="108.85599999999999"/>
    <n v="117.30800000000001"/>
    <n v="1.0775999999999999"/>
    <n v="260831.7487241285"/>
    <n v="2210.4385485095636"/>
    <m/>
    <n v="118"/>
    <s v="Sale"/>
    <x v="43"/>
    <x v="1"/>
    <n v="12918.581967213115"/>
    <n v="1"/>
    <n v="12918.581967213115"/>
    <n v="20.4453"/>
    <n v="264124.28389426228"/>
    <n v="260831.7487241285"/>
    <n v="3292.5351701337786"/>
    <n v="1.1835616438356165"/>
    <n v="1"/>
    <n v="3292.5351701337786"/>
    <n v="0"/>
    <m/>
    <n v="1411.3550499198827"/>
    <m/>
    <n v="0.12264944978176083"/>
    <m/>
  </r>
  <r>
    <x v="4"/>
    <s v="Purchase"/>
    <x v="68"/>
    <x v="2"/>
    <x v="1"/>
    <x v="81"/>
    <n v="1462.7830827067669"/>
    <x v="2"/>
    <n v="15"/>
    <n v="97.518872180451126"/>
    <n v="1"/>
    <n v="1462.7830827067669"/>
    <n v="21.034500000000001"/>
    <n v="30768.910753195491"/>
    <n v="108.85599999999999"/>
    <n v="117.30800000000001"/>
    <n v="1.0775999999999999"/>
    <n v="33156.578227643455"/>
    <n v="2210.4385485095636"/>
    <m/>
    <n v="15"/>
    <s v="Sale"/>
    <x v="43"/>
    <x v="1"/>
    <n v="1637.8423076923077"/>
    <n v="1"/>
    <n v="1637.8423076923077"/>
    <n v="20.4453"/>
    <n v="33486.177333461535"/>
    <n v="33156.578227643455"/>
    <n v="329.59910581808072"/>
    <n v="1.1835616438356165"/>
    <n v="1"/>
    <n v="329.59910581808072"/>
    <n v="0"/>
    <m/>
    <n v="175.05922498554082"/>
    <m/>
    <n v="0.11967545089570442"/>
    <m/>
  </r>
  <r>
    <x v="4"/>
    <s v="Purchase"/>
    <x v="68"/>
    <x v="2"/>
    <x v="1"/>
    <x v="96"/>
    <n v="2138.9261538461542"/>
    <x v="2"/>
    <n v="24"/>
    <n v="89.121923076923096"/>
    <n v="1"/>
    <n v="2138.9261538461542"/>
    <n v="20.1172"/>
    <n v="43029.205222153854"/>
    <n v="108.85599999999999"/>
    <n v="117.30800000000001"/>
    <n v="1.0775999999999999"/>
    <n v="46368.271547392986"/>
    <n v="1932.0113144747077"/>
    <m/>
    <n v="24"/>
    <s v="Sale"/>
    <x v="43"/>
    <x v="1"/>
    <n v="2620.5476923076926"/>
    <n v="1"/>
    <n v="2620.5476923076926"/>
    <n v="20.4453"/>
    <n v="53577.883733538467"/>
    <n v="46368.271547392986"/>
    <n v="7209.6121861454812"/>
    <n v="1.1342465753424658"/>
    <n v="1"/>
    <n v="7209.6121861454812"/>
    <n v="0"/>
    <m/>
    <n v="481.62153846153842"/>
    <m/>
    <n v="0.22516978325572423"/>
    <m/>
  </r>
  <r>
    <x v="4"/>
    <s v="Purchase"/>
    <x v="68"/>
    <x v="2"/>
    <x v="1"/>
    <x v="96"/>
    <n v="1604.1946153846154"/>
    <x v="2"/>
    <n v="18"/>
    <n v="89.121923076923082"/>
    <n v="1"/>
    <n v="1604.1946153846154"/>
    <n v="20.1172"/>
    <n v="32271.903916615385"/>
    <n v="108.85599999999999"/>
    <n v="117.30800000000001"/>
    <n v="1.0775999999999999"/>
    <n v="34776.203660544736"/>
    <n v="1932.0113144747074"/>
    <m/>
    <n v="18"/>
    <s v="Sale"/>
    <x v="15"/>
    <x v="1"/>
    <n v="1951.02"/>
    <n v="1"/>
    <n v="1951.02"/>
    <n v="20.3002"/>
    <n v="39606.096204000001"/>
    <n v="34776.203660544736"/>
    <n v="4829.8925434552657"/>
    <n v="1.1534246575342466"/>
    <n v="1"/>
    <n v="4829.8925434552657"/>
    <n v="0"/>
    <m/>
    <n v="346.82538461538456"/>
    <m/>
    <n v="0.21619907041779407"/>
    <m/>
  </r>
  <r>
    <x v="4"/>
    <s v="Purchase"/>
    <x v="68"/>
    <x v="2"/>
    <x v="1"/>
    <x v="96"/>
    <n v="2138.9261538461542"/>
    <x v="2"/>
    <n v="24"/>
    <n v="89.121923076923096"/>
    <n v="1"/>
    <n v="2138.9261538461542"/>
    <n v="20.1172"/>
    <n v="43029.205222153854"/>
    <n v="108.85599999999999"/>
    <n v="117.30800000000001"/>
    <n v="1.0775999999999999"/>
    <n v="46368.271547392986"/>
    <n v="1932.0113144747077"/>
    <m/>
    <n v="24"/>
    <s v="Sale"/>
    <x v="15"/>
    <x v="1"/>
    <n v="2602.1999999999998"/>
    <n v="1"/>
    <n v="2602.1999999999998"/>
    <n v="20.3002"/>
    <n v="52825.180439999996"/>
    <n v="46368.271547392986"/>
    <n v="6456.9088926070108"/>
    <n v="1.1534246575342466"/>
    <n v="1"/>
    <n v="6456.9088926070108"/>
    <n v="0"/>
    <m/>
    <n v="463.27384615384562"/>
    <m/>
    <n v="0.216591790848319"/>
    <m/>
  </r>
  <r>
    <x v="4"/>
    <s v="Purchase"/>
    <x v="68"/>
    <x v="2"/>
    <x v="1"/>
    <x v="96"/>
    <n v="2138.9261538461542"/>
    <x v="2"/>
    <n v="24"/>
    <n v="89.121923076923096"/>
    <n v="1"/>
    <n v="2138.9261538461542"/>
    <n v="20.1172"/>
    <n v="43029.205222153854"/>
    <n v="108.85599999999999"/>
    <n v="117.30800000000001"/>
    <n v="1.0775999999999999"/>
    <n v="46368.271547392986"/>
    <n v="1932.0113144747077"/>
    <m/>
    <n v="24"/>
    <s v="Sale"/>
    <x v="15"/>
    <x v="1"/>
    <n v="2609.3000000000002"/>
    <n v="1"/>
    <n v="2609.3000000000002"/>
    <n v="20.3002"/>
    <n v="52969.311860000002"/>
    <n v="46368.271547392986"/>
    <n v="6601.0403126070159"/>
    <n v="1.1534246575342466"/>
    <n v="1"/>
    <n v="6601.0403126070159"/>
    <n v="0"/>
    <m/>
    <n v="470.37384615384599"/>
    <m/>
    <n v="0.21991121353490095"/>
    <m/>
  </r>
  <r>
    <x v="4"/>
    <s v="Purchase"/>
    <x v="68"/>
    <x v="2"/>
    <x v="1"/>
    <x v="96"/>
    <n v="267.36576923076927"/>
    <x v="2"/>
    <n v="3"/>
    <n v="89.121923076923096"/>
    <n v="1"/>
    <n v="267.36576923076927"/>
    <n v="20.1172"/>
    <n v="5378.6506527692318"/>
    <n v="108.85599999999999"/>
    <n v="117.30800000000001"/>
    <n v="1.0775999999999999"/>
    <n v="5796.0339434241232"/>
    <n v="1932.0113144747077"/>
    <m/>
    <n v="3"/>
    <s v="Sale"/>
    <x v="15"/>
    <x v="1"/>
    <n v="324.24"/>
    <n v="1"/>
    <n v="324.24"/>
    <n v="20.3002"/>
    <n v="6582.1368480000001"/>
    <n v="5796.0339434241232"/>
    <n v="786.10290457587689"/>
    <n v="1.1534246575342466"/>
    <n v="1"/>
    <n v="786.10290457587689"/>
    <n v="0"/>
    <m/>
    <n v="56.874230769230735"/>
    <m/>
    <n v="0.21272068946171391"/>
    <m/>
  </r>
  <r>
    <x v="4"/>
    <s v="Purchase"/>
    <x v="68"/>
    <x v="2"/>
    <x v="1"/>
    <x v="96"/>
    <n v="2673.6576923076923"/>
    <x v="2"/>
    <n v="30"/>
    <n v="89.121923076923082"/>
    <n v="1"/>
    <n v="2673.6576923076923"/>
    <n v="20.1172"/>
    <n v="53786.506527692305"/>
    <n v="108.85599999999999"/>
    <n v="117.30800000000001"/>
    <n v="1.0775999999999999"/>
    <n v="57960.339434241221"/>
    <n v="1932.0113144747074"/>
    <m/>
    <n v="30"/>
    <s v="Sale"/>
    <x v="15"/>
    <x v="1"/>
    <n v="3259.39"/>
    <n v="1"/>
    <n v="3259.39"/>
    <n v="20.3002"/>
    <n v="66166.268878000003"/>
    <n v="57960.339434241221"/>
    <n v="8205.9294437587814"/>
    <n v="1.1534246575342466"/>
    <n v="1"/>
    <n v="8205.9294437587814"/>
    <n v="0"/>
    <m/>
    <n v="585.73230769230759"/>
    <m/>
    <n v="0.21907528004706886"/>
    <m/>
  </r>
  <r>
    <x v="4"/>
    <s v="Purchase"/>
    <x v="68"/>
    <x v="2"/>
    <x v="1"/>
    <x v="96"/>
    <n v="623.8534615384616"/>
    <x v="2"/>
    <n v="7"/>
    <n v="89.121923076923082"/>
    <n v="1"/>
    <n v="623.8534615384616"/>
    <n v="20.1172"/>
    <n v="12550.184856461539"/>
    <n v="108.85599999999999"/>
    <n v="117.30800000000001"/>
    <n v="1.0775999999999999"/>
    <n v="13524.079201322953"/>
    <n v="1932.0113144747077"/>
    <m/>
    <n v="7"/>
    <s v="Sale"/>
    <x v="15"/>
    <x v="1"/>
    <n v="760.47222222222217"/>
    <n v="1"/>
    <n v="760.47222222222217"/>
    <n v="20.3002"/>
    <n v="15437.738205555555"/>
    <n v="13524.079201322953"/>
    <n v="1913.6590042326025"/>
    <n v="1.1534246575342466"/>
    <n v="1"/>
    <n v="1913.6590042326025"/>
    <n v="0"/>
    <m/>
    <n v="136.61876068376057"/>
    <m/>
    <n v="0.21899174903486177"/>
    <m/>
  </r>
  <r>
    <x v="4"/>
    <s v="Purchase"/>
    <x v="68"/>
    <x v="2"/>
    <x v="1"/>
    <x v="103"/>
    <n v="175.79357894736842"/>
    <x v="2"/>
    <n v="2"/>
    <n v="87.896789473684208"/>
    <n v="1"/>
    <n v="175.79357894736842"/>
    <n v="20.895700000000001"/>
    <n v="3673.3298876105264"/>
    <n v="111.824"/>
    <n v="117.30800000000001"/>
    <n v="1.0489999999999999"/>
    <n v="3853.323052103442"/>
    <n v="1926.661526051721"/>
    <m/>
    <n v="2"/>
    <s v="Sale"/>
    <x v="15"/>
    <x v="1"/>
    <n v="217.27777777777777"/>
    <n v="1"/>
    <n v="217.27777777777777"/>
    <n v="20.3002"/>
    <n v="4410.7823444444448"/>
    <n v="3853.323052103442"/>
    <n v="557.45929234100277"/>
    <n v="0.87671232876712324"/>
    <n v="1"/>
    <n v="557.45929234100277"/>
    <n v="0"/>
    <m/>
    <n v="41.484198830409355"/>
    <m/>
    <n v="0.23598244645118399"/>
    <m/>
  </r>
  <r>
    <x v="4"/>
    <s v="Purchase"/>
    <x v="68"/>
    <x v="2"/>
    <x v="1"/>
    <x v="103"/>
    <n v="87.896789473684208"/>
    <x v="2"/>
    <n v="1"/>
    <n v="87.896789473684208"/>
    <n v="1"/>
    <n v="87.896789473684208"/>
    <n v="20.895700000000001"/>
    <n v="1836.6649438052632"/>
    <n v="111.824"/>
    <n v="117.30800000000001"/>
    <n v="1.0489999999999999"/>
    <n v="1926.661526051721"/>
    <n v="1926.661526051721"/>
    <m/>
    <n v="1"/>
    <s v="Sale"/>
    <x v="57"/>
    <x v="1"/>
    <n v="107.16"/>
    <n v="1"/>
    <n v="107.16"/>
    <n v="20.402999999999999"/>
    <n v="2186.3854799999999"/>
    <n v="1926.661526051721"/>
    <n v="259.7239539482789"/>
    <n v="0.8794520547945206"/>
    <n v="1"/>
    <n v="259.7239539482789"/>
    <n v="0"/>
    <m/>
    <n v="19.263210526315788"/>
    <m/>
    <n v="0.21915715740770125"/>
    <m/>
  </r>
  <r>
    <x v="4"/>
    <s v="Purchase"/>
    <x v="68"/>
    <x v="2"/>
    <x v="1"/>
    <x v="103"/>
    <n v="1757.9357894736841"/>
    <x v="2"/>
    <n v="20"/>
    <n v="87.896789473684208"/>
    <n v="1"/>
    <n v="1757.9357894736841"/>
    <n v="20.895700000000001"/>
    <n v="36733.298876105262"/>
    <n v="111.824"/>
    <n v="117.30800000000001"/>
    <n v="1.0489999999999999"/>
    <n v="38533.23052103442"/>
    <n v="1926.661526051721"/>
    <m/>
    <n v="20"/>
    <s v="Sale"/>
    <x v="57"/>
    <x v="1"/>
    <n v="2157.4899999999998"/>
    <n v="1"/>
    <n v="2157.4899999999998"/>
    <n v="20.402999999999999"/>
    <n v="44019.268469999995"/>
    <n v="38533.23052103442"/>
    <n v="5486.0379489655752"/>
    <n v="0.8794520547945206"/>
    <n v="1"/>
    <n v="5486.0379489655752"/>
    <n v="0"/>
    <m/>
    <n v="399.55421052631573"/>
    <m/>
    <n v="0.22728600948840116"/>
    <m/>
  </r>
  <r>
    <x v="4"/>
    <s v="Purchase"/>
    <x v="68"/>
    <x v="2"/>
    <x v="1"/>
    <x v="103"/>
    <n v="2549.0068947368422"/>
    <x v="2"/>
    <n v="29"/>
    <n v="87.896789473684208"/>
    <n v="1"/>
    <n v="2549.0068947368422"/>
    <n v="20.895700000000001"/>
    <n v="53263.283370352641"/>
    <n v="111.824"/>
    <n v="117.30800000000001"/>
    <n v="1.0489999999999999"/>
    <n v="55873.184255499917"/>
    <n v="1926.6615260517212"/>
    <m/>
    <n v="29"/>
    <s v="Sale"/>
    <x v="57"/>
    <x v="1"/>
    <n v="3140.98"/>
    <n v="1"/>
    <n v="3140.98"/>
    <n v="20.402999999999999"/>
    <n v="64085.414939999995"/>
    <n v="55873.184255499917"/>
    <n v="8212.2306845000785"/>
    <n v="0.8794520547945206"/>
    <n v="1"/>
    <n v="8212.2306845000785"/>
    <n v="0"/>
    <m/>
    <n v="591.97310526315778"/>
    <m/>
    <n v="0.23223676110310118"/>
    <m/>
  </r>
  <r>
    <x v="4"/>
    <s v="Purchase"/>
    <x v="68"/>
    <x v="2"/>
    <x v="1"/>
    <x v="103"/>
    <n v="351.58715789473683"/>
    <x v="2"/>
    <n v="4"/>
    <n v="87.896789473684208"/>
    <n v="1"/>
    <n v="351.58715789473683"/>
    <n v="20.895700000000001"/>
    <n v="7346.6597752210528"/>
    <n v="111.824"/>
    <n v="117.30800000000001"/>
    <n v="1.0489999999999999"/>
    <n v="7706.646104206884"/>
    <n v="1926.661526051721"/>
    <m/>
    <n v="4"/>
    <s v="Sale"/>
    <x v="57"/>
    <x v="1"/>
    <n v="432.12"/>
    <n v="1"/>
    <n v="432.12"/>
    <n v="20.402999999999999"/>
    <n v="8816.5443599999999"/>
    <n v="7706.646104206884"/>
    <n v="1109.8982557931158"/>
    <n v="0.8794520547945206"/>
    <n v="1"/>
    <n v="1109.8982557931158"/>
    <n v="0"/>
    <m/>
    <n v="80.532842105263171"/>
    <m/>
    <n v="0.22905512985026102"/>
    <m/>
  </r>
  <r>
    <x v="4"/>
    <s v="Purchase"/>
    <x v="68"/>
    <x v="2"/>
    <x v="1"/>
    <x v="103"/>
    <n v="7119.6399473684205"/>
    <x v="2"/>
    <n v="81"/>
    <n v="87.896789473684208"/>
    <n v="1"/>
    <n v="7119.6399473684205"/>
    <n v="20.895700000000001"/>
    <n v="148769.8604482263"/>
    <n v="111.824"/>
    <n v="117.30800000000001"/>
    <n v="1.0489999999999999"/>
    <n v="156059.58361018938"/>
    <n v="1926.6615260517208"/>
    <m/>
    <n v="81"/>
    <s v="Sale"/>
    <x v="48"/>
    <x v="1"/>
    <n v="8646.7344230769231"/>
    <n v="1"/>
    <n v="8646.7344230769231"/>
    <n v="20.630800000000001"/>
    <n v="178389.04853561538"/>
    <n v="156059.58361018938"/>
    <n v="22329.464925426"/>
    <n v="0.89589041095890409"/>
    <n v="1"/>
    <n v="22329.464925426"/>
    <n v="0"/>
    <m/>
    <n v="1527.0944757085026"/>
    <m/>
    <n v="0.21449040780116291"/>
    <m/>
  </r>
  <r>
    <x v="4"/>
    <s v="Purchase"/>
    <x v="68"/>
    <x v="2"/>
    <x v="1"/>
    <x v="66"/>
    <n v="2140.7437209302325"/>
    <x v="2"/>
    <n v="23"/>
    <n v="93.075813953488364"/>
    <n v="1"/>
    <n v="2140.7437209302325"/>
    <n v="20.985299999999999"/>
    <n v="44924.149206837203"/>
    <n v="111.824"/>
    <n v="117.30800000000001"/>
    <n v="1.0489999999999999"/>
    <n v="47125.432517972222"/>
    <n v="2048.9318486074881"/>
    <m/>
    <n v="23"/>
    <s v="Sale"/>
    <x v="48"/>
    <x v="1"/>
    <n v="2455.2455769230769"/>
    <n v="1"/>
    <n v="2455.2455769230769"/>
    <n v="20.630800000000001"/>
    <n v="50653.680448384614"/>
    <n v="47125.432517972222"/>
    <n v="3528.2479304123917"/>
    <n v="0.87671232876712324"/>
    <n v="1"/>
    <n v="3528.2479304123917"/>
    <n v="0"/>
    <m/>
    <n v="314.50185599284441"/>
    <m/>
    <n v="0.14691242717095612"/>
    <m/>
  </r>
  <r>
    <x v="4"/>
    <s v="Purchase"/>
    <x v="69"/>
    <x v="2"/>
    <x v="1"/>
    <x v="96"/>
    <n v="2457.8999999999996"/>
    <x v="2"/>
    <n v="12"/>
    <n v="204.82499999999996"/>
    <n v="1"/>
    <n v="2457.8999999999996"/>
    <n v="20.1172"/>
    <n v="49446.065879999995"/>
    <n v="108.85599999999999"/>
    <n v="118.002"/>
    <n v="1.0840000000000001"/>
    <n v="53599.535413919999"/>
    <n v="4466.6279511599996"/>
    <m/>
    <n v="12"/>
    <s v="Sale"/>
    <x v="46"/>
    <x v="1"/>
    <n v="1141.4052705882352"/>
    <n v="1"/>
    <n v="1141.4052705882352"/>
    <n v="20.3063"/>
    <n v="23177.717846145883"/>
    <n v="53599.535413919992"/>
    <n v="-30421.817567774109"/>
    <n v="1.2465753424657535"/>
    <n v="1"/>
    <n v="-30421.817567774109"/>
    <n v="0"/>
    <m/>
    <n v="-1316.4947294117644"/>
    <m/>
    <n v="-0.53561769372706969"/>
    <m/>
  </r>
  <r>
    <x v="4"/>
    <s v="Purchase"/>
    <x v="69"/>
    <x v="2"/>
    <x v="1"/>
    <x v="51"/>
    <n v="14214.74"/>
    <x v="2"/>
    <n v="62"/>
    <n v="229.27"/>
    <n v="1"/>
    <n v="14214.74"/>
    <n v="20.690300000000001"/>
    <n v="294107.23502199998"/>
    <n v="111.824"/>
    <n v="118.002"/>
    <n v="1.0551999999999999"/>
    <n v="310341.95439521433"/>
    <n v="5005.5153934711989"/>
    <m/>
    <n v="62"/>
    <s v="Sale"/>
    <x v="46"/>
    <x v="1"/>
    <n v="5897.2605647058817"/>
    <n v="1"/>
    <n v="5897.2605647058817"/>
    <n v="20.3063"/>
    <n v="119751.54220508705"/>
    <n v="310341.95439521433"/>
    <n v="-190590.41219012727"/>
    <n v="0.9726027397260274"/>
    <n v="1"/>
    <n v="-190590.41219012727"/>
    <n v="0"/>
    <m/>
    <n v="-8317.4794352941171"/>
    <m/>
    <n v="-0.58513060634905156"/>
    <m/>
  </r>
  <r>
    <x v="4"/>
    <s v="Purchase"/>
    <x v="69"/>
    <x v="2"/>
    <x v="1"/>
    <x v="104"/>
    <n v="8868.06"/>
    <x v="2"/>
    <n v="45"/>
    <n v="197.06799999999998"/>
    <n v="1"/>
    <n v="8868.06"/>
    <n v="19.831299999999999"/>
    <n v="175865.15827799999"/>
    <n v="112.419"/>
    <n v="118.002"/>
    <n v="1.0496000000000001"/>
    <n v="184588.07012858879"/>
    <n v="4101.9571139686395"/>
    <m/>
    <n v="45"/>
    <s v="Sale"/>
    <x v="46"/>
    <x v="1"/>
    <n v="4280.2697647058822"/>
    <n v="1"/>
    <n v="4280.2697647058822"/>
    <n v="20.3063"/>
    <n v="86916.441923047052"/>
    <n v="184588.07012858879"/>
    <n v="-97671.62820554174"/>
    <n v="0.76164383561643834"/>
    <n v="1"/>
    <n v="-97671.62820554174"/>
    <n v="0"/>
    <m/>
    <n v="-4587.7902352941173"/>
    <m/>
    <n v="-0.51733865527456036"/>
    <m/>
  </r>
  <r>
    <x v="4"/>
    <s v="Purchase"/>
    <x v="69"/>
    <x v="2"/>
    <x v="1"/>
    <x v="76"/>
    <n v="5641.95"/>
    <x v="2"/>
    <n v="25"/>
    <n v="225.678"/>
    <n v="1"/>
    <n v="5641.95"/>
    <n v="19.921299999999999"/>
    <n v="112394.97853499999"/>
    <n v="113.018"/>
    <n v="118.002"/>
    <n v="1.044"/>
    <n v="117340.35759053999"/>
    <n v="4693.6143036215999"/>
    <m/>
    <n v="25"/>
    <s v="Sale"/>
    <x v="46"/>
    <x v="1"/>
    <n v="2377.9276470588234"/>
    <n v="1"/>
    <n v="2377.9276470588234"/>
    <n v="20.3063"/>
    <n v="48286.912179470586"/>
    <n v="117340.35759053999"/>
    <n v="-69053.445411069406"/>
    <n v="0.72602739726027399"/>
    <n v="1"/>
    <n v="-69053.445411069406"/>
    <n v="0"/>
    <m/>
    <n v="-3264.0223529411765"/>
    <m/>
    <n v="-0.57852734479057355"/>
    <m/>
  </r>
  <r>
    <x v="4"/>
    <s v="Purchase"/>
    <x v="69"/>
    <x v="2"/>
    <x v="1"/>
    <x v="105"/>
    <n v="11028.3"/>
    <x v="2"/>
    <n v="51"/>
    <n v="216.24117647058821"/>
    <n v="1"/>
    <n v="11028.3"/>
    <n v="19.9328"/>
    <n v="219824.89823999998"/>
    <n v="113.018"/>
    <n v="118.002"/>
    <n v="1.044"/>
    <n v="229497.19376256"/>
    <n v="4499.944975736471"/>
    <m/>
    <n v="51"/>
    <s v="Sale"/>
    <x v="46"/>
    <x v="1"/>
    <n v="4850.9723999999997"/>
    <n v="1"/>
    <n v="4850.9723999999997"/>
    <n v="20.3063"/>
    <n v="98505.300846119993"/>
    <n v="229497.19376256003"/>
    <n v="-130991.89291644003"/>
    <n v="0.70958904109589038"/>
    <n v="1"/>
    <n v="-130991.89291644003"/>
    <n v="0"/>
    <m/>
    <n v="-6177.3275999999996"/>
    <m/>
    <n v="-0.5601341639237235"/>
    <m/>
  </r>
  <r>
    <x v="4"/>
    <s v="Purchase"/>
    <x v="69"/>
    <x v="2"/>
    <x v="1"/>
    <x v="106"/>
    <n v="11989.97"/>
    <x v="2"/>
    <n v="48"/>
    <n v="249.79104166666664"/>
    <n v="1"/>
    <n v="11989.97"/>
    <n v="20.023800000000001"/>
    <n v="240084.76128599999"/>
    <n v="113.682"/>
    <n v="118.002"/>
    <n v="1.038"/>
    <n v="249207.98221486801"/>
    <n v="5191.8329628097499"/>
    <m/>
    <n v="48"/>
    <s v="Sale"/>
    <x v="46"/>
    <x v="1"/>
    <n v="4565.6210823529409"/>
    <n v="1"/>
    <n v="4565.6210823529409"/>
    <n v="20.3063"/>
    <n v="92710.87138458353"/>
    <n v="249207.98221486801"/>
    <n v="-156497.11083028448"/>
    <n v="0.57534246575342463"/>
    <n v="1"/>
    <n v="-156497.11083028448"/>
    <n v="0"/>
    <m/>
    <n v="-7424.3489176470584"/>
    <m/>
    <n v="-0.61921330225572369"/>
    <m/>
  </r>
  <r>
    <x v="4"/>
    <s v="Purchase"/>
    <x v="69"/>
    <x v="2"/>
    <x v="1"/>
    <x v="6"/>
    <n v="13471.96"/>
    <x v="2"/>
    <n v="53"/>
    <n v="254.18792452830186"/>
    <n v="1"/>
    <n v="13471.96"/>
    <n v="19.903500000000001"/>
    <n v="268139.15586"/>
    <n v="114.601"/>
    <n v="118.002"/>
    <n v="1.0296000000000001"/>
    <n v="276076.07487345603"/>
    <n v="5208.9825447821895"/>
    <m/>
    <n v="53"/>
    <s v="Sale"/>
    <x v="46"/>
    <x v="1"/>
    <n v="5041.2066117647055"/>
    <n v="1"/>
    <n v="5041.2066117647055"/>
    <n v="20.3063"/>
    <n v="102368.25382047764"/>
    <n v="276076.07487345603"/>
    <n v="-173707.8210529784"/>
    <n v="0.43561643835616437"/>
    <n v="1"/>
    <n v="-173707.8210529784"/>
    <n v="0"/>
    <m/>
    <n v="-8430.7533882352946"/>
    <m/>
    <n v="-0.62580006088462958"/>
    <m/>
  </r>
  <r>
    <x v="4"/>
    <s v="Purchase"/>
    <x v="69"/>
    <x v="2"/>
    <x v="1"/>
    <x v="107"/>
    <n v="12833.430000000002"/>
    <x v="2"/>
    <n v="49"/>
    <n v="261.90673469387758"/>
    <n v="1"/>
    <n v="12833.430000000002"/>
    <n v="20.032800000000002"/>
    <n v="257089.53650400008"/>
    <n v="114.601"/>
    <n v="118.002"/>
    <n v="1.0296000000000001"/>
    <n v="264699.38678451849"/>
    <n v="5402.0283017248667"/>
    <m/>
    <n v="49"/>
    <s v="Sale"/>
    <x v="46"/>
    <x v="1"/>
    <n v="4660.7381882352938"/>
    <n v="1"/>
    <n v="4660.7381882352938"/>
    <n v="20.3063"/>
    <n v="94642.347871762351"/>
    <n v="264699.38678451849"/>
    <n v="-170057.03891275614"/>
    <n v="0.41369863013698632"/>
    <n v="1"/>
    <n v="-170057.03891275614"/>
    <n v="0"/>
    <m/>
    <n v="-8172.6918117647083"/>
    <m/>
    <n v="-0.63682833130072836"/>
    <m/>
  </r>
  <r>
    <x v="4"/>
    <s v="Purchase"/>
    <x v="69"/>
    <x v="2"/>
    <x v="1"/>
    <x v="108"/>
    <n v="9207.5499999999993"/>
    <x v="2"/>
    <n v="80"/>
    <n v="115.09437499999999"/>
    <n v="1"/>
    <n v="9207.5499999999993"/>
    <n v="20.641300000000001"/>
    <n v="190055.80181499998"/>
    <n v="118.98099999999999"/>
    <n v="118.002"/>
    <n v="1"/>
    <n v="190055.80181499998"/>
    <n v="2375.6975226874997"/>
    <m/>
    <n v="80"/>
    <s v="Sale"/>
    <x v="46"/>
    <x v="1"/>
    <n v="7609.3684705882342"/>
    <n v="1"/>
    <n v="7609.3684705882342"/>
    <n v="20.3063"/>
    <n v="154518.11897430586"/>
    <n v="190055.80181499998"/>
    <n v="-35537.68284069412"/>
    <n v="3.287671232876712E-2"/>
    <n v="1"/>
    <n v="-35537.68284069412"/>
    <n v="0"/>
    <m/>
    <n v="-1598.181529411765"/>
    <m/>
    <n v="-0.17357294062066078"/>
    <m/>
  </r>
  <r>
    <x v="4"/>
    <s v="Purchase"/>
    <x v="70"/>
    <x v="2"/>
    <x v="1"/>
    <x v="96"/>
    <n v="15548.208372093026"/>
    <x v="2"/>
    <n v="29"/>
    <n v="536.14511627906984"/>
    <n v="1"/>
    <n v="15548.208372093026"/>
    <n v="20.1172"/>
    <n v="312786.41746306984"/>
    <n v="108.85599999999999"/>
    <n v="120.15900000000001"/>
    <n v="1.1037999999999999"/>
    <n v="345253.64759573643"/>
    <n v="11905.298192956428"/>
    <m/>
    <n v="29"/>
    <s v="Sale"/>
    <x v="39"/>
    <x v="1"/>
    <n v="29806.670655737707"/>
    <n v="1"/>
    <n v="29806.670655737707"/>
    <n v="19.901199999999999"/>
    <n v="593188.5140539672"/>
    <n v="345253.64759573643"/>
    <n v="247934.86645823077"/>
    <n v="1.3671232876712329"/>
    <n v="1"/>
    <n v="247934.86645823077"/>
    <n v="0"/>
    <m/>
    <n v="14258.462283644682"/>
    <m/>
    <n v="0.91704857192657208"/>
    <m/>
  </r>
  <r>
    <x v="4"/>
    <s v="Purchase"/>
    <x v="70"/>
    <x v="2"/>
    <x v="1"/>
    <x v="51"/>
    <n v="20471.36"/>
    <x v="2"/>
    <n v="32"/>
    <n v="639.73"/>
    <n v="1"/>
    <n v="20471.36"/>
    <n v="20.690300000000001"/>
    <n v="423558.57980800001"/>
    <n v="111.824"/>
    <n v="120.15900000000001"/>
    <n v="1.0745"/>
    <n v="455113.69400369603"/>
    <n v="14222.302937615501"/>
    <m/>
    <n v="32"/>
    <s v="Sale"/>
    <x v="39"/>
    <x v="1"/>
    <n v="32890.119344262297"/>
    <n v="1"/>
    <n v="32890.119344262297"/>
    <n v="19.901199999999999"/>
    <n v="654552.84309403284"/>
    <n v="455113.69400369603"/>
    <n v="199439.14909033681"/>
    <n v="1.0931506849315069"/>
    <n v="1"/>
    <n v="199439.14909033681"/>
    <n v="0"/>
    <m/>
    <n v="12418.759344262297"/>
    <m/>
    <n v="0.60664066013505191"/>
    <m/>
  </r>
  <r>
    <x v="4"/>
    <s v="Purchase"/>
    <x v="71"/>
    <x v="2"/>
    <x v="1"/>
    <x v="109"/>
    <n v="348.14781249999999"/>
    <x v="2"/>
    <n v="1"/>
    <n v="348.14781249999999"/>
    <n v="1"/>
    <n v="348.14781249999999"/>
    <n v="19.8368"/>
    <n v="6906.1385270000001"/>
    <n v="109.271"/>
    <n v="120.15900000000001"/>
    <n v="1.0995999999999999"/>
    <n v="7593.9899242891997"/>
    <n v="7593.9899242891997"/>
    <m/>
    <n v="1"/>
    <s v="Sale"/>
    <x v="59"/>
    <x v="1"/>
    <n v="513.74"/>
    <n v="1"/>
    <n v="513.74"/>
    <n v="19.8432"/>
    <n v="10194.245568"/>
    <n v="7593.9899242891997"/>
    <n v="2600.2556437108005"/>
    <n v="1.3150684931506849"/>
    <n v="1"/>
    <n v="2600.2556437108005"/>
    <n v="0"/>
    <m/>
    <n v="165.59218750000002"/>
    <m/>
    <n v="0.47563759286869001"/>
    <m/>
  </r>
  <r>
    <x v="4"/>
    <s v="Purchase"/>
    <x v="71"/>
    <x v="2"/>
    <x v="1"/>
    <x v="109"/>
    <n v="2785.1824999999999"/>
    <x v="2"/>
    <n v="8"/>
    <n v="348.14781249999999"/>
    <n v="1"/>
    <n v="2785.1824999999999"/>
    <n v="19.8368"/>
    <n v="55249.108216000001"/>
    <n v="109.271"/>
    <n v="120.15900000000001"/>
    <n v="1.0995999999999999"/>
    <n v="60751.919394313598"/>
    <n v="7593.9899242891997"/>
    <m/>
    <n v="8"/>
    <s v="Sale"/>
    <x v="59"/>
    <x v="1"/>
    <n v="4084.4184615384615"/>
    <n v="1"/>
    <n v="4084.4184615384615"/>
    <n v="19.8432"/>
    <n v="81047.932415999996"/>
    <n v="60751.919394313598"/>
    <n v="20296.013021686398"/>
    <n v="1.3150684931506849"/>
    <n v="1"/>
    <n v="20296.013021686398"/>
    <n v="0"/>
    <m/>
    <n v="1299.2359615384617"/>
    <m/>
    <n v="0.46648144656174656"/>
    <m/>
  </r>
  <r>
    <x v="4"/>
    <s v="Purchase"/>
    <x v="71"/>
    <x v="2"/>
    <x v="1"/>
    <x v="103"/>
    <n v="1847.8326086956522"/>
    <x v="2"/>
    <n v="5"/>
    <n v="369.56652173913045"/>
    <n v="1"/>
    <n v="1847.8326086956522"/>
    <n v="20.895700000000001"/>
    <n v="38611.755841521743"/>
    <n v="111.824"/>
    <n v="120.15900000000001"/>
    <n v="1.0745"/>
    <n v="41488.331651715111"/>
    <n v="8297.6663303430214"/>
    <m/>
    <n v="5"/>
    <s v="Sale"/>
    <x v="59"/>
    <x v="1"/>
    <n v="2552.7615384615383"/>
    <n v="1"/>
    <n v="2552.7615384615383"/>
    <n v="19.8432"/>
    <n v="50654.957759999998"/>
    <n v="41488.331651715111"/>
    <n v="9166.6261082848869"/>
    <n v="1.0849315068493151"/>
    <n v="1"/>
    <n v="9166.6261082848869"/>
    <n v="0"/>
    <m/>
    <n v="704.9289297658861"/>
    <m/>
    <n v="0.38148960379234848"/>
    <m/>
  </r>
  <r>
    <x v="4"/>
    <s v="Purchase"/>
    <x v="71"/>
    <x v="2"/>
    <x v="1"/>
    <x v="103"/>
    <n v="2956.5321739130436"/>
    <x v="2"/>
    <n v="8"/>
    <n v="369.56652173913045"/>
    <n v="1"/>
    <n v="2956.5321739130436"/>
    <n v="20.895700000000001"/>
    <n v="61778.809346434791"/>
    <n v="111.824"/>
    <n v="120.15900000000001"/>
    <n v="1.0745"/>
    <n v="66381.330642744186"/>
    <n v="8297.6663303430232"/>
    <m/>
    <n v="8"/>
    <s v="Sale"/>
    <x v="59"/>
    <x v="1"/>
    <n v="4102.5600000000004"/>
    <n v="1"/>
    <n v="4102.5600000000004"/>
    <n v="19.8432"/>
    <n v="81407.918592000002"/>
    <n v="66381.330642744186"/>
    <n v="15026.587949255816"/>
    <n v="1.0849315068493151"/>
    <n v="1"/>
    <n v="15026.587949255816"/>
    <n v="0"/>
    <m/>
    <n v="1146.0278260869568"/>
    <m/>
    <n v="0.3876256907328563"/>
    <m/>
  </r>
  <r>
    <x v="4"/>
    <s v="Purchase"/>
    <x v="71"/>
    <x v="2"/>
    <x v="1"/>
    <x v="103"/>
    <n v="3326.0986956521742"/>
    <x v="2"/>
    <n v="9"/>
    <n v="369.56652173913045"/>
    <n v="1"/>
    <n v="3326.0986956521742"/>
    <n v="20.895700000000001"/>
    <n v="69501.160514739138"/>
    <n v="111.824"/>
    <n v="120.15900000000001"/>
    <n v="1.0745"/>
    <n v="74678.996973087211"/>
    <n v="8297.6663303430232"/>
    <m/>
    <n v="9"/>
    <s v="Sale"/>
    <x v="59"/>
    <x v="1"/>
    <n v="4624.84"/>
    <n v="1"/>
    <n v="4624.84"/>
    <n v="19.8432"/>
    <n v="91771.625088000001"/>
    <n v="74678.996973087211"/>
    <n v="17092.62811491279"/>
    <n v="1.0849315068493151"/>
    <n v="1"/>
    <n v="17092.62811491279"/>
    <n v="0"/>
    <m/>
    <n v="1298.7413043478259"/>
    <m/>
    <n v="0.39046986370113457"/>
    <m/>
  </r>
  <r>
    <x v="4"/>
    <s v="Purchase"/>
    <x v="71"/>
    <x v="2"/>
    <x v="1"/>
    <x v="103"/>
    <n v="3326.0986956521742"/>
    <x v="2"/>
    <n v="9"/>
    <n v="369.56652173913045"/>
    <n v="1"/>
    <n v="3326.0986956521742"/>
    <n v="20.895700000000001"/>
    <n v="69501.160514739138"/>
    <n v="111.824"/>
    <n v="120.15900000000001"/>
    <n v="1.0745"/>
    <n v="74678.996973087211"/>
    <n v="8297.6663303430232"/>
    <m/>
    <n v="9"/>
    <s v="Sale"/>
    <x v="59"/>
    <x v="1"/>
    <n v="4632.51"/>
    <n v="1"/>
    <n v="4632.51"/>
    <n v="19.8432"/>
    <n v="91923.822432000001"/>
    <n v="74678.996973087211"/>
    <n v="17244.82545891279"/>
    <n v="1.0849315068493151"/>
    <n v="1"/>
    <n v="17244.82545891279"/>
    <n v="0"/>
    <m/>
    <n v="1306.411304347826"/>
    <m/>
    <n v="0.39277586863418906"/>
    <m/>
  </r>
  <r>
    <x v="4"/>
    <s v="Purchase"/>
    <x v="71"/>
    <x v="2"/>
    <x v="1"/>
    <x v="103"/>
    <n v="2586.965652173913"/>
    <x v="2"/>
    <n v="7"/>
    <n v="369.56652173913045"/>
    <n v="1"/>
    <n v="2586.965652173913"/>
    <n v="20.895700000000001"/>
    <n v="54056.458178130437"/>
    <n v="111.824"/>
    <n v="120.809"/>
    <n v="1.0803"/>
    <n v="58397.19176983431"/>
    <n v="8342.4559671191873"/>
    <m/>
    <n v="7"/>
    <s v="Sale"/>
    <x v="60"/>
    <x v="1"/>
    <n v="1945.1599999999999"/>
    <n v="1"/>
    <n v="1945.1599999999999"/>
    <n v="19.887"/>
    <n v="38683.396919999999"/>
    <n v="58397.19176983431"/>
    <n v="-19713.79484983431"/>
    <n v="1.2246575342465753"/>
    <n v="1"/>
    <n v="-19713.79484983431"/>
    <n v="0"/>
    <m/>
    <n v="-641.80565217391313"/>
    <m/>
    <n v="-0.24809206555741573"/>
    <m/>
  </r>
  <r>
    <x v="4"/>
    <s v="Purchase"/>
    <x v="71"/>
    <x v="2"/>
    <x v="1"/>
    <x v="103"/>
    <n v="2956.5321739130436"/>
    <x v="2"/>
    <n v="8"/>
    <n v="369.56652173913045"/>
    <n v="1"/>
    <n v="2956.5321739130436"/>
    <n v="20.895700000000001"/>
    <n v="61778.809346434791"/>
    <n v="111.824"/>
    <n v="120.809"/>
    <n v="1.0803"/>
    <n v="66739.647736953513"/>
    <n v="8342.4559671191892"/>
    <m/>
    <n v="8"/>
    <s v="Sale"/>
    <x v="60"/>
    <x v="1"/>
    <n v="2238.1524210526318"/>
    <n v="1"/>
    <n v="2238.1524210526318"/>
    <n v="19.887"/>
    <n v="44510.13719747369"/>
    <n v="66739.647736953513"/>
    <n v="-22229.510539479823"/>
    <n v="1.2246575342465753"/>
    <n v="1"/>
    <n v="-22229.510539479823"/>
    <n v="0"/>
    <m/>
    <n v="-718.37975286041183"/>
    <m/>
    <n v="-0.24298052941856488"/>
    <m/>
  </r>
  <r>
    <x v="4"/>
    <s v="Purchase"/>
    <x v="71"/>
    <x v="2"/>
    <x v="1"/>
    <x v="52"/>
    <n v="8138.83"/>
    <x v="2"/>
    <n v="22"/>
    <n v="369.94681818181817"/>
    <n v="1"/>
    <n v="8138.83"/>
    <n v="19.944199999999999"/>
    <n v="162322.45328599997"/>
    <n v="113.018"/>
    <n v="120.809"/>
    <n v="1.0689"/>
    <n v="173506.47031740536"/>
    <n v="7886.6577417002436"/>
    <m/>
    <n v="22"/>
    <s v="Sale"/>
    <x v="60"/>
    <x v="1"/>
    <n v="6154.9191578947375"/>
    <n v="1"/>
    <n v="6154.9191578947375"/>
    <n v="19.887"/>
    <n v="122402.87729305265"/>
    <n v="173506.47031740536"/>
    <n v="-51103.593024352711"/>
    <n v="0.98356164383561639"/>
    <n v="1"/>
    <n v="-51103.593024352711"/>
    <n v="0"/>
    <m/>
    <n v="-1983.9108421052624"/>
    <m/>
    <n v="-0.24375872725014067"/>
    <m/>
  </r>
  <r>
    <x v="4"/>
    <s v="Purchase"/>
    <x v="71"/>
    <x v="2"/>
    <x v="1"/>
    <x v="110"/>
    <n v="4055.3100000000004"/>
    <x v="2"/>
    <n v="11"/>
    <n v="368.66454545454548"/>
    <n v="1"/>
    <n v="4055.3100000000004"/>
    <n v="19.892700000000001"/>
    <n v="80671.065237000017"/>
    <n v="113.018"/>
    <n v="120.809"/>
    <n v="1.0689"/>
    <n v="86229.301631829308"/>
    <n v="7839.0274210753914"/>
    <m/>
    <n v="11"/>
    <s v="Sale"/>
    <x v="60"/>
    <x v="1"/>
    <n v="3077.4595789473688"/>
    <n v="1"/>
    <n v="3077.4595789473688"/>
    <n v="19.887"/>
    <n v="61201.438646526323"/>
    <n v="86229.301631829308"/>
    <n v="-25027.862985302985"/>
    <n v="0.9780821917808219"/>
    <n v="1"/>
    <n v="-25027.862985302985"/>
    <n v="0"/>
    <m/>
    <n v="-977.85042105263165"/>
    <m/>
    <n v="-0.24112840228062257"/>
    <m/>
  </r>
  <r>
    <x v="4"/>
    <s v="Purchase"/>
    <x v="71"/>
    <x v="2"/>
    <x v="1"/>
    <x v="110"/>
    <n v="4822.9399999999996"/>
    <x v="2"/>
    <n v="13"/>
    <n v="370.99538461538458"/>
    <n v="1"/>
    <n v="4822.9399999999996"/>
    <n v="19.892700000000001"/>
    <n v="95941.298538000003"/>
    <n v="113.018"/>
    <n v="120.809"/>
    <n v="1.0689"/>
    <n v="102551.6540072682"/>
    <n v="7888.5887697898615"/>
    <m/>
    <n v="13"/>
    <s v="Sale"/>
    <x v="60"/>
    <x v="1"/>
    <n v="3636.9976842105266"/>
    <n v="1"/>
    <n v="3636.9976842105266"/>
    <n v="19.887"/>
    <n v="72328.97294589474"/>
    <n v="102551.6540072682"/>
    <n v="-30222.681061373456"/>
    <n v="0.9780821917808219"/>
    <n v="1"/>
    <n v="-30222.681061373456"/>
    <n v="0"/>
    <m/>
    <n v="-1185.942315789473"/>
    <m/>
    <n v="-0.24589613716726169"/>
    <m/>
  </r>
  <r>
    <x v="4"/>
    <s v="Purchase"/>
    <x v="71"/>
    <x v="2"/>
    <x v="1"/>
    <x v="111"/>
    <n v="10422.92"/>
    <x v="2"/>
    <n v="21"/>
    <n v="496.32952380952383"/>
    <n v="1"/>
    <n v="10422.92"/>
    <n v="20.4453"/>
    <n v="213099.726276"/>
    <n v="118.002"/>
    <n v="120.809"/>
    <n v="1.0237000000000001"/>
    <n v="218150.18978874121"/>
    <n v="10388.104275654343"/>
    <m/>
    <n v="21"/>
    <s v="Sale"/>
    <x v="60"/>
    <x v="1"/>
    <n v="5875.1501052631584"/>
    <n v="1"/>
    <n v="5875.1501052631584"/>
    <n v="19.887"/>
    <n v="116839.11014336844"/>
    <n v="218150.18978874121"/>
    <n v="-101311.07964537277"/>
    <n v="0.36712328767123287"/>
    <n v="1"/>
    <n v="-101311.07964537277"/>
    <n v="0"/>
    <m/>
    <n v="-4547.7698947368417"/>
    <m/>
    <n v="-0.43632397588553318"/>
    <m/>
  </r>
  <r>
    <x v="4"/>
    <s v="Purchase"/>
    <x v="71"/>
    <x v="2"/>
    <x v="1"/>
    <x v="112"/>
    <n v="9268.69"/>
    <x v="2"/>
    <n v="20"/>
    <n v="463.43450000000001"/>
    <n v="1"/>
    <n v="9268.69"/>
    <n v="20.378499999999999"/>
    <n v="188881.99916499999"/>
    <n v="118.002"/>
    <n v="120.809"/>
    <n v="1.0237000000000001"/>
    <n v="193358.5025452105"/>
    <n v="9667.9251272605252"/>
    <m/>
    <n v="20"/>
    <s v="Sale"/>
    <x v="60"/>
    <x v="1"/>
    <n v="5595.3810526315792"/>
    <n v="1"/>
    <n v="5595.3810526315792"/>
    <n v="19.887"/>
    <n v="111275.34299368421"/>
    <n v="193358.5025452105"/>
    <n v="-82083.159551526289"/>
    <n v="0.36438356164383562"/>
    <n v="1"/>
    <n v="-82083.159551526289"/>
    <n v="0"/>
    <m/>
    <n v="-3673.3089473684213"/>
    <m/>
    <n v="-0.39631371287295414"/>
    <m/>
  </r>
  <r>
    <x v="4"/>
    <s v="Purchase"/>
    <x v="72"/>
    <x v="2"/>
    <x v="1"/>
    <x v="113"/>
    <n v="9592.1080550098231"/>
    <x v="2"/>
    <n v="396"/>
    <n v="24.222495088408646"/>
    <n v="1"/>
    <n v="9592.1080550098231"/>
    <n v="19.887699999999999"/>
    <n v="190764.96736561885"/>
    <n v="112.19"/>
    <n v="117.30800000000001"/>
    <n v="1.0456000000000001"/>
    <n v="199463.8498774911"/>
    <n v="503.69659059972497"/>
    <m/>
    <n v="396"/>
    <s v="Sale"/>
    <x v="44"/>
    <x v="1"/>
    <n v="13782.67"/>
    <n v="1"/>
    <n v="13782.67"/>
    <n v="20.378499999999999"/>
    <n v="280870.140595"/>
    <n v="199463.8498774911"/>
    <n v="81406.290717508906"/>
    <n v="0.72876712328767124"/>
    <n v="1"/>
    <n v="81406.290717508906"/>
    <n v="0"/>
    <m/>
    <n v="4190.5619449901769"/>
    <m/>
    <n v="0.43687601525730368"/>
    <m/>
  </r>
  <r>
    <x v="4"/>
    <s v="Purchase"/>
    <x v="72"/>
    <x v="2"/>
    <x v="1"/>
    <x v="113"/>
    <n v="2204.2470530451869"/>
    <x v="2"/>
    <n v="91"/>
    <n v="24.222495088408646"/>
    <n v="1"/>
    <n v="2204.2470530451869"/>
    <n v="19.887699999999999"/>
    <n v="43837.404116846759"/>
    <n v="112.19"/>
    <n v="117.30800000000001"/>
    <n v="1.0456000000000001"/>
    <n v="45836.389744574975"/>
    <n v="503.69659059972503"/>
    <m/>
    <n v="91"/>
    <s v="Sale"/>
    <x v="57"/>
    <x v="1"/>
    <n v="3277.885389221557"/>
    <n v="1"/>
    <n v="3277.885389221557"/>
    <n v="20.402999999999999"/>
    <n v="66878.69559628742"/>
    <n v="45836.389744574975"/>
    <n v="21042.305851712445"/>
    <n v="0.74794520547945209"/>
    <n v="1"/>
    <n v="21042.305851712445"/>
    <n v="0"/>
    <m/>
    <n v="1073.6383361763701"/>
    <m/>
    <n v="0.4870771335241797"/>
    <m/>
  </r>
  <r>
    <x v="4"/>
    <s v="Purchase"/>
    <x v="72"/>
    <x v="2"/>
    <x v="1"/>
    <x v="76"/>
    <n v="6752.6313934426225"/>
    <x v="2"/>
    <n v="243"/>
    <n v="27.788606557377047"/>
    <n v="1"/>
    <n v="6752.6313934426225"/>
    <n v="19.921299999999999"/>
    <n v="134521.1957781885"/>
    <n v="113.018"/>
    <n v="117.30800000000001"/>
    <n v="1.0379"/>
    <n v="139619.54909818186"/>
    <n v="574.56604567153033"/>
    <m/>
    <n v="243"/>
    <s v="Sale"/>
    <x v="57"/>
    <x v="1"/>
    <n v="8753.0346107784426"/>
    <n v="1"/>
    <n v="8753.0346107784426"/>
    <n v="20.402999999999999"/>
    <n v="178588.16516371255"/>
    <n v="139619.54909818186"/>
    <n v="38968.616065530689"/>
    <n v="0.63561643835616444"/>
    <n v="1"/>
    <n v="38968.616065530689"/>
    <n v="0"/>
    <m/>
    <n v="2000.40321733582"/>
    <m/>
    <n v="0.2962405469486134"/>
    <m/>
  </r>
  <r>
    <x v="4"/>
    <s v="Purchase"/>
    <x v="72"/>
    <x v="2"/>
    <x v="1"/>
    <x v="76"/>
    <n v="55.577213114754095"/>
    <x v="2"/>
    <n v="2"/>
    <n v="27.788606557377047"/>
    <n v="1"/>
    <n v="55.577213114754095"/>
    <n v="19.921299999999999"/>
    <n v="1107.1703356229507"/>
    <n v="113.018"/>
    <n v="117.30800000000001"/>
    <n v="1.0379"/>
    <n v="1149.1320913430607"/>
    <n v="574.56604567153033"/>
    <m/>
    <n v="2"/>
    <s v="Sale"/>
    <x v="61"/>
    <x v="1"/>
    <n v="64.510000000000005"/>
    <n v="1"/>
    <n v="64.510000000000005"/>
    <n v="20.450700000000001"/>
    <n v="1319.2746570000002"/>
    <n v="1149.1320913430607"/>
    <n v="170.1425656569395"/>
    <n v="0.64657534246575343"/>
    <n v="1"/>
    <n v="170.1425656569395"/>
    <n v="0"/>
    <m/>
    <n v="8.9327868852459105"/>
    <m/>
    <n v="0.16072750655564128"/>
    <m/>
  </r>
  <r>
    <x v="4"/>
    <s v="Purchase"/>
    <x v="72"/>
    <x v="2"/>
    <x v="1"/>
    <x v="76"/>
    <n v="3362.4213934426225"/>
    <x v="2"/>
    <n v="121"/>
    <n v="27.788606557377044"/>
    <n v="1"/>
    <n v="3362.4213934426225"/>
    <n v="19.921299999999999"/>
    <n v="66983.805305188507"/>
    <n v="113.018"/>
    <n v="117.30800000000001"/>
    <n v="1.0379"/>
    <n v="69522.491526255151"/>
    <n v="574.56604567153022"/>
    <m/>
    <n v="121"/>
    <s v="Sale"/>
    <x v="61"/>
    <x v="1"/>
    <n v="3862.8197826086957"/>
    <n v="1"/>
    <n v="3862.8197826086957"/>
    <n v="20.450700000000001"/>
    <n v="78997.368528195657"/>
    <n v="69522.491526255151"/>
    <n v="9474.8770019405056"/>
    <n v="0.64657534246575343"/>
    <n v="1"/>
    <n v="9474.8770019405056"/>
    <n v="0"/>
    <m/>
    <n v="500.39838916607323"/>
    <m/>
    <n v="0.14882084385435676"/>
    <m/>
  </r>
  <r>
    <x v="4"/>
    <s v="Purchase"/>
    <x v="72"/>
    <x v="2"/>
    <x v="1"/>
    <x v="76"/>
    <n v="5804.03"/>
    <x v="2"/>
    <n v="238"/>
    <n v="24.386680672268906"/>
    <n v="1"/>
    <n v="5804.03"/>
    <n v="19.921299999999999"/>
    <n v="115623.82283899999"/>
    <n v="113.018"/>
    <n v="117.30800000000001"/>
    <n v="1.0379"/>
    <n v="120005.96572459809"/>
    <n v="504.2267467420088"/>
    <m/>
    <n v="238"/>
    <s v="Sale"/>
    <x v="61"/>
    <x v="1"/>
    <n v="7597.9430434782607"/>
    <n v="1"/>
    <n v="7597.9430434782607"/>
    <n v="20.450700000000001"/>
    <n v="155383.25379926088"/>
    <n v="120005.96572459809"/>
    <n v="35377.288074662792"/>
    <n v="0.64657534246575343"/>
    <n v="1"/>
    <n v="35377.288074662792"/>
    <n v="0"/>
    <m/>
    <n v="1793.913043478261"/>
    <m/>
    <n v="0.30908059460034853"/>
    <m/>
  </r>
  <r>
    <x v="4"/>
    <s v="Purchase"/>
    <x v="72"/>
    <x v="2"/>
    <x v="1"/>
    <x v="76"/>
    <n v="1319.3232984293193"/>
    <x v="2"/>
    <n v="55"/>
    <n v="23.987696335078532"/>
    <n v="1"/>
    <n v="1319.3232984293193"/>
    <n v="19.921299999999999"/>
    <n v="26282.635224999995"/>
    <n v="113.018"/>
    <n v="117.30800000000001"/>
    <n v="1.0379"/>
    <n v="27278.747100027496"/>
    <n v="495.97722000049993"/>
    <m/>
    <n v="55"/>
    <s v="Sale"/>
    <x v="61"/>
    <x v="1"/>
    <n v="1755.8271739130435"/>
    <n v="1"/>
    <n v="1755.8271739130435"/>
    <n v="20.450700000000001"/>
    <n v="35907.894785543482"/>
    <n v="27278.747100027496"/>
    <n v="8629.1476855159854"/>
    <n v="0.64657534246575343"/>
    <n v="1"/>
    <n v="8629.1476855159854"/>
    <n v="0"/>
    <m/>
    <n v="436.50387548372419"/>
    <m/>
    <n v="0.33085436754083763"/>
    <m/>
  </r>
  <r>
    <x v="4"/>
    <s v="Purchase"/>
    <x v="72"/>
    <x v="2"/>
    <x v="1"/>
    <x v="53"/>
    <n v="3262.3267015706801"/>
    <x v="2"/>
    <n v="136"/>
    <n v="23.987696335078532"/>
    <n v="1"/>
    <n v="3262.3267015706801"/>
    <n v="19.886299999999999"/>
    <n v="64875.607485445013"/>
    <n v="113.899"/>
    <n v="118.002"/>
    <n v="1.036"/>
    <n v="67211.129354921039"/>
    <n v="494.19948055088997"/>
    <m/>
    <n v="136"/>
    <s v="Sale"/>
    <x v="50"/>
    <x v="1"/>
    <n v="5342.7215094339626"/>
    <n v="1"/>
    <n v="5342.7215094339626"/>
    <n v="20.5562"/>
    <n v="109826.05189222643"/>
    <n v="67211.129354921039"/>
    <n v="42614.922537305392"/>
    <n v="0.47671232876712327"/>
    <n v="1"/>
    <n v="42614.922537305392"/>
    <n v="0"/>
    <m/>
    <n v="2080.3948078632825"/>
    <m/>
    <n v="0.63770278030758087"/>
    <m/>
  </r>
  <r>
    <x v="4"/>
    <s v="Purchase"/>
    <x v="72"/>
    <x v="2"/>
    <x v="1"/>
    <x v="53"/>
    <n v="1866.57"/>
    <x v="2"/>
    <n v="77"/>
    <n v="24.241168831168832"/>
    <n v="1"/>
    <n v="1866.57"/>
    <n v="19.886299999999999"/>
    <n v="37119.170990999999"/>
    <n v="113.899"/>
    <n v="118.002"/>
    <n v="1.036"/>
    <n v="38455.461146676003"/>
    <n v="499.4215733334546"/>
    <m/>
    <n v="77"/>
    <s v="Sale"/>
    <x v="50"/>
    <x v="1"/>
    <n v="3024.92320754717"/>
    <n v="1"/>
    <n v="3024.92320754717"/>
    <n v="20.5562"/>
    <n v="62180.926438981136"/>
    <n v="38455.461146676003"/>
    <n v="23725.465292305133"/>
    <n v="0.47671232876712327"/>
    <n v="1"/>
    <n v="23725.465292305133"/>
    <n v="0"/>
    <m/>
    <n v="1158.3532075471701"/>
    <m/>
    <n v="0.62057849828678813"/>
    <m/>
  </r>
  <r>
    <x v="4"/>
    <s v="Purchase"/>
    <x v="72"/>
    <x v="2"/>
    <x v="1"/>
    <x v="114"/>
    <n v="1391.52"/>
    <x v="2"/>
    <n v="52"/>
    <n v="26.759999999999998"/>
    <n v="1"/>
    <n v="1391.52"/>
    <n v="20.173500000000001"/>
    <n v="28071.828720000001"/>
    <n v="114.601"/>
    <n v="118.002"/>
    <n v="1.0296000000000001"/>
    <n v="28902.754850112004"/>
    <n v="555.82220865600004"/>
    <m/>
    <n v="52"/>
    <s v="Sale"/>
    <x v="50"/>
    <x v="1"/>
    <n v="2042.8052830188681"/>
    <n v="1"/>
    <n v="2042.8052830188681"/>
    <n v="20.5562"/>
    <n v="41992.31395879246"/>
    <n v="28902.754850112004"/>
    <n v="13089.559108680456"/>
    <n v="0.38082191780821917"/>
    <n v="1"/>
    <n v="13089.559108680456"/>
    <n v="0"/>
    <m/>
    <n v="651.28528301886809"/>
    <m/>
    <n v="0.46803875116338112"/>
    <m/>
  </r>
  <r>
    <x v="4"/>
    <s v="Purchase"/>
    <x v="72"/>
    <x v="2"/>
    <x v="1"/>
    <x v="114"/>
    <n v="2702.76"/>
    <x v="2"/>
    <n v="101"/>
    <n v="26.76"/>
    <n v="1"/>
    <n v="2702.76"/>
    <n v="20.173500000000001"/>
    <n v="54524.128860000004"/>
    <n v="114.601"/>
    <n v="118.002"/>
    <n v="1.0296000000000001"/>
    <n v="56138.043074256006"/>
    <n v="555.82220865600004"/>
    <m/>
    <n v="101"/>
    <s v="Sale"/>
    <x v="62"/>
    <x v="1"/>
    <n v="4008.9641428571431"/>
    <n v="1"/>
    <n v="4008.9641428571431"/>
    <n v="20.418800000000001"/>
    <n v="81858.237040171443"/>
    <n v="56138.043074256006"/>
    <n v="25720.193965915438"/>
    <n v="0.4"/>
    <n v="1"/>
    <n v="25720.193965915438"/>
    <n v="0"/>
    <m/>
    <n v="1306.2041428571429"/>
    <m/>
    <n v="0.483285287209054"/>
    <m/>
  </r>
  <r>
    <x v="4"/>
    <s v="Purchase"/>
    <x v="72"/>
    <x v="2"/>
    <x v="1"/>
    <x v="114"/>
    <n v="6706.7632907348252"/>
    <x v="2"/>
    <n v="249"/>
    <n v="26.934792332268373"/>
    <n v="1"/>
    <n v="6706.7632907348252"/>
    <n v="20.173500000000001"/>
    <n v="135298.889245639"/>
    <n v="114.601"/>
    <n v="118.002"/>
    <n v="1.0296000000000001"/>
    <n v="139303.73636730993"/>
    <n v="559.45275649522057"/>
    <m/>
    <n v="249"/>
    <s v="Sale"/>
    <x v="62"/>
    <x v="1"/>
    <n v="9883.4858571428576"/>
    <n v="1"/>
    <n v="9883.4858571428576"/>
    <n v="20.418800000000001"/>
    <n v="201808.92101982859"/>
    <n v="139303.73636730993"/>
    <n v="62505.184652518656"/>
    <n v="0.4"/>
    <n v="1"/>
    <n v="62505.184652518656"/>
    <n v="0"/>
    <m/>
    <n v="3176.7225664080324"/>
    <m/>
    <n v="0.47365956254883351"/>
    <m/>
  </r>
  <r>
    <x v="4"/>
    <s v="Purchase"/>
    <x v="72"/>
    <x v="2"/>
    <x v="1"/>
    <x v="114"/>
    <n v="1723.8267092651759"/>
    <x v="2"/>
    <n v="64"/>
    <n v="26.934792332268373"/>
    <n v="1"/>
    <n v="1723.8267092651759"/>
    <n v="20.173500000000001"/>
    <n v="34775.618119361025"/>
    <n v="114.601"/>
    <n v="118.98099999999999"/>
    <n v="1.0382"/>
    <n v="36104.046731520619"/>
    <n v="564.12573018000967"/>
    <m/>
    <n v="64"/>
    <s v="Sale"/>
    <x v="63"/>
    <x v="1"/>
    <n v="3521.7788235294115"/>
    <n v="1"/>
    <n v="3521.7788235294115"/>
    <n v="20.703299999999999"/>
    <n v="72912.443517176464"/>
    <n v="36104.046731520619"/>
    <n v="36808.396785655845"/>
    <n v="0.45479452054794522"/>
    <n v="1"/>
    <n v="36808.396785655845"/>
    <n v="0"/>
    <m/>
    <n v="1797.9521142642357"/>
    <m/>
    <n v="1.0430004968600688"/>
    <m/>
  </r>
  <r>
    <x v="4"/>
    <s v="Purchase"/>
    <x v="72"/>
    <x v="2"/>
    <x v="1"/>
    <x v="56"/>
    <n v="29.75"/>
    <x v="2"/>
    <n v="1"/>
    <n v="29.75"/>
    <n v="1"/>
    <n v="29.75"/>
    <n v="20.691199999999998"/>
    <n v="615.56319999999994"/>
    <n v="116.884"/>
    <n v="118.98099999999999"/>
    <n v="1.0179"/>
    <n v="626.58178127999997"/>
    <n v="626.58178127999997"/>
    <m/>
    <n v="1"/>
    <s v="Sale"/>
    <x v="63"/>
    <x v="1"/>
    <n v="55.027794117647055"/>
    <n v="1"/>
    <n v="55.027794117647055"/>
    <n v="20.703299999999999"/>
    <n v="1139.2569299558822"/>
    <n v="626.58178127999997"/>
    <n v="512.67514867588227"/>
    <n v="0.29589041095890412"/>
    <n v="1"/>
    <n v="512.67514867588227"/>
    <n v="0"/>
    <m/>
    <n v="25.277794117647055"/>
    <m/>
    <n v="0.84967375185368255"/>
    <m/>
  </r>
  <r>
    <x v="4"/>
    <s v="Purchase"/>
    <x v="72"/>
    <x v="2"/>
    <x v="1"/>
    <x v="78"/>
    <n v="2238.6807142857142"/>
    <x v="2"/>
    <n v="71"/>
    <n v="31.530714285714286"/>
    <n v="1"/>
    <n v="2238.6807142857142"/>
    <n v="20.828299999999999"/>
    <n v="46627.913521357135"/>
    <n v="116.884"/>
    <n v="118.98099999999999"/>
    <n v="1.0179"/>
    <n v="47462.553173389431"/>
    <n v="668.48666441393561"/>
    <m/>
    <n v="71"/>
    <s v="Sale"/>
    <x v="63"/>
    <x v="1"/>
    <n v="3906.9733823529409"/>
    <n v="1"/>
    <n v="3906.9733823529409"/>
    <n v="20.703299999999999"/>
    <n v="80887.242026867636"/>
    <n v="47462.553173389431"/>
    <n v="33424.688853478205"/>
    <n v="0.28493150684931506"/>
    <n v="1"/>
    <n v="33424.688853478205"/>
    <n v="0"/>
    <m/>
    <n v="1668.2926680672267"/>
    <m/>
    <n v="0.74521241793049586"/>
    <m/>
  </r>
  <r>
    <x v="4"/>
    <s v="Purchase"/>
    <x v="72"/>
    <x v="2"/>
    <x v="1"/>
    <x v="78"/>
    <n v="7062.88"/>
    <x v="2"/>
    <n v="224"/>
    <n v="31.530714285714286"/>
    <n v="1"/>
    <n v="7062.88"/>
    <n v="20.828299999999999"/>
    <n v="147107.78350399999"/>
    <n v="116.884"/>
    <n v="118.98099999999999"/>
    <n v="1.0179"/>
    <n v="149741.01282872161"/>
    <n v="668.48666441393573"/>
    <m/>
    <n v="224"/>
    <s v="Sale"/>
    <x v="13"/>
    <x v="1"/>
    <n v="12365.64"/>
    <n v="1"/>
    <n v="12365.64"/>
    <n v="20.926200000000001"/>
    <n v="258765.85576800001"/>
    <n v="149741.01282872161"/>
    <n v="109024.8429392784"/>
    <n v="0.28767123287671231"/>
    <n v="1"/>
    <n v="109024.8429392784"/>
    <n v="0"/>
    <m/>
    <n v="5302.7599999999993"/>
    <m/>
    <n v="0.75079287769295233"/>
    <m/>
  </r>
  <r>
    <x v="4"/>
    <s v="Purchase"/>
    <x v="72"/>
    <x v="2"/>
    <x v="1"/>
    <x v="78"/>
    <n v="1734.1892857142857"/>
    <x v="2"/>
    <n v="55"/>
    <n v="31.530714285714286"/>
    <n v="1"/>
    <n v="1734.1892857142857"/>
    <n v="20.828299999999999"/>
    <n v="36120.214699642856"/>
    <n v="116.884"/>
    <n v="118.98099999999999"/>
    <n v="1.0179"/>
    <n v="36766.766542766461"/>
    <n v="668.48666441393561"/>
    <m/>
    <n v="55"/>
    <s v="Sale"/>
    <x v="41"/>
    <x v="1"/>
    <n v="3029.1751302083335"/>
    <n v="1"/>
    <n v="3029.1751302083335"/>
    <n v="21.194700000000001"/>
    <n v="64202.458132226566"/>
    <n v="36766.766542766461"/>
    <n v="27435.691589460104"/>
    <n v="0.29041095890410956"/>
    <n v="1"/>
    <n v="27435.691589460104"/>
    <n v="0"/>
    <m/>
    <n v="1294.9858444940478"/>
    <m/>
    <n v="0.74673846457346971"/>
    <m/>
  </r>
  <r>
    <x v="4"/>
    <s v="Purchase"/>
    <x v="72"/>
    <x v="2"/>
    <x v="1"/>
    <x v="11"/>
    <n v="9693.1299999999992"/>
    <x v="2"/>
    <n v="329"/>
    <n v="29.462401215805468"/>
    <n v="1"/>
    <n v="9693.1299999999992"/>
    <n v="21.8185"/>
    <n v="211489.55690499998"/>
    <n v="116.884"/>
    <n v="118.98099999999999"/>
    <n v="1.0179"/>
    <n v="215275.21997359948"/>
    <n v="654.33197560364579"/>
    <m/>
    <n v="329"/>
    <s v="Sale"/>
    <x v="41"/>
    <x v="1"/>
    <n v="18119.974869791669"/>
    <n v="1"/>
    <n v="18119.974869791669"/>
    <n v="21.194700000000001"/>
    <n v="384047.43137277348"/>
    <n v="215275.21997359945"/>
    <n v="168772.21139917403"/>
    <n v="0.27123287671232876"/>
    <n v="1"/>
    <n v="168772.21139917403"/>
    <n v="0"/>
    <m/>
    <n v="8426.8448697916701"/>
    <m/>
    <n v="0.86936261762626421"/>
    <m/>
  </r>
  <r>
    <x v="4"/>
    <s v="Purchase"/>
    <x v="73"/>
    <x v="2"/>
    <x v="1"/>
    <x v="115"/>
    <n v="7525.5276923076926"/>
    <x v="2"/>
    <n v="42"/>
    <n v="179.17923076923077"/>
    <n v="1"/>
    <n v="7525.5276923076926"/>
    <n v="19.848700000000001"/>
    <n v="149371.94150630772"/>
    <n v="112.419"/>
    <n v="117.30800000000001"/>
    <n v="1.0434000000000001"/>
    <n v="155854.68376768148"/>
    <n v="3710.8258039924162"/>
    <m/>
    <n v="42"/>
    <s v="Sale"/>
    <x v="43"/>
    <x v="1"/>
    <n v="7038.9182926829271"/>
    <n v="1"/>
    <n v="7038.9182926829271"/>
    <n v="20.4453"/>
    <n v="143912.79616939026"/>
    <n v="155854.68376768148"/>
    <n v="-11941.887598291214"/>
    <n v="0.65479452054794518"/>
    <n v="1"/>
    <n v="-11941.887598291214"/>
    <n v="0"/>
    <m/>
    <n v="-486.6093996247655"/>
    <m/>
    <n v="-6.466116656804799E-2"/>
    <m/>
  </r>
  <r>
    <x v="4"/>
    <s v="Purchase"/>
    <x v="73"/>
    <x v="2"/>
    <x v="1"/>
    <x v="115"/>
    <n v="3201.73"/>
    <x v="2"/>
    <n v="18"/>
    <n v="177.8738888888889"/>
    <n v="1"/>
    <n v="3201.73"/>
    <n v="19.848700000000001"/>
    <n v="63550.178251000005"/>
    <n v="112.419"/>
    <n v="117.30800000000001"/>
    <n v="1.0434000000000001"/>
    <n v="66308.255987093406"/>
    <n v="3683.791999282967"/>
    <m/>
    <n v="18"/>
    <s v="Sale"/>
    <x v="43"/>
    <x v="1"/>
    <n v="3016.679268292683"/>
    <n v="1"/>
    <n v="3016.679268292683"/>
    <n v="20.4453"/>
    <n v="61676.912644024393"/>
    <n v="66308.255987093406"/>
    <n v="-4631.3433430690129"/>
    <n v="0.65479452054794518"/>
    <n v="1"/>
    <n v="-4631.3433430690129"/>
    <n v="0"/>
    <m/>
    <n v="-185.05073170731703"/>
    <m/>
    <n v="-5.7797107097511978E-2"/>
    <m/>
  </r>
  <r>
    <x v="4"/>
    <s v="Purchase"/>
    <x v="73"/>
    <x v="2"/>
    <x v="1"/>
    <x v="115"/>
    <n v="3959.34"/>
    <x v="2"/>
    <n v="22"/>
    <n v="179.97"/>
    <n v="1"/>
    <n v="3959.34"/>
    <n v="19.848700000000001"/>
    <n v="78587.751858000003"/>
    <n v="112.419"/>
    <n v="117.30800000000001"/>
    <n v="1.0434000000000001"/>
    <n v="81998.460288637216"/>
    <n v="3727.2027403926008"/>
    <m/>
    <n v="22"/>
    <s v="Sale"/>
    <x v="43"/>
    <x v="1"/>
    <n v="3687.0524390243904"/>
    <n v="1"/>
    <n v="3687.0524390243904"/>
    <n v="20.4453"/>
    <n v="75382.893231585374"/>
    <n v="81998.460288637216"/>
    <n v="-6615.5670570518414"/>
    <n v="0.65479452054794518"/>
    <n v="1"/>
    <n v="-6615.5670570518414"/>
    <n v="0"/>
    <m/>
    <n v="-272.28756097560972"/>
    <m/>
    <n v="-6.8770946919337494E-2"/>
    <m/>
  </r>
  <r>
    <x v="4"/>
    <s v="Purchase"/>
    <x v="74"/>
    <x v="2"/>
    <x v="1"/>
    <x v="81"/>
    <n v="1718.5662499999999"/>
    <x v="2"/>
    <n v="3"/>
    <n v="572.85541666666666"/>
    <n v="1"/>
    <n v="1718.5662499999999"/>
    <n v="21.034500000000001"/>
    <n v="36149.181785624998"/>
    <n v="108.85599999999999"/>
    <n v="120.15900000000001"/>
    <n v="1.1037999999999999"/>
    <n v="39901.466854972867"/>
    <n v="13300.488951657622"/>
    <m/>
    <n v="3"/>
    <s v="Sale"/>
    <x v="40"/>
    <x v="1"/>
    <n v="816.46"/>
    <n v="1"/>
    <n v="816.46"/>
    <n v="20.0093"/>
    <n v="16336.793078000001"/>
    <n v="39901.466854972867"/>
    <n v="-23564.673776972864"/>
    <n v="1.4328767123287671"/>
    <n v="1"/>
    <n v="-23564.673776972864"/>
    <n v="0"/>
    <m/>
    <n v="-902.10624999999982"/>
    <m/>
    <n v="-0.52491793668123055"/>
    <m/>
  </r>
  <r>
    <x v="4"/>
    <s v="Purchase"/>
    <x v="74"/>
    <x v="2"/>
    <x v="1"/>
    <x v="81"/>
    <n v="6874.2649999999994"/>
    <x v="2"/>
    <n v="12"/>
    <n v="572.85541666666666"/>
    <n v="1"/>
    <n v="6874.2649999999994"/>
    <n v="21.034500000000001"/>
    <n v="144596.72714249999"/>
    <n v="108.85599999999999"/>
    <n v="120.15900000000001"/>
    <n v="1.1037999999999999"/>
    <n v="159605.86741989147"/>
    <n v="13300.488951657622"/>
    <m/>
    <n v="12"/>
    <s v="Sale"/>
    <x v="40"/>
    <x v="1"/>
    <n v="3263.0181818181813"/>
    <n v="1"/>
    <n v="3263.0181818181813"/>
    <n v="20.0093"/>
    <n v="65290.709705454537"/>
    <n v="159605.86741989147"/>
    <n v="-94315.157714436937"/>
    <n v="1.4328767123287671"/>
    <n v="1"/>
    <n v="-94315.157714436937"/>
    <n v="0"/>
    <m/>
    <n v="-3611.2468181818181"/>
    <m/>
    <n v="-0.52532842684735293"/>
    <m/>
  </r>
  <r>
    <x v="4"/>
    <s v="Purchase"/>
    <x v="74"/>
    <x v="2"/>
    <x v="1"/>
    <x v="116"/>
    <n v="11951.607499999998"/>
    <x v="2"/>
    <n v="21"/>
    <n v="569.12416666666661"/>
    <n v="1"/>
    <n v="11951.607499999998"/>
    <n v="20.049700000000001"/>
    <n v="239626.14489274999"/>
    <n v="109.271"/>
    <n v="120.15900000000001"/>
    <n v="1.0995999999999999"/>
    <n v="263492.90892406786"/>
    <n v="12547.281377336565"/>
    <m/>
    <n v="21"/>
    <s v="Sale"/>
    <x v="40"/>
    <x v="1"/>
    <n v="5710.2818181818175"/>
    <n v="1"/>
    <n v="5710.2818181818175"/>
    <n v="20.0093"/>
    <n v="114258.74198454544"/>
    <n v="263492.90892406786"/>
    <n v="-149234.16693952243"/>
    <n v="1.3561643835616439"/>
    <n v="1"/>
    <n v="-149234.16693952243"/>
    <n v="0"/>
    <m/>
    <n v="-6241.3256818181808"/>
    <m/>
    <n v="-0.52221641999356005"/>
    <m/>
  </r>
  <r>
    <x v="4"/>
    <s v="Purchase"/>
    <x v="74"/>
    <x v="2"/>
    <x v="1"/>
    <x v="116"/>
    <n v="1707.3724999999999"/>
    <x v="2"/>
    <n v="3"/>
    <n v="569.12416666666661"/>
    <n v="1"/>
    <n v="1707.3724999999999"/>
    <n v="20.049700000000001"/>
    <n v="34232.30641325"/>
    <n v="109.271"/>
    <n v="120.15900000000001"/>
    <n v="1.0995999999999999"/>
    <n v="37641.844132009697"/>
    <n v="12547.281377336565"/>
    <m/>
    <n v="3"/>
    <s v="Sale"/>
    <x v="64"/>
    <x v="1"/>
    <n v="815.97"/>
    <n v="1"/>
    <n v="815.97"/>
    <n v="19.840699999999998"/>
    <n v="16189.415978999999"/>
    <n v="37641.844132009697"/>
    <n v="-21452.4281530097"/>
    <n v="1.3589041095890411"/>
    <n v="1"/>
    <n v="-21452.4281530097"/>
    <n v="0"/>
    <m/>
    <n v="-891.40249999999992"/>
    <m/>
    <n v="-0.52209022928505644"/>
    <m/>
  </r>
  <r>
    <x v="4"/>
    <s v="Purchase"/>
    <x v="74"/>
    <x v="2"/>
    <x v="1"/>
    <x v="115"/>
    <n v="2728.89"/>
    <x v="2"/>
    <n v="6"/>
    <n v="454.815"/>
    <n v="1"/>
    <n v="2728.89"/>
    <n v="19.848700000000001"/>
    <n v="54164.918942999997"/>
    <n v="112.419"/>
    <n v="120.15900000000001"/>
    <n v="1.0688"/>
    <n v="57891.465366278397"/>
    <n v="9648.5775610463988"/>
    <m/>
    <n v="6"/>
    <s v="Sale"/>
    <x v="64"/>
    <x v="1"/>
    <n v="1631.94"/>
    <n v="1"/>
    <n v="1631.94"/>
    <n v="19.840699999999998"/>
    <n v="32378.831957999999"/>
    <n v="57891.465366278397"/>
    <n v="-25512.633408278398"/>
    <n v="0.9068493150684932"/>
    <n v="1"/>
    <n v="-25512.633408278398"/>
    <n v="0"/>
    <m/>
    <n v="-1096.9499999999998"/>
    <m/>
    <n v="-0.40197662785967914"/>
    <m/>
  </r>
  <r>
    <x v="4"/>
    <s v="Purchase"/>
    <x v="74"/>
    <x v="2"/>
    <x v="1"/>
    <x v="40"/>
    <n v="2785.8818181818183"/>
    <x v="2"/>
    <n v="6"/>
    <n v="464.31363636363636"/>
    <n v="1"/>
    <n v="2785.8818181818183"/>
    <n v="19.8903"/>
    <n v="55412.02512818182"/>
    <n v="112.419"/>
    <n v="120.15900000000001"/>
    <n v="1.0688"/>
    <n v="59224.372457000725"/>
    <n v="9870.7287428334548"/>
    <m/>
    <n v="6"/>
    <s v="Sale"/>
    <x v="64"/>
    <x v="1"/>
    <n v="1631.94"/>
    <n v="1"/>
    <n v="1631.94"/>
    <n v="19.840699999999998"/>
    <n v="32378.831957999999"/>
    <n v="59224.372457000733"/>
    <n v="-26845.540499000734"/>
    <n v="0.88219178082191785"/>
    <n v="1"/>
    <n v="-26845.540499000734"/>
    <n v="0"/>
    <m/>
    <n v="-1153.9418181818182"/>
    <m/>
    <n v="-0.41421061390713565"/>
    <m/>
  </r>
  <r>
    <x v="4"/>
    <s v="Purchase"/>
    <x v="74"/>
    <x v="2"/>
    <x v="1"/>
    <x v="40"/>
    <n v="2321.568181818182"/>
    <x v="2"/>
    <n v="5"/>
    <n v="464.31363636363642"/>
    <n v="1"/>
    <n v="2321.568181818182"/>
    <n v="19.8903"/>
    <n v="46176.687606818188"/>
    <n v="112.419"/>
    <n v="120.15900000000001"/>
    <n v="1.0688"/>
    <n v="49353.64371416728"/>
    <n v="9870.7287428334566"/>
    <m/>
    <n v="5"/>
    <s v="Sale"/>
    <x v="65"/>
    <x v="1"/>
    <n v="1294.9921875"/>
    <n v="1"/>
    <n v="1294.9921875"/>
    <n v="19.840699999999998"/>
    <n v="25693.551494531246"/>
    <n v="49353.64371416728"/>
    <n v="-23660.092219636033"/>
    <n v="0.89315068493150684"/>
    <n v="1"/>
    <n v="-23660.092219636033"/>
    <n v="0"/>
    <m/>
    <n v="-1026.575994318182"/>
    <m/>
    <n v="-0.44219075810825365"/>
    <m/>
  </r>
  <r>
    <x v="4"/>
    <s v="Purchase"/>
    <x v="74"/>
    <x v="2"/>
    <x v="1"/>
    <x v="40"/>
    <n v="5551.82"/>
    <x v="2"/>
    <n v="12"/>
    <n v="462.65166666666664"/>
    <n v="1"/>
    <n v="5551.82"/>
    <n v="19.8903"/>
    <n v="110427.36534599999"/>
    <n v="112.419"/>
    <n v="120.15900000000001"/>
    <n v="1.0688"/>
    <n v="118024.76808180478"/>
    <n v="9835.397340150399"/>
    <m/>
    <n v="12"/>
    <s v="Sale"/>
    <x v="65"/>
    <x v="1"/>
    <n v="3107.9812500000003"/>
    <n v="1"/>
    <n v="3107.9812500000003"/>
    <n v="19.840699999999998"/>
    <n v="61664.523586875002"/>
    <n v="118024.7680818048"/>
    <n v="-56360.244494929793"/>
    <n v="0.89315068493150684"/>
    <n v="1"/>
    <n v="-56360.244494929793"/>
    <n v="0"/>
    <m/>
    <n v="-2443.8387499999994"/>
    <m/>
    <n v="-0.44018695670969155"/>
    <m/>
  </r>
  <r>
    <x v="4"/>
    <s v="Purchase"/>
    <x v="74"/>
    <x v="2"/>
    <x v="1"/>
    <x v="52"/>
    <n v="6522.74"/>
    <x v="2"/>
    <n v="14"/>
    <n v="465.90999999999997"/>
    <n v="1"/>
    <n v="6522.74"/>
    <n v="19.944199999999999"/>
    <n v="130090.83110799998"/>
    <n v="113.018"/>
    <n v="120.15900000000001"/>
    <n v="1.0630999999999999"/>
    <n v="138299.56255091476"/>
    <n v="9878.5401822081967"/>
    <m/>
    <n v="14"/>
    <s v="Sale"/>
    <x v="65"/>
    <x v="1"/>
    <n v="3625.9781250000005"/>
    <n v="1"/>
    <n v="3625.9781250000005"/>
    <n v="19.840699999999998"/>
    <n v="71941.944184687498"/>
    <n v="138299.56255091476"/>
    <n v="-66357.618366227267"/>
    <n v="0.8794520547945206"/>
    <n v="1"/>
    <n v="-66357.618366227267"/>
    <n v="0"/>
    <m/>
    <n v="-2896.7618749999992"/>
    <m/>
    <n v="-0.44410199931317196"/>
    <m/>
  </r>
  <r>
    <x v="4"/>
    <s v="Purchase"/>
    <x v="74"/>
    <x v="2"/>
    <x v="1"/>
    <x v="5"/>
    <n v="476.85"/>
    <x v="2"/>
    <n v="1"/>
    <n v="476.85"/>
    <n v="1"/>
    <n v="476.85"/>
    <n v="19.844799999999999"/>
    <n v="9462.9928799999998"/>
    <n v="113.899"/>
    <n v="120.15900000000001"/>
    <n v="1.0548999999999999"/>
    <n v="9982.5111891119996"/>
    <n v="9982.5111891119996"/>
    <m/>
    <n v="1"/>
    <s v="Sale"/>
    <x v="65"/>
    <x v="1"/>
    <n v="258.99843750000002"/>
    <n v="1"/>
    <n v="258.99843750000002"/>
    <n v="19.840699999999998"/>
    <n v="5138.7102989062496"/>
    <n v="9982.5111891119996"/>
    <n v="-4843.80089020575"/>
    <n v="0.70958904109589038"/>
    <n v="1"/>
    <n v="-4843.80089020575"/>
    <n v="0"/>
    <m/>
    <n v="-217.8515625"/>
    <m/>
    <n v="-0.4568555363321799"/>
    <m/>
  </r>
  <r>
    <x v="4"/>
    <s v="Purchase"/>
    <x v="74"/>
    <x v="2"/>
    <x v="1"/>
    <x v="5"/>
    <n v="3381.0583333333334"/>
    <x v="2"/>
    <n v="7"/>
    <n v="483.00833333333333"/>
    <n v="1"/>
    <n v="3381.0583333333334"/>
    <n v="19.844799999999999"/>
    <n v="67096.426413333334"/>
    <n v="113.899"/>
    <n v="120.15900000000001"/>
    <n v="1.0548999999999999"/>
    <n v="70780.020223425337"/>
    <n v="10111.431460489333"/>
    <m/>
    <n v="7"/>
    <s v="Sale"/>
    <x v="65"/>
    <x v="1"/>
    <n v="1799.7600000000002"/>
    <n v="1"/>
    <n v="1799.7600000000002"/>
    <n v="19.840699999999998"/>
    <n v="35708.498231999998"/>
    <n v="70780.020223425337"/>
    <n v="-35071.521991425339"/>
    <n v="0.70958904109589038"/>
    <n v="1"/>
    <n v="-35071.521991425339"/>
    <n v="0"/>
    <m/>
    <n v="-1581.2983333333332"/>
    <m/>
    <n v="-0.46769330116063257"/>
    <m/>
  </r>
  <r>
    <x v="4"/>
    <s v="Purchase"/>
    <x v="74"/>
    <x v="2"/>
    <x v="1"/>
    <x v="5"/>
    <n v="5313.0916666666662"/>
    <x v="2"/>
    <n v="11"/>
    <n v="483.00833333333327"/>
    <n v="1"/>
    <n v="5313.0916666666662"/>
    <n v="19.844799999999999"/>
    <n v="105437.24150666666"/>
    <n v="113.899"/>
    <n v="120.15900000000001"/>
    <n v="1.0548999999999999"/>
    <n v="111225.74606538266"/>
    <n v="10111.431460489332"/>
    <m/>
    <n v="11"/>
    <s v="Sale"/>
    <x v="66"/>
    <x v="1"/>
    <n v="2845.4196774193551"/>
    <n v="1"/>
    <n v="2845.4196774193551"/>
    <n v="19.796700000000001"/>
    <n v="56329.919727967754"/>
    <n v="111225.74606538264"/>
    <n v="-54895.826337414888"/>
    <n v="0.71232876712328763"/>
    <n v="1"/>
    <n v="-54895.826337414888"/>
    <n v="0"/>
    <m/>
    <n v="-2467.6719892473111"/>
    <m/>
    <n v="-0.46445123556384676"/>
    <m/>
  </r>
  <r>
    <x v="4"/>
    <s v="Purchase"/>
    <x v="74"/>
    <x v="2"/>
    <x v="1"/>
    <x v="117"/>
    <n v="9556.255172413792"/>
    <x v="2"/>
    <n v="20"/>
    <n v="477.81275862068958"/>
    <n v="1"/>
    <n v="9556.255172413792"/>
    <n v="19.845500000000001"/>
    <n v="189648.66202413791"/>
    <n v="113.899"/>
    <n v="120.15900000000001"/>
    <n v="1.0548999999999999"/>
    <n v="200060.37356926309"/>
    <n v="10003.018678463155"/>
    <m/>
    <n v="20"/>
    <s v="Sale"/>
    <x v="66"/>
    <x v="1"/>
    <n v="5173.4903225806456"/>
    <n v="1"/>
    <n v="5173.4903225806456"/>
    <n v="19.796700000000001"/>
    <n v="102418.03586903228"/>
    <n v="200060.37356926309"/>
    <n v="-97642.337700230812"/>
    <n v="0.70958904109589038"/>
    <n v="1"/>
    <n v="-97642.337700230812"/>
    <n v="0"/>
    <m/>
    <n v="-4382.7648498331464"/>
    <m/>
    <n v="-0.45862785900537167"/>
    <m/>
  </r>
  <r>
    <x v="4"/>
    <s v="Purchase"/>
    <x v="74"/>
    <x v="2"/>
    <x v="1"/>
    <x v="117"/>
    <n v="4300.3148275862068"/>
    <x v="2"/>
    <n v="9"/>
    <n v="477.81275862068964"/>
    <n v="1"/>
    <n v="4300.3148275862068"/>
    <n v="19.845500000000001"/>
    <n v="85341.89791086207"/>
    <n v="113.899"/>
    <n v="120.15900000000001"/>
    <n v="1.0548999999999999"/>
    <n v="90027.168106168392"/>
    <n v="10003.018678463155"/>
    <m/>
    <n v="9"/>
    <s v="Sale"/>
    <x v="67"/>
    <x v="1"/>
    <n v="2449.3868181818184"/>
    <n v="1"/>
    <n v="2449.3868181818184"/>
    <n v="19.9377"/>
    <n v="48835.139564863639"/>
    <n v="90027.168106168392"/>
    <n v="-41192.028541304753"/>
    <n v="0.71232876712328763"/>
    <n v="1"/>
    <n v="-41192.028541304753"/>
    <n v="0"/>
    <m/>
    <n v="-1850.9280094043884"/>
    <m/>
    <n v="-0.43041686100069226"/>
    <m/>
  </r>
  <r>
    <x v="4"/>
    <s v="Purchase"/>
    <x v="74"/>
    <x v="2"/>
    <x v="1"/>
    <x v="117"/>
    <n v="1435.48"/>
    <x v="2"/>
    <n v="3"/>
    <n v="478.49333333333334"/>
    <n v="1"/>
    <n v="1435.48"/>
    <n v="19.845500000000001"/>
    <n v="28487.818340000002"/>
    <n v="113.899"/>
    <n v="120.15900000000001"/>
    <n v="1.0548999999999999"/>
    <n v="30051.799566866001"/>
    <n v="10017.266522288666"/>
    <m/>
    <n v="3"/>
    <s v="Sale"/>
    <x v="67"/>
    <x v="1"/>
    <n v="816.46227272727288"/>
    <n v="1"/>
    <n v="816.46227272727288"/>
    <n v="19.9377"/>
    <n v="16278.379854954548"/>
    <n v="30051.799566866001"/>
    <n v="-13773.419711911452"/>
    <n v="0.71232876712328763"/>
    <n v="1"/>
    <n v="-13773.419711911452"/>
    <n v="0"/>
    <m/>
    <n v="-619.01772727272714"/>
    <m/>
    <n v="-0.43122699534143782"/>
    <m/>
  </r>
  <r>
    <x v="4"/>
    <s v="Purchase"/>
    <x v="74"/>
    <x v="2"/>
    <x v="1"/>
    <x v="53"/>
    <n v="2310.4"/>
    <x v="2"/>
    <n v="5"/>
    <n v="462.08000000000004"/>
    <n v="1"/>
    <n v="2310.4"/>
    <n v="19.886299999999999"/>
    <n v="45945.307519999995"/>
    <n v="113.899"/>
    <n v="120.15900000000001"/>
    <n v="1.0548999999999999"/>
    <n v="48467.704902847989"/>
    <n v="9693.5409805695981"/>
    <m/>
    <n v="5"/>
    <s v="Sale"/>
    <x v="67"/>
    <x v="1"/>
    <n v="1360.7704545454546"/>
    <n v="1"/>
    <n v="1360.7704545454546"/>
    <n v="19.9377"/>
    <n v="27130.633091590909"/>
    <n v="48467.704902847989"/>
    <n v="-21337.071811257079"/>
    <n v="0.67123287671232879"/>
    <n v="1"/>
    <n v="-21337.071811257079"/>
    <n v="0"/>
    <m/>
    <n v="-949.62954545454545"/>
    <m/>
    <n v="-0.41102386835809618"/>
    <m/>
  </r>
  <r>
    <x v="4"/>
    <s v="Purchase"/>
    <x v="74"/>
    <x v="2"/>
    <x v="1"/>
    <x v="54"/>
    <n v="2356.6999999999998"/>
    <x v="2"/>
    <n v="5"/>
    <n v="471.34"/>
    <n v="1"/>
    <n v="2356.6999999999998"/>
    <n v="19.991199999999999"/>
    <n v="47113.261039999998"/>
    <n v="113.899"/>
    <n v="120.15900000000001"/>
    <n v="1.0548999999999999"/>
    <n v="49699.779071095996"/>
    <n v="9939.9558142192"/>
    <m/>
    <n v="5"/>
    <s v="Sale"/>
    <x v="67"/>
    <x v="1"/>
    <n v="1360.7704545454546"/>
    <n v="1"/>
    <n v="1360.7704545454546"/>
    <n v="19.9377"/>
    <n v="27130.633091590909"/>
    <n v="49699.779071095996"/>
    <n v="-22569.145979505087"/>
    <n v="0.66849315068493154"/>
    <n v="1"/>
    <n v="-22569.145979505087"/>
    <n v="0"/>
    <m/>
    <n v="-995.92954545454518"/>
    <m/>
    <n v="-0.42259496136739733"/>
    <m/>
  </r>
  <r>
    <x v="4"/>
    <s v="Purchase"/>
    <x v="74"/>
    <x v="2"/>
    <x v="1"/>
    <x v="54"/>
    <n v="471.34"/>
    <x v="2"/>
    <n v="1"/>
    <n v="471.34"/>
    <n v="1"/>
    <n v="471.34"/>
    <n v="19.991199999999999"/>
    <n v="9422.6522079999995"/>
    <n v="113.899"/>
    <n v="120.15900000000001"/>
    <n v="1.0548999999999999"/>
    <n v="9939.9558142191981"/>
    <n v="9939.9558142191981"/>
    <m/>
    <n v="1"/>
    <s v="Sale"/>
    <x v="67"/>
    <x v="1"/>
    <n v="274.67454545454547"/>
    <n v="1"/>
    <n v="274.67454545454547"/>
    <n v="19.9377"/>
    <n v="5476.3786849090911"/>
    <n v="9939.9558142191981"/>
    <n v="-4463.577129310107"/>
    <n v="0.66849315068493154"/>
    <n v="1"/>
    <n v="-4463.577129310107"/>
    <n v="0"/>
    <m/>
    <n v="-196.66545454545451"/>
    <m/>
    <n v="-0.41724753796718828"/>
    <m/>
  </r>
  <r>
    <x v="4"/>
    <s v="Purchase"/>
    <x v="74"/>
    <x v="2"/>
    <x v="1"/>
    <x v="54"/>
    <n v="3299.93"/>
    <x v="2"/>
    <n v="7"/>
    <n v="471.4185714285714"/>
    <n v="1"/>
    <n v="3299.93"/>
    <n v="19.991199999999999"/>
    <n v="65969.560615999988"/>
    <n v="113.899"/>
    <n v="120.15900000000001"/>
    <n v="1.0548999999999999"/>
    <n v="69591.289493818389"/>
    <n v="9941.612784831199"/>
    <m/>
    <n v="7"/>
    <s v="Sale"/>
    <x v="67"/>
    <x v="1"/>
    <n v="1922.7218181818182"/>
    <n v="1"/>
    <n v="1922.7218181818182"/>
    <n v="19.9377"/>
    <n v="38334.650794363639"/>
    <n v="69591.289493818389"/>
    <n v="-31256.63869945475"/>
    <n v="0.66849315068493154"/>
    <n v="1"/>
    <n v="-31256.63869945475"/>
    <n v="0"/>
    <m/>
    <n v="-1377.2081818181816"/>
    <m/>
    <n v="-0.41734466543780679"/>
    <m/>
  </r>
  <r>
    <x v="4"/>
    <s v="Purchase"/>
    <x v="74"/>
    <x v="2"/>
    <x v="1"/>
    <x v="54"/>
    <n v="1405.71"/>
    <x v="2"/>
    <n v="3"/>
    <n v="468.57"/>
    <n v="1"/>
    <n v="1405.71"/>
    <n v="19.991199999999999"/>
    <n v="28101.829751999998"/>
    <n v="113.899"/>
    <n v="120.15900000000001"/>
    <n v="1.0548999999999999"/>
    <n v="29644.620205384796"/>
    <n v="9881.5400684615979"/>
    <m/>
    <n v="3"/>
    <s v="Sale"/>
    <x v="67"/>
    <x v="1"/>
    <n v="824.02363636363634"/>
    <n v="1"/>
    <n v="824.02363636363634"/>
    <n v="19.9377"/>
    <n v="16429.136054727271"/>
    <n v="29644.620205384796"/>
    <n v="-13215.484150657525"/>
    <n v="0.66849315068493154"/>
    <n v="1"/>
    <n v="-13215.484150657525"/>
    <n v="0"/>
    <m/>
    <n v="-581.68636363636369"/>
    <m/>
    <n v="-0.41380253653766685"/>
    <m/>
  </r>
  <r>
    <x v="4"/>
    <s v="Purchase"/>
    <x v="74"/>
    <x v="2"/>
    <x v="1"/>
    <x v="54"/>
    <n v="1415.58"/>
    <x v="2"/>
    <n v="3"/>
    <n v="471.85999999999996"/>
    <n v="1"/>
    <n v="1415.58"/>
    <n v="19.991199999999999"/>
    <n v="28299.142895999998"/>
    <n v="113.899"/>
    <n v="120.15900000000001"/>
    <n v="1.0548999999999999"/>
    <n v="29852.765840990396"/>
    <n v="9950.9219469967993"/>
    <m/>
    <n v="3"/>
    <s v="Sale"/>
    <x v="67"/>
    <x v="1"/>
    <n v="824.02363636363634"/>
    <n v="1"/>
    <n v="824.02363636363634"/>
    <n v="19.9377"/>
    <n v="16429.136054727271"/>
    <n v="29852.765840990396"/>
    <n v="-13423.629786263125"/>
    <n v="0.66849315068493154"/>
    <n v="1"/>
    <n v="-13423.629786263125"/>
    <n v="0"/>
    <m/>
    <n v="-591.55636363636359"/>
    <m/>
    <n v="-0.41788974387626526"/>
    <m/>
  </r>
  <r>
    <x v="4"/>
    <s v="Purchase"/>
    <x v="74"/>
    <x v="2"/>
    <x v="1"/>
    <x v="73"/>
    <n v="2099.25"/>
    <x v="2"/>
    <n v="5"/>
    <n v="419.85"/>
    <n v="1"/>
    <n v="2099.25"/>
    <n v="20.581800000000001"/>
    <n v="43206.343650000003"/>
    <n v="115.56100000000001"/>
    <n v="120.15900000000001"/>
    <n v="1.0397000000000001"/>
    <n v="44921.635492905007"/>
    <n v="8984.3270985810013"/>
    <m/>
    <n v="5"/>
    <s v="Sale"/>
    <x v="67"/>
    <x v="1"/>
    <n v="1373.3727272727274"/>
    <n v="1"/>
    <n v="1373.3727272727274"/>
    <n v="19.9377"/>
    <n v="27381.893424545455"/>
    <n v="44921.635492905007"/>
    <n v="-17539.742068359552"/>
    <n v="0.53424657534246578"/>
    <n v="1"/>
    <n v="-17539.742068359552"/>
    <n v="0"/>
    <m/>
    <n v="-725.87727272727261"/>
    <m/>
    <n v="-0.34577933677612127"/>
    <m/>
  </r>
  <r>
    <x v="4"/>
    <s v="Purchase"/>
    <x v="74"/>
    <x v="2"/>
    <x v="1"/>
    <x v="73"/>
    <n v="5895.9809999999998"/>
    <x v="2"/>
    <n v="14"/>
    <n v="421.14150000000001"/>
    <n v="1"/>
    <n v="5895.9809999999998"/>
    <n v="20.581800000000001"/>
    <n v="121349.9017458"/>
    <n v="115.56100000000001"/>
    <n v="120.15900000000001"/>
    <n v="1.0397000000000001"/>
    <n v="126167.49284510827"/>
    <n v="9011.9637746505905"/>
    <m/>
    <n v="14"/>
    <s v="Sale"/>
    <x v="67"/>
    <x v="1"/>
    <n v="3845.4436363636364"/>
    <n v="1"/>
    <n v="3845.4436363636364"/>
    <n v="19.9377"/>
    <n v="76669.301588727278"/>
    <n v="126167.49284510827"/>
    <n v="-49498.191256380989"/>
    <n v="0.53424657534246578"/>
    <n v="1"/>
    <n v="-49498.191256380989"/>
    <n v="0"/>
    <m/>
    <n v="-2050.5373636363634"/>
    <m/>
    <n v="-0.34778561254460683"/>
    <m/>
  </r>
  <r>
    <x v="4"/>
    <s v="Purchase"/>
    <x v="74"/>
    <x v="2"/>
    <x v="1"/>
    <x v="73"/>
    <n v="2526.8490000000002"/>
    <x v="2"/>
    <n v="6"/>
    <n v="421.14150000000001"/>
    <n v="1"/>
    <n v="2526.8490000000002"/>
    <n v="20.581800000000001"/>
    <n v="52007.100748200006"/>
    <n v="115.56100000000001"/>
    <n v="120.15900000000001"/>
    <n v="1.0397000000000001"/>
    <n v="54071.78264790355"/>
    <n v="9011.9637746505923"/>
    <m/>
    <n v="6"/>
    <s v="Sale"/>
    <x v="67"/>
    <x v="1"/>
    <n v="1646.2719402985072"/>
    <n v="1"/>
    <n v="1646.2719402985072"/>
    <n v="19.9377"/>
    <n v="32822.876064089549"/>
    <n v="54071.782647903558"/>
    <n v="-21248.906583814009"/>
    <n v="0.53424657534246578"/>
    <n v="1"/>
    <n v="-21248.906583814009"/>
    <n v="0"/>
    <m/>
    <n v="-880.577059701493"/>
    <m/>
    <n v="-0.34848820000779346"/>
    <m/>
  </r>
  <r>
    <x v="4"/>
    <s v="Purchase"/>
    <x v="74"/>
    <x v="2"/>
    <x v="1"/>
    <x v="63"/>
    <n v="2272.62"/>
    <x v="2"/>
    <n v="6"/>
    <n v="378.77"/>
    <n v="1"/>
    <n v="2272.62"/>
    <n v="21.4177"/>
    <n v="48674.293374000001"/>
    <n v="117.30800000000001"/>
    <n v="120.15900000000001"/>
    <n v="1.0243"/>
    <n v="49857.078702988198"/>
    <n v="8309.513117164699"/>
    <m/>
    <n v="6"/>
    <s v="Sale"/>
    <x v="67"/>
    <x v="1"/>
    <n v="1646.2719402985072"/>
    <n v="1"/>
    <n v="1646.2719402985072"/>
    <n v="19.9377"/>
    <n v="32822.876064089549"/>
    <n v="49857.07870298819"/>
    <n v="-17034.202638898641"/>
    <n v="0.36712328767123287"/>
    <n v="1"/>
    <n v="-17034.202638898641"/>
    <n v="0"/>
    <m/>
    <n v="-626.34805970149273"/>
    <m/>
    <n v="-0.27560615487916712"/>
    <m/>
  </r>
  <r>
    <x v="4"/>
    <s v="Purchase"/>
    <x v="74"/>
    <x v="2"/>
    <x v="1"/>
    <x v="63"/>
    <n v="3045.33"/>
    <x v="2"/>
    <n v="8"/>
    <n v="380.66624999999999"/>
    <n v="1"/>
    <n v="3045.33"/>
    <n v="21.4177"/>
    <n v="65223.964340999999"/>
    <n v="117.30800000000001"/>
    <n v="120.15900000000001"/>
    <n v="1.0243"/>
    <n v="66808.906674486294"/>
    <n v="8351.1133343107867"/>
    <m/>
    <n v="8"/>
    <s v="Sale"/>
    <x v="67"/>
    <x v="1"/>
    <n v="2195.029253731343"/>
    <n v="1"/>
    <n v="2195.029253731343"/>
    <n v="19.9377"/>
    <n v="43763.834752119394"/>
    <n v="66808.906674486294"/>
    <n v="-23045.0719223669"/>
    <n v="0.36712328767123287"/>
    <n v="1"/>
    <n v="-23045.0719223669"/>
    <n v="0"/>
    <m/>
    <n v="-850.30074626865689"/>
    <m/>
    <n v="-0.27921464874698537"/>
    <m/>
  </r>
  <r>
    <x v="4"/>
    <s v="Purchase"/>
    <x v="74"/>
    <x v="2"/>
    <x v="1"/>
    <x v="63"/>
    <n v="10256.870000000001"/>
    <x v="2"/>
    <n v="27"/>
    <n v="379.88407407407408"/>
    <n v="1"/>
    <n v="10256.870000000001"/>
    <n v="21.4177"/>
    <n v="219678.564599"/>
    <n v="117.30800000000001"/>
    <n v="120.15900000000001"/>
    <n v="1.0243"/>
    <n v="225016.7537187557"/>
    <n v="8333.9538414353956"/>
    <m/>
    <n v="27"/>
    <s v="Sale"/>
    <x v="67"/>
    <x v="1"/>
    <n v="7408.2237313432825"/>
    <n v="1"/>
    <n v="7408.2237313432825"/>
    <n v="19.9377"/>
    <n v="147702.94228840296"/>
    <n v="225016.75371875567"/>
    <n v="-77313.811430352711"/>
    <n v="0.36712328767123287"/>
    <n v="1"/>
    <n v="-77313.811430352711"/>
    <n v="0"/>
    <m/>
    <n v="-2848.6462686567183"/>
    <m/>
    <n v="-0.2777305619215919"/>
    <m/>
  </r>
  <r>
    <x v="4"/>
    <s v="Purchase"/>
    <x v="74"/>
    <x v="2"/>
    <x v="1"/>
    <x v="118"/>
    <n v="373.49"/>
    <x v="2"/>
    <n v="1"/>
    <n v="373.49"/>
    <n v="1"/>
    <n v="373.49"/>
    <n v="20.5562"/>
    <n v="7677.5351380000002"/>
    <n v="118.98099999999999"/>
    <n v="120.15900000000001"/>
    <n v="1.0099"/>
    <n v="7753.5427358662"/>
    <n v="7753.5427358662"/>
    <m/>
    <n v="1"/>
    <s v="Sale"/>
    <x v="67"/>
    <x v="1"/>
    <n v="274.37865671641788"/>
    <n v="1"/>
    <n v="274.37865671641788"/>
    <n v="19.9377"/>
    <n v="5470.4793440149242"/>
    <n v="7753.5427358662"/>
    <n v="-2283.0633918512758"/>
    <n v="0.19726027397260273"/>
    <n v="1"/>
    <n v="-2283.0633918512758"/>
    <n v="0"/>
    <m/>
    <n v="-99.11134328358213"/>
    <m/>
    <n v="-0.26536545364958131"/>
    <m/>
  </r>
  <r>
    <x v="4"/>
    <s v="Purchase"/>
    <x v="74"/>
    <x v="2"/>
    <x v="1"/>
    <x v="118"/>
    <n v="4852.6899999999996"/>
    <x v="2"/>
    <n v="13"/>
    <n v="373.28384615384613"/>
    <n v="1"/>
    <n v="4852.6899999999996"/>
    <n v="20.5562"/>
    <n v="99752.866177999997"/>
    <n v="118.98099999999999"/>
    <n v="120.15900000000001"/>
    <n v="1.0099"/>
    <n v="100740.4195531622"/>
    <n v="7749.2630425509378"/>
    <m/>
    <n v="13"/>
    <s v="Sale"/>
    <x v="67"/>
    <x v="1"/>
    <n v="3566.9225373134323"/>
    <n v="1"/>
    <n v="3566.9225373134323"/>
    <n v="19.9377"/>
    <n v="71116.23147219402"/>
    <n v="100740.4195531622"/>
    <n v="-29624.188080968175"/>
    <n v="0.19726027397260273"/>
    <n v="1"/>
    <n v="-29624.188080968175"/>
    <n v="0"/>
    <m/>
    <n v="-1285.7674626865673"/>
    <m/>
    <n v="-0.26495973628782538"/>
    <m/>
  </r>
  <r>
    <x v="4"/>
    <s v="Purchase"/>
    <x v="74"/>
    <x v="2"/>
    <x v="1"/>
    <x v="118"/>
    <n v="2248.8200000000002"/>
    <x v="2"/>
    <n v="6"/>
    <n v="374.80333333333334"/>
    <n v="1"/>
    <n v="2248.8200000000002"/>
    <n v="20.5562"/>
    <n v="46227.193684000005"/>
    <n v="118.98099999999999"/>
    <n v="120.15900000000001"/>
    <n v="1.0099"/>
    <n v="46684.842901471609"/>
    <n v="7780.8071502452685"/>
    <m/>
    <n v="6"/>
    <s v="Sale"/>
    <x v="67"/>
    <x v="1"/>
    <n v="1646.2719402985072"/>
    <n v="1"/>
    <n v="1646.2719402985072"/>
    <n v="19.9377"/>
    <n v="32822.876064089549"/>
    <n v="46684.842901471609"/>
    <n v="-13861.96683738206"/>
    <n v="0.19726027397260273"/>
    <n v="1"/>
    <n v="-13861.96683738206"/>
    <n v="0"/>
    <m/>
    <n v="-602.548059701493"/>
    <m/>
    <n v="-0.2679396571097255"/>
    <m/>
  </r>
  <r>
    <x v="4"/>
    <s v="Purchase"/>
    <x v="75"/>
    <x v="1"/>
    <x v="1"/>
    <x v="115"/>
    <n v="1495.4802499999998"/>
    <x v="1"/>
    <n v="11"/>
    <n v="135.95274999999998"/>
    <n v="1"/>
    <n v="1495.4802499999998"/>
    <n v="19.848700000000001"/>
    <n v="29683.338838174997"/>
    <n v="112.419"/>
    <n v="118.002"/>
    <n v="1.0496000000000001"/>
    <n v="31155.632444548479"/>
    <n v="2832.3302222316797"/>
    <m/>
    <n v="11"/>
    <s v="Sale"/>
    <x v="43"/>
    <x v="1"/>
    <n v="1309.5999999999999"/>
    <n v="1"/>
    <n v="1309.5999999999999"/>
    <n v="20.4453"/>
    <n v="26775.164879999997"/>
    <n v="31155.632444548479"/>
    <n v="-4380.4675645484822"/>
    <n v="0.65479452054794518"/>
    <n v="1"/>
    <n v="-4380.4675645484822"/>
    <n v="0"/>
    <m/>
    <n v="-185.88024999999993"/>
    <m/>
    <n v="-0.12429468727520805"/>
    <m/>
  </r>
  <r>
    <x v="4"/>
    <s v="Purchase"/>
    <x v="75"/>
    <x v="1"/>
    <x v="1"/>
    <x v="115"/>
    <n v="951.66924999999992"/>
    <x v="1"/>
    <n v="7"/>
    <n v="135.95274999999998"/>
    <n v="1"/>
    <n v="951.66924999999992"/>
    <n v="19.848700000000001"/>
    <n v="18889.397442474998"/>
    <n v="112.419"/>
    <n v="118.002"/>
    <n v="1.0496000000000001"/>
    <n v="19826.31155562176"/>
    <n v="2832.3302222316802"/>
    <m/>
    <n v="7"/>
    <s v="Sale"/>
    <x v="43"/>
    <x v="1"/>
    <n v="832.57416666666666"/>
    <n v="1"/>
    <n v="832.57416666666666"/>
    <n v="20.4453"/>
    <n v="17022.22860975"/>
    <n v="19826.31155562176"/>
    <n v="-2804.0829458717599"/>
    <n v="0.65479452054794518"/>
    <n v="1"/>
    <n v="-2804.0829458717599"/>
    <n v="0"/>
    <m/>
    <n v="-119.09508333333326"/>
    <m/>
    <n v="-0.12514335556532197"/>
    <m/>
  </r>
  <r>
    <x v="4"/>
    <s v="Purchase"/>
    <x v="75"/>
    <x v="1"/>
    <x v="1"/>
    <x v="115"/>
    <n v="684.75"/>
    <x v="1"/>
    <n v="5"/>
    <n v="136.94999999999999"/>
    <n v="1"/>
    <n v="684.75"/>
    <n v="19.848700000000001"/>
    <n v="13591.397325"/>
    <n v="112.419"/>
    <n v="118.002"/>
    <n v="1.0496000000000001"/>
    <n v="14265.53063232"/>
    <n v="2853.1061264640002"/>
    <m/>
    <n v="5"/>
    <s v="Sale"/>
    <x v="43"/>
    <x v="1"/>
    <n v="594.69583333333333"/>
    <n v="1"/>
    <n v="594.69583333333333"/>
    <n v="20.4453"/>
    <n v="12158.734721249999"/>
    <n v="14265.530632320002"/>
    <n v="-2106.7959110700031"/>
    <n v="0.65479452054794518"/>
    <n v="1"/>
    <n v="-2106.7959110700031"/>
    <n v="0"/>
    <m/>
    <n v="-90.054166666666674"/>
    <m/>
    <n v="-0.13151393452598273"/>
    <m/>
  </r>
  <r>
    <x v="4"/>
    <s v="Purchase"/>
    <x v="75"/>
    <x v="1"/>
    <x v="1"/>
    <x v="115"/>
    <n v="1095.5999999999999"/>
    <x v="1"/>
    <n v="8"/>
    <n v="136.94999999999999"/>
    <n v="1"/>
    <n v="1095.5999999999999"/>
    <n v="19.848700000000001"/>
    <n v="21746.235720000001"/>
    <n v="112.419"/>
    <n v="118.002"/>
    <n v="1.0496000000000001"/>
    <n v="22824.849011712002"/>
    <n v="2853.1061264640002"/>
    <m/>
    <n v="8"/>
    <s v="Sale"/>
    <x v="43"/>
    <x v="1"/>
    <n v="951.54412698412693"/>
    <n v="1"/>
    <n v="951.54412698412693"/>
    <n v="20.4453"/>
    <n v="19454.605139428571"/>
    <n v="22824.849011712002"/>
    <n v="-3370.2438722834304"/>
    <n v="0.65479452054794518"/>
    <n v="1"/>
    <n v="-3370.2438722834304"/>
    <n v="0"/>
    <m/>
    <n v="-144.05587301587298"/>
    <m/>
    <n v="-0.13148582787137"/>
    <m/>
  </r>
  <r>
    <x v="4"/>
    <s v="Purchase"/>
    <x v="75"/>
    <x v="1"/>
    <x v="1"/>
    <x v="119"/>
    <n v="5159.7700000000004"/>
    <x v="1"/>
    <n v="38"/>
    <n v="135.78342105263158"/>
    <n v="1"/>
    <n v="5159.7700000000004"/>
    <n v="19.802800000000001"/>
    <n v="102177.89335600002"/>
    <n v="112.419"/>
    <n v="118.002"/>
    <n v="1.0496000000000001"/>
    <n v="107245.91686645763"/>
    <n v="2822.2609701699375"/>
    <m/>
    <n v="38"/>
    <s v="Sale"/>
    <x v="43"/>
    <x v="1"/>
    <n v="4519.8346031746032"/>
    <n v="1"/>
    <n v="4519.8346031746032"/>
    <n v="20.4453"/>
    <n v="92409.374412285717"/>
    <n v="107245.91686645763"/>
    <n v="-14836.542454171911"/>
    <n v="0.65205479452054793"/>
    <n v="1"/>
    <n v="-14836.542454171911"/>
    <n v="0"/>
    <m/>
    <n v="-639.93539682539722"/>
    <m/>
    <n v="-0.12402401595912166"/>
    <m/>
  </r>
  <r>
    <x v="4"/>
    <s v="Purchase"/>
    <x v="75"/>
    <x v="1"/>
    <x v="1"/>
    <x v="52"/>
    <n v="2277.7258064516127"/>
    <x v="1"/>
    <n v="17"/>
    <n v="133.98387096774192"/>
    <n v="1"/>
    <n v="2277.7258064516127"/>
    <n v="19.944199999999999"/>
    <n v="45427.419029032251"/>
    <n v="113.018"/>
    <n v="118.002"/>
    <n v="1.044"/>
    <n v="47426.225466309676"/>
    <n v="2789.7779686064514"/>
    <m/>
    <n v="17"/>
    <s v="Sale"/>
    <x v="43"/>
    <x v="1"/>
    <n v="2022.0312698412697"/>
    <n v="1"/>
    <n v="2022.0312698412697"/>
    <n v="20.4453"/>
    <n v="41341.035921285707"/>
    <n v="47426.225466309676"/>
    <n v="-6085.1895450239681"/>
    <n v="0.61643835616438358"/>
    <n v="1"/>
    <n v="-6085.1895450239681"/>
    <n v="0"/>
    <m/>
    <n v="-255.69453661034299"/>
    <m/>
    <n v="-0.11225869939484961"/>
    <m/>
  </r>
  <r>
    <x v="4"/>
    <s v="Purchase"/>
    <x v="75"/>
    <x v="1"/>
    <x v="1"/>
    <x v="52"/>
    <n v="937.88709677419342"/>
    <x v="1"/>
    <n v="7"/>
    <n v="133.98387096774192"/>
    <n v="1"/>
    <n v="937.88709677419342"/>
    <n v="19.944199999999999"/>
    <n v="18705.407835483868"/>
    <n v="113.018"/>
    <n v="118.002"/>
    <n v="1.044"/>
    <n v="19528.445780245158"/>
    <n v="2789.7779686064509"/>
    <m/>
    <n v="7"/>
    <s v="Sale"/>
    <x v="43"/>
    <x v="1"/>
    <n v="836.08"/>
    <n v="1"/>
    <n v="836.08"/>
    <n v="20.4453"/>
    <n v="17093.906424000001"/>
    <n v="19528.445780245158"/>
    <n v="-2434.5393562451573"/>
    <n v="0.61643835616438358"/>
    <n v="1"/>
    <n v="-2434.5393562451573"/>
    <n v="0"/>
    <m/>
    <n v="-101.80709677419338"/>
    <m/>
    <n v="-0.1085494161550498"/>
    <m/>
  </r>
  <r>
    <x v="4"/>
    <s v="Purchase"/>
    <x v="75"/>
    <x v="1"/>
    <x v="1"/>
    <x v="52"/>
    <n v="937.88709677419342"/>
    <x v="1"/>
    <n v="7"/>
    <n v="133.98387096774192"/>
    <n v="1"/>
    <n v="937.88709677419342"/>
    <n v="19.944199999999999"/>
    <n v="18705.407835483868"/>
    <n v="113.018"/>
    <n v="118.002"/>
    <n v="1.044"/>
    <n v="19528.445780245158"/>
    <n v="2789.7779686064509"/>
    <m/>
    <n v="7"/>
    <s v="Sale"/>
    <x v="44"/>
    <x v="1"/>
    <n v="854.42466666666678"/>
    <n v="1"/>
    <n v="854.42466666666678"/>
    <n v="20.378499999999999"/>
    <n v="17411.893069666668"/>
    <n v="19528.445780245158"/>
    <n v="-2116.5527105784895"/>
    <n v="0.61917808219178083"/>
    <n v="1"/>
    <n v="-2116.5527105784895"/>
    <n v="0"/>
    <m/>
    <n v="-83.462430107526643"/>
    <m/>
    <n v="-8.8989847919425144E-2"/>
    <m/>
  </r>
  <r>
    <x v="4"/>
    <s v="Purchase"/>
    <x v="75"/>
    <x v="1"/>
    <x v="1"/>
    <x v="105"/>
    <n v="1040.3311111111111"/>
    <x v="1"/>
    <n v="8"/>
    <n v="130.04138888888889"/>
    <n v="1"/>
    <n v="1040.3311111111111"/>
    <n v="19.9328"/>
    <n v="20736.711971555556"/>
    <n v="113.018"/>
    <n v="118.002"/>
    <n v="1.044"/>
    <n v="21649.127298304"/>
    <n v="2706.140912288"/>
    <m/>
    <n v="8"/>
    <s v="Sale"/>
    <x v="44"/>
    <x v="1"/>
    <n v="976.48533333333341"/>
    <n v="1"/>
    <n v="976.48533333333341"/>
    <n v="20.378499999999999"/>
    <n v="19899.306365333334"/>
    <n v="21649.127298304"/>
    <n v="-1749.820932970666"/>
    <n v="0.6"/>
    <n v="1"/>
    <n v="-1749.820932970666"/>
    <n v="0"/>
    <m/>
    <n v="-63.845777777777698"/>
    <m/>
    <n v="-6.1370631999641066E-2"/>
    <m/>
  </r>
  <r>
    <x v="4"/>
    <s v="Purchase"/>
    <x v="75"/>
    <x v="1"/>
    <x v="1"/>
    <x v="105"/>
    <n v="910.28972222222228"/>
    <x v="1"/>
    <n v="7"/>
    <n v="130.04138888888889"/>
    <n v="1"/>
    <n v="910.28972222222228"/>
    <n v="19.9328"/>
    <n v="18144.622975111113"/>
    <n v="113.018"/>
    <n v="118.002"/>
    <n v="1.044"/>
    <n v="18942.986386016004"/>
    <n v="2706.1409122880004"/>
    <m/>
    <n v="7"/>
    <s v="Sale"/>
    <x v="44"/>
    <x v="1"/>
    <n v="845.74"/>
    <n v="1"/>
    <n v="845.74"/>
    <n v="20.378499999999999"/>
    <n v="17234.91259"/>
    <n v="18942.986386016004"/>
    <n v="-1708.0737960160041"/>
    <n v="0.6"/>
    <n v="1"/>
    <n v="-1708.0737960160041"/>
    <n v="0"/>
    <m/>
    <n v="-64.549722222222272"/>
    <m/>
    <n v="-7.091118425971224E-2"/>
    <m/>
  </r>
  <r>
    <x v="4"/>
    <s v="Purchase"/>
    <x v="75"/>
    <x v="1"/>
    <x v="1"/>
    <x v="105"/>
    <n v="910.28972222222228"/>
    <x v="1"/>
    <n v="7"/>
    <n v="130.04138888888889"/>
    <n v="1"/>
    <n v="910.28972222222228"/>
    <n v="19.9328"/>
    <n v="18144.622975111113"/>
    <n v="113.018"/>
    <n v="118.002"/>
    <n v="1.044"/>
    <n v="18942.986386016004"/>
    <n v="2706.1409122880004"/>
    <m/>
    <n v="7"/>
    <s v="Sale"/>
    <x v="44"/>
    <x v="1"/>
    <n v="854.25"/>
    <n v="1"/>
    <n v="854.25"/>
    <n v="20.378499999999999"/>
    <n v="17408.333624999999"/>
    <n v="18942.986386016004"/>
    <n v="-1534.6527610160047"/>
    <n v="0.6"/>
    <n v="1"/>
    <n v="-1534.6527610160047"/>
    <n v="0"/>
    <m/>
    <n v="-56.039722222222281"/>
    <m/>
    <n v="-6.1562512301486495E-2"/>
    <m/>
  </r>
  <r>
    <x v="4"/>
    <s v="Purchase"/>
    <x v="75"/>
    <x v="1"/>
    <x v="1"/>
    <x v="105"/>
    <n v="1820.5794444444446"/>
    <x v="1"/>
    <n v="14"/>
    <n v="130.04138888888889"/>
    <n v="1"/>
    <n v="1820.5794444444446"/>
    <n v="19.9328"/>
    <n v="36289.245950222226"/>
    <n v="113.018"/>
    <n v="118.002"/>
    <n v="1.044"/>
    <n v="37885.972772032008"/>
    <n v="2706.1409122880004"/>
    <m/>
    <n v="14"/>
    <s v="Sale"/>
    <x v="15"/>
    <x v="1"/>
    <n v="1694.2362499999999"/>
    <n v="1"/>
    <n v="1694.2362499999999"/>
    <n v="20.3002"/>
    <n v="34393.334722250002"/>
    <n v="37885.972772032008"/>
    <n v="-3492.6380497820064"/>
    <n v="0.61643835616438358"/>
    <n v="1"/>
    <n v="-3492.6380497820064"/>
    <n v="0"/>
    <m/>
    <n v="-126.34319444444463"/>
    <m/>
    <n v="-6.9397243185396196E-2"/>
    <m/>
  </r>
  <r>
    <x v="4"/>
    <s v="Purchase"/>
    <x v="75"/>
    <x v="1"/>
    <x v="1"/>
    <x v="105"/>
    <n v="261.03587301587299"/>
    <x v="1"/>
    <n v="2"/>
    <n v="130.5179365079365"/>
    <n v="1"/>
    <n v="261.03587301587299"/>
    <n v="19.9328"/>
    <n v="5203.1758496507937"/>
    <n v="113.018"/>
    <n v="118.002"/>
    <n v="1.044"/>
    <n v="5432.1155870354287"/>
    <n v="2716.0577935177143"/>
    <m/>
    <n v="2"/>
    <s v="Sale"/>
    <x v="15"/>
    <x v="1"/>
    <n v="242.03375"/>
    <n v="1"/>
    <n v="242.03375"/>
    <n v="20.3002"/>
    <n v="4913.3335317499996"/>
    <n v="5432.1155870354287"/>
    <n v="-518.78205528542912"/>
    <n v="0.61643835616438358"/>
    <n v="1"/>
    <n v="-518.78205528542912"/>
    <n v="0"/>
    <m/>
    <n v="-19.002123015872996"/>
    <m/>
    <n v="-7.2795063744811511E-2"/>
    <m/>
  </r>
  <r>
    <x v="4"/>
    <s v="Purchase"/>
    <x v="75"/>
    <x v="1"/>
    <x v="1"/>
    <x v="105"/>
    <n v="2610.3587301587299"/>
    <x v="1"/>
    <n v="20"/>
    <n v="130.5179365079365"/>
    <n v="1"/>
    <n v="2610.3587301587299"/>
    <n v="19.9328"/>
    <n v="52031.75849650793"/>
    <n v="113.018"/>
    <n v="118.002"/>
    <n v="1.044"/>
    <n v="54321.155870354283"/>
    <n v="2716.0577935177143"/>
    <m/>
    <n v="20"/>
    <s v="Sale"/>
    <x v="15"/>
    <x v="1"/>
    <n v="2421.79"/>
    <n v="1"/>
    <n v="2421.79"/>
    <n v="20.3002"/>
    <n v="49162.821358000001"/>
    <n v="54321.155870354283"/>
    <n v="-5158.3345123542822"/>
    <n v="0.61643835616438358"/>
    <n v="1"/>
    <n v="-5158.3345123542822"/>
    <n v="0"/>
    <m/>
    <n v="-188.56873015872998"/>
    <m/>
    <n v="-7.2238626814048482E-2"/>
    <m/>
  </r>
  <r>
    <x v="4"/>
    <s v="Purchase"/>
    <x v="75"/>
    <x v="1"/>
    <x v="1"/>
    <x v="105"/>
    <n v="3132.4304761904759"/>
    <x v="1"/>
    <n v="24"/>
    <n v="130.5179365079365"/>
    <n v="1"/>
    <n v="3132.4304761904759"/>
    <n v="19.9328"/>
    <n v="62438.110195809517"/>
    <n v="113.018"/>
    <n v="118.002"/>
    <n v="1.044"/>
    <n v="65185.387044425137"/>
    <n v="2716.0577935177139"/>
    <m/>
    <n v="24"/>
    <s v="Sale"/>
    <x v="15"/>
    <x v="1"/>
    <n v="2898.53"/>
    <n v="1"/>
    <n v="2898.53"/>
    <n v="20.3002"/>
    <n v="58840.738706000004"/>
    <n v="65185.387044425137"/>
    <n v="-6344.6483384251333"/>
    <n v="0.61643835616438358"/>
    <n v="1"/>
    <n v="-6344.6483384251333"/>
    <n v="0"/>
    <m/>
    <n v="-233.90047619047573"/>
    <m/>
    <n v="-7.4670604174090147E-2"/>
    <m/>
  </r>
  <r>
    <x v="4"/>
    <s v="Purchase"/>
    <x v="75"/>
    <x v="1"/>
    <x v="1"/>
    <x v="105"/>
    <n v="783.10761904761898"/>
    <x v="1"/>
    <n v="6"/>
    <n v="130.5179365079365"/>
    <n v="1"/>
    <n v="783.10761904761898"/>
    <n v="19.9328"/>
    <n v="15609.527548952379"/>
    <n v="113.018"/>
    <n v="118.002"/>
    <n v="1.044"/>
    <n v="16296.346761106284"/>
    <n v="2716.0577935177139"/>
    <m/>
    <n v="6"/>
    <s v="Sale"/>
    <x v="57"/>
    <x v="1"/>
    <n v="725.97"/>
    <n v="1"/>
    <n v="725.97"/>
    <n v="20.402999999999999"/>
    <n v="14811.965909999999"/>
    <n v="16296.346761106284"/>
    <n v="-1484.3808511062853"/>
    <n v="0.61917808219178083"/>
    <n v="1"/>
    <n v="-1484.3808511062853"/>
    <n v="0"/>
    <m/>
    <n v="-57.137619047618955"/>
    <m/>
    <n v="-7.2962665229981044E-2"/>
    <m/>
  </r>
  <r>
    <x v="4"/>
    <s v="Purchase"/>
    <x v="75"/>
    <x v="1"/>
    <x v="1"/>
    <x v="105"/>
    <n v="783.10761904761898"/>
    <x v="1"/>
    <n v="6"/>
    <n v="130.5179365079365"/>
    <n v="1"/>
    <n v="783.10761904761898"/>
    <n v="19.9328"/>
    <n v="15609.527548952379"/>
    <n v="113.018"/>
    <n v="118.002"/>
    <n v="1.044"/>
    <n v="16296.346761106284"/>
    <n v="2716.0577935177139"/>
    <m/>
    <n v="6"/>
    <s v="Sale"/>
    <x v="57"/>
    <x v="1"/>
    <n v="727.08"/>
    <n v="1"/>
    <n v="727.08"/>
    <n v="20.402999999999999"/>
    <n v="14834.613240000001"/>
    <n v="16296.346761106284"/>
    <n v="-1461.7335211062837"/>
    <n v="0.61917808219178083"/>
    <n v="1"/>
    <n v="-1461.7335211062837"/>
    <n v="0"/>
    <m/>
    <n v="-56.027619047618941"/>
    <m/>
    <n v="-7.1545235526832521E-2"/>
    <m/>
  </r>
  <r>
    <x v="4"/>
    <s v="Purchase"/>
    <x v="75"/>
    <x v="1"/>
    <x v="1"/>
    <x v="105"/>
    <n v="652.58968253968249"/>
    <x v="1"/>
    <n v="5"/>
    <n v="130.5179365079365"/>
    <n v="1"/>
    <n v="652.58968253968249"/>
    <n v="19.9328"/>
    <n v="13007.939624126982"/>
    <n v="113.018"/>
    <n v="118.002"/>
    <n v="1.044"/>
    <n v="13580.288967588571"/>
    <n v="2716.0577935177143"/>
    <m/>
    <n v="5"/>
    <s v="Sale"/>
    <x v="57"/>
    <x v="1"/>
    <n v="605.40499999999997"/>
    <n v="1"/>
    <n v="605.40499999999997"/>
    <n v="20.402999999999999"/>
    <n v="12352.078215"/>
    <n v="13580.288967588571"/>
    <n v="-1228.2107525885713"/>
    <n v="0.61917808219178083"/>
    <n v="1"/>
    <n v="-1228.2107525885713"/>
    <n v="0"/>
    <m/>
    <n v="-47.184682539682512"/>
    <m/>
    <n v="-7.230375196257155E-2"/>
    <m/>
  </r>
  <r>
    <x v="4"/>
    <s v="Purchase"/>
    <x v="75"/>
    <x v="1"/>
    <x v="1"/>
    <x v="86"/>
    <n v="1513.21"/>
    <x v="1"/>
    <n v="13"/>
    <n v="116.40076923076923"/>
    <n v="1"/>
    <n v="1513.21"/>
    <n v="19.8537"/>
    <n v="30042.817376999999"/>
    <n v="113.682"/>
    <n v="118.002"/>
    <n v="1.038"/>
    <n v="31184.444437326001"/>
    <n v="2398.8034182558463"/>
    <m/>
    <n v="13"/>
    <s v="Sale"/>
    <x v="57"/>
    <x v="1"/>
    <n v="1574.0529999999999"/>
    <n v="1"/>
    <n v="1574.0529999999999"/>
    <n v="20.402999999999999"/>
    <n v="32115.403358999996"/>
    <n v="31184.444437326001"/>
    <n v="930.95892167399506"/>
    <n v="0.50410958904109593"/>
    <n v="1"/>
    <n v="930.95892167399506"/>
    <n v="0"/>
    <m/>
    <n v="60.842999999999847"/>
    <m/>
    <n v="4.020790240614313E-2"/>
    <m/>
  </r>
  <r>
    <x v="4"/>
    <s v="Purchase"/>
    <x v="75"/>
    <x v="1"/>
    <x v="1"/>
    <x v="86"/>
    <n v="234.9403846153846"/>
    <x v="1"/>
    <n v="2"/>
    <n v="117.4701923076923"/>
    <n v="1"/>
    <n v="234.9403846153846"/>
    <n v="19.8537"/>
    <n v="4664.4359140384613"/>
    <n v="113.682"/>
    <n v="118.002"/>
    <n v="1.038"/>
    <n v="4841.6844787719228"/>
    <n v="2420.8422393859614"/>
    <m/>
    <n v="2"/>
    <s v="Sale"/>
    <x v="57"/>
    <x v="1"/>
    <n v="242.16199999999998"/>
    <n v="1"/>
    <n v="242.16199999999998"/>
    <n v="20.402999999999999"/>
    <n v="4940.8312859999996"/>
    <n v="4841.6844787719228"/>
    <n v="99.146807228076796"/>
    <n v="0.50410958904109593"/>
    <n v="1"/>
    <n v="99.146807228076796"/>
    <n v="0"/>
    <m/>
    <n v="7.2216153846153759"/>
    <m/>
    <n v="3.0738075943979207E-2"/>
    <m/>
  </r>
  <r>
    <x v="4"/>
    <s v="Purchase"/>
    <x v="75"/>
    <x v="1"/>
    <x v="1"/>
    <x v="86"/>
    <n v="1057.2317307692308"/>
    <x v="1"/>
    <n v="9"/>
    <n v="117.47019230769232"/>
    <n v="1"/>
    <n v="1057.2317307692308"/>
    <n v="19.8537"/>
    <n v="20989.961613173076"/>
    <n v="113.682"/>
    <n v="118.002"/>
    <n v="1.038"/>
    <n v="21787.580154473653"/>
    <n v="2420.8422393859614"/>
    <m/>
    <n v="9"/>
    <s v="Sale"/>
    <x v="68"/>
    <x v="1"/>
    <n v="1090.1600000000001"/>
    <n v="1"/>
    <n v="1090.1600000000001"/>
    <n v="20.46"/>
    <n v="22304.673600000002"/>
    <n v="21787.580154473653"/>
    <n v="517.09344552634866"/>
    <n v="0.50684931506849318"/>
    <n v="1"/>
    <n v="517.09344552634866"/>
    <n v="0"/>
    <m/>
    <n v="32.928269230769274"/>
    <m/>
    <n v="3.1145744374141145E-2"/>
    <m/>
  </r>
  <r>
    <x v="4"/>
    <s v="Purchase"/>
    <x v="75"/>
    <x v="1"/>
    <x v="1"/>
    <x v="86"/>
    <n v="1409.6423076923077"/>
    <x v="1"/>
    <n v="12"/>
    <n v="117.4701923076923"/>
    <n v="1"/>
    <n v="1409.6423076923077"/>
    <n v="19.8537"/>
    <n v="27986.61548423077"/>
    <n v="113.682"/>
    <n v="118.002"/>
    <n v="1.038"/>
    <n v="29050.106872631539"/>
    <n v="2420.8422393859614"/>
    <m/>
    <n v="12"/>
    <s v="Sale"/>
    <x v="48"/>
    <x v="1"/>
    <n v="1453.32"/>
    <n v="1"/>
    <n v="1453.32"/>
    <n v="20.630800000000001"/>
    <n v="29983.154255999998"/>
    <n v="29050.106872631535"/>
    <n v="933.04738336846276"/>
    <n v="0.52054794520547942"/>
    <n v="1"/>
    <n v="933.04738336846276"/>
    <n v="0"/>
    <m/>
    <n v="43.677692307692269"/>
    <m/>
    <n v="3.0984947081501828E-2"/>
    <m/>
  </r>
  <r>
    <x v="4"/>
    <s v="Purchase"/>
    <x v="75"/>
    <x v="1"/>
    <x v="1"/>
    <x v="86"/>
    <n v="1879.5230769230768"/>
    <x v="1"/>
    <n v="16"/>
    <n v="117.4701923076923"/>
    <n v="1"/>
    <n v="1879.5230769230768"/>
    <n v="19.8537"/>
    <n v="37315.48731230769"/>
    <n v="113.682"/>
    <n v="118.98099999999999"/>
    <n v="1.0466"/>
    <n v="39054.38902106123"/>
    <n v="2440.8993138163269"/>
    <m/>
    <n v="16"/>
    <s v="Sale"/>
    <x v="69"/>
    <x v="1"/>
    <n v="1827.17"/>
    <n v="1"/>
    <n v="1827.17"/>
    <n v="20.8597"/>
    <n v="38114.218049000003"/>
    <n v="39054.38902106123"/>
    <n v="-940.17097206122708"/>
    <n v="0.53698630136986303"/>
    <n v="1"/>
    <n v="-940.17097206122708"/>
    <n v="0"/>
    <m/>
    <n v="-52.353076923076742"/>
    <m/>
    <n v="-2.7854447527605106E-2"/>
    <m/>
  </r>
  <r>
    <x v="4"/>
    <s v="Purchase"/>
    <x v="75"/>
    <x v="1"/>
    <x v="1"/>
    <x v="86"/>
    <n v="704.82115384615383"/>
    <x v="1"/>
    <n v="6"/>
    <n v="117.4701923076923"/>
    <n v="1"/>
    <n v="704.82115384615383"/>
    <n v="19.8537"/>
    <n v="13993.307742115385"/>
    <n v="113.682"/>
    <n v="118.98099999999999"/>
    <n v="1.0466"/>
    <n v="14645.395882897961"/>
    <n v="2440.8993138163269"/>
    <m/>
    <n v="6"/>
    <s v="Sale"/>
    <x v="69"/>
    <x v="1"/>
    <n v="683.43"/>
    <n v="1"/>
    <n v="683.43"/>
    <n v="20.8597"/>
    <n v="14256.144770999999"/>
    <n v="14645.395882897961"/>
    <n v="-389.25111189796189"/>
    <n v="0.53698630136986303"/>
    <n v="1"/>
    <n v="-389.25111189796189"/>
    <n v="0"/>
    <m/>
    <n v="-21.391153846153884"/>
    <m/>
    <n v="-3.03497613960989E-2"/>
    <m/>
  </r>
  <r>
    <x v="4"/>
    <s v="Purchase"/>
    <x v="75"/>
    <x v="1"/>
    <x v="1"/>
    <x v="86"/>
    <n v="704.82115384615383"/>
    <x v="1"/>
    <n v="6"/>
    <n v="117.4701923076923"/>
    <n v="1"/>
    <n v="704.82115384615383"/>
    <n v="19.8537"/>
    <n v="13993.307742115385"/>
    <n v="113.682"/>
    <n v="118.98099999999999"/>
    <n v="1.0466"/>
    <n v="14645.395882897961"/>
    <n v="2440.8993138163269"/>
    <m/>
    <n v="6"/>
    <s v="Sale"/>
    <x v="69"/>
    <x v="1"/>
    <n v="685.26"/>
    <n v="1"/>
    <n v="685.26"/>
    <n v="20.8597"/>
    <n v="14294.318021999999"/>
    <n v="14645.395882897961"/>
    <n v="-351.07786089796173"/>
    <n v="0.53698630136986303"/>
    <n v="1"/>
    <n v="-351.07786089796173"/>
    <n v="0"/>
    <m/>
    <n v="-19.561153846153843"/>
    <m/>
    <n v="-2.7753358053188612E-2"/>
    <m/>
  </r>
  <r>
    <x v="4"/>
    <s v="Purchase"/>
    <x v="76"/>
    <x v="2"/>
    <x v="1"/>
    <x v="110"/>
    <n v="616.79444444444448"/>
    <x v="2"/>
    <n v="10"/>
    <n v="61.679444444444449"/>
    <n v="1"/>
    <n v="616.79444444444448"/>
    <n v="19.892700000000001"/>
    <n v="12269.706845000002"/>
    <n v="113.018"/>
    <n v="118.98099999999999"/>
    <n v="1.0527"/>
    <n v="12916.320395731502"/>
    <n v="1291.6320395731502"/>
    <m/>
    <n v="10"/>
    <s v="Sale"/>
    <x v="63"/>
    <x v="1"/>
    <n v="472.24545454545455"/>
    <n v="1"/>
    <n v="472.24545454545455"/>
    <n v="20.703299999999999"/>
    <n v="9777.039319090909"/>
    <n v="12916.320395731502"/>
    <n v="-3139.2810766405928"/>
    <n v="0.75890410958904109"/>
    <n v="1"/>
    <n v="-3139.2810766405928"/>
    <n v="0"/>
    <m/>
    <n v="-144.54898989898993"/>
    <m/>
    <n v="-0.23435520731576506"/>
    <m/>
  </r>
  <r>
    <x v="4"/>
    <s v="Purchase"/>
    <x v="76"/>
    <x v="2"/>
    <x v="1"/>
    <x v="110"/>
    <n v="61.725172413793103"/>
    <x v="2"/>
    <n v="1"/>
    <n v="61.725172413793103"/>
    <n v="1"/>
    <n v="61.725172413793103"/>
    <n v="19.892700000000001"/>
    <n v="1227.8803372758621"/>
    <n v="113.018"/>
    <n v="118.98099999999999"/>
    <n v="1.0527"/>
    <n v="1292.5896310502999"/>
    <n v="1292.5896310502999"/>
    <m/>
    <n v="1"/>
    <s v="Sale"/>
    <x v="63"/>
    <x v="1"/>
    <n v="47.224545454545456"/>
    <n v="1"/>
    <n v="47.224545454545456"/>
    <n v="20.703299999999999"/>
    <n v="977.7039319090909"/>
    <n v="1292.5896310502999"/>
    <n v="-314.88569914120899"/>
    <n v="0.75890410958904109"/>
    <n v="1"/>
    <n v="-314.88569914120899"/>
    <n v="0"/>
    <m/>
    <n v="-14.500626959247647"/>
    <m/>
    <n v="-0.23492242131035893"/>
    <m/>
  </r>
  <r>
    <x v="4"/>
    <s v="Purchase"/>
    <x v="76"/>
    <x v="2"/>
    <x v="1"/>
    <x v="110"/>
    <n v="802.42724137931032"/>
    <x v="2"/>
    <n v="13"/>
    <n v="61.725172413793103"/>
    <n v="1"/>
    <n v="802.42724137931032"/>
    <n v="19.892700000000001"/>
    <n v="15962.444384586208"/>
    <n v="113.018"/>
    <n v="118.98099999999999"/>
    <n v="1.0527"/>
    <n v="16803.665203653902"/>
    <n v="1292.5896310503001"/>
    <m/>
    <n v="13"/>
    <s v="Sale"/>
    <x v="63"/>
    <x v="1"/>
    <n v="605.15"/>
    <n v="1"/>
    <n v="605.15"/>
    <n v="20.703299999999999"/>
    <n v="12528.601994999999"/>
    <n v="16803.665203653902"/>
    <n v="-4275.0632086539026"/>
    <n v="0.75890410958904109"/>
    <n v="1"/>
    <n v="-4275.0632086539026"/>
    <n v="0"/>
    <m/>
    <n v="-197.27724137931034"/>
    <m/>
    <n v="-0.24585062820176198"/>
    <m/>
  </r>
  <r>
    <x v="4"/>
    <s v="Purchase"/>
    <x v="76"/>
    <x v="2"/>
    <x v="1"/>
    <x v="110"/>
    <n v="925.87758620689658"/>
    <x v="2"/>
    <n v="15"/>
    <n v="61.725172413793103"/>
    <n v="1"/>
    <n v="925.87758620689658"/>
    <n v="19.892700000000001"/>
    <n v="18418.205059137934"/>
    <n v="113.018"/>
    <n v="118.98099999999999"/>
    <n v="1.0527"/>
    <n v="19388.844465754504"/>
    <n v="1292.5896310503003"/>
    <m/>
    <n v="15"/>
    <s v="Sale"/>
    <x v="63"/>
    <x v="1"/>
    <n v="698.25"/>
    <n v="1"/>
    <n v="698.25"/>
    <n v="20.703299999999999"/>
    <n v="14456.079224999999"/>
    <n v="19388.844465754504"/>
    <n v="-4932.7652407545047"/>
    <n v="0.75890410958904109"/>
    <n v="1"/>
    <n v="-4932.7652407545047"/>
    <n v="0"/>
    <m/>
    <n v="-227.62758620689658"/>
    <m/>
    <n v="-0.24585062820176201"/>
    <m/>
  </r>
  <r>
    <x v="4"/>
    <s v="Purchase"/>
    <x v="76"/>
    <x v="2"/>
    <x v="1"/>
    <x v="110"/>
    <n v="61.679411764705883"/>
    <x v="2"/>
    <n v="1"/>
    <n v="61.679411764705883"/>
    <n v="1"/>
    <n v="61.679411764705883"/>
    <n v="19.892700000000001"/>
    <n v="1226.9700344117648"/>
    <n v="113.018"/>
    <n v="118.98099999999999"/>
    <n v="1.0527"/>
    <n v="1291.6313552252648"/>
    <n v="1291.6313552252648"/>
    <m/>
    <n v="1"/>
    <s v="Sale"/>
    <x v="63"/>
    <x v="1"/>
    <n v="46.55"/>
    <n v="1"/>
    <n v="46.55"/>
    <n v="20.703299999999999"/>
    <n v="963.73861499999987"/>
    <n v="1291.6313552252648"/>
    <n v="-327.8927402252649"/>
    <n v="0.75890410958904109"/>
    <n v="1"/>
    <n v="-327.8927402252649"/>
    <n v="0"/>
    <m/>
    <n v="-15.129411764705885"/>
    <m/>
    <n v="-0.24529111630346673"/>
    <m/>
  </r>
  <r>
    <x v="4"/>
    <s v="Purchase"/>
    <x v="76"/>
    <x v="2"/>
    <x v="1"/>
    <x v="110"/>
    <n v="1110.2294117647059"/>
    <x v="2"/>
    <n v="18"/>
    <n v="61.679411764705883"/>
    <n v="1"/>
    <n v="1110.2294117647059"/>
    <n v="19.892700000000001"/>
    <n v="22085.460619411766"/>
    <n v="113.018"/>
    <n v="118.98099999999999"/>
    <n v="1.0527"/>
    <n v="23249.364394054766"/>
    <n v="1291.6313552252648"/>
    <m/>
    <n v="18"/>
    <s v="Sale"/>
    <x v="63"/>
    <x v="1"/>
    <n v="869.12999999999988"/>
    <n v="1"/>
    <n v="869.12999999999988"/>
    <n v="20.703299999999999"/>
    <n v="17993.859128999997"/>
    <n v="23249.364394054766"/>
    <n v="-5255.5052650547696"/>
    <n v="0.75890410958904109"/>
    <n v="1"/>
    <n v="-5255.5052650547696"/>
    <n v="0"/>
    <m/>
    <n v="-241.09941176470602"/>
    <m/>
    <n v="-0.2171617948595681"/>
    <m/>
  </r>
  <r>
    <x v="4"/>
    <s v="Purchase"/>
    <x v="76"/>
    <x v="2"/>
    <x v="1"/>
    <x v="110"/>
    <n v="925.19117647058829"/>
    <x v="2"/>
    <n v="15"/>
    <n v="61.679411764705883"/>
    <n v="1"/>
    <n v="925.19117647058829"/>
    <n v="19.892700000000001"/>
    <n v="18404.550516176474"/>
    <n v="113.018"/>
    <n v="118.98099999999999"/>
    <n v="1.0527"/>
    <n v="19374.470328378975"/>
    <n v="1291.631355225265"/>
    <m/>
    <n v="15"/>
    <s v="Sale"/>
    <x v="63"/>
    <x v="1"/>
    <n v="724.27173913043475"/>
    <n v="1"/>
    <n v="724.27173913043475"/>
    <n v="20.703299999999999"/>
    <n v="14994.815096739128"/>
    <n v="19374.470328378975"/>
    <n v="-4379.6552316398465"/>
    <n v="0.75890410958904109"/>
    <n v="1"/>
    <n v="-4379.6552316398465"/>
    <n v="0"/>
    <m/>
    <n v="-200.91943734015354"/>
    <m/>
    <n v="-0.21716531939552142"/>
    <m/>
  </r>
  <r>
    <x v="4"/>
    <s v="Purchase"/>
    <x v="76"/>
    <x v="2"/>
    <x v="1"/>
    <x v="105"/>
    <n v="493.94742857142859"/>
    <x v="2"/>
    <n v="8"/>
    <n v="61.743428571428574"/>
    <n v="1"/>
    <n v="493.94742857142859"/>
    <n v="19.9328"/>
    <n v="9845.7553042285726"/>
    <n v="113.018"/>
    <n v="118.98099999999999"/>
    <n v="1.0527"/>
    <n v="10364.626608761419"/>
    <n v="1295.5783260951773"/>
    <m/>
    <n v="8"/>
    <s v="Sale"/>
    <x v="63"/>
    <x v="1"/>
    <n v="386.2782608695652"/>
    <n v="1"/>
    <n v="386.2782608695652"/>
    <n v="20.703299999999999"/>
    <n v="7997.2347182608692"/>
    <n v="10364.626608761419"/>
    <n v="-2367.3918905005494"/>
    <n v="0.74520547945205484"/>
    <n v="1"/>
    <n v="-2367.3918905005494"/>
    <n v="0"/>
    <m/>
    <n v="-107.66916770186339"/>
    <m/>
    <n v="-0.21797697786029388"/>
    <m/>
  </r>
  <r>
    <x v="4"/>
    <s v="Purchase"/>
    <x v="76"/>
    <x v="2"/>
    <x v="1"/>
    <x v="105"/>
    <n v="2840.1977142857145"/>
    <x v="2"/>
    <n v="46"/>
    <n v="61.743428571428574"/>
    <n v="1"/>
    <n v="2840.1977142857145"/>
    <n v="19.9328"/>
    <n v="56613.092999314293"/>
    <n v="113.018"/>
    <n v="118.98099999999999"/>
    <n v="1.0527"/>
    <n v="59596.603000378156"/>
    <n v="1295.5783260951773"/>
    <m/>
    <n v="46"/>
    <s v="Sale"/>
    <x v="63"/>
    <x v="1"/>
    <n v="2164.89"/>
    <n v="1"/>
    <n v="2164.89"/>
    <n v="20.703299999999999"/>
    <n v="44820.367136999994"/>
    <n v="59596.603000378156"/>
    <n v="-14776.235863378162"/>
    <n v="0.74520547945205484"/>
    <n v="1"/>
    <n v="-14776.235863378162"/>
    <n v="0"/>
    <m/>
    <n v="-675.30771428571461"/>
    <m/>
    <n v="-0.23776785358604824"/>
    <m/>
  </r>
  <r>
    <x v="4"/>
    <s v="Purchase"/>
    <x v="76"/>
    <x v="2"/>
    <x v="1"/>
    <x v="105"/>
    <n v="987.89485714285718"/>
    <x v="2"/>
    <n v="16"/>
    <n v="61.743428571428574"/>
    <n v="1"/>
    <n v="987.89485714285718"/>
    <n v="19.9328"/>
    <n v="19691.510608457145"/>
    <n v="113.018"/>
    <n v="118.98099999999999"/>
    <n v="1.0527"/>
    <n v="20729.253217522837"/>
    <n v="1295.5783260951773"/>
    <m/>
    <n v="16"/>
    <s v="Sale"/>
    <x v="63"/>
    <x v="1"/>
    <n v="753.00571428571425"/>
    <n v="1"/>
    <n v="753.00571428571425"/>
    <n v="20.703299999999999"/>
    <n v="15589.703204571428"/>
    <n v="20729.253217522837"/>
    <n v="-5139.5500129514094"/>
    <n v="0.74520547945205484"/>
    <n v="1"/>
    <n v="-5139.5500129514094"/>
    <n v="0"/>
    <m/>
    <n v="-234.88914285714293"/>
    <m/>
    <n v="-0.23776735060295606"/>
    <m/>
  </r>
  <r>
    <x v="4"/>
    <s v="Purchase"/>
    <x v="76"/>
    <x v="2"/>
    <x v="1"/>
    <x v="105"/>
    <n v="2511.8169934640528"/>
    <x v="2"/>
    <n v="40"/>
    <n v="62.79542483660132"/>
    <n v="1"/>
    <n v="2511.8169934640528"/>
    <n v="19.9328"/>
    <n v="50067.545767320269"/>
    <n v="113.018"/>
    <n v="118.98099999999999"/>
    <n v="1.0527"/>
    <n v="52706.105429258045"/>
    <n v="1317.652635731451"/>
    <m/>
    <n v="40"/>
    <s v="Sale"/>
    <x v="63"/>
    <x v="1"/>
    <n v="1882.5142857142855"/>
    <n v="1"/>
    <n v="1882.5142857142855"/>
    <n v="20.703299999999999"/>
    <n v="38974.258011428567"/>
    <n v="52706.105429258037"/>
    <n v="-13731.847417829471"/>
    <n v="0.74520547945205484"/>
    <n v="1"/>
    <n v="-13731.847417829471"/>
    <n v="0"/>
    <m/>
    <n v="-629.30270774976725"/>
    <m/>
    <n v="-0.25053684619033267"/>
    <m/>
  </r>
  <r>
    <x v="4"/>
    <s v="Purchase"/>
    <x v="76"/>
    <x v="2"/>
    <x v="1"/>
    <x v="105"/>
    <n v="565.15882352941185"/>
    <x v="2"/>
    <n v="9"/>
    <n v="62.795424836601313"/>
    <n v="1"/>
    <n v="565.15882352941185"/>
    <n v="19.9328"/>
    <n v="11265.197797647061"/>
    <n v="113.018"/>
    <n v="118.98099999999999"/>
    <n v="1.0527"/>
    <n v="11858.873721583061"/>
    <n v="1317.6526357314513"/>
    <m/>
    <n v="9"/>
    <s v="Sale"/>
    <x v="63"/>
    <x v="1"/>
    <n v="425.02"/>
    <n v="1"/>
    <n v="425.02"/>
    <n v="20.703299999999999"/>
    <n v="8799.3165659999995"/>
    <n v="11858.873721583061"/>
    <n v="-3059.5571555830611"/>
    <n v="0.74520547945205484"/>
    <n v="1"/>
    <n v="-3059.5571555830611"/>
    <n v="0"/>
    <m/>
    <n v="-140.13882352941187"/>
    <m/>
    <n v="-0.24796361251912544"/>
    <m/>
  </r>
  <r>
    <x v="4"/>
    <s v="Purchase"/>
    <x v="76"/>
    <x v="2"/>
    <x v="1"/>
    <x v="60"/>
    <n v="62.795424836601313"/>
    <x v="2"/>
    <n v="1"/>
    <n v="62.795424836601313"/>
    <n v="1"/>
    <n v="62.795424836601313"/>
    <n v="20.571200000000001"/>
    <n v="1291.7772433986929"/>
    <n v="113.018"/>
    <n v="118.98099999999999"/>
    <n v="1.0527"/>
    <n v="1359.8539041258041"/>
    <n v="1359.8539041258041"/>
    <m/>
    <n v="1"/>
    <s v="Sale"/>
    <x v="13"/>
    <x v="1"/>
    <n v="47.12"/>
    <n v="1"/>
    <n v="47.12"/>
    <n v="20.926200000000001"/>
    <n v="986.04254400000002"/>
    <n v="1359.8539041258041"/>
    <n v="-373.81136012580407"/>
    <n v="0.70410958904109588"/>
    <n v="1"/>
    <n v="-373.81136012580407"/>
    <n v="0"/>
    <m/>
    <n v="-15.675424836601316"/>
    <m/>
    <n v="-0.24962686178794102"/>
    <m/>
  </r>
  <r>
    <x v="4"/>
    <s v="Purchase"/>
    <x v="76"/>
    <x v="2"/>
    <x v="1"/>
    <x v="60"/>
    <n v="62.795424836601313"/>
    <x v="2"/>
    <n v="1"/>
    <n v="62.795424836601313"/>
    <n v="1"/>
    <n v="62.795424836601313"/>
    <n v="20.571200000000001"/>
    <n v="1291.7772433986929"/>
    <n v="113.018"/>
    <n v="118.98099999999999"/>
    <n v="1.0527"/>
    <n v="1359.8539041258041"/>
    <n v="1359.8539041258041"/>
    <m/>
    <n v="1"/>
    <s v="Sale"/>
    <x v="13"/>
    <x v="1"/>
    <n v="47.12"/>
    <n v="1"/>
    <n v="47.12"/>
    <n v="20.926200000000001"/>
    <n v="986.04254400000002"/>
    <n v="1359.8539041258041"/>
    <n v="-373.81136012580407"/>
    <n v="0.70410958904109588"/>
    <n v="1"/>
    <n v="-373.81136012580407"/>
    <n v="0"/>
    <m/>
    <n v="-15.675424836601316"/>
    <m/>
    <n v="-0.24962686178794102"/>
    <m/>
  </r>
  <r>
    <x v="4"/>
    <s v="Purchase"/>
    <x v="76"/>
    <x v="2"/>
    <x v="1"/>
    <x v="62"/>
    <n v="690.74967320261442"/>
    <x v="2"/>
    <n v="11"/>
    <n v="62.795424836601313"/>
    <n v="1"/>
    <n v="690.74967320261442"/>
    <n v="20.293299999999999"/>
    <n v="14017.590343202613"/>
    <n v="113.899"/>
    <n v="118.98099999999999"/>
    <n v="1.0446"/>
    <n v="14642.77487250945"/>
    <n v="1331.1613520463136"/>
    <m/>
    <n v="11"/>
    <s v="Sale"/>
    <x v="13"/>
    <x v="1"/>
    <n v="518.69000000000005"/>
    <n v="1"/>
    <n v="518.69000000000005"/>
    <n v="20.926200000000001"/>
    <n v="10854.210678000001"/>
    <n v="14642.77487250945"/>
    <n v="-3788.5641945094485"/>
    <n v="0.52876712328767128"/>
    <n v="1"/>
    <n v="-3788.5641945094485"/>
    <n v="0"/>
    <m/>
    <n v="-172.05967320261436"/>
    <m/>
    <n v="-0.24909121187835132"/>
    <m/>
  </r>
  <r>
    <x v="4"/>
    <s v="Purchase"/>
    <x v="76"/>
    <x v="2"/>
    <x v="1"/>
    <x v="62"/>
    <n v="816.3405228758171"/>
    <x v="2"/>
    <n v="13"/>
    <n v="62.795424836601313"/>
    <n v="1"/>
    <n v="816.3405228758171"/>
    <n v="20.293299999999999"/>
    <n v="16566.243132875818"/>
    <n v="113.899"/>
    <n v="118.98099999999999"/>
    <n v="1.0446"/>
    <n v="17305.097576602078"/>
    <n v="1331.1613520463138"/>
    <m/>
    <n v="13"/>
    <s v="Sale"/>
    <x v="13"/>
    <x v="1"/>
    <n v="612.99"/>
    <n v="1"/>
    <n v="612.99"/>
    <n v="20.926200000000001"/>
    <n v="12827.551338000001"/>
    <n v="17305.097576602078"/>
    <n v="-4477.5462386020772"/>
    <n v="0.52876712328767128"/>
    <n v="1"/>
    <n v="-4477.5462386020772"/>
    <n v="0"/>
    <m/>
    <n v="-203.35052287581709"/>
    <m/>
    <n v="-0.24910012081655669"/>
    <m/>
  </r>
  <r>
    <x v="4"/>
    <s v="Purchase"/>
    <x v="76"/>
    <x v="2"/>
    <x v="1"/>
    <x v="62"/>
    <n v="3390.9529411764711"/>
    <x v="2"/>
    <n v="54"/>
    <n v="62.795424836601313"/>
    <n v="1"/>
    <n v="3390.9529411764711"/>
    <n v="20.293299999999999"/>
    <n v="68813.625321176471"/>
    <n v="113.899"/>
    <n v="118.98099999999999"/>
    <n v="1.0446"/>
    <n v="71882.713010500942"/>
    <n v="1331.1613520463138"/>
    <m/>
    <n v="54"/>
    <s v="Sale"/>
    <x v="13"/>
    <x v="1"/>
    <n v="2564.6799999999998"/>
    <n v="1"/>
    <n v="2564.6799999999998"/>
    <n v="20.926200000000001"/>
    <n v="53669.006615999999"/>
    <n v="71882.713010500942"/>
    <n v="-18213.706394500943"/>
    <n v="0.52876712328767128"/>
    <n v="1"/>
    <n v="-18213.706394500943"/>
    <n v="0"/>
    <m/>
    <n v="-826.27294117647125"/>
    <m/>
    <n v="-0.24366983426487798"/>
    <m/>
  </r>
  <r>
    <x v="4"/>
    <s v="Purchase"/>
    <x v="76"/>
    <x v="2"/>
    <x v="1"/>
    <x v="62"/>
    <n v="376.77254901960788"/>
    <x v="2"/>
    <n v="6"/>
    <n v="62.795424836601313"/>
    <n v="1"/>
    <n v="376.77254901960788"/>
    <n v="20.293299999999999"/>
    <n v="7645.9583690196077"/>
    <n v="113.899"/>
    <n v="118.98099999999999"/>
    <n v="1.0446"/>
    <n v="7986.968112277882"/>
    <n v="1331.1613520463136"/>
    <m/>
    <n v="6"/>
    <s v="Sale"/>
    <x v="13"/>
    <x v="1"/>
    <n v="287.52999999999997"/>
    <n v="1"/>
    <n v="287.52999999999997"/>
    <n v="20.926200000000001"/>
    <n v="6016.9102860000003"/>
    <n v="7986.968112277882"/>
    <n v="-1970.0578262778818"/>
    <n v="0.52876712328767128"/>
    <n v="1"/>
    <n v="-1970.0578262778818"/>
    <n v="0"/>
    <m/>
    <n v="-89.242549019607907"/>
    <m/>
    <n v="-0.23686053894272316"/>
    <m/>
  </r>
  <r>
    <x v="4"/>
    <s v="Purchase"/>
    <x v="76"/>
    <x v="2"/>
    <x v="1"/>
    <x v="105"/>
    <n v="1130.3176470588237"/>
    <x v="2"/>
    <n v="18"/>
    <n v="62.795424836601313"/>
    <n v="1"/>
    <n v="1130.3176470588237"/>
    <n v="19.9328"/>
    <n v="22530.395595294121"/>
    <n v="113.018"/>
    <n v="118.98099999999999"/>
    <n v="1.0527"/>
    <n v="23717.747443166121"/>
    <n v="1317.6526357314513"/>
    <m/>
    <n v="18"/>
    <s v="Sale"/>
    <x v="13"/>
    <x v="1"/>
    <n v="854.89090909090908"/>
    <n v="1"/>
    <n v="854.89090909090908"/>
    <n v="20.926200000000001"/>
    <n v="17889.618141818184"/>
    <n v="23717.747443166121"/>
    <n v="-5828.1293013479371"/>
    <n v="0.74794520547945209"/>
    <n v="1"/>
    <n v="-5828.1293013479371"/>
    <n v="0"/>
    <m/>
    <n v="-275.42673796791462"/>
    <m/>
    <n v="-0.24367197900926069"/>
    <m/>
  </r>
  <r>
    <x v="4"/>
    <s v="Purchase"/>
    <x v="76"/>
    <x v="2"/>
    <x v="1"/>
    <x v="60"/>
    <n v="3078.0613953488369"/>
    <x v="2"/>
    <n v="48"/>
    <n v="64.126279069767435"/>
    <n v="1"/>
    <n v="3078.0613953488369"/>
    <n v="20.571200000000001"/>
    <n v="63319.416575999996"/>
    <n v="113.018"/>
    <n v="118.98099999999999"/>
    <n v="1.0527"/>
    <n v="66656.349829555198"/>
    <n v="1388.6739547824"/>
    <m/>
    <n v="48"/>
    <s v="Sale"/>
    <x v="13"/>
    <x v="1"/>
    <n v="2279.7090909090907"/>
    <n v="1"/>
    <n v="2279.7090909090907"/>
    <n v="20.926200000000001"/>
    <n v="47705.648378181817"/>
    <n v="66656.349829555198"/>
    <n v="-18950.701451373381"/>
    <n v="0.70410958904109588"/>
    <n v="1"/>
    <n v="-18950.701451373381"/>
    <n v="0"/>
    <m/>
    <n v="-798.35230443974615"/>
    <m/>
    <n v="-0.2593685446450521"/>
    <m/>
  </r>
  <r>
    <x v="4"/>
    <s v="Purchase"/>
    <x v="76"/>
    <x v="2"/>
    <x v="1"/>
    <x v="60"/>
    <n v="448.88395348837207"/>
    <x v="2"/>
    <n v="7"/>
    <n v="64.126279069767435"/>
    <n v="1"/>
    <n v="448.88395348837207"/>
    <n v="20.571200000000001"/>
    <n v="9234.0815839999996"/>
    <n v="113.018"/>
    <n v="118.98099999999999"/>
    <n v="1.0527"/>
    <n v="9720.7176834767997"/>
    <n v="1388.6739547824"/>
    <m/>
    <n v="7"/>
    <s v="Sale"/>
    <x v="13"/>
    <x v="1"/>
    <n v="318.99"/>
    <n v="1"/>
    <n v="318.99"/>
    <n v="20.926200000000001"/>
    <n v="6675.2485380000007"/>
    <n v="9720.7176834767997"/>
    <n v="-3045.469145476799"/>
    <n v="0.70410958904109588"/>
    <n v="1"/>
    <n v="-3045.469145476799"/>
    <n v="0"/>
    <m/>
    <n v="-129.89395348837206"/>
    <m/>
    <n v="-0.28937089971458924"/>
    <m/>
  </r>
  <r>
    <x v="4"/>
    <s v="Purchase"/>
    <x v="76"/>
    <x v="2"/>
    <x v="1"/>
    <x v="60"/>
    <n v="513.01023255813948"/>
    <x v="2"/>
    <n v="8"/>
    <n v="64.126279069767435"/>
    <n v="1"/>
    <n v="513.01023255813948"/>
    <n v="20.571200000000001"/>
    <n v="10553.236095999999"/>
    <n v="113.018"/>
    <n v="118.98099999999999"/>
    <n v="1.0527"/>
    <n v="11109.391638259198"/>
    <n v="1388.6739547823997"/>
    <m/>
    <n v="8"/>
    <s v="Sale"/>
    <x v="13"/>
    <x v="1"/>
    <n v="383.38"/>
    <n v="1"/>
    <n v="383.38"/>
    <n v="20.926200000000001"/>
    <n v="8022.6865560000006"/>
    <n v="11109.391638259198"/>
    <n v="-3086.7050822591973"/>
    <n v="0.70410958904109588"/>
    <n v="1"/>
    <n v="-3086.7050822591973"/>
    <n v="0"/>
    <m/>
    <n v="-129.63023255813948"/>
    <m/>
    <n v="-0.25268547161668647"/>
    <m/>
  </r>
  <r>
    <x v="4"/>
    <s v="Purchase"/>
    <x v="76"/>
    <x v="2"/>
    <x v="1"/>
    <x v="60"/>
    <n v="577.13651162790688"/>
    <x v="2"/>
    <n v="9"/>
    <n v="64.126279069767435"/>
    <n v="1"/>
    <n v="577.13651162790688"/>
    <n v="20.571200000000001"/>
    <n v="11872.390607999998"/>
    <n v="113.018"/>
    <n v="118.98099999999999"/>
    <n v="1.0527"/>
    <n v="12498.065593041598"/>
    <n v="1388.6739547823997"/>
    <m/>
    <n v="9"/>
    <s v="Sale"/>
    <x v="13"/>
    <x v="1"/>
    <n v="410.13"/>
    <n v="1"/>
    <n v="410.13"/>
    <n v="20.926200000000001"/>
    <n v="8582.4624060000006"/>
    <n v="12498.065593041598"/>
    <n v="-3915.6031870415973"/>
    <n v="0.70410958904109588"/>
    <n v="1"/>
    <n v="-3915.6031870415973"/>
    <n v="0"/>
    <m/>
    <n v="-167.00651162790689"/>
    <m/>
    <n v="-0.28937089971458918"/>
    <m/>
  </r>
  <r>
    <x v="4"/>
    <s v="Purchase"/>
    <x v="76"/>
    <x v="2"/>
    <x v="1"/>
    <x v="60"/>
    <n v="833.64162790697662"/>
    <x v="2"/>
    <n v="13"/>
    <n v="64.126279069767435"/>
    <n v="1"/>
    <n v="833.64162790697662"/>
    <n v="20.571200000000001"/>
    <n v="17149.008655999998"/>
    <n v="113.018"/>
    <n v="118.98099999999999"/>
    <n v="1.0527"/>
    <n v="18052.761412171196"/>
    <n v="1388.6739547823997"/>
    <m/>
    <n v="13"/>
    <s v="Sale"/>
    <x v="56"/>
    <x v="1"/>
    <n v="497.58000000000004"/>
    <n v="1"/>
    <n v="497.58000000000004"/>
    <n v="20.974299999999999"/>
    <n v="10436.392194"/>
    <n v="18052.761412171196"/>
    <n v="-7616.3692181711958"/>
    <n v="0.72054794520547949"/>
    <n v="1"/>
    <n v="-7616.3692181711958"/>
    <n v="0"/>
    <m/>
    <n v="-336.06162790697658"/>
    <m/>
    <n v="-0.40312481605642253"/>
    <m/>
  </r>
  <r>
    <x v="4"/>
    <s v="Purchase"/>
    <x v="76"/>
    <x v="2"/>
    <x v="1"/>
    <x v="60"/>
    <n v="64.126279069767435"/>
    <x v="2"/>
    <n v="1"/>
    <n v="64.126279069767435"/>
    <n v="1"/>
    <n v="64.126279069767435"/>
    <n v="20.571200000000001"/>
    <n v="1319.1545119999998"/>
    <n v="113.018"/>
    <n v="118.98099999999999"/>
    <n v="1.0527"/>
    <n v="1388.6739547823997"/>
    <n v="1388.6739547823997"/>
    <m/>
    <n v="1"/>
    <s v="Sale"/>
    <x v="56"/>
    <x v="1"/>
    <n v="38.716923076923074"/>
    <n v="1"/>
    <n v="38.716923076923074"/>
    <n v="20.974299999999999"/>
    <n v="812.06035969230766"/>
    <n v="1388.6739547823997"/>
    <n v="-576.61359509009208"/>
    <n v="0.72054794520547949"/>
    <n v="1"/>
    <n v="-576.61359509009208"/>
    <n v="0"/>
    <m/>
    <n v="-25.409355992844361"/>
    <m/>
    <n v="-0.39623936335366905"/>
    <m/>
  </r>
  <r>
    <x v="4"/>
    <s v="Purchase"/>
    <x v="76"/>
    <x v="2"/>
    <x v="1"/>
    <x v="60"/>
    <n v="773.07500000000005"/>
    <x v="2"/>
    <n v="12"/>
    <n v="64.422916666666666"/>
    <n v="1"/>
    <n v="773.07500000000005"/>
    <n v="20.571200000000001"/>
    <n v="15903.080440000002"/>
    <n v="113.018"/>
    <n v="118.98099999999999"/>
    <n v="1.0527"/>
    <n v="16741.172779188"/>
    <n v="1395.0977315990001"/>
    <m/>
    <n v="12"/>
    <s v="Sale"/>
    <x v="56"/>
    <x v="1"/>
    <n v="464.60307692307686"/>
    <n v="1"/>
    <n v="464.60307692307686"/>
    <n v="20.974299999999999"/>
    <n v="9744.724316307691"/>
    <n v="16741.172779188"/>
    <n v="-6996.4484628803093"/>
    <n v="0.72054794520547949"/>
    <n v="1"/>
    <n v="-6996.4484628803093"/>
    <n v="0"/>
    <m/>
    <n v="-308.47192307692319"/>
    <m/>
    <n v="-0.39901940054577262"/>
    <m/>
  </r>
  <r>
    <x v="4"/>
    <s v="Purchase"/>
    <x v="76"/>
    <x v="2"/>
    <x v="1"/>
    <x v="60"/>
    <n v="3865.375"/>
    <x v="2"/>
    <n v="60"/>
    <n v="64.422916666666666"/>
    <n v="1"/>
    <n v="3865.375"/>
    <n v="20.571200000000001"/>
    <n v="79515.402199999997"/>
    <n v="113.018"/>
    <n v="118.98099999999999"/>
    <n v="1.0527"/>
    <n v="83705.863895939998"/>
    <n v="1395.0977315989999"/>
    <m/>
    <n v="60"/>
    <s v="Sale"/>
    <x v="56"/>
    <x v="1"/>
    <n v="2390.2055865921789"/>
    <n v="1"/>
    <n v="2390.2055865921789"/>
    <n v="20.974299999999999"/>
    <n v="50132.889034860338"/>
    <n v="83705.863895939998"/>
    <n v="-33572.97486107966"/>
    <n v="0.72054794520547949"/>
    <n v="1"/>
    <n v="-33572.97486107966"/>
    <n v="0"/>
    <m/>
    <n v="-1475.1694134078211"/>
    <m/>
    <n v="-0.38163681749062411"/>
    <m/>
  </r>
  <r>
    <x v="4"/>
    <s v="Purchase"/>
    <x v="76"/>
    <x v="2"/>
    <x v="1"/>
    <x v="62"/>
    <n v="558.54"/>
    <x v="2"/>
    <n v="9"/>
    <n v="62.059999999999995"/>
    <n v="1"/>
    <n v="558.54"/>
    <n v="20.293299999999999"/>
    <n v="11334.619781999998"/>
    <n v="113.899"/>
    <n v="118.98099999999999"/>
    <n v="1.0446"/>
    <n v="11840.143824277198"/>
    <n v="1315.5715360307997"/>
    <m/>
    <n v="9"/>
    <s v="Sale"/>
    <x v="56"/>
    <x v="1"/>
    <n v="358.53083798882682"/>
    <n v="1"/>
    <n v="358.53083798882682"/>
    <n v="20.974299999999999"/>
    <n v="7519.93335522905"/>
    <n v="11840.143824277198"/>
    <n v="-4320.2104690481483"/>
    <n v="0.54520547945205478"/>
    <n v="1"/>
    <n v="-4320.2104690481483"/>
    <n v="0"/>
    <m/>
    <n v="-200.00916201117315"/>
    <m/>
    <n v="-0.35809281700714929"/>
    <m/>
  </r>
  <r>
    <x v="4"/>
    <s v="Purchase"/>
    <x v="76"/>
    <x v="2"/>
    <x v="1"/>
    <x v="62"/>
    <n v="558.14"/>
    <x v="2"/>
    <n v="9"/>
    <n v="62.015555555555551"/>
    <n v="1"/>
    <n v="558.14"/>
    <n v="20.293299999999999"/>
    <n v="11326.502461999999"/>
    <n v="113.899"/>
    <n v="118.98099999999999"/>
    <n v="1.0446"/>
    <n v="11831.664471805198"/>
    <n v="1314.6293857561332"/>
    <m/>
    <n v="9"/>
    <s v="Sale"/>
    <x v="56"/>
    <x v="1"/>
    <n v="358.53083798882682"/>
    <n v="1"/>
    <n v="358.53083798882682"/>
    <n v="20.974299999999999"/>
    <n v="7519.93335522905"/>
    <n v="11831.664471805198"/>
    <n v="-4311.7311165761475"/>
    <n v="0.54520547945205478"/>
    <n v="1"/>
    <n v="-4311.7311165761475"/>
    <n v="0"/>
    <m/>
    <n v="-199.60916201117317"/>
    <m/>
    <n v="-0.35763278390936537"/>
    <m/>
  </r>
  <r>
    <x v="4"/>
    <s v="Purchase"/>
    <x v="76"/>
    <x v="2"/>
    <x v="1"/>
    <x v="62"/>
    <n v="496.42"/>
    <x v="2"/>
    <n v="8"/>
    <n v="62.052500000000002"/>
    <n v="1"/>
    <n v="496.42"/>
    <n v="20.293299999999999"/>
    <n v="10073.999985999999"/>
    <n v="113.899"/>
    <n v="118.98099999999999"/>
    <n v="1.0446"/>
    <n v="10523.300385375598"/>
    <n v="1315.4125481719498"/>
    <m/>
    <n v="8"/>
    <s v="Sale"/>
    <x v="56"/>
    <x v="1"/>
    <n v="318.69407821229049"/>
    <n v="1"/>
    <n v="318.69407821229049"/>
    <n v="20.974299999999999"/>
    <n v="6684.3852046480442"/>
    <n v="10523.300385375598"/>
    <n v="-3838.9151807275539"/>
    <n v="0.54520547945205478"/>
    <n v="1"/>
    <n v="-3838.9151807275539"/>
    <n v="0"/>
    <m/>
    <n v="-177.72592178770952"/>
    <m/>
    <n v="-0.3580152326411295"/>
    <m/>
  </r>
  <r>
    <x v="4"/>
    <s v="Purchase"/>
    <x v="76"/>
    <x v="2"/>
    <x v="1"/>
    <x v="62"/>
    <n v="3406.85"/>
    <x v="2"/>
    <n v="55"/>
    <n v="61.942727272727268"/>
    <n v="1"/>
    <n v="3406.85"/>
    <n v="20.293299999999999"/>
    <n v="69136.229104999991"/>
    <n v="113.899"/>
    <n v="118.98099999999999"/>
    <n v="1.0446"/>
    <n v="72219.704923082987"/>
    <n v="1313.0855440560542"/>
    <m/>
    <n v="55"/>
    <s v="Sale"/>
    <x v="56"/>
    <x v="1"/>
    <n v="2191.0217877094969"/>
    <n v="1"/>
    <n v="2191.0217877094969"/>
    <n v="20.974299999999999"/>
    <n v="45955.148281955298"/>
    <n v="72219.704923082987"/>
    <n v="-26264.556641127689"/>
    <n v="0.54520547945205478"/>
    <n v="1"/>
    <n v="-26264.556641127689"/>
    <n v="0"/>
    <m/>
    <n v="-1215.828212290503"/>
    <m/>
    <n v="-0.3568775297681151"/>
    <m/>
  </r>
  <r>
    <x v="4"/>
    <s v="Purchase"/>
    <x v="76"/>
    <x v="2"/>
    <x v="1"/>
    <x v="120"/>
    <n v="2312.94"/>
    <x v="2"/>
    <n v="37"/>
    <n v="62.511891891891892"/>
    <n v="1"/>
    <n v="2312.94"/>
    <n v="20.3522"/>
    <n v="47073.417468"/>
    <n v="113.899"/>
    <n v="118.98099999999999"/>
    <n v="1.0446"/>
    <n v="49172.891887072801"/>
    <n v="1328.9970780289946"/>
    <m/>
    <n v="37"/>
    <s v="Sale"/>
    <x v="56"/>
    <x v="1"/>
    <n v="1473.9601117318434"/>
    <n v="1"/>
    <n v="1473.9601117318434"/>
    <n v="20.974299999999999"/>
    <n v="30915.281571497202"/>
    <n v="49172.891887072801"/>
    <n v="-18257.610315575599"/>
    <n v="0.53698630136986303"/>
    <n v="1"/>
    <n v="-18257.610315575599"/>
    <n v="0"/>
    <m/>
    <n v="-838.97988826815663"/>
    <m/>
    <n v="-0.36273309652137825"/>
    <m/>
  </r>
  <r>
    <x v="4"/>
    <s v="Purchase"/>
    <x v="76"/>
    <x v="2"/>
    <x v="1"/>
    <x v="99"/>
    <n v="70.955555555555563"/>
    <x v="2"/>
    <n v="1"/>
    <n v="70.955555555555563"/>
    <n v="1"/>
    <n v="70.955555555555563"/>
    <n v="20.183700000000002"/>
    <n v="1432.1456466666668"/>
    <n v="115.56100000000001"/>
    <n v="118.98099999999999"/>
    <n v="1.0295000000000001"/>
    <n v="1474.3939432433335"/>
    <n v="1474.3939432433335"/>
    <m/>
    <n v="1"/>
    <s v="Sale"/>
    <x v="56"/>
    <x v="1"/>
    <n v="39.836759776536312"/>
    <n v="1"/>
    <n v="39.836759776536312"/>
    <n v="20.974299999999999"/>
    <n v="835.54815058100553"/>
    <n v="1474.3939432433335"/>
    <n v="-638.84579266232799"/>
    <n v="0.38082191780821917"/>
    <n v="1"/>
    <n v="-638.84579266232799"/>
    <n v="0"/>
    <m/>
    <n v="-31.118795779019251"/>
    <m/>
    <n v="-0.43856743189973885"/>
    <m/>
  </r>
  <r>
    <x v="4"/>
    <s v="Purchase"/>
    <x v="76"/>
    <x v="2"/>
    <x v="1"/>
    <x v="99"/>
    <n v="425.73333333333335"/>
    <x v="2"/>
    <n v="6"/>
    <n v="70.955555555555563"/>
    <n v="1"/>
    <n v="425.73333333333335"/>
    <n v="20.183700000000002"/>
    <n v="8592.873880000001"/>
    <n v="115.56100000000001"/>
    <n v="118.98099999999999"/>
    <n v="1.0295000000000001"/>
    <n v="8846.3636594600011"/>
    <n v="1474.3939432433335"/>
    <m/>
    <n v="6"/>
    <s v="Sale"/>
    <x v="56"/>
    <x v="1"/>
    <n v="233.94"/>
    <n v="1"/>
    <n v="233.94"/>
    <n v="20.974299999999999"/>
    <n v="4906.727742"/>
    <n v="8846.3636594600011"/>
    <n v="-3939.6359174600011"/>
    <n v="0.38082191780821917"/>
    <n v="1"/>
    <n v="-3939.6359174600011"/>
    <n v="0"/>
    <m/>
    <n v="-191.79333333333335"/>
    <m/>
    <n v="-0.45050109614782341"/>
    <m/>
  </r>
  <r>
    <x v="4"/>
    <s v="Purchase"/>
    <x v="76"/>
    <x v="2"/>
    <x v="1"/>
    <x v="99"/>
    <n v="141.91111111111113"/>
    <x v="2"/>
    <n v="2"/>
    <n v="70.955555555555563"/>
    <n v="1"/>
    <n v="141.91111111111113"/>
    <n v="20.183700000000002"/>
    <n v="2864.2912933333337"/>
    <n v="115.56100000000001"/>
    <n v="118.98099999999999"/>
    <n v="1.0295000000000001"/>
    <n v="2948.787886486667"/>
    <n v="1474.3939432433335"/>
    <m/>
    <n v="2"/>
    <s v="Sale"/>
    <x v="70"/>
    <x v="1"/>
    <n v="77.572478632478635"/>
    <n v="1"/>
    <n v="77.572478632478635"/>
    <n v="20.9695"/>
    <n v="1626.6560906837608"/>
    <n v="2948.787886486667"/>
    <n v="-1322.1317958029063"/>
    <n v="0.38356164383561642"/>
    <n v="1"/>
    <n v="-1322.1317958029063"/>
    <n v="0"/>
    <m/>
    <n v="-64.338632478632491"/>
    <m/>
    <n v="-0.45337276253342651"/>
    <m/>
  </r>
  <r>
    <x v="4"/>
    <s v="Purchase"/>
    <x v="76"/>
    <x v="2"/>
    <x v="1"/>
    <x v="99"/>
    <n v="1268.26"/>
    <x v="2"/>
    <n v="18"/>
    <n v="70.458888888888893"/>
    <n v="1"/>
    <n v="1268.26"/>
    <n v="20.183700000000002"/>
    <n v="25598.179362000003"/>
    <n v="115.56100000000001"/>
    <n v="118.98099999999999"/>
    <n v="1.0295000000000001"/>
    <n v="26353.325653179003"/>
    <n v="1464.0736473988336"/>
    <m/>
    <n v="18"/>
    <s v="Sale"/>
    <x v="70"/>
    <x v="1"/>
    <n v="698.15230769230766"/>
    <n v="1"/>
    <n v="698.15230769230766"/>
    <n v="20.9695"/>
    <n v="14639.904816153845"/>
    <n v="26353.325653179003"/>
    <n v="-11713.420837025158"/>
    <n v="0.38356164383561642"/>
    <n v="1"/>
    <n v="-11713.420837025158"/>
    <n v="0"/>
    <m/>
    <n v="-570.10769230769233"/>
    <m/>
    <n v="-0.44951957193926506"/>
    <m/>
  </r>
  <r>
    <x v="4"/>
    <s v="Purchase"/>
    <x v="76"/>
    <x v="2"/>
    <x v="1"/>
    <x v="99"/>
    <n v="1833.7900000000002"/>
    <x v="2"/>
    <n v="26"/>
    <n v="70.530384615384619"/>
    <n v="1"/>
    <n v="1833.7900000000002"/>
    <n v="20.183700000000002"/>
    <n v="37012.667223000004"/>
    <n v="115.56100000000001"/>
    <n v="118.98099999999999"/>
    <n v="1.0295000000000001"/>
    <n v="38104.54090607851"/>
    <n v="1465.5592656184042"/>
    <m/>
    <n v="26"/>
    <s v="Sale"/>
    <x v="70"/>
    <x v="1"/>
    <n v="1008.4422222222222"/>
    <n v="1"/>
    <n v="1008.4422222222222"/>
    <n v="20.9695"/>
    <n v="21146.52917888889"/>
    <n v="38104.54090607851"/>
    <n v="-16958.01172718962"/>
    <n v="0.38356164383561642"/>
    <n v="1"/>
    <n v="-16958.01172718962"/>
    <n v="0"/>
    <m/>
    <n v="-825.34777777777799"/>
    <m/>
    <n v="-0.45007758673445591"/>
    <m/>
  </r>
  <r>
    <x v="4"/>
    <s v="Purchase"/>
    <x v="76"/>
    <x v="2"/>
    <x v="1"/>
    <x v="99"/>
    <n v="2204.5700000000002"/>
    <x v="2"/>
    <n v="31"/>
    <n v="71.11516129032259"/>
    <n v="1"/>
    <n v="2204.5700000000002"/>
    <n v="20.183700000000002"/>
    <n v="44496.379509000006"/>
    <n v="115.56100000000001"/>
    <n v="118.98099999999999"/>
    <n v="1.0295000000000001"/>
    <n v="45809.022704515512"/>
    <n v="1477.7104098230809"/>
    <m/>
    <n v="31"/>
    <s v="Sale"/>
    <x v="70"/>
    <x v="1"/>
    <n v="1202.3734188034189"/>
    <n v="1"/>
    <n v="1202.3734188034189"/>
    <n v="20.9695"/>
    <n v="25213.169405598292"/>
    <n v="45809.022704515512"/>
    <n v="-20595.85329891722"/>
    <n v="0.38356164383561642"/>
    <n v="1"/>
    <n v="-20595.85329891722"/>
    <n v="0"/>
    <m/>
    <n v="-1002.1965811965813"/>
    <m/>
    <n v="-0.45459957324856148"/>
    <m/>
  </r>
  <r>
    <x v="4"/>
    <s v="Purchase"/>
    <x v="76"/>
    <x v="2"/>
    <x v="1"/>
    <x v="99"/>
    <n v="2844.6000000000004"/>
    <x v="2"/>
    <n v="40"/>
    <n v="71.115000000000009"/>
    <n v="1"/>
    <n v="2844.6000000000004"/>
    <n v="20.183700000000002"/>
    <n v="57414.553020000014"/>
    <n v="115.56100000000001"/>
    <n v="118.98099999999999"/>
    <n v="1.0295000000000001"/>
    <n v="59108.282334090021"/>
    <n v="1477.7070583522504"/>
    <m/>
    <n v="40"/>
    <s v="Sale"/>
    <x v="70"/>
    <x v="1"/>
    <n v="1551.4495726495727"/>
    <n v="1"/>
    <n v="1551.4495726495727"/>
    <n v="20.9695"/>
    <n v="32533.121813675214"/>
    <n v="59108.282334090021"/>
    <n v="-26575.160520414807"/>
    <n v="0.38356164383561642"/>
    <n v="1"/>
    <n v="-26575.160520414807"/>
    <n v="0"/>
    <m/>
    <n v="-1293.1504273504277"/>
    <m/>
    <n v="-0.45459833626886997"/>
    <m/>
  </r>
  <r>
    <x v="4"/>
    <s v="Purchase"/>
    <x v="76"/>
    <x v="2"/>
    <x v="1"/>
    <x v="99"/>
    <n v="213.34500000000003"/>
    <x v="2"/>
    <n v="3"/>
    <n v="71.115000000000009"/>
    <n v="1"/>
    <n v="213.34500000000003"/>
    <n v="20.183700000000002"/>
    <n v="4306.0914765000007"/>
    <n v="115.56100000000001"/>
    <n v="118.98099999999999"/>
    <n v="1.0295000000000001"/>
    <n v="4433.1211750567509"/>
    <n v="1477.7070583522502"/>
    <m/>
    <n v="3"/>
    <s v="Sale"/>
    <x v="70"/>
    <x v="1"/>
    <n v="116.1"/>
    <n v="1"/>
    <n v="116.1"/>
    <n v="20.9695"/>
    <n v="2434.5589500000001"/>
    <n v="4433.1211750567509"/>
    <n v="-1998.5622250567508"/>
    <n v="0.38356164383561642"/>
    <n v="1"/>
    <n v="-1998.5622250567508"/>
    <n v="0"/>
    <m/>
    <n v="-97.245000000000033"/>
    <m/>
    <n v="-0.45581101033537236"/>
    <m/>
  </r>
  <r>
    <x v="4"/>
    <s v="Purchase"/>
    <x v="76"/>
    <x v="2"/>
    <x v="1"/>
    <x v="99"/>
    <n v="1920.1050000000002"/>
    <x v="2"/>
    <n v="27"/>
    <n v="71.115000000000009"/>
    <n v="1"/>
    <n v="1920.1050000000002"/>
    <n v="20.183700000000002"/>
    <n v="38754.823288500011"/>
    <n v="115.56100000000001"/>
    <n v="118.98099999999999"/>
    <n v="1.0295000000000001"/>
    <n v="39898.090575510767"/>
    <n v="1477.7070583522507"/>
    <m/>
    <n v="27"/>
    <s v="Sale"/>
    <x v="70"/>
    <x v="1"/>
    <n v="1036.233870967742"/>
    <n v="1"/>
    <n v="1036.233870967742"/>
    <n v="20.9695"/>
    <n v="21729.306157258066"/>
    <n v="39898.090575510767"/>
    <n v="-18168.784418252701"/>
    <n v="0.38356164383561642"/>
    <n v="1"/>
    <n v="-18168.784418252701"/>
    <n v="0"/>
    <m/>
    <n v="-883.8711290322583"/>
    <m/>
    <n v="-0.4603243723818532"/>
    <m/>
  </r>
  <r>
    <x v="4"/>
    <s v="Purchase"/>
    <x v="76"/>
    <x v="2"/>
    <x v="1"/>
    <x v="121"/>
    <n v="273.92"/>
    <x v="2"/>
    <n v="4"/>
    <n v="68.48"/>
    <n v="1"/>
    <n v="273.92"/>
    <n v="20.189699999999998"/>
    <n v="5530.3626240000003"/>
    <n v="115.56100000000001"/>
    <n v="118.98099999999999"/>
    <n v="1.0295000000000001"/>
    <n v="5693.5083214080005"/>
    <n v="1423.3770803520001"/>
    <m/>
    <n v="4"/>
    <s v="Sale"/>
    <x v="70"/>
    <x v="1"/>
    <n v="153.51612903225808"/>
    <n v="1"/>
    <n v="153.51612903225808"/>
    <n v="20.9695"/>
    <n v="3219.1564677419356"/>
    <n v="5693.5083214080005"/>
    <n v="-2474.3518536660649"/>
    <n v="0.38082191780821917"/>
    <n v="1"/>
    <n v="-2474.3518536660649"/>
    <n v="0"/>
    <m/>
    <n v="-120.40387096774194"/>
    <m/>
    <n v="-0.43955852426891767"/>
    <m/>
  </r>
  <r>
    <x v="4"/>
    <s v="Purchase"/>
    <x v="76"/>
    <x v="2"/>
    <x v="1"/>
    <x v="121"/>
    <n v="273.92"/>
    <x v="2"/>
    <n v="4"/>
    <n v="68.48"/>
    <n v="1"/>
    <n v="273.92"/>
    <n v="20.189699999999998"/>
    <n v="5530.3626240000003"/>
    <n v="115.56100000000001"/>
    <n v="118.98099999999999"/>
    <n v="1.0295000000000001"/>
    <n v="5693.5083214080005"/>
    <n v="1423.3770803520001"/>
    <m/>
    <n v="4"/>
    <s v="Sale"/>
    <x v="70"/>
    <x v="1"/>
    <n v="158.52571428571429"/>
    <n v="1"/>
    <n v="158.52571428571429"/>
    <n v="20.9695"/>
    <n v="3324.2049657142857"/>
    <n v="5693.5083214080005"/>
    <n v="-2369.3033556937148"/>
    <n v="0.38082191780821917"/>
    <n v="1"/>
    <n v="-2369.3033556937148"/>
    <n v="0"/>
    <m/>
    <n v="-115.39428571428573"/>
    <m/>
    <n v="-0.42127002670226971"/>
    <m/>
  </r>
  <r>
    <x v="4"/>
    <s v="Purchase"/>
    <x v="76"/>
    <x v="2"/>
    <x v="1"/>
    <x v="121"/>
    <n v="906.97"/>
    <x v="2"/>
    <n v="13"/>
    <n v="69.766923076923078"/>
    <n v="1"/>
    <n v="906.97"/>
    <n v="20.189699999999998"/>
    <n v="18311.452208999999"/>
    <n v="115.56100000000001"/>
    <n v="118.98099999999999"/>
    <n v="1.0295000000000001"/>
    <n v="18851.6400491655"/>
    <n v="1450.1261576281154"/>
    <m/>
    <n v="13"/>
    <s v="Sale"/>
    <x v="70"/>
    <x v="1"/>
    <n v="515.20857142857142"/>
    <n v="1"/>
    <n v="515.20857142857142"/>
    <n v="20.9695"/>
    <n v="10803.666138571429"/>
    <n v="18851.6400491655"/>
    <n v="-8047.9739105940716"/>
    <n v="0.38082191780821917"/>
    <n v="1"/>
    <n v="-8047.9739105940716"/>
    <n v="0"/>
    <m/>
    <n v="-391.76142857142861"/>
    <m/>
    <n v="-0.43194529981303526"/>
    <m/>
  </r>
  <r>
    <x v="4"/>
    <s v="Purchase"/>
    <x v="76"/>
    <x v="2"/>
    <x v="1"/>
    <x v="121"/>
    <n v="1697.375"/>
    <x v="2"/>
    <n v="25"/>
    <n v="67.894999999999996"/>
    <n v="1"/>
    <n v="1697.375"/>
    <n v="20.189699999999998"/>
    <n v="34269.4920375"/>
    <n v="115.56100000000001"/>
    <n v="118.98099999999999"/>
    <n v="1.0295000000000001"/>
    <n v="35280.442052606253"/>
    <n v="1411.2176821042501"/>
    <m/>
    <n v="25"/>
    <s v="Sale"/>
    <x v="70"/>
    <x v="1"/>
    <n v="990.78571428571433"/>
    <n v="1"/>
    <n v="990.78571428571433"/>
    <n v="20.9695"/>
    <n v="20776.281035714288"/>
    <n v="35280.442052606253"/>
    <n v="-14504.161016891965"/>
    <n v="0.38082191780821917"/>
    <n v="1"/>
    <n v="-14504.161016891965"/>
    <n v="0"/>
    <m/>
    <n v="-706.58928571428567"/>
    <m/>
    <n v="-0.41628354707373777"/>
    <m/>
  </r>
  <r>
    <x v="4"/>
    <s v="Purchase"/>
    <x v="76"/>
    <x v="2"/>
    <x v="1"/>
    <x v="121"/>
    <n v="339.47499999999997"/>
    <x v="2"/>
    <n v="5"/>
    <n v="67.894999999999996"/>
    <n v="1"/>
    <n v="339.47499999999997"/>
    <n v="20.189699999999998"/>
    <n v="6853.8984074999989"/>
    <n v="115.56100000000001"/>
    <n v="118.98099999999999"/>
    <n v="1.0295000000000001"/>
    <n v="7056.0884105212499"/>
    <n v="1411.2176821042499"/>
    <m/>
    <n v="5"/>
    <s v="Sale"/>
    <x v="70"/>
    <x v="1"/>
    <n v="198.1"/>
    <n v="1"/>
    <n v="198.1"/>
    <n v="20.9695"/>
    <n v="4154.0579499999994"/>
    <n v="7056.0884105212499"/>
    <n v="-2902.0304605212505"/>
    <n v="0.38082191780821917"/>
    <n v="1"/>
    <n v="-2902.0304605212505"/>
    <n v="0"/>
    <m/>
    <n v="-141.37499999999997"/>
    <m/>
    <n v="-0.41645187421754176"/>
    <m/>
  </r>
  <r>
    <x v="4"/>
    <s v="Purchase"/>
    <x v="76"/>
    <x v="2"/>
    <x v="1"/>
    <x v="121"/>
    <n v="139.24031746031744"/>
    <x v="2"/>
    <n v="2"/>
    <n v="69.620158730158721"/>
    <n v="1"/>
    <n v="139.24031746031744"/>
    <n v="20.189699999999998"/>
    <n v="2811.2202374285707"/>
    <n v="115.56100000000001"/>
    <n v="118.98099999999999"/>
    <n v="1.0295000000000001"/>
    <n v="2894.1512344327139"/>
    <n v="1447.0756172163569"/>
    <m/>
    <n v="2"/>
    <s v="Sale"/>
    <x v="70"/>
    <x v="1"/>
    <n v="79.239999999999995"/>
    <n v="1"/>
    <n v="79.239999999999995"/>
    <n v="20.9695"/>
    <n v="1661.6231799999998"/>
    <n v="2894.1512344327139"/>
    <n v="-1232.528054432714"/>
    <n v="0.38082191780821917"/>
    <n v="1"/>
    <n v="-1232.528054432714"/>
    <n v="0"/>
    <m/>
    <n v="-60.000317460317447"/>
    <m/>
    <n v="-0.43091195534954979"/>
    <m/>
  </r>
  <r>
    <x v="4"/>
    <s v="Purchase"/>
    <x v="76"/>
    <x v="2"/>
    <x v="1"/>
    <x v="121"/>
    <n v="2367.0853968253964"/>
    <x v="2"/>
    <n v="34"/>
    <n v="69.620158730158721"/>
    <n v="1"/>
    <n v="2367.0853968253964"/>
    <n v="20.189699999999998"/>
    <n v="47790.744036285701"/>
    <n v="115.56100000000001"/>
    <n v="118.98099999999999"/>
    <n v="1.0295000000000001"/>
    <n v="49200.570985356135"/>
    <n v="1447.0756172163569"/>
    <m/>
    <n v="34"/>
    <s v="Sale"/>
    <x v="71"/>
    <x v="1"/>
    <n v="1403.48"/>
    <n v="1"/>
    <n v="1403.48"/>
    <n v="20.890799999999999"/>
    <n v="29319.819983999998"/>
    <n v="49200.570985356135"/>
    <n v="-19880.751001356137"/>
    <n v="0.38356164383561642"/>
    <n v="1"/>
    <n v="-19880.751001356137"/>
    <n v="0"/>
    <m/>
    <n v="-963.60539682539638"/>
    <m/>
    <n v="-0.40708518506249519"/>
    <m/>
  </r>
  <r>
    <x v="4"/>
    <s v="Purchase"/>
    <x v="76"/>
    <x v="2"/>
    <x v="1"/>
    <x v="121"/>
    <n v="1879.7442857142855"/>
    <x v="2"/>
    <n v="27"/>
    <n v="69.620158730158721"/>
    <n v="1"/>
    <n v="1879.7442857142855"/>
    <n v="20.189699999999998"/>
    <n v="37951.473205285707"/>
    <n v="115.56100000000001"/>
    <n v="118.98099999999999"/>
    <n v="1.0295000000000001"/>
    <n v="39071.041664841636"/>
    <n v="1447.0756172163569"/>
    <m/>
    <n v="27"/>
    <s v="Sale"/>
    <x v="71"/>
    <x v="1"/>
    <n v="1097.1232258064517"/>
    <n v="1"/>
    <n v="1097.1232258064517"/>
    <n v="20.890799999999999"/>
    <n v="22919.781885677421"/>
    <n v="39071.041664841636"/>
    <n v="-16151.259779164215"/>
    <n v="0.38356164383561642"/>
    <n v="1"/>
    <n v="-16151.259779164215"/>
    <n v="0"/>
    <m/>
    <n v="-782.6210599078338"/>
    <m/>
    <n v="-0.41634442825846657"/>
    <m/>
  </r>
  <r>
    <x v="4"/>
    <s v="Purchase"/>
    <x v="76"/>
    <x v="2"/>
    <x v="1"/>
    <x v="122"/>
    <n v="562.28"/>
    <x v="2"/>
    <n v="8"/>
    <n v="70.284999999999997"/>
    <n v="1"/>
    <n v="562.28"/>
    <n v="20.188800000000001"/>
    <n v="11351.758464"/>
    <n v="115.56100000000001"/>
    <n v="118.98099999999999"/>
    <n v="1.0295000000000001"/>
    <n v="11686.635338688002"/>
    <n v="1460.8294173360002"/>
    <m/>
    <n v="8"/>
    <s v="Sale"/>
    <x v="71"/>
    <x v="1"/>
    <n v="325.07354838709682"/>
    <n v="1"/>
    <n v="325.07354838709682"/>
    <n v="20.890799999999999"/>
    <n v="6791.0464846451614"/>
    <n v="11686.635338688002"/>
    <n v="-4895.5888540428405"/>
    <n v="0.38082191780821917"/>
    <n v="1"/>
    <n v="-4895.5888540428405"/>
    <n v="0"/>
    <m/>
    <n v="-237.20645161290315"/>
    <m/>
    <n v="-0.4218653546505356"/>
    <m/>
  </r>
  <r>
    <x v="4"/>
    <s v="Purchase"/>
    <x v="76"/>
    <x v="2"/>
    <x v="1"/>
    <x v="122"/>
    <n v="1903.3620000000001"/>
    <x v="2"/>
    <n v="27"/>
    <n v="70.494888888888894"/>
    <n v="1"/>
    <n v="1903.3620000000001"/>
    <n v="20.188800000000001"/>
    <n v="38426.594745599999"/>
    <n v="115.56100000000001"/>
    <n v="118.98099999999999"/>
    <n v="1.0295000000000001"/>
    <n v="39560.179290595202"/>
    <n v="1465.1918255776002"/>
    <m/>
    <n v="27"/>
    <s v="Sale"/>
    <x v="71"/>
    <x v="1"/>
    <n v="1097.1232258064517"/>
    <n v="1"/>
    <n v="1097.1232258064517"/>
    <n v="20.890799999999999"/>
    <n v="22919.781885677421"/>
    <n v="39560.179290595202"/>
    <n v="-16640.397404917781"/>
    <n v="0.38082191780821917"/>
    <n v="1"/>
    <n v="-16640.397404917781"/>
    <n v="0"/>
    <m/>
    <n v="-806.23877419354835"/>
    <m/>
    <n v="-0.42358667147581403"/>
    <m/>
  </r>
  <r>
    <x v="4"/>
    <s v="Purchase"/>
    <x v="76"/>
    <x v="2"/>
    <x v="1"/>
    <x v="122"/>
    <n v="1268.9080000000001"/>
    <x v="2"/>
    <n v="18"/>
    <n v="70.494888888888894"/>
    <n v="1"/>
    <n v="1268.9080000000001"/>
    <n v="20.188800000000001"/>
    <n v="25617.729830400003"/>
    <n v="115.56100000000001"/>
    <n v="118.98099999999999"/>
    <n v="1.0295000000000001"/>
    <n v="26373.452860396806"/>
    <n v="1465.1918255776004"/>
    <m/>
    <n v="18"/>
    <s v="Sale"/>
    <x v="71"/>
    <x v="1"/>
    <n v="730.71359999999993"/>
    <n v="1"/>
    <n v="730.71359999999993"/>
    <n v="20.890799999999999"/>
    <n v="15265.191674879998"/>
    <n v="26373.452860396806"/>
    <n v="-11108.261185516809"/>
    <n v="0.38082191780821917"/>
    <n v="1"/>
    <n v="-11108.261185516809"/>
    <n v="0"/>
    <m/>
    <n v="-538.1944000000002"/>
    <m/>
    <n v="-0.42413981155450209"/>
    <m/>
  </r>
  <r>
    <x v="4"/>
    <s v="Purchase"/>
    <x v="76"/>
    <x v="2"/>
    <x v="1"/>
    <x v="123"/>
    <n v="2897.0333009708738"/>
    <x v="2"/>
    <n v="57"/>
    <n v="50.825145631067961"/>
    <n v="1"/>
    <n v="2897.0333009708738"/>
    <n v="21.4453"/>
    <n v="62127.74824931068"/>
    <n v="117.30800000000001"/>
    <n v="118.98099999999999"/>
    <n v="1.0142"/>
    <n v="63009.962274450889"/>
    <n v="1105.4379346394892"/>
    <m/>
    <n v="57"/>
    <s v="Sale"/>
    <x v="71"/>
    <x v="1"/>
    <n v="2313.9263999999998"/>
    <n v="1"/>
    <n v="2313.9263999999998"/>
    <n v="20.890799999999999"/>
    <n v="48339.773637119994"/>
    <n v="63009.962274450882"/>
    <n v="-14670.188637330888"/>
    <n v="0.28493150684931506"/>
    <n v="1"/>
    <n v="-14670.188637330888"/>
    <n v="0"/>
    <m/>
    <n v="-583.10690097087399"/>
    <m/>
    <n v="-0.20127725172349906"/>
    <m/>
  </r>
  <r>
    <x v="4"/>
    <s v="Purchase"/>
    <x v="76"/>
    <x v="2"/>
    <x v="1"/>
    <x v="123"/>
    <n v="2337.9566990291264"/>
    <x v="2"/>
    <n v="46"/>
    <n v="50.825145631067969"/>
    <n v="1"/>
    <n v="2337.9566990291264"/>
    <n v="21.4453"/>
    <n v="50138.182797689326"/>
    <n v="117.30800000000001"/>
    <n v="118.98099999999999"/>
    <n v="1.0142"/>
    <n v="50850.144993416514"/>
    <n v="1105.4379346394894"/>
    <m/>
    <n v="46"/>
    <s v="Sale"/>
    <x v="72"/>
    <x v="1"/>
    <n v="1966.85"/>
    <n v="1"/>
    <n v="1966.85"/>
    <n v="20.874300000000002"/>
    <n v="41056.616954999998"/>
    <n v="50850.144993416514"/>
    <n v="-9793.5280384165162"/>
    <n v="0.28767123287671231"/>
    <n v="1"/>
    <n v="-9793.5280384165162"/>
    <n v="0"/>
    <m/>
    <n v="-371.1066990291265"/>
    <m/>
    <n v="-0.15873121139635923"/>
    <m/>
  </r>
  <r>
    <x v="4"/>
    <s v="Purchase"/>
    <x v="77"/>
    <x v="2"/>
    <x v="1"/>
    <x v="124"/>
    <n v="3896.5461165048546"/>
    <x v="2"/>
    <n v="50"/>
    <n v="77.93092233009709"/>
    <n v="1"/>
    <n v="3896.5461165048546"/>
    <n v="20.048300000000001"/>
    <n v="78119.125507524281"/>
    <n v="113.018"/>
    <n v="118.98099999999999"/>
    <n v="1.0527"/>
    <n v="82236.003421770802"/>
    <n v="1644.7200684354161"/>
    <m/>
    <n v="50"/>
    <s v="Sale"/>
    <x v="63"/>
    <x v="1"/>
    <n v="3060.8161764705878"/>
    <n v="1"/>
    <n v="3060.8161764705878"/>
    <n v="20.703299999999999"/>
    <n v="63368.995546323516"/>
    <n v="82236.003421770802"/>
    <n v="-18867.007875447285"/>
    <n v="0.69041095890410964"/>
    <n v="1"/>
    <n v="-18867.007875447285"/>
    <n v="0"/>
    <m/>
    <n v="-835.72994003426675"/>
    <m/>
    <n v="-0.2144796738050426"/>
    <m/>
  </r>
  <r>
    <x v="4"/>
    <s v="Purchase"/>
    <x v="77"/>
    <x v="2"/>
    <x v="1"/>
    <x v="125"/>
    <n v="12081.896966292135"/>
    <x v="2"/>
    <n v="154"/>
    <n v="78.45387640449438"/>
    <n v="1"/>
    <n v="12081.896966292135"/>
    <n v="19.792999999999999"/>
    <n v="239136.98665382023"/>
    <n v="113.018"/>
    <n v="118.98099999999999"/>
    <n v="1.0527"/>
    <n v="251739.50585047656"/>
    <n v="1634.6721159121855"/>
    <m/>
    <n v="154"/>
    <s v="Sale"/>
    <x v="63"/>
    <x v="1"/>
    <n v="9427.3138235294118"/>
    <n v="1"/>
    <n v="9427.3138235294118"/>
    <n v="20.703299999999999"/>
    <n v="195176.50628267645"/>
    <n v="251739.50585047656"/>
    <n v="-56562.999567800114"/>
    <n v="0.68767123287671228"/>
    <n v="1"/>
    <n v="-56562.999567800114"/>
    <n v="0"/>
    <m/>
    <n v="-2654.5831427627236"/>
    <m/>
    <n v="-0.21971575739876548"/>
    <m/>
  </r>
  <r>
    <x v="4"/>
    <s v="Purchase"/>
    <x v="77"/>
    <x v="2"/>
    <x v="1"/>
    <x v="125"/>
    <n v="1882.893033707865"/>
    <x v="2"/>
    <n v="24"/>
    <n v="78.45387640449438"/>
    <n v="1"/>
    <n v="1882.893033707865"/>
    <n v="19.792999999999999"/>
    <n v="37268.101816179769"/>
    <n v="113.018"/>
    <n v="118.98099999999999"/>
    <n v="1.0527"/>
    <n v="39232.13078189244"/>
    <n v="1634.6721159121851"/>
    <m/>
    <n v="24"/>
    <s v="Sale"/>
    <x v="13"/>
    <x v="1"/>
    <n v="1420.0757142857144"/>
    <n v="1"/>
    <n v="1420.0757142857144"/>
    <n v="20.926200000000001"/>
    <n v="29716.788412285718"/>
    <n v="39232.13078189244"/>
    <n v="-9515.3423696067221"/>
    <n v="0.69041095890410964"/>
    <n v="1"/>
    <n v="-9515.3423696067221"/>
    <n v="0"/>
    <m/>
    <n v="-462.8173194221506"/>
    <m/>
    <n v="-0.24580117464811743"/>
    <m/>
  </r>
  <r>
    <x v="4"/>
    <s v="Purchase"/>
    <x v="77"/>
    <x v="2"/>
    <x v="1"/>
    <x v="126"/>
    <n v="6671.9839999999995"/>
    <x v="2"/>
    <n v="88"/>
    <n v="75.817999999999998"/>
    <n v="1"/>
    <n v="6671.9839999999995"/>
    <n v="19.857700000000001"/>
    <n v="132490.2566768"/>
    <n v="113.682"/>
    <n v="118.98099999999999"/>
    <n v="1.0466"/>
    <n v="138664.30263793888"/>
    <n v="1575.7307117947601"/>
    <m/>
    <n v="88"/>
    <s v="Sale"/>
    <x v="13"/>
    <x v="1"/>
    <n v="5206.9442857142858"/>
    <n v="1"/>
    <n v="5206.9442857142858"/>
    <n v="20.926200000000001"/>
    <n v="108961.5575117143"/>
    <n v="138664.30263793888"/>
    <n v="-29702.745126224574"/>
    <n v="0.64931506849315068"/>
    <n v="1"/>
    <n v="-29702.745126224574"/>
    <n v="0"/>
    <m/>
    <n v="-1465.0397142857137"/>
    <m/>
    <n v="-0.21958081948123884"/>
    <m/>
  </r>
  <r>
    <x v="4"/>
    <s v="Purchase"/>
    <x v="77"/>
    <x v="2"/>
    <x v="1"/>
    <x v="126"/>
    <n v="303.27199999999999"/>
    <x v="2"/>
    <n v="4"/>
    <n v="75.817999999999998"/>
    <n v="1"/>
    <n v="303.27199999999999"/>
    <n v="19.857700000000001"/>
    <n v="6022.2843944000006"/>
    <n v="113.682"/>
    <n v="118.98099999999999"/>
    <n v="1.0466"/>
    <n v="6302.9228471790402"/>
    <n v="1575.7307117947601"/>
    <m/>
    <n v="4"/>
    <s v="Sale"/>
    <x v="13"/>
    <x v="1"/>
    <n v="236.49"/>
    <n v="1"/>
    <n v="236.49"/>
    <n v="20.926200000000001"/>
    <n v="4948.8370380000006"/>
    <n v="6302.9228471790402"/>
    <n v="-1354.0858091790396"/>
    <n v="0.64931506849315068"/>
    <n v="1"/>
    <n v="-1354.0858091790396"/>
    <n v="0"/>
    <m/>
    <n v="-66.781999999999982"/>
    <m/>
    <n v="-0.22020496452029856"/>
    <m/>
  </r>
  <r>
    <x v="4"/>
    <s v="Purchase"/>
    <x v="77"/>
    <x v="2"/>
    <x v="1"/>
    <x v="126"/>
    <n v="454.90800000000002"/>
    <x v="2"/>
    <n v="6"/>
    <n v="75.817999999999998"/>
    <n v="1"/>
    <n v="454.90800000000002"/>
    <n v="19.857700000000001"/>
    <n v="9033.4265916000004"/>
    <n v="113.682"/>
    <n v="118.98099999999999"/>
    <n v="1.0466"/>
    <n v="9454.3842707685599"/>
    <n v="1575.7307117947601"/>
    <m/>
    <n v="6"/>
    <s v="Sale"/>
    <x v="13"/>
    <x v="1"/>
    <n v="354.89"/>
    <n v="1"/>
    <n v="354.89"/>
    <n v="20.926200000000001"/>
    <n v="7426.4991180000006"/>
    <n v="9454.3842707685599"/>
    <n v="-2027.8851527685592"/>
    <n v="0.64931506849315068"/>
    <n v="1"/>
    <n v="-2027.8851527685592"/>
    <n v="0"/>
    <m/>
    <n v="-100.01800000000003"/>
    <m/>
    <n v="-0.21986423628513904"/>
    <m/>
  </r>
  <r>
    <x v="4"/>
    <s v="Purchase"/>
    <x v="77"/>
    <x v="2"/>
    <x v="1"/>
    <x v="126"/>
    <n v="4928.17"/>
    <x v="2"/>
    <n v="65"/>
    <n v="75.817999999999998"/>
    <n v="1"/>
    <n v="4928.17"/>
    <n v="19.857700000000001"/>
    <n v="97862.121409000014"/>
    <n v="113.682"/>
    <n v="118.98099999999999"/>
    <n v="1.0466"/>
    <n v="102422.49626665941"/>
    <n v="1575.7307117947601"/>
    <m/>
    <n v="65"/>
    <s v="Sale"/>
    <x v="13"/>
    <x v="1"/>
    <n v="3825.11"/>
    <n v="1"/>
    <n v="3825.11"/>
    <n v="20.926200000000001"/>
    <n v="80045.016882000011"/>
    <n v="102422.49626665941"/>
    <n v="-22377.479384659397"/>
    <n v="0.64931506849315068"/>
    <n v="1"/>
    <n v="-22377.479384659397"/>
    <n v="0"/>
    <m/>
    <n v="-1103.06"/>
    <m/>
    <n v="-0.22382750595048465"/>
    <m/>
  </r>
  <r>
    <x v="4"/>
    <s v="Purchase"/>
    <x v="77"/>
    <x v="2"/>
    <x v="1"/>
    <x v="126"/>
    <n v="909.81600000000003"/>
    <x v="2"/>
    <n v="12"/>
    <n v="75.817999999999998"/>
    <n v="1"/>
    <n v="909.81600000000003"/>
    <n v="19.857700000000001"/>
    <n v="18066.853183200001"/>
    <n v="113.682"/>
    <n v="118.98099999999999"/>
    <n v="1.0466"/>
    <n v="18908.76854153712"/>
    <n v="1575.7307117947601"/>
    <m/>
    <n v="12"/>
    <s v="Sale"/>
    <x v="56"/>
    <x v="1"/>
    <n v="521.24250000000006"/>
    <n v="1"/>
    <n v="521.24250000000006"/>
    <n v="20.974299999999999"/>
    <n v="10932.696567750001"/>
    <n v="18908.76854153712"/>
    <n v="-7976.0719737871186"/>
    <n v="0.66575342465753429"/>
    <n v="1"/>
    <n v="-7976.0719737871186"/>
    <n v="0"/>
    <m/>
    <n v="-388.57349999999997"/>
    <m/>
    <n v="-0.42709020285420346"/>
    <m/>
  </r>
  <r>
    <x v="4"/>
    <s v="Purchase"/>
    <x v="77"/>
    <x v="2"/>
    <x v="1"/>
    <x v="127"/>
    <n v="11686.99"/>
    <x v="2"/>
    <n v="152"/>
    <n v="76.888092105263155"/>
    <n v="1"/>
    <n v="11686.99"/>
    <n v="19.998799999999999"/>
    <n v="233725.775612"/>
    <n v="113.682"/>
    <n v="118.98099999999999"/>
    <n v="1.0466"/>
    <n v="244617.39675551918"/>
    <n v="1609.3249786547315"/>
    <m/>
    <n v="152"/>
    <s v="Sale"/>
    <x v="56"/>
    <x v="1"/>
    <n v="6602.4049999999997"/>
    <n v="1"/>
    <n v="6602.4049999999997"/>
    <n v="20.974299999999999"/>
    <n v="138480.82319149998"/>
    <n v="244617.39675551918"/>
    <n v="-106136.5735640192"/>
    <n v="0.66301369863013704"/>
    <n v="1"/>
    <n v="-106136.5735640192"/>
    <n v="0"/>
    <m/>
    <n v="-5084.585"/>
    <m/>
    <n v="-0.43506369047975568"/>
    <m/>
  </r>
  <r>
    <x v="4"/>
    <s v="Purchase"/>
    <x v="77"/>
    <x v="2"/>
    <x v="1"/>
    <x v="128"/>
    <n v="21306.034188034188"/>
    <x v="2"/>
    <n v="300"/>
    <n v="71.02011396011396"/>
    <n v="1"/>
    <n v="21306.034188034188"/>
    <n v="19.953499999999998"/>
    <n v="425129.95317094011"/>
    <n v="113.682"/>
    <n v="118.98099999999999"/>
    <n v="1.0466"/>
    <n v="444941.00898870593"/>
    <n v="1483.1366966290198"/>
    <m/>
    <n v="300"/>
    <s v="Sale"/>
    <x v="56"/>
    <x v="1"/>
    <n v="13031.0625"/>
    <n v="1"/>
    <n v="13031.0625"/>
    <n v="20.974299999999999"/>
    <n v="273317.41419375001"/>
    <n v="444941.00898870593"/>
    <n v="-171623.59479495592"/>
    <n v="0.62191780821917808"/>
    <n v="1"/>
    <n v="-171623.59479495592"/>
    <n v="0"/>
    <m/>
    <n v="-8274.9716880341875"/>
    <m/>
    <n v="-0.38838629540365355"/>
    <m/>
  </r>
  <r>
    <x v="4"/>
    <s v="Purchase"/>
    <x v="77"/>
    <x v="2"/>
    <x v="1"/>
    <x v="128"/>
    <n v="3622.025811965812"/>
    <x v="2"/>
    <n v="51"/>
    <n v="71.02011396011396"/>
    <n v="1"/>
    <n v="3622.025811965812"/>
    <n v="19.953499999999998"/>
    <n v="72272.092039059818"/>
    <n v="113.682"/>
    <n v="118.98099999999999"/>
    <n v="1.0466"/>
    <n v="75639.971528080001"/>
    <n v="1483.1366966290195"/>
    <m/>
    <n v="51"/>
    <s v="Sale"/>
    <x v="56"/>
    <x v="1"/>
    <n v="2225.470701030928"/>
    <n v="1"/>
    <n v="2225.470701030928"/>
    <n v="20.974299999999999"/>
    <n v="46677.690124632994"/>
    <n v="75639.971528080001"/>
    <n v="-28962.281403447007"/>
    <n v="0.62191780821917808"/>
    <n v="1"/>
    <n v="-28962.281403447007"/>
    <n v="0"/>
    <m/>
    <n v="-1396.5551109348839"/>
    <m/>
    <n v="-0.38557293167850731"/>
    <m/>
  </r>
  <r>
    <x v="4"/>
    <s v="Purchase"/>
    <x v="77"/>
    <x v="2"/>
    <x v="1"/>
    <x v="129"/>
    <n v="16387.57"/>
    <x v="2"/>
    <n v="260"/>
    <n v="63.02911538461538"/>
    <n v="1"/>
    <n v="16387.57"/>
    <n v="20.1175"/>
    <n v="329676.93947499996"/>
    <n v="113.899"/>
    <n v="118.98099999999999"/>
    <n v="1.0446"/>
    <n v="344380.53097558493"/>
    <n v="1324.5405037522498"/>
    <m/>
    <n v="260"/>
    <s v="Sale"/>
    <x v="56"/>
    <x v="1"/>
    <n v="11345.536907216496"/>
    <n v="1"/>
    <n v="11345.536907216496"/>
    <n v="20.974299999999999"/>
    <n v="237964.69475303096"/>
    <n v="344380.53097558493"/>
    <n v="-106415.83622255397"/>
    <n v="0.55616438356164388"/>
    <n v="1"/>
    <n v="-106415.83622255397"/>
    <n v="0"/>
    <m/>
    <n v="-5042.0330927835039"/>
    <m/>
    <n v="-0.30767423680164319"/>
    <m/>
  </r>
  <r>
    <x v="4"/>
    <s v="Purchase"/>
    <x v="77"/>
    <x v="2"/>
    <x v="1"/>
    <x v="130"/>
    <n v="14269.25"/>
    <x v="2"/>
    <n v="173"/>
    <n v="82.48121387283237"/>
    <n v="1"/>
    <n v="14269.25"/>
    <n v="19.8992"/>
    <n v="283946.65960000001"/>
    <n v="114.601"/>
    <n v="118.98099999999999"/>
    <n v="1.0382"/>
    <n v="294793.42199672002"/>
    <n v="1704.0082196342198"/>
    <m/>
    <n v="173"/>
    <s v="Sale"/>
    <x v="56"/>
    <x v="1"/>
    <n v="7549.1457113402066"/>
    <n v="1"/>
    <n v="7549.1457113402066"/>
    <n v="20.974299999999999"/>
    <n v="158338.04689336289"/>
    <n v="294793.42199672002"/>
    <n v="-136455.37510335713"/>
    <n v="0.51506849315068493"/>
    <n v="1"/>
    <n v="-136455.37510335713"/>
    <n v="0"/>
    <m/>
    <n v="-6720.1042886597934"/>
    <m/>
    <n v="-0.47095007016204732"/>
    <m/>
  </r>
  <r>
    <x v="4"/>
    <s v="Purchase"/>
    <x v="77"/>
    <x v="2"/>
    <x v="1"/>
    <x v="56"/>
    <n v="89.78"/>
    <x v="2"/>
    <n v="1"/>
    <n v="89.78"/>
    <n v="1"/>
    <n v="89.78"/>
    <n v="20.691199999999998"/>
    <n v="1857.6559359999999"/>
    <n v="116.884"/>
    <n v="118.98099999999999"/>
    <n v="1.0179"/>
    <n v="1890.9079772543998"/>
    <n v="1890.9079772543998"/>
    <m/>
    <n v="1"/>
    <s v="Sale"/>
    <x v="56"/>
    <x v="1"/>
    <n v="43.636680412371135"/>
    <n v="1"/>
    <n v="43.636680412371135"/>
    <n v="20.974299999999999"/>
    <n v="915.24882597319584"/>
    <n v="1890.9079772543998"/>
    <n v="-975.659151281204"/>
    <n v="0.31506849315068491"/>
    <n v="1"/>
    <n v="-975.659151281204"/>
    <n v="0"/>
    <m/>
    <n v="-46.143319587628866"/>
    <m/>
    <n v="-0.5139598973894951"/>
    <m/>
  </r>
  <r>
    <x v="4"/>
    <s v="Purchase"/>
    <x v="78"/>
    <x v="2"/>
    <x v="1"/>
    <x v="131"/>
    <n v="7193.28"/>
    <x v="2"/>
    <n v="242"/>
    <n v="29.724297520661157"/>
    <n v="1"/>
    <n v="7193.28"/>
    <n v="20.703499999999998"/>
    <n v="148926.07247999997"/>
    <n v="120.15900000000001"/>
    <n v="120.809"/>
    <n v="1.0054000000000001"/>
    <n v="149730.27327139198"/>
    <n v="618.72013748509085"/>
    <m/>
    <n v="242"/>
    <s v="Sale"/>
    <x v="1"/>
    <x v="1"/>
    <n v="3650.8729886914375"/>
    <n v="1"/>
    <n v="3650.8729886914375"/>
    <n v="20.372"/>
    <n v="74375.584525621962"/>
    <n v="149730.27327139198"/>
    <n v="-75354.688745770021"/>
    <n v="0.15068493150684931"/>
    <n v="1"/>
    <n v="-75354.688745770021"/>
    <n v="0"/>
    <m/>
    <n v="-3542.4070113085622"/>
    <m/>
    <n v="-0.49246060368963285"/>
    <m/>
  </r>
  <r>
    <x v="4"/>
    <s v="Purchase"/>
    <x v="78"/>
    <x v="2"/>
    <x v="1"/>
    <x v="131"/>
    <n v="756.7"/>
    <x v="2"/>
    <n v="26"/>
    <n v="29.103846153846156"/>
    <n v="1"/>
    <n v="756.7"/>
    <n v="20.703499999999998"/>
    <n v="15666.338449999999"/>
    <n v="120.15900000000001"/>
    <n v="120.809"/>
    <n v="1.0054000000000001"/>
    <n v="15750.936677630001"/>
    <n v="605.80525683192309"/>
    <m/>
    <n v="26"/>
    <s v="Sale"/>
    <x v="1"/>
    <x v="1"/>
    <n v="392.24255250403871"/>
    <n v="1"/>
    <n v="392.24255250403871"/>
    <n v="20.372"/>
    <n v="7990.7652796122766"/>
    <n v="15750.936677630001"/>
    <n v="-7760.1713980177246"/>
    <n v="0.15068493150684931"/>
    <n v="1"/>
    <n v="-7760.1713980177246"/>
    <n v="0"/>
    <m/>
    <n v="-364.45744749596133"/>
    <m/>
    <n v="-0.48164060723663449"/>
    <m/>
  </r>
  <r>
    <x v="4"/>
    <s v="Purchase"/>
    <x v="78"/>
    <x v="2"/>
    <x v="1"/>
    <x v="131"/>
    <n v="1313.24"/>
    <x v="2"/>
    <n v="44"/>
    <n v="29.846363636363638"/>
    <n v="1"/>
    <n v="1313.24"/>
    <n v="20.703499999999998"/>
    <n v="27188.664339999999"/>
    <n v="120.15900000000001"/>
    <n v="120.809"/>
    <n v="1.0054000000000001"/>
    <n v="27335.483127436"/>
    <n v="621.26098016900005"/>
    <m/>
    <n v="44"/>
    <s v="Sale"/>
    <x v="1"/>
    <x v="1"/>
    <n v="663.79508885298867"/>
    <n v="1"/>
    <n v="663.79508885298867"/>
    <n v="20.372"/>
    <n v="13522.833550113086"/>
    <n v="27335.483127436004"/>
    <n v="-13812.649577322918"/>
    <n v="0.15068493150684931"/>
    <n v="1"/>
    <n v="-13812.649577322918"/>
    <n v="0"/>
    <m/>
    <n v="-649.44491114701134"/>
    <m/>
    <n v="-0.49453634609592406"/>
    <m/>
  </r>
  <r>
    <x v="4"/>
    <s v="Purchase"/>
    <x v="78"/>
    <x v="2"/>
    <x v="1"/>
    <x v="131"/>
    <n v="1547.12"/>
    <x v="2"/>
    <n v="52"/>
    <n v="29.752307692307689"/>
    <n v="1"/>
    <n v="1547.12"/>
    <n v="20.703499999999998"/>
    <n v="32030.798919999994"/>
    <n v="120.15900000000001"/>
    <n v="120.809"/>
    <n v="1.0054000000000001"/>
    <n v="32203.765234167997"/>
    <n v="619.30317758015383"/>
    <m/>
    <n v="52"/>
    <s v="Sale"/>
    <x v="1"/>
    <x v="1"/>
    <n v="784.48510500807743"/>
    <n v="1"/>
    <n v="784.48510500807743"/>
    <n v="20.372"/>
    <n v="15981.530559224553"/>
    <n v="32203.765234168"/>
    <n v="-16222.234674943447"/>
    <n v="0.15068493150684931"/>
    <n v="1"/>
    <n v="-16222.234674943447"/>
    <n v="0"/>
    <m/>
    <n v="-762.63489499192247"/>
    <m/>
    <n v="-0.49293842429282958"/>
    <m/>
  </r>
  <r>
    <x v="4"/>
    <s v="Purchase"/>
    <x v="78"/>
    <x v="2"/>
    <x v="1"/>
    <x v="131"/>
    <n v="266.27"/>
    <x v="2"/>
    <n v="9"/>
    <n v="29.585555555555555"/>
    <n v="1"/>
    <n v="266.27"/>
    <n v="20.703499999999998"/>
    <n v="5512.7209449999991"/>
    <n v="120.15900000000001"/>
    <n v="120.809"/>
    <n v="1.0054000000000001"/>
    <n v="5542.4896381029994"/>
    <n v="615.83218201144439"/>
    <m/>
    <n v="9"/>
    <s v="Sale"/>
    <x v="1"/>
    <x v="1"/>
    <n v="135.77626817447495"/>
    <n v="1"/>
    <n v="135.77626817447495"/>
    <n v="20.372"/>
    <n v="2766.0341352504038"/>
    <n v="5542.4896381029994"/>
    <n v="-2776.4555028525956"/>
    <n v="0.15068493150684931"/>
    <n v="1"/>
    <n v="-2776.4555028525956"/>
    <n v="0"/>
    <m/>
    <n v="-130.49373182552503"/>
    <m/>
    <n v="-0.49008048907321533"/>
    <m/>
  </r>
  <r>
    <x v="4"/>
    <s v="Purchase"/>
    <x v="78"/>
    <x v="2"/>
    <x v="1"/>
    <x v="131"/>
    <n v="2676.27"/>
    <x v="2"/>
    <n v="90"/>
    <n v="29.736333333333334"/>
    <n v="1"/>
    <n v="2676.27"/>
    <n v="20.703499999999998"/>
    <n v="55408.155944999991"/>
    <n v="120.15900000000001"/>
    <n v="120.809"/>
    <n v="1.0054000000000001"/>
    <n v="55707.359987102995"/>
    <n v="618.97066652336662"/>
    <m/>
    <n v="90"/>
    <s v="Sale"/>
    <x v="1"/>
    <x v="1"/>
    <n v="1357.7626817447494"/>
    <n v="1"/>
    <n v="1357.7626817447494"/>
    <n v="20.372"/>
    <n v="27660.341352504034"/>
    <n v="55707.359987102995"/>
    <n v="-28047.01863459896"/>
    <n v="0.15068493150684931"/>
    <n v="1"/>
    <n v="-28047.01863459896"/>
    <n v="0"/>
    <m/>
    <n v="-1318.5073182552505"/>
    <m/>
    <n v="-0.49266603080229221"/>
    <m/>
  </r>
  <r>
    <x v="4"/>
    <s v="Purchase"/>
    <x v="78"/>
    <x v="2"/>
    <x v="1"/>
    <x v="132"/>
    <n v="525.11"/>
    <x v="2"/>
    <n v="18"/>
    <n v="29.172777777777778"/>
    <n v="1"/>
    <n v="525.11"/>
    <n v="20.558499999999999"/>
    <n v="10795.473935"/>
    <n v="120.15900000000001"/>
    <n v="120.809"/>
    <n v="1.0054000000000001"/>
    <n v="10853.769494249002"/>
    <n v="602.98719412494449"/>
    <m/>
    <n v="18"/>
    <s v="Sale"/>
    <x v="1"/>
    <x v="1"/>
    <n v="271.5525363489499"/>
    <n v="1"/>
    <n v="271.5525363489499"/>
    <n v="20.372"/>
    <n v="5532.0682705008076"/>
    <n v="10853.769494249002"/>
    <n v="-5321.701223748194"/>
    <n v="0.14246575342465753"/>
    <n v="1"/>
    <n v="-5321.701223748194"/>
    <n v="0"/>
    <m/>
    <n v="-253.55746365105011"/>
    <m/>
    <n v="-0.48286542562710688"/>
    <m/>
  </r>
  <r>
    <x v="4"/>
    <s v="Purchase"/>
    <x v="78"/>
    <x v="2"/>
    <x v="1"/>
    <x v="132"/>
    <n v="7025.19"/>
    <x v="2"/>
    <n v="239"/>
    <n v="29.394100418410041"/>
    <n v="1"/>
    <n v="7025.19"/>
    <n v="20.558499999999999"/>
    <n v="144427.36861499998"/>
    <n v="120.15900000000001"/>
    <n v="120.809"/>
    <n v="1.0054000000000001"/>
    <n v="145207.276405521"/>
    <n v="607.561825964523"/>
    <m/>
    <n v="239"/>
    <s v="Sale"/>
    <x v="1"/>
    <x v="1"/>
    <n v="3605.6142326332792"/>
    <n v="1"/>
    <n v="3605.6142326332792"/>
    <n v="20.372"/>
    <n v="73453.57314720517"/>
    <n v="145207.276405521"/>
    <n v="-71753.703258315829"/>
    <n v="0.14246575342465753"/>
    <n v="1"/>
    <n v="-71753.703258315829"/>
    <n v="0"/>
    <m/>
    <n v="-3419.5757673667204"/>
    <m/>
    <n v="-0.48675918620944353"/>
    <m/>
  </r>
  <r>
    <x v="4"/>
    <s v="Purchase"/>
    <x v="78"/>
    <x v="2"/>
    <x v="1"/>
    <x v="132"/>
    <n v="1060.56"/>
    <x v="2"/>
    <n v="36"/>
    <n v="29.459999999999997"/>
    <n v="1"/>
    <n v="1060.56"/>
    <n v="20.558499999999999"/>
    <n v="21803.522759999996"/>
    <n v="120.15900000000001"/>
    <n v="120.809"/>
    <n v="1.0054000000000001"/>
    <n v="21921.261782903999"/>
    <n v="608.92393841399996"/>
    <m/>
    <n v="36"/>
    <s v="Sale"/>
    <x v="1"/>
    <x v="1"/>
    <n v="543.1050726978998"/>
    <n v="1"/>
    <n v="543.1050726978998"/>
    <n v="20.372"/>
    <n v="11064.136541001615"/>
    <n v="21921.261782903999"/>
    <n v="-10857.125241902384"/>
    <n v="0.14246575342465753"/>
    <n v="1"/>
    <n v="-10857.125241902384"/>
    <n v="0"/>
    <m/>
    <n v="-517.45492730210015"/>
    <m/>
    <n v="-0.48790726342884905"/>
    <m/>
  </r>
  <r>
    <x v="4"/>
    <s v="Purchase"/>
    <x v="78"/>
    <x v="2"/>
    <x v="1"/>
    <x v="133"/>
    <n v="310.33999999999997"/>
    <x v="2"/>
    <n v="10"/>
    <n v="31.033999999999999"/>
    <n v="1"/>
    <n v="310.33999999999997"/>
    <n v="20.558499999999999"/>
    <n v="6380.1248899999991"/>
    <n v="120.15900000000001"/>
    <n v="120.809"/>
    <n v="1.0054000000000001"/>
    <n v="6414.5775644059995"/>
    <n v="641.45775644059995"/>
    <m/>
    <n v="10"/>
    <s v="Sale"/>
    <x v="1"/>
    <x v="1"/>
    <n v="150.86252019386106"/>
    <n v="1"/>
    <n v="150.86252019386106"/>
    <n v="20.372"/>
    <n v="3073.3712613893376"/>
    <n v="6414.5775644059995"/>
    <n v="-3341.2063030166619"/>
    <n v="0.13972602739726028"/>
    <n v="1"/>
    <n v="-3341.2063030166619"/>
    <n v="0"/>
    <m/>
    <n v="-159.47747980613892"/>
    <m/>
    <n v="-0.5138798730622508"/>
    <m/>
  </r>
  <r>
    <x v="4"/>
    <s v="Purchase"/>
    <x v="78"/>
    <x v="2"/>
    <x v="1"/>
    <x v="133"/>
    <n v="3429.76"/>
    <x v="2"/>
    <n v="111"/>
    <n v="30.898738738738739"/>
    <n v="1"/>
    <n v="3429.76"/>
    <n v="20.558499999999999"/>
    <n v="70510.720960000006"/>
    <n v="120.15900000000001"/>
    <n v="120.809"/>
    <n v="1.0054000000000001"/>
    <n v="70891.478853184017"/>
    <n v="638.66197165030644"/>
    <m/>
    <n v="111"/>
    <s v="Sale"/>
    <x v="1"/>
    <x v="1"/>
    <n v="1674.5739741518578"/>
    <n v="1"/>
    <n v="1674.5739741518578"/>
    <n v="20.372"/>
    <n v="34114.421001421644"/>
    <n v="70891.478853184017"/>
    <n v="-36777.057851762373"/>
    <n v="0.13972602739726028"/>
    <n v="1"/>
    <n v="-36777.057851762373"/>
    <n v="0"/>
    <m/>
    <n v="-1755.1860258481424"/>
    <m/>
    <n v="-0.51175185023096148"/>
    <m/>
  </r>
  <r>
    <x v="4"/>
    <s v="Purchase"/>
    <x v="78"/>
    <x v="2"/>
    <x v="1"/>
    <x v="134"/>
    <n v="6627.71"/>
    <x v="2"/>
    <n v="213"/>
    <n v="31.116009389671362"/>
    <n v="1"/>
    <n v="6627.71"/>
    <n v="20.4145"/>
    <n v="135301.38579500001"/>
    <n v="120.15900000000001"/>
    <n v="120.809"/>
    <n v="1.0054000000000001"/>
    <n v="136032.01327829302"/>
    <n v="638.6479496633475"/>
    <m/>
    <n v="213"/>
    <s v="Sale"/>
    <x v="1"/>
    <x v="1"/>
    <n v="3213.3716801292403"/>
    <n v="1"/>
    <n v="3213.3716801292403"/>
    <n v="20.372"/>
    <n v="65462.807867592885"/>
    <n v="136032.01327829302"/>
    <n v="-70569.205410700131"/>
    <n v="0.13698630136986301"/>
    <n v="1"/>
    <n v="-70569.205410700131"/>
    <n v="0"/>
    <m/>
    <n v="-3414.3383198707597"/>
    <m/>
    <n v="-0.51516109182066805"/>
    <m/>
  </r>
  <r>
    <x v="4"/>
    <s v="Purchase"/>
    <x v="78"/>
    <x v="2"/>
    <x v="1"/>
    <x v="134"/>
    <n v="183.87"/>
    <x v="2"/>
    <n v="6"/>
    <n v="30.645"/>
    <n v="1"/>
    <n v="183.87"/>
    <n v="20.4145"/>
    <n v="3753.6141150000003"/>
    <n v="120.15900000000001"/>
    <n v="120.809"/>
    <n v="1.0054000000000001"/>
    <n v="3773.8836312210005"/>
    <n v="628.98060520350009"/>
    <m/>
    <n v="6"/>
    <s v="Sale"/>
    <x v="1"/>
    <x v="1"/>
    <n v="90.517512116316624"/>
    <n v="1"/>
    <n v="90.517512116316624"/>
    <n v="20.372"/>
    <n v="1844.0227568336022"/>
    <n v="3773.8836312210005"/>
    <n v="-1929.8608743873983"/>
    <n v="0.13698630136986301"/>
    <n v="1"/>
    <n v="-1929.8608743873983"/>
    <n v="0"/>
    <m/>
    <n v="-93.352487883683381"/>
    <m/>
    <n v="-0.50770918520521768"/>
    <m/>
  </r>
  <r>
    <x v="4"/>
    <s v="Purchase"/>
    <x v="78"/>
    <x v="2"/>
    <x v="1"/>
    <x v="134"/>
    <n v="183.81"/>
    <x v="2"/>
    <n v="6"/>
    <n v="30.635000000000002"/>
    <n v="1"/>
    <n v="183.81"/>
    <n v="20.4145"/>
    <n v="3752.3892450000003"/>
    <n v="120.15900000000001"/>
    <n v="120.809"/>
    <n v="1.0054000000000001"/>
    <n v="3772.6521469230006"/>
    <n v="628.77535782050006"/>
    <m/>
    <n v="6"/>
    <s v="Sale"/>
    <x v="1"/>
    <x v="1"/>
    <n v="90.517512116316624"/>
    <n v="1"/>
    <n v="90.517512116316624"/>
    <n v="20.372"/>
    <n v="1844.0227568336022"/>
    <n v="3772.6521469230001"/>
    <n v="-1928.6293900893979"/>
    <n v="0.13698630136986301"/>
    <n v="1"/>
    <n v="-1928.6293900893979"/>
    <n v="0"/>
    <m/>
    <n v="-93.292487883683378"/>
    <m/>
    <n v="-0.50754848965607624"/>
    <m/>
  </r>
  <r>
    <x v="4"/>
    <s v="Purchase"/>
    <x v="78"/>
    <x v="2"/>
    <x v="1"/>
    <x v="135"/>
    <n v="4084.2042009132424"/>
    <x v="2"/>
    <n v="136"/>
    <n v="30.030913242009134"/>
    <n v="1"/>
    <n v="4084.2042009132424"/>
    <n v="20.278199999999998"/>
    <n v="82820.3096269589"/>
    <n v="120.15900000000001"/>
    <n v="120.809"/>
    <n v="1.0054000000000001"/>
    <n v="83267.539298944481"/>
    <n v="612.26131837459172"/>
    <m/>
    <n v="136"/>
    <s v="Sale"/>
    <x v="1"/>
    <x v="1"/>
    <n v="2051.7302746365103"/>
    <n v="1"/>
    <n v="2051.7302746365103"/>
    <n v="20.372"/>
    <n v="41797.84915489499"/>
    <n v="83267.539298944481"/>
    <n v="-41469.690144049491"/>
    <n v="0.13424657534246576"/>
    <n v="1"/>
    <n v="-41469.690144049491"/>
    <n v="0"/>
    <m/>
    <n v="-2032.4739262767321"/>
    <m/>
    <n v="-0.49764258256780203"/>
    <m/>
  </r>
  <r>
    <x v="4"/>
    <s v="Purchase"/>
    <x v="78"/>
    <x v="2"/>
    <x v="1"/>
    <x v="135"/>
    <n v="420.43278538812785"/>
    <x v="2"/>
    <n v="14"/>
    <n v="30.030913242009131"/>
    <n v="1"/>
    <n v="420.43278538812785"/>
    <n v="20.278199999999998"/>
    <n v="8525.6201086575329"/>
    <n v="120.15900000000001"/>
    <n v="120.809"/>
    <n v="1.0054000000000001"/>
    <n v="8571.6584572442844"/>
    <n v="612.26131837459172"/>
    <m/>
    <n v="14"/>
    <s v="Sale"/>
    <x v="1"/>
    <x v="1"/>
    <n v="213.29"/>
    <n v="1"/>
    <n v="213.29"/>
    <n v="20.372"/>
    <n v="4345.1438799999996"/>
    <n v="8571.6584572442844"/>
    <n v="-4226.5145772442847"/>
    <n v="0.13424657534246576"/>
    <n v="1"/>
    <n v="-4226.5145772442847"/>
    <n v="0"/>
    <m/>
    <n v="-207.14278538812786"/>
    <m/>
    <n v="-0.4926894204906056"/>
    <m/>
  </r>
  <r>
    <x v="4"/>
    <s v="Purchase"/>
    <x v="78"/>
    <x v="2"/>
    <x v="1"/>
    <x v="135"/>
    <n v="1411.4529223744294"/>
    <x v="2"/>
    <n v="47"/>
    <n v="30.030913242009134"/>
    <n v="1"/>
    <n v="1411.4529223744294"/>
    <n v="20.278199999999998"/>
    <n v="28621.72465049315"/>
    <n v="120.15900000000001"/>
    <n v="120.809"/>
    <n v="1.0054000000000001"/>
    <n v="28776.281963605816"/>
    <n v="612.26131837459184"/>
    <m/>
    <n v="47"/>
    <s v="Sale"/>
    <x v="1"/>
    <x v="1"/>
    <n v="704.03"/>
    <n v="1"/>
    <n v="704.03"/>
    <n v="20.372"/>
    <n v="14342.499159999999"/>
    <n v="28776.281963605816"/>
    <n v="-14433.782803605816"/>
    <n v="0.13424657534246576"/>
    <n v="1"/>
    <n v="-14433.782803605816"/>
    <n v="0"/>
    <m/>
    <n v="-707.42292237442939"/>
    <m/>
    <n v="-0.50120192544882103"/>
    <m/>
  </r>
  <r>
    <x v="4"/>
    <s v="Purchase"/>
    <x v="78"/>
    <x v="2"/>
    <x v="1"/>
    <x v="135"/>
    <n v="660.68009132420093"/>
    <x v="2"/>
    <n v="22"/>
    <n v="30.030913242009134"/>
    <n v="1"/>
    <n v="660.68009132420093"/>
    <n v="20.278199999999998"/>
    <n v="13397.40302789041"/>
    <n v="120.15900000000001"/>
    <n v="120.809"/>
    <n v="1.0054000000000001"/>
    <n v="13469.749004241019"/>
    <n v="612.26131837459172"/>
    <m/>
    <n v="22"/>
    <s v="Sale"/>
    <x v="1"/>
    <x v="1"/>
    <n v="335.00823529411764"/>
    <n v="1"/>
    <n v="335.00823529411764"/>
    <n v="20.372"/>
    <n v="6824.7877694117642"/>
    <n v="13469.749004241017"/>
    <n v="-6644.961234829253"/>
    <n v="0.13424657534246576"/>
    <n v="1"/>
    <n v="-6644.961234829253"/>
    <n v="0"/>
    <m/>
    <n v="-325.67185603008329"/>
    <m/>
    <n v="-0.49293426623063408"/>
    <m/>
  </r>
  <r>
    <x v="4"/>
    <s v="Purchase"/>
    <x v="78"/>
    <x v="2"/>
    <x v="1"/>
    <x v="136"/>
    <n v="1310.7796638655461"/>
    <x v="2"/>
    <n v="46"/>
    <n v="28.495210084033612"/>
    <n v="1"/>
    <n v="1310.7796638655461"/>
    <n v="20.18"/>
    <n v="26451.533616806719"/>
    <n v="120.15900000000001"/>
    <n v="120.809"/>
    <n v="1.0054000000000001"/>
    <n v="26594.371898337478"/>
    <n v="578.13851952907567"/>
    <m/>
    <n v="46"/>
    <s v="Sale"/>
    <x v="1"/>
    <x v="1"/>
    <n v="700.47176470588238"/>
    <n v="1"/>
    <n v="700.47176470588238"/>
    <n v="20.372"/>
    <n v="14270.010790588236"/>
    <n v="26594.371898337482"/>
    <n v="-12324.361107749246"/>
    <n v="0.13150684931506848"/>
    <n v="1"/>
    <n v="-12324.361107749246"/>
    <n v="0"/>
    <m/>
    <n v="-610.30789915966375"/>
    <m/>
    <n v="-0.46560678044076398"/>
    <m/>
  </r>
  <r>
    <x v="4"/>
    <s v="Purchase"/>
    <x v="78"/>
    <x v="2"/>
    <x v="1"/>
    <x v="136"/>
    <n v="1937.6742857142856"/>
    <x v="2"/>
    <n v="68"/>
    <n v="28.495210084033612"/>
    <n v="1"/>
    <n v="1937.6742857142856"/>
    <n v="20.18"/>
    <n v="39102.26708571428"/>
    <n v="120.15900000000001"/>
    <n v="120.809"/>
    <n v="1.0054000000000001"/>
    <n v="39313.419327977143"/>
    <n v="578.13851952907567"/>
    <m/>
    <n v="68"/>
    <s v="Sale"/>
    <x v="1"/>
    <x v="1"/>
    <n v="1047.18"/>
    <n v="1"/>
    <n v="1047.18"/>
    <n v="20.372"/>
    <n v="21333.150960000003"/>
    <n v="39313.419327977143"/>
    <n v="-17980.26836797714"/>
    <n v="0.13150684931506848"/>
    <n v="1"/>
    <n v="-17980.26836797714"/>
    <n v="0"/>
    <m/>
    <n v="-890.49428571428552"/>
    <m/>
    <n v="-0.45956861392007498"/>
    <m/>
  </r>
  <r>
    <x v="4"/>
    <s v="Purchase"/>
    <x v="78"/>
    <x v="2"/>
    <x v="1"/>
    <x v="136"/>
    <n v="28.495210084033612"/>
    <x v="2"/>
    <n v="1"/>
    <n v="28.495210084033612"/>
    <n v="1"/>
    <n v="28.495210084033612"/>
    <n v="20.18"/>
    <n v="575.03333949579826"/>
    <n v="120.15900000000001"/>
    <n v="120.809"/>
    <n v="1.0054000000000001"/>
    <n v="578.13851952907567"/>
    <n v="578.13851952907567"/>
    <m/>
    <n v="1"/>
    <s v="Sale"/>
    <x v="73"/>
    <x v="1"/>
    <n v="17.190000000000001"/>
    <n v="1"/>
    <n v="17.190000000000001"/>
    <n v="20.2592"/>
    <n v="348.25564800000001"/>
    <n v="578.13851952907567"/>
    <n v="-229.88287152907566"/>
    <n v="0.13424657534246576"/>
    <n v="1"/>
    <n v="-229.88287152907566"/>
    <n v="0"/>
    <m/>
    <n v="-11.305210084033611"/>
    <m/>
    <n v="-0.39674071714839287"/>
    <m/>
  </r>
  <r>
    <x v="4"/>
    <s v="Purchase"/>
    <x v="78"/>
    <x v="2"/>
    <x v="1"/>
    <x v="136"/>
    <n v="113.98084033613445"/>
    <x v="2"/>
    <n v="4"/>
    <n v="28.495210084033612"/>
    <n v="1"/>
    <n v="113.98084033613445"/>
    <n v="20.18"/>
    <n v="2300.133357983193"/>
    <n v="120.15900000000001"/>
    <n v="120.809"/>
    <n v="1.0054000000000001"/>
    <n v="2312.5540781163027"/>
    <n v="578.13851952907567"/>
    <m/>
    <n v="4"/>
    <s v="Sale"/>
    <x v="73"/>
    <x v="1"/>
    <n v="68.808839779005524"/>
    <n v="1"/>
    <n v="68.808839779005524"/>
    <n v="20.2592"/>
    <n v="1394.0120468508287"/>
    <n v="2312.5540781163027"/>
    <n v="-918.54203126547395"/>
    <n v="0.13424657534246576"/>
    <n v="1"/>
    <n v="-918.54203126547395"/>
    <n v="0"/>
    <m/>
    <n v="-45.172000557128925"/>
    <m/>
    <n v="-0.39631222601899346"/>
    <m/>
  </r>
  <r>
    <x v="4"/>
    <s v="Purchase"/>
    <x v="78"/>
    <x v="2"/>
    <x v="1"/>
    <x v="136"/>
    <n v="113.13"/>
    <x v="2"/>
    <n v="4"/>
    <n v="28.282499999999999"/>
    <n v="1"/>
    <n v="113.13"/>
    <n v="20.18"/>
    <n v="2282.9634000000001"/>
    <n v="120.15900000000001"/>
    <n v="120.809"/>
    <n v="1.0054000000000001"/>
    <n v="2295.2914023600001"/>
    <n v="573.82285059000003"/>
    <m/>
    <n v="4"/>
    <s v="Sale"/>
    <x v="73"/>
    <x v="1"/>
    <n v="68.808839779005524"/>
    <n v="1"/>
    <n v="68.808839779005524"/>
    <n v="20.2592"/>
    <n v="1394.0120468508287"/>
    <n v="2295.2914023600001"/>
    <n v="-901.27935550917141"/>
    <n v="0.13424657534246576"/>
    <n v="1"/>
    <n v="-901.27935550917141"/>
    <n v="0"/>
    <m/>
    <n v="-44.321160220994472"/>
    <m/>
    <n v="-0.39177194573494628"/>
    <m/>
  </r>
  <r>
    <x v="4"/>
    <s v="Purchase"/>
    <x v="78"/>
    <x v="2"/>
    <x v="1"/>
    <x v="136"/>
    <n v="1835.56"/>
    <x v="2"/>
    <n v="64"/>
    <n v="28.680624999999999"/>
    <n v="1"/>
    <n v="1835.56"/>
    <n v="20.18"/>
    <n v="37041.6008"/>
    <n v="120.15900000000001"/>
    <n v="120.809"/>
    <n v="1.0054000000000001"/>
    <n v="37241.625444320001"/>
    <n v="581.90039756750002"/>
    <m/>
    <n v="64"/>
    <s v="Sale"/>
    <x v="73"/>
    <x v="1"/>
    <n v="1100.9414364640884"/>
    <n v="1"/>
    <n v="1100.9414364640884"/>
    <n v="20.2592"/>
    <n v="22304.192749613259"/>
    <n v="37241.625444320001"/>
    <n v="-14937.432694706742"/>
    <n v="0.13424657534246576"/>
    <n v="1"/>
    <n v="-14937.432694706742"/>
    <n v="0"/>
    <m/>
    <n v="-734.61856353591156"/>
    <m/>
    <n v="-0.40021495540102836"/>
    <m/>
  </r>
  <r>
    <x v="4"/>
    <s v="Purchase"/>
    <x v="78"/>
    <x v="2"/>
    <x v="1"/>
    <x v="137"/>
    <n v="6535.93"/>
    <x v="2"/>
    <n v="290"/>
    <n v="22.537689655172414"/>
    <n v="1"/>
    <n v="6535.93"/>
    <n v="19.8432"/>
    <n v="129693.766176"/>
    <n v="120.809"/>
    <n v="120.809"/>
    <n v="1"/>
    <n v="129693.766176"/>
    <n v="447.21988336551726"/>
    <m/>
    <n v="290"/>
    <s v="Sale"/>
    <x v="73"/>
    <x v="1"/>
    <n v="4988.6408839779006"/>
    <n v="1"/>
    <n v="4988.6408839779006"/>
    <n v="20.2592"/>
    <n v="101065.87339668509"/>
    <n v="129693.766176"/>
    <n v="-28627.89277931492"/>
    <n v="0.10410958904109589"/>
    <n v="1"/>
    <n v="-28627.89277931492"/>
    <n v="0"/>
    <m/>
    <n v="-1547.2891160220997"/>
    <m/>
    <n v="-0.23673587630560602"/>
    <m/>
  </r>
  <r>
    <x v="4"/>
    <s v="Purchase"/>
    <x v="79"/>
    <x v="2"/>
    <x v="1"/>
    <x v="138"/>
    <n v="924.26275862068974"/>
    <x v="2"/>
    <n v="6"/>
    <n v="154.04379310344828"/>
    <n v="1"/>
    <n v="924.26275862068974"/>
    <n v="20.111799999999999"/>
    <n v="18588.587748827587"/>
    <n v="114.601"/>
    <n v="118.002"/>
    <n v="1.0296000000000001"/>
    <n v="19138.809946192887"/>
    <n v="3189.8016576988143"/>
    <m/>
    <n v="6"/>
    <s v="Sale"/>
    <x v="18"/>
    <x v="1"/>
    <n v="1029.4722580645162"/>
    <n v="1"/>
    <n v="1029.4722580645162"/>
    <n v="20.4148"/>
    <n v="21016.470253935484"/>
    <n v="19138.809946192887"/>
    <n v="1877.6603077425971"/>
    <n v="0.38082191780821917"/>
    <n v="1"/>
    <n v="1877.6603077425971"/>
    <n v="0"/>
    <m/>
    <n v="105.20949944382642"/>
    <m/>
    <n v="0.11383072450180109"/>
    <m/>
  </r>
  <r>
    <x v="4"/>
    <s v="Purchase"/>
    <x v="79"/>
    <x v="2"/>
    <x v="1"/>
    <x v="138"/>
    <n v="7398.2"/>
    <x v="2"/>
    <n v="48"/>
    <n v="154.12916666666666"/>
    <n v="1"/>
    <n v="7398.2"/>
    <n v="20.111799999999999"/>
    <n v="148791.11875999998"/>
    <n v="114.601"/>
    <n v="118.002"/>
    <n v="1.0296000000000001"/>
    <n v="153195.335875296"/>
    <n v="3191.5694974020003"/>
    <m/>
    <n v="48"/>
    <s v="Sale"/>
    <x v="18"/>
    <x v="1"/>
    <n v="8235.7780645161292"/>
    <n v="1"/>
    <n v="8235.7780645161292"/>
    <n v="20.4148"/>
    <n v="168131.76203148387"/>
    <n v="153195.335875296"/>
    <n v="14936.426156187867"/>
    <n v="0.38082191780821917"/>
    <n v="1"/>
    <n v="14936.426156187867"/>
    <n v="0"/>
    <m/>
    <n v="837.57806451612942"/>
    <m/>
    <n v="0.11321376341760556"/>
    <m/>
  </r>
  <r>
    <x v="4"/>
    <s v="Purchase"/>
    <x v="79"/>
    <x v="2"/>
    <x v="1"/>
    <x v="138"/>
    <n v="1233.2"/>
    <x v="2"/>
    <n v="8"/>
    <n v="154.15"/>
    <n v="1"/>
    <n v="1233.2"/>
    <n v="20.111799999999999"/>
    <n v="24801.871759999998"/>
    <n v="114.601"/>
    <n v="118.002"/>
    <n v="1.0296000000000001"/>
    <n v="25536.007164096001"/>
    <n v="3192.0008955120002"/>
    <m/>
    <n v="8"/>
    <s v="Sale"/>
    <x v="18"/>
    <x v="1"/>
    <n v="1372.6296774193547"/>
    <n v="1"/>
    <n v="1372.6296774193547"/>
    <n v="20.4148"/>
    <n v="28021.960338580644"/>
    <n v="25536.007164096001"/>
    <n v="2485.9531744846427"/>
    <n v="0.38082191780821917"/>
    <n v="1"/>
    <n v="2485.9531744846427"/>
    <n v="0"/>
    <m/>
    <n v="139.42967741935468"/>
    <m/>
    <n v="0.11306331286032653"/>
    <m/>
  </r>
  <r>
    <x v="4"/>
    <s v="Purchase"/>
    <x v="79"/>
    <x v="2"/>
    <x v="1"/>
    <x v="138"/>
    <n v="6161.7478260869566"/>
    <x v="2"/>
    <n v="40"/>
    <n v="154.04369565217391"/>
    <n v="1"/>
    <n v="6161.7478260869566"/>
    <n v="20.111799999999999"/>
    <n v="123923.83992869564"/>
    <n v="114.601"/>
    <n v="118.002"/>
    <n v="1.0296000000000001"/>
    <n v="127591.98559058504"/>
    <n v="3189.7996397646261"/>
    <m/>
    <n v="40"/>
    <s v="Sale"/>
    <x v="45"/>
    <x v="1"/>
    <n v="7079.89"/>
    <n v="1"/>
    <n v="7079.89"/>
    <n v="20.333500000000001"/>
    <n v="143958.94331500001"/>
    <n v="127591.98559058504"/>
    <n v="16366.95772441497"/>
    <n v="0.39178082191780822"/>
    <n v="1"/>
    <n v="16366.95772441497"/>
    <n v="0"/>
    <m/>
    <n v="918.14217391304373"/>
    <m/>
    <n v="0.14900677532207834"/>
    <m/>
  </r>
  <r>
    <x v="4"/>
    <s v="Purchase"/>
    <x v="80"/>
    <x v="2"/>
    <x v="1"/>
    <x v="139"/>
    <n v="2643.4301249999999"/>
    <x v="2"/>
    <n v="42"/>
    <n v="62.938812499999997"/>
    <n v="1"/>
    <n v="2643.4301249999999"/>
    <n v="20.729299999999999"/>
    <n v="54796.456090162494"/>
    <n v="115.56100000000001"/>
    <n v="117.30800000000001"/>
    <n v="1.0150999999999999"/>
    <n v="55623.882577123943"/>
    <n v="1324.3781565981892"/>
    <m/>
    <n v="42"/>
    <s v="Sale"/>
    <x v="47"/>
    <x v="1"/>
    <n v="1875.6295384615387"/>
    <n v="1"/>
    <n v="1875.6295384615387"/>
    <n v="20.311800000000002"/>
    <n v="38097.412059323084"/>
    <n v="55623.88257712395"/>
    <n v="-17526.470517800866"/>
    <n v="0.26849315068493151"/>
    <n v="1"/>
    <n v="-17526.470517800866"/>
    <n v="0"/>
    <m/>
    <n v="-767.80058653846118"/>
    <m/>
    <n v="-0.29045616877747477"/>
    <m/>
  </r>
  <r>
    <x v="4"/>
    <s v="Purchase"/>
    <x v="80"/>
    <x v="2"/>
    <x v="1"/>
    <x v="140"/>
    <n v="1416.99"/>
    <x v="2"/>
    <n v="23"/>
    <n v="61.608260869565221"/>
    <n v="1"/>
    <n v="1416.99"/>
    <n v="20.8017"/>
    <n v="29475.800883"/>
    <n v="115.56100000000001"/>
    <n v="117.30800000000001"/>
    <n v="1.0150999999999999"/>
    <n v="29920.885476333297"/>
    <n v="1300.9080641884043"/>
    <m/>
    <n v="23"/>
    <s v="Sale"/>
    <x v="47"/>
    <x v="1"/>
    <n v="1027.1304615384615"/>
    <n v="1"/>
    <n v="1027.1304615384615"/>
    <n v="20.311800000000002"/>
    <n v="20862.868508676926"/>
    <n v="29920.8854763333"/>
    <n v="-9058.0169676563746"/>
    <n v="0.26575342465753427"/>
    <n v="1"/>
    <n v="-9058.0169676563746"/>
    <n v="0"/>
    <m/>
    <n v="-389.85953846153848"/>
    <m/>
    <n v="-0.27513217345326252"/>
    <m/>
  </r>
  <r>
    <x v="4"/>
    <s v="Purchase"/>
    <x v="80"/>
    <x v="2"/>
    <x v="1"/>
    <x v="140"/>
    <n v="1728.81"/>
    <x v="2"/>
    <n v="28"/>
    <n v="61.743214285714281"/>
    <n v="1"/>
    <n v="1728.81"/>
    <n v="20.8017"/>
    <n v="35962.186976999998"/>
    <n v="115.56100000000001"/>
    <n v="117.30800000000001"/>
    <n v="1.0150999999999999"/>
    <n v="36505.216000352695"/>
    <n v="1303.7577142983105"/>
    <m/>
    <n v="28"/>
    <s v="Sale"/>
    <x v="47"/>
    <x v="1"/>
    <n v="1250.4196923076925"/>
    <n v="1"/>
    <n v="1250.4196923076925"/>
    <n v="20.311800000000002"/>
    <n v="25398.27470621539"/>
    <n v="36505.216000352695"/>
    <n v="-11106.941294137305"/>
    <n v="0.26575342465753427"/>
    <n v="1"/>
    <n v="-11106.941294137305"/>
    <n v="0"/>
    <m/>
    <n v="-478.39030769230749"/>
    <m/>
    <n v="-0.2767165320031163"/>
    <m/>
  </r>
  <r>
    <x v="4"/>
    <s v="Purchase"/>
    <x v="80"/>
    <x v="2"/>
    <x v="1"/>
    <x v="140"/>
    <n v="2323.2788194444447"/>
    <x v="2"/>
    <n v="37"/>
    <n v="62.791319444444454"/>
    <n v="1"/>
    <n v="2323.2788194444447"/>
    <n v="20.8017"/>
    <n v="48328.149018437507"/>
    <n v="115.56100000000001"/>
    <n v="117.30800000000001"/>
    <n v="1.0150999999999999"/>
    <n v="49057.904068615906"/>
    <n v="1325.8892991517812"/>
    <m/>
    <n v="37"/>
    <s v="Sale"/>
    <x v="47"/>
    <x v="1"/>
    <n v="1652.3403076923078"/>
    <n v="1"/>
    <n v="1652.3403076923078"/>
    <n v="20.311800000000002"/>
    <n v="33562.005861784623"/>
    <n v="49057.904068615906"/>
    <n v="-15495.898206831283"/>
    <n v="0.26575342465753427"/>
    <n v="1"/>
    <n v="-15495.898206831283"/>
    <n v="0"/>
    <m/>
    <n v="-670.93851175213695"/>
    <m/>
    <n v="-0.2887894927362078"/>
    <m/>
  </r>
  <r>
    <x v="4"/>
    <s v="Purchase"/>
    <x v="80"/>
    <x v="2"/>
    <x v="1"/>
    <x v="140"/>
    <n v="6718.671180555556"/>
    <x v="2"/>
    <n v="107"/>
    <n v="62.791319444444447"/>
    <n v="1"/>
    <n v="6718.671180555556"/>
    <n v="20.8017"/>
    <n v="139759.78229656251"/>
    <n v="115.56100000000001"/>
    <n v="117.30800000000001"/>
    <n v="1.0150999999999999"/>
    <n v="141870.15500924058"/>
    <n v="1325.8892991517812"/>
    <m/>
    <n v="107"/>
    <s v="Sale"/>
    <x v="47"/>
    <x v="1"/>
    <n v="4654.979878787879"/>
    <n v="1"/>
    <n v="4654.979878787879"/>
    <n v="20.311800000000002"/>
    <n v="94551.020301963654"/>
    <n v="141870.15500924058"/>
    <n v="-47319.134707276928"/>
    <n v="0.26575342465753427"/>
    <n v="1"/>
    <n v="-47319.134707276928"/>
    <n v="0"/>
    <m/>
    <n v="-2063.691301767677"/>
    <m/>
    <n v="-0.30715765756481533"/>
    <m/>
  </r>
  <r>
    <x v="4"/>
    <s v="Purchase"/>
    <x v="80"/>
    <x v="2"/>
    <x v="1"/>
    <x v="141"/>
    <n v="1149.47"/>
    <x v="2"/>
    <n v="18"/>
    <n v="63.859444444444449"/>
    <n v="1"/>
    <n v="1149.47"/>
    <n v="20.682700000000001"/>
    <n v="23774.143169000003"/>
    <n v="115.56100000000001"/>
    <n v="117.30800000000001"/>
    <n v="1.0150999999999999"/>
    <n v="24133.132730851899"/>
    <n v="1340.7295961584389"/>
    <m/>
    <n v="18"/>
    <s v="Sale"/>
    <x v="47"/>
    <x v="1"/>
    <n v="783.08072727272724"/>
    <n v="1"/>
    <n v="783.08072727272724"/>
    <n v="20.311800000000002"/>
    <n v="15905.779116218182"/>
    <n v="24133.132730851899"/>
    <n v="-8227.3536146337174"/>
    <n v="0.26027397260273971"/>
    <n v="1"/>
    <n v="-8227.3536146337174"/>
    <n v="0"/>
    <m/>
    <n v="-366.38927272727278"/>
    <m/>
    <n v="-0.31874626804290046"/>
    <m/>
  </r>
  <r>
    <x v="4"/>
    <s v="Purchase"/>
    <x v="80"/>
    <x v="2"/>
    <x v="1"/>
    <x v="141"/>
    <n v="1528.8"/>
    <x v="2"/>
    <n v="24"/>
    <n v="63.699999999999996"/>
    <n v="1"/>
    <n v="1528.8"/>
    <n v="20.682700000000001"/>
    <n v="31619.711759999998"/>
    <n v="115.56100000000001"/>
    <n v="117.30800000000001"/>
    <n v="1.0150999999999999"/>
    <n v="32097.169407575995"/>
    <n v="1337.3820586489999"/>
    <m/>
    <n v="24"/>
    <s v="Sale"/>
    <x v="47"/>
    <x v="1"/>
    <n v="1044.1076363636364"/>
    <n v="1"/>
    <n v="1044.1076363636364"/>
    <n v="20.311800000000002"/>
    <n v="21207.705488290911"/>
    <n v="32097.169407575995"/>
    <n v="-10889.463919285085"/>
    <n v="0.26027397260273971"/>
    <n v="1"/>
    <n v="-10889.463919285085"/>
    <n v="0"/>
    <m/>
    <n v="-484.69236363636355"/>
    <m/>
    <n v="-0.31704105418391126"/>
    <m/>
  </r>
  <r>
    <x v="4"/>
    <s v="Purchase"/>
    <x v="80"/>
    <x v="2"/>
    <x v="1"/>
    <x v="141"/>
    <n v="1016.0336842105264"/>
    <x v="2"/>
    <n v="16"/>
    <n v="63.502105263157901"/>
    <n v="1"/>
    <n v="1016.0336842105264"/>
    <n v="20.682700000000001"/>
    <n v="21014.319880421055"/>
    <n v="115.56100000000001"/>
    <n v="117.30800000000001"/>
    <n v="1.0150999999999999"/>
    <n v="21331.636110615411"/>
    <n v="1333.2272569134632"/>
    <m/>
    <n v="16"/>
    <s v="Sale"/>
    <x v="47"/>
    <x v="1"/>
    <n v="696.0717575757576"/>
    <n v="1"/>
    <n v="696.0717575757576"/>
    <n v="20.311800000000002"/>
    <n v="14138.470325527274"/>
    <n v="21331.636110615411"/>
    <n v="-7193.1657850881365"/>
    <n v="0.26027397260273971"/>
    <n v="1"/>
    <n v="-7193.1657850881365"/>
    <n v="0"/>
    <m/>
    <n v="-319.96192663476882"/>
    <m/>
    <n v="-0.31491271559897555"/>
    <m/>
  </r>
  <r>
    <x v="4"/>
    <s v="Purchase"/>
    <x v="80"/>
    <x v="2"/>
    <x v="1"/>
    <x v="141"/>
    <n v="381.01263157894743"/>
    <x v="2"/>
    <n v="6"/>
    <n v="63.502105263157908"/>
    <n v="1"/>
    <n v="381.01263157894743"/>
    <n v="20.682700000000001"/>
    <n v="7880.3699551578966"/>
    <n v="115.56100000000001"/>
    <n v="117.30800000000001"/>
    <n v="1.0150999999999999"/>
    <n v="7999.3635414807795"/>
    <n v="1333.2272569134632"/>
    <m/>
    <n v="6"/>
    <s v="Sale"/>
    <x v="47"/>
    <x v="1"/>
    <n v="261.3"/>
    <n v="1"/>
    <n v="261.3"/>
    <n v="20.311800000000002"/>
    <n v="5307.4733400000005"/>
    <n v="7999.3635414807795"/>
    <n v="-2691.8902014807791"/>
    <n v="0.26027397260273971"/>
    <n v="1"/>
    <n v="-2691.8902014807791"/>
    <n v="0"/>
    <m/>
    <n v="-119.71263157894742"/>
    <m/>
    <n v="-0.31419596532232674"/>
    <m/>
  </r>
  <r>
    <x v="4"/>
    <s v="Purchase"/>
    <x v="80"/>
    <x v="2"/>
    <x v="1"/>
    <x v="141"/>
    <n v="571.5189473684211"/>
    <x v="2"/>
    <n v="9"/>
    <n v="63.502105263157901"/>
    <n v="1"/>
    <n v="571.5189473684211"/>
    <n v="20.682700000000001"/>
    <n v="11820.554932736843"/>
    <n v="115.56100000000001"/>
    <n v="117.30800000000001"/>
    <n v="1.0150999999999999"/>
    <n v="11999.045312221167"/>
    <n v="1333.227256913463"/>
    <m/>
    <n v="9"/>
    <s v="Sale"/>
    <x v="47"/>
    <x v="1"/>
    <n v="408.06000000000006"/>
    <n v="1"/>
    <n v="408.06000000000006"/>
    <n v="20.311800000000002"/>
    <n v="8288.4331080000011"/>
    <n v="11999.045312221166"/>
    <n v="-3710.6122042211646"/>
    <n v="0.26027397260273971"/>
    <n v="1"/>
    <n v="-3710.6122042211646"/>
    <n v="0"/>
    <m/>
    <n v="-163.45894736842104"/>
    <m/>
    <n v="-0.28600792348368054"/>
    <m/>
  </r>
  <r>
    <x v="4"/>
    <s v="Purchase"/>
    <x v="80"/>
    <x v="2"/>
    <x v="1"/>
    <x v="141"/>
    <n v="1524.0505263157897"/>
    <x v="2"/>
    <n v="24"/>
    <n v="63.502105263157908"/>
    <n v="1"/>
    <n v="1524.0505263157897"/>
    <n v="20.682700000000001"/>
    <n v="31521.479820631586"/>
    <n v="115.56100000000001"/>
    <n v="117.30800000000001"/>
    <n v="1.0150999999999999"/>
    <n v="31997.454165923118"/>
    <n v="1333.2272569134632"/>
    <m/>
    <n v="24"/>
    <s v="Sale"/>
    <x v="15"/>
    <x v="1"/>
    <n v="1012.31"/>
    <n v="1"/>
    <n v="1012.31"/>
    <n v="20.3002"/>
    <n v="20550.095461999997"/>
    <n v="31997.454165923118"/>
    <n v="-11447.358703923121"/>
    <n v="0.26301369863013696"/>
    <n v="1"/>
    <n v="-11447.358703923121"/>
    <n v="0"/>
    <m/>
    <n v="-511.74052631578979"/>
    <m/>
    <n v="-0.33577661467225856"/>
    <m/>
  </r>
  <r>
    <x v="4"/>
    <s v="Purchase"/>
    <x v="80"/>
    <x v="2"/>
    <x v="1"/>
    <x v="141"/>
    <n v="1524.0505263157897"/>
    <x v="2"/>
    <n v="24"/>
    <n v="63.502105263157908"/>
    <n v="1"/>
    <n v="1524.0505263157897"/>
    <n v="20.682700000000001"/>
    <n v="31521.479820631586"/>
    <n v="115.56100000000001"/>
    <n v="117.30800000000001"/>
    <n v="1.0150999999999999"/>
    <n v="31997.454165923118"/>
    <n v="1333.2272569134632"/>
    <m/>
    <n v="24"/>
    <s v="Sale"/>
    <x v="15"/>
    <x v="1"/>
    <n v="1023.1100000000001"/>
    <n v="1"/>
    <n v="1023.1100000000001"/>
    <n v="20.3002"/>
    <n v="20769.337622000003"/>
    <n v="31997.454165923118"/>
    <n v="-11228.116543923115"/>
    <n v="0.26301369863013696"/>
    <n v="1"/>
    <n v="-11228.116543923115"/>
    <n v="0"/>
    <m/>
    <n v="-500.94052631578961"/>
    <m/>
    <n v="-0.32869023543907927"/>
    <m/>
  </r>
  <r>
    <x v="4"/>
    <s v="Purchase"/>
    <x v="80"/>
    <x v="2"/>
    <x v="1"/>
    <x v="141"/>
    <n v="5842.193684210527"/>
    <x v="2"/>
    <n v="92"/>
    <n v="63.502105263157901"/>
    <n v="1"/>
    <n v="5842.193684210527"/>
    <n v="20.682700000000001"/>
    <n v="120832.33931242107"/>
    <n v="115.56100000000001"/>
    <n v="117.30800000000001"/>
    <n v="1.0150999999999999"/>
    <n v="122656.90763603861"/>
    <n v="1333.2272569134632"/>
    <m/>
    <n v="92"/>
    <s v="Sale"/>
    <x v="15"/>
    <x v="1"/>
    <n v="3927.6738842975205"/>
    <n v="1"/>
    <n v="3927.6738842975205"/>
    <n v="20.3002"/>
    <n v="79732.565386016533"/>
    <n v="122656.90763603861"/>
    <n v="-42924.342250022077"/>
    <n v="0.26301369863013696"/>
    <n v="1"/>
    <n v="-42924.342250022077"/>
    <n v="0"/>
    <m/>
    <n v="-1914.5197999130064"/>
    <m/>
    <n v="-0.32770563651241241"/>
    <m/>
  </r>
  <r>
    <x v="4"/>
    <s v="Purchase"/>
    <x v="80"/>
    <x v="2"/>
    <x v="1"/>
    <x v="99"/>
    <n v="10415.553370786516"/>
    <x v="2"/>
    <n v="150"/>
    <n v="69.437022471910112"/>
    <n v="1"/>
    <n v="10415.553370786516"/>
    <n v="20.183700000000002"/>
    <n v="210224.40456994381"/>
    <n v="115.56100000000001"/>
    <n v="117.30800000000001"/>
    <n v="1.0150999999999999"/>
    <n v="213398.79307894994"/>
    <n v="1422.6586205263329"/>
    <m/>
    <n v="150"/>
    <s v="Sale"/>
    <x v="15"/>
    <x v="1"/>
    <n v="6403.8161157024788"/>
    <n v="1"/>
    <n v="6403.8161157024788"/>
    <n v="20.3002"/>
    <n v="129998.74791198346"/>
    <n v="213398.79307894994"/>
    <n v="-83400.045166966476"/>
    <n v="0.23287671232876711"/>
    <n v="1"/>
    <n v="-83400.045166966476"/>
    <n v="0"/>
    <m/>
    <n v="-4011.7372550840373"/>
    <m/>
    <n v="-0.38516794185281933"/>
    <m/>
  </r>
  <r>
    <x v="4"/>
    <s v="Purchase"/>
    <x v="80"/>
    <x v="2"/>
    <x v="1"/>
    <x v="99"/>
    <n v="1944.2366292134832"/>
    <x v="2"/>
    <n v="28"/>
    <n v="69.437022471910112"/>
    <n v="1"/>
    <n v="1944.2366292134832"/>
    <n v="20.183700000000002"/>
    <n v="39241.888853056182"/>
    <n v="115.56100000000001"/>
    <n v="117.30800000000001"/>
    <n v="1.0150999999999999"/>
    <n v="39834.441374737326"/>
    <n v="1422.6586205263332"/>
    <m/>
    <n v="28"/>
    <s v="Sale"/>
    <x v="57"/>
    <x v="1"/>
    <n v="1210.5268965517241"/>
    <n v="1"/>
    <n v="1210.5268965517241"/>
    <n v="20.402999999999999"/>
    <n v="24698.380270344827"/>
    <n v="39834.441374737326"/>
    <n v="-15136.061104392498"/>
    <n v="0.23561643835616439"/>
    <n v="1"/>
    <n v="-15136.061104392498"/>
    <n v="0"/>
    <m/>
    <n v="-733.70973266175906"/>
    <m/>
    <n v="-0.37737676661228847"/>
    <m/>
  </r>
  <r>
    <x v="4"/>
    <s v="Purchase"/>
    <x v="80"/>
    <x v="2"/>
    <x v="1"/>
    <x v="56"/>
    <n v="74.98"/>
    <x v="2"/>
    <n v="1"/>
    <n v="74.98"/>
    <n v="1"/>
    <n v="74.98"/>
    <n v="20.691199999999998"/>
    <n v="1551.4261759999999"/>
    <n v="116.884"/>
    <n v="117.30800000000001"/>
    <n v="1.0036"/>
    <n v="1557.0113102335999"/>
    <n v="1557.0113102335999"/>
    <m/>
    <n v="1"/>
    <s v="Sale"/>
    <x v="57"/>
    <x v="1"/>
    <n v="43.233103448275862"/>
    <n v="1"/>
    <n v="43.233103448275862"/>
    <n v="20.402999999999999"/>
    <n v="882.08500965517237"/>
    <n v="1557.0113102335999"/>
    <n v="-674.92630057842757"/>
    <n v="0.16986301369863013"/>
    <n v="1"/>
    <n v="-674.92630057842757"/>
    <n v="0"/>
    <m/>
    <n v="-31.746896551724141"/>
    <m/>
    <n v="-0.42340486198618482"/>
    <m/>
  </r>
  <r>
    <x v="4"/>
    <s v="Purchase"/>
    <x v="81"/>
    <x v="1"/>
    <x v="1"/>
    <x v="64"/>
    <n v="177.95"/>
    <x v="1"/>
    <n v="2"/>
    <n v="88.974999999999994"/>
    <n v="1"/>
    <n v="177.95"/>
    <n v="20.9238"/>
    <n v="3723.3902099999996"/>
    <n v="117.30800000000001"/>
    <n v="120.15900000000001"/>
    <n v="1.0243"/>
    <n v="3813.8685921029996"/>
    <n v="1906.9342960514998"/>
    <m/>
    <n v="2"/>
    <s v="Sale"/>
    <x v="63"/>
    <x v="1"/>
    <n v="78.92192"/>
    <n v="1"/>
    <n v="78.92192"/>
    <n v="20.703299999999999"/>
    <n v="1633.9441863359998"/>
    <n v="3813.8685921029996"/>
    <n v="-2179.9244057669998"/>
    <n v="0.21095890410958903"/>
    <n v="1"/>
    <n v="-2179.9244057669998"/>
    <n v="0"/>
    <m/>
    <n v="-99.028079999999989"/>
    <m/>
    <n v="-0.55649384658611967"/>
    <m/>
  </r>
  <r>
    <x v="4"/>
    <s v="Purchase"/>
    <x v="81"/>
    <x v="1"/>
    <x v="1"/>
    <x v="64"/>
    <n v="1115.18"/>
    <x v="1"/>
    <n v="12"/>
    <n v="92.931666666666672"/>
    <n v="1"/>
    <n v="1115.18"/>
    <n v="20.9238"/>
    <n v="23333.803284000001"/>
    <n v="117.30800000000001"/>
    <n v="120.15900000000001"/>
    <n v="1.0243"/>
    <n v="23900.814703801203"/>
    <n v="1991.7345586501003"/>
    <m/>
    <n v="12"/>
    <s v="Sale"/>
    <x v="63"/>
    <x v="1"/>
    <n v="473.53152"/>
    <n v="1"/>
    <n v="473.53152"/>
    <n v="20.703299999999999"/>
    <n v="9803.6651180159988"/>
    <n v="23900.814703801203"/>
    <n v="-14097.149585785204"/>
    <n v="0.21095890410958903"/>
    <n v="1"/>
    <n v="-14097.149585785204"/>
    <n v="0"/>
    <m/>
    <n v="-641.64848000000006"/>
    <m/>
    <n v="-0.5753766028802525"/>
    <m/>
  </r>
  <r>
    <x v="4"/>
    <s v="Purchase"/>
    <x v="81"/>
    <x v="1"/>
    <x v="1"/>
    <x v="64"/>
    <n v="10134.97640625"/>
    <x v="1"/>
    <n v="111"/>
    <n v="91.306093750000002"/>
    <n v="1"/>
    <n v="10134.97640625"/>
    <n v="20.9238"/>
    <n v="212062.21932909376"/>
    <n v="117.30800000000001"/>
    <n v="120.15900000000001"/>
    <n v="1.0243"/>
    <n v="217215.33125879074"/>
    <n v="1956.8948762053219"/>
    <m/>
    <n v="111"/>
    <s v="Sale"/>
    <x v="63"/>
    <x v="1"/>
    <n v="4380.1665599999997"/>
    <n v="1"/>
    <n v="4380.1665599999997"/>
    <n v="20.703299999999999"/>
    <n v="90683.90234164799"/>
    <n v="217215.33125879074"/>
    <n v="-126531.42891714275"/>
    <n v="0.21095890410958903"/>
    <n v="1"/>
    <n v="-126531.42891714275"/>
    <n v="0"/>
    <m/>
    <n v="-5754.8098462500002"/>
    <m/>
    <n v="-0.56781679755082071"/>
    <m/>
  </r>
  <r>
    <x v="4"/>
    <s v="Purchase"/>
    <x v="81"/>
    <x v="1"/>
    <x v="1"/>
    <x v="64"/>
    <n v="456.53046875000001"/>
    <x v="1"/>
    <n v="5"/>
    <n v="91.306093750000002"/>
    <n v="1"/>
    <n v="456.53046875000001"/>
    <n v="20.9238"/>
    <n v="9552.3522220312498"/>
    <n v="117.30800000000001"/>
    <n v="120.15900000000001"/>
    <n v="1.0243"/>
    <n v="9784.4743810266082"/>
    <n v="1956.8948762053217"/>
    <m/>
    <n v="5"/>
    <s v="Sale"/>
    <x v="63"/>
    <x v="1"/>
    <n v="189.39"/>
    <n v="1"/>
    <n v="189.39"/>
    <n v="20.703299999999999"/>
    <n v="3920.9979869999993"/>
    <n v="9784.4743810266082"/>
    <n v="-5863.4763940266093"/>
    <n v="0.21095890410958903"/>
    <n v="1"/>
    <n v="-5863.4763940266093"/>
    <n v="0"/>
    <m/>
    <n v="-267.14046875000003"/>
    <m/>
    <n v="-0.5851536469875539"/>
    <m/>
  </r>
  <r>
    <x v="4"/>
    <s v="Purchase"/>
    <x v="81"/>
    <x v="1"/>
    <x v="1"/>
    <x v="64"/>
    <n v="1095.673125"/>
    <x v="1"/>
    <n v="12"/>
    <n v="91.306093750000002"/>
    <n v="1"/>
    <n v="1095.673125"/>
    <n v="20.9238"/>
    <n v="22925.645332874999"/>
    <n v="117.30800000000001"/>
    <n v="120.15900000000001"/>
    <n v="1.0243"/>
    <n v="23482.738514463861"/>
    <n v="1956.8948762053217"/>
    <m/>
    <n v="12"/>
    <s v="Sale"/>
    <x v="13"/>
    <x v="1"/>
    <n v="447.36"/>
    <n v="1"/>
    <n v="447.36"/>
    <n v="20.926200000000001"/>
    <n v="9361.5448320000014"/>
    <n v="23482.738514463861"/>
    <n v="-14121.19368246386"/>
    <n v="0.21369863013698631"/>
    <n v="1"/>
    <n v="-14121.19368246386"/>
    <n v="0"/>
    <m/>
    <n v="-648.31312500000001"/>
    <m/>
    <n v="-0.59170304555932229"/>
    <m/>
  </r>
  <r>
    <x v="4"/>
    <s v="Purchase"/>
    <x v="81"/>
    <x v="1"/>
    <x v="1"/>
    <x v="142"/>
    <n v="1222.21"/>
    <x v="1"/>
    <n v="13"/>
    <n v="94.016153846153856"/>
    <n v="1"/>
    <n v="1222.21"/>
    <n v="20.733699999999999"/>
    <n v="25340.935476999999"/>
    <n v="117.30800000000001"/>
    <n v="120.15900000000001"/>
    <n v="1.0243"/>
    <n v="25956.720209091098"/>
    <n v="1996.6707853146997"/>
    <m/>
    <n v="13"/>
    <s v="Sale"/>
    <x v="13"/>
    <x v="1"/>
    <n v="517.38042168674701"/>
    <n v="1"/>
    <n v="517.38042168674701"/>
    <n v="20.926200000000001"/>
    <n v="10826.806180301206"/>
    <n v="25956.720209091098"/>
    <n v="-15129.914028789892"/>
    <n v="0.21095890410958903"/>
    <n v="1"/>
    <n v="-15129.914028789892"/>
    <n v="0"/>
    <m/>
    <n v="-704.82957831325302"/>
    <m/>
    <n v="-0.57668451273778898"/>
    <m/>
  </r>
  <r>
    <x v="4"/>
    <s v="Purchase"/>
    <x v="81"/>
    <x v="1"/>
    <x v="1"/>
    <x v="142"/>
    <n v="1611.47"/>
    <x v="1"/>
    <n v="17"/>
    <n v="94.792352941176475"/>
    <n v="1"/>
    <n v="1611.47"/>
    <n v="20.733699999999999"/>
    <n v="33411.735539000001"/>
    <n v="117.30800000000001"/>
    <n v="120.15900000000001"/>
    <n v="1.0243"/>
    <n v="34223.640712597698"/>
    <n v="2013.1553360351588"/>
    <m/>
    <n v="17"/>
    <s v="Sale"/>
    <x v="13"/>
    <x v="1"/>
    <n v="676.57439759036151"/>
    <n v="1"/>
    <n v="676.57439759036151"/>
    <n v="20.926200000000001"/>
    <n v="14158.131158855424"/>
    <n v="34223.640712597698"/>
    <n v="-20065.509553742275"/>
    <n v="0.21095890410958903"/>
    <n v="1"/>
    <n v="-20065.509553742275"/>
    <n v="0"/>
    <m/>
    <n v="-934.89560240963851"/>
    <m/>
    <n v="-0.58015079549084902"/>
    <m/>
  </r>
  <r>
    <x v="4"/>
    <s v="Purchase"/>
    <x v="81"/>
    <x v="1"/>
    <x v="1"/>
    <x v="142"/>
    <n v="5252.48"/>
    <x v="1"/>
    <n v="56"/>
    <n v="93.794285714285706"/>
    <n v="1"/>
    <n v="5252.48"/>
    <n v="20.733699999999999"/>
    <n v="108903.34457599999"/>
    <n v="117.30800000000001"/>
    <n v="120.15900000000001"/>
    <n v="1.0243"/>
    <n v="111549.69584919678"/>
    <n v="1991.9588544499425"/>
    <m/>
    <n v="56"/>
    <s v="Sale"/>
    <x v="13"/>
    <x v="1"/>
    <n v="2228.7156626506026"/>
    <n v="1"/>
    <n v="2228.7156626506026"/>
    <n v="20.926200000000001"/>
    <n v="46638.549699759045"/>
    <n v="111549.69584919678"/>
    <n v="-64911.146149437736"/>
    <n v="0.21095890410958903"/>
    <n v="1"/>
    <n v="-64911.146149437736"/>
    <n v="0"/>
    <m/>
    <n v="-3023.764337349397"/>
    <m/>
    <n v="-0.5756831701119085"/>
    <m/>
  </r>
  <r>
    <x v="4"/>
    <s v="Purchase"/>
    <x v="81"/>
    <x v="1"/>
    <x v="1"/>
    <x v="143"/>
    <n v="1247.52"/>
    <x v="1"/>
    <n v="13"/>
    <n v="95.963076923076926"/>
    <n v="1"/>
    <n v="1247.52"/>
    <n v="20.7363"/>
    <n v="25868.948976"/>
    <n v="117.30800000000001"/>
    <n v="120.15900000000001"/>
    <n v="1.0243"/>
    <n v="26497.564436116798"/>
    <n v="2038.2741873935997"/>
    <m/>
    <n v="13"/>
    <s v="Sale"/>
    <x v="13"/>
    <x v="1"/>
    <n v="517.38042168674701"/>
    <n v="1"/>
    <n v="517.38042168674701"/>
    <n v="20.926200000000001"/>
    <n v="10826.806180301206"/>
    <n v="26497.564436116798"/>
    <n v="-15670.758255815592"/>
    <n v="0.20821917808219179"/>
    <n v="1"/>
    <n v="-15670.758255815592"/>
    <n v="0"/>
    <m/>
    <n v="-730.13957831325297"/>
    <m/>
    <n v="-0.58527284397304491"/>
    <m/>
  </r>
  <r>
    <x v="4"/>
    <s v="Purchase"/>
    <x v="81"/>
    <x v="1"/>
    <x v="1"/>
    <x v="144"/>
    <n v="93.44"/>
    <x v="1"/>
    <n v="1"/>
    <n v="93.44"/>
    <n v="1"/>
    <n v="93.44"/>
    <n v="20.782299999999999"/>
    <n v="1941.8981119999999"/>
    <n v="117.30800000000001"/>
    <n v="120.15900000000001"/>
    <n v="1.0243"/>
    <n v="1989.0862361215998"/>
    <n v="1989.0862361215998"/>
    <m/>
    <n v="1"/>
    <s v="Sale"/>
    <x v="13"/>
    <x v="1"/>
    <n v="39.798493975903618"/>
    <n v="1"/>
    <n v="39.798493975903618"/>
    <n v="20.926200000000001"/>
    <n v="832.83124463855438"/>
    <n v="1989.0862361215998"/>
    <n v="-1156.2549914830454"/>
    <n v="0.20547945205479451"/>
    <n v="1"/>
    <n v="-1156.2549914830454"/>
    <n v="0"/>
    <m/>
    <n v="-53.64150602409638"/>
    <m/>
    <n v="-0.57407433673048358"/>
    <m/>
  </r>
  <r>
    <x v="4"/>
    <s v="Purchase"/>
    <x v="81"/>
    <x v="1"/>
    <x v="1"/>
    <x v="144"/>
    <n v="376.78"/>
    <x v="1"/>
    <n v="4"/>
    <n v="94.194999999999993"/>
    <n v="1"/>
    <n v="376.78"/>
    <n v="20.782299999999999"/>
    <n v="7830.3549939999994"/>
    <n v="117.30800000000001"/>
    <n v="120.15900000000001"/>
    <n v="1.0243"/>
    <n v="8020.6326203541994"/>
    <n v="2005.1581550885498"/>
    <m/>
    <n v="4"/>
    <s v="Sale"/>
    <x v="13"/>
    <x v="1"/>
    <n v="159.19397590361447"/>
    <n v="1"/>
    <n v="159.19397590361447"/>
    <n v="20.926200000000001"/>
    <n v="3331.3249785542175"/>
    <n v="8020.6326203541994"/>
    <n v="-4689.3076417999819"/>
    <n v="0.20547945205479451"/>
    <n v="1"/>
    <n v="-4689.3076417999819"/>
    <n v="0"/>
    <m/>
    <n v="-217.5860240963855"/>
    <m/>
    <n v="-0.57748825334780385"/>
    <m/>
  </r>
  <r>
    <x v="4"/>
    <s v="Purchase"/>
    <x v="81"/>
    <x v="1"/>
    <x v="1"/>
    <x v="144"/>
    <n v="553.74"/>
    <x v="1"/>
    <n v="6"/>
    <n v="92.29"/>
    <n v="1"/>
    <n v="553.74"/>
    <n v="20.782299999999999"/>
    <n v="11507.990802"/>
    <n v="117.30800000000001"/>
    <n v="120.15900000000001"/>
    <n v="1.0243"/>
    <n v="11787.634978488601"/>
    <n v="1964.6058297481002"/>
    <m/>
    <n v="6"/>
    <s v="Sale"/>
    <x v="13"/>
    <x v="1"/>
    <n v="238.79096385542169"/>
    <n v="1"/>
    <n v="238.79096385542169"/>
    <n v="20.926200000000001"/>
    <n v="4996.9874678313254"/>
    <n v="11787.634978488601"/>
    <n v="-6790.6475106572752"/>
    <n v="0.20547945205479451"/>
    <n v="1"/>
    <n v="-6790.6475106572752"/>
    <n v="0"/>
    <m/>
    <n v="-314.94903614457832"/>
    <m/>
    <n v="-0.56876699560186783"/>
    <m/>
  </r>
  <r>
    <x v="4"/>
    <s v="Purchase"/>
    <x v="81"/>
    <x v="1"/>
    <x v="1"/>
    <x v="144"/>
    <n v="3060.12"/>
    <x v="1"/>
    <n v="32"/>
    <n v="95.628749999999997"/>
    <n v="1"/>
    <n v="3060.12"/>
    <n v="20.782299999999999"/>
    <n v="63596.331875999997"/>
    <n v="117.30800000000001"/>
    <n v="120.15900000000001"/>
    <n v="1.0243"/>
    <n v="65141.722740586796"/>
    <n v="2035.6788356433374"/>
    <m/>
    <n v="32"/>
    <s v="Sale"/>
    <x v="13"/>
    <x v="1"/>
    <n v="1273.5518072289158"/>
    <n v="1"/>
    <n v="1273.5518072289158"/>
    <n v="20.926200000000001"/>
    <n v="26650.59982843374"/>
    <n v="65141.722740586796"/>
    <n v="-38491.122912153056"/>
    <n v="0.20547945205479451"/>
    <n v="1"/>
    <n v="-38491.122912153056"/>
    <n v="0"/>
    <m/>
    <n v="-1786.5681927710841"/>
    <m/>
    <n v="-0.58382291961461774"/>
    <m/>
  </r>
  <r>
    <x v="4"/>
    <s v="Purchase"/>
    <x v="81"/>
    <x v="1"/>
    <x v="1"/>
    <x v="92"/>
    <n v="193.99"/>
    <x v="1"/>
    <n v="2"/>
    <n v="96.995000000000005"/>
    <n v="1"/>
    <n v="193.99"/>
    <n v="20.658200000000001"/>
    <n v="4007.4842180000005"/>
    <n v="117.30800000000001"/>
    <n v="120.15900000000001"/>
    <n v="1.0243"/>
    <n v="4104.8660844974002"/>
    <n v="2052.4330422487001"/>
    <m/>
    <n v="2"/>
    <s v="Sale"/>
    <x v="13"/>
    <x v="1"/>
    <n v="79.596987951807236"/>
    <n v="1"/>
    <n v="79.596987951807236"/>
    <n v="20.926200000000001"/>
    <n v="1665.6624892771088"/>
    <n v="4104.8660844974002"/>
    <n v="-2439.2035952202914"/>
    <n v="0.19452054794520549"/>
    <n v="1"/>
    <n v="-2439.2035952202914"/>
    <n v="0"/>
    <m/>
    <n v="-114.39301204819277"/>
    <m/>
    <n v="-0.58968509741838637"/>
    <m/>
  </r>
  <r>
    <x v="4"/>
    <s v="Purchase"/>
    <x v="81"/>
    <x v="1"/>
    <x v="1"/>
    <x v="92"/>
    <n v="387.98"/>
    <x v="1"/>
    <n v="4"/>
    <n v="96.995000000000005"/>
    <n v="1"/>
    <n v="387.98"/>
    <n v="20.658200000000001"/>
    <n v="8014.968436000001"/>
    <n v="117.30800000000001"/>
    <n v="120.15900000000001"/>
    <n v="1.0243"/>
    <n v="8209.7321689948003"/>
    <n v="2052.4330422487001"/>
    <m/>
    <n v="4"/>
    <s v="Sale"/>
    <x v="13"/>
    <x v="1"/>
    <n v="159.19397590361447"/>
    <n v="1"/>
    <n v="159.19397590361447"/>
    <n v="20.926200000000001"/>
    <n v="3331.3249785542175"/>
    <n v="8209.7321689948003"/>
    <n v="-4878.4071904405828"/>
    <n v="0.19452054794520549"/>
    <n v="1"/>
    <n v="-4878.4071904405828"/>
    <n v="0"/>
    <m/>
    <n v="-228.78602409638555"/>
    <m/>
    <n v="-0.58968509741838637"/>
    <m/>
  </r>
  <r>
    <x v="4"/>
    <s v="Purchase"/>
    <x v="81"/>
    <x v="1"/>
    <x v="1"/>
    <x v="92"/>
    <n v="1721.4627272727273"/>
    <x v="1"/>
    <n v="18"/>
    <n v="95.636818181818185"/>
    <n v="1"/>
    <n v="1721.4627272727273"/>
    <n v="20.658200000000001"/>
    <n v="35562.321312545457"/>
    <n v="117.30800000000001"/>
    <n v="120.15900000000001"/>
    <n v="1.0243"/>
    <n v="36426.485720440309"/>
    <n v="2023.6936511355727"/>
    <m/>
    <n v="18"/>
    <s v="Sale"/>
    <x v="13"/>
    <x v="1"/>
    <n v="716.37289156626514"/>
    <n v="1"/>
    <n v="716.37289156626514"/>
    <n v="20.926200000000001"/>
    <n v="14990.962403493979"/>
    <n v="36426.485720440309"/>
    <n v="-21435.523316946332"/>
    <n v="0.19452054794520549"/>
    <n v="1"/>
    <n v="-21435.523316946332"/>
    <n v="0"/>
    <m/>
    <n v="-1005.0898357064622"/>
    <m/>
    <n v="-0.58385802944383358"/>
    <m/>
  </r>
  <r>
    <x v="4"/>
    <s v="Purchase"/>
    <x v="81"/>
    <x v="1"/>
    <x v="1"/>
    <x v="92"/>
    <n v="286.91045454545457"/>
    <x v="1"/>
    <n v="3"/>
    <n v="95.636818181818185"/>
    <n v="1"/>
    <n v="286.91045454545457"/>
    <n v="20.658200000000001"/>
    <n v="5927.0535520909098"/>
    <n v="117.30800000000001"/>
    <n v="120.15900000000001"/>
    <n v="1.0243"/>
    <n v="6071.0809534067184"/>
    <n v="2023.6936511355727"/>
    <m/>
    <n v="3"/>
    <s v="Sale"/>
    <x v="13"/>
    <x v="1"/>
    <n v="112.09"/>
    <n v="1"/>
    <n v="112.09"/>
    <n v="20.926200000000001"/>
    <n v="2345.6177580000003"/>
    <n v="6071.0809534067184"/>
    <n v="-3725.4631954067181"/>
    <n v="0.19452054794520549"/>
    <n v="1"/>
    <n v="-3725.4631954067181"/>
    <n v="0"/>
    <m/>
    <n v="-174.82045454545457"/>
    <m/>
    <n v="-0.60932061476260413"/>
    <m/>
  </r>
  <r>
    <x v="4"/>
    <s v="Purchase"/>
    <x v="81"/>
    <x v="1"/>
    <x v="1"/>
    <x v="92"/>
    <n v="95.636818181818185"/>
    <x v="1"/>
    <n v="1"/>
    <n v="95.636818181818185"/>
    <n v="1"/>
    <n v="95.636818181818185"/>
    <n v="20.658200000000001"/>
    <n v="1975.6845173636366"/>
    <n v="117.30800000000001"/>
    <n v="120.15900000000001"/>
    <n v="1.0243"/>
    <n v="2023.693651135573"/>
    <n v="2023.693651135573"/>
    <m/>
    <n v="1"/>
    <s v="Sale"/>
    <x v="13"/>
    <x v="1"/>
    <n v="37.135714285714286"/>
    <n v="1"/>
    <n v="37.135714285714286"/>
    <n v="20.926200000000001"/>
    <n v="777.10938428571433"/>
    <n v="2023.693651135573"/>
    <n v="-1246.5842668498585"/>
    <n v="0.19452054794520549"/>
    <n v="1"/>
    <n v="-1246.5842668498585"/>
    <n v="0"/>
    <m/>
    <n v="-58.501103896103899"/>
    <m/>
    <n v="-0.61170065052651168"/>
    <m/>
  </r>
  <r>
    <x v="4"/>
    <s v="Purchase"/>
    <x v="81"/>
    <x v="1"/>
    <x v="1"/>
    <x v="92"/>
    <n v="5164.3900000000003"/>
    <x v="1"/>
    <n v="54"/>
    <n v="95.636851851851858"/>
    <n v="1"/>
    <n v="5164.3900000000003"/>
    <n v="20.658200000000001"/>
    <n v="106687.00149800001"/>
    <n v="117.30800000000001"/>
    <n v="120.15900000000001"/>
    <n v="1.0243"/>
    <n v="109279.49563440141"/>
    <n v="2023.694363600026"/>
    <m/>
    <n v="54"/>
    <s v="Sale"/>
    <x v="13"/>
    <x v="1"/>
    <n v="2005.3285714285714"/>
    <n v="1"/>
    <n v="2005.3285714285714"/>
    <n v="20.926200000000001"/>
    <n v="41963.906751428571"/>
    <n v="109279.49563440141"/>
    <n v="-67315.588882972836"/>
    <n v="0.19452054794520549"/>
    <n v="1"/>
    <n v="-67315.588882972836"/>
    <n v="0"/>
    <m/>
    <n v="-3159.0614285714291"/>
    <m/>
    <n v="-0.61170078723168253"/>
    <m/>
  </r>
  <r>
    <x v="4"/>
    <s v="Purchase"/>
    <x v="81"/>
    <x v="1"/>
    <x v="1"/>
    <x v="145"/>
    <n v="599.59999999999991"/>
    <x v="1"/>
    <n v="8"/>
    <n v="74.949999999999989"/>
    <n v="1"/>
    <n v="599.59999999999991"/>
    <n v="20.588999999999999"/>
    <n v="12345.164399999998"/>
    <n v="118.002"/>
    <n v="120.15900000000001"/>
    <n v="1.0182"/>
    <n v="12569.846392079999"/>
    <n v="1571.2307990099998"/>
    <m/>
    <n v="8"/>
    <s v="Sale"/>
    <x v="13"/>
    <x v="1"/>
    <n v="297.08571428571429"/>
    <n v="1"/>
    <n v="297.08571428571429"/>
    <n v="20.926200000000001"/>
    <n v="6216.8750742857146"/>
    <n v="12569.846392079999"/>
    <n v="-6352.971317794284"/>
    <n v="0.16986301369863013"/>
    <n v="1"/>
    <n v="-6352.971317794284"/>
    <n v="0"/>
    <m/>
    <n v="-302.51428571428562"/>
    <m/>
    <n v="-0.50452682740874866"/>
    <m/>
  </r>
  <r>
    <x v="4"/>
    <s v="Purchase"/>
    <x v="81"/>
    <x v="1"/>
    <x v="1"/>
    <x v="145"/>
    <n v="2098.5999999999995"/>
    <x v="1"/>
    <n v="28"/>
    <n v="74.949999999999974"/>
    <n v="1"/>
    <n v="2098.5999999999995"/>
    <n v="20.588999999999999"/>
    <n v="43208.075399999987"/>
    <n v="118.002"/>
    <n v="120.15900000000001"/>
    <n v="1.0182"/>
    <n v="43994.462372279988"/>
    <n v="1571.2307990099996"/>
    <m/>
    <n v="28"/>
    <s v="Sale"/>
    <x v="41"/>
    <x v="1"/>
    <n v="1162.4459259259261"/>
    <n v="1"/>
    <n v="1162.4459259259261"/>
    <n v="21.194700000000001"/>
    <n v="24637.692666222225"/>
    <n v="43994.462372279988"/>
    <n v="-19356.769706057763"/>
    <n v="0.17260273972602741"/>
    <n v="1"/>
    <n v="-19356.769706057763"/>
    <n v="0"/>
    <m/>
    <n v="-936.15407407407338"/>
    <m/>
    <n v="-0.44608504435055446"/>
    <m/>
  </r>
  <r>
    <x v="4"/>
    <s v="Purchase"/>
    <x v="81"/>
    <x v="1"/>
    <x v="1"/>
    <x v="145"/>
    <n v="1929.3964444444446"/>
    <x v="1"/>
    <n v="26"/>
    <n v="74.207555555555558"/>
    <n v="1"/>
    <n v="1929.3964444444446"/>
    <n v="20.588999999999999"/>
    <n v="39724.34339466667"/>
    <n v="118.002"/>
    <n v="120.15900000000001"/>
    <n v="1.0182"/>
    <n v="40447.326444449602"/>
    <n v="1555.6664017096"/>
    <m/>
    <n v="26"/>
    <s v="Sale"/>
    <x v="41"/>
    <x v="1"/>
    <n v="1079.4140740740741"/>
    <n v="1"/>
    <n v="1079.4140740740741"/>
    <n v="21.194700000000001"/>
    <n v="22877.857475777779"/>
    <n v="40447.326444449602"/>
    <n v="-17569.468968671823"/>
    <n v="0.17260273972602741"/>
    <n v="1"/>
    <n v="-17569.468968671823"/>
    <n v="0"/>
    <m/>
    <n v="-849.98237037037052"/>
    <m/>
    <n v="-0.44054314125945054"/>
    <m/>
  </r>
  <r>
    <x v="4"/>
    <s v="Purchase"/>
    <x v="81"/>
    <x v="1"/>
    <x v="1"/>
    <x v="145"/>
    <n v="1409.9435555555556"/>
    <x v="1"/>
    <n v="19"/>
    <n v="74.207555555555558"/>
    <n v="1"/>
    <n v="1409.9435555555556"/>
    <n v="20.588999999999999"/>
    <n v="29029.327865333333"/>
    <n v="118.002"/>
    <n v="120.15900000000001"/>
    <n v="1.0182"/>
    <n v="29557.661632482399"/>
    <n v="1555.6664017096"/>
    <m/>
    <n v="19"/>
    <s v="Sale"/>
    <x v="74"/>
    <x v="1"/>
    <n v="744.25590909090909"/>
    <n v="1"/>
    <n v="744.25590909090909"/>
    <n v="21.377500000000001"/>
    <n v="15910.330696590911"/>
    <n v="29557.661632482399"/>
    <n v="-13647.330935891488"/>
    <n v="0.17534246575342466"/>
    <n v="1"/>
    <n v="-13647.330935891488"/>
    <n v="0"/>
    <m/>
    <n v="-665.68764646464649"/>
    <m/>
    <n v="-0.4721377985960209"/>
    <m/>
  </r>
  <r>
    <x v="4"/>
    <s v="Purchase"/>
    <x v="81"/>
    <x v="1"/>
    <x v="1"/>
    <x v="65"/>
    <n v="184.00071428571428"/>
    <x v="1"/>
    <n v="3"/>
    <n v="61.333571428571425"/>
    <n v="1"/>
    <n v="184.00071428571428"/>
    <n v="20.402999999999999"/>
    <n v="3754.1665735714282"/>
    <n v="118.002"/>
    <n v="120.15900000000001"/>
    <n v="1.0182"/>
    <n v="3822.4924052104284"/>
    <n v="1274.1641350701427"/>
    <m/>
    <n v="3"/>
    <s v="Sale"/>
    <x v="74"/>
    <x v="1"/>
    <n v="117.51409090909091"/>
    <n v="1"/>
    <n v="117.51409090909091"/>
    <n v="21.377500000000001"/>
    <n v="2512.1574784090913"/>
    <n v="3822.4924052104279"/>
    <n v="-1310.3349268013367"/>
    <n v="0.13424657534246576"/>
    <n v="1"/>
    <n v="-1310.3349268013367"/>
    <n v="0"/>
    <m/>
    <n v="-66.486623376623371"/>
    <m/>
    <n v="-0.3613389417248874"/>
    <m/>
  </r>
  <r>
    <x v="4"/>
    <s v="Purchase"/>
    <x v="81"/>
    <x v="1"/>
    <x v="1"/>
    <x v="65"/>
    <n v="306.66785714285714"/>
    <x v="1"/>
    <n v="5"/>
    <n v="61.333571428571432"/>
    <n v="1"/>
    <n v="306.66785714285714"/>
    <n v="20.402999999999999"/>
    <n v="6256.9442892857141"/>
    <n v="118.002"/>
    <n v="120.15900000000001"/>
    <n v="1.0182"/>
    <n v="6370.8206753507138"/>
    <n v="1274.1641350701427"/>
    <m/>
    <n v="5"/>
    <s v="Sale"/>
    <x v="74"/>
    <x v="1"/>
    <n v="194.53"/>
    <n v="1"/>
    <n v="194.53"/>
    <n v="21.377500000000001"/>
    <n v="4158.5650750000004"/>
    <n v="6370.8206753507138"/>
    <n v="-2212.2556003507134"/>
    <n v="0.13424657534246576"/>
    <n v="1"/>
    <n v="-2212.2556003507134"/>
    <n v="0"/>
    <m/>
    <n v="-112.13785714285714"/>
    <m/>
    <n v="-0.36566550595688679"/>
    <m/>
  </r>
  <r>
    <x v="4"/>
    <s v="Purchase"/>
    <x v="81"/>
    <x v="1"/>
    <x v="1"/>
    <x v="65"/>
    <n v="368.00142857142856"/>
    <x v="1"/>
    <n v="6"/>
    <n v="61.333571428571425"/>
    <n v="1"/>
    <n v="368.00142857142856"/>
    <n v="20.402999999999999"/>
    <n v="7508.3331471428564"/>
    <n v="118.002"/>
    <n v="120.15900000000001"/>
    <n v="1.0182"/>
    <n v="7644.9848104208568"/>
    <n v="1274.1641350701427"/>
    <m/>
    <n v="6"/>
    <s v="Sale"/>
    <x v="74"/>
    <x v="1"/>
    <n v="227.64794117647062"/>
    <n v="1"/>
    <n v="227.64794117647062"/>
    <n v="21.377500000000001"/>
    <n v="4866.5438625000006"/>
    <n v="7644.9848104208559"/>
    <n v="-2778.4409479208553"/>
    <n v="0.13424657534246576"/>
    <n v="1"/>
    <n v="-2778.4409479208553"/>
    <n v="0"/>
    <m/>
    <n v="-140.35348739495794"/>
    <m/>
    <n v="-0.38139386561570243"/>
    <m/>
  </r>
  <r>
    <x v="4"/>
    <s v="Purchase"/>
    <x v="81"/>
    <x v="1"/>
    <x v="1"/>
    <x v="65"/>
    <n v="3302.06"/>
    <x v="1"/>
    <n v="53"/>
    <n v="62.303018867924528"/>
    <n v="1"/>
    <n v="3302.06"/>
    <n v="20.402999999999999"/>
    <n v="67371.930179999996"/>
    <n v="118.002"/>
    <n v="120.15900000000001"/>
    <n v="1.0182"/>
    <n v="68598.099309275989"/>
    <n v="1294.3037605523771"/>
    <m/>
    <n v="53"/>
    <s v="Sale"/>
    <x v="74"/>
    <x v="1"/>
    <n v="2010.8901470588237"/>
    <n v="1"/>
    <n v="2010.8901470588237"/>
    <n v="21.377500000000001"/>
    <n v="42987.804118750006"/>
    <n v="68598.099309275989"/>
    <n v="-25610.295190525983"/>
    <n v="0.13424657534246576"/>
    <n v="1"/>
    <n v="-25610.295190525983"/>
    <n v="0"/>
    <m/>
    <n v="-1291.1698529411763"/>
    <m/>
    <n v="-0.39101950083922649"/>
    <m/>
  </r>
  <r>
    <x v="4"/>
    <s v="Purchase"/>
    <x v="81"/>
    <x v="1"/>
    <x v="1"/>
    <x v="65"/>
    <n v="570.24"/>
    <x v="1"/>
    <n v="9"/>
    <n v="63.36"/>
    <n v="1"/>
    <n v="570.24"/>
    <n v="20.402999999999999"/>
    <n v="11634.60672"/>
    <n v="118.002"/>
    <n v="120.15900000000001"/>
    <n v="1.0182"/>
    <n v="11846.356562303999"/>
    <n v="1316.2618402559999"/>
    <m/>
    <n v="9"/>
    <s v="Sale"/>
    <x v="74"/>
    <x v="1"/>
    <n v="341.47191176470591"/>
    <n v="1"/>
    <n v="341.47191176470591"/>
    <n v="21.377500000000001"/>
    <n v="7299.8157937500009"/>
    <n v="11846.356562303999"/>
    <n v="-4546.5407685539985"/>
    <n v="0.13424657534246576"/>
    <n v="1"/>
    <n v="-4546.5407685539985"/>
    <n v="0"/>
    <m/>
    <n v="-228.7680882352941"/>
    <m/>
    <n v="-0.40117860591206178"/>
    <m/>
  </r>
  <r>
    <x v="4"/>
    <s v="Purchase"/>
    <x v="82"/>
    <x v="2"/>
    <x v="1"/>
    <x v="64"/>
    <n v="1372.16"/>
    <x v="2"/>
    <n v="10"/>
    <n v="137.21600000000001"/>
    <n v="1"/>
    <n v="1372.16"/>
    <n v="20.9238"/>
    <n v="28710.801408000003"/>
    <n v="117.30800000000001"/>
    <n v="117.30800000000001"/>
    <n v="1"/>
    <n v="28710.801408000003"/>
    <n v="2871.0801408000002"/>
    <m/>
    <n v="10"/>
    <s v="Sale"/>
    <x v="28"/>
    <x v="1"/>
    <n v="941.98922155688615"/>
    <n v="1"/>
    <n v="941.98922155688615"/>
    <n v="20.641500000000001"/>
    <n v="19444.070516766467"/>
    <n v="28710.801408000003"/>
    <n v="-9266.7308912335357"/>
    <n v="0.10684931506849316"/>
    <n v="1"/>
    <n v="-9266.7308912335357"/>
    <n v="0"/>
    <m/>
    <n v="-430.17077844311393"/>
    <m/>
    <n v="-0.31349899315175628"/>
    <m/>
  </r>
  <r>
    <x v="4"/>
    <s v="Purchase"/>
    <x v="82"/>
    <x v="2"/>
    <x v="1"/>
    <x v="64"/>
    <n v="9784.94"/>
    <x v="2"/>
    <n v="71"/>
    <n v="137.81605633802818"/>
    <n v="1"/>
    <n v="9784.94"/>
    <n v="20.9238"/>
    <n v="204738.127572"/>
    <n v="117.30800000000001"/>
    <n v="117.30800000000001"/>
    <n v="1"/>
    <n v="204738.127572"/>
    <n v="2883.6355996056336"/>
    <m/>
    <n v="71"/>
    <s v="Sale"/>
    <x v="28"/>
    <x v="1"/>
    <n v="6688.1234730538918"/>
    <n v="1"/>
    <n v="6688.1234730538918"/>
    <n v="20.641500000000001"/>
    <n v="138052.9006690419"/>
    <n v="204738.127572"/>
    <n v="-66685.226902958093"/>
    <n v="0.10684931506849316"/>
    <n v="1"/>
    <n v="-66685.226902958093"/>
    <n v="0"/>
    <m/>
    <n v="-3096.8165269461088"/>
    <m/>
    <n v="-0.31648804458137797"/>
    <m/>
  </r>
  <r>
    <x v="4"/>
    <s v="Purchase"/>
    <x v="82"/>
    <x v="2"/>
    <x v="1"/>
    <x v="144"/>
    <n v="5825.08"/>
    <x v="2"/>
    <n v="40"/>
    <n v="145.62700000000001"/>
    <n v="1"/>
    <n v="5825.08"/>
    <n v="20.782299999999999"/>
    <n v="121058.560084"/>
    <n v="117.30800000000001"/>
    <n v="117.30800000000001"/>
    <n v="1"/>
    <n v="121058.560084"/>
    <n v="3026.4640021"/>
    <m/>
    <n v="40"/>
    <s v="Sale"/>
    <x v="28"/>
    <x v="1"/>
    <n v="3767.9568862275446"/>
    <n v="1"/>
    <n v="3767.9568862275446"/>
    <n v="20.641500000000001"/>
    <n v="77776.282067065869"/>
    <n v="121058.560084"/>
    <n v="-43282.278016934128"/>
    <n v="9.8630136986301367E-2"/>
    <n v="1"/>
    <n v="-43282.278016934128"/>
    <n v="0"/>
    <m/>
    <n v="-2057.1231137724553"/>
    <m/>
    <n v="-0.35314933250229275"/>
    <m/>
  </r>
  <r>
    <x v="4"/>
    <s v="Purchase"/>
    <x v="82"/>
    <x v="2"/>
    <x v="1"/>
    <x v="92"/>
    <n v="6035.93"/>
    <x v="2"/>
    <n v="41"/>
    <n v="147.21780487804878"/>
    <n v="1"/>
    <n v="6035.93"/>
    <n v="20.658200000000001"/>
    <n v="124691.44912600001"/>
    <n v="117.30800000000001"/>
    <n v="117.30800000000001"/>
    <n v="1"/>
    <n v="124691.44912600001"/>
    <n v="3041.2548567317076"/>
    <m/>
    <n v="41"/>
    <s v="Sale"/>
    <x v="28"/>
    <x v="1"/>
    <n v="3862.1558083832333"/>
    <n v="1"/>
    <n v="3862.1558083832333"/>
    <n v="20.641500000000001"/>
    <n v="79720.689118742506"/>
    <n v="124691.44912600001"/>
    <n v="-44970.760007257501"/>
    <n v="8.7671232876712329E-2"/>
    <n v="1"/>
    <n v="-44970.760007257501"/>
    <n v="0"/>
    <m/>
    <n v="-2173.774191616767"/>
    <m/>
    <n v="-0.36013906583024768"/>
    <m/>
  </r>
  <r>
    <x v="4"/>
    <s v="Purchase"/>
    <x v="82"/>
    <x v="2"/>
    <x v="1"/>
    <x v="94"/>
    <n v="719.25666666666666"/>
    <x v="2"/>
    <n v="5"/>
    <n v="143.85133333333334"/>
    <n v="1"/>
    <n v="719.25666666666666"/>
    <n v="20.6828"/>
    <n v="14876.241785333334"/>
    <n v="117.30800000000001"/>
    <n v="117.30800000000001"/>
    <n v="1"/>
    <n v="14876.241785333334"/>
    <n v="2975.2483570666668"/>
    <m/>
    <n v="5"/>
    <s v="Sale"/>
    <x v="28"/>
    <x v="1"/>
    <n v="470.99461077844308"/>
    <n v="1"/>
    <n v="470.99461077844308"/>
    <n v="20.641500000000001"/>
    <n v="9722.0352583832337"/>
    <n v="14876.241785333334"/>
    <n v="-5154.2065269500999"/>
    <n v="8.2191780821917804E-2"/>
    <n v="1"/>
    <n v="-5154.2065269500999"/>
    <n v="0"/>
    <m/>
    <n v="-248.26205588822359"/>
    <m/>
    <n v="-0.3451647616125309"/>
    <m/>
  </r>
  <r>
    <x v="4"/>
    <s v="Purchase"/>
    <x v="82"/>
    <x v="2"/>
    <x v="1"/>
    <x v="94"/>
    <n v="7911.8233333333337"/>
    <x v="2"/>
    <n v="55"/>
    <n v="143.85133333333334"/>
    <n v="1"/>
    <n v="7911.8233333333337"/>
    <n v="20.6828"/>
    <n v="163638.65963866666"/>
    <n v="117.30800000000001"/>
    <n v="117.30800000000001"/>
    <n v="1"/>
    <n v="163638.65963866666"/>
    <n v="2975.2483570666668"/>
    <m/>
    <n v="55"/>
    <s v="Sale"/>
    <x v="28"/>
    <x v="1"/>
    <n v="5172.1011235955057"/>
    <n v="1"/>
    <n v="5172.1011235955057"/>
    <n v="20.641500000000001"/>
    <n v="106759.92534269663"/>
    <n v="163638.65963866666"/>
    <n v="-56878.734295970033"/>
    <n v="8.2191780821917804E-2"/>
    <n v="1"/>
    <n v="-56878.734295970033"/>
    <n v="0"/>
    <m/>
    <n v="-2739.7222097378281"/>
    <m/>
    <n v="-0.34628202555978388"/>
    <m/>
  </r>
  <r>
    <x v="4"/>
    <s v="Purchase"/>
    <x v="82"/>
    <x v="2"/>
    <x v="1"/>
    <x v="146"/>
    <n v="6098.5099999999993"/>
    <x v="2"/>
    <n v="44"/>
    <n v="138.60249999999999"/>
    <n v="1"/>
    <n v="6098.5099999999993"/>
    <n v="20.515699999999999"/>
    <n v="125115.20160699998"/>
    <n v="118.002"/>
    <n v="117.30800000000001"/>
    <n v="1"/>
    <n v="125115.20160699998"/>
    <n v="2843.5273092499997"/>
    <m/>
    <n v="44"/>
    <s v="Sale"/>
    <x v="28"/>
    <x v="1"/>
    <n v="4137.6808988764042"/>
    <n v="1"/>
    <n v="4137.6808988764042"/>
    <n v="20.641500000000001"/>
    <n v="85407.940274157299"/>
    <n v="125115.20160699998"/>
    <n v="-39707.261332842681"/>
    <n v="6.8493150684931503E-2"/>
    <n v="1"/>
    <n v="-39707.261332842681"/>
    <n v="0"/>
    <m/>
    <n v="-1960.8291011235951"/>
    <m/>
    <n v="-0.32152593028847953"/>
    <m/>
  </r>
  <r>
    <x v="4"/>
    <s v="Purchase"/>
    <x v="82"/>
    <x v="2"/>
    <x v="1"/>
    <x v="111"/>
    <n v="5018.2299999999996"/>
    <x v="2"/>
    <n v="39"/>
    <n v="128.67256410256408"/>
    <n v="1"/>
    <n v="5018.2299999999996"/>
    <n v="20.4453"/>
    <n v="102599.21781899998"/>
    <n v="118.002"/>
    <n v="117.30800000000001"/>
    <n v="1"/>
    <n v="102599.21781899998"/>
    <n v="2630.7491748461534"/>
    <m/>
    <n v="39"/>
    <s v="Sale"/>
    <x v="28"/>
    <x v="1"/>
    <n v="3667.4898876404495"/>
    <n v="1"/>
    <n v="3667.4898876404495"/>
    <n v="20.641500000000001"/>
    <n v="75702.492515730337"/>
    <n v="102599.21781899998"/>
    <n v="-26896.725303269646"/>
    <n v="4.3835616438356165E-2"/>
    <n v="1"/>
    <n v="-26896.725303269646"/>
    <n v="0"/>
    <m/>
    <n v="-1350.74011235955"/>
    <m/>
    <n v="-0.26916664089919157"/>
    <m/>
  </r>
  <r>
    <x v="4"/>
    <s v="Purchase"/>
    <x v="82"/>
    <x v="2"/>
    <x v="1"/>
    <x v="65"/>
    <n v="4718.1000000000004"/>
    <x v="2"/>
    <n v="40"/>
    <n v="117.95250000000001"/>
    <n v="1"/>
    <n v="4718.1000000000004"/>
    <n v="20.402999999999999"/>
    <n v="96263.3943"/>
    <n v="118.002"/>
    <n v="117.30800000000001"/>
    <n v="1"/>
    <n v="96263.3943"/>
    <n v="2406.5848575"/>
    <m/>
    <n v="40"/>
    <s v="Sale"/>
    <x v="28"/>
    <x v="1"/>
    <n v="3761.5280898876404"/>
    <n v="1"/>
    <n v="3761.5280898876404"/>
    <n v="20.641500000000001"/>
    <n v="77643.582067415729"/>
    <n v="96263.3943"/>
    <n v="-18619.812232584271"/>
    <n v="2.1917808219178082E-2"/>
    <n v="1"/>
    <n v="-18619.812232584271"/>
    <n v="0"/>
    <m/>
    <n v="-956.57191011236"/>
    <m/>
    <n v="-0.20274515379334052"/>
    <m/>
  </r>
  <r>
    <x v="4"/>
    <s v="Purchase"/>
    <x v="83"/>
    <x v="2"/>
    <x v="1"/>
    <x v="147"/>
    <n v="15186.91"/>
    <x v="2"/>
    <n v="36"/>
    <n v="421.85861111111109"/>
    <n v="1"/>
    <n v="15186.91"/>
    <n v="20.738299999999999"/>
    <n v="314950.69565299997"/>
    <n v="118.002"/>
    <n v="120.15900000000001"/>
    <n v="1.0182"/>
    <n v="320682.79831388459"/>
    <n v="8907.8555087190161"/>
    <m/>
    <n v="36"/>
    <s v="Sale"/>
    <x v="67"/>
    <x v="1"/>
    <n v="7804.329504950495"/>
    <n v="1"/>
    <n v="7804.329504950495"/>
    <n v="19.9377"/>
    <n v="155600.38037085149"/>
    <n v="320682.79831388459"/>
    <n v="-165082.4179430331"/>
    <n v="0.21643835616438356"/>
    <n v="1"/>
    <n v="-165082.4179430331"/>
    <n v="0"/>
    <m/>
    <n v="-7382.5804950495049"/>
    <m/>
    <n v="-0.48611471952158175"/>
    <m/>
  </r>
  <r>
    <x v="4"/>
    <s v="Purchase"/>
    <x v="83"/>
    <x v="2"/>
    <x v="1"/>
    <x v="147"/>
    <n v="16808.14"/>
    <x v="2"/>
    <n v="40"/>
    <n v="420.20349999999996"/>
    <n v="1"/>
    <n v="16808.14"/>
    <n v="20.738299999999999"/>
    <n v="348572.24976199999"/>
    <n v="118.002"/>
    <n v="120.15900000000001"/>
    <n v="1.0182"/>
    <n v="354916.26470766839"/>
    <n v="8872.9066176917095"/>
    <m/>
    <n v="40"/>
    <s v="Sale"/>
    <x v="67"/>
    <x v="1"/>
    <n v="8671.477227722773"/>
    <n v="1"/>
    <n v="8671.477227722773"/>
    <n v="19.9377"/>
    <n v="172889.31152316832"/>
    <n v="354916.26470766839"/>
    <n v="-182026.95318450007"/>
    <n v="0.21643835616438356"/>
    <n v="1"/>
    <n v="-182026.95318450007"/>
    <n v="0"/>
    <m/>
    <n v="-8136.6627722772264"/>
    <m/>
    <n v="-0.48409061158921968"/>
    <m/>
  </r>
  <r>
    <x v="4"/>
    <s v="Purchase"/>
    <x v="83"/>
    <x v="2"/>
    <x v="1"/>
    <x v="147"/>
    <n v="2105.3200000000002"/>
    <x v="2"/>
    <n v="5"/>
    <n v="421.06400000000002"/>
    <n v="1"/>
    <n v="2105.3200000000002"/>
    <n v="20.738299999999999"/>
    <n v="43660.757755999999"/>
    <n v="118.002"/>
    <n v="120.15900000000001"/>
    <n v="1.0182"/>
    <n v="44455.383547159196"/>
    <n v="8891.0767094318398"/>
    <m/>
    <n v="5"/>
    <s v="Sale"/>
    <x v="67"/>
    <x v="1"/>
    <n v="1083.9346534653466"/>
    <n v="1"/>
    <n v="1083.9346534653466"/>
    <n v="19.9377"/>
    <n v="21611.16394039604"/>
    <n v="44455.383547159203"/>
    <n v="-22844.219606763163"/>
    <n v="0.21643835616438356"/>
    <n v="1"/>
    <n v="-22844.219606763163"/>
    <n v="0"/>
    <m/>
    <n v="-1021.3853465346535"/>
    <m/>
    <n v="-0.48514494069056174"/>
    <m/>
  </r>
  <r>
    <x v="4"/>
    <s v="Purchase"/>
    <x v="83"/>
    <x v="2"/>
    <x v="1"/>
    <x v="148"/>
    <n v="8656.68"/>
    <x v="2"/>
    <n v="20"/>
    <n v="432.834"/>
    <n v="1"/>
    <n v="8656.68"/>
    <n v="20.635200000000001"/>
    <n v="178632.32313600002"/>
    <n v="118.98099999999999"/>
    <n v="120.15900000000001"/>
    <n v="1.0099"/>
    <n v="180400.78313504643"/>
    <n v="9020.039156752322"/>
    <m/>
    <n v="20"/>
    <s v="Sale"/>
    <x v="67"/>
    <x v="1"/>
    <n v="4335.7386138613865"/>
    <n v="1"/>
    <n v="4335.7386138613865"/>
    <n v="19.9377"/>
    <n v="86444.655761584159"/>
    <n v="180400.78313504643"/>
    <n v="-93956.127373462266"/>
    <n v="0.21095890410958903"/>
    <n v="1"/>
    <n v="-93956.127373462266"/>
    <n v="0"/>
    <m/>
    <n v="-4320.9413861386138"/>
    <m/>
    <n v="-0.49914532894118918"/>
    <m/>
  </r>
  <r>
    <x v="0"/>
    <m/>
    <x v="0"/>
    <x v="0"/>
    <x v="0"/>
    <x v="0"/>
    <m/>
    <x v="0"/>
    <n v="0"/>
    <n v="0"/>
    <n v="0"/>
    <n v="0"/>
    <n v="0"/>
    <n v="0"/>
    <n v="0"/>
    <n v="0"/>
    <n v="0"/>
    <n v="0"/>
    <n v="0"/>
    <m/>
    <m/>
    <m/>
    <x v="0"/>
    <x v="0"/>
    <m/>
    <n v="0"/>
    <n v="0"/>
    <n v="0"/>
    <n v="0"/>
    <n v="0"/>
    <n v="0"/>
    <n v="0"/>
    <n v="1"/>
    <n v="0"/>
    <n v="0"/>
    <m/>
    <n v="0"/>
    <m/>
    <n v="0"/>
    <m/>
  </r>
  <r>
    <x v="5"/>
    <s v="Purchase"/>
    <x v="84"/>
    <x v="2"/>
    <x v="2"/>
    <x v="149"/>
    <n v="3044487.8936550836"/>
    <x v="2"/>
    <n v="2691"/>
    <n v="1131.3593064493064"/>
    <n v="4.676568521081971E-2"/>
    <n v="142377.56246282518"/>
    <n v="21.383199999999999"/>
    <n v="3044487.8936550831"/>
    <n v="108.774"/>
    <n v="120.809"/>
    <n v="1.1106"/>
    <n v="3381208.2546933354"/>
    <n v="1256.4876457425996"/>
    <m/>
    <n v="2691"/>
    <s v="Sale"/>
    <x v="75"/>
    <x v="2"/>
    <n v="2719267.77"/>
    <n v="4.9001592551757935E-2"/>
    <n v="133248.4513046674"/>
    <n v="20.407499999999999"/>
    <n v="2719267.7699999996"/>
    <n v="3381208.2546933354"/>
    <n v="-661940.48469333583"/>
    <n v="1.5397260273972602"/>
    <n v="1"/>
    <n v="-661940.48469333583"/>
    <n v="0"/>
    <m/>
    <n v="-9129.1111581577861"/>
    <m/>
    <n v="-2.9985703596271361E-3"/>
    <m/>
  </r>
  <r>
    <x v="5"/>
    <s v="Purchase"/>
    <x v="85"/>
    <x v="2"/>
    <x v="2"/>
    <x v="150"/>
    <n v="6917081.0616542399"/>
    <x v="2"/>
    <n v="6556"/>
    <n v="1055.0764279521416"/>
    <n v="4.9288034343902325E-2"/>
    <n v="340929.32892637054"/>
    <n v="20.288900000000002"/>
    <n v="6917081.0616542399"/>
    <n v="103.02"/>
    <n v="118.002"/>
    <n v="1.1454"/>
    <n v="7922824.6480187662"/>
    <n v="1208.4845405763829"/>
    <m/>
    <n v="6556"/>
    <s v="Sale"/>
    <x v="69"/>
    <x v="2"/>
    <n v="10135681.261487681"/>
    <n v="4.7939327986500288E-2"/>
    <n v="485897.74836108292"/>
    <n v="20.8597"/>
    <n v="10135681.261487681"/>
    <n v="7922824.6480187662"/>
    <n v="2212856.6134689152"/>
    <n v="3.1369863013698631"/>
    <n v="1"/>
    <n v="2212856.6134689152"/>
    <n v="0"/>
    <m/>
    <n v="144968.41943471238"/>
    <m/>
    <n v="2.095803390802576E-2"/>
    <m/>
  </r>
  <r>
    <x v="5"/>
    <s v="Purchase"/>
    <x v="85"/>
    <x v="2"/>
    <x v="2"/>
    <x v="151"/>
    <n v="2335356.59"/>
    <x v="2"/>
    <n v="2044"/>
    <n v="1142.5423630136986"/>
    <n v="5.2405408238130176E-2"/>
    <n v="122385.31548055759"/>
    <n v="19.082000000000001"/>
    <n v="2335356.59"/>
    <n v="104.503"/>
    <n v="118.002"/>
    <n v="1.1291"/>
    <n v="2636851.125769"/>
    <n v="1290.0445820787672"/>
    <m/>
    <n v="2044"/>
    <s v="Sale"/>
    <x v="69"/>
    <x v="2"/>
    <n v="3160056.8179500946"/>
    <n v="4.7939327986500288E-2"/>
    <n v="151491.00025168603"/>
    <n v="20.8597"/>
    <n v="3160056.8179500951"/>
    <n v="2636851.125769"/>
    <n v="523205.69218109502"/>
    <n v="2.2630136986301368"/>
    <n v="1"/>
    <n v="523205.69218109502"/>
    <n v="0"/>
    <m/>
    <n v="29105.684771128435"/>
    <m/>
    <n v="1.2463058059638094E-2"/>
    <m/>
  </r>
  <r>
    <x v="5"/>
    <s v="Purchase"/>
    <x v="85"/>
    <x v="2"/>
    <x v="2"/>
    <x v="152"/>
    <n v="2672527.52"/>
    <x v="2"/>
    <n v="2300"/>
    <n v="1161.9684869565217"/>
    <n v="4.2436716246896815E-2"/>
    <n v="113413.29202826285"/>
    <n v="23.564499999999999"/>
    <n v="2672527.5199999996"/>
    <n v="105.755"/>
    <n v="118.002"/>
    <n v="1.1157999999999999"/>
    <n v="2982006.2068159995"/>
    <n v="1296.5244377460867"/>
    <m/>
    <n v="2300"/>
    <s v="Sale"/>
    <x v="69"/>
    <x v="2"/>
    <n v="3555836.9282217305"/>
    <n v="4.7939327986500288E-2"/>
    <n v="170464.43276853123"/>
    <n v="20.8597"/>
    <n v="3555836.928221731"/>
    <n v="2982006.2068159995"/>
    <n v="573830.72140573151"/>
    <n v="1.7972602739726027"/>
    <n v="1"/>
    <n v="573830.72140573151"/>
    <n v="0"/>
    <m/>
    <n v="57051.140740268384"/>
    <m/>
    <n v="2.1347260341876062E-2"/>
    <m/>
  </r>
  <r>
    <x v="5"/>
    <s v="Purchase"/>
    <x v="85"/>
    <x v="2"/>
    <x v="2"/>
    <x v="153"/>
    <n v="2049712.4109913043"/>
    <x v="2"/>
    <n v="1764"/>
    <n v="1161.9684869565217"/>
    <n v="4.6287081738357647E-2"/>
    <n v="94875.205907680633"/>
    <n v="21.604299999999999"/>
    <n v="2049712.4109913046"/>
    <n v="106.74299999999999"/>
    <n v="118.002"/>
    <n v="1.1053999999999999"/>
    <n v="2265752.099109788"/>
    <n v="1284.4399654817391"/>
    <m/>
    <n v="1764"/>
    <s v="Sale"/>
    <x v="69"/>
    <x v="2"/>
    <n v="2727172.3223404926"/>
    <n v="4.7939327986500288E-2"/>
    <n v="130738.80843638656"/>
    <n v="20.8597"/>
    <n v="2727172.3223404926"/>
    <n v="2265752.099109788"/>
    <n v="461420.22323070467"/>
    <n v="1.6602739726027398"/>
    <n v="1"/>
    <n v="461420.22323070467"/>
    <n v="0"/>
    <m/>
    <n v="35863.602528705931"/>
    <m/>
    <n v="1.7496894850415227E-2"/>
    <m/>
  </r>
  <r>
    <x v="5"/>
    <s v="Purchase"/>
    <x v="86"/>
    <x v="2"/>
    <x v="2"/>
    <x v="154"/>
    <n v="3159668.4962039096"/>
    <x v="2"/>
    <n v="626"/>
    <n v="5047.3937639040087"/>
    <n v="5.0857198073529335E-2"/>
    <n v="160691.8865581328"/>
    <n v="19.6629"/>
    <n v="3159668.4962039096"/>
    <n v="98.794999699501005"/>
    <n v="118.002"/>
    <n v="1.1943999999999999"/>
    <n v="3773908.0518659493"/>
    <n v="6028.6071116069479"/>
    <m/>
    <n v="626"/>
    <s v="Sale"/>
    <x v="69"/>
    <x v="2"/>
    <n v="5914751.3600000003"/>
    <n v="4.7939327986500288E-2"/>
    <n v="283549.20540563867"/>
    <n v="20.8597"/>
    <n v="5914751.3600000013"/>
    <n v="3773908.0518659493"/>
    <n v="2140843.308134052"/>
    <n v="4.0821917808219181"/>
    <n v="1"/>
    <n v="2140843.308134052"/>
    <n v="0"/>
    <m/>
    <n v="122857.31884750587"/>
    <m/>
    <n v="3.8882977437382803E-2"/>
    <m/>
  </r>
  <r>
    <x v="5"/>
    <s v="Purchase"/>
    <x v="87"/>
    <x v="2"/>
    <x v="2"/>
    <x v="155"/>
    <n v="580283.94273609284"/>
    <x v="2"/>
    <n v="3657"/>
    <n v="158.67758893521815"/>
    <n v="5.3631956064701586E-2"/>
    <n v="31121.762921873942"/>
    <n v="18.645600000000002"/>
    <n v="580283.94273609284"/>
    <n v="99.171374481640001"/>
    <n v="118.002"/>
    <n v="1.1898"/>
    <n v="690421.83506740327"/>
    <n v="188.79459531512259"/>
    <m/>
    <n v="3657"/>
    <s v="Sale"/>
    <x v="20"/>
    <x v="2"/>
    <n v="1540634.04"/>
    <n v="4.8460882375746292E-2"/>
    <n v="74660.484996510815"/>
    <n v="20.635200000000001"/>
    <n v="1540634.04"/>
    <n v="690421.83506740327"/>
    <n v="850212.20493259677"/>
    <n v="3.9315068493150687"/>
    <n v="1"/>
    <n v="850212.20493259677"/>
    <n v="0"/>
    <m/>
    <n v="43538.722074636869"/>
    <m/>
    <n v="7.5030030762780961E-2"/>
    <m/>
  </r>
  <r>
    <x v="5"/>
    <s v="Purchase"/>
    <x v="88"/>
    <x v="2"/>
    <x v="2"/>
    <x v="156"/>
    <n v="4885645.1357849203"/>
    <x v="2"/>
    <n v="1433"/>
    <n v="3409.3825092707052"/>
    <n v="5.081610667317113E-2"/>
    <n v="248269.46438730616"/>
    <n v="19.678799999999999"/>
    <n v="4885645.1357849203"/>
    <n v="110.21"/>
    <n v="120.809"/>
    <n v="1.0961000000000001"/>
    <n v="5355155.6333338516"/>
    <n v="3737.0241684116199"/>
    <m/>
    <n v="1433"/>
    <s v="Sale"/>
    <x v="75"/>
    <x v="2"/>
    <n v="4182376.2300000004"/>
    <n v="4.9001592551757935E-2"/>
    <n v="204943.09592061746"/>
    <n v="20.407499999999999"/>
    <n v="4182376.2300000004"/>
    <n v="5355155.6333338516"/>
    <n v="-1172779.4033338511"/>
    <n v="1.2821917808219179"/>
    <n v="1"/>
    <n v="-1172779.4033338511"/>
    <n v="0"/>
    <m/>
    <n v="-43326.368466688698"/>
    <m/>
    <n v="-8.8680956685422366E-3"/>
    <m/>
  </r>
  <r>
    <x v="5"/>
    <s v="Purchase"/>
    <x v="89"/>
    <x v="2"/>
    <x v="2"/>
    <x v="157"/>
    <n v="720679.41905280913"/>
    <x v="2"/>
    <n v="604"/>
    <n v="1193.1778461139224"/>
    <n v="5.3692716582995514E-2"/>
    <n v="38695.235794400338"/>
    <n v="18.624500000000001"/>
    <n v="720679.41905280913"/>
    <n v="106.889"/>
    <n v="118.002"/>
    <n v="1.1039000000000001"/>
    <n v="795558.01069239608"/>
    <n v="1317.1490243251592"/>
    <m/>
    <n v="604"/>
    <s v="Sale"/>
    <x v="69"/>
    <x v="2"/>
    <n v="916301.06747474754"/>
    <n v="4.7939327986500288E-2"/>
    <n v="43926.857408052252"/>
    <n v="20.8597"/>
    <n v="916301.06747474754"/>
    <n v="795558.0106923962"/>
    <n v="120743.05678235134"/>
    <n v="1.9863013698630136"/>
    <n v="1"/>
    <n v="120743.05678235134"/>
    <n v="0"/>
    <m/>
    <n v="5231.6216136519142"/>
    <m/>
    <n v="7.2592909903377682E-3"/>
    <m/>
  </r>
  <r>
    <x v="5"/>
    <s v="Purchase"/>
    <x v="89"/>
    <x v="2"/>
    <x v="2"/>
    <x v="158"/>
    <n v="4732665.82"/>
    <x v="2"/>
    <n v="4415"/>
    <n v="1071.9514881087202"/>
    <n v="4.5614195137526799E-2"/>
    <n v="215876.7422341833"/>
    <n v="21.922999999999998"/>
    <n v="4732665.82"/>
    <n v="106.74299999999999"/>
    <n v="118.002"/>
    <n v="1.1053999999999999"/>
    <n v="5231488.7974279998"/>
    <n v="1184.9351749553794"/>
    <m/>
    <n v="4415"/>
    <s v="Sale"/>
    <x v="69"/>
    <x v="2"/>
    <n v="6697796.7101010103"/>
    <n v="4.7939327986500288E-2"/>
    <n v="321087.87327243492"/>
    <n v="20.8597"/>
    <n v="6697796.7101010112"/>
    <n v="5231488.7974279998"/>
    <n v="1466307.9126730114"/>
    <n v="1.6410958904109589"/>
    <n v="1"/>
    <n v="1466307.9126730114"/>
    <n v="0"/>
    <m/>
    <n v="105211.13103825162"/>
    <m/>
    <n v="2.2230838821037151E-2"/>
    <m/>
  </r>
  <r>
    <x v="5"/>
    <s v="Purchase"/>
    <x v="89"/>
    <x v="2"/>
    <x v="2"/>
    <x v="109"/>
    <n v="606430.87491124263"/>
    <x v="2"/>
    <n v="525"/>
    <n v="1155.1064284023669"/>
    <n v="5.0411356670430715E-2"/>
    <n v="30571.003131112007"/>
    <n v="19.8368"/>
    <n v="606430.87491124263"/>
    <n v="109.271"/>
    <n v="118.002"/>
    <n v="1.0799000000000001"/>
    <n v="654884.70181665092"/>
    <n v="1247.3994320317161"/>
    <m/>
    <n v="525"/>
    <s v="Sale"/>
    <x v="69"/>
    <x v="2"/>
    <n v="796453.74242424243"/>
    <n v="4.7939327986500288E-2"/>
    <n v="38181.457184151375"/>
    <n v="20.8597"/>
    <n v="796453.74242424243"/>
    <n v="654884.70181665092"/>
    <n v="141569.04060759151"/>
    <n v="1.1424657534246576"/>
    <n v="1"/>
    <n v="141569.04060759151"/>
    <n v="0"/>
    <m/>
    <n v="7610.4540530393679"/>
    <m/>
    <n v="1.2549582100603364E-2"/>
    <m/>
  </r>
  <r>
    <x v="5"/>
    <s v="Purchase"/>
    <x v="90"/>
    <x v="2"/>
    <x v="2"/>
    <x v="159"/>
    <n v="4454925.6586010763"/>
    <x v="2"/>
    <n v="2398"/>
    <n v="1857.7671637202154"/>
    <n v="4.0503047854351042E-2"/>
    <n v="180438.06713789573"/>
    <n v="24.689499999999999"/>
    <n v="4454925.6586010763"/>
    <n v="105.755"/>
    <n v="120.809"/>
    <n v="1.1423000000000001"/>
    <n v="5088861.5798200099"/>
    <n v="2122.1274311176021"/>
    <m/>
    <n v="2398"/>
    <s v="Sale"/>
    <x v="75"/>
    <x v="2"/>
    <n v="5083753.79"/>
    <n v="4.9001592551757935E-2"/>
    <n v="249112.03185103516"/>
    <n v="20.407499999999999"/>
    <n v="5083753.79"/>
    <n v="5088861.5798200099"/>
    <n v="-5107.7898200098425"/>
    <n v="2.0712328767123287"/>
    <n v="1"/>
    <n v="-5107.7898200098425"/>
    <n v="0"/>
    <m/>
    <n v="68673.96471313943"/>
    <m/>
    <n v="1.5415288598711262E-2"/>
    <m/>
  </r>
  <r>
    <x v="0"/>
    <m/>
    <x v="0"/>
    <x v="0"/>
    <x v="0"/>
    <x v="0"/>
    <m/>
    <x v="0"/>
    <n v="0"/>
    <n v="0"/>
    <n v="0"/>
    <n v="0"/>
    <n v="0"/>
    <n v="0"/>
    <n v="0"/>
    <n v="0"/>
    <n v="0"/>
    <n v="0"/>
    <n v="0"/>
    <m/>
    <m/>
    <m/>
    <x v="0"/>
    <x v="0"/>
    <m/>
    <n v="0"/>
    <n v="0"/>
    <n v="0"/>
    <n v="0"/>
    <n v="0"/>
    <n v="0"/>
    <n v="0"/>
    <n v="1"/>
    <n v="0"/>
    <n v="0"/>
    <m/>
    <n v="0"/>
    <m/>
    <n v="0"/>
    <m/>
  </r>
  <r>
    <x v="6"/>
    <s v="Purchase"/>
    <x v="91"/>
    <x v="2"/>
    <x v="2"/>
    <x v="160"/>
    <n v="2428652.0608228785"/>
    <x v="2"/>
    <n v="3772"/>
    <n v="643.8632186699042"/>
    <n v="4.9595794276645337E-2"/>
    <n v="120450.92797812221"/>
    <n v="20.163"/>
    <n v="2428652.060822878"/>
    <n v="112.19"/>
    <n v="118.002"/>
    <n v="1.0518000000000001"/>
    <n v="2554456.2375735031"/>
    <n v="677.215333397005"/>
    <m/>
    <n v="3772"/>
    <s v="Sale"/>
    <x v="76"/>
    <x v="2"/>
    <n v="2677853.5499999998"/>
    <n v="4.8233449897503916E-2"/>
    <n v="129162.11503677799"/>
    <n v="20.732500000000002"/>
    <n v="2677853.5499999998"/>
    <n v="2554456.2375735031"/>
    <n v="123397.31242649676"/>
    <n v="0.82739726027397265"/>
    <n v="1"/>
    <n v="123397.31242649676"/>
    <n v="0"/>
    <m/>
    <n v="8711.1870586557779"/>
    <m/>
    <n v="3.5868402885608258E-3"/>
    <m/>
  </r>
  <r>
    <x v="6"/>
    <s v="Purchase"/>
    <x v="91"/>
    <x v="2"/>
    <x v="2"/>
    <x v="160"/>
    <n v="2344305.9791771211"/>
    <x v="2"/>
    <n v="3641"/>
    <n v="643.8632186699042"/>
    <n v="4.9595794276645337E-2"/>
    <n v="116267.7170647781"/>
    <n v="20.163"/>
    <n v="2344305.9791771211"/>
    <n v="112.19"/>
    <n v="118.98099999999999"/>
    <n v="1.0605"/>
    <n v="2486136.4909173367"/>
    <n v="682.81694339943328"/>
    <m/>
    <n v="3641"/>
    <s v="Sale"/>
    <x v="70"/>
    <x v="2"/>
    <n v="2415788.35"/>
    <n v="4.7688309210996926E-2"/>
    <n v="115204.86182312407"/>
    <n v="20.9695"/>
    <n v="2415788.35"/>
    <n v="2486136.4909173367"/>
    <n v="-70348.140917336568"/>
    <n v="0.92054794520547945"/>
    <n v="1"/>
    <n v="-70348.140917336568"/>
    <n v="0"/>
    <m/>
    <n v="-1062.8552416540333"/>
    <m/>
    <n v="-4.5337735393530325E-4"/>
    <m/>
  </r>
  <r>
    <x v="6"/>
    <s v="Purchase"/>
    <x v="92"/>
    <x v="2"/>
    <x v="2"/>
    <x v="161"/>
    <n v="2383197.06"/>
    <x v="2"/>
    <n v="4161"/>
    <n v="572.74622927180963"/>
    <n v="4.3532202947130144E-2"/>
    <n v="103745.8180789239"/>
    <n v="22.971499999999999"/>
    <n v="2383197.06"/>
    <n v="106.74299999999999"/>
    <n v="118.002"/>
    <n v="1.1053999999999999"/>
    <n v="2634386.0301239998"/>
    <n v="633.11368183705838"/>
    <m/>
    <n v="4161"/>
    <s v="Sale"/>
    <x v="76"/>
    <x v="2"/>
    <n v="2846387.71"/>
    <n v="4.8233449897503916E-2"/>
    <n v="137291.09899915592"/>
    <n v="20.732500000000002"/>
    <n v="2846387.7100000004"/>
    <n v="2634386.0301239998"/>
    <n v="212001.67987600062"/>
    <n v="1.6136986301369862"/>
    <n v="1"/>
    <n v="212001.67987600062"/>
    <n v="0"/>
    <m/>
    <n v="33545.28092023202"/>
    <m/>
    <n v="1.4075747861249887E-2"/>
    <m/>
  </r>
  <r>
    <x v="6"/>
    <s v="Purchase"/>
    <x v="93"/>
    <x v="2"/>
    <x v="2"/>
    <x v="162"/>
    <n v="9138950.4919166341"/>
    <x v="2"/>
    <n v="1610"/>
    <n v="5676.3667651656115"/>
    <n v="5.2421891381841057E-2"/>
    <n v="479081.07003127667"/>
    <n v="19.076000000000001"/>
    <n v="9138950.4919166341"/>
    <n v="103.687"/>
    <n v="118.002"/>
    <n v="1.1379999999999999"/>
    <n v="10400125.659801129"/>
    <n v="6459.7053787584655"/>
    <m/>
    <n v="1610"/>
    <s v="Sale"/>
    <x v="76"/>
    <x v="2"/>
    <n v="15034619.740000002"/>
    <n v="4.8233449897503916E-2"/>
    <n v="725171.57795731351"/>
    <n v="20.732500000000002"/>
    <n v="15034619.740000004"/>
    <n v="10400125.659801129"/>
    <n v="4634494.0801988747"/>
    <n v="2.6082191780821917"/>
    <n v="1"/>
    <n v="4634494.0801988747"/>
    <n v="0"/>
    <m/>
    <n v="246090.50792603684"/>
    <m/>
    <n v="2.6927655220772114E-2"/>
    <m/>
  </r>
  <r>
    <x v="6"/>
    <s v="Purchase"/>
    <x v="93"/>
    <x v="2"/>
    <x v="2"/>
    <x v="162"/>
    <n v="2009433.8348686264"/>
    <x v="2"/>
    <n v="354"/>
    <n v="5676.3667651656115"/>
    <n v="5.2421891381841057E-2"/>
    <n v="105338.32223047948"/>
    <n v="19.076000000000001"/>
    <n v="2009433.8348686264"/>
    <n v="103.687"/>
    <n v="118.98099999999999"/>
    <n v="1.1475"/>
    <n v="2305825.3255117489"/>
    <n v="6513.6308630275389"/>
    <m/>
    <n v="354"/>
    <s v="Sale"/>
    <x v="70"/>
    <x v="2"/>
    <n v="3118054.35"/>
    <n v="4.7688309210996926E-2"/>
    <n v="148694.73997949404"/>
    <n v="20.9695"/>
    <n v="3118054.3500000006"/>
    <n v="2305825.3255117489"/>
    <n v="812229.02448825166"/>
    <n v="2.7013698630136984"/>
    <n v="1"/>
    <n v="812229.02448825166"/>
    <n v="0"/>
    <m/>
    <n v="43356.417749014567"/>
    <m/>
    <n v="2.1576434613906629E-2"/>
    <m/>
  </r>
  <r>
    <x v="6"/>
    <s v="Purchase"/>
    <x v="94"/>
    <x v="2"/>
    <x v="2"/>
    <x v="162"/>
    <n v="1358644.6728331277"/>
    <x v="2"/>
    <n v="1283"/>
    <n v="1058.9592149907464"/>
    <n v="5.2421891381841057E-2"/>
    <n v="71222.723465775198"/>
    <n v="19.076000000000001"/>
    <n v="1358644.6728331277"/>
    <n v="103.687"/>
    <n v="118.002"/>
    <n v="1.1379999999999999"/>
    <n v="1546137.6376840991"/>
    <n v="1205.0955866594693"/>
    <m/>
    <n v="1283"/>
    <s v="Sale"/>
    <x v="76"/>
    <x v="2"/>
    <n v="1763834.85"/>
    <n v="4.8233449897503916E-2"/>
    <n v="85075.839864946334"/>
    <n v="20.732500000000002"/>
    <n v="1763834.85"/>
    <n v="1546137.6376840991"/>
    <n v="217697.21231590095"/>
    <n v="2.6082191780821917"/>
    <n v="1"/>
    <n v="217697.21231590095"/>
    <n v="0"/>
    <m/>
    <n v="13853.116399171136"/>
    <m/>
    <n v="1.0196276242178746E-2"/>
    <m/>
  </r>
  <r>
    <x v="6"/>
    <s v="Purchase"/>
    <x v="94"/>
    <x v="2"/>
    <x v="2"/>
    <x v="162"/>
    <n v="6355873.2083744602"/>
    <x v="2"/>
    <n v="6002"/>
    <n v="1058.9592149907464"/>
    <n v="5.2421891381841057E-2"/>
    <n v="333186.8949661596"/>
    <n v="19.076000000000001"/>
    <n v="6355873.2083744602"/>
    <n v="103.687"/>
    <n v="118.98099999999999"/>
    <n v="1.1475"/>
    <n v="7293364.5066096932"/>
    <n v="1215.1556992018816"/>
    <m/>
    <n v="6002"/>
    <s v="Sale"/>
    <x v="70"/>
    <x v="2"/>
    <n v="7413032.21"/>
    <n v="4.7688309210996926E-2"/>
    <n v="353514.9722215599"/>
    <n v="20.9695"/>
    <n v="7413032.21"/>
    <n v="7293364.5066096932"/>
    <n v="119667.70339030679"/>
    <n v="2.7013698630136984"/>
    <n v="1"/>
    <n v="119667.70339030679"/>
    <n v="0"/>
    <m/>
    <n v="20328.077255400305"/>
    <m/>
    <n v="3.1983138412226587E-3"/>
    <m/>
  </r>
  <r>
    <x v="6"/>
    <s v="Purchase"/>
    <x v="95"/>
    <x v="2"/>
    <x v="2"/>
    <x v="163"/>
    <n v="4803804.8440579707"/>
    <x v="2"/>
    <n v="3074"/>
    <n v="1562.7211594202897"/>
    <n v="4.9695120436124382E-2"/>
    <n v="238725.66027709856"/>
    <n v="20.122699999999998"/>
    <n v="4803804.8440579707"/>
    <n v="110.907"/>
    <n v="118.002"/>
    <n v="1.0639000000000001"/>
    <n v="5110767.9735932751"/>
    <n v="1662.5790415072463"/>
    <m/>
    <n v="3074"/>
    <s v="Sale"/>
    <x v="76"/>
    <x v="2"/>
    <n v="5371487.9308666326"/>
    <n v="4.8233449897503916E-2"/>
    <n v="259085.39398850271"/>
    <n v="20.732500000000002"/>
    <n v="5371487.9308666326"/>
    <n v="5110767.9735932751"/>
    <n v="260719.95727335755"/>
    <n v="0.99726027397260275"/>
    <n v="1"/>
    <n v="260719.95727335755"/>
    <n v="0"/>
    <m/>
    <n v="20359.733711404144"/>
    <m/>
    <n v="4.2382516301818461E-3"/>
    <m/>
  </r>
  <r>
    <x v="6"/>
    <s v="Purchase"/>
    <x v="95"/>
    <x v="2"/>
    <x v="2"/>
    <x v="164"/>
    <n v="969623.61"/>
    <x v="2"/>
    <n v="611"/>
    <n v="1586.9453518821604"/>
    <n v="4.9499314434495081E-2"/>
    <n v="47995.703954500226"/>
    <n v="20.202300000000001"/>
    <n v="969623.61"/>
    <n v="110.907"/>
    <n v="118.002"/>
    <n v="1.0639000000000001"/>
    <n v="1031582.558679"/>
    <n v="1688.3511598674304"/>
    <m/>
    <n v="611"/>
    <s v="Sale"/>
    <x v="76"/>
    <x v="2"/>
    <n v="1067657.4904878049"/>
    <n v="4.8233449897503916E-2"/>
    <n v="51496.804075138301"/>
    <n v="20.732500000000002"/>
    <n v="1067657.4904878049"/>
    <n v="1031582.558679"/>
    <n v="36074.93180880486"/>
    <n v="0.97534246575342465"/>
    <n v="1"/>
    <n v="36074.93180880486"/>
    <n v="0"/>
    <m/>
    <n v="3501.1001206380752"/>
    <m/>
    <n v="3.6107826630150594E-3"/>
    <m/>
  </r>
  <r>
    <x v="6"/>
    <s v="Purchase"/>
    <x v="95"/>
    <x v="2"/>
    <x v="2"/>
    <x v="165"/>
    <n v="274605.27079123136"/>
    <x v="2"/>
    <n v="169"/>
    <n v="1624.8832591197122"/>
    <n v="4.9528979405850361E-2"/>
    <n v="13600.918801756859"/>
    <n v="20.190200000000001"/>
    <n v="274605.27079123136"/>
    <n v="112.419"/>
    <n v="118.002"/>
    <n v="1.0496000000000001"/>
    <n v="288225.69222247647"/>
    <n v="1705.4774687720501"/>
    <m/>
    <n v="169"/>
    <s v="Sale"/>
    <x v="76"/>
    <x v="2"/>
    <n v="295309.51864556305"/>
    <n v="4.8233449897503916E-2"/>
    <n v="14243.796871846764"/>
    <n v="20.732500000000002"/>
    <n v="295309.51864556305"/>
    <n v="288225.69222247647"/>
    <n v="7083.8264230865752"/>
    <n v="0.76712328767123283"/>
    <n v="1"/>
    <n v="7083.8264230865752"/>
    <n v="0"/>
    <m/>
    <n v="642.87807008990421"/>
    <m/>
    <n v="2.3410988006076993E-3"/>
    <m/>
  </r>
  <r>
    <x v="6"/>
    <s v="Purchase"/>
    <x v="95"/>
    <x v="2"/>
    <x v="2"/>
    <x v="165"/>
    <n v="682450.96883027907"/>
    <x v="2"/>
    <n v="420"/>
    <n v="1624.8832591197122"/>
    <n v="4.9528979405850361E-2"/>
    <n v="33801.099980697516"/>
    <n v="20.190200000000001"/>
    <n v="682450.96883027896"/>
    <n v="112.419"/>
    <n v="118.98099999999999"/>
    <n v="1.0583"/>
    <n v="722237.86031308421"/>
    <n v="1719.6139531263909"/>
    <m/>
    <n v="420"/>
    <s v="Sale"/>
    <x v="70"/>
    <x v="2"/>
    <n v="729175.04000000004"/>
    <n v="4.7688309210996926E-2"/>
    <n v="34773.124776461053"/>
    <n v="20.9695"/>
    <n v="729175.04000000004"/>
    <n v="722237.86031308421"/>
    <n v="6937.1796869158279"/>
    <n v="0.86027397260273974"/>
    <n v="1"/>
    <n v="6937.1796869158279"/>
    <n v="0"/>
    <m/>
    <n v="972.02479576353653"/>
    <m/>
    <n v="1.4243144784885967E-3"/>
    <m/>
  </r>
  <r>
    <x v="6"/>
    <s v="Purchase"/>
    <x v="96"/>
    <x v="2"/>
    <x v="2"/>
    <x v="162"/>
    <n v="592114.96962483402"/>
    <x v="2"/>
    <n v="193"/>
    <n v="3067.9532104913678"/>
    <n v="5.2421891381841057E-2"/>
    <n v="31039.786623235166"/>
    <n v="19.076000000000001"/>
    <n v="592114.96962483402"/>
    <n v="103.687"/>
    <n v="118.98099999999999"/>
    <n v="1.1475"/>
    <n v="679451.92764449702"/>
    <n v="3520.4763090388446"/>
    <m/>
    <n v="193"/>
    <s v="Sale"/>
    <x v="70"/>
    <x v="2"/>
    <n v="1010536.19"/>
    <n v="4.7688309210996926E-2"/>
    <n v="48190.762297622736"/>
    <n v="20.9695"/>
    <n v="1010536.19"/>
    <n v="679451.92764449702"/>
    <n v="331084.26235550293"/>
    <n v="2.7013698630136984"/>
    <n v="1"/>
    <n v="331084.26235550293"/>
    <n v="0"/>
    <m/>
    <n v="17150.97567438757"/>
    <m/>
    <n v="2.8965617412534738E-2"/>
    <m/>
  </r>
  <r>
    <x v="6"/>
    <s v="Purchase"/>
    <x v="97"/>
    <x v="2"/>
    <x v="2"/>
    <x v="166"/>
    <n v="2879379.9304030286"/>
    <x v="2"/>
    <n v="1192"/>
    <n v="2415.5871899354265"/>
    <n v="5.3577647405502422E-2"/>
    <n v="154270.40265761357"/>
    <n v="18.6645"/>
    <n v="2879379.9304030286"/>
    <n v="106.889"/>
    <n v="118.98099999999999"/>
    <n v="1.1131"/>
    <n v="3205037.8005316113"/>
    <n v="2688.7901011171234"/>
    <m/>
    <n v="1192"/>
    <s v="Sale"/>
    <x v="70"/>
    <x v="2"/>
    <n v="3876854.07"/>
    <n v="4.7688309210996926E-2"/>
    <n v="184880.61565607192"/>
    <n v="20.9695"/>
    <n v="3876854.0700000003"/>
    <n v="3205037.8005316113"/>
    <n v="671816.26946838899"/>
    <n v="2.0931506849315067"/>
    <n v="1"/>
    <n v="671816.26946838899"/>
    <n v="0"/>
    <m/>
    <n v="30610.212998458359"/>
    <m/>
    <n v="1.0630835019459842E-2"/>
    <m/>
  </r>
  <r>
    <x v="6"/>
    <s v="Purchase"/>
    <x v="98"/>
    <x v="2"/>
    <x v="2"/>
    <x v="161"/>
    <n v="2880727.3555289758"/>
    <x v="2"/>
    <n v="1119"/>
    <n v="2574.376546495957"/>
    <n v="4.3532202947130144E-2"/>
    <n v="125404.4078762369"/>
    <n v="22.971499999999999"/>
    <n v="2880727.3555289758"/>
    <n v="106.74299999999999"/>
    <n v="118.98099999999999"/>
    <n v="1.1146"/>
    <n v="3210858.7104725963"/>
    <n v="2869.4000987243935"/>
    <m/>
    <n v="1119"/>
    <s v="Sale"/>
    <x v="70"/>
    <x v="2"/>
    <n v="3715545.79"/>
    <n v="4.7688309210996926E-2"/>
    <n v="177188.09652113786"/>
    <n v="20.9695"/>
    <n v="3715545.7900000005"/>
    <n v="3210858.7104725963"/>
    <n v="504687.07952740416"/>
    <n v="1.7068493150684931"/>
    <n v="1"/>
    <n v="504687.07952740416"/>
    <n v="0"/>
    <m/>
    <n v="51783.688644900962"/>
    <m/>
    <n v="1.7975907558732556E-2"/>
    <m/>
  </r>
  <r>
    <x v="6"/>
    <s v="Purchase"/>
    <x v="99"/>
    <x v="2"/>
    <x v="2"/>
    <x v="167"/>
    <n v="451586.02876651986"/>
    <x v="2"/>
    <n v="203"/>
    <n v="2224.5617180616741"/>
    <n v="5.1344190918239503E-2"/>
    <n v="23186.31927699779"/>
    <n v="19.476400000000002"/>
    <n v="451586.0287665198"/>
    <n v="104.503"/>
    <n v="118.98099999999999"/>
    <n v="1.1385000000000001"/>
    <n v="514130.69375068281"/>
    <n v="2532.6635160132159"/>
    <m/>
    <n v="203"/>
    <s v="Sale"/>
    <x v="70"/>
    <x v="2"/>
    <n v="641605.09331804281"/>
    <n v="4.7688309210996926E-2"/>
    <n v="30597.062081501364"/>
    <n v="20.9695"/>
    <n v="641605.09331804281"/>
    <n v="514130.69375068281"/>
    <n v="127474.39956736"/>
    <n v="2.419178082191781"/>
    <n v="1"/>
    <n v="127474.39956736"/>
    <n v="0"/>
    <m/>
    <n v="7410.742804503574"/>
    <m/>
    <n v="1.6410478474601115E-2"/>
    <m/>
  </r>
  <r>
    <x v="6"/>
    <s v="Purchase"/>
    <x v="99"/>
    <x v="2"/>
    <x v="2"/>
    <x v="37"/>
    <n v="1474546.5"/>
    <x v="2"/>
    <n v="635"/>
    <n v="2322.1204724409449"/>
    <n v="4.1599414280246938E-2"/>
    <n v="61340.270728988144"/>
    <n v="24.038799999999998"/>
    <n v="1474546.5"/>
    <n v="105.755"/>
    <n v="118.98099999999999"/>
    <n v="1.125"/>
    <n v="1658864.8125"/>
    <n v="2612.3855314960629"/>
    <m/>
    <n v="635"/>
    <s v="Sale"/>
    <x v="70"/>
    <x v="2"/>
    <n v="2006991.3017584099"/>
    <n v="4.7688309210996926E-2"/>
    <n v="95710.021782036289"/>
    <n v="20.9695"/>
    <n v="2006991.3017584099"/>
    <n v="1658864.8125"/>
    <n v="348126.48925840994"/>
    <n v="1.9205479452054794"/>
    <n v="1"/>
    <n v="348126.48925840994"/>
    <n v="0"/>
    <m/>
    <n v="34369.751053048145"/>
    <m/>
    <n v="2.3308692572969483E-2"/>
    <m/>
  </r>
  <r>
    <x v="6"/>
    <s v="Purchase"/>
    <x v="99"/>
    <x v="2"/>
    <x v="2"/>
    <x v="168"/>
    <n v="1211301.8488397193"/>
    <x v="2"/>
    <n v="470"/>
    <n v="2577.2379762547221"/>
    <n v="4.222883807352041E-2"/>
    <n v="51151.869632808404"/>
    <n v="23.680499999999999"/>
    <n v="1211301.8488397193"/>
    <n v="106.16200000000001"/>
    <n v="118.98099999999999"/>
    <n v="1.1207"/>
    <n v="1357505.9819946734"/>
    <n v="2888.3105999886666"/>
    <m/>
    <n v="470"/>
    <s v="Sale"/>
    <x v="70"/>
    <x v="2"/>
    <n v="1485489.6249235475"/>
    <n v="4.7688309210996926E-2"/>
    <n v="70840.488563081977"/>
    <n v="20.9695"/>
    <n v="1485489.6249235475"/>
    <n v="1357505.9819946734"/>
    <n v="127983.64292887412"/>
    <n v="1.8410958904109589"/>
    <n v="1"/>
    <n v="127983.64292887412"/>
    <n v="0"/>
    <m/>
    <n v="19688.618930273573"/>
    <m/>
    <n v="1.625409797659674E-2"/>
    <m/>
  </r>
  <r>
    <x v="6"/>
    <s v="Purchase"/>
    <x v="100"/>
    <x v="2"/>
    <x v="2"/>
    <x v="169"/>
    <n v="2401298.6202153955"/>
    <x v="2"/>
    <n v="1349"/>
    <n v="1780.0582803672316"/>
    <n v="5.0271465915946112E-2"/>
    <n v="120716.80174016669"/>
    <n v="19.891999999999999"/>
    <n v="2401298.6202153955"/>
    <n v="113.899"/>
    <n v="118.98099999999999"/>
    <n v="1.0446"/>
    <n v="2508396.5386770018"/>
    <n v="1859.44887967161"/>
    <m/>
    <n v="1349"/>
    <s v="Sale"/>
    <x v="70"/>
    <x v="2"/>
    <n v="2114626.14"/>
    <n v="4.7688309210996926E-2"/>
    <n v="100842.94522997689"/>
    <n v="20.9695"/>
    <n v="2114626.1400000006"/>
    <n v="2508396.5386770018"/>
    <n v="-393770.39867700124"/>
    <n v="0.60821917808219184"/>
    <n v="1"/>
    <n v="-393770.39867700124"/>
    <n v="0"/>
    <m/>
    <n v="-19873.856510189798"/>
    <m/>
    <n v="-8.2762953107461176E-3"/>
    <m/>
  </r>
  <r>
    <x v="6"/>
    <s v="Purchase"/>
    <x v="101"/>
    <x v="2"/>
    <x v="2"/>
    <x v="162"/>
    <n v="1105482.8654981789"/>
    <x v="2"/>
    <n v="994"/>
    <n v="1112.1558002999786"/>
    <n v="5.2421891381841057E-2"/>
    <n v="57951.502699631943"/>
    <n v="19.076000000000001"/>
    <n v="1105482.8654981789"/>
    <n v="103.687"/>
    <n v="118.98099999999999"/>
    <n v="1.1475"/>
    <n v="1268541.5881591602"/>
    <n v="1276.1987808442257"/>
    <m/>
    <n v="994"/>
    <s v="Sale"/>
    <x v="70"/>
    <x v="2"/>
    <n v="1316745.8163253013"/>
    <n v="4.7688309210996926E-2"/>
    <n v="62793.381641207532"/>
    <n v="20.9695"/>
    <n v="1316745.8163253013"/>
    <n v="1268541.5881591602"/>
    <n v="48204.228166141082"/>
    <n v="2.7013698630136984"/>
    <n v="1"/>
    <n v="48204.228166141082"/>
    <n v="0"/>
    <m/>
    <n v="4841.8789415755891"/>
    <m/>
    <n v="4.3798769684174404E-3"/>
    <m/>
  </r>
  <r>
    <x v="6"/>
    <s v="Purchase"/>
    <x v="101"/>
    <x v="2"/>
    <x v="2"/>
    <x v="37"/>
    <n v="582910.32999999996"/>
    <x v="2"/>
    <n v="519"/>
    <n v="1123.1412909441233"/>
    <n v="4.1599414280246938E-2"/>
    <n v="24248.728305905453"/>
    <n v="24.038799999999998"/>
    <n v="582910.32999999996"/>
    <n v="105.755"/>
    <n v="118.98099999999999"/>
    <n v="1.125"/>
    <n v="655774.12124999997"/>
    <n v="1263.5339523121386"/>
    <m/>
    <n v="519"/>
    <s v="Sale"/>
    <x v="70"/>
    <x v="2"/>
    <n v="687516.17572719452"/>
    <n v="4.7688309210996926E-2"/>
    <n v="32786.483975640549"/>
    <n v="20.9695"/>
    <n v="687516.17572719452"/>
    <n v="655774.12124999997"/>
    <n v="31742.054477194557"/>
    <n v="1.9205479452054794"/>
    <n v="1"/>
    <n v="31742.054477194557"/>
    <n v="0"/>
    <m/>
    <n v="8537.7556697350956"/>
    <m/>
    <n v="1.4646773663686996E-2"/>
    <m/>
  </r>
  <r>
    <x v="6"/>
    <s v="Purchase"/>
    <x v="101"/>
    <x v="2"/>
    <x v="2"/>
    <x v="170"/>
    <n v="1671663.73"/>
    <x v="2"/>
    <n v="1336"/>
    <n v="1251.2453068862276"/>
    <n v="4.6053661726643887E-2"/>
    <n v="76986.235942119762"/>
    <n v="21.713799999999999"/>
    <n v="1671663.73"/>
    <n v="108.114"/>
    <n v="118.98099999999999"/>
    <n v="1.1005"/>
    <n v="1839665.934865"/>
    <n v="1376.9954602282935"/>
    <m/>
    <n v="1336"/>
    <s v="Sale"/>
    <x v="70"/>
    <x v="2"/>
    <n v="1769791.1575559382"/>
    <n v="4.7688309210996926E-2"/>
    <n v="84398.347960415762"/>
    <n v="20.9695"/>
    <n v="1769791.1575559382"/>
    <n v="1839665.9348650002"/>
    <n v="-69874.777309061959"/>
    <n v="1.5095890410958903"/>
    <n v="1"/>
    <n v="-69874.777309061959"/>
    <n v="0"/>
    <m/>
    <n v="7412.1120182960003"/>
    <m/>
    <n v="4.4339731043252341E-3"/>
    <m/>
  </r>
  <r>
    <x v="6"/>
    <s v="Purchase"/>
    <x v="101"/>
    <x v="2"/>
    <x v="2"/>
    <x v="171"/>
    <n v="1784084.95"/>
    <x v="2"/>
    <n v="1352"/>
    <n v="1319.5894600591716"/>
    <n v="4.9652926046931944E-2"/>
    <n v="88585.038083794279"/>
    <n v="20.139800000000001"/>
    <n v="1784084.9500000002"/>
    <n v="109.271"/>
    <n v="118.98099999999999"/>
    <n v="1.0888"/>
    <n v="1942511.6935600003"/>
    <n v="1436.7690041124263"/>
    <m/>
    <n v="1352"/>
    <s v="Sale"/>
    <x v="70"/>
    <x v="2"/>
    <n v="1790986.2612392427"/>
    <n v="4.7688309210996926E-2"/>
    <n v="85409.106618624326"/>
    <n v="20.9695"/>
    <n v="1790986.2612392427"/>
    <n v="1942511.6935600003"/>
    <n v="-151525.43232075754"/>
    <n v="1.2821917808219179"/>
    <n v="1"/>
    <n v="-151525.43232075754"/>
    <n v="0"/>
    <m/>
    <n v="-3175.9314651699533"/>
    <m/>
    <n v="-1.7801458754360061E-3"/>
    <m/>
  </r>
  <r>
    <x v="6"/>
    <s v="Purchase"/>
    <x v="101"/>
    <x v="2"/>
    <x v="2"/>
    <x v="164"/>
    <n v="649867.55000000005"/>
    <x v="2"/>
    <n v="447"/>
    <n v="1453.842393736018"/>
    <n v="4.9499314434495081E-2"/>
    <n v="32167.998198224956"/>
    <n v="20.202300000000001"/>
    <n v="649867.55000000005"/>
    <n v="110.907"/>
    <n v="118.98099999999999"/>
    <n v="1.0727"/>
    <n v="697112.92088500003"/>
    <n v="1559.5367357606265"/>
    <m/>
    <n v="447"/>
    <s v="Sale"/>
    <x v="70"/>
    <x v="2"/>
    <n v="592138.20915232366"/>
    <n v="4.7688309210996926E-2"/>
    <n v="28238.070013701981"/>
    <n v="20.9695"/>
    <n v="592138.20915232366"/>
    <n v="697112.92088500003"/>
    <n v="-104974.71173267637"/>
    <n v="1.0684931506849316"/>
    <n v="1"/>
    <n v="-104974.71173267637"/>
    <n v="0"/>
    <m/>
    <n v="-3929.9281845229743"/>
    <m/>
    <n v="-6.0472756095037734E-3"/>
    <m/>
  </r>
  <r>
    <x v="6"/>
    <s v="Purchase"/>
    <x v="102"/>
    <x v="2"/>
    <x v="2"/>
    <x v="172"/>
    <n v="312940.48354154034"/>
    <x v="2"/>
    <n v="312"/>
    <n v="1003.0143703254498"/>
    <n v="4.8233449897503916E-2"/>
    <n v="15094.199133801534"/>
    <n v="20.732500000000002"/>
    <n v="312940.48354154034"/>
    <n v="118.98099999999999"/>
    <n v="118.98099999999999"/>
    <n v="1"/>
    <n v="312940.48354154034"/>
    <n v="1003.0143703254498"/>
    <m/>
    <n v="312"/>
    <s v="Sale"/>
    <x v="70"/>
    <x v="2"/>
    <n v="306816.31"/>
    <n v="4.7688309210996926E-2"/>
    <n v="14631.551062257089"/>
    <n v="20.9695"/>
    <n v="306816.31000000006"/>
    <n v="312940.48354154034"/>
    <n v="-6124.17354154028"/>
    <n v="9.3150684931506855E-2"/>
    <n v="1"/>
    <n v="-6124.17354154028"/>
    <n v="0"/>
    <m/>
    <n v="-462.64807154444497"/>
    <m/>
    <n v="-1.47838996830537E-3"/>
    <m/>
  </r>
  <r>
    <x v="6"/>
    <s v="Purchase"/>
    <x v="103"/>
    <x v="2"/>
    <x v="2"/>
    <x v="167"/>
    <n v="629148.33733681461"/>
    <x v="2"/>
    <n v="352"/>
    <n v="1787.3532310704961"/>
    <n v="5.1344190918239503E-2"/>
    <n v="32303.112348114359"/>
    <n v="19.476400000000002"/>
    <n v="629148.3373368145"/>
    <n v="104.503"/>
    <n v="118.98099999999999"/>
    <n v="1.1385000000000001"/>
    <n v="716285.3820579634"/>
    <n v="2034.9016535737596"/>
    <m/>
    <n v="352"/>
    <s v="Sale"/>
    <x v="70"/>
    <x v="2"/>
    <n v="917185.89000000013"/>
    <n v="4.7688309210996926E-2"/>
    <n v="43739.044326283423"/>
    <n v="20.9695"/>
    <n v="917185.89000000025"/>
    <n v="716285.3820579634"/>
    <n v="200900.50794203684"/>
    <n v="2.419178082191781"/>
    <n v="1"/>
    <n v="200900.50794203684"/>
    <n v="0"/>
    <m/>
    <n v="11435.931978169065"/>
    <m/>
    <n v="1.8176845267647648E-2"/>
    <m/>
  </r>
  <r>
    <x v="6"/>
    <s v="Purchase"/>
    <x v="104"/>
    <x v="2"/>
    <x v="2"/>
    <x v="162"/>
    <n v="2705560.7150884005"/>
    <x v="2"/>
    <n v="2549"/>
    <n v="1061.4204453073364"/>
    <n v="5.2421891381841057E-2"/>
    <n v="141830.60993334034"/>
    <n v="19.076000000000001"/>
    <n v="2705560.7150884005"/>
    <n v="103.687"/>
    <n v="118.98099999999999"/>
    <n v="1.1475"/>
    <n v="3104630.9205639395"/>
    <n v="1217.9799609901686"/>
    <m/>
    <n v="2549"/>
    <s v="Sale"/>
    <x v="70"/>
    <x v="2"/>
    <n v="3150876.61"/>
    <n v="4.7688309210996926E-2"/>
    <n v="150259.97806337776"/>
    <n v="20.9695"/>
    <n v="3150876.61"/>
    <n v="3104630.92056394"/>
    <n v="46245.689436059911"/>
    <n v="2.7013698630136984"/>
    <n v="1"/>
    <n v="46245.689436059911"/>
    <n v="0"/>
    <m/>
    <n v="8429.3681300374155"/>
    <m/>
    <n v="3.1155716014903763E-3"/>
    <m/>
  </r>
  <r>
    <x v="6"/>
    <s v="Purchase"/>
    <x v="105"/>
    <x v="2"/>
    <x v="2"/>
    <x v="162"/>
    <n v="851598.63699516747"/>
    <x v="2"/>
    <n v="635"/>
    <n v="1341.1002157404212"/>
    <n v="5.2421891381841057E-2"/>
    <n v="44642.411249484561"/>
    <n v="19.076000000000001"/>
    <n v="851598.63699516747"/>
    <n v="103.687"/>
    <n v="118.98099999999999"/>
    <n v="1.1475"/>
    <n v="977209.43595195469"/>
    <n v="1538.9124975621335"/>
    <m/>
    <n v="635"/>
    <s v="Sale"/>
    <x v="70"/>
    <x v="2"/>
    <n v="913263.57"/>
    <n v="4.7688309210996926E-2"/>
    <n v="43551.995517298936"/>
    <n v="20.9695"/>
    <n v="913263.57000000007"/>
    <n v="977209.4359519548"/>
    <n v="-63945.865951954736"/>
    <n v="2.7013698630136984"/>
    <n v="1"/>
    <n v="-63945.865951954736"/>
    <n v="0"/>
    <m/>
    <n v="-1090.4157321856255"/>
    <m/>
    <n v="-1.28043386263876E-3"/>
    <m/>
  </r>
  <r>
    <x v="0"/>
    <m/>
    <x v="0"/>
    <x v="0"/>
    <x v="0"/>
    <x v="0"/>
    <m/>
    <x v="0"/>
    <n v="0"/>
    <n v="0"/>
    <n v="0"/>
    <n v="0"/>
    <n v="0"/>
    <n v="0"/>
    <n v="0"/>
    <n v="0"/>
    <n v="0"/>
    <n v="0"/>
    <n v="0"/>
    <m/>
    <m/>
    <m/>
    <x v="0"/>
    <x v="0"/>
    <m/>
    <n v="0"/>
    <n v="0"/>
    <n v="0"/>
    <n v="0"/>
    <n v="0"/>
    <n v="0"/>
    <n v="0"/>
    <n v="1"/>
    <n v="0"/>
    <n v="0"/>
    <m/>
    <n v="0"/>
    <m/>
    <n v="0"/>
    <m/>
  </r>
  <r>
    <x v="3"/>
    <s v="Purchase"/>
    <x v="106"/>
    <x v="1"/>
    <x v="1"/>
    <x v="173"/>
    <n v="5370.18"/>
    <x v="1"/>
    <n v="41"/>
    <n v="130.98000000000002"/>
    <n v="1"/>
    <n v="5370.18"/>
    <n v="19.5547"/>
    <n v="105012.25884600001"/>
    <n v="122.044"/>
    <n v="122.94799999999999"/>
    <n v="1.0074000000000001"/>
    <n v="105789.34956146042"/>
    <n v="2580.2280380844004"/>
    <m/>
    <n v="41"/>
    <s v="Sale"/>
    <x v="77"/>
    <x v="1"/>
    <n v="5209.78"/>
    <n v="1"/>
    <n v="5209.78"/>
    <n v="20.747299999999999"/>
    <n v="108088.86859399999"/>
    <n v="105789.34956146042"/>
    <n v="2299.519032539567"/>
    <n v="9.5890410958904104E-2"/>
    <n v="1"/>
    <n v="2299.519032539567"/>
    <n v="0"/>
    <m/>
    <n v="-160.40000000000055"/>
    <m/>
    <n v="-2.9868644998864196E-2"/>
    <m/>
  </r>
  <r>
    <x v="3"/>
    <s v="Purchase"/>
    <x v="107"/>
    <x v="2"/>
    <x v="1"/>
    <x v="173"/>
    <n v="4393.8"/>
    <x v="2"/>
    <n v="329"/>
    <n v="13.35501519756839"/>
    <n v="1"/>
    <n v="4393.8"/>
    <n v="19.5547"/>
    <n v="85919.440860000002"/>
    <n v="122.044"/>
    <n v="122.044"/>
    <n v="1"/>
    <n v="85919.440860000002"/>
    <n v="261.15331568389058"/>
    <m/>
    <n v="329"/>
    <s v="Sale"/>
    <x v="77"/>
    <x v="1"/>
    <n v="4069.28"/>
    <n v="1"/>
    <n v="4069.28"/>
    <n v="20.747299999999999"/>
    <n v="84426.572944"/>
    <n v="85919.440860000002"/>
    <n v="-1492.8679160000029"/>
    <n v="9.5890410958904104E-2"/>
    <n v="1"/>
    <n v="-1492.8679160000029"/>
    <n v="0"/>
    <m/>
    <n v="-324.52"/>
    <m/>
    <n v="-7.3858618963084335E-2"/>
    <m/>
  </r>
  <r>
    <x v="3"/>
    <s v="Purchase"/>
    <x v="108"/>
    <x v="1"/>
    <x v="1"/>
    <x v="173"/>
    <n v="2561.7199999999998"/>
    <x v="1"/>
    <n v="87"/>
    <n v="29.445057471264366"/>
    <n v="1"/>
    <n v="2561.7199999999998"/>
    <n v="19.5547"/>
    <n v="50093.666083999997"/>
    <n v="122.044"/>
    <n v="122.94799999999999"/>
    <n v="1.0074000000000001"/>
    <n v="50464.359213021598"/>
    <n v="580.05010589680001"/>
    <m/>
    <n v="87"/>
    <s v="Sale"/>
    <x v="77"/>
    <x v="1"/>
    <n v="2217.5500000000002"/>
    <n v="1"/>
    <n v="2217.5500000000002"/>
    <n v="20.747299999999999"/>
    <n v="46008.175115000005"/>
    <n v="50464.359213021598"/>
    <n v="-4456.1840980215929"/>
    <n v="9.5890410958904104E-2"/>
    <n v="1"/>
    <n v="-4456.1840980215929"/>
    <n v="0"/>
    <m/>
    <n v="-344.16999999999962"/>
    <m/>
    <n v="-0.13435113907843155"/>
    <m/>
  </r>
  <r>
    <x v="3"/>
    <s v="Purchase"/>
    <x v="109"/>
    <x v="2"/>
    <x v="1"/>
    <x v="173"/>
    <n v="906.14"/>
    <x v="2"/>
    <n v="22"/>
    <n v="41.188181818181818"/>
    <n v="1"/>
    <n v="906.14"/>
    <n v="19.5547"/>
    <n v="17719.295858000001"/>
    <n v="122.044"/>
    <n v="122.044"/>
    <n v="1"/>
    <n v="17719.295858000001"/>
    <n v="805.42253900000003"/>
    <m/>
    <n v="22"/>
    <s v="Sale"/>
    <x v="77"/>
    <x v="1"/>
    <n v="820.4"/>
    <n v="1"/>
    <n v="820.4"/>
    <n v="20.747299999999999"/>
    <n v="17021.084919999998"/>
    <n v="17719.295858000001"/>
    <n v="-698.21093800000381"/>
    <n v="9.5890410958904104E-2"/>
    <n v="1"/>
    <n v="-698.21093800000381"/>
    <n v="0"/>
    <m/>
    <n v="-85.740000000000009"/>
    <m/>
    <n v="-9.462114022115789E-2"/>
    <m/>
  </r>
  <r>
    <x v="3"/>
    <s v="Purchase"/>
    <x v="110"/>
    <x v="2"/>
    <x v="1"/>
    <x v="173"/>
    <n v="3394.08"/>
    <x v="2"/>
    <n v="171"/>
    <n v="19.848421052631579"/>
    <n v="1"/>
    <n v="3394.08"/>
    <n v="19.5547"/>
    <n v="66370.216176000002"/>
    <n v="122.044"/>
    <n v="122.044"/>
    <n v="1"/>
    <n v="66370.216176000002"/>
    <n v="388.12991915789473"/>
    <m/>
    <n v="171"/>
    <s v="Sale"/>
    <x v="77"/>
    <x v="1"/>
    <n v="2844.57"/>
    <n v="1"/>
    <n v="2844.57"/>
    <n v="20.747299999999999"/>
    <n v="59017.147161000001"/>
    <n v="66370.216176000002"/>
    <n v="-7353.0690150000009"/>
    <n v="9.5890410958904104E-2"/>
    <n v="1"/>
    <n v="-7353.0690150000009"/>
    <n v="0"/>
    <m/>
    <n v="-549.50999999999976"/>
    <m/>
    <n v="-0.16190248903973972"/>
    <m/>
  </r>
  <r>
    <x v="3"/>
    <s v="Purchase"/>
    <x v="111"/>
    <x v="2"/>
    <x v="1"/>
    <x v="173"/>
    <n v="7430.88"/>
    <x v="2"/>
    <n v="145"/>
    <n v="51.24744827586207"/>
    <n v="1"/>
    <n v="7430.88"/>
    <n v="19.5547"/>
    <n v="145308.629136"/>
    <n v="122.044"/>
    <n v="122.044"/>
    <n v="1"/>
    <n v="145308.629136"/>
    <n v="1002.1284768"/>
    <m/>
    <n v="145"/>
    <s v="Sale"/>
    <x v="77"/>
    <x v="1"/>
    <n v="6965.05"/>
    <n v="1"/>
    <n v="6965.05"/>
    <n v="20.747299999999999"/>
    <n v="144505.98186500001"/>
    <n v="145308.629136"/>
    <n v="-802.64727099999436"/>
    <n v="9.5890410958904104E-2"/>
    <n v="1"/>
    <n v="-802.64727099999436"/>
    <n v="0"/>
    <m/>
    <n v="-465.82999999999993"/>
    <m/>
    <n v="-6.2688402988609684E-2"/>
    <m/>
  </r>
  <r>
    <x v="3"/>
    <s v="Purchase"/>
    <x v="112"/>
    <x v="2"/>
    <x v="1"/>
    <x v="173"/>
    <n v="6107.74"/>
    <x v="2"/>
    <n v="25"/>
    <n v="244.30959999999999"/>
    <n v="1"/>
    <n v="6107.74"/>
    <n v="19.5547"/>
    <n v="119435.023378"/>
    <n v="122.044"/>
    <n v="122.044"/>
    <n v="1"/>
    <n v="119435.023378"/>
    <n v="4777.4009351200002"/>
    <m/>
    <n v="25"/>
    <s v="Sale"/>
    <x v="77"/>
    <x v="1"/>
    <n v="5696.42"/>
    <n v="1"/>
    <n v="5696.42"/>
    <n v="20.747299999999999"/>
    <n v="118185.334666"/>
    <n v="119435.02337800001"/>
    <n v="-1249.6887120000174"/>
    <n v="9.5890410958904104E-2"/>
    <n v="1"/>
    <n v="-1249.6887120000174"/>
    <n v="0"/>
    <m/>
    <n v="-411.31999999999971"/>
    <m/>
    <n v="-6.7344058522464889E-2"/>
    <m/>
  </r>
  <r>
    <x v="3"/>
    <s v="Purchase"/>
    <x v="113"/>
    <x v="2"/>
    <x v="1"/>
    <x v="173"/>
    <n v="8988.33"/>
    <x v="2"/>
    <n v="19"/>
    <n v="473.07"/>
    <n v="1"/>
    <n v="8988.33"/>
    <n v="19.5547"/>
    <n v="175764.096651"/>
    <n v="122.044"/>
    <n v="122.044"/>
    <n v="1"/>
    <n v="175764.096651"/>
    <n v="9250.7419289999998"/>
    <m/>
    <n v="19"/>
    <s v="Sale"/>
    <x v="77"/>
    <x v="1"/>
    <n v="8891.61"/>
    <n v="1"/>
    <n v="8891.61"/>
    <n v="20.747299999999999"/>
    <n v="184476.900153"/>
    <n v="175764.096651"/>
    <n v="8712.8035019999952"/>
    <n v="9.5890410958904104E-2"/>
    <n v="1"/>
    <n v="8712.8035019999952"/>
    <n v="0"/>
    <m/>
    <n v="-96.719999999999345"/>
    <m/>
    <n v="-1.0760619603419027E-2"/>
    <m/>
  </r>
  <r>
    <x v="3"/>
    <s v="Purchase"/>
    <x v="68"/>
    <x v="2"/>
    <x v="1"/>
    <x v="173"/>
    <n v="2271.25"/>
    <x v="2"/>
    <n v="19"/>
    <n v="119.53947368421052"/>
    <n v="1"/>
    <n v="2271.25"/>
    <n v="19.5547"/>
    <n v="44413.612375000004"/>
    <n v="122.044"/>
    <n v="122.044"/>
    <n v="1"/>
    <n v="44413.612375000004"/>
    <n v="2337.5585460526318"/>
    <m/>
    <n v="19"/>
    <s v="Sale"/>
    <x v="77"/>
    <x v="1"/>
    <n v="2234.12"/>
    <n v="1"/>
    <n v="2234.12"/>
    <n v="20.747299999999999"/>
    <n v="46351.957875999993"/>
    <n v="44413.612375000004"/>
    <n v="1938.3455009999889"/>
    <n v="9.5890410958904104E-2"/>
    <n v="1"/>
    <n v="1938.3455009999889"/>
    <n v="0"/>
    <m/>
    <n v="-37.130000000000109"/>
    <m/>
    <n v="-1.634782608695657E-2"/>
    <m/>
  </r>
  <r>
    <x v="3"/>
    <s v="Purchase"/>
    <x v="17"/>
    <x v="2"/>
    <x v="1"/>
    <x v="19"/>
    <n v="440.67"/>
    <x v="2"/>
    <n v="13"/>
    <n v="33.89769230769231"/>
    <n v="1"/>
    <n v="440.67"/>
    <n v="22.367799999999999"/>
    <n v="9856.8184259999998"/>
    <n v="108.114"/>
    <n v="122.044"/>
    <n v="1.1288"/>
    <n v="11126.376639268799"/>
    <n v="855.87512609759995"/>
    <m/>
    <n v="13"/>
    <s v="Sale"/>
    <x v="78"/>
    <x v="1"/>
    <n v="1157.29"/>
    <n v="1"/>
    <n v="1157.29"/>
    <n v="20.656199999999998"/>
    <n v="23905.213697999996"/>
    <n v="11126.376639268799"/>
    <n v="12778.837058731197"/>
    <n v="1.821917808219178"/>
    <n v="1"/>
    <n v="12778.837058731197"/>
    <n v="0"/>
    <m/>
    <n v="716.61999999999989"/>
    <m/>
    <n v="1.6262055506387998"/>
    <m/>
  </r>
  <r>
    <x v="3"/>
    <s v="Purchase"/>
    <x v="17"/>
    <x v="2"/>
    <x v="1"/>
    <x v="21"/>
    <n v="5362.2"/>
    <x v="2"/>
    <n v="169"/>
    <n v="31.728994082840234"/>
    <n v="1"/>
    <n v="5362.2"/>
    <n v="21.090199999999999"/>
    <n v="113089.87044"/>
    <n v="108.774"/>
    <n v="122.044"/>
    <n v="1.1218999999999999"/>
    <n v="126875.52564663599"/>
    <n v="750.74275530553837"/>
    <m/>
    <n v="169"/>
    <s v="Sale"/>
    <x v="78"/>
    <x v="1"/>
    <n v="15044.82"/>
    <n v="1"/>
    <n v="15044.82"/>
    <n v="20.656199999999998"/>
    <n v="310768.81088399998"/>
    <n v="126875.52564663599"/>
    <n v="183893.28523736401"/>
    <n v="1.7561643835616438"/>
    <n v="1"/>
    <n v="183893.28523736401"/>
    <n v="0"/>
    <m/>
    <n v="9682.619999999999"/>
    <m/>
    <n v="1.8057178023945395"/>
    <m/>
  </r>
  <r>
    <x v="3"/>
    <s v="Purchase"/>
    <x v="109"/>
    <x v="2"/>
    <x v="1"/>
    <x v="16"/>
    <n v="31677.22"/>
    <x v="2"/>
    <n v="553"/>
    <n v="57.282495479204343"/>
    <n v="1"/>
    <n v="31677.22"/>
    <n v="24.0487"/>
    <n v="761795.96061399998"/>
    <n v="106.16200000000001"/>
    <n v="122.044"/>
    <n v="1.1496"/>
    <n v="875760.63632185431"/>
    <n v="1583.6539535657403"/>
    <m/>
    <n v="553"/>
    <s v="Sale"/>
    <x v="78"/>
    <x v="1"/>
    <n v="21549.03"/>
    <n v="1"/>
    <n v="21549.03"/>
    <n v="20.656199999999998"/>
    <n v="445121.07348599995"/>
    <n v="875760.63632185431"/>
    <n v="-430639.56283585436"/>
    <n v="2.1972602739726028"/>
    <n v="1"/>
    <n v="-430639.56283585436"/>
    <n v="0"/>
    <m/>
    <n v="-10128.190000000002"/>
    <m/>
    <n v="-0.31973102437650786"/>
    <m/>
  </r>
  <r>
    <x v="3"/>
    <s v="Purchase"/>
    <x v="109"/>
    <x v="2"/>
    <x v="1"/>
    <x v="19"/>
    <n v="909.86"/>
    <x v="2"/>
    <n v="18"/>
    <n v="50.547777777777782"/>
    <n v="1"/>
    <n v="909.86"/>
    <n v="22.367799999999999"/>
    <n v="20351.566508"/>
    <n v="108.114"/>
    <n v="122.044"/>
    <n v="1.1288"/>
    <n v="22972.8482742304"/>
    <n v="1276.2693485683556"/>
    <m/>
    <n v="18"/>
    <s v="Sale"/>
    <x v="78"/>
    <x v="1"/>
    <n v="701.42"/>
    <n v="1"/>
    <n v="701.42"/>
    <n v="20.656199999999998"/>
    <n v="14488.671803999998"/>
    <n v="22972.8482742304"/>
    <n v="-8484.1764702304026"/>
    <n v="1.821917808219178"/>
    <n v="1"/>
    <n v="-8484.1764702304026"/>
    <n v="0"/>
    <m/>
    <n v="-208.44000000000005"/>
    <m/>
    <n v="-0.22909018969951428"/>
    <m/>
  </r>
  <r>
    <x v="0"/>
    <m/>
    <x v="0"/>
    <x v="0"/>
    <x v="0"/>
    <x v="0"/>
    <m/>
    <x v="0"/>
    <n v="0"/>
    <n v="0"/>
    <n v="0"/>
    <n v="0"/>
    <n v="0"/>
    <n v="0"/>
    <n v="0"/>
    <n v="0"/>
    <n v="0"/>
    <n v="0"/>
    <n v="0"/>
    <m/>
    <m/>
    <m/>
    <x v="0"/>
    <x v="0"/>
    <m/>
    <n v="0"/>
    <n v="0"/>
    <n v="0"/>
    <n v="0"/>
    <n v="0"/>
    <n v="0"/>
    <n v="0"/>
    <n v="1"/>
    <n v="0"/>
    <n v="0"/>
    <m/>
    <n v="0"/>
    <m/>
    <n v="0"/>
    <m/>
  </r>
  <r>
    <x v="6"/>
    <s v="Purchase"/>
    <x v="114"/>
    <x v="2"/>
    <x v="2"/>
    <x v="162"/>
    <n v="1522993.9961873607"/>
    <x v="2"/>
    <n v="1852"/>
    <n v="822.35096986358576"/>
    <n v="5.2421891381841057E-2"/>
    <n v="79838.22584332987"/>
    <n v="19.076000000000001"/>
    <n v="1522993.9961873607"/>
    <n v="103.687"/>
    <n v="122.044"/>
    <n v="1.177"/>
    <n v="1792563.9335125235"/>
    <n v="967.90709152944032"/>
    <m/>
    <n v="1852"/>
    <s v="Sale"/>
    <x v="79"/>
    <x v="2"/>
    <n v="1505169.4"/>
    <n v="4.8801198557436573E-2"/>
    <n v="73454.070751977662"/>
    <n v="20.491299999999999"/>
    <n v="1505169.4"/>
    <n v="1792563.9335125235"/>
    <n v="-287394.53351252363"/>
    <n v="3.0547945205479454"/>
    <n v="1"/>
    <n v="-287394.53351252363"/>
    <n v="0"/>
    <m/>
    <n v="-6384.1550913522078"/>
    <m/>
    <n v="-4.1918452123476529E-3"/>
    <m/>
  </r>
  <r>
    <x v="6"/>
    <s v="Purchase"/>
    <x v="115"/>
    <x v="2"/>
    <x v="2"/>
    <x v="172"/>
    <n v="5010350.4000000004"/>
    <x v="2"/>
    <n v="7092"/>
    <n v="706.47918781725889"/>
    <n v="4.8233449897503916E-2"/>
    <n v="241666.48498733871"/>
    <n v="20.732500000000002"/>
    <n v="5010350.4000000004"/>
    <n v="118.98099999999999"/>
    <n v="122.044"/>
    <n v="1.0257000000000001"/>
    <n v="5139116.4052800005"/>
    <n v="724.63570294416252"/>
    <m/>
    <n v="7092"/>
    <s v="Sale"/>
    <x v="79"/>
    <x v="2"/>
    <n v="3483153.3221340766"/>
    <n v="4.8801198557436573E-2"/>
    <n v="169982.05687945991"/>
    <n v="20.491299999999999"/>
    <n v="3483153.3221340766"/>
    <n v="5139116.4052800005"/>
    <n v="-1655963.0831459239"/>
    <n v="0.44657534246575342"/>
    <n v="1"/>
    <n v="-1655963.0831459239"/>
    <n v="0"/>
    <m/>
    <n v="-71684.428107878804"/>
    <m/>
    <n v="-1.4307268431341408E-2"/>
    <m/>
  </r>
  <r>
    <x v="6"/>
    <s v="Purchase"/>
    <x v="115"/>
    <x v="2"/>
    <x v="2"/>
    <x v="174"/>
    <n v="463843.43"/>
    <x v="2"/>
    <n v="799"/>
    <n v="580.52994993742175"/>
    <n v="4.7688309210996926E-2"/>
    <n v="22119.908915329408"/>
    <n v="20.9695"/>
    <n v="463843.43000000005"/>
    <n v="120.15900000000001"/>
    <n v="122.044"/>
    <n v="1.0156000000000001"/>
    <n v="471079.38750800007"/>
    <n v="589.58621715644563"/>
    <m/>
    <n v="799"/>
    <s v="Sale"/>
    <x v="79"/>
    <x v="2"/>
    <n v="392419.55786592321"/>
    <n v="4.8801198557436573E-2"/>
    <n v="19150.54476123639"/>
    <n v="20.491299999999999"/>
    <n v="392419.55786592321"/>
    <n v="471079.38750800007"/>
    <n v="-78659.82964207686"/>
    <n v="0.35342465753424657"/>
    <n v="1"/>
    <n v="-78659.82964207686"/>
    <n v="0"/>
    <m/>
    <n v="-2969.3641540930184"/>
    <m/>
    <n v="-6.4016518550085288E-3"/>
    <m/>
  </r>
  <r>
    <x v="6"/>
    <s v="Purchase"/>
    <x v="116"/>
    <x v="2"/>
    <x v="2"/>
    <x v="174"/>
    <n v="12242112.16"/>
    <x v="2"/>
    <n v="2227"/>
    <n v="5497.1316389762014"/>
    <n v="4.7688309210996926E-2"/>
    <n v="583805.63008178549"/>
    <n v="20.9695"/>
    <n v="12242112.16"/>
    <n v="120.15900000000001"/>
    <n v="122.044"/>
    <n v="1.0156000000000001"/>
    <n v="12433089.109696001"/>
    <n v="5582.8868925442302"/>
    <m/>
    <n v="2227"/>
    <s v="Sale"/>
    <x v="79"/>
    <x v="2"/>
    <n v="9699832.3000000007"/>
    <n v="4.8801198557436573E-2"/>
    <n v="473363.44204613671"/>
    <n v="20.491299999999999"/>
    <n v="9699832.3000000007"/>
    <n v="12433089.109696001"/>
    <n v="-2733256.8096960001"/>
    <n v="0.35342465753424657"/>
    <n v="1"/>
    <n v="-2733256.8096960001"/>
    <n v="0"/>
    <m/>
    <n v="-110442.18803564878"/>
    <m/>
    <n v="-9.0214978095453733E-3"/>
    <m/>
  </r>
  <r>
    <x v="0"/>
    <m/>
    <x v="0"/>
    <x v="0"/>
    <x v="0"/>
    <x v="0"/>
    <m/>
    <x v="0"/>
    <n v="0"/>
    <n v="0"/>
    <n v="0"/>
    <n v="0"/>
    <n v="0"/>
    <n v="0"/>
    <n v="0"/>
    <n v="0"/>
    <n v="0"/>
    <n v="0"/>
    <n v="0"/>
    <m/>
    <m/>
    <m/>
    <x v="0"/>
    <x v="0"/>
    <m/>
    <n v="0"/>
    <n v="0"/>
    <n v="0"/>
    <n v="0"/>
    <n v="0"/>
    <n v="0"/>
    <n v="0"/>
    <n v="1"/>
    <n v="0"/>
    <n v="0"/>
    <m/>
    <n v="0"/>
    <m/>
    <n v="0"/>
    <m/>
  </r>
  <r>
    <x v="4"/>
    <s v="Purchase"/>
    <x v="57"/>
    <x v="2"/>
    <x v="1"/>
    <x v="51"/>
    <n v="14938.178906249999"/>
    <x v="2"/>
    <n v="94"/>
    <n v="158.91679687499999"/>
    <n v="1"/>
    <n v="14938.178906249999"/>
    <n v="20.690300000000001"/>
    <n v="309075.40302398434"/>
    <n v="111.824"/>
    <n v="122.044"/>
    <n v="1.0912999999999999"/>
    <n v="337293.98732007411"/>
    <n v="3588.233907660363"/>
    <m/>
    <n v="94"/>
    <s v="Sale"/>
    <x v="80"/>
    <x v="1"/>
    <n v="10307.629999999999"/>
    <n v="1"/>
    <n v="10307.629999999999"/>
    <n v="20.433"/>
    <n v="210615.80378999998"/>
    <n v="337293.98732007411"/>
    <n v="-126678.18353007414"/>
    <n v="1.4"/>
    <n v="1"/>
    <n v="-126678.18353007414"/>
    <n v="0"/>
    <m/>
    <n v="-4630.5489062500001"/>
    <m/>
    <n v="-0.3099808172944441"/>
    <m/>
  </r>
  <r>
    <x v="4"/>
    <s v="Purchase"/>
    <x v="57"/>
    <x v="2"/>
    <x v="1"/>
    <x v="51"/>
    <n v="4131.8367187499998"/>
    <x v="2"/>
    <n v="26"/>
    <n v="158.91679687499999"/>
    <n v="1"/>
    <n v="4131.8367187499998"/>
    <n v="20.690300000000001"/>
    <n v="85488.941261953121"/>
    <n v="111.824"/>
    <n v="122.044"/>
    <n v="1.0912999999999999"/>
    <n v="93294.08159916944"/>
    <n v="3588.233907660363"/>
    <m/>
    <n v="26"/>
    <s v="Sale"/>
    <x v="80"/>
    <x v="1"/>
    <n v="2880.0034042553189"/>
    <n v="1"/>
    <n v="2880.0034042553189"/>
    <n v="20.433"/>
    <n v="58847.109559148928"/>
    <n v="93294.08159916944"/>
    <n v="-34446.972040020511"/>
    <n v="1.4"/>
    <n v="1"/>
    <n v="-34446.972040020511"/>
    <n v="0"/>
    <m/>
    <n v="-1251.833314494681"/>
    <m/>
    <n v="-0.30297260025158901"/>
    <m/>
  </r>
  <r>
    <x v="4"/>
    <s v="Purchase"/>
    <x v="57"/>
    <x v="2"/>
    <x v="1"/>
    <x v="175"/>
    <n v="3527.0017391304345"/>
    <x v="2"/>
    <n v="21"/>
    <n v="167.95246376811593"/>
    <n v="1"/>
    <n v="3527.0017391304345"/>
    <n v="19.951000000000001"/>
    <n v="70367.211697391307"/>
    <n v="112.419"/>
    <n v="122.044"/>
    <n v="1.0855999999999999"/>
    <n v="76390.645018687996"/>
    <n v="3637.6497627946665"/>
    <m/>
    <n v="21"/>
    <s v="Sale"/>
    <x v="80"/>
    <x v="1"/>
    <n v="2326.1565957446805"/>
    <n v="1"/>
    <n v="2326.1565957446805"/>
    <n v="20.433"/>
    <n v="47530.357720851054"/>
    <n v="76390.645018687996"/>
    <n v="-28860.287297836941"/>
    <n v="1.1753424657534246"/>
    <n v="1"/>
    <n v="-28860.287297836941"/>
    <n v="0"/>
    <m/>
    <n v="-1200.845143385754"/>
    <m/>
    <n v="-0.34047194535317032"/>
    <m/>
  </r>
  <r>
    <x v="4"/>
    <s v="Purchase"/>
    <x v="117"/>
    <x v="1"/>
    <x v="1"/>
    <x v="100"/>
    <n v="5274.517935483871"/>
    <x v="1"/>
    <n v="108"/>
    <n v="48.838129032258067"/>
    <n v="1"/>
    <n v="5274.517935483871"/>
    <n v="20.459800000000001"/>
    <n v="107915.58205641291"/>
    <n v="118.002"/>
    <n v="122.94799999999999"/>
    <n v="1.0419"/>
    <n v="112437.24494457661"/>
    <n v="1041.0856013386724"/>
    <m/>
    <n v="108"/>
    <s v="Sale"/>
    <x v="81"/>
    <x v="1"/>
    <n v="4062.91"/>
    <n v="1"/>
    <n v="4062.91"/>
    <n v="20.442299999999999"/>
    <n v="83055.225093000001"/>
    <n v="112437.24494457663"/>
    <n v="-29382.019851576624"/>
    <n v="0.46027397260273972"/>
    <n v="1"/>
    <n v="-29382.019851576624"/>
    <n v="0"/>
    <m/>
    <n v="-1211.6079354838712"/>
    <m/>
    <n v="-0.22970970054587961"/>
    <m/>
  </r>
  <r>
    <x v="4"/>
    <s v="Purchase"/>
    <x v="117"/>
    <x v="1"/>
    <x v="1"/>
    <x v="100"/>
    <n v="2295.3920645161293"/>
    <x v="1"/>
    <n v="47"/>
    <n v="48.838129032258067"/>
    <n v="1"/>
    <n v="2295.3920645161293"/>
    <n v="20.459800000000001"/>
    <n v="46963.262561587107"/>
    <n v="118.002"/>
    <n v="122.94799999999999"/>
    <n v="1.0419"/>
    <n v="48931.02326291761"/>
    <n v="1041.0856013386726"/>
    <m/>
    <n v="47"/>
    <s v="Sale"/>
    <x v="81"/>
    <x v="1"/>
    <n v="1792.5533962264151"/>
    <n v="1"/>
    <n v="1792.5533962264151"/>
    <n v="20.442299999999999"/>
    <n v="36643.914291679241"/>
    <n v="48931.023262917617"/>
    <n v="-12287.108971238376"/>
    <n v="0.46027397260273972"/>
    <n v="1"/>
    <n v="-12287.108971238376"/>
    <n v="0"/>
    <m/>
    <n v="-502.83866828971418"/>
    <m/>
    <n v="-0.21906439255540122"/>
    <m/>
  </r>
  <r>
    <x v="4"/>
    <s v="Purchase"/>
    <x v="117"/>
    <x v="1"/>
    <x v="1"/>
    <x v="100"/>
    <n v="292.48457142857143"/>
    <x v="1"/>
    <n v="6"/>
    <n v="48.747428571428571"/>
    <n v="1"/>
    <n v="292.48457142857143"/>
    <n v="20.459800000000001"/>
    <n v="5984.1758345142862"/>
    <n v="118.002"/>
    <n v="122.94799999999999"/>
    <n v="1.0419"/>
    <n v="6234.9128019804348"/>
    <n v="1039.1521336634057"/>
    <m/>
    <n v="6"/>
    <s v="Sale"/>
    <x v="81"/>
    <x v="1"/>
    <n v="228.8366037735849"/>
    <n v="1"/>
    <n v="228.8366037735849"/>
    <n v="20.442299999999999"/>
    <n v="4677.9465053207541"/>
    <n v="6234.9128019804339"/>
    <n v="-1556.9662966596798"/>
    <n v="0.46027397260273972"/>
    <n v="1"/>
    <n v="-1556.9662966596798"/>
    <n v="0"/>
    <m/>
    <n v="-63.64796765498653"/>
    <m/>
    <n v="-0.21761136782057647"/>
    <m/>
  </r>
  <r>
    <x v="4"/>
    <s v="Purchase"/>
    <x v="59"/>
    <x v="2"/>
    <x v="1"/>
    <x v="74"/>
    <n v="3315.9"/>
    <x v="2"/>
    <n v="14"/>
    <n v="236.85"/>
    <n v="1"/>
    <n v="3315.9"/>
    <n v="20.603999999999999"/>
    <n v="68320.803599999999"/>
    <n v="115.56100000000001"/>
    <n v="122.044"/>
    <n v="1.0561"/>
    <n v="72153.600681960001"/>
    <n v="5153.8286201399997"/>
    <m/>
    <n v="14"/>
    <s v="Sale"/>
    <x v="82"/>
    <x v="1"/>
    <n v="4619.6815000000006"/>
    <n v="1"/>
    <n v="4619.6815000000006"/>
    <n v="20.761299999999999"/>
    <n v="95910.593525950011"/>
    <n v="72153.600681960001"/>
    <n v="23756.99284399001"/>
    <n v="0.75890410958904109"/>
    <n v="1"/>
    <n v="23756.99284399001"/>
    <n v="0"/>
    <m/>
    <n v="1303.7815000000005"/>
    <m/>
    <n v="0.39319083808317512"/>
    <m/>
  </r>
  <r>
    <x v="4"/>
    <s v="Purchase"/>
    <x v="59"/>
    <x v="2"/>
    <x v="1"/>
    <x v="74"/>
    <n v="6123.2321428571431"/>
    <x v="2"/>
    <n v="26"/>
    <n v="235.50892857142858"/>
    <n v="1"/>
    <n v="6123.2321428571431"/>
    <n v="20.603999999999999"/>
    <n v="126163.07507142857"/>
    <n v="115.56100000000001"/>
    <n v="122.044"/>
    <n v="1.0561"/>
    <n v="133240.82358293573"/>
    <n v="5124.6470608821437"/>
    <m/>
    <n v="26"/>
    <s v="Sale"/>
    <x v="82"/>
    <x v="1"/>
    <n v="8579.4085000000014"/>
    <n v="1"/>
    <n v="8579.4085000000014"/>
    <n v="20.761299999999999"/>
    <n v="178119.67369105"/>
    <n v="133240.82358293573"/>
    <n v="44878.850108114275"/>
    <n v="0.75890410958904109"/>
    <n v="1"/>
    <n v="44878.850108114275"/>
    <n v="0"/>
    <m/>
    <n v="2456.1763571428583"/>
    <m/>
    <n v="0.40112416120104655"/>
    <m/>
  </r>
  <r>
    <x v="4"/>
    <s v="Purchase"/>
    <x v="118"/>
    <x v="2"/>
    <x v="1"/>
    <x v="147"/>
    <n v="5838.44"/>
    <x v="2"/>
    <n v="23"/>
    <n v="253.84521739130432"/>
    <n v="1"/>
    <n v="5838.44"/>
    <n v="20.738299999999999"/>
    <n v="121079.32025199999"/>
    <n v="118.002"/>
    <n v="122.044"/>
    <n v="1.0342"/>
    <n v="125220.23300461839"/>
    <n v="5444.3579567225388"/>
    <m/>
    <n v="23"/>
    <s v="Sale"/>
    <x v="81"/>
    <x v="1"/>
    <n v="3506.062857142857"/>
    <n v="1"/>
    <n v="3506.062857142857"/>
    <n v="20.442299999999999"/>
    <n v="71671.988744571427"/>
    <n v="125220.23300461839"/>
    <n v="-53548.244260046966"/>
    <n v="0.44383561643835617"/>
    <n v="1"/>
    <n v="-53548.244260046966"/>
    <n v="0"/>
    <m/>
    <n v="-2332.3771428571426"/>
    <m/>
    <n v="-0.39948635985933617"/>
    <m/>
  </r>
  <r>
    <x v="4"/>
    <s v="Purchase"/>
    <x v="118"/>
    <x v="2"/>
    <x v="1"/>
    <x v="147"/>
    <n v="9640.7800000000007"/>
    <x v="2"/>
    <n v="38"/>
    <n v="253.70473684210529"/>
    <n v="1"/>
    <n v="9640.7800000000007"/>
    <n v="20.738299999999999"/>
    <n v="199933.38787400001"/>
    <n v="118.002"/>
    <n v="122.044"/>
    <n v="1.0342"/>
    <n v="206771.10973929081"/>
    <n v="5441.3449931392315"/>
    <m/>
    <n v="38"/>
    <s v="Sale"/>
    <x v="81"/>
    <x v="1"/>
    <n v="5792.6255900621109"/>
    <n v="1"/>
    <n v="5792.6255900621109"/>
    <n v="20.442299999999999"/>
    <n v="118414.59009972669"/>
    <n v="206771.10973929078"/>
    <n v="-88356.519639564096"/>
    <n v="0.44383561643835617"/>
    <n v="1"/>
    <n v="-88356.519639564096"/>
    <n v="0"/>
    <m/>
    <n v="-3848.1544099378898"/>
    <m/>
    <n v="-0.39915384542930027"/>
    <m/>
  </r>
  <r>
    <x v="4"/>
    <s v="Purchase"/>
    <x v="118"/>
    <x v="2"/>
    <x v="1"/>
    <x v="176"/>
    <n v="2609.1899999999996"/>
    <x v="2"/>
    <n v="10"/>
    <n v="260.91899999999998"/>
    <n v="1"/>
    <n v="2609.1899999999996"/>
    <n v="20.8597"/>
    <n v="54426.92064299999"/>
    <n v="118.98099999999999"/>
    <n v="122.044"/>
    <n v="1.0257000000000001"/>
    <n v="55825.69250352509"/>
    <n v="5582.5692503525088"/>
    <m/>
    <n v="10"/>
    <s v="Sale"/>
    <x v="81"/>
    <x v="1"/>
    <n v="1524.3751552795029"/>
    <n v="1"/>
    <n v="1524.3751552795029"/>
    <n v="20.442299999999999"/>
    <n v="31161.734236770182"/>
    <n v="55825.69250352509"/>
    <n v="-24663.958266754908"/>
    <n v="0.44109589041095892"/>
    <n v="1"/>
    <n v="-24663.958266754908"/>
    <n v="0"/>
    <m/>
    <n v="-1084.8148447204967"/>
    <m/>
    <n v="-0.41576690264813865"/>
    <m/>
  </r>
  <r>
    <x v="4"/>
    <s v="Purchase"/>
    <x v="118"/>
    <x v="2"/>
    <x v="1"/>
    <x v="176"/>
    <n v="7873.3499999999995"/>
    <x v="2"/>
    <n v="30"/>
    <n v="262.44499999999999"/>
    <n v="1"/>
    <n v="7873.3499999999995"/>
    <n v="20.8597"/>
    <n v="164235.718995"/>
    <n v="118.98099999999999"/>
    <n v="122.044"/>
    <n v="1.0257000000000001"/>
    <n v="168456.57697317153"/>
    <n v="5615.2192324390508"/>
    <m/>
    <n v="30"/>
    <s v="Sale"/>
    <x v="81"/>
    <x v="1"/>
    <n v="4573.1254658385087"/>
    <n v="1"/>
    <n v="4573.1254658385087"/>
    <n v="20.442299999999999"/>
    <n v="93485.20271031055"/>
    <n v="168456.57697317153"/>
    <n v="-74971.374262860976"/>
    <n v="0.44109589041095892"/>
    <n v="1"/>
    <n v="-74971.374262860976"/>
    <n v="0"/>
    <m/>
    <n v="-3300.2245341614907"/>
    <m/>
    <n v="-0.41916395615100194"/>
    <m/>
  </r>
  <r>
    <x v="4"/>
    <s v="Purchase"/>
    <x v="118"/>
    <x v="2"/>
    <x v="1"/>
    <x v="118"/>
    <n v="10993.23"/>
    <x v="2"/>
    <n v="41"/>
    <n v="268.12756097560975"/>
    <n v="1"/>
    <n v="10993.23"/>
    <n v="20.5562"/>
    <n v="225979.034526"/>
    <n v="118.98099999999999"/>
    <n v="122.044"/>
    <n v="1.0257000000000001"/>
    <n v="231786.69571331821"/>
    <n v="5653.3340417882491"/>
    <m/>
    <n v="41"/>
    <s v="Sale"/>
    <x v="81"/>
    <x v="1"/>
    <n v="6249.938136645962"/>
    <n v="1"/>
    <n v="6249.938136645962"/>
    <n v="20.442299999999999"/>
    <n v="127763.11037075774"/>
    <n v="231786.69571331821"/>
    <n v="-104023.58534256047"/>
    <n v="0.42465753424657532"/>
    <n v="1"/>
    <n v="-104023.58534256047"/>
    <n v="0"/>
    <m/>
    <n v="-4743.2918633540376"/>
    <m/>
    <n v="-0.43147390378933559"/>
    <m/>
  </r>
  <r>
    <x v="4"/>
    <s v="Purchase"/>
    <x v="118"/>
    <x v="2"/>
    <x v="1"/>
    <x v="177"/>
    <n v="3934.58"/>
    <x v="2"/>
    <n v="19"/>
    <n v="207.08315789473684"/>
    <n v="1"/>
    <n v="3934.58"/>
    <n v="20.356000000000002"/>
    <n v="80092.31048"/>
    <n v="120.809"/>
    <n v="122.044"/>
    <n v="1.0102"/>
    <n v="80909.252046895999"/>
    <n v="4258.3816866787365"/>
    <m/>
    <n v="19"/>
    <s v="Sale"/>
    <x v="81"/>
    <x v="1"/>
    <n v="2896.3127950310554"/>
    <n v="1"/>
    <n v="2896.3127950310554"/>
    <n v="20.442299999999999"/>
    <n v="59207.295049863344"/>
    <n v="80909.252046895999"/>
    <n v="-21701.956997032656"/>
    <n v="0.20547945205479451"/>
    <n v="1"/>
    <n v="-21701.956997032656"/>
    <n v="0"/>
    <m/>
    <n v="-1038.2672049689445"/>
    <m/>
    <n v="-0.26388260118461043"/>
    <m/>
  </r>
  <r>
    <x v="4"/>
    <s v="Purchase"/>
    <x v="66"/>
    <x v="2"/>
    <x v="1"/>
    <x v="96"/>
    <n v="10741.911578947369"/>
    <x v="2"/>
    <n v="32"/>
    <n v="335.68473684210528"/>
    <n v="1"/>
    <n v="10741.911578947369"/>
    <n v="20.1172"/>
    <n v="216097.18361600002"/>
    <n v="108.85599999999999"/>
    <n v="122.044"/>
    <n v="1.1211"/>
    <n v="242266.55255189762"/>
    <n v="7570.8297672468007"/>
    <m/>
    <n v="32"/>
    <s v="Sale"/>
    <x v="81"/>
    <x v="1"/>
    <n v="10350.77"/>
    <n v="1"/>
    <n v="10350.77"/>
    <n v="20.442299999999999"/>
    <n v="211593.545571"/>
    <n v="242266.55255189762"/>
    <n v="-30673.006980897626"/>
    <n v="1.6301369863013699"/>
    <n v="1"/>
    <n v="-30673.006980897626"/>
    <n v="0"/>
    <m/>
    <n v="-391.14157894736854"/>
    <m/>
    <n v="-3.6412660453652483E-2"/>
    <m/>
  </r>
  <r>
    <x v="4"/>
    <s v="Purchase"/>
    <x v="66"/>
    <x v="2"/>
    <x v="1"/>
    <x v="96"/>
    <n v="2685.4778947368422"/>
    <x v="2"/>
    <n v="8"/>
    <n v="335.68473684210528"/>
    <n v="1"/>
    <n v="2685.4778947368422"/>
    <n v="20.1172"/>
    <n v="54024.295904000006"/>
    <n v="108.85599999999999"/>
    <n v="122.044"/>
    <n v="1.1211"/>
    <n v="60566.638137974405"/>
    <n v="7570.8297672468007"/>
    <m/>
    <n v="8"/>
    <s v="Sale"/>
    <x v="81"/>
    <x v="1"/>
    <n v="2585.65"/>
    <n v="1"/>
    <n v="2585.65"/>
    <n v="20.442299999999999"/>
    <n v="52856.632995"/>
    <n v="60566.638137974405"/>
    <n v="-7710.0051429744053"/>
    <n v="1.6301369863013699"/>
    <n v="1"/>
    <n v="-7710.0051429744053"/>
    <n v="0"/>
    <m/>
    <n v="-99.827894736842154"/>
    <m/>
    <n v="-3.7173232716787852E-2"/>
    <m/>
  </r>
  <r>
    <x v="4"/>
    <s v="Purchase"/>
    <x v="119"/>
    <x v="2"/>
    <x v="1"/>
    <x v="80"/>
    <n v="4282.8133333333335"/>
    <x v="2"/>
    <n v="3"/>
    <n v="1427.6044444444444"/>
    <n v="1"/>
    <n v="4282.8133333333335"/>
    <n v="20.766200000000001"/>
    <n v="88937.758242666678"/>
    <n v="111.824"/>
    <n v="122.044"/>
    <n v="1.0912999999999999"/>
    <n v="97057.775570222133"/>
    <n v="32352.59185674071"/>
    <m/>
    <n v="3"/>
    <s v="Sale"/>
    <x v="78"/>
    <x v="1"/>
    <n v="3977.3861538461538"/>
    <n v="1"/>
    <n v="3977.3861538461538"/>
    <n v="20.656199999999998"/>
    <n v="82157.683871076908"/>
    <n v="97057.775570222133"/>
    <n v="-14900.091699145225"/>
    <n v="1.3232876712328767"/>
    <n v="1"/>
    <n v="-14900.091699145225"/>
    <n v="0"/>
    <m/>
    <n v="-305.42717948717973"/>
    <m/>
    <n v="-7.1314613950140188E-2"/>
    <m/>
  </r>
  <r>
    <x v="4"/>
    <s v="Purchase"/>
    <x v="119"/>
    <x v="2"/>
    <x v="1"/>
    <x v="178"/>
    <n v="3062.86"/>
    <x v="2"/>
    <n v="2"/>
    <n v="1531.43"/>
    <n v="1"/>
    <n v="3062.86"/>
    <n v="20.088999999999999"/>
    <n v="61529.794539999995"/>
    <n v="112.19"/>
    <n v="122.044"/>
    <n v="1.0878000000000001"/>
    <n v="66932.110500612005"/>
    <n v="33466.055250306003"/>
    <m/>
    <n v="2"/>
    <s v="Sale"/>
    <x v="78"/>
    <x v="1"/>
    <n v="2651.5907692307692"/>
    <n v="1"/>
    <n v="2651.5907692307692"/>
    <n v="20.656199999999998"/>
    <n v="54771.789247384608"/>
    <n v="66932.110500612005"/>
    <n v="-12160.321253227397"/>
    <n v="1.284931506849315"/>
    <n v="1"/>
    <n v="-12160.321253227397"/>
    <n v="0"/>
    <m/>
    <n v="-411.26923076923094"/>
    <m/>
    <n v="-0.13427620941513191"/>
    <m/>
  </r>
  <r>
    <x v="4"/>
    <s v="Purchase"/>
    <x v="119"/>
    <x v="2"/>
    <x v="1"/>
    <x v="178"/>
    <n v="12217.076923076924"/>
    <x v="2"/>
    <n v="8"/>
    <n v="1527.1346153846155"/>
    <n v="1"/>
    <n v="12217.076923076924"/>
    <n v="20.088999999999999"/>
    <n v="245428.85830769231"/>
    <n v="112.19"/>
    <n v="122.044"/>
    <n v="1.0878000000000001"/>
    <n v="266977.51206710772"/>
    <n v="33372.189008388465"/>
    <m/>
    <n v="8"/>
    <s v="Sale"/>
    <x v="78"/>
    <x v="1"/>
    <n v="10606.363076923077"/>
    <n v="1"/>
    <n v="10606.363076923077"/>
    <n v="20.656199999999998"/>
    <n v="219087.15698953843"/>
    <n v="266977.51206710772"/>
    <n v="-47890.355077569286"/>
    <n v="1.284931506849315"/>
    <n v="1"/>
    <n v="-47890.355077569286"/>
    <n v="0"/>
    <m/>
    <n v="-1610.713846153847"/>
    <m/>
    <n v="-0.1318411806928512"/>
    <m/>
  </r>
  <r>
    <x v="4"/>
    <s v="Purchase"/>
    <x v="119"/>
    <x v="2"/>
    <x v="1"/>
    <x v="178"/>
    <n v="7635.6730769230771"/>
    <x v="2"/>
    <n v="5"/>
    <n v="1527.1346153846155"/>
    <n v="1"/>
    <n v="7635.6730769230771"/>
    <n v="20.088999999999999"/>
    <n v="153393.0364423077"/>
    <n v="112.19"/>
    <n v="122.044"/>
    <n v="1.0878000000000001"/>
    <n v="166860.94504194232"/>
    <n v="33372.189008388465"/>
    <m/>
    <n v="5"/>
    <s v="Sale"/>
    <x v="78"/>
    <x v="1"/>
    <n v="6614.5062499999995"/>
    <n v="1"/>
    <n v="6614.5062499999995"/>
    <n v="20.656199999999998"/>
    <n v="136630.56400124996"/>
    <n v="166860.94504194232"/>
    <n v="-30230.381040692359"/>
    <n v="1.284931506849315"/>
    <n v="1"/>
    <n v="-30230.381040692359"/>
    <n v="0"/>
    <m/>
    <n v="-1021.1668269230777"/>
    <m/>
    <n v="-0.13373632116457426"/>
    <m/>
  </r>
  <r>
    <x v="4"/>
    <s v="Purchase"/>
    <x v="119"/>
    <x v="2"/>
    <x v="1"/>
    <x v="52"/>
    <n v="2744.14"/>
    <x v="2"/>
    <n v="2"/>
    <n v="1372.07"/>
    <n v="1"/>
    <n v="2744.14"/>
    <n v="19.944199999999999"/>
    <n v="54729.676987999992"/>
    <n v="113.018"/>
    <n v="122.044"/>
    <n v="1.0798000000000001"/>
    <n v="59097.105211642396"/>
    <n v="29548.552605821198"/>
    <m/>
    <n v="2"/>
    <s v="Sale"/>
    <x v="78"/>
    <x v="1"/>
    <n v="2645.8024999999998"/>
    <n v="1"/>
    <n v="2645.8024999999998"/>
    <n v="20.656199999999998"/>
    <n v="54652.225600499994"/>
    <n v="59097.105211642396"/>
    <n v="-4444.8796111424017"/>
    <n v="1.1479452054794521"/>
    <n v="1"/>
    <n v="-4444.8796111424017"/>
    <n v="0"/>
    <m/>
    <n v="-98.337500000000091"/>
    <m/>
    <n v="-3.5835453001669043E-2"/>
    <m/>
  </r>
  <r>
    <x v="4"/>
    <s v="Purchase"/>
    <x v="119"/>
    <x v="2"/>
    <x v="1"/>
    <x v="63"/>
    <n v="1708.5628571428572"/>
    <x v="2"/>
    <n v="1"/>
    <n v="1708.5628571428572"/>
    <n v="1"/>
    <n v="1708.5628571428572"/>
    <n v="21.4177"/>
    <n v="36593.486705428571"/>
    <n v="117.30800000000001"/>
    <n v="122.044"/>
    <n v="1.0403"/>
    <n v="38068.204219657346"/>
    <n v="38068.204219657346"/>
    <m/>
    <n v="1"/>
    <s v="Sale"/>
    <x v="78"/>
    <x v="1"/>
    <n v="1322.9012499999999"/>
    <n v="1"/>
    <n v="1322.9012499999999"/>
    <n v="20.656199999999998"/>
    <n v="27326.112800249997"/>
    <n v="38068.204219657346"/>
    <n v="-10742.091419407348"/>
    <n v="0.63013698630136983"/>
    <n v="1"/>
    <n v="-10742.091419407348"/>
    <n v="0"/>
    <m/>
    <n v="-385.66160714285729"/>
    <m/>
    <n v="-0.22572280881007772"/>
    <m/>
  </r>
  <r>
    <x v="4"/>
    <s v="Purchase"/>
    <x v="119"/>
    <x v="2"/>
    <x v="1"/>
    <x v="63"/>
    <n v="23919.88"/>
    <x v="2"/>
    <n v="14"/>
    <n v="1708.5628571428572"/>
    <n v="1"/>
    <n v="23919.88"/>
    <n v="21.4177"/>
    <n v="512308.813876"/>
    <n v="117.30800000000001"/>
    <n v="122.044"/>
    <n v="1.0403"/>
    <n v="532954.85907520284"/>
    <n v="38068.204219657346"/>
    <m/>
    <n v="14"/>
    <s v="Sale"/>
    <x v="83"/>
    <x v="1"/>
    <n v="20909.2"/>
    <n v="1"/>
    <n v="20909.2"/>
    <n v="20.465199999999999"/>
    <n v="427910.95984000002"/>
    <n v="532954.85907520284"/>
    <n v="-105043.89923520281"/>
    <n v="0.63561643835616444"/>
    <n v="1"/>
    <n v="-105043.89923520281"/>
    <n v="0"/>
    <m/>
    <n v="-3010.6800000000003"/>
    <m/>
    <n v="-0.1258651799256518"/>
    <m/>
  </r>
  <r>
    <x v="4"/>
    <s v="Purchase"/>
    <x v="119"/>
    <x v="2"/>
    <x v="1"/>
    <x v="63"/>
    <n v="10251.377142857144"/>
    <x v="2"/>
    <n v="6"/>
    <n v="1708.5628571428572"/>
    <n v="1"/>
    <n v="10251.377142857144"/>
    <n v="21.4177"/>
    <n v="219560.92023257143"/>
    <n v="117.30800000000001"/>
    <n v="122.044"/>
    <n v="1.0403"/>
    <n v="228409.22531794404"/>
    <n v="38068.204219657338"/>
    <m/>
    <n v="6"/>
    <s v="Sale"/>
    <x v="83"/>
    <x v="1"/>
    <n v="8880.75"/>
    <n v="1"/>
    <n v="8880.75"/>
    <n v="20.465199999999999"/>
    <n v="181746.32490000001"/>
    <n v="228409.22531794402"/>
    <n v="-46662.900417944009"/>
    <n v="0.63561643835616444"/>
    <n v="1"/>
    <n v="-46662.900417944009"/>
    <n v="0"/>
    <m/>
    <n v="-1370.6271428571436"/>
    <m/>
    <n v="-0.13370175770112566"/>
    <m/>
  </r>
  <r>
    <x v="4"/>
    <s v="Purchase"/>
    <x v="73"/>
    <x v="2"/>
    <x v="1"/>
    <x v="115"/>
    <n v="1259.79"/>
    <x v="2"/>
    <n v="7"/>
    <n v="179.97"/>
    <n v="1"/>
    <n v="1259.79"/>
    <n v="19.848700000000001"/>
    <n v="25005.193772999999"/>
    <n v="112.419"/>
    <n v="122.044"/>
    <n v="1.0855999999999999"/>
    <n v="27145.638359968798"/>
    <n v="3877.9483371383999"/>
    <m/>
    <n v="7"/>
    <s v="Sale"/>
    <x v="84"/>
    <x v="1"/>
    <n v="805.11316666666676"/>
    <n v="1"/>
    <n v="805.11316666666676"/>
    <n v="20.941500000000001"/>
    <n v="16860.277379750001"/>
    <n v="27145.638359968798"/>
    <n v="-10285.360980218797"/>
    <n v="1.167123287671233"/>
    <n v="1"/>
    <n v="-10285.360980218797"/>
    <n v="0"/>
    <m/>
    <n v="-454.67683333333321"/>
    <m/>
    <n v="-0.36091478209331174"/>
    <m/>
  </r>
  <r>
    <x v="4"/>
    <s v="Purchase"/>
    <x v="73"/>
    <x v="2"/>
    <x v="1"/>
    <x v="52"/>
    <n v="4542.46"/>
    <x v="2"/>
    <n v="25"/>
    <n v="181.69839999999999"/>
    <n v="1"/>
    <n v="4542.46"/>
    <n v="19.944199999999999"/>
    <n v="90595.730731999996"/>
    <n v="113.018"/>
    <n v="122.044"/>
    <n v="1.0798000000000001"/>
    <n v="97825.270044413599"/>
    <n v="3913.0108017765438"/>
    <m/>
    <n v="25"/>
    <s v="Sale"/>
    <x v="84"/>
    <x v="1"/>
    <n v="2875.4041666666672"/>
    <n v="1"/>
    <n v="2875.4041666666672"/>
    <n v="20.941500000000001"/>
    <n v="60215.276356250011"/>
    <n v="97825.270044413599"/>
    <n v="-37609.993688163588"/>
    <n v="1.1287671232876713"/>
    <n v="1"/>
    <n v="-37609.993688163588"/>
    <n v="0"/>
    <m/>
    <n v="-1667.0558333333329"/>
    <m/>
    <n v="-0.36699405901941523"/>
    <m/>
  </r>
  <r>
    <x v="4"/>
    <s v="Purchase"/>
    <x v="73"/>
    <x v="2"/>
    <x v="1"/>
    <x v="179"/>
    <n v="4598.7030303030306"/>
    <x v="2"/>
    <n v="28"/>
    <n v="164.23939393939395"/>
    <n v="1"/>
    <n v="4598.7030303030306"/>
    <n v="20.1812"/>
    <n v="92807.345595151521"/>
    <n v="113.682"/>
    <n v="122.044"/>
    <n v="1.0734999999999999"/>
    <n v="99628.685496395148"/>
    <n v="3558.1673391569698"/>
    <m/>
    <n v="28"/>
    <s v="Sale"/>
    <x v="84"/>
    <x v="1"/>
    <n v="3220.452666666667"/>
    <n v="1"/>
    <n v="3220.452666666667"/>
    <n v="20.941500000000001"/>
    <n v="67441.109519000005"/>
    <n v="99628.685496395148"/>
    <n v="-32187.575977395143"/>
    <n v="0.9780821917808219"/>
    <n v="1"/>
    <n v="-32187.575977395143"/>
    <n v="0"/>
    <m/>
    <n v="-1378.2503636363635"/>
    <m/>
    <n v="-0.29970414583294891"/>
    <m/>
  </r>
  <r>
    <x v="4"/>
    <s v="Purchase"/>
    <x v="73"/>
    <x v="2"/>
    <x v="1"/>
    <x v="179"/>
    <n v="8211.9696969696979"/>
    <x v="2"/>
    <n v="50"/>
    <n v="164.23939393939395"/>
    <n v="1"/>
    <n v="8211.9696969696979"/>
    <n v="20.1812"/>
    <n v="165727.40284848487"/>
    <n v="113.682"/>
    <n v="122.044"/>
    <n v="1.0734999999999999"/>
    <n v="177908.36695784848"/>
    <n v="3558.1673391569698"/>
    <m/>
    <n v="50"/>
    <s v="Sale"/>
    <x v="84"/>
    <x v="1"/>
    <n v="5847.08"/>
    <n v="1"/>
    <n v="5847.08"/>
    <n v="20.941500000000001"/>
    <n v="122446.62582"/>
    <n v="177908.36695784848"/>
    <n v="-55461.741137848483"/>
    <n v="0.9780821917808219"/>
    <n v="1"/>
    <n v="-55461.741137848483"/>
    <n v="0"/>
    <m/>
    <n v="-2364.889696969698"/>
    <m/>
    <n v="-0.28798081145408594"/>
    <m/>
  </r>
  <r>
    <x v="4"/>
    <s v="Purchase"/>
    <x v="73"/>
    <x v="2"/>
    <x v="1"/>
    <x v="179"/>
    <n v="3449.0272727272732"/>
    <x v="2"/>
    <n v="21"/>
    <n v="164.23939393939395"/>
    <n v="1"/>
    <n v="3449.0272727272732"/>
    <n v="20.1812"/>
    <n v="69605.509196363651"/>
    <n v="113.682"/>
    <n v="122.044"/>
    <n v="1.0734999999999999"/>
    <n v="74721.514122296372"/>
    <n v="3558.1673391569702"/>
    <m/>
    <n v="21"/>
    <s v="Sale"/>
    <x v="84"/>
    <x v="1"/>
    <n v="2469.0708"/>
    <n v="1"/>
    <n v="2469.0708"/>
    <n v="20.941500000000001"/>
    <n v="51706.046158199999"/>
    <n v="74721.514122296372"/>
    <n v="-23015.467964096373"/>
    <n v="0.9780821917808219"/>
    <n v="1"/>
    <n v="-23015.467964096373"/>
    <n v="0"/>
    <m/>
    <n v="-979.95647272727319"/>
    <m/>
    <n v="-0.28412546356943863"/>
    <m/>
  </r>
  <r>
    <x v="4"/>
    <s v="Purchase"/>
    <x v="73"/>
    <x v="2"/>
    <x v="1"/>
    <x v="180"/>
    <n v="668.18857142857144"/>
    <x v="2"/>
    <n v="4"/>
    <n v="167.04714285714286"/>
    <n v="1"/>
    <n v="668.18857142857144"/>
    <n v="20.003699999999998"/>
    <n v="13366.243726285713"/>
    <n v="113.899"/>
    <n v="122.044"/>
    <n v="1.0714999999999999"/>
    <n v="14321.93015271514"/>
    <n v="3580.482538178785"/>
    <m/>
    <n v="4"/>
    <s v="Sale"/>
    <x v="84"/>
    <x v="1"/>
    <n v="470.29919999999998"/>
    <n v="1"/>
    <n v="470.29919999999998"/>
    <n v="20.941500000000001"/>
    <n v="9848.7706968000002"/>
    <n v="14321.93015271514"/>
    <n v="-4473.1594559151399"/>
    <n v="0.93698630136986305"/>
    <n v="1"/>
    <n v="-4473.1594559151399"/>
    <n v="0"/>
    <m/>
    <n v="-197.88937142857145"/>
    <m/>
    <n v="-0.29615797080379364"/>
    <m/>
  </r>
  <r>
    <x v="4"/>
    <s v="Purchase"/>
    <x v="73"/>
    <x v="2"/>
    <x v="1"/>
    <x v="180"/>
    <n v="2839.8014285714285"/>
    <x v="2"/>
    <n v="17"/>
    <n v="167.04714285714286"/>
    <n v="1"/>
    <n v="2839.8014285714285"/>
    <n v="20.003699999999998"/>
    <n v="56806.535836714276"/>
    <n v="113.899"/>
    <n v="122.044"/>
    <n v="1.0714999999999999"/>
    <n v="60868.203149039342"/>
    <n v="3580.482538178785"/>
    <m/>
    <n v="17"/>
    <s v="Sale"/>
    <x v="84"/>
    <x v="1"/>
    <n v="2000.34"/>
    <n v="1"/>
    <n v="2000.34"/>
    <n v="20.941500000000001"/>
    <n v="41890.120110000003"/>
    <n v="60868.203149039342"/>
    <n v="-18978.083039039338"/>
    <n v="0.93698630136986305"/>
    <n v="1"/>
    <n v="-18978.083039039338"/>
    <n v="0"/>
    <m/>
    <n v="-839.46142857142854"/>
    <m/>
    <n v="-0.29560567866666732"/>
    <m/>
  </r>
  <r>
    <x v="4"/>
    <s v="Purchase"/>
    <x v="73"/>
    <x v="2"/>
    <x v="1"/>
    <x v="180"/>
    <n v="1503.1384615384613"/>
    <x v="2"/>
    <n v="9"/>
    <n v="167.01538461538459"/>
    <n v="1"/>
    <n v="1503.1384615384613"/>
    <n v="20.003699999999998"/>
    <n v="30068.330843076918"/>
    <n v="113.899"/>
    <n v="122.044"/>
    <n v="1.0714999999999999"/>
    <n v="32218.216498356913"/>
    <n v="3579.8018331507683"/>
    <m/>
    <n v="9"/>
    <s v="Sale"/>
    <x v="84"/>
    <x v="1"/>
    <n v="1057.3900000000001"/>
    <n v="1"/>
    <n v="1057.3900000000001"/>
    <n v="20.941500000000001"/>
    <n v="22143.332685000005"/>
    <n v="32218.216498356916"/>
    <n v="-10074.883813356912"/>
    <n v="0.93698630136986305"/>
    <n v="1"/>
    <n v="-10074.883813356912"/>
    <n v="0"/>
    <m/>
    <n v="-445.74846153846124"/>
    <m/>
    <n v="-0.29654517727012186"/>
    <m/>
  </r>
  <r>
    <x v="4"/>
    <s v="Purchase"/>
    <x v="120"/>
    <x v="2"/>
    <x v="1"/>
    <x v="181"/>
    <n v="1161.2948148148148"/>
    <x v="2"/>
    <n v="26"/>
    <n v="44.665185185185187"/>
    <n v="1"/>
    <n v="1161.2948148148148"/>
    <n v="19.797000000000001"/>
    <n v="22990.15344888889"/>
    <n v="113.018"/>
    <n v="122.044"/>
    <n v="1.0798000000000001"/>
    <n v="24824.767694110225"/>
    <n v="954.79875746577795"/>
    <m/>
    <n v="26"/>
    <s v="Sale"/>
    <x v="84"/>
    <x v="1"/>
    <n v="829.63006060606062"/>
    <n v="1"/>
    <n v="829.63006060606062"/>
    <n v="20.941500000000001"/>
    <n v="17373.697914181819"/>
    <n v="24824.767694110225"/>
    <n v="-7451.0697799284062"/>
    <n v="1.106849315068493"/>
    <n v="1"/>
    <n v="-7451.0697799284062"/>
    <n v="0"/>
    <m/>
    <n v="-331.66475420875418"/>
    <m/>
    <n v="-0.28559910022645102"/>
    <m/>
  </r>
  <r>
    <x v="4"/>
    <s v="Purchase"/>
    <x v="120"/>
    <x v="2"/>
    <x v="1"/>
    <x v="181"/>
    <n v="2518.98"/>
    <x v="2"/>
    <n v="56"/>
    <n v="44.981785714285714"/>
    <n v="1"/>
    <n v="2518.98"/>
    <n v="19.797000000000001"/>
    <n v="49868.247060000002"/>
    <n v="113.018"/>
    <n v="122.044"/>
    <n v="1.0798000000000001"/>
    <n v="53847.733175388006"/>
    <n v="961.5666638462144"/>
    <m/>
    <n v="56"/>
    <s v="Sale"/>
    <x v="84"/>
    <x v="1"/>
    <n v="1786.8955151515152"/>
    <n v="1"/>
    <n v="1786.8955151515152"/>
    <n v="20.941500000000001"/>
    <n v="37420.272430545454"/>
    <n v="53847.733175388006"/>
    <n v="-16427.460744842552"/>
    <n v="1.106849315068493"/>
    <n v="1"/>
    <n v="-16427.460744842552"/>
    <n v="0"/>
    <m/>
    <n v="-732.08448484848486"/>
    <m/>
    <n v="-0.29062735108991927"/>
    <m/>
  </r>
  <r>
    <x v="4"/>
    <s v="Purchase"/>
    <x v="120"/>
    <x v="2"/>
    <x v="1"/>
    <x v="182"/>
    <n v="1464.6"/>
    <x v="2"/>
    <n v="31"/>
    <n v="47.245161290322578"/>
    <n v="1"/>
    <n v="1464.6"/>
    <n v="19.689699999999998"/>
    <n v="28837.534619999995"/>
    <n v="113.018"/>
    <n v="122.044"/>
    <n v="1.0798000000000001"/>
    <n v="31138.769882675999"/>
    <n v="1004.4764478282581"/>
    <m/>
    <n v="31"/>
    <s v="Sale"/>
    <x v="84"/>
    <x v="1"/>
    <n v="989.17430303030301"/>
    <n v="1"/>
    <n v="989.17430303030301"/>
    <n v="20.941500000000001"/>
    <n v="20714.793666909092"/>
    <n v="31138.769882675999"/>
    <n v="-10423.976215766907"/>
    <n v="1.1013698630136985"/>
    <n v="1"/>
    <n v="-10423.976215766907"/>
    <n v="0"/>
    <m/>
    <n v="-475.4256969696969"/>
    <m/>
    <n v="-0.32461129111682163"/>
    <m/>
  </r>
  <r>
    <x v="4"/>
    <s v="Purchase"/>
    <x v="120"/>
    <x v="2"/>
    <x v="1"/>
    <x v="182"/>
    <n v="1193.8499999999999"/>
    <x v="2"/>
    <n v="25"/>
    <n v="47.753999999999998"/>
    <n v="1"/>
    <n v="1193.8499999999999"/>
    <n v="19.689699999999998"/>
    <n v="23506.548344999996"/>
    <n v="113.018"/>
    <n v="122.044"/>
    <n v="1.0798000000000001"/>
    <n v="25382.370902930998"/>
    <n v="1015.2948361172399"/>
    <m/>
    <n v="25"/>
    <s v="Sale"/>
    <x v="84"/>
    <x v="1"/>
    <n v="797.72121212121215"/>
    <n v="1"/>
    <n v="797.72121212121215"/>
    <n v="20.941500000000001"/>
    <n v="16705.478763636365"/>
    <n v="25382.370902930998"/>
    <n v="-8676.8921392946322"/>
    <n v="1.1013698630136985"/>
    <n v="1"/>
    <n v="-8676.8921392946322"/>
    <n v="0"/>
    <m/>
    <n v="-396.12878787878776"/>
    <m/>
    <n v="-0.33180783840414441"/>
    <m/>
  </r>
  <r>
    <x v="4"/>
    <s v="Purchase"/>
    <x v="120"/>
    <x v="2"/>
    <x v="1"/>
    <x v="182"/>
    <n v="331.42"/>
    <x v="2"/>
    <n v="7"/>
    <n v="47.345714285714287"/>
    <n v="1"/>
    <n v="331.42"/>
    <n v="19.689699999999998"/>
    <n v="6525.5603739999997"/>
    <n v="113.018"/>
    <n v="122.044"/>
    <n v="1.0798000000000001"/>
    <n v="7046.3000918451999"/>
    <n v="1006.6142988350285"/>
    <m/>
    <n v="7"/>
    <s v="Sale"/>
    <x v="84"/>
    <x v="1"/>
    <n v="223.36193939393939"/>
    <n v="1"/>
    <n v="223.36193939393939"/>
    <n v="20.941500000000001"/>
    <n v="4677.5340538181817"/>
    <n v="7046.3000918451999"/>
    <n v="-2368.7660380270181"/>
    <n v="1.1013698630136985"/>
    <n v="1"/>
    <n v="-2368.7660380270181"/>
    <n v="0"/>
    <m/>
    <n v="-108.05806060606062"/>
    <m/>
    <n v="-0.32604568404459783"/>
    <m/>
  </r>
  <r>
    <x v="4"/>
    <s v="Purchase"/>
    <x v="120"/>
    <x v="2"/>
    <x v="1"/>
    <x v="182"/>
    <n v="938.84444444444455"/>
    <x v="2"/>
    <n v="20"/>
    <n v="46.942222222222227"/>
    <n v="1"/>
    <n v="938.84444444444455"/>
    <n v="19.689699999999998"/>
    <n v="18485.565457777779"/>
    <n v="113.018"/>
    <n v="122.044"/>
    <n v="1.0798000000000001"/>
    <n v="19960.713581308446"/>
    <n v="998.0356790654223"/>
    <m/>
    <n v="20"/>
    <s v="Sale"/>
    <x v="84"/>
    <x v="1"/>
    <n v="638.17696969696965"/>
    <n v="1"/>
    <n v="638.17696969696965"/>
    <n v="20.941500000000001"/>
    <n v="13364.38301090909"/>
    <n v="19960.713581308446"/>
    <n v="-6596.3305703993556"/>
    <n v="1.1013698630136985"/>
    <n v="1"/>
    <n v="-6596.3305703993556"/>
    <n v="0"/>
    <m/>
    <n v="-300.6674747474749"/>
    <m/>
    <n v="-0.32025270695977015"/>
    <m/>
  </r>
  <r>
    <x v="4"/>
    <s v="Purchase"/>
    <x v="120"/>
    <x v="2"/>
    <x v="1"/>
    <x v="182"/>
    <n v="328.59555555555562"/>
    <x v="2"/>
    <n v="7"/>
    <n v="46.942222222222235"/>
    <n v="1"/>
    <n v="328.59555555555562"/>
    <n v="19.689699999999998"/>
    <n v="6469.9479102222231"/>
    <n v="113.018"/>
    <n v="122.044"/>
    <n v="1.0798000000000001"/>
    <n v="6986.249753457957"/>
    <n v="998.03567906542241"/>
    <m/>
    <n v="7"/>
    <s v="Sale"/>
    <x v="84"/>
    <x v="1"/>
    <n v="232.77555555555554"/>
    <n v="1"/>
    <n v="232.77555555555554"/>
    <n v="20.941500000000001"/>
    <n v="4874.6692966666669"/>
    <n v="6986.249753457957"/>
    <n v="-2111.5804567912901"/>
    <n v="1.1013698630136985"/>
    <n v="1"/>
    <n v="-2111.5804567912901"/>
    <n v="0"/>
    <m/>
    <n v="-95.820000000000078"/>
    <m/>
    <n v="-0.291604674439365"/>
    <m/>
  </r>
  <r>
    <x v="4"/>
    <s v="Purchase"/>
    <x v="120"/>
    <x v="2"/>
    <x v="1"/>
    <x v="183"/>
    <n v="238.15"/>
    <x v="2"/>
    <n v="5"/>
    <n v="47.63"/>
    <n v="1"/>
    <n v="238.15"/>
    <n v="19.700199999999999"/>
    <n v="4691.6026299999994"/>
    <n v="113.018"/>
    <n v="122.044"/>
    <n v="1.0798000000000001"/>
    <n v="5065.9925198740002"/>
    <n v="1013.1985039748"/>
    <m/>
    <n v="5"/>
    <s v="Sale"/>
    <x v="84"/>
    <x v="1"/>
    <n v="166.26825396825396"/>
    <n v="1"/>
    <n v="166.26825396825396"/>
    <n v="20.941500000000001"/>
    <n v="3481.9066404761907"/>
    <n v="5065.9925198740002"/>
    <n v="-1584.0858793978095"/>
    <n v="1.0931506849315069"/>
    <n v="1"/>
    <n v="-1584.0858793978095"/>
    <n v="0"/>
    <m/>
    <n v="-71.881746031746047"/>
    <m/>
    <n v="-0.30183391153368067"/>
    <m/>
  </r>
  <r>
    <x v="4"/>
    <s v="Purchase"/>
    <x v="120"/>
    <x v="2"/>
    <x v="1"/>
    <x v="183"/>
    <n v="2410.3632911392401"/>
    <x v="2"/>
    <n v="51"/>
    <n v="47.262025316455691"/>
    <n v="1"/>
    <n v="2410.3632911392401"/>
    <n v="19.700199999999999"/>
    <n v="47484.638908101253"/>
    <n v="113.018"/>
    <n v="122.044"/>
    <n v="1.0798000000000001"/>
    <n v="51273.913092967734"/>
    <n v="1005.3708449601517"/>
    <m/>
    <n v="51"/>
    <s v="Sale"/>
    <x v="84"/>
    <x v="1"/>
    <n v="1695.9361904761904"/>
    <n v="1"/>
    <n v="1695.9361904761904"/>
    <n v="20.941500000000001"/>
    <n v="35515.447732857145"/>
    <n v="51273.913092967734"/>
    <n v="-15758.465360110589"/>
    <n v="1.0931506849315069"/>
    <n v="1"/>
    <n v="-15758.465360110589"/>
    <n v="0"/>
    <m/>
    <n v="-714.42710066304971"/>
    <m/>
    <n v="-0.29639810035664005"/>
    <m/>
  </r>
  <r>
    <x v="4"/>
    <s v="Purchase"/>
    <x v="120"/>
    <x v="2"/>
    <x v="1"/>
    <x v="183"/>
    <n v="1323.3367088607592"/>
    <x v="2"/>
    <n v="28"/>
    <n v="47.262025316455684"/>
    <n v="1"/>
    <n v="1323.3367088607592"/>
    <n v="19.700199999999999"/>
    <n v="26069.997831898727"/>
    <n v="113.018"/>
    <n v="122.044"/>
    <n v="1.0798000000000001"/>
    <n v="28150.383658884246"/>
    <n v="1005.3708449601517"/>
    <m/>
    <n v="28"/>
    <s v="Sale"/>
    <x v="84"/>
    <x v="1"/>
    <n v="887.90731707317082"/>
    <n v="1"/>
    <n v="887.90731707317082"/>
    <n v="20.941500000000001"/>
    <n v="18594.111080487808"/>
    <n v="28150.383658884246"/>
    <n v="-9556.2725783964379"/>
    <n v="1.0931506849315069"/>
    <n v="1"/>
    <n v="-9556.2725783964379"/>
    <n v="0"/>
    <m/>
    <n v="-435.42939178758843"/>
    <m/>
    <n v="-0.32903900335572422"/>
    <m/>
  </r>
  <r>
    <x v="4"/>
    <s v="Purchase"/>
    <x v="120"/>
    <x v="2"/>
    <x v="1"/>
    <x v="183"/>
    <n v="617.84357142857152"/>
    <x v="2"/>
    <n v="13"/>
    <n v="47.526428571428582"/>
    <n v="1"/>
    <n v="617.84357142857152"/>
    <n v="19.700199999999999"/>
    <n v="12171.641925857144"/>
    <n v="113.018"/>
    <n v="122.044"/>
    <n v="1.0798000000000001"/>
    <n v="13142.938951540546"/>
    <n v="1010.9953039646573"/>
    <m/>
    <n v="13"/>
    <s v="Sale"/>
    <x v="84"/>
    <x v="1"/>
    <n v="412.24268292682933"/>
    <n v="1"/>
    <n v="412.24268292682933"/>
    <n v="20.941500000000001"/>
    <n v="8632.9801445121975"/>
    <n v="13142.938951540546"/>
    <n v="-4509.958807028348"/>
    <n v="1.0931506849315069"/>
    <n v="1"/>
    <n v="-4509.958807028348"/>
    <n v="0"/>
    <m/>
    <n v="-205.60088850174219"/>
    <m/>
    <n v="-0.33277175325520331"/>
    <m/>
  </r>
  <r>
    <x v="4"/>
    <s v="Purchase"/>
    <x v="120"/>
    <x v="2"/>
    <x v="1"/>
    <x v="183"/>
    <n v="47.526428571428575"/>
    <x v="2"/>
    <n v="1"/>
    <n v="47.526428571428575"/>
    <n v="1"/>
    <n v="47.526428571428575"/>
    <n v="19.700199999999999"/>
    <n v="936.28014814285712"/>
    <n v="113.018"/>
    <n v="122.044"/>
    <n v="1.0798000000000001"/>
    <n v="1010.9953039646572"/>
    <n v="1010.9953039646572"/>
    <m/>
    <n v="1"/>
    <s v="Sale"/>
    <x v="84"/>
    <x v="1"/>
    <n v="31.779411764705884"/>
    <n v="1"/>
    <n v="31.779411764705884"/>
    <n v="20.941500000000001"/>
    <n v="665.50855147058826"/>
    <n v="1010.9953039646572"/>
    <n v="-345.48675249406892"/>
    <n v="1.0931506849315069"/>
    <n v="1"/>
    <n v="-345.48675249406892"/>
    <n v="0"/>
    <m/>
    <n v="-15.747016806722691"/>
    <m/>
    <n v="-0.33133179327910434"/>
    <m/>
  </r>
  <r>
    <x v="4"/>
    <s v="Purchase"/>
    <x v="120"/>
    <x v="2"/>
    <x v="1"/>
    <x v="184"/>
    <n v="814.80224299065412"/>
    <x v="2"/>
    <n v="16"/>
    <n v="50.925140186915883"/>
    <n v="1"/>
    <n v="814.80224299065412"/>
    <n v="19.882300000000001"/>
    <n v="16200.142635813083"/>
    <n v="113.018"/>
    <n v="122.044"/>
    <n v="1.0798000000000001"/>
    <n v="17492.914018150968"/>
    <n v="1093.3071261344355"/>
    <m/>
    <n v="16"/>
    <s v="Sale"/>
    <x v="84"/>
    <x v="1"/>
    <n v="508.47058823529414"/>
    <n v="1"/>
    <n v="508.47058823529414"/>
    <n v="20.941500000000001"/>
    <n v="10648.136823529412"/>
    <n v="17492.914018150968"/>
    <n v="-6844.7771946215562"/>
    <n v="1.0904109589041096"/>
    <n v="1"/>
    <n v="-6844.7771946215562"/>
    <n v="0"/>
    <m/>
    <n v="-306.33165475535998"/>
    <m/>
    <n v="-0.37595828606337506"/>
    <m/>
  </r>
  <r>
    <x v="4"/>
    <s v="Purchase"/>
    <x v="120"/>
    <x v="2"/>
    <x v="1"/>
    <x v="184"/>
    <n v="4634.1877570093457"/>
    <x v="2"/>
    <n v="91"/>
    <n v="50.92514018691589"/>
    <n v="1"/>
    <n v="4634.1877570093457"/>
    <n v="19.882300000000001"/>
    <n v="92138.311241186922"/>
    <n v="113.018"/>
    <n v="122.044"/>
    <n v="1.0798000000000001"/>
    <n v="99490.948478233651"/>
    <n v="1093.3071261344357"/>
    <m/>
    <n v="91"/>
    <s v="Sale"/>
    <x v="85"/>
    <x v="1"/>
    <n v="2972.0541290322581"/>
    <n v="1"/>
    <n v="2972.0541290322581"/>
    <n v="20.611000000000001"/>
    <n v="61257.007653483874"/>
    <n v="99490.948478233651"/>
    <n v="-38233.940824749778"/>
    <n v="1.0931506849315069"/>
    <n v="1"/>
    <n v="-38233.940824749778"/>
    <n v="0"/>
    <m/>
    <n v="-1662.1336279770876"/>
    <m/>
    <n v="-0.35866773534651492"/>
    <m/>
  </r>
  <r>
    <x v="4"/>
    <s v="Purchase"/>
    <x v="120"/>
    <x v="2"/>
    <x v="1"/>
    <x v="184"/>
    <n v="603.54"/>
    <x v="2"/>
    <n v="12"/>
    <n v="50.294999999999995"/>
    <n v="1"/>
    <n v="603.54"/>
    <n v="19.882300000000001"/>
    <n v="11999.763342"/>
    <n v="113.018"/>
    <n v="122.044"/>
    <n v="1.0798000000000001"/>
    <n v="12957.3444566916"/>
    <n v="1079.7787047243"/>
    <m/>
    <n v="12"/>
    <s v="Sale"/>
    <x v="85"/>
    <x v="1"/>
    <n v="391.91922580645161"/>
    <n v="1"/>
    <n v="391.91922580645161"/>
    <n v="20.611000000000001"/>
    <n v="8077.8471630967742"/>
    <n v="12957.3444566916"/>
    <n v="-4879.4972935948263"/>
    <n v="1.0931506849315069"/>
    <n v="1"/>
    <n v="-4879.4972935948263"/>
    <n v="0"/>
    <m/>
    <n v="-211.62077419354836"/>
    <m/>
    <n v="-0.35063255822902933"/>
    <m/>
  </r>
  <r>
    <x v="4"/>
    <s v="Purchase"/>
    <x v="120"/>
    <x v="2"/>
    <x v="1"/>
    <x v="185"/>
    <n v="2754.44"/>
    <x v="2"/>
    <n v="52"/>
    <n v="52.97"/>
    <n v="1"/>
    <n v="2754.44"/>
    <n v="20.700199999999999"/>
    <n v="57017.458888000001"/>
    <n v="113.018"/>
    <n v="122.044"/>
    <n v="1.0798000000000001"/>
    <n v="61567.452107262405"/>
    <n v="1183.9894636012"/>
    <m/>
    <n v="52"/>
    <s v="Sale"/>
    <x v="85"/>
    <x v="1"/>
    <n v="1698.3166451612904"/>
    <n v="1"/>
    <n v="1698.3166451612904"/>
    <n v="20.611000000000001"/>
    <n v="35004.004373419353"/>
    <n v="61567.452107262397"/>
    <n v="-26563.447733843044"/>
    <n v="1.0739726027397261"/>
    <n v="1"/>
    <n v="-26563.447733843044"/>
    <n v="0"/>
    <m/>
    <n v="-1056.1233548387097"/>
    <m/>
    <n v="-0.38342579792578879"/>
    <m/>
  </r>
  <r>
    <x v="4"/>
    <s v="Purchase"/>
    <x v="120"/>
    <x v="2"/>
    <x v="1"/>
    <x v="185"/>
    <n v="1800.98"/>
    <x v="2"/>
    <n v="34"/>
    <n v="52.97"/>
    <n v="1"/>
    <n v="1800.98"/>
    <n v="20.700199999999999"/>
    <n v="37280.646196000002"/>
    <n v="113.018"/>
    <n v="122.044"/>
    <n v="1.0798000000000001"/>
    <n v="40255.641762440806"/>
    <n v="1183.9894636012002"/>
    <m/>
    <n v="34"/>
    <s v="Sale"/>
    <x v="85"/>
    <x v="1"/>
    <n v="1110.43"/>
    <n v="1"/>
    <n v="1110.43"/>
    <n v="20.611000000000001"/>
    <n v="22887.072730000004"/>
    <n v="40255.641762440806"/>
    <n v="-17368.569032440802"/>
    <n v="1.0739726027397261"/>
    <n v="1"/>
    <n v="-17368.569032440802"/>
    <n v="0"/>
    <m/>
    <n v="-690.55"/>
    <m/>
    <n v="-0.38343013248342567"/>
    <m/>
  </r>
  <r>
    <x v="4"/>
    <s v="Purchase"/>
    <x v="120"/>
    <x v="2"/>
    <x v="1"/>
    <x v="185"/>
    <n v="688.61"/>
    <x v="2"/>
    <n v="13"/>
    <n v="52.97"/>
    <n v="1"/>
    <n v="688.61"/>
    <n v="20.700199999999999"/>
    <n v="14254.364722"/>
    <n v="113.018"/>
    <n v="122.044"/>
    <n v="1.0798000000000001"/>
    <n v="15391.863026815601"/>
    <n v="1183.9894636012"/>
    <m/>
    <n v="13"/>
    <s v="Sale"/>
    <x v="85"/>
    <x v="1"/>
    <n v="428.27"/>
    <n v="1"/>
    <n v="428.27"/>
    <n v="20.611000000000001"/>
    <n v="8827.0729699999993"/>
    <n v="15391.863026815599"/>
    <n v="-6564.7900568156001"/>
    <n v="1.0739726027397261"/>
    <n v="1"/>
    <n v="-6564.7900568156001"/>
    <n v="0"/>
    <m/>
    <n v="-260.34000000000003"/>
    <m/>
    <n v="-0.37806595896080514"/>
    <m/>
  </r>
  <r>
    <x v="4"/>
    <s v="Purchase"/>
    <x v="120"/>
    <x v="2"/>
    <x v="1"/>
    <x v="185"/>
    <n v="158.91"/>
    <x v="2"/>
    <n v="3"/>
    <n v="52.97"/>
    <n v="1"/>
    <n v="158.91"/>
    <n v="20.700199999999999"/>
    <n v="3289.4687819999999"/>
    <n v="113.018"/>
    <n v="122.044"/>
    <n v="1.0798000000000001"/>
    <n v="3551.9683908036004"/>
    <n v="1183.9894636012002"/>
    <m/>
    <n v="3"/>
    <s v="Sale"/>
    <x v="85"/>
    <x v="1"/>
    <n v="98.830000000000013"/>
    <n v="1"/>
    <n v="98.830000000000013"/>
    <n v="20.611000000000001"/>
    <n v="2036.9851300000003"/>
    <n v="3551.9683908036004"/>
    <n v="-1514.9832608036002"/>
    <n v="1.0739726027397261"/>
    <n v="1"/>
    <n v="-1514.9832608036002"/>
    <n v="0"/>
    <m/>
    <n v="-60.079999999999984"/>
    <m/>
    <n v="-0.37807564029954055"/>
    <m/>
  </r>
  <r>
    <x v="4"/>
    <s v="Purchase"/>
    <x v="120"/>
    <x v="2"/>
    <x v="1"/>
    <x v="185"/>
    <n v="105.94"/>
    <x v="2"/>
    <n v="2"/>
    <n v="52.97"/>
    <n v="1"/>
    <n v="105.94"/>
    <n v="20.700199999999999"/>
    <n v="2192.9791879999998"/>
    <n v="113.018"/>
    <n v="122.044"/>
    <n v="1.0798000000000001"/>
    <n v="2367.9789272024"/>
    <n v="1183.9894636012"/>
    <m/>
    <n v="2"/>
    <s v="Sale"/>
    <x v="85"/>
    <x v="1"/>
    <n v="64.94"/>
    <n v="1"/>
    <n v="64.94"/>
    <n v="20.611000000000001"/>
    <n v="1338.4783399999999"/>
    <n v="2367.9789272024"/>
    <n v="-1029.5005872024001"/>
    <n v="1.0739726027397261"/>
    <n v="1"/>
    <n v="-1029.5005872024001"/>
    <n v="0"/>
    <m/>
    <n v="-41"/>
    <m/>
    <n v="-0.38701151595242589"/>
    <m/>
  </r>
  <r>
    <x v="4"/>
    <s v="Purchase"/>
    <x v="120"/>
    <x v="2"/>
    <x v="1"/>
    <x v="185"/>
    <n v="2383.65"/>
    <x v="2"/>
    <n v="45"/>
    <n v="52.97"/>
    <n v="1"/>
    <n v="2383.65"/>
    <n v="20.700199999999999"/>
    <n v="49342.031730000002"/>
    <n v="113.018"/>
    <n v="122.044"/>
    <n v="1.0798000000000001"/>
    <n v="53279.525862054004"/>
    <n v="1183.9894636012"/>
    <m/>
    <n v="45"/>
    <s v="Sale"/>
    <x v="86"/>
    <x v="1"/>
    <n v="1556.9"/>
    <n v="1"/>
    <n v="1556.9"/>
    <n v="20.395700000000001"/>
    <n v="31754.065330000005"/>
    <n v="53279.525862053997"/>
    <n v="-21525.460532053992"/>
    <n v="1.0767123287671232"/>
    <n v="1"/>
    <n v="-21525.460532053992"/>
    <n v="0"/>
    <m/>
    <n v="-826.75"/>
    <m/>
    <n v="-0.34684202798229602"/>
    <m/>
  </r>
  <r>
    <x v="4"/>
    <s v="Purchase"/>
    <x v="120"/>
    <x v="2"/>
    <x v="1"/>
    <x v="185"/>
    <n v="847.52"/>
    <x v="2"/>
    <n v="16"/>
    <n v="52.97"/>
    <n v="1"/>
    <n v="847.52"/>
    <n v="20.700199999999999"/>
    <n v="17543.833503999998"/>
    <n v="113.018"/>
    <n v="122.044"/>
    <n v="1.0798000000000001"/>
    <n v="18943.8314176192"/>
    <n v="1183.9894636012"/>
    <m/>
    <n v="16"/>
    <s v="Sale"/>
    <x v="86"/>
    <x v="1"/>
    <n v="547.30999999999995"/>
    <n v="1"/>
    <n v="547.30999999999995"/>
    <n v="20.395700000000001"/>
    <n v="11162.770567"/>
    <n v="18943.8314176192"/>
    <n v="-7781.0608506192002"/>
    <n v="1.0767123287671232"/>
    <n v="1"/>
    <n v="-7781.0608506192002"/>
    <n v="0"/>
    <m/>
    <n v="-300.21000000000004"/>
    <m/>
    <n v="-0.35422172928072498"/>
    <m/>
  </r>
  <r>
    <x v="4"/>
    <s v="Purchase"/>
    <x v="120"/>
    <x v="2"/>
    <x v="1"/>
    <x v="185"/>
    <n v="582.66999999999996"/>
    <x v="2"/>
    <n v="11"/>
    <n v="52.97"/>
    <n v="1"/>
    <n v="582.66999999999996"/>
    <n v="20.700199999999999"/>
    <n v="12061.385533999999"/>
    <n v="113.018"/>
    <n v="122.044"/>
    <n v="1.0798000000000001"/>
    <n v="13023.8840996132"/>
    <n v="1183.9894636012"/>
    <m/>
    <n v="11"/>
    <s v="Sale"/>
    <x v="86"/>
    <x v="1"/>
    <n v="379.14"/>
    <n v="1"/>
    <n v="379.14"/>
    <n v="20.395700000000001"/>
    <n v="7732.8256980000006"/>
    <n v="13023.8840996132"/>
    <n v="-5291.0584016131997"/>
    <n v="1.0767123287671232"/>
    <n v="1"/>
    <n v="-5291.0584016131997"/>
    <n v="0"/>
    <m/>
    <n v="-203.52999999999997"/>
    <m/>
    <n v="-0.3493057820035354"/>
    <m/>
  </r>
  <r>
    <x v="4"/>
    <s v="Purchase"/>
    <x v="120"/>
    <x v="2"/>
    <x v="1"/>
    <x v="185"/>
    <n v="529.70000000000005"/>
    <x v="2"/>
    <n v="10"/>
    <n v="52.970000000000006"/>
    <n v="1"/>
    <n v="529.70000000000005"/>
    <n v="20.700199999999999"/>
    <n v="10964.89594"/>
    <n v="113.018"/>
    <n v="122.044"/>
    <n v="1.0798000000000001"/>
    <n v="11839.894636012001"/>
    <n v="1183.9894636012"/>
    <m/>
    <n v="10"/>
    <s v="Sale"/>
    <x v="86"/>
    <x v="1"/>
    <n v="345.98"/>
    <n v="1"/>
    <n v="345.98"/>
    <n v="20.395700000000001"/>
    <n v="7056.5042860000012"/>
    <n v="11839.894636011999"/>
    <n v="-4783.3903500119977"/>
    <n v="1.0767123287671232"/>
    <n v="1"/>
    <n v="-4783.3903500119977"/>
    <n v="0"/>
    <m/>
    <n v="-183.72000000000003"/>
    <m/>
    <n v="-0.34683783273551066"/>
    <m/>
  </r>
  <r>
    <x v="4"/>
    <s v="Purchase"/>
    <x v="120"/>
    <x v="2"/>
    <x v="1"/>
    <x v="185"/>
    <n v="476.73"/>
    <x v="2"/>
    <n v="9"/>
    <n v="52.97"/>
    <n v="1"/>
    <n v="476.73"/>
    <n v="20.700199999999999"/>
    <n v="9868.4063459999998"/>
    <n v="113.018"/>
    <n v="122.044"/>
    <n v="1.0798000000000001"/>
    <n v="10655.905172410801"/>
    <n v="1183.9894636012002"/>
    <m/>
    <n v="9"/>
    <s v="Sale"/>
    <x v="86"/>
    <x v="1"/>
    <n v="312.11"/>
    <n v="1"/>
    <n v="312.11"/>
    <n v="20.395700000000001"/>
    <n v="6365.701927000001"/>
    <n v="10655.905172410801"/>
    <n v="-4290.2032454108003"/>
    <n v="1.0767123287671232"/>
    <n v="1"/>
    <n v="-4290.2032454108003"/>
    <n v="0"/>
    <m/>
    <n v="-164.62"/>
    <m/>
    <n v="-0.3453107629056279"/>
    <m/>
  </r>
  <r>
    <x v="4"/>
    <s v="Purchase"/>
    <x v="120"/>
    <x v="2"/>
    <x v="1"/>
    <x v="185"/>
    <n v="211.88"/>
    <x v="2"/>
    <n v="4"/>
    <n v="52.97"/>
    <n v="1"/>
    <n v="211.88"/>
    <n v="20.700199999999999"/>
    <n v="4385.9583759999996"/>
    <n v="113.018"/>
    <n v="122.044"/>
    <n v="1.0798000000000001"/>
    <n v="4735.9578544047999"/>
    <n v="1183.9894636012"/>
    <m/>
    <n v="4"/>
    <s v="Sale"/>
    <x v="86"/>
    <x v="1"/>
    <n v="136.83000000000001"/>
    <n v="1"/>
    <n v="136.83000000000001"/>
    <n v="20.395700000000001"/>
    <n v="2790.7436310000003"/>
    <n v="4735.9578544047999"/>
    <n v="-1945.2142234047997"/>
    <n v="1.0767123287671232"/>
    <n v="1"/>
    <n v="-1945.2142234047997"/>
    <n v="0"/>
    <m/>
    <n v="-75.049999999999983"/>
    <m/>
    <n v="-0.35420993014914093"/>
    <m/>
  </r>
  <r>
    <x v="4"/>
    <s v="Purchase"/>
    <x v="120"/>
    <x v="2"/>
    <x v="1"/>
    <x v="185"/>
    <n v="105.94"/>
    <x v="2"/>
    <n v="2"/>
    <n v="52.97"/>
    <n v="1"/>
    <n v="105.94"/>
    <n v="20.700199999999999"/>
    <n v="2192.9791879999998"/>
    <n v="113.018"/>
    <n v="122.044"/>
    <n v="1.0798000000000001"/>
    <n v="2367.9789272024"/>
    <n v="1183.9894636012"/>
    <m/>
    <n v="2"/>
    <s v="Sale"/>
    <x v="86"/>
    <x v="1"/>
    <n v="68.94"/>
    <n v="1"/>
    <n v="68.94"/>
    <n v="20.395700000000001"/>
    <n v="1406.0795580000001"/>
    <n v="2367.9789272024"/>
    <n v="-961.89936920239984"/>
    <n v="1.0767123287671232"/>
    <n v="1"/>
    <n v="-961.89936920239984"/>
    <n v="0"/>
    <m/>
    <n v="-37"/>
    <m/>
    <n v="-0.34925429488389653"/>
    <m/>
  </r>
  <r>
    <x v="4"/>
    <s v="Purchase"/>
    <x v="120"/>
    <x v="2"/>
    <x v="1"/>
    <x v="185"/>
    <n v="105.94"/>
    <x v="2"/>
    <n v="2"/>
    <n v="52.97"/>
    <n v="1"/>
    <n v="105.94"/>
    <n v="20.700199999999999"/>
    <n v="2192.9791879999998"/>
    <n v="113.018"/>
    <n v="122.044"/>
    <n v="1.0798000000000001"/>
    <n v="2367.9789272024"/>
    <n v="1183.9894636012"/>
    <m/>
    <n v="2"/>
    <s v="Sale"/>
    <x v="86"/>
    <x v="1"/>
    <n v="69.36"/>
    <n v="1"/>
    <n v="69.36"/>
    <n v="20.395700000000001"/>
    <n v="1414.6457520000001"/>
    <n v="2367.9789272024"/>
    <n v="-953.33317520239984"/>
    <n v="1.0767123287671232"/>
    <n v="1"/>
    <n v="-953.33317520239984"/>
    <n v="0"/>
    <m/>
    <n v="-36.58"/>
    <m/>
    <n v="-0.34528978667170096"/>
    <m/>
  </r>
  <r>
    <x v="4"/>
    <s v="Purchase"/>
    <x v="120"/>
    <x v="2"/>
    <x v="1"/>
    <x v="185"/>
    <n v="52.97"/>
    <x v="2"/>
    <n v="1"/>
    <n v="52.97"/>
    <n v="1"/>
    <n v="52.97"/>
    <n v="20.700199999999999"/>
    <n v="1096.4895939999999"/>
    <n v="113.018"/>
    <n v="122.044"/>
    <n v="1.0798000000000001"/>
    <n v="1183.9894636012"/>
    <n v="1183.9894636012"/>
    <m/>
    <n v="1"/>
    <s v="Sale"/>
    <x v="86"/>
    <x v="1"/>
    <n v="33.79"/>
    <n v="1"/>
    <n v="33.79"/>
    <n v="20.395700000000001"/>
    <n v="689.170703"/>
    <n v="1183.9894636012"/>
    <n v="-494.81876060119998"/>
    <n v="1.0767123287671232"/>
    <n v="1"/>
    <n v="-494.81876060119998"/>
    <n v="0"/>
    <m/>
    <n v="-19.18"/>
    <m/>
    <n v="-0.36209175004719651"/>
    <m/>
  </r>
  <r>
    <x v="4"/>
    <s v="Purchase"/>
    <x v="120"/>
    <x v="2"/>
    <x v="1"/>
    <x v="185"/>
    <n v="1165.3399999999999"/>
    <x v="2"/>
    <n v="22"/>
    <n v="52.97"/>
    <n v="1"/>
    <n v="1165.3399999999999"/>
    <n v="20.700199999999999"/>
    <n v="24122.771067999998"/>
    <n v="113.018"/>
    <n v="122.044"/>
    <n v="1.0798000000000001"/>
    <n v="26047.768199226401"/>
    <n v="1183.9894636012"/>
    <m/>
    <n v="22"/>
    <s v="Sale"/>
    <x v="87"/>
    <x v="1"/>
    <n v="780.6889655172414"/>
    <n v="1"/>
    <n v="780.6889655172414"/>
    <n v="20.4407"/>
    <n v="15957.828937448276"/>
    <n v="26047.768199226401"/>
    <n v="-10089.939261778125"/>
    <n v="1.0794520547945206"/>
    <n v="1"/>
    <n v="-10089.939261778125"/>
    <n v="0"/>
    <m/>
    <n v="-384.65103448275852"/>
    <m/>
    <n v="-0.33007623052736418"/>
    <m/>
  </r>
  <r>
    <x v="4"/>
    <s v="Purchase"/>
    <x v="120"/>
    <x v="2"/>
    <x v="1"/>
    <x v="186"/>
    <n v="5922.6588679245287"/>
    <x v="2"/>
    <n v="123"/>
    <n v="48.151698113207551"/>
    <n v="1"/>
    <n v="5922.6588679245287"/>
    <n v="20.1038"/>
    <n v="119067.94934898114"/>
    <n v="113.899"/>
    <n v="122.044"/>
    <n v="1.0714999999999999"/>
    <n v="127581.30772743328"/>
    <n v="1037.2464042880754"/>
    <m/>
    <n v="123"/>
    <s v="Sale"/>
    <x v="87"/>
    <x v="1"/>
    <n v="4364.761034482759"/>
    <n v="1"/>
    <n v="4364.761034482759"/>
    <n v="20.4407"/>
    <n v="89218.770877551724"/>
    <n v="127581.30772743328"/>
    <n v="-38362.536849881551"/>
    <n v="0.9397260273972603"/>
    <n v="1"/>
    <n v="-38362.536849881551"/>
    <n v="0"/>
    <m/>
    <n v="-1557.8978334417698"/>
    <m/>
    <n v="-0.26304027771697447"/>
    <m/>
  </r>
  <r>
    <x v="4"/>
    <s v="Purchase"/>
    <x v="120"/>
    <x v="2"/>
    <x v="1"/>
    <x v="186"/>
    <n v="1396.3992452830189"/>
    <x v="2"/>
    <n v="29"/>
    <n v="48.151698113207551"/>
    <n v="1"/>
    <n v="1396.3992452830189"/>
    <n v="20.1038"/>
    <n v="28072.931147320756"/>
    <n v="113.899"/>
    <n v="122.044"/>
    <n v="1.0714999999999999"/>
    <n v="30080.145724354188"/>
    <n v="1037.2464042880754"/>
    <m/>
    <n v="29"/>
    <s v="Sale"/>
    <x v="87"/>
    <x v="1"/>
    <n v="1029.0899999999999"/>
    <n v="1"/>
    <n v="1029.0899999999999"/>
    <n v="20.4407"/>
    <n v="21035.319962999998"/>
    <n v="30080.145724354184"/>
    <n v="-9044.8257613541864"/>
    <n v="0.9397260273972603"/>
    <n v="1"/>
    <n v="-9044.8257613541864"/>
    <n v="0"/>
    <m/>
    <n v="-367.30924528301898"/>
    <m/>
    <n v="-0.26304027771697458"/>
    <m/>
  </r>
  <r>
    <x v="4"/>
    <s v="Purchase"/>
    <x v="120"/>
    <x v="2"/>
    <x v="1"/>
    <x v="186"/>
    <n v="818.57886792452837"/>
    <x v="2"/>
    <n v="17"/>
    <n v="48.151698113207551"/>
    <n v="1"/>
    <n v="818.57886792452837"/>
    <n v="20.1038"/>
    <n v="16456.545844981134"/>
    <n v="113.899"/>
    <n v="122.044"/>
    <n v="1.0714999999999999"/>
    <n v="17633.188872897284"/>
    <n v="1037.2464042880756"/>
    <m/>
    <n v="17"/>
    <s v="Sale"/>
    <x v="87"/>
    <x v="1"/>
    <n v="603.94000000000005"/>
    <n v="1"/>
    <n v="603.94000000000005"/>
    <n v="20.4407"/>
    <n v="12344.956358000001"/>
    <n v="17633.188872897284"/>
    <n v="-5288.2325148972832"/>
    <n v="0.9397260273972603"/>
    <n v="1"/>
    <n v="-5288.2325148972832"/>
    <n v="0"/>
    <m/>
    <n v="-214.63886792452831"/>
    <m/>
    <n v="-0.2622091484828285"/>
    <m/>
  </r>
  <r>
    <x v="4"/>
    <s v="Purchase"/>
    <x v="120"/>
    <x v="2"/>
    <x v="1"/>
    <x v="186"/>
    <n v="288.91018867924532"/>
    <x v="2"/>
    <n v="6"/>
    <n v="48.151698113207551"/>
    <n v="1"/>
    <n v="288.91018867924532"/>
    <n v="20.1038"/>
    <n v="5808.1926511698121"/>
    <n v="113.899"/>
    <n v="122.044"/>
    <n v="1.0714999999999999"/>
    <n v="6223.4784257284527"/>
    <n v="1037.2464042880754"/>
    <m/>
    <n v="6"/>
    <s v="Sale"/>
    <x v="87"/>
    <x v="1"/>
    <n v="212.92"/>
    <n v="1"/>
    <n v="212.92"/>
    <n v="20.4407"/>
    <n v="4352.2338439999994"/>
    <n v="6223.4784257284518"/>
    <n v="-1871.2445817284524"/>
    <n v="0.9397260273972603"/>
    <n v="1"/>
    <n v="-1871.2445817284524"/>
    <n v="0"/>
    <m/>
    <n v="-75.990188679245335"/>
    <m/>
    <n v="-0.2630235680736458"/>
    <m/>
  </r>
  <r>
    <x v="4"/>
    <s v="Purchase"/>
    <x v="120"/>
    <x v="2"/>
    <x v="1"/>
    <x v="186"/>
    <n v="144.45509433962266"/>
    <x v="2"/>
    <n v="3"/>
    <n v="48.151698113207551"/>
    <n v="1"/>
    <n v="144.45509433962266"/>
    <n v="20.1038"/>
    <n v="2904.096325584906"/>
    <n v="113.899"/>
    <n v="122.044"/>
    <n v="1.0714999999999999"/>
    <n v="3111.7392128642264"/>
    <n v="1037.2464042880754"/>
    <m/>
    <n v="3"/>
    <s v="Sale"/>
    <x v="87"/>
    <x v="1"/>
    <n v="106.57999999999998"/>
    <n v="1"/>
    <n v="106.57999999999998"/>
    <n v="20.4407"/>
    <n v="2178.5698059999995"/>
    <n v="3111.7392128642259"/>
    <n v="-933.1694068642264"/>
    <n v="0.9397260273972603"/>
    <n v="1"/>
    <n v="-933.1694068642264"/>
    <n v="0"/>
    <m/>
    <n v="-37.875094339622677"/>
    <m/>
    <n v="-0.26219286009101239"/>
    <m/>
  </r>
  <r>
    <x v="4"/>
    <s v="Purchase"/>
    <x v="120"/>
    <x v="2"/>
    <x v="1"/>
    <x v="186"/>
    <n v="48.151698113207551"/>
    <x v="2"/>
    <n v="1"/>
    <n v="48.151698113207551"/>
    <n v="1"/>
    <n v="48.151698113207551"/>
    <n v="20.1038"/>
    <n v="968.03210852830193"/>
    <n v="113.899"/>
    <n v="122.044"/>
    <n v="1.0714999999999999"/>
    <n v="1037.2464042880754"/>
    <n v="1037.2464042880754"/>
    <m/>
    <n v="1"/>
    <s v="Sale"/>
    <x v="87"/>
    <x v="1"/>
    <n v="35.53"/>
    <n v="1"/>
    <n v="35.53"/>
    <n v="20.4407"/>
    <n v="726.25807099999997"/>
    <n v="1037.2464042880754"/>
    <n v="-310.98833328807541"/>
    <n v="0.9397260273972603"/>
    <n v="1"/>
    <n v="-310.98833328807541"/>
    <n v="0"/>
    <m/>
    <n v="-12.62169811320755"/>
    <m/>
    <n v="-0.26212363442579273"/>
    <m/>
  </r>
  <r>
    <x v="4"/>
    <s v="Purchase"/>
    <x v="120"/>
    <x v="2"/>
    <x v="1"/>
    <x v="186"/>
    <n v="2648.3433962264153"/>
    <x v="2"/>
    <n v="55"/>
    <n v="48.151698113207551"/>
    <n v="1"/>
    <n v="2648.3433962264153"/>
    <n v="20.1038"/>
    <n v="53241.765969056607"/>
    <n v="113.899"/>
    <n v="122.044"/>
    <n v="1.0714999999999999"/>
    <n v="57048.552235844152"/>
    <n v="1037.2464042880754"/>
    <m/>
    <n v="55"/>
    <s v="Sale"/>
    <x v="79"/>
    <x v="1"/>
    <n v="1855.86"/>
    <n v="1"/>
    <n v="1855.86"/>
    <n v="20.491299999999999"/>
    <n v="38028.984017999996"/>
    <n v="57048.552235844145"/>
    <n v="-19019.568217844149"/>
    <n v="0.94246575342465755"/>
    <n v="1"/>
    <n v="-19019.568217844149"/>
    <n v="0"/>
    <m/>
    <n v="-792.48339622641538"/>
    <m/>
    <n v="-0.29923740152263223"/>
    <m/>
  </r>
  <r>
    <x v="4"/>
    <s v="Purchase"/>
    <x v="120"/>
    <x v="2"/>
    <x v="1"/>
    <x v="186"/>
    <n v="1107.4890566037736"/>
    <x v="2"/>
    <n v="23"/>
    <n v="48.151698113207551"/>
    <n v="1"/>
    <n v="1107.4890566037736"/>
    <n v="20.1038"/>
    <n v="22264.738496150945"/>
    <n v="113.899"/>
    <n v="122.044"/>
    <n v="1.0714999999999999"/>
    <n v="23856.667298625736"/>
    <n v="1037.2464042880754"/>
    <m/>
    <n v="23"/>
    <s v="Sale"/>
    <x v="79"/>
    <x v="1"/>
    <n v="825.36000000000013"/>
    <n v="1"/>
    <n v="825.36000000000013"/>
    <n v="20.491299999999999"/>
    <n v="16912.699368000001"/>
    <n v="23856.667298625733"/>
    <n v="-6943.9679306257312"/>
    <n v="0.94246575342465755"/>
    <n v="1"/>
    <n v="-6943.9679306257312"/>
    <n v="0"/>
    <m/>
    <n v="-282.12905660377351"/>
    <m/>
    <n v="-0.25474658636262337"/>
    <m/>
  </r>
  <r>
    <x v="4"/>
    <s v="Purchase"/>
    <x v="120"/>
    <x v="2"/>
    <x v="1"/>
    <x v="186"/>
    <n v="385.21358490566041"/>
    <x v="2"/>
    <n v="8"/>
    <n v="48.151698113207551"/>
    <n v="1"/>
    <n v="385.21358490566041"/>
    <n v="20.1038"/>
    <n v="7744.2568682264155"/>
    <n v="113.899"/>
    <n v="122.044"/>
    <n v="1.0714999999999999"/>
    <n v="8297.9712343046031"/>
    <n v="1037.2464042880754"/>
    <m/>
    <n v="8"/>
    <s v="Sale"/>
    <x v="79"/>
    <x v="1"/>
    <n v="269.47199999999998"/>
    <n v="1"/>
    <n v="269.47199999999998"/>
    <n v="20.491299999999999"/>
    <n v="5521.831593599999"/>
    <n v="8297.9712343046031"/>
    <n v="-2776.1396407046041"/>
    <n v="0.94246575342465755"/>
    <n v="1"/>
    <n v="-2776.1396407046041"/>
    <n v="0"/>
    <m/>
    <n v="-115.74158490566043"/>
    <m/>
    <n v="-0.30046080782432888"/>
    <m/>
  </r>
  <r>
    <x v="4"/>
    <s v="Purchase"/>
    <x v="120"/>
    <x v="2"/>
    <x v="1"/>
    <x v="186"/>
    <n v="579.84"/>
    <x v="2"/>
    <n v="12"/>
    <n v="48.32"/>
    <n v="1"/>
    <n v="579.84"/>
    <n v="20.1038"/>
    <n v="11656.987392000001"/>
    <n v="113.899"/>
    <n v="122.044"/>
    <n v="1.0714999999999999"/>
    <n v="12490.461990528"/>
    <n v="1040.871832544"/>
    <m/>
    <n v="12"/>
    <s v="Sale"/>
    <x v="79"/>
    <x v="1"/>
    <n v="404.20799999999997"/>
    <n v="1"/>
    <n v="404.20799999999997"/>
    <n v="20.491299999999999"/>
    <n v="8282.7473903999999"/>
    <n v="12490.461990528"/>
    <n v="-4207.7146001279998"/>
    <n v="0.94246575342465755"/>
    <n v="1"/>
    <n v="-4207.7146001279998"/>
    <n v="0"/>
    <m/>
    <n v="-175.63200000000006"/>
    <m/>
    <n v="-0.30289735099337756"/>
    <m/>
  </r>
  <r>
    <x v="4"/>
    <s v="Purchase"/>
    <x v="120"/>
    <x v="2"/>
    <x v="1"/>
    <x v="186"/>
    <n v="48.32"/>
    <x v="2"/>
    <n v="1"/>
    <n v="48.32"/>
    <n v="1"/>
    <n v="48.32"/>
    <n v="20.1038"/>
    <n v="971.415616"/>
    <n v="113.899"/>
    <n v="122.044"/>
    <n v="1.0714999999999999"/>
    <n v="1040.871832544"/>
    <n v="1040.871832544"/>
    <m/>
    <n v="1"/>
    <s v="Sale"/>
    <x v="79"/>
    <x v="1"/>
    <n v="33.742727272727272"/>
    <n v="1"/>
    <n v="33.742727272727272"/>
    <n v="20.491299999999999"/>
    <n v="691.43234736363627"/>
    <n v="1040.871832544"/>
    <n v="-349.4394851803637"/>
    <n v="0.94246575342465755"/>
    <n v="1"/>
    <n v="-349.4394851803637"/>
    <n v="0"/>
    <m/>
    <n v="-14.577272727272728"/>
    <m/>
    <n v="-0.30168196869355812"/>
    <m/>
  </r>
  <r>
    <x v="4"/>
    <s v="Purchase"/>
    <x v="120"/>
    <x v="2"/>
    <x v="1"/>
    <x v="186"/>
    <n v="508.4"/>
    <x v="2"/>
    <n v="10"/>
    <n v="50.839999999999996"/>
    <n v="1"/>
    <n v="508.4"/>
    <n v="20.1038"/>
    <n v="10220.771919999999"/>
    <n v="113.899"/>
    <n v="122.044"/>
    <n v="1.0714999999999999"/>
    <n v="10951.557112279997"/>
    <n v="1095.1557112279997"/>
    <m/>
    <n v="10"/>
    <s v="Sale"/>
    <x v="79"/>
    <x v="1"/>
    <n v="337.42727272727274"/>
    <n v="1"/>
    <n v="337.42727272727274"/>
    <n v="20.491299999999999"/>
    <n v="6914.3234736363638"/>
    <n v="10951.557112279997"/>
    <n v="-4037.2336386436336"/>
    <n v="0.94246575342465755"/>
    <n v="1"/>
    <n v="-4037.2336386436336"/>
    <n v="0"/>
    <m/>
    <n v="-170.97272727272724"/>
    <m/>
    <n v="-0.33629568700379081"/>
    <m/>
  </r>
  <r>
    <x v="4"/>
    <s v="Purchase"/>
    <x v="120"/>
    <x v="2"/>
    <x v="1"/>
    <x v="186"/>
    <n v="254.2"/>
    <x v="2"/>
    <n v="5"/>
    <n v="50.839999999999996"/>
    <n v="1"/>
    <n v="254.2"/>
    <n v="20.1038"/>
    <n v="5110.3859599999996"/>
    <n v="113.899"/>
    <n v="122.044"/>
    <n v="1.0714999999999999"/>
    <n v="5475.7785561399987"/>
    <n v="1095.1557112279997"/>
    <m/>
    <n v="5"/>
    <s v="Sale"/>
    <x v="79"/>
    <x v="1"/>
    <n v="179.43"/>
    <n v="1"/>
    <n v="179.43"/>
    <n v="20.491299999999999"/>
    <n v="3676.7539590000001"/>
    <n v="5475.7785561399987"/>
    <n v="-1799.0245971399986"/>
    <n v="0.94246575342465755"/>
    <n v="1"/>
    <n v="-1799.0245971399986"/>
    <n v="0"/>
    <m/>
    <n v="-74.769999999999982"/>
    <m/>
    <n v="-0.29413847364280088"/>
    <m/>
  </r>
  <r>
    <x v="4"/>
    <s v="Purchase"/>
    <x v="120"/>
    <x v="2"/>
    <x v="1"/>
    <x v="186"/>
    <n v="101.67999999999999"/>
    <x v="2"/>
    <n v="2"/>
    <n v="50.839999999999996"/>
    <n v="1"/>
    <n v="101.67999999999999"/>
    <n v="20.1038"/>
    <n v="2044.1543839999997"/>
    <n v="113.899"/>
    <n v="122.044"/>
    <n v="1.0714999999999999"/>
    <n v="2190.3114224559995"/>
    <n v="1095.1557112279997"/>
    <m/>
    <n v="2"/>
    <s v="Sale"/>
    <x v="79"/>
    <x v="1"/>
    <n v="67.37"/>
    <n v="1"/>
    <n v="67.37"/>
    <n v="20.491299999999999"/>
    <n v="1380.498881"/>
    <n v="2190.3114224559995"/>
    <n v="-809.81254145599951"/>
    <n v="0.94246575342465755"/>
    <n v="1"/>
    <n v="-809.81254145599951"/>
    <n v="0"/>
    <m/>
    <n v="-34.309999999999988"/>
    <m/>
    <n v="-0.33743115656963013"/>
    <m/>
  </r>
  <r>
    <x v="4"/>
    <s v="Purchase"/>
    <x v="120"/>
    <x v="2"/>
    <x v="1"/>
    <x v="186"/>
    <n v="101.68"/>
    <x v="2"/>
    <n v="2"/>
    <n v="50.84"/>
    <n v="1"/>
    <n v="101.68"/>
    <n v="20.1038"/>
    <n v="2044.1543840000002"/>
    <n v="113.899"/>
    <n v="122.044"/>
    <n v="1.0714999999999999"/>
    <n v="2190.3114224559999"/>
    <n v="1095.155711228"/>
    <m/>
    <n v="2"/>
    <s v="Sale"/>
    <x v="79"/>
    <x v="1"/>
    <n v="67.37"/>
    <n v="1"/>
    <n v="67.37"/>
    <n v="20.491299999999999"/>
    <n v="1380.498881"/>
    <n v="2190.3114224559999"/>
    <n v="-809.81254145599996"/>
    <n v="0.94246575342465755"/>
    <n v="1"/>
    <n v="-809.81254145599996"/>
    <n v="0"/>
    <m/>
    <n v="-34.31"/>
    <m/>
    <n v="-0.33743115656963019"/>
    <m/>
  </r>
  <r>
    <x v="4"/>
    <s v="Purchase"/>
    <x v="120"/>
    <x v="2"/>
    <x v="1"/>
    <x v="186"/>
    <n v="101.68"/>
    <x v="2"/>
    <n v="2"/>
    <n v="50.84"/>
    <n v="1"/>
    <n v="101.68"/>
    <n v="20.1038"/>
    <n v="2044.1543840000002"/>
    <n v="113.899"/>
    <n v="122.044"/>
    <n v="1.0714999999999999"/>
    <n v="2190.3114224559999"/>
    <n v="1095.155711228"/>
    <m/>
    <n v="2"/>
    <s v="Sale"/>
    <x v="79"/>
    <x v="1"/>
    <n v="67.489999999999995"/>
    <n v="1"/>
    <n v="67.489999999999995"/>
    <n v="20.491299999999999"/>
    <n v="1382.9578369999999"/>
    <n v="2190.3114224559999"/>
    <n v="-807.35358545600002"/>
    <n v="0.94246575342465755"/>
    <n v="1"/>
    <n v="-807.35358545600002"/>
    <n v="0"/>
    <m/>
    <n v="-34.190000000000012"/>
    <m/>
    <n v="-0.33625098347757681"/>
    <m/>
  </r>
  <r>
    <x v="4"/>
    <s v="Purchase"/>
    <x v="120"/>
    <x v="2"/>
    <x v="1"/>
    <x v="186"/>
    <n v="50.84"/>
    <x v="2"/>
    <n v="1"/>
    <n v="50.84"/>
    <n v="1"/>
    <n v="50.84"/>
    <n v="20.1038"/>
    <n v="1022.0771920000001"/>
    <n v="113.899"/>
    <n v="122.044"/>
    <n v="1.0714999999999999"/>
    <n v="1095.155711228"/>
    <n v="1095.155711228"/>
    <m/>
    <n v="1"/>
    <s v="Sale"/>
    <x v="79"/>
    <x v="1"/>
    <n v="33.68"/>
    <n v="1"/>
    <n v="33.68"/>
    <n v="20.491299999999999"/>
    <n v="690.14698399999997"/>
    <n v="1095.155711228"/>
    <n v="-405.008727228"/>
    <n v="0.94246575342465755"/>
    <n v="1"/>
    <n v="-405.008727228"/>
    <n v="0"/>
    <m/>
    <n v="-17.160000000000004"/>
    <m/>
    <n v="-0.33752950432730139"/>
    <m/>
  </r>
  <r>
    <x v="4"/>
    <s v="Purchase"/>
    <x v="120"/>
    <x v="2"/>
    <x v="1"/>
    <x v="186"/>
    <n v="50.84"/>
    <x v="2"/>
    <n v="1"/>
    <n v="50.84"/>
    <n v="1"/>
    <n v="50.84"/>
    <n v="20.1038"/>
    <n v="1022.0771920000001"/>
    <n v="113.899"/>
    <n v="122.044"/>
    <n v="1.0714999999999999"/>
    <n v="1095.155711228"/>
    <n v="1095.155711228"/>
    <m/>
    <n v="1"/>
    <s v="Sale"/>
    <x v="79"/>
    <x v="1"/>
    <n v="35.89"/>
    <n v="1"/>
    <n v="35.89"/>
    <n v="20.491299999999999"/>
    <n v="735.43275699999992"/>
    <n v="1095.155711228"/>
    <n v="-359.72295422800005"/>
    <n v="0.94246575342465755"/>
    <n v="1"/>
    <n v="-359.72295422800005"/>
    <n v="0"/>
    <m/>
    <n v="-14.950000000000003"/>
    <m/>
    <n v="-0.29405979543666411"/>
    <m/>
  </r>
  <r>
    <x v="4"/>
    <s v="Purchase"/>
    <x v="121"/>
    <x v="2"/>
    <x v="1"/>
    <x v="187"/>
    <n v="7817.3846153846162"/>
    <x v="2"/>
    <n v="20"/>
    <n v="390.8692307692308"/>
    <n v="1"/>
    <n v="7817.3846153846162"/>
    <n v="20.4237"/>
    <n v="159659.91816923078"/>
    <n v="118.002"/>
    <n v="122.044"/>
    <n v="1.0342"/>
    <n v="165120.28737061846"/>
    <n v="8256.0143685309231"/>
    <m/>
    <n v="20"/>
    <s v="Sale"/>
    <x v="84"/>
    <x v="1"/>
    <n v="9793.5"/>
    <n v="1"/>
    <n v="9793.5"/>
    <n v="20.941500000000001"/>
    <n v="205090.58025"/>
    <n v="165120.28737061846"/>
    <n v="39970.292879381537"/>
    <n v="0.51506849315068493"/>
    <n v="1"/>
    <n v="39970.292879381537"/>
    <n v="0"/>
    <m/>
    <n v="1976.1153846153838"/>
    <m/>
    <n v="0.25278472044555517"/>
    <m/>
  </r>
  <r>
    <x v="4"/>
    <s v="Purchase"/>
    <x v="121"/>
    <x v="2"/>
    <x v="1"/>
    <x v="187"/>
    <n v="2345.2153846153847"/>
    <x v="2"/>
    <n v="6"/>
    <n v="390.8692307692308"/>
    <n v="1"/>
    <n v="2345.2153846153847"/>
    <n v="20.4237"/>
    <n v="47897.975450769234"/>
    <n v="118.002"/>
    <n v="122.044"/>
    <n v="1.0342"/>
    <n v="49536.086211185546"/>
    <n v="8256.0143685309249"/>
    <m/>
    <n v="6"/>
    <s v="Sale"/>
    <x v="84"/>
    <x v="1"/>
    <n v="2937.508421052632"/>
    <n v="1"/>
    <n v="2937.508421052632"/>
    <n v="20.941500000000001"/>
    <n v="61515.832599473695"/>
    <n v="49536.086211185553"/>
    <n v="11979.746388288142"/>
    <n v="0.51506849315068493"/>
    <n v="1"/>
    <n v="11979.746388288142"/>
    <n v="0"/>
    <m/>
    <n v="592.29303643724734"/>
    <m/>
    <n v="0.25255379114544885"/>
    <m/>
  </r>
  <r>
    <x v="4"/>
    <s v="Purchase"/>
    <x v="121"/>
    <x v="2"/>
    <x v="1"/>
    <x v="187"/>
    <n v="2706.89"/>
    <x v="2"/>
    <n v="7"/>
    <n v="386.69857142857143"/>
    <n v="1"/>
    <n v="2706.89"/>
    <n v="20.4237"/>
    <n v="55284.709293"/>
    <n v="118.002"/>
    <n v="122.044"/>
    <n v="1.0342"/>
    <n v="57175.446350820603"/>
    <n v="8167.9209072600861"/>
    <m/>
    <n v="7"/>
    <s v="Sale"/>
    <x v="84"/>
    <x v="1"/>
    <n v="3427.093157894737"/>
    <n v="1"/>
    <n v="3427.093157894737"/>
    <n v="20.941500000000001"/>
    <n v="71768.471366052647"/>
    <n v="57175.446350820603"/>
    <n v="14593.025015232044"/>
    <n v="0.51506849315068493"/>
    <n v="1"/>
    <n v="14593.025015232044"/>
    <n v="0"/>
    <m/>
    <n v="720.20315789473716"/>
    <m/>
    <n v="0.26606295708164618"/>
    <m/>
  </r>
  <r>
    <x v="4"/>
    <s v="Purchase"/>
    <x v="121"/>
    <x v="2"/>
    <x v="1"/>
    <x v="187"/>
    <n v="2306.04"/>
    <x v="2"/>
    <n v="6"/>
    <n v="384.34"/>
    <n v="1"/>
    <n v="2306.04"/>
    <n v="20.4237"/>
    <n v="47097.869147999998"/>
    <n v="118.002"/>
    <n v="122.044"/>
    <n v="1.0342"/>
    <n v="48708.616272861596"/>
    <n v="8118.1027121435991"/>
    <m/>
    <n v="6"/>
    <s v="Sale"/>
    <x v="84"/>
    <x v="1"/>
    <n v="2937.508421052632"/>
    <n v="1"/>
    <n v="2937.508421052632"/>
    <n v="20.941500000000001"/>
    <n v="61515.832599473695"/>
    <n v="48708.616272861596"/>
    <n v="12807.216326612099"/>
    <n v="0.51506849315068493"/>
    <n v="1"/>
    <n v="12807.216326612099"/>
    <n v="0"/>
    <m/>
    <n v="631.46842105263204"/>
    <m/>
    <n v="0.27383237977339164"/>
    <m/>
  </r>
  <r>
    <x v="4"/>
    <s v="Purchase"/>
    <x v="121"/>
    <x v="2"/>
    <x v="1"/>
    <x v="187"/>
    <n v="384.34000000000003"/>
    <x v="2"/>
    <n v="1"/>
    <n v="384.34000000000003"/>
    <n v="1"/>
    <n v="384.34000000000003"/>
    <n v="20.4237"/>
    <n v="7849.6448580000006"/>
    <n v="118.002"/>
    <n v="122.044"/>
    <n v="1.0342"/>
    <n v="8118.1027121436009"/>
    <n v="8118.1027121436009"/>
    <m/>
    <n v="1"/>
    <s v="Sale"/>
    <x v="84"/>
    <x v="1"/>
    <n v="485.625"/>
    <n v="1"/>
    <n v="485.625"/>
    <n v="20.941500000000001"/>
    <n v="10169.715937500001"/>
    <n v="8118.1027121436009"/>
    <n v="2051.6132253564001"/>
    <n v="0.51506849315068493"/>
    <n v="1"/>
    <n v="2051.6132253564001"/>
    <n v="0"/>
    <m/>
    <n v="101.28499999999997"/>
    <m/>
    <n v="0.26352968725607523"/>
    <m/>
  </r>
  <r>
    <x v="4"/>
    <s v="Purchase"/>
    <x v="121"/>
    <x v="2"/>
    <x v="1"/>
    <x v="111"/>
    <n v="392.89575000000002"/>
    <x v="2"/>
    <n v="1"/>
    <n v="392.89575000000002"/>
    <n v="1"/>
    <n v="392.89575000000002"/>
    <n v="20.4453"/>
    <n v="8032.8714774750006"/>
    <n v="118.002"/>
    <n v="122.044"/>
    <n v="1.0342"/>
    <n v="8307.5956820046449"/>
    <n v="8307.5956820046449"/>
    <m/>
    <n v="1"/>
    <s v="Sale"/>
    <x v="84"/>
    <x v="1"/>
    <n v="485.625"/>
    <n v="1"/>
    <n v="485.625"/>
    <n v="20.941500000000001"/>
    <n v="10169.715937500001"/>
    <n v="8307.5956820046449"/>
    <n v="1862.1202554953561"/>
    <n v="0.51232876712328768"/>
    <n v="1"/>
    <n v="1862.1202554953561"/>
    <n v="0"/>
    <m/>
    <n v="92.729249999999979"/>
    <m/>
    <n v="0.23601489708147766"/>
    <m/>
  </r>
  <r>
    <x v="4"/>
    <s v="Purchase"/>
    <x v="121"/>
    <x v="2"/>
    <x v="1"/>
    <x v="111"/>
    <n v="15322.93425"/>
    <x v="2"/>
    <n v="39"/>
    <n v="392.89575000000002"/>
    <n v="1"/>
    <n v="15322.93425"/>
    <n v="20.4453"/>
    <n v="313281.98762152501"/>
    <n v="118.002"/>
    <n v="122.044"/>
    <n v="1.0342"/>
    <n v="323996.23159818118"/>
    <n v="8307.5956820046449"/>
    <m/>
    <n v="39"/>
    <s v="Sale"/>
    <x v="87"/>
    <x v="1"/>
    <n v="18936.125"/>
    <n v="1"/>
    <n v="18936.125"/>
    <n v="20.4407"/>
    <n v="387067.6502875"/>
    <n v="323996.23159818113"/>
    <n v="63071.418689318874"/>
    <n v="0.52054794520547942"/>
    <n v="1"/>
    <n v="63071.418689318874"/>
    <n v="0"/>
    <m/>
    <n v="3613.1907499999998"/>
    <m/>
    <n v="0.23580279671303814"/>
    <m/>
  </r>
  <r>
    <x v="4"/>
    <s v="Purchase"/>
    <x v="121"/>
    <x v="2"/>
    <x v="1"/>
    <x v="112"/>
    <n v="5088.33"/>
    <x v="2"/>
    <n v="13"/>
    <n v="391.40999999999997"/>
    <n v="1"/>
    <n v="5088.33"/>
    <n v="20.378499999999999"/>
    <n v="103692.532905"/>
    <n v="118.002"/>
    <n v="122.044"/>
    <n v="1.0342"/>
    <n v="107238.81753035101"/>
    <n v="8249.1398100269998"/>
    <m/>
    <n v="13"/>
    <s v="Sale"/>
    <x v="87"/>
    <x v="1"/>
    <n v="6312.041666666667"/>
    <n v="1"/>
    <n v="6312.041666666667"/>
    <n v="20.4407"/>
    <n v="129022.55009583334"/>
    <n v="107238.81753035099"/>
    <n v="21783.732565482351"/>
    <n v="0.51780821917808217"/>
    <n v="1"/>
    <n v="21783.732565482351"/>
    <n v="0"/>
    <m/>
    <n v="1223.711666666667"/>
    <m/>
    <n v="0.24049377038569963"/>
    <m/>
  </r>
  <r>
    <x v="4"/>
    <s v="Purchase"/>
    <x v="121"/>
    <x v="2"/>
    <x v="1"/>
    <x v="112"/>
    <n v="3165.6622222222222"/>
    <x v="2"/>
    <n v="8"/>
    <n v="395.70777777777778"/>
    <n v="1"/>
    <n v="3165.6622222222222"/>
    <n v="20.378499999999999"/>
    <n v="64511.447595555554"/>
    <n v="118.002"/>
    <n v="122.044"/>
    <n v="1.0342"/>
    <n v="66717.739103323547"/>
    <n v="8339.7173879154434"/>
    <m/>
    <n v="8"/>
    <s v="Sale"/>
    <x v="87"/>
    <x v="1"/>
    <n v="3884.3333333333335"/>
    <n v="1"/>
    <n v="3884.3333333333335"/>
    <n v="20.4407"/>
    <n v="79398.492366666673"/>
    <n v="66717.739103323547"/>
    <n v="12680.753263343126"/>
    <n v="0.51780821917808217"/>
    <n v="1"/>
    <n v="12680.753263343126"/>
    <n v="0"/>
    <m/>
    <n v="718.67111111111126"/>
    <m/>
    <n v="0.22702078132853373"/>
    <m/>
  </r>
  <r>
    <x v="4"/>
    <s v="Purchase"/>
    <x v="121"/>
    <x v="2"/>
    <x v="1"/>
    <x v="112"/>
    <n v="395.70777777777778"/>
    <x v="2"/>
    <n v="1"/>
    <n v="395.70777777777778"/>
    <n v="1"/>
    <n v="395.70777777777778"/>
    <n v="20.378499999999999"/>
    <n v="8063.9309494444442"/>
    <n v="118.002"/>
    <n v="122.044"/>
    <n v="1.0342"/>
    <n v="8339.7173879154434"/>
    <n v="8339.7173879154434"/>
    <m/>
    <n v="1"/>
    <s v="Sale"/>
    <x v="79"/>
    <x v="1"/>
    <n v="484.33"/>
    <n v="1"/>
    <n v="484.33"/>
    <n v="20.491299999999999"/>
    <n v="9924.5513289999999"/>
    <n v="8339.7173879154434"/>
    <n v="1584.8339410845565"/>
    <n v="0.52054794520547942"/>
    <n v="1"/>
    <n v="1584.8339410845565"/>
    <n v="0"/>
    <m/>
    <n v="88.622222222222206"/>
    <m/>
    <n v="0.22395875744446656"/>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2"/>
    <s v="Purchase"/>
    <x v="122"/>
    <x v="2"/>
    <x v="1"/>
    <x v="188"/>
    <n v="126541.74"/>
    <x v="2"/>
    <n v="945"/>
    <n v="133.90660317460319"/>
    <n v="1"/>
    <n v="126541.74"/>
    <n v="24.8583"/>
    <n v="3145612.5354420003"/>
    <n v="105.755"/>
    <n v="122.94799999999999"/>
    <n v="1.1625000000000001"/>
    <n v="3656774.5724513256"/>
    <n v="3869.602722170715"/>
    <m/>
    <n v="945"/>
    <s v="Sale"/>
    <x v="88"/>
    <x v="1"/>
    <n v="158720.54999999999"/>
    <n v="1"/>
    <n v="158720.54999999999"/>
    <n v="19.930299999999999"/>
    <n v="3163348.1776649994"/>
    <n v="3656774.5724513256"/>
    <n v="-493426.39478632621"/>
    <n v="2.3068493150684932"/>
    <n v="1"/>
    <n v="-493426.39478632621"/>
    <n v="0"/>
    <m/>
    <n v="32178.809999999983"/>
    <m/>
    <n v="0.25429403768274389"/>
    <m/>
  </r>
  <r>
    <x v="2"/>
    <s v="Purchase"/>
    <x v="122"/>
    <x v="2"/>
    <x v="1"/>
    <x v="4"/>
    <n v="115372.58"/>
    <x v="2"/>
    <n v="865"/>
    <n v="133.37870520231215"/>
    <n v="1"/>
    <n v="115372.58"/>
    <n v="23.957999999999998"/>
    <n v="2764096.2716399999"/>
    <n v="106.16200000000001"/>
    <n v="122.94799999999999"/>
    <n v="1.1580999999999999"/>
    <n v="3201099.8921862836"/>
    <n v="3700.6935169783624"/>
    <m/>
    <n v="865"/>
    <s v="Sale"/>
    <x v="88"/>
    <x v="1"/>
    <n v="145283.89000000001"/>
    <n v="1"/>
    <n v="145283.89000000001"/>
    <n v="19.930299999999999"/>
    <n v="2895551.512867"/>
    <n v="3201099.8921862836"/>
    <n v="-305548.37931928365"/>
    <n v="2.2493150684931509"/>
    <n v="1"/>
    <n v="-305548.37931928365"/>
    <n v="0"/>
    <m/>
    <n v="29911.310000000012"/>
    <m/>
    <n v="0.25925839571239556"/>
    <m/>
  </r>
  <r>
    <x v="2"/>
    <s v="Purchase"/>
    <x v="122"/>
    <x v="2"/>
    <x v="1"/>
    <x v="189"/>
    <n v="199575.26"/>
    <x v="2"/>
    <n v="960"/>
    <n v="207.89089583333333"/>
    <n v="1"/>
    <n v="199575.26"/>
    <n v="20.113"/>
    <n v="4014057.20438"/>
    <n v="110.21"/>
    <n v="122.94799999999999"/>
    <n v="1.1154999999999999"/>
    <n v="4477680.8114858894"/>
    <n v="4664.2508452978018"/>
    <m/>
    <n v="960"/>
    <s v="Sale"/>
    <x v="88"/>
    <x v="1"/>
    <n v="161239.92000000001"/>
    <n v="1"/>
    <n v="161239.92000000001"/>
    <n v="19.930299999999999"/>
    <n v="3213559.9775760002"/>
    <n v="4477680.8114858894"/>
    <n v="-1264120.8339098892"/>
    <n v="1.5945205479452054"/>
    <n v="1"/>
    <n v="-1264120.8339098892"/>
    <n v="0"/>
    <m/>
    <n v="-38335.339999999997"/>
    <m/>
    <n v="-0.19208463012900495"/>
    <m/>
  </r>
  <r>
    <x v="2"/>
    <s v="Purchase"/>
    <x v="122"/>
    <x v="2"/>
    <x v="1"/>
    <x v="190"/>
    <n v="203914.05"/>
    <x v="2"/>
    <n v="1500"/>
    <n v="135.9427"/>
    <n v="1"/>
    <n v="203914.05"/>
    <n v="20.3172"/>
    <n v="4142962.5366599998"/>
    <n v="121.02200000000001"/>
    <n v="122.94799999999999"/>
    <n v="1.0159"/>
    <n v="4208835.6409928938"/>
    <n v="2805.8904273285957"/>
    <m/>
    <n v="1500"/>
    <s v="Sale"/>
    <x v="88"/>
    <x v="1"/>
    <n v="251937.38"/>
    <n v="1"/>
    <n v="251937.38"/>
    <n v="19.930299999999999"/>
    <n v="5021187.5646139998"/>
    <n v="4208835.6409928938"/>
    <n v="812351.92362110596"/>
    <n v="0.27123287671232876"/>
    <n v="1"/>
    <n v="812351.92362110596"/>
    <n v="0"/>
    <m/>
    <n v="48023.330000000016"/>
    <m/>
    <n v="0.23550770532977017"/>
    <m/>
  </r>
  <r>
    <x v="2"/>
    <s v="Purchase"/>
    <x v="123"/>
    <x v="2"/>
    <x v="1"/>
    <x v="15"/>
    <n v="604199.23"/>
    <x v="2"/>
    <n v="1750"/>
    <n v="345.25670285714284"/>
    <n v="1"/>
    <n v="604199.23"/>
    <n v="21.1648"/>
    <n v="12787755.863103999"/>
    <n v="108.774"/>
    <n v="122.94799999999999"/>
    <n v="1.1303000000000001"/>
    <n v="14454000.452066451"/>
    <n v="8259.428829752258"/>
    <m/>
    <n v="1750"/>
    <s v="Sale"/>
    <x v="88"/>
    <x v="1"/>
    <n v="832979.17"/>
    <n v="1"/>
    <n v="832979.17"/>
    <n v="19.930299999999999"/>
    <n v="16601524.751851"/>
    <n v="14454000.452066451"/>
    <n v="2147524.2997845486"/>
    <n v="1.8"/>
    <n v="1"/>
    <n v="2147524.2997845486"/>
    <n v="0"/>
    <m/>
    <n v="228779.94000000006"/>
    <m/>
    <n v="0.37864983707443661"/>
    <m/>
  </r>
  <r>
    <x v="2"/>
    <s v="Purchase"/>
    <x v="123"/>
    <x v="2"/>
    <x v="1"/>
    <x v="190"/>
    <n v="210246.45"/>
    <x v="2"/>
    <n v="475"/>
    <n v="442.6241052631579"/>
    <n v="1"/>
    <n v="210246.45"/>
    <n v="20.3172"/>
    <n v="4271619.1739400001"/>
    <n v="121.02200000000001"/>
    <n v="122.94799999999999"/>
    <n v="1.0159"/>
    <n v="4339537.9188056458"/>
    <n v="9135.8693027487279"/>
    <m/>
    <n v="475"/>
    <s v="Sale"/>
    <x v="88"/>
    <x v="1"/>
    <n v="226094.35"/>
    <n v="1"/>
    <n v="226094.35"/>
    <n v="19.930299999999999"/>
    <n v="4506128.2238050001"/>
    <n v="4339537.9188056458"/>
    <n v="166590.3049993543"/>
    <n v="0.27123287671232876"/>
    <n v="1"/>
    <n v="166590.3049993543"/>
    <n v="0"/>
    <m/>
    <n v="15847.899999999994"/>
    <m/>
    <n v="7.5377729326702031E-2"/>
    <m/>
  </r>
  <r>
    <x v="2"/>
    <s v="Purchase"/>
    <x v="11"/>
    <x v="2"/>
    <x v="1"/>
    <x v="15"/>
    <n v="713306"/>
    <x v="2"/>
    <n v="2200"/>
    <n v="324.23"/>
    <n v="1"/>
    <n v="713306"/>
    <n v="21.1648"/>
    <n v="15096978.8288"/>
    <n v="108.774"/>
    <n v="122.94799999999999"/>
    <n v="1.1303000000000001"/>
    <n v="17064115.17019264"/>
    <n v="7756.4159864512003"/>
    <m/>
    <n v="2200"/>
    <s v="Sale"/>
    <x v="88"/>
    <x v="1"/>
    <n v="938145.86"/>
    <n v="1"/>
    <n v="938145.86"/>
    <n v="19.930299999999999"/>
    <n v="18697528.433557998"/>
    <n v="17064115.17019264"/>
    <n v="1633413.2633653581"/>
    <n v="1.8"/>
    <n v="1"/>
    <n v="1633413.2633653581"/>
    <n v="0"/>
    <m/>
    <n v="224839.86"/>
    <m/>
    <n v="0.31520814348961035"/>
    <m/>
  </r>
  <r>
    <x v="2"/>
    <s v="Purchase"/>
    <x v="11"/>
    <x v="2"/>
    <x v="1"/>
    <x v="190"/>
    <n v="110858.44"/>
    <x v="2"/>
    <n v="275"/>
    <n v="403.1216"/>
    <n v="1"/>
    <n v="110858.44"/>
    <n v="20.3172"/>
    <n v="2252333.0971679999"/>
    <n v="121.02200000000001"/>
    <n v="122.94799999999999"/>
    <n v="1.0159"/>
    <n v="2288145.1934129712"/>
    <n v="8320.5279760471676"/>
    <m/>
    <n v="275"/>
    <s v="Sale"/>
    <x v="88"/>
    <x v="1"/>
    <n v="117268.23"/>
    <n v="1"/>
    <n v="117268.23"/>
    <n v="19.930299999999999"/>
    <n v="2337191.004369"/>
    <n v="2288145.1934129712"/>
    <n v="49045.810956028756"/>
    <n v="0.27123287671232876"/>
    <n v="1"/>
    <n v="49045.810956028756"/>
    <n v="0"/>
    <m/>
    <n v="6409.7899999999936"/>
    <m/>
    <n v="5.7819594069698201E-2"/>
    <m/>
  </r>
  <r>
    <x v="2"/>
    <s v="Purchase"/>
    <x v="124"/>
    <x v="2"/>
    <x v="1"/>
    <x v="190"/>
    <n v="500707.9"/>
    <x v="2"/>
    <n v="7000"/>
    <n v="71.529700000000005"/>
    <n v="1"/>
    <n v="500707.9"/>
    <n v="20.3172"/>
    <n v="10172982.545880001"/>
    <n v="121.02200000000001"/>
    <n v="122.94799999999999"/>
    <n v="1.0159"/>
    <n v="10334732.968359493"/>
    <n v="1476.3904240513561"/>
    <m/>
    <n v="7000"/>
    <s v="Sale"/>
    <x v="88"/>
    <x v="1"/>
    <n v="618670.32999999996"/>
    <n v="1"/>
    <n v="618670.32999999996"/>
    <n v="19.930299999999999"/>
    <n v="12330285.277998999"/>
    <n v="10334732.968359493"/>
    <n v="1995552.309639506"/>
    <n v="0.27123287671232876"/>
    <n v="1"/>
    <n v="1995552.309639506"/>
    <n v="0"/>
    <m/>
    <n v="117962.42999999993"/>
    <m/>
    <n v="0.23559130982355167"/>
    <m/>
  </r>
  <r>
    <x v="2"/>
    <s v="Purchase"/>
    <x v="124"/>
    <x v="2"/>
    <x v="1"/>
    <x v="191"/>
    <n v="125175.42"/>
    <x v="2"/>
    <n v="1700"/>
    <n v="73.632599999999996"/>
    <n v="1"/>
    <n v="125175.42"/>
    <n v="20.144300000000001"/>
    <n v="2521571.2131060003"/>
    <n v="121.02200000000001"/>
    <n v="122.94799999999999"/>
    <n v="1.0159"/>
    <n v="2561664.1953943856"/>
    <n v="1506.8612914084622"/>
    <m/>
    <n v="1700"/>
    <s v="Sale"/>
    <x v="88"/>
    <x v="1"/>
    <n v="150248.51"/>
    <n v="1"/>
    <n v="150248.51"/>
    <n v="19.930299999999999"/>
    <n v="2994497.8788530002"/>
    <n v="2561664.1953943856"/>
    <n v="432833.68345861463"/>
    <n v="0.25479452054794521"/>
    <n v="1"/>
    <n v="432833.68345861463"/>
    <n v="0"/>
    <m/>
    <n v="25073.090000000011"/>
    <m/>
    <n v="0.20030362190915765"/>
    <m/>
  </r>
  <r>
    <x v="2"/>
    <s v="Purchase"/>
    <x v="3"/>
    <x v="2"/>
    <x v="1"/>
    <x v="192"/>
    <n v="492563.20000000001"/>
    <x v="2"/>
    <n v="4000"/>
    <n v="123.1408"/>
    <n v="1"/>
    <n v="492563.20000000001"/>
    <n v="20.078199999999999"/>
    <n v="9889782.4422399998"/>
    <n v="121.02200000000001"/>
    <n v="122.94799999999999"/>
    <n v="1.0159"/>
    <n v="10047029.983071616"/>
    <n v="2511.7574957679039"/>
    <m/>
    <n v="4000"/>
    <s v="Sale"/>
    <x v="88"/>
    <x v="1"/>
    <n v="555307.28"/>
    <n v="1"/>
    <n v="555307.28"/>
    <n v="19.930299999999999"/>
    <n v="11067440.682584001"/>
    <n v="10047029.983071616"/>
    <n v="1020410.6995123848"/>
    <n v="0.25205479452054796"/>
    <n v="1"/>
    <n v="1020410.6995123848"/>
    <n v="0"/>
    <m/>
    <n v="62744.080000000016"/>
    <m/>
    <n v="0.12738280082637116"/>
    <m/>
  </r>
  <r>
    <x v="0"/>
    <m/>
    <x v="0"/>
    <x v="0"/>
    <x v="0"/>
    <x v="0"/>
    <m/>
    <x v="0"/>
    <n v="0"/>
    <n v="0"/>
    <n v="0"/>
    <n v="0"/>
    <n v="0"/>
    <n v="0"/>
    <n v="0"/>
    <n v="0"/>
    <n v="0"/>
    <n v="0"/>
    <n v="0"/>
    <m/>
    <m/>
    <m/>
    <x v="0"/>
    <x v="0"/>
    <m/>
    <n v="0"/>
    <n v="0"/>
    <n v="0"/>
    <n v="0"/>
    <n v="0"/>
    <n v="0"/>
    <n v="0"/>
    <n v="1"/>
    <n v="0"/>
    <n v="0"/>
    <m/>
    <n v="0"/>
    <m/>
    <n v="0"/>
    <m/>
  </r>
  <r>
    <x v="3"/>
    <s v="Purchase"/>
    <x v="125"/>
    <x v="2"/>
    <x v="1"/>
    <x v="156"/>
    <n v="8100.11"/>
    <x v="2"/>
    <n v="70"/>
    <n v="115.71585714285713"/>
    <n v="1"/>
    <n v="8100.11"/>
    <n v="19.678799999999999"/>
    <n v="159400.44466799998"/>
    <n v="110.21"/>
    <n v="122.94799999999999"/>
    <n v="1.1154999999999999"/>
    <n v="177811.19602715396"/>
    <n v="2540.1599432450566"/>
    <m/>
    <n v="70"/>
    <s v="Sale"/>
    <x v="89"/>
    <x v="1"/>
    <n v="7743.22"/>
    <n v="1"/>
    <n v="7743.22"/>
    <n v="19.861799999999999"/>
    <n v="153794.28699600001"/>
    <n v="177811.19602715396"/>
    <n v="-24016.909031153948"/>
    <n v="1.5698630136986302"/>
    <n v="1"/>
    <n v="-24016.909031153948"/>
    <n v="0"/>
    <m/>
    <n v="-356.88999999999942"/>
    <m/>
    <n v="-4.4059895482900777E-2"/>
    <m/>
  </r>
  <r>
    <x v="3"/>
    <s v="Purchase"/>
    <x v="126"/>
    <x v="2"/>
    <x v="1"/>
    <x v="25"/>
    <n v="6042.72"/>
    <x v="2"/>
    <n v="24"/>
    <n v="251.78"/>
    <n v="1"/>
    <n v="6042.72"/>
    <n v="18.5899"/>
    <n v="112333.560528"/>
    <n v="100.492"/>
    <n v="122.94799999999999"/>
    <n v="1.2234"/>
    <n v="137428.8779499552"/>
    <n v="5726.2032479148002"/>
    <m/>
    <n v="24"/>
    <s v="Sale"/>
    <x v="89"/>
    <x v="1"/>
    <n v="10539.12"/>
    <n v="1"/>
    <n v="10539.12"/>
    <n v="19.861799999999999"/>
    <n v="209325.89361600002"/>
    <n v="137428.8779499552"/>
    <n v="71897.015666044812"/>
    <n v="4.0410958904109586"/>
    <n v="1"/>
    <n v="71897.015666044812"/>
    <n v="0"/>
    <m/>
    <n v="4496.4000000000005"/>
    <m/>
    <n v="0.74410199380411479"/>
    <m/>
  </r>
  <r>
    <x v="3"/>
    <s v="Purchase"/>
    <x v="106"/>
    <x v="1"/>
    <x v="1"/>
    <x v="173"/>
    <n v="5370.18"/>
    <x v="1"/>
    <n v="41"/>
    <n v="130.98000000000002"/>
    <n v="1"/>
    <n v="5370.18"/>
    <n v="19.5547"/>
    <n v="105012.25884600001"/>
    <n v="122.044"/>
    <n v="123.803"/>
    <n v="1.0144"/>
    <n v="106524.43537338241"/>
    <n v="2598.1569603264002"/>
    <m/>
    <n v="41"/>
    <s v="Sale"/>
    <x v="89"/>
    <x v="1"/>
    <n v="5397.89"/>
    <n v="1"/>
    <n v="5397.89"/>
    <n v="19.861799999999999"/>
    <n v="107211.811602"/>
    <n v="106524.43537338241"/>
    <n v="687.37622861759155"/>
    <n v="0.19178082191780821"/>
    <n v="1"/>
    <n v="687.37622861759155"/>
    <n v="0"/>
    <m/>
    <n v="27.710000000000036"/>
    <m/>
    <n v="5.1599760157015288E-3"/>
    <m/>
  </r>
  <r>
    <x v="3"/>
    <s v="Purchase"/>
    <x v="37"/>
    <x v="2"/>
    <x v="1"/>
    <x v="25"/>
    <n v="15814.34"/>
    <x v="2"/>
    <n v="255"/>
    <n v="62.017019607843139"/>
    <n v="1"/>
    <n v="15814.34"/>
    <n v="18.5899"/>
    <n v="293986.99916599999"/>
    <n v="100.492"/>
    <n v="122.94799999999999"/>
    <n v="1.2234"/>
    <n v="359663.69477968442"/>
    <n v="1410.4458618811154"/>
    <m/>
    <n v="255"/>
    <s v="Sale"/>
    <x v="89"/>
    <x v="1"/>
    <n v="30569.98"/>
    <n v="1"/>
    <n v="30569.98"/>
    <n v="19.861799999999999"/>
    <n v="607174.82876399998"/>
    <n v="359663.69477968442"/>
    <n v="247511.13398431556"/>
    <n v="4.0410958904109586"/>
    <n v="1"/>
    <n v="247511.13398431556"/>
    <n v="0"/>
    <m/>
    <n v="14755.64"/>
    <m/>
    <n v="0.93305443034612889"/>
    <m/>
  </r>
  <r>
    <x v="3"/>
    <s v="Purchase"/>
    <x v="38"/>
    <x v="2"/>
    <x v="1"/>
    <x v="38"/>
    <n v="19933.89"/>
    <x v="2"/>
    <n v="207"/>
    <n v="96.298985507246371"/>
    <n v="1"/>
    <n v="19933.89"/>
    <n v="18.847999999999999"/>
    <n v="375713.95872"/>
    <n v="103.53100000000001"/>
    <n v="122.94799999999999"/>
    <n v="1.1875"/>
    <n v="446160.32597999997"/>
    <n v="2155.3638936231882"/>
    <m/>
    <n v="207"/>
    <s v="Sale"/>
    <x v="89"/>
    <x v="1"/>
    <n v="29414.03"/>
    <n v="1"/>
    <n v="29414.03"/>
    <n v="19.861799999999999"/>
    <n v="584215.58105399995"/>
    <n v="446160.32597999997"/>
    <n v="138055.25507399999"/>
    <n v="3.3205479452054796"/>
    <n v="1"/>
    <n v="138055.25507399999"/>
    <n v="0"/>
    <m/>
    <n v="9480.14"/>
    <m/>
    <n v="0.47557902647200317"/>
    <m/>
  </r>
  <r>
    <x v="3"/>
    <s v="Purchase"/>
    <x v="127"/>
    <x v="2"/>
    <x v="1"/>
    <x v="193"/>
    <n v="856.8"/>
    <x v="2"/>
    <n v="4"/>
    <n v="214.2"/>
    <n v="1"/>
    <n v="856.8"/>
    <n v="18.970199999999998"/>
    <n v="16253.667359999998"/>
    <n v="105.934"/>
    <n v="122.94799999999999"/>
    <n v="1.1606000000000001"/>
    <n v="18864.006338015999"/>
    <n v="4716.0015845039998"/>
    <m/>
    <n v="4"/>
    <s v="Sale"/>
    <x v="89"/>
    <x v="1"/>
    <n v="1111.01"/>
    <n v="1"/>
    <n v="1111.01"/>
    <n v="19.861799999999999"/>
    <n v="22066.658417999999"/>
    <n v="18864.006338015999"/>
    <n v="3202.652079984"/>
    <n v="2.6657534246575341"/>
    <n v="1"/>
    <n v="3202.652079984"/>
    <n v="0"/>
    <m/>
    <n v="254.21000000000004"/>
    <m/>
    <n v="0.29669701213818866"/>
    <m/>
  </r>
  <r>
    <x v="3"/>
    <s v="Purchase"/>
    <x v="127"/>
    <x v="2"/>
    <x v="1"/>
    <x v="50"/>
    <n v="5916.6"/>
    <x v="2"/>
    <n v="24"/>
    <n v="246.52500000000001"/>
    <n v="1"/>
    <n v="5916.6"/>
    <n v="19.698499999999999"/>
    <n v="116548.14510000001"/>
    <n v="106.83799999999999"/>
    <n v="122.94799999999999"/>
    <n v="1.1507000000000001"/>
    <n v="134111.95056657001"/>
    <n v="5587.9979402737508"/>
    <m/>
    <n v="24"/>
    <s v="Sale"/>
    <x v="89"/>
    <x v="1"/>
    <n v="6666.09"/>
    <n v="1"/>
    <n v="6666.09"/>
    <n v="19.861799999999999"/>
    <n v="132400.54636199999"/>
    <n v="134111.95056657001"/>
    <n v="-1711.4042045700189"/>
    <n v="2.4547945205479453"/>
    <n v="1"/>
    <n v="-1711.4042045700189"/>
    <n v="0"/>
    <m/>
    <n v="749.48999999999978"/>
    <m/>
    <n v="0.12667579353006789"/>
    <m/>
  </r>
  <r>
    <x v="3"/>
    <s v="Purchase"/>
    <x v="14"/>
    <x v="2"/>
    <x v="1"/>
    <x v="20"/>
    <n v="2840.07"/>
    <x v="2"/>
    <n v="25"/>
    <n v="113.6028"/>
    <n v="1"/>
    <n v="2840.07"/>
    <n v="19.2456"/>
    <n v="54658.851192000002"/>
    <n v="103.108"/>
    <n v="122.94799999999999"/>
    <n v="1.1923999999999999"/>
    <n v="65175.214161340795"/>
    <n v="2607.0085664536318"/>
    <m/>
    <n v="25"/>
    <s v="Sale"/>
    <x v="89"/>
    <x v="1"/>
    <n v="7206.08"/>
    <n v="1"/>
    <n v="7206.08"/>
    <n v="19.861799999999999"/>
    <n v="143125.719744"/>
    <n v="65175.214161340795"/>
    <n v="77950.505582659214"/>
    <n v="3.6"/>
    <n v="1"/>
    <n v="77950.505582659214"/>
    <n v="0"/>
    <m/>
    <n v="4366.01"/>
    <m/>
    <n v="1.5372895738485319"/>
    <m/>
  </r>
  <r>
    <x v="3"/>
    <s v="Purchase"/>
    <x v="14"/>
    <x v="2"/>
    <x v="1"/>
    <x v="20"/>
    <n v="1476.84"/>
    <x v="2"/>
    <n v="13"/>
    <n v="113.60307692307691"/>
    <n v="1"/>
    <n v="1476.84"/>
    <n v="19.2456"/>
    <n v="28422.671903999999"/>
    <n v="103.108"/>
    <n v="122.94799999999999"/>
    <n v="1.1923999999999999"/>
    <n v="33891.193978329597"/>
    <n v="2607.0149214099688"/>
    <m/>
    <n v="13"/>
    <s v="Sale"/>
    <x v="90"/>
    <x v="1"/>
    <n v="3536.75"/>
    <n v="1"/>
    <n v="3536.75"/>
    <n v="19.9437"/>
    <n v="70535.880974999993"/>
    <n v="33891.193978329597"/>
    <n v="36644.686996670396"/>
    <n v="3.6328767123287671"/>
    <n v="1"/>
    <n v="36644.686996670396"/>
    <n v="0"/>
    <m/>
    <n v="2059.91"/>
    <m/>
    <n v="1.3948091871834458"/>
    <m/>
  </r>
  <r>
    <x v="3"/>
    <s v="Purchase"/>
    <x v="39"/>
    <x v="2"/>
    <x v="1"/>
    <x v="17"/>
    <n v="12402.35"/>
    <x v="2"/>
    <n v="149"/>
    <n v="83.23724832214765"/>
    <n v="1"/>
    <n v="12402.35"/>
    <n v="21.838799999999999"/>
    <n v="270852.44118000002"/>
    <n v="106.74299999999999"/>
    <n v="122.94799999999999"/>
    <n v="1.1517999999999999"/>
    <n v="311967.84175112401"/>
    <n v="2093.7439043699596"/>
    <m/>
    <n v="149"/>
    <s v="Sale"/>
    <x v="89"/>
    <x v="1"/>
    <n v="26050.560000000001"/>
    <n v="1"/>
    <n v="26050.560000000001"/>
    <n v="19.861799999999999"/>
    <n v="517411.01260800002"/>
    <n v="311967.84175112401"/>
    <n v="205443.17085687601"/>
    <n v="2.1917808219178081"/>
    <n v="1"/>
    <n v="205443.17085687601"/>
    <n v="0"/>
    <m/>
    <n v="13648.210000000001"/>
    <m/>
    <n v="1.1004535430785296"/>
    <m/>
  </r>
  <r>
    <x v="3"/>
    <s v="Purchase"/>
    <x v="128"/>
    <x v="2"/>
    <x v="1"/>
    <x v="194"/>
    <n v="8707.91"/>
    <x v="2"/>
    <n v="77"/>
    <n v="113.08974025974025"/>
    <n v="1"/>
    <n v="8707.91"/>
    <n v="21.263500000000001"/>
    <n v="185160.64428499999"/>
    <n v="111.824"/>
    <n v="122.94799999999999"/>
    <n v="1.0993999999999999"/>
    <n v="203565.61232692897"/>
    <n v="2643.7092509990775"/>
    <m/>
    <n v="77"/>
    <s v="Sale"/>
    <x v="89"/>
    <x v="1"/>
    <n v="8189.55"/>
    <n v="1"/>
    <n v="8189.55"/>
    <n v="19.861799999999999"/>
    <n v="162659.20418999999"/>
    <n v="203565.61232692897"/>
    <n v="-40906.408136928978"/>
    <n v="1.441095890410959"/>
    <n v="1"/>
    <n v="-40906.408136928978"/>
    <n v="0"/>
    <m/>
    <n v="-518.35999999999967"/>
    <m/>
    <n v="-5.9527487077840682E-2"/>
    <m/>
  </r>
  <r>
    <x v="3"/>
    <s v="Purchase"/>
    <x v="129"/>
    <x v="2"/>
    <x v="1"/>
    <x v="173"/>
    <n v="1640.73"/>
    <x v="2"/>
    <n v="78"/>
    <n v="21.035"/>
    <n v="1"/>
    <n v="1640.73"/>
    <n v="19.5547"/>
    <n v="32083.982931000002"/>
    <n v="122.044"/>
    <n v="122.94799999999999"/>
    <n v="1.0074000000000001"/>
    <n v="32321.404404689405"/>
    <n v="414.37697954730004"/>
    <m/>
    <n v="78"/>
    <s v="Sale"/>
    <x v="89"/>
    <x v="1"/>
    <n v="1446.85"/>
    <n v="1"/>
    <n v="1446.85"/>
    <n v="19.861799999999999"/>
    <n v="28737.045329999997"/>
    <n v="32321.404404689401"/>
    <n v="-3584.3590746894042"/>
    <n v="0.19178082191780821"/>
    <n v="1"/>
    <n v="-3584.3590746894042"/>
    <n v="0"/>
    <m/>
    <n v="-193.88000000000011"/>
    <m/>
    <n v="-0.11816691350801174"/>
    <m/>
  </r>
  <r>
    <x v="3"/>
    <s v="Purchase"/>
    <x v="130"/>
    <x v="2"/>
    <x v="1"/>
    <x v="129"/>
    <n v="8489.27"/>
    <x v="2"/>
    <n v="4"/>
    <n v="2122.3175000000001"/>
    <n v="1"/>
    <n v="8489.27"/>
    <n v="20.1175"/>
    <n v="170782.88922500002"/>
    <n v="113.899"/>
    <n v="122.94799999999999"/>
    <n v="1.0793999999999999"/>
    <n v="184343.050629465"/>
    <n v="46085.762657366249"/>
    <m/>
    <n v="4"/>
    <s v="Sale"/>
    <x v="89"/>
    <x v="1"/>
    <n v="8513.75"/>
    <n v="1"/>
    <n v="8513.75"/>
    <n v="19.861799999999999"/>
    <n v="169098.39974999998"/>
    <n v="184343.050629465"/>
    <n v="-15244.650879465014"/>
    <n v="0.98356164383561639"/>
    <n v="1"/>
    <n v="-15244.650879465014"/>
    <n v="0"/>
    <m/>
    <n v="24.479999999999563"/>
    <m/>
    <n v="2.8836401716519277E-3"/>
    <m/>
  </r>
  <r>
    <x v="3"/>
    <s v="Purchase"/>
    <x v="131"/>
    <x v="2"/>
    <x v="1"/>
    <x v="57"/>
    <n v="7353.94"/>
    <x v="2"/>
    <n v="187"/>
    <n v="39.325882352941171"/>
    <n v="1"/>
    <n v="7353.94"/>
    <n v="20.6783"/>
    <n v="152066.97750199999"/>
    <n v="110.907"/>
    <n v="122.94799999999999"/>
    <n v="1.1085"/>
    <n v="168566.244560967"/>
    <n v="901.42376770570581"/>
    <m/>
    <n v="187"/>
    <s v="Sale"/>
    <x v="89"/>
    <x v="1"/>
    <n v="7922.08"/>
    <n v="1"/>
    <n v="7922.08"/>
    <n v="19.861799999999999"/>
    <n v="157346.76854399999"/>
    <n v="168566.244560967"/>
    <n v="-11219.476016967004"/>
    <n v="1.4767123287671233"/>
    <n v="1"/>
    <n v="-11219.476016967004"/>
    <n v="0"/>
    <m/>
    <n v="568.14000000000033"/>
    <m/>
    <n v="7.7256545470863289E-2"/>
    <m/>
  </r>
  <r>
    <x v="3"/>
    <s v="Purchase"/>
    <x v="132"/>
    <x v="1"/>
    <x v="1"/>
    <x v="173"/>
    <n v="5379.31"/>
    <x v="1"/>
    <n v="34"/>
    <n v="158.215"/>
    <n v="1"/>
    <n v="5379.31"/>
    <n v="19.5547"/>
    <n v="105190.79325700001"/>
    <n v="122.044"/>
    <n v="123.803"/>
    <n v="1.0144"/>
    <n v="106705.54067990081"/>
    <n v="3138.3982552912003"/>
    <m/>
    <n v="34"/>
    <s v="Sale"/>
    <x v="89"/>
    <x v="1"/>
    <n v="3897.89"/>
    <n v="1"/>
    <n v="3897.89"/>
    <n v="19.861799999999999"/>
    <n v="77419.11160199999"/>
    <n v="106705.54067990081"/>
    <n v="-29286.429077900815"/>
    <n v="0.19178082191780821"/>
    <n v="1"/>
    <n v="-29286.429077900815"/>
    <n v="0"/>
    <m/>
    <n v="-1481.4200000000005"/>
    <m/>
    <n v="-0.27539219714052554"/>
    <m/>
  </r>
  <r>
    <x v="3"/>
    <s v="Purchase"/>
    <x v="18"/>
    <x v="2"/>
    <x v="1"/>
    <x v="23"/>
    <n v="3358.41"/>
    <x v="2"/>
    <n v="11"/>
    <n v="305.31"/>
    <n v="1"/>
    <n v="3358.41"/>
    <n v="19.4543"/>
    <n v="65335.515662999998"/>
    <n v="105.346"/>
    <n v="122.94799999999999"/>
    <n v="1.167"/>
    <n v="76246.546778721007"/>
    <n v="6931.504252611001"/>
    <m/>
    <n v="11"/>
    <s v="Sale"/>
    <x v="89"/>
    <x v="1"/>
    <n v="6124"/>
    <n v="1"/>
    <n v="6124"/>
    <n v="19.861799999999999"/>
    <n v="121633.6632"/>
    <n v="76246.546778721007"/>
    <n v="45387.116421278988"/>
    <n v="2.7561643835616438"/>
    <n v="1"/>
    <n v="45387.116421278988"/>
    <n v="0"/>
    <m/>
    <n v="2765.59"/>
    <m/>
    <n v="0.82348194532531771"/>
    <m/>
  </r>
  <r>
    <x v="3"/>
    <s v="Purchase"/>
    <x v="133"/>
    <x v="2"/>
    <x v="1"/>
    <x v="195"/>
    <n v="8917.92"/>
    <x v="2"/>
    <n v="68"/>
    <n v="131.14588235294119"/>
    <n v="1"/>
    <n v="8917.92"/>
    <n v="19.398099999999999"/>
    <n v="172990.70395200001"/>
    <n v="103.94199999999999"/>
    <n v="122.94799999999999"/>
    <n v="1.1828000000000001"/>
    <n v="204613.40463442562"/>
    <n v="3009.0206563886122"/>
    <m/>
    <n v="68"/>
    <s v="Sale"/>
    <x v="89"/>
    <x v="1"/>
    <n v="6918.16"/>
    <n v="1"/>
    <n v="6918.16"/>
    <n v="19.861799999999999"/>
    <n v="137407.110288"/>
    <n v="204613.40463442562"/>
    <n v="-67206.294346425624"/>
    <n v="2.9013698630136986"/>
    <n v="1"/>
    <n v="-67206.294346425624"/>
    <n v="0"/>
    <m/>
    <n v="-1999.7600000000002"/>
    <m/>
    <n v="-0.22424063010208661"/>
    <m/>
  </r>
  <r>
    <x v="3"/>
    <s v="Purchase"/>
    <x v="43"/>
    <x v="2"/>
    <x v="1"/>
    <x v="42"/>
    <n v="841.57"/>
    <x v="2"/>
    <n v="4"/>
    <n v="210.39250000000001"/>
    <n v="1"/>
    <n v="841.57"/>
    <n v="19.101099999999999"/>
    <n v="16074.912727000001"/>
    <n v="103.29900000000001"/>
    <n v="122.94799999999999"/>
    <n v="1.1901999999999999"/>
    <n v="19132.361127675398"/>
    <n v="4783.0902819188495"/>
    <m/>
    <n v="4"/>
    <s v="Sale"/>
    <x v="89"/>
    <x v="1"/>
    <n v="1304.82"/>
    <n v="1"/>
    <n v="1304.82"/>
    <n v="19.861799999999999"/>
    <n v="25916.073875999999"/>
    <n v="19132.361127675398"/>
    <n v="6783.7127483246004"/>
    <n v="3.1616438356164385"/>
    <n v="1"/>
    <n v="6783.7127483246004"/>
    <n v="0"/>
    <m/>
    <n v="463.24999999999989"/>
    <m/>
    <n v="0.55045926066756168"/>
    <m/>
  </r>
  <r>
    <x v="3"/>
    <s v="Purchase"/>
    <x v="43"/>
    <x v="2"/>
    <x v="1"/>
    <x v="50"/>
    <n v="3987.18"/>
    <x v="2"/>
    <n v="17"/>
    <n v="234.54"/>
    <n v="1"/>
    <n v="3987.18"/>
    <n v="19.698499999999999"/>
    <n v="78541.465229999987"/>
    <n v="106.83799999999999"/>
    <n v="122.94799999999999"/>
    <n v="1.1507000000000001"/>
    <n v="90377.664040160991"/>
    <n v="5316.3331788329997"/>
    <m/>
    <n v="17"/>
    <s v="Sale"/>
    <x v="89"/>
    <x v="1"/>
    <n v="5545.47"/>
    <n v="1"/>
    <n v="5545.47"/>
    <n v="19.861799999999999"/>
    <n v="110143.016046"/>
    <n v="90377.664040160991"/>
    <n v="19765.352005839013"/>
    <n v="2.4547945205479453"/>
    <n v="1"/>
    <n v="19765.352005839013"/>
    <n v="0"/>
    <m/>
    <n v="1558.2900000000004"/>
    <m/>
    <n v="0.39082509442764068"/>
    <m/>
  </r>
  <r>
    <x v="3"/>
    <s v="Purchase"/>
    <x v="22"/>
    <x v="2"/>
    <x v="1"/>
    <x v="17"/>
    <n v="5513.42"/>
    <x v="2"/>
    <n v="34"/>
    <n v="162.15941176470588"/>
    <n v="1"/>
    <n v="5513.42"/>
    <n v="21.838799999999999"/>
    <n v="120406.476696"/>
    <n v="106.74299999999999"/>
    <n v="122.94799999999999"/>
    <n v="1.1517999999999999"/>
    <n v="138684.17985845279"/>
    <n v="4078.9464664250818"/>
    <m/>
    <n v="34"/>
    <s v="Sale"/>
    <x v="89"/>
    <x v="1"/>
    <n v="6898.95"/>
    <n v="1"/>
    <n v="6898.95"/>
    <n v="19.861799999999999"/>
    <n v="137025.56511"/>
    <n v="138684.17985845279"/>
    <n v="-1658.6147484527901"/>
    <n v="2.1917808219178081"/>
    <n v="1"/>
    <n v="-1658.6147484527901"/>
    <n v="0"/>
    <m/>
    <n v="1385.5299999999997"/>
    <m/>
    <n v="0.25130137011147341"/>
    <m/>
  </r>
  <r>
    <x v="3"/>
    <s v="Purchase"/>
    <x v="109"/>
    <x v="2"/>
    <x v="1"/>
    <x v="196"/>
    <n v="21685.4"/>
    <x v="2"/>
    <n v="550"/>
    <n v="39.428000000000004"/>
    <n v="1"/>
    <n v="21685.4"/>
    <n v="19.59"/>
    <n v="424816.98600000003"/>
    <n v="122.044"/>
    <n v="122.94799999999999"/>
    <n v="1.0074000000000001"/>
    <n v="427960.63169640006"/>
    <n v="778.11023944800013"/>
    <m/>
    <n v="550"/>
    <s v="Sale"/>
    <x v="91"/>
    <x v="1"/>
    <n v="19680.97"/>
    <n v="1"/>
    <n v="19680.97"/>
    <n v="19.956199999999999"/>
    <n v="392757.37351399998"/>
    <n v="427960.63169640006"/>
    <n v="-35203.258182400081"/>
    <n v="0.17260273972602741"/>
    <n v="1"/>
    <n v="-35203.258182400081"/>
    <n v="0"/>
    <m/>
    <n v="-2004.4300000000003"/>
    <m/>
    <n v="-9.2432235513294672E-2"/>
    <m/>
  </r>
  <r>
    <x v="3"/>
    <s v="Purchase"/>
    <x v="109"/>
    <x v="2"/>
    <x v="1"/>
    <x v="197"/>
    <n v="14426.94"/>
    <x v="2"/>
    <n v="379"/>
    <n v="38.065804749340373"/>
    <n v="1"/>
    <n v="14426.94"/>
    <n v="19.6128"/>
    <n v="282952.68883200001"/>
    <n v="122.044"/>
    <n v="122.94799999999999"/>
    <n v="1.0074000000000001"/>
    <n v="285046.53872935683"/>
    <n v="752.10168530173303"/>
    <m/>
    <n v="379"/>
    <s v="Sale"/>
    <x v="91"/>
    <x v="1"/>
    <n v="13561.98"/>
    <n v="1"/>
    <n v="13561.98"/>
    <n v="19.956199999999999"/>
    <n v="270645.58527599997"/>
    <n v="285046.53872935683"/>
    <n v="-14400.953453356866"/>
    <n v="0.16438356164383561"/>
    <n v="1"/>
    <n v="-14400.953453356866"/>
    <n v="0"/>
    <m/>
    <n v="-864.96000000000095"/>
    <m/>
    <n v="-5.9954501786241635E-2"/>
    <m/>
  </r>
  <r>
    <x v="3"/>
    <s v="Purchase"/>
    <x v="109"/>
    <x v="2"/>
    <x v="1"/>
    <x v="19"/>
    <n v="7885.47"/>
    <x v="2"/>
    <n v="156"/>
    <n v="50.547884615384618"/>
    <n v="1"/>
    <n v="7885.47"/>
    <n v="22.367799999999999"/>
    <n v="176380.61586600001"/>
    <n v="108.114"/>
    <n v="122.94799999999999"/>
    <n v="1.1372"/>
    <n v="200580.03636281521"/>
    <n v="1285.7694638642001"/>
    <m/>
    <n v="156"/>
    <s v="Sale"/>
    <x v="91"/>
    <x v="1"/>
    <n v="5582.24"/>
    <n v="1"/>
    <n v="5582.24"/>
    <n v="19.956199999999999"/>
    <n v="111400.29788799999"/>
    <n v="200580.03636281521"/>
    <n v="-89179.738474815225"/>
    <n v="1.8712328767123287"/>
    <n v="1"/>
    <n v="-89179.738474815225"/>
    <n v="0"/>
    <m/>
    <n v="-2303.2300000000005"/>
    <m/>
    <n v="-0.29208531641107005"/>
    <m/>
  </r>
  <r>
    <x v="3"/>
    <s v="Purchase"/>
    <x v="109"/>
    <x v="2"/>
    <x v="1"/>
    <x v="198"/>
    <n v="29753.96"/>
    <x v="2"/>
    <n v="550"/>
    <n v="54.098109090909091"/>
    <n v="1"/>
    <n v="29753.96"/>
    <n v="20.1858"/>
    <n v="600607.48576800001"/>
    <n v="108.85599999999999"/>
    <n v="122.94799999999999"/>
    <n v="1.1294"/>
    <n v="678326.09442637919"/>
    <n v="1233.3201716843257"/>
    <m/>
    <n v="550"/>
    <s v="Sale"/>
    <x v="91"/>
    <x v="1"/>
    <n v="19680.97"/>
    <n v="1"/>
    <n v="19680.97"/>
    <n v="19.956199999999999"/>
    <n v="392757.37351399998"/>
    <n v="678326.09442637919"/>
    <n v="-285568.72091237921"/>
    <n v="1.7205479452054795"/>
    <n v="1"/>
    <n v="-285568.72091237921"/>
    <n v="0"/>
    <m/>
    <n v="-10072.989999999998"/>
    <m/>
    <n v="-0.33854283597880747"/>
    <m/>
  </r>
  <r>
    <x v="3"/>
    <s v="Purchase"/>
    <x v="109"/>
    <x v="2"/>
    <x v="1"/>
    <x v="39"/>
    <n v="9972.2199999999993"/>
    <x v="2"/>
    <n v="158"/>
    <n v="63.115316455696195"/>
    <n v="1"/>
    <n v="9972.2199999999993"/>
    <n v="21.4177"/>
    <n v="213582.01629399997"/>
    <n v="111.824"/>
    <n v="122.94799999999999"/>
    <n v="1.0993999999999999"/>
    <n v="234812.06871362356"/>
    <n v="1486.1523336305288"/>
    <m/>
    <n v="158"/>
    <s v="Sale"/>
    <x v="91"/>
    <x v="1"/>
    <n v="5653.8"/>
    <n v="1"/>
    <n v="5653.8"/>
    <n v="19.956199999999999"/>
    <n v="112828.36356"/>
    <n v="234812.06871362356"/>
    <n v="-121983.70515362357"/>
    <n v="1.4246575342465753"/>
    <n v="1"/>
    <n v="-121983.70515362357"/>
    <n v="0"/>
    <m/>
    <n v="-4318.4199999999992"/>
    <m/>
    <n v="-0.43304499900724208"/>
    <m/>
  </r>
  <r>
    <x v="3"/>
    <s v="Purchase"/>
    <x v="109"/>
    <x v="2"/>
    <x v="1"/>
    <x v="40"/>
    <n v="10308.200000000001"/>
    <x v="2"/>
    <n v="179"/>
    <n v="57.58770949720671"/>
    <n v="1"/>
    <n v="10308.200000000001"/>
    <n v="19.8903"/>
    <n v="205033.19046000001"/>
    <n v="112.419"/>
    <n v="122.94799999999999"/>
    <n v="1.0935999999999999"/>
    <n v="224224.29708705598"/>
    <n v="1252.6497043969607"/>
    <m/>
    <n v="179"/>
    <s v="Sale"/>
    <x v="91"/>
    <x v="1"/>
    <n v="6405.26"/>
    <n v="1"/>
    <n v="6405.26"/>
    <n v="19.956199999999999"/>
    <n v="127824.64961199999"/>
    <n v="224224.29708705598"/>
    <n v="-96399.647475055986"/>
    <n v="1.210958904109589"/>
    <n v="1"/>
    <n v="-96399.647475055986"/>
    <n v="0"/>
    <m/>
    <n v="-3902.9400000000005"/>
    <m/>
    <n v="-0.37862478415242234"/>
    <m/>
  </r>
  <r>
    <x v="3"/>
    <s v="Purchase"/>
    <x v="44"/>
    <x v="2"/>
    <x v="1"/>
    <x v="25"/>
    <n v="4356.79"/>
    <x v="2"/>
    <n v="60"/>
    <n v="72.613166666666672"/>
    <n v="1"/>
    <n v="4356.79"/>
    <n v="18.5899"/>
    <n v="80992.290420999998"/>
    <n v="100.492"/>
    <n v="122.94799999999999"/>
    <n v="1.2234"/>
    <n v="99085.968101051403"/>
    <n v="1651.4328016841901"/>
    <m/>
    <n v="60"/>
    <s v="Sale"/>
    <x v="89"/>
    <x v="1"/>
    <n v="6701.25"/>
    <n v="1"/>
    <n v="6701.25"/>
    <n v="19.861799999999999"/>
    <n v="133098.88725"/>
    <n v="99085.968101051403"/>
    <n v="34012.919148948597"/>
    <n v="4.0410958904109586"/>
    <n v="1"/>
    <n v="34012.919148948597"/>
    <n v="0"/>
    <m/>
    <n v="2344.46"/>
    <m/>
    <n v="0.53811636548927078"/>
    <m/>
  </r>
  <r>
    <x v="3"/>
    <s v="Purchase"/>
    <x v="44"/>
    <x v="2"/>
    <x v="1"/>
    <x v="25"/>
    <n v="10383.69"/>
    <x v="2"/>
    <n v="143"/>
    <n v="72.613216783216785"/>
    <n v="1"/>
    <n v="10383.69"/>
    <n v="18.5899"/>
    <n v="193031.75873100001"/>
    <n v="100.492"/>
    <n v="122.94799999999999"/>
    <n v="1.2234"/>
    <n v="236155.05363150541"/>
    <n v="1651.4339414790588"/>
    <m/>
    <n v="143"/>
    <s v="Sale"/>
    <x v="90"/>
    <x v="1"/>
    <n v="14625.41"/>
    <n v="1"/>
    <n v="14625.41"/>
    <n v="19.9437"/>
    <n v="291684.78941700002"/>
    <n v="236155.05363150541"/>
    <n v="55529.735785494617"/>
    <n v="4.0739726027397261"/>
    <n v="1"/>
    <n v="55529.735785494617"/>
    <n v="0"/>
    <m/>
    <n v="4241.7199999999993"/>
    <m/>
    <n v="0.40849832766579119"/>
    <m/>
  </r>
  <r>
    <x v="3"/>
    <s v="Purchase"/>
    <x v="134"/>
    <x v="2"/>
    <x v="1"/>
    <x v="199"/>
    <n v="7857.86"/>
    <x v="2"/>
    <n v="27"/>
    <n v="291.03185185185185"/>
    <n v="1"/>
    <n v="7857.86"/>
    <n v="20.1313"/>
    <n v="158188.937018"/>
    <n v="120.15900000000001"/>
    <n v="122.94799999999999"/>
    <n v="1.0232000000000001"/>
    <n v="161858.9203568176"/>
    <n v="5994.7748280302812"/>
    <m/>
    <n v="27"/>
    <s v="Sale"/>
    <x v="89"/>
    <x v="1"/>
    <n v="6211.75"/>
    <n v="1"/>
    <n v="6211.75"/>
    <n v="19.861799999999999"/>
    <n v="123376.53614999999"/>
    <n v="161858.9203568176"/>
    <n v="-38482.384206817616"/>
    <n v="0.38904109589041097"/>
    <n v="1"/>
    <n v="-38482.384206817616"/>
    <n v="0"/>
    <m/>
    <n v="-1646.1099999999997"/>
    <m/>
    <n v="-0.20948578875164481"/>
    <m/>
  </r>
  <r>
    <x v="3"/>
    <s v="Purchase"/>
    <x v="135"/>
    <x v="2"/>
    <x v="1"/>
    <x v="173"/>
    <n v="4641.87"/>
    <x v="2"/>
    <n v="19"/>
    <n v="244.30894736842106"/>
    <n v="1"/>
    <n v="4641.87"/>
    <n v="19.5547"/>
    <n v="90770.375289000003"/>
    <n v="122.044"/>
    <n v="122.94799999999999"/>
    <n v="1.0074000000000001"/>
    <n v="91442.076066138616"/>
    <n v="4812.7408455862433"/>
    <m/>
    <n v="19"/>
    <s v="Sale"/>
    <x v="89"/>
    <x v="1"/>
    <n v="4575.91"/>
    <n v="1"/>
    <n v="4575.91"/>
    <n v="19.861799999999999"/>
    <n v="90885.809237999987"/>
    <n v="91442.076066138616"/>
    <n v="-556.26682813862863"/>
    <n v="0.19178082191780821"/>
    <n v="1"/>
    <n v="-556.26682813862863"/>
    <n v="0"/>
    <m/>
    <n v="-65.960000000000036"/>
    <m/>
    <n v="-1.4209790450831247E-2"/>
    <m/>
  </r>
  <r>
    <x v="3"/>
    <s v="Purchase"/>
    <x v="136"/>
    <x v="2"/>
    <x v="1"/>
    <x v="200"/>
    <n v="3207.74"/>
    <x v="2"/>
    <n v="20"/>
    <n v="160.387"/>
    <n v="1"/>
    <n v="3207.74"/>
    <n v="19.424299999999999"/>
    <n v="62308.104081999991"/>
    <n v="103.476"/>
    <n v="122.94799999999999"/>
    <n v="1.1880999999999999"/>
    <n v="74028.258459824181"/>
    <n v="3701.4129229912091"/>
    <m/>
    <n v="20"/>
    <s v="Sale"/>
    <x v="89"/>
    <x v="1"/>
    <n v="5538.87"/>
    <n v="1"/>
    <n v="5538.87"/>
    <n v="19.861799999999999"/>
    <n v="110011.928166"/>
    <n v="74028.258459824181"/>
    <n v="35983.669706175817"/>
    <n v="3.4328767123287673"/>
    <n v="1"/>
    <n v="35983.669706175817"/>
    <n v="0"/>
    <m/>
    <n v="2331.13"/>
    <m/>
    <n v="0.72672037010480905"/>
    <m/>
  </r>
  <r>
    <x v="3"/>
    <s v="Purchase"/>
    <x v="25"/>
    <x v="2"/>
    <x v="1"/>
    <x v="25"/>
    <n v="15731.31"/>
    <x v="2"/>
    <n v="161"/>
    <n v="97.71"/>
    <n v="1"/>
    <n v="15731.31"/>
    <n v="18.5899"/>
    <n v="292443.47976899997"/>
    <n v="100.492"/>
    <n v="122.044"/>
    <n v="1.2143999999999999"/>
    <n v="355143.36183147354"/>
    <n v="2205.8593902575994"/>
    <m/>
    <n v="161"/>
    <s v="Sale"/>
    <x v="92"/>
    <x v="1"/>
    <n v="30706.27"/>
    <n v="1"/>
    <n v="30706.27"/>
    <n v="20.512"/>
    <n v="629847.01023999997"/>
    <n v="355143.36183147354"/>
    <n v="274703.64840852644"/>
    <n v="3.989041095890411"/>
    <n v="1"/>
    <n v="274703.64840852644"/>
    <n v="0"/>
    <m/>
    <n v="14974.960000000001"/>
    <m/>
    <n v="0.95192072370323899"/>
    <m/>
  </r>
  <r>
    <x v="3"/>
    <s v="Purchase"/>
    <x v="25"/>
    <x v="2"/>
    <x v="1"/>
    <x v="50"/>
    <n v="1333.8"/>
    <x v="2"/>
    <n v="12"/>
    <n v="111.14999999999999"/>
    <n v="1"/>
    <n v="1333.8"/>
    <n v="19.698499999999999"/>
    <n v="26273.859299999996"/>
    <n v="106.83799999999999"/>
    <n v="122.044"/>
    <n v="1.1423000000000001"/>
    <n v="30012.629478389998"/>
    <n v="2501.0524565324999"/>
    <m/>
    <n v="12"/>
    <s v="Sale"/>
    <x v="92"/>
    <x v="1"/>
    <n v="2288.67"/>
    <n v="1"/>
    <n v="2288.67"/>
    <n v="20.512"/>
    <n v="46945.19904"/>
    <n v="30012.629478390001"/>
    <n v="16932.569561609998"/>
    <n v="2.4027397260273973"/>
    <n v="1"/>
    <n v="16932.569561609998"/>
    <n v="0"/>
    <m/>
    <n v="954.87000000000012"/>
    <m/>
    <n v="0.7159019343229871"/>
    <m/>
  </r>
  <r>
    <x v="3"/>
    <s v="Purchase"/>
    <x v="25"/>
    <x v="2"/>
    <x v="1"/>
    <x v="71"/>
    <n v="6141.07"/>
    <x v="2"/>
    <n v="30"/>
    <n v="204.70233333333331"/>
    <n v="1"/>
    <n v="6141.07"/>
    <n v="20.306000000000001"/>
    <n v="124700.56742000001"/>
    <n v="114.601"/>
    <n v="122.94799999999999"/>
    <n v="1.0728"/>
    <n v="133778.76872817602"/>
    <n v="4459.2922909392009"/>
    <m/>
    <n v="30"/>
    <s v="Sale"/>
    <x v="93"/>
    <x v="1"/>
    <n v="5826.66"/>
    <n v="1"/>
    <n v="5826.66"/>
    <n v="20.377800000000001"/>
    <n v="118734.51214799999"/>
    <n v="133778.76872817602"/>
    <n v="-15044.256580176021"/>
    <n v="0.83561643835616439"/>
    <n v="1"/>
    <n v="-15044.256580176021"/>
    <n v="0"/>
    <m/>
    <n v="-314.40999999999985"/>
    <m/>
    <n v="-5.1197918278085071E-2"/>
    <m/>
  </r>
  <r>
    <x v="3"/>
    <s v="Purchase"/>
    <x v="25"/>
    <x v="2"/>
    <x v="1"/>
    <x v="50"/>
    <n v="3001.05"/>
    <x v="2"/>
    <n v="27"/>
    <n v="111.15"/>
    <n v="1"/>
    <n v="3001.05"/>
    <n v="19.698499999999999"/>
    <n v="59116.183425000003"/>
    <n v="106.83799999999999"/>
    <n v="122.94799999999999"/>
    <n v="1.1507000000000001"/>
    <n v="68024.992267147507"/>
    <n v="2519.4441580425005"/>
    <m/>
    <n v="27"/>
    <s v="Sale"/>
    <x v="93"/>
    <x v="1"/>
    <n v="5244"/>
    <n v="1"/>
    <n v="5244"/>
    <n v="20.377800000000001"/>
    <n v="106861.1832"/>
    <n v="68024.992267147507"/>
    <n v="38836.190932852493"/>
    <n v="2.4109589041095889"/>
    <n v="1"/>
    <n v="38836.190932852493"/>
    <n v="0"/>
    <m/>
    <n v="2242.9499999999998"/>
    <m/>
    <n v="0.74738841405508061"/>
    <m/>
  </r>
  <r>
    <x v="3"/>
    <s v="Purchase"/>
    <x v="25"/>
    <x v="2"/>
    <x v="1"/>
    <x v="46"/>
    <n v="10557.95"/>
    <x v="2"/>
    <n v="97"/>
    <n v="108.84484536082475"/>
    <n v="1"/>
    <n v="10557.95"/>
    <n v="23.869299999999999"/>
    <n v="252010.87593500002"/>
    <n v="106.16200000000001"/>
    <n v="122.94799999999999"/>
    <n v="1.1580999999999999"/>
    <n v="291853.7954203235"/>
    <n v="3008.8020146425101"/>
    <m/>
    <n v="97"/>
    <s v="Sale"/>
    <x v="93"/>
    <x v="1"/>
    <n v="18839.54"/>
    <n v="1"/>
    <n v="18839.54"/>
    <n v="20.377800000000001"/>
    <n v="383908.37821200001"/>
    <n v="291853.7954203235"/>
    <n v="92054.582791676512"/>
    <n v="2.2191780821917808"/>
    <n v="1"/>
    <n v="92054.582791676512"/>
    <n v="0"/>
    <m/>
    <n v="8281.59"/>
    <m/>
    <n v="0.78439375068076655"/>
    <m/>
  </r>
  <r>
    <x v="3"/>
    <s v="Purchase"/>
    <x v="25"/>
    <x v="2"/>
    <x v="1"/>
    <x v="71"/>
    <n v="11258.62"/>
    <x v="2"/>
    <n v="55"/>
    <n v="204.70218181818183"/>
    <n v="1"/>
    <n v="11258.62"/>
    <n v="20.306000000000001"/>
    <n v="228617.53772000002"/>
    <n v="114.601"/>
    <n v="122.94799999999999"/>
    <n v="1.0728"/>
    <n v="245260.89446601601"/>
    <n v="4459.2889902912002"/>
    <m/>
    <n v="55"/>
    <s v="Sale"/>
    <x v="94"/>
    <x v="1"/>
    <n v="10429.85"/>
    <n v="1"/>
    <n v="10429.85"/>
    <n v="20.348500000000001"/>
    <n v="212231.80272500002"/>
    <n v="245260.89446601601"/>
    <n v="-33029.091741015989"/>
    <n v="0.83835616438356164"/>
    <n v="1"/>
    <n v="-33029.091741015989"/>
    <n v="0"/>
    <m/>
    <n v="-828.77000000000044"/>
    <m/>
    <n v="-7.3612041262605926E-2"/>
    <m/>
  </r>
  <r>
    <x v="3"/>
    <s v="Purchase"/>
    <x v="25"/>
    <x v="2"/>
    <x v="1"/>
    <x v="201"/>
    <n v="5701.36"/>
    <x v="2"/>
    <n v="28"/>
    <n v="203.61999999999998"/>
    <n v="1"/>
    <n v="5701.36"/>
    <n v="20.497699999999998"/>
    <n v="116864.76687199998"/>
    <n v="115.56100000000001"/>
    <n v="122.94799999999999"/>
    <n v="1.0639000000000001"/>
    <n v="124332.42547512079"/>
    <n v="4440.4437669685994"/>
    <m/>
    <n v="28"/>
    <s v="Sale"/>
    <x v="94"/>
    <x v="1"/>
    <n v="5309.75"/>
    <n v="1"/>
    <n v="5309.75"/>
    <n v="20.348500000000001"/>
    <n v="108045.44787500001"/>
    <n v="124332.42547512078"/>
    <n v="-16286.977600120765"/>
    <n v="0.83561643835616439"/>
    <n v="1"/>
    <n v="-16286.977600120765"/>
    <n v="0"/>
    <m/>
    <n v="-391.60999999999967"/>
    <m/>
    <n v="-6.8687120266041735E-2"/>
    <m/>
  </r>
  <r>
    <x v="3"/>
    <s v="Purchase"/>
    <x v="25"/>
    <x v="2"/>
    <x v="1"/>
    <x v="48"/>
    <n v="2926.32"/>
    <x v="2"/>
    <n v="17"/>
    <n v="172.13647058823531"/>
    <n v="1"/>
    <n v="2926.32"/>
    <n v="20.658300000000001"/>
    <n v="60452.796456000004"/>
    <n v="122.044"/>
    <n v="122.94799999999999"/>
    <n v="1.0074000000000001"/>
    <n v="60900.147149774406"/>
    <n v="3582.3615970455535"/>
    <m/>
    <n v="17"/>
    <s v="Sale"/>
    <x v="94"/>
    <x v="1"/>
    <n v="3223.77"/>
    <n v="1"/>
    <n v="3223.77"/>
    <n v="20.348500000000001"/>
    <n v="65598.883845000004"/>
    <n v="60900.147149774406"/>
    <n v="4698.7366952255979"/>
    <n v="0.12876712328767123"/>
    <n v="1"/>
    <n v="4698.7366952255979"/>
    <n v="0"/>
    <m/>
    <n v="297.44999999999982"/>
    <m/>
    <n v="0.10164643647994745"/>
    <m/>
  </r>
  <r>
    <x v="3"/>
    <s v="Purchase"/>
    <x v="137"/>
    <x v="2"/>
    <x v="1"/>
    <x v="71"/>
    <n v="54195.74"/>
    <x v="2"/>
    <n v="427"/>
    <n v="126.92210772833724"/>
    <n v="1"/>
    <n v="54195.74"/>
    <n v="20.306000000000001"/>
    <n v="1100498.6964400001"/>
    <n v="114.601"/>
    <n v="122.94799999999999"/>
    <n v="1.0728"/>
    <n v="1180615.001540832"/>
    <n v="2764.9063267935176"/>
    <m/>
    <n v="427"/>
    <s v="Sale"/>
    <x v="91"/>
    <x v="1"/>
    <n v="40191.730000000003"/>
    <n v="1"/>
    <n v="40191.730000000003"/>
    <n v="19.956199999999999"/>
    <n v="802074.20222600002"/>
    <n v="1180615.001540832"/>
    <n v="-378540.79931483197"/>
    <n v="0.86575342465753424"/>
    <n v="1"/>
    <n v="-378540.79931483197"/>
    <n v="0"/>
    <m/>
    <n v="-14004.009999999995"/>
    <m/>
    <n v="-0.25839687768817243"/>
    <m/>
  </r>
  <r>
    <x v="3"/>
    <s v="Purchase"/>
    <x v="137"/>
    <x v="2"/>
    <x v="1"/>
    <x v="202"/>
    <n v="11358.26"/>
    <x v="2"/>
    <n v="101"/>
    <n v="112.4580198019802"/>
    <n v="1"/>
    <n v="11358.26"/>
    <n v="21.204699999999999"/>
    <n v="240848.495822"/>
    <n v="117.30800000000001"/>
    <n v="122.94799999999999"/>
    <n v="1.048"/>
    <n v="252409.22362145601"/>
    <n v="2499.101223974812"/>
    <m/>
    <n v="101"/>
    <s v="Sale"/>
    <x v="91"/>
    <x v="1"/>
    <n v="9506.7099999999991"/>
    <n v="1"/>
    <n v="9506.7099999999991"/>
    <n v="19.956199999999999"/>
    <n v="189717.80610199997"/>
    <n v="252409.22362145601"/>
    <n v="-62691.417519456038"/>
    <n v="0.67671232876712328"/>
    <n v="1"/>
    <n v="-62691.417519456038"/>
    <n v="0"/>
    <m/>
    <n v="-1851.5500000000011"/>
    <m/>
    <n v="-0.16301352495892865"/>
    <m/>
  </r>
  <r>
    <x v="3"/>
    <s v="Purchase"/>
    <x v="137"/>
    <x v="2"/>
    <x v="1"/>
    <x v="196"/>
    <n v="16931.46"/>
    <x v="2"/>
    <n v="182"/>
    <n v="93.03"/>
    <n v="1"/>
    <n v="16931.46"/>
    <n v="19.59"/>
    <n v="331687.3014"/>
    <n v="122.044"/>
    <n v="122.94799999999999"/>
    <n v="1.0074000000000001"/>
    <n v="334141.78743036004"/>
    <n v="1835.9438869800001"/>
    <m/>
    <n v="182"/>
    <s v="Sale"/>
    <x v="91"/>
    <x v="1"/>
    <n v="17130.91"/>
    <n v="1"/>
    <n v="17130.91"/>
    <n v="19.956199999999999"/>
    <n v="341867.86614199996"/>
    <n v="334141.78743036004"/>
    <n v="7726.0787116399151"/>
    <n v="0.17260273972602741"/>
    <n v="1"/>
    <n v="7726.0787116399151"/>
    <n v="0"/>
    <m/>
    <n v="199.45000000000073"/>
    <m/>
    <n v="1.1779846510578576E-2"/>
    <m/>
  </r>
  <r>
    <x v="3"/>
    <s v="Purchase"/>
    <x v="137"/>
    <x v="2"/>
    <x v="1"/>
    <x v="197"/>
    <n v="11275.94"/>
    <x v="2"/>
    <n v="124"/>
    <n v="90.935000000000002"/>
    <n v="1"/>
    <n v="11275.94"/>
    <n v="19.6128"/>
    <n v="221152.756032"/>
    <n v="122.044"/>
    <n v="122.94799999999999"/>
    <n v="1.0074000000000001"/>
    <n v="222789.28642663683"/>
    <n v="1796.6877937632003"/>
    <m/>
    <n v="124"/>
    <s v="Sale"/>
    <x v="91"/>
    <x v="1"/>
    <n v="11671.6"/>
    <n v="1"/>
    <n v="11671.6"/>
    <n v="19.956199999999999"/>
    <n v="232920.78391999999"/>
    <n v="222789.28642663683"/>
    <n v="10131.49749336316"/>
    <n v="0.16438356164383561"/>
    <n v="1"/>
    <n v="10131.49749336316"/>
    <n v="0"/>
    <m/>
    <n v="395.65999999999985"/>
    <m/>
    <n v="3.508887063960963E-2"/>
    <m/>
  </r>
  <r>
    <x v="3"/>
    <s v="Purchase"/>
    <x v="46"/>
    <x v="2"/>
    <x v="1"/>
    <x v="25"/>
    <n v="17092.169999999998"/>
    <x v="2"/>
    <n v="159"/>
    <n v="107.49792452830188"/>
    <n v="1"/>
    <n v="17092.169999999998"/>
    <n v="18.5899"/>
    <n v="317741.73108299996"/>
    <n v="100.492"/>
    <n v="122.94799999999999"/>
    <n v="1.2234"/>
    <n v="388725.23380694218"/>
    <n v="2444.8127912386299"/>
    <m/>
    <n v="159"/>
    <s v="Sale"/>
    <x v="89"/>
    <x v="1"/>
    <n v="46317.23"/>
    <n v="1"/>
    <n v="46317.23"/>
    <n v="19.861799999999999"/>
    <n v="919943.55881399999"/>
    <n v="388725.23380694212"/>
    <n v="531218.32500705787"/>
    <n v="4.0410958904109586"/>
    <n v="1"/>
    <n v="531218.32500705787"/>
    <n v="0"/>
    <m/>
    <n v="29225.060000000005"/>
    <m/>
    <n v="1.7098507679247286"/>
    <m/>
  </r>
  <r>
    <x v="3"/>
    <s v="Purchase"/>
    <x v="65"/>
    <x v="2"/>
    <x v="1"/>
    <x v="71"/>
    <n v="7584.9"/>
    <x v="2"/>
    <n v="52"/>
    <n v="145.86346153846154"/>
    <n v="1"/>
    <n v="7584.9"/>
    <n v="20.306000000000001"/>
    <n v="154018.97940000001"/>
    <n v="114.601"/>
    <n v="122.94799999999999"/>
    <n v="1.0728"/>
    <n v="165231.56110032002"/>
    <n v="3177.5300211600002"/>
    <m/>
    <n v="52"/>
    <s v="Sale"/>
    <x v="89"/>
    <x v="1"/>
    <n v="6089.06"/>
    <n v="1"/>
    <n v="6089.06"/>
    <n v="19.861799999999999"/>
    <n v="120939.69190799999"/>
    <n v="165231.56110032002"/>
    <n v="-44291.869192320024"/>
    <n v="0.8794520547945206"/>
    <n v="1"/>
    <n v="-44291.869192320024"/>
    <n v="0"/>
    <m/>
    <n v="-1495.8399999999992"/>
    <m/>
    <n v="-0.19721288349220151"/>
    <m/>
  </r>
  <r>
    <x v="3"/>
    <s v="Purchase"/>
    <x v="49"/>
    <x v="1"/>
    <x v="1"/>
    <x v="46"/>
    <n v="717.38"/>
    <x v="1"/>
    <n v="11.086"/>
    <n v="64.710445607071975"/>
    <n v="1"/>
    <n v="717.38"/>
    <n v="23.869299999999999"/>
    <n v="17123.358433999998"/>
    <n v="106.16200000000001"/>
    <n v="123.803"/>
    <n v="1.1660999999999999"/>
    <n v="19967.548269887397"/>
    <n v="1801.1499431614104"/>
    <m/>
    <n v="11.086"/>
    <s v="Sale"/>
    <x v="89"/>
    <x v="1"/>
    <n v="922.61"/>
    <n v="1"/>
    <n v="922.61"/>
    <n v="19.861799999999999"/>
    <n v="18324.695297999999"/>
    <n v="19967.548269887397"/>
    <n v="-1642.8529718873979"/>
    <n v="2.2630136986301368"/>
    <n v="1"/>
    <n v="-1642.8529718873979"/>
    <n v="0"/>
    <m/>
    <n v="205.23000000000002"/>
    <m/>
    <n v="0.28608268978783913"/>
    <m/>
  </r>
  <r>
    <x v="3"/>
    <s v="Purchase"/>
    <x v="29"/>
    <x v="2"/>
    <x v="1"/>
    <x v="25"/>
    <n v="3403.76"/>
    <x v="2"/>
    <n v="11"/>
    <n v="309.43272727272728"/>
    <n v="1"/>
    <n v="3403.76"/>
    <n v="18.5899"/>
    <n v="63275.558024000005"/>
    <n v="100.492"/>
    <n v="122.044"/>
    <n v="1.2143999999999999"/>
    <n v="76841.837664345599"/>
    <n v="6985.6216058496002"/>
    <m/>
    <n v="11"/>
    <s v="Sale"/>
    <x v="92"/>
    <x v="1"/>
    <n v="7723.54"/>
    <n v="1"/>
    <n v="7723.54"/>
    <n v="20.512"/>
    <n v="158425.25248"/>
    <n v="76841.837664345599"/>
    <n v="81583.414815654396"/>
    <n v="3.989041095890411"/>
    <n v="1"/>
    <n v="81583.414815654396"/>
    <n v="0"/>
    <m/>
    <n v="4319.78"/>
    <m/>
    <n v="1.2691200319646507"/>
    <m/>
  </r>
  <r>
    <x v="3"/>
    <s v="Purchase"/>
    <x v="29"/>
    <x v="2"/>
    <x v="1"/>
    <x v="203"/>
    <n v="5354.83"/>
    <x v="2"/>
    <n v="14"/>
    <n v="382.48785714285714"/>
    <n v="1"/>
    <n v="5354.83"/>
    <n v="12.853899999999999"/>
    <n v="68830.449336999998"/>
    <n v="72.971670511062001"/>
    <n v="122.94799999999999"/>
    <n v="1.6848000000000001"/>
    <n v="115965.54104297761"/>
    <n v="8283.2529316412583"/>
    <m/>
    <n v="14"/>
    <s v="Sale"/>
    <x v="89"/>
    <x v="1"/>
    <n v="10426.4"/>
    <n v="1"/>
    <n v="10426.4"/>
    <n v="19.861799999999999"/>
    <n v="207087.07151999997"/>
    <n v="115965.54104297762"/>
    <n v="91121.530477022345"/>
    <n v="12.479452054794521"/>
    <n v="1"/>
    <n v="91121.530477022345"/>
    <n v="0"/>
    <m/>
    <n v="5071.57"/>
    <m/>
    <n v="0.94710196215379383"/>
    <m/>
  </r>
  <r>
    <x v="3"/>
    <s v="Purchase"/>
    <x v="30"/>
    <x v="2"/>
    <x v="1"/>
    <x v="20"/>
    <n v="1735.08"/>
    <x v="2"/>
    <n v="11"/>
    <n v="157.73454545454544"/>
    <n v="1"/>
    <n v="1735.08"/>
    <n v="19.2456"/>
    <n v="33392.655648"/>
    <n v="103.108"/>
    <n v="122.94799999999999"/>
    <n v="1.1923999999999999"/>
    <n v="39817.402594675194"/>
    <n v="3619.7638722431993"/>
    <m/>
    <n v="11"/>
    <s v="Sale"/>
    <x v="89"/>
    <x v="1"/>
    <n v="3303.99"/>
    <n v="1"/>
    <n v="3303.99"/>
    <n v="19.861799999999999"/>
    <n v="65623.188581999988"/>
    <n v="39817.402594675194"/>
    <n v="25805.785987324794"/>
    <n v="3.6"/>
    <n v="1"/>
    <n v="25805.785987324794"/>
    <n v="0"/>
    <m/>
    <n v="1568.9099999999999"/>
    <m/>
    <n v="0.90422919980634897"/>
    <m/>
  </r>
  <r>
    <x v="3"/>
    <s v="Purchase"/>
    <x v="30"/>
    <x v="2"/>
    <x v="1"/>
    <x v="23"/>
    <n v="1767.51"/>
    <x v="2"/>
    <n v="9"/>
    <n v="196.39"/>
    <n v="1"/>
    <n v="1767.51"/>
    <n v="19.4543"/>
    <n v="34385.669793000001"/>
    <n v="105.346"/>
    <n v="122.94799999999999"/>
    <n v="1.167"/>
    <n v="40128.076648431001"/>
    <n v="4458.675183159"/>
    <m/>
    <n v="9"/>
    <s v="Sale"/>
    <x v="89"/>
    <x v="1"/>
    <n v="2703.27"/>
    <n v="1"/>
    <n v="2703.27"/>
    <n v="19.861799999999999"/>
    <n v="53691.808085999997"/>
    <n v="40128.076648431001"/>
    <n v="13563.731437568997"/>
    <n v="2.7561643835616438"/>
    <n v="1"/>
    <n v="13563.731437568997"/>
    <n v="0"/>
    <m/>
    <n v="935.76"/>
    <m/>
    <n v="0.52942274725461247"/>
    <m/>
  </r>
  <r>
    <x v="3"/>
    <s v="Purchase"/>
    <x v="50"/>
    <x v="1"/>
    <x v="1"/>
    <x v="41"/>
    <n v="527192.61"/>
    <x v="1"/>
    <n v="17150.05"/>
    <n v="30.740004256547358"/>
    <n v="1"/>
    <n v="527192.61"/>
    <n v="18.6797"/>
    <n v="9847799.7970170006"/>
    <n v="106.889"/>
    <n v="123.803"/>
    <n v="1.1581999999999999"/>
    <n v="11405721.724905089"/>
    <n v="665.05472140927225"/>
    <m/>
    <n v="17150.05"/>
    <s v="Sale"/>
    <x v="89"/>
    <x v="1"/>
    <n v="639353.87"/>
    <n v="1"/>
    <n v="639353.87"/>
    <n v="19.861799999999999"/>
    <n v="12698718.695165999"/>
    <n v="11405721.724905089"/>
    <n v="1292996.9702609107"/>
    <n v="2.5287671232876714"/>
    <n v="1"/>
    <n v="1292996.9702609107"/>
    <n v="0"/>
    <m/>
    <n v="112161.26000000001"/>
    <m/>
    <n v="0.21275195796086749"/>
    <m/>
  </r>
  <r>
    <x v="3"/>
    <s v="Purchase"/>
    <x v="50"/>
    <x v="1"/>
    <x v="1"/>
    <x v="204"/>
    <n v="10473.030000000001"/>
    <x v="1"/>
    <n v="356.83"/>
    <n v="29.350194770619066"/>
    <n v="1"/>
    <n v="10473.030000000001"/>
    <n v="19.776"/>
    <n v="207114.64128000001"/>
    <n v="106.83799999999999"/>
    <n v="123.803"/>
    <n v="1.1587000000000001"/>
    <n v="239983.73485113602"/>
    <n v="672.54360578184583"/>
    <m/>
    <n v="356.83"/>
    <s v="Sale"/>
    <x v="89"/>
    <x v="1"/>
    <n v="13302.62"/>
    <n v="1"/>
    <n v="13302.62"/>
    <n v="19.861799999999999"/>
    <n v="264213.977916"/>
    <n v="239983.73485113605"/>
    <n v="24230.243064863957"/>
    <n v="2.4575342465753423"/>
    <n v="1"/>
    <n v="24230.243064863957"/>
    <n v="0"/>
    <m/>
    <n v="2829.59"/>
    <m/>
    <n v="0.27017873528482206"/>
    <m/>
  </r>
  <r>
    <x v="3"/>
    <s v="Purchase"/>
    <x v="68"/>
    <x v="2"/>
    <x v="1"/>
    <x v="173"/>
    <n v="4901.13"/>
    <x v="2"/>
    <n v="41"/>
    <n v="119.53975609756098"/>
    <n v="1"/>
    <n v="4901.13"/>
    <n v="19.5547"/>
    <n v="95840.126811000009"/>
    <n v="122.044"/>
    <n v="122.94799999999999"/>
    <n v="1.0074000000000001"/>
    <n v="96549.343749401422"/>
    <n v="2354.8620426683274"/>
    <m/>
    <n v="41"/>
    <s v="Sale"/>
    <x v="89"/>
    <x v="1"/>
    <n v="5179.34"/>
    <n v="1"/>
    <n v="5179.34"/>
    <n v="19.861799999999999"/>
    <n v="102871.015212"/>
    <n v="96549.343749401422"/>
    <n v="6321.6714625985769"/>
    <n v="0.19178082191780821"/>
    <n v="1"/>
    <n v="6321.6714625985769"/>
    <n v="0"/>
    <m/>
    <n v="278.21000000000004"/>
    <m/>
    <n v="5.6764460440755504E-2"/>
    <m/>
  </r>
  <r>
    <x v="3"/>
    <s v="Purchase"/>
    <x v="138"/>
    <x v="2"/>
    <x v="1"/>
    <x v="173"/>
    <n v="1722.24"/>
    <x v="2"/>
    <n v="39"/>
    <n v="44.160000000000004"/>
    <n v="1"/>
    <n v="1722.24"/>
    <n v="19.5547"/>
    <n v="33677.886528000003"/>
    <n v="122.044"/>
    <n v="122.94799999999999"/>
    <n v="1.0074000000000001"/>
    <n v="33927.102888307207"/>
    <n v="869.92571508480012"/>
    <m/>
    <n v="39"/>
    <s v="Sale"/>
    <x v="89"/>
    <x v="1"/>
    <n v="1695.1"/>
    <n v="1"/>
    <n v="1695.1"/>
    <n v="19.861799999999999"/>
    <n v="33667.737179999996"/>
    <n v="33927.102888307207"/>
    <n v="-259.3657083072103"/>
    <n v="0.19178082191780821"/>
    <n v="1"/>
    <n v="-259.3657083072103"/>
    <n v="0"/>
    <m/>
    <n v="-27.1400000000001"/>
    <m/>
    <n v="-1.5758547008547067E-2"/>
    <m/>
  </r>
  <r>
    <x v="3"/>
    <s v="Purchase"/>
    <x v="139"/>
    <x v="2"/>
    <x v="1"/>
    <x v="59"/>
    <n v="6041.45"/>
    <x v="2"/>
    <n v="16"/>
    <n v="377.59062499999999"/>
    <n v="1"/>
    <n v="6041.45"/>
    <n v="19.814299999999999"/>
    <n v="119707.10273499999"/>
    <n v="112.419"/>
    <n v="122.94799999999999"/>
    <n v="1.0935999999999999"/>
    <n v="130911.68755099598"/>
    <n v="8181.9804719372487"/>
    <m/>
    <n v="16"/>
    <s v="Sale"/>
    <x v="89"/>
    <x v="1"/>
    <n v="6208.9"/>
    <n v="1"/>
    <n v="6208.9"/>
    <n v="19.861799999999999"/>
    <n v="123319.93001999999"/>
    <n v="130911.68755099598"/>
    <n v="-7591.7575309959939"/>
    <n v="1.2410958904109588"/>
    <n v="1"/>
    <n v="-7591.7575309959939"/>
    <n v="0"/>
    <m/>
    <n v="167.44999999999982"/>
    <m/>
    <n v="2.771685605276876E-2"/>
    <m/>
  </r>
  <r>
    <x v="3"/>
    <s v="Purchase"/>
    <x v="139"/>
    <x v="2"/>
    <x v="1"/>
    <x v="59"/>
    <n v="7551.81"/>
    <x v="2"/>
    <n v="20"/>
    <n v="377.59050000000002"/>
    <n v="1"/>
    <n v="7551.81"/>
    <n v="19.814299999999999"/>
    <n v="149633.82888300001"/>
    <n v="112.419"/>
    <n v="122.94799999999999"/>
    <n v="1.0935999999999999"/>
    <n v="163639.55526644879"/>
    <n v="8181.9777633224394"/>
    <m/>
    <n v="20"/>
    <s v="Sale"/>
    <x v="90"/>
    <x v="1"/>
    <n v="7273.77"/>
    <n v="1"/>
    <n v="7273.77"/>
    <n v="19.9437"/>
    <n v="145065.886749"/>
    <n v="163639.55526644879"/>
    <n v="-18573.668517448794"/>
    <n v="1.273972602739726"/>
    <n v="1"/>
    <n v="-18573.668517448794"/>
    <n v="0"/>
    <m/>
    <n v="-278.03999999999996"/>
    <m/>
    <n v="-3.6817663579989425E-2"/>
    <m/>
  </r>
  <r>
    <x v="3"/>
    <s v="Purchase"/>
    <x v="140"/>
    <x v="2"/>
    <x v="1"/>
    <x v="24"/>
    <n v="8863.58"/>
    <x v="2"/>
    <n v="49"/>
    <n v="180.88938775510204"/>
    <n v="1"/>
    <n v="8863.58"/>
    <n v="24.0563"/>
    <n v="213224.93955400001"/>
    <n v="106.16200000000001"/>
    <n v="122.94799999999999"/>
    <n v="1.1580999999999999"/>
    <n v="246935.8024974874"/>
    <n v="5039.5061734181099"/>
    <m/>
    <n v="49"/>
    <s v="Sale"/>
    <x v="89"/>
    <x v="1"/>
    <n v="9206.4"/>
    <n v="1"/>
    <n v="9206.4"/>
    <n v="19.861799999999999"/>
    <n v="182855.67551999999"/>
    <n v="246935.8024974874"/>
    <n v="-64080.126977487409"/>
    <n v="2.2684931506849315"/>
    <n v="1"/>
    <n v="-64080.126977487409"/>
    <n v="0"/>
    <m/>
    <n v="342.81999999999971"/>
    <m/>
    <n v="3.8677374153558687E-2"/>
    <m/>
  </r>
  <r>
    <x v="3"/>
    <s v="Purchase"/>
    <x v="141"/>
    <x v="2"/>
    <x v="1"/>
    <x v="24"/>
    <n v="4280.8100000000004"/>
    <x v="2"/>
    <n v="23"/>
    <n v="186.1221739130435"/>
    <n v="1"/>
    <n v="4280.8100000000004"/>
    <n v="24.0563"/>
    <n v="102980.44960300002"/>
    <n v="106.16200000000001"/>
    <n v="122.94799999999999"/>
    <n v="1.1580999999999999"/>
    <n v="119261.6586852343"/>
    <n v="5185.2895080536655"/>
    <m/>
    <n v="23"/>
    <s v="Sale"/>
    <x v="89"/>
    <x v="1"/>
    <n v="5813.35"/>
    <n v="1"/>
    <n v="5813.35"/>
    <n v="19.861799999999999"/>
    <n v="115463.59503"/>
    <n v="119261.6586852343"/>
    <n v="-3798.0636552343058"/>
    <n v="2.2684931506849315"/>
    <n v="1"/>
    <n v="-3798.0636552343058"/>
    <n v="0"/>
    <m/>
    <n v="1532.54"/>
    <m/>
    <n v="0.35800234067851638"/>
    <m/>
  </r>
  <r>
    <x v="3"/>
    <s v="Purchase"/>
    <x v="142"/>
    <x v="2"/>
    <x v="1"/>
    <x v="173"/>
    <n v="10608.22"/>
    <x v="2"/>
    <n v="83"/>
    <n v="127.80987951807228"/>
    <n v="1"/>
    <n v="10608.22"/>
    <n v="19.5547"/>
    <n v="207440.559634"/>
    <n v="122.044"/>
    <n v="122.94799999999999"/>
    <n v="1.0074000000000001"/>
    <n v="208975.61977529162"/>
    <n v="2517.7785515095375"/>
    <m/>
    <n v="83"/>
    <s v="Sale"/>
    <x v="89"/>
    <x v="1"/>
    <n v="11552.82"/>
    <n v="1"/>
    <n v="11552.82"/>
    <n v="19.861799999999999"/>
    <n v="229459.80027599999"/>
    <n v="208975.61977529162"/>
    <n v="20484.180500708375"/>
    <n v="0.19178082191780821"/>
    <n v="1"/>
    <n v="20484.180500708375"/>
    <n v="0"/>
    <m/>
    <n v="944.60000000000036"/>
    <m/>
    <n v="8.9044156324058182E-2"/>
    <m/>
  </r>
  <r>
    <x v="3"/>
    <s v="Purchase"/>
    <x v="143"/>
    <x v="2"/>
    <x v="1"/>
    <x v="194"/>
    <n v="7472.13"/>
    <x v="2"/>
    <n v="44"/>
    <n v="169.82113636363636"/>
    <n v="1"/>
    <n v="7472.13"/>
    <n v="21.263500000000001"/>
    <n v="158883.63625500002"/>
    <n v="111.824"/>
    <n v="122.94799999999999"/>
    <n v="1.0993999999999999"/>
    <n v="174676.66969874702"/>
    <n v="3969.9243113351595"/>
    <m/>
    <n v="44"/>
    <s v="Sale"/>
    <x v="89"/>
    <x v="1"/>
    <n v="7800.36"/>
    <n v="1"/>
    <n v="7800.36"/>
    <n v="19.861799999999999"/>
    <n v="154929.19024799997"/>
    <n v="174676.66969874702"/>
    <n v="-19747.479450747051"/>
    <n v="1.441095890410959"/>
    <n v="1"/>
    <n v="-19747.479450747051"/>
    <n v="0"/>
    <m/>
    <n v="328.22999999999956"/>
    <m/>
    <n v="4.3927233600057757E-2"/>
    <m/>
  </r>
  <r>
    <x v="3"/>
    <s v="Purchase"/>
    <x v="32"/>
    <x v="2"/>
    <x v="1"/>
    <x v="25"/>
    <n v="5283.23"/>
    <x v="2"/>
    <n v="109"/>
    <n v="48.47"/>
    <n v="1"/>
    <n v="5283.23"/>
    <n v="18.5899"/>
    <n v="98214.717376999994"/>
    <n v="100.492"/>
    <n v="122.044"/>
    <n v="1.2143999999999999"/>
    <n v="119271.95278262878"/>
    <n v="1094.2380989231999"/>
    <m/>
    <n v="109"/>
    <s v="Sale"/>
    <x v="92"/>
    <x v="1"/>
    <n v="6630.3"/>
    <n v="1"/>
    <n v="6630.3"/>
    <n v="20.512"/>
    <n v="136000.71360000002"/>
    <n v="119271.9527826288"/>
    <n v="16728.760817371221"/>
    <n v="3.989041095890411"/>
    <n v="1"/>
    <n v="16728.760817371221"/>
    <n v="0"/>
    <m/>
    <n v="1347.0700000000006"/>
    <m/>
    <n v="0.25497091741226496"/>
    <m/>
  </r>
  <r>
    <x v="3"/>
    <s v="Purchase"/>
    <x v="32"/>
    <x v="2"/>
    <x v="1"/>
    <x v="25"/>
    <n v="4604.6499999999996"/>
    <x v="2"/>
    <n v="95"/>
    <n v="48.47"/>
    <n v="1"/>
    <n v="4604.6499999999996"/>
    <n v="18.5899"/>
    <n v="85599.983034999997"/>
    <n v="100.492"/>
    <n v="122.94799999999999"/>
    <n v="1.2234"/>
    <n v="104723.01924501899"/>
    <n v="1102.3475710001999"/>
    <m/>
    <n v="95"/>
    <s v="Sale"/>
    <x v="93"/>
    <x v="1"/>
    <n v="5908.17"/>
    <n v="1"/>
    <n v="5908.17"/>
    <n v="20.377800000000001"/>
    <n v="120395.506626"/>
    <n v="104723.01924501899"/>
    <n v="15672.487380981009"/>
    <n v="3.9972602739726026"/>
    <n v="1"/>
    <n v="15672.487380981009"/>
    <n v="0"/>
    <m/>
    <n v="1303.5200000000004"/>
    <m/>
    <n v="0.28308774825448202"/>
    <m/>
  </r>
  <r>
    <x v="3"/>
    <s v="Purchase"/>
    <x v="32"/>
    <x v="2"/>
    <x v="1"/>
    <x v="25"/>
    <n v="4410.7700000000004"/>
    <x v="2"/>
    <n v="91"/>
    <n v="48.470000000000006"/>
    <n v="1"/>
    <n v="4410.7700000000004"/>
    <n v="18.5899"/>
    <n v="81995.773223000011"/>
    <n v="100.492"/>
    <n v="122.94799999999999"/>
    <n v="1.2234"/>
    <n v="100313.62896101821"/>
    <n v="1102.3475710002001"/>
    <m/>
    <n v="91"/>
    <s v="Sale"/>
    <x v="89"/>
    <x v="1"/>
    <n v="6240.64"/>
    <n v="1"/>
    <n v="6240.64"/>
    <n v="19.861799999999999"/>
    <n v="123950.34355200001"/>
    <n v="100313.62896101821"/>
    <n v="23636.714590981792"/>
    <n v="4.0410958904109586"/>
    <n v="1"/>
    <n v="23636.714590981792"/>
    <n v="0"/>
    <m/>
    <n v="1829.87"/>
    <m/>
    <n v="0.41486407135262088"/>
    <m/>
  </r>
  <r>
    <x v="3"/>
    <s v="Purchase"/>
    <x v="34"/>
    <x v="2"/>
    <x v="1"/>
    <x v="35"/>
    <n v="6793.92"/>
    <x v="2"/>
    <n v="30"/>
    <n v="226.464"/>
    <n v="1"/>
    <n v="6793.92"/>
    <n v="19.836200000000002"/>
    <n v="134765.55590400001"/>
    <n v="112.19"/>
    <n v="122.94799999999999"/>
    <n v="1.0958000000000001"/>
    <n v="147676.09615960321"/>
    <n v="4922.5365386534404"/>
    <m/>
    <n v="30"/>
    <s v="Sale"/>
    <x v="89"/>
    <x v="1"/>
    <n v="7224.82"/>
    <n v="1"/>
    <n v="7224.82"/>
    <n v="19.861799999999999"/>
    <n v="143497.92987599998"/>
    <n v="147676.09615960321"/>
    <n v="-4178.1662836032338"/>
    <n v="1.3041095890410959"/>
    <n v="1"/>
    <n v="-4178.1662836032338"/>
    <n v="0"/>
    <m/>
    <n v="430.89999999999964"/>
    <m/>
    <n v="6.3424355894682247E-2"/>
    <m/>
  </r>
  <r>
    <x v="3"/>
    <s v="Purchase"/>
    <x v="36"/>
    <x v="2"/>
    <x v="1"/>
    <x v="37"/>
    <n v="1305.46"/>
    <x v="2"/>
    <n v="5"/>
    <n v="261.09199999999998"/>
    <n v="1"/>
    <n v="1305.46"/>
    <n v="24.038799999999998"/>
    <n v="31381.691847999999"/>
    <n v="105.755"/>
    <n v="122.94799999999999"/>
    <n v="1.1625000000000001"/>
    <n v="36481.216773300002"/>
    <n v="7296.2433546600005"/>
    <m/>
    <n v="5"/>
    <s v="Sale"/>
    <x v="89"/>
    <x v="1"/>
    <n v="2730.06"/>
    <n v="1"/>
    <n v="2730.06"/>
    <n v="19.861799999999999"/>
    <n v="54223.905707999998"/>
    <n v="36481.216773300002"/>
    <n v="17742.688934699996"/>
    <n v="2.3452054794520549"/>
    <n v="1"/>
    <n v="17742.688934699996"/>
    <n v="0"/>
    <m/>
    <n v="1424.6"/>
    <m/>
    <n v="1.0912628498766717"/>
    <m/>
  </r>
  <r>
    <x v="3"/>
    <s v="Purchase"/>
    <x v="36"/>
    <x v="2"/>
    <x v="1"/>
    <x v="205"/>
    <n v="1352.97"/>
    <x v="2"/>
    <n v="5"/>
    <n v="270.59399999999999"/>
    <n v="1"/>
    <n v="1352.97"/>
    <n v="24.092500000000001"/>
    <n v="32596.429725000002"/>
    <n v="105.755"/>
    <n v="122.94799999999999"/>
    <n v="1.1625000000000001"/>
    <n v="37893.349555312503"/>
    <n v="7578.6699110625004"/>
    <m/>
    <n v="5"/>
    <s v="Sale"/>
    <x v="89"/>
    <x v="1"/>
    <n v="2730.06"/>
    <n v="1"/>
    <n v="2730.06"/>
    <n v="19.861799999999999"/>
    <n v="54223.905707999998"/>
    <n v="37893.349555312503"/>
    <n v="16330.556152687495"/>
    <n v="2.3424657534246576"/>
    <n v="1"/>
    <n v="16330.556152687495"/>
    <n v="0"/>
    <m/>
    <n v="1377.09"/>
    <m/>
    <n v="1.01782744628484"/>
    <m/>
  </r>
  <r>
    <x v="3"/>
    <s v="Purchase"/>
    <x v="144"/>
    <x v="1"/>
    <x v="1"/>
    <x v="26"/>
    <n v="460888.61"/>
    <x v="1"/>
    <n v="27159.023000000001"/>
    <n v="16.969999620383987"/>
    <n v="1"/>
    <n v="460888.61"/>
    <n v="19.162299999999998"/>
    <n v="8831685.8114029989"/>
    <n v="103.07899999999999"/>
    <n v="123.803"/>
    <n v="1.2010000000000001"/>
    <n v="10606854.659495002"/>
    <n v="390.54625269454652"/>
    <m/>
    <n v="27159.023000000001"/>
    <s v="Sale"/>
    <x v="89"/>
    <x v="1"/>
    <n v="638237.05000000005"/>
    <n v="1"/>
    <n v="638237.05000000005"/>
    <n v="19.861799999999999"/>
    <n v="12676536.639690001"/>
    <n v="10606854.659495002"/>
    <n v="2069681.9801949989"/>
    <n v="3.5424657534246577"/>
    <n v="1"/>
    <n v="2069681.9801949989"/>
    <n v="0"/>
    <m/>
    <n v="177348.44000000006"/>
    <m/>
    <n v="0.38479675164895061"/>
    <m/>
  </r>
  <r>
    <x v="3"/>
    <s v="Purchase"/>
    <x v="144"/>
    <x v="1"/>
    <x v="1"/>
    <x v="204"/>
    <n v="17855.259999999998"/>
    <x v="1"/>
    <n v="923.70699999999999"/>
    <n v="19.330003994773232"/>
    <n v="1"/>
    <n v="17855.259999999998"/>
    <n v="19.776"/>
    <n v="353105.62175999995"/>
    <n v="106.83799999999999"/>
    <n v="123.803"/>
    <n v="1.1587000000000001"/>
    <n v="409143.48393331195"/>
    <n v="442.93643323403626"/>
    <m/>
    <n v="923.70699999999999"/>
    <s v="Sale"/>
    <x v="89"/>
    <x v="1"/>
    <n v="21707.11"/>
    <n v="1"/>
    <n v="21707.11"/>
    <n v="19.861799999999999"/>
    <n v="431142.27739800001"/>
    <n v="409143.48393331195"/>
    <n v="21998.79346468806"/>
    <n v="2.4575342465753423"/>
    <n v="1"/>
    <n v="21998.79346468806"/>
    <n v="0"/>
    <m/>
    <n v="3851.8500000000022"/>
    <m/>
    <n v="0.215726346185942"/>
    <m/>
  </r>
  <r>
    <x v="3"/>
    <s v="Purchase"/>
    <x v="145"/>
    <x v="2"/>
    <x v="1"/>
    <x v="25"/>
    <n v="9857.99"/>
    <x v="2"/>
    <n v="71"/>
    <n v="138.8449295774648"/>
    <n v="1"/>
    <n v="9857.99"/>
    <n v="18.5899"/>
    <n v="183259.048301"/>
    <n v="100.492"/>
    <n v="122.94799999999999"/>
    <n v="1.2234"/>
    <n v="224199.1196914434"/>
    <n v="3157.7340801611745"/>
    <m/>
    <n v="71"/>
    <s v="Sale"/>
    <x v="89"/>
    <x v="1"/>
    <n v="15250.81"/>
    <n v="1"/>
    <n v="15250.81"/>
    <n v="19.861799999999999"/>
    <n v="302908.53805799998"/>
    <n v="224199.1196914434"/>
    <n v="78709.41836655658"/>
    <n v="4.0410958904109586"/>
    <n v="1"/>
    <n v="78709.41836655658"/>
    <n v="0"/>
    <m/>
    <n v="5392.82"/>
    <m/>
    <n v="0.54705066651518208"/>
    <m/>
  </r>
  <r>
    <x v="0"/>
    <m/>
    <x v="0"/>
    <x v="0"/>
    <x v="0"/>
    <x v="0"/>
    <m/>
    <x v="0"/>
    <n v="0"/>
    <n v="0"/>
    <n v="0"/>
    <n v="0"/>
    <n v="0"/>
    <n v="0"/>
    <n v="0"/>
    <n v="0"/>
    <n v="0"/>
    <n v="0"/>
    <n v="0"/>
    <m/>
    <m/>
    <m/>
    <x v="0"/>
    <x v="0"/>
    <m/>
    <n v="0"/>
    <n v="0"/>
    <n v="0"/>
    <n v="0"/>
    <n v="0"/>
    <n v="0"/>
    <n v="0"/>
    <n v="1"/>
    <n v="0"/>
    <n v="0"/>
    <m/>
    <n v="0"/>
    <m/>
    <n v="0"/>
    <m/>
  </r>
  <r>
    <x v="3"/>
    <s v="Purchase"/>
    <x v="14"/>
    <x v="2"/>
    <x v="1"/>
    <x v="20"/>
    <n v="1249.6300000000001"/>
    <x v="2"/>
    <n v="11"/>
    <n v="113.60272727272728"/>
    <n v="1"/>
    <n v="1249.6300000000001"/>
    <n v="19.2456"/>
    <n v="24049.879128"/>
    <n v="103.108"/>
    <n v="122.94799999999999"/>
    <n v="1.1923999999999999"/>
    <n v="28677.075872227197"/>
    <n v="2607.0068974751998"/>
    <m/>
    <n v="11"/>
    <s v="Sale"/>
    <x v="95"/>
    <x v="1"/>
    <n v="2959.89"/>
    <n v="1"/>
    <n v="2959.89"/>
    <n v="19.9268"/>
    <n v="58981.136051999994"/>
    <n v="28677.075872227197"/>
    <n v="30304.060179772798"/>
    <n v="3.6356164383561644"/>
    <n v="1"/>
    <n v="30304.060179772798"/>
    <n v="0"/>
    <m/>
    <n v="1710.2599999999998"/>
    <m/>
    <n v="1.3686131094804059"/>
    <m/>
  </r>
  <r>
    <x v="3"/>
    <s v="Purchase"/>
    <x v="44"/>
    <x v="2"/>
    <x v="1"/>
    <x v="25"/>
    <n v="3703.27"/>
    <x v="2"/>
    <n v="51"/>
    <n v="72.613137254901957"/>
    <n v="1"/>
    <n v="3703.27"/>
    <n v="18.5899"/>
    <n v="68843.418973000007"/>
    <n v="100.492"/>
    <n v="122.94799999999999"/>
    <n v="1.2234"/>
    <n v="84223.038771568215"/>
    <n v="1651.4321327758473"/>
    <m/>
    <n v="51"/>
    <s v="Sale"/>
    <x v="95"/>
    <x v="1"/>
    <n v="5152.83"/>
    <n v="1"/>
    <n v="5152.83"/>
    <n v="19.9268"/>
    <n v="102679.41284400001"/>
    <n v="84223.038771568215"/>
    <n v="18456.37407243179"/>
    <n v="4.0767123287671234"/>
    <n v="1"/>
    <n v="18456.37407243179"/>
    <n v="0"/>
    <m/>
    <n v="1449.56"/>
    <m/>
    <n v="0.39142703610592799"/>
    <m/>
  </r>
  <r>
    <x v="3"/>
    <s v="Purchase"/>
    <x v="44"/>
    <x v="2"/>
    <x v="1"/>
    <x v="38"/>
    <n v="5319.06"/>
    <x v="2"/>
    <n v="66"/>
    <n v="80.591818181818184"/>
    <n v="1"/>
    <n v="5319.06"/>
    <n v="18.847999999999999"/>
    <n v="100253.64288"/>
    <n v="103.53100000000001"/>
    <n v="122.94799999999999"/>
    <n v="1.1875"/>
    <n v="119051.20092"/>
    <n v="1803.8060745454545"/>
    <m/>
    <n v="66"/>
    <s v="Sale"/>
    <x v="95"/>
    <x v="1"/>
    <n v="6668.37"/>
    <n v="1"/>
    <n v="6668.37"/>
    <n v="19.9268"/>
    <n v="132879.27531599998"/>
    <n v="119051.20092"/>
    <n v="13828.074395999982"/>
    <n v="3.3561643835616439"/>
    <n v="1"/>
    <n v="13828.074395999982"/>
    <n v="0"/>
    <m/>
    <n v="1349.3099999999995"/>
    <m/>
    <n v="0.25367452143799835"/>
    <m/>
  </r>
  <r>
    <x v="3"/>
    <s v="Purchase"/>
    <x v="139"/>
    <x v="2"/>
    <x v="1"/>
    <x v="59"/>
    <n v="6419.03"/>
    <x v="2"/>
    <n v="17"/>
    <n v="377.59"/>
    <n v="1"/>
    <n v="6419.03"/>
    <n v="19.814299999999999"/>
    <n v="127188.58612899999"/>
    <n v="112.419"/>
    <n v="122.94799999999999"/>
    <n v="1.0935999999999999"/>
    <n v="139093.43779067436"/>
    <n v="8181.9669288631976"/>
    <m/>
    <n v="17"/>
    <s v="Sale"/>
    <x v="95"/>
    <x v="1"/>
    <n v="6048.23"/>
    <n v="1"/>
    <n v="6048.23"/>
    <n v="19.9268"/>
    <n v="120521.86956399999"/>
    <n v="139093.43779067436"/>
    <n v="-18571.568226674368"/>
    <n v="1.2767123287671234"/>
    <n v="1"/>
    <n v="-18571.568226674368"/>
    <n v="0"/>
    <m/>
    <n v="-370.80000000000018"/>
    <m/>
    <n v="-5.7765737190821696E-2"/>
    <m/>
  </r>
  <r>
    <x v="3"/>
    <s v="Purchase"/>
    <x v="44"/>
    <x v="2"/>
    <x v="1"/>
    <x v="38"/>
    <n v="10154.57"/>
    <x v="2"/>
    <n v="126"/>
    <n v="80.591825396825399"/>
    <n v="1"/>
    <n v="10154.57"/>
    <n v="18.847999999999999"/>
    <n v="191393.33536"/>
    <n v="103.53100000000001"/>
    <n v="122.94799999999999"/>
    <n v="1.1875"/>
    <n v="227279.58574000001"/>
    <n v="1803.806236031746"/>
    <m/>
    <n v="126"/>
    <s v="Sale"/>
    <x v="96"/>
    <x v="1"/>
    <n v="12740.36"/>
    <n v="1"/>
    <n v="12740.36"/>
    <n v="19.994499999999999"/>
    <n v="254737.12802"/>
    <n v="227279.58574000001"/>
    <n v="27457.542279999994"/>
    <n v="3.3589041095890413"/>
    <n v="1"/>
    <n v="27457.542279999994"/>
    <n v="0"/>
    <m/>
    <n v="2585.7900000000009"/>
    <m/>
    <n v="0.25464298340550129"/>
    <m/>
  </r>
  <r>
    <x v="3"/>
    <s v="Purchase"/>
    <x v="139"/>
    <x v="2"/>
    <x v="1"/>
    <x v="59"/>
    <n v="4153.5"/>
    <x v="2"/>
    <n v="11"/>
    <n v="377.59090909090907"/>
    <n v="1"/>
    <n v="4153.5"/>
    <n v="19.814299999999999"/>
    <n v="82298.695049999995"/>
    <n v="112.419"/>
    <n v="122.94799999999999"/>
    <n v="1.0935999999999999"/>
    <n v="90001.852906679982"/>
    <n v="8181.9866278799982"/>
    <m/>
    <n v="11"/>
    <s v="Sale"/>
    <x v="96"/>
    <x v="1"/>
    <n v="3928.82"/>
    <n v="1"/>
    <n v="3928.82"/>
    <n v="19.994499999999999"/>
    <n v="78554.791490000003"/>
    <n v="90001.852906679982"/>
    <n v="-11447.061416679979"/>
    <n v="1.2794520547945205"/>
    <n v="1"/>
    <n v="-11447.061416679979"/>
    <n v="0"/>
    <m/>
    <n v="-224.67999999999984"/>
    <m/>
    <n v="-5.4094137474419123E-2"/>
    <m/>
  </r>
  <r>
    <x v="3"/>
    <s v="Purchase"/>
    <x v="44"/>
    <x v="2"/>
    <x v="1"/>
    <x v="38"/>
    <n v="4190.7700000000004"/>
    <x v="2"/>
    <n v="52"/>
    <n v="80.591730769230779"/>
    <n v="1"/>
    <n v="4190.7700000000004"/>
    <n v="18.847999999999999"/>
    <n v="78987.632960000003"/>
    <n v="103.53100000000001"/>
    <n v="123.803"/>
    <n v="1.1958"/>
    <n v="94453.411493567997"/>
    <n v="1816.4117594916922"/>
    <m/>
    <n v="52"/>
    <s v="Sale"/>
    <x v="97"/>
    <x v="1"/>
    <n v="5220.1499999999996"/>
    <n v="1"/>
    <n v="5220.1499999999996"/>
    <n v="20.1465"/>
    <n v="105167.75197499999"/>
    <n v="94453.411493567997"/>
    <n v="10714.340481431995"/>
    <n v="3.3616438356164382"/>
    <n v="1"/>
    <n v="10714.340481431995"/>
    <n v="0"/>
    <m/>
    <n v="1029.3799999999992"/>
    <m/>
    <n v="0.24563027796801043"/>
    <m/>
  </r>
  <r>
    <x v="3"/>
    <s v="Purchase"/>
    <x v="44"/>
    <x v="2"/>
    <x v="1"/>
    <x v="46"/>
    <n v="6268.2"/>
    <x v="2"/>
    <n v="68"/>
    <n v="92.179411764705875"/>
    <n v="1"/>
    <n v="6268.2"/>
    <n v="23.869299999999999"/>
    <n v="149617.54626"/>
    <n v="106.16200000000001"/>
    <n v="123.803"/>
    <n v="1.1660999999999999"/>
    <n v="174469.02069378598"/>
    <n v="2565.7208925556761"/>
    <m/>
    <n v="68"/>
    <s v="Sale"/>
    <x v="97"/>
    <x v="1"/>
    <n v="6826.35"/>
    <n v="1"/>
    <n v="6826.35"/>
    <n v="20.1465"/>
    <n v="137527.060275"/>
    <n v="174469.02069378598"/>
    <n v="-36941.96041878598"/>
    <n v="2.3041095890410959"/>
    <n v="1"/>
    <n v="-36941.96041878598"/>
    <n v="0"/>
    <m/>
    <n v="558.15000000000055"/>
    <m/>
    <n v="8.9044701828276146E-2"/>
    <m/>
  </r>
  <r>
    <x v="3"/>
    <s v="Purchase"/>
    <x v="139"/>
    <x v="2"/>
    <x v="1"/>
    <x v="59"/>
    <n v="377.59"/>
    <x v="2"/>
    <n v="1"/>
    <n v="377.59"/>
    <n v="1"/>
    <n v="377.59"/>
    <n v="19.814299999999999"/>
    <n v="7481.6815369999995"/>
    <n v="112.419"/>
    <n v="123.803"/>
    <n v="1.1012"/>
    <n v="8238.8277085443988"/>
    <n v="8238.8277085443988"/>
    <m/>
    <n v="1"/>
    <s v="Sale"/>
    <x v="97"/>
    <x v="1"/>
    <n v="348.69"/>
    <n v="1"/>
    <n v="348.69"/>
    <n v="20.1465"/>
    <n v="7024.8830849999995"/>
    <n v="8238.8277085443988"/>
    <n v="-1213.9446235443993"/>
    <n v="1.2821917808219179"/>
    <n v="1"/>
    <n v="-1213.9446235443993"/>
    <n v="0"/>
    <m/>
    <n v="-28.899999999999977"/>
    <m/>
    <n v="-7.6538043910061124E-2"/>
    <m/>
  </r>
  <r>
    <x v="3"/>
    <s v="Purchase"/>
    <x v="139"/>
    <x v="2"/>
    <x v="1"/>
    <x v="206"/>
    <n v="4561.92"/>
    <x v="2"/>
    <n v="12"/>
    <n v="380.16"/>
    <n v="1"/>
    <n v="4561.92"/>
    <n v="19.881"/>
    <n v="90695.531520000004"/>
    <n v="112.419"/>
    <n v="123.803"/>
    <n v="1.1012"/>
    <n v="99873.919309824007"/>
    <n v="8322.8266091519999"/>
    <m/>
    <n v="12"/>
    <s v="Sale"/>
    <x v="97"/>
    <x v="1"/>
    <n v="4184.2700000000004"/>
    <n v="1"/>
    <n v="4184.2700000000004"/>
    <n v="20.1465"/>
    <n v="84298.39555500001"/>
    <n v="99873.919309824007"/>
    <n v="-15575.523754823997"/>
    <n v="1.273972602739726"/>
    <n v="1"/>
    <n v="-15575.523754823997"/>
    <n v="0"/>
    <m/>
    <n v="-377.64999999999964"/>
    <m/>
    <n v="-8.2783126402917989E-2"/>
    <m/>
  </r>
  <r>
    <x v="3"/>
    <s v="Purchase"/>
    <x v="146"/>
    <x v="2"/>
    <x v="1"/>
    <x v="49"/>
    <n v="29706.58"/>
    <x v="2"/>
    <n v="355"/>
    <n v="83.680507042253524"/>
    <n v="1"/>
    <n v="29706.58"/>
    <n v="19.970500000000001"/>
    <n v="593255.25589000003"/>
    <n v="110.21"/>
    <n v="123.803"/>
    <n v="1.1233"/>
    <n v="666403.628941237"/>
    <n v="1877.1933209612309"/>
    <m/>
    <n v="355"/>
    <s v="Sale"/>
    <x v="98"/>
    <x v="1"/>
    <n v="27629.83"/>
    <n v="1"/>
    <n v="27629.83"/>
    <n v="20.052499999999998"/>
    <n v="554047.16607499996"/>
    <n v="666403.628941237"/>
    <n v="-112356.46286623704"/>
    <n v="1.6876712328767123"/>
    <n v="1"/>
    <n v="-112356.46286623704"/>
    <n v="0"/>
    <m/>
    <n v="-2076.75"/>
    <m/>
    <n v="-6.9908754222128555E-2"/>
    <m/>
  </r>
  <r>
    <x v="3"/>
    <s v="Purchase"/>
    <x v="146"/>
    <x v="2"/>
    <x v="1"/>
    <x v="189"/>
    <n v="2735.3"/>
    <x v="2"/>
    <n v="33"/>
    <n v="82.88787878787879"/>
    <n v="1"/>
    <n v="2735.3"/>
    <n v="20.113"/>
    <n v="55015.088900000002"/>
    <n v="110.21"/>
    <n v="123.803"/>
    <n v="1.1233"/>
    <n v="61798.449361370003"/>
    <n v="1872.6802836778788"/>
    <m/>
    <n v="33"/>
    <s v="Sale"/>
    <x v="98"/>
    <x v="1"/>
    <n v="2568.41"/>
    <n v="1"/>
    <n v="2568.41"/>
    <n v="20.052499999999998"/>
    <n v="51503.041524999993"/>
    <n v="61798.449361370003"/>
    <n v="-10295.40783637001"/>
    <n v="1.6849315068493151"/>
    <n v="1"/>
    <n v="-10295.40783637001"/>
    <n v="0"/>
    <m/>
    <n v="-166.89000000000033"/>
    <m/>
    <n v="-6.1013417175447053E-2"/>
    <m/>
  </r>
  <r>
    <x v="3"/>
    <s v="Purchase"/>
    <x v="147"/>
    <x v="2"/>
    <x v="1"/>
    <x v="16"/>
    <n v="9186.17"/>
    <x v="2"/>
    <n v="169"/>
    <n v="54.356035502958584"/>
    <n v="1"/>
    <n v="9186.17"/>
    <n v="24.0487"/>
    <n v="220915.44647900001"/>
    <n v="106.16200000000001"/>
    <n v="123.803"/>
    <n v="1.1660999999999999"/>
    <n v="257609.50213916189"/>
    <n v="1524.3165807051"/>
    <m/>
    <n v="169"/>
    <s v="Sale"/>
    <x v="98"/>
    <x v="1"/>
    <n v="6536.3"/>
    <n v="1"/>
    <n v="6536.3"/>
    <n v="20.052499999999998"/>
    <n v="131069.15574999999"/>
    <n v="257609.50213916189"/>
    <n v="-126540.3463891619"/>
    <n v="2.3534246575342466"/>
    <n v="1"/>
    <n v="-126540.3463891619"/>
    <n v="0"/>
    <m/>
    <n v="-2649.87"/>
    <m/>
    <n v="-0.2884629829406597"/>
    <m/>
  </r>
  <r>
    <x v="3"/>
    <s v="Purchase"/>
    <x v="147"/>
    <x v="2"/>
    <x v="1"/>
    <x v="17"/>
    <n v="2231.92"/>
    <x v="2"/>
    <n v="33"/>
    <n v="67.6339393939394"/>
    <n v="1"/>
    <n v="2231.92"/>
    <n v="21.838799999999999"/>
    <n v="48742.454495999998"/>
    <n v="106.74299999999999"/>
    <n v="123.803"/>
    <n v="1.1597999999999999"/>
    <n v="56531.498724460798"/>
    <n v="1713.0757189230544"/>
    <m/>
    <n v="33"/>
    <s v="Sale"/>
    <x v="98"/>
    <x v="1"/>
    <n v="1276.31"/>
    <n v="1"/>
    <n v="1276.31"/>
    <n v="20.052499999999998"/>
    <n v="25593.206274999997"/>
    <n v="56531.498724460798"/>
    <n v="-30938.292449460801"/>
    <n v="2.2849315068493152"/>
    <n v="1"/>
    <n v="-30938.292449460801"/>
    <n v="0"/>
    <m/>
    <n v="-955.61000000000013"/>
    <m/>
    <n v="-0.42815602709774547"/>
    <m/>
  </r>
  <r>
    <x v="3"/>
    <s v="Purchase"/>
    <x v="147"/>
    <x v="2"/>
    <x v="1"/>
    <x v="19"/>
    <n v="8042.07"/>
    <x v="2"/>
    <n v="112"/>
    <n v="71.80419642857143"/>
    <n v="1"/>
    <n v="8042.07"/>
    <n v="22.367799999999999"/>
    <n v="179883.41334599999"/>
    <n v="108.114"/>
    <n v="123.803"/>
    <n v="1.1451"/>
    <n v="205984.49662250458"/>
    <n v="1839.1472912723623"/>
    <m/>
    <n v="112"/>
    <s v="Sale"/>
    <x v="98"/>
    <x v="1"/>
    <n v="4331.75"/>
    <n v="1"/>
    <n v="4331.75"/>
    <n v="20.052499999999998"/>
    <n v="86862.416874999995"/>
    <n v="205984.49662250458"/>
    <n v="-119122.07974750458"/>
    <n v="1.978082191780822"/>
    <n v="1"/>
    <n v="-119122.07974750458"/>
    <n v="0"/>
    <m/>
    <n v="-3710.3199999999997"/>
    <m/>
    <n v="-0.4613638031004455"/>
    <m/>
  </r>
  <r>
    <x v="3"/>
    <s v="Purchase"/>
    <x v="147"/>
    <x v="2"/>
    <x v="1"/>
    <x v="21"/>
    <n v="3371.72"/>
    <x v="2"/>
    <n v="46"/>
    <n v="73.298260869565212"/>
    <n v="1"/>
    <n v="3371.72"/>
    <n v="21.090199999999999"/>
    <n v="71110.249143999987"/>
    <n v="108.774"/>
    <n v="123.803"/>
    <n v="1.1380999999999999"/>
    <n v="80930.574550786376"/>
    <n v="1759.360316321443"/>
    <m/>
    <n v="46"/>
    <s v="Sale"/>
    <x v="98"/>
    <x v="1"/>
    <n v="1779.11"/>
    <n v="1"/>
    <n v="1779.11"/>
    <n v="20.052499999999998"/>
    <n v="35675.603274999994"/>
    <n v="80930.574550786376"/>
    <n v="-45254.971275786382"/>
    <n v="1.9123287671232876"/>
    <n v="1"/>
    <n v="-45254.971275786382"/>
    <n v="0"/>
    <m/>
    <n v="-1592.61"/>
    <m/>
    <n v="-0.47234349234218737"/>
    <m/>
  </r>
  <r>
    <x v="3"/>
    <s v="Purchase"/>
    <x v="146"/>
    <x v="2"/>
    <x v="1"/>
    <x v="189"/>
    <n v="14671.16"/>
    <x v="2"/>
    <n v="177"/>
    <n v="82.887909604519777"/>
    <n v="1"/>
    <n v="14671.16"/>
    <n v="20.113"/>
    <n v="295081.04108"/>
    <n v="110.21"/>
    <n v="123.803"/>
    <n v="1.1233"/>
    <n v="331464.53344516398"/>
    <n v="1872.6809799161806"/>
    <m/>
    <n v="177"/>
    <s v="Sale"/>
    <x v="99"/>
    <x v="1"/>
    <n v="13873.58"/>
    <n v="1"/>
    <n v="13873.58"/>
    <n v="19.994299999999999"/>
    <n v="277392.520594"/>
    <n v="331464.53344516398"/>
    <n v="-54072.012851163978"/>
    <n v="1.6876712328767123"/>
    <n v="1"/>
    <n v="-54072.012851163978"/>
    <n v="0"/>
    <m/>
    <n v="-797.57999999999993"/>
    <m/>
    <n v="-5.4363799454167222E-2"/>
    <m/>
  </r>
  <r>
    <x v="3"/>
    <s v="Purchase"/>
    <x v="147"/>
    <x v="2"/>
    <x v="1"/>
    <x v="73"/>
    <n v="9988.8799999999992"/>
    <x v="2"/>
    <n v="145"/>
    <n v="68.888827586206887"/>
    <n v="1"/>
    <n v="9988.8799999999992"/>
    <n v="20.581800000000001"/>
    <n v="205589.13038399999"/>
    <n v="115.56100000000001"/>
    <n v="123.803"/>
    <n v="1.0712999999999999"/>
    <n v="220247.63538037919"/>
    <n v="1518.9492095198564"/>
    <m/>
    <n v="145"/>
    <s v="Sale"/>
    <x v="99"/>
    <x v="1"/>
    <n v="5543.16"/>
    <n v="1"/>
    <n v="5543.16"/>
    <n v="19.994299999999999"/>
    <n v="110831.60398799999"/>
    <n v="220247.63538037919"/>
    <n v="-109416.0313923792"/>
    <n v="0.95616438356164379"/>
    <n v="1"/>
    <n v="-109416.0313923792"/>
    <n v="0"/>
    <m/>
    <n v="-4445.7199999999993"/>
    <m/>
    <n v="-0.44506691440882257"/>
    <m/>
  </r>
  <r>
    <x v="3"/>
    <s v="Purchase"/>
    <x v="147"/>
    <x v="2"/>
    <x v="1"/>
    <x v="196"/>
    <n v="7284.31"/>
    <x v="2"/>
    <n v="153"/>
    <n v="47.609869281045754"/>
    <n v="1"/>
    <n v="7284.31"/>
    <n v="19.59"/>
    <n v="142699.6329"/>
    <n v="122.044"/>
    <n v="123.803"/>
    <n v="1.0144"/>
    <n v="144754.50761375998"/>
    <n v="946.10789290039202"/>
    <m/>
    <n v="153"/>
    <s v="Sale"/>
    <x v="99"/>
    <x v="1"/>
    <n v="5849"/>
    <n v="1"/>
    <n v="5849"/>
    <n v="19.994299999999999"/>
    <n v="116946.66069999999"/>
    <n v="144754.50761375998"/>
    <n v="-27807.84691375999"/>
    <n v="0.28219178082191781"/>
    <n v="1"/>
    <n v="-27807.84691375999"/>
    <n v="0"/>
    <m/>
    <n v="-1435.3100000000004"/>
    <m/>
    <n v="-0.19704131208034809"/>
    <m/>
  </r>
  <r>
    <x v="3"/>
    <s v="Purchase"/>
    <x v="147"/>
    <x v="2"/>
    <x v="1"/>
    <x v="21"/>
    <n v="21989.49"/>
    <x v="2"/>
    <n v="300"/>
    <n v="73.298300000000012"/>
    <n v="1"/>
    <n v="21989.49"/>
    <n v="21.090199999999999"/>
    <n v="463762.74199800001"/>
    <n v="108.774"/>
    <n v="123.803"/>
    <n v="1.1380999999999999"/>
    <n v="527808.37666792376"/>
    <n v="1759.3612555597458"/>
    <m/>
    <n v="300"/>
    <s v="Sale"/>
    <x v="99"/>
    <x v="1"/>
    <n v="11468.62"/>
    <n v="1"/>
    <n v="11468.62"/>
    <n v="19.994299999999999"/>
    <n v="229307.02886600001"/>
    <n v="527808.37666792376"/>
    <n v="-298501.34780192375"/>
    <n v="1.9150684931506849"/>
    <n v="1"/>
    <n v="-298501.34780192375"/>
    <n v="0"/>
    <m/>
    <n v="-10520.87"/>
    <m/>
    <n v="-0.4784499322176185"/>
    <m/>
  </r>
  <r>
    <x v="3"/>
    <s v="Purchase"/>
    <x v="147"/>
    <x v="2"/>
    <x v="1"/>
    <x v="196"/>
    <n v="5951.24"/>
    <x v="2"/>
    <n v="125"/>
    <n v="47.609919999999995"/>
    <n v="1"/>
    <n v="5951.24"/>
    <n v="19.59"/>
    <n v="116584.7916"/>
    <n v="122.044"/>
    <n v="123.803"/>
    <n v="1.0144"/>
    <n v="118263.61259903999"/>
    <n v="946.1089007923199"/>
    <m/>
    <n v="125"/>
    <s v="Sale"/>
    <x v="100"/>
    <x v="1"/>
    <n v="4566.3599999999997"/>
    <n v="1"/>
    <n v="4566.3599999999997"/>
    <n v="20"/>
    <n v="91327.2"/>
    <n v="118263.61259903999"/>
    <n v="-26936.412599039992"/>
    <n v="0.28493150684931506"/>
    <n v="1"/>
    <n v="-26936.412599039992"/>
    <n v="0"/>
    <m/>
    <n v="-1384.88"/>
    <m/>
    <n v="-0.232704444787977"/>
    <m/>
  </r>
  <r>
    <x v="3"/>
    <s v="Purchase"/>
    <x v="147"/>
    <x v="2"/>
    <x v="1"/>
    <x v="196"/>
    <n v="8344.66"/>
    <x v="2"/>
    <n v="182"/>
    <n v="45.849780219780222"/>
    <n v="1"/>
    <n v="8344.66"/>
    <n v="19.59"/>
    <n v="163471.88939999999"/>
    <n v="122.044"/>
    <n v="123.803"/>
    <n v="1.0144"/>
    <n v="165825.88460735997"/>
    <n v="911.13123410637343"/>
    <m/>
    <n v="182"/>
    <s v="Sale"/>
    <x v="100"/>
    <x v="1"/>
    <n v="6648.61"/>
    <n v="1"/>
    <n v="6648.61"/>
    <n v="20"/>
    <n v="132972.19999999998"/>
    <n v="165825.88460735997"/>
    <n v="-32853.684607359988"/>
    <n v="0.28493150684931506"/>
    <n v="1"/>
    <n v="-32853.684607359988"/>
    <n v="0"/>
    <m/>
    <n v="-1696.0500000000002"/>
    <m/>
    <n v="-0.20324974294938322"/>
    <m/>
  </r>
  <r>
    <x v="3"/>
    <s v="Purchase"/>
    <x v="147"/>
    <x v="2"/>
    <x v="1"/>
    <x v="196"/>
    <n v="366.8"/>
    <x v="2"/>
    <n v="8"/>
    <n v="45.85"/>
    <n v="1"/>
    <n v="366.8"/>
    <n v="19.59"/>
    <n v="7185.6120000000001"/>
    <n v="122.044"/>
    <n v="123.803"/>
    <n v="1.0144"/>
    <n v="7289.0848127999998"/>
    <n v="911.13560159999997"/>
    <m/>
    <n v="8"/>
    <s v="Sale"/>
    <x v="101"/>
    <x v="1"/>
    <n v="285.67"/>
    <n v="1"/>
    <n v="285.67"/>
    <n v="20.002700000000001"/>
    <n v="5714.1713090000003"/>
    <n v="7289.0848127999998"/>
    <n v="-1574.9135037999995"/>
    <n v="0.28767123287671231"/>
    <n v="1"/>
    <n v="-1574.9135037999995"/>
    <n v="0"/>
    <m/>
    <n v="-81.13"/>
    <m/>
    <n v="-0.2211832061068702"/>
    <m/>
  </r>
  <r>
    <x v="3"/>
    <s v="Purchase"/>
    <x v="147"/>
    <x v="2"/>
    <x v="1"/>
    <x v="207"/>
    <n v="11776.25"/>
    <x v="2"/>
    <n v="250"/>
    <n v="47.104999999999997"/>
    <n v="1"/>
    <n v="11776.25"/>
    <n v="19.861799999999999"/>
    <n v="233897.52224999998"/>
    <n v="123.803"/>
    <n v="123.803"/>
    <n v="1"/>
    <n v="233897.52224999998"/>
    <n v="935.59008899999992"/>
    <m/>
    <n v="250"/>
    <s v="Sale"/>
    <x v="101"/>
    <x v="1"/>
    <n v="8927.2999999999993"/>
    <n v="1"/>
    <n v="8927.2999999999993"/>
    <n v="20.002700000000001"/>
    <n v="178570.10371"/>
    <n v="233897.52224999998"/>
    <n v="-55327.418539999984"/>
    <n v="0.10136986301369863"/>
    <n v="1"/>
    <n v="-55327.418539999984"/>
    <n v="0"/>
    <m/>
    <n v="-2848.9500000000007"/>
    <m/>
    <n v="-0.24192336270035034"/>
    <m/>
  </r>
  <r>
    <x v="3"/>
    <s v="Purchase"/>
    <x v="126"/>
    <x v="2"/>
    <x v="1"/>
    <x v="25"/>
    <n v="30465.38"/>
    <x v="2"/>
    <n v="121"/>
    <n v="251.78"/>
    <n v="1"/>
    <n v="30465.38"/>
    <n v="18.5899"/>
    <n v="566348.367662"/>
    <n v="100.492"/>
    <n v="123.803"/>
    <n v="1.2319"/>
    <n v="697684.55412281782"/>
    <n v="5765.9880506017998"/>
    <m/>
    <n v="121"/>
    <s v="Sale"/>
    <x v="102"/>
    <x v="1"/>
    <n v="34101.85"/>
    <n v="1"/>
    <n v="34101.85"/>
    <n v="19.960799999999999"/>
    <n v="680700.20747999998"/>
    <n v="697684.55412281782"/>
    <n v="-16984.346642817836"/>
    <n v="4.1506849315068495"/>
    <n v="1"/>
    <n v="-16984.346642817836"/>
    <n v="0"/>
    <m/>
    <n v="3636.4699999999975"/>
    <m/>
    <n v="0.11936401252831895"/>
    <m/>
  </r>
  <r>
    <x v="3"/>
    <s v="Purchase"/>
    <x v="14"/>
    <x v="2"/>
    <x v="1"/>
    <x v="20"/>
    <n v="3180.88"/>
    <x v="2"/>
    <n v="28"/>
    <n v="113.60285714285715"/>
    <n v="1"/>
    <n v="3180.88"/>
    <n v="19.2456"/>
    <n v="61217.944128000003"/>
    <n v="103.108"/>
    <n v="123.803"/>
    <n v="1.2007000000000001"/>
    <n v="73504.385514489608"/>
    <n v="2625.1566255174862"/>
    <m/>
    <n v="28"/>
    <s v="Sale"/>
    <x v="102"/>
    <x v="1"/>
    <n v="7131.37"/>
    <n v="1"/>
    <n v="7131.37"/>
    <n v="19.960799999999999"/>
    <n v="142347.85029599999"/>
    <n v="73504.385514489608"/>
    <n v="68843.464781510382"/>
    <n v="3.7095890410958905"/>
    <n v="1"/>
    <n v="68843.464781510382"/>
    <n v="0"/>
    <m/>
    <n v="3950.49"/>
    <m/>
    <n v="1.2419487688941424"/>
    <m/>
  </r>
  <r>
    <x v="3"/>
    <s v="Purchase"/>
    <x v="147"/>
    <x v="2"/>
    <x v="1"/>
    <x v="207"/>
    <n v="8855.74"/>
    <x v="2"/>
    <n v="188"/>
    <n v="47.104999999999997"/>
    <n v="1"/>
    <n v="8855.74"/>
    <n v="19.861799999999999"/>
    <n v="175890.93673199997"/>
    <n v="123.803"/>
    <n v="123.803"/>
    <n v="1"/>
    <n v="175890.93673199997"/>
    <n v="935.59008899999981"/>
    <m/>
    <n v="188"/>
    <s v="Sale"/>
    <x v="102"/>
    <x v="1"/>
    <n v="6651.27"/>
    <n v="1"/>
    <n v="6651.27"/>
    <n v="19.960799999999999"/>
    <n v="132764.670216"/>
    <n v="175890.93673199997"/>
    <n v="-43126.266515999974"/>
    <n v="0.1095890410958904"/>
    <n v="1"/>
    <n v="-43126.266515999974"/>
    <n v="0"/>
    <m/>
    <n v="-2204.4699999999993"/>
    <m/>
    <n v="-0.24893120168387953"/>
    <m/>
  </r>
  <r>
    <x v="3"/>
    <s v="Purchase"/>
    <x v="126"/>
    <x v="2"/>
    <x v="1"/>
    <x v="208"/>
    <n v="25592.720000000001"/>
    <x v="2"/>
    <n v="54"/>
    <n v="473.9392592592593"/>
    <n v="1"/>
    <n v="25592.720000000001"/>
    <n v="20.4148"/>
    <n v="522470.26025600004"/>
    <n v="118.98099999999999"/>
    <n v="123.803"/>
    <n v="1.0405"/>
    <n v="543630.30579636805"/>
    <n v="10067.227885117927"/>
    <m/>
    <n v="54"/>
    <s v="Sale"/>
    <x v="103"/>
    <x v="1"/>
    <n v="15030.79"/>
    <n v="1"/>
    <n v="15030.79"/>
    <n v="20.162700000000001"/>
    <n v="303061.30953300005"/>
    <n v="543630.30579636805"/>
    <n v="-240568.996263368"/>
    <n v="0.61643835616438358"/>
    <n v="1"/>
    <n v="-240568.996263368"/>
    <n v="0"/>
    <m/>
    <n v="-10561.93"/>
    <m/>
    <n v="-0.41269275012581702"/>
    <m/>
  </r>
  <r>
    <x v="3"/>
    <s v="Purchase"/>
    <x v="126"/>
    <x v="2"/>
    <x v="1"/>
    <x v="209"/>
    <n v="3943.18"/>
    <x v="2"/>
    <n v="10"/>
    <n v="394.31799999999998"/>
    <n v="1"/>
    <n v="3943.18"/>
    <n v="19.9663"/>
    <n v="78730.714833999999"/>
    <n v="121.02200000000001"/>
    <n v="123.803"/>
    <n v="1.0228999999999999"/>
    <n v="80533.648203698598"/>
    <n v="8053.3648203698594"/>
    <m/>
    <n v="10"/>
    <s v="Sale"/>
    <x v="103"/>
    <x v="1"/>
    <n v="2783.48"/>
    <n v="1"/>
    <n v="2783.48"/>
    <n v="20.162700000000001"/>
    <n v="56122.472196000002"/>
    <n v="80533.648203698598"/>
    <n v="-24411.176007698596"/>
    <n v="0.35616438356164382"/>
    <n v="1"/>
    <n v="-24411.176007698596"/>
    <n v="0"/>
    <m/>
    <n v="-1159.6999999999998"/>
    <m/>
    <n v="-0.29410272926926995"/>
    <m/>
  </r>
  <r>
    <x v="3"/>
    <s v="Purchase"/>
    <x v="126"/>
    <x v="2"/>
    <x v="1"/>
    <x v="25"/>
    <n v="13847.9"/>
    <x v="2"/>
    <n v="55"/>
    <n v="251.78"/>
    <n v="1"/>
    <n v="13847.9"/>
    <n v="18.5899"/>
    <n v="257431.07621"/>
    <n v="100.492"/>
    <n v="123.803"/>
    <n v="1.2319"/>
    <n v="317129.34278309898"/>
    <n v="5765.9880506017998"/>
    <m/>
    <n v="55"/>
    <s v="Sale"/>
    <x v="103"/>
    <x v="1"/>
    <n v="15309.13"/>
    <n v="1"/>
    <n v="15309.13"/>
    <n v="20.162700000000001"/>
    <n v="308673.39545100002"/>
    <n v="317129.34278309898"/>
    <n v="-8455.9473320989637"/>
    <n v="4.1534246575342468"/>
    <n v="1"/>
    <n v="-8455.9473320989637"/>
    <n v="0"/>
    <m/>
    <n v="1461.2299999999996"/>
    <m/>
    <n v="0.10551997053704891"/>
    <m/>
  </r>
  <r>
    <x v="3"/>
    <s v="Purchase"/>
    <x v="126"/>
    <x v="2"/>
    <x v="1"/>
    <x v="46"/>
    <n v="8497.4"/>
    <x v="2"/>
    <n v="24"/>
    <n v="354.05833333333334"/>
    <n v="1"/>
    <n v="8497.4"/>
    <n v="23.869299999999999"/>
    <n v="202826.98981999999"/>
    <n v="106.16200000000001"/>
    <n v="123.803"/>
    <n v="1.1660999999999999"/>
    <n v="236516.55282910197"/>
    <n v="9854.8563678792489"/>
    <m/>
    <n v="24"/>
    <s v="Sale"/>
    <x v="103"/>
    <x v="1"/>
    <n v="6680.35"/>
    <n v="1"/>
    <n v="6680.35"/>
    <n v="20.162700000000001"/>
    <n v="134693.892945"/>
    <n v="236516.55282910197"/>
    <n v="-101822.65988410197"/>
    <n v="2.3753424657534246"/>
    <n v="1"/>
    <n v="-101822.65988410197"/>
    <n v="0"/>
    <m/>
    <n v="-1817.0499999999993"/>
    <m/>
    <n v="-0.21383599689316724"/>
    <m/>
  </r>
  <r>
    <x v="3"/>
    <s v="Purchase"/>
    <x v="14"/>
    <x v="2"/>
    <x v="1"/>
    <x v="20"/>
    <n v="227.21"/>
    <x v="2"/>
    <n v="2"/>
    <n v="113.605"/>
    <n v="1"/>
    <n v="227.21"/>
    <n v="19.2456"/>
    <n v="4372.7927760000002"/>
    <n v="103.108"/>
    <n v="123.803"/>
    <n v="1.2007000000000001"/>
    <n v="5250.4122861432006"/>
    <n v="2625.2061430716003"/>
    <m/>
    <n v="2"/>
    <s v="Sale"/>
    <x v="103"/>
    <x v="1"/>
    <n v="505.91"/>
    <n v="1"/>
    <n v="505.91"/>
    <n v="20.162700000000001"/>
    <n v="10200.511557000002"/>
    <n v="5250.4122861432006"/>
    <n v="4950.099270856801"/>
    <n v="3.7123287671232879"/>
    <n v="1"/>
    <n v="4950.099270856801"/>
    <n v="0"/>
    <m/>
    <n v="278.70000000000005"/>
    <m/>
    <n v="1.2266185467188946"/>
    <m/>
  </r>
  <r>
    <x v="3"/>
    <s v="Purchase"/>
    <x v="14"/>
    <x v="2"/>
    <x v="1"/>
    <x v="46"/>
    <n v="2892.48"/>
    <x v="2"/>
    <n v="25"/>
    <n v="115.6992"/>
    <n v="1"/>
    <n v="2892.48"/>
    <n v="23.869299999999999"/>
    <n v="69041.472863999996"/>
    <n v="106.16200000000001"/>
    <n v="123.803"/>
    <n v="1.1660999999999999"/>
    <n v="80509.261506710391"/>
    <n v="3220.3704602684156"/>
    <m/>
    <n v="25"/>
    <s v="Sale"/>
    <x v="103"/>
    <x v="1"/>
    <n v="6323.89"/>
    <n v="1"/>
    <n v="6323.89"/>
    <n v="20.162700000000001"/>
    <n v="127506.69690300002"/>
    <n v="80509.261506710391"/>
    <n v="46997.435396289628"/>
    <n v="2.3753424657534246"/>
    <n v="1"/>
    <n v="46997.435396289628"/>
    <n v="0"/>
    <m/>
    <n v="3431.4100000000003"/>
    <m/>
    <n v="1.1863210808717779"/>
    <m/>
  </r>
  <r>
    <x v="3"/>
    <s v="Purchase"/>
    <x v="126"/>
    <x v="2"/>
    <x v="1"/>
    <x v="209"/>
    <n v="17350.009999999998"/>
    <x v="2"/>
    <n v="44"/>
    <n v="394.31840909090903"/>
    <n v="1"/>
    <n v="17350.009999999998"/>
    <n v="19.9663"/>
    <n v="346415.504663"/>
    <n v="121.02200000000001"/>
    <n v="123.803"/>
    <n v="1.0228999999999999"/>
    <n v="354348.41971978266"/>
    <n v="8053.3731754496057"/>
    <m/>
    <n v="44"/>
    <s v="Sale"/>
    <x v="104"/>
    <x v="1"/>
    <n v="12306.94"/>
    <n v="1"/>
    <n v="12306.94"/>
    <n v="20.351700000000001"/>
    <n v="250467.15079800002"/>
    <n v="354348.41971978266"/>
    <n v="-103881.26892178264"/>
    <n v="0.35890410958904112"/>
    <n v="1"/>
    <n v="-103881.26892178264"/>
    <n v="0"/>
    <m/>
    <n v="-5043.0699999999979"/>
    <m/>
    <n v="-0.29066669125839112"/>
    <m/>
  </r>
  <r>
    <x v="3"/>
    <s v="Purchase"/>
    <x v="126"/>
    <x v="2"/>
    <x v="1"/>
    <x v="48"/>
    <n v="4029.19"/>
    <x v="2"/>
    <n v="11"/>
    <n v="366.29"/>
    <n v="1"/>
    <n v="4029.19"/>
    <n v="20.658300000000001"/>
    <n v="83236.215777000005"/>
    <n v="122.044"/>
    <n v="123.803"/>
    <n v="1.0144"/>
    <n v="84434.817284188801"/>
    <n v="7675.8924803808004"/>
    <m/>
    <n v="11"/>
    <s v="Sale"/>
    <x v="104"/>
    <x v="1"/>
    <n v="3076.73"/>
    <n v="1"/>
    <n v="3076.73"/>
    <n v="20.351700000000001"/>
    <n v="62616.685941000003"/>
    <n v="84434.817284188801"/>
    <n v="-21818.131343188797"/>
    <n v="0.28493150684931506"/>
    <n v="1"/>
    <n v="-21818.131343188797"/>
    <n v="0"/>
    <m/>
    <n v="-952.46"/>
    <m/>
    <n v="-0.23638994438088054"/>
    <m/>
  </r>
  <r>
    <x v="0"/>
    <m/>
    <x v="0"/>
    <x v="0"/>
    <x v="0"/>
    <x v="0"/>
    <m/>
    <x v="0"/>
    <n v="0"/>
    <n v="0"/>
    <n v="0"/>
    <n v="0"/>
    <n v="0"/>
    <n v="0"/>
    <n v="0"/>
    <n v="0"/>
    <n v="0"/>
    <n v="0"/>
    <n v="0"/>
    <m/>
    <m/>
    <m/>
    <x v="0"/>
    <x v="0"/>
    <m/>
    <n v="0"/>
    <n v="0"/>
    <n v="0"/>
    <n v="0"/>
    <n v="0"/>
    <n v="0"/>
    <n v="0"/>
    <n v="1"/>
    <n v="0"/>
    <n v="0"/>
    <m/>
    <n v="0"/>
    <m/>
    <n v="0"/>
    <m/>
  </r>
  <r>
    <x v="7"/>
    <s v="Purchase"/>
    <x v="148"/>
    <x v="2"/>
    <x v="1"/>
    <x v="210"/>
    <n v="30540.16"/>
    <x v="2"/>
    <n v="362"/>
    <n v="84.36508287292817"/>
    <n v="1"/>
    <n v="30540.16"/>
    <n v="20.8598"/>
    <n v="637061.62956799997"/>
    <n v="116.884"/>
    <n v="122.94799999999999"/>
    <n v="1.0518000000000001"/>
    <n v="670061.42197962245"/>
    <n v="1850.9984032586256"/>
    <m/>
    <n v="362"/>
    <s v="Sale"/>
    <x v="105"/>
    <x v="1"/>
    <n v="20144.84"/>
    <n v="1"/>
    <n v="20144.84"/>
    <n v="20.195699999999999"/>
    <n v="406839.14518799999"/>
    <n v="670061.42197962245"/>
    <n v="-263222.27679162245"/>
    <n v="0.8"/>
    <n v="1"/>
    <n v="-263222.27679162245"/>
    <n v="0"/>
    <m/>
    <n v="-10395.32"/>
    <m/>
    <n v="-0.34038197573293655"/>
    <m/>
  </r>
  <r>
    <x v="7"/>
    <s v="Purchase"/>
    <x v="148"/>
    <x v="2"/>
    <x v="1"/>
    <x v="211"/>
    <n v="88583.35"/>
    <x v="2"/>
    <n v="1050"/>
    <n v="84.36509523809525"/>
    <n v="1"/>
    <n v="88583.35"/>
    <n v="20.465199999999999"/>
    <n v="1812875.9744200001"/>
    <n v="116.884"/>
    <n v="122.94799999999999"/>
    <n v="1.0518000000000001"/>
    <n v="1906782.9498949563"/>
    <n v="1815.9837618047202"/>
    <m/>
    <n v="1050"/>
    <s v="Sale"/>
    <x v="105"/>
    <x v="1"/>
    <n v="58431.15"/>
    <n v="1"/>
    <n v="58431.15"/>
    <n v="20.195699999999999"/>
    <n v="1180057.976055"/>
    <n v="1906782.9498949563"/>
    <n v="-726724.97383995634"/>
    <n v="0.76712328767123283"/>
    <n v="1"/>
    <n v="-726724.97383995634"/>
    <n v="0"/>
    <m/>
    <n v="-30152.200000000004"/>
    <m/>
    <n v="-0.34038225016326434"/>
    <m/>
  </r>
  <r>
    <x v="7"/>
    <s v="Purchase"/>
    <x v="149"/>
    <x v="1"/>
    <x v="1"/>
    <x v="210"/>
    <n v="51858.19"/>
    <x v="1"/>
    <n v="2300"/>
    <n v="22.547039130434783"/>
    <n v="1"/>
    <n v="51858.19"/>
    <n v="20.8598"/>
    <n v="1081751.4717620001"/>
    <n v="116.884"/>
    <n v="123.803"/>
    <n v="1.0590999999999999"/>
    <n v="1145682.9837431342"/>
    <n v="498.12303641005832"/>
    <m/>
    <n v="2300"/>
    <s v="Sale"/>
    <x v="105"/>
    <x v="1"/>
    <n v="6523.34"/>
    <n v="1"/>
    <n v="6523.34"/>
    <n v="20.195699999999999"/>
    <n v="131743.41763799998"/>
    <n v="1145682.9837431342"/>
    <n v="-1013939.5661051342"/>
    <n v="0.8"/>
    <n v="1"/>
    <n v="-1013939.5661051342"/>
    <n v="0"/>
    <m/>
    <n v="-45334.850000000006"/>
    <m/>
    <n v="-0.87420810483358569"/>
    <m/>
  </r>
  <r>
    <x v="7"/>
    <s v="Purchase"/>
    <x v="149"/>
    <x v="1"/>
    <x v="1"/>
    <x v="212"/>
    <n v="21645.16"/>
    <x v="1"/>
    <n v="960"/>
    <n v="22.547041666666665"/>
    <n v="1"/>
    <n v="21645.16"/>
    <n v="20.8352"/>
    <n v="450981.237632"/>
    <n v="116.884"/>
    <n v="123.803"/>
    <n v="1.0590999999999999"/>
    <n v="477634.2287760512"/>
    <n v="497.53565497505332"/>
    <m/>
    <n v="960"/>
    <s v="Sale"/>
    <x v="105"/>
    <x v="1"/>
    <n v="2722.79"/>
    <n v="1"/>
    <n v="2722.79"/>
    <n v="20.195699999999999"/>
    <n v="54988.650002999995"/>
    <n v="477634.2287760512"/>
    <n v="-422645.57877305121"/>
    <n v="0.79726027397260268"/>
    <n v="1"/>
    <n v="-422645.57877305121"/>
    <n v="0"/>
    <m/>
    <n v="-18922.37"/>
    <m/>
    <n v="-0.87420790606306442"/>
    <m/>
  </r>
  <r>
    <x v="7"/>
    <s v="Purchase"/>
    <x v="149"/>
    <x v="1"/>
    <x v="1"/>
    <x v="211"/>
    <n v="78914.63"/>
    <x v="1"/>
    <n v="3500"/>
    <n v="22.547037142857143"/>
    <n v="1"/>
    <n v="78914.63"/>
    <n v="20.465199999999999"/>
    <n v="1615003.685876"/>
    <n v="116.884"/>
    <n v="123.803"/>
    <n v="1.0590999999999999"/>
    <n v="1710450.4037112715"/>
    <n v="488.70011534607755"/>
    <m/>
    <n v="3500"/>
    <s v="Sale"/>
    <x v="105"/>
    <x v="1"/>
    <n v="9926.83"/>
    <n v="1"/>
    <n v="9926.83"/>
    <n v="20.195699999999999"/>
    <n v="200479.28063099997"/>
    <n v="1710450.4037112715"/>
    <n v="-1509971.1230802715"/>
    <n v="0.76712328767123283"/>
    <n v="1"/>
    <n v="-1509971.1230802715"/>
    <n v="0"/>
    <m/>
    <n v="-68987.8"/>
    <m/>
    <n v="-0.87420798906362485"/>
    <m/>
  </r>
  <r>
    <x v="7"/>
    <s v="Purchase"/>
    <x v="150"/>
    <x v="2"/>
    <x v="1"/>
    <x v="210"/>
    <n v="51558.68"/>
    <x v="2"/>
    <n v="827"/>
    <n v="62.344232164449821"/>
    <n v="1"/>
    <n v="51558.68"/>
    <n v="20.8598"/>
    <n v="1075503.753064"/>
    <n v="116.884"/>
    <n v="122.94799999999999"/>
    <n v="1.0518000000000001"/>
    <n v="1131214.8474727154"/>
    <n v="1367.8535035945772"/>
    <m/>
    <n v="827"/>
    <s v="Sale"/>
    <x v="105"/>
    <x v="1"/>
    <n v="32740.18"/>
    <n v="1"/>
    <n v="32740.18"/>
    <n v="20.195699999999999"/>
    <n v="661210.85322599998"/>
    <n v="1131214.8474727154"/>
    <n v="-470003.99424671545"/>
    <n v="0.8"/>
    <n v="1"/>
    <n v="-470003.99424671545"/>
    <n v="0"/>
    <m/>
    <n v="-18818.5"/>
    <m/>
    <n v="-0.36499188885363243"/>
    <m/>
  </r>
  <r>
    <x v="7"/>
    <s v="Purchase"/>
    <x v="150"/>
    <x v="2"/>
    <x v="1"/>
    <x v="212"/>
    <n v="21384.07"/>
    <x v="2"/>
    <n v="343"/>
    <n v="62.344227405247814"/>
    <n v="1"/>
    <n v="21384.07"/>
    <n v="20.8352"/>
    <n v="445541.37526400003"/>
    <n v="116.884"/>
    <n v="122.94799999999999"/>
    <n v="1.0518000000000001"/>
    <n v="468620.41850267525"/>
    <n v="1366.2402871798113"/>
    <m/>
    <n v="343"/>
    <s v="Sale"/>
    <x v="105"/>
    <x v="1"/>
    <n v="13579.06"/>
    <n v="1"/>
    <n v="13579.06"/>
    <n v="20.195699999999999"/>
    <n v="274238.62204199994"/>
    <n v="468620.41850267525"/>
    <n v="-194381.79646067531"/>
    <n v="0.79726027397260268"/>
    <n v="1"/>
    <n v="-194381.79646067531"/>
    <n v="0"/>
    <m/>
    <n v="-7805.01"/>
    <m/>
    <n v="-0.36499179061796938"/>
    <m/>
  </r>
  <r>
    <x v="7"/>
    <s v="Purchase"/>
    <x v="150"/>
    <x v="2"/>
    <x v="1"/>
    <x v="211"/>
    <n v="77930.3"/>
    <x v="2"/>
    <n v="1250"/>
    <n v="62.344239999999999"/>
    <n v="1"/>
    <n v="77930.3"/>
    <n v="20.465199999999999"/>
    <n v="1594859.1755600001"/>
    <n v="116.884"/>
    <n v="122.94799999999999"/>
    <n v="1.0518000000000001"/>
    <n v="1677472.8808540083"/>
    <n v="1341.9783046832067"/>
    <m/>
    <n v="1250"/>
    <s v="Sale"/>
    <x v="105"/>
    <x v="1"/>
    <n v="49486.36"/>
    <n v="1"/>
    <n v="49486.36"/>
    <n v="20.195699999999999"/>
    <n v="999411.68065199989"/>
    <n v="1677472.8808540085"/>
    <n v="-678061.20020200859"/>
    <n v="0.76712328767123283"/>
    <n v="1"/>
    <n v="-678061.20020200859"/>
    <n v="0"/>
    <m/>
    <n v="-28443.940000000002"/>
    <m/>
    <n v="-0.36499205058879541"/>
    <m/>
  </r>
  <r>
    <x v="0"/>
    <m/>
    <x v="0"/>
    <x v="0"/>
    <x v="0"/>
    <x v="0"/>
    <m/>
    <x v="0"/>
    <n v="0"/>
    <n v="0"/>
    <n v="0"/>
    <n v="0"/>
    <n v="0"/>
    <n v="0"/>
    <n v="0"/>
    <n v="0"/>
    <n v="0"/>
    <n v="0"/>
    <n v="0"/>
    <m/>
    <m/>
    <m/>
    <x v="0"/>
    <x v="0"/>
    <m/>
    <n v="0"/>
    <n v="0"/>
    <n v="0"/>
    <n v="0"/>
    <n v="0"/>
    <n v="0"/>
    <n v="0"/>
    <n v="1"/>
    <n v="0"/>
    <n v="0"/>
    <m/>
    <n v="0"/>
    <m/>
    <n v="0"/>
    <m/>
  </r>
  <r>
    <x v="3"/>
    <s v="Purchase"/>
    <x v="151"/>
    <x v="1"/>
    <x v="1"/>
    <x v="173"/>
    <n v="5926.5"/>
    <x v="1"/>
    <n v="225"/>
    <n v="26.34"/>
    <n v="1"/>
    <n v="5926.5"/>
    <n v="19.5547"/>
    <n v="115890.92955"/>
    <n v="122.044"/>
    <n v="125.276"/>
    <n v="1.0264"/>
    <n v="118950.45009011999"/>
    <n v="528.66866706719998"/>
    <m/>
    <n v="225"/>
    <s v="Sale"/>
    <x v="106"/>
    <x v="1"/>
    <n v="3760.58"/>
    <n v="1"/>
    <n v="3760.58"/>
    <n v="20.020700000000001"/>
    <n v="75289.444006000005"/>
    <n v="118950.45009011999"/>
    <n v="-43661.006084119988"/>
    <n v="0.36712328767123287"/>
    <n v="1"/>
    <n v="-43661.006084119988"/>
    <n v="0"/>
    <m/>
    <n v="-2165.92"/>
    <m/>
    <n v="-0.3654635957141652"/>
    <m/>
  </r>
  <r>
    <x v="3"/>
    <s v="Purchase"/>
    <x v="129"/>
    <x v="2"/>
    <x v="1"/>
    <x v="173"/>
    <n v="6226.36"/>
    <x v="2"/>
    <n v="296"/>
    <n v="21.035"/>
    <n v="1"/>
    <n v="6226.36"/>
    <n v="19.5547"/>
    <n v="121754.60189199999"/>
    <n v="122.044"/>
    <n v="124.571"/>
    <n v="1.0206999999999999"/>
    <n v="124274.92215116438"/>
    <n v="419.84770997014994"/>
    <m/>
    <n v="296"/>
    <s v="Sale"/>
    <x v="106"/>
    <x v="1"/>
    <n v="4952.8599999999997"/>
    <n v="1"/>
    <n v="4952.8599999999997"/>
    <n v="20.020700000000001"/>
    <n v="99159.724201999998"/>
    <n v="124274.92215116438"/>
    <n v="-25115.197949164387"/>
    <n v="0.36712328767123287"/>
    <n v="1"/>
    <n v="-25115.197949164387"/>
    <n v="0"/>
    <m/>
    <n v="-1273.5"/>
    <m/>
    <n v="-0.20453362799452651"/>
    <m/>
  </r>
  <r>
    <x v="3"/>
    <s v="Purchase"/>
    <x v="152"/>
    <x v="2"/>
    <x v="1"/>
    <x v="213"/>
    <n v="2326.25"/>
    <x v="2"/>
    <n v="1"/>
    <n v="2326.25"/>
    <n v="1"/>
    <n v="2326.25"/>
    <n v="19.930299999999999"/>
    <n v="46362.860374999997"/>
    <n v="123.803"/>
    <n v="124.571"/>
    <n v="1.0062"/>
    <n v="46650.310109324993"/>
    <n v="46650.310109324993"/>
    <m/>
    <n v="1"/>
    <s v="Sale"/>
    <x v="106"/>
    <x v="1"/>
    <n v="2262.6799999999998"/>
    <n v="1"/>
    <n v="2262.6799999999998"/>
    <n v="20.020700000000001"/>
    <n v="45300.437475999999"/>
    <n v="46650.310109324993"/>
    <n v="-1349.8726333249942"/>
    <n v="0.17260273972602741"/>
    <n v="1"/>
    <n v="-1349.8726333249942"/>
    <n v="0"/>
    <m/>
    <n v="-63.570000000000164"/>
    <m/>
    <n v="-2.7327243417517535E-2"/>
    <m/>
  </r>
  <r>
    <x v="3"/>
    <s v="Purchase"/>
    <x v="153"/>
    <x v="2"/>
    <x v="1"/>
    <x v="173"/>
    <n v="5982.99"/>
    <x v="2"/>
    <n v="29"/>
    <n v="206.31"/>
    <n v="1"/>
    <n v="5982.99"/>
    <n v="19.5547"/>
    <n v="116995.574553"/>
    <n v="122.044"/>
    <n v="124.571"/>
    <n v="1.0206999999999999"/>
    <n v="119417.38294624709"/>
    <n v="4117.8407912498997"/>
    <m/>
    <n v="29"/>
    <s v="Sale"/>
    <x v="106"/>
    <x v="1"/>
    <n v="7577.26"/>
    <n v="1"/>
    <n v="7577.26"/>
    <n v="20.020700000000001"/>
    <n v="151702.04928200002"/>
    <n v="119417.38294624709"/>
    <n v="32284.666335752932"/>
    <n v="0.36712328767123287"/>
    <n v="1"/>
    <n v="32284.666335752932"/>
    <n v="0"/>
    <m/>
    <n v="1594.2700000000004"/>
    <m/>
    <n v="0.26646710089771175"/>
    <m/>
  </r>
  <r>
    <x v="3"/>
    <s v="Purchase"/>
    <x v="154"/>
    <x v="2"/>
    <x v="1"/>
    <x v="173"/>
    <n v="5385.8"/>
    <x v="2"/>
    <n v="14"/>
    <n v="384.7"/>
    <n v="1"/>
    <n v="5385.8"/>
    <n v="19.5547"/>
    <n v="105317.70326000001"/>
    <n v="122.044"/>
    <n v="124.571"/>
    <n v="1.0206999999999999"/>
    <n v="107497.779717482"/>
    <n v="7678.4128369629998"/>
    <m/>
    <n v="14"/>
    <s v="Sale"/>
    <x v="106"/>
    <x v="1"/>
    <n v="4487.05"/>
    <n v="1"/>
    <n v="4487.05"/>
    <n v="20.020700000000001"/>
    <n v="89833.881935000012"/>
    <n v="107497.779717482"/>
    <n v="-17663.897782481989"/>
    <n v="0.36712328767123287"/>
    <n v="1"/>
    <n v="-17663.897782481989"/>
    <n v="0"/>
    <m/>
    <n v="-898.75"/>
    <m/>
    <n v="-0.16687400200527311"/>
    <m/>
  </r>
  <r>
    <x v="3"/>
    <s v="Purchase"/>
    <x v="154"/>
    <x v="2"/>
    <x v="1"/>
    <x v="213"/>
    <n v="1667.75"/>
    <x v="2"/>
    <n v="4"/>
    <n v="416.9375"/>
    <n v="1"/>
    <n v="1667.75"/>
    <n v="19.930299999999999"/>
    <n v="33238.757825000001"/>
    <n v="123.803"/>
    <n v="124.571"/>
    <n v="1.0062"/>
    <n v="33444.838123515001"/>
    <n v="8361.2095308787502"/>
    <m/>
    <n v="4"/>
    <s v="Sale"/>
    <x v="106"/>
    <x v="1"/>
    <n v="1282.01"/>
    <n v="1"/>
    <n v="1282.01"/>
    <n v="20.020700000000001"/>
    <n v="25666.737607000003"/>
    <n v="33444.838123515001"/>
    <n v="-7778.1005165149982"/>
    <n v="0.17260273972602741"/>
    <n v="1"/>
    <n v="-7778.1005165149982"/>
    <n v="0"/>
    <m/>
    <n v="-385.74"/>
    <m/>
    <n v="-0.23129365912157099"/>
    <m/>
  </r>
  <r>
    <x v="3"/>
    <s v="Purchase"/>
    <x v="155"/>
    <x v="1"/>
    <x v="1"/>
    <x v="173"/>
    <n v="1570.08"/>
    <x v="1"/>
    <n v="6"/>
    <n v="261.68"/>
    <n v="1"/>
    <n v="1570.08"/>
    <n v="19.5547"/>
    <n v="30702.443375999999"/>
    <n v="122.044"/>
    <n v="125.276"/>
    <n v="1.0264"/>
    <n v="31512.987881126399"/>
    <n v="5252.1646468543995"/>
    <m/>
    <n v="6"/>
    <s v="Sale"/>
    <x v="106"/>
    <x v="1"/>
    <n v="1684.73"/>
    <n v="1"/>
    <n v="1684.73"/>
    <n v="20.020700000000001"/>
    <n v="33729.473911000001"/>
    <n v="31512.987881126399"/>
    <n v="2216.4860298736021"/>
    <n v="0.36712328767123287"/>
    <n v="1"/>
    <n v="2216.4860298736021"/>
    <n v="0"/>
    <m/>
    <n v="114.65000000000009"/>
    <m/>
    <n v="7.3021756853154041E-2"/>
    <m/>
  </r>
  <r>
    <x v="3"/>
    <s v="Purchase"/>
    <x v="155"/>
    <x v="1"/>
    <x v="1"/>
    <x v="213"/>
    <n v="5035.68"/>
    <x v="1"/>
    <n v="16"/>
    <n v="314.73"/>
    <n v="1"/>
    <n v="5035.68"/>
    <n v="19.930299999999999"/>
    <n v="100362.613104"/>
    <n v="123.803"/>
    <n v="125.276"/>
    <n v="1.0118"/>
    <n v="101546.8919386272"/>
    <n v="6346.6807461642002"/>
    <m/>
    <n v="16"/>
    <s v="Sale"/>
    <x v="106"/>
    <x v="1"/>
    <n v="4492.62"/>
    <n v="1"/>
    <n v="4492.62"/>
    <n v="20.020700000000001"/>
    <n v="89945.397234000004"/>
    <n v="101546.8919386272"/>
    <n v="-11601.494704627199"/>
    <n v="0.17260273972602741"/>
    <n v="1"/>
    <n v="-11601.494704627199"/>
    <n v="0"/>
    <m/>
    <n v="-543.0600000000004"/>
    <m/>
    <n v="-0.10784243637403496"/>
    <m/>
  </r>
  <r>
    <x v="3"/>
    <s v="Purchase"/>
    <x v="156"/>
    <x v="2"/>
    <x v="1"/>
    <x v="173"/>
    <n v="2697.29"/>
    <x v="2"/>
    <n v="71"/>
    <n v="37.99"/>
    <n v="1"/>
    <n v="2697.29"/>
    <n v="19.5547"/>
    <n v="52744.696763"/>
    <n v="122.044"/>
    <n v="124.571"/>
    <n v="1.0206999999999999"/>
    <n v="53836.511985994097"/>
    <n v="758.26073219709997"/>
    <m/>
    <n v="71"/>
    <s v="Sale"/>
    <x v="106"/>
    <x v="1"/>
    <n v="1817.72"/>
    <n v="1"/>
    <n v="1817.72"/>
    <n v="20.020700000000001"/>
    <n v="36392.026804000001"/>
    <n v="53836.511985994097"/>
    <n v="-17444.485181994096"/>
    <n v="0.36712328767123287"/>
    <n v="1"/>
    <n v="-17444.485181994096"/>
    <n v="0"/>
    <m/>
    <n v="-879.56999999999994"/>
    <m/>
    <n v="-0.32609396839049565"/>
    <m/>
  </r>
  <r>
    <x v="3"/>
    <s v="Purchase"/>
    <x v="109"/>
    <x v="2"/>
    <x v="1"/>
    <x v="173"/>
    <n v="6507.7"/>
    <x v="2"/>
    <n v="158"/>
    <n v="41.187974683544304"/>
    <n v="1"/>
    <n v="6507.7"/>
    <n v="19.5547"/>
    <n v="127256.12119000001"/>
    <n v="122.044"/>
    <n v="124.571"/>
    <n v="1.0206999999999999"/>
    <n v="129890.32289863299"/>
    <n v="822.09065125717086"/>
    <m/>
    <n v="158"/>
    <s v="Sale"/>
    <x v="106"/>
    <x v="1"/>
    <n v="4140.63"/>
    <n v="1"/>
    <n v="4140.63"/>
    <n v="20.020700000000001"/>
    <n v="82898.311041000008"/>
    <n v="129890.32289863299"/>
    <n v="-46992.011857632984"/>
    <n v="0.36712328767123287"/>
    <n v="1"/>
    <n v="-46992.011857632984"/>
    <n v="0"/>
    <m/>
    <n v="-2367.0699999999997"/>
    <m/>
    <n v="-0.36373373081119287"/>
    <m/>
  </r>
  <r>
    <x v="3"/>
    <s v="Purchase"/>
    <x v="157"/>
    <x v="2"/>
    <x v="1"/>
    <x v="173"/>
    <n v="7660.8"/>
    <x v="2"/>
    <n v="140"/>
    <n v="54.72"/>
    <n v="1"/>
    <n v="7660.8"/>
    <n v="19.5547"/>
    <n v="149804.64576000001"/>
    <n v="122.044"/>
    <n v="124.571"/>
    <n v="1.0206999999999999"/>
    <n v="152905.601927232"/>
    <n v="1092.1828709087999"/>
    <m/>
    <n v="140"/>
    <s v="Sale"/>
    <x v="106"/>
    <x v="1"/>
    <n v="7147.46"/>
    <n v="1"/>
    <n v="7147.46"/>
    <n v="20.020700000000001"/>
    <n v="143097.15242200001"/>
    <n v="152905.601927232"/>
    <n v="-9808.4495052319835"/>
    <n v="0.36712328767123287"/>
    <n v="1"/>
    <n v="-9808.4495052319835"/>
    <n v="0"/>
    <m/>
    <n v="-513.34000000000015"/>
    <m/>
    <n v="-6.7008667502088573E-2"/>
    <m/>
  </r>
  <r>
    <x v="3"/>
    <s v="Purchase"/>
    <x v="111"/>
    <x v="2"/>
    <x v="1"/>
    <x v="173"/>
    <n v="3074.84"/>
    <x v="2"/>
    <n v="60"/>
    <n v="51.247333333333337"/>
    <n v="1"/>
    <n v="3074.84"/>
    <n v="19.5547"/>
    <n v="60127.573748000003"/>
    <n v="122.044"/>
    <n v="124.571"/>
    <n v="1.0206999999999999"/>
    <n v="61372.2145245836"/>
    <n v="1022.8702420763933"/>
    <m/>
    <n v="60"/>
    <s v="Sale"/>
    <x v="106"/>
    <x v="1"/>
    <n v="2533.42"/>
    <n v="1"/>
    <n v="2533.42"/>
    <n v="20.020700000000001"/>
    <n v="50720.841794000007"/>
    <n v="61372.2145245836"/>
    <n v="-10651.372730583593"/>
    <n v="0.36712328767123287"/>
    <n v="1"/>
    <n v="-10651.372730583593"/>
    <n v="0"/>
    <m/>
    <n v="-541.42000000000007"/>
    <m/>
    <n v="-0.1760807066383942"/>
    <m/>
  </r>
  <r>
    <x v="3"/>
    <s v="Purchase"/>
    <x v="158"/>
    <x v="2"/>
    <x v="1"/>
    <x v="173"/>
    <n v="4211.87"/>
    <x v="2"/>
    <n v="362"/>
    <n v="11.635"/>
    <n v="1"/>
    <n v="4211.87"/>
    <n v="19.5547"/>
    <n v="82361.854288999995"/>
    <n v="122.044"/>
    <n v="124.571"/>
    <n v="1.0206999999999999"/>
    <n v="84066.744672782297"/>
    <n v="232.22857644414998"/>
    <m/>
    <n v="362"/>
    <s v="Sale"/>
    <x v="106"/>
    <x v="1"/>
    <n v="2430.9899999999998"/>
    <n v="1"/>
    <n v="2430.9899999999998"/>
    <n v="20.020700000000001"/>
    <n v="48670.121492999999"/>
    <n v="84066.744672782297"/>
    <n v="-35396.623179782298"/>
    <n v="0.36712328767123287"/>
    <n v="1"/>
    <n v="-35396.623179782298"/>
    <n v="0"/>
    <m/>
    <n v="-1780.88"/>
    <m/>
    <n v="-0.42282406626985169"/>
    <m/>
  </r>
  <r>
    <x v="3"/>
    <s v="Purchase"/>
    <x v="159"/>
    <x v="2"/>
    <x v="1"/>
    <x v="173"/>
    <n v="315.20999999999998"/>
    <x v="2"/>
    <n v="1"/>
    <n v="315.20999999999998"/>
    <n v="1"/>
    <n v="315.20999999999998"/>
    <n v="19.5547"/>
    <n v="6163.8369869999997"/>
    <n v="122.044"/>
    <n v="124.571"/>
    <n v="1.0206999999999999"/>
    <n v="6291.4284126308994"/>
    <n v="6291.4284126308994"/>
    <m/>
    <n v="1"/>
    <s v="Sale"/>
    <x v="106"/>
    <x v="1"/>
    <n v="360.56"/>
    <n v="1"/>
    <n v="360.56"/>
    <n v="20.020700000000001"/>
    <n v="7218.6635920000008"/>
    <n v="6291.4284126308994"/>
    <n v="927.23517936910139"/>
    <n v="0.36712328767123287"/>
    <n v="1"/>
    <n v="927.23517936910139"/>
    <n v="0"/>
    <m/>
    <n v="45.350000000000023"/>
    <m/>
    <n v="0.14387233907553704"/>
    <m/>
  </r>
  <r>
    <x v="3"/>
    <s v="Purchase"/>
    <x v="159"/>
    <x v="2"/>
    <x v="1"/>
    <x v="213"/>
    <n v="5520.15"/>
    <x v="2"/>
    <n v="15"/>
    <n v="368.01"/>
    <n v="1"/>
    <n v="5520.15"/>
    <n v="19.930299999999999"/>
    <n v="110018.24554499998"/>
    <n v="123.803"/>
    <n v="124.571"/>
    <n v="1.0062"/>
    <n v="110700.35866737898"/>
    <n v="7380.0239111585988"/>
    <m/>
    <n v="15"/>
    <s v="Sale"/>
    <x v="106"/>
    <x v="1"/>
    <n v="5408.35"/>
    <n v="1"/>
    <n v="5408.35"/>
    <n v="20.020700000000001"/>
    <n v="108278.95284500002"/>
    <n v="110700.35866737898"/>
    <n v="-2421.4058223789616"/>
    <n v="0.17260273972602741"/>
    <n v="1"/>
    <n v="-2421.4058223789616"/>
    <n v="0"/>
    <m/>
    <n v="-111.79999999999927"/>
    <m/>
    <n v="-2.0253072833165634E-2"/>
    <m/>
  </r>
  <r>
    <x v="3"/>
    <s v="Purchase"/>
    <x v="160"/>
    <x v="2"/>
    <x v="1"/>
    <x v="173"/>
    <n v="3916.41"/>
    <x v="2"/>
    <n v="55"/>
    <n v="71.207454545454539"/>
    <n v="1"/>
    <n v="3916.41"/>
    <n v="19.5547"/>
    <n v="76584.222626999996"/>
    <n v="122.044"/>
    <n v="124.571"/>
    <n v="1.0206999999999999"/>
    <n v="78169.516035378896"/>
    <n v="1421.2639279159798"/>
    <m/>
    <n v="55"/>
    <s v="Sale"/>
    <x v="106"/>
    <x v="1"/>
    <n v="3770.94"/>
    <n v="1"/>
    <n v="3770.94"/>
    <n v="20.020700000000001"/>
    <n v="75496.858458000002"/>
    <n v="78169.516035378896"/>
    <n v="-2672.6575773788936"/>
    <n v="0.36712328767123287"/>
    <n v="1"/>
    <n v="-2672.6575773788936"/>
    <n v="0"/>
    <m/>
    <n v="-145.4699999999998"/>
    <m/>
    <n v="-3.7143710694232682E-2"/>
    <m/>
  </r>
  <r>
    <x v="3"/>
    <s v="Purchase"/>
    <x v="160"/>
    <x v="2"/>
    <x v="1"/>
    <x v="213"/>
    <n v="3338.87"/>
    <x v="2"/>
    <n v="42"/>
    <n v="79.496904761904759"/>
    <n v="1"/>
    <n v="3338.87"/>
    <n v="19.930299999999999"/>
    <n v="66544.680760999996"/>
    <n v="123.803"/>
    <n v="124.571"/>
    <n v="1.0062"/>
    <n v="66957.257781718188"/>
    <n v="1594.2204233742425"/>
    <m/>
    <n v="42"/>
    <s v="Sale"/>
    <x v="106"/>
    <x v="1"/>
    <n v="2879.62"/>
    <n v="1"/>
    <n v="2879.62"/>
    <n v="20.020700000000001"/>
    <n v="57652.008134000003"/>
    <n v="66957.257781718188"/>
    <n v="-9305.2496477181849"/>
    <n v="0.17260273972602741"/>
    <n v="1"/>
    <n v="-9305.2496477181849"/>
    <n v="0"/>
    <m/>
    <n v="-459.25"/>
    <m/>
    <n v="-0.13754653520502447"/>
    <m/>
  </r>
  <r>
    <x v="3"/>
    <s v="Purchase"/>
    <x v="161"/>
    <x v="2"/>
    <x v="1"/>
    <x v="173"/>
    <n v="6777.72"/>
    <x v="2"/>
    <n v="50"/>
    <n v="135.55440000000002"/>
    <n v="1"/>
    <n v="6777.72"/>
    <n v="19.5547"/>
    <n v="132536.281284"/>
    <n v="122.044"/>
    <n v="124.571"/>
    <n v="1.0206999999999999"/>
    <n v="135279.7823065788"/>
    <n v="2705.5956461315759"/>
    <m/>
    <n v="50"/>
    <s v="Sale"/>
    <x v="106"/>
    <x v="1"/>
    <n v="6675.75"/>
    <n v="1"/>
    <n v="6675.75"/>
    <n v="20.020700000000001"/>
    <n v="133653.18802500001"/>
    <n v="135279.7823065788"/>
    <n v="-1626.5942815787857"/>
    <n v="0.36712328767123287"/>
    <n v="1"/>
    <n v="-1626.5942815787857"/>
    <n v="0"/>
    <m/>
    <n v="-101.97000000000025"/>
    <m/>
    <n v="-1.5044882349816789E-2"/>
    <m/>
  </r>
  <r>
    <x v="3"/>
    <s v="Purchase"/>
    <x v="161"/>
    <x v="2"/>
    <x v="1"/>
    <x v="213"/>
    <n v="2180.15"/>
    <x v="2"/>
    <n v="16"/>
    <n v="136.25937500000001"/>
    <n v="1"/>
    <n v="2180.15"/>
    <n v="19.930299999999999"/>
    <n v="43451.043545"/>
    <n v="123.803"/>
    <n v="124.571"/>
    <n v="1.0062"/>
    <n v="43720.440014979002"/>
    <n v="2732.5275009361876"/>
    <m/>
    <n v="16"/>
    <s v="Sale"/>
    <x v="106"/>
    <x v="1"/>
    <n v="2136.2399999999998"/>
    <n v="1"/>
    <n v="2136.2399999999998"/>
    <n v="20.020700000000001"/>
    <n v="42769.020167999995"/>
    <n v="43720.440014979002"/>
    <n v="-951.41984697900625"/>
    <n v="0.17260273972602741"/>
    <n v="1"/>
    <n v="-951.41984697900625"/>
    <n v="0"/>
    <m/>
    <n v="-43.910000000000309"/>
    <m/>
    <n v="-2.0140815998899299E-2"/>
    <m/>
  </r>
  <r>
    <x v="3"/>
    <s v="Purchase"/>
    <x v="162"/>
    <x v="2"/>
    <x v="1"/>
    <x v="173"/>
    <n v="2674.88"/>
    <x v="2"/>
    <n v="32"/>
    <n v="83.59"/>
    <n v="1"/>
    <n v="2674.88"/>
    <n v="19.5547"/>
    <n v="52306.475936000003"/>
    <n v="122.044"/>
    <n v="124.571"/>
    <n v="1.0206999999999999"/>
    <n v="53389.2199878752"/>
    <n v="1668.4131246211"/>
    <m/>
    <n v="32"/>
    <s v="Sale"/>
    <x v="106"/>
    <x v="1"/>
    <n v="1694.4"/>
    <n v="1"/>
    <n v="1694.4"/>
    <n v="20.020700000000001"/>
    <n v="33923.074080000006"/>
    <n v="53389.2199878752"/>
    <n v="-19466.145907875194"/>
    <n v="0.36712328767123287"/>
    <n v="1"/>
    <n v="-19466.145907875194"/>
    <n v="0"/>
    <m/>
    <n v="-980.48"/>
    <m/>
    <n v="-0.36655102284962315"/>
    <m/>
  </r>
  <r>
    <x v="3"/>
    <s v="Purchase"/>
    <x v="163"/>
    <x v="2"/>
    <x v="1"/>
    <x v="173"/>
    <n v="1507.87"/>
    <x v="2"/>
    <n v="14"/>
    <n v="107.705"/>
    <n v="1"/>
    <n v="1507.87"/>
    <n v="19.5547"/>
    <n v="29485.945488999998"/>
    <n v="122.044"/>
    <n v="124.571"/>
    <n v="1.0206999999999999"/>
    <n v="30096.304560622295"/>
    <n v="2149.7360400444495"/>
    <m/>
    <n v="14"/>
    <s v="Sale"/>
    <x v="106"/>
    <x v="1"/>
    <n v="1385.34"/>
    <n v="1"/>
    <n v="1385.34"/>
    <n v="20.020700000000001"/>
    <n v="27735.476537999999"/>
    <n v="30096.304560622295"/>
    <n v="-2360.828022622296"/>
    <n v="0.36712328767123287"/>
    <n v="1"/>
    <n v="-2360.828022622296"/>
    <n v="0"/>
    <m/>
    <n v="-122.52999999999997"/>
    <m/>
    <n v="-8.1260320849940629E-2"/>
    <m/>
  </r>
  <r>
    <x v="3"/>
    <s v="Purchase"/>
    <x v="34"/>
    <x v="2"/>
    <x v="1"/>
    <x v="173"/>
    <n v="3758.7"/>
    <x v="2"/>
    <n v="17"/>
    <n v="221.1"/>
    <n v="1"/>
    <n v="3758.7"/>
    <n v="19.5547"/>
    <n v="73500.250889999996"/>
    <n v="122.044"/>
    <n v="124.571"/>
    <n v="1.0206999999999999"/>
    <n v="75021.706083422992"/>
    <n v="4413.0415343189998"/>
    <m/>
    <n v="17"/>
    <s v="Sale"/>
    <x v="106"/>
    <x v="1"/>
    <n v="3197.04"/>
    <n v="1"/>
    <n v="3197.04"/>
    <n v="20.020700000000001"/>
    <n v="64006.978728000002"/>
    <n v="75021.706083422992"/>
    <n v="-11014.727355422991"/>
    <n v="0.36712328767123287"/>
    <n v="1"/>
    <n v="-11014.727355422991"/>
    <n v="0"/>
    <m/>
    <n v="-561.65999999999985"/>
    <m/>
    <n v="-0.14942932396839329"/>
    <m/>
  </r>
  <r>
    <x v="0"/>
    <m/>
    <x v="0"/>
    <x v="0"/>
    <x v="0"/>
    <x v="0"/>
    <m/>
    <x v="0"/>
    <n v="0"/>
    <n v="0"/>
    <n v="0"/>
    <n v="0"/>
    <n v="0"/>
    <n v="0"/>
    <n v="0"/>
    <n v="0"/>
    <n v="0"/>
    <n v="0"/>
    <n v="0"/>
    <m/>
    <m/>
    <m/>
    <x v="0"/>
    <x v="0"/>
    <m/>
    <n v="0"/>
    <n v="0"/>
    <n v="0"/>
    <n v="0"/>
    <n v="0"/>
    <n v="0"/>
    <n v="0"/>
    <n v="1"/>
    <n v="0"/>
    <n v="0"/>
    <m/>
    <n v="0"/>
    <m/>
    <n v="0"/>
    <m/>
  </r>
  <r>
    <x v="6"/>
    <s v="Purchase"/>
    <x v="93"/>
    <x v="2"/>
    <x v="1"/>
    <x v="162"/>
    <n v="13146465.428123556"/>
    <x v="2"/>
    <n v="2316"/>
    <n v="5676.3667651656115"/>
    <n v="1"/>
    <n v="13146465.428123556"/>
    <n v="19.076000000000001"/>
    <n v="250781974.50688496"/>
    <n v="103.687"/>
    <n v="122.94799999999999"/>
    <n v="1.1857"/>
    <n v="297352187.17281348"/>
    <n v="128390.40896926315"/>
    <m/>
    <n v="2316"/>
    <s v="Sale"/>
    <x v="95"/>
    <x v="1"/>
    <n v="18505076"/>
    <n v="1"/>
    <n v="18505076"/>
    <n v="19.9268"/>
    <n v="368746948.4368"/>
    <n v="297352187.17281348"/>
    <n v="71394761.263986528"/>
    <n v="3.1616438356164385"/>
    <n v="1"/>
    <n v="71394761.263986528"/>
    <n v="0"/>
    <m/>
    <n v="5358610.5718764439"/>
    <m/>
    <n v="0.40760846336788326"/>
    <m/>
  </r>
  <r>
    <x v="6"/>
    <s v="Purchase"/>
    <x v="94"/>
    <x v="2"/>
    <x v="1"/>
    <x v="162"/>
    <n v="6891706.5711597782"/>
    <x v="2"/>
    <n v="6508"/>
    <n v="1058.9592149907464"/>
    <n v="1"/>
    <n v="6891706.5711597782"/>
    <n v="19.076000000000001"/>
    <n v="131466194.55144393"/>
    <n v="103.687"/>
    <n v="122.94799999999999"/>
    <n v="1.1857"/>
    <n v="155879466.87964708"/>
    <n v="23951.977086608338"/>
    <m/>
    <n v="6508"/>
    <s v="Sale"/>
    <x v="95"/>
    <x v="1"/>
    <n v="6758821.0500000007"/>
    <n v="1"/>
    <n v="6758821.0500000007"/>
    <n v="19.9268"/>
    <n v="134681675.29914001"/>
    <n v="155879466.87964708"/>
    <n v="-21197791.58050707"/>
    <n v="3.1616438356164385"/>
    <n v="1"/>
    <n v="-21197791.58050707"/>
    <n v="0"/>
    <m/>
    <n v="-132885.52115977742"/>
    <m/>
    <n v="-1.9281947045724938E-2"/>
    <m/>
  </r>
  <r>
    <x v="6"/>
    <s v="Purchase"/>
    <x v="95"/>
    <x v="2"/>
    <x v="1"/>
    <x v="165"/>
    <n v="2622561.5802192152"/>
    <x v="2"/>
    <n v="1614"/>
    <n v="1624.883259119712"/>
    <n v="1"/>
    <n v="2622561.5802192152"/>
    <n v="20.190200000000001"/>
    <n v="52950042.816941999"/>
    <n v="112.419"/>
    <n v="122.94799999999999"/>
    <n v="1.0935999999999999"/>
    <n v="57906166.824607767"/>
    <n v="35877.426781045702"/>
    <m/>
    <n v="1614"/>
    <s v="Sale"/>
    <x v="95"/>
    <x v="1"/>
    <n v="2559017.8199999998"/>
    <n v="1"/>
    <n v="2559017.8199999998"/>
    <n v="19.9268"/>
    <n v="50993036.295575999"/>
    <n v="57906166.82460776"/>
    <n v="-6913130.529031761"/>
    <n v="1.3205479452054794"/>
    <n v="1"/>
    <n v="-6913130.529031761"/>
    <n v="0"/>
    <m/>
    <n v="-63543.760219215415"/>
    <m/>
    <n v="-2.4229654204689411E-2"/>
    <m/>
  </r>
  <r>
    <x v="6"/>
    <s v="Purchase"/>
    <x v="96"/>
    <x v="2"/>
    <x v="1"/>
    <x v="162"/>
    <n v="1208773.564933599"/>
    <x v="2"/>
    <n v="394"/>
    <n v="3067.9532104913678"/>
    <n v="1"/>
    <n v="1208773.564933599"/>
    <n v="19.076000000000001"/>
    <n v="23058564.524673335"/>
    <n v="103.687"/>
    <n v="122.94799999999999"/>
    <n v="1.1857"/>
    <n v="27340539.956905171"/>
    <n v="69392.233393160335"/>
    <m/>
    <n v="394"/>
    <s v="Sale"/>
    <x v="95"/>
    <x v="1"/>
    <n v="1860276.4199999997"/>
    <n v="1"/>
    <n v="1860276.4199999997"/>
    <n v="19.9268"/>
    <n v="37069356.166055992"/>
    <n v="27340539.956905171"/>
    <n v="9728816.209150821"/>
    <n v="3.1616438356164385"/>
    <n v="1"/>
    <n v="9728816.209150821"/>
    <n v="0"/>
    <m/>
    <n v="651502.85506640072"/>
    <m/>
    <n v="0.53897841081773612"/>
    <m/>
  </r>
  <r>
    <x v="6"/>
    <s v="Purchase"/>
    <x v="97"/>
    <x v="2"/>
    <x v="1"/>
    <x v="166"/>
    <n v="2850392.8841238031"/>
    <x v="2"/>
    <n v="1180"/>
    <n v="2415.5871899354265"/>
    <n v="1"/>
    <n v="2850392.8841238031"/>
    <n v="18.6645"/>
    <n v="53201157.985728726"/>
    <n v="106.889"/>
    <n v="122.94799999999999"/>
    <n v="1.1501999999999999"/>
    <n v="61191971.915185176"/>
    <n v="51857.603317953537"/>
    <m/>
    <n v="1180"/>
    <s v="Sale"/>
    <x v="95"/>
    <x v="1"/>
    <n v="3528184.68"/>
    <n v="1"/>
    <n v="3528184.68"/>
    <n v="19.9268"/>
    <n v="70305430.481424004"/>
    <n v="61191971.915185176"/>
    <n v="9113458.566238828"/>
    <n v="2.5534246575342467"/>
    <n v="1"/>
    <n v="9113458.566238828"/>
    <n v="0"/>
    <m/>
    <n v="677791.79587619705"/>
    <m/>
    <n v="0.23778890259352684"/>
    <m/>
  </r>
  <r>
    <x v="6"/>
    <s v="Purchase"/>
    <x v="98"/>
    <x v="2"/>
    <x v="1"/>
    <x v="161"/>
    <n v="2105840.0150336926"/>
    <x v="2"/>
    <n v="818"/>
    <n v="2574.3765464959565"/>
    <n v="1"/>
    <n v="2105840.0150336926"/>
    <n v="22.971499999999999"/>
    <n v="48374303.905346468"/>
    <n v="106.74299999999999"/>
    <n v="122.94799999999999"/>
    <n v="1.1517999999999999"/>
    <n v="55717523.238178059"/>
    <n v="68114.331587014749"/>
    <m/>
    <n v="818"/>
    <s v="Sale"/>
    <x v="95"/>
    <x v="1"/>
    <n v="2482999.3328708131"/>
    <n v="1"/>
    <n v="2482999.3328708131"/>
    <n v="19.9268"/>
    <n v="49478231.106250115"/>
    <n v="55717523.238178067"/>
    <n v="-6239292.1319279522"/>
    <n v="2.1671232876712327"/>
    <n v="1"/>
    <n v="-6239292.1319279522"/>
    <n v="0"/>
    <m/>
    <n v="377159.3178371205"/>
    <m/>
    <n v="0.17910160085503271"/>
    <m/>
  </r>
  <r>
    <x v="6"/>
    <s v="Purchase"/>
    <x v="98"/>
    <x v="2"/>
    <x v="1"/>
    <x v="171"/>
    <n v="1171882.2091254753"/>
    <x v="2"/>
    <n v="436"/>
    <n v="2687.8032319391637"/>
    <n v="1"/>
    <n v="1171882.2091254753"/>
    <n v="20.139800000000001"/>
    <n v="23601473.315345246"/>
    <n v="109.271"/>
    <n v="122.94799999999999"/>
    <n v="1.1251"/>
    <n v="26554017.627094936"/>
    <n v="60903.71015388747"/>
    <m/>
    <n v="436"/>
    <s v="Sale"/>
    <x v="95"/>
    <x v="1"/>
    <n v="1323456.8571291866"/>
    <n v="1"/>
    <n v="1323456.8571291866"/>
    <n v="19.9268"/>
    <n v="26372260.100641876"/>
    <n v="26554017.627094936"/>
    <n v="-181757.52645305917"/>
    <n v="1.7424657534246575"/>
    <n v="1"/>
    <n v="-181757.52645305917"/>
    <n v="0"/>
    <m/>
    <n v="151574.64800371137"/>
    <m/>
    <n v="0.12934290393982936"/>
    <m/>
  </r>
  <r>
    <x v="6"/>
    <s v="Purchase"/>
    <x v="99"/>
    <x v="2"/>
    <x v="1"/>
    <x v="168"/>
    <n v="3721531.6377118188"/>
    <x v="2"/>
    <n v="1444"/>
    <n v="2577.2379762547221"/>
    <n v="1"/>
    <n v="3721531.6377118188"/>
    <n v="23.680499999999999"/>
    <n v="88127729.946834713"/>
    <n v="106.16200000000001"/>
    <n v="122.94799999999999"/>
    <n v="1.1580999999999999"/>
    <n v="102060724.05142927"/>
    <n v="70679.1717807682"/>
    <m/>
    <n v="1444"/>
    <s v="Sale"/>
    <x v="95"/>
    <x v="1"/>
    <n v="4128595.2700000005"/>
    <n v="1"/>
    <n v="4128595.2700000005"/>
    <n v="19.9268"/>
    <n v="82269692.226236016"/>
    <n v="102060724.05142929"/>
    <n v="-19791031.825193271"/>
    <n v="2.3013698630136985"/>
    <n v="1"/>
    <n v="-19791031.825193271"/>
    <n v="0"/>
    <m/>
    <n v="407063.63228818169"/>
    <m/>
    <n v="0.10938067223807467"/>
    <m/>
  </r>
  <r>
    <x v="6"/>
    <s v="Purchase"/>
    <x v="100"/>
    <x v="2"/>
    <x v="1"/>
    <x v="169"/>
    <n v="2178791.3351694914"/>
    <x v="2"/>
    <n v="1224"/>
    <n v="1780.0582803672314"/>
    <n v="1"/>
    <n v="2178791.3351694914"/>
    <n v="19.891999999999999"/>
    <n v="43340517.239191517"/>
    <n v="113.899"/>
    <n v="122.94799999999999"/>
    <n v="1.0793999999999999"/>
    <n v="46781754.307983316"/>
    <n v="38220.387506522318"/>
    <m/>
    <n v="1224"/>
    <s v="Sale"/>
    <x v="95"/>
    <x v="1"/>
    <n v="1668416.71"/>
    <n v="1"/>
    <n v="1668416.71"/>
    <n v="19.9268"/>
    <n v="33246206.096827999"/>
    <n v="46781754.307983316"/>
    <n v="-13535548.211155318"/>
    <n v="1.0684931506849316"/>
    <n v="1"/>
    <n v="-13535548.211155318"/>
    <n v="0"/>
    <m/>
    <n v="-510374.6251694914"/>
    <m/>
    <n v="-0.23424667471875577"/>
    <m/>
  </r>
  <r>
    <x v="6"/>
    <s v="Purchase"/>
    <x v="102"/>
    <x v="2"/>
    <x v="1"/>
    <x v="172"/>
    <n v="1313948.8251263392"/>
    <x v="2"/>
    <n v="1310"/>
    <n v="1003.0143703254498"/>
    <n v="1"/>
    <n v="1313948.8251263392"/>
    <n v="20.732500000000002"/>
    <n v="27241444.016931832"/>
    <n v="118.98099999999999"/>
    <n v="122.94799999999999"/>
    <n v="1.0333000000000001"/>
    <n v="28148584.102695666"/>
    <n v="21487.468780683714"/>
    <m/>
    <n v="1310"/>
    <s v="Sale"/>
    <x v="95"/>
    <x v="1"/>
    <n v="1133456.4099999999"/>
    <n v="1"/>
    <n v="1133456.4099999999"/>
    <n v="19.9268"/>
    <n v="22586159.190787997"/>
    <n v="28148584.102695666"/>
    <n v="-5562424.9119076692"/>
    <n v="0.55342465753424652"/>
    <n v="1"/>
    <n v="-5562424.9119076692"/>
    <n v="0"/>
    <m/>
    <n v="-180492.4151263393"/>
    <m/>
    <n v="-0.13736639637314987"/>
    <m/>
  </r>
  <r>
    <x v="6"/>
    <s v="Purchase"/>
    <x v="164"/>
    <x v="2"/>
    <x v="1"/>
    <x v="167"/>
    <n v="984831.63031984342"/>
    <x v="2"/>
    <n v="551"/>
    <n v="1787.3532310704961"/>
    <n v="1"/>
    <n v="984831.63031984342"/>
    <n v="19.476400000000002"/>
    <n v="19180974.764761399"/>
    <n v="104.503"/>
    <n v="122.94799999999999"/>
    <n v="1.1765000000000001"/>
    <n v="22566416.81074179"/>
    <n v="40955.3844115096"/>
    <m/>
    <n v="551"/>
    <s v="Sale"/>
    <x v="95"/>
    <x v="1"/>
    <n v="1290802.9017473436"/>
    <n v="1"/>
    <n v="1290802.9017473436"/>
    <n v="19.9268"/>
    <n v="25721571.262538966"/>
    <n v="22566416.81074179"/>
    <n v="3155154.4517971762"/>
    <n v="2.8794520547945206"/>
    <n v="1"/>
    <n v="3155154.4517971762"/>
    <n v="0"/>
    <m/>
    <n v="305971.27142750018"/>
    <m/>
    <n v="0.3106838387472689"/>
    <m/>
  </r>
  <r>
    <x v="6"/>
    <s v="Purchase"/>
    <x v="164"/>
    <x v="2"/>
    <x v="1"/>
    <x v="37"/>
    <n v="612437.02471153846"/>
    <x v="2"/>
    <n v="296"/>
    <n v="2069.0440024038462"/>
    <n v="1"/>
    <n v="612437.02471153846"/>
    <n v="24.038799999999998"/>
    <n v="14722251.14963573"/>
    <n v="105.755"/>
    <n v="122.94799999999999"/>
    <n v="1.1625000000000001"/>
    <n v="17114616.961451538"/>
    <n v="57819.651896795738"/>
    <m/>
    <n v="296"/>
    <s v="Sale"/>
    <x v="95"/>
    <x v="1"/>
    <n v="693425.87825265655"/>
    <n v="1"/>
    <n v="693425.87825265655"/>
    <n v="19.9268"/>
    <n v="13817758.790765036"/>
    <n v="17114616.961451538"/>
    <n v="-3296858.170686502"/>
    <n v="2.3808219178082193"/>
    <n v="1"/>
    <n v="-3296858.170686502"/>
    <n v="0"/>
    <m/>
    <n v="80988.853541118093"/>
    <m/>
    <n v="0.13224029618272071"/>
    <m/>
  </r>
  <r>
    <x v="6"/>
    <s v="Purchase"/>
    <x v="104"/>
    <x v="2"/>
    <x v="1"/>
    <x v="162"/>
    <n v="2486908.1033550892"/>
    <x v="2"/>
    <n v="2343"/>
    <n v="1061.4204453073364"/>
    <n v="1"/>
    <n v="2486908.1033550892"/>
    <n v="19.076000000000001"/>
    <n v="47440258.979601681"/>
    <n v="103.687"/>
    <n v="122.94799999999999"/>
    <n v="1.1857"/>
    <n v="56249915.072113715"/>
    <n v="24007.646210889336"/>
    <m/>
    <n v="2343"/>
    <s v="Sale"/>
    <x v="95"/>
    <x v="1"/>
    <n v="2533550.54"/>
    <n v="1"/>
    <n v="2533550.54"/>
    <n v="19.9268"/>
    <n v="50485554.900472"/>
    <n v="56249915.072113715"/>
    <n v="-5764360.1716417149"/>
    <n v="3.1616438356164385"/>
    <n v="1"/>
    <n v="-5764360.1716417149"/>
    <n v="0"/>
    <m/>
    <n v="46642.436644910835"/>
    <m/>
    <n v="1.8755191067167096E-2"/>
    <m/>
  </r>
  <r>
    <x v="6"/>
    <s v="Purchase"/>
    <x v="105"/>
    <x v="2"/>
    <x v="1"/>
    <x v="162"/>
    <n v="1704538.3742060752"/>
    <x v="2"/>
    <n v="1271"/>
    <n v="1341.1002157404212"/>
    <n v="1"/>
    <n v="1704538.3742060752"/>
    <n v="19.076000000000001"/>
    <n v="32515774.026355091"/>
    <n v="103.687"/>
    <n v="122.94799999999999"/>
    <n v="1.1857"/>
    <n v="38553953.26304923"/>
    <n v="30333.558822225987"/>
    <m/>
    <n v="1271"/>
    <s v="Sale"/>
    <x v="95"/>
    <x v="1"/>
    <n v="1693450.2600000002"/>
    <n v="1"/>
    <n v="1693450.2600000002"/>
    <n v="19.9268"/>
    <n v="33745044.640968002"/>
    <n v="38553953.26304923"/>
    <n v="-4808908.6220812276"/>
    <n v="3.1616438356164385"/>
    <n v="1"/>
    <n v="-4808908.6220812276"/>
    <n v="0"/>
    <m/>
    <n v="-11088.11420607497"/>
    <m/>
    <n v="-6.5050540215848725E-3"/>
    <m/>
  </r>
  <r>
    <x v="6"/>
    <s v="Purchase"/>
    <x v="165"/>
    <x v="2"/>
    <x v="1"/>
    <x v="174"/>
    <n v="7348592.7699999996"/>
    <x v="2"/>
    <n v="4052"/>
    <n v="1813.5717596248764"/>
    <n v="1"/>
    <n v="7348592.7699999996"/>
    <n v="20.9695"/>
    <n v="154096316.09051499"/>
    <n v="120.15900000000001"/>
    <n v="122.94799999999999"/>
    <n v="1.0232000000000001"/>
    <n v="157671350.62381494"/>
    <n v="38911.981891365976"/>
    <m/>
    <n v="4052"/>
    <s v="Sale"/>
    <x v="95"/>
    <x v="1"/>
    <n v="6047269.9930244014"/>
    <n v="1"/>
    <n v="6047269.9930244014"/>
    <n v="19.9268"/>
    <n v="120502739.69699864"/>
    <n v="157671350.62381494"/>
    <n v="-37168610.9268163"/>
    <n v="0.46027397260273972"/>
    <n v="1"/>
    <n v="-37168610.9268163"/>
    <n v="0"/>
    <m/>
    <n v="-1301322.7769755982"/>
    <m/>
    <n v="-0.17708462255360469"/>
    <m/>
  </r>
  <r>
    <x v="6"/>
    <s v="Purchase"/>
    <x v="165"/>
    <x v="2"/>
    <x v="1"/>
    <x v="214"/>
    <n v="628236.26"/>
    <x v="2"/>
    <n v="415"/>
    <n v="1513.822313253012"/>
    <n v="1"/>
    <n v="628236.26"/>
    <n v="20.491299999999999"/>
    <n v="12873377.674538"/>
    <n v="122.94799999999999"/>
    <n v="122.94799999999999"/>
    <n v="1"/>
    <n v="12873377.674538"/>
    <n v="31020.187167561446"/>
    <m/>
    <n v="415"/>
    <s v="Sale"/>
    <x v="95"/>
    <x v="1"/>
    <n v="619352.67697559879"/>
    <n v="1"/>
    <n v="619352.67697559879"/>
    <n v="19.9268"/>
    <n v="12341716.923557362"/>
    <n v="12873377.674538"/>
    <n v="-531660.75098063797"/>
    <n v="0.10684931506849316"/>
    <n v="1"/>
    <n v="-531660.75098063797"/>
    <n v="0"/>
    <m/>
    <n v="-8883.5830244012177"/>
    <m/>
    <n v="-1.4140513036291821E-2"/>
    <m/>
  </r>
  <r>
    <x v="6"/>
    <s v="Purchase"/>
    <x v="166"/>
    <x v="2"/>
    <x v="1"/>
    <x v="214"/>
    <n v="1409781.5638009312"/>
    <x v="2"/>
    <n v="1323"/>
    <n v="1065.5945304617771"/>
    <n v="1"/>
    <n v="1409781.5638009312"/>
    <n v="20.491299999999999"/>
    <n v="28888256.95831402"/>
    <n v="122.94799999999999"/>
    <n v="122.94799999999999"/>
    <n v="1"/>
    <n v="28888256.95831402"/>
    <n v="21835.417202051412"/>
    <m/>
    <n v="1323"/>
    <s v="Sale"/>
    <x v="95"/>
    <x v="1"/>
    <n v="1297305.28"/>
    <n v="1"/>
    <n v="1297305.28"/>
    <n v="19.9268"/>
    <n v="25851142.853504002"/>
    <n v="28888256.95831402"/>
    <n v="-3037114.1048100181"/>
    <n v="0.10684931506849316"/>
    <n v="1"/>
    <n v="-3037114.1048100181"/>
    <n v="0"/>
    <m/>
    <n v="-112476.28380093118"/>
    <m/>
    <n v="-7.9782773933915224E-2"/>
    <m/>
  </r>
  <r>
    <x v="6"/>
    <s v="Purchase"/>
    <x v="167"/>
    <x v="2"/>
    <x v="1"/>
    <x v="162"/>
    <n v="12123097.997728981"/>
    <x v="2"/>
    <n v="14742"/>
    <n v="822.35096986358576"/>
    <n v="1"/>
    <n v="12123097.997728981"/>
    <n v="19.076000000000001"/>
    <n v="231260217.40467805"/>
    <n v="103.687"/>
    <n v="122.94799999999999"/>
    <n v="1.1857"/>
    <n v="274205239.77672678"/>
    <n v="18600.274031795332"/>
    <m/>
    <n v="14742"/>
    <s v="Sale"/>
    <x v="95"/>
    <x v="1"/>
    <n v="11619659.289999999"/>
    <n v="1"/>
    <n v="11619659.289999999"/>
    <n v="19.9268"/>
    <n v="231542626.739972"/>
    <n v="274205239.77672678"/>
    <n v="-42662613.036754787"/>
    <n v="3.1616438356164385"/>
    <n v="1"/>
    <n v="-42662613.036754787"/>
    <n v="0"/>
    <m/>
    <n v="-503438.70772898197"/>
    <m/>
    <n v="-4.1527232380971522E-2"/>
    <m/>
  </r>
  <r>
    <x v="6"/>
    <s v="Purchase"/>
    <x v="168"/>
    <x v="2"/>
    <x v="1"/>
    <x v="174"/>
    <n v="4968835.4000000004"/>
    <x v="2"/>
    <n v="7013"/>
    <n v="708.51780978183376"/>
    <n v="1"/>
    <n v="4968835.4000000004"/>
    <n v="20.9695"/>
    <n v="104193993.92030001"/>
    <n v="120.15900000000001"/>
    <n v="122.94799999999999"/>
    <n v="1.0232000000000001"/>
    <n v="106611294.57925098"/>
    <n v="15201.952741943673"/>
    <m/>
    <n v="7013"/>
    <s v="Sale"/>
    <x v="95"/>
    <x v="1"/>
    <n v="5275298.03"/>
    <n v="1"/>
    <n v="5275298.03"/>
    <n v="19.9268"/>
    <n v="105119808.78420401"/>
    <n v="106611294.57925098"/>
    <n v="-1491485.7950469702"/>
    <n v="0.46027397260273972"/>
    <n v="1"/>
    <n v="-1491485.7950469702"/>
    <n v="0"/>
    <m/>
    <n v="306462.62999999989"/>
    <m/>
    <n v="6.1676953517115878E-2"/>
    <m/>
  </r>
  <r>
    <x v="6"/>
    <s v="Purchase"/>
    <x v="169"/>
    <x v="2"/>
    <x v="1"/>
    <x v="174"/>
    <n v="3304394.0905689076"/>
    <x v="2"/>
    <n v="4313"/>
    <n v="766.14748216297414"/>
    <n v="1"/>
    <n v="3304394.0905689076"/>
    <n v="20.9695"/>
    <n v="69291491.882184714"/>
    <n v="120.15900000000001"/>
    <n v="122.94799999999999"/>
    <n v="1.0232000000000001"/>
    <n v="70899054.493851408"/>
    <n v="16438.454554567914"/>
    <m/>
    <n v="4313"/>
    <s v="Sale"/>
    <x v="95"/>
    <x v="1"/>
    <n v="2830807.36"/>
    <n v="1"/>
    <n v="2830807.36"/>
    <n v="19.9268"/>
    <n v="56408932.101247996"/>
    <n v="70899054.493851408"/>
    <n v="-14490122.392603412"/>
    <n v="0.46027397260273972"/>
    <n v="1"/>
    <n v="-14490122.392603412"/>
    <n v="0"/>
    <m/>
    <n v="-473586.73056890769"/>
    <m/>
    <n v="-0.14332029339980198"/>
    <m/>
  </r>
  <r>
    <x v="0"/>
    <m/>
    <x v="0"/>
    <x v="0"/>
    <x v="0"/>
    <x v="0"/>
    <m/>
    <x v="0"/>
    <n v="0"/>
    <n v="0"/>
    <n v="0"/>
    <n v="0"/>
    <n v="0"/>
    <n v="0"/>
    <n v="0"/>
    <n v="0"/>
    <n v="0"/>
    <n v="0"/>
    <n v="0"/>
    <m/>
    <m/>
    <m/>
    <x v="0"/>
    <x v="0"/>
    <m/>
    <n v="0"/>
    <n v="0"/>
    <n v="0"/>
    <n v="0"/>
    <n v="0"/>
    <n v="0"/>
    <n v="0"/>
    <n v="1"/>
    <n v="0"/>
    <n v="0"/>
    <m/>
    <n v="0"/>
    <m/>
    <n v="0"/>
    <m/>
  </r>
  <r>
    <x v="5"/>
    <s v="Purchase"/>
    <x v="84"/>
    <x v="2"/>
    <x v="2"/>
    <x v="149"/>
    <n v="2250273.6605276703"/>
    <x v="2"/>
    <n v="1989"/>
    <n v="1131.3593064493064"/>
    <n v="4.676568521081971E-2"/>
    <n v="105235.589646436"/>
    <n v="21.383199999999999"/>
    <n v="2250273.6605276703"/>
    <n v="108.774"/>
    <n v="122.94799999999999"/>
    <n v="1.1303000000000001"/>
    <n v="2543484.3184944261"/>
    <n v="1278.7754240796512"/>
    <m/>
    <n v="1989"/>
    <s v="Sale"/>
    <x v="107"/>
    <x v="2"/>
    <n v="1927518.39"/>
    <n v="4.9903436849695844E-2"/>
    <n v="96189.792251992403"/>
    <n v="20.038699999999999"/>
    <n v="1927518.3900000001"/>
    <n v="2543484.3184944261"/>
    <n v="-615965.92849442596"/>
    <n v="1.832876712328767"/>
    <n v="1"/>
    <n v="-615965.92849442596"/>
    <n v="0"/>
    <m/>
    <n v="-9045.7973944435944"/>
    <m/>
    <n v="-4.0198654737497262E-3"/>
    <m/>
  </r>
  <r>
    <x v="5"/>
    <s v="Purchase"/>
    <x v="84"/>
    <x v="2"/>
    <x v="2"/>
    <x v="149"/>
    <n v="1566932.6394322894"/>
    <x v="2"/>
    <n v="1385"/>
    <n v="1131.3593064493064"/>
    <n v="4.676568521081971E-2"/>
    <n v="73278.678562249304"/>
    <n v="21.383199999999999"/>
    <n v="1566932.6394322892"/>
    <n v="108.774"/>
    <n v="123.803"/>
    <n v="1.1380999999999999"/>
    <n v="1783326.0369378882"/>
    <n v="1287.6000266699555"/>
    <m/>
    <n v="1385"/>
    <s v="Sale"/>
    <x v="103"/>
    <x v="2"/>
    <n v="1146172.8899999999"/>
    <n v="4.9596532210467843E-2"/>
    <n v="56846.200657650013"/>
    <n v="20.162700000000001"/>
    <n v="1146172.8899999999"/>
    <n v="1783326.0369378882"/>
    <n v="-637153.14693788835"/>
    <n v="1.9397260273972603"/>
    <n v="1"/>
    <n v="-637153.14693788835"/>
    <n v="0"/>
    <m/>
    <n v="-16432.477904599291"/>
    <m/>
    <n v="-1.0487035301372554E-2"/>
    <m/>
  </r>
  <r>
    <x v="5"/>
    <s v="Purchase"/>
    <x v="85"/>
    <x v="2"/>
    <x v="2"/>
    <x v="153"/>
    <n v="467316.39263955894"/>
    <x v="2"/>
    <n v="376"/>
    <n v="1242.8627463818057"/>
    <n v="4.6287081738357647E-2"/>
    <n v="21630.712063781699"/>
    <n v="21.604299999999999"/>
    <n v="467316.39263955894"/>
    <n v="106.74299999999999"/>
    <n v="123.803"/>
    <n v="1.1597999999999999"/>
    <n v="541993.55218336044"/>
    <n v="1441.4722132536183"/>
    <m/>
    <n v="376"/>
    <s v="Sale"/>
    <x v="103"/>
    <x v="2"/>
    <n v="419975.01"/>
    <n v="4.9596532210467843E-2"/>
    <n v="20829.304111056554"/>
    <n v="20.162700000000001"/>
    <n v="419975.01"/>
    <n v="541993.55218336044"/>
    <n v="-122018.54218336043"/>
    <n v="2.3123287671232875"/>
    <n v="1"/>
    <n v="-122018.54218336043"/>
    <n v="0"/>
    <m/>
    <n v="-801.40795272514515"/>
    <m/>
    <n v="-1.7149151310497063E-3"/>
    <m/>
  </r>
  <r>
    <x v="5"/>
    <s v="Purchase"/>
    <x v="86"/>
    <x v="2"/>
    <x v="2"/>
    <x v="154"/>
    <n v="17766826.048942111"/>
    <x v="2"/>
    <n v="3520"/>
    <n v="5047.3937639040087"/>
    <n v="5.0857198073529335E-2"/>
    <n v="903570.99150898959"/>
    <n v="19.6629"/>
    <n v="17766826.048942111"/>
    <n v="98.794999699501005"/>
    <n v="122.94799999999999"/>
    <n v="1.2444"/>
    <n v="22109038.335303564"/>
    <n v="6280.9767998021489"/>
    <m/>
    <n v="3520"/>
    <s v="Sale"/>
    <x v="107"/>
    <x v="2"/>
    <n v="30967199.850000001"/>
    <n v="4.9903436849695844E-2"/>
    <n v="1545369.7021263856"/>
    <n v="20.038699999999999"/>
    <n v="30967199.850000001"/>
    <n v="22109038.335303564"/>
    <n v="8858161.5146964379"/>
    <n v="4.6273972602739724"/>
    <n v="1"/>
    <n v="8858161.5146964379"/>
    <n v="0"/>
    <m/>
    <n v="641798.71061739605"/>
    <m/>
    <n v="3.6123430760758225E-2"/>
    <m/>
  </r>
  <r>
    <x v="5"/>
    <s v="Purchase"/>
    <x v="86"/>
    <x v="2"/>
    <x v="2"/>
    <x v="154"/>
    <n v="9897939.1710157618"/>
    <x v="2"/>
    <n v="1961"/>
    <n v="5047.3937639040087"/>
    <n v="5.0857198073529335E-2"/>
    <n v="503381.45294009335"/>
    <n v="19.6629"/>
    <n v="9897939.1710157618"/>
    <n v="98.794999699501005"/>
    <n v="123.803"/>
    <n v="1.2531000000000001"/>
    <n v="12403107.575199852"/>
    <n v="6324.889125548114"/>
    <m/>
    <n v="1961"/>
    <s v="Sale"/>
    <x v="103"/>
    <x v="2"/>
    <n v="15216676.41"/>
    <n v="4.9596532210467843E-2"/>
    <n v="754694.38170483115"/>
    <n v="20.162700000000001"/>
    <n v="15216676.41"/>
    <n v="12403107.575199852"/>
    <n v="2813568.8348001484"/>
    <n v="4.7342465753424658"/>
    <n v="1"/>
    <n v="2813568.8348001484"/>
    <n v="0"/>
    <m/>
    <n v="251312.92876473779"/>
    <m/>
    <n v="2.539042970688889E-2"/>
    <m/>
  </r>
  <r>
    <x v="5"/>
    <s v="Purchase"/>
    <x v="170"/>
    <x v="2"/>
    <x v="2"/>
    <x v="154"/>
    <n v="2951232.944839017"/>
    <x v="2"/>
    <n v="968"/>
    <n v="3048.7943645031169"/>
    <n v="5.0857198073529335E-2"/>
    <n v="150091.43843680318"/>
    <n v="19.6629"/>
    <n v="2951232.944839017"/>
    <n v="98.794999699501005"/>
    <n v="122.94799999999999"/>
    <n v="1.2444"/>
    <n v="3672514.2765576728"/>
    <n v="3793.9197071876783"/>
    <m/>
    <n v="968"/>
    <s v="Sale"/>
    <x v="107"/>
    <x v="2"/>
    <n v="3035763.08"/>
    <n v="4.9903436849695844E-2"/>
    <n v="151495.01115341816"/>
    <n v="20.038699999999999"/>
    <n v="3035763.0800000005"/>
    <n v="3672514.2765576728"/>
    <n v="-636751.19655767223"/>
    <n v="4.6273972602739724"/>
    <n v="1"/>
    <n v="-636751.19655767223"/>
    <n v="0"/>
    <m/>
    <n v="1403.5727166149882"/>
    <m/>
    <n v="4.7558859054805988E-4"/>
    <m/>
  </r>
  <r>
    <x v="5"/>
    <s v="Purchase"/>
    <x v="170"/>
    <x v="2"/>
    <x v="2"/>
    <x v="154"/>
    <n v="3414649.6882434911"/>
    <x v="2"/>
    <n v="1120"/>
    <n v="3048.7943645031169"/>
    <n v="5.0857198073529335E-2"/>
    <n v="173659.51554671442"/>
    <n v="19.6629"/>
    <n v="3414649.6882434911"/>
    <n v="98.794999699501005"/>
    <n v="123.803"/>
    <n v="1.2531000000000001"/>
    <n v="4278897.5243379194"/>
    <n v="3820.4442181588565"/>
    <m/>
    <n v="1120"/>
    <s v="Sale"/>
    <x v="103"/>
    <x v="2"/>
    <n v="3133984.32"/>
    <n v="4.9596532210467843E-2"/>
    <n v="155434.75427398115"/>
    <n v="20.162700000000001"/>
    <n v="3133984.32"/>
    <n v="4278897.5243379194"/>
    <n v="-1144913.2043379196"/>
    <n v="4.7342465753424658"/>
    <n v="1"/>
    <n v="-1144913.2043379196"/>
    <n v="0"/>
    <m/>
    <n v="-18224.761272733274"/>
    <m/>
    <n v="-5.3372272228921266E-3"/>
    <m/>
  </r>
  <r>
    <x v="5"/>
    <s v="Purchase"/>
    <x v="171"/>
    <x v="2"/>
    <x v="2"/>
    <x v="215"/>
    <n v="1199730.2312463976"/>
    <x v="2"/>
    <n v="422"/>
    <n v="2842.9626332853022"/>
    <n v="5.2291409567236297E-2"/>
    <n v="62735.584892300489"/>
    <n v="19.1236"/>
    <n v="1199730.2312463976"/>
    <n v="103.233"/>
    <n v="123.803"/>
    <n v="1.1992"/>
    <n v="1438716.4933106801"/>
    <n v="3409.280789835735"/>
    <m/>
    <n v="422"/>
    <s v="Sale"/>
    <x v="103"/>
    <x v="2"/>
    <n v="1236569.9976315789"/>
    <n v="4.9596532210467843E-2"/>
    <n v="61329.583718032751"/>
    <n v="20.162700000000001"/>
    <n v="1236569.9976315789"/>
    <n v="1438716.4933106801"/>
    <n v="-202146.49567910121"/>
    <n v="3.3671232876712329"/>
    <n v="1"/>
    <n v="-202146.49567910121"/>
    <n v="0"/>
    <m/>
    <n v="-1406.001174267738"/>
    <m/>
    <n v="-1.1719311038841172E-3"/>
    <m/>
  </r>
  <r>
    <x v="5"/>
    <s v="Purchase"/>
    <x v="171"/>
    <x v="2"/>
    <x v="2"/>
    <x v="216"/>
    <n v="546187.26666173211"/>
    <x v="2"/>
    <n v="186"/>
    <n v="2936.4906809770541"/>
    <n v="5.1172358738703703E-2"/>
    <n v="27949.690748126177"/>
    <n v="19.541799999999999"/>
    <n v="546187.26666173211"/>
    <n v="103.29900000000001"/>
    <n v="123.803"/>
    <n v="1.1983999999999999"/>
    <n v="654550.82036741974"/>
    <n v="3519.0904320829018"/>
    <m/>
    <n v="186"/>
    <s v="Sale"/>
    <x v="103"/>
    <x v="2"/>
    <n v="545028.48236842104"/>
    <n v="4.9596532210467843E-2"/>
    <n v="27031.522681407798"/>
    <n v="20.162700000000001"/>
    <n v="545028.48236842104"/>
    <n v="654550.82036741974"/>
    <n v="-109522.3379989987"/>
    <n v="3.3095890410958906"/>
    <n v="1"/>
    <n v="-109522.3379989987"/>
    <n v="0"/>
    <m/>
    <n v="-918.16806671837912"/>
    <m/>
    <n v="-1.6810499306037911E-3"/>
    <m/>
  </r>
  <r>
    <x v="5"/>
    <s v="Purchase"/>
    <x v="87"/>
    <x v="2"/>
    <x v="2"/>
    <x v="155"/>
    <n v="584250.88245947321"/>
    <x v="2"/>
    <n v="3682"/>
    <n v="158.67758893521815"/>
    <n v="5.3631956064701586E-2"/>
    <n v="31334.517658829598"/>
    <n v="18.645600000000002"/>
    <n v="584250.88245947321"/>
    <n v="99.171374481640001"/>
    <n v="122.94799999999999"/>
    <n v="1.2397"/>
    <n v="724295.81898500898"/>
    <n v="196.71260700298996"/>
    <m/>
    <n v="3682"/>
    <s v="Sale"/>
    <x v="107"/>
    <x v="2"/>
    <n v="1386188.3979813536"/>
    <n v="4.9903436849695844E-2"/>
    <n v="69175.565180443533"/>
    <n v="20.038699999999999"/>
    <n v="1386188.3979813538"/>
    <n v="724295.81898500898"/>
    <n v="661892.57899634482"/>
    <n v="4.4739726027397264"/>
    <n v="1"/>
    <n v="661892.57899634482"/>
    <n v="0"/>
    <m/>
    <n v="37841.047521613931"/>
    <m/>
    <n v="6.4768490142997417E-2"/>
    <m/>
  </r>
  <r>
    <x v="5"/>
    <s v="Purchase"/>
    <x v="87"/>
    <x v="2"/>
    <x v="2"/>
    <x v="217"/>
    <n v="1908625.1399999997"/>
    <x v="2"/>
    <n v="11348"/>
    <n v="168.19044236869931"/>
    <n v="5.18164247703237E-2"/>
    <n v="98898.130981558526"/>
    <n v="19.2989"/>
    <n v="1908625.14"/>
    <n v="98.994080173086999"/>
    <n v="122.94799999999999"/>
    <n v="1.2419"/>
    <n v="2370321.5613659997"/>
    <n v="208.87571037768768"/>
    <m/>
    <n v="11348"/>
    <s v="Sale"/>
    <x v="107"/>
    <x v="2"/>
    <n v="4272261.254832265"/>
    <n v="4.9903436849695844E-2"/>
    <n v="213200.51973592426"/>
    <n v="20.038699999999999"/>
    <n v="4272261.254832265"/>
    <n v="2370321.5613659997"/>
    <n v="1901939.6934662652"/>
    <n v="4.2684931506849315"/>
    <n v="1"/>
    <n v="1901939.6934662652"/>
    <n v="0"/>
    <m/>
    <n v="114302.38875436573"/>
    <m/>
    <n v="5.9887290782707471E-2"/>
    <m/>
  </r>
  <r>
    <x v="5"/>
    <s v="Purchase"/>
    <x v="87"/>
    <x v="2"/>
    <x v="2"/>
    <x v="218"/>
    <n v="2419407.2530232556"/>
    <x v="2"/>
    <n v="8996"/>
    <n v="268.94255813953487"/>
    <n v="4.1305586993696762E-2"/>
    <n v="99935.036762932999"/>
    <n v="24.209800000000001"/>
    <n v="2419407.2530232556"/>
    <n v="105.755"/>
    <n v="122.94799999999999"/>
    <n v="1.1625000000000001"/>
    <n v="2812560.9316395349"/>
    <n v="312.64572383720929"/>
    <m/>
    <n v="8996"/>
    <s v="Sale"/>
    <x v="107"/>
    <x v="2"/>
    <n v="3386787.2971863812"/>
    <n v="4.9903436849695844E-2"/>
    <n v="169012.32600849264"/>
    <n v="20.038699999999999"/>
    <n v="3386787.2971863812"/>
    <n v="2812560.9316395349"/>
    <n v="574226.3655468463"/>
    <n v="2.3315068493150686"/>
    <n v="1"/>
    <n v="574226.3655468463"/>
    <n v="0"/>
    <m/>
    <n v="69077.289245559645"/>
    <m/>
    <n v="2.8551327668891496E-2"/>
    <m/>
  </r>
  <r>
    <x v="5"/>
    <s v="Purchase"/>
    <x v="87"/>
    <x v="2"/>
    <x v="2"/>
    <x v="218"/>
    <n v="55402.166976744185"/>
    <x v="2"/>
    <n v="206"/>
    <n v="268.94255813953487"/>
    <n v="4.1305586993696762E-2"/>
    <n v="2288.4190276972208"/>
    <n v="24.209800000000001"/>
    <n v="55402.166976744178"/>
    <n v="105.755"/>
    <n v="123.803"/>
    <n v="1.1706000000000001"/>
    <n v="64853.776662976743"/>
    <n v="314.82415855813952"/>
    <m/>
    <n v="206"/>
    <s v="Sale"/>
    <x v="103"/>
    <x v="2"/>
    <n v="65599.55409533935"/>
    <n v="4.9596532210467843E-2"/>
    <n v="3253.5103976818259"/>
    <n v="20.162700000000001"/>
    <n v="65599.55409533935"/>
    <n v="64853.776662976743"/>
    <n v="745.77743236260721"/>
    <n v="2.4383561643835616"/>
    <n v="1"/>
    <n v="745.77743236260721"/>
    <n v="0"/>
    <m/>
    <n v="965.09136998460508"/>
    <m/>
    <n v="1.7419740465922845E-2"/>
    <m/>
  </r>
  <r>
    <x v="5"/>
    <s v="Purchase"/>
    <x v="87"/>
    <x v="2"/>
    <x v="2"/>
    <x v="153"/>
    <n v="1535271.1739162505"/>
    <x v="2"/>
    <n v="5437"/>
    <n v="282.37468712824176"/>
    <n v="4.6287081738357647E-2"/>
    <n v="71063.222317605789"/>
    <n v="21.604299999999999"/>
    <n v="1535271.1739162507"/>
    <n v="106.74299999999999"/>
    <n v="123.803"/>
    <n v="1.1597999999999999"/>
    <n v="1780607.5075080674"/>
    <n v="327.49816213133482"/>
    <m/>
    <n v="5437"/>
    <s v="Sale"/>
    <x v="103"/>
    <x v="2"/>
    <n v="1731382.4059046607"/>
    <n v="4.9596532210467843E-2"/>
    <n v="85870.56326308781"/>
    <n v="20.162700000000001"/>
    <n v="1731382.4059046607"/>
    <n v="1780607.5075080674"/>
    <n v="-49225.101603406714"/>
    <n v="2.3123287671232875"/>
    <n v="1"/>
    <n v="-49225.101603406714"/>
    <n v="0"/>
    <m/>
    <n v="14807.340945482021"/>
    <m/>
    <n v="9.6447723353723092E-3"/>
    <m/>
  </r>
  <r>
    <x v="5"/>
    <s v="Purchase"/>
    <x v="172"/>
    <x v="2"/>
    <x v="2"/>
    <x v="12"/>
    <n v="1374596.395389322"/>
    <x v="2"/>
    <n v="10794"/>
    <n v="127.3481930136485"/>
    <n v="4.4592690366195176E-2"/>
    <n v="61296.951438084034"/>
    <n v="22.4252"/>
    <n v="1374596.3953893222"/>
    <n v="106.74299999999999"/>
    <n v="122.94799999999999"/>
    <n v="1.1517999999999999"/>
    <n v="1583260.1282094212"/>
    <n v="146.67964871312037"/>
    <m/>
    <n v="10794"/>
    <s v="Sale"/>
    <x v="107"/>
    <x v="2"/>
    <n v="1734830.7700000003"/>
    <n v="4.9903436849695844E-2"/>
    <n v="86574.017775604225"/>
    <n v="20.038699999999999"/>
    <n v="1734830.7700000003"/>
    <n v="1583260.1282094212"/>
    <n v="151570.64179057907"/>
    <n v="2.1780821917808217"/>
    <n v="1"/>
    <n v="151570.64179057907"/>
    <n v="0"/>
    <m/>
    <n v="25277.066337520191"/>
    <m/>
    <n v="1.838871862483028E-2"/>
    <m/>
  </r>
  <r>
    <x v="5"/>
    <s v="Purchase"/>
    <x v="172"/>
    <x v="2"/>
    <x v="2"/>
    <x v="12"/>
    <n v="573066.86856141826"/>
    <x v="2"/>
    <n v="4500"/>
    <n v="127.3481930136485"/>
    <n v="4.4592690366195176E-2"/>
    <n v="25554.593428884393"/>
    <n v="22.4252"/>
    <n v="573066.86856141826"/>
    <n v="106.74299999999999"/>
    <n v="123.803"/>
    <n v="1.1597999999999999"/>
    <n v="664642.95415753289"/>
    <n v="147.69843425722954"/>
    <m/>
    <n v="4500"/>
    <s v="Sale"/>
    <x v="103"/>
    <x v="2"/>
    <n v="667059.81999999995"/>
    <n v="4.9596532210467843E-2"/>
    <n v="33083.853848938881"/>
    <n v="20.162700000000001"/>
    <n v="667059.82000000007"/>
    <n v="664642.95415753289"/>
    <n v="2416.8658424671739"/>
    <n v="2.2849315068493152"/>
    <n v="1"/>
    <n v="2416.8658424671739"/>
    <n v="0"/>
    <m/>
    <n v="7529.2604200544883"/>
    <m/>
    <n v="1.3138537286155364E-2"/>
    <m/>
  </r>
  <r>
    <x v="5"/>
    <s v="Purchase"/>
    <x v="173"/>
    <x v="2"/>
    <x v="2"/>
    <x v="219"/>
    <n v="2602683.7304412457"/>
    <x v="2"/>
    <n v="24188"/>
    <n v="107.60227097904935"/>
    <n v="4.9346893859765997E-2"/>
    <n v="128434.35779662397"/>
    <n v="20.264700000000001"/>
    <n v="2602683.7304412457"/>
    <n v="115.56100000000001"/>
    <n v="122.94799999999999"/>
    <n v="1.0639000000000001"/>
    <n v="2768995.2208164413"/>
    <n v="114.47805609461061"/>
    <m/>
    <n v="24188"/>
    <s v="Sale"/>
    <x v="107"/>
    <x v="2"/>
    <n v="3621308.16"/>
    <n v="4.9903436849695844E-2"/>
    <n v="180715.72307584825"/>
    <n v="20.038699999999999"/>
    <n v="3621308.16"/>
    <n v="2768995.2208164413"/>
    <n v="852312.9391835588"/>
    <n v="0.82739726027397265"/>
    <n v="1"/>
    <n v="852312.9391835588"/>
    <n v="0"/>
    <m/>
    <n v="52281.365279224279"/>
    <m/>
    <n v="2.0087483034429528E-2"/>
    <m/>
  </r>
  <r>
    <x v="5"/>
    <s v="Purchase"/>
    <x v="173"/>
    <x v="2"/>
    <x v="2"/>
    <x v="219"/>
    <n v="563082.68403336522"/>
    <x v="2"/>
    <n v="5233"/>
    <n v="107.60227097904935"/>
    <n v="4.9346893859765997E-2"/>
    <n v="27786.381443266626"/>
    <n v="20.264700000000001"/>
    <n v="563082.68403336522"/>
    <n v="115.56100000000001"/>
    <n v="123.803"/>
    <n v="1.0712999999999999"/>
    <n v="603230.47940494411"/>
    <n v="115.27431289985556"/>
    <m/>
    <n v="5233"/>
    <s v="Sale"/>
    <x v="103"/>
    <x v="2"/>
    <n v="709329.61"/>
    <n v="4.9596532210467843E-2"/>
    <n v="35180.288850203593"/>
    <n v="20.162700000000001"/>
    <n v="709329.61"/>
    <n v="603230.47940494411"/>
    <n v="106099.13059505587"/>
    <n v="0.9342465753424658"/>
    <n v="1"/>
    <n v="106099.13059505587"/>
    <n v="0"/>
    <m/>
    <n v="7393.9074069369672"/>
    <m/>
    <n v="1.3131121976570752E-2"/>
    <m/>
  </r>
  <r>
    <x v="5"/>
    <s v="Purchase"/>
    <x v="174"/>
    <x v="2"/>
    <x v="2"/>
    <x v="220"/>
    <n v="1317657.4887102132"/>
    <x v="2"/>
    <n v="11879"/>
    <n v="110.92326700144905"/>
    <n v="4.7367099759848805E-2"/>
    <n v="62413.613717048516"/>
    <n v="21.111699999999999"/>
    <n v="1317657.488710213"/>
    <n v="106.83799999999999"/>
    <n v="122.94799999999999"/>
    <n v="1.1507000000000001"/>
    <n v="1516228.4722588421"/>
    <n v="127.63940333856739"/>
    <m/>
    <n v="11879"/>
    <s v="Sale"/>
    <x v="107"/>
    <x v="2"/>
    <n v="1911588.98"/>
    <n v="4.9903436849695844E-2"/>
    <n v="95394.859946004493"/>
    <n v="20.038699999999999"/>
    <n v="1911588.9800000002"/>
    <n v="1516228.4722588421"/>
    <n v="395360.50774115813"/>
    <n v="2.441095890410959"/>
    <n v="1"/>
    <n v="395360.50774115813"/>
    <n v="0"/>
    <m/>
    <n v="32981.246228955977"/>
    <m/>
    <n v="2.5030211956856566E-2"/>
    <m/>
  </r>
  <r>
    <x v="5"/>
    <s v="Purchase"/>
    <x v="174"/>
    <x v="2"/>
    <x v="2"/>
    <x v="220"/>
    <n v="535648.45634999743"/>
    <x v="2"/>
    <n v="4829"/>
    <n v="110.92326700144905"/>
    <n v="4.7367099759848805E-2"/>
    <n v="25372.113868139346"/>
    <n v="21.111699999999999"/>
    <n v="535648.45634999743"/>
    <n v="106.83799999999999"/>
    <n v="123.803"/>
    <n v="1.1587000000000001"/>
    <n v="620655.86637274211"/>
    <n v="128.52678947457903"/>
    <m/>
    <n v="4829"/>
    <s v="Sale"/>
    <x v="103"/>
    <x v="2"/>
    <n v="673491.68000000017"/>
    <n v="4.9596532210467843E-2"/>
    <n v="33402.851800602111"/>
    <n v="20.162700000000001"/>
    <n v="673491.68000000017"/>
    <n v="620655.86637274211"/>
    <n v="52835.81362725806"/>
    <n v="2.547945205479452"/>
    <n v="1"/>
    <n v="52835.81362725806"/>
    <n v="0"/>
    <m/>
    <n v="8030.7379324627655"/>
    <m/>
    <n v="1.4992553114379574E-2"/>
    <m/>
  </r>
  <r>
    <x v="5"/>
    <s v="Purchase"/>
    <x v="175"/>
    <x v="2"/>
    <x v="2"/>
    <x v="221"/>
    <n v="3091384.63718112"/>
    <x v="2"/>
    <n v="21750"/>
    <n v="142.1326269968331"/>
    <n v="5.2239234799688651E-2"/>
    <n v="161491.56791785485"/>
    <n v="19.142700000000001"/>
    <n v="3091384.63718112"/>
    <n v="103.233"/>
    <n v="122.94799999999999"/>
    <n v="1.1909000000000001"/>
    <n v="3681529.9644189961"/>
    <n v="169.26574549052856"/>
    <m/>
    <n v="21750"/>
    <s v="Sale"/>
    <x v="107"/>
    <x v="2"/>
    <n v="4843576.49"/>
    <n v="4.9903436849695844E-2"/>
    <n v="241711.11349538647"/>
    <n v="20.038699999999999"/>
    <n v="4843576.49"/>
    <n v="3681529.9644189961"/>
    <n v="1162046.5255810041"/>
    <n v="3.2630136986301368"/>
    <n v="1"/>
    <n v="1162046.5255810041"/>
    <n v="0"/>
    <m/>
    <n v="80219.545577531622"/>
    <m/>
    <n v="2.594938999589512E-2"/>
    <m/>
  </r>
  <r>
    <x v="5"/>
    <s v="Purchase"/>
    <x v="175"/>
    <x v="2"/>
    <x v="2"/>
    <x v="221"/>
    <n v="625383.55878606567"/>
    <x v="2"/>
    <n v="4400"/>
    <n v="142.1326269968331"/>
    <n v="5.2239234799688651E-2"/>
    <n v="32669.558567290176"/>
    <n v="19.142700000000001"/>
    <n v="625383.55878606567"/>
    <n v="103.233"/>
    <n v="123.803"/>
    <n v="1.1992"/>
    <n v="749959.96369624999"/>
    <n v="170.44544629460228"/>
    <m/>
    <n v="4400"/>
    <s v="Sale"/>
    <x v="103"/>
    <x v="2"/>
    <n v="870234.84994923847"/>
    <n v="4.9596532210467843E-2"/>
    <n v="43160.630766179056"/>
    <n v="20.162700000000001"/>
    <n v="870234.84994923847"/>
    <n v="749959.96369624999"/>
    <n v="120274.88625298848"/>
    <n v="3.3698630136986303"/>
    <n v="1"/>
    <n v="120274.88625298848"/>
    <n v="0"/>
    <m/>
    <n v="10491.07219888888"/>
    <m/>
    <n v="1.6775420542319883E-2"/>
    <m/>
  </r>
  <r>
    <x v="5"/>
    <s v="Purchase"/>
    <x v="175"/>
    <x v="2"/>
    <x v="2"/>
    <x v="95"/>
    <n v="1205411.0141591344"/>
    <x v="2"/>
    <n v="5450"/>
    <n v="221.17633287323565"/>
    <n v="4.452895049716573E-2"/>
    <n v="53675.687378230432"/>
    <n v="22.4573"/>
    <n v="1205411.0141591344"/>
    <n v="108.114"/>
    <n v="123.803"/>
    <n v="1.1451"/>
    <n v="1380316.1523136247"/>
    <n v="253.26901877314216"/>
    <m/>
    <n v="5450"/>
    <s v="Sale"/>
    <x v="103"/>
    <x v="2"/>
    <n v="1077904.5300507613"/>
    <n v="4.9596532210467843E-2"/>
    <n v="53460.326744471786"/>
    <n v="20.162700000000001"/>
    <n v="1077904.5300507613"/>
    <n v="1380316.1523136247"/>
    <n v="-302411.62226286344"/>
    <n v="1.9917808219178081"/>
    <n v="1"/>
    <n v="-302411.62226286344"/>
    <n v="0"/>
    <m/>
    <n v="-215.36063375864614"/>
    <m/>
    <n v="-1.7866157785929683E-4"/>
    <m/>
  </r>
  <r>
    <x v="5"/>
    <s v="Purchase"/>
    <x v="176"/>
    <x v="2"/>
    <x v="2"/>
    <x v="154"/>
    <n v="1925793.8146275538"/>
    <x v="2"/>
    <n v="16561"/>
    <n v="116.28487498505849"/>
    <n v="5.0857198073529335E-2"/>
    <n v="97940.477479291134"/>
    <n v="19.6629"/>
    <n v="1925793.8146275536"/>
    <n v="98.794999699501005"/>
    <n v="122.94799999999999"/>
    <n v="1.2444"/>
    <n v="2396457.8229225278"/>
    <n v="144.70489843140678"/>
    <m/>
    <n v="16561"/>
    <s v="Sale"/>
    <x v="107"/>
    <x v="2"/>
    <n v="3385542.92"/>
    <n v="4.9903436849695844E-2"/>
    <n v="168950.22731015488"/>
    <n v="20.038699999999999"/>
    <n v="3385542.9200000004"/>
    <n v="2396457.8229225278"/>
    <n v="989085.0970774726"/>
    <n v="4.6273972602739724"/>
    <n v="1"/>
    <n v="989085.0970774726"/>
    <n v="0"/>
    <m/>
    <n v="71009.749830863744"/>
    <m/>
    <n v="3.6872976375509306E-2"/>
    <m/>
  </r>
  <r>
    <x v="5"/>
    <s v="Purchase"/>
    <x v="176"/>
    <x v="2"/>
    <x v="2"/>
    <x v="154"/>
    <n v="1532634.652303071"/>
    <x v="2"/>
    <n v="13180"/>
    <n v="116.28487498505849"/>
    <n v="5.0857198073529335E-2"/>
    <n v="77945.504086532048"/>
    <n v="19.6629"/>
    <n v="1532634.652303071"/>
    <n v="98.794999699501005"/>
    <n v="123.803"/>
    <n v="1.2531000000000001"/>
    <n v="1920544.4828009785"/>
    <n v="145.71657684377681"/>
    <m/>
    <n v="13180"/>
    <s v="Sale"/>
    <x v="103"/>
    <x v="2"/>
    <n v="2516361.2637209687"/>
    <n v="4.9596532210467843E-2"/>
    <n v="124802.79246931059"/>
    <n v="20.162700000000001"/>
    <n v="2516361.2637209687"/>
    <n v="1920544.4828009782"/>
    <n v="595816.7809199905"/>
    <n v="4.7342465753424658"/>
    <n v="1"/>
    <n v="595816.7809199905"/>
    <n v="0"/>
    <m/>
    <n v="46857.288382778541"/>
    <m/>
    <n v="3.0573032074125872E-2"/>
    <m/>
  </r>
  <r>
    <x v="5"/>
    <s v="Purchase"/>
    <x v="176"/>
    <x v="2"/>
    <x v="2"/>
    <x v="222"/>
    <n v="1297114.1372640384"/>
    <x v="2"/>
    <n v="11104"/>
    <n v="116.81503397550779"/>
    <n v="5.2253702174799084E-2"/>
    <n v="67779.015815316525"/>
    <n v="19.1374"/>
    <n v="1297114.1372640384"/>
    <n v="103.233"/>
    <n v="123.803"/>
    <n v="1.1992"/>
    <n v="1555499.273407035"/>
    <n v="140.08458874342895"/>
    <m/>
    <n v="11104"/>
    <s v="Sale"/>
    <x v="103"/>
    <x v="2"/>
    <n v="2120005.7262790315"/>
    <n v="4.9596532210467843E-2"/>
    <n v="105144.93228977425"/>
    <n v="20.162700000000001"/>
    <n v="2120005.7262790315"/>
    <n v="1555499.273407035"/>
    <n v="564506.45287199644"/>
    <n v="3.3753424657534246"/>
    <n v="1"/>
    <n v="564506.45287199644"/>
    <n v="0"/>
    <m/>
    <n v="37365.916474457728"/>
    <m/>
    <n v="2.880696108460622E-2"/>
    <m/>
  </r>
  <r>
    <x v="5"/>
    <s v="Purchase"/>
    <x v="88"/>
    <x v="2"/>
    <x v="2"/>
    <x v="156"/>
    <n v="630735.76421508042"/>
    <x v="2"/>
    <n v="185"/>
    <n v="3409.3825092707048"/>
    <n v="5.081610667317113E-2"/>
    <n v="32051.53587693764"/>
    <n v="19.678799999999999"/>
    <n v="630735.76421508042"/>
    <n v="110.21"/>
    <n v="122.94799999999999"/>
    <n v="1.1154999999999999"/>
    <n v="703585.74498192221"/>
    <n v="3803.1661890914716"/>
    <m/>
    <n v="185"/>
    <s v="Sale"/>
    <x v="107"/>
    <x v="2"/>
    <n v="552153.65394295298"/>
    <n v="4.9903436849695844E-2"/>
    <n v="27554.365000870966"/>
    <n v="20.038699999999999"/>
    <n v="552153.65394295298"/>
    <n v="703585.74498192221"/>
    <n v="-151432.09103896923"/>
    <n v="1.5753424657534247"/>
    <n v="1"/>
    <n v="-151432.09103896923"/>
    <n v="0"/>
    <m/>
    <n v="-4497.1708760666734"/>
    <m/>
    <n v="-7.130039441576903E-3"/>
    <m/>
  </r>
  <r>
    <x v="5"/>
    <s v="Purchase"/>
    <x v="88"/>
    <x v="2"/>
    <x v="2"/>
    <x v="219"/>
    <n v="1625914.5390326274"/>
    <x v="2"/>
    <n v="411"/>
    <n v="3955.9964453348598"/>
    <n v="4.9346893859765997E-2"/>
    <n v="80233.832182693426"/>
    <n v="20.264700000000001"/>
    <n v="1625914.5390326276"/>
    <n v="115.56100000000001"/>
    <n v="122.94799999999999"/>
    <n v="1.0639000000000001"/>
    <n v="1729810.4780768126"/>
    <n v="4208.7846181917585"/>
    <m/>
    <n v="411"/>
    <s v="Sale"/>
    <x v="107"/>
    <x v="2"/>
    <n v="1226676.496057047"/>
    <n v="4.9903436849695844E-2"/>
    <n v="61215.373055989017"/>
    <n v="20.038699999999999"/>
    <n v="1226676.496057047"/>
    <n v="1729810.4780768128"/>
    <n v="-503133.98201976577"/>
    <n v="0.82739726027397265"/>
    <n v="1"/>
    <n v="-503133.98201976577"/>
    <n v="0"/>
    <m/>
    <n v="-19018.459126704409"/>
    <m/>
    <n v="-1.1697084114900558E-2"/>
    <m/>
  </r>
  <r>
    <x v="5"/>
    <s v="Purchase"/>
    <x v="88"/>
    <x v="2"/>
    <x v="2"/>
    <x v="219"/>
    <n v="553839.50234688038"/>
    <x v="2"/>
    <n v="140"/>
    <n v="3955.9964453348598"/>
    <n v="4.9346893859765997E-2"/>
    <n v="27330.259137657129"/>
    <n v="20.264700000000001"/>
    <n v="553839.5023468805"/>
    <n v="115.56100000000001"/>
    <n v="123.803"/>
    <n v="1.0712999999999999"/>
    <n v="593328.25886421301"/>
    <n v="4238.0589918872356"/>
    <m/>
    <n v="140"/>
    <s v="Sale"/>
    <x v="103"/>
    <x v="2"/>
    <n v="355337.97"/>
    <n v="4.9596532210467843E-2"/>
    <n v="17623.531074707254"/>
    <n v="20.162700000000001"/>
    <n v="355337.97"/>
    <n v="593328.25886421301"/>
    <n v="-237990.28886421304"/>
    <n v="0.9342465753424658"/>
    <n v="1"/>
    <n v="-237990.28886421304"/>
    <n v="0"/>
    <m/>
    <n v="-9706.7280629498746"/>
    <m/>
    <n v="-1.7526247264447316E-2"/>
    <m/>
  </r>
  <r>
    <x v="5"/>
    <s v="Purchase"/>
    <x v="177"/>
    <x v="2"/>
    <x v="2"/>
    <x v="223"/>
    <n v="1143843.1399999999"/>
    <x v="2"/>
    <n v="274"/>
    <n v="4174.6099999999997"/>
    <n v="5.2180356183111301E-2"/>
    <n v="59686.142462808442"/>
    <n v="19.164300000000001"/>
    <n v="1143843.1399999999"/>
    <n v="105.346"/>
    <n v="122.94799999999999"/>
    <n v="1.167"/>
    <n v="1334864.94438"/>
    <n v="4871.7698700000001"/>
    <m/>
    <n v="274"/>
    <s v="Sale"/>
    <x v="107"/>
    <x v="2"/>
    <n v="1295773.6299999999"/>
    <n v="4.9903436849695844E-2"/>
    <n v="64663.557516206143"/>
    <n v="20.038699999999999"/>
    <n v="1295773.6299999999"/>
    <n v="1334864.94438"/>
    <n v="-39091.314380000113"/>
    <n v="2.8"/>
    <n v="1"/>
    <n v="-39091.314380000113"/>
    <n v="0"/>
    <m/>
    <n v="4977.4150533977008"/>
    <m/>
    <n v="4.3514839398326082E-3"/>
    <m/>
  </r>
  <r>
    <x v="5"/>
    <s v="Purchase"/>
    <x v="177"/>
    <x v="2"/>
    <x v="2"/>
    <x v="223"/>
    <n v="993557.17999999993"/>
    <x v="2"/>
    <n v="238"/>
    <n v="4174.6099999999997"/>
    <n v="5.2180356183111301E-2"/>
    <n v="51844.167540687624"/>
    <n v="19.164300000000001"/>
    <n v="993557.17999999982"/>
    <n v="105.346"/>
    <n v="123.803"/>
    <n v="1.1752"/>
    <n v="1167628.3979359998"/>
    <n v="4906.0016719999994"/>
    <m/>
    <n v="238"/>
    <s v="Sale"/>
    <x v="103"/>
    <x v="2"/>
    <n v="1000161.42"/>
    <n v="4.9596532210467843E-2"/>
    <n v="49604.538082697261"/>
    <n v="20.162700000000001"/>
    <n v="1000161.4200000002"/>
    <n v="1167628.3979359998"/>
    <n v="-167466.97793599963"/>
    <n v="2.9068493150684933"/>
    <n v="1"/>
    <n v="-167466.97793599963"/>
    <n v="0"/>
    <m/>
    <n v="-2239.6294579903624"/>
    <m/>
    <n v="-2.2541525571687406E-3"/>
    <m/>
  </r>
  <r>
    <x v="5"/>
    <s v="Purchase"/>
    <x v="178"/>
    <x v="2"/>
    <x v="2"/>
    <x v="215"/>
    <n v="1376594.7546473029"/>
    <x v="2"/>
    <n v="486"/>
    <n v="2832.4994951590593"/>
    <n v="5.2291409567236297E-2"/>
    <n v="71984.080123371285"/>
    <n v="19.1236"/>
    <n v="1376594.7546473031"/>
    <n v="103.233"/>
    <n v="122.94799999999999"/>
    <n v="1.1909000000000001"/>
    <n v="1639386.6933094733"/>
    <n v="3373.2236487849245"/>
    <m/>
    <n v="486"/>
    <s v="Sale"/>
    <x v="107"/>
    <x v="2"/>
    <n v="1868502.94"/>
    <n v="4.9903436849695844E-2"/>
    <n v="93244.718469761021"/>
    <n v="20.038699999999999"/>
    <n v="1868502.94"/>
    <n v="1639386.6933094733"/>
    <n v="229116.2466905266"/>
    <n v="3.2602739726027399"/>
    <n v="1"/>
    <n v="229116.2466905266"/>
    <n v="0"/>
    <m/>
    <n v="21260.638346389736"/>
    <m/>
    <n v="1.544436972072941E-2"/>
    <m/>
  </r>
  <r>
    <x v="5"/>
    <s v="Purchase"/>
    <x v="178"/>
    <x v="2"/>
    <x v="2"/>
    <x v="215"/>
    <n v="1257629.7758506222"/>
    <x v="2"/>
    <n v="444"/>
    <n v="2832.4994951590588"/>
    <n v="5.2291409567236297E-2"/>
    <n v="65763.233692956463"/>
    <n v="19.1236"/>
    <n v="1257629.7758506222"/>
    <n v="103.233"/>
    <n v="123.803"/>
    <n v="1.1992"/>
    <n v="1508149.6272000661"/>
    <n v="3396.7333945947435"/>
    <m/>
    <n v="444"/>
    <s v="Sale"/>
    <x v="103"/>
    <x v="2"/>
    <n v="1496705.53"/>
    <n v="4.9596532210467843E-2"/>
    <n v="74231.404028230347"/>
    <n v="20.162700000000001"/>
    <n v="1496705.53"/>
    <n v="1508149.6272000661"/>
    <n v="-11444.097200066084"/>
    <n v="3.3671232876712329"/>
    <n v="1"/>
    <n v="-11444.097200066084"/>
    <n v="0"/>
    <m/>
    <n v="8468.1703352738841"/>
    <m/>
    <n v="6.7334365787787374E-3"/>
    <m/>
  </r>
  <r>
    <x v="5"/>
    <s v="Purchase"/>
    <x v="179"/>
    <x v="2"/>
    <x v="2"/>
    <x v="224"/>
    <n v="1561271.3412081313"/>
    <x v="2"/>
    <n v="6337"/>
    <n v="246.37389004389004"/>
    <n v="5.2293870635422825E-2"/>
    <n v="81644.921543931108"/>
    <n v="19.122699999999998"/>
    <n v="1561271.3412081313"/>
    <n v="103.687"/>
    <n v="122.94799999999999"/>
    <n v="1.1857"/>
    <n v="1851199.4292704812"/>
    <n v="292.12552142504046"/>
    <m/>
    <n v="6337"/>
    <s v="Sale"/>
    <x v="107"/>
    <x v="2"/>
    <n v="2123715.2000000002"/>
    <n v="4.9903436849695844E-2"/>
    <n v="105980.68736993919"/>
    <n v="20.038699999999999"/>
    <n v="2123715.2000000002"/>
    <n v="1851199.4292704815"/>
    <n v="272515.77072951873"/>
    <n v="3.0986301369863014"/>
    <n v="1"/>
    <n v="272515.77072951873"/>
    <n v="0"/>
    <m/>
    <n v="24335.765826008079"/>
    <m/>
    <n v="1.5587146951135835E-2"/>
    <m/>
  </r>
  <r>
    <x v="5"/>
    <s v="Purchase"/>
    <x v="179"/>
    <x v="2"/>
    <x v="2"/>
    <x v="224"/>
    <n v="1164855.7521275121"/>
    <x v="2"/>
    <n v="4728"/>
    <n v="246.37389004389004"/>
    <n v="5.2293870635422825E-2"/>
    <n v="60914.816010684277"/>
    <n v="19.122699999999998"/>
    <n v="1164855.7521275121"/>
    <n v="103.687"/>
    <n v="123.803"/>
    <n v="1.194"/>
    <n v="1390837.7680402494"/>
    <n v="294.17042471240467"/>
    <m/>
    <n v="4728"/>
    <s v="Sale"/>
    <x v="103"/>
    <x v="2"/>
    <n v="1393348.99"/>
    <n v="4.9596532210467843E-2"/>
    <n v="69105.278062957834"/>
    <n v="20.162700000000001"/>
    <n v="1393348.99"/>
    <n v="1390837.7680402494"/>
    <n v="2511.2219597506337"/>
    <n v="3.2054794520547945"/>
    <n v="1"/>
    <n v="2511.2219597506337"/>
    <n v="0"/>
    <m/>
    <n v="8190.4620522735568"/>
    <m/>
    <n v="7.0313101320179424E-3"/>
    <m/>
  </r>
  <r>
    <x v="5"/>
    <s v="Purchase"/>
    <x v="180"/>
    <x v="2"/>
    <x v="2"/>
    <x v="218"/>
    <n v="1715304.2568381939"/>
    <x v="2"/>
    <n v="11973"/>
    <n v="143.26436622719402"/>
    <n v="4.1305586993696762E-2"/>
    <n v="70851.649201488384"/>
    <n v="24.209800000000001"/>
    <n v="1715304.2568381936"/>
    <n v="105.755"/>
    <n v="122.94799999999999"/>
    <n v="1.1625000000000001"/>
    <n v="1994041.1985744003"/>
    <n v="166.54482573911304"/>
    <m/>
    <n v="11973"/>
    <s v="Sale"/>
    <x v="107"/>
    <x v="2"/>
    <n v="2369583.7200000002"/>
    <n v="4.9903436849695844E-2"/>
    <n v="118250.37153108737"/>
    <n v="20.038699999999999"/>
    <n v="2369583.7200000002"/>
    <n v="1994041.1985744005"/>
    <n v="375542.5214255997"/>
    <n v="2.3315068493150686"/>
    <n v="1"/>
    <n v="375542.5214255997"/>
    <n v="0"/>
    <m/>
    <n v="47398.722329598982"/>
    <m/>
    <n v="2.7632836647283006E-2"/>
    <m/>
  </r>
  <r>
    <x v="5"/>
    <s v="Purchase"/>
    <x v="180"/>
    <x v="2"/>
    <x v="2"/>
    <x v="218"/>
    <n v="268334.15794353437"/>
    <x v="2"/>
    <n v="1873"/>
    <n v="143.26436622719402"/>
    <n v="4.1305586993696762E-2"/>
    <n v="11083.699904317025"/>
    <n v="24.209800000000001"/>
    <n v="268334.15794353432"/>
    <n v="105.755"/>
    <n v="123.803"/>
    <n v="1.1706000000000001"/>
    <n v="314111.96528870129"/>
    <n v="167.70526710555328"/>
    <m/>
    <n v="1873"/>
    <s v="Sale"/>
    <x v="103"/>
    <x v="2"/>
    <n v="330185.73501521116"/>
    <n v="4.9596532210467843E-2"/>
    <n v="16376.06744211892"/>
    <n v="20.162700000000001"/>
    <n v="330185.73501521116"/>
    <n v="314111.96528870129"/>
    <n v="16073.769726509869"/>
    <n v="2.4383561643835616"/>
    <n v="1"/>
    <n v="16073.769726509869"/>
    <n v="0"/>
    <m/>
    <n v="5292.3675378018943"/>
    <m/>
    <n v="1.9723048225994279E-2"/>
    <m/>
  </r>
  <r>
    <x v="5"/>
    <s v="Purchase"/>
    <x v="180"/>
    <x v="2"/>
    <x v="2"/>
    <x v="225"/>
    <n v="1330821.1566670449"/>
    <x v="2"/>
    <n v="9303"/>
    <n v="143.05290300623938"/>
    <n v="4.1956340232354214E-2"/>
    <n v="55836.385237537703"/>
    <n v="23.834299999999999"/>
    <n v="1330821.1566670449"/>
    <n v="106.16200000000001"/>
    <n v="123.803"/>
    <n v="1.1660999999999999"/>
    <n v="1551870.550789441"/>
    <n v="166.81399019557571"/>
    <m/>
    <n v="9303"/>
    <s v="Sale"/>
    <x v="103"/>
    <x v="2"/>
    <n v="1639998.8749847889"/>
    <n v="4.9596532210467843E-2"/>
    <n v="81338.25702831411"/>
    <n v="20.162700000000001"/>
    <n v="1639998.8749847889"/>
    <n v="1551870.5507894407"/>
    <n v="88128.324195348192"/>
    <n v="2.3917808219178083"/>
    <n v="1"/>
    <n v="88128.324195348192"/>
    <n v="0"/>
    <m/>
    <n v="25501.871790776408"/>
    <m/>
    <n v="1.9162508548214087E-2"/>
    <m/>
  </r>
  <r>
    <x v="5"/>
    <s v="Purchase"/>
    <x v="89"/>
    <x v="2"/>
    <x v="2"/>
    <x v="109"/>
    <n v="2221269.6618177514"/>
    <x v="2"/>
    <n v="1923"/>
    <n v="1155.1064284023669"/>
    <n v="5.0411356670430715E-2"/>
    <n v="111977.21718310167"/>
    <n v="19.8368"/>
    <n v="2221269.6618177514"/>
    <n v="109.271"/>
    <n v="123.803"/>
    <n v="1.1329"/>
    <n v="2516476.3998733307"/>
    <n v="1308.6200727370415"/>
    <m/>
    <n v="1923"/>
    <s v="Sale"/>
    <x v="103"/>
    <x v="2"/>
    <n v="2034385.02"/>
    <n v="4.9596532210467843E-2"/>
    <n v="100898.44217292327"/>
    <n v="20.162700000000001"/>
    <n v="2034385.02"/>
    <n v="2516476.3998733307"/>
    <n v="-482091.3798733307"/>
    <n v="1.7945205479452055"/>
    <n v="1"/>
    <n v="-482091.3798733307"/>
    <n v="0"/>
    <m/>
    <n v="-11078.775010178404"/>
    <m/>
    <n v="-4.987586694499853E-3"/>
    <m/>
  </r>
  <r>
    <x v="5"/>
    <s v="Purchase"/>
    <x v="181"/>
    <x v="2"/>
    <x v="2"/>
    <x v="206"/>
    <n v="2319041.264369064"/>
    <x v="2"/>
    <n v="816"/>
    <n v="2841.9623337856178"/>
    <n v="5.0299280720285701E-2"/>
    <n v="116646.10755842584"/>
    <n v="19.881"/>
    <n v="2319041.264369064"/>
    <n v="112.419"/>
    <n v="122.94799999999999"/>
    <n v="1.0935999999999999"/>
    <n v="2536103.5267140083"/>
    <n v="3107.9700082279514"/>
    <m/>
    <n v="816"/>
    <s v="Sale"/>
    <x v="107"/>
    <x v="2"/>
    <n v="2874093.19"/>
    <n v="4.9903436849695844E-2"/>
    <n v="143427.12800730587"/>
    <n v="20.038699999999999"/>
    <n v="2874093.19"/>
    <n v="2536103.5267140083"/>
    <n v="337989.66328599164"/>
    <n v="1.2383561643835617"/>
    <n v="1"/>
    <n v="337989.66328599164"/>
    <n v="0"/>
    <m/>
    <n v="26781.020448880037"/>
    <m/>
    <n v="1.1548315616611628E-2"/>
    <m/>
  </r>
  <r>
    <x v="5"/>
    <s v="Purchase"/>
    <x v="181"/>
    <x v="2"/>
    <x v="2"/>
    <x v="206"/>
    <n v="932163.6454816825"/>
    <x v="2"/>
    <n v="328"/>
    <n v="2841.9623337856174"/>
    <n v="5.0299280720285701E-2"/>
    <n v="46887.160881328025"/>
    <n v="19.881"/>
    <n v="932163.6454816825"/>
    <n v="112.419"/>
    <n v="123.803"/>
    <n v="1.1012"/>
    <n v="1026498.6064044287"/>
    <n v="3129.5689219647215"/>
    <m/>
    <n v="328"/>
    <s v="Sale"/>
    <x v="103"/>
    <x v="2"/>
    <n v="1027709.19"/>
    <n v="4.9596532210467843E-2"/>
    <n v="50970.811944828813"/>
    <n v="20.162700000000001"/>
    <n v="1027709.19"/>
    <n v="1026498.6064044287"/>
    <n v="1210.5835955712246"/>
    <n v="1.3452054794520547"/>
    <n v="1"/>
    <n v="1210.5835955712246"/>
    <n v="0"/>
    <m/>
    <n v="4083.6510635007871"/>
    <m/>
    <n v="4.3808306441629327E-3"/>
    <m/>
  </r>
  <r>
    <x v="5"/>
    <s v="Purchase"/>
    <x v="90"/>
    <x v="2"/>
    <x v="2"/>
    <x v="159"/>
    <n v="378984.50139892392"/>
    <x v="2"/>
    <n v="204"/>
    <n v="1857.7671637202154"/>
    <n v="4.0503047854351042E-2"/>
    <n v="15350.027396217985"/>
    <n v="24.689499999999999"/>
    <n v="378984.50139892392"/>
    <n v="105.755"/>
    <n v="122.94799999999999"/>
    <n v="1.1625000000000001"/>
    <n v="440569.48287624912"/>
    <n v="2159.6543278247505"/>
    <m/>
    <n v="204"/>
    <s v="Sale"/>
    <x v="107"/>
    <x v="2"/>
    <n v="411730.00051282055"/>
    <n v="4.9903436849695844E-2"/>
    <n v="20546.742079716776"/>
    <n v="20.038699999999999"/>
    <n v="411730.00051282055"/>
    <n v="440569.48287624907"/>
    <n v="-28839.482363428513"/>
    <n v="2.3643835616438356"/>
    <n v="1"/>
    <n v="-28839.482363428513"/>
    <n v="0"/>
    <m/>
    <n v="5196.7146834987907"/>
    <m/>
    <n v="1.3712208980357913E-2"/>
    <m/>
  </r>
  <r>
    <x v="5"/>
    <s v="Purchase"/>
    <x v="90"/>
    <x v="2"/>
    <x v="2"/>
    <x v="176"/>
    <n v="77988.889689213902"/>
    <x v="2"/>
    <n v="30"/>
    <n v="2599.6296563071301"/>
    <n v="4.7939327986500288E-2"/>
    <n v="3738.7349621142157"/>
    <n v="20.8597"/>
    <n v="77988.889689213902"/>
    <n v="118.98099999999999"/>
    <n v="122.94799999999999"/>
    <n v="1.0333000000000001"/>
    <n v="80585.919715864729"/>
    <n v="2686.1973238621576"/>
    <m/>
    <n v="30"/>
    <s v="Sale"/>
    <x v="107"/>
    <x v="2"/>
    <n v="60548.52948717949"/>
    <n v="4.9903436849695844E-2"/>
    <n v="3021.5797176054084"/>
    <n v="20.038699999999999"/>
    <n v="60548.52948717949"/>
    <n v="80585.919715864729"/>
    <n v="-20037.390228685239"/>
    <n v="0.54520547945205478"/>
    <n v="1"/>
    <n v="-20037.390228685239"/>
    <n v="0"/>
    <m/>
    <n v="-717.1552445088073"/>
    <m/>
    <n v="-9.1956078278159162E-3"/>
    <m/>
  </r>
  <r>
    <x v="5"/>
    <s v="Purchase"/>
    <x v="182"/>
    <x v="2"/>
    <x v="2"/>
    <x v="12"/>
    <n v="410077.13615090732"/>
    <x v="2"/>
    <n v="85"/>
    <n v="4824.4368958930272"/>
    <n v="4.4592690366195176E-2"/>
    <n v="18286.442758633471"/>
    <n v="22.4252"/>
    <n v="410077.13615090732"/>
    <n v="106.74299999999999"/>
    <n v="123.803"/>
    <n v="1.1597999999999999"/>
    <n v="475607.46250782226"/>
    <n v="5595.3819118567326"/>
    <m/>
    <n v="85"/>
    <s v="Sale"/>
    <x v="103"/>
    <x v="2"/>
    <n v="391474.97"/>
    <n v="4.9596532210467843E-2"/>
    <n v="19415.800959196931"/>
    <n v="20.162700000000001"/>
    <n v="391474.97"/>
    <n v="475607.46250782226"/>
    <n v="-84132.492507822288"/>
    <n v="2.2849315068493152"/>
    <n v="1"/>
    <n v="-84132.492507822288"/>
    <n v="0"/>
    <m/>
    <n v="1129.3582005634598"/>
    <m/>
    <n v="2.7540140646804042E-3"/>
    <m/>
  </r>
  <r>
    <x v="5"/>
    <s v="Purchase"/>
    <x v="183"/>
    <x v="2"/>
    <x v="2"/>
    <x v="151"/>
    <n v="435281.19545064378"/>
    <x v="2"/>
    <n v="110"/>
    <n v="3957.1017768240345"/>
    <n v="5.2405408238130176E-2"/>
    <n v="22811.08874597232"/>
    <n v="19.082000000000001"/>
    <n v="435281.19545064383"/>
    <n v="104.503"/>
    <n v="122.94799999999999"/>
    <n v="1.1765000000000001"/>
    <n v="512108.32644768251"/>
    <n v="4655.530240433477"/>
    <m/>
    <n v="110"/>
    <s v="Sale"/>
    <x v="107"/>
    <x v="2"/>
    <n v="500565.39"/>
    <n v="4.9903436849695844E-2"/>
    <n v="24979.93332900837"/>
    <n v="20.038699999999999"/>
    <n v="500565.39"/>
    <n v="512108.32644768246"/>
    <n v="-11542.936447682441"/>
    <n v="2.8082191780821919"/>
    <n v="1"/>
    <n v="-11542.936447682441"/>
    <n v="0"/>
    <m/>
    <n v="2168.8445830360506"/>
    <m/>
    <n v="4.9826287138148937E-3"/>
    <m/>
  </r>
  <r>
    <x v="5"/>
    <s v="Purchase"/>
    <x v="183"/>
    <x v="2"/>
    <x v="2"/>
    <x v="151"/>
    <n v="284911.32793133048"/>
    <x v="2"/>
    <n v="72"/>
    <n v="3957.1017768240345"/>
    <n v="5.2405408238130176E-2"/>
    <n v="14930.894451909155"/>
    <n v="19.082000000000001"/>
    <n v="284911.32793133048"/>
    <n v="104.503"/>
    <n v="123.803"/>
    <n v="1.1846000000000001"/>
    <n v="337505.9590674541"/>
    <n v="4687.5827648257509"/>
    <m/>
    <n v="72"/>
    <s v="Sale"/>
    <x v="103"/>
    <x v="2"/>
    <n v="272124.42"/>
    <n v="4.9596532210467843E-2"/>
    <n v="13496.42756178488"/>
    <n v="20.162700000000001"/>
    <n v="272124.42"/>
    <n v="337505.9590674541"/>
    <n v="-65381.539067454112"/>
    <n v="2.9150684931506849"/>
    <n v="1"/>
    <n v="-65381.539067454112"/>
    <n v="0"/>
    <m/>
    <n v="-1434.4668901242749"/>
    <m/>
    <n v="-5.0347836308916819E-3"/>
    <m/>
  </r>
  <r>
    <x v="0"/>
    <m/>
    <x v="0"/>
    <x v="0"/>
    <x v="0"/>
    <x v="0"/>
    <m/>
    <x v="0"/>
    <n v="0"/>
    <n v="0"/>
    <n v="0"/>
    <n v="0"/>
    <n v="0"/>
    <n v="0"/>
    <n v="0"/>
    <n v="0"/>
    <n v="0"/>
    <n v="0"/>
    <n v="0"/>
    <m/>
    <m/>
    <m/>
    <x v="0"/>
    <x v="0"/>
    <m/>
    <n v="0"/>
    <n v="0"/>
    <n v="0"/>
    <n v="0"/>
    <n v="0"/>
    <n v="0"/>
    <n v="0"/>
    <n v="1"/>
    <n v="0"/>
    <n v="0"/>
    <m/>
    <n v="0"/>
    <m/>
    <n v="0"/>
    <m/>
  </r>
  <r>
    <x v="4"/>
    <s v="Purchase"/>
    <x v="57"/>
    <x v="2"/>
    <x v="1"/>
    <x v="58"/>
    <n v="163.63714285714286"/>
    <x v="2"/>
    <n v="1"/>
    <n v="163.63714285714286"/>
    <n v="1"/>
    <n v="163.63714285714286"/>
    <n v="20.475200000000001"/>
    <n v="3350.5032274285718"/>
    <n v="110.907"/>
    <n v="120.15900000000001"/>
    <n v="1.0833999999999999"/>
    <n v="3629.9351965961146"/>
    <n v="3629.9351965961146"/>
    <m/>
    <n v="1"/>
    <s v="Sale"/>
    <x v="31"/>
    <x v="1"/>
    <n v="126.19555555555556"/>
    <n v="1"/>
    <n v="126.19555555555556"/>
    <n v="20.0383"/>
    <n v="2528.7444008888888"/>
    <n v="3629.9351965961146"/>
    <n v="-1101.1907957072258"/>
    <n v="1.1506849315068493"/>
    <n v="1"/>
    <n v="-1101.1907957072258"/>
    <n v="0"/>
    <m/>
    <n v="-37.441587301587305"/>
    <m/>
    <n v="-0.22880861061155441"/>
    <m/>
  </r>
  <r>
    <x v="4"/>
    <s v="Purchase"/>
    <x v="57"/>
    <x v="2"/>
    <x v="1"/>
    <x v="51"/>
    <n v="1271.3343749999999"/>
    <x v="2"/>
    <n v="8"/>
    <n v="158.91679687499999"/>
    <n v="1"/>
    <n v="1271.3343749999999"/>
    <n v="20.690300000000001"/>
    <n v="26304.2896190625"/>
    <n v="111.824"/>
    <n v="120.15900000000001"/>
    <n v="1.0745"/>
    <n v="28263.959195682655"/>
    <n v="3532.9948994603319"/>
    <m/>
    <n v="8"/>
    <s v="Sale"/>
    <x v="31"/>
    <x v="1"/>
    <n v="1009.5644444444445"/>
    <n v="1"/>
    <n v="1009.5644444444445"/>
    <n v="20.0383"/>
    <n v="20229.95520711111"/>
    <n v="28263.959195682655"/>
    <n v="-8034.0039885715451"/>
    <n v="1.1342465753424658"/>
    <n v="1"/>
    <n v="-8034.0039885715451"/>
    <n v="0"/>
    <m/>
    <n v="-261.76993055555545"/>
    <m/>
    <n v="-0.20590171689140041"/>
    <m/>
  </r>
  <r>
    <x v="4"/>
    <s v="Purchase"/>
    <x v="38"/>
    <x v="2"/>
    <x v="1"/>
    <x v="96"/>
    <n v="15484.8"/>
    <x v="2"/>
    <n v="38"/>
    <n v="407.49473684210523"/>
    <n v="1"/>
    <n v="15484.8"/>
    <n v="20.1172"/>
    <n v="311510.81855999999"/>
    <n v="108.85599999999999"/>
    <n v="122.044"/>
    <n v="1.1211"/>
    <n v="349234.778687616"/>
    <n v="9190.3889128320006"/>
    <m/>
    <n v="38"/>
    <s v="Sale"/>
    <x v="87"/>
    <x v="1"/>
    <n v="4682.1397551020409"/>
    <n v="1"/>
    <n v="4682.1397551020409"/>
    <n v="20.4407"/>
    <n v="95706.214092114285"/>
    <n v="349234.778687616"/>
    <n v="-253528.5645955017"/>
    <n v="1.6547945205479453"/>
    <n v="1"/>
    <n v="-253528.5645955017"/>
    <n v="0"/>
    <m/>
    <n v="-10802.660244897957"/>
    <m/>
    <n v="-0.697629949686012"/>
    <m/>
  </r>
  <r>
    <x v="4"/>
    <s v="Purchase"/>
    <x v="38"/>
    <x v="2"/>
    <x v="1"/>
    <x v="51"/>
    <n v="33483.050000000003"/>
    <x v="2"/>
    <n v="57"/>
    <n v="587.4219298245614"/>
    <n v="1"/>
    <n v="33483.050000000003"/>
    <n v="20.690300000000001"/>
    <n v="692774.34941500006"/>
    <n v="111.824"/>
    <n v="122.044"/>
    <n v="1.0912999999999999"/>
    <n v="756024.6475165895"/>
    <n v="13263.590307308588"/>
    <m/>
    <n v="57"/>
    <s v="Sale"/>
    <x v="87"/>
    <x v="1"/>
    <n v="7023.2096326530609"/>
    <n v="1"/>
    <n v="7023.2096326530609"/>
    <n v="20.4407"/>
    <n v="143559.32113817142"/>
    <n v="756024.6475165895"/>
    <n v="-612465.32637841813"/>
    <n v="1.3808219178082193"/>
    <n v="1"/>
    <n v="-612465.32637841813"/>
    <n v="0"/>
    <m/>
    <n v="-26459.840367346944"/>
    <m/>
    <n v="-0.79024582191129367"/>
    <m/>
  </r>
  <r>
    <x v="4"/>
    <s v="Purchase"/>
    <x v="38"/>
    <x v="2"/>
    <x v="1"/>
    <x v="226"/>
    <n v="27467.869565217388"/>
    <x v="2"/>
    <n v="150"/>
    <n v="183.11913043478259"/>
    <n v="1"/>
    <n v="27467.869565217388"/>
    <n v="19.9712"/>
    <n v="548566.31666086952"/>
    <n v="112.19"/>
    <n v="122.044"/>
    <n v="1.0878000000000001"/>
    <n v="596730.43926369387"/>
    <n v="3978.202928424626"/>
    <m/>
    <n v="150"/>
    <s v="Sale"/>
    <x v="87"/>
    <x v="1"/>
    <n v="18482.130612244895"/>
    <n v="1"/>
    <n v="18482.130612244895"/>
    <n v="20.4407"/>
    <n v="377787.68720571423"/>
    <n v="596730.43926369387"/>
    <n v="-218942.75205797964"/>
    <n v="1.2246575342465753"/>
    <n v="1"/>
    <n v="-218942.75205797964"/>
    <n v="0"/>
    <m/>
    <n v="-8985.7389529724933"/>
    <m/>
    <n v="-0.32713636314740441"/>
    <m/>
  </r>
  <r>
    <x v="4"/>
    <s v="Purchase"/>
    <x v="37"/>
    <x v="2"/>
    <x v="1"/>
    <x v="103"/>
    <n v="3303.8443636363631"/>
    <x v="2"/>
    <n v="32"/>
    <n v="103.24513636363635"/>
    <n v="1"/>
    <n v="3303.8443636363631"/>
    <n v="20.895700000000001"/>
    <n v="69036.140669236353"/>
    <n v="111.824"/>
    <n v="122.044"/>
    <n v="1.0912999999999999"/>
    <n v="75339.140312337622"/>
    <n v="2354.3481347605507"/>
    <m/>
    <n v="32"/>
    <s v="Sale"/>
    <x v="83"/>
    <x v="1"/>
    <n v="3531.87"/>
    <n v="1"/>
    <n v="3531.87"/>
    <n v="20.465199999999999"/>
    <n v="72280.425923999996"/>
    <n v="75339.140312337622"/>
    <n v="-3058.7143883376266"/>
    <n v="1.3945205479452054"/>
    <n v="1"/>
    <n v="-3058.7143883376266"/>
    <n v="0"/>
    <m/>
    <n v="228.02563636363675"/>
    <m/>
    <n v="6.9018274248445907E-2"/>
    <m/>
  </r>
  <r>
    <x v="4"/>
    <s v="Purchase"/>
    <x v="37"/>
    <x v="2"/>
    <x v="1"/>
    <x v="103"/>
    <n v="18790.614818181817"/>
    <x v="2"/>
    <n v="182"/>
    <n v="103.24513636363636"/>
    <n v="1"/>
    <n v="18790.614818181817"/>
    <n v="20.895700000000001"/>
    <n v="392643.05005628185"/>
    <n v="111.824"/>
    <n v="122.044"/>
    <n v="1.0912999999999999"/>
    <n v="428491.36052642035"/>
    <n v="2354.3481347605516"/>
    <m/>
    <n v="182"/>
    <s v="Sale"/>
    <x v="80"/>
    <x v="1"/>
    <n v="20051.32"/>
    <n v="1"/>
    <n v="20051.32"/>
    <n v="20.433"/>
    <n v="409708.62156"/>
    <n v="428491.36052642041"/>
    <n v="-18782.738966420409"/>
    <n v="1.3972602739726028"/>
    <n v="1"/>
    <n v="-18782.738966420409"/>
    <n v="0"/>
    <m/>
    <n v="1260.7051818181826"/>
    <m/>
    <n v="6.709227952447426E-2"/>
    <m/>
  </r>
  <r>
    <x v="0"/>
    <m/>
    <x v="0"/>
    <x v="0"/>
    <x v="0"/>
    <x v="0"/>
    <m/>
    <x v="0"/>
    <n v="0"/>
    <n v="0"/>
    <n v="0"/>
    <n v="0"/>
    <n v="0"/>
    <n v="0"/>
    <n v="0"/>
    <n v="0"/>
    <n v="0"/>
    <n v="0"/>
    <n v="0"/>
    <m/>
    <m/>
    <m/>
    <x v="0"/>
    <x v="0"/>
    <m/>
    <n v="0"/>
    <n v="0"/>
    <n v="0"/>
    <n v="0"/>
    <n v="0"/>
    <n v="0"/>
    <n v="0"/>
    <n v="1"/>
    <n v="0"/>
    <n v="0"/>
    <m/>
    <n v="0"/>
    <m/>
    <n v="0"/>
    <m/>
  </r>
  <r>
    <x v="4"/>
    <s v="Purchase"/>
    <x v="57"/>
    <x v="2"/>
    <x v="1"/>
    <x v="175"/>
    <n v="8061.7182608695648"/>
    <x v="2"/>
    <n v="48"/>
    <n v="167.95246376811593"/>
    <n v="1"/>
    <n v="8061.7182608695648"/>
    <n v="19.951000000000001"/>
    <n v="160839.34102260869"/>
    <n v="112.419"/>
    <n v="122.94799999999999"/>
    <n v="1.0935999999999999"/>
    <n v="175893.90334232483"/>
    <n v="3664.4563196317672"/>
    <m/>
    <n v="48"/>
    <s v="Sale"/>
    <x v="93"/>
    <x v="1"/>
    <n v="5258.512941176471"/>
    <n v="1"/>
    <n v="5258.512941176471"/>
    <n v="20.377800000000001"/>
    <n v="107156.92501270589"/>
    <n v="175893.90334232483"/>
    <n v="-68736.978329618942"/>
    <n v="1.1863013698630136"/>
    <n v="1"/>
    <n v="-68736.978329618942"/>
    <n v="0"/>
    <m/>
    <n v="-2803.2053196930938"/>
    <m/>
    <n v="-0.34771809544615995"/>
    <m/>
  </r>
  <r>
    <x v="4"/>
    <s v="Purchase"/>
    <x v="57"/>
    <x v="2"/>
    <x v="1"/>
    <x v="52"/>
    <n v="3388.9396226415097"/>
    <x v="2"/>
    <n v="20"/>
    <n v="169.44698113207548"/>
    <n v="1"/>
    <n v="3388.9396226415097"/>
    <n v="19.944199999999999"/>
    <n v="67589.689621886791"/>
    <n v="113.018"/>
    <n v="122.94799999999999"/>
    <n v="1.0878000000000001"/>
    <n v="73524.064370688458"/>
    <n v="3676.2032185344228"/>
    <m/>
    <n v="20"/>
    <s v="Sale"/>
    <x v="93"/>
    <x v="1"/>
    <n v="2191.0470588235294"/>
    <n v="1"/>
    <n v="2191.0470588235294"/>
    <n v="20.377800000000001"/>
    <n v="44648.718755294118"/>
    <n v="73524.064370688458"/>
    <n v="-28875.345615394341"/>
    <n v="1.167123287671233"/>
    <n v="1"/>
    <n v="-28875.345615394341"/>
    <n v="0"/>
    <m/>
    <n v="-1197.8925638179803"/>
    <m/>
    <n v="-0.35347120255989767"/>
    <m/>
  </r>
  <r>
    <x v="4"/>
    <s v="Purchase"/>
    <x v="57"/>
    <x v="2"/>
    <x v="1"/>
    <x v="52"/>
    <n v="4236.1745283018872"/>
    <x v="2"/>
    <n v="25"/>
    <n v="169.44698113207548"/>
    <n v="1"/>
    <n v="4236.1745283018872"/>
    <n v="19.944199999999999"/>
    <n v="84487.112027358497"/>
    <n v="113.018"/>
    <n v="122.94799999999999"/>
    <n v="1.0878000000000001"/>
    <n v="91905.080463360588"/>
    <n v="3676.2032185344233"/>
    <m/>
    <n v="25"/>
    <s v="Sale"/>
    <x v="93"/>
    <x v="1"/>
    <n v="2745.24"/>
    <n v="1"/>
    <n v="2745.24"/>
    <n v="20.377800000000001"/>
    <n v="55941.951671999996"/>
    <n v="91905.080463360588"/>
    <n v="-35963.128791360592"/>
    <n v="1.167123287671233"/>
    <n v="1"/>
    <n v="-35963.128791360592"/>
    <n v="0"/>
    <m/>
    <n v="-1490.9345283018874"/>
    <m/>
    <n v="-0.35195304592408838"/>
    <m/>
  </r>
  <r>
    <x v="4"/>
    <s v="Purchase"/>
    <x v="57"/>
    <x v="2"/>
    <x v="1"/>
    <x v="52"/>
    <n v="1355.5758490566038"/>
    <x v="2"/>
    <n v="8"/>
    <n v="169.44698113207548"/>
    <n v="1"/>
    <n v="1355.5758490566038"/>
    <n v="19.944199999999999"/>
    <n v="27035.875848754717"/>
    <n v="113.018"/>
    <n v="122.94799999999999"/>
    <n v="1.0878000000000001"/>
    <n v="29409.625748275383"/>
    <n v="3676.2032185344228"/>
    <m/>
    <n v="8"/>
    <s v="Sale"/>
    <x v="93"/>
    <x v="1"/>
    <n v="877.97714285714289"/>
    <n v="1"/>
    <n v="877.97714285714289"/>
    <n v="20.377800000000001"/>
    <n v="17891.242621714286"/>
    <n v="29409.625748275383"/>
    <n v="-11518.383126561097"/>
    <n v="1.167123287671233"/>
    <n v="1"/>
    <n v="-11518.383126561097"/>
    <n v="0"/>
    <m/>
    <n v="-477.59870619946093"/>
    <m/>
    <n v="-0.35232163993762489"/>
    <m/>
  </r>
  <r>
    <x v="4"/>
    <s v="Purchase"/>
    <x v="57"/>
    <x v="2"/>
    <x v="1"/>
    <x v="105"/>
    <n v="951.14076923076914"/>
    <x v="2"/>
    <n v="6"/>
    <n v="158.52346153846153"/>
    <n v="1"/>
    <n v="951.14076923076914"/>
    <n v="19.9328"/>
    <n v="18958.898724923074"/>
    <n v="113.018"/>
    <n v="122.94799999999999"/>
    <n v="1.0878000000000001"/>
    <n v="20623.49003297132"/>
    <n v="3437.2483388285532"/>
    <m/>
    <n v="6"/>
    <s v="Sale"/>
    <x v="93"/>
    <x v="1"/>
    <n v="658.48285714285714"/>
    <n v="1"/>
    <n v="658.48285714285714"/>
    <n v="20.377800000000001"/>
    <n v="13418.431966285714"/>
    <n v="20623.49003297132"/>
    <n v="-7205.0580666856058"/>
    <n v="1.1479452054794521"/>
    <n v="1"/>
    <n v="-7205.0580666856058"/>
    <n v="0"/>
    <m/>
    <n v="-292.657912087912"/>
    <m/>
    <n v="-0.30769148117223255"/>
    <m/>
  </r>
  <r>
    <x v="4"/>
    <s v="Purchase"/>
    <x v="57"/>
    <x v="2"/>
    <x v="1"/>
    <x v="105"/>
    <n v="2060.8049999999998"/>
    <x v="2"/>
    <n v="13"/>
    <n v="158.52346153846153"/>
    <n v="1"/>
    <n v="2060.8049999999998"/>
    <n v="19.9328"/>
    <n v="41077.613903999998"/>
    <n v="113.018"/>
    <n v="122.94799999999999"/>
    <n v="1.0878000000000001"/>
    <n v="44684.228404771202"/>
    <n v="3437.2483388285541"/>
    <m/>
    <n v="13"/>
    <s v="Sale"/>
    <x v="93"/>
    <x v="1"/>
    <n v="1421.58"/>
    <n v="1"/>
    <n v="1421.58"/>
    <n v="20.377800000000001"/>
    <n v="28968.672923999999"/>
    <n v="44684.228404771202"/>
    <n v="-15715.555480771203"/>
    <n v="1.1479452054794521"/>
    <n v="1"/>
    <n v="-15715.555480771203"/>
    <n v="0"/>
    <m/>
    <n v="-639.22499999999991"/>
    <m/>
    <n v="-0.3101821860874755"/>
    <m/>
  </r>
  <r>
    <x v="4"/>
    <s v="Purchase"/>
    <x v="57"/>
    <x v="2"/>
    <x v="1"/>
    <x v="105"/>
    <n v="1902.2815384615383"/>
    <x v="2"/>
    <n v="12"/>
    <n v="158.52346153846153"/>
    <n v="1"/>
    <n v="1902.2815384615383"/>
    <n v="19.9328"/>
    <n v="37917.797449846148"/>
    <n v="113.018"/>
    <n v="122.94799999999999"/>
    <n v="1.0878000000000001"/>
    <n v="41246.98006594264"/>
    <n v="3437.2483388285532"/>
    <m/>
    <n v="12"/>
    <s v="Sale"/>
    <x v="93"/>
    <x v="1"/>
    <n v="1319.49"/>
    <n v="1"/>
    <n v="1319.49"/>
    <n v="20.377800000000001"/>
    <n v="26888.303322"/>
    <n v="41246.98006594264"/>
    <n v="-14358.67674394264"/>
    <n v="1.1479452054794521"/>
    <n v="1"/>
    <n v="-14358.67674394264"/>
    <n v="0"/>
    <m/>
    <n v="-582.79153846153827"/>
    <m/>
    <n v="-0.30636450319171382"/>
    <m/>
  </r>
  <r>
    <x v="4"/>
    <s v="Purchase"/>
    <x v="57"/>
    <x v="2"/>
    <x v="1"/>
    <x v="105"/>
    <n v="1743.7580769230769"/>
    <x v="2"/>
    <n v="11"/>
    <n v="158.52346153846153"/>
    <n v="1"/>
    <n v="1743.7580769230769"/>
    <n v="19.9328"/>
    <n v="34757.980995692305"/>
    <n v="113.018"/>
    <n v="122.94799999999999"/>
    <n v="1.0878000000000001"/>
    <n v="37809.731727114093"/>
    <n v="3437.2483388285541"/>
    <m/>
    <n v="11"/>
    <s v="Sale"/>
    <x v="93"/>
    <x v="1"/>
    <n v="1202.98"/>
    <n v="1"/>
    <n v="1202.98"/>
    <n v="20.377800000000001"/>
    <n v="24514.085844000001"/>
    <n v="37809.731727114093"/>
    <n v="-13295.645883114092"/>
    <n v="1.1479452054794521"/>
    <n v="1"/>
    <n v="-13295.645883114092"/>
    <n v="0"/>
    <m/>
    <n v="-540.77807692307692"/>
    <m/>
    <n v="-0.31012219187956341"/>
    <m/>
  </r>
  <r>
    <x v="4"/>
    <s v="Purchase"/>
    <x v="57"/>
    <x v="2"/>
    <x v="1"/>
    <x v="105"/>
    <n v="2377.851923076923"/>
    <x v="2"/>
    <n v="15"/>
    <n v="158.52346153846153"/>
    <n v="1"/>
    <n v="2377.851923076923"/>
    <n v="19.9328"/>
    <n v="47397.246812307691"/>
    <n v="113.018"/>
    <n v="122.94799999999999"/>
    <n v="1.0878000000000001"/>
    <n v="51558.725082428311"/>
    <n v="3437.2483388285541"/>
    <m/>
    <n v="15"/>
    <s v="Sale"/>
    <x v="108"/>
    <x v="1"/>
    <n v="1763.14"/>
    <n v="1"/>
    <n v="1763.14"/>
    <n v="19.959499999999998"/>
    <n v="35191.392829999997"/>
    <n v="51558.725082428311"/>
    <n v="-16367.332252428314"/>
    <n v="1.1863013698630136"/>
    <n v="1"/>
    <n v="-16367.332252428314"/>
    <n v="0"/>
    <m/>
    <n v="-614.71192307692286"/>
    <m/>
    <n v="-0.25851564477635347"/>
    <m/>
  </r>
  <r>
    <x v="4"/>
    <s v="Purchase"/>
    <x v="57"/>
    <x v="2"/>
    <x v="1"/>
    <x v="105"/>
    <n v="3328.9926923076923"/>
    <x v="2"/>
    <n v="21"/>
    <n v="158.52346153846153"/>
    <n v="1"/>
    <n v="3328.9926923076923"/>
    <n v="19.9328"/>
    <n v="66356.145537230768"/>
    <n v="113.018"/>
    <n v="122.94799999999999"/>
    <n v="1.0878000000000001"/>
    <n v="72182.215115399638"/>
    <n v="3437.2483388285541"/>
    <m/>
    <n v="21"/>
    <s v="Sale"/>
    <x v="108"/>
    <x v="1"/>
    <n v="2463.0734210526316"/>
    <n v="1"/>
    <n v="2463.0734210526316"/>
    <n v="19.959499999999998"/>
    <n v="49161.713947499993"/>
    <n v="72182.215115399638"/>
    <n v="-23020.501167899645"/>
    <n v="1.1863013698630136"/>
    <n v="1"/>
    <n v="-23020.501167899645"/>
    <n v="0"/>
    <m/>
    <n v="-865.91927125506072"/>
    <m/>
    <n v="-0.26011450047816009"/>
    <m/>
  </r>
  <r>
    <x v="4"/>
    <s v="Purchase"/>
    <x v="57"/>
    <x v="2"/>
    <x v="1"/>
    <x v="227"/>
    <n v="6986.98"/>
    <x v="2"/>
    <n v="42"/>
    <n v="166.35666666666665"/>
    <n v="1"/>
    <n v="6986.98"/>
    <n v="20.6"/>
    <n v="143931.788"/>
    <n v="113.018"/>
    <n v="122.94799999999999"/>
    <n v="1.0878000000000001"/>
    <n v="156568.99898640002"/>
    <n v="3727.8333092000007"/>
    <m/>
    <n v="42"/>
    <s v="Sale"/>
    <x v="108"/>
    <x v="1"/>
    <n v="4926.1468421052632"/>
    <n v="1"/>
    <n v="4926.1468421052632"/>
    <n v="19.959499999999998"/>
    <n v="98323.427894999986"/>
    <n v="156568.99898640002"/>
    <n v="-58245.571091400037"/>
    <n v="1.1452054794520548"/>
    <n v="1"/>
    <n v="-58245.571091400037"/>
    <n v="0"/>
    <m/>
    <n v="-2060.8331578947364"/>
    <m/>
    <n v="-0.29495335007324142"/>
    <m/>
  </r>
  <r>
    <x v="4"/>
    <s v="Purchase"/>
    <x v="57"/>
    <x v="2"/>
    <x v="1"/>
    <x v="227"/>
    <n v="3972.09"/>
    <x v="2"/>
    <n v="24"/>
    <n v="165.50375"/>
    <n v="1"/>
    <n v="3972.09"/>
    <n v="20.6"/>
    <n v="81825.054000000004"/>
    <n v="113.018"/>
    <n v="122.94799999999999"/>
    <n v="1.0878000000000001"/>
    <n v="89009.293741200017"/>
    <n v="3708.7205725500007"/>
    <m/>
    <n v="24"/>
    <s v="Sale"/>
    <x v="108"/>
    <x v="1"/>
    <n v="2814.9410526315787"/>
    <n v="1"/>
    <n v="2814.9410526315787"/>
    <n v="19.959499999999998"/>
    <n v="56184.815939999993"/>
    <n v="89009.293741200017"/>
    <n v="-32824.477801200024"/>
    <n v="1.1452054794520548"/>
    <n v="1"/>
    <n v="-32824.477801200024"/>
    <n v="0"/>
    <m/>
    <n v="-1157.1489473684214"/>
    <m/>
    <n v="-0.29131992159503473"/>
    <m/>
  </r>
  <r>
    <x v="4"/>
    <s v="Purchase"/>
    <x v="57"/>
    <x v="2"/>
    <x v="1"/>
    <x v="227"/>
    <n v="4492.8147945205483"/>
    <x v="2"/>
    <n v="27"/>
    <n v="166.40054794520549"/>
    <n v="1"/>
    <n v="4492.8147945205483"/>
    <n v="20.6"/>
    <n v="92551.9847671233"/>
    <n v="113.018"/>
    <n v="122.94799999999999"/>
    <n v="1.0878000000000001"/>
    <n v="100678.04902967674"/>
    <n v="3728.8166307287679"/>
    <m/>
    <n v="27"/>
    <s v="Sale"/>
    <x v="108"/>
    <x v="1"/>
    <n v="3166.8086842105263"/>
    <n v="1"/>
    <n v="3166.8086842105263"/>
    <n v="19.959499999999998"/>
    <n v="63207.917932499993"/>
    <n v="100678.04902967674"/>
    <n v="-37470.131097176745"/>
    <n v="1.1452054794520548"/>
    <n v="1"/>
    <n v="-37470.131097176745"/>
    <n v="0"/>
    <m/>
    <n v="-1326.006110310022"/>
    <m/>
    <n v="-0.29513927703568449"/>
    <m/>
  </r>
  <r>
    <x v="4"/>
    <s v="Purchase"/>
    <x v="57"/>
    <x v="2"/>
    <x v="1"/>
    <x v="227"/>
    <n v="1664.0054794520549"/>
    <x v="2"/>
    <n v="10"/>
    <n v="166.40054794520549"/>
    <n v="1"/>
    <n v="1664.0054794520549"/>
    <n v="20.6"/>
    <n v="34278.512876712331"/>
    <n v="113.018"/>
    <n v="122.94799999999999"/>
    <n v="1.0878000000000001"/>
    <n v="37288.166307287676"/>
    <n v="3728.8166307287674"/>
    <m/>
    <n v="10"/>
    <s v="Sale"/>
    <x v="108"/>
    <x v="1"/>
    <n v="1171.6600000000001"/>
    <n v="1"/>
    <n v="1171.6600000000001"/>
    <n v="19.959499999999998"/>
    <n v="23385.747769999998"/>
    <n v="37288.166307287676"/>
    <n v="-13902.418537287678"/>
    <n v="1.1452054794520548"/>
    <n v="1"/>
    <n v="-13902.418537287678"/>
    <n v="0"/>
    <m/>
    <n v="-492.34547945205486"/>
    <m/>
    <n v="-0.295879722471936"/>
    <m/>
  </r>
  <r>
    <x v="4"/>
    <s v="Purchase"/>
    <x v="57"/>
    <x v="2"/>
    <x v="1"/>
    <x v="227"/>
    <n v="5990.4197260273977"/>
    <x v="2"/>
    <n v="36"/>
    <n v="166.40054794520549"/>
    <n v="1"/>
    <n v="5990.4197260273977"/>
    <n v="20.6"/>
    <n v="123402.64635616441"/>
    <n v="113.018"/>
    <n v="122.94799999999999"/>
    <n v="1.0878000000000001"/>
    <n v="134237.39870623566"/>
    <n v="3728.8166307287684"/>
    <m/>
    <n v="36"/>
    <s v="Sale"/>
    <x v="89"/>
    <x v="1"/>
    <n v="4173.3119999999999"/>
    <n v="1"/>
    <n v="4173.3119999999999"/>
    <n v="19.861799999999999"/>
    <n v="82889.488281599988"/>
    <n v="134237.39870623566"/>
    <n v="-51347.910424635673"/>
    <n v="1.1506849315068493"/>
    <n v="1"/>
    <n v="-51347.910424635673"/>
    <n v="0"/>
    <m/>
    <n v="-1817.1077260273978"/>
    <m/>
    <n v="-0.30333562740726844"/>
    <m/>
  </r>
  <r>
    <x v="4"/>
    <s v="Purchase"/>
    <x v="57"/>
    <x v="2"/>
    <x v="1"/>
    <x v="227"/>
    <n v="1491.98"/>
    <x v="2"/>
    <n v="9"/>
    <n v="165.77555555555557"/>
    <n v="1"/>
    <n v="1491.98"/>
    <n v="20.6"/>
    <n v="30734.788000000004"/>
    <n v="113.018"/>
    <n v="122.94799999999999"/>
    <n v="1.0878000000000001"/>
    <n v="33433.302386400006"/>
    <n v="3714.8113762666671"/>
    <m/>
    <n v="9"/>
    <s v="Sale"/>
    <x v="89"/>
    <x v="1"/>
    <n v="1043.328"/>
    <n v="1"/>
    <n v="1043.328"/>
    <n v="19.861799999999999"/>
    <n v="20722.372070399997"/>
    <n v="33433.302386400006"/>
    <n v="-12710.930316000009"/>
    <n v="1.1506849315068493"/>
    <n v="1"/>
    <n v="-12710.930316000009"/>
    <n v="0"/>
    <m/>
    <n v="-448.65200000000004"/>
    <m/>
    <n v="-0.30070912478719558"/>
    <m/>
  </r>
  <r>
    <x v="4"/>
    <s v="Purchase"/>
    <x v="57"/>
    <x v="2"/>
    <x v="1"/>
    <x v="210"/>
    <n v="418.95000000000005"/>
    <x v="2"/>
    <n v="3"/>
    <n v="139.65"/>
    <n v="1"/>
    <n v="418.95000000000005"/>
    <n v="20.8598"/>
    <n v="8739.2132100000017"/>
    <n v="116.884"/>
    <n v="122.94799999999999"/>
    <n v="1.0518000000000001"/>
    <n v="9191.904454278003"/>
    <n v="3063.968151426001"/>
    <m/>
    <n v="3"/>
    <s v="Sale"/>
    <x v="89"/>
    <x v="1"/>
    <n v="347.77600000000001"/>
    <n v="1"/>
    <n v="347.77600000000001"/>
    <n v="19.861799999999999"/>
    <n v="6907.4573567999996"/>
    <n v="9191.904454278003"/>
    <n v="-2284.4470974780033"/>
    <n v="0.78356164383561644"/>
    <n v="1"/>
    <n v="-2284.4470974780033"/>
    <n v="0"/>
    <m/>
    <n v="-71.174000000000035"/>
    <m/>
    <n v="-0.1698866213151928"/>
    <m/>
  </r>
  <r>
    <x v="4"/>
    <s v="Purchase"/>
    <x v="57"/>
    <x v="2"/>
    <x v="1"/>
    <x v="210"/>
    <n v="1693.476923076923"/>
    <x v="2"/>
    <n v="12"/>
    <n v="141.12307692307692"/>
    <n v="1"/>
    <n v="1693.476923076923"/>
    <n v="20.8598"/>
    <n v="35325.589919999999"/>
    <n v="116.884"/>
    <n v="122.94799999999999"/>
    <n v="1.0518000000000001"/>
    <n v="37155.455477855998"/>
    <n v="3096.287956488"/>
    <m/>
    <n v="12"/>
    <s v="Sale"/>
    <x v="89"/>
    <x v="1"/>
    <n v="1391.104"/>
    <n v="1"/>
    <n v="1391.104"/>
    <n v="19.861799999999999"/>
    <n v="27629.829427199998"/>
    <n v="37155.455477855998"/>
    <n v="-9525.6260506559993"/>
    <n v="0.78356164383561644"/>
    <n v="1"/>
    <n v="-9525.6260506559993"/>
    <n v="0"/>
    <m/>
    <n v="-302.37292307692292"/>
    <m/>
    <n v="-0.1785515462044405"/>
    <m/>
  </r>
  <r>
    <x v="4"/>
    <s v="Purchase"/>
    <x v="57"/>
    <x v="2"/>
    <x v="1"/>
    <x v="210"/>
    <n v="141.12307692307692"/>
    <x v="2"/>
    <n v="1"/>
    <n v="141.12307692307692"/>
    <n v="1"/>
    <n v="141.12307692307692"/>
    <n v="20.8598"/>
    <n v="2943.79916"/>
    <n v="116.884"/>
    <n v="122.94799999999999"/>
    <n v="1.0518000000000001"/>
    <n v="3096.2879564880004"/>
    <n v="3096.2879564880004"/>
    <m/>
    <n v="1"/>
    <s v="Sale"/>
    <x v="89"/>
    <x v="1"/>
    <n v="115.90177419354839"/>
    <n v="1"/>
    <n v="115.90177419354839"/>
    <n v="19.861799999999999"/>
    <n v="2302.0178586774191"/>
    <n v="3096.2879564880004"/>
    <n v="-794.27009781058132"/>
    <n v="0.78356164383561644"/>
    <n v="1"/>
    <n v="-794.27009781058132"/>
    <n v="0"/>
    <m/>
    <n v="-25.221302729528531"/>
    <m/>
    <n v="-0.17871848658229092"/>
    <m/>
  </r>
  <r>
    <x v="4"/>
    <s v="Purchase"/>
    <x v="57"/>
    <x v="2"/>
    <x v="1"/>
    <x v="210"/>
    <n v="1996.67"/>
    <x v="2"/>
    <n v="14"/>
    <n v="142.61928571428572"/>
    <n v="1"/>
    <n v="1996.67"/>
    <n v="20.8598"/>
    <n v="41650.136866000001"/>
    <n v="116.884"/>
    <n v="122.94799999999999"/>
    <n v="1.0518000000000001"/>
    <n v="43807.613955658802"/>
    <n v="3129.1152825470572"/>
    <m/>
    <n v="14"/>
    <s v="Sale"/>
    <x v="89"/>
    <x v="1"/>
    <n v="1622.6248387096775"/>
    <n v="1"/>
    <n v="1622.6248387096775"/>
    <n v="19.861799999999999"/>
    <n v="32228.250021483873"/>
    <n v="43807.613955658802"/>
    <n v="-11579.363934174929"/>
    <n v="0.78356164383561644"/>
    <n v="1"/>
    <n v="-11579.363934174929"/>
    <n v="0"/>
    <m/>
    <n v="-374.04516129032254"/>
    <m/>
    <n v="-0.18733449257529913"/>
    <m/>
  </r>
  <r>
    <x v="4"/>
    <s v="Purchase"/>
    <x v="57"/>
    <x v="2"/>
    <x v="1"/>
    <x v="210"/>
    <n v="6473.4"/>
    <x v="2"/>
    <n v="45"/>
    <n v="143.85333333333332"/>
    <n v="1"/>
    <n v="6473.4"/>
    <n v="20.8598"/>
    <n v="135033.82931999999"/>
    <n v="116.884"/>
    <n v="122.94799999999999"/>
    <n v="1.0518000000000001"/>
    <n v="142028.58167877601"/>
    <n v="3156.1907039728003"/>
    <m/>
    <n v="45"/>
    <s v="Sale"/>
    <x v="89"/>
    <x v="1"/>
    <n v="5215.5798387096775"/>
    <n v="1"/>
    <n v="5215.5798387096775"/>
    <n v="19.861799999999999"/>
    <n v="103590.80364048386"/>
    <n v="142028.58167877601"/>
    <n v="-38437.778038292148"/>
    <n v="0.78356164383561644"/>
    <n v="1"/>
    <n v="-38437.778038292148"/>
    <n v="0"/>
    <m/>
    <n v="-1257.8201612903222"/>
    <m/>
    <n v="-0.19430595379403748"/>
    <m/>
  </r>
  <r>
    <x v="4"/>
    <s v="Purchase"/>
    <x v="57"/>
    <x v="2"/>
    <x v="1"/>
    <x v="56"/>
    <n v="257.91000000000003"/>
    <x v="2"/>
    <n v="2"/>
    <n v="128.95500000000001"/>
    <n v="1"/>
    <n v="257.91000000000003"/>
    <n v="20.691199999999998"/>
    <n v="5336.4673920000005"/>
    <n v="116.884"/>
    <n v="122.94799999999999"/>
    <n v="1.0518000000000001"/>
    <n v="5612.8964029056006"/>
    <n v="2806.4482014528003"/>
    <m/>
    <n v="2"/>
    <s v="Sale"/>
    <x v="89"/>
    <x v="1"/>
    <n v="231.80354838709678"/>
    <n v="1"/>
    <n v="231.80354838709678"/>
    <n v="19.861799999999999"/>
    <n v="4604.0357173548382"/>
    <n v="5612.8964029056006"/>
    <n v="-1008.8606855507624"/>
    <n v="0.74246575342465748"/>
    <n v="1"/>
    <n v="-1008.8606855507624"/>
    <n v="0"/>
    <m/>
    <n v="-26.106451612903243"/>
    <m/>
    <n v="-0.10122310733551719"/>
    <m/>
  </r>
  <r>
    <x v="4"/>
    <s v="Purchase"/>
    <x v="26"/>
    <x v="2"/>
    <x v="1"/>
    <x v="228"/>
    <n v="839.88"/>
    <x v="2"/>
    <n v="5"/>
    <n v="167.976"/>
    <n v="1"/>
    <n v="839.88"/>
    <n v="20.465199999999999"/>
    <n v="17188.312175999999"/>
    <n v="122.94799999999999"/>
    <n v="124.571"/>
    <n v="1.0132000000000001"/>
    <n v="17415.197896723203"/>
    <n v="3483.0395793446405"/>
    <m/>
    <n v="5"/>
    <s v="Sale"/>
    <x v="109"/>
    <x v="1"/>
    <n v="500.34256465517245"/>
    <n v="1"/>
    <n v="500.34256465517245"/>
    <n v="19.871200000000002"/>
    <n v="9942.4071707758631"/>
    <n v="17415.197896723203"/>
    <n v="-7472.7907259473395"/>
    <n v="0.25205479452054796"/>
    <n v="1"/>
    <n v="-7472.7907259473395"/>
    <n v="0"/>
    <m/>
    <n v="-339.53743534482754"/>
    <m/>
    <n v="-0.40426898526554694"/>
    <m/>
  </r>
  <r>
    <x v="4"/>
    <s v="Purchase"/>
    <x v="26"/>
    <x v="2"/>
    <x v="1"/>
    <x v="228"/>
    <n v="14421.85"/>
    <x v="2"/>
    <n v="86"/>
    <n v="167.69593023255814"/>
    <n v="1"/>
    <n v="14421.85"/>
    <n v="20.465199999999999"/>
    <n v="295146.04462"/>
    <n v="122.94799999999999"/>
    <n v="124.571"/>
    <n v="1.0132000000000001"/>
    <n v="299041.97240898403"/>
    <n v="3477.2322373137677"/>
    <m/>
    <n v="86"/>
    <s v="Sale"/>
    <x v="109"/>
    <x v="1"/>
    <n v="8605.8921120689665"/>
    <n v="1"/>
    <n v="8605.8921120689665"/>
    <n v="19.871200000000002"/>
    <n v="171009.40333734488"/>
    <n v="299041.97240898403"/>
    <n v="-128032.56907163915"/>
    <n v="0.25205479452054796"/>
    <n v="1"/>
    <n v="-128032.56907163915"/>
    <n v="0"/>
    <m/>
    <n v="-5815.9578879310338"/>
    <m/>
    <n v="-0.40327405207591493"/>
    <m/>
  </r>
  <r>
    <x v="4"/>
    <s v="Purchase"/>
    <x v="26"/>
    <x v="2"/>
    <x v="1"/>
    <x v="228"/>
    <n v="15335.78"/>
    <x v="2"/>
    <n v="91"/>
    <n v="168.52505494505496"/>
    <n v="1"/>
    <n v="15335.78"/>
    <n v="20.465199999999999"/>
    <n v="313849.804856"/>
    <n v="122.94799999999999"/>
    <n v="124.571"/>
    <n v="1.0132000000000001"/>
    <n v="317992.62228009925"/>
    <n v="3494.4244206604312"/>
    <m/>
    <n v="91"/>
    <s v="Sale"/>
    <x v="109"/>
    <x v="1"/>
    <n v="9106.2346767241379"/>
    <n v="1"/>
    <n v="9106.2346767241379"/>
    <n v="19.871200000000002"/>
    <n v="180951.81050812072"/>
    <n v="317992.62228009925"/>
    <n v="-137040.81177197854"/>
    <n v="0.25205479452054796"/>
    <n v="1"/>
    <n v="-137040.81177197854"/>
    <n v="0"/>
    <m/>
    <n v="-6229.5453232758628"/>
    <m/>
    <n v="-0.40620987802875774"/>
    <m/>
  </r>
  <r>
    <x v="4"/>
    <s v="Purchase"/>
    <x v="26"/>
    <x v="2"/>
    <x v="1"/>
    <x v="229"/>
    <n v="16383.67"/>
    <x v="2"/>
    <n v="100"/>
    <n v="163.83670000000001"/>
    <n v="1"/>
    <n v="16383.67"/>
    <n v="20.377800000000001"/>
    <n v="333863.15052600001"/>
    <n v="123.803"/>
    <n v="124.571"/>
    <n v="1.0062"/>
    <n v="335933.10205926123"/>
    <n v="3359.3310205926123"/>
    <m/>
    <n v="100"/>
    <s v="Sale"/>
    <x v="109"/>
    <x v="1"/>
    <n v="10006.851293103449"/>
    <n v="1"/>
    <n v="10006.851293103449"/>
    <n v="19.871200000000002"/>
    <n v="198848.14341551729"/>
    <n v="335933.10205926123"/>
    <n v="-137084.95864374394"/>
    <n v="0.23835616438356164"/>
    <n v="1"/>
    <n v="-137084.95864374394"/>
    <n v="0"/>
    <m/>
    <n v="-6376.8187068965508"/>
    <m/>
    <n v="-0.38921796562653854"/>
    <m/>
  </r>
  <r>
    <x v="4"/>
    <s v="Purchase"/>
    <x v="26"/>
    <x v="2"/>
    <x v="1"/>
    <x v="230"/>
    <n v="13866.64"/>
    <x v="2"/>
    <n v="82"/>
    <n v="169.10536585365853"/>
    <n v="1"/>
    <n v="13866.64"/>
    <n v="20.263300000000001"/>
    <n v="280983.88631199999"/>
    <n v="123.803"/>
    <n v="124.571"/>
    <n v="1.0062"/>
    <n v="282725.98640713439"/>
    <n v="3447.877883013834"/>
    <m/>
    <n v="82"/>
    <s v="Sale"/>
    <x v="109"/>
    <x v="1"/>
    <n v="8205.6180603448283"/>
    <n v="1"/>
    <n v="8205.6180603448283"/>
    <n v="19.871200000000002"/>
    <n v="163055.47760072417"/>
    <n v="282725.98640713439"/>
    <n v="-119670.50880641022"/>
    <n v="0.23287671232876711"/>
    <n v="1"/>
    <n v="-119670.50880641022"/>
    <n v="0"/>
    <m/>
    <n v="-5661.0219396551711"/>
    <m/>
    <n v="-0.40824755958582404"/>
    <m/>
  </r>
  <r>
    <x v="4"/>
    <s v="Purchase"/>
    <x v="26"/>
    <x v="2"/>
    <x v="1"/>
    <x v="231"/>
    <n v="17207.39"/>
    <x v="2"/>
    <n v="100"/>
    <n v="172.07389999999998"/>
    <n v="1"/>
    <n v="17207.39"/>
    <n v="20.335799999999999"/>
    <n v="349926.041562"/>
    <n v="123.803"/>
    <n v="124.571"/>
    <n v="1.0062"/>
    <n v="352095.58301968442"/>
    <n v="3520.9558301968441"/>
    <m/>
    <n v="100"/>
    <s v="Sale"/>
    <x v="109"/>
    <x v="1"/>
    <n v="10006.851293103449"/>
    <n v="1"/>
    <n v="10006.851293103449"/>
    <n v="19.871200000000002"/>
    <n v="198848.14341551729"/>
    <n v="352095.58301968442"/>
    <n v="-153247.43960416713"/>
    <n v="0.21917808219178081"/>
    <n v="1"/>
    <n v="-153247.43960416713"/>
    <n v="0"/>
    <m/>
    <n v="-7200.5387068965501"/>
    <m/>
    <n v="-0.41845618114638827"/>
    <m/>
  </r>
  <r>
    <x v="4"/>
    <s v="Purchase"/>
    <x v="61"/>
    <x v="2"/>
    <x v="1"/>
    <x v="51"/>
    <n v="4649.92"/>
    <x v="2"/>
    <n v="16"/>
    <n v="290.62"/>
    <n v="1"/>
    <n v="4649.92"/>
    <n v="20.690300000000001"/>
    <n v="96208.239776000002"/>
    <n v="111.824"/>
    <n v="124.571"/>
    <n v="1.1138999999999999"/>
    <n v="107166.35828648639"/>
    <n v="6697.8973929053991"/>
    <m/>
    <n v="16"/>
    <s v="Sale"/>
    <x v="110"/>
    <x v="1"/>
    <n v="3180.0689230769231"/>
    <n v="1"/>
    <n v="3180.0689230769231"/>
    <n v="20.127199999999998"/>
    <n v="64005.883228553837"/>
    <n v="107166.35828648639"/>
    <n v="-43160.475057932548"/>
    <n v="1.6328767123287671"/>
    <n v="1"/>
    <n v="-43160.475057932548"/>
    <n v="0"/>
    <m/>
    <n v="-1469.851076923077"/>
    <m/>
    <n v="-0.31610244411152816"/>
    <m/>
  </r>
  <r>
    <x v="4"/>
    <s v="Purchase"/>
    <x v="61"/>
    <x v="2"/>
    <x v="1"/>
    <x v="80"/>
    <n v="11798.930000000002"/>
    <x v="2"/>
    <n v="41"/>
    <n v="287.77878048780491"/>
    <n v="1"/>
    <n v="11798.930000000002"/>
    <n v="20.766200000000001"/>
    <n v="245018.94016600007"/>
    <n v="111.824"/>
    <n v="124.571"/>
    <n v="1.1138999999999999"/>
    <n v="272926.59745090746"/>
    <n v="6656.7462792904262"/>
    <m/>
    <n v="41"/>
    <s v="Sale"/>
    <x v="110"/>
    <x v="1"/>
    <n v="8148.9266153846156"/>
    <n v="1"/>
    <n v="8148.9266153846156"/>
    <n v="20.127199999999998"/>
    <n v="164015.07577316923"/>
    <n v="272926.59745090746"/>
    <n v="-108911.52167773823"/>
    <n v="1.5643835616438355"/>
    <n v="1"/>
    <n v="-108911.52167773823"/>
    <n v="0"/>
    <m/>
    <n v="-3650.0033846153865"/>
    <m/>
    <n v="-0.30935037199266252"/>
    <m/>
  </r>
  <r>
    <x v="4"/>
    <s v="Purchase"/>
    <x v="61"/>
    <x v="2"/>
    <x v="1"/>
    <x v="52"/>
    <n v="2469.04"/>
    <x v="2"/>
    <n v="8"/>
    <n v="308.63"/>
    <n v="1"/>
    <n v="2469.04"/>
    <n v="19.944199999999999"/>
    <n v="49243.027567999998"/>
    <n v="113.018"/>
    <n v="124.571"/>
    <n v="1.1022000000000001"/>
    <n v="54275.664985449599"/>
    <n v="6784.4581231811999"/>
    <m/>
    <n v="8"/>
    <s v="Sale"/>
    <x v="110"/>
    <x v="1"/>
    <n v="1590.0344615384615"/>
    <n v="1"/>
    <n v="1590.0344615384615"/>
    <n v="20.127199999999998"/>
    <n v="32002.941614276919"/>
    <n v="54275.664985449599"/>
    <n v="-22272.72337117268"/>
    <n v="1.3890410958904109"/>
    <n v="1"/>
    <n v="-22272.72337117268"/>
    <n v="0"/>
    <m/>
    <n v="-879.00553846153844"/>
    <m/>
    <n v="-0.35601105630590774"/>
    <m/>
  </r>
  <r>
    <x v="4"/>
    <s v="Purchase"/>
    <x v="61"/>
    <x v="2"/>
    <x v="1"/>
    <x v="52"/>
    <n v="5246.71"/>
    <x v="2"/>
    <n v="17"/>
    <n v="308.63"/>
    <n v="1"/>
    <n v="5246.71"/>
    <n v="19.944199999999999"/>
    <n v="104641.433582"/>
    <n v="113.018"/>
    <n v="124.571"/>
    <n v="1.1022000000000001"/>
    <n v="115335.7880940804"/>
    <n v="6784.4581231811999"/>
    <m/>
    <n v="17"/>
    <s v="Sale"/>
    <x v="110"/>
    <x v="1"/>
    <n v="3401.0530555555556"/>
    <n v="1"/>
    <n v="3401.0530555555556"/>
    <n v="20.127199999999998"/>
    <n v="68453.675059777772"/>
    <n v="115335.7880940804"/>
    <n v="-46882.113034302631"/>
    <n v="1.3890410958904109"/>
    <n v="1"/>
    <n v="-46882.113034302631"/>
    <n v="0"/>
    <m/>
    <n v="-1845.6569444444444"/>
    <m/>
    <n v="-0.35177414883697489"/>
    <m/>
  </r>
  <r>
    <x v="4"/>
    <s v="Purchase"/>
    <x v="61"/>
    <x v="2"/>
    <x v="1"/>
    <x v="129"/>
    <n v="6429.0870000000014"/>
    <x v="2"/>
    <n v="19"/>
    <n v="338.37300000000005"/>
    <n v="1"/>
    <n v="6429.0870000000014"/>
    <n v="20.1175"/>
    <n v="129337.15772250002"/>
    <n v="113.899"/>
    <n v="124.571"/>
    <n v="1.0935999999999999"/>
    <n v="141443.11568532602"/>
    <n v="7444.3745097540013"/>
    <m/>
    <n v="19"/>
    <s v="Sale"/>
    <x v="110"/>
    <x v="1"/>
    <n v="3801.1769444444444"/>
    <n v="1"/>
    <n v="3801.1769444444444"/>
    <n v="20.127199999999998"/>
    <n v="76507.048596222216"/>
    <n v="141443.11568532602"/>
    <n v="-64936.067089103803"/>
    <n v="1.1616438356164382"/>
    <n v="1"/>
    <n v="-64936.067089103803"/>
    <n v="0"/>
    <m/>
    <n v="-2627.9100555555569"/>
    <m/>
    <n v="-0.40875322663319946"/>
    <m/>
  </r>
  <r>
    <x v="4"/>
    <s v="Purchase"/>
    <x v="184"/>
    <x v="2"/>
    <x v="1"/>
    <x v="2"/>
    <n v="1095.245789473684"/>
    <x v="2"/>
    <n v="15"/>
    <n v="73.01638596491226"/>
    <n v="1"/>
    <n v="1095.245789473684"/>
    <n v="19.821300000000001"/>
    <n v="21709.195366894735"/>
    <n v="109.271"/>
    <n v="122.94799999999999"/>
    <n v="1.1251"/>
    <n v="24425.015707293267"/>
    <n v="1628.3343804862177"/>
    <m/>
    <n v="15"/>
    <s v="Sale"/>
    <x v="111"/>
    <x v="1"/>
    <n v="1337.7583333333332"/>
    <n v="1"/>
    <n v="1337.7583333333332"/>
    <n v="20.2789"/>
    <n v="27128.267465833331"/>
    <n v="24425.015707293267"/>
    <n v="2703.2517585400637"/>
    <n v="1.6684931506849314"/>
    <n v="1"/>
    <n v="2703.2517585400637"/>
    <n v="0"/>
    <m/>
    <n v="242.51254385964921"/>
    <m/>
    <n v="0.22142294103334345"/>
    <m/>
  </r>
  <r>
    <x v="4"/>
    <s v="Purchase"/>
    <x v="184"/>
    <x v="2"/>
    <x v="1"/>
    <x v="232"/>
    <n v="8463.98"/>
    <x v="2"/>
    <n v="113"/>
    <n v="74.90247787610619"/>
    <n v="1"/>
    <n v="8463.98"/>
    <n v="19.9572"/>
    <n v="168917.341656"/>
    <n v="109.271"/>
    <n v="122.94799999999999"/>
    <n v="1.1251"/>
    <n v="190048.9010971656"/>
    <n v="1681.8486822758018"/>
    <m/>
    <n v="113"/>
    <s v="Sale"/>
    <x v="111"/>
    <x v="1"/>
    <n v="10077.779444444444"/>
    <n v="1"/>
    <n v="10077.779444444444"/>
    <n v="20.2789"/>
    <n v="204366.28157594445"/>
    <n v="190048.9010971656"/>
    <n v="14317.380478778854"/>
    <n v="1.6547945205479453"/>
    <n v="1"/>
    <n v="14317.380478778854"/>
    <n v="0"/>
    <m/>
    <n v="1613.7994444444448"/>
    <m/>
    <n v="0.19066673650510102"/>
    <m/>
  </r>
  <r>
    <x v="4"/>
    <s v="Purchase"/>
    <x v="184"/>
    <x v="2"/>
    <x v="1"/>
    <x v="233"/>
    <n v="2536.0543333333339"/>
    <x v="2"/>
    <n v="34"/>
    <n v="74.589833333333345"/>
    <n v="1"/>
    <n v="2536.0543333333339"/>
    <n v="20.107500000000002"/>
    <n v="50993.712507500015"/>
    <n v="109.271"/>
    <n v="122.94799999999999"/>
    <n v="1.1251"/>
    <n v="57373.025942188266"/>
    <n v="1687.4419394761255"/>
    <m/>
    <n v="34"/>
    <s v="Sale"/>
    <x v="111"/>
    <x v="1"/>
    <n v="3032.2522222222224"/>
    <n v="1"/>
    <n v="3032.2522222222224"/>
    <n v="20.2789"/>
    <n v="61490.739589222227"/>
    <n v="57373.025942188266"/>
    <n v="4117.713647033961"/>
    <n v="1.6520547945205479"/>
    <n v="1"/>
    <n v="4117.713647033961"/>
    <n v="0"/>
    <m/>
    <n v="496.19788888888843"/>
    <m/>
    <n v="0.19565743618619436"/>
    <m/>
  </r>
  <r>
    <x v="4"/>
    <s v="Purchase"/>
    <x v="184"/>
    <x v="2"/>
    <x v="1"/>
    <x v="233"/>
    <n v="1566.3865000000003"/>
    <x v="2"/>
    <n v="21"/>
    <n v="74.589833333333345"/>
    <n v="1"/>
    <n v="1566.3865000000003"/>
    <n v="20.107500000000002"/>
    <n v="31496.116548750007"/>
    <n v="109.271"/>
    <n v="122.94799999999999"/>
    <n v="1.1251"/>
    <n v="35436.28072899863"/>
    <n v="1687.4419394761253"/>
    <m/>
    <n v="21"/>
    <s v="Sale"/>
    <x v="111"/>
    <x v="1"/>
    <n v="1871.43"/>
    <n v="1"/>
    <n v="1871.43"/>
    <n v="20.2789"/>
    <n v="37950.541827000001"/>
    <n v="35436.28072899863"/>
    <n v="2514.2610980013706"/>
    <n v="1.6520547945205479"/>
    <n v="1"/>
    <n v="2514.2610980013706"/>
    <n v="0"/>
    <m/>
    <n v="305.04349999999977"/>
    <m/>
    <n v="0.19474344294974433"/>
    <m/>
  </r>
  <r>
    <x v="4"/>
    <s v="Purchase"/>
    <x v="184"/>
    <x v="2"/>
    <x v="1"/>
    <x v="233"/>
    <n v="4848.3391666666676"/>
    <x v="2"/>
    <n v="65"/>
    <n v="74.589833333333345"/>
    <n v="1"/>
    <n v="4848.3391666666676"/>
    <n v="20.107500000000002"/>
    <n v="97487.979793750026"/>
    <n v="109.271"/>
    <n v="124.571"/>
    <n v="1.1399999999999999"/>
    <n v="111136.29696487501"/>
    <n v="1709.7891840750003"/>
    <m/>
    <n v="65"/>
    <s v="Sale"/>
    <x v="112"/>
    <x v="1"/>
    <n v="4635.4854357798167"/>
    <n v="1"/>
    <n v="4635.4854357798167"/>
    <n v="19.965199999999999"/>
    <n v="92548.393822431201"/>
    <n v="111136.29696487501"/>
    <n v="-18587.903142443814"/>
    <n v="1.8273972602739725"/>
    <n v="1"/>
    <n v="-18587.903142443814"/>
    <n v="0"/>
    <m/>
    <n v="-212.85373088685083"/>
    <m/>
    <n v="-4.390240112537179E-2"/>
    <m/>
  </r>
  <r>
    <x v="4"/>
    <s v="Purchase"/>
    <x v="184"/>
    <x v="2"/>
    <x v="1"/>
    <x v="234"/>
    <n v="9052.5400000000009"/>
    <x v="2"/>
    <n v="120"/>
    <n v="75.437833333333344"/>
    <n v="1"/>
    <n v="9052.5400000000009"/>
    <n v="19.851700000000001"/>
    <n v="179708.30831800002"/>
    <n v="109.271"/>
    <n v="124.571"/>
    <n v="1.1399999999999999"/>
    <n v="204867.47148252002"/>
    <n v="1707.2289290210001"/>
    <m/>
    <n v="120"/>
    <s v="Sale"/>
    <x v="112"/>
    <x v="1"/>
    <n v="8557.8192660550449"/>
    <n v="1"/>
    <n v="8557.8192660550449"/>
    <n v="19.965199999999999"/>
    <n v="170858.57321064218"/>
    <n v="204867.47148252002"/>
    <n v="-34008.898271877842"/>
    <n v="1.789041095890411"/>
    <n v="1"/>
    <n v="-34008.898271877842"/>
    <n v="0"/>
    <m/>
    <n v="-494.72073394495601"/>
    <m/>
    <n v="-5.4649936254902595E-2"/>
    <m/>
  </r>
  <r>
    <x v="4"/>
    <s v="Purchase"/>
    <x v="184"/>
    <x v="2"/>
    <x v="1"/>
    <x v="235"/>
    <n v="3282.2708547008542"/>
    <x v="2"/>
    <n v="43"/>
    <n v="76.331880341880336"/>
    <n v="1"/>
    <n v="3282.2708547008542"/>
    <n v="20.939"/>
    <n v="68727.469426581185"/>
    <n v="111.824"/>
    <n v="124.571"/>
    <n v="1.1138999999999999"/>
    <n v="76555.528194268772"/>
    <n v="1780.3611207969482"/>
    <m/>
    <n v="43"/>
    <s v="Sale"/>
    <x v="112"/>
    <x v="1"/>
    <n v="3066.5519036697247"/>
    <n v="1"/>
    <n v="3066.5519036697247"/>
    <n v="19.965199999999999"/>
    <n v="61224.322067146786"/>
    <n v="76555.528194268772"/>
    <n v="-15331.206127121986"/>
    <n v="1.6164383561643836"/>
    <n v="1"/>
    <n v="-15331.206127121986"/>
    <n v="0"/>
    <m/>
    <n v="-215.71895103112956"/>
    <m/>
    <n v="-6.5722470990527124E-2"/>
    <m/>
  </r>
  <r>
    <x v="4"/>
    <s v="Purchase"/>
    <x v="184"/>
    <x v="2"/>
    <x v="1"/>
    <x v="51"/>
    <n v="15139.466041055721"/>
    <x v="2"/>
    <n v="208"/>
    <n v="72.785894428152503"/>
    <n v="1"/>
    <n v="15139.466041055721"/>
    <n v="20.690300000000001"/>
    <n v="313240.09422925516"/>
    <n v="111.824"/>
    <n v="124.571"/>
    <n v="1.1138999999999999"/>
    <n v="348918.14096196729"/>
    <n v="1677.4910623171504"/>
    <m/>
    <n v="208"/>
    <s v="Sale"/>
    <x v="112"/>
    <x v="1"/>
    <n v="14833.553394495413"/>
    <n v="1"/>
    <n v="14833.553394495413"/>
    <n v="19.965199999999999"/>
    <n v="296154.86023177981"/>
    <n v="348918.14096196729"/>
    <n v="-52763.280730187485"/>
    <n v="1.6109589041095891"/>
    <n v="1"/>
    <n v="-52763.280730187485"/>
    <n v="0"/>
    <m/>
    <n v="-305.91264656030762"/>
    <m/>
    <n v="-2.020630355989592E-2"/>
    <m/>
  </r>
  <r>
    <x v="4"/>
    <s v="Purchase"/>
    <x v="184"/>
    <x v="2"/>
    <x v="1"/>
    <x v="51"/>
    <n v="655.07304985337248"/>
    <x v="2"/>
    <n v="9"/>
    <n v="72.785894428152503"/>
    <n v="1"/>
    <n v="655.07304985337248"/>
    <n v="20.690300000000001"/>
    <n v="13553.657923381234"/>
    <n v="111.824"/>
    <n v="124.571"/>
    <n v="1.1138999999999999"/>
    <n v="15097.419560854354"/>
    <n v="1677.4910623171504"/>
    <m/>
    <n v="9"/>
    <s v="Sale"/>
    <x v="112"/>
    <x v="1"/>
    <n v="639.4"/>
    <n v="1"/>
    <n v="639.4"/>
    <n v="19.965199999999999"/>
    <n v="12765.748879999999"/>
    <n v="15097.419560854354"/>
    <n v="-2331.6706808543549"/>
    <n v="1.6109589041095891"/>
    <n v="1"/>
    <n v="-2331.6706808543549"/>
    <n v="0"/>
    <m/>
    <n v="-15.673049853372504"/>
    <m/>
    <n v="-2.3925652042746475E-2"/>
    <m/>
  </r>
  <r>
    <x v="4"/>
    <s v="Purchase"/>
    <x v="185"/>
    <x v="2"/>
    <x v="1"/>
    <x v="103"/>
    <n v="11543.05806451613"/>
    <x v="2"/>
    <n v="200"/>
    <n v="57.71529032258065"/>
    <n v="1"/>
    <n v="11543.05806451613"/>
    <n v="20.895700000000001"/>
    <n v="241200.27839870972"/>
    <n v="111.824"/>
    <n v="124.571"/>
    <n v="1.1138999999999999"/>
    <n v="268672.99010832276"/>
    <n v="1343.3649505416138"/>
    <m/>
    <n v="200"/>
    <s v="Sale"/>
    <x v="110"/>
    <x v="1"/>
    <n v="8181.9704433497545"/>
    <n v="1"/>
    <n v="8181.9704433497545"/>
    <n v="20.127199999999998"/>
    <n v="164680.15550738916"/>
    <n v="268672.99010832276"/>
    <n v="-103992.83460093359"/>
    <n v="1.6301369863013699"/>
    <n v="1"/>
    <n v="-103992.83460093359"/>
    <n v="0"/>
    <m/>
    <n v="-3361.0876211663754"/>
    <m/>
    <n v="-0.29117826509930733"/>
    <m/>
  </r>
  <r>
    <x v="4"/>
    <s v="Purchase"/>
    <x v="185"/>
    <x v="2"/>
    <x v="1"/>
    <x v="236"/>
    <n v="176.71540540540536"/>
    <x v="2"/>
    <n v="3"/>
    <n v="58.905135135135119"/>
    <n v="1"/>
    <n v="176.71540540540536"/>
    <n v="20.441500000000001"/>
    <n v="3612.3279595945942"/>
    <n v="111.824"/>
    <n v="124.571"/>
    <n v="1.1138999999999999"/>
    <n v="4023.772114192418"/>
    <n v="1341.2573713974728"/>
    <m/>
    <n v="3"/>
    <s v="Sale"/>
    <x v="110"/>
    <x v="1"/>
    <n v="122.72955665024632"/>
    <n v="1"/>
    <n v="122.72955665024632"/>
    <n v="20.127199999999998"/>
    <n v="2470.2023326108374"/>
    <n v="4023.7721141924185"/>
    <n v="-1553.5697815815811"/>
    <n v="1.5835616438356164"/>
    <n v="1"/>
    <n v="-1553.5697815815811"/>
    <n v="0"/>
    <m/>
    <n v="-53.98584875515904"/>
    <m/>
    <n v="-0.30549599584319953"/>
    <m/>
  </r>
  <r>
    <x v="4"/>
    <s v="Purchase"/>
    <x v="185"/>
    <x v="2"/>
    <x v="1"/>
    <x v="236"/>
    <n v="2002.7745945945942"/>
    <x v="2"/>
    <n v="34"/>
    <n v="58.905135135135126"/>
    <n v="1"/>
    <n v="2002.7745945945942"/>
    <n v="20.441500000000001"/>
    <n v="40939.7168754054"/>
    <n v="111.824"/>
    <n v="124.571"/>
    <n v="1.1138999999999999"/>
    <n v="45602.750627514069"/>
    <n v="1341.2573713974725"/>
    <m/>
    <n v="34"/>
    <s v="Sale"/>
    <x v="110"/>
    <x v="1"/>
    <n v="1390.9362637362638"/>
    <n v="1"/>
    <n v="1390.9362637362638"/>
    <n v="20.127199999999998"/>
    <n v="27995.652367472525"/>
    <n v="45602.750627514062"/>
    <n v="-17607.098260041537"/>
    <n v="1.5835616438356164"/>
    <n v="1"/>
    <n v="-17607.098260041537"/>
    <n v="0"/>
    <m/>
    <n v="-611.83833085833044"/>
    <m/>
    <n v="-0.3054953525522327"/>
    <m/>
  </r>
  <r>
    <x v="4"/>
    <s v="Purchase"/>
    <x v="185"/>
    <x v="2"/>
    <x v="1"/>
    <x v="236"/>
    <n v="8685.8832000000002"/>
    <x v="2"/>
    <n v="148"/>
    <n v="58.688400000000001"/>
    <n v="1"/>
    <n v="8685.8832000000002"/>
    <n v="20.441500000000001"/>
    <n v="177552.48143280001"/>
    <n v="111.824"/>
    <n v="124.571"/>
    <n v="1.1138999999999999"/>
    <n v="197775.70906799592"/>
    <n v="1336.32235856754"/>
    <m/>
    <n v="148"/>
    <s v="Sale"/>
    <x v="110"/>
    <x v="1"/>
    <n v="6054.6637362637366"/>
    <n v="1"/>
    <n v="6054.6637362637366"/>
    <n v="20.127199999999998"/>
    <n v="121863.42795252748"/>
    <n v="197775.70906799592"/>
    <n v="-75912.281115468446"/>
    <n v="1.5835616438356164"/>
    <n v="1"/>
    <n v="-75912.281115468446"/>
    <n v="0"/>
    <m/>
    <n v="-2631.2194637362636"/>
    <m/>
    <n v="-0.30293056021479353"/>
    <m/>
  </r>
  <r>
    <x v="4"/>
    <s v="Purchase"/>
    <x v="186"/>
    <x v="2"/>
    <x v="1"/>
    <x v="237"/>
    <n v="328.71066666666667"/>
    <x v="2"/>
    <n v="7"/>
    <n v="46.958666666666666"/>
    <n v="1"/>
    <n v="328.71066666666667"/>
    <n v="19.9833"/>
    <n v="6568.7238651999996"/>
    <n v="110.21"/>
    <n v="123.803"/>
    <n v="1.1233"/>
    <n v="7378.647517779159"/>
    <n v="1054.0925025398799"/>
    <m/>
    <n v="7"/>
    <s v="Sale"/>
    <x v="104"/>
    <x v="1"/>
    <n v="256.74098765432103"/>
    <n v="1"/>
    <n v="256.74098765432103"/>
    <n v="20.351700000000001"/>
    <n v="5225.1155584444459"/>
    <n v="7378.647517779159"/>
    <n v="-2153.5319593347131"/>
    <n v="1.6712328767123288"/>
    <n v="1"/>
    <n v="-2153.5319593347131"/>
    <n v="0"/>
    <m/>
    <n v="-71.969679012345637"/>
    <m/>
    <n v="-0.21894537144828169"/>
    <m/>
  </r>
  <r>
    <x v="4"/>
    <s v="Purchase"/>
    <x v="186"/>
    <x v="2"/>
    <x v="1"/>
    <x v="237"/>
    <n v="661.33"/>
    <x v="2"/>
    <n v="14"/>
    <n v="47.237857142857145"/>
    <n v="1"/>
    <n v="661.33"/>
    <n v="19.9833"/>
    <n v="13215.555789"/>
    <n v="110.21"/>
    <n v="123.803"/>
    <n v="1.1233"/>
    <n v="14845.0338177837"/>
    <n v="1060.3595584131215"/>
    <m/>
    <n v="14"/>
    <s v="Sale"/>
    <x v="104"/>
    <x v="1"/>
    <n v="513.48197530864206"/>
    <n v="1"/>
    <n v="513.48197530864206"/>
    <n v="20.351700000000001"/>
    <n v="10450.231116888892"/>
    <n v="14845.0338177837"/>
    <n v="-4394.8027008948084"/>
    <n v="1.6712328767123288"/>
    <n v="1"/>
    <n v="-4394.8027008948084"/>
    <n v="0"/>
    <m/>
    <n v="-147.84802469135798"/>
    <m/>
    <n v="-0.2235616480295132"/>
    <m/>
  </r>
  <r>
    <x v="4"/>
    <s v="Purchase"/>
    <x v="186"/>
    <x v="2"/>
    <x v="1"/>
    <x v="237"/>
    <n v="328.71"/>
    <x v="2"/>
    <n v="7"/>
    <n v="46.958571428571425"/>
    <n v="1"/>
    <n v="328.71"/>
    <n v="19.9833"/>
    <n v="6568.7105429999992"/>
    <n v="110.21"/>
    <n v="123.803"/>
    <n v="1.1233"/>
    <n v="7378.632552951899"/>
    <n v="1054.0903647074142"/>
    <m/>
    <n v="7"/>
    <s v="Sale"/>
    <x v="104"/>
    <x v="1"/>
    <n v="256.74098765432103"/>
    <n v="1"/>
    <n v="256.74098765432103"/>
    <n v="20.351700000000001"/>
    <n v="5225.1155584444459"/>
    <n v="7378.6325529518999"/>
    <n v="-2153.516994507454"/>
    <n v="1.6712328767123288"/>
    <n v="1"/>
    <n v="-2153.516994507454"/>
    <n v="0"/>
    <m/>
    <n v="-71.969012345678948"/>
    <m/>
    <n v="-0.21894378736782863"/>
    <m/>
  </r>
  <r>
    <x v="4"/>
    <s v="Purchase"/>
    <x v="186"/>
    <x v="2"/>
    <x v="1"/>
    <x v="238"/>
    <n v="191.1"/>
    <x v="2"/>
    <n v="4"/>
    <n v="47.774999999999999"/>
    <n v="1"/>
    <n v="191.1"/>
    <n v="20.159800000000001"/>
    <n v="3852.5377800000001"/>
    <n v="110.21"/>
    <n v="123.803"/>
    <n v="1.1233"/>
    <n v="4327.5556882740002"/>
    <n v="1081.8889220685001"/>
    <m/>
    <n v="4"/>
    <s v="Sale"/>
    <x v="104"/>
    <x v="1"/>
    <n v="146.70913580246915"/>
    <n v="1"/>
    <n v="146.70913580246915"/>
    <n v="20.351700000000001"/>
    <n v="2985.7803191111116"/>
    <n v="4327.5556882740002"/>
    <n v="-1341.7753691628886"/>
    <n v="1.6684931506849314"/>
    <n v="1"/>
    <n v="-1341.7753691628886"/>
    <n v="0"/>
    <m/>
    <n v="-44.390864197530846"/>
    <m/>
    <n v="-0.2322912830849338"/>
    <m/>
  </r>
  <r>
    <x v="4"/>
    <s v="Purchase"/>
    <x v="186"/>
    <x v="2"/>
    <x v="1"/>
    <x v="238"/>
    <n v="143.33000000000001"/>
    <x v="2"/>
    <n v="3"/>
    <n v="47.776666666666671"/>
    <n v="1"/>
    <n v="143.33000000000001"/>
    <n v="20.159800000000001"/>
    <n v="2889.5041340000002"/>
    <n v="110.21"/>
    <n v="123.803"/>
    <n v="1.1233"/>
    <n v="3245.7799937222003"/>
    <n v="1081.9266645740668"/>
    <m/>
    <n v="3"/>
    <s v="Sale"/>
    <x v="104"/>
    <x v="1"/>
    <n v="110.03185185185185"/>
    <n v="1"/>
    <n v="110.03185185185185"/>
    <n v="20.351700000000001"/>
    <n v="2239.3352393333334"/>
    <n v="3245.7799937222003"/>
    <n v="-1006.4447543888668"/>
    <n v="1.6684931506849314"/>
    <n v="1"/>
    <n v="-1006.4447543888668"/>
    <n v="0"/>
    <m/>
    <n v="-33.298148148148158"/>
    <m/>
    <n v="-0.23231806424438817"/>
    <m/>
  </r>
  <r>
    <x v="4"/>
    <s v="Purchase"/>
    <x v="186"/>
    <x v="2"/>
    <x v="1"/>
    <x v="238"/>
    <n v="191.1"/>
    <x v="2"/>
    <n v="4"/>
    <n v="47.774999999999999"/>
    <n v="1"/>
    <n v="191.1"/>
    <n v="20.159800000000001"/>
    <n v="3852.5377800000001"/>
    <n v="110.21"/>
    <n v="123.803"/>
    <n v="1.1233"/>
    <n v="4327.5556882740002"/>
    <n v="1081.8889220685001"/>
    <m/>
    <n v="4"/>
    <s v="Sale"/>
    <x v="104"/>
    <x v="1"/>
    <n v="146.70913580246915"/>
    <n v="1"/>
    <n v="146.70913580246915"/>
    <n v="20.351700000000001"/>
    <n v="2985.7803191111116"/>
    <n v="4327.5556882740002"/>
    <n v="-1341.7753691628886"/>
    <n v="1.6684931506849314"/>
    <n v="1"/>
    <n v="-1341.7753691628886"/>
    <n v="0"/>
    <m/>
    <n v="-44.390864197530846"/>
    <m/>
    <n v="-0.2322912830849338"/>
    <m/>
  </r>
  <r>
    <x v="4"/>
    <s v="Purchase"/>
    <x v="186"/>
    <x v="2"/>
    <x v="1"/>
    <x v="51"/>
    <n v="2436.159928825623"/>
    <x v="2"/>
    <n v="42"/>
    <n v="58.003807829181497"/>
    <n v="1"/>
    <n v="2436.159928825623"/>
    <n v="20.690300000000001"/>
    <n v="50404.879775380788"/>
    <n v="111.824"/>
    <n v="123.803"/>
    <n v="1.1071"/>
    <n v="55803.242399324066"/>
    <n v="1328.6486285553349"/>
    <m/>
    <n v="42"/>
    <s v="Sale"/>
    <x v="104"/>
    <x v="1"/>
    <n v="1540.4459259259261"/>
    <n v="1"/>
    <n v="1540.4459259259261"/>
    <n v="20.351700000000001"/>
    <n v="31350.693350666672"/>
    <n v="55803.242399324066"/>
    <n v="-24452.549048657394"/>
    <n v="1.5698630136986302"/>
    <n v="1"/>
    <n v="-24452.549048657394"/>
    <n v="0"/>
    <m/>
    <n v="-895.71400289969688"/>
    <m/>
    <n v="-0.36767454890840662"/>
    <m/>
  </r>
  <r>
    <x v="4"/>
    <s v="Purchase"/>
    <x v="186"/>
    <x v="2"/>
    <x v="1"/>
    <x v="51"/>
    <n v="2494.1637366548043"/>
    <x v="2"/>
    <n v="43"/>
    <n v="58.003807829181497"/>
    <n v="1"/>
    <n v="2494.1637366548043"/>
    <n v="20.690300000000001"/>
    <n v="51604.995960508902"/>
    <n v="111.824"/>
    <n v="123.803"/>
    <n v="1.1071"/>
    <n v="57131.891027879406"/>
    <n v="1328.6486285553351"/>
    <m/>
    <n v="43"/>
    <s v="Sale"/>
    <x v="104"/>
    <x v="1"/>
    <n v="1584.64"/>
    <n v="1"/>
    <n v="1584.64"/>
    <n v="20.351700000000001"/>
    <n v="32250.117888000004"/>
    <n v="57131.891027879406"/>
    <n v="-24881.773139879402"/>
    <n v="1.5698630136986302"/>
    <n v="1"/>
    <n v="-24881.773139879402"/>
    <n v="0"/>
    <m/>
    <n v="-909.52373665480422"/>
    <m/>
    <n v="-0.36466079723966555"/>
    <m/>
  </r>
  <r>
    <x v="4"/>
    <s v="Purchase"/>
    <x v="186"/>
    <x v="2"/>
    <x v="1"/>
    <x v="51"/>
    <n v="2204.144697508897"/>
    <x v="2"/>
    <n v="38"/>
    <n v="58.003807829181504"/>
    <n v="1"/>
    <n v="2204.144697508897"/>
    <n v="20.690300000000001"/>
    <n v="45604.415034868332"/>
    <n v="111.824"/>
    <n v="123.803"/>
    <n v="1.1071"/>
    <n v="50488.647885102728"/>
    <n v="1328.6486285553349"/>
    <m/>
    <n v="38"/>
    <s v="Sale"/>
    <x v="104"/>
    <x v="1"/>
    <n v="1393.4300000000003"/>
    <n v="1"/>
    <n v="1393.4300000000003"/>
    <n v="20.351700000000001"/>
    <n v="28358.669331000008"/>
    <n v="50488.647885102728"/>
    <n v="-22129.978554102719"/>
    <n v="1.5698630136986302"/>
    <n v="1"/>
    <n v="-22129.978554102719"/>
    <n v="0"/>
    <m/>
    <n v="-810.71469750889673"/>
    <m/>
    <n v="-0.36781373674113077"/>
    <m/>
  </r>
  <r>
    <x v="4"/>
    <s v="Purchase"/>
    <x v="186"/>
    <x v="2"/>
    <x v="1"/>
    <x v="51"/>
    <n v="174.0114234875445"/>
    <x v="2"/>
    <n v="3"/>
    <n v="58.003807829181504"/>
    <n v="1"/>
    <n v="174.0114234875445"/>
    <n v="20.690300000000001"/>
    <n v="3600.348555384342"/>
    <n v="111.824"/>
    <n v="123.803"/>
    <n v="1.1071"/>
    <n v="3985.9458856660049"/>
    <n v="1328.6486285553349"/>
    <m/>
    <n v="3"/>
    <s v="Sale"/>
    <x v="104"/>
    <x v="1"/>
    <n v="110.16"/>
    <n v="1"/>
    <n v="110.16"/>
    <n v="20.351700000000001"/>
    <n v="2241.943272"/>
    <n v="3985.9458856660049"/>
    <n v="-1744.0026136660049"/>
    <n v="1.5698630136986302"/>
    <n v="1"/>
    <n v="-1744.0026136660049"/>
    <n v="0"/>
    <m/>
    <n v="-63.851423487544508"/>
    <m/>
    <n v="-0.36693811364697504"/>
    <m/>
  </r>
  <r>
    <x v="4"/>
    <s v="Purchase"/>
    <x v="186"/>
    <x v="2"/>
    <x v="1"/>
    <x v="52"/>
    <n v="1117.6779661016949"/>
    <x v="2"/>
    <n v="17"/>
    <n v="65.745762711864401"/>
    <n v="1"/>
    <n v="1117.6779661016949"/>
    <n v="19.944199999999999"/>
    <n v="22291.192891525421"/>
    <n v="113.018"/>
    <n v="123.803"/>
    <n v="1.0953999999999999"/>
    <n v="24417.772693376945"/>
    <n v="1436.3395701986437"/>
    <m/>
    <n v="17"/>
    <s v="Sale"/>
    <x v="104"/>
    <x v="1"/>
    <n v="624.24"/>
    <n v="1"/>
    <n v="624.24"/>
    <n v="20.351700000000001"/>
    <n v="12704.345208000001"/>
    <n v="24417.772693376945"/>
    <n v="-11713.427485376944"/>
    <n v="1.3260273972602741"/>
    <n v="1"/>
    <n v="-11713.427485376944"/>
    <n v="0"/>
    <m/>
    <n v="-493.43796610169488"/>
    <m/>
    <n v="-0.44148491879350343"/>
    <m/>
  </r>
  <r>
    <x v="4"/>
    <s v="Purchase"/>
    <x v="186"/>
    <x v="2"/>
    <x v="1"/>
    <x v="52"/>
    <n v="591.71186440677957"/>
    <x v="2"/>
    <n v="9"/>
    <n v="65.745762711864401"/>
    <n v="1"/>
    <n v="591.71186440677957"/>
    <n v="19.944199999999999"/>
    <n v="11801.219766101693"/>
    <n v="113.018"/>
    <n v="123.803"/>
    <n v="1.0953999999999999"/>
    <n v="12927.056131787793"/>
    <n v="1436.3395701986437"/>
    <m/>
    <n v="9"/>
    <s v="Sale"/>
    <x v="104"/>
    <x v="1"/>
    <n v="329.97"/>
    <n v="1"/>
    <n v="329.97"/>
    <n v="20.351700000000001"/>
    <n v="6715.4504490000008"/>
    <n v="12927.056131787795"/>
    <n v="-6211.6056827877937"/>
    <n v="1.3260273972602741"/>
    <n v="1"/>
    <n v="-6211.6056827877937"/>
    <n v="0"/>
    <m/>
    <n v="-261.74186440677954"/>
    <m/>
    <n v="-0.44234682478301957"/>
    <m/>
  </r>
  <r>
    <x v="4"/>
    <s v="Purchase"/>
    <x v="186"/>
    <x v="2"/>
    <x v="1"/>
    <x v="52"/>
    <n v="2432.593220338983"/>
    <x v="2"/>
    <n v="37"/>
    <n v="65.745762711864401"/>
    <n v="1"/>
    <n v="2432.593220338983"/>
    <n v="19.944199999999999"/>
    <n v="48516.125705084742"/>
    <n v="113.018"/>
    <n v="123.803"/>
    <n v="1.0953999999999999"/>
    <n v="53144.564097349823"/>
    <n v="1436.339570198644"/>
    <m/>
    <n v="37"/>
    <s v="Sale"/>
    <x v="113"/>
    <x v="1"/>
    <n v="1312.93"/>
    <n v="1"/>
    <n v="1312.93"/>
    <n v="20.356999999999999"/>
    <n v="26727.316009999999"/>
    <n v="53144.56409734983"/>
    <n v="-26417.248087349832"/>
    <n v="1.3287671232876712"/>
    <n v="1"/>
    <n v="-26417.248087349832"/>
    <n v="0"/>
    <m/>
    <n v="-1119.6632203389829"/>
    <m/>
    <n v="-0.46027556558879062"/>
    <m/>
  </r>
  <r>
    <x v="4"/>
    <s v="Purchase"/>
    <x v="186"/>
    <x v="2"/>
    <x v="1"/>
    <x v="52"/>
    <n v="3616.0169491525421"/>
    <x v="2"/>
    <n v="55"/>
    <n v="65.745762711864401"/>
    <n v="1"/>
    <n v="3616.0169491525421"/>
    <n v="19.944199999999999"/>
    <n v="72118.56523728813"/>
    <n v="113.018"/>
    <n v="123.803"/>
    <n v="1.0953999999999999"/>
    <n v="78998.676360925412"/>
    <n v="1436.339570198644"/>
    <m/>
    <n v="55"/>
    <s v="Sale"/>
    <x v="114"/>
    <x v="1"/>
    <n v="1906.4469465648856"/>
    <n v="1"/>
    <n v="1906.4469465648856"/>
    <n v="20.305800000000001"/>
    <n v="38711.930407557258"/>
    <n v="78998.676360925412"/>
    <n v="-40286.745953368154"/>
    <n v="1.3315068493150686"/>
    <n v="1"/>
    <n v="-40286.745953368154"/>
    <n v="0"/>
    <m/>
    <n v="-1709.5700025876565"/>
    <m/>
    <n v="-0.4727770988430558"/>
    <m/>
  </r>
  <r>
    <x v="4"/>
    <s v="Purchase"/>
    <x v="186"/>
    <x v="2"/>
    <x v="1"/>
    <x v="86"/>
    <n v="1221.23"/>
    <x v="2"/>
    <n v="22"/>
    <n v="55.510454545454543"/>
    <n v="1"/>
    <n v="1221.23"/>
    <n v="19.8537"/>
    <n v="24245.934051"/>
    <n v="113.682"/>
    <n v="123.803"/>
    <n v="1.089"/>
    <n v="26403.822181538999"/>
    <n v="1200.1737355245"/>
    <m/>
    <n v="22"/>
    <s v="Sale"/>
    <x v="114"/>
    <x v="1"/>
    <n v="762.57877862595421"/>
    <n v="1"/>
    <n v="762.57877862595421"/>
    <n v="20.305800000000001"/>
    <n v="15484.772163022903"/>
    <n v="26403.822181538999"/>
    <n v="-10919.050018516096"/>
    <n v="1.1972602739726028"/>
    <n v="1"/>
    <n v="-10919.050018516096"/>
    <n v="0"/>
    <m/>
    <n v="-458.6512213740458"/>
    <m/>
    <n v="-0.37556498069491068"/>
    <m/>
  </r>
  <r>
    <x v="4"/>
    <s v="Purchase"/>
    <x v="186"/>
    <x v="2"/>
    <x v="1"/>
    <x v="86"/>
    <n v="2996.9657142857141"/>
    <x v="2"/>
    <n v="54"/>
    <n v="55.499365079365077"/>
    <n v="1"/>
    <n v="2996.9657142857141"/>
    <n v="19.8537"/>
    <n v="59500.858201714283"/>
    <n v="113.682"/>
    <n v="123.803"/>
    <n v="1.089"/>
    <n v="64796.43458166685"/>
    <n v="1199.9339737345713"/>
    <m/>
    <n v="54"/>
    <s v="Sale"/>
    <x v="114"/>
    <x v="1"/>
    <n v="1871.7842748091605"/>
    <n v="1"/>
    <n v="1871.7842748091605"/>
    <n v="20.305800000000001"/>
    <n v="38008.077127419856"/>
    <n v="64796.43458166685"/>
    <n v="-26788.357454246994"/>
    <n v="1.1972602739726028"/>
    <n v="1"/>
    <n v="-26788.357454246994"/>
    <n v="0"/>
    <m/>
    <n v="-1125.1814394765536"/>
    <m/>
    <n v="-0.37544021078156553"/>
    <m/>
  </r>
  <r>
    <x v="4"/>
    <s v="Purchase"/>
    <x v="186"/>
    <x v="2"/>
    <x v="1"/>
    <x v="86"/>
    <n v="1109.9873015873015"/>
    <x v="2"/>
    <n v="20"/>
    <n v="55.499365079365077"/>
    <n v="1"/>
    <n v="1109.9873015873015"/>
    <n v="19.8537"/>
    <n v="22037.354889523809"/>
    <n v="113.682"/>
    <n v="123.803"/>
    <n v="1.089"/>
    <n v="23998.679474691427"/>
    <n v="1199.9339737345713"/>
    <m/>
    <n v="20"/>
    <s v="Sale"/>
    <x v="114"/>
    <x v="1"/>
    <n v="697.28"/>
    <n v="1"/>
    <n v="697.28"/>
    <n v="20.305800000000001"/>
    <n v="14158.828224000001"/>
    <n v="23998.679474691424"/>
    <n v="-9839.851250691423"/>
    <n v="1.1972602739726028"/>
    <n v="1"/>
    <n v="-9839.851250691423"/>
    <n v="0"/>
    <m/>
    <n v="-412.70730158730157"/>
    <m/>
    <n v="-0.37181263334915887"/>
    <m/>
  </r>
  <r>
    <x v="4"/>
    <s v="Purchase"/>
    <x v="186"/>
    <x v="2"/>
    <x v="1"/>
    <x v="86"/>
    <n v="443.99492063492062"/>
    <x v="2"/>
    <n v="8"/>
    <n v="55.499365079365077"/>
    <n v="1"/>
    <n v="443.99492063492062"/>
    <n v="19.8537"/>
    <n v="8814.9419558095233"/>
    <n v="113.682"/>
    <n v="123.803"/>
    <n v="1.089"/>
    <n v="9599.4717898765703"/>
    <n v="1199.9339737345713"/>
    <m/>
    <n v="8"/>
    <s v="Sale"/>
    <x v="114"/>
    <x v="1"/>
    <n v="272.87"/>
    <n v="1"/>
    <n v="272.87"/>
    <n v="20.305800000000001"/>
    <n v="5540.8436460000003"/>
    <n v="9599.4717898765703"/>
    <n v="-4058.62814387657"/>
    <n v="1.1972602739726028"/>
    <n v="1"/>
    <n v="-4058.62814387657"/>
    <n v="0"/>
    <m/>
    <n v="-171.12492063492061"/>
    <m/>
    <n v="-0.38542089713596034"/>
    <m/>
  </r>
  <r>
    <x v="4"/>
    <s v="Purchase"/>
    <x v="186"/>
    <x v="2"/>
    <x v="1"/>
    <x v="86"/>
    <n v="2441.9720634920632"/>
    <x v="2"/>
    <n v="44"/>
    <n v="55.49936507936507"/>
    <n v="1"/>
    <n v="2441.9720634920632"/>
    <n v="19.8537"/>
    <n v="48482.180756952373"/>
    <n v="113.682"/>
    <n v="124.571"/>
    <n v="1.0956999999999999"/>
    <n v="53121.925455392709"/>
    <n v="1207.3164876225617"/>
    <m/>
    <n v="44"/>
    <s v="Sale"/>
    <x v="115"/>
    <x v="1"/>
    <n v="1557.6669565217392"/>
    <n v="1"/>
    <n v="1557.6669565217392"/>
    <n v="20.192699999999999"/>
    <n v="31453.501552956521"/>
    <n v="53121.925455392717"/>
    <n v="-21668.423902436196"/>
    <n v="1.2054794520547945"/>
    <n v="1"/>
    <n v="-21668.423902436196"/>
    <n v="0"/>
    <m/>
    <n v="-884.305106970324"/>
    <m/>
    <n v="-0.3621274461697781"/>
    <m/>
  </r>
  <r>
    <x v="4"/>
    <s v="Purchase"/>
    <x v="186"/>
    <x v="2"/>
    <x v="1"/>
    <x v="77"/>
    <n v="116.08"/>
    <x v="2"/>
    <n v="2"/>
    <n v="58.04"/>
    <n v="1"/>
    <n v="116.08"/>
    <n v="20"/>
    <n v="2321.6"/>
    <n v="113.682"/>
    <n v="124.571"/>
    <n v="1.0956999999999999"/>
    <n v="2543.7771199999997"/>
    <n v="1271.8885599999999"/>
    <m/>
    <n v="2"/>
    <s v="Sale"/>
    <x v="115"/>
    <x v="1"/>
    <n v="70.803043478260875"/>
    <n v="1"/>
    <n v="70.803043478260875"/>
    <n v="20.192699999999999"/>
    <n v="1429.7046160434784"/>
    <n v="2543.7771199999997"/>
    <n v="-1114.0725039565214"/>
    <n v="1.2027397260273973"/>
    <n v="1"/>
    <n v="-1114.0725039565214"/>
    <n v="0"/>
    <m/>
    <n v="-45.276956521739123"/>
    <m/>
    <n v="-0.39004959098672576"/>
    <m/>
  </r>
  <r>
    <x v="4"/>
    <s v="Purchase"/>
    <x v="186"/>
    <x v="2"/>
    <x v="1"/>
    <x v="77"/>
    <n v="406.28"/>
    <x v="2"/>
    <n v="7"/>
    <n v="58.04"/>
    <n v="1"/>
    <n v="406.28"/>
    <n v="20"/>
    <n v="8125.5999999999995"/>
    <n v="113.682"/>
    <n v="124.571"/>
    <n v="1.0956999999999999"/>
    <n v="8903.2199199999977"/>
    <n v="1271.8885599999996"/>
    <m/>
    <n v="7"/>
    <s v="Sale"/>
    <x v="115"/>
    <x v="1"/>
    <n v="249.14000000000001"/>
    <n v="1"/>
    <n v="249.14000000000001"/>
    <n v="20.192699999999999"/>
    <n v="5030.8092779999997"/>
    <n v="8903.2199199999977"/>
    <n v="-3872.410641999998"/>
    <n v="1.2027397260273973"/>
    <n v="1"/>
    <n v="-3872.410641999998"/>
    <n v="0"/>
    <m/>
    <n v="-157.13999999999996"/>
    <m/>
    <n v="-0.38677759180860483"/>
    <m/>
  </r>
  <r>
    <x v="4"/>
    <s v="Purchase"/>
    <x v="186"/>
    <x v="2"/>
    <x v="1"/>
    <x v="77"/>
    <n v="1451.16"/>
    <x v="2"/>
    <n v="25"/>
    <n v="58.046400000000006"/>
    <n v="1"/>
    <n v="1451.16"/>
    <n v="20"/>
    <n v="29023.200000000001"/>
    <n v="113.682"/>
    <n v="124.571"/>
    <n v="1.0956999999999999"/>
    <n v="31800.720239999999"/>
    <n v="1272.0288095999999"/>
    <m/>
    <n v="25"/>
    <s v="Sale"/>
    <x v="115"/>
    <x v="1"/>
    <n v="889.78571428571433"/>
    <n v="1"/>
    <n v="889.78571428571433"/>
    <n v="20.192699999999999"/>
    <n v="17967.175992857141"/>
    <n v="31800.720239999999"/>
    <n v="-13833.544247142858"/>
    <n v="1.2027397260273973"/>
    <n v="1"/>
    <n v="-13833.544247142858"/>
    <n v="0"/>
    <m/>
    <n v="-561.37428571428575"/>
    <m/>
    <n v="-0.38684520364004366"/>
    <m/>
  </r>
  <r>
    <x v="4"/>
    <s v="Purchase"/>
    <x v="186"/>
    <x v="2"/>
    <x v="1"/>
    <x v="77"/>
    <n v="172.49307692307693"/>
    <x v="2"/>
    <n v="3"/>
    <n v="57.497692307692311"/>
    <n v="1"/>
    <n v="172.49307692307693"/>
    <n v="20"/>
    <n v="3449.8615384615387"/>
    <n v="113.682"/>
    <n v="124.571"/>
    <n v="1.0956999999999999"/>
    <n v="3780.0132876923076"/>
    <n v="1260.0044292307691"/>
    <m/>
    <n v="3"/>
    <s v="Sale"/>
    <x v="115"/>
    <x v="1"/>
    <n v="106.77428571428572"/>
    <n v="1"/>
    <n v="106.77428571428572"/>
    <n v="20.192699999999999"/>
    <n v="2156.061119142857"/>
    <n v="3780.0132876923071"/>
    <n v="-1623.9521685494501"/>
    <n v="1.2027397260273973"/>
    <n v="1"/>
    <n v="-1623.9521685494501"/>
    <n v="0"/>
    <m/>
    <n v="-65.718791208791203"/>
    <m/>
    <n v="-0.38099379048179666"/>
    <m/>
  </r>
  <r>
    <x v="4"/>
    <s v="Purchase"/>
    <x v="186"/>
    <x v="2"/>
    <x v="1"/>
    <x v="77"/>
    <n v="919.96307692307698"/>
    <x v="2"/>
    <n v="16"/>
    <n v="57.497692307692311"/>
    <n v="1"/>
    <n v="919.96307692307698"/>
    <n v="20"/>
    <n v="18399.261538461538"/>
    <n v="113.682"/>
    <n v="124.571"/>
    <n v="1.0956999999999999"/>
    <n v="20160.070867692306"/>
    <n v="1260.0044292307691"/>
    <m/>
    <n v="16"/>
    <s v="Sale"/>
    <x v="115"/>
    <x v="1"/>
    <n v="566.54999999999995"/>
    <n v="1"/>
    <n v="566.54999999999995"/>
    <n v="20.192699999999999"/>
    <n v="11440.174184999998"/>
    <n v="20160.070867692306"/>
    <n v="-8719.8966826923079"/>
    <n v="1.2027397260273973"/>
    <n v="1"/>
    <n v="-8719.8966826923079"/>
    <n v="0"/>
    <m/>
    <n v="-353.41307692307703"/>
    <m/>
    <n v="-0.38416006662474755"/>
    <m/>
  </r>
  <r>
    <x v="4"/>
    <s v="Purchase"/>
    <x v="186"/>
    <x v="2"/>
    <x v="1"/>
    <x v="77"/>
    <n v="402.48384615384617"/>
    <x v="2"/>
    <n v="7"/>
    <n v="57.497692307692311"/>
    <n v="1"/>
    <n v="402.48384615384617"/>
    <n v="20"/>
    <n v="8049.6769230769232"/>
    <n v="113.682"/>
    <n v="124.571"/>
    <n v="1.0956999999999999"/>
    <n v="8820.0310046153845"/>
    <n v="1260.0044292307691"/>
    <m/>
    <n v="7"/>
    <s v="Sale"/>
    <x v="115"/>
    <x v="1"/>
    <n v="251.57999999999998"/>
    <n v="1"/>
    <n v="251.57999999999998"/>
    <n v="20.192699999999999"/>
    <n v="5080.0794659999992"/>
    <n v="8820.0310046153845"/>
    <n v="-3739.9515386153853"/>
    <n v="1.2027397260273973"/>
    <n v="1"/>
    <n v="-3739.9515386153853"/>
    <n v="0"/>
    <m/>
    <n v="-150.90384615384619"/>
    <m/>
    <n v="-0.37493143537533286"/>
    <m/>
  </r>
  <r>
    <x v="4"/>
    <s v="Purchase"/>
    <x v="186"/>
    <x v="2"/>
    <x v="1"/>
    <x v="239"/>
    <n v="57.2"/>
    <x v="2"/>
    <n v="1"/>
    <n v="57.2"/>
    <n v="1"/>
    <n v="57.2"/>
    <n v="20.134799999999998"/>
    <n v="1151.71056"/>
    <n v="113.682"/>
    <n v="124.571"/>
    <n v="1.0956999999999999"/>
    <n v="1261.9292605919998"/>
    <n v="1261.9292605919998"/>
    <m/>
    <n v="1"/>
    <s v="Sale"/>
    <x v="115"/>
    <x v="1"/>
    <n v="35.94"/>
    <n v="1"/>
    <n v="35.94"/>
    <n v="20.192699999999999"/>
    <n v="725.72563799999989"/>
    <n v="1261.9292605919998"/>
    <n v="-536.20362259199987"/>
    <n v="1.2"/>
    <n v="1"/>
    <n v="-536.20362259199987"/>
    <n v="0"/>
    <m/>
    <n v="-21.260000000000005"/>
    <m/>
    <n v="-0.37167832167832177"/>
    <m/>
  </r>
  <r>
    <x v="4"/>
    <s v="Purchase"/>
    <x v="186"/>
    <x v="2"/>
    <x v="1"/>
    <x v="239"/>
    <n v="1024.31"/>
    <x v="2"/>
    <n v="18"/>
    <n v="56.906111111111109"/>
    <n v="1"/>
    <n v="1024.31"/>
    <n v="20.134799999999998"/>
    <n v="20624.276987999998"/>
    <n v="113.682"/>
    <n v="124.571"/>
    <n v="1.0956999999999999"/>
    <n v="22598.020295751594"/>
    <n v="1255.4455719861996"/>
    <m/>
    <n v="18"/>
    <s v="Sale"/>
    <x v="116"/>
    <x v="1"/>
    <n v="674.46375"/>
    <n v="1"/>
    <n v="674.46375"/>
    <n v="20.092500000000001"/>
    <n v="13551.662896875001"/>
    <n v="22598.020295751594"/>
    <n v="-9046.3573988765929"/>
    <n v="1.2027397260273973"/>
    <n v="1"/>
    <n v="-9046.3573988765929"/>
    <n v="0"/>
    <m/>
    <n v="-349.84624999999994"/>
    <m/>
    <n v="-0.34154333160859501"/>
    <m/>
  </r>
  <r>
    <x v="4"/>
    <s v="Purchase"/>
    <x v="186"/>
    <x v="2"/>
    <x v="1"/>
    <x v="240"/>
    <n v="657.09"/>
    <x v="2"/>
    <n v="13"/>
    <n v="50.54538461538462"/>
    <n v="1"/>
    <n v="657.09"/>
    <n v="20.160499999999999"/>
    <n v="13247.262945"/>
    <n v="120.809"/>
    <n v="124.571"/>
    <n v="1.0310999999999999"/>
    <n v="13659.252822589498"/>
    <n v="1050.7117555838076"/>
    <m/>
    <n v="13"/>
    <s v="Sale"/>
    <x v="116"/>
    <x v="1"/>
    <n v="487.11270833333333"/>
    <n v="1"/>
    <n v="487.11270833333333"/>
    <n v="20.092500000000001"/>
    <n v="9787.3120921874997"/>
    <n v="13659.2528225895"/>
    <n v="-3871.9407304020006"/>
    <n v="0.48219178082191783"/>
    <n v="1"/>
    <n v="-3871.9407304020006"/>
    <n v="0"/>
    <m/>
    <n v="-169.9772916666667"/>
    <m/>
    <n v="-0.2586819030371284"/>
    <m/>
  </r>
  <r>
    <x v="4"/>
    <s v="Purchase"/>
    <x v="186"/>
    <x v="2"/>
    <x v="1"/>
    <x v="240"/>
    <n v="303.39"/>
    <x v="2"/>
    <n v="6"/>
    <n v="50.564999999999998"/>
    <n v="1"/>
    <n v="303.39"/>
    <n v="20.160499999999999"/>
    <n v="6116.4940949999991"/>
    <n v="120.809"/>
    <n v="124.571"/>
    <n v="1.0310999999999999"/>
    <n v="6306.7170613544986"/>
    <n v="1051.1195102257498"/>
    <m/>
    <n v="6"/>
    <s v="Sale"/>
    <x v="116"/>
    <x v="1"/>
    <n v="224.82124999999999"/>
    <n v="1"/>
    <n v="224.82124999999999"/>
    <n v="20.092500000000001"/>
    <n v="4517.2209656249997"/>
    <n v="6306.7170613544986"/>
    <n v="-1789.4960957294988"/>
    <n v="0.48219178082191783"/>
    <n v="1"/>
    <n v="-1789.4960957294988"/>
    <n v="0"/>
    <m/>
    <n v="-78.568749999999994"/>
    <m/>
    <n v="-0.25896947822934174"/>
    <m/>
  </r>
  <r>
    <x v="4"/>
    <s v="Purchase"/>
    <x v="186"/>
    <x v="2"/>
    <x v="1"/>
    <x v="240"/>
    <n v="555.80904761904765"/>
    <x v="2"/>
    <n v="11"/>
    <n v="50.52809523809524"/>
    <n v="1"/>
    <n v="555.80904761904765"/>
    <n v="20.160499999999999"/>
    <n v="11205.388304523809"/>
    <n v="120.809"/>
    <n v="124.571"/>
    <n v="1.0310999999999999"/>
    <n v="11553.875880794498"/>
    <n v="1050.3523527994998"/>
    <m/>
    <n v="11"/>
    <s v="Sale"/>
    <x v="116"/>
    <x v="1"/>
    <n v="412.17229166666664"/>
    <n v="1"/>
    <n v="412.17229166666664"/>
    <n v="20.092500000000001"/>
    <n v="8281.5717703124992"/>
    <n v="11553.875880794498"/>
    <n v="-3272.3041104819986"/>
    <n v="0.48219178082191783"/>
    <n v="1"/>
    <n v="-3272.3041104819986"/>
    <n v="0"/>
    <m/>
    <n v="-143.63675595238101"/>
    <m/>
    <n v="-0.25842824359856381"/>
    <m/>
  </r>
  <r>
    <x v="4"/>
    <s v="Purchase"/>
    <x v="186"/>
    <x v="2"/>
    <x v="1"/>
    <x v="240"/>
    <n v="960.03380952380951"/>
    <x v="2"/>
    <n v="19"/>
    <n v="50.52809523809524"/>
    <n v="1"/>
    <n v="960.03380952380951"/>
    <n v="20.160499999999999"/>
    <n v="19354.761616904761"/>
    <n v="120.809"/>
    <n v="124.571"/>
    <n v="1.0310999999999999"/>
    <n v="19956.694703190497"/>
    <n v="1050.3523527994998"/>
    <m/>
    <n v="19"/>
    <s v="Sale"/>
    <x v="116"/>
    <x v="1"/>
    <n v="713.42999999999984"/>
    <n v="1"/>
    <n v="713.42999999999984"/>
    <n v="20.092500000000001"/>
    <n v="14334.592274999997"/>
    <n v="19956.694703190497"/>
    <n v="-5622.1024281904993"/>
    <n v="0.48219178082191783"/>
    <n v="1"/>
    <n v="-5622.1024281904993"/>
    <n v="0"/>
    <m/>
    <n v="-246.60380952380967"/>
    <m/>
    <n v="-0.25686992174382761"/>
    <m/>
  </r>
  <r>
    <x v="4"/>
    <s v="Purchase"/>
    <x v="186"/>
    <x v="2"/>
    <x v="1"/>
    <x v="240"/>
    <n v="858.9776190476191"/>
    <x v="2"/>
    <n v="17"/>
    <n v="50.52809523809524"/>
    <n v="1"/>
    <n v="858.9776190476191"/>
    <n v="20.160499999999999"/>
    <n v="17317.418288809524"/>
    <n v="120.809"/>
    <n v="124.571"/>
    <n v="1.0310999999999999"/>
    <n v="17855.9899975915"/>
    <n v="1050.3523527995001"/>
    <m/>
    <n v="17"/>
    <s v="Sale"/>
    <x v="116"/>
    <x v="1"/>
    <n v="626.5"/>
    <n v="1"/>
    <n v="626.5"/>
    <n v="20.092500000000001"/>
    <n v="12587.95125"/>
    <n v="17855.9899975915"/>
    <n v="-5268.0387475914995"/>
    <n v="0.48219178082191783"/>
    <n v="1"/>
    <n v="-5268.0387475914995"/>
    <n v="0"/>
    <m/>
    <n v="-232.4776190476191"/>
    <m/>
    <n v="-0.2706445591741678"/>
    <m/>
  </r>
  <r>
    <x v="4"/>
    <s v="Purchase"/>
    <x v="186"/>
    <x v="2"/>
    <x v="1"/>
    <x v="240"/>
    <n v="808.44952380952384"/>
    <x v="2"/>
    <n v="16"/>
    <n v="50.52809523809524"/>
    <n v="1"/>
    <n v="808.44952380952384"/>
    <n v="20.160499999999999"/>
    <n v="16298.746624761905"/>
    <n v="120.809"/>
    <n v="124.571"/>
    <n v="1.0310999999999999"/>
    <n v="16805.637644791997"/>
    <n v="1050.3523527994998"/>
    <m/>
    <n v="16"/>
    <s v="Sale"/>
    <x v="116"/>
    <x v="1"/>
    <n v="600.01882352941175"/>
    <n v="1"/>
    <n v="600.01882352941175"/>
    <n v="20.092500000000001"/>
    <n v="12055.878211764706"/>
    <n v="16805.637644791997"/>
    <n v="-4749.7594330272914"/>
    <n v="0.48219178082191783"/>
    <n v="1"/>
    <n v="-4749.7594330272914"/>
    <n v="0"/>
    <m/>
    <n v="-208.43070028011209"/>
    <m/>
    <n v="-0.257815354133624"/>
    <m/>
  </r>
  <r>
    <x v="4"/>
    <s v="Purchase"/>
    <x v="186"/>
    <x v="2"/>
    <x v="1"/>
    <x v="240"/>
    <n v="50.57714285714286"/>
    <x v="2"/>
    <n v="1"/>
    <n v="50.57714285714286"/>
    <n v="1"/>
    <n v="50.57714285714286"/>
    <n v="20.160499999999999"/>
    <n v="1019.6604885714286"/>
    <n v="120.809"/>
    <n v="124.571"/>
    <n v="1.0310999999999999"/>
    <n v="1051.371929766"/>
    <n v="1051.371929766"/>
    <m/>
    <n v="1"/>
    <s v="Sale"/>
    <x v="116"/>
    <x v="1"/>
    <n v="37.501176470588234"/>
    <n v="1"/>
    <n v="37.501176470588234"/>
    <n v="20.092500000000001"/>
    <n v="753.49238823529413"/>
    <n v="1051.371929766"/>
    <n v="-297.87954153070586"/>
    <n v="0.48219178082191783"/>
    <n v="1"/>
    <n v="-297.87954153070586"/>
    <n v="0"/>
    <m/>
    <n v="-13.075966386554626"/>
    <m/>
    <n v="-0.25853509407378367"/>
    <m/>
  </r>
  <r>
    <x v="4"/>
    <s v="Purchase"/>
    <x v="186"/>
    <x v="2"/>
    <x v="1"/>
    <x v="240"/>
    <n v="303.46285714285716"/>
    <x v="2"/>
    <n v="6"/>
    <n v="50.57714285714286"/>
    <n v="1"/>
    <n v="303.46285714285716"/>
    <n v="20.160499999999999"/>
    <n v="6117.9629314285712"/>
    <n v="120.809"/>
    <n v="124.571"/>
    <n v="1.0310999999999999"/>
    <n v="6308.2315785959991"/>
    <n v="1051.3719297659998"/>
    <m/>
    <n v="6"/>
    <s v="Sale"/>
    <x v="116"/>
    <x v="1"/>
    <n v="225.60750000000002"/>
    <n v="1"/>
    <n v="225.60750000000002"/>
    <n v="20.092500000000001"/>
    <n v="4533.0186937500002"/>
    <n v="6308.2315785959981"/>
    <n v="-1775.2128848459979"/>
    <n v="0.48219178082191783"/>
    <n v="1"/>
    <n v="-1775.2128848459979"/>
    <n v="0"/>
    <m/>
    <n v="-77.855357142857144"/>
    <m/>
    <n v="-0.25655646254660491"/>
    <m/>
  </r>
  <r>
    <x v="4"/>
    <s v="Purchase"/>
    <x v="186"/>
    <x v="2"/>
    <x v="1"/>
    <x v="240"/>
    <n v="100.79111111111111"/>
    <x v="2"/>
    <n v="2"/>
    <n v="50.395555555555553"/>
    <n v="1"/>
    <n v="100.79111111111111"/>
    <n v="20.160499999999999"/>
    <n v="2031.9991955555554"/>
    <n v="120.809"/>
    <n v="124.571"/>
    <n v="1.0310999999999999"/>
    <n v="2095.1943705373328"/>
    <n v="1047.5971852686664"/>
    <m/>
    <n v="2"/>
    <s v="Sale"/>
    <x v="116"/>
    <x v="1"/>
    <n v="75.202500000000001"/>
    <n v="1"/>
    <n v="75.202500000000001"/>
    <n v="20.092500000000001"/>
    <n v="1511.0062312500002"/>
    <n v="2095.1943705373328"/>
    <n v="-584.18813928733266"/>
    <n v="0.48219178082191783"/>
    <n v="1"/>
    <n v="-584.18813928733266"/>
    <n v="0"/>
    <m/>
    <n v="-25.588611111111106"/>
    <m/>
    <n v="-0.25387765675985535"/>
    <m/>
  </r>
  <r>
    <x v="4"/>
    <s v="Purchase"/>
    <x v="186"/>
    <x v="2"/>
    <x v="1"/>
    <x v="240"/>
    <n v="352.76888888888885"/>
    <x v="2"/>
    <n v="7"/>
    <n v="50.395555555555553"/>
    <n v="1"/>
    <n v="352.76888888888885"/>
    <n v="20.160499999999999"/>
    <n v="7111.9971844444435"/>
    <n v="120.809"/>
    <n v="124.571"/>
    <n v="1.0310999999999999"/>
    <n v="7333.1802968806651"/>
    <n v="1047.5971852686664"/>
    <m/>
    <n v="7"/>
    <s v="Sale"/>
    <x v="116"/>
    <x v="1"/>
    <n v="258.64"/>
    <n v="1"/>
    <n v="258.64"/>
    <n v="20.092500000000001"/>
    <n v="5196.7241999999997"/>
    <n v="7333.1802968806651"/>
    <n v="-2136.4560968806654"/>
    <n v="0.48219178082191783"/>
    <n v="1"/>
    <n v="-2136.4560968806654"/>
    <n v="0"/>
    <m/>
    <n v="-94.128888888888866"/>
    <m/>
    <n v="-0.26682877048870518"/>
    <m/>
  </r>
  <r>
    <x v="4"/>
    <s v="Purchase"/>
    <x v="186"/>
    <x v="2"/>
    <x v="1"/>
    <x v="240"/>
    <n v="1915.0311111111109"/>
    <x v="2"/>
    <n v="38"/>
    <n v="50.395555555555553"/>
    <n v="1"/>
    <n v="1915.0311111111109"/>
    <n v="20.160499999999999"/>
    <n v="38607.984715555547"/>
    <n v="120.809"/>
    <n v="124.571"/>
    <n v="1.0310999999999999"/>
    <n v="39808.69304020932"/>
    <n v="1047.5971852686664"/>
    <m/>
    <n v="38"/>
    <s v="Sale"/>
    <x v="117"/>
    <x v="1"/>
    <n v="1420.58"/>
    <n v="1"/>
    <n v="1420.58"/>
    <n v="20.000800000000002"/>
    <n v="28412.736464000001"/>
    <n v="39808.69304020932"/>
    <n v="-11395.956576209319"/>
    <n v="0.48493150684931507"/>
    <n v="1"/>
    <n v="-11395.956576209319"/>
    <n v="0"/>
    <m/>
    <n v="-494.451111111111"/>
    <m/>
    <n v="-0.25819481899916913"/>
    <m/>
  </r>
  <r>
    <x v="4"/>
    <s v="Purchase"/>
    <x v="186"/>
    <x v="2"/>
    <x v="1"/>
    <x v="240"/>
    <n v="1259.8888888888889"/>
    <x v="2"/>
    <n v="25"/>
    <n v="50.395555555555553"/>
    <n v="1"/>
    <n v="1259.8888888888889"/>
    <n v="20.160499999999999"/>
    <n v="25399.989944444445"/>
    <n v="120.809"/>
    <n v="124.571"/>
    <n v="1.0310999999999999"/>
    <n v="26189.929631716666"/>
    <n v="1047.5971852686666"/>
    <m/>
    <n v="25"/>
    <s v="Sale"/>
    <x v="117"/>
    <x v="1"/>
    <n v="941.39"/>
    <n v="1"/>
    <n v="941.39"/>
    <n v="20.000800000000002"/>
    <n v="18828.553112000001"/>
    <n v="26189.929631716666"/>
    <n v="-7361.3765197166649"/>
    <n v="0.48493150684931507"/>
    <n v="1"/>
    <n v="-7361.3765197166649"/>
    <n v="0"/>
    <m/>
    <n v="-318.49888888888893"/>
    <m/>
    <n v="-0.25279918864097367"/>
    <m/>
  </r>
  <r>
    <x v="4"/>
    <s v="Purchase"/>
    <x v="187"/>
    <x v="2"/>
    <x v="1"/>
    <x v="241"/>
    <n v="148.28272727272727"/>
    <x v="2"/>
    <n v="1"/>
    <n v="148.28272727272727"/>
    <n v="1"/>
    <n v="148.28272727272727"/>
    <n v="20.1388"/>
    <n v="2986.2361879999999"/>
    <n v="110.907"/>
    <n v="123.803"/>
    <n v="1.1162000000000001"/>
    <n v="3333.2368330456002"/>
    <n v="3333.2368330456002"/>
    <m/>
    <n v="1"/>
    <s v="Sale"/>
    <x v="98"/>
    <x v="1"/>
    <n v="154.57037735849056"/>
    <n v="1"/>
    <n v="154.57037735849056"/>
    <n v="20.052499999999998"/>
    <n v="3099.5224919811317"/>
    <n v="3333.2368330456002"/>
    <n v="-233.7143410644685"/>
    <n v="1.6109589041095891"/>
    <n v="1"/>
    <n v="-233.7143410644685"/>
    <n v="0"/>
    <m/>
    <n v="6.2876500857632891"/>
    <m/>
    <n v="4.2403118700391866E-2"/>
    <m/>
  </r>
  <r>
    <x v="4"/>
    <s v="Purchase"/>
    <x v="187"/>
    <x v="2"/>
    <x v="1"/>
    <x v="51"/>
    <n v="8129.8146428571417"/>
    <x v="2"/>
    <n v="52"/>
    <n v="156.34258928571427"/>
    <n v="1"/>
    <n v="8129.8146428571417"/>
    <n v="20.690300000000001"/>
    <n v="168208.30390510711"/>
    <n v="111.824"/>
    <n v="123.803"/>
    <n v="1.1071"/>
    <n v="186223.41325334407"/>
    <n v="3581.219485641232"/>
    <m/>
    <n v="52"/>
    <s v="Sale"/>
    <x v="98"/>
    <x v="1"/>
    <n v="8037.6596226415095"/>
    <n v="1"/>
    <n v="8037.6596226415095"/>
    <n v="20.052499999999998"/>
    <n v="161175.16958301887"/>
    <n v="186223.41325334407"/>
    <n v="-25048.243670325202"/>
    <n v="1.547945205479452"/>
    <n v="1"/>
    <n v="-25048.243670325202"/>
    <n v="0"/>
    <m/>
    <n v="-92.155020215632248"/>
    <m/>
    <n v="-1.1335439276785934E-2"/>
    <m/>
  </r>
  <r>
    <x v="4"/>
    <s v="Purchase"/>
    <x v="187"/>
    <x v="2"/>
    <x v="1"/>
    <x v="51"/>
    <n v="1407.0833035714284"/>
    <x v="2"/>
    <n v="9"/>
    <n v="156.34258928571427"/>
    <n v="1"/>
    <n v="1407.0833035714284"/>
    <n v="20.690300000000001"/>
    <n v="29112.975675883925"/>
    <n v="111.824"/>
    <n v="123.803"/>
    <n v="1.1071"/>
    <n v="32230.975370771092"/>
    <n v="3581.2194856412325"/>
    <m/>
    <n v="9"/>
    <s v="Sale"/>
    <x v="98"/>
    <x v="1"/>
    <n v="1397.97"/>
    <n v="1"/>
    <n v="1397.97"/>
    <n v="20.052499999999998"/>
    <n v="28032.793425"/>
    <n v="32230.975370771092"/>
    <n v="-4198.1819457710917"/>
    <n v="1.547945205479452"/>
    <n v="1"/>
    <n v="-4198.1819457710917"/>
    <n v="0"/>
    <m/>
    <n v="-9.1133035714283324"/>
    <m/>
    <n v="-6.4767335013478896E-3"/>
    <m/>
  </r>
  <r>
    <x v="4"/>
    <s v="Purchase"/>
    <x v="187"/>
    <x v="2"/>
    <x v="1"/>
    <x v="51"/>
    <n v="7973.4720535714278"/>
    <x v="2"/>
    <n v="51"/>
    <n v="156.34258928571427"/>
    <n v="1"/>
    <n v="7973.4720535714278"/>
    <n v="20.690300000000001"/>
    <n v="164973.52883000893"/>
    <n v="111.824"/>
    <n v="123.803"/>
    <n v="1.1071"/>
    <n v="182642.19376770288"/>
    <n v="3581.219485641233"/>
    <m/>
    <n v="51"/>
    <s v="Sale"/>
    <x v="99"/>
    <x v="1"/>
    <n v="7925.901206896553"/>
    <n v="1"/>
    <n v="7925.901206896553"/>
    <n v="19.994299999999999"/>
    <n v="158472.84650105174"/>
    <n v="182642.19376770288"/>
    <n v="-24169.347266651137"/>
    <n v="1.5506849315068494"/>
    <n v="1"/>
    <n v="-24169.347266651137"/>
    <n v="0"/>
    <m/>
    <n v="-47.570846674874701"/>
    <m/>
    <n v="-5.9661395130327279E-3"/>
    <m/>
  </r>
  <r>
    <x v="4"/>
    <s v="Purchase"/>
    <x v="187"/>
    <x v="2"/>
    <x v="1"/>
    <x v="242"/>
    <n v="1099.3877528089888"/>
    <x v="2"/>
    <n v="7"/>
    <n v="157.05539325842696"/>
    <n v="1"/>
    <n v="1099.3877528089888"/>
    <n v="20.849799999999998"/>
    <n v="22922.014768516852"/>
    <n v="111.824"/>
    <n v="123.803"/>
    <n v="1.1071"/>
    <n v="25376.962550225006"/>
    <n v="3625.2803643178581"/>
    <m/>
    <n v="7"/>
    <s v="Sale"/>
    <x v="99"/>
    <x v="1"/>
    <n v="1087.8687931034483"/>
    <n v="1"/>
    <n v="1087.8687931034483"/>
    <n v="19.994299999999999"/>
    <n v="21751.175009948274"/>
    <n v="25376.962550225006"/>
    <n v="-3625.7875402767313"/>
    <n v="1.5397260273972602"/>
    <n v="1"/>
    <n v="-3625.7875402767313"/>
    <n v="0"/>
    <m/>
    <n v="-11.51895970554051"/>
    <m/>
    <n v="-1.047761326802942E-2"/>
    <m/>
  </r>
  <r>
    <x v="4"/>
    <s v="Purchase"/>
    <x v="187"/>
    <x v="2"/>
    <x v="1"/>
    <x v="242"/>
    <n v="314.11078651685392"/>
    <x v="2"/>
    <n v="2"/>
    <n v="157.05539325842696"/>
    <n v="1"/>
    <n v="314.11078651685392"/>
    <n v="20.849799999999998"/>
    <n v="6549.1470767191004"/>
    <n v="111.824"/>
    <n v="123.803"/>
    <n v="1.1071"/>
    <n v="7250.5607286357163"/>
    <n v="3625.2803643178581"/>
    <m/>
    <n v="2"/>
    <s v="Sale"/>
    <x v="99"/>
    <x v="1"/>
    <n v="313.43"/>
    <n v="1"/>
    <n v="313.43"/>
    <n v="19.994299999999999"/>
    <n v="6266.8134490000002"/>
    <n v="7250.5607286357163"/>
    <n v="-983.74727963571604"/>
    <n v="1.5397260273972602"/>
    <n v="1"/>
    <n v="-983.74727963571604"/>
    <n v="0"/>
    <m/>
    <n v="-0.68078651685391378"/>
    <m/>
    <n v="-2.167345236383296E-3"/>
    <m/>
  </r>
  <r>
    <x v="4"/>
    <s v="Purchase"/>
    <x v="187"/>
    <x v="2"/>
    <x v="1"/>
    <x v="242"/>
    <n v="6282.2157303370786"/>
    <x v="2"/>
    <n v="40"/>
    <n v="157.05539325842696"/>
    <n v="1"/>
    <n v="6282.2157303370786"/>
    <n v="20.849799999999998"/>
    <n v="130982.94153438201"/>
    <n v="111.824"/>
    <n v="124.571"/>
    <n v="1.1138999999999999"/>
    <n v="145901.89857514811"/>
    <n v="3647.5474643787029"/>
    <m/>
    <n v="40"/>
    <s v="Sale"/>
    <x v="118"/>
    <x v="1"/>
    <n v="5842.05"/>
    <n v="1"/>
    <n v="5842.05"/>
    <n v="20.0398"/>
    <n v="117073.51359"/>
    <n v="145901.89857514811"/>
    <n v="-28828.384985148106"/>
    <n v="1.6109589041095891"/>
    <n v="1"/>
    <n v="-28828.384985148106"/>
    <n v="0"/>
    <m/>
    <n v="-440.16573033707846"/>
    <m/>
    <n v="-7.0065363755577509E-2"/>
    <m/>
  </r>
  <r>
    <x v="4"/>
    <s v="Purchase"/>
    <x v="187"/>
    <x v="2"/>
    <x v="1"/>
    <x v="242"/>
    <n v="3298.163258426966"/>
    <x v="2"/>
    <n v="21"/>
    <n v="157.05539325842696"/>
    <n v="1"/>
    <n v="3298.163258426966"/>
    <n v="20.849799999999998"/>
    <n v="68766.044305550546"/>
    <n v="111.824"/>
    <n v="124.571"/>
    <n v="1.1138999999999999"/>
    <n v="76598.496751952742"/>
    <n v="3647.547464378702"/>
    <m/>
    <n v="21"/>
    <s v="Sale"/>
    <x v="118"/>
    <x v="1"/>
    <n v="3054.29"/>
    <n v="1"/>
    <n v="3054.29"/>
    <n v="20.0398"/>
    <n v="61207.360741999997"/>
    <n v="76598.496751952742"/>
    <n v="-15391.136009952745"/>
    <n v="1.6109589041095891"/>
    <n v="1"/>
    <n v="-15391.136009952745"/>
    <n v="0"/>
    <m/>
    <n v="-243.873258426966"/>
    <m/>
    <n v="-7.394214273773686E-2"/>
    <m/>
  </r>
  <r>
    <x v="4"/>
    <s v="Purchase"/>
    <x v="65"/>
    <x v="2"/>
    <x v="1"/>
    <x v="96"/>
    <n v="6070.2833333333328"/>
    <x v="2"/>
    <n v="45"/>
    <n v="134.89518518518517"/>
    <n v="1"/>
    <n v="6070.2833333333328"/>
    <n v="20.1172"/>
    <n v="122117.10387333333"/>
    <n v="108.85599999999999"/>
    <n v="123.803"/>
    <n v="1.1373"/>
    <n v="138883.78223514199"/>
    <n v="3086.3062718920442"/>
    <m/>
    <n v="45"/>
    <s v="Sale"/>
    <x v="114"/>
    <x v="1"/>
    <n v="3836.6209923664119"/>
    <n v="1"/>
    <n v="3836.6209923664119"/>
    <n v="20.305800000000001"/>
    <n v="77905.658546793886"/>
    <n v="138883.78223514199"/>
    <n v="-60978.123688348103"/>
    <n v="1.8493150684931507"/>
    <n v="1"/>
    <n v="-60978.123688348103"/>
    <n v="0"/>
    <m/>
    <n v="-2233.662340966921"/>
    <m/>
    <n v="-0.36796673537483221"/>
    <m/>
  </r>
  <r>
    <x v="4"/>
    <s v="Purchase"/>
    <x v="65"/>
    <x v="2"/>
    <x v="1"/>
    <x v="76"/>
    <n v="4236.7925454545457"/>
    <x v="2"/>
    <n v="31"/>
    <n v="136.67072727272728"/>
    <n v="1"/>
    <n v="4236.7925454545457"/>
    <n v="19.921299999999999"/>
    <n v="84402.415335763639"/>
    <n v="113.018"/>
    <n v="123.803"/>
    <n v="1.0953999999999999"/>
    <n v="92454.405758795489"/>
    <n v="2982.4001857675962"/>
    <m/>
    <n v="31"/>
    <s v="Sale"/>
    <x v="114"/>
    <x v="1"/>
    <n v="2643.0055725190841"/>
    <n v="1"/>
    <n v="2643.0055725190841"/>
    <n v="20.305800000000001"/>
    <n v="53668.342554458024"/>
    <n v="92454.405758795489"/>
    <n v="-38786.063204337464"/>
    <n v="1.3287671232876712"/>
    <n v="1"/>
    <n v="-38786.063204337464"/>
    <n v="0"/>
    <m/>
    <n v="-1593.7869729354616"/>
    <m/>
    <n v="-0.37617772308567721"/>
    <m/>
  </r>
  <r>
    <x v="4"/>
    <s v="Purchase"/>
    <x v="65"/>
    <x v="2"/>
    <x v="1"/>
    <x v="243"/>
    <n v="21045.72"/>
    <x v="2"/>
    <n v="127"/>
    <n v="165.71433070866144"/>
    <n v="1"/>
    <n v="21045.72"/>
    <n v="20.1907"/>
    <n v="424927.81880400004"/>
    <n v="113.682"/>
    <n v="123.803"/>
    <n v="1.089"/>
    <n v="462746.394677556"/>
    <n v="3643.6723990358742"/>
    <m/>
    <n v="127"/>
    <s v="Sale"/>
    <x v="114"/>
    <x v="1"/>
    <n v="10827.797022900762"/>
    <n v="1"/>
    <n v="10827.797022900762"/>
    <n v="20.305800000000001"/>
    <n v="219867.08078761832"/>
    <n v="462746.394677556"/>
    <n v="-242879.31388993768"/>
    <n v="1.189041095890411"/>
    <n v="1"/>
    <n v="-242879.31388993768"/>
    <n v="0"/>
    <m/>
    <n v="-10217.922977099239"/>
    <m/>
    <n v="-0.4855107345863785"/>
    <m/>
  </r>
  <r>
    <x v="4"/>
    <s v="Purchase"/>
    <x v="65"/>
    <x v="2"/>
    <x v="1"/>
    <x v="244"/>
    <n v="12565.69"/>
    <x v="2"/>
    <n v="76"/>
    <n v="165.33802631578948"/>
    <n v="1"/>
    <n v="12565.69"/>
    <n v="20.0245"/>
    <n v="251621.65940500001"/>
    <n v="113.682"/>
    <n v="123.803"/>
    <n v="1.089"/>
    <n v="274015.98709204502"/>
    <n v="3605.4735143690136"/>
    <m/>
    <n v="76"/>
    <s v="Sale"/>
    <x v="114"/>
    <x v="1"/>
    <n v="6479.626564885496"/>
    <n v="1"/>
    <n v="6479.626564885496"/>
    <n v="20.305800000000001"/>
    <n v="131574.00110125192"/>
    <n v="274015.98709204502"/>
    <n v="-142441.98599079309"/>
    <n v="1.1753424657534246"/>
    <n v="1"/>
    <n v="-142441.98599079309"/>
    <n v="0"/>
    <m/>
    <n v="-6086.0634351145045"/>
    <m/>
    <n v="-0.48433977243704918"/>
    <m/>
  </r>
  <r>
    <x v="4"/>
    <s v="Purchase"/>
    <x v="65"/>
    <x v="2"/>
    <x v="1"/>
    <x v="245"/>
    <n v="15504.240000000002"/>
    <x v="2"/>
    <n v="104"/>
    <n v="149.07923076923078"/>
    <n v="1"/>
    <n v="15504.240000000002"/>
    <n v="20.027999999999999"/>
    <n v="310518.91872000002"/>
    <n v="114.601"/>
    <n v="123.803"/>
    <n v="1.0802"/>
    <n v="335422.53600134404"/>
    <n v="3225.2166923206159"/>
    <m/>
    <n v="104"/>
    <s v="Sale"/>
    <x v="114"/>
    <x v="1"/>
    <n v="8866.8574045801524"/>
    <n v="1"/>
    <n v="8866.8574045801524"/>
    <n v="20.305800000000001"/>
    <n v="180048.63308592368"/>
    <n v="335422.53600134404"/>
    <n v="-155373.90291542036"/>
    <n v="1.0082191780821919"/>
    <n v="1"/>
    <n v="-155373.90291542036"/>
    <n v="0"/>
    <m/>
    <n v="-6637.3825954198492"/>
    <m/>
    <n v="-0.42810112559015134"/>
    <m/>
  </r>
  <r>
    <x v="4"/>
    <s v="Purchase"/>
    <x v="65"/>
    <x v="2"/>
    <x v="1"/>
    <x v="56"/>
    <n v="171.7"/>
    <x v="2"/>
    <n v="1"/>
    <n v="171.7"/>
    <n v="1"/>
    <n v="171.7"/>
    <n v="20.691199999999998"/>
    <n v="3552.6790399999995"/>
    <n v="116.884"/>
    <n v="123.803"/>
    <n v="1.0590999999999999"/>
    <n v="3762.6423712639994"/>
    <n v="3762.6423712639994"/>
    <m/>
    <n v="1"/>
    <s v="Sale"/>
    <x v="114"/>
    <x v="1"/>
    <n v="85.258244274809158"/>
    <n v="1"/>
    <n v="85.258244274809158"/>
    <n v="20.305800000000001"/>
    <n v="1731.23685659542"/>
    <n v="3762.6423712639994"/>
    <n v="-2031.4055146685794"/>
    <n v="0.86301369863013699"/>
    <n v="1"/>
    <n v="-2031.4055146685794"/>
    <n v="0"/>
    <m/>
    <n v="-86.441755725190831"/>
    <m/>
    <n v="-0.50344645151538048"/>
    <m/>
  </r>
  <r>
    <x v="4"/>
    <s v="Purchase"/>
    <x v="65"/>
    <x v="2"/>
    <x v="1"/>
    <x v="246"/>
    <n v="8455"/>
    <x v="2"/>
    <n v="81"/>
    <n v="104.38271604938272"/>
    <n v="1"/>
    <n v="8455"/>
    <n v="19.870699999999999"/>
    <n v="168006.76850000001"/>
    <n v="122.044"/>
    <n v="123.803"/>
    <n v="1.0144"/>
    <n v="170426.0659664"/>
    <n v="2104.0255057580248"/>
    <m/>
    <n v="81"/>
    <s v="Sale"/>
    <x v="114"/>
    <x v="1"/>
    <n v="6905.9177862595416"/>
    <n v="1"/>
    <n v="6905.9177862595416"/>
    <n v="20.305800000000001"/>
    <n v="140230.185384229"/>
    <n v="170426.0659664"/>
    <n v="-30195.880582170998"/>
    <n v="0.25753424657534246"/>
    <n v="1"/>
    <n v="-30195.880582170998"/>
    <n v="0"/>
    <m/>
    <n v="-1549.0822137404584"/>
    <m/>
    <n v="-0.1832149277043712"/>
    <m/>
  </r>
  <r>
    <x v="4"/>
    <s v="Purchase"/>
    <x v="65"/>
    <x v="2"/>
    <x v="1"/>
    <x v="247"/>
    <n v="6364.25"/>
    <x v="2"/>
    <n v="59"/>
    <n v="107.86864406779661"/>
    <n v="1"/>
    <n v="6364.25"/>
    <n v="20.0962"/>
    <n v="127897.24085"/>
    <n v="124.571"/>
    <n v="123.803"/>
    <n v="1"/>
    <n v="127897.24085"/>
    <n v="2167.7498449152545"/>
    <m/>
    <n v="59"/>
    <s v="Sale"/>
    <x v="114"/>
    <x v="1"/>
    <n v="5030.2364122137406"/>
    <n v="1"/>
    <n v="5030.2364122137406"/>
    <n v="20.305800000000001"/>
    <n v="102142.97453912978"/>
    <n v="127897.24085000002"/>
    <n v="-25754.26631087024"/>
    <n v="7.6712328767123292E-2"/>
    <n v="1"/>
    <n v="-25754.26631087024"/>
    <n v="0"/>
    <m/>
    <n v="-1334.0135877862594"/>
    <m/>
    <n v="-0.20961049421161324"/>
    <m/>
  </r>
  <r>
    <x v="4"/>
    <s v="Purchase"/>
    <x v="66"/>
    <x v="2"/>
    <x v="1"/>
    <x v="96"/>
    <n v="7385.0642105263159"/>
    <x v="2"/>
    <n v="22"/>
    <n v="335.68473684210528"/>
    <n v="1"/>
    <n v="7385.0642105263159"/>
    <n v="20.1172"/>
    <n v="148566.81373600001"/>
    <n v="108.85599999999999"/>
    <n v="122.94799999999999"/>
    <n v="1.1294"/>
    <n v="167791.3594334384"/>
    <n v="7626.8799742472002"/>
    <m/>
    <n v="22"/>
    <s v="Sale"/>
    <x v="119"/>
    <x v="1"/>
    <n v="7640.14"/>
    <n v="1"/>
    <n v="7640.14"/>
    <n v="20.401"/>
    <n v="155866.49614"/>
    <n v="167791.3594334384"/>
    <n v="-11924.863293438393"/>
    <n v="1.7068493150684931"/>
    <n v="1"/>
    <n v="-11924.863293438393"/>
    <n v="0"/>
    <m/>
    <n v="255.07578947368438"/>
    <m/>
    <n v="3.4539413903823826E-2"/>
    <m/>
  </r>
  <r>
    <x v="4"/>
    <s v="Purchase"/>
    <x v="66"/>
    <x v="2"/>
    <x v="1"/>
    <x v="96"/>
    <n v="335.68473684210528"/>
    <x v="2"/>
    <n v="1"/>
    <n v="335.68473684210528"/>
    <n v="1"/>
    <n v="335.68473684210528"/>
    <n v="20.1172"/>
    <n v="6753.0369880000007"/>
    <n v="108.85599999999999"/>
    <n v="122.94799999999999"/>
    <n v="1.1294"/>
    <n v="7626.8799742472002"/>
    <n v="7626.8799742472002"/>
    <m/>
    <n v="1"/>
    <s v="Sale"/>
    <x v="119"/>
    <x v="1"/>
    <n v="346.4136842105263"/>
    <n v="1"/>
    <n v="346.4136842105263"/>
    <n v="20.401"/>
    <n v="7067.185571578947"/>
    <n v="7626.8799742472002"/>
    <n v="-559.69440266825313"/>
    <n v="1.7068493150684931"/>
    <n v="1"/>
    <n v="-559.69440266825313"/>
    <n v="0"/>
    <m/>
    <n v="10.728947368421018"/>
    <m/>
    <n v="3.1961379803418205E-2"/>
    <m/>
  </r>
  <r>
    <x v="4"/>
    <s v="Purchase"/>
    <x v="66"/>
    <x v="2"/>
    <x v="1"/>
    <x v="103"/>
    <n v="1793"/>
    <x v="2"/>
    <n v="5"/>
    <n v="358.6"/>
    <n v="1"/>
    <n v="1793"/>
    <n v="20.895700000000001"/>
    <n v="37465.990100000003"/>
    <n v="111.824"/>
    <n v="122.94799999999999"/>
    <n v="1.0993999999999999"/>
    <n v="41190.109515939999"/>
    <n v="8238.0219031880006"/>
    <m/>
    <n v="5"/>
    <s v="Sale"/>
    <x v="119"/>
    <x v="1"/>
    <n v="1732.0684210526315"/>
    <n v="1"/>
    <n v="1732.0684210526315"/>
    <n v="20.401"/>
    <n v="35335.927857894734"/>
    <n v="41190.109515939999"/>
    <n v="-5854.1816580452651"/>
    <n v="1.4301369863013698"/>
    <n v="1"/>
    <n v="-5854.1816580452651"/>
    <n v="0"/>
    <m/>
    <n v="-60.931578947368507"/>
    <m/>
    <n v="-3.3983033434115177E-2"/>
    <m/>
  </r>
  <r>
    <x v="4"/>
    <s v="Purchase"/>
    <x v="66"/>
    <x v="2"/>
    <x v="1"/>
    <x v="76"/>
    <n v="4733.8864444444444"/>
    <x v="2"/>
    <n v="13"/>
    <n v="364.14511111111108"/>
    <n v="1"/>
    <n v="4733.8864444444444"/>
    <n v="19.921299999999999"/>
    <n v="94305.172025711101"/>
    <n v="113.018"/>
    <n v="122.94799999999999"/>
    <n v="1.0878000000000001"/>
    <n v="102585.16612956855"/>
    <n v="7891.1666253514268"/>
    <m/>
    <n v="13"/>
    <s v="Sale"/>
    <x v="119"/>
    <x v="1"/>
    <n v="4503.3778947368419"/>
    <n v="1"/>
    <n v="4503.3778947368419"/>
    <n v="20.401"/>
    <n v="91873.41243052631"/>
    <n v="102585.16612956855"/>
    <n v="-10711.753699042238"/>
    <n v="1.1863013698630136"/>
    <n v="1"/>
    <n v="-10711.753699042238"/>
    <n v="0"/>
    <m/>
    <n v="-230.50854970760247"/>
    <m/>
    <n v="-4.8693299345640366E-2"/>
    <m/>
  </r>
  <r>
    <x v="4"/>
    <s v="Purchase"/>
    <x v="66"/>
    <x v="2"/>
    <x v="1"/>
    <x v="76"/>
    <n v="11652.643555555554"/>
    <x v="2"/>
    <n v="32"/>
    <n v="364.14511111111108"/>
    <n v="1"/>
    <n v="11652.643555555554"/>
    <n v="19.921299999999999"/>
    <n v="232135.80806328886"/>
    <n v="113.018"/>
    <n v="124.571"/>
    <n v="1.1022000000000001"/>
    <n v="255860.087647357"/>
    <n v="7995.6277389799061"/>
    <m/>
    <n v="32"/>
    <s v="Sale"/>
    <x v="109"/>
    <x v="1"/>
    <n v="10085.880000000001"/>
    <n v="1"/>
    <n v="10085.880000000001"/>
    <n v="19.871200000000002"/>
    <n v="200418.53865600005"/>
    <n v="255860.087647357"/>
    <n v="-55441.548991356947"/>
    <n v="1.4027397260273973"/>
    <n v="1"/>
    <n v="-55441.548991356947"/>
    <n v="0"/>
    <m/>
    <n v="-1566.7635555555535"/>
    <m/>
    <n v="-0.13445563215641124"/>
    <m/>
  </r>
  <r>
    <x v="4"/>
    <s v="Purchase"/>
    <x v="66"/>
    <x v="2"/>
    <x v="1"/>
    <x v="130"/>
    <n v="346"/>
    <x v="2"/>
    <n v="1"/>
    <n v="346"/>
    <n v="1"/>
    <n v="346"/>
    <n v="19.8992"/>
    <n v="6885.1232"/>
    <n v="114.601"/>
    <n v="124.571"/>
    <n v="1.0869"/>
    <n v="7483.4404060799998"/>
    <n v="7483.4404060799998"/>
    <m/>
    <n v="1"/>
    <s v="Sale"/>
    <x v="109"/>
    <x v="1"/>
    <n v="315.18375000000003"/>
    <n v="1"/>
    <n v="315.18375000000003"/>
    <n v="19.871200000000002"/>
    <n v="6263.0793330000015"/>
    <n v="7483.4404060799998"/>
    <n v="-1220.3610730799983"/>
    <n v="1.1369863013698631"/>
    <n v="1"/>
    <n v="-1220.3610730799983"/>
    <n v="0"/>
    <m/>
    <n v="-30.816249999999968"/>
    <m/>
    <n v="-8.9064306358381418E-2"/>
    <m/>
  </r>
  <r>
    <x v="4"/>
    <s v="Purchase"/>
    <x v="66"/>
    <x v="2"/>
    <x v="1"/>
    <x v="130"/>
    <n v="2423.511428571429"/>
    <x v="2"/>
    <n v="7"/>
    <n v="346.215918367347"/>
    <n v="1"/>
    <n v="2423.511428571429"/>
    <n v="19.8992"/>
    <n v="48225.938619428583"/>
    <n v="114.601"/>
    <n v="124.571"/>
    <n v="1.0869"/>
    <n v="52416.772685456926"/>
    <n v="7488.1103836367038"/>
    <m/>
    <n v="7"/>
    <s v="Sale"/>
    <x v="109"/>
    <x v="1"/>
    <n v="2206.2862500000001"/>
    <n v="1"/>
    <n v="2206.2862500000001"/>
    <n v="19.871200000000002"/>
    <n v="43841.555331000003"/>
    <n v="52416.772685456926"/>
    <n v="-8575.2173544569232"/>
    <n v="1.1369863013698631"/>
    <n v="1"/>
    <n v="-8575.2173544569232"/>
    <n v="0"/>
    <m/>
    <n v="-217.22517857142884"/>
    <m/>
    <n v="-8.9632413534552674E-2"/>
    <m/>
  </r>
  <r>
    <x v="4"/>
    <s v="Purchase"/>
    <x v="39"/>
    <x v="2"/>
    <x v="1"/>
    <x v="96"/>
    <n v="11851.568892508145"/>
    <x v="2"/>
    <n v="105"/>
    <n v="112.87208469055376"/>
    <n v="1"/>
    <n v="11851.568892508145"/>
    <n v="20.1172"/>
    <n v="238420.38172436485"/>
    <n v="108.85599999999999"/>
    <n v="124.571"/>
    <n v="1.1443000000000001"/>
    <n v="272824.4428071907"/>
    <n v="2598.3280267351497"/>
    <m/>
    <n v="105"/>
    <s v="Sale"/>
    <x v="112"/>
    <x v="1"/>
    <n v="14313.88"/>
    <n v="1"/>
    <n v="14313.88"/>
    <n v="19.965199999999999"/>
    <n v="285779.47697599995"/>
    <n v="272824.4428071907"/>
    <n v="12955.034168809245"/>
    <n v="1.8849315068493151"/>
    <n v="1"/>
    <n v="12955.034168809245"/>
    <n v="0"/>
    <m/>
    <n v="2462.3111074918543"/>
    <m/>
    <n v="0.20776245995991136"/>
    <m/>
  </r>
  <r>
    <x v="4"/>
    <s v="Purchase"/>
    <x v="188"/>
    <x v="2"/>
    <x v="1"/>
    <x v="248"/>
    <n v="28557.469999999998"/>
    <x v="2"/>
    <n v="162"/>
    <n v="176.28067901234567"/>
    <n v="1"/>
    <n v="28557.469999999998"/>
    <n v="19.887"/>
    <n v="567922.40588999994"/>
    <n v="121.02200000000001"/>
    <n v="123.803"/>
    <n v="1.0228999999999999"/>
    <n v="580927.82898488094"/>
    <n v="3585.9742529930923"/>
    <m/>
    <n v="162"/>
    <s v="Sale"/>
    <x v="104"/>
    <x v="1"/>
    <n v="20439.704531249998"/>
    <n v="1"/>
    <n v="20439.704531249998"/>
    <n v="20.351700000000001"/>
    <n v="415982.73470864061"/>
    <n v="580927.82898488094"/>
    <n v="-164945.09427624033"/>
    <n v="0.34246575342465752"/>
    <n v="1"/>
    <n v="-164945.09427624033"/>
    <n v="0"/>
    <m/>
    <n v="-8117.7654687499999"/>
    <m/>
    <n v="-0.28426066695509095"/>
    <m/>
  </r>
  <r>
    <x v="4"/>
    <s v="Purchase"/>
    <x v="188"/>
    <x v="2"/>
    <x v="1"/>
    <x v="249"/>
    <n v="14772.379999999997"/>
    <x v="2"/>
    <n v="80"/>
    <n v="184.65474999999998"/>
    <n v="1"/>
    <n v="14772.379999999997"/>
    <n v="19.837700000000002"/>
    <n v="293050.04272599996"/>
    <n v="121.02200000000001"/>
    <n v="123.803"/>
    <n v="1.0228999999999999"/>
    <n v="299760.88870442531"/>
    <n v="3747.0111088053163"/>
    <m/>
    <n v="80"/>
    <s v="Sale"/>
    <x v="104"/>
    <x v="1"/>
    <n v="10093.68125"/>
    <n v="1"/>
    <n v="10093.68125"/>
    <n v="20.351700000000001"/>
    <n v="205423.57269562501"/>
    <n v="299760.88870442531"/>
    <n v="-94337.316008800291"/>
    <n v="0.33972602739726027"/>
    <n v="1"/>
    <n v="-94337.316008800291"/>
    <n v="0"/>
    <m/>
    <n v="-4678.6987499999977"/>
    <m/>
    <n v="-0.31671936072589513"/>
    <m/>
  </r>
  <r>
    <x v="4"/>
    <s v="Purchase"/>
    <x v="188"/>
    <x v="2"/>
    <x v="1"/>
    <x v="250"/>
    <n v="15289.010000000002"/>
    <x v="2"/>
    <n v="81"/>
    <n v="188.75320987654322"/>
    <n v="1"/>
    <n v="15289.010000000002"/>
    <n v="20.348500000000001"/>
    <n v="311108.41998500004"/>
    <n v="123.803"/>
    <n v="123.803"/>
    <n v="1"/>
    <n v="311108.41998500004"/>
    <n v="3840.8446911728402"/>
    <m/>
    <n v="81"/>
    <s v="Sale"/>
    <x v="104"/>
    <x v="1"/>
    <n v="10219.852265624999"/>
    <n v="1"/>
    <n v="10219.852265624999"/>
    <n v="20.351700000000001"/>
    <n v="207991.3673543203"/>
    <n v="311108.41998500004"/>
    <n v="-103117.05263067974"/>
    <n v="0.15616438356164383"/>
    <n v="1"/>
    <n v="-103117.05263067974"/>
    <n v="0"/>
    <m/>
    <n v="-5069.1577343750032"/>
    <m/>
    <n v="-0.3315556556228953"/>
    <m/>
  </r>
  <r>
    <x v="4"/>
    <s v="Purchase"/>
    <x v="188"/>
    <x v="2"/>
    <x v="1"/>
    <x v="231"/>
    <n v="10695.54"/>
    <x v="2"/>
    <n v="61"/>
    <n v="175.33672131147543"/>
    <n v="1"/>
    <n v="10695.54"/>
    <n v="20.335799999999999"/>
    <n v="217502.36233200002"/>
    <n v="123.803"/>
    <n v="123.803"/>
    <n v="1"/>
    <n v="217502.36233200002"/>
    <n v="3565.612497245902"/>
    <m/>
    <n v="61"/>
    <s v="Sale"/>
    <x v="104"/>
    <x v="1"/>
    <n v="7696.4319531249994"/>
    <n v="1"/>
    <n v="7696.4319531249994"/>
    <n v="20.351700000000001"/>
    <n v="156635.47418041405"/>
    <n v="217502.36233200002"/>
    <n v="-60866.888151585968"/>
    <n v="0.13972602739726028"/>
    <n v="1"/>
    <n v="-60866.888151585968"/>
    <n v="0"/>
    <m/>
    <n v="-2999.1080468750015"/>
    <m/>
    <n v="-0.28040735174427855"/>
    <m/>
  </r>
  <r>
    <x v="4"/>
    <s v="Purchase"/>
    <x v="189"/>
    <x v="2"/>
    <x v="1"/>
    <x v="251"/>
    <n v="467.23199999999997"/>
    <x v="2"/>
    <n v="1"/>
    <n v="467.23199999999997"/>
    <n v="1"/>
    <n v="467.23199999999997"/>
    <n v="20.575299999999999"/>
    <n v="9613.438569599999"/>
    <n v="111.824"/>
    <n v="122.94799999999999"/>
    <n v="1.0993999999999999"/>
    <n v="10569.014363418239"/>
    <n v="10569.014363418239"/>
    <m/>
    <n v="1"/>
    <s v="Sale"/>
    <x v="120"/>
    <x v="1"/>
    <n v="350.76904761904763"/>
    <n v="1"/>
    <n v="350.76904761904763"/>
    <n v="20.263300000000001"/>
    <n v="7107.7384426190483"/>
    <n v="10569.014363418239"/>
    <n v="-3461.2759207991903"/>
    <n v="1.3780821917808219"/>
    <n v="1"/>
    <n v="-3461.2759207991903"/>
    <n v="0"/>
    <m/>
    <n v="-116.46295238095234"/>
    <m/>
    <n v="-0.24926150687656742"/>
    <m/>
  </r>
  <r>
    <x v="4"/>
    <s v="Purchase"/>
    <x v="189"/>
    <x v="2"/>
    <x v="1"/>
    <x v="252"/>
    <n v="6422.52"/>
    <x v="2"/>
    <n v="14"/>
    <n v="458.75142857142862"/>
    <n v="1"/>
    <n v="6422.52"/>
    <n v="20.578800000000001"/>
    <n v="132167.75457600001"/>
    <n v="111.824"/>
    <n v="122.94799999999999"/>
    <n v="1.0993999999999999"/>
    <n v="145305.22938085441"/>
    <n v="10378.944955775314"/>
    <m/>
    <n v="14"/>
    <s v="Sale"/>
    <x v="120"/>
    <x v="1"/>
    <n v="4910.7666666666664"/>
    <n v="1"/>
    <n v="4910.7666666666664"/>
    <n v="20.263300000000001"/>
    <n v="99508.338196666664"/>
    <n v="145305.22938085441"/>
    <n v="-45796.891184187742"/>
    <n v="1.3616438356164384"/>
    <n v="1"/>
    <n v="-45796.891184187742"/>
    <n v="0"/>
    <m/>
    <n v="-1511.753333333334"/>
    <m/>
    <n v="-0.23538320368536556"/>
    <m/>
  </r>
  <r>
    <x v="4"/>
    <s v="Purchase"/>
    <x v="189"/>
    <x v="2"/>
    <x v="1"/>
    <x v="253"/>
    <n v="2707.17"/>
    <x v="2"/>
    <n v="6"/>
    <n v="451.19499999999999"/>
    <n v="1"/>
    <n v="2707.17"/>
    <n v="20.640799999999999"/>
    <n v="55878.154535999995"/>
    <n v="111.824"/>
    <n v="122.94799999999999"/>
    <n v="1.0993999999999999"/>
    <n v="61432.443096878393"/>
    <n v="10238.740516146399"/>
    <m/>
    <n v="6"/>
    <s v="Sale"/>
    <x v="120"/>
    <x v="1"/>
    <n v="2104.6142857142859"/>
    <n v="1"/>
    <n v="2104.6142857142859"/>
    <n v="20.263300000000001"/>
    <n v="42646.430655714292"/>
    <n v="61432.4430968784"/>
    <n v="-18786.012441164108"/>
    <n v="1.3589041095890411"/>
    <n v="1"/>
    <n v="-18786.012441164108"/>
    <n v="0"/>
    <m/>
    <n v="-602.5557142857142"/>
    <m/>
    <n v="-0.22257771557963268"/>
    <m/>
  </r>
  <r>
    <x v="4"/>
    <s v="Purchase"/>
    <x v="190"/>
    <x v="2"/>
    <x v="1"/>
    <x v="35"/>
    <n v="10538.559692307692"/>
    <x v="2"/>
    <n v="62"/>
    <n v="169.97676923076924"/>
    <n v="1"/>
    <n v="10538.559692307692"/>
    <n v="19.836200000000002"/>
    <n v="209044.97776855386"/>
    <n v="112.19"/>
    <n v="123.803"/>
    <n v="1.1034999999999999"/>
    <n v="230681.13296759917"/>
    <n v="3720.6634349612768"/>
    <m/>
    <n v="62"/>
    <s v="Sale"/>
    <x v="114"/>
    <x v="1"/>
    <n v="9328.0565048543685"/>
    <n v="1"/>
    <n v="9328.0565048543685"/>
    <n v="20.305800000000001"/>
    <n v="189413.64977627184"/>
    <n v="230681.13296759917"/>
    <n v="-41267.483191327337"/>
    <n v="1.4246575342465753"/>
    <n v="1"/>
    <n v="-41267.483191327337"/>
    <n v="0"/>
    <m/>
    <n v="-1210.5031874533233"/>
    <m/>
    <n v="-0.11486419613269298"/>
    <m/>
  </r>
  <r>
    <x v="4"/>
    <s v="Purchase"/>
    <x v="190"/>
    <x v="2"/>
    <x v="1"/>
    <x v="254"/>
    <n v="1556.16"/>
    <x v="2"/>
    <n v="9"/>
    <n v="172.90666666666667"/>
    <n v="1"/>
    <n v="1556.16"/>
    <n v="19.9785"/>
    <n v="31089.742560000002"/>
    <n v="112.19"/>
    <n v="123.803"/>
    <n v="1.1034999999999999"/>
    <n v="34307.53091496"/>
    <n v="3811.9478794400002"/>
    <m/>
    <n v="9"/>
    <s v="Sale"/>
    <x v="114"/>
    <x v="1"/>
    <n v="1354.0727184466018"/>
    <n v="1"/>
    <n v="1354.0727184466018"/>
    <n v="20.305800000000001"/>
    <n v="27495.529806233008"/>
    <n v="34307.53091496"/>
    <n v="-6812.0011087269922"/>
    <n v="1.4219178082191781"/>
    <n v="1"/>
    <n v="-6812.0011087269922"/>
    <n v="0"/>
    <m/>
    <n v="-202.08728155339827"/>
    <m/>
    <n v="-0.12986279145678994"/>
    <m/>
  </r>
  <r>
    <x v="4"/>
    <s v="Purchase"/>
    <x v="190"/>
    <x v="2"/>
    <x v="1"/>
    <x v="254"/>
    <n v="5487.8826666666673"/>
    <x v="2"/>
    <n v="32"/>
    <n v="171.49633333333335"/>
    <n v="1"/>
    <n v="5487.8826666666673"/>
    <n v="19.9785"/>
    <n v="109639.66385600001"/>
    <n v="112.19"/>
    <n v="123.803"/>
    <n v="1.1034999999999999"/>
    <n v="120987.36906509601"/>
    <n v="3780.8552832842502"/>
    <m/>
    <n v="32"/>
    <s v="Sale"/>
    <x v="114"/>
    <x v="1"/>
    <n v="4814.4807766990289"/>
    <n v="1"/>
    <n v="4814.4807766990289"/>
    <n v="20.305800000000001"/>
    <n v="97761.883755495146"/>
    <n v="120987.36906509601"/>
    <n v="-23225.485309600859"/>
    <n v="1.4219178082191781"/>
    <n v="1"/>
    <n v="-23225.485309600859"/>
    <n v="0"/>
    <m/>
    <n v="-673.40188996763845"/>
    <m/>
    <n v="-0.12270704948884446"/>
    <m/>
  </r>
  <r>
    <x v="4"/>
    <s v="Purchase"/>
    <x v="190"/>
    <x v="2"/>
    <x v="1"/>
    <x v="254"/>
    <n v="4801.8973333333342"/>
    <x v="2"/>
    <n v="28"/>
    <n v="171.49633333333335"/>
    <n v="1"/>
    <n v="4801.8973333333342"/>
    <n v="19.9785"/>
    <n v="95934.705874000021"/>
    <n v="112.19"/>
    <n v="124.571"/>
    <n v="1.1103000000000001"/>
    <n v="106516.30393190224"/>
    <n v="3804.1537118536512"/>
    <m/>
    <n v="28"/>
    <s v="Sale"/>
    <x v="109"/>
    <x v="1"/>
    <n v="4230.6511111111113"/>
    <n v="1"/>
    <n v="4230.6511111111113"/>
    <n v="19.871200000000002"/>
    <n v="84068.114359111118"/>
    <n v="106516.30393190224"/>
    <n v="-22448.189572791118"/>
    <n v="1.4958904109589042"/>
    <n v="1"/>
    <n v="-22448.189572791118"/>
    <n v="0"/>
    <m/>
    <n v="-571.24622222222297"/>
    <m/>
    <n v="-0.11896260635495112"/>
    <m/>
  </r>
  <r>
    <x v="4"/>
    <s v="Purchase"/>
    <x v="190"/>
    <x v="2"/>
    <x v="1"/>
    <x v="226"/>
    <n v="17075.546249999999"/>
    <x v="2"/>
    <n v="98"/>
    <n v="174.24026785714284"/>
    <n v="1"/>
    <n v="17075.546249999999"/>
    <n v="19.9712"/>
    <n v="341019.14926799998"/>
    <n v="112.19"/>
    <n v="124.571"/>
    <n v="1.1103000000000001"/>
    <n v="378633.56143226038"/>
    <n v="3863.6077697169426"/>
    <m/>
    <n v="98"/>
    <s v="Sale"/>
    <x v="109"/>
    <x v="1"/>
    <n v="14807.278888888888"/>
    <n v="1"/>
    <n v="14807.278888888888"/>
    <n v="19.871200000000002"/>
    <n v="294238.40025688888"/>
    <n v="378633.56143226038"/>
    <n v="-84395.161175371497"/>
    <n v="1.4931506849315068"/>
    <n v="1"/>
    <n v="-84395.161175371497"/>
    <n v="0"/>
    <m/>
    <n v="-2268.2673611111113"/>
    <m/>
    <n v="-0.13283717708949494"/>
    <m/>
  </r>
  <r>
    <x v="4"/>
    <s v="Purchase"/>
    <x v="190"/>
    <x v="2"/>
    <x v="1"/>
    <x v="226"/>
    <n v="2439.36375"/>
    <x v="2"/>
    <n v="14"/>
    <n v="174.24026785714287"/>
    <n v="1"/>
    <n v="2439.36375"/>
    <n v="19.9712"/>
    <n v="48717.021324000001"/>
    <n v="112.19"/>
    <n v="124.571"/>
    <n v="1.1103000000000001"/>
    <n v="54090.508776037204"/>
    <n v="3863.607769716943"/>
    <m/>
    <n v="14"/>
    <s v="Sale"/>
    <x v="109"/>
    <x v="1"/>
    <n v="2122.0207272727275"/>
    <n v="1"/>
    <n v="2122.0207272727275"/>
    <n v="19.871200000000002"/>
    <n v="42167.098275781827"/>
    <n v="54090.508776037204"/>
    <n v="-11923.410500255377"/>
    <n v="1.4931506849315068"/>
    <n v="1"/>
    <n v="-11923.410500255377"/>
    <n v="0"/>
    <m/>
    <n v="-317.34302272727246"/>
    <m/>
    <n v="-0.13009253856759675"/>
    <m/>
  </r>
  <r>
    <x v="4"/>
    <s v="Purchase"/>
    <x v="190"/>
    <x v="2"/>
    <x v="1"/>
    <x v="52"/>
    <n v="7239.74"/>
    <x v="2"/>
    <n v="41"/>
    <n v="176.57902439024389"/>
    <n v="1"/>
    <n v="7239.74"/>
    <n v="19.944199999999999"/>
    <n v="144390.82250799998"/>
    <n v="113.018"/>
    <n v="124.571"/>
    <n v="1.1022000000000001"/>
    <n v="159147.56456831758"/>
    <n v="3881.6479163004287"/>
    <m/>
    <n v="41"/>
    <s v="Sale"/>
    <x v="109"/>
    <x v="1"/>
    <n v="6214.4892727272727"/>
    <n v="1"/>
    <n v="6214.4892727272727"/>
    <n v="19.871200000000002"/>
    <n v="123489.3592362182"/>
    <n v="159147.56456831758"/>
    <n v="-35658.205332099387"/>
    <n v="1.4054794520547946"/>
    <n v="1"/>
    <n v="-35658.205332099387"/>
    <n v="0"/>
    <m/>
    <n v="-1025.2507272727271"/>
    <m/>
    <n v="-0.14161430207061679"/>
    <m/>
  </r>
  <r>
    <x v="4"/>
    <s v="Purchase"/>
    <x v="75"/>
    <x v="1"/>
    <x v="1"/>
    <x v="86"/>
    <n v="117.4701923076923"/>
    <x v="1"/>
    <n v="1"/>
    <n v="117.4701923076923"/>
    <n v="1"/>
    <n v="117.4701923076923"/>
    <n v="19.8537"/>
    <n v="2332.2179570192307"/>
    <n v="113.682"/>
    <n v="125.276"/>
    <n v="1.1019000000000001"/>
    <n v="2569.8709668394904"/>
    <n v="2569.8709668394904"/>
    <m/>
    <n v="1"/>
    <s v="Sale"/>
    <x v="121"/>
    <x v="1"/>
    <n v="75.635925925925932"/>
    <n v="1"/>
    <n v="75.635925925925932"/>
    <n v="19.975200000000001"/>
    <n v="1510.8427475555557"/>
    <n v="2569.8709668394904"/>
    <n v="-1059.0282192839347"/>
    <n v="1.2301369863013698"/>
    <n v="1"/>
    <n v="-1059.0282192839347"/>
    <n v="0"/>
    <m/>
    <n v="-41.834266381766369"/>
    <m/>
    <n v="-0.35612665272726329"/>
    <m/>
  </r>
  <r>
    <x v="4"/>
    <s v="Purchase"/>
    <x v="75"/>
    <x v="1"/>
    <x v="1"/>
    <x v="86"/>
    <n v="470.6"/>
    <x v="1"/>
    <n v="4"/>
    <n v="117.65"/>
    <n v="1"/>
    <n v="470.6"/>
    <n v="19.8537"/>
    <n v="9343.1512199999997"/>
    <n v="113.682"/>
    <n v="125.276"/>
    <n v="1.1019000000000001"/>
    <n v="10295.218329318001"/>
    <n v="2573.8045823295001"/>
    <m/>
    <n v="4"/>
    <s v="Sale"/>
    <x v="121"/>
    <x v="1"/>
    <n v="302.54370370370373"/>
    <n v="1"/>
    <n v="302.54370370370373"/>
    <n v="19.975200000000001"/>
    <n v="6043.3709902222226"/>
    <n v="10295.218329318001"/>
    <n v="-4251.8473390957779"/>
    <n v="1.2301369863013698"/>
    <n v="1"/>
    <n v="-4251.8473390957779"/>
    <n v="0"/>
    <m/>
    <n v="-168.0562962962963"/>
    <m/>
    <n v="-0.35711070186208305"/>
    <m/>
  </r>
  <r>
    <x v="4"/>
    <s v="Purchase"/>
    <x v="75"/>
    <x v="1"/>
    <x v="1"/>
    <x v="77"/>
    <n v="2046.4"/>
    <x v="1"/>
    <n v="17"/>
    <n v="120.37647058823529"/>
    <n v="1"/>
    <n v="2046.4"/>
    <n v="20"/>
    <n v="40928"/>
    <n v="113.682"/>
    <n v="125.276"/>
    <n v="1.1019000000000001"/>
    <n v="45098.563200000004"/>
    <n v="2652.8566588235299"/>
    <m/>
    <n v="17"/>
    <s v="Sale"/>
    <x v="121"/>
    <x v="1"/>
    <n v="1285.8107407407408"/>
    <n v="1"/>
    <n v="1285.8107407407408"/>
    <n v="19.975200000000001"/>
    <n v="25684.326708444449"/>
    <n v="45098.563200000004"/>
    <n v="-19414.236491555555"/>
    <n v="1.2273972602739727"/>
    <n v="1"/>
    <n v="-19414.236491555555"/>
    <n v="0"/>
    <m/>
    <n v="-760.58925925925928"/>
    <m/>
    <n v="-0.37167184287493121"/>
    <m/>
  </r>
  <r>
    <x v="4"/>
    <s v="Purchase"/>
    <x v="75"/>
    <x v="1"/>
    <x v="1"/>
    <x v="77"/>
    <n v="599.53235294117644"/>
    <x v="1"/>
    <n v="5"/>
    <n v="119.90647058823529"/>
    <n v="1"/>
    <n v="599.53235294117644"/>
    <n v="20"/>
    <n v="11990.647058823528"/>
    <n v="113.682"/>
    <n v="125.276"/>
    <n v="1.1019000000000001"/>
    <n v="13212.493994117647"/>
    <n v="2642.4987988235293"/>
    <m/>
    <n v="5"/>
    <s v="Sale"/>
    <x v="121"/>
    <x v="1"/>
    <n v="378.17962962962963"/>
    <n v="1"/>
    <n v="378.17962962962963"/>
    <n v="19.975200000000001"/>
    <n v="7554.2137377777781"/>
    <n v="13212.493994117647"/>
    <n v="-5658.2802563398691"/>
    <n v="1.2273972602739727"/>
    <n v="1"/>
    <n v="-5658.2802563398691"/>
    <n v="0"/>
    <m/>
    <n v="-221.35272331154681"/>
    <m/>
    <n v="-0.36920897133513825"/>
    <m/>
  </r>
  <r>
    <x v="4"/>
    <s v="Purchase"/>
    <x v="75"/>
    <x v="1"/>
    <x v="1"/>
    <x v="77"/>
    <n v="1438.8776470588236"/>
    <x v="1"/>
    <n v="12"/>
    <n v="119.90647058823531"/>
    <n v="1"/>
    <n v="1438.8776470588236"/>
    <n v="20"/>
    <n v="28777.552941176473"/>
    <n v="113.682"/>
    <n v="125.276"/>
    <n v="1.1019000000000001"/>
    <n v="31709.985585882358"/>
    <n v="2642.4987988235298"/>
    <m/>
    <n v="12"/>
    <s v="Sale"/>
    <x v="121"/>
    <x v="1"/>
    <n v="907.62239999999997"/>
    <n v="1"/>
    <n v="907.62239999999997"/>
    <n v="19.975200000000001"/>
    <n v="18129.938964479999"/>
    <n v="31709.985585882358"/>
    <n v="-13580.046621402358"/>
    <n v="1.2273972602739727"/>
    <n v="1"/>
    <n v="-13580.046621402358"/>
    <n v="0"/>
    <m/>
    <n v="-531.25524705882367"/>
    <m/>
    <n v="-0.36921502543649226"/>
    <m/>
  </r>
  <r>
    <x v="4"/>
    <s v="Purchase"/>
    <x v="75"/>
    <x v="1"/>
    <x v="1"/>
    <x v="128"/>
    <n v="237.65"/>
    <x v="1"/>
    <n v="2"/>
    <n v="118.825"/>
    <n v="1"/>
    <n v="237.65"/>
    <n v="19.953499999999998"/>
    <n v="4741.9492749999999"/>
    <n v="113.682"/>
    <n v="125.276"/>
    <n v="1.1019000000000001"/>
    <n v="5225.1539061225003"/>
    <n v="2612.5769530612502"/>
    <m/>
    <n v="2"/>
    <s v="Sale"/>
    <x v="121"/>
    <x v="1"/>
    <n v="151.2704"/>
    <n v="1"/>
    <n v="151.2704"/>
    <n v="19.975200000000001"/>
    <n v="3021.6564940799999"/>
    <n v="5225.1539061225003"/>
    <n v="-2203.4974120425004"/>
    <n v="1.2027397260273973"/>
    <n v="1"/>
    <n v="-2203.4974120425004"/>
    <n v="0"/>
    <m/>
    <n v="-86.379600000000011"/>
    <m/>
    <n v="-0.36347401641068805"/>
    <m/>
  </r>
  <r>
    <x v="4"/>
    <s v="Purchase"/>
    <x v="75"/>
    <x v="1"/>
    <x v="1"/>
    <x v="128"/>
    <n v="1166.1500000000001"/>
    <x v="1"/>
    <n v="10"/>
    <n v="116.61500000000001"/>
    <n v="1"/>
    <n v="1166.1500000000001"/>
    <n v="19.953499999999998"/>
    <n v="23268.774024999999"/>
    <n v="113.682"/>
    <n v="125.276"/>
    <n v="1.1019000000000001"/>
    <n v="25639.8620981475"/>
    <n v="2563.9862098147501"/>
    <m/>
    <n v="10"/>
    <s v="Sale"/>
    <x v="121"/>
    <x v="1"/>
    <n v="756.35199999999998"/>
    <n v="1"/>
    <n v="756.35199999999998"/>
    <n v="19.975200000000001"/>
    <n v="15108.2824704"/>
    <n v="25639.8620981475"/>
    <n v="-10531.5796277475"/>
    <n v="1.2027397260273973"/>
    <n v="1"/>
    <n v="-10531.5796277475"/>
    <n v="0"/>
    <m/>
    <n v="-409.79800000000012"/>
    <m/>
    <n v="-0.35141105346653523"/>
    <m/>
  </r>
  <r>
    <x v="4"/>
    <s v="Purchase"/>
    <x v="75"/>
    <x v="1"/>
    <x v="1"/>
    <x v="128"/>
    <n v="118.26363636363637"/>
    <x v="1"/>
    <n v="1"/>
    <n v="118.26363636363637"/>
    <n v="1"/>
    <n v="118.26363636363637"/>
    <n v="19.953499999999998"/>
    <n v="2359.7734681818179"/>
    <n v="113.682"/>
    <n v="125.276"/>
    <n v="1.1019000000000001"/>
    <n v="2600.2343845895452"/>
    <n v="2600.2343845895452"/>
    <m/>
    <n v="1"/>
    <s v="Sale"/>
    <x v="121"/>
    <x v="1"/>
    <n v="75.635199999999998"/>
    <n v="1"/>
    <n v="75.635199999999998"/>
    <n v="19.975200000000001"/>
    <n v="1510.82824704"/>
    <n v="2600.2343845895452"/>
    <n v="-1089.4061375495453"/>
    <n v="1.2027397260273973"/>
    <n v="1"/>
    <n v="-1089.4061375495453"/>
    <n v="0"/>
    <m/>
    <n v="-42.628436363636368"/>
    <m/>
    <n v="-0.36045260973172422"/>
    <m/>
  </r>
  <r>
    <x v="4"/>
    <s v="Purchase"/>
    <x v="75"/>
    <x v="1"/>
    <x v="1"/>
    <x v="128"/>
    <n v="1182.6363636363637"/>
    <x v="1"/>
    <n v="10"/>
    <n v="118.26363636363638"/>
    <n v="1"/>
    <n v="1182.6363636363637"/>
    <n v="19.953499999999998"/>
    <n v="23597.734681818183"/>
    <n v="113.682"/>
    <n v="125.276"/>
    <n v="1.1019000000000001"/>
    <n v="26002.343845895459"/>
    <n v="2600.2343845895457"/>
    <m/>
    <n v="10"/>
    <s v="Sale"/>
    <x v="121"/>
    <x v="1"/>
    <n v="751.57500000000005"/>
    <n v="1"/>
    <n v="751.57500000000005"/>
    <n v="19.975200000000001"/>
    <n v="15012.860940000002"/>
    <n v="26002.343845895455"/>
    <n v="-10989.482905895453"/>
    <n v="1.2027397260273973"/>
    <n v="1"/>
    <n v="-10989.482905895453"/>
    <n v="0"/>
    <m/>
    <n v="-431.06136363636369"/>
    <m/>
    <n v="-0.36449189022984091"/>
    <m/>
  </r>
  <r>
    <x v="4"/>
    <s v="Purchase"/>
    <x v="75"/>
    <x v="1"/>
    <x v="1"/>
    <x v="128"/>
    <n v="716.44499999999994"/>
    <x v="1"/>
    <n v="6"/>
    <n v="119.40749999999998"/>
    <n v="1"/>
    <n v="716.44499999999994"/>
    <n v="19.953499999999998"/>
    <n v="14295.585307499998"/>
    <n v="113.682"/>
    <n v="125.276"/>
    <n v="1.1019000000000001"/>
    <n v="15752.305450334248"/>
    <n v="2625.3842417223746"/>
    <m/>
    <n v="6"/>
    <s v="Sale"/>
    <x v="121"/>
    <x v="1"/>
    <n v="450.94499999999999"/>
    <n v="1"/>
    <n v="450.94499999999999"/>
    <n v="19.975200000000001"/>
    <n v="9007.7165640000003"/>
    <n v="15752.305450334246"/>
    <n v="-6744.5888863342461"/>
    <n v="1.2027397260273973"/>
    <n v="1"/>
    <n v="-6744.5888863342461"/>
    <n v="0"/>
    <m/>
    <n v="-265.49999999999994"/>
    <m/>
    <n v="-0.3705797374536775"/>
    <m/>
  </r>
  <r>
    <x v="4"/>
    <s v="Purchase"/>
    <x v="75"/>
    <x v="1"/>
    <x v="1"/>
    <x v="128"/>
    <n v="1671.7049999999999"/>
    <x v="1"/>
    <n v="14"/>
    <n v="119.4075"/>
    <n v="1"/>
    <n v="1671.7049999999999"/>
    <n v="19.953499999999998"/>
    <n v="33356.365717499997"/>
    <n v="113.682"/>
    <n v="125.276"/>
    <n v="1.1019000000000001"/>
    <n v="36755.37938411325"/>
    <n v="2625.384241722375"/>
    <m/>
    <n v="14"/>
    <s v="Sale"/>
    <x v="121"/>
    <x v="1"/>
    <n v="1057.8699999999999"/>
    <n v="1"/>
    <n v="1057.8699999999999"/>
    <n v="19.975200000000001"/>
    <n v="21131.164823999999"/>
    <n v="36755.37938411325"/>
    <n v="-15624.214560113251"/>
    <n v="1.2027397260273973"/>
    <n v="1"/>
    <n v="-15624.214560113251"/>
    <n v="0"/>
    <m/>
    <n v="-613.83500000000004"/>
    <m/>
    <n v="-0.36719098166243452"/>
    <m/>
  </r>
  <r>
    <x v="4"/>
    <s v="Purchase"/>
    <x v="75"/>
    <x v="1"/>
    <x v="1"/>
    <x v="128"/>
    <n v="1910.52"/>
    <x v="1"/>
    <n v="16"/>
    <n v="119.4075"/>
    <n v="1"/>
    <n v="1910.52"/>
    <n v="19.953499999999998"/>
    <n v="38121.560819999999"/>
    <n v="113.682"/>
    <n v="125.276"/>
    <n v="1.1019000000000001"/>
    <n v="42006.147867558"/>
    <n v="2625.384241722375"/>
    <m/>
    <n v="16"/>
    <s v="Sale"/>
    <x v="112"/>
    <x v="1"/>
    <n v="1238.3721739130435"/>
    <n v="1"/>
    <n v="1238.3721739130435"/>
    <n v="19.965199999999999"/>
    <n v="24724.348126608696"/>
    <n v="42006.147867558"/>
    <n v="-17281.799740949304"/>
    <n v="1.2054794520547945"/>
    <n v="1"/>
    <n v="-17281.799740949304"/>
    <n v="0"/>
    <m/>
    <n v="-672.14782608695646"/>
    <m/>
    <n v="-0.35181407474768989"/>
    <m/>
  </r>
  <r>
    <x v="4"/>
    <s v="Purchase"/>
    <x v="75"/>
    <x v="1"/>
    <x v="1"/>
    <x v="5"/>
    <n v="838.49062500000002"/>
    <x v="1"/>
    <n v="7"/>
    <n v="119.784375"/>
    <n v="1"/>
    <n v="838.49062500000002"/>
    <n v="19.844799999999999"/>
    <n v="16639.678755000001"/>
    <n v="113.899"/>
    <n v="125.276"/>
    <n v="1.0998000000000001"/>
    <n v="18300.318694749003"/>
    <n v="2614.3312421070004"/>
    <m/>
    <n v="7"/>
    <s v="Sale"/>
    <x v="112"/>
    <x v="1"/>
    <n v="541.78782608695656"/>
    <n v="1"/>
    <n v="541.78782608695656"/>
    <n v="19.965199999999999"/>
    <n v="10816.902305391304"/>
    <n v="18300.318694749003"/>
    <n v="-7483.4163893576988"/>
    <n v="1.1972602739726028"/>
    <n v="1"/>
    <n v="-7483.4163893576988"/>
    <n v="0"/>
    <m/>
    <n v="-296.70279891304347"/>
    <m/>
    <n v="-0.35385344816830056"/>
    <m/>
  </r>
  <r>
    <x v="4"/>
    <s v="Purchase"/>
    <x v="75"/>
    <x v="1"/>
    <x v="1"/>
    <x v="5"/>
    <n v="1078.059375"/>
    <x v="1"/>
    <n v="9"/>
    <n v="119.78437500000001"/>
    <n v="1"/>
    <n v="1078.059375"/>
    <n v="19.844799999999999"/>
    <n v="21393.872684999998"/>
    <n v="113.899"/>
    <n v="125.276"/>
    <n v="1.0998000000000001"/>
    <n v="23528.981178963"/>
    <n v="2614.331242107"/>
    <m/>
    <n v="9"/>
    <s v="Sale"/>
    <x v="112"/>
    <x v="1"/>
    <n v="677.52"/>
    <n v="1"/>
    <n v="677.52"/>
    <n v="19.965199999999999"/>
    <n v="13526.822303999999"/>
    <n v="23528.981178963"/>
    <n v="-10002.158874963001"/>
    <n v="1.1972602739726028"/>
    <n v="1"/>
    <n v="-10002.158874963001"/>
    <n v="0"/>
    <m/>
    <n v="-400.53937500000006"/>
    <m/>
    <n v="-0.3715373979285696"/>
    <m/>
  </r>
  <r>
    <x v="4"/>
    <s v="Purchase"/>
    <x v="75"/>
    <x v="1"/>
    <x v="1"/>
    <x v="180"/>
    <n v="1426.4349999999999"/>
    <x v="1"/>
    <n v="12"/>
    <n v="118.86958333333332"/>
    <n v="1"/>
    <n v="1426.4349999999999"/>
    <n v="20.003699999999998"/>
    <n v="28533.977809499997"/>
    <n v="113.899"/>
    <n v="125.276"/>
    <n v="1.0998000000000001"/>
    <n v="31381.668794888101"/>
    <n v="2615.1390662406752"/>
    <m/>
    <n v="12"/>
    <s v="Sale"/>
    <x v="112"/>
    <x v="1"/>
    <n v="903.36"/>
    <n v="1"/>
    <n v="903.36"/>
    <n v="19.965199999999999"/>
    <n v="18035.763071999998"/>
    <n v="31381.668794888101"/>
    <n v="-13345.905722888103"/>
    <n v="1.1753424657534246"/>
    <n v="1"/>
    <n v="-13345.905722888103"/>
    <n v="0"/>
    <m/>
    <n v="-523.07499999999993"/>
    <m/>
    <n v="-0.36670090119774118"/>
    <m/>
  </r>
  <r>
    <x v="4"/>
    <s v="Purchase"/>
    <x v="75"/>
    <x v="1"/>
    <x v="1"/>
    <x v="180"/>
    <n v="1426.4349999999999"/>
    <x v="1"/>
    <n v="12"/>
    <n v="118.86958333333332"/>
    <n v="1"/>
    <n v="1426.4349999999999"/>
    <n v="20.003699999999998"/>
    <n v="28533.977809499997"/>
    <n v="113.899"/>
    <n v="125.276"/>
    <n v="1.0998000000000001"/>
    <n v="31381.668794888101"/>
    <n v="2615.1390662406752"/>
    <m/>
    <n v="12"/>
    <s v="Sale"/>
    <x v="112"/>
    <x v="1"/>
    <n v="928.30285714285708"/>
    <n v="1"/>
    <n v="928.30285714285708"/>
    <n v="19.965199999999999"/>
    <n v="18533.752203428568"/>
    <n v="31381.668794888101"/>
    <n v="-12847.916591459532"/>
    <n v="1.1753424657534246"/>
    <n v="1"/>
    <n v="-12847.916591459532"/>
    <n v="0"/>
    <m/>
    <n v="-498.13214285714287"/>
    <m/>
    <n v="-0.34921475065961149"/>
    <m/>
  </r>
  <r>
    <x v="4"/>
    <s v="Purchase"/>
    <x v="75"/>
    <x v="1"/>
    <x v="1"/>
    <x v="180"/>
    <n v="237.50472727272728"/>
    <x v="1"/>
    <n v="2"/>
    <n v="118.75236363636364"/>
    <n v="1"/>
    <n v="237.50472727272728"/>
    <n v="20.003699999999998"/>
    <n v="4750.9733129454544"/>
    <n v="113.899"/>
    <n v="125.276"/>
    <n v="1.0998000000000001"/>
    <n v="5225.1204495774109"/>
    <n v="2612.5602247887055"/>
    <m/>
    <n v="2"/>
    <s v="Sale"/>
    <x v="112"/>
    <x v="1"/>
    <n v="154.71714285714285"/>
    <n v="1"/>
    <n v="154.71714285714285"/>
    <n v="19.965199999999999"/>
    <n v="3088.9587005714284"/>
    <n v="5225.1204495774109"/>
    <n v="-2136.1617490059825"/>
    <n v="1.1753424657534246"/>
    <n v="1"/>
    <n v="-2136.1617490059825"/>
    <n v="0"/>
    <m/>
    <n v="-82.787584415584433"/>
    <m/>
    <n v="-0.34857236471137371"/>
    <m/>
  </r>
  <r>
    <x v="4"/>
    <s v="Purchase"/>
    <x v="75"/>
    <x v="1"/>
    <x v="1"/>
    <x v="180"/>
    <n v="950.01890909090912"/>
    <x v="1"/>
    <n v="8"/>
    <n v="118.75236363636364"/>
    <n v="1"/>
    <n v="950.01890909090912"/>
    <n v="20.003699999999998"/>
    <n v="19003.893251781818"/>
    <n v="113.899"/>
    <n v="125.276"/>
    <n v="1.0998000000000001"/>
    <n v="20900.481798309644"/>
    <n v="2612.5602247887055"/>
    <m/>
    <n v="8"/>
    <s v="Sale"/>
    <x v="112"/>
    <x v="1"/>
    <n v="600.63"/>
    <n v="1"/>
    <n v="600.63"/>
    <n v="19.965199999999999"/>
    <n v="11991.698075999999"/>
    <n v="20900.481798309644"/>
    <n v="-8908.7837223096449"/>
    <n v="1.1753424657534246"/>
    <n v="1"/>
    <n v="-8908.7837223096449"/>
    <n v="0"/>
    <m/>
    <n v="-349.38890909090912"/>
    <m/>
    <n v="-0.36777047882683295"/>
    <m/>
  </r>
  <r>
    <x v="4"/>
    <s v="Purchase"/>
    <x v="75"/>
    <x v="1"/>
    <x v="1"/>
    <x v="180"/>
    <n v="831.26654545454551"/>
    <x v="1"/>
    <n v="7"/>
    <n v="118.75236363636364"/>
    <n v="1"/>
    <n v="831.26654545454551"/>
    <n v="20.003699999999998"/>
    <n v="16628.40659530909"/>
    <n v="113.899"/>
    <n v="125.276"/>
    <n v="1.0998000000000001"/>
    <n v="18287.92157352094"/>
    <n v="2612.5602247887059"/>
    <m/>
    <n v="7"/>
    <s v="Sale"/>
    <x v="112"/>
    <x v="1"/>
    <n v="525.05999999999995"/>
    <n v="1"/>
    <n v="525.05999999999995"/>
    <n v="19.965199999999999"/>
    <n v="10482.927911999999"/>
    <n v="18287.92157352094"/>
    <n v="-7804.9936615209408"/>
    <n v="1.1753424657534246"/>
    <n v="1"/>
    <n v="-7804.9936615209408"/>
    <n v="0"/>
    <m/>
    <n v="-306.20654545454556"/>
    <m/>
    <n v="-0.36836144450768016"/>
    <m/>
  </r>
  <r>
    <x v="4"/>
    <s v="Purchase"/>
    <x v="75"/>
    <x v="1"/>
    <x v="1"/>
    <x v="180"/>
    <n v="593.76181818181817"/>
    <x v="1"/>
    <n v="5"/>
    <n v="118.75236363636364"/>
    <n v="1"/>
    <n v="593.76181818181817"/>
    <n v="20.003699999999998"/>
    <n v="11877.433282363636"/>
    <n v="113.899"/>
    <n v="125.276"/>
    <n v="1.0998000000000001"/>
    <n v="13062.801123943527"/>
    <n v="2612.5602247887055"/>
    <m/>
    <n v="5"/>
    <s v="Sale"/>
    <x v="112"/>
    <x v="1"/>
    <n v="386.99"/>
    <n v="1"/>
    <n v="386.99"/>
    <n v="19.965199999999999"/>
    <n v="7726.3327479999998"/>
    <n v="13062.801123943527"/>
    <n v="-5336.4683759435275"/>
    <n v="1.1753424657534246"/>
    <n v="1"/>
    <n v="-5336.4683759435275"/>
    <n v="0"/>
    <m/>
    <n v="-206.77181818181816"/>
    <m/>
    <n v="-0.34824034124488235"/>
    <m/>
  </r>
  <r>
    <x v="4"/>
    <s v="Purchase"/>
    <x v="75"/>
    <x v="1"/>
    <x v="1"/>
    <x v="180"/>
    <n v="475.00945454545456"/>
    <x v="1"/>
    <n v="4"/>
    <n v="118.75236363636364"/>
    <n v="1"/>
    <n v="475.00945454545456"/>
    <n v="20.003699999999998"/>
    <n v="9501.9466258909088"/>
    <n v="113.899"/>
    <n v="125.276"/>
    <n v="1.0998000000000001"/>
    <n v="10450.240899154822"/>
    <n v="2612.5602247887055"/>
    <m/>
    <n v="4"/>
    <s v="Sale"/>
    <x v="112"/>
    <x v="1"/>
    <n v="301.12"/>
    <n v="1"/>
    <n v="301.12"/>
    <n v="19.965199999999999"/>
    <n v="6011.9210240000002"/>
    <n v="10450.240899154822"/>
    <n v="-4438.3198751548216"/>
    <n v="1.1753424657534246"/>
    <n v="1"/>
    <n v="-4438.3198751548216"/>
    <n v="0"/>
    <m/>
    <n v="-173.88945454545456"/>
    <m/>
    <n v="-0.36607577571661731"/>
    <m/>
  </r>
  <r>
    <x v="4"/>
    <s v="Purchase"/>
    <x v="75"/>
    <x v="1"/>
    <x v="1"/>
    <x v="180"/>
    <n v="356.25709090909095"/>
    <x v="1"/>
    <n v="3"/>
    <n v="118.75236363636365"/>
    <n v="1"/>
    <n v="356.25709090909095"/>
    <n v="20.003699999999998"/>
    <n v="7126.4599694181825"/>
    <n v="113.899"/>
    <n v="125.276"/>
    <n v="1.0998000000000001"/>
    <n v="7837.6806743661182"/>
    <n v="2612.5602247887059"/>
    <m/>
    <n v="3"/>
    <s v="Sale"/>
    <x v="112"/>
    <x v="1"/>
    <n v="232.07"/>
    <n v="1"/>
    <n v="232.07"/>
    <n v="19.965199999999999"/>
    <n v="4633.3239640000002"/>
    <n v="7837.6806743661182"/>
    <n v="-3204.356710366118"/>
    <n v="1.1753424657534246"/>
    <n v="1"/>
    <n v="-3204.356710366118"/>
    <n v="0"/>
    <m/>
    <n v="-124.18709090909095"/>
    <m/>
    <n v="-0.34858840449236361"/>
    <m/>
  </r>
  <r>
    <x v="4"/>
    <s v="Purchase"/>
    <x v="75"/>
    <x v="1"/>
    <x v="1"/>
    <x v="180"/>
    <n v="237.50472727272728"/>
    <x v="1"/>
    <n v="2"/>
    <n v="118.75236363636364"/>
    <n v="1"/>
    <n v="237.50472727272728"/>
    <n v="20.003699999999998"/>
    <n v="4750.9733129454544"/>
    <n v="113.899"/>
    <n v="125.276"/>
    <n v="1.0998000000000001"/>
    <n v="5225.1204495774109"/>
    <n v="2612.5602247887055"/>
    <m/>
    <n v="2"/>
    <s v="Sale"/>
    <x v="112"/>
    <x v="1"/>
    <n v="150.02000000000001"/>
    <n v="1"/>
    <n v="150.02000000000001"/>
    <n v="19.965199999999999"/>
    <n v="2995.1793040000002"/>
    <n v="5225.1204495774109"/>
    <n v="-2229.9411455774107"/>
    <n v="1.1753424657534246"/>
    <n v="1"/>
    <n v="-2229.9411455774107"/>
    <n v="0"/>
    <m/>
    <n v="-87.48472727272727"/>
    <m/>
    <n v="-0.3683494146719376"/>
    <m/>
  </r>
  <r>
    <x v="4"/>
    <s v="Purchase"/>
    <x v="75"/>
    <x v="1"/>
    <x v="1"/>
    <x v="180"/>
    <n v="237.50472727272728"/>
    <x v="1"/>
    <n v="2"/>
    <n v="118.75236363636364"/>
    <n v="1"/>
    <n v="237.50472727272728"/>
    <n v="20.003699999999998"/>
    <n v="4750.9733129454544"/>
    <n v="113.899"/>
    <n v="125.276"/>
    <n v="1.0998000000000001"/>
    <n v="5225.1204495774109"/>
    <n v="2612.5602247887055"/>
    <m/>
    <n v="2"/>
    <s v="Sale"/>
    <x v="112"/>
    <x v="1"/>
    <n v="150.16"/>
    <n v="1"/>
    <n v="150.16"/>
    <n v="19.965199999999999"/>
    <n v="2997.974432"/>
    <n v="5225.1204495774109"/>
    <n v="-2227.1460175774109"/>
    <n v="1.1753424657534246"/>
    <n v="1"/>
    <n v="-2227.1460175774109"/>
    <n v="0"/>
    <m/>
    <n v="-87.344727272727283"/>
    <m/>
    <n v="-0.36775995272055834"/>
    <m/>
  </r>
  <r>
    <x v="4"/>
    <s v="Purchase"/>
    <x v="75"/>
    <x v="1"/>
    <x v="1"/>
    <x v="180"/>
    <n v="950.01890909090912"/>
    <x v="1"/>
    <n v="8"/>
    <n v="118.75236363636364"/>
    <n v="1"/>
    <n v="950.01890909090912"/>
    <n v="20.003699999999998"/>
    <n v="19003.893251781818"/>
    <n v="113.899"/>
    <n v="125.276"/>
    <n v="1.0998000000000001"/>
    <n v="20900.481798309644"/>
    <n v="2612.5602247887055"/>
    <m/>
    <n v="8"/>
    <s v="Sale"/>
    <x v="122"/>
    <x v="1"/>
    <n v="606.54"/>
    <n v="1"/>
    <n v="606.54"/>
    <n v="20.0352"/>
    <n v="12152.150207999999"/>
    <n v="20900.481798309644"/>
    <n v="-8748.3315903096445"/>
    <n v="1.178082191780822"/>
    <n v="1"/>
    <n v="-8748.3315903096445"/>
    <n v="0"/>
    <m/>
    <n v="-343.47890909090916"/>
    <m/>
    <n v="-0.36154955001852601"/>
    <m/>
  </r>
  <r>
    <x v="4"/>
    <s v="Purchase"/>
    <x v="75"/>
    <x v="1"/>
    <x v="1"/>
    <x v="180"/>
    <n v="950.01890909090912"/>
    <x v="1"/>
    <n v="8"/>
    <n v="118.75236363636364"/>
    <n v="1"/>
    <n v="950.01890909090912"/>
    <n v="20.003699999999998"/>
    <n v="19003.893251781818"/>
    <n v="113.899"/>
    <n v="125.276"/>
    <n v="1.0998000000000001"/>
    <n v="20900.481798309644"/>
    <n v="2612.5602247887055"/>
    <m/>
    <n v="8"/>
    <s v="Sale"/>
    <x v="122"/>
    <x v="1"/>
    <n v="609.70000000000005"/>
    <n v="1"/>
    <n v="609.70000000000005"/>
    <n v="20.0352"/>
    <n v="12215.461440000001"/>
    <n v="20900.481798309644"/>
    <n v="-8685.0203583096427"/>
    <n v="1.178082191780822"/>
    <n v="1"/>
    <n v="-8685.0203583096427"/>
    <n v="0"/>
    <m/>
    <n v="-340.31890909090907"/>
    <m/>
    <n v="-0.35822330043574252"/>
    <m/>
  </r>
  <r>
    <x v="4"/>
    <s v="Purchase"/>
    <x v="75"/>
    <x v="1"/>
    <x v="1"/>
    <x v="180"/>
    <n v="712.5141818181819"/>
    <x v="1"/>
    <n v="6"/>
    <n v="118.75236363636365"/>
    <n v="1"/>
    <n v="712.5141818181819"/>
    <n v="20.003699999999998"/>
    <n v="14252.919938836365"/>
    <n v="113.899"/>
    <n v="125.276"/>
    <n v="1.0998000000000001"/>
    <n v="15675.361348732236"/>
    <n v="2612.5602247887059"/>
    <m/>
    <n v="6"/>
    <s v="Sale"/>
    <x v="122"/>
    <x v="1"/>
    <n v="454.07142857142856"/>
    <n v="1"/>
    <n v="454.07142857142856"/>
    <n v="20.0352"/>
    <n v="9097.4118857142857"/>
    <n v="15675.361348732236"/>
    <n v="-6577.9494630179506"/>
    <n v="1.178082191780822"/>
    <n v="1"/>
    <n v="-6577.9494630179506"/>
    <n v="0"/>
    <m/>
    <n v="-258.44275324675334"/>
    <m/>
    <n v="-0.36271945154447788"/>
    <m/>
  </r>
  <r>
    <x v="4"/>
    <s v="Purchase"/>
    <x v="75"/>
    <x v="1"/>
    <x v="1"/>
    <x v="180"/>
    <n v="118.02555555555556"/>
    <x v="1"/>
    <n v="1"/>
    <n v="118.02555555555556"/>
    <n v="1"/>
    <n v="118.02555555555556"/>
    <n v="20.003699999999998"/>
    <n v="2360.9478056666667"/>
    <n v="113.899"/>
    <n v="125.276"/>
    <n v="1.0998000000000001"/>
    <n v="2596.5703966722003"/>
    <n v="2596.5703966722003"/>
    <m/>
    <n v="1"/>
    <s v="Sale"/>
    <x v="122"/>
    <x v="1"/>
    <n v="75.678571428571431"/>
    <n v="1"/>
    <n v="75.678571428571431"/>
    <n v="20.0352"/>
    <n v="1516.2353142857144"/>
    <n v="2596.5703966722003"/>
    <n v="-1080.335082386486"/>
    <n v="1.178082191780822"/>
    <n v="1"/>
    <n v="-1080.335082386486"/>
    <n v="0"/>
    <m/>
    <n v="-42.346984126984125"/>
    <m/>
    <n v="-0.35879504169799115"/>
    <m/>
  </r>
  <r>
    <x v="4"/>
    <s v="Purchase"/>
    <x v="75"/>
    <x v="1"/>
    <x v="1"/>
    <x v="180"/>
    <n v="354.07666666666665"/>
    <x v="1"/>
    <n v="3"/>
    <n v="118.02555555555556"/>
    <n v="1"/>
    <n v="354.07666666666665"/>
    <n v="20.003699999999998"/>
    <n v="7082.8434169999991"/>
    <n v="113.899"/>
    <n v="125.276"/>
    <n v="1.0998000000000001"/>
    <n v="7789.7111900166001"/>
    <n v="2596.5703966721999"/>
    <m/>
    <n v="3"/>
    <s v="Sale"/>
    <x v="122"/>
    <x v="1"/>
    <n v="229.93"/>
    <n v="1"/>
    <n v="229.93"/>
    <n v="20.0352"/>
    <n v="4606.6935359999998"/>
    <n v="7789.7111900166001"/>
    <n v="-3183.0176540166003"/>
    <n v="1.178082191780822"/>
    <n v="1"/>
    <n v="-3183.0176540166003"/>
    <n v="0"/>
    <m/>
    <n v="-124.14666666666665"/>
    <m/>
    <n v="-0.35062086365476397"/>
    <m/>
  </r>
  <r>
    <x v="4"/>
    <s v="Purchase"/>
    <x v="75"/>
    <x v="1"/>
    <x v="1"/>
    <x v="180"/>
    <n v="236.05111111111111"/>
    <x v="1"/>
    <n v="2"/>
    <n v="118.02555555555556"/>
    <n v="1"/>
    <n v="236.05111111111111"/>
    <n v="20.003699999999998"/>
    <n v="4721.8956113333334"/>
    <n v="113.899"/>
    <n v="125.276"/>
    <n v="1.0998000000000001"/>
    <n v="5193.1407933444007"/>
    <n v="2596.5703966722003"/>
    <m/>
    <n v="2"/>
    <s v="Sale"/>
    <x v="122"/>
    <x v="1"/>
    <n v="151.63999999999999"/>
    <n v="1"/>
    <n v="151.63999999999999"/>
    <n v="20.0352"/>
    <n v="3038.1377279999997"/>
    <n v="5193.1407933444007"/>
    <n v="-2155.003065344401"/>
    <n v="1.178082191780822"/>
    <n v="1"/>
    <n v="-2155.003065344401"/>
    <n v="0"/>
    <m/>
    <n v="-84.411111111111126"/>
    <m/>
    <n v="-0.35759675399866325"/>
    <m/>
  </r>
  <r>
    <x v="4"/>
    <s v="Purchase"/>
    <x v="75"/>
    <x v="1"/>
    <x v="1"/>
    <x v="180"/>
    <n v="118.02555555555556"/>
    <x v="1"/>
    <n v="1"/>
    <n v="118.02555555555556"/>
    <n v="1"/>
    <n v="118.02555555555556"/>
    <n v="20.003699999999998"/>
    <n v="2360.9478056666667"/>
    <n v="113.899"/>
    <n v="125.276"/>
    <n v="1.0998000000000001"/>
    <n v="2596.5703966722003"/>
    <n v="2596.5703966722003"/>
    <m/>
    <n v="1"/>
    <s v="Sale"/>
    <x v="122"/>
    <x v="1"/>
    <n v="75.680000000000007"/>
    <n v="1"/>
    <n v="75.680000000000007"/>
    <n v="20.0352"/>
    <n v="1516.2639360000001"/>
    <n v="2596.5703966722003"/>
    <n v="-1080.3064606722003"/>
    <n v="1.178082191780822"/>
    <n v="1"/>
    <n v="-1080.3064606722003"/>
    <n v="0"/>
    <m/>
    <n v="-42.345555555555549"/>
    <m/>
    <n v="-0.35878293778183629"/>
    <m/>
  </r>
  <r>
    <x v="4"/>
    <s v="Purchase"/>
    <x v="75"/>
    <x v="1"/>
    <x v="1"/>
    <x v="180"/>
    <n v="118.02555555555556"/>
    <x v="1"/>
    <n v="1"/>
    <n v="118.02555555555556"/>
    <n v="1"/>
    <n v="118.02555555555556"/>
    <n v="20.003699999999998"/>
    <n v="2360.9478056666667"/>
    <n v="113.899"/>
    <n v="125.276"/>
    <n v="1.0998000000000001"/>
    <n v="2596.5703966722003"/>
    <n v="2596.5703966722003"/>
    <m/>
    <n v="1"/>
    <s v="Sale"/>
    <x v="122"/>
    <x v="1"/>
    <n v="76.209999999999994"/>
    <n v="1"/>
    <n v="76.209999999999994"/>
    <n v="20.0352"/>
    <n v="1526.8825919999999"/>
    <n v="2596.5703966722003"/>
    <n v="-1069.6878046722004"/>
    <n v="1.178082191780822"/>
    <n v="1"/>
    <n v="-1069.6878046722004"/>
    <n v="0"/>
    <m/>
    <n v="-41.815555555555562"/>
    <m/>
    <n v="-0.35429238488839521"/>
    <m/>
  </r>
  <r>
    <x v="4"/>
    <s v="Purchase"/>
    <x v="75"/>
    <x v="1"/>
    <x v="1"/>
    <x v="180"/>
    <n v="118.02555555555556"/>
    <x v="1"/>
    <n v="1"/>
    <n v="118.02555555555556"/>
    <n v="1"/>
    <n v="118.02555555555556"/>
    <n v="20.003699999999998"/>
    <n v="2360.9478056666667"/>
    <n v="113.899"/>
    <n v="125.276"/>
    <n v="1.0998000000000001"/>
    <n v="2596.5703966722003"/>
    <n v="2596.5703966722003"/>
    <m/>
    <n v="1"/>
    <s v="Sale"/>
    <x v="122"/>
    <x v="1"/>
    <n v="76.650000000000006"/>
    <n v="1"/>
    <n v="76.650000000000006"/>
    <n v="20.0352"/>
    <n v="1535.6980800000001"/>
    <n v="2596.5703966722003"/>
    <n v="-1060.8723166722002"/>
    <n v="1.178082191780822"/>
    <n v="1"/>
    <n v="-1060.8723166722002"/>
    <n v="0"/>
    <m/>
    <n v="-41.37555555555555"/>
    <m/>
    <n v="-0.35056437871270812"/>
    <m/>
  </r>
  <r>
    <x v="4"/>
    <s v="Purchase"/>
    <x v="75"/>
    <x v="1"/>
    <x v="1"/>
    <x v="255"/>
    <n v="487.15199999999999"/>
    <x v="1"/>
    <n v="4"/>
    <n v="121.788"/>
    <n v="1"/>
    <n v="487.15199999999999"/>
    <n v="20.064800000000002"/>
    <n v="9774.6074496000001"/>
    <n v="113.899"/>
    <n v="125.276"/>
    <n v="1.0998000000000001"/>
    <n v="10750.113273070081"/>
    <n v="2687.5283182675203"/>
    <m/>
    <n v="4"/>
    <s v="Sale"/>
    <x v="118"/>
    <x v="1"/>
    <n v="310.13"/>
    <n v="1"/>
    <n v="310.13"/>
    <n v="20.0398"/>
    <n v="6214.943174"/>
    <n v="10750.113273070081"/>
    <n v="-4535.1700990700811"/>
    <n v="1.1835616438356165"/>
    <n v="1"/>
    <n v="-4535.1700990700811"/>
    <n v="0"/>
    <m/>
    <n v="-177.02199999999999"/>
    <m/>
    <n v="-0.36338144973232173"/>
    <m/>
  </r>
  <r>
    <x v="4"/>
    <s v="Purchase"/>
    <x v="75"/>
    <x v="1"/>
    <x v="1"/>
    <x v="255"/>
    <n v="121.788"/>
    <x v="1"/>
    <n v="1"/>
    <n v="121.788"/>
    <n v="1"/>
    <n v="121.788"/>
    <n v="20.064800000000002"/>
    <n v="2443.6518624"/>
    <n v="113.899"/>
    <n v="125.276"/>
    <n v="1.0998000000000001"/>
    <n v="2687.5283182675203"/>
    <n v="2687.5283182675203"/>
    <m/>
    <n v="1"/>
    <s v="Sale"/>
    <x v="118"/>
    <x v="1"/>
    <n v="77.540000000000006"/>
    <n v="1"/>
    <n v="77.540000000000006"/>
    <n v="20.0398"/>
    <n v="1553.8860920000002"/>
    <n v="2687.5283182675203"/>
    <n v="-1133.6422262675201"/>
    <n v="1.1835616438356165"/>
    <n v="1"/>
    <n v="-1133.6422262675201"/>
    <n v="0"/>
    <m/>
    <n v="-44.24799999999999"/>
    <m/>
    <n v="-0.36331986731040816"/>
    <m/>
  </r>
  <r>
    <x v="4"/>
    <s v="Purchase"/>
    <x v="191"/>
    <x v="2"/>
    <x v="1"/>
    <x v="95"/>
    <n v="4920.6162962962962"/>
    <x v="2"/>
    <n v="63"/>
    <n v="78.105020576131693"/>
    <n v="1"/>
    <n v="4920.6162962962962"/>
    <n v="22.4573"/>
    <n v="110503.75635081482"/>
    <n v="108.114"/>
    <n v="122.94799999999999"/>
    <n v="1.1372"/>
    <n v="125664.87172214661"/>
    <n v="1994.6805035261366"/>
    <m/>
    <n v="63"/>
    <s v="Sale"/>
    <x v="94"/>
    <x v="1"/>
    <n v="5153.0936301369866"/>
    <n v="1"/>
    <n v="5153.0936301369866"/>
    <n v="20.348500000000001"/>
    <n v="104857.72573284247"/>
    <n v="125664.87172214661"/>
    <n v="-20807.145989304132"/>
    <n v="1.8383561643835618"/>
    <n v="1"/>
    <n v="-20807.145989304132"/>
    <n v="0"/>
    <m/>
    <n v="232.47733384069033"/>
    <m/>
    <n v="4.7245572473446858E-2"/>
    <m/>
  </r>
  <r>
    <x v="4"/>
    <s v="Purchase"/>
    <x v="191"/>
    <x v="2"/>
    <x v="1"/>
    <x v="81"/>
    <n v="6503.4649999999992"/>
    <x v="2"/>
    <n v="83"/>
    <n v="78.35499999999999"/>
    <n v="1"/>
    <n v="6503.4649999999992"/>
    <n v="21.034500000000001"/>
    <n v="136797.13454249999"/>
    <n v="108.85599999999999"/>
    <n v="122.94799999999999"/>
    <n v="1.1294"/>
    <n v="154498.68375229949"/>
    <n v="1861.4299247264998"/>
    <m/>
    <n v="83"/>
    <s v="Sale"/>
    <x v="94"/>
    <x v="1"/>
    <n v="6788.9963698630136"/>
    <n v="1"/>
    <n v="6788.9963698630136"/>
    <n v="20.348500000000001"/>
    <n v="138145.89263215754"/>
    <n v="154498.68375229949"/>
    <n v="-16352.791120141948"/>
    <n v="1.736986301369863"/>
    <n v="1"/>
    <n v="-16352.791120141948"/>
    <n v="0"/>
    <m/>
    <n v="285.53136986301433"/>
    <m/>
    <n v="4.3904498580835657E-2"/>
    <m/>
  </r>
  <r>
    <x v="4"/>
    <s v="Purchase"/>
    <x v="191"/>
    <x v="2"/>
    <x v="1"/>
    <x v="81"/>
    <n v="1958.8749999999998"/>
    <x v="2"/>
    <n v="25"/>
    <n v="78.35499999999999"/>
    <n v="1"/>
    <n v="1958.8749999999998"/>
    <n v="21.034500000000001"/>
    <n v="41203.9561875"/>
    <n v="108.85599999999999"/>
    <n v="122.94799999999999"/>
    <n v="1.1294"/>
    <n v="46535.748118162497"/>
    <n v="1861.4299247264998"/>
    <m/>
    <n v="25"/>
    <s v="Sale"/>
    <x v="94"/>
    <x v="1"/>
    <n v="2062.11"/>
    <n v="1"/>
    <n v="2062.11"/>
    <n v="20.348500000000001"/>
    <n v="41960.845335000005"/>
    <n v="46535.748118162497"/>
    <n v="-4574.9027831624917"/>
    <n v="1.736986301369863"/>
    <n v="1"/>
    <n v="-4574.9027831624917"/>
    <n v="0"/>
    <m/>
    <n v="103.23500000000035"/>
    <m/>
    <n v="5.2701167762108543E-2"/>
    <m/>
  </r>
  <r>
    <x v="4"/>
    <s v="Purchase"/>
    <x v="191"/>
    <x v="2"/>
    <x v="1"/>
    <x v="81"/>
    <n v="626.83999999999992"/>
    <x v="2"/>
    <n v="8"/>
    <n v="78.35499999999999"/>
    <n v="1"/>
    <n v="626.83999999999992"/>
    <n v="21.034500000000001"/>
    <n v="13185.265979999998"/>
    <n v="108.85599999999999"/>
    <n v="122.94799999999999"/>
    <n v="1.1294"/>
    <n v="14891.439397811997"/>
    <n v="1861.4299247264996"/>
    <m/>
    <n v="8"/>
    <s v="Sale"/>
    <x v="94"/>
    <x v="1"/>
    <n v="660.98"/>
    <n v="1"/>
    <n v="660.98"/>
    <n v="20.348500000000001"/>
    <n v="13449.951530000002"/>
    <n v="14891.439397811997"/>
    <n v="-1441.4878678119949"/>
    <n v="1.736986301369863"/>
    <n v="1"/>
    <n v="-1441.4878678119949"/>
    <n v="0"/>
    <m/>
    <n v="34.1400000000001"/>
    <m/>
    <n v="5.4463658987939673E-2"/>
    <m/>
  </r>
  <r>
    <x v="4"/>
    <s v="Purchase"/>
    <x v="191"/>
    <x v="2"/>
    <x v="1"/>
    <x v="81"/>
    <n v="626.83999999999992"/>
    <x v="2"/>
    <n v="8"/>
    <n v="78.35499999999999"/>
    <n v="1"/>
    <n v="626.83999999999992"/>
    <n v="21.034500000000001"/>
    <n v="13185.265979999998"/>
    <n v="108.85599999999999"/>
    <n v="122.94799999999999"/>
    <n v="1.1294"/>
    <n v="14891.439397811997"/>
    <n v="1861.4299247264996"/>
    <m/>
    <n v="8"/>
    <s v="Sale"/>
    <x v="94"/>
    <x v="1"/>
    <n v="660.98"/>
    <n v="1"/>
    <n v="660.98"/>
    <n v="20.348500000000001"/>
    <n v="13449.951530000002"/>
    <n v="14891.439397811997"/>
    <n v="-1441.4878678119949"/>
    <n v="1.736986301369863"/>
    <n v="1"/>
    <n v="-1441.4878678119949"/>
    <n v="0"/>
    <m/>
    <n v="34.1400000000001"/>
    <m/>
    <n v="5.4463658987939673E-2"/>
    <m/>
  </r>
  <r>
    <x v="4"/>
    <s v="Purchase"/>
    <x v="192"/>
    <x v="2"/>
    <x v="1"/>
    <x v="256"/>
    <n v="15088.900621468927"/>
    <x v="2"/>
    <n v="206"/>
    <n v="73.247090395480228"/>
    <n v="1"/>
    <n v="15088.900621468927"/>
    <n v="20.624199999999998"/>
    <n v="311196.50419729942"/>
    <n v="116.884"/>
    <n v="124.571"/>
    <n v="1.0657000000000001"/>
    <n v="331642.11452306202"/>
    <n v="1609.9131772964176"/>
    <m/>
    <n v="206"/>
    <s v="Sale"/>
    <x v="121"/>
    <x v="1"/>
    <n v="7787.2788596491228"/>
    <n v="1"/>
    <n v="7787.2788596491228"/>
    <n v="19.975200000000001"/>
    <n v="155552.45267726315"/>
    <n v="331642.11452306202"/>
    <n v="-176089.66184579887"/>
    <n v="0.92602739726027394"/>
    <n v="1"/>
    <n v="-176089.66184579887"/>
    <n v="0"/>
    <m/>
    <n v="-7301.6217618198043"/>
    <m/>
    <n v="-0.48390680971354827"/>
    <m/>
  </r>
  <r>
    <x v="4"/>
    <s v="Purchase"/>
    <x v="192"/>
    <x v="2"/>
    <x v="1"/>
    <x v="257"/>
    <n v="1081.02"/>
    <x v="2"/>
    <n v="15"/>
    <n v="72.067999999999998"/>
    <n v="1"/>
    <n v="1081.02"/>
    <n v="20.326499999999999"/>
    <n v="21973.353029999998"/>
    <n v="116.884"/>
    <n v="124.571"/>
    <n v="1.0657000000000001"/>
    <n v="23417.002324071"/>
    <n v="1561.1334882714"/>
    <m/>
    <n v="15"/>
    <s v="Sale"/>
    <x v="121"/>
    <x v="1"/>
    <n v="567.03486842105258"/>
    <n v="1"/>
    <n v="567.03486842105258"/>
    <n v="19.975200000000001"/>
    <n v="11326.634903684209"/>
    <n v="23417.002324071"/>
    <n v="-12090.36742038679"/>
    <n v="0.92054794520547945"/>
    <n v="1"/>
    <n v="-12090.36742038679"/>
    <n v="0"/>
    <m/>
    <n v="-513.9851315789474"/>
    <m/>
    <n v="-0.4754631103762626"/>
    <m/>
  </r>
  <r>
    <x v="4"/>
    <s v="Purchase"/>
    <x v="192"/>
    <x v="2"/>
    <x v="1"/>
    <x v="257"/>
    <n v="508.53452631578949"/>
    <x v="2"/>
    <n v="7"/>
    <n v="72.647789473684213"/>
    <n v="1"/>
    <n v="508.53452631578949"/>
    <n v="20.326499999999999"/>
    <n v="10336.727049157895"/>
    <n v="116.884"/>
    <n v="124.571"/>
    <n v="1.0657000000000001"/>
    <n v="11015.85001628757"/>
    <n v="1573.6928594696528"/>
    <m/>
    <n v="7"/>
    <s v="Sale"/>
    <x v="121"/>
    <x v="1"/>
    <n v="264.61627192982456"/>
    <n v="1"/>
    <n v="264.61627192982456"/>
    <n v="19.975200000000001"/>
    <n v="5285.7629550526317"/>
    <n v="11015.85001628757"/>
    <n v="-5730.0870612349381"/>
    <n v="0.92054794520547945"/>
    <n v="1"/>
    <n v="-5730.0870612349381"/>
    <n v="0"/>
    <m/>
    <n v="-243.91825438596493"/>
    <m/>
    <n v="-0.47964934879268495"/>
    <m/>
  </r>
  <r>
    <x v="4"/>
    <s v="Purchase"/>
    <x v="192"/>
    <x v="2"/>
    <x v="1"/>
    <x v="257"/>
    <n v="13294.545473684211"/>
    <x v="2"/>
    <n v="183"/>
    <n v="72.647789473684213"/>
    <n v="1"/>
    <n v="13294.545473684211"/>
    <n v="20.326499999999999"/>
    <n v="270231.5785708421"/>
    <n v="116.884"/>
    <n v="124.571"/>
    <n v="1.0657000000000001"/>
    <n v="287985.79328294646"/>
    <n v="1573.6928594696528"/>
    <m/>
    <n v="183"/>
    <s v="Sale"/>
    <x v="110"/>
    <x v="1"/>
    <n v="7031.1174874371854"/>
    <n v="1"/>
    <n v="7031.1174874371854"/>
    <n v="20.127199999999998"/>
    <n v="141516.70789314571"/>
    <n v="287985.79328294646"/>
    <n v="-146469.08538980075"/>
    <n v="0.9452054794520548"/>
    <n v="1"/>
    <n v="-146469.08538980075"/>
    <n v="0"/>
    <m/>
    <n v="-6263.4279862470257"/>
    <m/>
    <n v="-0.47112765146015118"/>
    <m/>
  </r>
  <r>
    <x v="4"/>
    <s v="Purchase"/>
    <x v="192"/>
    <x v="2"/>
    <x v="1"/>
    <x v="258"/>
    <n v="1181.0018461538461"/>
    <x v="2"/>
    <n v="16"/>
    <n v="73.812615384615384"/>
    <n v="1"/>
    <n v="1181.0018461538461"/>
    <n v="20.470199999999998"/>
    <n v="24175.343991138459"/>
    <n v="116.884"/>
    <n v="124.571"/>
    <n v="1.0657000000000001"/>
    <n v="25763.664091356259"/>
    <n v="1610.2290057097662"/>
    <m/>
    <n v="16"/>
    <s v="Sale"/>
    <x v="110"/>
    <x v="1"/>
    <n v="614.742512562814"/>
    <n v="1"/>
    <n v="614.742512562814"/>
    <n v="20.127199999999998"/>
    <n v="12373.04549885427"/>
    <n v="25763.664091356259"/>
    <n v="-13390.618592501989"/>
    <n v="0.9397260273972603"/>
    <n v="1"/>
    <n v="-13390.618592501989"/>
    <n v="0"/>
    <m/>
    <n v="-566.25933359103215"/>
    <m/>
    <n v="-0.47947370737409245"/>
    <m/>
  </r>
  <r>
    <x v="4"/>
    <s v="Purchase"/>
    <x v="193"/>
    <x v="2"/>
    <x v="1"/>
    <x v="259"/>
    <n v="10037.037317073171"/>
    <x v="2"/>
    <n v="19"/>
    <n v="528.2651219512195"/>
    <n v="1"/>
    <n v="10037.037317073171"/>
    <n v="19.9377"/>
    <n v="200115.43891660977"/>
    <n v="120.809"/>
    <n v="124.571"/>
    <n v="1.0310999999999999"/>
    <n v="206339.02906691632"/>
    <n v="10859.948898258754"/>
    <m/>
    <n v="19"/>
    <s v="Sale"/>
    <x v="109"/>
    <x v="1"/>
    <n v="10115.959999999999"/>
    <n v="1"/>
    <n v="10115.959999999999"/>
    <n v="19.871200000000002"/>
    <n v="201016.264352"/>
    <n v="206339.02906691632"/>
    <n v="-5322.764714916324"/>
    <n v="0.52054794520547942"/>
    <n v="1"/>
    <n v="-5322.764714916324"/>
    <n v="0"/>
    <m/>
    <n v="78.922682926828202"/>
    <m/>
    <n v="7.8631453120712597E-3"/>
    <m/>
  </r>
  <r>
    <x v="4"/>
    <s v="Purchase"/>
    <x v="194"/>
    <x v="2"/>
    <x v="1"/>
    <x v="260"/>
    <n v="823.65"/>
    <x v="2"/>
    <n v="2"/>
    <n v="411.82499999999999"/>
    <n v="1"/>
    <n v="823.65"/>
    <n v="20.5152"/>
    <n v="16897.34448"/>
    <n v="123.803"/>
    <n v="124.571"/>
    <n v="1.0062"/>
    <n v="17002.108015776001"/>
    <n v="8501.0540078880003"/>
    <m/>
    <n v="2"/>
    <s v="Sale"/>
    <x v="110"/>
    <x v="1"/>
    <n v="496.79311475409838"/>
    <n v="1"/>
    <n v="496.79311475409838"/>
    <n v="20.127199999999998"/>
    <n v="9999.0543792786884"/>
    <n v="17002.108015776001"/>
    <n v="-7003.0536364973123"/>
    <n v="0.21369863013698631"/>
    <n v="1"/>
    <n v="-7003.0536364973123"/>
    <n v="0"/>
    <m/>
    <n v="-326.85688524590159"/>
    <m/>
    <n v="-0.39683953772342817"/>
    <m/>
  </r>
  <r>
    <x v="4"/>
    <s v="Purchase"/>
    <x v="194"/>
    <x v="2"/>
    <x v="1"/>
    <x v="260"/>
    <n v="2081.35"/>
    <x v="2"/>
    <n v="5"/>
    <n v="416.27"/>
    <n v="1"/>
    <n v="2081.35"/>
    <n v="20.5152"/>
    <n v="42699.311519999996"/>
    <n v="123.803"/>
    <n v="124.571"/>
    <n v="1.0062"/>
    <n v="42964.047251423995"/>
    <n v="8592.8094502847998"/>
    <m/>
    <n v="5"/>
    <s v="Sale"/>
    <x v="110"/>
    <x v="1"/>
    <n v="1241.982786885246"/>
    <n v="1"/>
    <n v="1241.982786885246"/>
    <n v="20.127199999999998"/>
    <n v="24997.635948196723"/>
    <n v="42964.047251423995"/>
    <n v="-17966.411303227273"/>
    <n v="0.21369863013698631"/>
    <n v="1"/>
    <n v="-17966.411303227273"/>
    <n v="0"/>
    <m/>
    <n v="-839.36721311475389"/>
    <m/>
    <n v="-0.40328018503123164"/>
    <m/>
  </r>
  <r>
    <x v="4"/>
    <s v="Purchase"/>
    <x v="194"/>
    <x v="2"/>
    <x v="1"/>
    <x v="260"/>
    <n v="4579.55"/>
    <x v="2"/>
    <n v="11"/>
    <n v="416.32272727272726"/>
    <n v="1"/>
    <n v="4579.55"/>
    <n v="20.5152"/>
    <n v="93950.384160000001"/>
    <n v="123.803"/>
    <n v="124.571"/>
    <n v="1.0062"/>
    <n v="94532.876541791993"/>
    <n v="8593.8978674356349"/>
    <m/>
    <n v="11"/>
    <s v="Sale"/>
    <x v="110"/>
    <x v="1"/>
    <n v="2732.3621311475413"/>
    <n v="1"/>
    <n v="2732.3621311475413"/>
    <n v="20.127199999999998"/>
    <n v="54994.799086032792"/>
    <n v="94532.876541791979"/>
    <n v="-39538.077455759187"/>
    <n v="0.21369863013698631"/>
    <n v="1"/>
    <n v="-39538.077455759187"/>
    <n v="0"/>
    <m/>
    <n v="-1847.1878688524589"/>
    <m/>
    <n v="-0.40335575959482017"/>
    <m/>
  </r>
  <r>
    <x v="4"/>
    <s v="Purchase"/>
    <x v="194"/>
    <x v="2"/>
    <x v="1"/>
    <x v="260"/>
    <n v="9144.34"/>
    <x v="2"/>
    <n v="22"/>
    <n v="415.65181818181821"/>
    <n v="1"/>
    <n v="9144.34"/>
    <n v="20.5152"/>
    <n v="187597.963968"/>
    <n v="123.803"/>
    <n v="124.571"/>
    <n v="1.0062"/>
    <n v="188761.0713446016"/>
    <n v="8580.0486974818905"/>
    <m/>
    <n v="22"/>
    <s v="Sale"/>
    <x v="110"/>
    <x v="1"/>
    <n v="5464.7242622950826"/>
    <n v="1"/>
    <n v="5464.7242622950826"/>
    <n v="20.127199999999998"/>
    <n v="109989.59817206558"/>
    <n v="188761.0713446016"/>
    <n v="-78771.473172536018"/>
    <n v="0.21369863013698631"/>
    <n v="1"/>
    <n v="-78771.473172536018"/>
    <n v="0"/>
    <m/>
    <n v="-3679.6157377049176"/>
    <m/>
    <n v="-0.402392708244107"/>
    <m/>
  </r>
  <r>
    <x v="4"/>
    <s v="Purchase"/>
    <x v="194"/>
    <x v="2"/>
    <x v="1"/>
    <x v="261"/>
    <n v="384.89"/>
    <x v="2"/>
    <n v="1"/>
    <n v="384.89"/>
    <n v="1"/>
    <n v="384.89"/>
    <n v="20.055"/>
    <n v="7718.9689499999995"/>
    <n v="124.571"/>
    <n v="124.571"/>
    <n v="1"/>
    <n v="7718.9689499999995"/>
    <n v="7718.9689499999995"/>
    <m/>
    <n v="1"/>
    <s v="Sale"/>
    <x v="110"/>
    <x v="1"/>
    <n v="248.39655737704919"/>
    <n v="1"/>
    <n v="248.39655737704919"/>
    <n v="20.127199999999998"/>
    <n v="4999.5271896393442"/>
    <n v="7718.9689499999995"/>
    <n v="-2719.4417603606553"/>
    <n v="9.8630136986301367E-2"/>
    <n v="1"/>
    <n v="-2719.4417603606553"/>
    <n v="0"/>
    <m/>
    <n v="-136.49344262295079"/>
    <m/>
    <n v="-0.35462974518161239"/>
    <m/>
  </r>
  <r>
    <x v="4"/>
    <s v="Purchase"/>
    <x v="194"/>
    <x v="2"/>
    <x v="1"/>
    <x v="261"/>
    <n v="7749.09"/>
    <x v="2"/>
    <n v="20"/>
    <n v="387.4545"/>
    <n v="1"/>
    <n v="7749.09"/>
    <n v="20.055"/>
    <n v="155407.99995"/>
    <n v="124.571"/>
    <n v="124.571"/>
    <n v="1"/>
    <n v="155407.99995"/>
    <n v="7770.3999974999997"/>
    <m/>
    <n v="20"/>
    <s v="Sale"/>
    <x v="110"/>
    <x v="1"/>
    <n v="4967.9311475409841"/>
    <n v="1"/>
    <n v="4967.9311475409841"/>
    <n v="20.127199999999998"/>
    <n v="99990.543792786892"/>
    <n v="155407.99995"/>
    <n v="-55417.456157213106"/>
    <n v="9.8630136986301367E-2"/>
    <n v="1"/>
    <n v="-55417.456157213106"/>
    <n v="0"/>
    <m/>
    <n v="-2781.1588524590161"/>
    <m/>
    <n v="-0.35890134873372437"/>
    <m/>
  </r>
  <r>
    <x v="0"/>
    <m/>
    <x v="0"/>
    <x v="0"/>
    <x v="0"/>
    <x v="0"/>
    <m/>
    <x v="0"/>
    <n v="0"/>
    <n v="0"/>
    <n v="0"/>
    <n v="0"/>
    <n v="0"/>
    <n v="0"/>
    <n v="0"/>
    <n v="0"/>
    <n v="0"/>
    <n v="0"/>
    <n v="0"/>
    <m/>
    <m/>
    <m/>
    <x v="0"/>
    <x v="0"/>
    <m/>
    <n v="0"/>
    <n v="0"/>
    <n v="0"/>
    <n v="0"/>
    <n v="0"/>
    <n v="0"/>
    <n v="0"/>
    <n v="1"/>
    <n v="0"/>
    <n v="0"/>
    <m/>
    <n v="0"/>
    <m/>
    <n v="0"/>
    <m/>
  </r>
  <r>
    <x v="4"/>
    <s v="Purchase"/>
    <x v="195"/>
    <x v="2"/>
    <x v="1"/>
    <x v="262"/>
    <n v="1591.81"/>
    <x v="2"/>
    <n v="40"/>
    <n v="39.795249999999996"/>
    <n v="1"/>
    <n v="1591.81"/>
    <n v="20.425699999999999"/>
    <n v="32513.833516999999"/>
    <n v="120.15900000000001"/>
    <n v="118.98099999999999"/>
    <n v="1"/>
    <n v="32513.833516999999"/>
    <n v="812.84583792499996"/>
    <m/>
    <n v="40"/>
    <s v="Sale"/>
    <x v="123"/>
    <x v="1"/>
    <n v="921.15"/>
    <n v="1"/>
    <n v="921.15"/>
    <n v="20.7193"/>
    <n v="19085.583194999999"/>
    <n v="32513.833516999999"/>
    <n v="-13428.250322"/>
    <n v="5.4794520547945206E-3"/>
    <n v="1"/>
    <n v="-13428.250322"/>
    <n v="0"/>
    <m/>
    <n v="-670.66"/>
    <m/>
    <n v="-0.4213191272827787"/>
    <m/>
  </r>
  <r>
    <x v="4"/>
    <s v="Purchase"/>
    <x v="195"/>
    <x v="2"/>
    <x v="1"/>
    <x v="262"/>
    <n v="318.36199999999997"/>
    <x v="2"/>
    <n v="8"/>
    <n v="39.795249999999996"/>
    <n v="1"/>
    <n v="318.36199999999997"/>
    <n v="20.425699999999999"/>
    <n v="6502.7667033999987"/>
    <n v="120.15900000000001"/>
    <n v="118.98099999999999"/>
    <n v="1"/>
    <n v="6502.7667033999987"/>
    <n v="812.84583792499984"/>
    <m/>
    <n v="8"/>
    <s v="Sale"/>
    <x v="63"/>
    <x v="1"/>
    <n v="187.38"/>
    <n v="1"/>
    <n v="187.38"/>
    <n v="20.703299999999999"/>
    <n v="3879.3843539999998"/>
    <n v="6502.7667033999987"/>
    <n v="-2623.3823493999989"/>
    <n v="1.3698630136986301E-2"/>
    <n v="1"/>
    <n v="-2623.3823493999989"/>
    <n v="0"/>
    <m/>
    <n v="-130.98199999999997"/>
    <m/>
    <n v="-0.41142473033841975"/>
    <m/>
  </r>
  <r>
    <x v="4"/>
    <s v="Purchase"/>
    <x v="195"/>
    <x v="2"/>
    <x v="1"/>
    <x v="262"/>
    <n v="397.95249999999999"/>
    <x v="2"/>
    <n v="10"/>
    <n v="39.795249999999996"/>
    <n v="1"/>
    <n v="397.95249999999999"/>
    <n v="20.425699999999999"/>
    <n v="8128.4583792499998"/>
    <n v="120.15900000000001"/>
    <n v="118.98099999999999"/>
    <n v="1"/>
    <n v="8128.4583792499998"/>
    <n v="812.84583792499996"/>
    <m/>
    <n v="10"/>
    <s v="Sale"/>
    <x v="63"/>
    <x v="1"/>
    <n v="234.59"/>
    <n v="1"/>
    <n v="234.59"/>
    <n v="20.703299999999999"/>
    <n v="4856.787147"/>
    <n v="8128.4583792499998"/>
    <n v="-3271.6712322499998"/>
    <n v="1.3698630136986301E-2"/>
    <n v="1"/>
    <n v="-3271.6712322499998"/>
    <n v="0"/>
    <m/>
    <n v="-163.36249999999998"/>
    <m/>
    <n v="-0.41050753544706964"/>
    <m/>
  </r>
  <r>
    <x v="4"/>
    <s v="Purchase"/>
    <x v="195"/>
    <x v="2"/>
    <x v="1"/>
    <x v="262"/>
    <n v="79.590499999999992"/>
    <x v="2"/>
    <n v="2"/>
    <n v="39.795249999999996"/>
    <n v="1"/>
    <n v="79.590499999999992"/>
    <n v="20.425699999999999"/>
    <n v="1625.6916758499997"/>
    <n v="120.15900000000001"/>
    <n v="118.98099999999999"/>
    <n v="1"/>
    <n v="1625.6916758499997"/>
    <n v="812.84583792499984"/>
    <m/>
    <n v="2"/>
    <s v="Sale"/>
    <x v="13"/>
    <x v="1"/>
    <n v="44.97"/>
    <n v="1"/>
    <n v="44.97"/>
    <n v="20.926200000000001"/>
    <n v="941.05121400000007"/>
    <n v="1625.6916758499997"/>
    <n v="-684.64046184999961"/>
    <n v="1.643835616438356E-2"/>
    <n v="1"/>
    <n v="-684.64046184999961"/>
    <n v="0"/>
    <m/>
    <n v="-34.620499999999993"/>
    <m/>
    <n v="-0.43498281830117913"/>
    <m/>
  </r>
  <r>
    <x v="4"/>
    <s v="Purchase"/>
    <x v="195"/>
    <x v="2"/>
    <x v="1"/>
    <x v="262"/>
    <n v="119.38574999999999"/>
    <x v="2"/>
    <n v="3"/>
    <n v="39.795249999999996"/>
    <n v="1"/>
    <n v="119.38574999999999"/>
    <n v="20.425699999999999"/>
    <n v="2438.5375137749998"/>
    <n v="120.15900000000001"/>
    <n v="118.98099999999999"/>
    <n v="1"/>
    <n v="2438.5375137749998"/>
    <n v="812.84583792499996"/>
    <m/>
    <n v="3"/>
    <s v="Sale"/>
    <x v="13"/>
    <x v="1"/>
    <n v="66.510000000000005"/>
    <n v="1"/>
    <n v="66.510000000000005"/>
    <n v="20.926200000000001"/>
    <n v="1391.8015620000001"/>
    <n v="2438.5375137749998"/>
    <n v="-1046.7359517749996"/>
    <n v="1.643835616438356E-2"/>
    <n v="1"/>
    <n v="-1046.7359517749996"/>
    <n v="0"/>
    <m/>
    <n v="-52.875749999999982"/>
    <m/>
    <n v="-0.44289833585666621"/>
    <m/>
  </r>
  <r>
    <x v="4"/>
    <s v="Purchase"/>
    <x v="195"/>
    <x v="2"/>
    <x v="1"/>
    <x v="262"/>
    <n v="79.590499999999992"/>
    <x v="2"/>
    <n v="2"/>
    <n v="39.795249999999996"/>
    <n v="1"/>
    <n v="79.590499999999992"/>
    <n v="20.425699999999999"/>
    <n v="1625.6916758499997"/>
    <n v="120.15900000000001"/>
    <n v="118.98099999999999"/>
    <n v="1"/>
    <n v="1625.6916758499997"/>
    <n v="812.84583792499984"/>
    <m/>
    <n v="2"/>
    <s v="Sale"/>
    <x v="41"/>
    <x v="1"/>
    <n v="44.81"/>
    <n v="1"/>
    <n v="44.81"/>
    <n v="21.194700000000001"/>
    <n v="949.73450700000012"/>
    <n v="1625.6916758499997"/>
    <n v="-675.95716884999956"/>
    <n v="1.9178082191780823E-2"/>
    <n v="1"/>
    <n v="-675.95716884999956"/>
    <n v="0"/>
    <m/>
    <n v="-34.780499999999989"/>
    <m/>
    <n v="-0.43699310847400119"/>
    <m/>
  </r>
  <r>
    <x v="0"/>
    <m/>
    <x v="0"/>
    <x v="0"/>
    <x v="0"/>
    <x v="0"/>
    <m/>
    <x v="0"/>
    <n v="0"/>
    <n v="0"/>
    <n v="0"/>
    <n v="0"/>
    <n v="0"/>
    <n v="0"/>
    <n v="0"/>
    <n v="0"/>
    <n v="0"/>
    <n v="0"/>
    <n v="0"/>
    <m/>
    <m/>
    <m/>
    <x v="0"/>
    <x v="0"/>
    <m/>
    <n v="0"/>
    <n v="0"/>
    <n v="0"/>
    <n v="0"/>
    <n v="0"/>
    <n v="0"/>
    <n v="0"/>
    <n v="1"/>
    <n v="0"/>
    <n v="0"/>
    <m/>
    <n v="0"/>
    <m/>
    <n v="0"/>
    <m/>
  </r>
  <r>
    <x v="4"/>
    <s v="Purchase"/>
    <x v="186"/>
    <x v="2"/>
    <x v="1"/>
    <x v="263"/>
    <n v="236.84385964912281"/>
    <x v="2"/>
    <n v="5"/>
    <n v="47.368771929824561"/>
    <n v="1"/>
    <n v="236.84385964912281"/>
    <n v="19.779299999999999"/>
    <n v="4684.6057531578945"/>
    <n v="110.21"/>
    <n v="118.002"/>
    <n v="1.0707"/>
    <n v="5015.8073799061576"/>
    <n v="1003.1614759812315"/>
    <m/>
    <n v="5"/>
    <s v="Sale"/>
    <x v="50"/>
    <x v="1"/>
    <n v="296.20416666666665"/>
    <n v="1"/>
    <n v="296.20416666666665"/>
    <n v="20.5562"/>
    <n v="6088.8320908333335"/>
    <n v="5015.8073799061576"/>
    <n v="1073.0247109271759"/>
    <n v="1.0575342465753426"/>
    <n v="1"/>
    <n v="1073.0247109271759"/>
    <n v="0"/>
    <m/>
    <n v="59.360307017543846"/>
    <m/>
    <n v="0.25063055088480818"/>
    <m/>
  </r>
  <r>
    <x v="4"/>
    <s v="Purchase"/>
    <x v="186"/>
    <x v="2"/>
    <x v="1"/>
    <x v="264"/>
    <n v="920.75433962264162"/>
    <x v="2"/>
    <n v="19"/>
    <n v="48.460754716981135"/>
    <n v="1"/>
    <n v="920.75433962264162"/>
    <n v="19.757000000000001"/>
    <n v="18191.343487924532"/>
    <n v="110.21"/>
    <n v="118.002"/>
    <n v="1.0707"/>
    <n v="19477.471472520796"/>
    <n v="1025.1300775010945"/>
    <m/>
    <n v="19"/>
    <s v="Sale"/>
    <x v="50"/>
    <x v="1"/>
    <n v="1125.5758333333333"/>
    <n v="1"/>
    <n v="1125.5758333333333"/>
    <n v="20.5562"/>
    <n v="23137.561945166668"/>
    <n v="19477.471472520796"/>
    <n v="3660.0904726458721"/>
    <n v="1.0520547945205478"/>
    <n v="1"/>
    <n v="3660.0904726458721"/>
    <n v="0"/>
    <m/>
    <n v="204.8214937106917"/>
    <m/>
    <n v="0.22244966425532672"/>
    <m/>
  </r>
  <r>
    <x v="4"/>
    <s v="Purchase"/>
    <x v="186"/>
    <x v="2"/>
    <x v="1"/>
    <x v="264"/>
    <n v="193.84301886792454"/>
    <x v="2"/>
    <n v="4"/>
    <n v="48.460754716981135"/>
    <n v="1"/>
    <n v="193.84301886792454"/>
    <n v="19.757000000000001"/>
    <n v="3829.7565237735853"/>
    <n v="110.21"/>
    <n v="118.002"/>
    <n v="1.0707"/>
    <n v="4100.5203100043773"/>
    <n v="1025.1300775010943"/>
    <m/>
    <n v="4"/>
    <s v="Sale"/>
    <x v="50"/>
    <x v="1"/>
    <n v="238.08"/>
    <n v="1"/>
    <n v="238.08"/>
    <n v="20.5562"/>
    <n v="4894.0200960000002"/>
    <n v="4100.5203100043773"/>
    <n v="793.49978599562291"/>
    <n v="1.0520547945205478"/>
    <n v="1"/>
    <n v="793.49978599562291"/>
    <n v="0"/>
    <m/>
    <n v="44.236981132075471"/>
    <m/>
    <n v="0.22821033943046695"/>
    <m/>
  </r>
  <r>
    <x v="4"/>
    <s v="Purchase"/>
    <x v="186"/>
    <x v="2"/>
    <x v="1"/>
    <x v="264"/>
    <n v="1453.8226415094341"/>
    <x v="2"/>
    <n v="30"/>
    <n v="48.460754716981135"/>
    <n v="1"/>
    <n v="1453.8226415094341"/>
    <n v="19.757000000000001"/>
    <n v="28723.173928301891"/>
    <n v="110.21"/>
    <n v="118.002"/>
    <n v="1.0707"/>
    <n v="30753.902325032836"/>
    <n v="1025.1300775010945"/>
    <m/>
    <n v="30"/>
    <s v="Sale"/>
    <x v="50"/>
    <x v="1"/>
    <n v="1776.5534482758621"/>
    <n v="1"/>
    <n v="1776.5534482758621"/>
    <n v="20.5562"/>
    <n v="36519.187993448279"/>
    <n v="30753.902325032836"/>
    <n v="5765.2856684154431"/>
    <n v="1.0520547945205478"/>
    <n v="1"/>
    <n v="5765.2856684154431"/>
    <n v="0"/>
    <m/>
    <n v="322.73080676642803"/>
    <m/>
    <n v="0.22198774290057291"/>
    <m/>
  </r>
  <r>
    <x v="4"/>
    <s v="Purchase"/>
    <x v="186"/>
    <x v="2"/>
    <x v="1"/>
    <x v="264"/>
    <n v="385.6"/>
    <x v="2"/>
    <n v="8"/>
    <n v="48.2"/>
    <n v="1"/>
    <n v="385.6"/>
    <n v="19.757000000000001"/>
    <n v="7618.2992000000013"/>
    <n v="110.21"/>
    <n v="118.002"/>
    <n v="1.0707"/>
    <n v="8156.9129534400008"/>
    <n v="1019.6141191800001"/>
    <m/>
    <n v="8"/>
    <s v="Sale"/>
    <x v="50"/>
    <x v="1"/>
    <n v="473.74758620689659"/>
    <n v="1"/>
    <n v="473.74758620689659"/>
    <n v="20.5562"/>
    <n v="9738.4501315862071"/>
    <n v="8156.9129534400008"/>
    <n v="1581.5371781462063"/>
    <n v="1.0520547945205478"/>
    <n v="1"/>
    <n v="1581.5371781462063"/>
    <n v="0"/>
    <m/>
    <n v="88.147586206896563"/>
    <m/>
    <n v="0.22859851194734584"/>
    <m/>
  </r>
  <r>
    <x v="4"/>
    <s v="Purchase"/>
    <x v="186"/>
    <x v="2"/>
    <x v="1"/>
    <x v="264"/>
    <n v="969.21224489795918"/>
    <x v="2"/>
    <n v="20"/>
    <n v="48.460612244897959"/>
    <n v="1"/>
    <n v="969.21224489795918"/>
    <n v="19.757000000000001"/>
    <n v="19148.72632244898"/>
    <n v="110.21"/>
    <n v="118.002"/>
    <n v="1.0707"/>
    <n v="20502.541273446121"/>
    <n v="1025.1270636723061"/>
    <m/>
    <n v="20"/>
    <s v="Sale"/>
    <x v="50"/>
    <x v="1"/>
    <n v="1184.3689655172416"/>
    <n v="1"/>
    <n v="1184.3689655172416"/>
    <n v="20.5562"/>
    <n v="24346.125328965521"/>
    <n v="20502.541273446121"/>
    <n v="3843.5840555194009"/>
    <n v="1.0520547945205478"/>
    <n v="1"/>
    <n v="3843.5840555194009"/>
    <n v="0"/>
    <m/>
    <n v="215.1567206192824"/>
    <m/>
    <n v="0.22199133549115918"/>
    <m/>
  </r>
  <r>
    <x v="4"/>
    <s v="Purchase"/>
    <x v="186"/>
    <x v="2"/>
    <x v="1"/>
    <x v="264"/>
    <n v="290.7645283018868"/>
    <x v="2"/>
    <n v="6"/>
    <n v="48.460754716981135"/>
    <n v="1"/>
    <n v="290.7645283018868"/>
    <n v="19.757000000000001"/>
    <n v="5744.6347856603779"/>
    <n v="110.21"/>
    <n v="118.002"/>
    <n v="1.0707"/>
    <n v="6150.7804650065664"/>
    <n v="1025.1300775010943"/>
    <m/>
    <n v="6"/>
    <s v="Sale"/>
    <x v="50"/>
    <x v="1"/>
    <n v="354.66"/>
    <n v="1"/>
    <n v="354.66"/>
    <n v="20.5562"/>
    <n v="7290.4618920000003"/>
    <n v="6150.7804650065664"/>
    <n v="1139.6814269934339"/>
    <n v="1.0520547945205478"/>
    <n v="1"/>
    <n v="1139.6814269934339"/>
    <n v="0"/>
    <m/>
    <n v="63.895471698113226"/>
    <m/>
    <n v="0.21974988514339561"/>
    <m/>
  </r>
  <r>
    <x v="4"/>
    <s v="Purchase"/>
    <x v="186"/>
    <x v="2"/>
    <x v="1"/>
    <x v="264"/>
    <n v="387.68603773584908"/>
    <x v="2"/>
    <n v="8"/>
    <n v="48.460754716981135"/>
    <n v="1"/>
    <n v="387.68603773584908"/>
    <n v="19.757000000000001"/>
    <n v="7659.5130475471706"/>
    <n v="110.21"/>
    <n v="118.002"/>
    <n v="1.0707"/>
    <n v="8201.0406200087546"/>
    <n v="1025.1300775010943"/>
    <m/>
    <n v="8"/>
    <s v="Sale"/>
    <x v="50"/>
    <x v="1"/>
    <n v="467.1"/>
    <n v="1"/>
    <n v="467.1"/>
    <n v="20.5562"/>
    <n v="9601.8010200000008"/>
    <n v="8201.0406200087546"/>
    <n v="1400.7603999912462"/>
    <n v="1.0520547945205478"/>
    <n v="1"/>
    <n v="1400.7603999912462"/>
    <n v="0"/>
    <m/>
    <n v="79.413962264150939"/>
    <m/>
    <n v="0.20484091386922698"/>
    <m/>
  </r>
  <r>
    <x v="4"/>
    <s v="Purchase"/>
    <x v="186"/>
    <x v="2"/>
    <x v="1"/>
    <x v="264"/>
    <n v="48.460754716981135"/>
    <x v="2"/>
    <n v="1"/>
    <n v="48.460754716981135"/>
    <n v="1"/>
    <n v="48.460754716981135"/>
    <n v="19.757000000000001"/>
    <n v="957.43913094339632"/>
    <n v="110.21"/>
    <n v="118.002"/>
    <n v="1.0707"/>
    <n v="1025.1300775010943"/>
    <n v="1025.1300775010943"/>
    <m/>
    <n v="1"/>
    <s v="Sale"/>
    <x v="76"/>
    <x v="1"/>
    <n v="60.57"/>
    <n v="1"/>
    <n v="60.57"/>
    <n v="20.732500000000002"/>
    <n v="1255.7675250000002"/>
    <n v="1025.1300775010943"/>
    <n v="230.63744749890589"/>
    <n v="1.0547945205479452"/>
    <n v="1"/>
    <n v="230.63744749890589"/>
    <n v="0"/>
    <m/>
    <n v="12.109245283018865"/>
    <m/>
    <n v="0.24987735650711324"/>
    <m/>
  </r>
  <r>
    <x v="4"/>
    <s v="Purchase"/>
    <x v="186"/>
    <x v="2"/>
    <x v="1"/>
    <x v="264"/>
    <n v="484.60754716981137"/>
    <x v="2"/>
    <n v="10"/>
    <n v="48.460754716981135"/>
    <n v="1"/>
    <n v="484.60754716981137"/>
    <n v="19.757000000000001"/>
    <n v="9574.3913094339641"/>
    <n v="110.21"/>
    <n v="118.002"/>
    <n v="1.0707"/>
    <n v="10251.300775010945"/>
    <n v="1025.1300775010945"/>
    <m/>
    <n v="10"/>
    <s v="Sale"/>
    <x v="76"/>
    <x v="1"/>
    <n v="605.52"/>
    <n v="1"/>
    <n v="605.52"/>
    <n v="20.732500000000002"/>
    <n v="12553.9434"/>
    <n v="10251.300775010946"/>
    <n v="2302.6426249890537"/>
    <n v="1.0547945205479452"/>
    <n v="1"/>
    <n v="2302.6426249890537"/>
    <n v="0"/>
    <m/>
    <n v="120.91245283018861"/>
    <m/>
    <n v="0.24950592192865637"/>
    <m/>
  </r>
  <r>
    <x v="4"/>
    <s v="Purchase"/>
    <x v="186"/>
    <x v="2"/>
    <x v="1"/>
    <x v="264"/>
    <n v="193.84244897959184"/>
    <x v="2"/>
    <n v="4"/>
    <n v="48.460612244897959"/>
    <n v="1"/>
    <n v="193.84244897959184"/>
    <n v="19.757000000000001"/>
    <n v="3829.7452644897962"/>
    <n v="110.21"/>
    <n v="118.002"/>
    <n v="1.0707"/>
    <n v="4100.5082546892245"/>
    <n v="1025.1270636723061"/>
    <m/>
    <n v="4"/>
    <s v="Sale"/>
    <x v="76"/>
    <x v="1"/>
    <n v="242.12"/>
    <n v="1"/>
    <n v="242.12"/>
    <n v="20.732500000000002"/>
    <n v="5019.7529000000004"/>
    <n v="4100.5082546892245"/>
    <n v="919.24464531077592"/>
    <n v="1.0547945205479452"/>
    <n v="1"/>
    <n v="919.24464531077592"/>
    <n v="0"/>
    <m/>
    <n v="48.277551020408168"/>
    <m/>
    <n v="0.24905561849092681"/>
    <m/>
  </r>
  <r>
    <x v="4"/>
    <s v="Purchase"/>
    <x v="186"/>
    <x v="2"/>
    <x v="1"/>
    <x v="264"/>
    <n v="337.40000000000003"/>
    <x v="2"/>
    <n v="7"/>
    <n v="48.2"/>
    <n v="1"/>
    <n v="337.40000000000003"/>
    <n v="19.757000000000001"/>
    <n v="6666.0118000000011"/>
    <n v="110.21"/>
    <n v="118.002"/>
    <n v="1.0707"/>
    <n v="7137.2988342600011"/>
    <n v="1019.6141191800001"/>
    <m/>
    <n v="7"/>
    <s v="Sale"/>
    <x v="76"/>
    <x v="1"/>
    <n v="423.71000000000004"/>
    <n v="1"/>
    <n v="423.71000000000004"/>
    <n v="20.732500000000002"/>
    <n v="8784.5675750000009"/>
    <n v="7137.2988342600011"/>
    <n v="1647.2687407399999"/>
    <n v="1.0547945205479452"/>
    <n v="1"/>
    <n v="1647.2687407399999"/>
    <n v="0"/>
    <m/>
    <n v="86.31"/>
    <m/>
    <n v="0.25580912863070537"/>
    <m/>
  </r>
  <r>
    <x v="4"/>
    <s v="Purchase"/>
    <x v="186"/>
    <x v="2"/>
    <x v="1"/>
    <x v="264"/>
    <n v="48.2"/>
    <x v="2"/>
    <n v="1"/>
    <n v="48.2"/>
    <n v="1"/>
    <n v="48.2"/>
    <n v="19.757000000000001"/>
    <n v="952.28740000000016"/>
    <n v="110.21"/>
    <n v="118.002"/>
    <n v="1.0707"/>
    <n v="1019.6141191800001"/>
    <n v="1019.6141191800001"/>
    <m/>
    <n v="1"/>
    <s v="Sale"/>
    <x v="76"/>
    <x v="1"/>
    <n v="60.555833333333332"/>
    <n v="1"/>
    <n v="60.555833333333332"/>
    <n v="20.732500000000002"/>
    <n v="1255.4738145833335"/>
    <n v="1019.6141191800001"/>
    <n v="235.85969540333338"/>
    <n v="1.0547945205479452"/>
    <n v="1"/>
    <n v="235.85969540333338"/>
    <n v="0"/>
    <m/>
    <n v="12.355833333333329"/>
    <m/>
    <n v="0.25634508990318111"/>
    <m/>
  </r>
  <r>
    <x v="4"/>
    <s v="Purchase"/>
    <x v="186"/>
    <x v="2"/>
    <x v="1"/>
    <x v="156"/>
    <n v="544.16694444444443"/>
    <x v="2"/>
    <n v="11"/>
    <n v="49.469722222222224"/>
    <n v="1"/>
    <n v="544.16694444444443"/>
    <n v="19.678799999999999"/>
    <n v="10708.552466333333"/>
    <n v="110.21"/>
    <n v="118.002"/>
    <n v="1.0707"/>
    <n v="11465.647125703099"/>
    <n v="1042.3315568820999"/>
    <m/>
    <n v="11"/>
    <s v="Sale"/>
    <x v="76"/>
    <x v="1"/>
    <n v="666.11416666666662"/>
    <n v="1"/>
    <n v="666.11416666666662"/>
    <n v="20.732500000000002"/>
    <n v="13810.211960416667"/>
    <n v="11465.647125703099"/>
    <n v="2344.5648347135684"/>
    <n v="1.0520547945205478"/>
    <n v="1"/>
    <n v="2344.5648347135684"/>
    <n v="0"/>
    <m/>
    <n v="121.94722222222219"/>
    <m/>
    <n v="0.22409891572286075"/>
    <m/>
  </r>
  <r>
    <x v="4"/>
    <s v="Purchase"/>
    <x v="186"/>
    <x v="2"/>
    <x v="1"/>
    <x v="156"/>
    <n v="692.57611111111112"/>
    <x v="2"/>
    <n v="14"/>
    <n v="49.469722222222224"/>
    <n v="1"/>
    <n v="692.57611111111112"/>
    <n v="19.678799999999999"/>
    <n v="13629.066775333333"/>
    <n v="110.21"/>
    <n v="118.002"/>
    <n v="1.0707"/>
    <n v="14592.641796349399"/>
    <n v="1042.3315568820999"/>
    <m/>
    <n v="14"/>
    <s v="Sale"/>
    <x v="76"/>
    <x v="1"/>
    <n v="844.03"/>
    <n v="1"/>
    <n v="844.03"/>
    <n v="20.732500000000002"/>
    <n v="17498.851975000001"/>
    <n v="14592.641796349399"/>
    <n v="2906.2101786506028"/>
    <n v="1.0520547945205478"/>
    <n v="1"/>
    <n v="2906.2101786506028"/>
    <n v="0"/>
    <m/>
    <n v="151.45388888888886"/>
    <m/>
    <n v="0.21868194189647824"/>
    <m/>
  </r>
  <r>
    <x v="4"/>
    <s v="Purchase"/>
    <x v="186"/>
    <x v="2"/>
    <x v="1"/>
    <x v="156"/>
    <n v="98.939444444444447"/>
    <x v="2"/>
    <n v="2"/>
    <n v="49.469722222222224"/>
    <n v="1"/>
    <n v="98.939444444444447"/>
    <n v="19.678799999999999"/>
    <n v="1947.0095393333334"/>
    <n v="110.21"/>
    <n v="118.002"/>
    <n v="1.0707"/>
    <n v="2084.6631137641998"/>
    <n v="1042.3315568820999"/>
    <m/>
    <n v="2"/>
    <s v="Sale"/>
    <x v="76"/>
    <x v="1"/>
    <n v="120.58"/>
    <n v="1"/>
    <n v="120.58"/>
    <n v="20.732500000000002"/>
    <n v="2499.9248500000003"/>
    <n v="2084.6631137641998"/>
    <n v="415.26173623580053"/>
    <n v="1.0520547945205478"/>
    <n v="1"/>
    <n v="415.26173623580053"/>
    <n v="0"/>
    <m/>
    <n v="21.640555555555551"/>
    <m/>
    <n v="0.21872525843529425"/>
    <m/>
  </r>
  <r>
    <x v="4"/>
    <s v="Purchase"/>
    <x v="186"/>
    <x v="2"/>
    <x v="1"/>
    <x v="156"/>
    <n v="98.939444444444447"/>
    <x v="2"/>
    <n v="2"/>
    <n v="49.469722222222224"/>
    <n v="1"/>
    <n v="98.939444444444447"/>
    <n v="19.678799999999999"/>
    <n v="1947.0095393333334"/>
    <n v="110.21"/>
    <n v="118.002"/>
    <n v="1.0707"/>
    <n v="2084.6631137641998"/>
    <n v="1042.3315568820999"/>
    <m/>
    <n v="2"/>
    <s v="Sale"/>
    <x v="76"/>
    <x v="1"/>
    <n v="121.06"/>
    <n v="1"/>
    <n v="121.06"/>
    <n v="20.732500000000002"/>
    <n v="2509.8764500000002"/>
    <n v="2084.6631137641998"/>
    <n v="425.2133362358004"/>
    <n v="1.0520547945205478"/>
    <n v="1"/>
    <n v="425.2133362358004"/>
    <n v="0"/>
    <m/>
    <n v="22.120555555555555"/>
    <m/>
    <n v="0.22357671078268973"/>
    <m/>
  </r>
  <r>
    <x v="4"/>
    <s v="Purchase"/>
    <x v="186"/>
    <x v="2"/>
    <x v="1"/>
    <x v="265"/>
    <n v="98.939444444444447"/>
    <x v="2"/>
    <n v="2"/>
    <n v="49.469722222222224"/>
    <n v="1"/>
    <n v="98.939444444444447"/>
    <n v="19.5793"/>
    <n v="1937.1650646111111"/>
    <n v="110.21"/>
    <n v="118.002"/>
    <n v="1.0707"/>
    <n v="2074.1226346791168"/>
    <n v="1037.0613173395584"/>
    <m/>
    <n v="2"/>
    <s v="Sale"/>
    <x v="76"/>
    <x v="1"/>
    <n v="121.11"/>
    <n v="1"/>
    <n v="121.11"/>
    <n v="20.732500000000002"/>
    <n v="2510.9130750000004"/>
    <n v="2074.1226346791168"/>
    <n v="436.79044032088359"/>
    <n v="1.0493150684931507"/>
    <n v="1"/>
    <n v="436.79044032088359"/>
    <n v="0"/>
    <m/>
    <n v="22.170555555555552"/>
    <m/>
    <n v="0.22408207040221007"/>
    <m/>
  </r>
  <r>
    <x v="4"/>
    <s v="Purchase"/>
    <x v="186"/>
    <x v="2"/>
    <x v="1"/>
    <x v="265"/>
    <n v="247.34861111111113"/>
    <x v="2"/>
    <n v="5"/>
    <n v="49.469722222222224"/>
    <n v="1"/>
    <n v="247.34861111111113"/>
    <n v="19.5793"/>
    <n v="4842.9126615277783"/>
    <n v="110.21"/>
    <n v="118.002"/>
    <n v="1.0707"/>
    <n v="5185.3065866977922"/>
    <n v="1037.0613173395584"/>
    <m/>
    <n v="5"/>
    <s v="Sale"/>
    <x v="76"/>
    <x v="1"/>
    <n v="302.85000000000002"/>
    <n v="1"/>
    <n v="302.85000000000002"/>
    <n v="20.732500000000002"/>
    <n v="6278.837625000001"/>
    <n v="5185.3065866977922"/>
    <n v="1093.5310383022088"/>
    <n v="1.0493150684931507"/>
    <n v="1"/>
    <n v="1093.5310383022088"/>
    <n v="0"/>
    <m/>
    <n v="55.501388888888897"/>
    <m/>
    <n v="0.22438528617392234"/>
    <m/>
  </r>
  <r>
    <x v="4"/>
    <s v="Purchase"/>
    <x v="186"/>
    <x v="2"/>
    <x v="1"/>
    <x v="156"/>
    <n v="1929.32"/>
    <x v="2"/>
    <n v="39"/>
    <n v="49.469743589743587"/>
    <n v="1"/>
    <n v="1929.32"/>
    <n v="19.678799999999999"/>
    <n v="37966.702416"/>
    <n v="110.21"/>
    <n v="118.002"/>
    <n v="1.0707"/>
    <n v="40650.948276811199"/>
    <n v="1042.3320070977231"/>
    <m/>
    <n v="39"/>
    <s v="Sale"/>
    <x v="76"/>
    <x v="1"/>
    <n v="2361.5149999999999"/>
    <n v="1"/>
    <n v="2361.5149999999999"/>
    <n v="20.732500000000002"/>
    <n v="48960.109737500003"/>
    <n v="40650.948276811199"/>
    <n v="8309.1614606888033"/>
    <n v="1.0520547945205478"/>
    <n v="1"/>
    <n v="8309.1614606888033"/>
    <n v="0"/>
    <m/>
    <n v="432.19499999999994"/>
    <m/>
    <n v="0.22401416042958139"/>
    <m/>
  </r>
  <r>
    <x v="4"/>
    <s v="Purchase"/>
    <x v="186"/>
    <x v="2"/>
    <x v="1"/>
    <x v="265"/>
    <n v="1338.4945161290323"/>
    <x v="2"/>
    <n v="27"/>
    <n v="49.573870967741932"/>
    <n v="1"/>
    <n v="1338.4945161290323"/>
    <n v="19.5793"/>
    <n v="26206.78567964516"/>
    <n v="110.21"/>
    <n v="118.002"/>
    <n v="1.0707"/>
    <n v="28059.605427196071"/>
    <n v="1039.2446454517064"/>
    <m/>
    <n v="27"/>
    <s v="Sale"/>
    <x v="76"/>
    <x v="1"/>
    <n v="1634.895"/>
    <n v="1"/>
    <n v="1634.895"/>
    <n v="20.732500000000002"/>
    <n v="33895.460587500005"/>
    <n v="28059.605427196075"/>
    <n v="5835.8551603039305"/>
    <n v="1.0493150684931507"/>
    <n v="1"/>
    <n v="5835.8551603039305"/>
    <n v="0"/>
    <m/>
    <n v="296.40048387096772"/>
    <m/>
    <n v="0.22144318134986996"/>
    <m/>
  </r>
  <r>
    <x v="4"/>
    <s v="Purchase"/>
    <x v="186"/>
    <x v="2"/>
    <x v="1"/>
    <x v="265"/>
    <n v="198.29548387096773"/>
    <x v="2"/>
    <n v="4"/>
    <n v="49.573870967741932"/>
    <n v="1"/>
    <n v="198.29548387096773"/>
    <n v="19.5793"/>
    <n v="3882.4867673548383"/>
    <n v="110.21"/>
    <n v="118.002"/>
    <n v="1.0707"/>
    <n v="4156.9785818068258"/>
    <n v="1039.2446454517064"/>
    <m/>
    <n v="4"/>
    <s v="Sale"/>
    <x v="124"/>
    <x v="1"/>
    <n v="246.0575"/>
    <n v="1"/>
    <n v="246.0575"/>
    <n v="20.641300000000001"/>
    <n v="5078.9466747500001"/>
    <n v="4156.9785818068258"/>
    <n v="921.96809294317427"/>
    <n v="1.0520547945205478"/>
    <n v="1"/>
    <n v="921.96809294317427"/>
    <n v="0"/>
    <m/>
    <n v="47.762016129032276"/>
    <m/>
    <n v="0.24086285374058924"/>
    <m/>
  </r>
  <r>
    <x v="4"/>
    <s v="Purchase"/>
    <x v="186"/>
    <x v="2"/>
    <x v="1"/>
    <x v="265"/>
    <n v="594.18000000000006"/>
    <x v="2"/>
    <n v="12"/>
    <n v="49.515000000000008"/>
    <n v="1"/>
    <n v="594.18000000000006"/>
    <n v="19.5793"/>
    <n v="11633.628474000001"/>
    <n v="110.21"/>
    <n v="118.002"/>
    <n v="1.0707"/>
    <n v="12456.126007111801"/>
    <n v="1038.01050059265"/>
    <m/>
    <n v="12"/>
    <s v="Sale"/>
    <x v="124"/>
    <x v="1"/>
    <n v="738.17250000000001"/>
    <n v="1"/>
    <n v="738.17250000000001"/>
    <n v="20.641300000000001"/>
    <n v="15236.840024250001"/>
    <n v="12456.126007111801"/>
    <n v="2780.7140171381998"/>
    <n v="1.0520547945205478"/>
    <n v="1"/>
    <n v="2780.7140171381998"/>
    <n v="0"/>
    <m/>
    <n v="143.99249999999995"/>
    <m/>
    <n v="0.24233818034938898"/>
    <m/>
  </r>
  <r>
    <x v="4"/>
    <s v="Purchase"/>
    <x v="186"/>
    <x v="2"/>
    <x v="1"/>
    <x v="265"/>
    <n v="99.03"/>
    <x v="2"/>
    <n v="2"/>
    <n v="49.515000000000001"/>
    <n v="1"/>
    <n v="99.03"/>
    <n v="19.5793"/>
    <n v="1938.938079"/>
    <n v="110.21"/>
    <n v="118.002"/>
    <n v="1.0707"/>
    <n v="2076.0210011853001"/>
    <n v="1038.01050059265"/>
    <m/>
    <n v="2"/>
    <s v="Sale"/>
    <x v="124"/>
    <x v="1"/>
    <n v="122.23333333333333"/>
    <n v="1"/>
    <n v="122.23333333333333"/>
    <n v="20.641300000000001"/>
    <n v="2523.0549033333336"/>
    <n v="2076.0210011853001"/>
    <n v="447.03390214803358"/>
    <n v="1.0520547945205478"/>
    <n v="1"/>
    <n v="447.03390214803358"/>
    <n v="0"/>
    <m/>
    <n v="23.203333333333333"/>
    <m/>
    <n v="0.2343061025278535"/>
    <m/>
  </r>
  <r>
    <x v="4"/>
    <s v="Purchase"/>
    <x v="186"/>
    <x v="2"/>
    <x v="1"/>
    <x v="265"/>
    <n v="394.16"/>
    <x v="2"/>
    <n v="8"/>
    <n v="49.27"/>
    <n v="1"/>
    <n v="394.16"/>
    <n v="19.5793"/>
    <n v="7717.3768880000007"/>
    <n v="110.21"/>
    <n v="118.002"/>
    <n v="1.0707"/>
    <n v="8262.9954339816013"/>
    <n v="1032.8744292477002"/>
    <m/>
    <n v="8"/>
    <s v="Sale"/>
    <x v="124"/>
    <x v="1"/>
    <n v="488.93333333333334"/>
    <n v="1"/>
    <n v="488.93333333333334"/>
    <n v="20.641300000000001"/>
    <n v="10092.219613333335"/>
    <n v="8262.9954339816013"/>
    <n v="1829.2241793517333"/>
    <n v="1.0520547945205478"/>
    <n v="1"/>
    <n v="1829.2241793517333"/>
    <n v="0"/>
    <m/>
    <n v="94.773333333333312"/>
    <m/>
    <n v="0.24044381300317968"/>
    <m/>
  </r>
  <r>
    <x v="4"/>
    <s v="Purchase"/>
    <x v="186"/>
    <x v="2"/>
    <x v="1"/>
    <x v="265"/>
    <n v="195.81"/>
    <x v="2"/>
    <n v="4"/>
    <n v="48.952500000000001"/>
    <n v="1"/>
    <n v="195.81"/>
    <n v="19.5793"/>
    <n v="3833.822733"/>
    <n v="110.21"/>
    <n v="118.002"/>
    <n v="1.0707"/>
    <n v="4104.8740002230998"/>
    <n v="1026.2185000557749"/>
    <m/>
    <n v="4"/>
    <s v="Sale"/>
    <x v="124"/>
    <x v="1"/>
    <n v="244.46666666666667"/>
    <n v="1"/>
    <n v="244.46666666666667"/>
    <n v="20.641300000000001"/>
    <n v="5046.1098066666673"/>
    <n v="4104.8740002230998"/>
    <n v="941.23580644356753"/>
    <n v="1.0520547945205478"/>
    <n v="1"/>
    <n v="941.23580644356753"/>
    <n v="0"/>
    <m/>
    <n v="48.656666666666666"/>
    <m/>
    <n v="0.24848918168973325"/>
    <m/>
  </r>
  <r>
    <x v="4"/>
    <s v="Purchase"/>
    <x v="186"/>
    <x v="2"/>
    <x v="1"/>
    <x v="265"/>
    <n v="347.01882352941175"/>
    <x v="2"/>
    <n v="7"/>
    <n v="49.57411764705882"/>
    <n v="1"/>
    <n v="347.01882352941175"/>
    <n v="19.5793"/>
    <n v="6794.385651529411"/>
    <n v="110.21"/>
    <n v="118.002"/>
    <n v="1.0707"/>
    <n v="7274.7487170925406"/>
    <n v="1039.2498167275057"/>
    <m/>
    <n v="7"/>
    <s v="Sale"/>
    <x v="124"/>
    <x v="1"/>
    <n v="427.81666666666666"/>
    <n v="1"/>
    <n v="427.81666666666666"/>
    <n v="20.641300000000001"/>
    <n v="8830.6921616666677"/>
    <n v="7274.7487170925397"/>
    <n v="1555.9434445741281"/>
    <n v="1.0520547945205478"/>
    <n v="1"/>
    <n v="1555.9434445741281"/>
    <n v="0"/>
    <m/>
    <n v="80.797843137254915"/>
    <m/>
    <n v="0.2328341797585711"/>
    <m/>
  </r>
  <r>
    <x v="4"/>
    <s v="Purchase"/>
    <x v="186"/>
    <x v="2"/>
    <x v="1"/>
    <x v="265"/>
    <n v="148.72235294117647"/>
    <x v="2"/>
    <n v="3"/>
    <n v="49.57411764705882"/>
    <n v="1"/>
    <n v="148.72235294117647"/>
    <n v="19.5793"/>
    <n v="2911.8795649411763"/>
    <n v="110.21"/>
    <n v="118.002"/>
    <n v="1.0707"/>
    <n v="3117.7494501825176"/>
    <n v="1039.249816727506"/>
    <m/>
    <n v="3"/>
    <s v="Sale"/>
    <x v="124"/>
    <x v="1"/>
    <n v="183.35"/>
    <n v="1"/>
    <n v="183.35"/>
    <n v="20.641300000000001"/>
    <n v="3784.582355"/>
    <n v="3117.7494501825176"/>
    <n v="666.83290481748236"/>
    <n v="1.0520547945205478"/>
    <n v="1"/>
    <n v="666.83290481748236"/>
    <n v="0"/>
    <m/>
    <n v="34.627647058823527"/>
    <m/>
    <n v="0.23283417975857104"/>
    <m/>
  </r>
  <r>
    <x v="4"/>
    <s v="Purchase"/>
    <x v="186"/>
    <x v="2"/>
    <x v="1"/>
    <x v="265"/>
    <n v="148.72235294117647"/>
    <x v="2"/>
    <n v="3"/>
    <n v="49.57411764705882"/>
    <n v="1"/>
    <n v="148.72235294117647"/>
    <n v="19.5793"/>
    <n v="2911.8795649411763"/>
    <n v="110.21"/>
    <n v="118.002"/>
    <n v="1.0707"/>
    <n v="3117.7494501825176"/>
    <n v="1039.249816727506"/>
    <m/>
    <n v="3"/>
    <s v="Sale"/>
    <x v="124"/>
    <x v="1"/>
    <n v="184.55"/>
    <n v="1"/>
    <n v="184.55"/>
    <n v="20.641300000000001"/>
    <n v="3809.3519150000006"/>
    <n v="3117.7494501825176"/>
    <n v="691.602464817483"/>
    <n v="1.0520547945205478"/>
    <n v="1"/>
    <n v="691.602464817483"/>
    <n v="0"/>
    <m/>
    <n v="35.827647058823544"/>
    <m/>
    <n v="0.24090290632366679"/>
    <m/>
  </r>
  <r>
    <x v="4"/>
    <s v="Purchase"/>
    <x v="186"/>
    <x v="2"/>
    <x v="1"/>
    <x v="265"/>
    <n v="297.44470588235293"/>
    <x v="2"/>
    <n v="6"/>
    <n v="49.57411764705882"/>
    <n v="1"/>
    <n v="297.44470588235293"/>
    <n v="19.5793"/>
    <n v="5823.7591298823527"/>
    <n v="110.21"/>
    <n v="118.002"/>
    <n v="1.0707"/>
    <n v="6235.4989003650353"/>
    <n v="1039.249816727506"/>
    <m/>
    <n v="6"/>
    <s v="Sale"/>
    <x v="14"/>
    <x v="1"/>
    <n v="376.83"/>
    <n v="1"/>
    <n v="376.83"/>
    <n v="20.411000000000001"/>
    <n v="7691.4771300000002"/>
    <n v="6235.4989003650353"/>
    <n v="1455.9782296349649"/>
    <n v="1.0684931506849316"/>
    <n v="1"/>
    <n v="1455.9782296349649"/>
    <n v="0"/>
    <m/>
    <n v="79.385294117647049"/>
    <m/>
    <n v="0.26689092980207885"/>
    <m/>
  </r>
  <r>
    <x v="4"/>
    <s v="Purchase"/>
    <x v="186"/>
    <x v="2"/>
    <x v="1"/>
    <x v="265"/>
    <n v="743.61176470588225"/>
    <x v="2"/>
    <n v="15"/>
    <n v="49.57411764705882"/>
    <n v="1"/>
    <n v="743.61176470588225"/>
    <n v="19.5793"/>
    <n v="14559.39782470588"/>
    <n v="110.21"/>
    <n v="118.002"/>
    <n v="1.0707"/>
    <n v="15588.747250912586"/>
    <n v="1039.2498167275057"/>
    <m/>
    <n v="15"/>
    <s v="Sale"/>
    <x v="14"/>
    <x v="1"/>
    <n v="931.20872093023263"/>
    <n v="1"/>
    <n v="931.20872093023263"/>
    <n v="20.411000000000001"/>
    <n v="19006.901202906978"/>
    <n v="15588.747250912586"/>
    <n v="3418.1539519943926"/>
    <n v="1.0684931506849316"/>
    <n v="1"/>
    <n v="3418.1539519943926"/>
    <n v="0"/>
    <m/>
    <n v="187.59695622435038"/>
    <m/>
    <n v="0.25227809070308327"/>
    <m/>
  </r>
  <r>
    <x v="4"/>
    <s v="Purchase"/>
    <x v="186"/>
    <x v="2"/>
    <x v="1"/>
    <x v="265"/>
    <n v="346.61"/>
    <x v="2"/>
    <n v="7"/>
    <n v="49.515714285714289"/>
    <n v="1"/>
    <n v="346.61"/>
    <n v="19.5793"/>
    <n v="6786.3811730000007"/>
    <n v="110.21"/>
    <n v="118.002"/>
    <n v="1.0707"/>
    <n v="7266.178321931101"/>
    <n v="1038.025474561586"/>
    <m/>
    <n v="7"/>
    <s v="Sale"/>
    <x v="14"/>
    <x v="1"/>
    <n v="434.56406976744188"/>
    <n v="1"/>
    <n v="434.56406976744188"/>
    <n v="20.411000000000001"/>
    <n v="8869.8872280232572"/>
    <n v="7266.1783219311019"/>
    <n v="1603.7089060921553"/>
    <n v="1.0684931506849316"/>
    <n v="1"/>
    <n v="1603.7089060921553"/>
    <n v="0"/>
    <m/>
    <n v="87.954069767441865"/>
    <m/>
    <n v="0.25375514199660099"/>
    <m/>
  </r>
  <r>
    <x v="4"/>
    <s v="Purchase"/>
    <x v="186"/>
    <x v="2"/>
    <x v="1"/>
    <x v="265"/>
    <n v="3024.01"/>
    <x v="2"/>
    <n v="61"/>
    <n v="49.573934426229513"/>
    <n v="1"/>
    <n v="3024.01"/>
    <n v="19.5793"/>
    <n v="59207.998993000001"/>
    <n v="110.21"/>
    <n v="118.002"/>
    <n v="1.0707"/>
    <n v="63394.004521805102"/>
    <n v="1039.2459757672968"/>
    <m/>
    <n v="61"/>
    <s v="Sale"/>
    <x v="14"/>
    <x v="1"/>
    <n v="3786.9154651162794"/>
    <n v="1"/>
    <n v="3786.9154651162794"/>
    <n v="20.411000000000001"/>
    <n v="77294.731558488391"/>
    <n v="63394.004521805109"/>
    <n v="13900.727036683282"/>
    <n v="1.0684931506849316"/>
    <n v="1"/>
    <n v="13900.727036683282"/>
    <n v="0"/>
    <m/>
    <n v="762.90546511627917"/>
    <m/>
    <n v="0.25228271901094212"/>
    <m/>
  </r>
  <r>
    <x v="4"/>
    <s v="Purchase"/>
    <x v="186"/>
    <x v="2"/>
    <x v="1"/>
    <x v="265"/>
    <n v="147.81"/>
    <x v="2"/>
    <n v="3"/>
    <n v="49.27"/>
    <n v="1"/>
    <n v="147.81"/>
    <n v="19.5793"/>
    <n v="2894.016333"/>
    <n v="110.21"/>
    <n v="118.002"/>
    <n v="1.0707"/>
    <n v="3098.6232877430998"/>
    <n v="1032.8744292476999"/>
    <m/>
    <n v="3"/>
    <s v="Sale"/>
    <x v="14"/>
    <x v="1"/>
    <n v="186.24174418604653"/>
    <n v="1"/>
    <n v="186.24174418604653"/>
    <n v="20.411000000000001"/>
    <n v="3801.3802405813958"/>
    <n v="3098.6232877430998"/>
    <n v="702.756952838296"/>
    <n v="1.0684931506849316"/>
    <n v="1"/>
    <n v="702.756952838296"/>
    <n v="0"/>
    <m/>
    <n v="38.431744186046529"/>
    <m/>
    <n v="0.26000774092447421"/>
    <m/>
  </r>
  <r>
    <x v="4"/>
    <s v="Purchase"/>
    <x v="186"/>
    <x v="2"/>
    <x v="1"/>
    <x v="265"/>
    <n v="541.96999999999991"/>
    <x v="2"/>
    <n v="11"/>
    <n v="49.269999999999989"/>
    <n v="1"/>
    <n v="541.96999999999991"/>
    <n v="19.5793"/>
    <n v="10611.393220999998"/>
    <n v="110.21"/>
    <n v="118.002"/>
    <n v="1.0707"/>
    <n v="11361.618721724699"/>
    <n v="1032.8744292476999"/>
    <m/>
    <n v="11"/>
    <s v="Sale"/>
    <x v="125"/>
    <x v="1"/>
    <n v="659.75937499999998"/>
    <n v="1"/>
    <n v="659.75937499999998"/>
    <n v="20.3992"/>
    <n v="13458.563442499999"/>
    <n v="11361.618721724699"/>
    <n v="2096.9447207753001"/>
    <n v="1.0712328767123287"/>
    <n v="1"/>
    <n v="2096.9447207753001"/>
    <n v="0"/>
    <m/>
    <n v="117.78937500000006"/>
    <m/>
    <n v="0.21733559975644423"/>
    <m/>
  </r>
  <r>
    <x v="4"/>
    <s v="Purchase"/>
    <x v="186"/>
    <x v="2"/>
    <x v="1"/>
    <x v="265"/>
    <n v="48.95"/>
    <x v="2"/>
    <n v="1"/>
    <n v="48.95"/>
    <n v="1"/>
    <n v="48.95"/>
    <n v="19.5793"/>
    <n v="958.40673500000003"/>
    <n v="110.21"/>
    <n v="118.002"/>
    <n v="1.0707"/>
    <n v="1026.1660911644999"/>
    <n v="1026.1660911644999"/>
    <m/>
    <n v="1"/>
    <s v="Sale"/>
    <x v="125"/>
    <x v="1"/>
    <n v="59.978124999999999"/>
    <n v="1"/>
    <n v="59.978124999999999"/>
    <n v="20.3992"/>
    <n v="1223.5057675"/>
    <n v="1026.1660911644999"/>
    <n v="197.33967633550014"/>
    <n v="1.0712328767123287"/>
    <n v="1"/>
    <n v="197.33967633550014"/>
    <n v="0"/>
    <m/>
    <n v="11.028124999999996"/>
    <m/>
    <n v="0.22529366700715006"/>
    <m/>
  </r>
  <r>
    <x v="4"/>
    <s v="Purchase"/>
    <x v="186"/>
    <x v="2"/>
    <x v="1"/>
    <x v="265"/>
    <n v="197.07999999999998"/>
    <x v="2"/>
    <n v="4"/>
    <n v="49.269999999999996"/>
    <n v="1"/>
    <n v="197.07999999999998"/>
    <n v="19.5793"/>
    <n v="3858.6884439999999"/>
    <n v="110.21"/>
    <n v="118.002"/>
    <n v="1.0707"/>
    <n v="4131.4977169907997"/>
    <n v="1032.8744292476999"/>
    <m/>
    <n v="4"/>
    <s v="Sale"/>
    <x v="125"/>
    <x v="1"/>
    <n v="239.91249999999999"/>
    <n v="1"/>
    <n v="239.91249999999999"/>
    <n v="20.3992"/>
    <n v="4894.0230700000002"/>
    <n v="4131.4977169907997"/>
    <n v="762.52535300920044"/>
    <n v="1.0712328767123287"/>
    <n v="1"/>
    <n v="762.52535300920044"/>
    <n v="0"/>
    <m/>
    <n v="42.83250000000001"/>
    <m/>
    <n v="0.21733559975644415"/>
    <m/>
  </r>
  <r>
    <x v="4"/>
    <s v="Purchase"/>
    <x v="186"/>
    <x v="2"/>
    <x v="1"/>
    <x v="265"/>
    <n v="147.81"/>
    <x v="2"/>
    <n v="3"/>
    <n v="49.27"/>
    <n v="1"/>
    <n v="147.81"/>
    <n v="19.5793"/>
    <n v="2894.016333"/>
    <n v="110.21"/>
    <n v="118.002"/>
    <n v="1.0707"/>
    <n v="3098.6232877430998"/>
    <n v="1032.8744292476999"/>
    <m/>
    <n v="3"/>
    <s v="Sale"/>
    <x v="125"/>
    <x v="1"/>
    <n v="181.48439999999999"/>
    <n v="1"/>
    <n v="181.48439999999999"/>
    <n v="20.3992"/>
    <n v="3702.1365724799998"/>
    <n v="3098.6232877430998"/>
    <n v="603.5132847369"/>
    <n v="1.0712328767123287"/>
    <n v="1"/>
    <n v="603.5132847369"/>
    <n v="0"/>
    <m/>
    <n v="33.674399999999991"/>
    <m/>
    <n v="0.22782220418104318"/>
    <m/>
  </r>
  <r>
    <x v="4"/>
    <s v="Purchase"/>
    <x v="186"/>
    <x v="2"/>
    <x v="1"/>
    <x v="265"/>
    <n v="48.95"/>
    <x v="2"/>
    <n v="1"/>
    <n v="48.95"/>
    <n v="1"/>
    <n v="48.95"/>
    <n v="19.5793"/>
    <n v="958.40673500000003"/>
    <n v="110.21"/>
    <n v="118.002"/>
    <n v="1.0707"/>
    <n v="1026.1660911644999"/>
    <n v="1026.1660911644999"/>
    <m/>
    <n v="1"/>
    <s v="Sale"/>
    <x v="125"/>
    <x v="1"/>
    <n v="60.494799999999998"/>
    <n v="1"/>
    <n v="60.494799999999998"/>
    <n v="20.3992"/>
    <n v="1234.04552416"/>
    <n v="1026.1660911644999"/>
    <n v="207.87943299550011"/>
    <n v="1.0712328767123287"/>
    <n v="1"/>
    <n v="207.87943299550011"/>
    <n v="0"/>
    <m/>
    <n v="11.544799999999995"/>
    <m/>
    <n v="0.2358488253319713"/>
    <m/>
  </r>
  <r>
    <x v="4"/>
    <s v="Purchase"/>
    <x v="186"/>
    <x v="2"/>
    <x v="1"/>
    <x v="265"/>
    <n v="396.12"/>
    <x v="2"/>
    <n v="8"/>
    <n v="49.515000000000001"/>
    <n v="1"/>
    <n v="396.12"/>
    <n v="19.5793"/>
    <n v="7755.7523160000001"/>
    <n v="110.21"/>
    <n v="118.002"/>
    <n v="1.0707"/>
    <n v="8304.0840047412003"/>
    <n v="1038.01050059265"/>
    <m/>
    <n v="8"/>
    <s v="Sale"/>
    <x v="125"/>
    <x v="1"/>
    <n v="483.95839999999998"/>
    <n v="1"/>
    <n v="483.95839999999998"/>
    <n v="20.3992"/>
    <n v="9872.3641932800001"/>
    <n v="8304.0840047412003"/>
    <n v="1568.2801885387998"/>
    <n v="1.0712328767123287"/>
    <n v="1"/>
    <n v="1568.2801885387998"/>
    <n v="0"/>
    <m/>
    <n v="87.838399999999979"/>
    <m/>
    <n v="0.22174694537008982"/>
    <m/>
  </r>
  <r>
    <x v="4"/>
    <s v="Purchase"/>
    <x v="186"/>
    <x v="2"/>
    <x v="1"/>
    <x v="47"/>
    <n v="338.52"/>
    <x v="2"/>
    <n v="7"/>
    <n v="48.36"/>
    <n v="1"/>
    <n v="338.52"/>
    <n v="19.7393"/>
    <n v="6682.1478360000001"/>
    <n v="110.21"/>
    <n v="118.002"/>
    <n v="1.0707"/>
    <n v="7154.5756880052004"/>
    <n v="1022.0822411436001"/>
    <m/>
    <n v="7"/>
    <s v="Sale"/>
    <x v="125"/>
    <x v="1"/>
    <n v="423.46359999999999"/>
    <n v="1"/>
    <n v="423.46359999999999"/>
    <n v="20.3992"/>
    <n v="8638.3186691200008"/>
    <n v="7154.5756880052004"/>
    <n v="1483.7429811148004"/>
    <n v="1.0630136986301371"/>
    <n v="1"/>
    <n v="1483.7429811148004"/>
    <n v="0"/>
    <m/>
    <n v="84.943600000000004"/>
    <m/>
    <n v="0.2509263854425145"/>
    <m/>
  </r>
  <r>
    <x v="4"/>
    <s v="Purchase"/>
    <x v="186"/>
    <x v="2"/>
    <x v="1"/>
    <x v="47"/>
    <n v="288.47199999999998"/>
    <x v="2"/>
    <n v="6"/>
    <n v="48.078666666666663"/>
    <n v="1"/>
    <n v="288.47199999999998"/>
    <n v="19.7393"/>
    <n v="5694.2353495999996"/>
    <n v="110.21"/>
    <n v="118.002"/>
    <n v="1.0707"/>
    <n v="6096.8177888167193"/>
    <n v="1016.1362981361199"/>
    <m/>
    <n v="6"/>
    <s v="Sale"/>
    <x v="125"/>
    <x v="1"/>
    <n v="362.96879999999999"/>
    <n v="1"/>
    <n v="362.96879999999999"/>
    <n v="20.3992"/>
    <n v="7404.2731449599996"/>
    <n v="6096.8177888167193"/>
    <n v="1307.4553561432804"/>
    <n v="1.0630136986301371"/>
    <n v="1"/>
    <n v="1307.4553561432804"/>
    <n v="0"/>
    <m/>
    <n v="74.496800000000007"/>
    <m/>
    <n v="0.25824620760420425"/>
    <m/>
  </r>
  <r>
    <x v="4"/>
    <s v="Purchase"/>
    <x v="186"/>
    <x v="2"/>
    <x v="1"/>
    <x v="47"/>
    <n v="432.70799999999997"/>
    <x v="2"/>
    <n v="9"/>
    <n v="48.078666666666663"/>
    <n v="1"/>
    <n v="432.70799999999997"/>
    <n v="19.7393"/>
    <n v="8541.3530243999994"/>
    <n v="110.21"/>
    <n v="118.002"/>
    <n v="1.0707"/>
    <n v="9145.2266832250789"/>
    <n v="1016.1362981361199"/>
    <m/>
    <n v="9"/>
    <s v="Sale"/>
    <x v="45"/>
    <x v="1"/>
    <n v="534.11727272727273"/>
    <n v="1"/>
    <n v="534.11727272727273"/>
    <n v="20.333500000000001"/>
    <n v="10860.473565"/>
    <n v="9145.2266832250789"/>
    <n v="1715.2468817749213"/>
    <n v="1.0657534246575342"/>
    <n v="1"/>
    <n v="1715.2468817749213"/>
    <n v="0"/>
    <m/>
    <n v="101.40927272727276"/>
    <m/>
    <n v="0.23435959752829338"/>
    <m/>
  </r>
  <r>
    <x v="4"/>
    <s v="Purchase"/>
    <x v="186"/>
    <x v="2"/>
    <x v="1"/>
    <x v="47"/>
    <n v="96.72"/>
    <x v="2"/>
    <n v="2"/>
    <n v="48.36"/>
    <n v="1"/>
    <n v="96.72"/>
    <n v="19.7393"/>
    <n v="1909.1850959999999"/>
    <n v="110.21"/>
    <n v="118.002"/>
    <n v="1.0707"/>
    <n v="2044.1644822871999"/>
    <n v="1022.0822411436"/>
    <m/>
    <n v="2"/>
    <s v="Sale"/>
    <x v="45"/>
    <x v="1"/>
    <n v="118.69272727272727"/>
    <n v="1"/>
    <n v="118.69272727272727"/>
    <n v="20.333500000000001"/>
    <n v="2413.4385699999998"/>
    <n v="2044.1644822871999"/>
    <n v="369.27408771279988"/>
    <n v="1.0657534246575342"/>
    <n v="1"/>
    <n v="369.27408771279988"/>
    <n v="0"/>
    <m/>
    <n v="21.972727272727269"/>
    <m/>
    <n v="0.22717873524325133"/>
    <m/>
  </r>
  <r>
    <x v="4"/>
    <s v="Purchase"/>
    <x v="186"/>
    <x v="2"/>
    <x v="1"/>
    <x v="47"/>
    <n v="193.44"/>
    <x v="2"/>
    <n v="4"/>
    <n v="48.36"/>
    <n v="1"/>
    <n v="193.44"/>
    <n v="19.7393"/>
    <n v="3818.3701919999999"/>
    <n v="110.21"/>
    <n v="118.002"/>
    <n v="1.0707"/>
    <n v="4088.3289645743998"/>
    <n v="1022.0822411436"/>
    <m/>
    <n v="4"/>
    <s v="Sale"/>
    <x v="45"/>
    <x v="1"/>
    <n v="235.96"/>
    <n v="1"/>
    <n v="235.96"/>
    <n v="20.333500000000001"/>
    <n v="4797.8926600000004"/>
    <n v="4088.3289645743998"/>
    <n v="709.5636954256006"/>
    <n v="1.0657534246575342"/>
    <n v="1"/>
    <n v="709.5636954256006"/>
    <n v="0"/>
    <m/>
    <n v="42.52000000000001"/>
    <m/>
    <n v="0.21980976013234083"/>
    <m/>
  </r>
  <r>
    <x v="4"/>
    <s v="Purchase"/>
    <x v="186"/>
    <x v="2"/>
    <x v="1"/>
    <x v="47"/>
    <n v="48.36"/>
    <x v="2"/>
    <n v="1"/>
    <n v="48.36"/>
    <n v="1"/>
    <n v="48.36"/>
    <n v="19.7393"/>
    <n v="954.59254799999997"/>
    <n v="110.21"/>
    <n v="118.002"/>
    <n v="1.0707"/>
    <n v="1022.0822411436"/>
    <n v="1022.0822411436"/>
    <m/>
    <n v="1"/>
    <s v="Sale"/>
    <x v="45"/>
    <x v="1"/>
    <n v="59.145000000000003"/>
    <n v="1"/>
    <n v="59.145000000000003"/>
    <n v="20.333500000000001"/>
    <n v="1202.6248575000002"/>
    <n v="1022.0822411436"/>
    <n v="180.54261635640023"/>
    <n v="1.0657534246575342"/>
    <n v="1"/>
    <n v="180.54261635640023"/>
    <n v="0"/>
    <m/>
    <n v="10.785000000000004"/>
    <m/>
    <n v="0.22301488833746907"/>
    <m/>
  </r>
  <r>
    <x v="4"/>
    <s v="Purchase"/>
    <x v="186"/>
    <x v="2"/>
    <x v="1"/>
    <x v="47"/>
    <n v="240.39310344827587"/>
    <x v="2"/>
    <n v="5"/>
    <n v="48.078620689655175"/>
    <n v="1"/>
    <n v="240.39310344827587"/>
    <n v="19.7393"/>
    <n v="4745.1915868965516"/>
    <n v="110.21"/>
    <n v="118.002"/>
    <n v="1.0707"/>
    <n v="5080.6766320901379"/>
    <n v="1016.1353264180276"/>
    <m/>
    <n v="5"/>
    <s v="Sale"/>
    <x v="45"/>
    <x v="1"/>
    <n v="295.72500000000002"/>
    <n v="1"/>
    <n v="295.72500000000002"/>
    <n v="20.333500000000001"/>
    <n v="6013.1242875000007"/>
    <n v="5080.6766320901379"/>
    <n v="932.44765540986282"/>
    <n v="1.0657534246575342"/>
    <n v="1"/>
    <n v="932.44765540986282"/>
    <n v="0"/>
    <m/>
    <n v="55.331896551724157"/>
    <m/>
    <n v="0.23017256218263196"/>
    <m/>
  </r>
  <r>
    <x v="4"/>
    <s v="Purchase"/>
    <x v="186"/>
    <x v="2"/>
    <x v="1"/>
    <x v="47"/>
    <n v="384.6289655172414"/>
    <x v="2"/>
    <n v="8"/>
    <n v="48.078620689655175"/>
    <n v="1"/>
    <n v="384.6289655172414"/>
    <n v="19.7393"/>
    <n v="7592.3065390344827"/>
    <n v="110.21"/>
    <n v="118.002"/>
    <n v="1.0707"/>
    <n v="8129.0826113442208"/>
    <n v="1016.1353264180276"/>
    <m/>
    <n v="8"/>
    <s v="Sale"/>
    <x v="45"/>
    <x v="1"/>
    <n v="471.77"/>
    <n v="1"/>
    <n v="471.77"/>
    <n v="20.333500000000001"/>
    <n v="9592.7352950000004"/>
    <n v="8129.0826113442208"/>
    <n v="1463.6526836557796"/>
    <n v="1.0657534246575342"/>
    <n v="1"/>
    <n v="1463.6526836557796"/>
    <n v="0"/>
    <m/>
    <n v="87.141034482758585"/>
    <m/>
    <n v="0.22655868978971214"/>
    <m/>
  </r>
  <r>
    <x v="4"/>
    <s v="Purchase"/>
    <x v="186"/>
    <x v="2"/>
    <x v="1"/>
    <x v="47"/>
    <n v="769.25793103448279"/>
    <x v="2"/>
    <n v="16"/>
    <n v="48.078620689655175"/>
    <n v="1"/>
    <n v="769.25793103448279"/>
    <n v="19.7393"/>
    <n v="15184.613078068965"/>
    <n v="110.21"/>
    <n v="118.002"/>
    <n v="1.0707"/>
    <n v="16258.165222688442"/>
    <n v="1016.1353264180276"/>
    <m/>
    <n v="16"/>
    <s v="Sale"/>
    <x v="46"/>
    <x v="1"/>
    <n v="938.39157894736832"/>
    <n v="1"/>
    <n v="938.39157894736832"/>
    <n v="20.3063"/>
    <n v="19055.260919578945"/>
    <n v="16258.165222688442"/>
    <n v="2797.0956968905029"/>
    <n v="1.0767123287671232"/>
    <n v="1"/>
    <n v="2797.0956968905029"/>
    <n v="0"/>
    <m/>
    <n v="169.13364791288552"/>
    <m/>
    <n v="0.21986597874322589"/>
    <m/>
  </r>
  <r>
    <x v="4"/>
    <s v="Purchase"/>
    <x v="186"/>
    <x v="2"/>
    <x v="1"/>
    <x v="47"/>
    <n v="144.23624999999998"/>
    <x v="2"/>
    <n v="3"/>
    <n v="48.078749999999992"/>
    <n v="1"/>
    <n v="144.23624999999998"/>
    <n v="19.7393"/>
    <n v="2847.1226096249998"/>
    <n v="110.21"/>
    <n v="118.002"/>
    <n v="1.0707"/>
    <n v="3048.4141781254871"/>
    <n v="1016.1380593751624"/>
    <m/>
    <n v="3"/>
    <s v="Sale"/>
    <x v="46"/>
    <x v="1"/>
    <n v="175.94842105263155"/>
    <n v="1"/>
    <n v="175.94842105263155"/>
    <n v="20.3063"/>
    <n v="3572.8614224210519"/>
    <n v="3048.4141781254871"/>
    <n v="524.44724429556481"/>
    <n v="1.0767123287671232"/>
    <n v="1"/>
    <n v="524.44724429556481"/>
    <n v="0"/>
    <m/>
    <n v="31.712171052631561"/>
    <m/>
    <n v="0.2198626978490606"/>
    <m/>
  </r>
  <r>
    <x v="4"/>
    <s v="Purchase"/>
    <x v="186"/>
    <x v="2"/>
    <x v="1"/>
    <x v="47"/>
    <n v="625.02374999999995"/>
    <x v="2"/>
    <n v="13"/>
    <n v="48.078749999999999"/>
    <n v="1"/>
    <n v="625.02374999999995"/>
    <n v="19.7393"/>
    <n v="12337.531308374999"/>
    <n v="110.21"/>
    <n v="118.002"/>
    <n v="1.0707"/>
    <n v="13209.79477187711"/>
    <n v="1016.1380593751624"/>
    <m/>
    <n v="13"/>
    <s v="Sale"/>
    <x v="46"/>
    <x v="1"/>
    <n v="764.63883720930232"/>
    <n v="1"/>
    <n v="764.63883720930232"/>
    <n v="20.3063"/>
    <n v="15526.985620023255"/>
    <n v="13209.79477187711"/>
    <n v="2317.1908481461451"/>
    <n v="1.0767123287671232"/>
    <n v="1"/>
    <n v="2317.1908481461451"/>
    <n v="0"/>
    <m/>
    <n v="139.61508720930237"/>
    <m/>
    <n v="0.22337565126013592"/>
    <m/>
  </r>
  <r>
    <x v="4"/>
    <s v="Purchase"/>
    <x v="186"/>
    <x v="2"/>
    <x v="1"/>
    <x v="47"/>
    <n v="628.67999999999995"/>
    <x v="2"/>
    <n v="13"/>
    <n v="48.36"/>
    <n v="1"/>
    <n v="628.67999999999995"/>
    <n v="19.7393"/>
    <n v="12409.703124"/>
    <n v="110.21"/>
    <n v="118.002"/>
    <n v="1.0707"/>
    <n v="13287.069134866799"/>
    <n v="1022.0822411436"/>
    <m/>
    <n v="13"/>
    <s v="Sale"/>
    <x v="46"/>
    <x v="1"/>
    <n v="764.63883720930232"/>
    <n v="1"/>
    <n v="764.63883720930232"/>
    <n v="20.3063"/>
    <n v="15526.985620023255"/>
    <n v="13287.069134866799"/>
    <n v="2239.9164851564565"/>
    <n v="1.0767123287671232"/>
    <n v="1"/>
    <n v="2239.9164851564565"/>
    <n v="0"/>
    <m/>
    <n v="135.95883720930237"/>
    <m/>
    <n v="0.21626079596822292"/>
    <m/>
  </r>
  <r>
    <x v="4"/>
    <s v="Purchase"/>
    <x v="186"/>
    <x v="2"/>
    <x v="1"/>
    <x v="237"/>
    <n v="282.24"/>
    <x v="2"/>
    <n v="6"/>
    <n v="47.04"/>
    <n v="1"/>
    <n v="282.24"/>
    <n v="19.9833"/>
    <n v="5640.0865920000006"/>
    <n v="110.21"/>
    <n v="118.002"/>
    <n v="1.0707"/>
    <n v="6038.8407140544005"/>
    <n v="1006.4734523424"/>
    <m/>
    <n v="6"/>
    <s v="Sale"/>
    <x v="46"/>
    <x v="1"/>
    <n v="352.91023255813957"/>
    <n v="1"/>
    <n v="352.91023255813957"/>
    <n v="20.3063"/>
    <n v="7166.30105539535"/>
    <n v="6038.8407140544005"/>
    <n v="1127.4603413409495"/>
    <n v="1.0739726027397261"/>
    <n v="1"/>
    <n v="1127.4603413409495"/>
    <n v="0"/>
    <m/>
    <n v="70.67023255813956"/>
    <m/>
    <n v="0.25039056320202507"/>
    <m/>
  </r>
  <r>
    <x v="4"/>
    <s v="Purchase"/>
    <x v="186"/>
    <x v="2"/>
    <x v="1"/>
    <x v="237"/>
    <n v="47.04"/>
    <x v="2"/>
    <n v="1"/>
    <n v="47.04"/>
    <n v="1"/>
    <n v="47.04"/>
    <n v="19.9833"/>
    <n v="940.01443199999994"/>
    <n v="110.21"/>
    <n v="118.002"/>
    <n v="1.0707"/>
    <n v="1006.4734523423999"/>
    <n v="1006.4734523423999"/>
    <m/>
    <n v="1"/>
    <s v="Sale"/>
    <x v="46"/>
    <x v="1"/>
    <n v="58.818372093023257"/>
    <n v="1"/>
    <n v="58.818372093023257"/>
    <n v="20.3063"/>
    <n v="1194.3835092325583"/>
    <n v="1006.4734523423999"/>
    <n v="187.91005689015833"/>
    <n v="1.0739726027397261"/>
    <n v="1"/>
    <n v="187.91005689015833"/>
    <n v="0"/>
    <m/>
    <n v="11.778372093023258"/>
    <m/>
    <n v="0.25039056320202502"/>
    <m/>
  </r>
  <r>
    <x v="4"/>
    <s v="Purchase"/>
    <x v="186"/>
    <x v="2"/>
    <x v="1"/>
    <x v="237"/>
    <n v="472.37333333333333"/>
    <x v="2"/>
    <n v="10"/>
    <n v="47.237333333333332"/>
    <n v="1"/>
    <n v="472.37333333333333"/>
    <n v="19.9833"/>
    <n v="9439.5780319999994"/>
    <n v="110.21"/>
    <n v="118.002"/>
    <n v="1.0707"/>
    <n v="10106.956198862399"/>
    <n v="1010.6956198862399"/>
    <m/>
    <n v="10"/>
    <s v="Sale"/>
    <x v="46"/>
    <x v="1"/>
    <n v="588.18372093023254"/>
    <n v="1"/>
    <n v="588.18372093023254"/>
    <n v="20.3063"/>
    <n v="11943.83509232558"/>
    <n v="10106.956198862399"/>
    <n v="1836.8788934631812"/>
    <n v="1.0739726027397261"/>
    <n v="1"/>
    <n v="1836.8788934631812"/>
    <n v="0"/>
    <m/>
    <n v="115.8103875968992"/>
    <m/>
    <n v="0.24516707321235859"/>
    <m/>
  </r>
  <r>
    <x v="4"/>
    <s v="Purchase"/>
    <x v="186"/>
    <x v="2"/>
    <x v="1"/>
    <x v="237"/>
    <n v="236.18666666666667"/>
    <x v="2"/>
    <n v="5"/>
    <n v="47.237333333333332"/>
    <n v="1"/>
    <n v="236.18666666666667"/>
    <n v="19.9833"/>
    <n v="4719.7890159999997"/>
    <n v="110.21"/>
    <n v="118.002"/>
    <n v="1.0707"/>
    <n v="5053.4780994311996"/>
    <n v="1010.6956198862399"/>
    <m/>
    <n v="5"/>
    <s v="Sale"/>
    <x v="46"/>
    <x v="1"/>
    <n v="293.05"/>
    <n v="1"/>
    <n v="293.05"/>
    <n v="20.3063"/>
    <n v="5950.7612150000004"/>
    <n v="5053.4780994311996"/>
    <n v="897.28311556880089"/>
    <n v="1.0739726027397261"/>
    <n v="1"/>
    <n v="897.28311556880089"/>
    <n v="0"/>
    <m/>
    <n v="56.863333333333344"/>
    <m/>
    <n v="0.24075589928869826"/>
    <m/>
  </r>
  <r>
    <x v="4"/>
    <s v="Purchase"/>
    <x v="186"/>
    <x v="2"/>
    <x v="1"/>
    <x v="237"/>
    <n v="187.83555555555554"/>
    <x v="2"/>
    <n v="4"/>
    <n v="46.958888888888886"/>
    <n v="1"/>
    <n v="187.83555555555554"/>
    <n v="19.9833"/>
    <n v="3753.5742573333332"/>
    <n v="110.21"/>
    <n v="118.002"/>
    <n v="1.0707"/>
    <n v="4018.9519573267999"/>
    <n v="1004.7379893317"/>
    <m/>
    <n v="4"/>
    <s v="Sale"/>
    <x v="46"/>
    <x v="1"/>
    <n v="234.44"/>
    <n v="1"/>
    <n v="234.44"/>
    <n v="20.3063"/>
    <n v="4760.608972"/>
    <n v="4018.9519573267999"/>
    <n v="741.65701467320014"/>
    <n v="1.0739726027397261"/>
    <n v="1"/>
    <n v="741.65701467320014"/>
    <n v="0"/>
    <m/>
    <n v="46.604444444444454"/>
    <m/>
    <n v="0.24811300664884184"/>
    <m/>
  </r>
  <r>
    <x v="4"/>
    <s v="Purchase"/>
    <x v="186"/>
    <x v="2"/>
    <x v="1"/>
    <x v="237"/>
    <n v="234.79444444444442"/>
    <x v="2"/>
    <n v="5"/>
    <n v="46.958888888888886"/>
    <n v="1"/>
    <n v="234.79444444444442"/>
    <n v="19.9833"/>
    <n v="4691.9678216666662"/>
    <n v="110.21"/>
    <n v="118.002"/>
    <n v="1.0707"/>
    <n v="5023.6899466584991"/>
    <n v="1004.7379893316999"/>
    <m/>
    <n v="5"/>
    <s v="Sale"/>
    <x v="126"/>
    <x v="1"/>
    <n v="288.06590909090909"/>
    <n v="1"/>
    <n v="288.06590909090909"/>
    <n v="20.282499999999999"/>
    <n v="5842.6968011363633"/>
    <n v="5023.6899466584991"/>
    <n v="819.00685447786418"/>
    <n v="1.0767123287671232"/>
    <n v="1"/>
    <n v="819.00685447786418"/>
    <n v="0"/>
    <m/>
    <n v="53.271464646464665"/>
    <m/>
    <n v="0.22688554140415115"/>
    <m/>
  </r>
  <r>
    <x v="4"/>
    <s v="Purchase"/>
    <x v="186"/>
    <x v="2"/>
    <x v="1"/>
    <x v="237"/>
    <n v="1369.89"/>
    <x v="2"/>
    <n v="29"/>
    <n v="47.237586206896552"/>
    <n v="1"/>
    <n v="1369.89"/>
    <n v="19.9833"/>
    <n v="27374.922837000002"/>
    <n v="110.21"/>
    <n v="118.002"/>
    <n v="1.0707"/>
    <n v="29310.329881575901"/>
    <n v="1010.701030399169"/>
    <m/>
    <n v="29"/>
    <s v="Sale"/>
    <x v="126"/>
    <x v="1"/>
    <n v="1670.7822727272728"/>
    <n v="1"/>
    <n v="1670.7822727272728"/>
    <n v="20.282499999999999"/>
    <n v="33887.641446590911"/>
    <n v="29310.329881575901"/>
    <n v="4577.3115650150103"/>
    <n v="1.0767123287671232"/>
    <n v="1"/>
    <n v="4577.3115650150103"/>
    <n v="0"/>
    <m/>
    <n v="300.89227272727271"/>
    <m/>
    <n v="0.2196470320443778"/>
    <m/>
  </r>
  <r>
    <x v="4"/>
    <s v="Purchase"/>
    <x v="186"/>
    <x v="2"/>
    <x v="1"/>
    <x v="237"/>
    <n v="94.08"/>
    <x v="2"/>
    <n v="2"/>
    <n v="47.04"/>
    <n v="1"/>
    <n v="94.08"/>
    <n v="19.9833"/>
    <n v="1880.0288639999999"/>
    <n v="110.21"/>
    <n v="118.002"/>
    <n v="1.0707"/>
    <n v="2012.9469046847998"/>
    <n v="1006.4734523423999"/>
    <m/>
    <n v="2"/>
    <s v="Sale"/>
    <x v="126"/>
    <x v="1"/>
    <n v="115.22636363636364"/>
    <n v="1"/>
    <n v="115.22636363636364"/>
    <n v="20.282499999999999"/>
    <n v="2337.0787204545454"/>
    <n v="2012.9469046847998"/>
    <n v="324.13181576974557"/>
    <n v="1.0767123287671232"/>
    <n v="1"/>
    <n v="324.13181576974557"/>
    <n v="0"/>
    <m/>
    <n v="21.146363636363645"/>
    <m/>
    <n v="0.22477002164502174"/>
    <m/>
  </r>
  <r>
    <x v="4"/>
    <s v="Purchase"/>
    <x v="186"/>
    <x v="2"/>
    <x v="1"/>
    <x v="237"/>
    <n v="375.66933333333333"/>
    <x v="2"/>
    <n v="8"/>
    <n v="46.958666666666666"/>
    <n v="1"/>
    <n v="375.66933333333333"/>
    <n v="19.9833"/>
    <n v="7507.1129887999996"/>
    <n v="110.21"/>
    <n v="118.002"/>
    <n v="1.0707"/>
    <n v="8037.8658771081591"/>
    <n v="1004.7332346385199"/>
    <m/>
    <n v="8"/>
    <s v="Sale"/>
    <x v="126"/>
    <x v="1"/>
    <n v="460.90545454545457"/>
    <n v="1"/>
    <n v="460.90545454545457"/>
    <n v="20.282499999999999"/>
    <n v="9348.3148818181817"/>
    <n v="8037.8658771081591"/>
    <n v="1310.4490047100226"/>
    <n v="1.0767123287671232"/>
    <n v="1"/>
    <n v="1310.4490047100226"/>
    <n v="0"/>
    <m/>
    <n v="85.236121212121247"/>
    <m/>
    <n v="0.22689134738738656"/>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0"/>
    <n v="0"/>
    <n v="0"/>
    <n v="0"/>
    <n v="0"/>
    <n v="0"/>
    <n v="0"/>
    <n v="0"/>
    <n v="0"/>
    <n v="0"/>
    <n v="0"/>
    <n v="0"/>
    <m/>
    <m/>
    <m/>
    <x v="0"/>
    <x v="0"/>
    <m/>
    <n v="0"/>
    <n v="0"/>
    <n v="0"/>
    <n v="0"/>
    <n v="0"/>
    <n v="0"/>
    <n v="0"/>
    <n v="1"/>
    <n v="0"/>
    <n v="0"/>
    <m/>
    <n v="0"/>
    <m/>
    <n v="0"/>
    <m/>
  </r>
  <r>
    <x v="0"/>
    <m/>
    <x v="0"/>
    <x v="0"/>
    <x v="0"/>
    <x v="0"/>
    <m/>
    <x v="3"/>
    <m/>
    <m/>
    <m/>
    <m/>
    <m/>
    <m/>
    <m/>
    <m/>
    <m/>
    <m/>
    <m/>
    <m/>
    <m/>
    <m/>
    <x v="0"/>
    <x v="0"/>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7DD4F4-D4F8-F04F-AB2F-6B96F058B29A}" name="PivotTable2" cacheId="202" applyNumberFormats="0" applyBorderFormats="0" applyFontFormats="0" applyPatternFormats="0" applyAlignmentFormats="0" applyWidthHeightFormats="1" dataCaption="Values" grandTotalCaption="Gran Total" updatedVersion="8" minRefreshableVersion="3" showDrill="0" useAutoFormatting="1" itemPrintTitles="1" createdVersion="4" indent="0" outline="1" outlineData="1" multipleFieldFilters="0" rowHeaderCaption="Posiciones">
  <location ref="B5:I45" firstHeaderRow="0" firstDataRow="1" firstDataCol="1"/>
  <pivotFields count="38">
    <pivotField axis="axisRow" subtotalTop="0" showAll="0" insertBlankRow="1" sortType="ascending">
      <items count="9">
        <item x="6"/>
        <item x="5"/>
        <item n="1XXX100" x="4"/>
        <item n="4H 0XXX0 RB" x="3"/>
        <item n="677-0XXX52-670" x="1"/>
        <item n="677-0XXX53-471" x="2"/>
        <item n="B467XXX05" x="7"/>
        <item x="0"/>
        <item t="default"/>
      </items>
    </pivotField>
    <pivotField subtotalTop="0" showAll="0" insertBlankRow="1"/>
    <pivotField axis="axisRow" subtotalTop="0" showAll="0" insertBlankRow="1" sortType="ascending">
      <items count="197">
        <item x="125"/>
        <item x="12"/>
        <item x="126"/>
        <item x="106"/>
        <item x="37"/>
        <item x="38"/>
        <item x="107"/>
        <item x="13"/>
        <item x="127"/>
        <item x="14"/>
        <item x="4"/>
        <item x="151"/>
        <item x="39"/>
        <item x="128"/>
        <item x="129"/>
        <item x="152"/>
        <item x="153"/>
        <item x="5"/>
        <item x="69"/>
        <item x="122"/>
        <item x="130"/>
        <item x="131"/>
        <item x="15"/>
        <item x="1"/>
        <item x="120"/>
        <item x="132"/>
        <item x="64"/>
        <item x="80"/>
        <item x="119"/>
        <item x="40"/>
        <item x="16"/>
        <item x="41"/>
        <item x="17"/>
        <item x="18"/>
        <item x="71"/>
        <item x="19"/>
        <item x="154"/>
        <item x="42"/>
        <item x="117"/>
        <item x="193"/>
        <item x="59"/>
        <item x="20"/>
        <item x="146"/>
        <item x="108"/>
        <item x="61"/>
        <item x="133"/>
        <item x="102"/>
        <item x="155"/>
        <item x="81"/>
        <item x="115"/>
        <item x="21"/>
        <item x="43"/>
        <item x="22"/>
        <item x="191"/>
        <item x="156"/>
        <item x="189"/>
        <item x="121"/>
        <item x="109"/>
        <item x="44"/>
        <item x="134"/>
        <item x="84"/>
        <item x="105"/>
        <item x="166"/>
        <item x="101"/>
        <item x="164"/>
        <item x="96"/>
        <item x="98"/>
        <item x="85"/>
        <item x="45"/>
        <item x="86"/>
        <item x="169"/>
        <item x="114"/>
        <item x="170"/>
        <item x="171"/>
        <item x="91"/>
        <item x="87"/>
        <item x="6"/>
        <item x="172"/>
        <item x="173"/>
        <item x="180"/>
        <item x="174"/>
        <item x="175"/>
        <item x="176"/>
        <item x="7"/>
        <item x="103"/>
        <item x="165"/>
        <item x="168"/>
        <item x="95"/>
        <item x="92"/>
        <item x="167"/>
        <item x="104"/>
        <item x="148"/>
        <item x="77"/>
        <item x="157"/>
        <item x="23"/>
        <item x="110"/>
        <item x="149"/>
        <item x="8"/>
        <item x="111"/>
        <item x="112"/>
        <item x="135"/>
        <item x="136"/>
        <item x="24"/>
        <item x="25"/>
        <item x="158"/>
        <item x="74"/>
        <item x="79"/>
        <item x="192"/>
        <item x="66"/>
        <item x="159"/>
        <item x="137"/>
        <item x="9"/>
        <item x="26"/>
        <item x="46"/>
        <item x="27"/>
        <item x="47"/>
        <item x="48"/>
        <item x="60"/>
        <item x="76"/>
        <item x="83"/>
        <item x="184"/>
        <item x="65"/>
        <item x="49"/>
        <item x="28"/>
        <item x="113"/>
        <item x="188"/>
        <item x="29"/>
        <item x="72"/>
        <item x="160"/>
        <item x="75"/>
        <item x="30"/>
        <item x="10"/>
        <item x="58"/>
        <item x="50"/>
        <item x="73"/>
        <item x="68"/>
        <item x="138"/>
        <item x="161"/>
        <item x="62"/>
        <item x="31"/>
        <item x="139"/>
        <item x="140"/>
        <item x="162"/>
        <item x="141"/>
        <item x="163"/>
        <item x="142"/>
        <item x="67"/>
        <item x="88"/>
        <item x="181"/>
        <item x="177"/>
        <item x="178"/>
        <item x="183"/>
        <item x="90"/>
        <item x="89"/>
        <item x="182"/>
        <item x="11"/>
        <item x="123"/>
        <item x="93"/>
        <item x="63"/>
        <item x="124"/>
        <item x="194"/>
        <item x="56"/>
        <item x="51"/>
        <item x="150"/>
        <item x="70"/>
        <item x="143"/>
        <item x="52"/>
        <item x="32"/>
        <item x="187"/>
        <item x="186"/>
        <item x="33"/>
        <item x="185"/>
        <item x="53"/>
        <item x="54"/>
        <item x="179"/>
        <item x="78"/>
        <item x="34"/>
        <item x="35"/>
        <item x="36"/>
        <item x="82"/>
        <item x="116"/>
        <item x="100"/>
        <item x="99"/>
        <item x="147"/>
        <item x="94"/>
        <item x="55"/>
        <item x="144"/>
        <item x="145"/>
        <item x="97"/>
        <item x="3"/>
        <item x="2"/>
        <item x="57"/>
        <item x="195"/>
        <item x="190"/>
        <item x="118"/>
        <item x="0"/>
        <item t="default"/>
      </items>
    </pivotField>
    <pivotField axis="axisRow" subtotalTop="0" showAll="0" insertBlankRow="1" sortType="ascending">
      <items count="4">
        <item x="1"/>
        <item x="2"/>
        <item x="0"/>
        <item t="default"/>
      </items>
    </pivotField>
    <pivotField subtotalTop="0" showAll="0" insertBlankRow="1"/>
    <pivotField subtotalTop="0" showAll="0" insertBlankRow="1"/>
    <pivotField subtotalTop="0" showAll="0" insertBlankRow="1"/>
    <pivotField axis="axisRow" subtotalTop="0" showAll="0" insertBlankRow="1">
      <items count="5">
        <item h="1" x="0"/>
        <item h="1" x="3"/>
        <item x="1"/>
        <item h="1" x="2"/>
        <item t="default"/>
      </items>
    </pivotField>
    <pivotField dataField="1" subtotalTop="0" showAll="0" insertBlankRow="1"/>
    <pivotField subtotalTop="0" showAll="0" insertBlankRow="1"/>
    <pivotField numFmtId="166"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numFmtId="172" subtotalTop="0" showAll="0" insertBlankRow="1"/>
    <pivotField dataField="1" subtotalTop="0" showAll="0" insertBlankRow="1"/>
    <pivotField subtotalTop="0" showAll="0" insertBlankRow="1"/>
    <pivotField subtotalTop="0" showAll="0" insertBlankRow="1"/>
    <pivotField name="Unidades vendidas2" subtotalTop="0" showAll="0" insertBlankRow="1"/>
    <pivotField subtotalTop="0" showAll="0" insertBlankRow="1"/>
    <pivotField subtotalTop="0" showAll="0" insertBlankRow="1">
      <items count="369">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61"/>
        <item x="62"/>
        <item x="63"/>
        <item x="64"/>
        <item x="65"/>
        <item x="66"/>
        <item x="67"/>
        <item x="68"/>
        <item x="69"/>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ubtotalTop="0" showAll="0" insertBlankRow="1"/>
    <pivotField subtotalTop="0" showAll="0" insertBlankRow="1"/>
    <pivotField numFmtId="166" subtotalTop="0" showAll="0" insertBlankRow="1"/>
    <pivotField dataField="1" subtotalTop="0" showAll="0" insertBlankRow="1"/>
    <pivotField subtotalTop="0" showAll="0" insertBlankRow="1"/>
    <pivotField name="Precio de Venta en MXN2" dataField="1"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subtotalTop="0" showAll="0" insertBlankRow="1"/>
    <pivotField subtotalTop="0" showAll="0" insertBlankRow="1"/>
    <pivotField dataField="1" numFmtId="43" subtotalTop="0" showAll="0" insertBlankRow="1"/>
    <pivotField subtotalTop="0" showAll="0" insertBlankRow="1">
      <items count="15">
        <item x="0"/>
        <item x="1"/>
        <item x="2"/>
        <item x="3"/>
        <item x="4"/>
        <item x="5"/>
        <item x="6"/>
        <item x="7"/>
        <item x="8"/>
        <item x="9"/>
        <item x="10"/>
        <item x="11"/>
        <item x="12"/>
        <item x="13"/>
        <item t="default"/>
      </items>
    </pivotField>
  </pivotFields>
  <rowFields count="4">
    <field x="7"/>
    <field x="3"/>
    <field x="0"/>
    <field x="2"/>
  </rowFields>
  <rowItems count="40">
    <i>
      <x v="2"/>
    </i>
    <i r="1">
      <x/>
    </i>
    <i r="2">
      <x v="2"/>
    </i>
    <i r="3">
      <x v="38"/>
    </i>
    <i r="3">
      <x v="48"/>
    </i>
    <i r="3">
      <x v="117"/>
    </i>
    <i r="3">
      <x v="129"/>
    </i>
    <i r="3">
      <x v="158"/>
    </i>
    <i t="default" r="2">
      <x v="2"/>
    </i>
    <i t="blank" r="2">
      <x v="2"/>
    </i>
    <i r="2">
      <x v="3"/>
    </i>
    <i r="3">
      <x v="3"/>
    </i>
    <i r="3">
      <x v="11"/>
    </i>
    <i r="3">
      <x v="25"/>
    </i>
    <i r="3">
      <x v="37"/>
    </i>
    <i r="3">
      <x v="43"/>
    </i>
    <i r="3">
      <x v="47"/>
    </i>
    <i r="3">
      <x v="122"/>
    </i>
    <i r="3">
      <x v="133"/>
    </i>
    <i r="3">
      <x v="185"/>
    </i>
    <i r="3">
      <x v="186"/>
    </i>
    <i t="default" r="2">
      <x v="3"/>
    </i>
    <i t="blank" r="2">
      <x v="3"/>
    </i>
    <i r="2">
      <x v="4"/>
    </i>
    <i r="3">
      <x v="23"/>
    </i>
    <i t="default" r="2">
      <x v="4"/>
    </i>
    <i t="blank" r="2">
      <x v="4"/>
    </i>
    <i r="2">
      <x v="5"/>
    </i>
    <i r="3">
      <x v="97"/>
    </i>
    <i t="default" r="2">
      <x v="5"/>
    </i>
    <i t="blank" r="2">
      <x v="5"/>
    </i>
    <i r="2">
      <x v="6"/>
    </i>
    <i r="3">
      <x v="96"/>
    </i>
    <i t="default" r="2">
      <x v="6"/>
    </i>
    <i t="blank" r="2">
      <x v="6"/>
    </i>
    <i t="default" r="1">
      <x/>
    </i>
    <i t="blank" r="1">
      <x/>
    </i>
    <i t="default">
      <x v="2"/>
    </i>
    <i t="blank">
      <x v="2"/>
    </i>
    <i t="grand">
      <x/>
    </i>
  </rowItems>
  <colFields count="1">
    <field x="-2"/>
  </colFields>
  <colItems count="7">
    <i>
      <x/>
    </i>
    <i i="1">
      <x v="1"/>
    </i>
    <i i="2">
      <x v="2"/>
    </i>
    <i i="3">
      <x v="3"/>
    </i>
    <i i="4">
      <x v="4"/>
    </i>
    <i i="5">
      <x v="5"/>
    </i>
    <i i="6">
      <x v="6"/>
    </i>
  </colItems>
  <dataFields count="7">
    <dataField name="Unidades Vendidas" fld="8" baseField="0" baseItem="0" numFmtId="40"/>
    <dataField name="Ingresos en USD" fld="26" baseField="0" baseItem="0" numFmtId="39"/>
    <dataField name="Costo de Adquisición en USD " fld="11" baseField="0" baseItem="0" numFmtId="40"/>
    <dataField name="Ganancia / (Pérdida) en USD" fld="36" baseField="0" baseItem="0" numFmtId="40"/>
    <dataField name="Ingresos en MXN " fld="28" baseField="0" baseItem="0" numFmtId="40"/>
    <dataField name="Costo Actualizado en MXN" fld="17" baseField="0" baseItem="0" numFmtId="39"/>
    <dataField name="Ganancia Acumulable / (Pérdida Deducible) " fld="33" baseField="0" baseItem="0" numFmtId="178"/>
  </dataFields>
  <formats count="58">
    <format dxfId="723">
      <pivotArea dataOnly="0" grandRow="1" fieldPosition="0"/>
    </format>
    <format dxfId="722">
      <pivotArea type="all" dataOnly="0" outline="0" fieldPosition="0"/>
    </format>
    <format dxfId="721">
      <pivotArea dataOnly="0" labelOnly="1" grandRow="1" outline="0" fieldPosition="0"/>
    </format>
    <format dxfId="720">
      <pivotArea dataOnly="0" grandRow="1" axis="axisRow" fieldPosition="0"/>
    </format>
    <format dxfId="719">
      <pivotArea type="all" dataOnly="0" outline="0" fieldPosition="0"/>
    </format>
    <format dxfId="718">
      <pivotArea dataOnly="0" fieldPosition="0">
        <references count="1">
          <reference field="0" count="0" defaultSubtotal="1"/>
        </references>
      </pivotArea>
    </format>
    <format dxfId="717">
      <pivotArea outline="0" fieldPosition="0">
        <references count="1">
          <reference field="4294967294" count="1">
            <x v="0"/>
          </reference>
        </references>
      </pivotArea>
    </format>
    <format dxfId="716">
      <pivotArea dataOnly="0" labelOnly="1" outline="0" axis="axisValues" fieldPosition="0"/>
    </format>
    <format dxfId="715">
      <pivotArea dataOnly="0" labelOnly="1" outline="0" axis="axisValues" fieldPosition="0"/>
    </format>
    <format dxfId="714">
      <pivotArea dataOnly="0" outline="0" axis="axisValues" fieldPosition="0"/>
    </format>
    <format dxfId="713">
      <pivotArea dataOnly="0" labelOnly="1" outline="0" fieldPosition="0">
        <references count="1">
          <reference field="4294967294" count="2">
            <x v="0"/>
            <x v="1"/>
          </reference>
        </references>
      </pivotArea>
    </format>
    <format dxfId="712">
      <pivotArea dataOnly="0" labelOnly="1" outline="0" fieldPosition="0">
        <references count="1">
          <reference field="4294967294" count="2">
            <x v="0"/>
            <x v="1"/>
          </reference>
        </references>
      </pivotArea>
    </format>
    <format dxfId="711">
      <pivotArea dataOnly="0" labelOnly="1" outline="0" fieldPosition="0">
        <references count="1">
          <reference field="4294967294" count="2">
            <x v="0"/>
            <x v="1"/>
          </reference>
        </references>
      </pivotArea>
    </format>
    <format dxfId="710">
      <pivotArea outline="0" fieldPosition="0">
        <references count="1">
          <reference field="4294967294" count="1">
            <x v="1"/>
          </reference>
        </references>
      </pivotArea>
    </format>
    <format dxfId="709">
      <pivotArea outline="0" fieldPosition="0">
        <references count="1">
          <reference field="4294967294" count="1">
            <x v="2"/>
          </reference>
        </references>
      </pivotArea>
    </format>
    <format dxfId="708">
      <pivotArea dataOnly="0" labelOnly="1" outline="0" fieldPosition="0">
        <references count="1">
          <reference field="4294967294" count="1">
            <x v="2"/>
          </reference>
        </references>
      </pivotArea>
    </format>
    <format dxfId="707">
      <pivotArea dataOnly="0" labelOnly="1" outline="0" fieldPosition="0">
        <references count="1">
          <reference field="4294967294" count="1">
            <x v="3"/>
          </reference>
        </references>
      </pivotArea>
    </format>
    <format dxfId="706">
      <pivotArea dataOnly="0" labelOnly="1" outline="0" fieldPosition="0">
        <references count="1">
          <reference field="4294967294" count="1">
            <x v="3"/>
          </reference>
        </references>
      </pivotArea>
    </format>
    <format dxfId="705">
      <pivotArea dataOnly="0" labelOnly="1" outline="0" fieldPosition="0">
        <references count="1">
          <reference field="4294967294" count="1">
            <x v="3"/>
          </reference>
        </references>
      </pivotArea>
    </format>
    <format dxfId="704">
      <pivotArea outline="0" fieldPosition="0">
        <references count="1">
          <reference field="4294967294" count="1">
            <x v="3"/>
          </reference>
        </references>
      </pivotArea>
    </format>
    <format dxfId="703">
      <pivotArea outline="0" fieldPosition="0">
        <references count="1">
          <reference field="4294967294" count="1">
            <x v="5"/>
          </reference>
        </references>
      </pivotArea>
    </format>
    <format dxfId="702">
      <pivotArea dataOnly="0" labelOnly="1" outline="0" fieldPosition="0">
        <references count="1">
          <reference field="4294967294" count="1">
            <x v="5"/>
          </reference>
        </references>
      </pivotArea>
    </format>
    <format dxfId="701">
      <pivotArea dataOnly="0" labelOnly="1" outline="0" fieldPosition="0">
        <references count="1">
          <reference field="4294967294" count="1">
            <x v="5"/>
          </reference>
        </references>
      </pivotArea>
    </format>
    <format dxfId="700">
      <pivotArea dataOnly="0" labelOnly="1" outline="0" fieldPosition="0">
        <references count="1">
          <reference field="4294967294" count="1">
            <x v="5"/>
          </reference>
        </references>
      </pivotArea>
    </format>
    <format dxfId="699">
      <pivotArea dataOnly="0" labelOnly="1" outline="0" fieldPosition="0">
        <references count="1">
          <reference field="4294967294" count="1">
            <x v="6"/>
          </reference>
        </references>
      </pivotArea>
    </format>
    <format dxfId="698">
      <pivotArea dataOnly="0" labelOnly="1" outline="0" fieldPosition="0">
        <references count="1">
          <reference field="4294967294" count="1">
            <x v="6"/>
          </reference>
        </references>
      </pivotArea>
    </format>
    <format dxfId="697">
      <pivotArea dataOnly="0" labelOnly="1" outline="0" fieldPosition="0">
        <references count="1">
          <reference field="4294967294" count="1">
            <x v="6"/>
          </reference>
        </references>
      </pivotArea>
    </format>
    <format dxfId="696">
      <pivotArea outline="0" fieldPosition="0">
        <references count="1">
          <reference field="4294967294" count="1">
            <x v="6"/>
          </reference>
        </references>
      </pivotArea>
    </format>
    <format dxfId="695">
      <pivotArea dataOnly="0" fieldPosition="0">
        <references count="1">
          <reference field="3" count="0" defaultSubtotal="1"/>
        </references>
      </pivotArea>
    </format>
    <format dxfId="694">
      <pivotArea dataOnly="0" fieldPosition="0">
        <references count="1">
          <reference field="7" count="0" defaultSubtotal="1"/>
        </references>
      </pivotArea>
    </format>
    <format dxfId="693">
      <pivotArea dataOnly="0" labelOnly="1" fieldPosition="0">
        <references count="1">
          <reference field="7" count="0"/>
        </references>
      </pivotArea>
    </format>
    <format dxfId="692">
      <pivotArea dataOnly="0" labelOnly="1" fieldPosition="0">
        <references count="1">
          <reference field="0" count="0"/>
        </references>
      </pivotArea>
    </format>
    <format dxfId="691">
      <pivotArea dataOnly="0" labelOnly="1" outline="0" fieldPosition="0">
        <references count="1">
          <reference field="4294967294" count="1">
            <x v="0"/>
          </reference>
        </references>
      </pivotArea>
    </format>
    <format dxfId="690">
      <pivotArea field="7" type="button" dataOnly="0" labelOnly="1" outline="0" axis="axisRow" fieldPosition="0"/>
    </format>
    <format dxfId="689">
      <pivotArea dataOnly="0" labelOnly="1" fieldPosition="0">
        <references count="1">
          <reference field="7" count="0"/>
        </references>
      </pivotArea>
    </format>
    <format dxfId="688">
      <pivotArea type="all" dataOnly="0" outline="0" fieldPosition="0"/>
    </format>
    <format dxfId="687">
      <pivotArea outline="0" collapsedLevelsAreSubtotals="1" fieldPosition="0"/>
    </format>
    <format dxfId="686">
      <pivotArea field="7" type="button" dataOnly="0" labelOnly="1" outline="0" axis="axisRow" fieldPosition="0"/>
    </format>
    <format dxfId="685">
      <pivotArea dataOnly="0" labelOnly="1" fieldPosition="0">
        <references count="1">
          <reference field="7" count="0"/>
        </references>
      </pivotArea>
    </format>
    <format dxfId="684">
      <pivotArea dataOnly="0" labelOnly="1" fieldPosition="0">
        <references count="1">
          <reference field="7" count="0" defaultSubtotal="1"/>
        </references>
      </pivotArea>
    </format>
    <format dxfId="683">
      <pivotArea dataOnly="0" labelOnly="1" grandRow="1" outline="0" fieldPosition="0"/>
    </format>
    <format dxfId="682">
      <pivotArea dataOnly="0" labelOnly="1" outline="0" fieldPosition="0">
        <references count="1">
          <reference field="4294967294" count="6">
            <x v="0"/>
            <x v="1"/>
            <x v="2"/>
            <x v="3"/>
            <x v="5"/>
            <x v="6"/>
          </reference>
        </references>
      </pivotArea>
    </format>
    <format dxfId="681">
      <pivotArea field="7" type="button" dataOnly="0" labelOnly="1" outline="0" axis="axisRow" fieldPosition="0"/>
    </format>
    <format dxfId="680">
      <pivotArea dataOnly="0" labelOnly="1" outline="0" fieldPosition="0">
        <references count="1">
          <reference field="4294967294" count="6">
            <x v="0"/>
            <x v="1"/>
            <x v="2"/>
            <x v="3"/>
            <x v="5"/>
            <x v="6"/>
          </reference>
        </references>
      </pivotArea>
    </format>
    <format dxfId="679">
      <pivotArea field="7" type="button" dataOnly="0" labelOnly="1" outline="0" axis="axisRow" fieldPosition="0"/>
    </format>
    <format dxfId="678">
      <pivotArea dataOnly="0" labelOnly="1" outline="0" fieldPosition="0">
        <references count="1">
          <reference field="4294967294" count="6">
            <x v="0"/>
            <x v="1"/>
            <x v="2"/>
            <x v="3"/>
            <x v="5"/>
            <x v="6"/>
          </reference>
        </references>
      </pivotArea>
    </format>
    <format dxfId="677">
      <pivotArea field="7" type="button" dataOnly="0" labelOnly="1" outline="0" axis="axisRow" fieldPosition="0"/>
    </format>
    <format dxfId="676">
      <pivotArea dataOnly="0" labelOnly="1" outline="0" fieldPosition="0">
        <references count="1">
          <reference field="4294967294" count="6">
            <x v="0"/>
            <x v="1"/>
            <x v="2"/>
            <x v="3"/>
            <x v="5"/>
            <x v="6"/>
          </reference>
        </references>
      </pivotArea>
    </format>
    <format dxfId="675">
      <pivotArea dataOnly="0" fieldPosition="0">
        <references count="1">
          <reference field="0" count="0" defaultSubtotal="1"/>
        </references>
      </pivotArea>
    </format>
    <format dxfId="674">
      <pivotArea dataOnly="0" fieldPosition="0">
        <references count="1">
          <reference field="0" count="0" defaultSubtotal="1"/>
        </references>
      </pivotArea>
    </format>
    <format dxfId="673">
      <pivotArea dataOnly="0" fieldPosition="0">
        <references count="1">
          <reference field="3" count="0" defaultSubtotal="1"/>
        </references>
      </pivotArea>
    </format>
    <format dxfId="672">
      <pivotArea dataOnly="0" fieldPosition="0">
        <references count="1">
          <reference field="3" count="0" defaultSubtotal="1"/>
        </references>
      </pivotArea>
    </format>
    <format dxfId="671">
      <pivotArea dataOnly="0" fieldPosition="0">
        <references count="1">
          <reference field="7" count="0" defaultSubtotal="1"/>
        </references>
      </pivotArea>
    </format>
    <format dxfId="670">
      <pivotArea dataOnly="0" fieldPosition="0">
        <references count="1">
          <reference field="7" count="0" defaultSubtotal="1"/>
        </references>
      </pivotArea>
    </format>
    <format dxfId="669">
      <pivotArea grandRow="1" outline="0" collapsedLevelsAreSubtotals="1" fieldPosition="0"/>
    </format>
    <format dxfId="668">
      <pivotArea dataOnly="0" labelOnly="1" grandRow="1" outline="0" fieldPosition="0"/>
    </format>
    <format dxfId="667">
      <pivotArea outline="0" fieldPosition="0">
        <references count="1">
          <reference field="4294967294" count="1">
            <x v="4"/>
          </reference>
        </references>
      </pivotArea>
    </format>
    <format dxfId="666">
      <pivotArea dataOnly="0" labelOnly="1" outline="0" fieldPosition="0">
        <references count="1">
          <reference field="4294967294" count="1">
            <x v="4"/>
          </reference>
        </references>
      </pivotArea>
    </format>
  </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E57CC0-F3C6-E14D-81AE-3B3A45C480BF}" name="PivotTable1" cacheId="202" applyNumberFormats="0" applyBorderFormats="0" applyFontFormats="0" applyPatternFormats="0" applyAlignmentFormats="0" applyWidthHeightFormats="1" dataCaption="Values" grandTotalCaption="Gran Total" updatedVersion="8" minRefreshableVersion="3" showDrill="0" useAutoFormatting="1" itemPrintTitles="1" createdVersion="4" indent="0" outline="1" outlineData="1" multipleFieldFilters="0" rowHeaderCaption="Posiciones">
  <location ref="B5:I215" firstHeaderRow="0" firstDataRow="1" firstDataCol="1"/>
  <pivotFields count="38">
    <pivotField axis="axisRow" subtotalTop="0" showAll="0" insertBlankRow="1" sortType="ascending">
      <items count="9">
        <item n="31XX29" x="6"/>
        <item n="11XX300" x="5"/>
        <item n="1XXX100" x="4"/>
        <item n="4H 0XXX0 RB" x="3"/>
        <item x="1"/>
        <item n="677-0XXX53-471" x="2"/>
        <item n="B467XXX05" x="7"/>
        <item x="0"/>
        <item t="default"/>
      </items>
    </pivotField>
    <pivotField subtotalTop="0" showAll="0" insertBlankRow="1"/>
    <pivotField axis="axisRow" subtotalTop="0" showAll="0" insertBlankRow="1" sortType="ascending">
      <items count="197">
        <item x="125"/>
        <item x="12"/>
        <item x="126"/>
        <item x="106"/>
        <item x="37"/>
        <item x="38"/>
        <item x="107"/>
        <item x="13"/>
        <item x="127"/>
        <item x="14"/>
        <item x="4"/>
        <item x="151"/>
        <item x="39"/>
        <item x="128"/>
        <item x="129"/>
        <item x="152"/>
        <item x="153"/>
        <item x="5"/>
        <item x="69"/>
        <item x="122"/>
        <item x="130"/>
        <item x="131"/>
        <item x="15"/>
        <item x="1"/>
        <item x="120"/>
        <item x="132"/>
        <item x="64"/>
        <item x="80"/>
        <item x="119"/>
        <item x="40"/>
        <item x="16"/>
        <item x="41"/>
        <item x="17"/>
        <item x="18"/>
        <item x="71"/>
        <item x="19"/>
        <item x="154"/>
        <item x="42"/>
        <item x="117"/>
        <item x="193"/>
        <item x="59"/>
        <item x="20"/>
        <item x="146"/>
        <item x="108"/>
        <item x="61"/>
        <item x="133"/>
        <item x="102"/>
        <item x="155"/>
        <item x="81"/>
        <item x="115"/>
        <item x="21"/>
        <item x="43"/>
        <item x="22"/>
        <item x="191"/>
        <item x="156"/>
        <item x="189"/>
        <item x="121"/>
        <item x="109"/>
        <item x="44"/>
        <item x="134"/>
        <item x="84"/>
        <item x="105"/>
        <item x="166"/>
        <item x="101"/>
        <item x="164"/>
        <item x="96"/>
        <item x="98"/>
        <item x="85"/>
        <item x="45"/>
        <item x="86"/>
        <item x="169"/>
        <item x="114"/>
        <item x="170"/>
        <item x="171"/>
        <item x="91"/>
        <item x="87"/>
        <item x="6"/>
        <item x="172"/>
        <item x="173"/>
        <item x="180"/>
        <item x="174"/>
        <item x="175"/>
        <item x="176"/>
        <item x="7"/>
        <item x="103"/>
        <item x="165"/>
        <item x="168"/>
        <item x="95"/>
        <item x="92"/>
        <item x="167"/>
        <item x="104"/>
        <item x="148"/>
        <item x="77"/>
        <item x="157"/>
        <item x="23"/>
        <item x="110"/>
        <item x="149"/>
        <item x="8"/>
        <item x="111"/>
        <item x="112"/>
        <item x="135"/>
        <item x="136"/>
        <item x="24"/>
        <item x="25"/>
        <item x="158"/>
        <item x="74"/>
        <item x="79"/>
        <item x="192"/>
        <item x="66"/>
        <item x="159"/>
        <item x="137"/>
        <item x="9"/>
        <item x="26"/>
        <item x="46"/>
        <item x="27"/>
        <item x="47"/>
        <item x="48"/>
        <item x="60"/>
        <item x="76"/>
        <item x="83"/>
        <item x="184"/>
        <item x="65"/>
        <item x="49"/>
        <item x="28"/>
        <item x="113"/>
        <item x="188"/>
        <item x="29"/>
        <item x="72"/>
        <item x="160"/>
        <item x="75"/>
        <item x="30"/>
        <item x="10"/>
        <item x="58"/>
        <item x="50"/>
        <item x="73"/>
        <item x="68"/>
        <item x="138"/>
        <item x="161"/>
        <item x="62"/>
        <item x="31"/>
        <item x="139"/>
        <item x="140"/>
        <item x="162"/>
        <item x="141"/>
        <item x="163"/>
        <item x="142"/>
        <item x="67"/>
        <item x="88"/>
        <item x="181"/>
        <item x="177"/>
        <item x="178"/>
        <item x="183"/>
        <item x="90"/>
        <item x="89"/>
        <item x="182"/>
        <item x="11"/>
        <item x="123"/>
        <item x="93"/>
        <item x="63"/>
        <item x="124"/>
        <item x="194"/>
        <item x="56"/>
        <item x="51"/>
        <item x="150"/>
        <item x="70"/>
        <item x="143"/>
        <item x="52"/>
        <item x="32"/>
        <item x="187"/>
        <item x="186"/>
        <item x="33"/>
        <item x="185"/>
        <item x="53"/>
        <item x="54"/>
        <item x="179"/>
        <item x="78"/>
        <item x="34"/>
        <item x="35"/>
        <item x="36"/>
        <item x="82"/>
        <item x="116"/>
        <item x="100"/>
        <item x="99"/>
        <item x="147"/>
        <item x="94"/>
        <item x="55"/>
        <item x="144"/>
        <item x="145"/>
        <item x="97"/>
        <item x="3"/>
        <item x="2"/>
        <item x="57"/>
        <item x="195"/>
        <item x="190"/>
        <item x="118"/>
        <item x="0"/>
        <item t="default"/>
      </items>
    </pivotField>
    <pivotField axis="axisRow" subtotalTop="0" showAll="0" insertBlankRow="1" sortType="ascending">
      <items count="4">
        <item x="1"/>
        <item x="2"/>
        <item x="0"/>
        <item t="default"/>
      </items>
    </pivotField>
    <pivotField subtotalTop="0" showAll="0" insertBlankRow="1"/>
    <pivotField subtotalTop="0" showAll="0" insertBlankRow="1"/>
    <pivotField subtotalTop="0" showAll="0" insertBlankRow="1"/>
    <pivotField axis="axisRow" subtotalTop="0" showAll="0" insertBlankRow="1">
      <items count="5">
        <item h="1" x="0"/>
        <item h="1" x="3"/>
        <item h="1" x="1"/>
        <item x="2"/>
        <item t="default"/>
      </items>
    </pivotField>
    <pivotField dataField="1" subtotalTop="0" showAll="0" insertBlankRow="1"/>
    <pivotField subtotalTop="0" showAll="0" insertBlankRow="1"/>
    <pivotField numFmtId="166"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numFmtId="172" subtotalTop="0" showAll="0" insertBlankRow="1"/>
    <pivotField dataField="1" subtotalTop="0" showAll="0" insertBlankRow="1"/>
    <pivotField subtotalTop="0" showAll="0" insertBlankRow="1"/>
    <pivotField subtotalTop="0" showAll="0" insertBlankRow="1"/>
    <pivotField name="Unidades vendidas2" subtotalTop="0" showAll="0" insertBlankRow="1"/>
    <pivotField subtotalTop="0" showAll="0" insertBlankRow="1"/>
    <pivotField subtotalTop="0" showAll="0" insertBlankRow="1">
      <items count="369">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61"/>
        <item x="62"/>
        <item x="63"/>
        <item x="64"/>
        <item x="65"/>
        <item x="66"/>
        <item x="67"/>
        <item x="68"/>
        <item x="69"/>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ubtotalTop="0" showAll="0" insertBlankRow="1"/>
    <pivotField subtotalTop="0" showAll="0" insertBlankRow="1"/>
    <pivotField numFmtId="166" subtotalTop="0" showAll="0" insertBlankRow="1"/>
    <pivotField dataField="1" subtotalTop="0" showAll="0" insertBlankRow="1"/>
    <pivotField subtotalTop="0" showAll="0" insertBlankRow="1"/>
    <pivotField name="Precio de Venta en MXN2" dataField="1" subtotalTop="0" showAll="0" insertBlankRow="1"/>
    <pivotField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numFmtId="43" subtotalTop="0" showAll="0" insertBlankRow="1"/>
    <pivotField subtotalTop="0" showAll="0" insertBlankRow="1">
      <items count="15">
        <item x="0"/>
        <item x="1"/>
        <item x="2"/>
        <item x="3"/>
        <item x="4"/>
        <item x="5"/>
        <item x="6"/>
        <item x="7"/>
        <item x="8"/>
        <item x="9"/>
        <item x="10"/>
        <item x="11"/>
        <item x="12"/>
        <item x="13"/>
        <item t="default"/>
      </items>
    </pivotField>
  </pivotFields>
  <rowFields count="4">
    <field x="7"/>
    <field x="3"/>
    <field x="0"/>
    <field x="2"/>
  </rowFields>
  <rowItems count="210">
    <i>
      <x v="3"/>
    </i>
    <i r="1">
      <x v="1"/>
    </i>
    <i r="2">
      <x/>
    </i>
    <i r="3">
      <x v="46"/>
    </i>
    <i r="3">
      <x v="49"/>
    </i>
    <i r="3">
      <x v="61"/>
    </i>
    <i r="3">
      <x v="62"/>
    </i>
    <i r="3">
      <x v="63"/>
    </i>
    <i r="3">
      <x v="64"/>
    </i>
    <i r="3">
      <x v="65"/>
    </i>
    <i r="3">
      <x v="66"/>
    </i>
    <i r="3">
      <x v="70"/>
    </i>
    <i r="3">
      <x v="71"/>
    </i>
    <i r="3">
      <x v="74"/>
    </i>
    <i r="3">
      <x v="84"/>
    </i>
    <i r="3">
      <x v="85"/>
    </i>
    <i r="3">
      <x v="86"/>
    </i>
    <i r="3">
      <x v="87"/>
    </i>
    <i r="3">
      <x v="88"/>
    </i>
    <i r="3">
      <x v="89"/>
    </i>
    <i r="3">
      <x v="90"/>
    </i>
    <i r="3">
      <x v="157"/>
    </i>
    <i r="3">
      <x v="180"/>
    </i>
    <i r="3">
      <x v="181"/>
    </i>
    <i r="3">
      <x v="182"/>
    </i>
    <i r="3">
      <x v="184"/>
    </i>
    <i r="3">
      <x v="188"/>
    </i>
    <i t="default" r="2">
      <x/>
    </i>
    <i t="blank" r="2">
      <x/>
    </i>
    <i r="2">
      <x v="1"/>
    </i>
    <i r="3">
      <x v="60"/>
    </i>
    <i r="3">
      <x v="67"/>
    </i>
    <i r="3">
      <x v="69"/>
    </i>
    <i r="3">
      <x v="72"/>
    </i>
    <i r="3">
      <x v="73"/>
    </i>
    <i r="3">
      <x v="75"/>
    </i>
    <i r="3">
      <x v="77"/>
    </i>
    <i r="3">
      <x v="78"/>
    </i>
    <i r="3">
      <x v="79"/>
    </i>
    <i r="3">
      <x v="80"/>
    </i>
    <i r="3">
      <x v="81"/>
    </i>
    <i r="3">
      <x v="82"/>
    </i>
    <i r="3">
      <x v="147"/>
    </i>
    <i r="3">
      <x v="148"/>
    </i>
    <i r="3">
      <x v="149"/>
    </i>
    <i r="3">
      <x v="150"/>
    </i>
    <i r="3">
      <x v="151"/>
    </i>
    <i r="3">
      <x v="152"/>
    </i>
    <i r="3">
      <x v="153"/>
    </i>
    <i r="3">
      <x v="154"/>
    </i>
    <i r="3">
      <x v="174"/>
    </i>
    <i t="default" r="2">
      <x v="1"/>
    </i>
    <i t="blank" r="2">
      <x v="1"/>
    </i>
    <i r="2">
      <x v="2"/>
    </i>
    <i r="3">
      <x v="4"/>
    </i>
    <i r="3">
      <x v="5"/>
    </i>
    <i r="3">
      <x v="12"/>
    </i>
    <i r="3">
      <x v="18"/>
    </i>
    <i r="3">
      <x v="24"/>
    </i>
    <i r="3">
      <x v="26"/>
    </i>
    <i r="3">
      <x v="27"/>
    </i>
    <i r="3">
      <x v="28"/>
    </i>
    <i r="3">
      <x v="34"/>
    </i>
    <i r="3">
      <x v="39"/>
    </i>
    <i r="3">
      <x v="40"/>
    </i>
    <i r="3">
      <x v="44"/>
    </i>
    <i r="3">
      <x v="52"/>
    </i>
    <i r="3">
      <x v="53"/>
    </i>
    <i r="3">
      <x v="55"/>
    </i>
    <i r="3">
      <x v="56"/>
    </i>
    <i r="3">
      <x v="92"/>
    </i>
    <i r="3">
      <x v="105"/>
    </i>
    <i r="3">
      <x v="106"/>
    </i>
    <i r="3">
      <x v="107"/>
    </i>
    <i r="3">
      <x v="108"/>
    </i>
    <i r="3">
      <x v="112"/>
    </i>
    <i r="3">
      <x v="118"/>
    </i>
    <i r="3">
      <x v="119"/>
    </i>
    <i r="3">
      <x v="120"/>
    </i>
    <i r="3">
      <x v="121"/>
    </i>
    <i r="3">
      <x v="125"/>
    </i>
    <i r="3">
      <x v="127"/>
    </i>
    <i r="3">
      <x v="132"/>
    </i>
    <i r="3">
      <x v="134"/>
    </i>
    <i r="3">
      <x v="135"/>
    </i>
    <i r="3">
      <x v="138"/>
    </i>
    <i r="3">
      <x v="146"/>
    </i>
    <i r="3">
      <x v="160"/>
    </i>
    <i r="3">
      <x v="161"/>
    </i>
    <i r="3">
      <x v="164"/>
    </i>
    <i r="3">
      <x v="168"/>
    </i>
    <i r="3">
      <x v="169"/>
    </i>
    <i r="3">
      <x v="171"/>
    </i>
    <i r="3">
      <x v="175"/>
    </i>
    <i r="3">
      <x v="179"/>
    </i>
    <i r="3">
      <x v="191"/>
    </i>
    <i r="3">
      <x v="192"/>
    </i>
    <i r="3">
      <x v="193"/>
    </i>
    <i r="3">
      <x v="194"/>
    </i>
    <i t="default" r="2">
      <x v="2"/>
    </i>
    <i t="blank" r="2">
      <x v="2"/>
    </i>
    <i r="2">
      <x v="3"/>
    </i>
    <i r="3">
      <x/>
    </i>
    <i r="3">
      <x v="1"/>
    </i>
    <i r="3">
      <x v="2"/>
    </i>
    <i r="3">
      <x v="4"/>
    </i>
    <i r="3">
      <x v="5"/>
    </i>
    <i r="3">
      <x v="6"/>
    </i>
    <i r="3">
      <x v="7"/>
    </i>
    <i r="3">
      <x v="8"/>
    </i>
    <i r="3">
      <x v="9"/>
    </i>
    <i r="3">
      <x v="12"/>
    </i>
    <i r="3">
      <x v="13"/>
    </i>
    <i r="3">
      <x v="14"/>
    </i>
    <i r="3">
      <x v="15"/>
    </i>
    <i r="3">
      <x v="16"/>
    </i>
    <i r="3">
      <x v="20"/>
    </i>
    <i r="3">
      <x v="21"/>
    </i>
    <i r="3">
      <x v="22"/>
    </i>
    <i r="3">
      <x v="29"/>
    </i>
    <i r="3">
      <x v="30"/>
    </i>
    <i r="3">
      <x v="31"/>
    </i>
    <i r="3">
      <x v="32"/>
    </i>
    <i r="3">
      <x v="33"/>
    </i>
    <i r="3">
      <x v="35"/>
    </i>
    <i r="3">
      <x v="36"/>
    </i>
    <i r="3">
      <x v="41"/>
    </i>
    <i r="3">
      <x v="42"/>
    </i>
    <i r="3">
      <x v="45"/>
    </i>
    <i r="3">
      <x v="50"/>
    </i>
    <i r="3">
      <x v="51"/>
    </i>
    <i r="3">
      <x v="52"/>
    </i>
    <i r="3">
      <x v="54"/>
    </i>
    <i r="3">
      <x v="57"/>
    </i>
    <i r="3">
      <x v="58"/>
    </i>
    <i r="3">
      <x v="59"/>
    </i>
    <i r="3">
      <x v="68"/>
    </i>
    <i r="3">
      <x v="93"/>
    </i>
    <i r="3">
      <x v="94"/>
    </i>
    <i r="3">
      <x v="95"/>
    </i>
    <i r="3">
      <x v="98"/>
    </i>
    <i r="3">
      <x v="99"/>
    </i>
    <i r="3">
      <x v="100"/>
    </i>
    <i r="3">
      <x v="101"/>
    </i>
    <i r="3">
      <x v="102"/>
    </i>
    <i r="3">
      <x v="103"/>
    </i>
    <i r="3">
      <x v="104"/>
    </i>
    <i r="3">
      <x v="109"/>
    </i>
    <i r="3">
      <x v="110"/>
    </i>
    <i r="3">
      <x v="112"/>
    </i>
    <i r="3">
      <x v="113"/>
    </i>
    <i r="3">
      <x v="114"/>
    </i>
    <i r="3">
      <x v="115"/>
    </i>
    <i r="3">
      <x v="116"/>
    </i>
    <i r="3">
      <x v="121"/>
    </i>
    <i r="3">
      <x v="122"/>
    </i>
    <i r="3">
      <x v="123"/>
    </i>
    <i r="3">
      <x v="124"/>
    </i>
    <i r="3">
      <x v="126"/>
    </i>
    <i r="3">
      <x v="128"/>
    </i>
    <i r="3">
      <x v="130"/>
    </i>
    <i r="3">
      <x v="135"/>
    </i>
    <i r="3">
      <x v="136"/>
    </i>
    <i r="3">
      <x v="137"/>
    </i>
    <i r="3">
      <x v="139"/>
    </i>
    <i r="3">
      <x v="140"/>
    </i>
    <i r="3">
      <x v="141"/>
    </i>
    <i r="3">
      <x v="142"/>
    </i>
    <i r="3">
      <x v="143"/>
    </i>
    <i r="3">
      <x v="144"/>
    </i>
    <i r="3">
      <x v="145"/>
    </i>
    <i r="3">
      <x v="162"/>
    </i>
    <i r="3">
      <x v="165"/>
    </i>
    <i r="3">
      <x v="166"/>
    </i>
    <i r="3">
      <x v="167"/>
    </i>
    <i r="3">
      <x v="170"/>
    </i>
    <i r="3">
      <x v="172"/>
    </i>
    <i r="3">
      <x v="173"/>
    </i>
    <i r="3">
      <x v="176"/>
    </i>
    <i r="3">
      <x v="177"/>
    </i>
    <i r="3">
      <x v="178"/>
    </i>
    <i r="3">
      <x v="183"/>
    </i>
    <i r="3">
      <x v="187"/>
    </i>
    <i t="default" r="2">
      <x v="3"/>
    </i>
    <i t="blank" r="2">
      <x v="3"/>
    </i>
    <i r="2">
      <x v="5"/>
    </i>
    <i r="3">
      <x v="10"/>
    </i>
    <i r="3">
      <x v="17"/>
    </i>
    <i r="3">
      <x v="19"/>
    </i>
    <i r="3">
      <x v="76"/>
    </i>
    <i r="3">
      <x v="83"/>
    </i>
    <i r="3">
      <x v="111"/>
    </i>
    <i r="3">
      <x v="131"/>
    </i>
    <i r="3">
      <x v="155"/>
    </i>
    <i r="3">
      <x v="156"/>
    </i>
    <i r="3">
      <x v="159"/>
    </i>
    <i r="3">
      <x v="189"/>
    </i>
    <i r="3">
      <x v="190"/>
    </i>
    <i t="default" r="2">
      <x v="5"/>
    </i>
    <i t="blank" r="2">
      <x v="5"/>
    </i>
    <i r="2">
      <x v="6"/>
    </i>
    <i r="3">
      <x v="91"/>
    </i>
    <i r="3">
      <x v="163"/>
    </i>
    <i t="default" r="2">
      <x v="6"/>
    </i>
    <i t="blank" r="2">
      <x v="6"/>
    </i>
    <i t="default" r="1">
      <x v="1"/>
    </i>
    <i t="blank" r="1">
      <x v="1"/>
    </i>
    <i t="default">
      <x v="3"/>
    </i>
    <i t="blank">
      <x v="3"/>
    </i>
    <i t="grand">
      <x/>
    </i>
  </rowItems>
  <colFields count="1">
    <field x="-2"/>
  </colFields>
  <colItems count="7">
    <i>
      <x/>
    </i>
    <i i="1">
      <x v="1"/>
    </i>
    <i i="2">
      <x v="2"/>
    </i>
    <i i="3">
      <x v="3"/>
    </i>
    <i i="4">
      <x v="4"/>
    </i>
    <i i="5">
      <x v="5"/>
    </i>
    <i i="6">
      <x v="6"/>
    </i>
  </colItems>
  <dataFields count="7">
    <dataField name="Unidades Vendidas" fld="8" baseField="0" baseItem="0" numFmtId="40"/>
    <dataField name="Ingresos en USD" fld="26" baseField="0" baseItem="0" numFmtId="39"/>
    <dataField name="Costo de Adquisición en USD " fld="11" baseField="0" baseItem="0" numFmtId="40"/>
    <dataField name="Ganancia / (Pérdida) en USD" fld="36" baseField="0" baseItem="0" numFmtId="40"/>
    <dataField name="Ingresos en MXN" fld="28" baseField="0" baseItem="0" numFmtId="40"/>
    <dataField name="Costo Actualizado en MXN" fld="17" baseField="0" baseItem="0" numFmtId="39"/>
    <dataField name="Ganancia / (Pérdida) Total en MXN" fld="30" baseField="0" baseItem="0" numFmtId="178"/>
  </dataFields>
  <formats count="56">
    <format dxfId="665">
      <pivotArea dataOnly="0" grandRow="1" fieldPosition="0"/>
    </format>
    <format dxfId="664">
      <pivotArea type="all" dataOnly="0" outline="0" fieldPosition="0"/>
    </format>
    <format dxfId="663">
      <pivotArea grandRow="1" outline="0" collapsedLevelsAreSubtotals="1" fieldPosition="0"/>
    </format>
    <format dxfId="662">
      <pivotArea dataOnly="0" labelOnly="1" grandRow="1" outline="0" fieldPosition="0"/>
    </format>
    <format dxfId="661">
      <pivotArea dataOnly="0" grandRow="1" axis="axisRow" fieldPosition="0"/>
    </format>
    <format dxfId="660">
      <pivotArea type="all" dataOnly="0" outline="0" fieldPosition="0"/>
    </format>
    <format dxfId="659">
      <pivotArea dataOnly="0" fieldPosition="0">
        <references count="1">
          <reference field="0" count="0" defaultSubtotal="1"/>
        </references>
      </pivotArea>
    </format>
    <format dxfId="658">
      <pivotArea outline="0" fieldPosition="0">
        <references count="1">
          <reference field="4294967294" count="1">
            <x v="0"/>
          </reference>
        </references>
      </pivotArea>
    </format>
    <format dxfId="657">
      <pivotArea dataOnly="0" labelOnly="1" outline="0" axis="axisValues" fieldPosition="0"/>
    </format>
    <format dxfId="656">
      <pivotArea dataOnly="0" labelOnly="1" outline="0" axis="axisValues" fieldPosition="0"/>
    </format>
    <format dxfId="655">
      <pivotArea dataOnly="0" outline="0" axis="axisValues" fieldPosition="0"/>
    </format>
    <format dxfId="654">
      <pivotArea dataOnly="0" labelOnly="1" outline="0" fieldPosition="0">
        <references count="1">
          <reference field="4294967294" count="2">
            <x v="0"/>
            <x v="1"/>
          </reference>
        </references>
      </pivotArea>
    </format>
    <format dxfId="653">
      <pivotArea dataOnly="0" labelOnly="1" outline="0" fieldPosition="0">
        <references count="1">
          <reference field="4294967294" count="2">
            <x v="0"/>
            <x v="1"/>
          </reference>
        </references>
      </pivotArea>
    </format>
    <format dxfId="652">
      <pivotArea dataOnly="0" labelOnly="1" outline="0" fieldPosition="0">
        <references count="1">
          <reference field="4294967294" count="2">
            <x v="0"/>
            <x v="1"/>
          </reference>
        </references>
      </pivotArea>
    </format>
    <format dxfId="651">
      <pivotArea outline="0" fieldPosition="0">
        <references count="1">
          <reference field="4294967294" count="1">
            <x v="1"/>
          </reference>
        </references>
      </pivotArea>
    </format>
    <format dxfId="650">
      <pivotArea outline="0" fieldPosition="0">
        <references count="1">
          <reference field="4294967294" count="1">
            <x v="2"/>
          </reference>
        </references>
      </pivotArea>
    </format>
    <format dxfId="649">
      <pivotArea dataOnly="0" labelOnly="1" outline="0" fieldPosition="0">
        <references count="1">
          <reference field="4294967294" count="1">
            <x v="2"/>
          </reference>
        </references>
      </pivotArea>
    </format>
    <format dxfId="648">
      <pivotArea dataOnly="0" labelOnly="1" outline="0" fieldPosition="0">
        <references count="1">
          <reference field="4294967294" count="1">
            <x v="3"/>
          </reference>
        </references>
      </pivotArea>
    </format>
    <format dxfId="647">
      <pivotArea dataOnly="0" labelOnly="1" outline="0" fieldPosition="0">
        <references count="1">
          <reference field="4294967294" count="1">
            <x v="3"/>
          </reference>
        </references>
      </pivotArea>
    </format>
    <format dxfId="646">
      <pivotArea dataOnly="0" labelOnly="1" outline="0" fieldPosition="0">
        <references count="1">
          <reference field="4294967294" count="1">
            <x v="3"/>
          </reference>
        </references>
      </pivotArea>
    </format>
    <format dxfId="645">
      <pivotArea outline="0" fieldPosition="0">
        <references count="1">
          <reference field="4294967294" count="1">
            <x v="3"/>
          </reference>
        </references>
      </pivotArea>
    </format>
    <format dxfId="644">
      <pivotArea outline="0" fieldPosition="0">
        <references count="1">
          <reference field="4294967294" count="1">
            <x v="5"/>
          </reference>
        </references>
      </pivotArea>
    </format>
    <format dxfId="643">
      <pivotArea dataOnly="0" labelOnly="1" outline="0" fieldPosition="0">
        <references count="1">
          <reference field="4294967294" count="1">
            <x v="5"/>
          </reference>
        </references>
      </pivotArea>
    </format>
    <format dxfId="642">
      <pivotArea dataOnly="0" labelOnly="1" outline="0" fieldPosition="0">
        <references count="1">
          <reference field="4294967294" count="1">
            <x v="5"/>
          </reference>
        </references>
      </pivotArea>
    </format>
    <format dxfId="641">
      <pivotArea dataOnly="0" labelOnly="1" outline="0" fieldPosition="0">
        <references count="1">
          <reference field="4294967294" count="1">
            <x v="5"/>
          </reference>
        </references>
      </pivotArea>
    </format>
    <format dxfId="640">
      <pivotArea dataOnly="0" labelOnly="1" outline="0" fieldPosition="0">
        <references count="1">
          <reference field="4294967294" count="1">
            <x v="6"/>
          </reference>
        </references>
      </pivotArea>
    </format>
    <format dxfId="639">
      <pivotArea dataOnly="0" labelOnly="1" outline="0" fieldPosition="0">
        <references count="1">
          <reference field="4294967294" count="1">
            <x v="6"/>
          </reference>
        </references>
      </pivotArea>
    </format>
    <format dxfId="638">
      <pivotArea dataOnly="0" labelOnly="1" outline="0" fieldPosition="0">
        <references count="1">
          <reference field="4294967294" count="1">
            <x v="6"/>
          </reference>
        </references>
      </pivotArea>
    </format>
    <format dxfId="637">
      <pivotArea outline="0" fieldPosition="0">
        <references count="1">
          <reference field="4294967294" count="1">
            <x v="6"/>
          </reference>
        </references>
      </pivotArea>
    </format>
    <format dxfId="636">
      <pivotArea dataOnly="0" fieldPosition="0">
        <references count="1">
          <reference field="3" count="0" defaultSubtotal="1"/>
        </references>
      </pivotArea>
    </format>
    <format dxfId="635">
      <pivotArea dataOnly="0" fieldPosition="0">
        <references count="1">
          <reference field="7" count="0" defaultSubtotal="1"/>
        </references>
      </pivotArea>
    </format>
    <format dxfId="634">
      <pivotArea dataOnly="0" labelOnly="1" fieldPosition="0">
        <references count="1">
          <reference field="7" count="0"/>
        </references>
      </pivotArea>
    </format>
    <format dxfId="633">
      <pivotArea dataOnly="0" labelOnly="1" fieldPosition="0">
        <references count="1">
          <reference field="0" count="0"/>
        </references>
      </pivotArea>
    </format>
    <format dxfId="632">
      <pivotArea dataOnly="0" labelOnly="1" outline="0" fieldPosition="0">
        <references count="1">
          <reference field="4294967294" count="1">
            <x v="0"/>
          </reference>
        </references>
      </pivotArea>
    </format>
    <format dxfId="631">
      <pivotArea dataOnly="0" labelOnly="1" fieldPosition="0">
        <references count="1">
          <reference field="7" count="0"/>
        </references>
      </pivotArea>
    </format>
    <format dxfId="630">
      <pivotArea type="all" dataOnly="0" outline="0" fieldPosition="0"/>
    </format>
    <format dxfId="629">
      <pivotArea outline="0" collapsedLevelsAreSubtotals="1" fieldPosition="0"/>
    </format>
    <format dxfId="628">
      <pivotArea field="7" type="button" dataOnly="0" labelOnly="1" outline="0" axis="axisRow" fieldPosition="0"/>
    </format>
    <format dxfId="627">
      <pivotArea dataOnly="0" labelOnly="1" grandRow="1" outline="0" fieldPosition="0"/>
    </format>
    <format dxfId="626">
      <pivotArea dataOnly="0" labelOnly="1" outline="0" fieldPosition="0">
        <references count="1">
          <reference field="4294967294" count="6">
            <x v="0"/>
            <x v="1"/>
            <x v="2"/>
            <x v="3"/>
            <x v="5"/>
            <x v="6"/>
          </reference>
        </references>
      </pivotArea>
    </format>
    <format dxfId="625">
      <pivotArea field="7" type="button" dataOnly="0" labelOnly="1" outline="0" axis="axisRow" fieldPosition="0"/>
    </format>
    <format dxfId="624">
      <pivotArea dataOnly="0" labelOnly="1" outline="0" fieldPosition="0">
        <references count="1">
          <reference field="4294967294" count="6">
            <x v="0"/>
            <x v="1"/>
            <x v="2"/>
            <x v="3"/>
            <x v="5"/>
            <x v="6"/>
          </reference>
        </references>
      </pivotArea>
    </format>
    <format dxfId="623">
      <pivotArea field="7" type="button" dataOnly="0" labelOnly="1" outline="0" axis="axisRow" fieldPosition="0"/>
    </format>
    <format dxfId="622">
      <pivotArea dataOnly="0" labelOnly="1" outline="0" fieldPosition="0">
        <references count="1">
          <reference field="4294967294" count="6">
            <x v="0"/>
            <x v="1"/>
            <x v="2"/>
            <x v="3"/>
            <x v="5"/>
            <x v="6"/>
          </reference>
        </references>
      </pivotArea>
    </format>
    <format dxfId="621">
      <pivotArea field="7" type="button" dataOnly="0" labelOnly="1" outline="0" axis="axisRow" fieldPosition="0"/>
    </format>
    <format dxfId="620">
      <pivotArea dataOnly="0" labelOnly="1" outline="0" fieldPosition="0">
        <references count="1">
          <reference field="4294967294" count="6">
            <x v="0"/>
            <x v="1"/>
            <x v="2"/>
            <x v="3"/>
            <x v="5"/>
            <x v="6"/>
          </reference>
        </references>
      </pivotArea>
    </format>
    <format dxfId="619">
      <pivotArea dataOnly="0" fieldPosition="0">
        <references count="1">
          <reference field="0" count="0" defaultSubtotal="1"/>
        </references>
      </pivotArea>
    </format>
    <format dxfId="618">
      <pivotArea dataOnly="0" fieldPosition="0">
        <references count="1">
          <reference field="3" count="0" defaultSubtotal="1"/>
        </references>
      </pivotArea>
    </format>
    <format dxfId="617">
      <pivotArea dataOnly="0" fieldPosition="0">
        <references count="1">
          <reference field="3" count="0" defaultSubtotal="1"/>
        </references>
      </pivotArea>
    </format>
    <format dxfId="616">
      <pivotArea dataOnly="0" fieldPosition="0">
        <references count="1">
          <reference field="7" count="0" defaultSubtotal="1"/>
        </references>
      </pivotArea>
    </format>
    <format dxfId="615">
      <pivotArea field="7" dataOnly="0" grandRow="1" axis="axisRow" fieldPosition="0">
        <references count="1">
          <reference field="7" count="0"/>
        </references>
      </pivotArea>
    </format>
    <format dxfId="614">
      <pivotArea outline="0" collapsedLevelsAreSubtotals="1" fieldPosition="0">
        <references count="1">
          <reference field="4294967294" count="1" selected="0">
            <x v="0"/>
          </reference>
        </references>
      </pivotArea>
    </format>
    <format dxfId="613">
      <pivotArea dataOnly="0" labelOnly="1" outline="0" fieldPosition="0">
        <references count="1">
          <reference field="4294967294" count="1">
            <x v="0"/>
          </reference>
        </references>
      </pivotArea>
    </format>
    <format dxfId="612">
      <pivotArea dataOnly="0" labelOnly="1" outline="0" fieldPosition="0">
        <references count="1">
          <reference field="4294967294" count="1">
            <x v="4"/>
          </reference>
        </references>
      </pivotArea>
    </format>
    <format dxfId="611">
      <pivotArea outline="0" fieldPosition="0">
        <references count="1">
          <reference field="4294967294" count="1">
            <x v="4"/>
          </reference>
        </references>
      </pivotArea>
    </format>
    <format dxfId="610">
      <pivotArea dataOnly="0" fieldPosition="0">
        <references count="1">
          <reference field="0" count="0" defaultSubtotal="1"/>
        </references>
      </pivotArea>
    </format>
  </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DB2056-E774-694F-B428-71CDD7B18B77}" name="PivotTable1" cacheId="201" applyNumberFormats="0" applyBorderFormats="0" applyFontFormats="0" applyPatternFormats="0" applyAlignmentFormats="0" applyWidthHeightFormats="1" dataCaption="Values" updatedVersion="7" minRefreshableVersion="3" showDrill="0" useAutoFormatting="1" itemPrintTitles="1" createdVersion="6" indent="0" compact="0" compactData="0">
  <location ref="B5:N14" firstHeaderRow="0" firstDataRow="1" firstDataCol="7"/>
  <pivotFields count="40">
    <pivotField axis="axisRow" compact="0" outline="0" subtotalTop="0" showAll="0" sortType="ascending">
      <items count="2">
        <item x="0"/>
        <item t="default"/>
      </items>
      <extLst>
        <ext xmlns:x14="http://schemas.microsoft.com/office/spreadsheetml/2009/9/main" uri="{2946ED86-A175-432a-8AC1-64E0C546D7DE}">
          <x14:pivotField fillDownLabels="1"/>
        </ext>
      </extLst>
    </pivotField>
    <pivotField name="OFD: Nacional / Extranjera" axis="axisRow" compact="0" outline="0" subtotalTop="0" showAll="0" sortType="ascending">
      <items count="2">
        <item x="0"/>
        <item t="default"/>
      </items>
      <extLst>
        <ext xmlns:x14="http://schemas.microsoft.com/office/spreadsheetml/2009/9/main" uri="{2946ED86-A175-432a-8AC1-64E0C546D7DE}">
          <x14:pivotField fillDownLabels="1"/>
        </ext>
      </extLst>
    </pivotField>
    <pivotField name="Tipo de Operación Inicial" compact="0" outline="0" subtotalTop="0" showAll="0" defaultSubtotal="0">
      <items count="1">
        <item x="0"/>
      </items>
      <extLst>
        <ext xmlns:x14="http://schemas.microsoft.com/office/spreadsheetml/2009/9/main" uri="{2946ED86-A175-432a-8AC1-64E0C546D7DE}">
          <x14:pivotField fillDownLabels="1"/>
        </ext>
      </extLst>
    </pivotField>
    <pivotField axis="axisRow" compact="0" outline="0" subtotalTop="0" showAll="0" sortType="ascending" defaultSubtotal="0">
      <items count="1">
        <item x="0"/>
      </items>
      <extLst>
        <ext xmlns:x14="http://schemas.microsoft.com/office/spreadsheetml/2009/9/main" uri="{2946ED86-A175-432a-8AC1-64E0C546D7DE}">
          <x14:pivotField fillDownLabels="1"/>
        </ext>
      </extLst>
    </pivotField>
    <pivotField name="Moneda Original - Operación Inicial" compact="0" outline="0" subtotalTop="0" showAll="0" defaultSubtotal="0">
      <items count="1">
        <item x="0"/>
      </items>
      <extLst>
        <ext xmlns:x14="http://schemas.microsoft.com/office/spreadsheetml/2009/9/main" uri="{2946ED86-A175-432a-8AC1-64E0C546D7DE}">
          <x14:pivotField fillDownLabels="1"/>
        </ext>
      </extLst>
    </pivotField>
    <pivotField compact="0" outline="0" subtotalTop="0" showAll="0" defaultSubtotal="0">
      <items count="1">
        <item x="0"/>
      </items>
      <extLst>
        <ext xmlns:x14="http://schemas.microsoft.com/office/spreadsheetml/2009/9/main" uri="{2946ED86-A175-432a-8AC1-64E0C546D7DE}">
          <x14:pivotField fillDownLabels="1"/>
        </ext>
      </extLst>
    </pivotField>
    <pivotField name="Número de Títulos - Operación Inicial" axis="axisRow" compact="0" outline="0" subtotalTop="0" showAll="0" defaultSubtotal="0">
      <items count="1">
        <item x="0"/>
      </items>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axis="axisRow" compact="0" outline="0" subtotalTop="0" showAll="0" sortType="ascending">
      <items count="3">
        <item x="0"/>
        <item x="1"/>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defaultSubtotal="0">
      <items count="2">
        <item x="0"/>
        <item x="1"/>
      </items>
      <extLst>
        <ext xmlns:x14="http://schemas.microsoft.com/office/spreadsheetml/2009/9/main" uri="{2946ED86-A175-432a-8AC1-64E0C546D7DE}">
          <x14:pivotField fillDownLabels="1"/>
        </ext>
      </extLst>
    </pivotField>
    <pivotField name="Número de Títulos - Operación Final" axis="axisRow" compact="0" outline="0" subtotalTop="0" showAll="0">
      <items count="2">
        <item x="0"/>
        <item t="default"/>
      </items>
      <extLst>
        <ext xmlns:x14="http://schemas.microsoft.com/office/spreadsheetml/2009/9/main" uri="{2946ED86-A175-432a-8AC1-64E0C546D7DE}">
          <x14:pivotField fillDownLabels="1"/>
        </ext>
      </extLst>
    </pivotField>
    <pivotField name="Tipo de Operación Final" compact="0" outline="0" subtotalTop="0" showAll="0" defaultSubtotal="0">
      <items count="1">
        <item x="0"/>
      </items>
      <extLst>
        <ext xmlns:x14="http://schemas.microsoft.com/office/spreadsheetml/2009/9/main" uri="{2946ED86-A175-432a-8AC1-64E0C546D7DE}">
          <x14:pivotField fillDownLabels="1"/>
        </ext>
      </extLst>
    </pivotField>
    <pivotField compact="0" outline="0" subtotalTop="0" showAll="0" defaultSubtotal="0">
      <items count="1">
        <item x="0"/>
      </items>
      <extLst>
        <ext xmlns:x14="http://schemas.microsoft.com/office/spreadsheetml/2009/9/main" uri="{2946ED86-A175-432a-8AC1-64E0C546D7DE}">
          <x14:pivotField fillDownLabels="1"/>
        </ext>
      </extLst>
    </pivotField>
    <pivotField name="Moneda Original - Operación Final" compact="0" outline="0" subtotalTop="0" showAll="0" defaultSubtotal="0">
      <items count="1">
        <item x="0"/>
      </items>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s>
  <rowFields count="7">
    <field x="18"/>
    <field x="8"/>
    <field x="1"/>
    <field x="0"/>
    <field x="3"/>
    <field x="6"/>
    <field x="19"/>
  </rowFields>
  <rowItems count="9">
    <i>
      <x/>
      <x/>
      <x/>
      <x/>
      <x/>
      <x/>
      <x/>
    </i>
    <i t="default" r="3">
      <x/>
    </i>
    <i t="default" r="2">
      <x/>
    </i>
    <i t="default" r="1">
      <x/>
    </i>
    <i>
      <x v="1"/>
      <x v="1"/>
      <x/>
      <x/>
      <x/>
      <x/>
      <x/>
    </i>
    <i t="default" r="3">
      <x/>
    </i>
    <i t="default" r="2">
      <x/>
    </i>
    <i t="default" r="1">
      <x v="1"/>
    </i>
    <i t="grand">
      <x/>
    </i>
  </rowItems>
  <colFields count="1">
    <field x="-2"/>
  </colFields>
  <colItems count="6">
    <i>
      <x/>
    </i>
    <i i="1">
      <x v="1"/>
    </i>
    <i i="2">
      <x v="2"/>
    </i>
    <i i="3">
      <x v="3"/>
    </i>
    <i i="4">
      <x v="4"/>
    </i>
    <i i="5">
      <x v="5"/>
    </i>
  </colItems>
  <dataFields count="6">
    <dataField name="Monto Inicial en Moneda Original " fld="7" baseField="0" baseItem="0" numFmtId="40"/>
    <dataField name="Monto Final en Moneda Original " fld="23" baseField="0" baseItem="0" numFmtId="178"/>
    <dataField name="Ganancia / Pérdida en USD" fld="35" baseField="0" baseItem="0" numFmtId="178"/>
    <dataField name="Operación Original Actualizada en MXN " fld="16" baseField="0" baseItem="0" numFmtId="40"/>
    <dataField name="Monto Final en MXN " fld="27" baseField="0" baseItem="0" numFmtId="178"/>
    <dataField name="Ganancia / (Pérdida) en MXN  " fld="29" baseField="0" baseItem="0" numFmtId="178"/>
  </dataFields>
  <formats count="192">
    <format dxfId="609">
      <pivotArea dataOnly="0" labelOnly="1" fieldPosition="0">
        <references count="1">
          <reference field="19" count="0"/>
        </references>
      </pivotArea>
    </format>
    <format dxfId="608">
      <pivotArea dataOnly="0" labelOnly="1" fieldPosition="0">
        <references count="1">
          <reference field="6" count="0"/>
        </references>
      </pivotArea>
    </format>
    <format dxfId="607">
      <pivotArea dataOnly="0" labelOnly="1" fieldPosition="0">
        <references count="1">
          <reference field="6" count="0"/>
        </references>
      </pivotArea>
    </format>
    <format dxfId="606">
      <pivotArea dataOnly="0" labelOnly="1" fieldPosition="0">
        <references count="1">
          <reference field="19" count="0"/>
        </references>
      </pivotArea>
    </format>
    <format dxfId="605">
      <pivotArea outline="0" fieldPosition="0">
        <references count="1">
          <reference field="4294967294" count="1">
            <x v="0"/>
          </reference>
        </references>
      </pivotArea>
    </format>
    <format dxfId="604">
      <pivotArea field="22" type="button" dataOnly="0" labelOnly="1" outline="0"/>
    </format>
    <format dxfId="603">
      <pivotArea dataOnly="0" labelOnly="1" fieldPosition="0">
        <references count="1">
          <reference field="8" count="0"/>
        </references>
      </pivotArea>
    </format>
    <format dxfId="602">
      <pivotArea type="all" dataOnly="0" outline="0" fieldPosition="0"/>
    </format>
    <format dxfId="601">
      <pivotArea field="8" type="button" dataOnly="0" labelOnly="1" outline="0" axis="axisRow" fieldPosition="1"/>
    </format>
    <format dxfId="600">
      <pivotArea field="0" type="button" dataOnly="0" labelOnly="1" outline="0" axis="axisRow" fieldPosition="3"/>
    </format>
    <format dxfId="599">
      <pivotArea field="1" type="button" dataOnly="0" labelOnly="1" outline="0" axis="axisRow" fieldPosition="2"/>
    </format>
    <format dxfId="598">
      <pivotArea field="3" type="button" dataOnly="0" labelOnly="1" outline="0" axis="axisRow" fieldPosition="4"/>
    </format>
    <format dxfId="597">
      <pivotArea field="6" type="button" dataOnly="0" labelOnly="1" outline="0" axis="axisRow" fieldPosition="5"/>
    </format>
    <format dxfId="596">
      <pivotArea field="2" type="button" dataOnly="0" labelOnly="1" outline="0"/>
    </format>
    <format dxfId="595">
      <pivotArea field="5" type="button" dataOnly="0" labelOnly="1" outline="0"/>
    </format>
    <format dxfId="594">
      <pivotArea field="4" type="button" dataOnly="0" labelOnly="1" outline="0"/>
    </format>
    <format dxfId="593">
      <pivotArea field="21" type="button" dataOnly="0" labelOnly="1" outline="0"/>
    </format>
    <format dxfId="592">
      <pivotArea field="22" type="button" dataOnly="0" labelOnly="1" outline="0"/>
    </format>
    <format dxfId="591">
      <pivotArea field="20" type="button" dataOnly="0" labelOnly="1" outline="0"/>
    </format>
    <format dxfId="590">
      <pivotArea field="19" type="button" dataOnly="0" labelOnly="1" outline="0" axis="axisRow" fieldPosition="6"/>
    </format>
    <format dxfId="589">
      <pivotArea dataOnly="0" labelOnly="1" outline="0" fieldPosition="0">
        <references count="1">
          <reference field="4294967294" count="5">
            <x v="0"/>
            <x v="1"/>
            <x v="3"/>
            <x v="4"/>
            <x v="5"/>
          </reference>
        </references>
      </pivotArea>
    </format>
    <format dxfId="588">
      <pivotArea field="8" type="button" dataOnly="0" labelOnly="1" outline="0" axis="axisRow" fieldPosition="1"/>
    </format>
    <format dxfId="587">
      <pivotArea field="8" type="button" dataOnly="0" labelOnly="1" outline="0" axis="axisRow" fieldPosition="1"/>
    </format>
    <format dxfId="586">
      <pivotArea field="8" type="button" dataOnly="0" labelOnly="1" outline="0" axis="axisRow" fieldPosition="1"/>
    </format>
    <format dxfId="585">
      <pivotArea field="0" type="button" dataOnly="0" labelOnly="1" outline="0" axis="axisRow" fieldPosition="3"/>
    </format>
    <format dxfId="584">
      <pivotArea field="0" type="button" dataOnly="0" labelOnly="1" outline="0" axis="axisRow" fieldPosition="3"/>
    </format>
    <format dxfId="583">
      <pivotArea field="0" type="button" dataOnly="0" labelOnly="1" outline="0" axis="axisRow" fieldPosition="3"/>
    </format>
    <format dxfId="582">
      <pivotArea field="1" type="button" dataOnly="0" labelOnly="1" outline="0" axis="axisRow" fieldPosition="2"/>
    </format>
    <format dxfId="581">
      <pivotArea field="3" type="button" dataOnly="0" labelOnly="1" outline="0" axis="axisRow" fieldPosition="4"/>
    </format>
    <format dxfId="580">
      <pivotArea field="3" type="button" dataOnly="0" labelOnly="1" outline="0" axis="axisRow" fieldPosition="4"/>
    </format>
    <format dxfId="579">
      <pivotArea field="3" type="button" dataOnly="0" labelOnly="1" outline="0" axis="axisRow" fieldPosition="4"/>
    </format>
    <format dxfId="578">
      <pivotArea field="6" type="button" dataOnly="0" labelOnly="1" outline="0" axis="axisRow" fieldPosition="5"/>
    </format>
    <format dxfId="577">
      <pivotArea field="6" type="button" dataOnly="0" labelOnly="1" outline="0" axis="axisRow" fieldPosition="5"/>
    </format>
    <format dxfId="576">
      <pivotArea field="6" type="button" dataOnly="0" labelOnly="1" outline="0" axis="axisRow" fieldPosition="5"/>
    </format>
    <format dxfId="575">
      <pivotArea field="2" type="button" dataOnly="0" labelOnly="1" outline="0"/>
    </format>
    <format dxfId="574">
      <pivotArea field="5" type="button" dataOnly="0" labelOnly="1" outline="0"/>
    </format>
    <format dxfId="573">
      <pivotArea field="5" type="button" dataOnly="0" labelOnly="1" outline="0"/>
    </format>
    <format dxfId="572">
      <pivotArea field="5" type="button" dataOnly="0" labelOnly="1" outline="0"/>
    </format>
    <format dxfId="571">
      <pivotArea field="4" type="button" dataOnly="0" labelOnly="1" outline="0"/>
    </format>
    <format dxfId="570">
      <pivotArea field="4" type="button" dataOnly="0" labelOnly="1" outline="0"/>
    </format>
    <format dxfId="569">
      <pivotArea field="4" type="button" dataOnly="0" labelOnly="1" outline="0"/>
    </format>
    <format dxfId="568">
      <pivotArea field="21" type="button" dataOnly="0" labelOnly="1" outline="0"/>
    </format>
    <format dxfId="567">
      <pivotArea field="21" type="button" dataOnly="0" labelOnly="1" outline="0"/>
    </format>
    <format dxfId="566">
      <pivotArea field="21" type="button" dataOnly="0" labelOnly="1" outline="0"/>
    </format>
    <format dxfId="565">
      <pivotArea field="22" type="button" dataOnly="0" labelOnly="1" outline="0"/>
    </format>
    <format dxfId="564">
      <pivotArea field="22" type="button" dataOnly="0" labelOnly="1" outline="0"/>
    </format>
    <format dxfId="563">
      <pivotArea field="20" type="button" dataOnly="0" labelOnly="1" outline="0"/>
    </format>
    <format dxfId="562">
      <pivotArea field="20" type="button" dataOnly="0" labelOnly="1" outline="0"/>
    </format>
    <format dxfId="561">
      <pivotArea field="20" type="button" dataOnly="0" labelOnly="1" outline="0"/>
    </format>
    <format dxfId="560">
      <pivotArea field="19" type="button" dataOnly="0" labelOnly="1" outline="0" axis="axisRow" fieldPosition="6"/>
    </format>
    <format dxfId="559">
      <pivotArea field="19" type="button" dataOnly="0" labelOnly="1" outline="0" axis="axisRow" fieldPosition="6"/>
    </format>
    <format dxfId="558">
      <pivotArea field="19" type="button" dataOnly="0" labelOnly="1" outline="0" axis="axisRow" fieldPosition="6"/>
    </format>
    <format dxfId="557">
      <pivotArea dataOnly="0" labelOnly="1" outline="0" fieldPosition="0">
        <references count="1">
          <reference field="4294967294" count="1">
            <x v="0"/>
          </reference>
        </references>
      </pivotArea>
    </format>
    <format dxfId="556">
      <pivotArea dataOnly="0" labelOnly="1" outline="0" fieldPosition="0">
        <references count="1">
          <reference field="4294967294" count="1">
            <x v="0"/>
          </reference>
        </references>
      </pivotArea>
    </format>
    <format dxfId="555">
      <pivotArea dataOnly="0" labelOnly="1" outline="0" fieldPosition="0">
        <references count="1">
          <reference field="4294967294" count="1">
            <x v="3"/>
          </reference>
        </references>
      </pivotArea>
    </format>
    <format dxfId="554">
      <pivotArea dataOnly="0" labelOnly="1" outline="0" fieldPosition="0">
        <references count="1">
          <reference field="4294967294" count="1">
            <x v="3"/>
          </reference>
        </references>
      </pivotArea>
    </format>
    <format dxfId="553">
      <pivotArea outline="0" fieldPosition="0">
        <references count="1">
          <reference field="4294967294" count="1">
            <x v="3"/>
          </reference>
        </references>
      </pivotArea>
    </format>
    <format dxfId="552">
      <pivotArea dataOnly="0" labelOnly="1" outline="0" fieldPosition="0">
        <references count="1">
          <reference field="4294967294" count="1">
            <x v="1"/>
          </reference>
        </references>
      </pivotArea>
    </format>
    <format dxfId="551">
      <pivotArea dataOnly="0" labelOnly="1" outline="0" fieldPosition="0">
        <references count="1">
          <reference field="4294967294" count="1">
            <x v="1"/>
          </reference>
        </references>
      </pivotArea>
    </format>
    <format dxfId="550">
      <pivotArea outline="0" fieldPosition="0">
        <references count="1">
          <reference field="4294967294" count="1">
            <x v="1"/>
          </reference>
        </references>
      </pivotArea>
    </format>
    <format dxfId="549">
      <pivotArea outline="0" fieldPosition="0">
        <references count="1">
          <reference field="4294967294" count="1">
            <x v="4"/>
          </reference>
        </references>
      </pivotArea>
    </format>
    <format dxfId="548">
      <pivotArea dataOnly="0" labelOnly="1" outline="0" fieldPosition="0">
        <references count="1">
          <reference field="4294967294" count="1">
            <x v="4"/>
          </reference>
        </references>
      </pivotArea>
    </format>
    <format dxfId="547">
      <pivotArea outline="0" fieldPosition="0">
        <references count="1">
          <reference field="4294967294" count="1">
            <x v="5"/>
          </reference>
        </references>
      </pivotArea>
    </format>
    <format dxfId="546">
      <pivotArea dataOnly="0" labelOnly="1" outline="0" fieldPosition="0">
        <references count="1">
          <reference field="4294967294" count="1">
            <x v="5"/>
          </reference>
        </references>
      </pivotArea>
    </format>
    <format dxfId="545">
      <pivotArea dataOnly="0" labelOnly="1" outline="0" fieldPosition="0">
        <references count="1">
          <reference field="4294967294" count="1">
            <x v="5"/>
          </reference>
        </references>
      </pivotArea>
    </format>
    <format dxfId="544">
      <pivotArea dataOnly="0" fieldPosition="0">
        <references count="1">
          <reference field="3" count="0" defaultSubtotal="1"/>
        </references>
      </pivotArea>
    </format>
    <format dxfId="543">
      <pivotArea dataOnly="0" fieldPosition="0">
        <references count="1">
          <reference field="1" count="0" defaultSubtotal="1"/>
        </references>
      </pivotArea>
    </format>
    <format dxfId="542">
      <pivotArea dataOnly="0" fieldPosition="0">
        <references count="1">
          <reference field="0" count="0" defaultSubtotal="1"/>
        </references>
      </pivotArea>
    </format>
    <format dxfId="541">
      <pivotArea dataOnly="0" fieldPosition="0">
        <references count="1">
          <reference field="8" count="0" defaultSubtotal="1"/>
        </references>
      </pivotArea>
    </format>
    <format dxfId="540">
      <pivotArea dataOnly="0" fieldPosition="0">
        <references count="1">
          <reference field="8" count="0" defaultSubtotal="1"/>
        </references>
      </pivotArea>
    </format>
    <format dxfId="539">
      <pivotArea dataOnly="0" fieldPosition="0">
        <references count="1">
          <reference field="8" count="0" defaultSubtotal="1"/>
        </references>
      </pivotArea>
    </format>
    <format dxfId="538">
      <pivotArea dataOnly="0" grandRow="1" fieldPosition="0"/>
    </format>
    <format dxfId="537">
      <pivotArea dataOnly="0" grandRow="1" fieldPosition="0"/>
    </format>
    <format dxfId="536">
      <pivotArea dataOnly="0" grandRow="1" fieldPosition="0"/>
    </format>
    <format dxfId="535">
      <pivotArea type="all" dataOnly="0" outline="0" fieldPosition="0"/>
    </format>
    <format dxfId="534">
      <pivotArea outline="0" collapsedLevelsAreSubtotals="1" fieldPosition="0"/>
    </format>
    <format dxfId="533">
      <pivotArea field="8" type="button" dataOnly="0" labelOnly="1" outline="0" axis="axisRow" fieldPosition="1"/>
    </format>
    <format dxfId="532">
      <pivotArea field="1" type="button" dataOnly="0" labelOnly="1" outline="0" axis="axisRow" fieldPosition="2"/>
    </format>
    <format dxfId="531">
      <pivotArea field="0" type="button" dataOnly="0" labelOnly="1" outline="0" axis="axisRow" fieldPosition="3"/>
    </format>
    <format dxfId="530">
      <pivotArea field="3" type="button" dataOnly="0" labelOnly="1" outline="0" axis="axisRow" fieldPosition="4"/>
    </format>
    <format dxfId="529">
      <pivotArea field="6" type="button" dataOnly="0" labelOnly="1" outline="0" axis="axisRow" fieldPosition="5"/>
    </format>
    <format dxfId="528">
      <pivotArea field="2" type="button" dataOnly="0" labelOnly="1" outline="0"/>
    </format>
    <format dxfId="527">
      <pivotArea field="5" type="button" dataOnly="0" labelOnly="1" outline="0"/>
    </format>
    <format dxfId="526">
      <pivotArea field="4" type="button" dataOnly="0" labelOnly="1" outline="0"/>
    </format>
    <format dxfId="525">
      <pivotArea field="21" type="button" dataOnly="0" labelOnly="1" outline="0"/>
    </format>
    <format dxfId="524">
      <pivotArea field="22" type="button" dataOnly="0" labelOnly="1" outline="0"/>
    </format>
    <format dxfId="523">
      <pivotArea field="20" type="button" dataOnly="0" labelOnly="1" outline="0"/>
    </format>
    <format dxfId="522">
      <pivotArea field="19" type="button" dataOnly="0" labelOnly="1" outline="0" axis="axisRow" fieldPosition="6"/>
    </format>
    <format dxfId="521">
      <pivotArea dataOnly="0" labelOnly="1" grandRow="1" outline="0" fieldPosition="0"/>
    </format>
    <format dxfId="520">
      <pivotArea dataOnly="0" labelOnly="1" outline="0" fieldPosition="0">
        <references count="1">
          <reference field="4294967294" count="5">
            <x v="0"/>
            <x v="1"/>
            <x v="3"/>
            <x v="4"/>
            <x v="5"/>
          </reference>
        </references>
      </pivotArea>
    </format>
    <format dxfId="519">
      <pivotArea field="8" type="button" dataOnly="0" labelOnly="1" outline="0" axis="axisRow" fieldPosition="1"/>
    </format>
    <format dxfId="518">
      <pivotArea field="1" type="button" dataOnly="0" labelOnly="1" outline="0" axis="axisRow" fieldPosition="2"/>
    </format>
    <format dxfId="517">
      <pivotArea field="0" type="button" dataOnly="0" labelOnly="1" outline="0" axis="axisRow" fieldPosition="3"/>
    </format>
    <format dxfId="516">
      <pivotArea field="3" type="button" dataOnly="0" labelOnly="1" outline="0" axis="axisRow" fieldPosition="4"/>
    </format>
    <format dxfId="515">
      <pivotArea field="6" type="button" dataOnly="0" labelOnly="1" outline="0" axis="axisRow" fieldPosition="5"/>
    </format>
    <format dxfId="514">
      <pivotArea field="2" type="button" dataOnly="0" labelOnly="1" outline="0"/>
    </format>
    <format dxfId="513">
      <pivotArea field="5" type="button" dataOnly="0" labelOnly="1" outline="0"/>
    </format>
    <format dxfId="512">
      <pivotArea field="4" type="button" dataOnly="0" labelOnly="1" outline="0"/>
    </format>
    <format dxfId="511">
      <pivotArea field="21" type="button" dataOnly="0" labelOnly="1" outline="0"/>
    </format>
    <format dxfId="510">
      <pivotArea field="22" type="button" dataOnly="0" labelOnly="1" outline="0"/>
    </format>
    <format dxfId="509">
      <pivotArea field="20" type="button" dataOnly="0" labelOnly="1" outline="0"/>
    </format>
    <format dxfId="508">
      <pivotArea field="19" type="button" dataOnly="0" labelOnly="1" outline="0" axis="axisRow" fieldPosition="6"/>
    </format>
    <format dxfId="507">
      <pivotArea dataOnly="0" labelOnly="1" outline="0" fieldPosition="0">
        <references count="1">
          <reference field="4294967294" count="5">
            <x v="0"/>
            <x v="1"/>
            <x v="3"/>
            <x v="4"/>
            <x v="5"/>
          </reference>
        </references>
      </pivotArea>
    </format>
    <format dxfId="506">
      <pivotArea field="8" type="button" dataOnly="0" labelOnly="1" outline="0" axis="axisRow" fieldPosition="1"/>
    </format>
    <format dxfId="505">
      <pivotArea field="1" type="button" dataOnly="0" labelOnly="1" outline="0" axis="axisRow" fieldPosition="2"/>
    </format>
    <format dxfId="504">
      <pivotArea field="0" type="button" dataOnly="0" labelOnly="1" outline="0" axis="axisRow" fieldPosition="3"/>
    </format>
    <format dxfId="503">
      <pivotArea field="3" type="button" dataOnly="0" labelOnly="1" outline="0" axis="axisRow" fieldPosition="4"/>
    </format>
    <format dxfId="502">
      <pivotArea field="6" type="button" dataOnly="0" labelOnly="1" outline="0" axis="axisRow" fieldPosition="5"/>
    </format>
    <format dxfId="501">
      <pivotArea field="2" type="button" dataOnly="0" labelOnly="1" outline="0"/>
    </format>
    <format dxfId="500">
      <pivotArea field="5" type="button" dataOnly="0" labelOnly="1" outline="0"/>
    </format>
    <format dxfId="499">
      <pivotArea field="4" type="button" dataOnly="0" labelOnly="1" outline="0"/>
    </format>
    <format dxfId="498">
      <pivotArea field="21" type="button" dataOnly="0" labelOnly="1" outline="0"/>
    </format>
    <format dxfId="497">
      <pivotArea field="22" type="button" dataOnly="0" labelOnly="1" outline="0"/>
    </format>
    <format dxfId="496">
      <pivotArea field="20" type="button" dataOnly="0" labelOnly="1" outline="0"/>
    </format>
    <format dxfId="495">
      <pivotArea field="19" type="button" dataOnly="0" labelOnly="1" outline="0" axis="axisRow" fieldPosition="6"/>
    </format>
    <format dxfId="494">
      <pivotArea dataOnly="0" labelOnly="1" outline="0" fieldPosition="0">
        <references count="1">
          <reference field="4294967294" count="5">
            <x v="0"/>
            <x v="1"/>
            <x v="3"/>
            <x v="4"/>
            <x v="5"/>
          </reference>
        </references>
      </pivotArea>
    </format>
    <format dxfId="493">
      <pivotArea field="19" type="button" dataOnly="0" labelOnly="1" outline="0" axis="axisRow" fieldPosition="6"/>
    </format>
    <format dxfId="492">
      <pivotArea dataOnly="0" labelOnly="1" outline="0" fieldPosition="0">
        <references count="1">
          <reference field="4294967294" count="5">
            <x v="0"/>
            <x v="1"/>
            <x v="3"/>
            <x v="4"/>
            <x v="5"/>
          </reference>
        </references>
      </pivotArea>
    </format>
    <format dxfId="491">
      <pivotArea field="8" type="button" dataOnly="0" labelOnly="1" outline="0" axis="axisRow" fieldPosition="1"/>
    </format>
    <format dxfId="490">
      <pivotArea field="1" type="button" dataOnly="0" labelOnly="1" outline="0" axis="axisRow" fieldPosition="2"/>
    </format>
    <format dxfId="489">
      <pivotArea field="0" type="button" dataOnly="0" labelOnly="1" outline="0" axis="axisRow" fieldPosition="3"/>
    </format>
    <format dxfId="488">
      <pivotArea field="3" type="button" dataOnly="0" labelOnly="1" outline="0" axis="axisRow" fieldPosition="4"/>
    </format>
    <format dxfId="487">
      <pivotArea field="6" type="button" dataOnly="0" labelOnly="1" outline="0" axis="axisRow" fieldPosition="5"/>
    </format>
    <format dxfId="486">
      <pivotArea field="2" type="button" dataOnly="0" labelOnly="1" outline="0"/>
    </format>
    <format dxfId="485">
      <pivotArea field="5" type="button" dataOnly="0" labelOnly="1" outline="0"/>
    </format>
    <format dxfId="484">
      <pivotArea field="4" type="button" dataOnly="0" labelOnly="1" outline="0"/>
    </format>
    <format dxfId="483">
      <pivotArea field="21" type="button" dataOnly="0" labelOnly="1" outline="0"/>
    </format>
    <format dxfId="482">
      <pivotArea field="22" type="button" dataOnly="0" labelOnly="1" outline="0"/>
    </format>
    <format dxfId="481">
      <pivotArea field="20" type="button" dataOnly="0" labelOnly="1" outline="0"/>
    </format>
    <format dxfId="480">
      <pivotArea dataOnly="0" fieldPosition="0">
        <references count="1">
          <reference field="3" count="0" defaultSubtotal="1"/>
        </references>
      </pivotArea>
    </format>
    <format dxfId="479">
      <pivotArea dataOnly="0" fieldPosition="0">
        <references count="1">
          <reference field="3" count="0" defaultSubtotal="1"/>
        </references>
      </pivotArea>
    </format>
    <format dxfId="478">
      <pivotArea dataOnly="0" fieldPosition="0">
        <references count="1">
          <reference field="0" count="0" defaultSubtotal="1"/>
        </references>
      </pivotArea>
    </format>
    <format dxfId="477">
      <pivotArea dataOnly="0" fieldPosition="0">
        <references count="1">
          <reference field="0" count="0" defaultSubtotal="1"/>
        </references>
      </pivotArea>
    </format>
    <format dxfId="476">
      <pivotArea dataOnly="0" fieldPosition="0">
        <references count="1">
          <reference field="1" count="0" defaultSubtotal="1"/>
        </references>
      </pivotArea>
    </format>
    <format dxfId="475">
      <pivotArea dataOnly="0" fieldPosition="0">
        <references count="1">
          <reference field="1" count="0" defaultSubtotal="1"/>
        </references>
      </pivotArea>
    </format>
    <format dxfId="474">
      <pivotArea dataOnly="0" fieldPosition="0">
        <references count="1">
          <reference field="8" count="0" defaultSubtotal="1"/>
        </references>
      </pivotArea>
    </format>
    <format dxfId="473">
      <pivotArea field="8" dataOnly="0" grandRow="1" axis="axisRow" fieldPosition="1">
        <references count="1">
          <reference field="8" count="0"/>
        </references>
      </pivotArea>
    </format>
    <format dxfId="472">
      <pivotArea dataOnly="0" labelOnly="1" outline="0" fieldPosition="0">
        <references count="1">
          <reference field="8" count="1">
            <x v="0"/>
          </reference>
        </references>
      </pivotArea>
    </format>
    <format dxfId="471">
      <pivotArea dataOnly="0" labelOnly="1" outline="0" fieldPosition="0">
        <references count="1">
          <reference field="8" count="1" defaultSubtotal="1">
            <x v="0"/>
          </reference>
        </references>
      </pivotArea>
    </format>
    <format dxfId="470">
      <pivotArea dataOnly="0" labelOnly="1" outline="0" fieldPosition="0">
        <references count="1">
          <reference field="8" count="1">
            <x v="1"/>
          </reference>
        </references>
      </pivotArea>
    </format>
    <format dxfId="469">
      <pivotArea dataOnly="0" labelOnly="1" outline="0" fieldPosition="0">
        <references count="1">
          <reference field="8" count="1" defaultSubtotal="1">
            <x v="1"/>
          </reference>
        </references>
      </pivotArea>
    </format>
    <format dxfId="468">
      <pivotArea dataOnly="0" labelOnly="1" grandRow="1" outline="0" fieldPosition="0"/>
    </format>
    <format dxfId="467">
      <pivotArea field="8" type="button" dataOnly="0" labelOnly="1" outline="0" axis="axisRow" fieldPosition="1"/>
    </format>
    <format dxfId="466">
      <pivotArea fieldPosition="0">
        <references count="5">
          <reference field="4294967294" count="1" selected="0">
            <x v="1"/>
          </reference>
          <reference field="0" count="0" selected="0"/>
          <reference field="1" count="0" selected="0"/>
          <reference field="3" count="0" defaultSubtotal="1"/>
          <reference field="8" count="1" selected="0">
            <x v="0"/>
          </reference>
        </references>
      </pivotArea>
    </format>
    <format dxfId="465">
      <pivotArea field="18" type="button" dataOnly="0" labelOnly="1" outline="0" axis="axisRow" fieldPosition="0"/>
    </format>
    <format dxfId="464">
      <pivotArea dataOnly="0" labelOnly="1" fieldPosition="0">
        <references count="1">
          <reference field="8" count="0"/>
        </references>
      </pivotArea>
    </format>
    <format dxfId="463">
      <pivotArea dataOnly="0" labelOnly="1" fieldPosition="0">
        <references count="1">
          <reference field="8" count="0"/>
        </references>
      </pivotArea>
    </format>
    <format dxfId="462">
      <pivotArea dataOnly="0" fieldPosition="0">
        <references count="1">
          <reference field="1" count="0"/>
        </references>
      </pivotArea>
    </format>
    <format dxfId="461">
      <pivotArea dataOnly="0" fieldPosition="0">
        <references count="1">
          <reference field="1" count="0"/>
        </references>
      </pivotArea>
    </format>
    <format dxfId="460">
      <pivotArea outline="0" fieldPosition="0">
        <references count="2">
          <reference field="8" count="0" selected="0" defaultSubtotal="1"/>
          <reference field="18" count="1" selected="0">
            <x v="0"/>
          </reference>
        </references>
      </pivotArea>
    </format>
    <format dxfId="459">
      <pivotArea dataOnly="0" labelOnly="1" outline="0" fieldPosition="0">
        <references count="2">
          <reference field="8" count="0" defaultSubtotal="1"/>
          <reference field="18" count="1" selected="0">
            <x v="0"/>
          </reference>
        </references>
      </pivotArea>
    </format>
    <format dxfId="458">
      <pivotArea grandRow="1" outline="0" collapsedLevelsAreSubtotals="1" fieldPosition="0"/>
    </format>
    <format dxfId="457">
      <pivotArea dataOnly="0" labelOnly="1" grandRow="1" outline="0" fieldPosition="0"/>
    </format>
    <format dxfId="456">
      <pivotArea outline="0" fieldPosition="0">
        <references count="3">
          <reference field="1" count="0" selected="0" defaultSubtotal="1"/>
          <reference field="8" count="0" selected="0"/>
          <reference field="18" count="1" selected="0">
            <x v="0"/>
          </reference>
        </references>
      </pivotArea>
    </format>
    <format dxfId="455">
      <pivotArea dataOnly="0" labelOnly="1" outline="0" fieldPosition="0">
        <references count="3">
          <reference field="1" count="0" defaultSubtotal="1"/>
          <reference field="8" count="0" selected="0"/>
          <reference field="18" count="1" selected="0">
            <x v="0"/>
          </reference>
        </references>
      </pivotArea>
    </format>
    <format dxfId="454">
      <pivotArea outline="0" fieldPosition="0">
        <references count="8">
          <reference field="4294967294" count="1" selected="0">
            <x v="1"/>
          </reference>
          <reference field="0" count="0" selected="0"/>
          <reference field="1" count="0" selected="0"/>
          <reference field="3" count="0" selected="0"/>
          <reference field="6" count="0" selected="0"/>
          <reference field="8" count="0" selected="0"/>
          <reference field="18" count="1" selected="0">
            <x v="0"/>
          </reference>
          <reference field="19" count="0" selected="0"/>
        </references>
      </pivotArea>
    </format>
    <format dxfId="453">
      <pivotArea outline="0" fieldPosition="0">
        <references count="8">
          <reference field="4294967294" count="1" selected="0">
            <x v="3"/>
          </reference>
          <reference field="0" count="0" selected="0"/>
          <reference field="1" count="0" selected="0"/>
          <reference field="3" count="0" selected="0"/>
          <reference field="6" count="0" selected="0"/>
          <reference field="8" count="0" selected="0"/>
          <reference field="18" count="1" selected="0">
            <x v="0"/>
          </reference>
          <reference field="19" count="0" selected="0"/>
        </references>
      </pivotArea>
    </format>
    <format dxfId="452">
      <pivotArea dataOnly="0" outline="0" fieldPosition="0">
        <references count="1">
          <reference field="3" count="0" defaultSubtotal="1"/>
        </references>
      </pivotArea>
    </format>
    <format dxfId="451">
      <pivotArea dataOnly="0" outline="0" fieldPosition="0">
        <references count="1">
          <reference field="1" count="0" defaultSubtotal="1"/>
        </references>
      </pivotArea>
    </format>
    <format dxfId="450">
      <pivotArea dataOnly="0" outline="0" fieldPosition="0">
        <references count="1">
          <reference field="8" count="0" defaultSubtotal="1"/>
        </references>
      </pivotArea>
    </format>
    <format dxfId="449">
      <pivotArea dataOnly="0" grandRow="1" outline="0" fieldPosition="0"/>
    </format>
    <format dxfId="448">
      <pivotArea dataOnly="0" labelOnly="1" outline="0" fieldPosition="0">
        <references count="1">
          <reference field="8" count="0"/>
        </references>
      </pivotArea>
    </format>
    <format dxfId="447">
      <pivotArea dataOnly="0" labelOnly="1" outline="0" fieldPosition="0">
        <references count="1">
          <reference field="4294967294" count="1">
            <x v="2"/>
          </reference>
        </references>
      </pivotArea>
    </format>
    <format dxfId="446">
      <pivotArea outline="0" fieldPosition="0">
        <references count="1">
          <reference field="4294967294" count="1">
            <x v="2"/>
          </reference>
        </references>
      </pivotArea>
    </format>
    <format dxfId="445">
      <pivotArea outline="0" fieldPosition="0">
        <references count="8">
          <reference field="4294967294" count="1" selected="0">
            <x v="2"/>
          </reference>
          <reference field="0" count="0" selected="0"/>
          <reference field="1" count="0" selected="0"/>
          <reference field="3" count="0" selected="0"/>
          <reference field="6" count="0" selected="0"/>
          <reference field="8" count="0" selected="0"/>
          <reference field="18" count="1" selected="0">
            <x v="0"/>
          </reference>
          <reference field="19" count="0" selected="0"/>
        </references>
      </pivotArea>
    </format>
    <format dxfId="444">
      <pivotArea field="18" type="button" dataOnly="0" labelOnly="1" outline="0" axis="axisRow" fieldPosition="0"/>
    </format>
    <format dxfId="443">
      <pivotArea dataOnly="0" labelOnly="1" outline="0" fieldPosition="0">
        <references count="1">
          <reference field="0" count="0"/>
        </references>
      </pivotArea>
    </format>
    <format dxfId="442">
      <pivotArea dataOnly="0" outline="0" fieldPosition="0">
        <references count="1">
          <reference field="1" count="0" defaultSubtotal="1"/>
        </references>
      </pivotArea>
    </format>
    <format dxfId="441">
      <pivotArea dataOnly="0" outline="0" fieldPosition="0">
        <references count="1">
          <reference field="0" count="0" defaultSubtotal="1"/>
        </references>
      </pivotArea>
    </format>
    <format dxfId="440">
      <pivotArea outline="0" fieldPosition="0">
        <references count="8">
          <reference field="4294967294" count="1" selected="0">
            <x v="0"/>
          </reference>
          <reference field="0" count="0" selected="0"/>
          <reference field="1" count="0" selected="0"/>
          <reference field="3" count="0" selected="0"/>
          <reference field="6" count="0" selected="0"/>
          <reference field="8" count="0" selected="0"/>
          <reference field="18" count="1" selected="0">
            <x v="0"/>
          </reference>
          <reference field="19" count="0" selected="0"/>
        </references>
      </pivotArea>
    </format>
    <format dxfId="439">
      <pivotArea outline="0" fieldPosition="0">
        <references count="8">
          <reference field="4294967294" count="1" selected="0">
            <x v="5"/>
          </reference>
          <reference field="0" count="0" selected="0"/>
          <reference field="1" count="0" selected="0"/>
          <reference field="3" count="0" selected="0"/>
          <reference field="6" count="0" selected="0"/>
          <reference field="8" count="0" selected="0"/>
          <reference field="18" count="1" selected="0">
            <x v="0"/>
          </reference>
          <reference field="19" count="0" selected="0"/>
        </references>
      </pivotArea>
    </format>
    <format dxfId="438">
      <pivotArea dataOnly="0" labelOnly="1" outline="0" fieldPosition="0">
        <references count="1">
          <reference field="18" count="0"/>
        </references>
      </pivotArea>
    </format>
    <format dxfId="437">
      <pivotArea outline="0" fieldPosition="0">
        <references count="7">
          <reference field="0" count="0" selected="0"/>
          <reference field="1" count="0" selected="0"/>
          <reference field="3" count="0" selected="0"/>
          <reference field="6" count="0" selected="0"/>
          <reference field="8" count="1" selected="0">
            <x v="0"/>
          </reference>
          <reference field="18" count="1" selected="0">
            <x v="0"/>
          </reference>
          <reference field="19" count="0" selected="0"/>
        </references>
      </pivotArea>
    </format>
    <format dxfId="436">
      <pivotArea outline="0" fieldPosition="0">
        <references count="7">
          <reference field="0" count="0" selected="0"/>
          <reference field="1" count="0" selected="0"/>
          <reference field="3" count="0" selected="0"/>
          <reference field="6" count="0" selected="0"/>
          <reference field="8" count="1" selected="0">
            <x v="1"/>
          </reference>
          <reference field="18" count="1" selected="0">
            <x v="1"/>
          </reference>
          <reference field="19" count="0" selected="0"/>
        </references>
      </pivotArea>
    </format>
    <format dxfId="435">
      <pivotArea outline="0" fieldPosition="0">
        <references count="3">
          <reference field="4294967294" count="4" selected="0">
            <x v="2"/>
            <x v="3"/>
            <x v="4"/>
            <x v="5"/>
          </reference>
          <reference field="8" count="1" selected="0" defaultSubtotal="1">
            <x v="0"/>
          </reference>
          <reference field="18" count="1" selected="0">
            <x v="0"/>
          </reference>
        </references>
      </pivotArea>
    </format>
    <format dxfId="434">
      <pivotArea outline="0" fieldPosition="0">
        <references count="5">
          <reference field="4294967294" count="4" selected="0">
            <x v="2"/>
            <x v="3"/>
            <x v="4"/>
            <x v="5"/>
          </reference>
          <reference field="0" count="0" selected="0" defaultSubtotal="1"/>
          <reference field="1" count="0" selected="0"/>
          <reference field="8" count="1" selected="0">
            <x v="1"/>
          </reference>
          <reference field="18" count="1" selected="0">
            <x v="1"/>
          </reference>
        </references>
      </pivotArea>
    </format>
    <format dxfId="433">
      <pivotArea outline="0" fieldPosition="0">
        <references count="4">
          <reference field="4294967294" count="4" selected="0">
            <x v="2"/>
            <x v="3"/>
            <x v="4"/>
            <x v="5"/>
          </reference>
          <reference field="1" count="0" selected="0" defaultSubtotal="1"/>
          <reference field="8" count="1" selected="0">
            <x v="1"/>
          </reference>
          <reference field="18" count="1" selected="0">
            <x v="1"/>
          </reference>
        </references>
      </pivotArea>
    </format>
    <format dxfId="432">
      <pivotArea outline="0" fieldPosition="0">
        <references count="3">
          <reference field="4294967294" count="4" selected="0">
            <x v="2"/>
            <x v="3"/>
            <x v="4"/>
            <x v="5"/>
          </reference>
          <reference field="8" count="1" selected="0" defaultSubtotal="1">
            <x v="1"/>
          </reference>
          <reference field="18" count="1" selected="0">
            <x v="1"/>
          </reference>
        </references>
      </pivotArea>
    </format>
    <format dxfId="431">
      <pivotArea field="18" grandRow="1" outline="0" axis="axisRow" fieldPosition="0">
        <references count="1">
          <reference field="4294967294" count="4" selected="0">
            <x v="2"/>
            <x v="3"/>
            <x v="4"/>
            <x v="5"/>
          </reference>
        </references>
      </pivotArea>
    </format>
    <format dxfId="430">
      <pivotArea dataOnly="0" outline="0" fieldPosition="0">
        <references count="1">
          <reference field="4294967294" count="1">
            <x v="1"/>
          </reference>
        </references>
      </pivotArea>
    </format>
    <format dxfId="429">
      <pivotArea dataOnly="0" labelOnly="1" outline="0" fieldPosition="0">
        <references count="1">
          <reference field="4294967294" count="1">
            <x v="1"/>
          </reference>
        </references>
      </pivotArea>
    </format>
    <format dxfId="428">
      <pivotArea dataOnly="0" outline="0" fieldPosition="0">
        <references count="1">
          <reference field="4294967294" count="1">
            <x v="0"/>
          </reference>
        </references>
      </pivotArea>
    </format>
    <format dxfId="427">
      <pivotArea dataOnly="0" labelOnly="1" outline="0" fieldPosition="0">
        <references count="1">
          <reference field="4294967294" count="1">
            <x v="0"/>
          </reference>
        </references>
      </pivotArea>
    </format>
    <format dxfId="426">
      <pivotArea dataOnly="0" outline="0" fieldPosition="0">
        <references count="1">
          <reference field="4294967294" count="1">
            <x v="2"/>
          </reference>
        </references>
      </pivotArea>
    </format>
    <format dxfId="425">
      <pivotArea dataOnly="0" labelOnly="1" outline="0" fieldPosition="0">
        <references count="1">
          <reference field="4294967294" count="1">
            <x v="2"/>
          </reference>
        </references>
      </pivotArea>
    </format>
    <format dxfId="424">
      <pivotArea dataOnly="0" outline="0" fieldPosition="0">
        <references count="1">
          <reference field="4294967294" count="1">
            <x v="3"/>
          </reference>
        </references>
      </pivotArea>
    </format>
    <format dxfId="423">
      <pivotArea dataOnly="0" labelOnly="1" outline="0" fieldPosition="0">
        <references count="1">
          <reference field="4294967294" count="1">
            <x v="3"/>
          </reference>
        </references>
      </pivotArea>
    </format>
    <format dxfId="422">
      <pivotArea dataOnly="0" outline="0" fieldPosition="0">
        <references count="1">
          <reference field="4294967294" count="1">
            <x v="4"/>
          </reference>
        </references>
      </pivotArea>
    </format>
    <format dxfId="421">
      <pivotArea dataOnly="0" outline="0" fieldPosition="0">
        <references count="1">
          <reference field="4294967294" count="1">
            <x v="4"/>
          </reference>
        </references>
      </pivotArea>
    </format>
    <format dxfId="420">
      <pivotArea dataOnly="0" labelOnly="1" outline="0" fieldPosition="0">
        <references count="1">
          <reference field="4294967294" count="1">
            <x v="4"/>
          </reference>
        </references>
      </pivotArea>
    </format>
    <format dxfId="419">
      <pivotArea dataOnly="0" outline="0" fieldPosition="0">
        <references count="1">
          <reference field="4294967294" count="1">
            <x v="5"/>
          </reference>
        </references>
      </pivotArea>
    </format>
    <format dxfId="418">
      <pivotArea dataOnly="0" labelOnly="1" outline="0" fieldPosition="0">
        <references count="1">
          <reference field="4294967294" count="1">
            <x v="5"/>
          </reference>
        </references>
      </pivotArea>
    </format>
  </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7041D2-BA6E-A346-907E-C2C77F4FEDA2}" name="TablaDinámica2" cacheId="203" applyNumberFormats="0" applyBorderFormats="0" applyFontFormats="0" applyPatternFormats="0" applyAlignmentFormats="0" applyWidthHeightFormats="1" dataCaption="Valores" updatedVersion="8" minRefreshableVersion="3" showDrill="0" itemPrintTitles="1" createdVersion="6" indent="0" compact="0" outline="1" outlineData="1" compactData="0">
  <location ref="B5:W3820" firstHeaderRow="0" firstDataRow="1" firstDataCol="8"/>
  <pivotFields count="40">
    <pivotField name="Número de Cuenta" axis="axisRow" compact="0" subtotalTop="0" showAll="0" insertBlankRow="1" sortType="ascending">
      <items count="9">
        <item n="31XX29" x="6"/>
        <item n="11XX300" x="5"/>
        <item n="1XXX100" x="4"/>
        <item n="4H 0XXX0 RB" x="3"/>
        <item n="677-0XXX52-670" x="1"/>
        <item n="677-0XXX53-471" x="2"/>
        <item n="B467XXX05" x="7"/>
        <item x="0"/>
        <item t="default"/>
      </items>
    </pivotField>
    <pivotField compact="0" subtotalTop="0" showAll="0" insertBlankRow="1"/>
    <pivotField axis="axisRow" compact="0" subtotalTop="0" showAll="0" insertBlankRow="1" sortType="ascending">
      <items count="197">
        <item x="125"/>
        <item x="12"/>
        <item x="126"/>
        <item x="106"/>
        <item x="37"/>
        <item x="38"/>
        <item x="107"/>
        <item x="13"/>
        <item x="127"/>
        <item x="14"/>
        <item x="4"/>
        <item x="151"/>
        <item x="39"/>
        <item x="128"/>
        <item x="129"/>
        <item x="152"/>
        <item x="153"/>
        <item x="5"/>
        <item x="69"/>
        <item x="122"/>
        <item x="130"/>
        <item x="131"/>
        <item x="15"/>
        <item x="1"/>
        <item x="120"/>
        <item x="132"/>
        <item x="64"/>
        <item x="80"/>
        <item x="119"/>
        <item x="40"/>
        <item x="16"/>
        <item x="41"/>
        <item x="17"/>
        <item x="18"/>
        <item x="71"/>
        <item x="19"/>
        <item x="154"/>
        <item x="42"/>
        <item x="117"/>
        <item x="193"/>
        <item x="59"/>
        <item x="20"/>
        <item x="146"/>
        <item x="108"/>
        <item x="61"/>
        <item x="133"/>
        <item x="102"/>
        <item x="155"/>
        <item x="81"/>
        <item x="115"/>
        <item x="21"/>
        <item x="43"/>
        <item x="22"/>
        <item x="191"/>
        <item x="156"/>
        <item x="189"/>
        <item x="121"/>
        <item x="109"/>
        <item x="44"/>
        <item x="134"/>
        <item x="84"/>
        <item x="105"/>
        <item x="166"/>
        <item x="101"/>
        <item x="164"/>
        <item x="96"/>
        <item x="98"/>
        <item x="85"/>
        <item x="45"/>
        <item x="86"/>
        <item x="169"/>
        <item x="114"/>
        <item x="170"/>
        <item x="171"/>
        <item x="91"/>
        <item x="87"/>
        <item x="6"/>
        <item x="172"/>
        <item x="173"/>
        <item x="180"/>
        <item x="174"/>
        <item x="175"/>
        <item x="176"/>
        <item x="7"/>
        <item x="103"/>
        <item x="165"/>
        <item x="168"/>
        <item x="95"/>
        <item x="92"/>
        <item x="167"/>
        <item x="104"/>
        <item x="148"/>
        <item x="77"/>
        <item x="157"/>
        <item x="23"/>
        <item x="110"/>
        <item x="149"/>
        <item x="8"/>
        <item x="111"/>
        <item x="112"/>
        <item x="135"/>
        <item x="136"/>
        <item x="24"/>
        <item x="25"/>
        <item x="158"/>
        <item x="74"/>
        <item x="79"/>
        <item x="192"/>
        <item x="66"/>
        <item x="159"/>
        <item x="137"/>
        <item x="9"/>
        <item x="26"/>
        <item x="46"/>
        <item x="27"/>
        <item x="47"/>
        <item x="48"/>
        <item x="60"/>
        <item x="76"/>
        <item x="83"/>
        <item x="184"/>
        <item x="65"/>
        <item x="49"/>
        <item x="28"/>
        <item x="113"/>
        <item x="188"/>
        <item x="29"/>
        <item x="72"/>
        <item x="160"/>
        <item x="75"/>
        <item x="30"/>
        <item x="10"/>
        <item x="58"/>
        <item x="50"/>
        <item x="73"/>
        <item x="68"/>
        <item x="138"/>
        <item x="161"/>
        <item x="62"/>
        <item x="31"/>
        <item x="139"/>
        <item x="140"/>
        <item x="162"/>
        <item x="141"/>
        <item x="163"/>
        <item x="142"/>
        <item x="67"/>
        <item x="88"/>
        <item x="181"/>
        <item x="177"/>
        <item x="178"/>
        <item x="183"/>
        <item x="90"/>
        <item x="89"/>
        <item x="182"/>
        <item x="11"/>
        <item x="123"/>
        <item x="93"/>
        <item x="63"/>
        <item x="124"/>
        <item x="194"/>
        <item x="56"/>
        <item x="51"/>
        <item x="150"/>
        <item x="70"/>
        <item x="143"/>
        <item x="52"/>
        <item x="32"/>
        <item x="187"/>
        <item x="186"/>
        <item x="33"/>
        <item x="185"/>
        <item x="53"/>
        <item x="54"/>
        <item x="179"/>
        <item x="78"/>
        <item x="34"/>
        <item x="35"/>
        <item x="36"/>
        <item x="82"/>
        <item x="116"/>
        <item x="100"/>
        <item x="99"/>
        <item x="147"/>
        <item x="94"/>
        <item x="55"/>
        <item x="144"/>
        <item x="145"/>
        <item x="97"/>
        <item x="3"/>
        <item x="2"/>
        <item x="57"/>
        <item x="195"/>
        <item x="190"/>
        <item x="118"/>
        <item x="0"/>
        <item t="default"/>
      </items>
    </pivotField>
    <pivotField name="Clase de Activo" axis="axisRow" compact="0" subtotalTop="0" showAll="0" insertBlankRow="1" sortType="ascending">
      <items count="4">
        <item x="1"/>
        <item x="2"/>
        <item x="0"/>
        <item t="default"/>
      </items>
    </pivotField>
    <pivotField axis="axisRow" compact="0" subtotalTop="0" showAll="0" insertBlankRow="1" defaultSubtotal="0">
      <items count="3">
        <item x="0"/>
        <item x="1"/>
        <item x="2"/>
      </items>
    </pivotField>
    <pivotField axis="axisRow" compact="0" subtotalTop="0" showAll="0" insertBlankRow="1" defaultSubtotal="0">
      <items count="2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111"/>
        <item x="85"/>
        <item x="86"/>
        <item x="87"/>
        <item x="88"/>
        <item x="89"/>
        <item x="90"/>
        <item x="263"/>
        <item x="264"/>
        <item x="156"/>
        <item x="265"/>
        <item x="237"/>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8"/>
        <item x="239"/>
        <item x="240"/>
        <item x="241"/>
        <item x="242"/>
        <item x="243"/>
        <item x="244"/>
        <item x="245"/>
        <item x="246"/>
        <item x="247"/>
        <item x="248"/>
        <item x="249"/>
        <item x="250"/>
        <item x="251"/>
        <item x="252"/>
        <item x="253"/>
        <item x="254"/>
        <item x="255"/>
        <item x="256"/>
        <item x="257"/>
        <item x="258"/>
        <item x="259"/>
        <item x="260"/>
        <item x="261"/>
        <item x="262"/>
      </items>
    </pivotField>
    <pivotField dataField="1" compact="0" subtotalTop="0" showAll="0" insertBlankRow="1"/>
    <pivotField name="Tipo de Ingreso" axis="axisRow" compact="0" subtotalTop="0" showAll="0" insertBlankRow="1" sortType="ascending">
      <items count="5">
        <item h="1" x="0"/>
        <item x="1"/>
        <item x="2"/>
        <item h="1" x="3"/>
        <item t="default"/>
      </items>
    </pivotField>
    <pivotField compact="0" subtotalTop="0" showAll="0" insertBlankRow="1"/>
    <pivotField compact="0" subtotalTop="0" showAll="0" insertBlankRow="1"/>
    <pivotField dataField="1" compact="0" subtotalTop="0" showAll="0" insertBlankRow="1"/>
    <pivotField compact="0" subtotalTop="0" showAll="0" insertBlankRow="1"/>
    <pivotField dataField="1" compact="0" subtotalTop="0" showAll="0" insertBlankRow="1"/>
    <pivotField dataField="1" compact="0" subtotalTop="0" showAll="0" insertBlankRow="1"/>
    <pivotField dataField="1" compact="0" subtotalTop="0" showAll="0" insertBlankRow="1"/>
    <pivotField dataField="1" compact="0" subtotalTop="0" showAll="0" insertBlankRow="1"/>
    <pivotField dataField="1" compact="0" subtotalTop="0" showAll="0" insertBlankRow="1"/>
    <pivotField dataField="1" compact="0" subtotalTop="0" showAll="0" insertBlankRow="1"/>
    <pivotField compact="0" subtotalTop="0" showAll="0" insertBlankRow="1"/>
    <pivotField compact="0" subtotalTop="0" showAll="0" insertBlankRow="1"/>
    <pivotField name="Unidades vendidas2" dataField="1" compact="0" subtotalTop="0" showAll="0" insertBlankRow="1"/>
    <pivotField compact="0" subtotalTop="0" showAll="0" insertBlankRow="1"/>
    <pivotField axis="axisRow" compact="0" subtotalTop="0" showAll="0" insertBlankRow="1" defaultSubtotal="0">
      <items count="1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50"/>
        <item x="51"/>
        <item x="52"/>
        <item x="53"/>
        <item x="76"/>
        <item x="124"/>
        <item x="125"/>
        <item x="126"/>
        <item x="54"/>
        <item x="55"/>
        <item x="56"/>
        <item x="57"/>
        <item x="58"/>
        <item x="59"/>
        <item x="60"/>
        <item x="61"/>
        <item x="62"/>
        <item x="63"/>
        <item x="64"/>
        <item x="65"/>
        <item x="66"/>
        <item x="67"/>
        <item x="69"/>
        <item x="70"/>
        <item x="71"/>
        <item x="72"/>
        <item x="73"/>
        <item x="74"/>
        <item x="75"/>
        <item x="77"/>
        <item x="78"/>
        <item x="79"/>
        <item x="80"/>
        <item x="81"/>
        <item x="82"/>
        <item x="83"/>
        <item x="84"/>
        <item x="85"/>
        <item x="86"/>
        <item x="87"/>
        <item x="88"/>
        <item x="89"/>
        <item x="90"/>
        <item x="91"/>
        <item x="92"/>
        <item x="93"/>
        <item x="94"/>
        <item x="95"/>
        <item x="96"/>
        <item x="97"/>
        <item x="98"/>
        <item x="99"/>
        <item x="100"/>
        <item x="101"/>
        <item x="102"/>
        <item x="103"/>
        <item x="104"/>
        <item x="105"/>
        <item x="49"/>
        <item x="68"/>
        <item x="106"/>
        <item x="107"/>
        <item x="108"/>
        <item x="109"/>
        <item x="110"/>
        <item x="111"/>
        <item x="112"/>
        <item x="113"/>
        <item x="114"/>
        <item x="115"/>
        <item x="116"/>
        <item x="117"/>
        <item x="118"/>
        <item x="119"/>
        <item x="120"/>
        <item x="121"/>
        <item x="122"/>
        <item x="123"/>
      </items>
    </pivotField>
    <pivotField axis="axisRow" compact="0" subtotalTop="0" showAll="0" insertBlankRow="1" defaultSubtotal="0">
      <items count="3">
        <item x="0"/>
        <item x="1"/>
        <item x="2"/>
      </items>
    </pivotField>
    <pivotField dataField="1" compact="0" subtotalTop="0" showAll="0" insertBlankRow="1"/>
    <pivotField dataField="1" compact="0" subtotalTop="0" showAll="0" insertBlankRow="1"/>
    <pivotField compact="0" subtotalTop="0" showAll="0" insertBlankRow="1"/>
    <pivotField dataField="1" compact="0" subtotalTop="0" showAll="0" insertBlankRow="1"/>
    <pivotField name="Precio de Venta en MXN2" dataField="1"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dataField="1"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s>
  <rowFields count="8">
    <field x="7"/>
    <field x="3"/>
    <field x="0"/>
    <field x="2"/>
    <field x="22"/>
    <field x="23"/>
    <field x="5"/>
    <field x="4"/>
  </rowFields>
  <rowItems count="3815">
    <i>
      <x v="1"/>
    </i>
    <i r="1">
      <x/>
    </i>
    <i r="2">
      <x v="2"/>
    </i>
    <i r="3">
      <x v="38"/>
    </i>
    <i r="4">
      <x v="82"/>
    </i>
    <i r="5">
      <x v="1"/>
    </i>
    <i r="6">
      <x v="106"/>
    </i>
    <i r="7">
      <x v="1"/>
    </i>
    <i t="blank" r="6">
      <x v="106"/>
    </i>
    <i t="default" r="3">
      <x v="38"/>
    </i>
    <i t="blank" r="3">
      <x v="38"/>
    </i>
    <i r="3">
      <x v="48"/>
    </i>
    <i r="4">
      <x v="13"/>
    </i>
    <i r="5">
      <x v="1"/>
    </i>
    <i r="6">
      <x v="64"/>
    </i>
    <i r="7">
      <x v="1"/>
    </i>
    <i t="blank" r="6">
      <x v="64"/>
    </i>
    <i r="6">
      <x v="98"/>
    </i>
    <i r="7">
      <x v="1"/>
    </i>
    <i t="blank" r="6">
      <x v="98"/>
    </i>
    <i r="6">
      <x v="147"/>
    </i>
    <i r="7">
      <x v="1"/>
    </i>
    <i t="blank" r="6">
      <x v="147"/>
    </i>
    <i r="6">
      <x v="148"/>
    </i>
    <i r="7">
      <x v="1"/>
    </i>
    <i t="blank" r="6">
      <x v="148"/>
    </i>
    <i r="6">
      <x v="149"/>
    </i>
    <i r="7">
      <x v="1"/>
    </i>
    <i t="blank" r="6">
      <x v="149"/>
    </i>
    <i r="6">
      <x v="150"/>
    </i>
    <i r="7">
      <x v="1"/>
    </i>
    <i t="blank" r="6">
      <x v="150"/>
    </i>
    <i r="4">
      <x v="41"/>
    </i>
    <i r="5">
      <x v="1"/>
    </i>
    <i r="6">
      <x v="150"/>
    </i>
    <i r="7">
      <x v="1"/>
    </i>
    <i t="blank" r="6">
      <x v="150"/>
    </i>
    <i r="4">
      <x v="66"/>
    </i>
    <i r="5">
      <x v="1"/>
    </i>
    <i r="6">
      <x v="64"/>
    </i>
    <i r="7">
      <x v="1"/>
    </i>
    <i t="blank" r="6">
      <x v="64"/>
    </i>
    <i r="4">
      <x v="76"/>
    </i>
    <i r="5">
      <x v="1"/>
    </i>
    <i r="6">
      <x v="65"/>
    </i>
    <i r="7">
      <x v="1"/>
    </i>
    <i t="blank" r="6">
      <x v="65"/>
    </i>
    <i r="6">
      <x v="150"/>
    </i>
    <i r="7">
      <x v="1"/>
    </i>
    <i t="blank" r="6">
      <x v="150"/>
    </i>
    <i t="default" r="3">
      <x v="48"/>
    </i>
    <i t="blank" r="3">
      <x v="48"/>
    </i>
    <i r="3">
      <x v="117"/>
    </i>
    <i r="4">
      <x v="41"/>
    </i>
    <i r="5">
      <x v="1"/>
    </i>
    <i r="6">
      <x v="33"/>
    </i>
    <i r="7">
      <x v="1"/>
    </i>
    <i t="blank" r="6">
      <x v="33"/>
    </i>
    <i r="6">
      <x v="34"/>
    </i>
    <i r="7">
      <x v="1"/>
    </i>
    <i t="blank" r="6">
      <x v="34"/>
    </i>
    <i r="6">
      <x v="39"/>
    </i>
    <i r="7">
      <x v="1"/>
    </i>
    <i t="blank" r="6">
      <x v="39"/>
    </i>
    <i r="6">
      <x v="63"/>
    </i>
    <i r="7">
      <x v="1"/>
    </i>
    <i t="blank" r="6">
      <x v="63"/>
    </i>
    <i r="6">
      <x v="75"/>
    </i>
    <i r="7">
      <x v="1"/>
    </i>
    <i t="blank" r="6">
      <x v="75"/>
    </i>
    <i r="6">
      <x v="76"/>
    </i>
    <i r="7">
      <x v="1"/>
    </i>
    <i t="blank" r="6">
      <x v="76"/>
    </i>
    <i r="6">
      <x v="77"/>
    </i>
    <i r="7">
      <x v="1"/>
    </i>
    <i t="blank" r="6">
      <x v="77"/>
    </i>
    <i r="6">
      <x v="78"/>
    </i>
    <i r="7">
      <x v="1"/>
    </i>
    <i t="blank" r="6">
      <x v="78"/>
    </i>
    <i t="default" r="3">
      <x v="117"/>
    </i>
    <i t="blank" r="3">
      <x v="117"/>
    </i>
    <i r="3">
      <x v="129"/>
    </i>
    <i r="4">
      <x v="15"/>
    </i>
    <i r="5">
      <x v="1"/>
    </i>
    <i r="6">
      <x v="111"/>
    </i>
    <i r="7">
      <x v="1"/>
    </i>
    <i t="blank" r="6">
      <x v="111"/>
    </i>
    <i r="4">
      <x v="43"/>
    </i>
    <i r="5">
      <x v="1"/>
    </i>
    <i r="6">
      <x v="52"/>
    </i>
    <i r="7">
      <x v="1"/>
    </i>
    <i t="blank" r="6">
      <x v="52"/>
    </i>
    <i r="6">
      <x v="120"/>
    </i>
    <i r="7">
      <x v="1"/>
    </i>
    <i t="blank" r="6">
      <x v="120"/>
    </i>
    <i r="6">
      <x v="124"/>
    </i>
    <i r="7">
      <x v="1"/>
    </i>
    <i t="blank" r="6">
      <x v="124"/>
    </i>
    <i r="4">
      <x v="44"/>
    </i>
    <i r="5">
      <x v="1"/>
    </i>
    <i r="6">
      <x v="52"/>
    </i>
    <i r="7">
      <x v="1"/>
    </i>
    <i t="blank" r="6">
      <x v="52"/>
    </i>
    <i r="6">
      <x v="111"/>
    </i>
    <i r="7">
      <x v="1"/>
    </i>
    <i t="blank" r="6">
      <x v="111"/>
    </i>
    <i r="4">
      <x v="48"/>
    </i>
    <i r="5">
      <x v="1"/>
    </i>
    <i r="6">
      <x v="87"/>
    </i>
    <i r="7">
      <x v="1"/>
    </i>
    <i t="blank" r="6">
      <x v="87"/>
    </i>
    <i r="4">
      <x v="60"/>
    </i>
    <i r="5">
      <x v="1"/>
    </i>
    <i r="6">
      <x v="87"/>
    </i>
    <i r="7">
      <x v="1"/>
    </i>
    <i t="blank" r="6">
      <x v="87"/>
    </i>
    <i r="6">
      <x v="111"/>
    </i>
    <i r="7">
      <x v="1"/>
    </i>
    <i t="blank" r="6">
      <x v="111"/>
    </i>
    <i r="4">
      <x v="71"/>
    </i>
    <i r="5">
      <x v="1"/>
    </i>
    <i r="6">
      <x v="87"/>
    </i>
    <i r="7">
      <x v="1"/>
    </i>
    <i t="blank" r="6">
      <x v="87"/>
    </i>
    <i r="4">
      <x v="108"/>
    </i>
    <i r="5">
      <x v="1"/>
    </i>
    <i r="6">
      <x v="87"/>
    </i>
    <i r="7">
      <x v="1"/>
    </i>
    <i t="blank" r="6">
      <x v="87"/>
    </i>
    <i r="4">
      <x v="115"/>
    </i>
    <i r="5">
      <x v="1"/>
    </i>
    <i r="6">
      <x v="5"/>
    </i>
    <i r="7">
      <x v="1"/>
    </i>
    <i t="blank" r="6">
      <x v="5"/>
    </i>
    <i r="6">
      <x v="133"/>
    </i>
    <i r="7">
      <x v="1"/>
    </i>
    <i t="blank" r="6">
      <x v="133"/>
    </i>
    <i r="6">
      <x v="184"/>
    </i>
    <i r="7">
      <x v="1"/>
    </i>
    <i t="blank" r="6">
      <x v="184"/>
    </i>
    <i r="4">
      <x v="121"/>
    </i>
    <i r="5">
      <x v="1"/>
    </i>
    <i r="6">
      <x v="258"/>
    </i>
    <i r="7">
      <x v="1"/>
    </i>
    <i t="blank" r="6">
      <x v="258"/>
    </i>
    <i r="4">
      <x v="124"/>
    </i>
    <i r="5">
      <x v="1"/>
    </i>
    <i r="6">
      <x v="77"/>
    </i>
    <i r="7">
      <x v="1"/>
    </i>
    <i t="blank" r="6">
      <x v="77"/>
    </i>
    <i r="6">
      <x v="87"/>
    </i>
    <i r="7">
      <x v="1"/>
    </i>
    <i t="blank" r="6">
      <x v="87"/>
    </i>
    <i r="6">
      <x v="133"/>
    </i>
    <i r="7">
      <x v="1"/>
    </i>
    <i t="blank" r="6">
      <x v="133"/>
    </i>
    <i r="4">
      <x v="125"/>
    </i>
    <i r="5">
      <x v="1"/>
    </i>
    <i r="6">
      <x v="184"/>
    </i>
    <i r="7">
      <x v="1"/>
    </i>
    <i t="blank" r="6">
      <x v="184"/>
    </i>
    <i t="default" r="3">
      <x v="129"/>
    </i>
    <i t="blank" r="3">
      <x v="129"/>
    </i>
    <i r="3">
      <x v="158"/>
    </i>
    <i r="4">
      <x v="1"/>
    </i>
    <i r="5">
      <x v="1"/>
    </i>
    <i r="6">
      <x v="91"/>
    </i>
    <i r="7">
      <x v="1"/>
    </i>
    <i t="blank" r="6">
      <x v="91"/>
    </i>
    <i r="4">
      <x v="2"/>
    </i>
    <i r="5">
      <x v="1"/>
    </i>
    <i r="6">
      <x v="51"/>
    </i>
    <i r="7">
      <x v="1"/>
    </i>
    <i t="blank" r="6">
      <x v="51"/>
    </i>
    <i r="4">
      <x v="5"/>
    </i>
    <i r="5">
      <x v="1"/>
    </i>
    <i r="6">
      <x v="89"/>
    </i>
    <i r="7">
      <x v="1"/>
    </i>
    <i t="blank" r="6">
      <x v="89"/>
    </i>
    <i r="6">
      <x v="90"/>
    </i>
    <i r="7">
      <x v="1"/>
    </i>
    <i t="blank" r="6">
      <x v="90"/>
    </i>
    <i r="6">
      <x v="91"/>
    </i>
    <i r="7">
      <x v="1"/>
    </i>
    <i t="blank" r="6">
      <x v="91"/>
    </i>
    <i r="4">
      <x v="15"/>
    </i>
    <i r="5">
      <x v="1"/>
    </i>
    <i r="6">
      <x v="8"/>
    </i>
    <i r="7">
      <x v="1"/>
    </i>
    <i t="blank" r="6">
      <x v="8"/>
    </i>
    <i r="4">
      <x v="44"/>
    </i>
    <i r="5">
      <x v="1"/>
    </i>
    <i r="6">
      <x v="51"/>
    </i>
    <i r="7">
      <x v="1"/>
    </i>
    <i t="blank" r="6">
      <x v="51"/>
    </i>
    <i r="6">
      <x v="86"/>
    </i>
    <i r="7">
      <x v="1"/>
    </i>
    <i t="blank" r="6">
      <x v="86"/>
    </i>
    <i r="4">
      <x v="47"/>
    </i>
    <i r="5">
      <x v="1"/>
    </i>
    <i r="6">
      <x v="8"/>
    </i>
    <i r="7">
      <x v="1"/>
    </i>
    <i t="blank" r="6">
      <x v="8"/>
    </i>
    <i r="6">
      <x v="51"/>
    </i>
    <i r="7">
      <x v="1"/>
    </i>
    <i t="blank" r="6">
      <x v="51"/>
    </i>
    <i r="4">
      <x v="48"/>
    </i>
    <i r="5">
      <x v="1"/>
    </i>
    <i r="6">
      <x v="8"/>
    </i>
    <i r="7">
      <x v="1"/>
    </i>
    <i t="blank" r="6">
      <x v="8"/>
    </i>
    <i r="6">
      <x v="76"/>
    </i>
    <i r="7">
      <x v="1"/>
    </i>
    <i t="blank" r="6">
      <x v="76"/>
    </i>
    <i r="4">
      <x v="49"/>
    </i>
    <i r="5">
      <x v="1"/>
    </i>
    <i r="6">
      <x v="76"/>
    </i>
    <i r="7">
      <x v="1"/>
    </i>
    <i t="blank" r="6">
      <x v="76"/>
    </i>
    <i r="6">
      <x v="87"/>
    </i>
    <i r="7">
      <x v="1"/>
    </i>
    <i t="blank" r="6">
      <x v="87"/>
    </i>
    <i r="4">
      <x v="50"/>
    </i>
    <i r="5">
      <x v="1"/>
    </i>
    <i r="6">
      <x v="53"/>
    </i>
    <i r="7">
      <x v="1"/>
    </i>
    <i t="blank" r="6">
      <x v="53"/>
    </i>
    <i r="6">
      <x v="54"/>
    </i>
    <i r="7">
      <x v="1"/>
    </i>
    <i t="blank" r="6">
      <x v="54"/>
    </i>
    <i r="6">
      <x v="87"/>
    </i>
    <i r="7">
      <x v="1"/>
    </i>
    <i t="blank" r="6">
      <x v="87"/>
    </i>
    <i r="4">
      <x v="51"/>
    </i>
    <i r="5">
      <x v="1"/>
    </i>
    <i r="6">
      <x v="54"/>
    </i>
    <i r="7">
      <x v="1"/>
    </i>
    <i t="blank" r="6">
      <x v="54"/>
    </i>
    <i r="6">
      <x v="88"/>
    </i>
    <i r="7">
      <x v="1"/>
    </i>
    <i t="blank" r="6">
      <x v="88"/>
    </i>
    <i r="4">
      <x v="52"/>
    </i>
    <i r="5">
      <x v="1"/>
    </i>
    <i r="6">
      <x v="88"/>
    </i>
    <i r="7">
      <x v="1"/>
    </i>
    <i t="blank" r="6">
      <x v="88"/>
    </i>
    <i r="6">
      <x v="89"/>
    </i>
    <i r="7">
      <x v="1"/>
    </i>
    <i t="blank" r="6">
      <x v="89"/>
    </i>
    <i r="4">
      <x v="107"/>
    </i>
    <i r="5">
      <x v="1"/>
    </i>
    <i r="6">
      <x v="8"/>
    </i>
    <i r="7">
      <x v="1"/>
    </i>
    <i t="blank" r="6">
      <x v="8"/>
    </i>
    <i r="6">
      <x v="76"/>
    </i>
    <i r="7">
      <x v="1"/>
    </i>
    <i t="blank" r="6">
      <x v="76"/>
    </i>
    <i t="default" r="3">
      <x v="158"/>
    </i>
    <i t="blank" r="3">
      <x v="158"/>
    </i>
    <i t="default" r="2">
      <x v="2"/>
    </i>
    <i t="blank" r="2">
      <x v="2"/>
    </i>
    <i r="2">
      <x v="3"/>
    </i>
    <i r="3">
      <x v="3"/>
    </i>
    <i r="4">
      <x v="78"/>
    </i>
    <i r="5">
      <x v="1"/>
    </i>
    <i r="6">
      <x v="177"/>
    </i>
    <i r="7">
      <x v="1"/>
    </i>
    <i t="blank" r="6">
      <x v="177"/>
    </i>
    <i r="4">
      <x v="90"/>
    </i>
    <i r="5">
      <x v="1"/>
    </i>
    <i r="6">
      <x v="177"/>
    </i>
    <i r="7">
      <x v="1"/>
    </i>
    <i t="blank" r="6">
      <x v="177"/>
    </i>
    <i t="default" r="3">
      <x v="3"/>
    </i>
    <i t="blank" r="3">
      <x v="3"/>
    </i>
    <i r="3">
      <x v="11"/>
    </i>
    <i r="4">
      <x v="109"/>
    </i>
    <i r="5">
      <x v="1"/>
    </i>
    <i r="6">
      <x v="177"/>
    </i>
    <i r="7">
      <x v="1"/>
    </i>
    <i t="blank" r="6">
      <x v="177"/>
    </i>
    <i t="default" r="3">
      <x v="11"/>
    </i>
    <i t="blank" r="3">
      <x v="11"/>
    </i>
    <i r="3">
      <x v="25"/>
    </i>
    <i r="4">
      <x v="90"/>
    </i>
    <i r="5">
      <x v="1"/>
    </i>
    <i r="6">
      <x v="177"/>
    </i>
    <i r="7">
      <x v="1"/>
    </i>
    <i t="blank" r="6">
      <x v="177"/>
    </i>
    <i t="default" r="3">
      <x v="25"/>
    </i>
    <i t="blank" r="3">
      <x v="25"/>
    </i>
    <i r="3">
      <x v="37"/>
    </i>
    <i r="4">
      <x v="23"/>
    </i>
    <i r="5">
      <x v="1"/>
    </i>
    <i r="6">
      <x v="41"/>
    </i>
    <i r="7">
      <x v="1"/>
    </i>
    <i t="blank" r="6">
      <x v="41"/>
    </i>
    <i t="default" r="3">
      <x v="37"/>
    </i>
    <i t="blank" r="3">
      <x v="37"/>
    </i>
    <i r="3">
      <x v="43"/>
    </i>
    <i r="4">
      <x v="78"/>
    </i>
    <i r="5">
      <x v="1"/>
    </i>
    <i r="6">
      <x v="177"/>
    </i>
    <i r="7">
      <x v="1"/>
    </i>
    <i t="blank" r="6">
      <x v="177"/>
    </i>
    <i t="default" r="3">
      <x v="43"/>
    </i>
    <i t="blank" r="3">
      <x v="43"/>
    </i>
    <i r="3">
      <x v="47"/>
    </i>
    <i r="4">
      <x v="109"/>
    </i>
    <i r="5">
      <x v="1"/>
    </i>
    <i r="6">
      <x v="177"/>
    </i>
    <i r="7">
      <x v="1"/>
    </i>
    <i t="blank" r="6">
      <x v="177"/>
    </i>
    <i r="6">
      <x v="217"/>
    </i>
    <i r="7">
      <x v="1"/>
    </i>
    <i t="blank" r="6">
      <x v="217"/>
    </i>
    <i t="default" r="3">
      <x v="47"/>
    </i>
    <i t="blank" r="3">
      <x v="47"/>
    </i>
    <i r="3">
      <x v="122"/>
    </i>
    <i r="4">
      <x v="90"/>
    </i>
    <i r="5">
      <x v="1"/>
    </i>
    <i r="6">
      <x v="46"/>
    </i>
    <i r="7">
      <x v="1"/>
    </i>
    <i t="blank" r="6">
      <x v="46"/>
    </i>
    <i t="default" r="3">
      <x v="122"/>
    </i>
    <i t="blank" r="3">
      <x v="122"/>
    </i>
    <i r="3">
      <x v="133"/>
    </i>
    <i r="4">
      <x v="23"/>
    </i>
    <i r="5">
      <x v="1"/>
    </i>
    <i r="6">
      <x v="41"/>
    </i>
    <i r="7">
      <x v="1"/>
    </i>
    <i t="blank" r="6">
      <x v="41"/>
    </i>
    <i r="4">
      <x v="26"/>
    </i>
    <i r="5">
      <x v="1"/>
    </i>
    <i r="6">
      <x v="41"/>
    </i>
    <i r="7">
      <x v="1"/>
    </i>
    <i t="blank" r="6">
      <x v="41"/>
    </i>
    <i r="4">
      <x v="90"/>
    </i>
    <i r="5">
      <x v="1"/>
    </i>
    <i r="6">
      <x v="41"/>
    </i>
    <i r="7">
      <x v="1"/>
    </i>
    <i t="blank" r="6">
      <x v="41"/>
    </i>
    <i r="6">
      <x v="208"/>
    </i>
    <i r="7">
      <x v="1"/>
    </i>
    <i t="blank" r="6">
      <x v="208"/>
    </i>
    <i t="default" r="3">
      <x v="133"/>
    </i>
    <i t="blank" r="3">
      <x v="133"/>
    </i>
    <i r="3">
      <x v="185"/>
    </i>
    <i r="4">
      <x v="23"/>
    </i>
    <i r="5">
      <x v="1"/>
    </i>
    <i r="6">
      <x v="26"/>
    </i>
    <i r="7">
      <x v="1"/>
    </i>
    <i t="blank" r="6">
      <x v="26"/>
    </i>
    <i r="4">
      <x v="26"/>
    </i>
    <i r="5">
      <x v="1"/>
    </i>
    <i r="6">
      <x v="26"/>
    </i>
    <i r="7">
      <x v="1"/>
    </i>
    <i t="blank" r="6">
      <x v="26"/>
    </i>
    <i t="default" r="3">
      <x v="185"/>
    </i>
    <i t="blank" r="3">
      <x v="185"/>
    </i>
    <i r="3">
      <x v="186"/>
    </i>
    <i r="4">
      <x v="90"/>
    </i>
    <i r="5">
      <x v="1"/>
    </i>
    <i r="6">
      <x v="26"/>
    </i>
    <i r="7">
      <x v="1"/>
    </i>
    <i t="blank" r="6">
      <x v="26"/>
    </i>
    <i r="6">
      <x v="208"/>
    </i>
    <i r="7">
      <x v="1"/>
    </i>
    <i t="blank" r="6">
      <x v="208"/>
    </i>
    <i t="default" r="3">
      <x v="186"/>
    </i>
    <i t="blank" r="3">
      <x v="186"/>
    </i>
    <i t="default" r="2">
      <x v="3"/>
    </i>
    <i t="blank" r="2">
      <x v="3"/>
    </i>
    <i r="2">
      <x v="4"/>
    </i>
    <i r="3">
      <x v="23"/>
    </i>
    <i r="4">
      <x v="1"/>
    </i>
    <i r="5">
      <x v="1"/>
    </i>
    <i r="6">
      <x v="1"/>
    </i>
    <i r="7">
      <x v="1"/>
    </i>
    <i t="blank" r="6">
      <x v="1"/>
    </i>
    <i t="default" r="3">
      <x v="23"/>
    </i>
    <i t="blank" r="3">
      <x v="23"/>
    </i>
    <i t="default" r="2">
      <x v="4"/>
    </i>
    <i t="blank" r="2">
      <x v="4"/>
    </i>
    <i r="2">
      <x v="5"/>
    </i>
    <i r="3">
      <x v="97"/>
    </i>
    <i r="4">
      <x v="4"/>
    </i>
    <i r="5">
      <x v="1"/>
    </i>
    <i r="6">
      <x v="6"/>
    </i>
    <i r="7">
      <x v="1"/>
    </i>
    <i t="blank" r="6">
      <x v="6"/>
    </i>
    <i t="default" r="3">
      <x v="97"/>
    </i>
    <i t="blank" r="3">
      <x v="97"/>
    </i>
    <i t="default" r="2">
      <x v="5"/>
    </i>
    <i t="blank" r="2">
      <x v="5"/>
    </i>
    <i r="2">
      <x v="6"/>
    </i>
    <i r="3">
      <x v="96"/>
    </i>
    <i r="4">
      <x v="106"/>
    </i>
    <i r="5">
      <x v="1"/>
    </i>
    <i r="6">
      <x v="214"/>
    </i>
    <i r="7">
      <x v="1"/>
    </i>
    <i t="blank" r="6">
      <x v="214"/>
    </i>
    <i r="6">
      <x v="215"/>
    </i>
    <i r="7">
      <x v="1"/>
    </i>
    <i t="blank" r="6">
      <x v="215"/>
    </i>
    <i r="6">
      <x v="216"/>
    </i>
    <i r="7">
      <x v="1"/>
    </i>
    <i t="blank" r="6">
      <x v="216"/>
    </i>
    <i t="default" r="3">
      <x v="96"/>
    </i>
    <i t="blank" r="3">
      <x v="96"/>
    </i>
    <i t="default" r="2">
      <x v="6"/>
    </i>
    <i t="blank" r="2">
      <x v="6"/>
    </i>
    <i t="default" r="1">
      <x/>
    </i>
    <i t="blank" r="1">
      <x/>
    </i>
    <i t="default">
      <x v="1"/>
    </i>
    <i t="blank">
      <x v="1"/>
    </i>
    <i>
      <x v="2"/>
    </i>
    <i r="1">
      <x v="1"/>
    </i>
    <i r="2">
      <x/>
    </i>
    <i r="3">
      <x v="46"/>
    </i>
    <i r="4">
      <x v="72"/>
    </i>
    <i r="5">
      <x v="2"/>
    </i>
    <i r="6">
      <x v="176"/>
    </i>
    <i r="7">
      <x v="2"/>
    </i>
    <i t="blank" r="6">
      <x v="176"/>
    </i>
    <i r="4">
      <x v="96"/>
    </i>
    <i r="5">
      <x v="1"/>
    </i>
    <i r="6">
      <x v="176"/>
    </i>
    <i r="7">
      <x v="1"/>
    </i>
    <i t="blank" r="6">
      <x v="176"/>
    </i>
    <i t="default" r="3">
      <x v="46"/>
    </i>
    <i t="blank" r="3">
      <x v="46"/>
    </i>
    <i r="3">
      <x v="49"/>
    </i>
    <i r="4">
      <x v="80"/>
    </i>
    <i r="5">
      <x v="2"/>
    </i>
    <i r="6">
      <x v="176"/>
    </i>
    <i r="7">
      <x v="2"/>
    </i>
    <i t="blank" r="6">
      <x v="176"/>
    </i>
    <i r="6">
      <x v="178"/>
    </i>
    <i r="7">
      <x v="2"/>
    </i>
    <i t="blank" r="6">
      <x v="178"/>
    </i>
    <i t="default" r="3">
      <x v="49"/>
    </i>
    <i t="blank" r="3">
      <x v="49"/>
    </i>
    <i r="3">
      <x v="61"/>
    </i>
    <i r="4">
      <x v="72"/>
    </i>
    <i r="5">
      <x v="2"/>
    </i>
    <i r="6">
      <x v="166"/>
    </i>
    <i r="7">
      <x v="2"/>
    </i>
    <i t="blank" r="6">
      <x v="166"/>
    </i>
    <i r="4">
      <x v="96"/>
    </i>
    <i r="5">
      <x v="1"/>
    </i>
    <i r="6">
      <x v="166"/>
    </i>
    <i r="7">
      <x v="1"/>
    </i>
    <i t="blank" r="6">
      <x v="166"/>
    </i>
    <i t="default" r="3">
      <x v="61"/>
    </i>
    <i t="blank" r="3">
      <x v="61"/>
    </i>
    <i r="3">
      <x v="62"/>
    </i>
    <i r="4">
      <x v="96"/>
    </i>
    <i r="5">
      <x v="1"/>
    </i>
    <i r="6">
      <x v="218"/>
    </i>
    <i r="7">
      <x v="1"/>
    </i>
    <i t="blank" r="6">
      <x v="218"/>
    </i>
    <i t="default" r="3">
      <x v="62"/>
    </i>
    <i t="blank" r="3">
      <x v="62"/>
    </i>
    <i r="3">
      <x v="63"/>
    </i>
    <i r="4">
      <x v="72"/>
    </i>
    <i r="5">
      <x v="2"/>
    </i>
    <i r="6">
      <x v="37"/>
    </i>
    <i r="7">
      <x v="2"/>
    </i>
    <i t="blank" r="6">
      <x v="37"/>
    </i>
    <i r="6">
      <x v="166"/>
    </i>
    <i r="7">
      <x v="2"/>
    </i>
    <i t="blank" r="6">
      <x v="166"/>
    </i>
    <i r="6">
      <x v="168"/>
    </i>
    <i r="7">
      <x v="2"/>
    </i>
    <i t="blank" r="6">
      <x v="168"/>
    </i>
    <i r="6">
      <x v="174"/>
    </i>
    <i r="7">
      <x v="2"/>
    </i>
    <i t="blank" r="6">
      <x v="174"/>
    </i>
    <i r="6">
      <x v="175"/>
    </i>
    <i r="7">
      <x v="2"/>
    </i>
    <i t="blank" r="6">
      <x v="175"/>
    </i>
    <i t="default" r="3">
      <x v="63"/>
    </i>
    <i t="blank" r="3">
      <x v="63"/>
    </i>
    <i r="3">
      <x v="64"/>
    </i>
    <i r="4">
      <x v="96"/>
    </i>
    <i r="5">
      <x v="1"/>
    </i>
    <i r="6">
      <x v="37"/>
    </i>
    <i r="7">
      <x v="1"/>
    </i>
    <i t="blank" r="6">
      <x v="37"/>
    </i>
    <i r="6">
      <x v="171"/>
    </i>
    <i r="7">
      <x v="1"/>
    </i>
    <i t="blank" r="6">
      <x v="171"/>
    </i>
    <i t="default" r="3">
      <x v="64"/>
    </i>
    <i t="blank" r="3">
      <x v="64"/>
    </i>
    <i r="3">
      <x v="65"/>
    </i>
    <i r="4">
      <x v="72"/>
    </i>
    <i r="5">
      <x v="2"/>
    </i>
    <i r="6">
      <x v="166"/>
    </i>
    <i r="7">
      <x v="2"/>
    </i>
    <i t="blank" r="6">
      <x v="166"/>
    </i>
    <i r="4">
      <x v="96"/>
    </i>
    <i r="5">
      <x v="1"/>
    </i>
    <i r="6">
      <x v="166"/>
    </i>
    <i r="7">
      <x v="1"/>
    </i>
    <i t="blank" r="6">
      <x v="166"/>
    </i>
    <i t="default" r="3">
      <x v="65"/>
    </i>
    <i t="blank" r="3">
      <x v="65"/>
    </i>
    <i r="3">
      <x v="66"/>
    </i>
    <i r="4">
      <x v="72"/>
    </i>
    <i r="5">
      <x v="2"/>
    </i>
    <i r="6">
      <x v="165"/>
    </i>
    <i r="7">
      <x v="2"/>
    </i>
    <i t="blank" r="6">
      <x v="165"/>
    </i>
    <i r="4">
      <x v="96"/>
    </i>
    <i r="5">
      <x v="1"/>
    </i>
    <i r="6">
      <x v="165"/>
    </i>
    <i r="7">
      <x v="1"/>
    </i>
    <i t="blank" r="6">
      <x v="165"/>
    </i>
    <i r="6">
      <x v="175"/>
    </i>
    <i r="7">
      <x v="1"/>
    </i>
    <i t="blank" r="6">
      <x v="175"/>
    </i>
    <i t="default" r="3">
      <x v="66"/>
    </i>
    <i t="blank" r="3">
      <x v="66"/>
    </i>
    <i r="3">
      <x v="70"/>
    </i>
    <i r="4">
      <x v="96"/>
    </i>
    <i r="5">
      <x v="1"/>
    </i>
    <i r="6">
      <x v="178"/>
    </i>
    <i r="7">
      <x v="1"/>
    </i>
    <i t="blank" r="6">
      <x v="178"/>
    </i>
    <i t="default" r="3">
      <x v="70"/>
    </i>
    <i t="blank" r="3">
      <x v="70"/>
    </i>
    <i r="3">
      <x v="71"/>
    </i>
    <i r="4">
      <x v="80"/>
    </i>
    <i r="5">
      <x v="2"/>
    </i>
    <i r="6">
      <x v="166"/>
    </i>
    <i r="7">
      <x v="2"/>
    </i>
    <i t="blank" r="6">
      <x v="166"/>
    </i>
    <i t="default" r="3">
      <x v="71"/>
    </i>
    <i t="blank" r="3">
      <x v="71"/>
    </i>
    <i r="3">
      <x v="74"/>
    </i>
    <i r="4">
      <x v="53"/>
    </i>
    <i r="5">
      <x v="2"/>
    </i>
    <i r="6">
      <x v="164"/>
    </i>
    <i r="7">
      <x v="2"/>
    </i>
    <i t="blank" r="6">
      <x v="164"/>
    </i>
    <i r="4">
      <x v="72"/>
    </i>
    <i r="5">
      <x v="2"/>
    </i>
    <i r="6">
      <x v="164"/>
    </i>
    <i r="7">
      <x v="2"/>
    </i>
    <i t="blank" r="6">
      <x v="164"/>
    </i>
    <i t="default" r="3">
      <x v="74"/>
    </i>
    <i t="blank" r="3">
      <x v="74"/>
    </i>
    <i r="3">
      <x v="84"/>
    </i>
    <i r="4">
      <x v="72"/>
    </i>
    <i r="5">
      <x v="2"/>
    </i>
    <i r="6">
      <x v="171"/>
    </i>
    <i r="7">
      <x v="2"/>
    </i>
    <i t="blank" r="6">
      <x v="171"/>
    </i>
    <i t="default" r="3">
      <x v="84"/>
    </i>
    <i t="blank" r="3">
      <x v="84"/>
    </i>
    <i r="3">
      <x v="85"/>
    </i>
    <i r="4">
      <x v="96"/>
    </i>
    <i r="5">
      <x v="1"/>
    </i>
    <i r="6">
      <x v="178"/>
    </i>
    <i r="7">
      <x v="1"/>
    </i>
    <i t="blank" r="6">
      <x v="178"/>
    </i>
    <i r="6">
      <x v="218"/>
    </i>
    <i r="7">
      <x v="1"/>
    </i>
    <i t="blank" r="6">
      <x v="218"/>
    </i>
    <i t="default" r="3">
      <x v="85"/>
    </i>
    <i t="blank" r="3">
      <x v="85"/>
    </i>
    <i r="3">
      <x v="86"/>
    </i>
    <i r="4">
      <x v="96"/>
    </i>
    <i r="5">
      <x v="1"/>
    </i>
    <i r="6">
      <x v="178"/>
    </i>
    <i r="7">
      <x v="1"/>
    </i>
    <i t="blank" r="6">
      <x v="178"/>
    </i>
    <i t="default" r="3">
      <x v="86"/>
    </i>
    <i t="blank" r="3">
      <x v="86"/>
    </i>
    <i r="3">
      <x v="87"/>
    </i>
    <i r="4">
      <x v="53"/>
    </i>
    <i r="5">
      <x v="2"/>
    </i>
    <i r="6">
      <x v="167"/>
    </i>
    <i r="7">
      <x v="2"/>
    </i>
    <i t="blank" r="6">
      <x v="167"/>
    </i>
    <i r="6">
      <x v="168"/>
    </i>
    <i r="7">
      <x v="2"/>
    </i>
    <i t="blank" r="6">
      <x v="168"/>
    </i>
    <i r="6">
      <x v="169"/>
    </i>
    <i r="7">
      <x v="2"/>
    </i>
    <i t="blank" r="6">
      <x v="169"/>
    </i>
    <i r="4">
      <x v="72"/>
    </i>
    <i r="5">
      <x v="2"/>
    </i>
    <i r="6">
      <x v="169"/>
    </i>
    <i r="7">
      <x v="2"/>
    </i>
    <i t="blank" r="6">
      <x v="169"/>
    </i>
    <i r="4">
      <x v="96"/>
    </i>
    <i r="5">
      <x v="1"/>
    </i>
    <i r="6">
      <x v="169"/>
    </i>
    <i r="7">
      <x v="1"/>
    </i>
    <i t="blank" r="6">
      <x v="169"/>
    </i>
    <i t="default" r="3">
      <x v="87"/>
    </i>
    <i t="blank" r="3">
      <x v="87"/>
    </i>
    <i r="3">
      <x v="88"/>
    </i>
    <i r="4">
      <x v="53"/>
    </i>
    <i r="5">
      <x v="2"/>
    </i>
    <i r="6">
      <x v="165"/>
    </i>
    <i r="7">
      <x v="2"/>
    </i>
    <i t="blank" r="6">
      <x v="165"/>
    </i>
    <i t="default" r="3">
      <x v="88"/>
    </i>
    <i t="blank" r="3">
      <x v="88"/>
    </i>
    <i r="3">
      <x v="89"/>
    </i>
    <i r="4">
      <x v="96"/>
    </i>
    <i r="5">
      <x v="1"/>
    </i>
    <i r="6">
      <x v="166"/>
    </i>
    <i r="7">
      <x v="1"/>
    </i>
    <i t="blank" r="6">
      <x v="166"/>
    </i>
    <i t="default" r="3">
      <x v="89"/>
    </i>
    <i t="blank" r="3">
      <x v="89"/>
    </i>
    <i r="3">
      <x v="90"/>
    </i>
    <i r="4">
      <x v="72"/>
    </i>
    <i r="5">
      <x v="2"/>
    </i>
    <i r="6">
      <x v="166"/>
    </i>
    <i r="7">
      <x v="2"/>
    </i>
    <i t="blank" r="6">
      <x v="166"/>
    </i>
    <i r="4">
      <x v="96"/>
    </i>
    <i r="5">
      <x v="1"/>
    </i>
    <i r="6">
      <x v="166"/>
    </i>
    <i r="7">
      <x v="1"/>
    </i>
    <i t="blank" r="6">
      <x v="166"/>
    </i>
    <i t="default" r="3">
      <x v="90"/>
    </i>
    <i t="blank" r="3">
      <x v="90"/>
    </i>
    <i r="3">
      <x v="157"/>
    </i>
    <i r="4">
      <x v="53"/>
    </i>
    <i r="5">
      <x v="2"/>
    </i>
    <i r="6">
      <x v="166"/>
    </i>
    <i r="7">
      <x v="2"/>
    </i>
    <i t="blank" r="6">
      <x v="166"/>
    </i>
    <i r="4">
      <x v="72"/>
    </i>
    <i r="5">
      <x v="2"/>
    </i>
    <i r="6">
      <x v="166"/>
    </i>
    <i r="7">
      <x v="2"/>
    </i>
    <i t="blank" r="6">
      <x v="166"/>
    </i>
    <i r="4">
      <x v="96"/>
    </i>
    <i r="5">
      <x v="1"/>
    </i>
    <i r="6">
      <x v="166"/>
    </i>
    <i r="7">
      <x v="1"/>
    </i>
    <i t="blank" r="6">
      <x v="166"/>
    </i>
    <i t="default" r="3">
      <x v="157"/>
    </i>
    <i t="blank" r="3">
      <x v="157"/>
    </i>
    <i r="3">
      <x v="180"/>
    </i>
    <i r="4">
      <x v="80"/>
    </i>
    <i r="5">
      <x v="2"/>
    </i>
    <i r="6">
      <x v="178"/>
    </i>
    <i r="7">
      <x v="2"/>
    </i>
    <i t="blank" r="6">
      <x v="178"/>
    </i>
    <i t="default" r="3">
      <x v="180"/>
    </i>
    <i t="blank" r="3">
      <x v="180"/>
    </i>
    <i r="3">
      <x v="181"/>
    </i>
    <i r="4">
      <x v="72"/>
    </i>
    <i r="5">
      <x v="2"/>
    </i>
    <i r="6">
      <x v="173"/>
    </i>
    <i r="7">
      <x v="2"/>
    </i>
    <i t="blank" r="6">
      <x v="173"/>
    </i>
    <i r="4">
      <x v="96"/>
    </i>
    <i r="5">
      <x v="1"/>
    </i>
    <i r="6">
      <x v="173"/>
    </i>
    <i r="7">
      <x v="1"/>
    </i>
    <i t="blank" r="6">
      <x v="173"/>
    </i>
    <i t="default" r="3">
      <x v="181"/>
    </i>
    <i t="blank" r="3">
      <x v="181"/>
    </i>
    <i r="3">
      <x v="182"/>
    </i>
    <i r="4">
      <x v="72"/>
    </i>
    <i r="5">
      <x v="2"/>
    </i>
    <i r="6">
      <x v="37"/>
    </i>
    <i r="7">
      <x v="2"/>
    </i>
    <i t="blank" r="6">
      <x v="37"/>
    </i>
    <i r="6">
      <x v="171"/>
    </i>
    <i r="7">
      <x v="2"/>
    </i>
    <i t="blank" r="6">
      <x v="171"/>
    </i>
    <i r="6">
      <x v="172"/>
    </i>
    <i r="7">
      <x v="2"/>
    </i>
    <i t="blank" r="6">
      <x v="172"/>
    </i>
    <i r="4">
      <x v="96"/>
    </i>
    <i r="5">
      <x v="1"/>
    </i>
    <i r="6">
      <x v="172"/>
    </i>
    <i r="7">
      <x v="1"/>
    </i>
    <i t="blank" r="6">
      <x v="172"/>
    </i>
    <i t="default" r="3">
      <x v="182"/>
    </i>
    <i t="blank" r="3">
      <x v="182"/>
    </i>
    <i r="3">
      <x v="184"/>
    </i>
    <i r="4">
      <x v="53"/>
    </i>
    <i r="5">
      <x v="2"/>
    </i>
    <i r="6">
      <x v="166"/>
    </i>
    <i r="7">
      <x v="2"/>
    </i>
    <i t="blank" r="6">
      <x v="166"/>
    </i>
    <i r="4">
      <x v="72"/>
    </i>
    <i r="5">
      <x v="2"/>
    </i>
    <i r="6">
      <x v="166"/>
    </i>
    <i r="7">
      <x v="2"/>
    </i>
    <i t="blank" r="6">
      <x v="166"/>
    </i>
    <i r="4">
      <x v="96"/>
    </i>
    <i r="5">
      <x v="1"/>
    </i>
    <i r="6">
      <x v="166"/>
    </i>
    <i r="7">
      <x v="1"/>
    </i>
    <i t="blank" r="6">
      <x v="166"/>
    </i>
    <i t="default" r="3">
      <x v="184"/>
    </i>
    <i t="blank" r="3">
      <x v="184"/>
    </i>
    <i r="3">
      <x v="188"/>
    </i>
    <i r="4">
      <x v="72"/>
    </i>
    <i r="5">
      <x v="2"/>
    </i>
    <i r="6">
      <x v="170"/>
    </i>
    <i r="7">
      <x v="2"/>
    </i>
    <i t="blank" r="6">
      <x v="170"/>
    </i>
    <i r="4">
      <x v="96"/>
    </i>
    <i r="5">
      <x v="1"/>
    </i>
    <i r="6">
      <x v="170"/>
    </i>
    <i r="7">
      <x v="1"/>
    </i>
    <i t="blank" r="6">
      <x v="170"/>
    </i>
    <i t="default" r="3">
      <x v="188"/>
    </i>
    <i t="blank" r="3">
      <x v="188"/>
    </i>
    <i t="default" r="2">
      <x/>
    </i>
    <i t="blank" r="2">
      <x/>
    </i>
    <i r="2">
      <x v="1"/>
    </i>
    <i r="3">
      <x v="60"/>
    </i>
    <i r="4">
      <x v="77"/>
    </i>
    <i r="5">
      <x v="2"/>
    </i>
    <i r="6">
      <x v="154"/>
    </i>
    <i r="7">
      <x v="2"/>
    </i>
    <i t="blank" r="6">
      <x v="154"/>
    </i>
    <i r="4">
      <x v="104"/>
    </i>
    <i r="5">
      <x v="2"/>
    </i>
    <i r="6">
      <x v="154"/>
    </i>
    <i r="7">
      <x v="2"/>
    </i>
    <i t="blank" r="6">
      <x v="154"/>
    </i>
    <i r="4">
      <x v="110"/>
    </i>
    <i r="5">
      <x v="2"/>
    </i>
    <i r="6">
      <x v="154"/>
    </i>
    <i r="7">
      <x v="2"/>
    </i>
    <i t="blank" r="6">
      <x v="154"/>
    </i>
    <i t="default" r="3">
      <x v="60"/>
    </i>
    <i t="blank" r="3">
      <x v="60"/>
    </i>
    <i r="3">
      <x v="67"/>
    </i>
    <i r="4">
      <x v="71"/>
    </i>
    <i r="5">
      <x v="2"/>
    </i>
    <i r="6">
      <x v="155"/>
    </i>
    <i r="7">
      <x v="2"/>
    </i>
    <i t="blank" r="6">
      <x v="155"/>
    </i>
    <i r="6">
      <x v="156"/>
    </i>
    <i r="7">
      <x v="2"/>
    </i>
    <i t="blank" r="6">
      <x v="156"/>
    </i>
    <i r="6">
      <x v="157"/>
    </i>
    <i r="7">
      <x v="2"/>
    </i>
    <i t="blank" r="6">
      <x v="157"/>
    </i>
    <i r="6">
      <x v="158"/>
    </i>
    <i r="7">
      <x v="2"/>
    </i>
    <i t="blank" r="6">
      <x v="158"/>
    </i>
    <i r="4">
      <x v="104"/>
    </i>
    <i r="5">
      <x v="2"/>
    </i>
    <i r="6">
      <x v="158"/>
    </i>
    <i r="7">
      <x v="2"/>
    </i>
    <i t="blank" r="6">
      <x v="158"/>
    </i>
    <i t="default" r="3">
      <x v="67"/>
    </i>
    <i t="blank" r="3">
      <x v="67"/>
    </i>
    <i r="3">
      <x v="69"/>
    </i>
    <i r="4">
      <x v="71"/>
    </i>
    <i r="5">
      <x v="2"/>
    </i>
    <i r="6">
      <x v="159"/>
    </i>
    <i r="7">
      <x v="2"/>
    </i>
    <i t="blank" r="6">
      <x v="159"/>
    </i>
    <i r="4">
      <x v="104"/>
    </i>
    <i r="5">
      <x v="2"/>
    </i>
    <i r="6">
      <x v="159"/>
    </i>
    <i r="7">
      <x v="2"/>
    </i>
    <i t="blank" r="6">
      <x v="159"/>
    </i>
    <i r="4">
      <x v="110"/>
    </i>
    <i r="5">
      <x v="2"/>
    </i>
    <i r="6">
      <x v="159"/>
    </i>
    <i r="7">
      <x v="2"/>
    </i>
    <i t="blank" r="6">
      <x v="159"/>
    </i>
    <i t="default" r="3">
      <x v="69"/>
    </i>
    <i t="blank" r="3">
      <x v="69"/>
    </i>
    <i r="3">
      <x v="72"/>
    </i>
    <i r="4">
      <x v="104"/>
    </i>
    <i r="5">
      <x v="2"/>
    </i>
    <i r="6">
      <x v="159"/>
    </i>
    <i r="7">
      <x v="2"/>
    </i>
    <i t="blank" r="6">
      <x v="159"/>
    </i>
    <i r="4">
      <x v="110"/>
    </i>
    <i r="5">
      <x v="2"/>
    </i>
    <i r="6">
      <x v="159"/>
    </i>
    <i r="7">
      <x v="2"/>
    </i>
    <i t="blank" r="6">
      <x v="159"/>
    </i>
    <i t="default" r="3">
      <x v="72"/>
    </i>
    <i t="blank" r="3">
      <x v="72"/>
    </i>
    <i r="3">
      <x v="73"/>
    </i>
    <i r="4">
      <x v="104"/>
    </i>
    <i r="5">
      <x v="2"/>
    </i>
    <i r="6">
      <x v="219"/>
    </i>
    <i r="7">
      <x v="2"/>
    </i>
    <i t="blank" r="6">
      <x v="219"/>
    </i>
    <i r="6">
      <x v="220"/>
    </i>
    <i r="7">
      <x v="2"/>
    </i>
    <i t="blank" r="6">
      <x v="220"/>
    </i>
    <i t="default" r="3">
      <x v="73"/>
    </i>
    <i t="blank" r="3">
      <x v="73"/>
    </i>
    <i r="3">
      <x v="75"/>
    </i>
    <i r="4">
      <x v="20"/>
    </i>
    <i r="5">
      <x v="2"/>
    </i>
    <i r="6">
      <x v="160"/>
    </i>
    <i r="7">
      <x v="2"/>
    </i>
    <i t="blank" r="6">
      <x v="160"/>
    </i>
    <i r="4">
      <x v="104"/>
    </i>
    <i r="5">
      <x v="2"/>
    </i>
    <i r="6">
      <x v="158"/>
    </i>
    <i r="7">
      <x v="2"/>
    </i>
    <i t="blank" r="6">
      <x v="158"/>
    </i>
    <i r="6">
      <x v="222"/>
    </i>
    <i r="7">
      <x v="2"/>
    </i>
    <i t="blank" r="6">
      <x v="222"/>
    </i>
    <i r="4">
      <x v="110"/>
    </i>
    <i r="5">
      <x v="2"/>
    </i>
    <i r="6">
      <x v="160"/>
    </i>
    <i r="7">
      <x v="2"/>
    </i>
    <i t="blank" r="6">
      <x v="160"/>
    </i>
    <i r="6">
      <x v="221"/>
    </i>
    <i r="7">
      <x v="2"/>
    </i>
    <i t="blank" r="6">
      <x v="221"/>
    </i>
    <i r="6">
      <x v="222"/>
    </i>
    <i r="7">
      <x v="2"/>
    </i>
    <i t="blank" r="6">
      <x v="222"/>
    </i>
    <i t="default" r="3">
      <x v="75"/>
    </i>
    <i t="blank" r="3">
      <x v="75"/>
    </i>
    <i r="3">
      <x v="77"/>
    </i>
    <i r="4">
      <x v="104"/>
    </i>
    <i r="5">
      <x v="2"/>
    </i>
    <i r="6">
      <x v="12"/>
    </i>
    <i r="7">
      <x v="2"/>
    </i>
    <i t="blank" r="6">
      <x v="12"/>
    </i>
    <i r="4">
      <x v="110"/>
    </i>
    <i r="5">
      <x v="2"/>
    </i>
    <i r="6">
      <x v="12"/>
    </i>
    <i r="7">
      <x v="2"/>
    </i>
    <i t="blank" r="6">
      <x v="12"/>
    </i>
    <i t="default" r="3">
      <x v="77"/>
    </i>
    <i t="blank" r="3">
      <x v="77"/>
    </i>
    <i r="3">
      <x v="78"/>
    </i>
    <i r="4">
      <x v="104"/>
    </i>
    <i r="5">
      <x v="2"/>
    </i>
    <i r="6">
      <x v="223"/>
    </i>
    <i r="7">
      <x v="2"/>
    </i>
    <i t="blank" r="6">
      <x v="223"/>
    </i>
    <i r="4">
      <x v="110"/>
    </i>
    <i r="5">
      <x v="2"/>
    </i>
    <i r="6">
      <x v="223"/>
    </i>
    <i r="7">
      <x v="2"/>
    </i>
    <i t="blank" r="6">
      <x v="223"/>
    </i>
    <i t="default" r="3">
      <x v="78"/>
    </i>
    <i t="blank" r="3">
      <x v="78"/>
    </i>
    <i r="3">
      <x v="79"/>
    </i>
    <i r="4">
      <x v="104"/>
    </i>
    <i r="5">
      <x v="2"/>
    </i>
    <i r="6">
      <x v="222"/>
    </i>
    <i r="7">
      <x v="2"/>
    </i>
    <i t="blank" r="6">
      <x v="222"/>
    </i>
    <i r="6">
      <x v="229"/>
    </i>
    <i r="7">
      <x v="2"/>
    </i>
    <i t="blank" r="6">
      <x v="229"/>
    </i>
    <i r="4">
      <x v="110"/>
    </i>
    <i r="5">
      <x v="2"/>
    </i>
    <i r="6">
      <x v="222"/>
    </i>
    <i r="7">
      <x v="2"/>
    </i>
    <i t="blank" r="6">
      <x v="222"/>
    </i>
    <i t="default" r="3">
      <x v="79"/>
    </i>
    <i t="blank" r="3">
      <x v="79"/>
    </i>
    <i r="3">
      <x v="80"/>
    </i>
    <i r="4">
      <x v="104"/>
    </i>
    <i r="5">
      <x v="2"/>
    </i>
    <i r="6">
      <x v="224"/>
    </i>
    <i r="7">
      <x v="2"/>
    </i>
    <i t="blank" r="6">
      <x v="224"/>
    </i>
    <i r="4">
      <x v="110"/>
    </i>
    <i r="5">
      <x v="2"/>
    </i>
    <i r="6">
      <x v="224"/>
    </i>
    <i r="7">
      <x v="2"/>
    </i>
    <i t="blank" r="6">
      <x v="224"/>
    </i>
    <i t="default" r="3">
      <x v="80"/>
    </i>
    <i t="blank" r="3">
      <x v="80"/>
    </i>
    <i r="3">
      <x v="81"/>
    </i>
    <i r="4">
      <x v="104"/>
    </i>
    <i r="5">
      <x v="2"/>
    </i>
    <i r="6">
      <x v="101"/>
    </i>
    <i r="7">
      <x v="2"/>
    </i>
    <i t="blank" r="6">
      <x v="101"/>
    </i>
    <i r="6">
      <x v="225"/>
    </i>
    <i r="7">
      <x v="2"/>
    </i>
    <i t="blank" r="6">
      <x v="225"/>
    </i>
    <i r="4">
      <x v="110"/>
    </i>
    <i r="5">
      <x v="2"/>
    </i>
    <i r="6">
      <x v="225"/>
    </i>
    <i r="7">
      <x v="2"/>
    </i>
    <i t="blank" r="6">
      <x v="225"/>
    </i>
    <i t="default" r="3">
      <x v="81"/>
    </i>
    <i t="blank" r="3">
      <x v="81"/>
    </i>
    <i r="3">
      <x v="82"/>
    </i>
    <i r="4">
      <x v="104"/>
    </i>
    <i r="5">
      <x v="2"/>
    </i>
    <i r="6">
      <x v="159"/>
    </i>
    <i r="7">
      <x v="2"/>
    </i>
    <i t="blank" r="6">
      <x v="159"/>
    </i>
    <i r="6">
      <x v="226"/>
    </i>
    <i r="7">
      <x v="2"/>
    </i>
    <i t="blank" r="6">
      <x v="226"/>
    </i>
    <i r="4">
      <x v="110"/>
    </i>
    <i r="5">
      <x v="2"/>
    </i>
    <i r="6">
      <x v="159"/>
    </i>
    <i r="7">
      <x v="2"/>
    </i>
    <i t="blank" r="6">
      <x v="159"/>
    </i>
    <i t="default" r="3">
      <x v="82"/>
    </i>
    <i t="blank" r="3">
      <x v="82"/>
    </i>
    <i r="3">
      <x v="147"/>
    </i>
    <i r="4">
      <x v="77"/>
    </i>
    <i r="5">
      <x v="2"/>
    </i>
    <i r="6">
      <x v="94"/>
    </i>
    <i r="7">
      <x v="2"/>
    </i>
    <i t="blank" r="6">
      <x v="94"/>
    </i>
    <i r="4">
      <x v="104"/>
    </i>
    <i r="5">
      <x v="2"/>
    </i>
    <i r="6">
      <x v="223"/>
    </i>
    <i r="7">
      <x v="2"/>
    </i>
    <i t="blank" r="6">
      <x v="223"/>
    </i>
    <i r="4">
      <x v="110"/>
    </i>
    <i r="5">
      <x v="2"/>
    </i>
    <i r="6">
      <x v="94"/>
    </i>
    <i r="7">
      <x v="2"/>
    </i>
    <i t="blank" r="6">
      <x v="94"/>
    </i>
    <i r="6">
      <x v="223"/>
    </i>
    <i r="7">
      <x v="2"/>
    </i>
    <i t="blank" r="6">
      <x v="223"/>
    </i>
    <i t="default" r="3">
      <x v="147"/>
    </i>
    <i t="blank" r="3">
      <x v="147"/>
    </i>
    <i r="3">
      <x v="148"/>
    </i>
    <i r="4">
      <x v="104"/>
    </i>
    <i r="5">
      <x v="2"/>
    </i>
    <i r="6">
      <x v="210"/>
    </i>
    <i r="7">
      <x v="2"/>
    </i>
    <i t="blank" r="6">
      <x v="210"/>
    </i>
    <i r="4">
      <x v="110"/>
    </i>
    <i r="5">
      <x v="2"/>
    </i>
    <i r="6">
      <x v="210"/>
    </i>
    <i r="7">
      <x v="2"/>
    </i>
    <i t="blank" r="6">
      <x v="210"/>
    </i>
    <i t="default" r="3">
      <x v="148"/>
    </i>
    <i t="blank" r="3">
      <x v="148"/>
    </i>
    <i r="3">
      <x v="149"/>
    </i>
    <i r="4">
      <x v="104"/>
    </i>
    <i r="5">
      <x v="2"/>
    </i>
    <i r="6">
      <x v="227"/>
    </i>
    <i r="7">
      <x v="2"/>
    </i>
    <i t="blank" r="6">
      <x v="227"/>
    </i>
    <i r="4">
      <x v="110"/>
    </i>
    <i r="5">
      <x v="2"/>
    </i>
    <i r="6">
      <x v="227"/>
    </i>
    <i r="7">
      <x v="2"/>
    </i>
    <i t="blank" r="6">
      <x v="227"/>
    </i>
    <i t="default" r="3">
      <x v="149"/>
    </i>
    <i t="blank" r="3">
      <x v="149"/>
    </i>
    <i r="3">
      <x v="150"/>
    </i>
    <i r="4">
      <x v="104"/>
    </i>
    <i r="5">
      <x v="2"/>
    </i>
    <i r="6">
      <x v="219"/>
    </i>
    <i r="7">
      <x v="2"/>
    </i>
    <i t="blank" r="6">
      <x v="219"/>
    </i>
    <i r="4">
      <x v="110"/>
    </i>
    <i r="5">
      <x v="2"/>
    </i>
    <i r="6">
      <x v="219"/>
    </i>
    <i r="7">
      <x v="2"/>
    </i>
    <i t="blank" r="6">
      <x v="219"/>
    </i>
    <i t="default" r="3">
      <x v="150"/>
    </i>
    <i t="blank" r="3">
      <x v="150"/>
    </i>
    <i r="3">
      <x v="151"/>
    </i>
    <i r="4">
      <x v="104"/>
    </i>
    <i r="5">
      <x v="2"/>
    </i>
    <i r="6">
      <x v="156"/>
    </i>
    <i r="7">
      <x v="2"/>
    </i>
    <i t="blank" r="6">
      <x v="156"/>
    </i>
    <i r="4">
      <x v="110"/>
    </i>
    <i r="5">
      <x v="2"/>
    </i>
    <i r="6">
      <x v="156"/>
    </i>
    <i r="7">
      <x v="2"/>
    </i>
    <i t="blank" r="6">
      <x v="156"/>
    </i>
    <i t="default" r="3">
      <x v="151"/>
    </i>
    <i t="blank" r="3">
      <x v="151"/>
    </i>
    <i r="3">
      <x v="152"/>
    </i>
    <i r="4">
      <x v="77"/>
    </i>
    <i r="5">
      <x v="2"/>
    </i>
    <i r="6">
      <x v="163"/>
    </i>
    <i r="7">
      <x v="2"/>
    </i>
    <i t="blank" r="6">
      <x v="163"/>
    </i>
    <i r="4">
      <x v="110"/>
    </i>
    <i r="5">
      <x v="2"/>
    </i>
    <i r="6">
      <x v="163"/>
    </i>
    <i r="7">
      <x v="2"/>
    </i>
    <i t="blank" r="6">
      <x v="163"/>
    </i>
    <i r="6">
      <x v="180"/>
    </i>
    <i r="7">
      <x v="2"/>
    </i>
    <i t="blank" r="6">
      <x v="180"/>
    </i>
    <i t="default" r="3">
      <x v="152"/>
    </i>
    <i t="blank" r="3">
      <x v="152"/>
    </i>
    <i r="3">
      <x v="153"/>
    </i>
    <i r="4">
      <x v="71"/>
    </i>
    <i r="5">
      <x v="2"/>
    </i>
    <i r="6">
      <x v="115"/>
    </i>
    <i r="7">
      <x v="2"/>
    </i>
    <i t="blank" r="6">
      <x v="115"/>
    </i>
    <i r="6">
      <x v="161"/>
    </i>
    <i r="7">
      <x v="2"/>
    </i>
    <i t="blank" r="6">
      <x v="161"/>
    </i>
    <i r="6">
      <x v="162"/>
    </i>
    <i r="7">
      <x v="2"/>
    </i>
    <i t="blank" r="6">
      <x v="162"/>
    </i>
    <i r="4">
      <x v="104"/>
    </i>
    <i r="5">
      <x v="2"/>
    </i>
    <i r="6">
      <x v="115"/>
    </i>
    <i r="7">
      <x v="2"/>
    </i>
    <i t="blank" r="6">
      <x v="115"/>
    </i>
    <i t="default" r="3">
      <x v="153"/>
    </i>
    <i t="blank" r="3">
      <x v="153"/>
    </i>
    <i r="3">
      <x v="154"/>
    </i>
    <i r="4">
      <x v="104"/>
    </i>
    <i r="5">
      <x v="2"/>
    </i>
    <i r="6">
      <x v="12"/>
    </i>
    <i r="7">
      <x v="2"/>
    </i>
    <i t="blank" r="6">
      <x v="12"/>
    </i>
    <i t="default" r="3">
      <x v="154"/>
    </i>
    <i t="blank" r="3">
      <x v="154"/>
    </i>
    <i r="3">
      <x v="174"/>
    </i>
    <i r="4">
      <x v="104"/>
    </i>
    <i r="5">
      <x v="2"/>
    </i>
    <i r="6">
      <x v="228"/>
    </i>
    <i r="7">
      <x v="2"/>
    </i>
    <i t="blank" r="6">
      <x v="228"/>
    </i>
    <i r="4">
      <x v="110"/>
    </i>
    <i r="5">
      <x v="2"/>
    </i>
    <i r="6">
      <x v="228"/>
    </i>
    <i r="7">
      <x v="2"/>
    </i>
    <i t="blank" r="6">
      <x v="228"/>
    </i>
    <i t="default" r="3">
      <x v="174"/>
    </i>
    <i t="blank" r="3">
      <x v="174"/>
    </i>
    <i t="default" r="2">
      <x v="1"/>
    </i>
    <i t="blank" r="2">
      <x v="1"/>
    </i>
    <i r="2">
      <x v="2"/>
    </i>
    <i r="3">
      <x v="4"/>
    </i>
    <i r="4">
      <x v="81"/>
    </i>
    <i r="5">
      <x v="1"/>
    </i>
    <i r="6">
      <x v="109"/>
    </i>
    <i r="7">
      <x v="1"/>
    </i>
    <i t="blank" r="6">
      <x v="109"/>
    </i>
    <i r="4">
      <x v="84"/>
    </i>
    <i r="5">
      <x v="1"/>
    </i>
    <i r="6">
      <x v="109"/>
    </i>
    <i r="7">
      <x v="1"/>
    </i>
    <i t="blank" r="6">
      <x v="109"/>
    </i>
    <i t="default" r="3">
      <x v="4"/>
    </i>
    <i t="blank" r="3">
      <x v="4"/>
    </i>
    <i r="3">
      <x v="5"/>
    </i>
    <i r="4">
      <x v="88"/>
    </i>
    <i r="5">
      <x v="1"/>
    </i>
    <i r="6">
      <x v="51"/>
    </i>
    <i r="7">
      <x v="1"/>
    </i>
    <i t="blank" r="6">
      <x v="51"/>
    </i>
    <i r="6">
      <x v="102"/>
    </i>
    <i r="7">
      <x v="1"/>
    </i>
    <i t="blank" r="6">
      <x v="102"/>
    </i>
    <i r="6">
      <x v="230"/>
    </i>
    <i r="7">
      <x v="1"/>
    </i>
    <i t="blank" r="6">
      <x v="230"/>
    </i>
    <i t="default" r="3">
      <x v="5"/>
    </i>
    <i t="blank" r="3">
      <x v="5"/>
    </i>
    <i r="3">
      <x v="12"/>
    </i>
    <i r="4">
      <x v="115"/>
    </i>
    <i r="5">
      <x v="1"/>
    </i>
    <i r="6">
      <x v="102"/>
    </i>
    <i r="7">
      <x v="1"/>
    </i>
    <i t="blank" r="6">
      <x v="102"/>
    </i>
    <i t="default" r="3">
      <x v="12"/>
    </i>
    <i t="blank" r="3">
      <x v="12"/>
    </i>
    <i r="3">
      <x v="18"/>
    </i>
    <i r="4">
      <x v="46"/>
    </i>
    <i r="5">
      <x v="1"/>
    </i>
    <i r="6">
      <x v="6"/>
    </i>
    <i r="7">
      <x v="1"/>
    </i>
    <i t="blank" r="6">
      <x v="6"/>
    </i>
    <i r="6">
      <x v="51"/>
    </i>
    <i r="7">
      <x v="1"/>
    </i>
    <i t="blank" r="6">
      <x v="51"/>
    </i>
    <i r="6">
      <x v="76"/>
    </i>
    <i r="7">
      <x v="1"/>
    </i>
    <i t="blank" r="6">
      <x v="76"/>
    </i>
    <i r="6">
      <x v="102"/>
    </i>
    <i r="7">
      <x v="1"/>
    </i>
    <i t="blank" r="6">
      <x v="102"/>
    </i>
    <i r="6">
      <x v="110"/>
    </i>
    <i r="7">
      <x v="1"/>
    </i>
    <i t="blank" r="6">
      <x v="110"/>
    </i>
    <i r="6">
      <x v="111"/>
    </i>
    <i r="7">
      <x v="1"/>
    </i>
    <i t="blank" r="6">
      <x v="111"/>
    </i>
    <i r="6">
      <x v="112"/>
    </i>
    <i r="7">
      <x v="1"/>
    </i>
    <i t="blank" r="6">
      <x v="112"/>
    </i>
    <i r="6">
      <x v="113"/>
    </i>
    <i r="7">
      <x v="1"/>
    </i>
    <i t="blank" r="6">
      <x v="113"/>
    </i>
    <i r="6">
      <x v="114"/>
    </i>
    <i r="7">
      <x v="1"/>
    </i>
    <i t="blank" r="6">
      <x v="114"/>
    </i>
    <i t="default" r="3">
      <x v="18"/>
    </i>
    <i t="blank" r="3">
      <x v="18"/>
    </i>
    <i r="3">
      <x v="24"/>
    </i>
    <i r="4">
      <x v="80"/>
    </i>
    <i r="5">
      <x v="1"/>
    </i>
    <i r="6">
      <x v="190"/>
    </i>
    <i r="7">
      <x v="1"/>
    </i>
    <i t="blank" r="6">
      <x v="190"/>
    </i>
    <i r="4">
      <x v="85"/>
    </i>
    <i r="5">
      <x v="1"/>
    </i>
    <i r="6">
      <x v="185"/>
    </i>
    <i r="7">
      <x v="1"/>
    </i>
    <i t="blank" r="6">
      <x v="185"/>
    </i>
    <i r="6">
      <x v="186"/>
    </i>
    <i r="7">
      <x v="1"/>
    </i>
    <i t="blank" r="6">
      <x v="186"/>
    </i>
    <i r="6">
      <x v="187"/>
    </i>
    <i r="7">
      <x v="1"/>
    </i>
    <i t="blank" r="6">
      <x v="187"/>
    </i>
    <i r="6">
      <x v="188"/>
    </i>
    <i r="7">
      <x v="1"/>
    </i>
    <i t="blank" r="6">
      <x v="188"/>
    </i>
    <i r="4">
      <x v="86"/>
    </i>
    <i r="5">
      <x v="1"/>
    </i>
    <i r="6">
      <x v="188"/>
    </i>
    <i r="7">
      <x v="1"/>
    </i>
    <i t="blank" r="6">
      <x v="188"/>
    </i>
    <i r="6">
      <x v="189"/>
    </i>
    <i r="7">
      <x v="1"/>
    </i>
    <i t="blank" r="6">
      <x v="189"/>
    </i>
    <i r="4">
      <x v="87"/>
    </i>
    <i r="5">
      <x v="1"/>
    </i>
    <i r="6">
      <x v="189"/>
    </i>
    <i r="7">
      <x v="1"/>
    </i>
    <i t="blank" r="6">
      <x v="189"/>
    </i>
    <i r="4">
      <x v="88"/>
    </i>
    <i r="5">
      <x v="1"/>
    </i>
    <i r="6">
      <x v="189"/>
    </i>
    <i r="7">
      <x v="1"/>
    </i>
    <i t="blank" r="6">
      <x v="189"/>
    </i>
    <i r="6">
      <x v="190"/>
    </i>
    <i r="7">
      <x v="1"/>
    </i>
    <i t="blank" r="6">
      <x v="190"/>
    </i>
    <i t="default" r="3">
      <x v="24"/>
    </i>
    <i t="blank" r="3">
      <x v="24"/>
    </i>
    <i r="3">
      <x v="26"/>
    </i>
    <i r="4">
      <x v="23"/>
    </i>
    <i r="5">
      <x v="1"/>
    </i>
    <i r="6">
      <x v="51"/>
    </i>
    <i r="7">
      <x v="1"/>
    </i>
    <i t="blank" r="6">
      <x v="51"/>
    </i>
    <i r="6">
      <x v="52"/>
    </i>
    <i r="7">
      <x v="1"/>
    </i>
    <i t="blank" r="6">
      <x v="52"/>
    </i>
    <i r="4">
      <x v="57"/>
    </i>
    <i r="5">
      <x v="1"/>
    </i>
    <i r="6">
      <x v="52"/>
    </i>
    <i r="7">
      <x v="1"/>
    </i>
    <i t="blank" r="6">
      <x v="52"/>
    </i>
    <i r="6">
      <x v="97"/>
    </i>
    <i r="7">
      <x v="1"/>
    </i>
    <i t="blank" r="6">
      <x v="97"/>
    </i>
    <i r="6">
      <x v="98"/>
    </i>
    <i r="7">
      <x v="1"/>
    </i>
    <i t="blank" r="6">
      <x v="98"/>
    </i>
    <i r="4">
      <x v="58"/>
    </i>
    <i r="5">
      <x v="1"/>
    </i>
    <i r="6">
      <x v="65"/>
    </i>
    <i r="7">
      <x v="1"/>
    </i>
    <i t="blank" r="6">
      <x v="65"/>
    </i>
    <i r="6">
      <x v="98"/>
    </i>
    <i r="7">
      <x v="1"/>
    </i>
    <i t="blank" r="6">
      <x v="98"/>
    </i>
    <i r="6">
      <x v="99"/>
    </i>
    <i r="7">
      <x v="1"/>
    </i>
    <i t="blank" r="6">
      <x v="99"/>
    </i>
    <i r="6">
      <x v="100"/>
    </i>
    <i r="7">
      <x v="1"/>
    </i>
    <i t="blank" r="6">
      <x v="100"/>
    </i>
    <i t="default" r="3">
      <x v="26"/>
    </i>
    <i t="blank" r="3">
      <x v="26"/>
    </i>
    <i r="3">
      <x v="27"/>
    </i>
    <i r="4">
      <x v="15"/>
    </i>
    <i r="5">
      <x v="1"/>
    </i>
    <i r="6">
      <x v="105"/>
    </i>
    <i r="7">
      <x v="1"/>
    </i>
    <i t="blank" r="6">
      <x v="105"/>
    </i>
    <i r="6">
      <x v="146"/>
    </i>
    <i r="7">
      <x v="1"/>
    </i>
    <i t="blank" r="6">
      <x v="146"/>
    </i>
    <i r="4">
      <x v="47"/>
    </i>
    <i r="5">
      <x v="1"/>
    </i>
    <i r="6">
      <x v="144"/>
    </i>
    <i r="7">
      <x v="1"/>
    </i>
    <i t="blank" r="6">
      <x v="144"/>
    </i>
    <i r="6">
      <x v="145"/>
    </i>
    <i r="7">
      <x v="1"/>
    </i>
    <i t="blank" r="6">
      <x v="145"/>
    </i>
    <i r="6">
      <x v="146"/>
    </i>
    <i r="7">
      <x v="1"/>
    </i>
    <i t="blank" r="6">
      <x v="146"/>
    </i>
    <i r="4">
      <x v="60"/>
    </i>
    <i r="5">
      <x v="1"/>
    </i>
    <i r="6">
      <x v="56"/>
    </i>
    <i r="7">
      <x v="1"/>
    </i>
    <i t="blank" r="6">
      <x v="56"/>
    </i>
    <i r="6">
      <x v="105"/>
    </i>
    <i r="7">
      <x v="1"/>
    </i>
    <i t="blank" r="6">
      <x v="105"/>
    </i>
    <i t="default" r="3">
      <x v="27"/>
    </i>
    <i t="blank" r="3">
      <x v="27"/>
    </i>
    <i r="3">
      <x v="28"/>
    </i>
    <i r="4">
      <x v="79"/>
    </i>
    <i r="5">
      <x v="1"/>
    </i>
    <i r="6">
      <x v="52"/>
    </i>
    <i r="7">
      <x v="1"/>
    </i>
    <i t="blank" r="6">
      <x v="52"/>
    </i>
    <i r="6">
      <x v="63"/>
    </i>
    <i r="7">
      <x v="1"/>
    </i>
    <i t="blank" r="6">
      <x v="63"/>
    </i>
    <i r="6">
      <x v="80"/>
    </i>
    <i r="7">
      <x v="1"/>
    </i>
    <i t="blank" r="6">
      <x v="80"/>
    </i>
    <i r="6">
      <x v="182"/>
    </i>
    <i r="7">
      <x v="1"/>
    </i>
    <i t="blank" r="6">
      <x v="182"/>
    </i>
    <i r="4">
      <x v="84"/>
    </i>
    <i r="5">
      <x v="1"/>
    </i>
    <i r="6">
      <x v="63"/>
    </i>
    <i r="7">
      <x v="1"/>
    </i>
    <i t="blank" r="6">
      <x v="63"/>
    </i>
    <i t="default" r="3">
      <x v="28"/>
    </i>
    <i t="blank" r="3">
      <x v="28"/>
    </i>
    <i r="3">
      <x v="34"/>
    </i>
    <i r="4">
      <x v="62"/>
    </i>
    <i r="5">
      <x v="1"/>
    </i>
    <i r="6">
      <x v="109"/>
    </i>
    <i r="7">
      <x v="1"/>
    </i>
    <i t="blank" r="6">
      <x v="109"/>
    </i>
    <i r="6">
      <x v="115"/>
    </i>
    <i r="7">
      <x v="1"/>
    </i>
    <i t="blank" r="6">
      <x v="115"/>
    </i>
    <i r="4">
      <x v="63"/>
    </i>
    <i r="5">
      <x v="1"/>
    </i>
    <i r="6">
      <x v="52"/>
    </i>
    <i r="7">
      <x v="1"/>
    </i>
    <i t="blank" r="6">
      <x v="52"/>
    </i>
    <i r="6">
      <x v="85"/>
    </i>
    <i r="7">
      <x v="1"/>
    </i>
    <i t="blank" r="6">
      <x v="85"/>
    </i>
    <i r="6">
      <x v="109"/>
    </i>
    <i r="7">
      <x v="1"/>
    </i>
    <i t="blank" r="6">
      <x v="109"/>
    </i>
    <i r="6">
      <x v="116"/>
    </i>
    <i r="7">
      <x v="1"/>
    </i>
    <i t="blank" r="6">
      <x v="116"/>
    </i>
    <i r="6">
      <x v="117"/>
    </i>
    <i r="7">
      <x v="1"/>
    </i>
    <i t="blank" r="6">
      <x v="117"/>
    </i>
    <i t="default" r="3">
      <x v="34"/>
    </i>
    <i t="blank" r="3">
      <x v="34"/>
    </i>
    <i r="3">
      <x v="39"/>
    </i>
    <i r="4">
      <x v="112"/>
    </i>
    <i r="5">
      <x v="1"/>
    </i>
    <i r="6">
      <x v="262"/>
    </i>
    <i r="7">
      <x v="1"/>
    </i>
    <i t="blank" r="6">
      <x v="262"/>
    </i>
    <i t="default" r="3">
      <x v="39"/>
    </i>
    <i t="blank" r="3">
      <x v="39"/>
    </i>
    <i r="3">
      <x v="40"/>
    </i>
    <i r="4">
      <x v="33"/>
    </i>
    <i r="5">
      <x v="1"/>
    </i>
    <i r="6">
      <x v="71"/>
    </i>
    <i r="7">
      <x v="1"/>
    </i>
    <i t="blank" r="6">
      <x v="71"/>
    </i>
    <i r="6">
      <x v="72"/>
    </i>
    <i r="7">
      <x v="1"/>
    </i>
    <i t="blank" r="6">
      <x v="72"/>
    </i>
    <i r="4">
      <x v="37"/>
    </i>
    <i r="5">
      <x v="1"/>
    </i>
    <i r="6">
      <x v="70"/>
    </i>
    <i r="7">
      <x v="1"/>
    </i>
    <i t="blank" r="6">
      <x v="70"/>
    </i>
    <i r="4">
      <x v="38"/>
    </i>
    <i r="5">
      <x v="1"/>
    </i>
    <i r="6">
      <x v="70"/>
    </i>
    <i r="7">
      <x v="1"/>
    </i>
    <i t="blank" r="6">
      <x v="70"/>
    </i>
    <i r="6">
      <x v="71"/>
    </i>
    <i r="7">
      <x v="1"/>
    </i>
    <i t="blank" r="6">
      <x v="71"/>
    </i>
    <i r="4">
      <x v="39"/>
    </i>
    <i r="5">
      <x v="1"/>
    </i>
    <i r="6">
      <x v="72"/>
    </i>
    <i r="7">
      <x v="1"/>
    </i>
    <i t="blank" r="6">
      <x v="72"/>
    </i>
    <i r="6">
      <x v="73"/>
    </i>
    <i r="7">
      <x v="1"/>
    </i>
    <i t="blank" r="6">
      <x v="73"/>
    </i>
    <i r="4">
      <x v="40"/>
    </i>
    <i r="5">
      <x v="1"/>
    </i>
    <i r="6">
      <x v="73"/>
    </i>
    <i r="7">
      <x v="1"/>
    </i>
    <i t="blank" r="6">
      <x v="73"/>
    </i>
    <i r="6">
      <x v="74"/>
    </i>
    <i r="7">
      <x v="1"/>
    </i>
    <i t="blank" r="6">
      <x v="74"/>
    </i>
    <i r="4">
      <x v="83"/>
    </i>
    <i r="5">
      <x v="1"/>
    </i>
    <i r="6">
      <x v="74"/>
    </i>
    <i r="7">
      <x v="1"/>
    </i>
    <i t="blank" r="6">
      <x v="74"/>
    </i>
    <i t="default" r="3">
      <x v="40"/>
    </i>
    <i t="blank" r="3">
      <x v="40"/>
    </i>
    <i r="3">
      <x v="44"/>
    </i>
    <i r="4">
      <x v="42"/>
    </i>
    <i r="5">
      <x v="1"/>
    </i>
    <i r="6">
      <x v="51"/>
    </i>
    <i r="7">
      <x v="1"/>
    </i>
    <i t="blank" r="6">
      <x v="51"/>
    </i>
    <i r="6">
      <x v="79"/>
    </i>
    <i r="7">
      <x v="1"/>
    </i>
    <i t="blank" r="6">
      <x v="79"/>
    </i>
    <i r="6">
      <x v="80"/>
    </i>
    <i r="7">
      <x v="1"/>
    </i>
    <i t="blank" r="6">
      <x v="80"/>
    </i>
    <i r="4">
      <x v="113"/>
    </i>
    <i r="5">
      <x v="1"/>
    </i>
    <i r="6">
      <x v="51"/>
    </i>
    <i r="7">
      <x v="1"/>
    </i>
    <i t="blank" r="6">
      <x v="51"/>
    </i>
    <i r="6">
      <x v="52"/>
    </i>
    <i r="7">
      <x v="1"/>
    </i>
    <i t="blank" r="6">
      <x v="52"/>
    </i>
    <i r="6">
      <x v="80"/>
    </i>
    <i r="7">
      <x v="1"/>
    </i>
    <i t="blank" r="6">
      <x v="80"/>
    </i>
    <i r="6">
      <x v="134"/>
    </i>
    <i r="7">
      <x v="1"/>
    </i>
    <i t="blank" r="6">
      <x v="134"/>
    </i>
    <i t="default" r="3">
      <x v="44"/>
    </i>
    <i t="blank" r="3">
      <x v="44"/>
    </i>
    <i r="3">
      <x v="52"/>
    </i>
    <i r="4">
      <x v="34"/>
    </i>
    <i r="5">
      <x v="1"/>
    </i>
    <i r="6">
      <x v="81"/>
    </i>
    <i r="7">
      <x v="1"/>
    </i>
    <i t="blank" r="6">
      <x v="81"/>
    </i>
    <i t="default" r="3">
      <x v="52"/>
    </i>
    <i t="blank" r="3">
      <x v="52"/>
    </i>
    <i r="3">
      <x v="53"/>
    </i>
    <i r="4">
      <x v="95"/>
    </i>
    <i r="5">
      <x v="1"/>
    </i>
    <i r="6">
      <x v="81"/>
    </i>
    <i r="7">
      <x v="1"/>
    </i>
    <i t="blank" r="6">
      <x v="81"/>
    </i>
    <i r="6">
      <x v="101"/>
    </i>
    <i r="7">
      <x v="1"/>
    </i>
    <i t="blank" r="6">
      <x v="101"/>
    </i>
    <i t="default" r="3">
      <x v="53"/>
    </i>
    <i t="blank" r="3">
      <x v="53"/>
    </i>
    <i r="3">
      <x v="55"/>
    </i>
    <i r="4">
      <x v="123"/>
    </i>
    <i r="5">
      <x v="1"/>
    </i>
    <i r="6">
      <x v="254"/>
    </i>
    <i r="7">
      <x v="1"/>
    </i>
    <i t="blank" r="6">
      <x v="254"/>
    </i>
    <i r="6">
      <x v="255"/>
    </i>
    <i r="7">
      <x v="1"/>
    </i>
    <i t="blank" r="6">
      <x v="255"/>
    </i>
    <i r="6">
      <x v="256"/>
    </i>
    <i r="7">
      <x v="1"/>
    </i>
    <i t="blank" r="6">
      <x v="256"/>
    </i>
    <i t="default" r="3">
      <x v="55"/>
    </i>
    <i t="blank" r="3">
      <x v="55"/>
    </i>
    <i r="3">
      <x v="56"/>
    </i>
    <i r="4">
      <x v="80"/>
    </i>
    <i r="5">
      <x v="1"/>
    </i>
    <i r="6">
      <x v="117"/>
    </i>
    <i r="7">
      <x v="1"/>
    </i>
    <i t="blank" r="6">
      <x v="117"/>
    </i>
    <i r="4">
      <x v="85"/>
    </i>
    <i r="5">
      <x v="1"/>
    </i>
    <i r="6">
      <x v="85"/>
    </i>
    <i r="7">
      <x v="1"/>
    </i>
    <i t="blank" r="6">
      <x v="85"/>
    </i>
    <i r="6">
      <x v="191"/>
    </i>
    <i r="7">
      <x v="1"/>
    </i>
    <i t="blank" r="6">
      <x v="191"/>
    </i>
    <i r="4">
      <x v="88"/>
    </i>
    <i r="5">
      <x v="1"/>
    </i>
    <i r="6">
      <x v="85"/>
    </i>
    <i r="7">
      <x v="1"/>
    </i>
    <i t="blank" r="6">
      <x v="85"/>
    </i>
    <i r="6">
      <x v="117"/>
    </i>
    <i r="7">
      <x v="1"/>
    </i>
    <i t="blank" r="6">
      <x v="117"/>
    </i>
    <i t="default" r="3">
      <x v="56"/>
    </i>
    <i t="blank" r="3">
      <x v="56"/>
    </i>
    <i r="3">
      <x v="92"/>
    </i>
    <i r="4">
      <x v="13"/>
    </i>
    <i r="5">
      <x v="1"/>
    </i>
    <i r="6">
      <x v="130"/>
    </i>
    <i r="7">
      <x v="1"/>
    </i>
    <i t="blank" r="6">
      <x v="130"/>
    </i>
    <i r="6">
      <x v="131"/>
    </i>
    <i r="7">
      <x v="1"/>
    </i>
    <i t="blank" r="6">
      <x v="131"/>
    </i>
    <i r="4">
      <x v="59"/>
    </i>
    <i r="5">
      <x v="1"/>
    </i>
    <i r="6">
      <x v="56"/>
    </i>
    <i r="7">
      <x v="1"/>
    </i>
    <i t="blank" r="6">
      <x v="56"/>
    </i>
    <i r="6">
      <x v="131"/>
    </i>
    <i r="7">
      <x v="1"/>
    </i>
    <i t="blank" r="6">
      <x v="131"/>
    </i>
    <i r="6">
      <x v="132"/>
    </i>
    <i r="7">
      <x v="1"/>
    </i>
    <i t="blank" r="6">
      <x v="132"/>
    </i>
    <i r="6">
      <x v="133"/>
    </i>
    <i r="7">
      <x v="1"/>
    </i>
    <i t="blank" r="6">
      <x v="133"/>
    </i>
    <i r="6">
      <x v="134"/>
    </i>
    <i r="7">
      <x v="1"/>
    </i>
    <i t="blank" r="6">
      <x v="134"/>
    </i>
    <i r="6">
      <x v="135"/>
    </i>
    <i r="7">
      <x v="1"/>
    </i>
    <i t="blank" r="6">
      <x v="135"/>
    </i>
    <i r="4">
      <x v="66"/>
    </i>
    <i r="5">
      <x v="1"/>
    </i>
    <i r="6">
      <x v="129"/>
    </i>
    <i r="7">
      <x v="1"/>
    </i>
    <i t="blank" r="6">
      <x v="129"/>
    </i>
    <i r="6">
      <x v="130"/>
    </i>
    <i r="7">
      <x v="1"/>
    </i>
    <i t="blank" r="6">
      <x v="130"/>
    </i>
    <i t="default" r="3">
      <x v="92"/>
    </i>
    <i t="blank" r="3">
      <x v="92"/>
    </i>
    <i r="3">
      <x v="105"/>
    </i>
    <i r="4">
      <x v="40"/>
    </i>
    <i r="5">
      <x v="1"/>
    </i>
    <i r="6">
      <x v="81"/>
    </i>
    <i r="7">
      <x v="1"/>
    </i>
    <i t="blank" r="6">
      <x v="81"/>
    </i>
    <i r="6">
      <x v="121"/>
    </i>
    <i r="7">
      <x v="1"/>
    </i>
    <i t="blank" r="6">
      <x v="121"/>
    </i>
    <i r="4">
      <x v="67"/>
    </i>
    <i r="5">
      <x v="1"/>
    </i>
    <i r="6">
      <x v="40"/>
    </i>
    <i r="7">
      <x v="1"/>
    </i>
    <i t="blank" r="6">
      <x v="40"/>
    </i>
    <i r="6">
      <x v="120"/>
    </i>
    <i r="7">
      <x v="1"/>
    </i>
    <i t="blank" r="6">
      <x v="120"/>
    </i>
    <i r="6">
      <x v="121"/>
    </i>
    <i r="7">
      <x v="1"/>
    </i>
    <i t="blank" r="6">
      <x v="121"/>
    </i>
    <i r="4">
      <x v="68"/>
    </i>
    <i r="5">
      <x v="1"/>
    </i>
    <i r="6">
      <x v="5"/>
    </i>
    <i r="7">
      <x v="1"/>
    </i>
    <i t="blank" r="6">
      <x v="5"/>
    </i>
    <i r="6">
      <x v="40"/>
    </i>
    <i r="7">
      <x v="1"/>
    </i>
    <i t="blank" r="6">
      <x v="40"/>
    </i>
    <i r="6">
      <x v="52"/>
    </i>
    <i r="7">
      <x v="1"/>
    </i>
    <i t="blank" r="6">
      <x v="52"/>
    </i>
    <i r="4">
      <x v="69"/>
    </i>
    <i r="5">
      <x v="1"/>
    </i>
    <i r="6">
      <x v="5"/>
    </i>
    <i r="7">
      <x v="1"/>
    </i>
    <i t="blank" r="6">
      <x v="5"/>
    </i>
    <i r="6">
      <x v="122"/>
    </i>
    <i r="7">
      <x v="1"/>
    </i>
    <i t="blank" r="6">
      <x v="122"/>
    </i>
    <i r="4">
      <x v="70"/>
    </i>
    <i r="5">
      <x v="1"/>
    </i>
    <i r="6">
      <x v="53"/>
    </i>
    <i r="7">
      <x v="1"/>
    </i>
    <i t="blank" r="6">
      <x v="53"/>
    </i>
    <i r="6">
      <x v="54"/>
    </i>
    <i r="7">
      <x v="1"/>
    </i>
    <i t="blank" r="6">
      <x v="54"/>
    </i>
    <i r="6">
      <x v="63"/>
    </i>
    <i r="7">
      <x v="1"/>
    </i>
    <i t="blank" r="6">
      <x v="63"/>
    </i>
    <i r="6">
      <x v="73"/>
    </i>
    <i r="7">
      <x v="1"/>
    </i>
    <i t="blank" r="6">
      <x v="73"/>
    </i>
    <i r="6">
      <x v="122"/>
    </i>
    <i r="7">
      <x v="1"/>
    </i>
    <i t="blank" r="6">
      <x v="122"/>
    </i>
    <i r="6">
      <x v="123"/>
    </i>
    <i r="7">
      <x v="1"/>
    </i>
    <i t="blank" r="6">
      <x v="123"/>
    </i>
    <i t="default" r="3">
      <x v="105"/>
    </i>
    <i t="blank" r="3">
      <x v="105"/>
    </i>
    <i r="3">
      <x v="106"/>
    </i>
    <i r="4">
      <x v="18"/>
    </i>
    <i r="5">
      <x v="1"/>
    </i>
    <i r="6">
      <x v="143"/>
    </i>
    <i r="7">
      <x v="1"/>
    </i>
    <i t="blank" r="6">
      <x v="143"/>
    </i>
    <i r="4">
      <x v="45"/>
    </i>
    <i r="5">
      <x v="1"/>
    </i>
    <i r="6">
      <x v="143"/>
    </i>
    <i r="7">
      <x v="1"/>
    </i>
    <i t="blank" r="6">
      <x v="143"/>
    </i>
    <i t="default" r="3">
      <x v="106"/>
    </i>
    <i t="blank" r="3">
      <x v="106"/>
    </i>
    <i r="3">
      <x v="107"/>
    </i>
    <i r="4">
      <x v="113"/>
    </i>
    <i r="5">
      <x v="1"/>
    </i>
    <i r="6">
      <x v="260"/>
    </i>
    <i r="7">
      <x v="1"/>
    </i>
    <i t="blank" r="6">
      <x v="260"/>
    </i>
    <i r="6">
      <x v="261"/>
    </i>
    <i r="7">
      <x v="1"/>
    </i>
    <i t="blank" r="6">
      <x v="261"/>
    </i>
    <i r="4">
      <x v="124"/>
    </i>
    <i r="5">
      <x v="1"/>
    </i>
    <i r="6">
      <x v="259"/>
    </i>
    <i r="7">
      <x v="1"/>
    </i>
    <i t="blank" r="6">
      <x v="259"/>
    </i>
    <i r="6">
      <x v="260"/>
    </i>
    <i r="7">
      <x v="1"/>
    </i>
    <i t="blank" r="6">
      <x v="260"/>
    </i>
    <i t="default" r="3">
      <x v="107"/>
    </i>
    <i t="blank" r="3">
      <x v="107"/>
    </i>
    <i r="3">
      <x v="108"/>
    </i>
    <i r="4">
      <x v="60"/>
    </i>
    <i r="5">
      <x v="1"/>
    </i>
    <i r="6">
      <x v="81"/>
    </i>
    <i r="7">
      <x v="1"/>
    </i>
    <i t="blank" r="6">
      <x v="81"/>
    </i>
    <i r="6">
      <x v="103"/>
    </i>
    <i r="7">
      <x v="1"/>
    </i>
    <i t="blank" r="6">
      <x v="103"/>
    </i>
    <i r="4">
      <x v="61"/>
    </i>
    <i r="5">
      <x v="1"/>
    </i>
    <i r="6">
      <x v="102"/>
    </i>
    <i r="7">
      <x v="1"/>
    </i>
    <i t="blank" r="6">
      <x v="102"/>
    </i>
    <i r="6">
      <x v="103"/>
    </i>
    <i r="7">
      <x v="1"/>
    </i>
    <i t="blank" r="6">
      <x v="103"/>
    </i>
    <i r="4">
      <x v="82"/>
    </i>
    <i r="5">
      <x v="1"/>
    </i>
    <i r="6">
      <x v="102"/>
    </i>
    <i r="7">
      <x v="1"/>
    </i>
    <i t="blank" r="6">
      <x v="102"/>
    </i>
    <i r="4">
      <x v="112"/>
    </i>
    <i r="5">
      <x v="1"/>
    </i>
    <i r="6">
      <x v="76"/>
    </i>
    <i r="7">
      <x v="1"/>
    </i>
    <i t="blank" r="6">
      <x v="76"/>
    </i>
    <i r="6">
      <x v="135"/>
    </i>
    <i r="7">
      <x v="1"/>
    </i>
    <i t="blank" r="6">
      <x v="135"/>
    </i>
    <i r="4">
      <x v="122"/>
    </i>
    <i r="5">
      <x v="1"/>
    </i>
    <i r="6">
      <x v="76"/>
    </i>
    <i r="7">
      <x v="1"/>
    </i>
    <i t="blank" r="6">
      <x v="76"/>
    </i>
    <i r="6">
      <x v="102"/>
    </i>
    <i r="7">
      <x v="1"/>
    </i>
    <i t="blank" r="6">
      <x v="102"/>
    </i>
    <i r="6">
      <x v="109"/>
    </i>
    <i r="7">
      <x v="1"/>
    </i>
    <i t="blank" r="6">
      <x v="109"/>
    </i>
    <i t="default" r="3">
      <x v="108"/>
    </i>
    <i t="blank" r="3">
      <x v="108"/>
    </i>
    <i r="3">
      <x v="112"/>
    </i>
    <i r="4">
      <x v="35"/>
    </i>
    <i r="5">
      <x v="1"/>
    </i>
    <i r="6">
      <x v="39"/>
    </i>
    <i r="7">
      <x v="1"/>
    </i>
    <i t="blank" r="6">
      <x v="39"/>
    </i>
    <i r="6">
      <x v="52"/>
    </i>
    <i r="7">
      <x v="1"/>
    </i>
    <i t="blank" r="6">
      <x v="52"/>
    </i>
    <i r="6">
      <x v="66"/>
    </i>
    <i r="7">
      <x v="1"/>
    </i>
    <i t="blank" r="6">
      <x v="66"/>
    </i>
    <i r="6">
      <x v="67"/>
    </i>
    <i r="7">
      <x v="1"/>
    </i>
    <i t="blank" r="6">
      <x v="67"/>
    </i>
    <i r="6">
      <x v="68"/>
    </i>
    <i r="7">
      <x v="1"/>
    </i>
    <i t="blank" r="6">
      <x v="68"/>
    </i>
    <i r="4">
      <x v="36"/>
    </i>
    <i r="5">
      <x v="1"/>
    </i>
    <i r="6">
      <x v="52"/>
    </i>
    <i r="7">
      <x v="1"/>
    </i>
    <i t="blank" r="6">
      <x v="52"/>
    </i>
    <i r="6">
      <x v="69"/>
    </i>
    <i r="7">
      <x v="1"/>
    </i>
    <i t="blank" r="6">
      <x v="69"/>
    </i>
    <i r="4">
      <x v="112"/>
    </i>
    <i r="5">
      <x v="1"/>
    </i>
    <i r="6">
      <x v="232"/>
    </i>
    <i r="7">
      <x v="1"/>
    </i>
    <i t="blank" r="6">
      <x v="232"/>
    </i>
    <i r="6">
      <x v="233"/>
    </i>
    <i r="7">
      <x v="1"/>
    </i>
    <i t="blank" r="6">
      <x v="233"/>
    </i>
    <i r="6">
      <x v="234"/>
    </i>
    <i r="7">
      <x v="1"/>
    </i>
    <i t="blank" r="6">
      <x v="234"/>
    </i>
    <i r="6">
      <x v="235"/>
    </i>
    <i r="7">
      <x v="1"/>
    </i>
    <i t="blank" r="6">
      <x v="235"/>
    </i>
    <i t="default" r="3">
      <x v="112"/>
    </i>
    <i t="blank" r="3">
      <x v="112"/>
    </i>
    <i r="3">
      <x v="118"/>
    </i>
    <i r="4">
      <x v="13"/>
    </i>
    <i r="5">
      <x v="1"/>
    </i>
    <i r="6">
      <x v="60"/>
    </i>
    <i r="7">
      <x v="1"/>
    </i>
    <i t="blank" r="6">
      <x v="60"/>
    </i>
    <i r="6">
      <x v="62"/>
    </i>
    <i r="7">
      <x v="1"/>
    </i>
    <i t="blank" r="6">
      <x v="62"/>
    </i>
    <i r="6">
      <x v="111"/>
    </i>
    <i r="7">
      <x v="1"/>
    </i>
    <i t="blank" r="6">
      <x v="111"/>
    </i>
    <i r="4">
      <x v="59"/>
    </i>
    <i r="5">
      <x v="1"/>
    </i>
    <i r="6">
      <x v="60"/>
    </i>
    <i r="7">
      <x v="1"/>
    </i>
    <i t="blank" r="6">
      <x v="60"/>
    </i>
    <i r="6">
      <x v="62"/>
    </i>
    <i r="7">
      <x v="1"/>
    </i>
    <i t="blank" r="6">
      <x v="62"/>
    </i>
    <i r="6">
      <x v="105"/>
    </i>
    <i r="7">
      <x v="1"/>
    </i>
    <i t="blank" r="6">
      <x v="105"/>
    </i>
    <i r="6">
      <x v="125"/>
    </i>
    <i r="7">
      <x v="1"/>
    </i>
    <i t="blank" r="6">
      <x v="125"/>
    </i>
    <i r="4">
      <x v="66"/>
    </i>
    <i r="5">
      <x v="1"/>
    </i>
    <i r="6">
      <x v="111"/>
    </i>
    <i r="7">
      <x v="1"/>
    </i>
    <i t="blank" r="6">
      <x v="111"/>
    </i>
    <i r="6">
      <x v="116"/>
    </i>
    <i r="7">
      <x v="1"/>
    </i>
    <i t="blank" r="6">
      <x v="116"/>
    </i>
    <i r="4">
      <x v="72"/>
    </i>
    <i r="5">
      <x v="1"/>
    </i>
    <i r="6">
      <x v="105"/>
    </i>
    <i r="7">
      <x v="1"/>
    </i>
    <i t="blank" r="6">
      <x v="105"/>
    </i>
    <i r="6">
      <x v="126"/>
    </i>
    <i r="7">
      <x v="1"/>
    </i>
    <i t="blank" r="6">
      <x v="126"/>
    </i>
    <i r="4">
      <x v="73"/>
    </i>
    <i r="5">
      <x v="1"/>
    </i>
    <i r="6">
      <x v="126"/>
    </i>
    <i r="7">
      <x v="1"/>
    </i>
    <i t="blank" r="6">
      <x v="126"/>
    </i>
    <i r="6">
      <x v="127"/>
    </i>
    <i r="7">
      <x v="1"/>
    </i>
    <i t="blank" r="6">
      <x v="127"/>
    </i>
    <i r="6">
      <x v="128"/>
    </i>
    <i r="7">
      <x v="1"/>
    </i>
    <i t="blank" r="6">
      <x v="128"/>
    </i>
    <i r="4">
      <x v="74"/>
    </i>
    <i r="5">
      <x v="1"/>
    </i>
    <i r="6">
      <x v="128"/>
    </i>
    <i r="7">
      <x v="1"/>
    </i>
    <i t="blank" r="6">
      <x v="128"/>
    </i>
    <i t="default" r="3">
      <x v="118"/>
    </i>
    <i t="blank" r="3">
      <x v="118"/>
    </i>
    <i r="3">
      <x v="119"/>
    </i>
    <i r="4">
      <x v="70"/>
    </i>
    <i r="5">
      <x v="1"/>
    </i>
    <i r="6">
      <x v="152"/>
    </i>
    <i r="7">
      <x v="1"/>
    </i>
    <i t="blank" r="6">
      <x v="152"/>
    </i>
    <i r="6">
      <x v="153"/>
    </i>
    <i r="7">
      <x v="1"/>
    </i>
    <i t="blank" r="6">
      <x v="153"/>
    </i>
    <i t="default" r="3">
      <x v="119"/>
    </i>
    <i t="blank" r="3">
      <x v="119"/>
    </i>
    <i r="3">
      <x v="120"/>
    </i>
    <i r="4">
      <x v="114"/>
    </i>
    <i r="5">
      <x v="1"/>
    </i>
    <i r="6">
      <x v="2"/>
    </i>
    <i r="7">
      <x v="1"/>
    </i>
    <i t="blank" r="6">
      <x v="2"/>
    </i>
    <i r="6">
      <x v="236"/>
    </i>
    <i r="7">
      <x v="1"/>
    </i>
    <i t="blank" r="6">
      <x v="236"/>
    </i>
    <i r="6">
      <x v="237"/>
    </i>
    <i r="7">
      <x v="1"/>
    </i>
    <i t="blank" r="6">
      <x v="237"/>
    </i>
    <i r="4">
      <x v="115"/>
    </i>
    <i r="5">
      <x v="1"/>
    </i>
    <i r="6">
      <x v="51"/>
    </i>
    <i r="7">
      <x v="1"/>
    </i>
    <i t="blank" r="6">
      <x v="51"/>
    </i>
    <i r="6">
      <x v="237"/>
    </i>
    <i r="7">
      <x v="1"/>
    </i>
    <i t="blank" r="6">
      <x v="237"/>
    </i>
    <i r="6">
      <x v="238"/>
    </i>
    <i r="7">
      <x v="1"/>
    </i>
    <i t="blank" r="6">
      <x v="238"/>
    </i>
    <i r="6">
      <x v="239"/>
    </i>
    <i r="7">
      <x v="1"/>
    </i>
    <i t="blank" r="6">
      <x v="239"/>
    </i>
    <i t="default" r="3">
      <x v="120"/>
    </i>
    <i t="blank" r="3">
      <x v="120"/>
    </i>
    <i r="3">
      <x v="121"/>
    </i>
    <i r="4">
      <x v="59"/>
    </i>
    <i r="5">
      <x v="1"/>
    </i>
    <i r="6">
      <x v="81"/>
    </i>
    <i r="7">
      <x v="1"/>
    </i>
    <i t="blank" r="6">
      <x v="81"/>
    </i>
    <i r="6">
      <x v="101"/>
    </i>
    <i r="7">
      <x v="1"/>
    </i>
    <i t="blank" r="6">
      <x v="101"/>
    </i>
    <i r="6">
      <x v="102"/>
    </i>
    <i r="7">
      <x v="1"/>
    </i>
    <i t="blank" r="6">
      <x v="102"/>
    </i>
    <i r="4">
      <x v="117"/>
    </i>
    <i r="5">
      <x v="1"/>
    </i>
    <i r="6">
      <x v="56"/>
    </i>
    <i r="7">
      <x v="1"/>
    </i>
    <i t="blank" r="6">
      <x v="56"/>
    </i>
    <i r="6">
      <x v="76"/>
    </i>
    <i r="7">
      <x v="1"/>
    </i>
    <i t="blank" r="6">
      <x v="76"/>
    </i>
    <i r="6">
      <x v="102"/>
    </i>
    <i r="7">
      <x v="1"/>
    </i>
    <i t="blank" r="6">
      <x v="102"/>
    </i>
    <i r="6">
      <x v="246"/>
    </i>
    <i r="7">
      <x v="1"/>
    </i>
    <i t="blank" r="6">
      <x v="246"/>
    </i>
    <i r="6">
      <x v="247"/>
    </i>
    <i r="7">
      <x v="1"/>
    </i>
    <i t="blank" r="6">
      <x v="247"/>
    </i>
    <i r="6">
      <x v="248"/>
    </i>
    <i r="7">
      <x v="1"/>
    </i>
    <i t="blank" r="6">
      <x v="248"/>
    </i>
    <i r="6">
      <x v="249"/>
    </i>
    <i r="7">
      <x v="1"/>
    </i>
    <i t="blank" r="6">
      <x v="249"/>
    </i>
    <i r="6">
      <x v="250"/>
    </i>
    <i r="7">
      <x v="1"/>
    </i>
    <i t="blank" r="6">
      <x v="250"/>
    </i>
    <i t="default" r="3">
      <x v="121"/>
    </i>
    <i t="blank" r="3">
      <x v="121"/>
    </i>
    <i r="3">
      <x v="125"/>
    </i>
    <i r="4">
      <x v="105"/>
    </i>
    <i r="5">
      <x v="1"/>
    </i>
    <i r="6">
      <x v="235"/>
    </i>
    <i r="7">
      <x v="1"/>
    </i>
    <i t="blank" r="6">
      <x v="235"/>
    </i>
    <i r="6">
      <x v="251"/>
    </i>
    <i r="7">
      <x v="1"/>
    </i>
    <i t="blank" r="6">
      <x v="251"/>
    </i>
    <i r="6">
      <x v="252"/>
    </i>
    <i r="7">
      <x v="1"/>
    </i>
    <i t="blank" r="6">
      <x v="252"/>
    </i>
    <i r="6">
      <x v="253"/>
    </i>
    <i r="7">
      <x v="1"/>
    </i>
    <i t="blank" r="6">
      <x v="253"/>
    </i>
    <i t="default" r="3">
      <x v="125"/>
    </i>
    <i t="blank" r="3">
      <x v="125"/>
    </i>
    <i r="3">
      <x v="127"/>
    </i>
    <i r="4">
      <x v="13"/>
    </i>
    <i r="5">
      <x v="1"/>
    </i>
    <i r="6">
      <x v="78"/>
    </i>
    <i r="7">
      <x v="1"/>
    </i>
    <i t="blank" r="6">
      <x v="78"/>
    </i>
    <i r="4">
      <x v="41"/>
    </i>
    <i r="5">
      <x v="1"/>
    </i>
    <i r="6">
      <x v="11"/>
    </i>
    <i r="7">
      <x v="1"/>
    </i>
    <i t="blank" r="6">
      <x v="11"/>
    </i>
    <i r="6">
      <x v="78"/>
    </i>
    <i r="7">
      <x v="1"/>
    </i>
    <i t="blank" r="6">
      <x v="78"/>
    </i>
    <i r="4">
      <x v="44"/>
    </i>
    <i r="5">
      <x v="1"/>
    </i>
    <i r="6">
      <x v="118"/>
    </i>
    <i r="7">
      <x v="1"/>
    </i>
    <i t="blank" r="6">
      <x v="118"/>
    </i>
    <i r="4">
      <x v="49"/>
    </i>
    <i r="5">
      <x v="1"/>
    </i>
    <i r="6">
      <x v="53"/>
    </i>
    <i r="7">
      <x v="1"/>
    </i>
    <i t="blank" r="6">
      <x v="53"/>
    </i>
    <i r="6">
      <x v="119"/>
    </i>
    <i r="7">
      <x v="1"/>
    </i>
    <i t="blank" r="6">
      <x v="119"/>
    </i>
    <i r="4">
      <x v="60"/>
    </i>
    <i r="5">
      <x v="1"/>
    </i>
    <i r="6">
      <x v="76"/>
    </i>
    <i r="7">
      <x v="1"/>
    </i>
    <i t="blank" r="6">
      <x v="76"/>
    </i>
    <i r="6">
      <x v="118"/>
    </i>
    <i r="7">
      <x v="1"/>
    </i>
    <i t="blank" r="6">
      <x v="118"/>
    </i>
    <i r="4">
      <x v="64"/>
    </i>
    <i r="5">
      <x v="1"/>
    </i>
    <i r="6">
      <x v="76"/>
    </i>
    <i r="7">
      <x v="1"/>
    </i>
    <i t="blank" r="6">
      <x v="76"/>
    </i>
    <i r="4">
      <x v="65"/>
    </i>
    <i r="5">
      <x v="1"/>
    </i>
    <i r="6">
      <x v="119"/>
    </i>
    <i r="7">
      <x v="1"/>
    </i>
    <i t="blank" r="6">
      <x v="119"/>
    </i>
    <i r="4">
      <x v="66"/>
    </i>
    <i r="5">
      <x v="1"/>
    </i>
    <i r="6">
      <x v="56"/>
    </i>
    <i r="7">
      <x v="1"/>
    </i>
    <i t="blank" r="6">
      <x v="56"/>
    </i>
    <i r="6">
      <x v="78"/>
    </i>
    <i r="7">
      <x v="1"/>
    </i>
    <i t="blank" r="6">
      <x v="78"/>
    </i>
    <i r="6">
      <x v="119"/>
    </i>
    <i r="7">
      <x v="1"/>
    </i>
    <i t="blank" r="6">
      <x v="119"/>
    </i>
    <i t="default" r="3">
      <x v="127"/>
    </i>
    <i t="blank" r="3">
      <x v="127"/>
    </i>
    <i r="3">
      <x v="132"/>
    </i>
    <i r="4">
      <x v="1"/>
    </i>
    <i r="5">
      <x v="1"/>
    </i>
    <i r="6">
      <x v="56"/>
    </i>
    <i r="7">
      <x v="1"/>
    </i>
    <i t="blank" r="6">
      <x v="56"/>
    </i>
    <i r="6">
      <x v="62"/>
    </i>
    <i r="7">
      <x v="1"/>
    </i>
    <i t="blank" r="6">
      <x v="62"/>
    </i>
    <i r="6">
      <x v="63"/>
    </i>
    <i r="7">
      <x v="1"/>
    </i>
    <i t="blank" r="6">
      <x v="63"/>
    </i>
    <i r="6">
      <x v="64"/>
    </i>
    <i r="7">
      <x v="1"/>
    </i>
    <i t="blank" r="6">
      <x v="64"/>
    </i>
    <i r="6">
      <x v="65"/>
    </i>
    <i r="7">
      <x v="1"/>
    </i>
    <i t="blank" r="6">
      <x v="65"/>
    </i>
    <i r="4">
      <x v="32"/>
    </i>
    <i r="5">
      <x v="1"/>
    </i>
    <i r="6">
      <x v="52"/>
    </i>
    <i r="7">
      <x v="1"/>
    </i>
    <i t="blank" r="6">
      <x v="52"/>
    </i>
    <i r="6">
      <x v="59"/>
    </i>
    <i r="7">
      <x v="1"/>
    </i>
    <i t="blank" r="6">
      <x v="59"/>
    </i>
    <i r="6">
      <x v="60"/>
    </i>
    <i r="7">
      <x v="1"/>
    </i>
    <i t="blank" r="6">
      <x v="60"/>
    </i>
    <i r="4">
      <x v="33"/>
    </i>
    <i r="5">
      <x v="1"/>
    </i>
    <i r="6">
      <x v="60"/>
    </i>
    <i r="7">
      <x v="1"/>
    </i>
    <i t="blank" r="6">
      <x v="60"/>
    </i>
    <i r="6">
      <x v="61"/>
    </i>
    <i r="7">
      <x v="1"/>
    </i>
    <i t="blank" r="6">
      <x v="61"/>
    </i>
    <i r="4">
      <x v="34"/>
    </i>
    <i r="5">
      <x v="1"/>
    </i>
    <i r="6">
      <x v="61"/>
    </i>
    <i r="7">
      <x v="1"/>
    </i>
    <i t="blank" r="6">
      <x v="61"/>
    </i>
    <i r="6">
      <x v="62"/>
    </i>
    <i r="7">
      <x v="1"/>
    </i>
    <i t="blank" r="6">
      <x v="62"/>
    </i>
    <i t="default" r="3">
      <x v="132"/>
    </i>
    <i t="blank" r="3">
      <x v="132"/>
    </i>
    <i r="3">
      <x v="134"/>
    </i>
    <i r="4">
      <x v="43"/>
    </i>
    <i r="5">
      <x v="1"/>
    </i>
    <i r="6">
      <x v="120"/>
    </i>
    <i r="7">
      <x v="1"/>
    </i>
    <i t="blank" r="6">
      <x v="120"/>
    </i>
    <i r="4">
      <x v="85"/>
    </i>
    <i r="5">
      <x v="1"/>
    </i>
    <i r="6">
      <x v="52"/>
    </i>
    <i r="7">
      <x v="1"/>
    </i>
    <i t="blank" r="6">
      <x v="52"/>
    </i>
    <i r="6">
      <x v="120"/>
    </i>
    <i r="7">
      <x v="1"/>
    </i>
    <i t="blank" r="6">
      <x v="120"/>
    </i>
    <i r="6">
      <x v="183"/>
    </i>
    <i r="7">
      <x v="1"/>
    </i>
    <i t="blank" r="6">
      <x v="183"/>
    </i>
    <i r="6">
      <x v="184"/>
    </i>
    <i r="7">
      <x v="1"/>
    </i>
    <i t="blank" r="6">
      <x v="184"/>
    </i>
    <i t="default" r="3">
      <x v="134"/>
    </i>
    <i t="blank" r="3">
      <x v="134"/>
    </i>
    <i r="3">
      <x v="135"/>
    </i>
    <i r="4">
      <x v="15"/>
    </i>
    <i r="5">
      <x v="1"/>
    </i>
    <i r="6">
      <x v="102"/>
    </i>
    <i r="7">
      <x v="1"/>
    </i>
    <i t="blank" r="6">
      <x v="102"/>
    </i>
    <i r="6">
      <x v="109"/>
    </i>
    <i r="7">
      <x v="1"/>
    </i>
    <i t="blank" r="6">
      <x v="109"/>
    </i>
    <i r="4">
      <x v="43"/>
    </i>
    <i r="5">
      <x v="1"/>
    </i>
    <i r="6">
      <x v="81"/>
    </i>
    <i r="7">
      <x v="1"/>
    </i>
    <i t="blank" r="6">
      <x v="81"/>
    </i>
    <i r="6">
      <x v="101"/>
    </i>
    <i r="7">
      <x v="1"/>
    </i>
    <i t="blank" r="6">
      <x v="101"/>
    </i>
    <i r="6">
      <x v="102"/>
    </i>
    <i r="7">
      <x v="1"/>
    </i>
    <i t="blank" r="6">
      <x v="102"/>
    </i>
    <i r="4">
      <x v="48"/>
    </i>
    <i r="5">
      <x v="1"/>
    </i>
    <i r="6">
      <x v="66"/>
    </i>
    <i r="7">
      <x v="1"/>
    </i>
    <i t="blank" r="6">
      <x v="66"/>
    </i>
    <i r="6">
      <x v="109"/>
    </i>
    <i r="7">
      <x v="1"/>
    </i>
    <i t="blank" r="6">
      <x v="109"/>
    </i>
    <i r="4">
      <x v="60"/>
    </i>
    <i r="5">
      <x v="1"/>
    </i>
    <i r="6">
      <x v="109"/>
    </i>
    <i r="7">
      <x v="1"/>
    </i>
    <i t="blank" r="6">
      <x v="109"/>
    </i>
    <i t="default" r="3">
      <x v="135"/>
    </i>
    <i t="blank" r="3">
      <x v="135"/>
    </i>
    <i r="3">
      <x v="138"/>
    </i>
    <i r="4">
      <x v="3"/>
    </i>
    <i r="5">
      <x v="1"/>
    </i>
    <i r="6">
      <x v="84"/>
    </i>
    <i r="7">
      <x v="1"/>
    </i>
    <i t="blank" r="6">
      <x v="84"/>
    </i>
    <i r="4">
      <x v="34"/>
    </i>
    <i r="5">
      <x v="1"/>
    </i>
    <i r="6">
      <x v="8"/>
    </i>
    <i r="7">
      <x v="1"/>
    </i>
    <i t="blank" r="6">
      <x v="8"/>
    </i>
    <i r="6">
      <x v="52"/>
    </i>
    <i r="7">
      <x v="1"/>
    </i>
    <i t="blank" r="6">
      <x v="52"/>
    </i>
    <i r="6">
      <x v="60"/>
    </i>
    <i r="7">
      <x v="1"/>
    </i>
    <i t="blank" r="6">
      <x v="60"/>
    </i>
    <i r="6">
      <x v="61"/>
    </i>
    <i r="7">
      <x v="1"/>
    </i>
    <i t="blank" r="6">
      <x v="61"/>
    </i>
    <i r="6">
      <x v="84"/>
    </i>
    <i r="7">
      <x v="1"/>
    </i>
    <i t="blank" r="6">
      <x v="84"/>
    </i>
    <i r="4">
      <x v="40"/>
    </i>
    <i r="5">
      <x v="1"/>
    </i>
    <i r="6">
      <x v="84"/>
    </i>
    <i r="7">
      <x v="1"/>
    </i>
    <i t="blank" r="6">
      <x v="84"/>
    </i>
    <i r="4">
      <x v="43"/>
    </i>
    <i r="5">
      <x v="1"/>
    </i>
    <i r="6">
      <x v="51"/>
    </i>
    <i r="7">
      <x v="1"/>
    </i>
    <i t="blank" r="6">
      <x v="51"/>
    </i>
    <i r="6">
      <x v="82"/>
    </i>
    <i r="7">
      <x v="1"/>
    </i>
    <i t="blank" r="6">
      <x v="82"/>
    </i>
    <i r="6">
      <x v="83"/>
    </i>
    <i r="7">
      <x v="1"/>
    </i>
    <i t="blank" r="6">
      <x v="83"/>
    </i>
    <i r="4">
      <x v="44"/>
    </i>
    <i r="5">
      <x v="1"/>
    </i>
    <i r="6">
      <x v="51"/>
    </i>
    <i r="7">
      <x v="1"/>
    </i>
    <i t="blank" r="6">
      <x v="51"/>
    </i>
    <i r="4">
      <x v="45"/>
    </i>
    <i r="5">
      <x v="1"/>
    </i>
    <i r="6">
      <x v="8"/>
    </i>
    <i r="7">
      <x v="1"/>
    </i>
    <i t="blank" r="6">
      <x v="8"/>
    </i>
    <i r="6">
      <x v="51"/>
    </i>
    <i r="7">
      <x v="1"/>
    </i>
    <i t="blank" r="6">
      <x v="51"/>
    </i>
    <i r="4">
      <x v="46"/>
    </i>
    <i r="5">
      <x v="1"/>
    </i>
    <i r="6">
      <x v="8"/>
    </i>
    <i r="7">
      <x v="1"/>
    </i>
    <i t="blank" r="6">
      <x v="8"/>
    </i>
    <i t="default" r="3">
      <x v="138"/>
    </i>
    <i t="blank" r="3">
      <x v="138"/>
    </i>
    <i r="3">
      <x v="146"/>
    </i>
    <i r="4">
      <x v="7"/>
    </i>
    <i r="5">
      <x v="1"/>
    </i>
    <i r="6">
      <x v="78"/>
    </i>
    <i r="7">
      <x v="1"/>
    </i>
    <i t="blank" r="6">
      <x v="78"/>
    </i>
    <i r="6">
      <x v="104"/>
    </i>
    <i r="7">
      <x v="1"/>
    </i>
    <i t="blank" r="6">
      <x v="104"/>
    </i>
    <i r="6">
      <x v="105"/>
    </i>
    <i r="7">
      <x v="1"/>
    </i>
    <i t="blank" r="6">
      <x v="105"/>
    </i>
    <i r="6">
      <x v="106"/>
    </i>
    <i r="7">
      <x v="1"/>
    </i>
    <i t="blank" r="6">
      <x v="106"/>
    </i>
    <i r="6">
      <x v="107"/>
    </i>
    <i r="7">
      <x v="1"/>
    </i>
    <i t="blank" r="6">
      <x v="107"/>
    </i>
    <i r="6">
      <x v="108"/>
    </i>
    <i r="7">
      <x v="1"/>
    </i>
    <i t="blank" r="6">
      <x v="108"/>
    </i>
    <i t="default" r="3">
      <x v="146"/>
    </i>
    <i t="blank" r="3">
      <x v="146"/>
    </i>
    <i r="3">
      <x v="160"/>
    </i>
    <i r="4">
      <x v="113"/>
    </i>
    <i r="5">
      <x v="1"/>
    </i>
    <i r="6">
      <x v="263"/>
    </i>
    <i r="7">
      <x v="1"/>
    </i>
    <i t="blank" r="6">
      <x v="263"/>
    </i>
    <i r="6">
      <x v="264"/>
    </i>
    <i r="7">
      <x v="1"/>
    </i>
    <i t="blank" r="6">
      <x v="264"/>
    </i>
    <i t="default" r="3">
      <x v="160"/>
    </i>
    <i t="blank" r="3">
      <x v="160"/>
    </i>
    <i r="3">
      <x v="161"/>
    </i>
    <i r="4">
      <x v="28"/>
    </i>
    <i r="5">
      <x v="1"/>
    </i>
    <i r="6">
      <x v="51"/>
    </i>
    <i r="7">
      <x v="1"/>
    </i>
    <i t="blank" r="6">
      <x v="51"/>
    </i>
    <i r="6">
      <x v="52"/>
    </i>
    <i r="7">
      <x v="1"/>
    </i>
    <i t="blank" r="6">
      <x v="52"/>
    </i>
    <i r="6">
      <x v="53"/>
    </i>
    <i r="7">
      <x v="1"/>
    </i>
    <i t="blank" r="6">
      <x v="53"/>
    </i>
    <i r="6">
      <x v="54"/>
    </i>
    <i r="7">
      <x v="1"/>
    </i>
    <i t="blank" r="6">
      <x v="54"/>
    </i>
    <i r="6">
      <x v="55"/>
    </i>
    <i r="7">
      <x v="1"/>
    </i>
    <i t="blank" r="6">
      <x v="55"/>
    </i>
    <i r="4">
      <x v="29"/>
    </i>
    <i r="5">
      <x v="1"/>
    </i>
    <i r="6">
      <x v="55"/>
    </i>
    <i r="7">
      <x v="1"/>
    </i>
    <i t="blank" r="6">
      <x v="55"/>
    </i>
    <i r="6">
      <x v="56"/>
    </i>
    <i r="7">
      <x v="1"/>
    </i>
    <i t="blank" r="6">
      <x v="56"/>
    </i>
    <i t="default" r="3">
      <x v="161"/>
    </i>
    <i t="blank" r="3">
      <x v="161"/>
    </i>
    <i r="3">
      <x v="164"/>
    </i>
    <i r="4">
      <x v="39"/>
    </i>
    <i r="5">
      <x v="1"/>
    </i>
    <i r="6">
      <x v="51"/>
    </i>
    <i r="7">
      <x v="1"/>
    </i>
    <i t="blank" r="6">
      <x v="51"/>
    </i>
    <i r="6">
      <x v="102"/>
    </i>
    <i r="7">
      <x v="1"/>
    </i>
    <i t="blank" r="6">
      <x v="102"/>
    </i>
    <i t="default" r="3">
      <x v="164"/>
    </i>
    <i t="blank" r="3">
      <x v="164"/>
    </i>
    <i r="3">
      <x v="168"/>
    </i>
    <i r="4">
      <x v="99"/>
    </i>
    <i r="5">
      <x v="1"/>
    </i>
    <i r="6">
      <x v="51"/>
    </i>
    <i r="7">
      <x v="1"/>
    </i>
    <i t="blank" r="6">
      <x v="51"/>
    </i>
    <i r="6">
      <x v="244"/>
    </i>
    <i r="7">
      <x v="1"/>
    </i>
    <i t="blank" r="6">
      <x v="244"/>
    </i>
    <i r="4">
      <x v="100"/>
    </i>
    <i r="5">
      <x v="1"/>
    </i>
    <i r="6">
      <x v="51"/>
    </i>
    <i r="7">
      <x v="1"/>
    </i>
    <i t="blank" r="6">
      <x v="51"/>
    </i>
    <i r="6">
      <x v="245"/>
    </i>
    <i r="7">
      <x v="1"/>
    </i>
    <i t="blank" r="6">
      <x v="245"/>
    </i>
    <i r="4">
      <x v="121"/>
    </i>
    <i r="5">
      <x v="1"/>
    </i>
    <i r="6">
      <x v="245"/>
    </i>
    <i r="7">
      <x v="1"/>
    </i>
    <i t="blank" r="6">
      <x v="245"/>
    </i>
    <i t="default" r="3">
      <x v="168"/>
    </i>
    <i t="blank" r="3">
      <x v="168"/>
    </i>
    <i r="3">
      <x v="169"/>
    </i>
    <i r="4">
      <x v="14"/>
    </i>
    <i r="5">
      <x v="1"/>
    </i>
    <i r="6">
      <x v="95"/>
    </i>
    <i r="7">
      <x v="1"/>
    </i>
    <i t="blank" r="6">
      <x v="95"/>
    </i>
    <i r="4">
      <x v="45"/>
    </i>
    <i r="5">
      <x v="1"/>
    </i>
    <i r="6">
      <x v="47"/>
    </i>
    <i r="7">
      <x v="1"/>
    </i>
    <i t="blank" r="6">
      <x v="47"/>
    </i>
    <i r="4">
      <x v="46"/>
    </i>
    <i r="5">
      <x v="1"/>
    </i>
    <i r="6">
      <x v="47"/>
    </i>
    <i r="7">
      <x v="1"/>
    </i>
    <i t="blank" r="6">
      <x v="47"/>
    </i>
    <i r="6">
      <x v="96"/>
    </i>
    <i r="7">
      <x v="1"/>
    </i>
    <i t="blank" r="6">
      <x v="96"/>
    </i>
    <i r="4">
      <x v="49"/>
    </i>
    <i r="5">
      <x v="1"/>
    </i>
    <i r="6">
      <x v="92"/>
    </i>
    <i r="7">
      <x v="1"/>
    </i>
    <i t="blank" r="6">
      <x v="92"/>
    </i>
    <i r="6">
      <x v="93"/>
    </i>
    <i r="7">
      <x v="1"/>
    </i>
    <i t="blank" r="6">
      <x v="93"/>
    </i>
    <i r="4">
      <x v="53"/>
    </i>
    <i r="5">
      <x v="1"/>
    </i>
    <i r="6">
      <x v="93"/>
    </i>
    <i r="7">
      <x v="1"/>
    </i>
    <i t="blank" r="6">
      <x v="93"/>
    </i>
    <i r="6">
      <x v="94"/>
    </i>
    <i r="7">
      <x v="1"/>
    </i>
    <i t="blank" r="6">
      <x v="94"/>
    </i>
    <i r="6">
      <x v="95"/>
    </i>
    <i r="7">
      <x v="1"/>
    </i>
    <i t="blank" r="6">
      <x v="95"/>
    </i>
    <i r="4">
      <x v="54"/>
    </i>
    <i r="5">
      <x v="1"/>
    </i>
    <i r="6">
      <x v="95"/>
    </i>
    <i r="7">
      <x v="1"/>
    </i>
    <i t="blank" r="6">
      <x v="95"/>
    </i>
    <i r="4">
      <x v="55"/>
    </i>
    <i r="5">
      <x v="1"/>
    </i>
    <i r="6">
      <x v="47"/>
    </i>
    <i r="7">
      <x v="1"/>
    </i>
    <i t="blank" r="6">
      <x v="47"/>
    </i>
    <i r="6">
      <x v="95"/>
    </i>
    <i r="7">
      <x v="1"/>
    </i>
    <i t="blank" r="6">
      <x v="95"/>
    </i>
    <i r="4">
      <x v="56"/>
    </i>
    <i r="5">
      <x v="1"/>
    </i>
    <i r="6">
      <x v="96"/>
    </i>
    <i r="7">
      <x v="1"/>
    </i>
    <i t="blank" r="6">
      <x v="96"/>
    </i>
    <i r="4">
      <x v="105"/>
    </i>
    <i r="5">
      <x v="1"/>
    </i>
    <i r="6">
      <x v="51"/>
    </i>
    <i r="7">
      <x v="1"/>
    </i>
    <i t="blank" r="6">
      <x v="51"/>
    </i>
    <i r="6">
      <x v="52"/>
    </i>
    <i r="7">
      <x v="1"/>
    </i>
    <i t="blank" r="6">
      <x v="52"/>
    </i>
    <i r="6">
      <x v="96"/>
    </i>
    <i r="7">
      <x v="1"/>
    </i>
    <i t="blank" r="6">
      <x v="96"/>
    </i>
    <i r="6">
      <x v="241"/>
    </i>
    <i r="7">
      <x v="1"/>
    </i>
    <i t="blank" r="6">
      <x v="241"/>
    </i>
    <i r="4">
      <x v="116"/>
    </i>
    <i r="5">
      <x v="1"/>
    </i>
    <i r="6">
      <x v="52"/>
    </i>
    <i r="7">
      <x v="1"/>
    </i>
    <i t="blank" r="6">
      <x v="52"/>
    </i>
    <i r="4">
      <x v="117"/>
    </i>
    <i r="5">
      <x v="1"/>
    </i>
    <i r="6">
      <x v="52"/>
    </i>
    <i r="7">
      <x v="1"/>
    </i>
    <i t="blank" r="6">
      <x v="52"/>
    </i>
    <i r="6">
      <x v="87"/>
    </i>
    <i r="7">
      <x v="1"/>
    </i>
    <i t="blank" r="6">
      <x v="87"/>
    </i>
    <i r="4">
      <x v="118"/>
    </i>
    <i r="5">
      <x v="1"/>
    </i>
    <i r="6">
      <x v="77"/>
    </i>
    <i r="7">
      <x v="1"/>
    </i>
    <i t="blank" r="6">
      <x v="77"/>
    </i>
    <i r="6">
      <x v="87"/>
    </i>
    <i r="7">
      <x v="1"/>
    </i>
    <i t="blank" r="6">
      <x v="87"/>
    </i>
    <i r="6">
      <x v="242"/>
    </i>
    <i r="7">
      <x v="1"/>
    </i>
    <i t="blank" r="6">
      <x v="242"/>
    </i>
    <i r="4">
      <x v="119"/>
    </i>
    <i r="5">
      <x v="1"/>
    </i>
    <i r="6">
      <x v="242"/>
    </i>
    <i r="7">
      <x v="1"/>
    </i>
    <i t="blank" r="6">
      <x v="242"/>
    </i>
    <i r="6">
      <x v="243"/>
    </i>
    <i r="7">
      <x v="1"/>
    </i>
    <i t="blank" r="6">
      <x v="243"/>
    </i>
    <i r="4">
      <x v="120"/>
    </i>
    <i r="5">
      <x v="1"/>
    </i>
    <i r="6">
      <x v="243"/>
    </i>
    <i r="7">
      <x v="1"/>
    </i>
    <i t="blank" r="6">
      <x v="243"/>
    </i>
    <i t="default" r="3">
      <x v="169"/>
    </i>
    <i t="blank" r="3">
      <x v="169"/>
    </i>
    <i r="3">
      <x v="171"/>
    </i>
    <i r="4">
      <x v="113"/>
    </i>
    <i r="5">
      <x v="1"/>
    </i>
    <i r="6">
      <x v="109"/>
    </i>
    <i r="7">
      <x v="1"/>
    </i>
    <i t="blank" r="6">
      <x v="109"/>
    </i>
    <i r="6">
      <x v="240"/>
    </i>
    <i r="7">
      <x v="1"/>
    </i>
    <i t="blank" r="6">
      <x v="240"/>
    </i>
    <i t="default" r="3">
      <x v="171"/>
    </i>
    <i t="blank" r="3">
      <x v="171"/>
    </i>
    <i r="3">
      <x v="175"/>
    </i>
    <i r="4">
      <x v="1"/>
    </i>
    <i r="5">
      <x v="1"/>
    </i>
    <i r="6">
      <x v="136"/>
    </i>
    <i r="7">
      <x v="1"/>
    </i>
    <i t="blank" r="6">
      <x v="136"/>
    </i>
    <i r="6">
      <x v="137"/>
    </i>
    <i r="7">
      <x v="1"/>
    </i>
    <i t="blank" r="6">
      <x v="137"/>
    </i>
    <i r="6">
      <x v="138"/>
    </i>
    <i r="7">
      <x v="1"/>
    </i>
    <i t="blank" r="6">
      <x v="138"/>
    </i>
    <i r="6">
      <x v="139"/>
    </i>
    <i r="7">
      <x v="1"/>
    </i>
    <i t="blank" r="6">
      <x v="139"/>
    </i>
    <i r="6">
      <x v="140"/>
    </i>
    <i r="7">
      <x v="1"/>
    </i>
    <i t="blank" r="6">
      <x v="140"/>
    </i>
    <i r="6">
      <x v="141"/>
    </i>
    <i r="7">
      <x v="1"/>
    </i>
    <i t="blank" r="6">
      <x v="141"/>
    </i>
    <i r="4">
      <x v="75"/>
    </i>
    <i r="5">
      <x v="1"/>
    </i>
    <i r="6">
      <x v="141"/>
    </i>
    <i r="7">
      <x v="1"/>
    </i>
    <i t="blank" r="6">
      <x v="141"/>
    </i>
    <i r="6">
      <x v="142"/>
    </i>
    <i r="7">
      <x v="1"/>
    </i>
    <i t="blank" r="6">
      <x v="142"/>
    </i>
    <i t="default" r="3">
      <x v="175"/>
    </i>
    <i t="blank" r="3">
      <x v="175"/>
    </i>
    <i r="3">
      <x v="179"/>
    </i>
    <i r="4">
      <x v="28"/>
    </i>
    <i r="5">
      <x v="1"/>
    </i>
    <i r="6">
      <x v="64"/>
    </i>
    <i r="7">
      <x v="1"/>
    </i>
    <i t="blank" r="6">
      <x v="64"/>
    </i>
    <i r="6">
      <x v="65"/>
    </i>
    <i r="7">
      <x v="1"/>
    </i>
    <i t="blank" r="6">
      <x v="65"/>
    </i>
    <i r="6">
      <x v="85"/>
    </i>
    <i r="7">
      <x v="1"/>
    </i>
    <i t="blank" r="6">
      <x v="85"/>
    </i>
    <i r="6">
      <x v="98"/>
    </i>
    <i r="7">
      <x v="1"/>
    </i>
    <i t="blank" r="6">
      <x v="98"/>
    </i>
    <i r="6">
      <x v="100"/>
    </i>
    <i r="7">
      <x v="1"/>
    </i>
    <i t="blank" r="6">
      <x v="100"/>
    </i>
    <i r="6">
      <x v="149"/>
    </i>
    <i r="7">
      <x v="1"/>
    </i>
    <i t="blank" r="6">
      <x v="149"/>
    </i>
    <i r="6">
      <x v="151"/>
    </i>
    <i r="7">
      <x v="1"/>
    </i>
    <i t="blank" r="6">
      <x v="151"/>
    </i>
    <i t="default" r="3">
      <x v="179"/>
    </i>
    <i t="blank" r="3">
      <x v="179"/>
    </i>
    <i r="3">
      <x v="191"/>
    </i>
    <i r="4">
      <x v="30"/>
    </i>
    <i r="5">
      <x v="1"/>
    </i>
    <i r="6">
      <x v="57"/>
    </i>
    <i r="7">
      <x v="1"/>
    </i>
    <i t="blank" r="6">
      <x v="57"/>
    </i>
    <i r="6">
      <x v="58"/>
    </i>
    <i r="7">
      <x v="1"/>
    </i>
    <i t="blank" r="6">
      <x v="58"/>
    </i>
    <i r="4">
      <x v="31"/>
    </i>
    <i r="5">
      <x v="1"/>
    </i>
    <i r="6">
      <x v="51"/>
    </i>
    <i r="7">
      <x v="1"/>
    </i>
    <i t="blank" r="6">
      <x v="51"/>
    </i>
    <i r="6">
      <x v="58"/>
    </i>
    <i r="7">
      <x v="1"/>
    </i>
    <i t="blank" r="6">
      <x v="58"/>
    </i>
    <i r="4">
      <x v="81"/>
    </i>
    <i r="5">
      <x v="1"/>
    </i>
    <i r="6">
      <x v="51"/>
    </i>
    <i r="7">
      <x v="1"/>
    </i>
    <i t="blank" r="6">
      <x v="51"/>
    </i>
    <i r="6">
      <x v="179"/>
    </i>
    <i r="7">
      <x v="1"/>
    </i>
    <i t="blank" r="6">
      <x v="179"/>
    </i>
    <i r="4">
      <x v="90"/>
    </i>
    <i r="5">
      <x v="1"/>
    </i>
    <i r="6">
      <x v="56"/>
    </i>
    <i r="7">
      <x v="1"/>
    </i>
    <i t="blank" r="6">
      <x v="56"/>
    </i>
    <i r="6">
      <x v="214"/>
    </i>
    <i r="7">
      <x v="1"/>
    </i>
    <i t="blank" r="6">
      <x v="214"/>
    </i>
    <i r="6">
      <x v="231"/>
    </i>
    <i r="7">
      <x v="1"/>
    </i>
    <i t="blank" r="6">
      <x v="231"/>
    </i>
    <i r="4">
      <x v="94"/>
    </i>
    <i r="5">
      <x v="1"/>
    </i>
    <i r="6">
      <x v="52"/>
    </i>
    <i r="7">
      <x v="1"/>
    </i>
    <i t="blank" r="6">
      <x v="52"/>
    </i>
    <i r="6">
      <x v="111"/>
    </i>
    <i r="7">
      <x v="1"/>
    </i>
    <i t="blank" r="6">
      <x v="111"/>
    </i>
    <i r="6">
      <x v="179"/>
    </i>
    <i r="7">
      <x v="1"/>
    </i>
    <i t="blank" r="6">
      <x v="179"/>
    </i>
    <i r="4">
      <x v="111"/>
    </i>
    <i r="5">
      <x v="1"/>
    </i>
    <i r="6">
      <x v="111"/>
    </i>
    <i r="7">
      <x v="1"/>
    </i>
    <i t="blank" r="6">
      <x v="111"/>
    </i>
    <i r="6">
      <x v="231"/>
    </i>
    <i r="7">
      <x v="1"/>
    </i>
    <i t="blank" r="6">
      <x v="231"/>
    </i>
    <i t="default" r="3">
      <x v="191"/>
    </i>
    <i t="blank" r="3">
      <x v="191"/>
    </i>
    <i r="3">
      <x v="192"/>
    </i>
    <i r="4">
      <x v="13"/>
    </i>
    <i r="5">
      <x v="1"/>
    </i>
    <i r="6">
      <x v="265"/>
    </i>
    <i r="7">
      <x v="1"/>
    </i>
    <i t="blank" r="6">
      <x v="265"/>
    </i>
    <i r="4">
      <x v="41"/>
    </i>
    <i r="5">
      <x v="1"/>
    </i>
    <i r="6">
      <x v="265"/>
    </i>
    <i r="7">
      <x v="1"/>
    </i>
    <i t="blank" r="6">
      <x v="265"/>
    </i>
    <i r="4">
      <x v="66"/>
    </i>
    <i r="5">
      <x v="1"/>
    </i>
    <i r="6">
      <x v="265"/>
    </i>
    <i r="7">
      <x v="1"/>
    </i>
    <i t="blank" r="6">
      <x v="265"/>
    </i>
    <i r="4">
      <x v="126"/>
    </i>
    <i r="5">
      <x v="1"/>
    </i>
    <i r="6">
      <x v="265"/>
    </i>
    <i r="7">
      <x v="1"/>
    </i>
    <i t="blank" r="6">
      <x v="265"/>
    </i>
    <i t="default" r="3">
      <x v="192"/>
    </i>
    <i t="blank" r="3">
      <x v="192"/>
    </i>
    <i r="3">
      <x v="193"/>
    </i>
    <i r="4">
      <x v="112"/>
    </i>
    <i r="5">
      <x v="1"/>
    </i>
    <i r="6">
      <x v="52"/>
    </i>
    <i r="7">
      <x v="1"/>
    </i>
    <i t="blank" r="6">
      <x v="52"/>
    </i>
    <i r="6">
      <x v="230"/>
    </i>
    <i r="7">
      <x v="1"/>
    </i>
    <i t="blank" r="6">
      <x v="230"/>
    </i>
    <i r="6">
      <x v="257"/>
    </i>
    <i r="7">
      <x v="1"/>
    </i>
    <i t="blank" r="6">
      <x v="257"/>
    </i>
    <i r="4">
      <x v="117"/>
    </i>
    <i r="5">
      <x v="1"/>
    </i>
    <i r="6">
      <x v="35"/>
    </i>
    <i r="7">
      <x v="1"/>
    </i>
    <i t="blank" r="6">
      <x v="35"/>
    </i>
    <i r="6">
      <x v="257"/>
    </i>
    <i r="7">
      <x v="1"/>
    </i>
    <i t="blank" r="6">
      <x v="257"/>
    </i>
    <i t="default" r="3">
      <x v="193"/>
    </i>
    <i t="blank" r="3">
      <x v="193"/>
    </i>
    <i r="3">
      <x v="194"/>
    </i>
    <i r="4">
      <x v="82"/>
    </i>
    <i r="5">
      <x v="1"/>
    </i>
    <i r="6">
      <x v="123"/>
    </i>
    <i r="7">
      <x v="1"/>
    </i>
    <i t="blank" r="6">
      <x v="123"/>
    </i>
    <i r="6">
      <x v="152"/>
    </i>
    <i r="7">
      <x v="1"/>
    </i>
    <i t="blank" r="6">
      <x v="152"/>
    </i>
    <i r="6">
      <x v="180"/>
    </i>
    <i r="7">
      <x v="1"/>
    </i>
    <i t="blank" r="6">
      <x v="180"/>
    </i>
    <i r="6">
      <x v="181"/>
    </i>
    <i r="7">
      <x v="1"/>
    </i>
    <i t="blank" r="6">
      <x v="181"/>
    </i>
    <i t="default" r="3">
      <x v="194"/>
    </i>
    <i t="blank" r="3">
      <x v="194"/>
    </i>
    <i t="default" r="2">
      <x v="2"/>
    </i>
    <i t="blank" r="2">
      <x v="2"/>
    </i>
    <i r="2">
      <x v="3"/>
    </i>
    <i r="3">
      <x/>
    </i>
    <i r="4">
      <x v="90"/>
    </i>
    <i r="5">
      <x v="1"/>
    </i>
    <i r="6">
      <x v="94"/>
    </i>
    <i r="7">
      <x v="1"/>
    </i>
    <i t="blank" r="6">
      <x v="94"/>
    </i>
    <i t="default" r="3">
      <x/>
    </i>
    <i t="blank" r="3">
      <x/>
    </i>
    <i r="3">
      <x v="1"/>
    </i>
    <i r="4">
      <x v="8"/>
    </i>
    <i r="5">
      <x v="1"/>
    </i>
    <i r="6">
      <x v="16"/>
    </i>
    <i r="7">
      <x v="1"/>
    </i>
    <i t="blank" r="6">
      <x v="16"/>
    </i>
    <i t="default" r="3">
      <x v="1"/>
    </i>
    <i t="blank" r="3">
      <x v="1"/>
    </i>
    <i r="3">
      <x v="2"/>
    </i>
    <i r="4">
      <x v="90"/>
    </i>
    <i r="5">
      <x v="1"/>
    </i>
    <i r="6">
      <x v="25"/>
    </i>
    <i r="7">
      <x v="1"/>
    </i>
    <i t="blank" r="6">
      <x v="25"/>
    </i>
    <i r="4">
      <x v="103"/>
    </i>
    <i r="5">
      <x v="1"/>
    </i>
    <i r="6">
      <x v="25"/>
    </i>
    <i r="7">
      <x v="1"/>
    </i>
    <i t="blank" r="6">
      <x v="25"/>
    </i>
    <i r="4">
      <x v="104"/>
    </i>
    <i r="5">
      <x v="1"/>
    </i>
    <i r="6">
      <x v="25"/>
    </i>
    <i r="7">
      <x v="1"/>
    </i>
    <i t="blank" r="6">
      <x v="25"/>
    </i>
    <i r="6">
      <x v="46"/>
    </i>
    <i r="7">
      <x v="1"/>
    </i>
    <i t="blank" r="6">
      <x v="46"/>
    </i>
    <i r="6">
      <x v="212"/>
    </i>
    <i r="7">
      <x v="1"/>
    </i>
    <i t="blank" r="6">
      <x v="212"/>
    </i>
    <i r="6">
      <x v="213"/>
    </i>
    <i r="7">
      <x v="1"/>
    </i>
    <i t="blank" r="6">
      <x v="213"/>
    </i>
    <i r="4">
      <x v="105"/>
    </i>
    <i r="5">
      <x v="1"/>
    </i>
    <i r="6">
      <x v="48"/>
    </i>
    <i r="7">
      <x v="1"/>
    </i>
    <i t="blank" r="6">
      <x v="48"/>
    </i>
    <i r="6">
      <x v="213"/>
    </i>
    <i r="7">
      <x v="1"/>
    </i>
    <i t="blank" r="6">
      <x v="213"/>
    </i>
    <i t="default" r="3">
      <x v="2"/>
    </i>
    <i t="blank" r="3">
      <x v="2"/>
    </i>
    <i r="3">
      <x v="4"/>
    </i>
    <i r="4">
      <x v="21"/>
    </i>
    <i r="5">
      <x v="1"/>
    </i>
    <i r="6">
      <x v="25"/>
    </i>
    <i r="7">
      <x v="1"/>
    </i>
    <i t="blank" r="6">
      <x v="25"/>
    </i>
    <i r="4">
      <x v="90"/>
    </i>
    <i r="5">
      <x v="1"/>
    </i>
    <i r="6">
      <x v="25"/>
    </i>
    <i r="7">
      <x v="1"/>
    </i>
    <i t="blank" r="6">
      <x v="25"/>
    </i>
    <i t="default" r="3">
      <x v="4"/>
    </i>
    <i t="blank" r="3">
      <x v="4"/>
    </i>
    <i r="3">
      <x v="5"/>
    </i>
    <i r="4">
      <x v="21"/>
    </i>
    <i r="5">
      <x v="1"/>
    </i>
    <i r="6">
      <x v="38"/>
    </i>
    <i r="7">
      <x v="1"/>
    </i>
    <i t="blank" r="6">
      <x v="38"/>
    </i>
    <i r="4">
      <x v="90"/>
    </i>
    <i r="5">
      <x v="1"/>
    </i>
    <i r="6">
      <x v="38"/>
    </i>
    <i r="7">
      <x v="1"/>
    </i>
    <i t="blank" r="6">
      <x v="38"/>
    </i>
    <i t="default" r="3">
      <x v="5"/>
    </i>
    <i t="blank" r="3">
      <x v="5"/>
    </i>
    <i r="3">
      <x v="6"/>
    </i>
    <i r="4">
      <x v="78"/>
    </i>
    <i r="5">
      <x v="1"/>
    </i>
    <i r="6">
      <x v="177"/>
    </i>
    <i r="7">
      <x v="1"/>
    </i>
    <i t="blank" r="6">
      <x v="177"/>
    </i>
    <i t="default" r="3">
      <x v="6"/>
    </i>
    <i t="blank" r="3">
      <x v="6"/>
    </i>
    <i r="3">
      <x v="7"/>
    </i>
    <i r="4">
      <x v="9"/>
    </i>
    <i r="5">
      <x v="1"/>
    </i>
    <i r="6">
      <x v="16"/>
    </i>
    <i r="7">
      <x v="1"/>
    </i>
    <i t="blank" r="6">
      <x v="16"/>
    </i>
    <i r="6">
      <x v="17"/>
    </i>
    <i r="7">
      <x v="1"/>
    </i>
    <i t="blank" r="6">
      <x v="17"/>
    </i>
    <i r="6">
      <x v="18"/>
    </i>
    <i r="7">
      <x v="1"/>
    </i>
    <i t="blank" r="6">
      <x v="18"/>
    </i>
    <i r="6">
      <x v="19"/>
    </i>
    <i r="7">
      <x v="1"/>
    </i>
    <i t="blank" r="6">
      <x v="19"/>
    </i>
    <i r="4">
      <x v="10"/>
    </i>
    <i r="5">
      <x v="1"/>
    </i>
    <i r="6">
      <x v="16"/>
    </i>
    <i r="7">
      <x v="1"/>
    </i>
    <i t="blank" r="6">
      <x v="16"/>
    </i>
    <i t="default" r="3">
      <x v="7"/>
    </i>
    <i t="blank" r="3">
      <x v="7"/>
    </i>
    <i r="3">
      <x v="8"/>
    </i>
    <i r="4">
      <x v="90"/>
    </i>
    <i r="5">
      <x v="1"/>
    </i>
    <i r="6">
      <x v="50"/>
    </i>
    <i r="7">
      <x v="1"/>
    </i>
    <i t="blank" r="6">
      <x v="50"/>
    </i>
    <i r="6">
      <x v="197"/>
    </i>
    <i r="7">
      <x v="1"/>
    </i>
    <i t="blank" r="6">
      <x v="197"/>
    </i>
    <i t="default" r="3">
      <x v="8"/>
    </i>
    <i t="blank" r="3">
      <x v="8"/>
    </i>
    <i r="3">
      <x v="9"/>
    </i>
    <i r="4">
      <x v="11"/>
    </i>
    <i r="5">
      <x v="1"/>
    </i>
    <i r="6">
      <x v="20"/>
    </i>
    <i r="7">
      <x v="1"/>
    </i>
    <i t="blank" r="6">
      <x v="20"/>
    </i>
    <i r="4">
      <x v="12"/>
    </i>
    <i r="5">
      <x v="1"/>
    </i>
    <i r="6">
      <x v="20"/>
    </i>
    <i r="7">
      <x v="1"/>
    </i>
    <i t="blank" r="6">
      <x v="20"/>
    </i>
    <i r="4">
      <x v="13"/>
    </i>
    <i r="5">
      <x v="1"/>
    </i>
    <i r="6">
      <x v="20"/>
    </i>
    <i r="7">
      <x v="1"/>
    </i>
    <i t="blank" r="6">
      <x v="20"/>
    </i>
    <i r="4">
      <x v="90"/>
    </i>
    <i r="5">
      <x v="1"/>
    </i>
    <i r="6">
      <x v="20"/>
    </i>
    <i r="7">
      <x v="1"/>
    </i>
    <i t="blank" r="6">
      <x v="20"/>
    </i>
    <i r="4">
      <x v="91"/>
    </i>
    <i r="5">
      <x v="1"/>
    </i>
    <i r="6">
      <x v="20"/>
    </i>
    <i r="7">
      <x v="1"/>
    </i>
    <i t="blank" r="6">
      <x v="20"/>
    </i>
    <i r="4">
      <x v="96"/>
    </i>
    <i r="5">
      <x v="1"/>
    </i>
    <i r="6">
      <x v="20"/>
    </i>
    <i r="7">
      <x v="1"/>
    </i>
    <i t="blank" r="6">
      <x v="20"/>
    </i>
    <i r="4">
      <x v="103"/>
    </i>
    <i r="5">
      <x v="1"/>
    </i>
    <i r="6">
      <x v="20"/>
    </i>
    <i r="7">
      <x v="1"/>
    </i>
    <i t="blank" r="6">
      <x v="20"/>
    </i>
    <i r="4">
      <x v="104"/>
    </i>
    <i r="5">
      <x v="1"/>
    </i>
    <i r="6">
      <x v="20"/>
    </i>
    <i r="7">
      <x v="1"/>
    </i>
    <i t="blank" r="6">
      <x v="20"/>
    </i>
    <i r="6">
      <x v="46"/>
    </i>
    <i r="7">
      <x v="1"/>
    </i>
    <i t="blank" r="6">
      <x v="46"/>
    </i>
    <i t="default" r="3">
      <x v="9"/>
    </i>
    <i t="blank" r="3">
      <x v="9"/>
    </i>
    <i r="3">
      <x v="12"/>
    </i>
    <i r="4">
      <x v="21"/>
    </i>
    <i r="5">
      <x v="1"/>
    </i>
    <i r="6">
      <x v="17"/>
    </i>
    <i r="7">
      <x v="1"/>
    </i>
    <i t="blank" r="6">
      <x v="17"/>
    </i>
    <i r="4">
      <x v="90"/>
    </i>
    <i r="5">
      <x v="1"/>
    </i>
    <i r="6">
      <x v="17"/>
    </i>
    <i r="7">
      <x v="1"/>
    </i>
    <i t="blank" r="6">
      <x v="17"/>
    </i>
    <i t="default" r="3">
      <x v="12"/>
    </i>
    <i t="blank" r="3">
      <x v="12"/>
    </i>
    <i r="3">
      <x v="13"/>
    </i>
    <i r="4">
      <x v="90"/>
    </i>
    <i r="5">
      <x v="1"/>
    </i>
    <i r="6">
      <x v="198"/>
    </i>
    <i r="7">
      <x v="1"/>
    </i>
    <i t="blank" r="6">
      <x v="198"/>
    </i>
    <i t="default" r="3">
      <x v="13"/>
    </i>
    <i t="blank" r="3">
      <x v="13"/>
    </i>
    <i r="3">
      <x v="14"/>
    </i>
    <i r="4">
      <x v="90"/>
    </i>
    <i r="5">
      <x v="1"/>
    </i>
    <i r="6">
      <x v="177"/>
    </i>
    <i r="7">
      <x v="1"/>
    </i>
    <i t="blank" r="6">
      <x v="177"/>
    </i>
    <i r="4">
      <x v="109"/>
    </i>
    <i r="5">
      <x v="1"/>
    </i>
    <i r="6">
      <x v="177"/>
    </i>
    <i r="7">
      <x v="1"/>
    </i>
    <i t="blank" r="6">
      <x v="177"/>
    </i>
    <i t="default" r="3">
      <x v="14"/>
    </i>
    <i t="blank" r="3">
      <x v="14"/>
    </i>
    <i r="3">
      <x v="15"/>
    </i>
    <i r="4">
      <x v="109"/>
    </i>
    <i r="5">
      <x v="1"/>
    </i>
    <i r="6">
      <x v="217"/>
    </i>
    <i r="7">
      <x v="1"/>
    </i>
    <i t="blank" r="6">
      <x v="217"/>
    </i>
    <i t="default" r="3">
      <x v="15"/>
    </i>
    <i t="blank" r="3">
      <x v="15"/>
    </i>
    <i r="3">
      <x v="16"/>
    </i>
    <i r="4">
      <x v="109"/>
    </i>
    <i r="5">
      <x v="1"/>
    </i>
    <i r="6">
      <x v="177"/>
    </i>
    <i r="7">
      <x v="1"/>
    </i>
    <i t="blank" r="6">
      <x v="177"/>
    </i>
    <i t="default" r="3">
      <x v="16"/>
    </i>
    <i t="blank" r="3">
      <x v="16"/>
    </i>
    <i r="3">
      <x v="20"/>
    </i>
    <i r="4">
      <x v="90"/>
    </i>
    <i r="5">
      <x v="1"/>
    </i>
    <i r="6">
      <x v="134"/>
    </i>
    <i r="7">
      <x v="1"/>
    </i>
    <i t="blank" r="6">
      <x v="134"/>
    </i>
    <i t="default" r="3">
      <x v="20"/>
    </i>
    <i t="blank" r="3">
      <x v="20"/>
    </i>
    <i r="3">
      <x v="21"/>
    </i>
    <i r="4">
      <x v="90"/>
    </i>
    <i r="5">
      <x v="1"/>
    </i>
    <i r="6">
      <x v="57"/>
    </i>
    <i r="7">
      <x v="1"/>
    </i>
    <i t="blank" r="6">
      <x v="57"/>
    </i>
    <i t="default" r="3">
      <x v="21"/>
    </i>
    <i t="blank" r="3">
      <x v="21"/>
    </i>
    <i r="3">
      <x v="22"/>
    </i>
    <i r="4">
      <x v="14"/>
    </i>
    <i r="5">
      <x v="1"/>
    </i>
    <i r="6">
      <x v="16"/>
    </i>
    <i r="7">
      <x v="1"/>
    </i>
    <i t="blank" r="6">
      <x v="16"/>
    </i>
    <i t="default" r="3">
      <x v="22"/>
    </i>
    <i t="blank" r="3">
      <x v="22"/>
    </i>
    <i r="3">
      <x v="29"/>
    </i>
    <i r="4">
      <x v="22"/>
    </i>
    <i r="5">
      <x v="1"/>
    </i>
    <i r="6">
      <x v="16"/>
    </i>
    <i r="7">
      <x v="1"/>
    </i>
    <i t="blank" r="6">
      <x v="16"/>
    </i>
    <i r="6">
      <x v="22"/>
    </i>
    <i r="7">
      <x v="1"/>
    </i>
    <i t="blank" r="6">
      <x v="22"/>
    </i>
    <i t="default" r="3">
      <x v="29"/>
    </i>
    <i t="blank" r="3">
      <x v="29"/>
    </i>
    <i r="3">
      <x v="30"/>
    </i>
    <i r="4">
      <x v="8"/>
    </i>
    <i r="5">
      <x v="1"/>
    </i>
    <i r="6">
      <x v="19"/>
    </i>
    <i r="7">
      <x v="1"/>
    </i>
    <i t="blank" r="6">
      <x v="19"/>
    </i>
    <i r="6">
      <x v="21"/>
    </i>
    <i r="7">
      <x v="1"/>
    </i>
    <i t="blank" r="6">
      <x v="21"/>
    </i>
    <i t="default" r="3">
      <x v="30"/>
    </i>
    <i t="blank" r="3">
      <x v="30"/>
    </i>
    <i r="3">
      <x v="31"/>
    </i>
    <i r="4">
      <x v="22"/>
    </i>
    <i r="5">
      <x v="1"/>
    </i>
    <i r="6">
      <x v="39"/>
    </i>
    <i r="7">
      <x v="1"/>
    </i>
    <i t="blank" r="6">
      <x v="39"/>
    </i>
    <i r="6">
      <x v="40"/>
    </i>
    <i r="7">
      <x v="1"/>
    </i>
    <i t="blank" r="6">
      <x v="40"/>
    </i>
    <i t="default" r="3">
      <x v="31"/>
    </i>
    <i t="blank" r="3">
      <x v="31"/>
    </i>
    <i r="3">
      <x v="32"/>
    </i>
    <i r="4">
      <x v="10"/>
    </i>
    <i r="5">
      <x v="1"/>
    </i>
    <i r="6">
      <x v="19"/>
    </i>
    <i r="7">
      <x v="1"/>
    </i>
    <i t="blank" r="6">
      <x v="19"/>
    </i>
    <i r="6">
      <x v="22"/>
    </i>
    <i r="7">
      <x v="1"/>
    </i>
    <i t="blank" r="6">
      <x v="22"/>
    </i>
    <i r="4">
      <x v="15"/>
    </i>
    <i r="5">
      <x v="1"/>
    </i>
    <i r="6">
      <x v="22"/>
    </i>
    <i r="7">
      <x v="1"/>
    </i>
    <i t="blank" r="6">
      <x v="22"/>
    </i>
    <i r="4">
      <x v="22"/>
    </i>
    <i r="5">
      <x v="1"/>
    </i>
    <i r="6">
      <x v="19"/>
    </i>
    <i r="7">
      <x v="1"/>
    </i>
    <i t="blank" r="6">
      <x v="19"/>
    </i>
    <i r="4">
      <x v="79"/>
    </i>
    <i r="5">
      <x v="1"/>
    </i>
    <i r="6">
      <x v="19"/>
    </i>
    <i r="7">
      <x v="1"/>
    </i>
    <i t="blank" r="6">
      <x v="19"/>
    </i>
    <i r="6">
      <x v="21"/>
    </i>
    <i r="7">
      <x v="1"/>
    </i>
    <i t="blank" r="6">
      <x v="21"/>
    </i>
    <i t="default" r="3">
      <x v="32"/>
    </i>
    <i t="blank" r="3">
      <x v="32"/>
    </i>
    <i r="3">
      <x v="33"/>
    </i>
    <i r="4">
      <x v="12"/>
    </i>
    <i r="5">
      <x v="1"/>
    </i>
    <i r="6">
      <x v="23"/>
    </i>
    <i r="7">
      <x v="1"/>
    </i>
    <i t="blank" r="6">
      <x v="23"/>
    </i>
    <i r="4">
      <x v="90"/>
    </i>
    <i r="5">
      <x v="1"/>
    </i>
    <i r="6">
      <x v="23"/>
    </i>
    <i r="7">
      <x v="1"/>
    </i>
    <i t="blank" r="6">
      <x v="23"/>
    </i>
    <i t="default" r="3">
      <x v="33"/>
    </i>
    <i t="blank" r="3">
      <x v="33"/>
    </i>
    <i r="3">
      <x v="35"/>
    </i>
    <i r="4">
      <x v="9"/>
    </i>
    <i r="5">
      <x v="1"/>
    </i>
    <i r="6">
      <x v="24"/>
    </i>
    <i r="7">
      <x v="1"/>
    </i>
    <i t="blank" r="6">
      <x v="24"/>
    </i>
    <i t="default" r="3">
      <x v="35"/>
    </i>
    <i t="blank" r="3">
      <x v="35"/>
    </i>
    <i r="3">
      <x v="36"/>
    </i>
    <i r="4">
      <x v="109"/>
    </i>
    <i r="5">
      <x v="1"/>
    </i>
    <i r="6">
      <x v="177"/>
    </i>
    <i r="7">
      <x v="1"/>
    </i>
    <i t="blank" r="6">
      <x v="177"/>
    </i>
    <i r="6">
      <x v="217"/>
    </i>
    <i r="7">
      <x v="1"/>
    </i>
    <i t="blank" r="6">
      <x v="217"/>
    </i>
    <i t="default" r="3">
      <x v="36"/>
    </i>
    <i t="blank" r="3">
      <x v="36"/>
    </i>
    <i r="3">
      <x v="41"/>
    </i>
    <i r="4">
      <x v="16"/>
    </i>
    <i r="5">
      <x v="1"/>
    </i>
    <i r="6">
      <x v="16"/>
    </i>
    <i r="7">
      <x v="1"/>
    </i>
    <i t="blank" r="6">
      <x v="16"/>
    </i>
    <i r="4">
      <x v="17"/>
    </i>
    <i r="5">
      <x v="1"/>
    </i>
    <i r="6">
      <x v="16"/>
    </i>
    <i r="7">
      <x v="1"/>
    </i>
    <i t="blank" r="6">
      <x v="16"/>
    </i>
    <i r="6">
      <x v="19"/>
    </i>
    <i r="7">
      <x v="1"/>
    </i>
    <i t="blank" r="6">
      <x v="19"/>
    </i>
    <i r="6">
      <x v="21"/>
    </i>
    <i r="7">
      <x v="1"/>
    </i>
    <i t="blank" r="6">
      <x v="21"/>
    </i>
    <i r="6">
      <x v="36"/>
    </i>
    <i r="7">
      <x v="1"/>
    </i>
    <i t="blank" r="6">
      <x v="36"/>
    </i>
    <i t="default" r="3">
      <x v="41"/>
    </i>
    <i t="blank" r="3">
      <x v="41"/>
    </i>
    <i r="3">
      <x v="42"/>
    </i>
    <i r="4">
      <x v="99"/>
    </i>
    <i r="5">
      <x v="1"/>
    </i>
    <i r="6">
      <x v="49"/>
    </i>
    <i r="7">
      <x v="1"/>
    </i>
    <i t="blank" r="6">
      <x v="49"/>
    </i>
    <i r="6">
      <x v="193"/>
    </i>
    <i r="7">
      <x v="1"/>
    </i>
    <i t="blank" r="6">
      <x v="193"/>
    </i>
    <i r="4">
      <x v="100"/>
    </i>
    <i r="5">
      <x v="1"/>
    </i>
    <i r="6">
      <x v="193"/>
    </i>
    <i r="7">
      <x v="1"/>
    </i>
    <i t="blank" r="6">
      <x v="193"/>
    </i>
    <i t="default" r="3">
      <x v="42"/>
    </i>
    <i t="blank" r="3">
      <x v="42"/>
    </i>
    <i r="3">
      <x v="45"/>
    </i>
    <i r="4">
      <x v="90"/>
    </i>
    <i r="5">
      <x v="1"/>
    </i>
    <i r="6">
      <x v="199"/>
    </i>
    <i r="7">
      <x v="1"/>
    </i>
    <i t="blank" r="6">
      <x v="199"/>
    </i>
    <i t="default" r="3">
      <x v="45"/>
    </i>
    <i t="blank" r="3">
      <x v="45"/>
    </i>
    <i r="3">
      <x v="50"/>
    </i>
    <i r="4">
      <x v="8"/>
    </i>
    <i r="5">
      <x v="1"/>
    </i>
    <i r="6">
      <x v="19"/>
    </i>
    <i r="7">
      <x v="1"/>
    </i>
    <i t="blank" r="6">
      <x v="19"/>
    </i>
    <i r="4">
      <x v="14"/>
    </i>
    <i r="5">
      <x v="1"/>
    </i>
    <i r="6">
      <x v="19"/>
    </i>
    <i r="7">
      <x v="1"/>
    </i>
    <i t="blank" r="6">
      <x v="19"/>
    </i>
    <i r="6">
      <x v="22"/>
    </i>
    <i r="7">
      <x v="1"/>
    </i>
    <i t="blank" r="6">
      <x v="22"/>
    </i>
    <i t="default" r="3">
      <x v="50"/>
    </i>
    <i t="blank" r="3">
      <x v="50"/>
    </i>
    <i r="3">
      <x v="51"/>
    </i>
    <i r="4">
      <x v="24"/>
    </i>
    <i r="5">
      <x v="1"/>
    </i>
    <i r="6">
      <x v="42"/>
    </i>
    <i r="7">
      <x v="1"/>
    </i>
    <i t="blank" r="6">
      <x v="42"/>
    </i>
    <i r="4">
      <x v="90"/>
    </i>
    <i r="5">
      <x v="1"/>
    </i>
    <i r="6">
      <x v="42"/>
    </i>
    <i r="7">
      <x v="1"/>
    </i>
    <i t="blank" r="6">
      <x v="42"/>
    </i>
    <i r="6">
      <x v="50"/>
    </i>
    <i r="7">
      <x v="1"/>
    </i>
    <i t="blank" r="6">
      <x v="50"/>
    </i>
    <i t="default" r="3">
      <x v="51"/>
    </i>
    <i t="blank" r="3">
      <x v="51"/>
    </i>
    <i r="3">
      <x v="52"/>
    </i>
    <i r="4">
      <x v="9"/>
    </i>
    <i r="5">
      <x v="1"/>
    </i>
    <i r="6">
      <x v="17"/>
    </i>
    <i r="7">
      <x v="1"/>
    </i>
    <i t="blank" r="6">
      <x v="17"/>
    </i>
    <i r="6">
      <x v="25"/>
    </i>
    <i r="7">
      <x v="1"/>
    </i>
    <i t="blank" r="6">
      <x v="25"/>
    </i>
    <i r="4">
      <x v="90"/>
    </i>
    <i r="5">
      <x v="1"/>
    </i>
    <i r="6">
      <x v="17"/>
    </i>
    <i r="7">
      <x v="1"/>
    </i>
    <i t="blank" r="6">
      <x v="17"/>
    </i>
    <i t="default" r="3">
      <x v="52"/>
    </i>
    <i t="blank" r="3">
      <x v="52"/>
    </i>
    <i r="3">
      <x v="54"/>
    </i>
    <i r="4">
      <x v="109"/>
    </i>
    <i r="5">
      <x v="1"/>
    </i>
    <i r="6">
      <x v="177"/>
    </i>
    <i r="7">
      <x v="1"/>
    </i>
    <i t="blank" r="6">
      <x v="177"/>
    </i>
    <i t="default" r="3">
      <x v="54"/>
    </i>
    <i t="blank" r="3">
      <x v="54"/>
    </i>
    <i r="3">
      <x v="57"/>
    </i>
    <i r="4">
      <x v="78"/>
    </i>
    <i r="5">
      <x v="1"/>
    </i>
    <i r="6">
      <x v="177"/>
    </i>
    <i r="7">
      <x v="1"/>
    </i>
    <i t="blank" r="6">
      <x v="177"/>
    </i>
    <i r="4">
      <x v="79"/>
    </i>
    <i r="5">
      <x v="1"/>
    </i>
    <i r="6">
      <x v="16"/>
    </i>
    <i r="7">
      <x v="1"/>
    </i>
    <i t="blank" r="6">
      <x v="16"/>
    </i>
    <i r="6">
      <x v="19"/>
    </i>
    <i r="7">
      <x v="1"/>
    </i>
    <i t="blank" r="6">
      <x v="19"/>
    </i>
    <i r="4">
      <x v="92"/>
    </i>
    <i r="5">
      <x v="1"/>
    </i>
    <i r="6">
      <x v="19"/>
    </i>
    <i r="7">
      <x v="1"/>
    </i>
    <i t="blank" r="6">
      <x v="19"/>
    </i>
    <i r="6">
      <x v="39"/>
    </i>
    <i r="7">
      <x v="1"/>
    </i>
    <i t="blank" r="6">
      <x v="39"/>
    </i>
    <i r="6">
      <x v="40"/>
    </i>
    <i r="7">
      <x v="1"/>
    </i>
    <i t="blank" r="6">
      <x v="40"/>
    </i>
    <i r="6">
      <x v="200"/>
    </i>
    <i r="7">
      <x v="1"/>
    </i>
    <i t="blank" r="6">
      <x v="200"/>
    </i>
    <i r="6">
      <x v="201"/>
    </i>
    <i r="7">
      <x v="1"/>
    </i>
    <i t="blank" r="6">
      <x v="201"/>
    </i>
    <i r="6">
      <x v="202"/>
    </i>
    <i r="7">
      <x v="1"/>
    </i>
    <i t="blank" r="6">
      <x v="202"/>
    </i>
    <i r="4">
      <x v="109"/>
    </i>
    <i r="5">
      <x v="1"/>
    </i>
    <i r="6">
      <x v="177"/>
    </i>
    <i r="7">
      <x v="1"/>
    </i>
    <i t="blank" r="6">
      <x v="177"/>
    </i>
    <i t="default" r="3">
      <x v="57"/>
    </i>
    <i t="blank" r="3">
      <x v="57"/>
    </i>
    <i r="3">
      <x v="58"/>
    </i>
    <i r="4">
      <x v="25"/>
    </i>
    <i r="5">
      <x v="1"/>
    </i>
    <i r="6">
      <x v="25"/>
    </i>
    <i r="7">
      <x v="1"/>
    </i>
    <i t="blank" r="6">
      <x v="25"/>
    </i>
    <i r="4">
      <x v="90"/>
    </i>
    <i r="5">
      <x v="1"/>
    </i>
    <i r="6">
      <x v="25"/>
    </i>
    <i r="7">
      <x v="1"/>
    </i>
    <i t="blank" r="6">
      <x v="25"/>
    </i>
    <i r="4">
      <x v="91"/>
    </i>
    <i r="5">
      <x v="1"/>
    </i>
    <i r="6">
      <x v="25"/>
    </i>
    <i r="7">
      <x v="1"/>
    </i>
    <i t="blank" r="6">
      <x v="25"/>
    </i>
    <i r="4">
      <x v="96"/>
    </i>
    <i r="5">
      <x v="1"/>
    </i>
    <i r="6">
      <x v="25"/>
    </i>
    <i r="7">
      <x v="1"/>
    </i>
    <i t="blank" r="6">
      <x v="25"/>
    </i>
    <i r="6">
      <x v="38"/>
    </i>
    <i r="7">
      <x v="1"/>
    </i>
    <i t="blank" r="6">
      <x v="38"/>
    </i>
    <i r="4">
      <x v="97"/>
    </i>
    <i r="5">
      <x v="1"/>
    </i>
    <i r="6">
      <x v="38"/>
    </i>
    <i r="7">
      <x v="1"/>
    </i>
    <i t="blank" r="6">
      <x v="38"/>
    </i>
    <i r="4">
      <x v="98"/>
    </i>
    <i r="5">
      <x v="1"/>
    </i>
    <i r="6">
      <x v="38"/>
    </i>
    <i r="7">
      <x v="1"/>
    </i>
    <i t="blank" r="6">
      <x v="38"/>
    </i>
    <i r="6">
      <x v="46"/>
    </i>
    <i r="7">
      <x v="1"/>
    </i>
    <i t="blank" r="6">
      <x v="46"/>
    </i>
    <i t="default" r="3">
      <x v="58"/>
    </i>
    <i t="blank" r="3">
      <x v="58"/>
    </i>
    <i r="3">
      <x v="59"/>
    </i>
    <i r="4">
      <x v="90"/>
    </i>
    <i r="5">
      <x v="1"/>
    </i>
    <i r="6">
      <x v="203"/>
    </i>
    <i r="7">
      <x v="1"/>
    </i>
    <i t="blank" r="6">
      <x v="203"/>
    </i>
    <i t="default" r="3">
      <x v="59"/>
    </i>
    <i t="blank" r="3">
      <x v="59"/>
    </i>
    <i r="3">
      <x v="68"/>
    </i>
    <i r="4">
      <x v="26"/>
    </i>
    <i r="5">
      <x v="1"/>
    </i>
    <i r="6">
      <x v="43"/>
    </i>
    <i r="7">
      <x v="1"/>
    </i>
    <i t="blank" r="6">
      <x v="43"/>
    </i>
    <i t="default" r="3">
      <x v="68"/>
    </i>
    <i t="blank" r="3">
      <x v="68"/>
    </i>
    <i r="3">
      <x v="93"/>
    </i>
    <i r="4">
      <x v="109"/>
    </i>
    <i r="5">
      <x v="1"/>
    </i>
    <i r="6">
      <x v="177"/>
    </i>
    <i r="7">
      <x v="1"/>
    </i>
    <i t="blank" r="6">
      <x v="177"/>
    </i>
    <i t="default" r="3">
      <x v="93"/>
    </i>
    <i t="blank" r="3">
      <x v="93"/>
    </i>
    <i r="3">
      <x v="94"/>
    </i>
    <i r="4">
      <x v="15"/>
    </i>
    <i r="5">
      <x v="1"/>
    </i>
    <i r="6">
      <x v="16"/>
    </i>
    <i r="7">
      <x v="1"/>
    </i>
    <i t="blank" r="6">
      <x v="16"/>
    </i>
    <i r="6">
      <x v="19"/>
    </i>
    <i r="7">
      <x v="1"/>
    </i>
    <i t="blank" r="6">
      <x v="19"/>
    </i>
    <i t="default" r="3">
      <x v="94"/>
    </i>
    <i t="blank" r="3">
      <x v="94"/>
    </i>
    <i r="3">
      <x v="95"/>
    </i>
    <i r="4">
      <x v="78"/>
    </i>
    <i r="5">
      <x v="1"/>
    </i>
    <i r="6">
      <x v="177"/>
    </i>
    <i r="7">
      <x v="1"/>
    </i>
    <i t="blank" r="6">
      <x v="177"/>
    </i>
    <i t="default" r="3">
      <x v="95"/>
    </i>
    <i t="blank" r="3">
      <x v="95"/>
    </i>
    <i r="3">
      <x v="98"/>
    </i>
    <i r="4">
      <x v="78"/>
    </i>
    <i r="5">
      <x v="1"/>
    </i>
    <i r="6">
      <x v="177"/>
    </i>
    <i r="7">
      <x v="1"/>
    </i>
    <i t="blank" r="6">
      <x v="177"/>
    </i>
    <i r="4">
      <x v="109"/>
    </i>
    <i r="5">
      <x v="1"/>
    </i>
    <i r="6">
      <x v="177"/>
    </i>
    <i r="7">
      <x v="1"/>
    </i>
    <i t="blank" r="6">
      <x v="177"/>
    </i>
    <i t="default" r="3">
      <x v="98"/>
    </i>
    <i t="blank" r="3">
      <x v="98"/>
    </i>
    <i r="3">
      <x v="99"/>
    </i>
    <i r="4">
      <x v="78"/>
    </i>
    <i r="5">
      <x v="1"/>
    </i>
    <i r="6">
      <x v="177"/>
    </i>
    <i r="7">
      <x v="1"/>
    </i>
    <i t="blank" r="6">
      <x v="177"/>
    </i>
    <i t="default" r="3">
      <x v="99"/>
    </i>
    <i t="blank" r="3">
      <x v="99"/>
    </i>
    <i r="3">
      <x v="100"/>
    </i>
    <i r="4">
      <x v="90"/>
    </i>
    <i r="5">
      <x v="1"/>
    </i>
    <i r="6">
      <x v="177"/>
    </i>
    <i r="7">
      <x v="1"/>
    </i>
    <i t="blank" r="6">
      <x v="177"/>
    </i>
    <i t="default" r="3">
      <x v="100"/>
    </i>
    <i t="blank" r="3">
      <x v="100"/>
    </i>
    <i r="3">
      <x v="101"/>
    </i>
    <i r="4">
      <x v="90"/>
    </i>
    <i r="5">
      <x v="1"/>
    </i>
    <i r="6">
      <x v="204"/>
    </i>
    <i r="7">
      <x v="1"/>
    </i>
    <i t="blank" r="6">
      <x v="204"/>
    </i>
    <i t="default" r="3">
      <x v="101"/>
    </i>
    <i t="blank" r="3">
      <x v="101"/>
    </i>
    <i r="3">
      <x v="102"/>
    </i>
    <i r="4">
      <x v="14"/>
    </i>
    <i r="5">
      <x v="1"/>
    </i>
    <i r="6">
      <x v="16"/>
    </i>
    <i r="7">
      <x v="1"/>
    </i>
    <i t="blank" r="6">
      <x v="16"/>
    </i>
    <i r="4">
      <x v="22"/>
    </i>
    <i r="5">
      <x v="1"/>
    </i>
    <i r="6">
      <x v="16"/>
    </i>
    <i r="7">
      <x v="1"/>
    </i>
    <i t="blank" r="6">
      <x v="16"/>
    </i>
    <i r="6">
      <x v="19"/>
    </i>
    <i r="7">
      <x v="1"/>
    </i>
    <i t="blank" r="6">
      <x v="19"/>
    </i>
    <i t="default" r="3">
      <x v="102"/>
    </i>
    <i t="blank" r="3">
      <x v="102"/>
    </i>
    <i r="3">
      <x v="103"/>
    </i>
    <i r="4">
      <x v="9"/>
    </i>
    <i r="5">
      <x v="1"/>
    </i>
    <i r="6">
      <x v="25"/>
    </i>
    <i r="7">
      <x v="1"/>
    </i>
    <i t="blank" r="6">
      <x v="25"/>
    </i>
    <i r="4">
      <x v="24"/>
    </i>
    <i r="5">
      <x v="1"/>
    </i>
    <i r="6">
      <x v="25"/>
    </i>
    <i r="7">
      <x v="1"/>
    </i>
    <i t="blank" r="6">
      <x v="25"/>
    </i>
    <i r="4">
      <x v="93"/>
    </i>
    <i r="5">
      <x v="1"/>
    </i>
    <i r="6">
      <x v="25"/>
    </i>
    <i r="7">
      <x v="1"/>
    </i>
    <i t="blank" r="6">
      <x v="25"/>
    </i>
    <i r="6">
      <x v="50"/>
    </i>
    <i r="7">
      <x v="1"/>
    </i>
    <i t="blank" r="6">
      <x v="50"/>
    </i>
    <i r="4">
      <x v="94"/>
    </i>
    <i r="5">
      <x v="1"/>
    </i>
    <i r="6">
      <x v="46"/>
    </i>
    <i r="7">
      <x v="1"/>
    </i>
    <i t="blank" r="6">
      <x v="46"/>
    </i>
    <i r="6">
      <x v="50"/>
    </i>
    <i r="7">
      <x v="1"/>
    </i>
    <i t="blank" r="6">
      <x v="50"/>
    </i>
    <i r="6">
      <x v="71"/>
    </i>
    <i r="7">
      <x v="1"/>
    </i>
    <i t="blank" r="6">
      <x v="71"/>
    </i>
    <i r="4">
      <x v="95"/>
    </i>
    <i r="5">
      <x v="1"/>
    </i>
    <i r="6">
      <x v="48"/>
    </i>
    <i r="7">
      <x v="1"/>
    </i>
    <i t="blank" r="6">
      <x v="48"/>
    </i>
    <i r="6">
      <x v="71"/>
    </i>
    <i r="7">
      <x v="1"/>
    </i>
    <i t="blank" r="6">
      <x v="71"/>
    </i>
    <i r="6">
      <x v="205"/>
    </i>
    <i r="7">
      <x v="1"/>
    </i>
    <i t="blank" r="6">
      <x v="205"/>
    </i>
    <i t="default" r="3">
      <x v="103"/>
    </i>
    <i t="blank" r="3">
      <x v="103"/>
    </i>
    <i r="3">
      <x v="104"/>
    </i>
    <i r="4">
      <x v="109"/>
    </i>
    <i r="5">
      <x v="1"/>
    </i>
    <i r="6">
      <x v="177"/>
    </i>
    <i r="7">
      <x v="1"/>
    </i>
    <i t="blank" r="6">
      <x v="177"/>
    </i>
    <i t="default" r="3">
      <x v="104"/>
    </i>
    <i t="blank" r="3">
      <x v="104"/>
    </i>
    <i r="3">
      <x v="109"/>
    </i>
    <i r="4">
      <x v="109"/>
    </i>
    <i r="5">
      <x v="1"/>
    </i>
    <i r="6">
      <x v="177"/>
    </i>
    <i r="7">
      <x v="1"/>
    </i>
    <i t="blank" r="6">
      <x v="177"/>
    </i>
    <i r="6">
      <x v="217"/>
    </i>
    <i r="7">
      <x v="1"/>
    </i>
    <i t="blank" r="6">
      <x v="217"/>
    </i>
    <i t="default" r="3">
      <x v="109"/>
    </i>
    <i t="blank" r="3">
      <x v="109"/>
    </i>
    <i r="3">
      <x v="110"/>
    </i>
    <i r="4">
      <x v="92"/>
    </i>
    <i r="5">
      <x v="1"/>
    </i>
    <i r="6">
      <x v="71"/>
    </i>
    <i r="7">
      <x v="1"/>
    </i>
    <i t="blank" r="6">
      <x v="71"/>
    </i>
    <i r="6">
      <x v="200"/>
    </i>
    <i r="7">
      <x v="1"/>
    </i>
    <i t="blank" r="6">
      <x v="200"/>
    </i>
    <i r="6">
      <x v="201"/>
    </i>
    <i r="7">
      <x v="1"/>
    </i>
    <i t="blank" r="6">
      <x v="201"/>
    </i>
    <i r="6">
      <x v="206"/>
    </i>
    <i r="7">
      <x v="1"/>
    </i>
    <i t="blank" r="6">
      <x v="206"/>
    </i>
    <i t="default" r="3">
      <x v="110"/>
    </i>
    <i t="blank" r="3">
      <x v="110"/>
    </i>
    <i r="3">
      <x v="112"/>
    </i>
    <i r="4">
      <x v="18"/>
    </i>
    <i r="5">
      <x v="1"/>
    </i>
    <i r="6">
      <x v="26"/>
    </i>
    <i r="7">
      <x v="1"/>
    </i>
    <i t="blank" r="6">
      <x v="26"/>
    </i>
    <i r="6">
      <x v="27"/>
    </i>
    <i r="7">
      <x v="1"/>
    </i>
    <i t="blank" r="6">
      <x v="27"/>
    </i>
    <i r="6">
      <x v="28"/>
    </i>
    <i r="7">
      <x v="1"/>
    </i>
    <i t="blank" r="6">
      <x v="28"/>
    </i>
    <i r="4">
      <x v="24"/>
    </i>
    <i r="5">
      <x v="1"/>
    </i>
    <i r="6">
      <x v="28"/>
    </i>
    <i r="7">
      <x v="1"/>
    </i>
    <i t="blank" r="6">
      <x v="28"/>
    </i>
    <i r="6">
      <x v="44"/>
    </i>
    <i r="7">
      <x v="1"/>
    </i>
    <i t="blank" r="6">
      <x v="44"/>
    </i>
    <i r="6">
      <x v="45"/>
    </i>
    <i r="7">
      <x v="1"/>
    </i>
    <i t="blank" r="6">
      <x v="45"/>
    </i>
    <i r="6">
      <x v="46"/>
    </i>
    <i r="7">
      <x v="1"/>
    </i>
    <i t="blank" r="6">
      <x v="46"/>
    </i>
    <i r="6">
      <x v="47"/>
    </i>
    <i r="7">
      <x v="1"/>
    </i>
    <i t="blank" r="6">
      <x v="47"/>
    </i>
    <i r="6">
      <x v="48"/>
    </i>
    <i r="7">
      <x v="1"/>
    </i>
    <i t="blank" r="6">
      <x v="48"/>
    </i>
    <i t="default" r="3">
      <x v="112"/>
    </i>
    <i t="blank" r="3">
      <x v="112"/>
    </i>
    <i r="3">
      <x v="113"/>
    </i>
    <i r="4">
      <x v="21"/>
    </i>
    <i r="5">
      <x v="1"/>
    </i>
    <i r="6">
      <x v="25"/>
    </i>
    <i r="7">
      <x v="1"/>
    </i>
    <i t="blank" r="6">
      <x v="25"/>
    </i>
    <i r="4">
      <x v="90"/>
    </i>
    <i r="5">
      <x v="1"/>
    </i>
    <i r="6">
      <x v="25"/>
    </i>
    <i r="7">
      <x v="1"/>
    </i>
    <i t="blank" r="6">
      <x v="25"/>
    </i>
    <i t="default" r="3">
      <x v="113"/>
    </i>
    <i t="blank" r="3">
      <x v="113"/>
    </i>
    <i r="3">
      <x v="114"/>
    </i>
    <i r="4">
      <x v="8"/>
    </i>
    <i r="5">
      <x v="1"/>
    </i>
    <i r="6">
      <x v="16"/>
    </i>
    <i r="7">
      <x v="1"/>
    </i>
    <i t="blank" r="6">
      <x v="16"/>
    </i>
    <i r="4">
      <x v="14"/>
    </i>
    <i r="5">
      <x v="1"/>
    </i>
    <i r="6">
      <x v="16"/>
    </i>
    <i r="7">
      <x v="1"/>
    </i>
    <i t="blank" r="6">
      <x v="16"/>
    </i>
    <i t="default" r="3">
      <x v="114"/>
    </i>
    <i t="blank" r="3">
      <x v="114"/>
    </i>
    <i r="3">
      <x v="115"/>
    </i>
    <i r="4">
      <x v="23"/>
    </i>
    <i r="5">
      <x v="1"/>
    </i>
    <i r="6">
      <x v="41"/>
    </i>
    <i r="7">
      <x v="1"/>
    </i>
    <i t="blank" r="6">
      <x v="41"/>
    </i>
    <i t="default" r="3">
      <x v="115"/>
    </i>
    <i t="blank" r="3">
      <x v="115"/>
    </i>
    <i r="3">
      <x v="116"/>
    </i>
    <i r="4">
      <x v="23"/>
    </i>
    <i r="5">
      <x v="1"/>
    </i>
    <i r="6">
      <x v="26"/>
    </i>
    <i r="7">
      <x v="1"/>
    </i>
    <i t="blank" r="6">
      <x v="26"/>
    </i>
    <i t="default" r="3">
      <x v="116"/>
    </i>
    <i t="blank" r="3">
      <x v="116"/>
    </i>
    <i r="3">
      <x v="121"/>
    </i>
    <i r="4">
      <x v="90"/>
    </i>
    <i r="5">
      <x v="1"/>
    </i>
    <i r="6">
      <x v="71"/>
    </i>
    <i r="7">
      <x v="1"/>
    </i>
    <i t="blank" r="6">
      <x v="71"/>
    </i>
    <i t="default" r="3">
      <x v="121"/>
    </i>
    <i t="blank" r="3">
      <x v="121"/>
    </i>
    <i r="3">
      <x v="122"/>
    </i>
    <i r="4">
      <x v="23"/>
    </i>
    <i r="5">
      <x v="1"/>
    </i>
    <i r="6">
      <x v="46"/>
    </i>
    <i r="7">
      <x v="1"/>
    </i>
    <i t="blank" r="6">
      <x v="46"/>
    </i>
    <i t="default" r="3">
      <x v="122"/>
    </i>
    <i t="blank" r="3">
      <x v="122"/>
    </i>
    <i r="3">
      <x v="123"/>
    </i>
    <i r="4">
      <x v="10"/>
    </i>
    <i r="5">
      <x v="1"/>
    </i>
    <i r="6">
      <x v="16"/>
    </i>
    <i r="7">
      <x v="1"/>
    </i>
    <i t="blank" r="6">
      <x v="16"/>
    </i>
    <i t="default" r="3">
      <x v="123"/>
    </i>
    <i t="blank" r="3">
      <x v="123"/>
    </i>
    <i r="3">
      <x v="124"/>
    </i>
    <i r="4">
      <x v="78"/>
    </i>
    <i r="5">
      <x v="1"/>
    </i>
    <i r="6">
      <x v="177"/>
    </i>
    <i r="7">
      <x v="1"/>
    </i>
    <i t="blank" r="6">
      <x v="177"/>
    </i>
    <i t="default" r="3">
      <x v="124"/>
    </i>
    <i t="blank" r="3">
      <x v="124"/>
    </i>
    <i r="3">
      <x v="126"/>
    </i>
    <i r="4">
      <x v="9"/>
    </i>
    <i r="5">
      <x v="1"/>
    </i>
    <i r="6">
      <x v="25"/>
    </i>
    <i r="7">
      <x v="1"/>
    </i>
    <i t="blank" r="6">
      <x v="25"/>
    </i>
    <i r="4">
      <x v="11"/>
    </i>
    <i r="5">
      <x v="1"/>
    </i>
    <i r="6">
      <x v="25"/>
    </i>
    <i r="7">
      <x v="1"/>
    </i>
    <i t="blank" r="6">
      <x v="25"/>
    </i>
    <i r="4">
      <x v="12"/>
    </i>
    <i r="5">
      <x v="1"/>
    </i>
    <i r="6">
      <x v="25"/>
    </i>
    <i r="7">
      <x v="1"/>
    </i>
    <i t="blank" r="6">
      <x v="25"/>
    </i>
    <i r="4">
      <x v="13"/>
    </i>
    <i r="5">
      <x v="1"/>
    </i>
    <i r="6">
      <x v="25"/>
    </i>
    <i r="7">
      <x v="1"/>
    </i>
    <i t="blank" r="6">
      <x v="25"/>
    </i>
    <i r="4">
      <x v="18"/>
    </i>
    <i r="5">
      <x v="1"/>
    </i>
    <i r="6">
      <x v="25"/>
    </i>
    <i r="7">
      <x v="1"/>
    </i>
    <i t="blank" r="6">
      <x v="25"/>
    </i>
    <i r="4">
      <x v="19"/>
    </i>
    <i r="5">
      <x v="1"/>
    </i>
    <i r="6">
      <x v="25"/>
    </i>
    <i r="7">
      <x v="1"/>
    </i>
    <i t="blank" r="6">
      <x v="25"/>
    </i>
    <i r="4">
      <x v="90"/>
    </i>
    <i r="5">
      <x v="1"/>
    </i>
    <i r="6">
      <x v="207"/>
    </i>
    <i r="7">
      <x v="1"/>
    </i>
    <i t="blank" r="6">
      <x v="207"/>
    </i>
    <i r="4">
      <x v="93"/>
    </i>
    <i r="5">
      <x v="1"/>
    </i>
    <i r="6">
      <x v="25"/>
    </i>
    <i r="7">
      <x v="1"/>
    </i>
    <i t="blank" r="6">
      <x v="25"/>
    </i>
    <i t="default" r="3">
      <x v="126"/>
    </i>
    <i t="blank" r="3">
      <x v="126"/>
    </i>
    <i r="3">
      <x v="128"/>
    </i>
    <i r="4">
      <x v="109"/>
    </i>
    <i r="5">
      <x v="1"/>
    </i>
    <i r="6">
      <x v="177"/>
    </i>
    <i r="7">
      <x v="1"/>
    </i>
    <i t="blank" r="6">
      <x v="177"/>
    </i>
    <i r="6">
      <x v="217"/>
    </i>
    <i r="7">
      <x v="1"/>
    </i>
    <i t="blank" r="6">
      <x v="217"/>
    </i>
    <i t="default" r="3">
      <x v="128"/>
    </i>
    <i t="blank" r="3">
      <x v="128"/>
    </i>
    <i r="3">
      <x v="130"/>
    </i>
    <i r="4">
      <x v="9"/>
    </i>
    <i r="5">
      <x v="1"/>
    </i>
    <i r="6">
      <x v="20"/>
    </i>
    <i r="7">
      <x v="1"/>
    </i>
    <i t="blank" r="6">
      <x v="20"/>
    </i>
    <i r="4">
      <x v="12"/>
    </i>
    <i r="5">
      <x v="1"/>
    </i>
    <i r="6">
      <x v="20"/>
    </i>
    <i r="7">
      <x v="1"/>
    </i>
    <i t="blank" r="6">
      <x v="20"/>
    </i>
    <i r="4">
      <x v="19"/>
    </i>
    <i r="5">
      <x v="1"/>
    </i>
    <i r="6">
      <x v="20"/>
    </i>
    <i r="7">
      <x v="1"/>
    </i>
    <i t="blank" r="6">
      <x v="20"/>
    </i>
    <i r="4">
      <x v="24"/>
    </i>
    <i r="5">
      <x v="1"/>
    </i>
    <i r="6">
      <x v="20"/>
    </i>
    <i r="7">
      <x v="1"/>
    </i>
    <i t="blank" r="6">
      <x v="20"/>
    </i>
    <i r="4">
      <x v="90"/>
    </i>
    <i r="5">
      <x v="1"/>
    </i>
    <i r="6">
      <x v="20"/>
    </i>
    <i r="7">
      <x v="1"/>
    </i>
    <i t="blank" r="6">
      <x v="20"/>
    </i>
    <i r="6">
      <x v="23"/>
    </i>
    <i r="7">
      <x v="1"/>
    </i>
    <i t="blank" r="6">
      <x v="23"/>
    </i>
    <i t="default" r="3">
      <x v="130"/>
    </i>
    <i t="blank" r="3">
      <x v="130"/>
    </i>
    <i r="3">
      <x v="135"/>
    </i>
    <i r="4">
      <x v="78"/>
    </i>
    <i r="5">
      <x v="1"/>
    </i>
    <i r="6">
      <x v="177"/>
    </i>
    <i r="7">
      <x v="1"/>
    </i>
    <i t="blank" r="6">
      <x v="177"/>
    </i>
    <i r="4">
      <x v="90"/>
    </i>
    <i r="5">
      <x v="1"/>
    </i>
    <i r="6">
      <x v="177"/>
    </i>
    <i r="7">
      <x v="1"/>
    </i>
    <i t="blank" r="6">
      <x v="177"/>
    </i>
    <i t="default" r="3">
      <x v="135"/>
    </i>
    <i t="blank" r="3">
      <x v="135"/>
    </i>
    <i r="3">
      <x v="136"/>
    </i>
    <i r="4">
      <x v="90"/>
    </i>
    <i r="5">
      <x v="1"/>
    </i>
    <i r="6">
      <x v="177"/>
    </i>
    <i r="7">
      <x v="1"/>
    </i>
    <i t="blank" r="6">
      <x v="177"/>
    </i>
    <i t="default" r="3">
      <x v="136"/>
    </i>
    <i t="blank" r="3">
      <x v="136"/>
    </i>
    <i r="3">
      <x v="137"/>
    </i>
    <i r="4">
      <x v="109"/>
    </i>
    <i r="5">
      <x v="1"/>
    </i>
    <i r="6">
      <x v="177"/>
    </i>
    <i r="7">
      <x v="1"/>
    </i>
    <i t="blank" r="6">
      <x v="177"/>
    </i>
    <i r="6">
      <x v="217"/>
    </i>
    <i r="7">
      <x v="1"/>
    </i>
    <i t="blank" r="6">
      <x v="217"/>
    </i>
    <i t="default" r="3">
      <x v="137"/>
    </i>
    <i t="blank" r="3">
      <x v="137"/>
    </i>
    <i r="3">
      <x v="139"/>
    </i>
    <i r="4">
      <x v="8"/>
    </i>
    <i r="5">
      <x v="1"/>
    </i>
    <i r="6">
      <x v="16"/>
    </i>
    <i r="7">
      <x v="1"/>
    </i>
    <i t="blank" r="6">
      <x v="16"/>
    </i>
    <i r="4">
      <x v="22"/>
    </i>
    <i r="5">
      <x v="1"/>
    </i>
    <i r="6">
      <x v="16"/>
    </i>
    <i r="7">
      <x v="1"/>
    </i>
    <i t="blank" r="6">
      <x v="16"/>
    </i>
    <i t="default" r="3">
      <x v="139"/>
    </i>
    <i t="blank" r="3">
      <x v="139"/>
    </i>
    <i r="3">
      <x v="140"/>
    </i>
    <i r="4">
      <x v="90"/>
    </i>
    <i r="5">
      <x v="1"/>
    </i>
    <i r="6">
      <x v="59"/>
    </i>
    <i r="7">
      <x v="1"/>
    </i>
    <i t="blank" r="6">
      <x v="59"/>
    </i>
    <i r="4">
      <x v="91"/>
    </i>
    <i r="5">
      <x v="1"/>
    </i>
    <i r="6">
      <x v="59"/>
    </i>
    <i r="7">
      <x v="1"/>
    </i>
    <i t="blank" r="6">
      <x v="59"/>
    </i>
    <i r="4">
      <x v="96"/>
    </i>
    <i r="5">
      <x v="1"/>
    </i>
    <i r="6">
      <x v="59"/>
    </i>
    <i r="7">
      <x v="1"/>
    </i>
    <i t="blank" r="6">
      <x v="59"/>
    </i>
    <i r="4">
      <x v="97"/>
    </i>
    <i r="5">
      <x v="1"/>
    </i>
    <i r="6">
      <x v="59"/>
    </i>
    <i r="7">
      <x v="1"/>
    </i>
    <i t="blank" r="6">
      <x v="59"/>
    </i>
    <i r="4">
      <x v="98"/>
    </i>
    <i r="5">
      <x v="1"/>
    </i>
    <i r="6">
      <x v="59"/>
    </i>
    <i r="7">
      <x v="1"/>
    </i>
    <i t="blank" r="6">
      <x v="59"/>
    </i>
    <i r="6">
      <x v="210"/>
    </i>
    <i r="7">
      <x v="1"/>
    </i>
    <i t="blank" r="6">
      <x v="210"/>
    </i>
    <i t="default" r="3">
      <x v="140"/>
    </i>
    <i t="blank" r="3">
      <x v="140"/>
    </i>
    <i r="3">
      <x v="141"/>
    </i>
    <i r="4">
      <x v="90"/>
    </i>
    <i r="5">
      <x v="1"/>
    </i>
    <i r="6">
      <x v="24"/>
    </i>
    <i r="7">
      <x v="1"/>
    </i>
    <i t="blank" r="6">
      <x v="24"/>
    </i>
    <i t="default" r="3">
      <x v="141"/>
    </i>
    <i t="blank" r="3">
      <x v="141"/>
    </i>
    <i r="3">
      <x v="142"/>
    </i>
    <i r="4">
      <x v="109"/>
    </i>
    <i r="5">
      <x v="1"/>
    </i>
    <i r="6">
      <x v="177"/>
    </i>
    <i r="7">
      <x v="1"/>
    </i>
    <i t="blank" r="6">
      <x v="177"/>
    </i>
    <i t="default" r="3">
      <x v="142"/>
    </i>
    <i t="blank" r="3">
      <x v="142"/>
    </i>
    <i r="3">
      <x v="143"/>
    </i>
    <i r="4">
      <x v="90"/>
    </i>
    <i r="5">
      <x v="1"/>
    </i>
    <i r="6">
      <x v="24"/>
    </i>
    <i r="7">
      <x v="1"/>
    </i>
    <i t="blank" r="6">
      <x v="24"/>
    </i>
    <i t="default" r="3">
      <x v="143"/>
    </i>
    <i t="blank" r="3">
      <x v="143"/>
    </i>
    <i r="3">
      <x v="144"/>
    </i>
    <i r="4">
      <x v="109"/>
    </i>
    <i r="5">
      <x v="1"/>
    </i>
    <i r="6">
      <x v="177"/>
    </i>
    <i r="7">
      <x v="1"/>
    </i>
    <i t="blank" r="6">
      <x v="177"/>
    </i>
    <i t="default" r="3">
      <x v="144"/>
    </i>
    <i t="blank" r="3">
      <x v="144"/>
    </i>
    <i r="3">
      <x v="145"/>
    </i>
    <i r="4">
      <x v="90"/>
    </i>
    <i r="5">
      <x v="1"/>
    </i>
    <i r="6">
      <x v="177"/>
    </i>
    <i r="7">
      <x v="1"/>
    </i>
    <i t="blank" r="6">
      <x v="177"/>
    </i>
    <i t="default" r="3">
      <x v="145"/>
    </i>
    <i t="blank" r="3">
      <x v="145"/>
    </i>
    <i r="3">
      <x v="162"/>
    </i>
    <i r="4">
      <x v="22"/>
    </i>
    <i r="5">
      <x v="1"/>
    </i>
    <i r="6">
      <x v="49"/>
    </i>
    <i r="7">
      <x v="1"/>
    </i>
    <i t="blank" r="6">
      <x v="49"/>
    </i>
    <i t="default" r="3">
      <x v="162"/>
    </i>
    <i t="blank" r="3">
      <x v="162"/>
    </i>
    <i r="3">
      <x v="165"/>
    </i>
    <i r="4">
      <x v="90"/>
    </i>
    <i r="5">
      <x v="1"/>
    </i>
    <i r="6">
      <x v="198"/>
    </i>
    <i r="7">
      <x v="1"/>
    </i>
    <i t="blank" r="6">
      <x v="198"/>
    </i>
    <i t="default" r="3">
      <x v="165"/>
    </i>
    <i t="blank" r="3">
      <x v="165"/>
    </i>
    <i r="3">
      <x v="166"/>
    </i>
    <i r="4">
      <x v="21"/>
    </i>
    <i r="5">
      <x v="1"/>
    </i>
    <i r="6">
      <x v="50"/>
    </i>
    <i r="7">
      <x v="1"/>
    </i>
    <i t="blank" r="6">
      <x v="50"/>
    </i>
    <i t="default" r="3">
      <x v="166"/>
    </i>
    <i t="blank" r="3">
      <x v="166"/>
    </i>
    <i r="3">
      <x v="167"/>
    </i>
    <i r="4">
      <x v="9"/>
    </i>
    <i r="5">
      <x v="1"/>
    </i>
    <i r="6">
      <x v="25"/>
    </i>
    <i r="7">
      <x v="1"/>
    </i>
    <i t="blank" r="6">
      <x v="25"/>
    </i>
    <i r="6">
      <x v="30"/>
    </i>
    <i r="7">
      <x v="1"/>
    </i>
    <i t="blank" r="6">
      <x v="30"/>
    </i>
    <i r="6">
      <x v="31"/>
    </i>
    <i r="7">
      <x v="1"/>
    </i>
    <i t="blank" r="6">
      <x v="31"/>
    </i>
    <i r="4">
      <x v="13"/>
    </i>
    <i r="5">
      <x v="1"/>
    </i>
    <i r="6">
      <x v="29"/>
    </i>
    <i r="7">
      <x v="1"/>
    </i>
    <i t="blank" r="6">
      <x v="29"/>
    </i>
    <i r="6">
      <x v="30"/>
    </i>
    <i r="7">
      <x v="1"/>
    </i>
    <i t="blank" r="6">
      <x v="30"/>
    </i>
    <i r="4">
      <x v="24"/>
    </i>
    <i r="5">
      <x v="1"/>
    </i>
    <i r="6">
      <x v="25"/>
    </i>
    <i r="7">
      <x v="1"/>
    </i>
    <i t="blank" r="6">
      <x v="25"/>
    </i>
    <i r="4">
      <x v="25"/>
    </i>
    <i r="5">
      <x v="1"/>
    </i>
    <i r="6">
      <x v="25"/>
    </i>
    <i r="7">
      <x v="1"/>
    </i>
    <i t="blank" r="6">
      <x v="25"/>
    </i>
    <i r="4">
      <x v="27"/>
    </i>
    <i r="5">
      <x v="1"/>
    </i>
    <i r="6">
      <x v="25"/>
    </i>
    <i r="7">
      <x v="1"/>
    </i>
    <i t="blank" r="6">
      <x v="25"/>
    </i>
    <i r="4">
      <x v="90"/>
    </i>
    <i r="5">
      <x v="1"/>
    </i>
    <i r="6">
      <x v="25"/>
    </i>
    <i r="7">
      <x v="1"/>
    </i>
    <i t="blank" r="6">
      <x v="25"/>
    </i>
    <i r="4">
      <x v="93"/>
    </i>
    <i r="5">
      <x v="1"/>
    </i>
    <i r="6">
      <x v="25"/>
    </i>
    <i r="7">
      <x v="1"/>
    </i>
    <i t="blank" r="6">
      <x v="25"/>
    </i>
    <i r="4">
      <x v="94"/>
    </i>
    <i r="5">
      <x v="1"/>
    </i>
    <i r="6">
      <x v="25"/>
    </i>
    <i r="7">
      <x v="1"/>
    </i>
    <i t="blank" r="6">
      <x v="25"/>
    </i>
    <i t="default" r="3">
      <x v="167"/>
    </i>
    <i t="blank" r="3">
      <x v="167"/>
    </i>
    <i r="3">
      <x v="170"/>
    </i>
    <i r="4">
      <x v="10"/>
    </i>
    <i r="5">
      <x v="1"/>
    </i>
    <i r="6">
      <x v="16"/>
    </i>
    <i r="7">
      <x v="1"/>
    </i>
    <i t="blank" r="6">
      <x v="16"/>
    </i>
    <i r="6">
      <x v="32"/>
    </i>
    <i r="7">
      <x v="1"/>
    </i>
    <i t="blank" r="6">
      <x v="32"/>
    </i>
    <i t="default" r="3">
      <x v="170"/>
    </i>
    <i t="blank" r="3">
      <x v="170"/>
    </i>
    <i r="3">
      <x v="172"/>
    </i>
    <i r="4">
      <x v="23"/>
    </i>
    <i r="5">
      <x v="1"/>
    </i>
    <i r="6">
      <x v="41"/>
    </i>
    <i r="7">
      <x v="1"/>
    </i>
    <i t="blank" r="6">
      <x v="41"/>
    </i>
    <i t="default" r="3">
      <x v="172"/>
    </i>
    <i t="blank" r="3">
      <x v="172"/>
    </i>
    <i r="3">
      <x v="173"/>
    </i>
    <i r="4">
      <x v="23"/>
    </i>
    <i r="5">
      <x v="1"/>
    </i>
    <i r="6">
      <x v="41"/>
    </i>
    <i r="7">
      <x v="1"/>
    </i>
    <i t="blank" r="6">
      <x v="41"/>
    </i>
    <i r="4">
      <x v="26"/>
    </i>
    <i r="5">
      <x v="1"/>
    </i>
    <i r="6">
      <x v="41"/>
    </i>
    <i r="7">
      <x v="1"/>
    </i>
    <i t="blank" r="6">
      <x v="41"/>
    </i>
    <i t="default" r="3">
      <x v="173"/>
    </i>
    <i t="blank" r="3">
      <x v="173"/>
    </i>
    <i r="3">
      <x v="176"/>
    </i>
    <i r="4">
      <x v="9"/>
    </i>
    <i r="5">
      <x v="1"/>
    </i>
    <i r="6">
      <x v="34"/>
    </i>
    <i r="7">
      <x v="1"/>
    </i>
    <i t="blank" r="6">
      <x v="34"/>
    </i>
    <i r="6">
      <x v="35"/>
    </i>
    <i r="7">
      <x v="1"/>
    </i>
    <i t="blank" r="6">
      <x v="35"/>
    </i>
    <i r="4">
      <x v="13"/>
    </i>
    <i r="5">
      <x v="1"/>
    </i>
    <i r="6">
      <x v="33"/>
    </i>
    <i r="7">
      <x v="1"/>
    </i>
    <i t="blank" r="6">
      <x v="33"/>
    </i>
    <i r="6">
      <x v="34"/>
    </i>
    <i r="7">
      <x v="1"/>
    </i>
    <i t="blank" r="6">
      <x v="34"/>
    </i>
    <i r="4">
      <x v="90"/>
    </i>
    <i r="5">
      <x v="1"/>
    </i>
    <i r="6">
      <x v="35"/>
    </i>
    <i r="7">
      <x v="1"/>
    </i>
    <i t="blank" r="6">
      <x v="35"/>
    </i>
    <i r="4">
      <x v="109"/>
    </i>
    <i r="5">
      <x v="1"/>
    </i>
    <i r="6">
      <x v="177"/>
    </i>
    <i r="7">
      <x v="1"/>
    </i>
    <i t="blank" r="6">
      <x v="177"/>
    </i>
    <i t="default" r="3">
      <x v="176"/>
    </i>
    <i t="blank" r="3">
      <x v="176"/>
    </i>
    <i r="3">
      <x v="177"/>
    </i>
    <i r="4">
      <x v="20"/>
    </i>
    <i r="5">
      <x v="1"/>
    </i>
    <i r="6">
      <x v="36"/>
    </i>
    <i r="7">
      <x v="1"/>
    </i>
    <i t="blank" r="6">
      <x v="36"/>
    </i>
    <i t="default" r="3">
      <x v="177"/>
    </i>
    <i t="blank" r="3">
      <x v="177"/>
    </i>
    <i r="3">
      <x v="178"/>
    </i>
    <i r="4">
      <x v="11"/>
    </i>
    <i r="5">
      <x v="1"/>
    </i>
    <i r="6">
      <x v="37"/>
    </i>
    <i r="7">
      <x v="1"/>
    </i>
    <i t="blank" r="6">
      <x v="37"/>
    </i>
    <i r="4">
      <x v="12"/>
    </i>
    <i r="5">
      <x v="1"/>
    </i>
    <i r="6">
      <x v="25"/>
    </i>
    <i r="7">
      <x v="1"/>
    </i>
    <i t="blank" r="6">
      <x v="25"/>
    </i>
    <i r="6">
      <x v="37"/>
    </i>
    <i r="7">
      <x v="1"/>
    </i>
    <i t="blank" r="6">
      <x v="37"/>
    </i>
    <i r="4">
      <x v="13"/>
    </i>
    <i r="5">
      <x v="1"/>
    </i>
    <i r="6">
      <x v="25"/>
    </i>
    <i r="7">
      <x v="1"/>
    </i>
    <i t="blank" r="6">
      <x v="25"/>
    </i>
    <i r="4">
      <x v="90"/>
    </i>
    <i r="5">
      <x v="1"/>
    </i>
    <i r="6">
      <x v="37"/>
    </i>
    <i r="7">
      <x v="1"/>
    </i>
    <i t="blank" r="6">
      <x v="37"/>
    </i>
    <i r="6">
      <x v="209"/>
    </i>
    <i r="7">
      <x v="1"/>
    </i>
    <i t="blank" r="6">
      <x v="209"/>
    </i>
    <i t="default" r="3">
      <x v="178"/>
    </i>
    <i t="blank" r="3">
      <x v="178"/>
    </i>
    <i r="3">
      <x v="183"/>
    </i>
    <i r="4">
      <x v="99"/>
    </i>
    <i r="5">
      <x v="1"/>
    </i>
    <i r="6">
      <x v="16"/>
    </i>
    <i r="7">
      <x v="1"/>
    </i>
    <i t="blank" r="6">
      <x v="16"/>
    </i>
    <i r="6">
      <x v="17"/>
    </i>
    <i r="7">
      <x v="1"/>
    </i>
    <i t="blank" r="6">
      <x v="17"/>
    </i>
    <i r="6">
      <x v="19"/>
    </i>
    <i r="7">
      <x v="1"/>
    </i>
    <i t="blank" r="6">
      <x v="19"/>
    </i>
    <i r="6">
      <x v="21"/>
    </i>
    <i r="7">
      <x v="1"/>
    </i>
    <i t="blank" r="6">
      <x v="21"/>
    </i>
    <i r="4">
      <x v="100"/>
    </i>
    <i r="5">
      <x v="1"/>
    </i>
    <i r="6">
      <x v="21"/>
    </i>
    <i r="7">
      <x v="1"/>
    </i>
    <i t="blank" r="6">
      <x v="21"/>
    </i>
    <i r="6">
      <x v="73"/>
    </i>
    <i r="7">
      <x v="1"/>
    </i>
    <i t="blank" r="6">
      <x v="73"/>
    </i>
    <i r="6">
      <x v="200"/>
    </i>
    <i r="7">
      <x v="1"/>
    </i>
    <i t="blank" r="6">
      <x v="200"/>
    </i>
    <i r="4">
      <x v="101"/>
    </i>
    <i r="5">
      <x v="1"/>
    </i>
    <i r="6">
      <x v="200"/>
    </i>
    <i r="7">
      <x v="1"/>
    </i>
    <i t="blank" r="6">
      <x v="200"/>
    </i>
    <i r="4">
      <x v="102"/>
    </i>
    <i r="5">
      <x v="1"/>
    </i>
    <i r="6">
      <x v="200"/>
    </i>
    <i r="7">
      <x v="1"/>
    </i>
    <i t="blank" r="6">
      <x v="200"/>
    </i>
    <i r="6">
      <x v="211"/>
    </i>
    <i r="7">
      <x v="1"/>
    </i>
    <i t="blank" r="6">
      <x v="211"/>
    </i>
    <i r="4">
      <x v="103"/>
    </i>
    <i r="5">
      <x v="1"/>
    </i>
    <i r="6">
      <x v="211"/>
    </i>
    <i r="7">
      <x v="1"/>
    </i>
    <i t="blank" r="6">
      <x v="211"/>
    </i>
    <i t="default" r="3">
      <x v="183"/>
    </i>
    <i t="blank" r="3">
      <x v="183"/>
    </i>
    <i r="3">
      <x v="187"/>
    </i>
    <i r="4">
      <x v="90"/>
    </i>
    <i r="5">
      <x v="1"/>
    </i>
    <i r="6">
      <x v="25"/>
    </i>
    <i r="7">
      <x v="1"/>
    </i>
    <i t="blank" r="6">
      <x v="25"/>
    </i>
    <i t="default" r="3">
      <x v="187"/>
    </i>
    <i t="blank" r="3">
      <x v="187"/>
    </i>
    <i t="default" r="2">
      <x v="3"/>
    </i>
    <i t="blank" r="2">
      <x v="3"/>
    </i>
    <i r="2">
      <x v="5"/>
    </i>
    <i r="3">
      <x v="10"/>
    </i>
    <i r="4">
      <x v="4"/>
    </i>
    <i r="5">
      <x v="1"/>
    </i>
    <i r="6">
      <x v="4"/>
    </i>
    <i r="7">
      <x v="1"/>
    </i>
    <i t="blank" r="6">
      <x v="4"/>
    </i>
    <i r="6">
      <x v="5"/>
    </i>
    <i r="7">
      <x v="1"/>
    </i>
    <i t="blank" r="6">
      <x v="5"/>
    </i>
    <i t="default" r="3">
      <x v="10"/>
    </i>
    <i t="blank" r="3">
      <x v="10"/>
    </i>
    <i r="3">
      <x v="17"/>
    </i>
    <i r="4">
      <x v="5"/>
    </i>
    <i r="5">
      <x v="1"/>
    </i>
    <i r="6">
      <x v="6"/>
    </i>
    <i r="7">
      <x v="1"/>
    </i>
    <i t="blank" r="6">
      <x v="6"/>
    </i>
    <i r="6">
      <x v="7"/>
    </i>
    <i r="7">
      <x v="1"/>
    </i>
    <i t="blank" r="6">
      <x v="7"/>
    </i>
    <i t="default" r="3">
      <x v="17"/>
    </i>
    <i t="blank" r="3">
      <x v="17"/>
    </i>
    <i r="3">
      <x v="19"/>
    </i>
    <i r="4">
      <x v="89"/>
    </i>
    <i r="5">
      <x v="1"/>
    </i>
    <i r="6">
      <x v="4"/>
    </i>
    <i r="7">
      <x v="1"/>
    </i>
    <i t="blank" r="6">
      <x v="4"/>
    </i>
    <i r="6">
      <x v="192"/>
    </i>
    <i r="7">
      <x v="1"/>
    </i>
    <i t="blank" r="6">
      <x v="192"/>
    </i>
    <i r="6">
      <x v="193"/>
    </i>
    <i r="7">
      <x v="1"/>
    </i>
    <i t="blank" r="6">
      <x v="193"/>
    </i>
    <i r="6">
      <x v="194"/>
    </i>
    <i r="7">
      <x v="1"/>
    </i>
    <i t="blank" r="6">
      <x v="194"/>
    </i>
    <i t="default" r="3">
      <x v="19"/>
    </i>
    <i t="blank" r="3">
      <x v="19"/>
    </i>
    <i r="3">
      <x v="76"/>
    </i>
    <i r="4">
      <x v="4"/>
    </i>
    <i r="5">
      <x v="1"/>
    </i>
    <i r="6">
      <x v="8"/>
    </i>
    <i r="7">
      <x v="1"/>
    </i>
    <i t="blank" r="6">
      <x v="8"/>
    </i>
    <i t="default" r="3">
      <x v="76"/>
    </i>
    <i t="blank" r="3">
      <x v="76"/>
    </i>
    <i r="3">
      <x v="83"/>
    </i>
    <i r="4">
      <x v="5"/>
    </i>
    <i r="5">
      <x v="1"/>
    </i>
    <i r="6">
      <x v="9"/>
    </i>
    <i r="7">
      <x v="1"/>
    </i>
    <i t="blank" r="6">
      <x v="9"/>
    </i>
    <i r="6">
      <x v="10"/>
    </i>
    <i r="7">
      <x v="1"/>
    </i>
    <i t="blank" r="6">
      <x v="10"/>
    </i>
    <i r="6">
      <x v="11"/>
    </i>
    <i r="7">
      <x v="1"/>
    </i>
    <i t="blank" r="6">
      <x v="11"/>
    </i>
    <i t="default" r="3">
      <x v="83"/>
    </i>
    <i t="blank" r="3">
      <x v="83"/>
    </i>
    <i r="3">
      <x v="111"/>
    </i>
    <i r="4">
      <x v="6"/>
    </i>
    <i r="5">
      <x v="1"/>
    </i>
    <i r="6">
      <x v="12"/>
    </i>
    <i r="7">
      <x v="1"/>
    </i>
    <i t="blank" r="6">
      <x v="12"/>
    </i>
    <i r="4">
      <x v="7"/>
    </i>
    <i r="5">
      <x v="1"/>
    </i>
    <i r="6">
      <x v="12"/>
    </i>
    <i r="7">
      <x v="1"/>
    </i>
    <i t="blank" r="6">
      <x v="12"/>
    </i>
    <i r="6">
      <x v="13"/>
    </i>
    <i r="7">
      <x v="1"/>
    </i>
    <i t="blank" r="6">
      <x v="13"/>
    </i>
    <i t="default" r="3">
      <x v="111"/>
    </i>
    <i t="blank" r="3">
      <x v="111"/>
    </i>
    <i r="3">
      <x v="131"/>
    </i>
    <i r="4">
      <x v="4"/>
    </i>
    <i r="5">
      <x v="1"/>
    </i>
    <i r="6">
      <x v="14"/>
    </i>
    <i r="7">
      <x v="1"/>
    </i>
    <i t="blank" r="6">
      <x v="14"/>
    </i>
    <i t="default" r="3">
      <x v="131"/>
    </i>
    <i t="blank" r="3">
      <x v="131"/>
    </i>
    <i r="3">
      <x v="155"/>
    </i>
    <i r="4">
      <x v="4"/>
    </i>
    <i r="5">
      <x v="1"/>
    </i>
    <i r="6">
      <x v="15"/>
    </i>
    <i r="7">
      <x v="1"/>
    </i>
    <i t="blank" r="6">
      <x v="15"/>
    </i>
    <i r="4">
      <x v="89"/>
    </i>
    <i r="5">
      <x v="1"/>
    </i>
    <i r="6">
      <x v="15"/>
    </i>
    <i r="7">
      <x v="1"/>
    </i>
    <i t="blank" r="6">
      <x v="15"/>
    </i>
    <i r="6">
      <x v="194"/>
    </i>
    <i r="7">
      <x v="1"/>
    </i>
    <i t="blank" r="6">
      <x v="194"/>
    </i>
    <i t="default" r="3">
      <x v="155"/>
    </i>
    <i t="blank" r="3">
      <x v="155"/>
    </i>
    <i r="3">
      <x v="156"/>
    </i>
    <i r="4">
      <x v="89"/>
    </i>
    <i r="5">
      <x v="1"/>
    </i>
    <i r="6">
      <x v="15"/>
    </i>
    <i r="7">
      <x v="1"/>
    </i>
    <i t="blank" r="6">
      <x v="15"/>
    </i>
    <i r="6">
      <x v="194"/>
    </i>
    <i r="7">
      <x v="1"/>
    </i>
    <i t="blank" r="6">
      <x v="194"/>
    </i>
    <i t="default" r="3">
      <x v="156"/>
    </i>
    <i t="blank" r="3">
      <x v="156"/>
    </i>
    <i r="3">
      <x v="159"/>
    </i>
    <i r="4">
      <x v="89"/>
    </i>
    <i r="5">
      <x v="1"/>
    </i>
    <i r="6">
      <x v="194"/>
    </i>
    <i r="7">
      <x v="1"/>
    </i>
    <i t="blank" r="6">
      <x v="194"/>
    </i>
    <i r="6">
      <x v="195"/>
    </i>
    <i r="7">
      <x v="1"/>
    </i>
    <i t="blank" r="6">
      <x v="195"/>
    </i>
    <i t="default" r="3">
      <x v="159"/>
    </i>
    <i t="blank" r="3">
      <x v="159"/>
    </i>
    <i r="3">
      <x v="189"/>
    </i>
    <i r="4">
      <x v="3"/>
    </i>
    <i r="5">
      <x v="1"/>
    </i>
    <i r="6">
      <x v="3"/>
    </i>
    <i r="7">
      <x v="1"/>
    </i>
    <i t="blank" r="6">
      <x v="3"/>
    </i>
    <i r="4">
      <x v="89"/>
    </i>
    <i r="5">
      <x v="1"/>
    </i>
    <i r="6">
      <x v="196"/>
    </i>
    <i r="7">
      <x v="1"/>
    </i>
    <i t="blank" r="6">
      <x v="196"/>
    </i>
    <i t="default" r="3">
      <x v="189"/>
    </i>
    <i t="blank" r="3">
      <x v="189"/>
    </i>
    <i r="3">
      <x v="190"/>
    </i>
    <i r="4">
      <x v="2"/>
    </i>
    <i r="5">
      <x v="1"/>
    </i>
    <i r="6">
      <x v="2"/>
    </i>
    <i r="7">
      <x v="1"/>
    </i>
    <i t="blank" r="6">
      <x v="2"/>
    </i>
    <i t="default" r="3">
      <x v="190"/>
    </i>
    <i t="blank" r="3">
      <x v="190"/>
    </i>
    <i t="default" r="2">
      <x v="5"/>
    </i>
    <i t="blank" r="2">
      <x v="5"/>
    </i>
    <i r="2">
      <x v="6"/>
    </i>
    <i r="3">
      <x v="91"/>
    </i>
    <i r="4">
      <x v="106"/>
    </i>
    <i r="5">
      <x v="1"/>
    </i>
    <i r="6">
      <x v="214"/>
    </i>
    <i r="7">
      <x v="1"/>
    </i>
    <i t="blank" r="6">
      <x v="214"/>
    </i>
    <i r="6">
      <x v="215"/>
    </i>
    <i r="7">
      <x v="1"/>
    </i>
    <i t="blank" r="6">
      <x v="215"/>
    </i>
    <i t="default" r="3">
      <x v="91"/>
    </i>
    <i t="blank" r="3">
      <x v="91"/>
    </i>
    <i r="3">
      <x v="163"/>
    </i>
    <i r="4">
      <x v="106"/>
    </i>
    <i r="5">
      <x v="1"/>
    </i>
    <i r="6">
      <x v="214"/>
    </i>
    <i r="7">
      <x v="1"/>
    </i>
    <i t="blank" r="6">
      <x v="214"/>
    </i>
    <i r="6">
      <x v="215"/>
    </i>
    <i r="7">
      <x v="1"/>
    </i>
    <i t="blank" r="6">
      <x v="215"/>
    </i>
    <i r="6">
      <x v="216"/>
    </i>
    <i r="7">
      <x v="1"/>
    </i>
    <i t="blank" r="6">
      <x v="216"/>
    </i>
    <i t="default" r="3">
      <x v="163"/>
    </i>
    <i t="blank" r="3">
      <x v="163"/>
    </i>
    <i t="default" r="2">
      <x v="6"/>
    </i>
    <i t="blank" r="2">
      <x v="6"/>
    </i>
    <i t="default" r="1">
      <x v="1"/>
    </i>
    <i t="blank" r="1">
      <x v="1"/>
    </i>
    <i t="default">
      <x v="2"/>
    </i>
    <i t="blank">
      <x v="2"/>
    </i>
    <i t="grand">
      <x/>
    </i>
  </rowItems>
  <colFields count="1">
    <field x="-2"/>
  </colFields>
  <colItems count="14">
    <i>
      <x/>
    </i>
    <i i="1">
      <x v="1"/>
    </i>
    <i i="2">
      <x v="2"/>
    </i>
    <i i="3">
      <x v="3"/>
    </i>
    <i i="4">
      <x v="4"/>
    </i>
    <i i="5">
      <x v="5"/>
    </i>
    <i i="6">
      <x v="6"/>
    </i>
    <i i="7">
      <x v="7"/>
    </i>
    <i i="8">
      <x v="8"/>
    </i>
    <i i="9">
      <x v="9"/>
    </i>
    <i i="10">
      <x v="10"/>
    </i>
    <i i="11">
      <x v="11"/>
    </i>
    <i i="12">
      <x v="12"/>
    </i>
    <i i="13">
      <x v="13"/>
    </i>
  </colItems>
  <dataFields count="14">
    <dataField name="Unidades vendidas" fld="20" baseField="0" baseItem="0" numFmtId="40"/>
    <dataField name="Precio de Venta en Moneda Original" fld="24" baseField="0" baseItem="0" numFmtId="39"/>
    <dataField name="Equivalencia " fld="25" subtotal="average" baseField="0" baseItem="0" numFmtId="169"/>
    <dataField name="Tipo de Cambio - Fecha de Venta " fld="27" subtotal="average" baseField="0" baseItem="0" numFmtId="169"/>
    <dataField name="Precio de Venta en MXN " fld="28" baseField="0" baseItem="0" numFmtId="40"/>
    <dataField name="Costo Histórico en Moneda Original" fld="6" baseField="0" baseItem="0" numFmtId="39"/>
    <dataField name=" Equivalencia" fld="10" subtotal="average" baseField="0" baseItem="0" numFmtId="169"/>
    <dataField name="Tipo de Cambio - Fecha de Adquisición" fld="12" subtotal="average" baseField="0" baseItem="0" numFmtId="176"/>
    <dataField name="Costo de Adquisición en MXN " fld="13" baseField="0" baseItem="0" numFmtId="40"/>
    <dataField name="INPC de Adquisición " fld="14" subtotal="average" baseField="0" baseItem="0" numFmtId="169"/>
    <dataField name="INPC de Enajenación " fld="15" subtotal="average" baseField="0" baseItem="0" numFmtId="169"/>
    <dataField name=" Factor " fld="16" subtotal="average" baseField="0" baseItem="0" numFmtId="169"/>
    <dataField name="Costo Actualizado MXN " fld="17" baseField="0" baseItem="0" numFmtId="40"/>
    <dataField name="Ganancia Acumulable / (Pérdida deducible) " fld="33" baseField="0" baseItem="0" numFmtId="40"/>
  </dataFields>
  <formats count="153">
    <format dxfId="417">
      <pivotArea type="all" dataOnly="0" outline="0" fieldPosition="0"/>
    </format>
    <format dxfId="416">
      <pivotArea field="0" type="button" dataOnly="0" labelOnly="1" outline="0" axis="axisRow" fieldPosition="2"/>
    </format>
    <format dxfId="415">
      <pivotArea dataOnly="0" labelOnly="1" fieldPosition="0">
        <references count="1">
          <reference field="0" count="0"/>
        </references>
      </pivotArea>
    </format>
    <format dxfId="414">
      <pivotArea dataOnly="0" labelOnly="1" grandRow="1" outline="0" fieldPosition="0"/>
    </format>
    <format dxfId="413">
      <pivotArea dataOnly="0" labelOnly="1" outline="0" fieldPosition="0">
        <references count="1">
          <reference field="4294967294" count="3">
            <x v="2"/>
            <x v="6"/>
            <x v="11"/>
          </reference>
        </references>
      </pivotArea>
    </format>
    <format dxfId="412">
      <pivotArea field="0" type="button" dataOnly="0" labelOnly="1" outline="0" axis="axisRow" fieldPosition="2"/>
    </format>
    <format dxfId="411">
      <pivotArea dataOnly="0" labelOnly="1" outline="0" fieldPosition="0">
        <references count="1">
          <reference field="4294967294" count="3">
            <x v="2"/>
            <x v="6"/>
            <x v="11"/>
          </reference>
        </references>
      </pivotArea>
    </format>
    <format dxfId="410">
      <pivotArea field="0" type="button" dataOnly="0" labelOnly="1" outline="0" axis="axisRow" fieldPosition="2"/>
    </format>
    <format dxfId="409">
      <pivotArea dataOnly="0" labelOnly="1" outline="0" fieldPosition="0">
        <references count="1">
          <reference field="4294967294" count="3">
            <x v="2"/>
            <x v="6"/>
            <x v="11"/>
          </reference>
        </references>
      </pivotArea>
    </format>
    <format dxfId="408">
      <pivotArea field="0" type="button" dataOnly="0" labelOnly="1" outline="0" axis="axisRow" fieldPosition="2"/>
    </format>
    <format dxfId="407">
      <pivotArea dataOnly="0" labelOnly="1" outline="0" fieldPosition="0">
        <references count="1">
          <reference field="4294967294" count="3">
            <x v="2"/>
            <x v="6"/>
            <x v="11"/>
          </reference>
        </references>
      </pivotArea>
    </format>
    <format dxfId="406">
      <pivotArea grandRow="1" outline="0" collapsedLevelsAreSubtotals="1" fieldPosition="0"/>
    </format>
    <format dxfId="405">
      <pivotArea dataOnly="0" labelOnly="1" grandRow="1" outline="0" fieldPosition="0"/>
    </format>
    <format dxfId="404">
      <pivotArea grandRow="1" outline="0" collapsedLevelsAreSubtotals="1" fieldPosition="0"/>
    </format>
    <format dxfId="403">
      <pivotArea dataOnly="0" labelOnly="1" grandRow="1" outline="0" fieldPosition="0"/>
    </format>
    <format dxfId="402">
      <pivotArea field="0" grandRow="1" outline="0" axis="axisRow" fieldPosition="2">
        <references count="1">
          <reference field="4294967294" count="1" selected="0">
            <x v="6"/>
          </reference>
        </references>
      </pivotArea>
    </format>
    <format dxfId="401">
      <pivotArea field="0" grandRow="1" outline="0" axis="axisRow" fieldPosition="2">
        <references count="1">
          <reference field="4294967294" count="1" selected="0">
            <x v="11"/>
          </reference>
        </references>
      </pivotArea>
    </format>
    <format dxfId="400">
      <pivotArea field="0" grandRow="1" outline="0" axis="axisRow" fieldPosition="2">
        <references count="1">
          <reference field="4294967294" count="1" selected="0">
            <x v="2"/>
          </reference>
        </references>
      </pivotArea>
    </format>
    <format dxfId="399">
      <pivotArea dataOnly="0" fieldPosition="0">
        <references count="1">
          <reference field="0" count="0" defaultSubtotal="1"/>
        </references>
      </pivotArea>
    </format>
    <format dxfId="398">
      <pivotArea field="7" type="button" dataOnly="0" labelOnly="1" outline="0" axis="axisRow" fieldPosition="0"/>
    </format>
    <format dxfId="397">
      <pivotArea field="7" type="button" dataOnly="0" labelOnly="1" outline="0" axis="axisRow" fieldPosition="0"/>
    </format>
    <format dxfId="396">
      <pivotArea dataOnly="0" labelOnly="1" fieldPosition="0">
        <references count="1">
          <reference field="3" count="0"/>
        </references>
      </pivotArea>
    </format>
    <format dxfId="395">
      <pivotArea field="3" type="button" dataOnly="0" labelOnly="1" outline="0" axis="axisRow" fieldPosition="1"/>
    </format>
    <format dxfId="394">
      <pivotArea field="3" type="button" dataOnly="0" labelOnly="1" outline="0" axis="axisRow" fieldPosition="1"/>
    </format>
    <format dxfId="393">
      <pivotArea field="3" type="button" dataOnly="0" labelOnly="1" outline="0" axis="axisRow" fieldPosition="1"/>
    </format>
    <format dxfId="392">
      <pivotArea field="7" type="button" dataOnly="0" labelOnly="1" outline="0" axis="axisRow" fieldPosition="0"/>
    </format>
    <format dxfId="391">
      <pivotArea type="all" dataOnly="0" outline="0" fieldPosition="0"/>
    </format>
    <format dxfId="390">
      <pivotArea field="2" type="button" dataOnly="0" labelOnly="1" outline="0" axis="axisRow" fieldPosition="3"/>
    </format>
    <format dxfId="389">
      <pivotArea dataOnly="0" labelOnly="1" outline="0" fieldPosition="0">
        <references count="1">
          <reference field="4294967294" count="3">
            <x v="2"/>
            <x v="6"/>
            <x v="11"/>
          </reference>
        </references>
      </pivotArea>
    </format>
    <format dxfId="388">
      <pivotArea field="2" type="button" dataOnly="0" labelOnly="1" outline="0" axis="axisRow" fieldPosition="3"/>
    </format>
    <format dxfId="387">
      <pivotArea field="5" type="button" dataOnly="0" labelOnly="1" outline="0" axis="axisRow" fieldPosition="6"/>
    </format>
    <format dxfId="386">
      <pivotArea dataOnly="0" labelOnly="1" fieldPosition="0">
        <references count="1">
          <reference field="5" count="0"/>
        </references>
      </pivotArea>
    </format>
    <format dxfId="385">
      <pivotArea dataOnly="0" labelOnly="1" fieldPosition="0">
        <references count="1">
          <reference field="5" count="0"/>
        </references>
      </pivotArea>
    </format>
    <format dxfId="384">
      <pivotArea field="4" type="button" dataOnly="0" labelOnly="1" outline="0" axis="axisRow" fieldPosition="7"/>
    </format>
    <format dxfId="383">
      <pivotArea field="4" type="button" dataOnly="0" labelOnly="1" outline="0" axis="axisRow" fieldPosition="7"/>
    </format>
    <format dxfId="382">
      <pivotArea field="4" type="button" dataOnly="0" labelOnly="1" outline="0" axis="axisRow" fieldPosition="7"/>
    </format>
    <format dxfId="381">
      <pivotArea field="22" type="button" dataOnly="0" labelOnly="1" outline="0" axis="axisRow" fieldPosition="4"/>
    </format>
    <format dxfId="380">
      <pivotArea field="22" type="button" dataOnly="0" labelOnly="1" outline="0" axis="axisRow" fieldPosition="4"/>
    </format>
    <format dxfId="379">
      <pivotArea field="22" type="button" dataOnly="0" labelOnly="1" outline="0" axis="axisRow" fieldPosition="4"/>
    </format>
    <format dxfId="378">
      <pivotArea dataOnly="0" labelOnly="1" fieldPosition="0">
        <references count="1">
          <reference field="4" count="0"/>
        </references>
      </pivotArea>
    </format>
    <format dxfId="377">
      <pivotArea outline="0" fieldPosition="0">
        <references count="1">
          <reference field="4294967294" count="1">
            <x v="5"/>
          </reference>
        </references>
      </pivotArea>
    </format>
    <format dxfId="376">
      <pivotArea outline="0" fieldPosition="0">
        <references count="1">
          <reference field="4294967294" count="1">
            <x v="7"/>
          </reference>
        </references>
      </pivotArea>
    </format>
    <format dxfId="375">
      <pivotArea outline="0" fieldPosition="0">
        <references count="1">
          <reference field="4294967294" count="1">
            <x v="0"/>
          </reference>
        </references>
      </pivotArea>
    </format>
    <format dxfId="374">
      <pivotArea field="23" type="button" dataOnly="0" labelOnly="1" outline="0" axis="axisRow" fieldPosition="5"/>
    </format>
    <format dxfId="373">
      <pivotArea dataOnly="0" labelOnly="1" outline="0" fieldPosition="0">
        <references count="1">
          <reference field="4294967294" count="2">
            <x v="0"/>
            <x v="5"/>
          </reference>
        </references>
      </pivotArea>
    </format>
    <format dxfId="372">
      <pivotArea dataOnly="0" fieldPosition="0">
        <references count="1">
          <reference field="2" count="0" defaultSubtotal="1"/>
        </references>
      </pivotArea>
    </format>
    <format dxfId="371">
      <pivotArea dataOnly="0" labelOnly="1" outline="0" fieldPosition="0">
        <references count="1">
          <reference field="4294967294" count="1">
            <x v="7"/>
          </reference>
        </references>
      </pivotArea>
    </format>
    <format dxfId="370">
      <pivotArea dataOnly="0" outline="0" fieldPosition="0">
        <references count="1">
          <reference field="4294967294" count="1">
            <x v="7"/>
          </reference>
        </references>
      </pivotArea>
    </format>
    <format dxfId="369">
      <pivotArea dataOnly="0" outline="0" fieldPosition="0">
        <references count="1">
          <reference field="4294967294" count="1">
            <x v="6"/>
          </reference>
        </references>
      </pivotArea>
    </format>
    <format dxfId="368">
      <pivotArea dataOnly="0" outline="0" fieldPosition="0">
        <references count="1">
          <reference field="4294967294" count="1">
            <x v="0"/>
          </reference>
        </references>
      </pivotArea>
    </format>
    <format dxfId="367">
      <pivotArea dataOnly="0" labelOnly="1" fieldPosition="0">
        <references count="1">
          <reference field="23" count="0"/>
        </references>
      </pivotArea>
    </format>
    <format dxfId="366">
      <pivotArea dataOnly="0" labelOnly="1" fieldPosition="0">
        <references count="1">
          <reference field="22" count="0"/>
        </references>
      </pivotArea>
    </format>
    <format dxfId="365">
      <pivotArea dataOnly="0" labelOnly="1" fieldPosition="0">
        <references count="1">
          <reference field="22" count="0"/>
        </references>
      </pivotArea>
    </format>
    <format dxfId="364">
      <pivotArea dataOnly="0" outline="0" fieldPosition="0">
        <references count="1">
          <reference field="4294967294" count="1">
            <x v="11"/>
          </reference>
        </references>
      </pivotArea>
    </format>
    <format dxfId="363">
      <pivotArea outline="0" fieldPosition="0">
        <references count="1">
          <reference field="4294967294" count="1">
            <x v="1"/>
          </reference>
        </references>
      </pivotArea>
    </format>
    <format dxfId="362">
      <pivotArea dataOnly="0" labelOnly="1" outline="0" fieldPosition="0">
        <references count="1">
          <reference field="4294967294" count="1">
            <x v="1"/>
          </reference>
        </references>
      </pivotArea>
    </format>
    <format dxfId="361">
      <pivotArea dataOnly="0" outline="0" fieldPosition="0">
        <references count="1">
          <reference field="4294967294" count="1">
            <x v="2"/>
          </reference>
        </references>
      </pivotArea>
    </format>
    <format dxfId="360">
      <pivotArea dataOnly="0" labelOnly="1" outline="0" fieldPosition="0">
        <references count="1">
          <reference field="4294967294" count="1">
            <x v="3"/>
          </reference>
        </references>
      </pivotArea>
    </format>
    <format dxfId="359">
      <pivotArea dataOnly="0" labelOnly="1" outline="0" fieldPosition="0">
        <references count="1">
          <reference field="4294967294" count="1">
            <x v="3"/>
          </reference>
        </references>
      </pivotArea>
    </format>
    <format dxfId="358">
      <pivotArea dataOnly="0" outline="0" fieldPosition="0">
        <references count="1">
          <reference field="4294967294" count="1">
            <x v="3"/>
          </reference>
        </references>
      </pivotArea>
    </format>
    <format dxfId="357">
      <pivotArea outline="0" fieldPosition="0">
        <references count="1">
          <reference field="4294967294" count="1">
            <x v="13"/>
          </reference>
        </references>
      </pivotArea>
    </format>
    <format dxfId="356">
      <pivotArea dataOnly="0" labelOnly="1" outline="0" fieldPosition="0">
        <references count="1">
          <reference field="4294967294" count="1">
            <x v="13"/>
          </reference>
        </references>
      </pivotArea>
    </format>
    <format dxfId="355">
      <pivotArea type="all" dataOnly="0" outline="0" fieldPosition="0"/>
    </format>
    <format dxfId="354">
      <pivotArea dataOnly="0" fieldPosition="0">
        <references count="1">
          <reference field="0" count="0" defaultSubtotal="1"/>
        </references>
      </pivotArea>
    </format>
    <format dxfId="353">
      <pivotArea dataOnly="0" fieldPosition="0">
        <references count="1">
          <reference field="3" count="0" defaultSubtotal="1"/>
        </references>
      </pivotArea>
    </format>
    <format dxfId="352">
      <pivotArea dataOnly="0" fieldPosition="0">
        <references count="1">
          <reference field="7" count="0" defaultSubtotal="1"/>
        </references>
      </pivotArea>
    </format>
    <format dxfId="351">
      <pivotArea dataOnly="0" fieldPosition="0">
        <references count="1">
          <reference field="7" count="0" defaultSubtotal="1"/>
        </references>
      </pivotArea>
    </format>
    <format dxfId="350">
      <pivotArea dataOnly="0" fieldPosition="0">
        <references count="1">
          <reference field="7" count="0" defaultSubtotal="1"/>
        </references>
      </pivotArea>
    </format>
    <format dxfId="349">
      <pivotArea type="all" dataOnly="0" outline="0" fieldPosition="0"/>
    </format>
    <format dxfId="348">
      <pivotArea outline="0" collapsedLevelsAreSubtotals="1" fieldPosition="0"/>
    </format>
    <format dxfId="347">
      <pivotArea field="7" type="button" dataOnly="0" labelOnly="1" outline="0" axis="axisRow" fieldPosition="0"/>
    </format>
    <format dxfId="346">
      <pivotArea field="3" type="button" dataOnly="0" labelOnly="1" outline="0" axis="axisRow" fieldPosition="1"/>
    </format>
    <format dxfId="345">
      <pivotArea field="0" type="button" dataOnly="0" labelOnly="1" outline="0" axis="axisRow" fieldPosition="2"/>
    </format>
    <format dxfId="344">
      <pivotArea field="2" type="button" dataOnly="0" labelOnly="1" outline="0" axis="axisRow" fieldPosition="3"/>
    </format>
    <format dxfId="343">
      <pivotArea field="5" type="button" dataOnly="0" labelOnly="1" outline="0" axis="axisRow" fieldPosition="6"/>
    </format>
    <format dxfId="342">
      <pivotArea field="4" type="button" dataOnly="0" labelOnly="1" outline="0" axis="axisRow" fieldPosition="7"/>
    </format>
    <format dxfId="341">
      <pivotArea field="22" type="button" dataOnly="0" labelOnly="1" outline="0" axis="axisRow" fieldPosition="4"/>
    </format>
    <format dxfId="340">
      <pivotArea field="23" type="button" dataOnly="0" labelOnly="1" outline="0" axis="axisRow" fieldPosition="5"/>
    </format>
    <format dxfId="339">
      <pivotArea dataOnly="0" labelOnly="1" outline="0" fieldPosition="0">
        <references count="1">
          <reference field="7" count="0"/>
        </references>
      </pivotArea>
    </format>
    <format dxfId="338">
      <pivotArea dataOnly="0" labelOnly="1" outline="0" fieldPosition="0">
        <references count="1">
          <reference field="7" count="0" defaultSubtotal="1"/>
        </references>
      </pivotArea>
    </format>
    <format dxfId="337">
      <pivotArea dataOnly="0" labelOnly="1" grandRow="1" outline="0" fieldPosition="0"/>
    </format>
    <format dxfId="336">
      <pivotArea dataOnly="0" labelOnly="1" outline="0" fieldPosition="0">
        <references count="1">
          <reference field="4294967294" count="9">
            <x v="0"/>
            <x v="1"/>
            <x v="2"/>
            <x v="3"/>
            <x v="5"/>
            <x v="6"/>
            <x v="7"/>
            <x v="11"/>
            <x v="13"/>
          </reference>
        </references>
      </pivotArea>
    </format>
    <format dxfId="335">
      <pivotArea field="7" type="button" dataOnly="0" labelOnly="1" outline="0" axis="axisRow" fieldPosition="0"/>
    </format>
    <format dxfId="334">
      <pivotArea field="3" type="button" dataOnly="0" labelOnly="1" outline="0" axis="axisRow" fieldPosition="1"/>
    </format>
    <format dxfId="333">
      <pivotArea field="0" type="button" dataOnly="0" labelOnly="1" outline="0" axis="axisRow" fieldPosition="2"/>
    </format>
    <format dxfId="332">
      <pivotArea field="2" type="button" dataOnly="0" labelOnly="1" outline="0" axis="axisRow" fieldPosition="3"/>
    </format>
    <format dxfId="331">
      <pivotArea field="5" type="button" dataOnly="0" labelOnly="1" outline="0" axis="axisRow" fieldPosition="6"/>
    </format>
    <format dxfId="330">
      <pivotArea field="4" type="button" dataOnly="0" labelOnly="1" outline="0" axis="axisRow" fieldPosition="7"/>
    </format>
    <format dxfId="329">
      <pivotArea field="22" type="button" dataOnly="0" labelOnly="1" outline="0" axis="axisRow" fieldPosition="4"/>
    </format>
    <format dxfId="328">
      <pivotArea field="23" type="button" dataOnly="0" labelOnly="1" outline="0" axis="axisRow" fieldPosition="5"/>
    </format>
    <format dxfId="327">
      <pivotArea dataOnly="0" labelOnly="1" outline="0" fieldPosition="0">
        <references count="1">
          <reference field="4294967294" count="9">
            <x v="0"/>
            <x v="1"/>
            <x v="2"/>
            <x v="3"/>
            <x v="5"/>
            <x v="6"/>
            <x v="7"/>
            <x v="11"/>
            <x v="13"/>
          </reference>
        </references>
      </pivotArea>
    </format>
    <format dxfId="326">
      <pivotArea field="7" type="button" dataOnly="0" labelOnly="1" outline="0" axis="axisRow" fieldPosition="0"/>
    </format>
    <format dxfId="325">
      <pivotArea field="3" type="button" dataOnly="0" labelOnly="1" outline="0" axis="axisRow" fieldPosition="1"/>
    </format>
    <format dxfId="324">
      <pivotArea field="0" type="button" dataOnly="0" labelOnly="1" outline="0" axis="axisRow" fieldPosition="2"/>
    </format>
    <format dxfId="323">
      <pivotArea field="2" type="button" dataOnly="0" labelOnly="1" outline="0" axis="axisRow" fieldPosition="3"/>
    </format>
    <format dxfId="322">
      <pivotArea field="5" type="button" dataOnly="0" labelOnly="1" outline="0" axis="axisRow" fieldPosition="6"/>
    </format>
    <format dxfId="321">
      <pivotArea field="4" type="button" dataOnly="0" labelOnly="1" outline="0" axis="axisRow" fieldPosition="7"/>
    </format>
    <format dxfId="320">
      <pivotArea field="22" type="button" dataOnly="0" labelOnly="1" outline="0" axis="axisRow" fieldPosition="4"/>
    </format>
    <format dxfId="319">
      <pivotArea field="23" type="button" dataOnly="0" labelOnly="1" outline="0" axis="axisRow" fieldPosition="5"/>
    </format>
    <format dxfId="318">
      <pivotArea dataOnly="0" labelOnly="1" outline="0" fieldPosition="0">
        <references count="1">
          <reference field="4294967294" count="9">
            <x v="0"/>
            <x v="1"/>
            <x v="2"/>
            <x v="3"/>
            <x v="5"/>
            <x v="6"/>
            <x v="7"/>
            <x v="11"/>
            <x v="13"/>
          </reference>
        </references>
      </pivotArea>
    </format>
    <format dxfId="317">
      <pivotArea dataOnly="0" fieldPosition="0">
        <references count="1">
          <reference field="2" count="0" defaultSubtotal="1"/>
        </references>
      </pivotArea>
    </format>
    <format dxfId="316">
      <pivotArea dataOnly="0" fieldPosition="0">
        <references count="1">
          <reference field="2" count="0" defaultSubtotal="1"/>
        </references>
      </pivotArea>
    </format>
    <format dxfId="315">
      <pivotArea dataOnly="0" fieldPosition="0">
        <references count="1">
          <reference field="0" count="0" defaultSubtotal="1"/>
        </references>
      </pivotArea>
    </format>
    <format dxfId="314">
      <pivotArea dataOnly="0" fieldPosition="0">
        <references count="1">
          <reference field="0" count="0" defaultSubtotal="1"/>
        </references>
      </pivotArea>
    </format>
    <format dxfId="313">
      <pivotArea dataOnly="0" fieldPosition="0">
        <references count="1">
          <reference field="3" count="0" defaultSubtotal="1"/>
        </references>
      </pivotArea>
    </format>
    <format dxfId="312">
      <pivotArea dataOnly="0" fieldPosition="0">
        <references count="1">
          <reference field="3" count="0" defaultSubtotal="1"/>
        </references>
      </pivotArea>
    </format>
    <format dxfId="311">
      <pivotArea dataOnly="0" fieldPosition="0">
        <references count="1">
          <reference field="7" count="0" defaultSubtotal="1"/>
        </references>
      </pivotArea>
    </format>
    <format dxfId="310">
      <pivotArea dataOnly="0" grandRow="1" fieldPosition="0"/>
    </format>
    <format dxfId="309">
      <pivotArea field="7" type="button" dataOnly="0" labelOnly="1" outline="0" axis="axisRow" fieldPosition="0"/>
    </format>
    <format dxfId="308">
      <pivotArea field="3" type="button" dataOnly="0" labelOnly="1" outline="0" axis="axisRow" fieldPosition="1"/>
    </format>
    <format dxfId="307">
      <pivotArea field="0" type="button" dataOnly="0" labelOnly="1" outline="0" axis="axisRow" fieldPosition="2"/>
    </format>
    <format dxfId="306">
      <pivotArea field="2" type="button" dataOnly="0" labelOnly="1" outline="0" axis="axisRow" fieldPosition="3"/>
    </format>
    <format dxfId="305">
      <pivotArea field="5" type="button" dataOnly="0" labelOnly="1" outline="0" axis="axisRow" fieldPosition="6"/>
    </format>
    <format dxfId="304">
      <pivotArea field="4" type="button" dataOnly="0" labelOnly="1" outline="0" axis="axisRow" fieldPosition="7"/>
    </format>
    <format dxfId="303">
      <pivotArea field="22" type="button" dataOnly="0" labelOnly="1" outline="0" axis="axisRow" fieldPosition="4"/>
    </format>
    <format dxfId="302">
      <pivotArea field="23" type="button" dataOnly="0" labelOnly="1" outline="0" axis="axisRow" fieldPosition="5"/>
    </format>
    <format dxfId="301">
      <pivotArea dataOnly="0" labelOnly="1" outline="0" fieldPosition="0">
        <references count="1">
          <reference field="4294967294" count="9">
            <x v="0"/>
            <x v="1"/>
            <x v="2"/>
            <x v="3"/>
            <x v="5"/>
            <x v="6"/>
            <x v="7"/>
            <x v="11"/>
            <x v="13"/>
          </reference>
        </references>
      </pivotArea>
    </format>
    <format dxfId="300">
      <pivotArea dataOnly="0" labelOnly="1" outline="0" fieldPosition="0">
        <references count="1">
          <reference field="7" count="0"/>
        </references>
      </pivotArea>
    </format>
    <format dxfId="299">
      <pivotArea outline="0" fieldPosition="0">
        <references count="1">
          <reference field="4294967294" count="1">
            <x v="8"/>
          </reference>
        </references>
      </pivotArea>
    </format>
    <format dxfId="298">
      <pivotArea dataOnly="0" labelOnly="1" outline="0" fieldPosition="0">
        <references count="1">
          <reference field="4294967294" count="5">
            <x v="8"/>
            <x v="9"/>
            <x v="10"/>
            <x v="11"/>
            <x v="12"/>
          </reference>
        </references>
      </pivotArea>
    </format>
    <format dxfId="297">
      <pivotArea outline="0" fieldPosition="0">
        <references count="1">
          <reference field="4294967294" count="1">
            <x v="9"/>
          </reference>
        </references>
      </pivotArea>
    </format>
    <format dxfId="296">
      <pivotArea dataOnly="0" outline="0" fieldPosition="0">
        <references count="1">
          <reference field="4294967294" count="1">
            <x v="9"/>
          </reference>
        </references>
      </pivotArea>
    </format>
    <format dxfId="295">
      <pivotArea outline="0" fieldPosition="0">
        <references count="1">
          <reference field="4294967294" count="1">
            <x v="10"/>
          </reference>
        </references>
      </pivotArea>
    </format>
    <format dxfId="294">
      <pivotArea dataOnly="0" outline="0" fieldPosition="0">
        <references count="1">
          <reference field="4294967294" count="1">
            <x v="10"/>
          </reference>
        </references>
      </pivotArea>
    </format>
    <format dxfId="293">
      <pivotArea field="7" grandRow="1" outline="0" axis="axisRow" fieldPosition="0">
        <references count="1">
          <reference field="4294967294" count="2" selected="0">
            <x v="9"/>
            <x v="10"/>
          </reference>
        </references>
      </pivotArea>
    </format>
    <format dxfId="292">
      <pivotArea fieldPosition="0">
        <references count="5">
          <reference field="4294967294" count="3" selected="0">
            <x v="9"/>
            <x v="10"/>
            <x v="11"/>
          </reference>
          <reference field="0" count="0" selected="0"/>
          <reference field="2" count="0" defaultSubtotal="1"/>
          <reference field="3" count="0" selected="0"/>
          <reference field="7" count="0" selected="0"/>
        </references>
      </pivotArea>
    </format>
    <format dxfId="291">
      <pivotArea fieldPosition="0">
        <references count="4">
          <reference field="4294967294" count="3" selected="0">
            <x v="9"/>
            <x v="10"/>
            <x v="11"/>
          </reference>
          <reference field="0" count="0" defaultSubtotal="1"/>
          <reference field="3" count="0" selected="0"/>
          <reference field="7" count="0" selected="0"/>
        </references>
      </pivotArea>
    </format>
    <format dxfId="290">
      <pivotArea fieldPosition="0">
        <references count="3">
          <reference field="4294967294" count="3" selected="0">
            <x v="9"/>
            <x v="10"/>
            <x v="11"/>
          </reference>
          <reference field="3" count="0" defaultSubtotal="1"/>
          <reference field="7" count="0" selected="0"/>
        </references>
      </pivotArea>
    </format>
    <format dxfId="289">
      <pivotArea field="7" grandRow="1" outline="0" axis="axisRow" fieldPosition="0">
        <references count="1">
          <reference field="4294967294" count="1" selected="0">
            <x v="11"/>
          </reference>
        </references>
      </pivotArea>
    </format>
    <format dxfId="288">
      <pivotArea fieldPosition="0">
        <references count="2">
          <reference field="4294967294" count="3" selected="0">
            <x v="9"/>
            <x v="10"/>
            <x v="11"/>
          </reference>
          <reference field="7" count="0" defaultSubtotal="1"/>
        </references>
      </pivotArea>
    </format>
    <format dxfId="287">
      <pivotArea field="7" grandRow="1" outline="0" axis="axisRow" fieldPosition="0">
        <references count="1">
          <reference field="4294967294" count="1" selected="0">
            <x v="2"/>
          </reference>
        </references>
      </pivotArea>
    </format>
    <format dxfId="286">
      <pivotArea fieldPosition="0">
        <references count="2">
          <reference field="4294967294" count="1" selected="0">
            <x v="9"/>
          </reference>
          <reference field="7" count="0" defaultSubtotal="1"/>
        </references>
      </pivotArea>
    </format>
    <format dxfId="285">
      <pivotArea fieldPosition="0">
        <references count="2">
          <reference field="4294967294" count="1" selected="0">
            <x v="10"/>
          </reference>
          <reference field="7" count="0" defaultSubtotal="1"/>
        </references>
      </pivotArea>
    </format>
    <format dxfId="284">
      <pivotArea fieldPosition="0">
        <references count="2">
          <reference field="4294967294" count="1" selected="0">
            <x v="11"/>
          </reference>
          <reference field="7" count="0" defaultSubtotal="1"/>
        </references>
      </pivotArea>
    </format>
    <format dxfId="283">
      <pivotArea outline="0" fieldPosition="0">
        <references count="1">
          <reference field="4294967294" count="1">
            <x v="3"/>
          </reference>
        </references>
      </pivotArea>
    </format>
    <format dxfId="282">
      <pivotArea outline="0" fieldPosition="0">
        <references count="1">
          <reference field="4294967294" count="1">
            <x v="4"/>
          </reference>
        </references>
      </pivotArea>
    </format>
    <format dxfId="281">
      <pivotArea dataOnly="0" labelOnly="1" outline="0" fieldPosition="0">
        <references count="1">
          <reference field="4294967294" count="1">
            <x v="4"/>
          </reference>
        </references>
      </pivotArea>
    </format>
    <format dxfId="280">
      <pivotArea field="7" grandRow="1" outline="0" axis="axisRow" fieldPosition="0">
        <references count="1">
          <reference field="4294967294" count="1" selected="0">
            <x v="7"/>
          </reference>
        </references>
      </pivotArea>
    </format>
    <format dxfId="279">
      <pivotArea field="7" grandRow="1" outline="0" axis="axisRow" fieldPosition="0">
        <references count="1">
          <reference field="4294967294" count="1" selected="0">
            <x v="6"/>
          </reference>
        </references>
      </pivotArea>
    </format>
    <format dxfId="278">
      <pivotArea fieldPosition="0">
        <references count="2">
          <reference field="4294967294" count="2" selected="0">
            <x v="6"/>
            <x v="7"/>
          </reference>
          <reference field="7" count="0" defaultSubtotal="1"/>
        </references>
      </pivotArea>
    </format>
    <format dxfId="277">
      <pivotArea fieldPosition="0">
        <references count="3">
          <reference field="4294967294" count="2" selected="0">
            <x v="6"/>
            <x v="7"/>
          </reference>
          <reference field="3" count="0" defaultSubtotal="1"/>
          <reference field="7" count="0" selected="0"/>
        </references>
      </pivotArea>
    </format>
    <format dxfId="276">
      <pivotArea fieldPosition="0">
        <references count="4">
          <reference field="4294967294" count="2" selected="0">
            <x v="6"/>
            <x v="7"/>
          </reference>
          <reference field="0" count="0" defaultSubtotal="1"/>
          <reference field="3" count="0" selected="0"/>
          <reference field="7" count="0" selected="0"/>
        </references>
      </pivotArea>
    </format>
    <format dxfId="275">
      <pivotArea fieldPosition="0">
        <references count="5">
          <reference field="4294967294" count="2" selected="0">
            <x v="6"/>
            <x v="7"/>
          </reference>
          <reference field="0" count="0" selected="0"/>
          <reference field="2" count="0" defaultSubtotal="1"/>
          <reference field="3" count="0" selected="0"/>
          <reference field="7" count="0" selected="0"/>
        </references>
      </pivotArea>
    </format>
    <format dxfId="274">
      <pivotArea fieldPosition="0">
        <references count="5">
          <reference field="4294967294" count="1" selected="0">
            <x v="3"/>
          </reference>
          <reference field="0" count="0" selected="0"/>
          <reference field="2" count="0" defaultSubtotal="1"/>
          <reference field="3" count="0" selected="0"/>
          <reference field="7" count="0" selected="0"/>
        </references>
      </pivotArea>
    </format>
    <format dxfId="273">
      <pivotArea fieldPosition="0">
        <references count="5">
          <reference field="4294967294" count="1" selected="0">
            <x v="2"/>
          </reference>
          <reference field="0" count="0" selected="0"/>
          <reference field="2" count="0" defaultSubtotal="1"/>
          <reference field="3" count="0" selected="0"/>
          <reference field="7" count="0" selected="0"/>
        </references>
      </pivotArea>
    </format>
    <format dxfId="272">
      <pivotArea outline="0" fieldPosition="0">
        <references count="1">
          <reference field="4294967294" count="1">
            <x v="12"/>
          </reference>
        </references>
      </pivotArea>
    </format>
    <format dxfId="271">
      <pivotArea fieldPosition="0">
        <references count="4">
          <reference field="4294967294" count="1" selected="0">
            <x v="2"/>
          </reference>
          <reference field="0" count="0" defaultSubtotal="1"/>
          <reference field="3" count="0" selected="0"/>
          <reference field="7" count="0" selected="0"/>
        </references>
      </pivotArea>
    </format>
    <format dxfId="270">
      <pivotArea fieldPosition="0">
        <references count="4">
          <reference field="4294967294" count="1" selected="0">
            <x v="3"/>
          </reference>
          <reference field="0" count="0" defaultSubtotal="1"/>
          <reference field="3" count="0" selected="0"/>
          <reference field="7" count="0" selected="0"/>
        </references>
      </pivotArea>
    </format>
    <format dxfId="269">
      <pivotArea fieldPosition="0">
        <references count="3">
          <reference field="4294967294" count="1" selected="0">
            <x v="3"/>
          </reference>
          <reference field="3" count="0" defaultSubtotal="1"/>
          <reference field="7" count="0" selected="0"/>
        </references>
      </pivotArea>
    </format>
    <format dxfId="268">
      <pivotArea fieldPosition="0">
        <references count="3">
          <reference field="4294967294" count="1" selected="0">
            <x v="2"/>
          </reference>
          <reference field="3" count="0" defaultSubtotal="1"/>
          <reference field="7" count="0" selected="0"/>
        </references>
      </pivotArea>
    </format>
    <format dxfId="267">
      <pivotArea fieldPosition="0">
        <references count="2">
          <reference field="4294967294" count="1" selected="0">
            <x v="2"/>
          </reference>
          <reference field="7" count="0" defaultSubtotal="1"/>
        </references>
      </pivotArea>
    </format>
    <format dxfId="266">
      <pivotArea fieldPosition="0">
        <references count="2">
          <reference field="4294967294" count="1" selected="0">
            <x v="3"/>
          </reference>
          <reference field="7" count="0" defaultSubtotal="1"/>
        </references>
      </pivotArea>
    </format>
    <format dxfId="265">
      <pivotArea field="7" grandRow="1" outline="0" axis="axisRow" fieldPosition="0">
        <references count="1">
          <reference field="4294967294" count="1" selected="0">
            <x v="3"/>
          </reference>
        </references>
      </pivotArea>
    </format>
  </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5D1621-000D-C743-81EB-934645B0E2A5}" name="PivotTable1" cacheId="201" applyNumberFormats="0" applyBorderFormats="0" applyFontFormats="0" applyPatternFormats="0" applyAlignmentFormats="0" applyWidthHeightFormats="1" dataCaption="Values" updatedVersion="7" minRefreshableVersion="3" showDrill="0" useAutoFormatting="1" itemPrintTitles="1" createdVersion="6" indent="0" compact="0" outline="1" outlineData="1" compactData="0">
  <location ref="B5:AA50" firstHeaderRow="0" firstDataRow="1" firstDataCol="13"/>
  <pivotFields count="40">
    <pivotField axis="axisRow" compact="0" subtotalTop="0" showAll="0" insertBlankRow="1" sortType="ascending">
      <items count="2">
        <item x="0"/>
        <item t="default"/>
      </items>
    </pivotField>
    <pivotField name="OFD: Nacional / Extranjera" axis="axisRow" compact="0" subtotalTop="0" showAll="0" insertBlankRow="1" sortType="ascending">
      <items count="2">
        <item x="0"/>
        <item t="default"/>
      </items>
    </pivotField>
    <pivotField name="Tipo de Operación Inicial" axis="axisRow" compact="0" subtotalTop="0" showAll="0" insertBlankRow="1" defaultSubtotal="0">
      <items count="1">
        <item x="0"/>
      </items>
    </pivotField>
    <pivotField axis="axisRow" compact="0" subtotalTop="0" showAll="0" insertBlankRow="1" sortType="ascending">
      <items count="2">
        <item x="0"/>
        <item t="default"/>
      </items>
    </pivotField>
    <pivotField name="Moneda Original - Operación Inicial" axis="axisRow" compact="0" subtotalTop="0" showAll="0" insertBlankRow="1" defaultSubtotal="0">
      <items count="1">
        <item x="0"/>
      </items>
    </pivotField>
    <pivotField axis="axisRow" compact="0" subtotalTop="0" showAll="0" insertBlankRow="1" defaultSubtotal="0">
      <items count="1">
        <item x="0"/>
      </items>
    </pivotField>
    <pivotField axis="axisRow" compact="0" subtotalTop="0" showAll="0" insertBlankRow="1" defaultSubtotal="0">
      <items count="1">
        <item x="0"/>
      </items>
    </pivotField>
    <pivotField dataField="1" compact="0" subtotalTop="0" showAll="0" insertBlankRow="1"/>
    <pivotField axis="axisRow" compact="0" subtotalTop="0" showAll="0" insertBlankRow="1" sortType="ascending">
      <items count="3">
        <item x="0"/>
        <item x="1"/>
        <item t="default"/>
      </items>
    </pivotField>
    <pivotField dataField="1" compact="0" subtotalTop="0" showAll="0" insertBlankRow="1"/>
    <pivotField compact="0" subtotalTop="0" showAll="0" insertBlankRow="1"/>
    <pivotField dataField="1" compact="0" subtotalTop="0" showAll="0" insertBlankRow="1"/>
    <pivotField dataField="1" compact="0" subtotalTop="0" showAll="0" insertBlankRow="1"/>
    <pivotField dataField="1" compact="0" subtotalTop="0" showAll="0" insertBlankRow="1"/>
    <pivotField dataField="1" compact="0" subtotalTop="0" showAll="0" insertBlankRow="1"/>
    <pivotField dataField="1" compact="0" subtotalTop="0" showAll="0" insertBlankRow="1"/>
    <pivotField dataField="1" compact="0" subtotalTop="0" showAll="0" insertBlankRow="1"/>
    <pivotField compact="0" subtotalTop="0" showAll="0" insertBlankRow="1"/>
    <pivotField axis="axisRow" compact="0" subtotalTop="0" showAll="0" insertBlankRow="1" defaultSubtotal="0">
      <items count="2">
        <item x="0"/>
        <item x="1"/>
      </items>
    </pivotField>
    <pivotField name="Número de Títulos - Operación Final" axis="axisRow" compact="0" subtotalTop="0" showAll="0" insertBlankRow="1">
      <items count="2">
        <item x="0"/>
        <item t="default"/>
      </items>
    </pivotField>
    <pivotField name="Tipo de Operación Final" axis="axisRow" compact="0" subtotalTop="0" showAll="0" insertBlankRow="1" defaultSubtotal="0">
      <items count="1">
        <item x="0"/>
      </items>
    </pivotField>
    <pivotField axis="axisRow" compact="0" subtotalTop="0" showAll="0" insertBlankRow="1" defaultSubtotal="0">
      <items count="1">
        <item x="0"/>
      </items>
    </pivotField>
    <pivotField name="Moneda Original - Operación Final" axis="axisRow" compact="0" subtotalTop="0" showAll="0" insertBlankRow="1" defaultSubtotal="0">
      <items count="1">
        <item x="0"/>
      </items>
    </pivotField>
    <pivotField dataField="1" compact="0" subtotalTop="0" showAll="0" insertBlankRow="1"/>
    <pivotField dataField="1" compact="0" subtotalTop="0" showAll="0" insertBlankRow="1"/>
    <pivotField compact="0" subtotalTop="0" showAll="0" insertBlankRow="1"/>
    <pivotField dataField="1" compact="0" subtotalTop="0" showAll="0" insertBlankRow="1"/>
    <pivotField dataField="1" compact="0" subtotalTop="0" showAll="0" insertBlankRow="1"/>
    <pivotField compact="0" subtotalTop="0" showAll="0" insertBlankRow="1"/>
    <pivotField dataField="1"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s>
  <rowFields count="13">
    <field x="18"/>
    <field x="8"/>
    <field x="1"/>
    <field x="0"/>
    <field x="3"/>
    <field x="6"/>
    <field x="2"/>
    <field x="5"/>
    <field x="4"/>
    <field x="21"/>
    <field x="22"/>
    <field x="20"/>
    <field x="19"/>
  </rowFields>
  <rowItems count="45">
    <i>
      <x/>
    </i>
    <i r="1">
      <x/>
    </i>
    <i r="2">
      <x/>
    </i>
    <i r="3">
      <x/>
    </i>
    <i r="4">
      <x/>
    </i>
    <i r="5">
      <x/>
    </i>
    <i r="6">
      <x/>
    </i>
    <i r="7">
      <x/>
    </i>
    <i r="8">
      <x/>
    </i>
    <i r="9">
      <x/>
    </i>
    <i r="10">
      <x/>
    </i>
    <i r="11">
      <x/>
    </i>
    <i r="12">
      <x/>
    </i>
    <i t="blank" r="11">
      <x/>
    </i>
    <i t="default" r="4">
      <x/>
    </i>
    <i t="blank" r="4">
      <x/>
    </i>
    <i t="default" r="3">
      <x/>
    </i>
    <i t="blank" r="3">
      <x/>
    </i>
    <i t="default" r="2">
      <x/>
    </i>
    <i t="blank" r="2">
      <x/>
    </i>
    <i t="default" r="1">
      <x/>
    </i>
    <i t="blank" r="1">
      <x/>
    </i>
    <i>
      <x v="1"/>
    </i>
    <i r="1">
      <x v="1"/>
    </i>
    <i r="2">
      <x/>
    </i>
    <i r="3">
      <x/>
    </i>
    <i r="4">
      <x/>
    </i>
    <i r="5">
      <x/>
    </i>
    <i r="6">
      <x/>
    </i>
    <i r="7">
      <x/>
    </i>
    <i r="8">
      <x/>
    </i>
    <i r="9">
      <x/>
    </i>
    <i r="10">
      <x/>
    </i>
    <i r="11">
      <x/>
    </i>
    <i r="12">
      <x/>
    </i>
    <i t="blank" r="11">
      <x/>
    </i>
    <i t="default" r="4">
      <x/>
    </i>
    <i t="blank" r="4">
      <x/>
    </i>
    <i t="default" r="3">
      <x/>
    </i>
    <i t="blank" r="3">
      <x/>
    </i>
    <i t="default" r="2">
      <x/>
    </i>
    <i t="blank" r="2">
      <x/>
    </i>
    <i t="default" r="1">
      <x v="1"/>
    </i>
    <i t="blank" r="1">
      <x v="1"/>
    </i>
    <i t="grand">
      <x/>
    </i>
  </rowItems>
  <colFields count="1">
    <field x="-2"/>
  </colFields>
  <colItems count="13">
    <i>
      <x/>
    </i>
    <i i="1">
      <x v="1"/>
    </i>
    <i i="2">
      <x v="2"/>
    </i>
    <i i="3">
      <x v="3"/>
    </i>
    <i i="4">
      <x v="4"/>
    </i>
    <i i="5">
      <x v="5"/>
    </i>
    <i i="6">
      <x v="6"/>
    </i>
    <i i="7">
      <x v="7"/>
    </i>
    <i i="8">
      <x v="8"/>
    </i>
    <i i="9">
      <x v="9"/>
    </i>
    <i i="10">
      <x v="10"/>
    </i>
    <i i="11">
      <x v="11"/>
    </i>
    <i i="12">
      <x v="12"/>
    </i>
  </colItems>
  <dataFields count="13">
    <dataField name="Monto Inicial en Moneda Original " fld="7" baseField="0" baseItem="0" numFmtId="40"/>
    <dataField name="Equivalencia - Movimiento Inicial " fld="9" subtotal="average" baseField="0" baseItem="0" numFmtId="180"/>
    <dataField name="Tipo de Cambio de Operación Inicial " fld="11" subtotal="average" baseField="0" baseItem="0" numFmtId="169"/>
    <dataField name="Monto Inicial en MXN " fld="12" baseField="0" baseItem="0" numFmtId="40"/>
    <dataField name="INPC Operación Inicial " fld="13" subtotal="average" baseField="0" baseItem="0" numFmtId="169"/>
    <dataField name=" INPC Operación Final" fld="14" subtotal="average" baseField="0" baseItem="0" numFmtId="169"/>
    <dataField name="  Factor " fld="15" subtotal="average" baseField="0" baseItem="0" numFmtId="181"/>
    <dataField name="Operación Original Actualizada en MXN " fld="16" baseField="0" baseItem="0" numFmtId="40"/>
    <dataField name="Monto Final en Moneda Original " fld="23" baseField="0" baseItem="0" numFmtId="178"/>
    <dataField name="Equivalencia - Movimiento Final" fld="24" subtotal="average" baseField="0" baseItem="0" numFmtId="178"/>
    <dataField name="Tipo de Cambio Operación Final  " fld="26" subtotal="average" baseField="0" baseItem="0" numFmtId="169"/>
    <dataField name="Monto Final en MXN " fld="27" baseField="0" baseItem="0" numFmtId="178"/>
    <dataField name=" Ganancia / (Pérdida) en MXN " fld="29" baseField="0" baseItem="0" numFmtId="178"/>
  </dataFields>
  <formats count="265">
    <format dxfId="264">
      <pivotArea dataOnly="0" labelOnly="1" fieldPosition="0">
        <references count="1">
          <reference field="5" count="0"/>
        </references>
      </pivotArea>
    </format>
    <format dxfId="263">
      <pivotArea dataOnly="0" labelOnly="1" fieldPosition="0">
        <references count="1">
          <reference field="5" count="0"/>
        </references>
      </pivotArea>
    </format>
    <format dxfId="262">
      <pivotArea dataOnly="0" labelOnly="1" fieldPosition="0">
        <references count="1">
          <reference field="4" count="0"/>
        </references>
      </pivotArea>
    </format>
    <format dxfId="261">
      <pivotArea dataOnly="0" labelOnly="1" fieldPosition="0">
        <references count="1">
          <reference field="21" count="0"/>
        </references>
      </pivotArea>
    </format>
    <format dxfId="260">
      <pivotArea dataOnly="0" labelOnly="1" fieldPosition="0">
        <references count="1">
          <reference field="21" count="0"/>
        </references>
      </pivotArea>
    </format>
    <format dxfId="259">
      <pivotArea dataOnly="0" labelOnly="1" fieldPosition="0">
        <references count="1">
          <reference field="20" count="0"/>
        </references>
      </pivotArea>
    </format>
    <format dxfId="258">
      <pivotArea dataOnly="0" labelOnly="1" fieldPosition="0">
        <references count="1">
          <reference field="19" count="0"/>
        </references>
      </pivotArea>
    </format>
    <format dxfId="257">
      <pivotArea dataOnly="0" labelOnly="1" fieldPosition="0">
        <references count="1">
          <reference field="6" count="0"/>
        </references>
      </pivotArea>
    </format>
    <format dxfId="256">
      <pivotArea dataOnly="0" labelOnly="1" fieldPosition="0">
        <references count="1">
          <reference field="6" count="0"/>
        </references>
      </pivotArea>
    </format>
    <format dxfId="255">
      <pivotArea dataOnly="0" labelOnly="1" fieldPosition="0">
        <references count="1">
          <reference field="19" count="0"/>
        </references>
      </pivotArea>
    </format>
    <format dxfId="254">
      <pivotArea outline="0" fieldPosition="0">
        <references count="1">
          <reference field="4294967294" count="1">
            <x v="0"/>
          </reference>
        </references>
      </pivotArea>
    </format>
    <format dxfId="253">
      <pivotArea dataOnly="0" labelOnly="1" fieldPosition="0">
        <references count="1">
          <reference field="22" count="0"/>
        </references>
      </pivotArea>
    </format>
    <format dxfId="252">
      <pivotArea field="22" type="button" dataOnly="0" labelOnly="1" outline="0" axis="axisRow" fieldPosition="10"/>
    </format>
    <format dxfId="251">
      <pivotArea dataOnly="0" labelOnly="1" fieldPosition="0">
        <references count="1">
          <reference field="8" count="0"/>
        </references>
      </pivotArea>
    </format>
    <format dxfId="250">
      <pivotArea dataOnly="0" labelOnly="1" fieldPosition="0">
        <references count="1">
          <reference field="8" count="0"/>
        </references>
      </pivotArea>
    </format>
    <format dxfId="249">
      <pivotArea type="all" dataOnly="0" outline="0" fieldPosition="0"/>
    </format>
    <format dxfId="248">
      <pivotArea field="8" type="button" dataOnly="0" labelOnly="1" outline="0" axis="axisRow" fieldPosition="1"/>
    </format>
    <format dxfId="247">
      <pivotArea field="0" type="button" dataOnly="0" labelOnly="1" outline="0" axis="axisRow" fieldPosition="3"/>
    </format>
    <format dxfId="246">
      <pivotArea field="1" type="button" dataOnly="0" labelOnly="1" outline="0" axis="axisRow" fieldPosition="2"/>
    </format>
    <format dxfId="245">
      <pivotArea field="3" type="button" dataOnly="0" labelOnly="1" outline="0" axis="axisRow" fieldPosition="4"/>
    </format>
    <format dxfId="244">
      <pivotArea field="6" type="button" dataOnly="0" labelOnly="1" outline="0" axis="axisRow" fieldPosition="5"/>
    </format>
    <format dxfId="243">
      <pivotArea field="2" type="button" dataOnly="0" labelOnly="1" outline="0" axis="axisRow" fieldPosition="6"/>
    </format>
    <format dxfId="242">
      <pivotArea field="5" type="button" dataOnly="0" labelOnly="1" outline="0" axis="axisRow" fieldPosition="7"/>
    </format>
    <format dxfId="241">
      <pivotArea field="4" type="button" dataOnly="0" labelOnly="1" outline="0" axis="axisRow" fieldPosition="8"/>
    </format>
    <format dxfId="240">
      <pivotArea field="21" type="button" dataOnly="0" labelOnly="1" outline="0" axis="axisRow" fieldPosition="9"/>
    </format>
    <format dxfId="239">
      <pivotArea field="22" type="button" dataOnly="0" labelOnly="1" outline="0" axis="axisRow" fieldPosition="10"/>
    </format>
    <format dxfId="238">
      <pivotArea field="20" type="button" dataOnly="0" labelOnly="1" outline="0" axis="axisRow" fieldPosition="11"/>
    </format>
    <format dxfId="237">
      <pivotArea field="19" type="button" dataOnly="0" labelOnly="1" outline="0" axis="axisRow" fieldPosition="12"/>
    </format>
    <format dxfId="236">
      <pivotArea dataOnly="0" labelOnly="1" outline="0" fieldPosition="0">
        <references count="1">
          <reference field="4294967294" count="13">
            <x v="0"/>
            <x v="1"/>
            <x v="2"/>
            <x v="3"/>
            <x v="4"/>
            <x v="5"/>
            <x v="6"/>
            <x v="7"/>
            <x v="8"/>
            <x v="9"/>
            <x v="10"/>
            <x v="11"/>
            <x v="12"/>
          </reference>
        </references>
      </pivotArea>
    </format>
    <format dxfId="235">
      <pivotArea field="8" type="button" dataOnly="0" labelOnly="1" outline="0" axis="axisRow" fieldPosition="1"/>
    </format>
    <format dxfId="234">
      <pivotArea field="8" type="button" dataOnly="0" labelOnly="1" outline="0" axis="axisRow" fieldPosition="1"/>
    </format>
    <format dxfId="233">
      <pivotArea field="8" type="button" dataOnly="0" labelOnly="1" outline="0" axis="axisRow" fieldPosition="1"/>
    </format>
    <format dxfId="232">
      <pivotArea field="0" type="button" dataOnly="0" labelOnly="1" outline="0" axis="axisRow" fieldPosition="3"/>
    </format>
    <format dxfId="231">
      <pivotArea field="0" type="button" dataOnly="0" labelOnly="1" outline="0" axis="axisRow" fieldPosition="3"/>
    </format>
    <format dxfId="230">
      <pivotArea field="0" type="button" dataOnly="0" labelOnly="1" outline="0" axis="axisRow" fieldPosition="3"/>
    </format>
    <format dxfId="229">
      <pivotArea field="1" type="button" dataOnly="0" labelOnly="1" outline="0" axis="axisRow" fieldPosition="2"/>
    </format>
    <format dxfId="228">
      <pivotArea field="3" type="button" dataOnly="0" labelOnly="1" outline="0" axis="axisRow" fieldPosition="4"/>
    </format>
    <format dxfId="227">
      <pivotArea field="3" type="button" dataOnly="0" labelOnly="1" outline="0" axis="axisRow" fieldPosition="4"/>
    </format>
    <format dxfId="226">
      <pivotArea field="3" type="button" dataOnly="0" labelOnly="1" outline="0" axis="axisRow" fieldPosition="4"/>
    </format>
    <format dxfId="225">
      <pivotArea field="6" type="button" dataOnly="0" labelOnly="1" outline="0" axis="axisRow" fieldPosition="5"/>
    </format>
    <format dxfId="224">
      <pivotArea field="6" type="button" dataOnly="0" labelOnly="1" outline="0" axis="axisRow" fieldPosition="5"/>
    </format>
    <format dxfId="223">
      <pivotArea field="6" type="button" dataOnly="0" labelOnly="1" outline="0" axis="axisRow" fieldPosition="5"/>
    </format>
    <format dxfId="222">
      <pivotArea field="2" type="button" dataOnly="0" labelOnly="1" outline="0" axis="axisRow" fieldPosition="6"/>
    </format>
    <format dxfId="221">
      <pivotArea field="5" type="button" dataOnly="0" labelOnly="1" outline="0" axis="axisRow" fieldPosition="7"/>
    </format>
    <format dxfId="220">
      <pivotArea field="5" type="button" dataOnly="0" labelOnly="1" outline="0" axis="axisRow" fieldPosition="7"/>
    </format>
    <format dxfId="219">
      <pivotArea field="5" type="button" dataOnly="0" labelOnly="1" outline="0" axis="axisRow" fieldPosition="7"/>
    </format>
    <format dxfId="218">
      <pivotArea field="4" type="button" dataOnly="0" labelOnly="1" outline="0" axis="axisRow" fieldPosition="8"/>
    </format>
    <format dxfId="217">
      <pivotArea field="4" type="button" dataOnly="0" labelOnly="1" outline="0" axis="axisRow" fieldPosition="8"/>
    </format>
    <format dxfId="216">
      <pivotArea field="4" type="button" dataOnly="0" labelOnly="1" outline="0" axis="axisRow" fieldPosition="8"/>
    </format>
    <format dxfId="215">
      <pivotArea field="21" type="button" dataOnly="0" labelOnly="1" outline="0" axis="axisRow" fieldPosition="9"/>
    </format>
    <format dxfId="214">
      <pivotArea field="21" type="button" dataOnly="0" labelOnly="1" outline="0" axis="axisRow" fieldPosition="9"/>
    </format>
    <format dxfId="213">
      <pivotArea field="21" type="button" dataOnly="0" labelOnly="1" outline="0" axis="axisRow" fieldPosition="9"/>
    </format>
    <format dxfId="212">
      <pivotArea field="22" type="button" dataOnly="0" labelOnly="1" outline="0" axis="axisRow" fieldPosition="10"/>
    </format>
    <format dxfId="211">
      <pivotArea field="22" type="button" dataOnly="0" labelOnly="1" outline="0" axis="axisRow" fieldPosition="10"/>
    </format>
    <format dxfId="210">
      <pivotArea field="20" type="button" dataOnly="0" labelOnly="1" outline="0" axis="axisRow" fieldPosition="11"/>
    </format>
    <format dxfId="209">
      <pivotArea field="20" type="button" dataOnly="0" labelOnly="1" outline="0" axis="axisRow" fieldPosition="11"/>
    </format>
    <format dxfId="208">
      <pivotArea field="20" type="button" dataOnly="0" labelOnly="1" outline="0" axis="axisRow" fieldPosition="11"/>
    </format>
    <format dxfId="207">
      <pivotArea field="19" type="button" dataOnly="0" labelOnly="1" outline="0" axis="axisRow" fieldPosition="12"/>
    </format>
    <format dxfId="206">
      <pivotArea field="19" type="button" dataOnly="0" labelOnly="1" outline="0" axis="axisRow" fieldPosition="12"/>
    </format>
    <format dxfId="205">
      <pivotArea field="19" type="button" dataOnly="0" labelOnly="1" outline="0" axis="axisRow" fieldPosition="12"/>
    </format>
    <format dxfId="204">
      <pivotArea dataOnly="0" labelOnly="1" outline="0" fieldPosition="0">
        <references count="1">
          <reference field="4294967294" count="1">
            <x v="0"/>
          </reference>
        </references>
      </pivotArea>
    </format>
    <format dxfId="203">
      <pivotArea dataOnly="0" labelOnly="1" outline="0" fieldPosition="0">
        <references count="1">
          <reference field="4294967294" count="1">
            <x v="0"/>
          </reference>
        </references>
      </pivotArea>
    </format>
    <format dxfId="202">
      <pivotArea dataOnly="0" labelOnly="1" outline="0" fieldPosition="0">
        <references count="1">
          <reference field="4294967294" count="1">
            <x v="0"/>
          </reference>
        </references>
      </pivotArea>
    </format>
    <format dxfId="201">
      <pivotArea dataOnly="0" labelOnly="1" outline="0" fieldPosition="0">
        <references count="1">
          <reference field="4294967294" count="1">
            <x v="1"/>
          </reference>
        </references>
      </pivotArea>
    </format>
    <format dxfId="200">
      <pivotArea dataOnly="0" labelOnly="1" outline="0" fieldPosition="0">
        <references count="1">
          <reference field="4294967294" count="1">
            <x v="1"/>
          </reference>
        </references>
      </pivotArea>
    </format>
    <format dxfId="199">
      <pivotArea outline="0" fieldPosition="0">
        <references count="1">
          <reference field="4294967294" count="1">
            <x v="1"/>
          </reference>
        </references>
      </pivotArea>
    </format>
    <format dxfId="198">
      <pivotArea outline="0" fieldPosition="0">
        <references count="1">
          <reference field="4294967294" count="1" selected="0">
            <x v="1"/>
          </reference>
        </references>
      </pivotArea>
    </format>
    <format dxfId="197">
      <pivotArea dataOnly="0" labelOnly="1" outline="0" fieldPosition="0">
        <references count="1">
          <reference field="4294967294" count="1">
            <x v="1"/>
          </reference>
        </references>
      </pivotArea>
    </format>
    <format dxfId="196">
      <pivotArea dataOnly="0" labelOnly="1" outline="0" fieldPosition="0">
        <references count="1">
          <reference field="4294967294" count="1">
            <x v="2"/>
          </reference>
        </references>
      </pivotArea>
    </format>
    <format dxfId="195">
      <pivotArea dataOnly="0" labelOnly="1" outline="0" fieldPosition="0">
        <references count="1">
          <reference field="4294967294" count="1">
            <x v="2"/>
          </reference>
        </references>
      </pivotArea>
    </format>
    <format dxfId="194">
      <pivotArea outline="0" fieldPosition="0">
        <references count="1">
          <reference field="4294967294" count="1" selected="0">
            <x v="2"/>
          </reference>
        </references>
      </pivotArea>
    </format>
    <format dxfId="193">
      <pivotArea dataOnly="0" labelOnly="1" outline="0" fieldPosition="0">
        <references count="1">
          <reference field="4294967294" count="1">
            <x v="2"/>
          </reference>
        </references>
      </pivotArea>
    </format>
    <format dxfId="192">
      <pivotArea outline="0" fieldPosition="0">
        <references count="1">
          <reference field="4294967294" count="1">
            <x v="3"/>
          </reference>
        </references>
      </pivotArea>
    </format>
    <format dxfId="191">
      <pivotArea dataOnly="0" labelOnly="1" outline="0" fieldPosition="0">
        <references count="1">
          <reference field="4294967294" count="1">
            <x v="3"/>
          </reference>
        </references>
      </pivotArea>
    </format>
    <format dxfId="190">
      <pivotArea dataOnly="0" labelOnly="1" outline="0" fieldPosition="0">
        <references count="1">
          <reference field="4294967294" count="1">
            <x v="3"/>
          </reference>
        </references>
      </pivotArea>
    </format>
    <format dxfId="189">
      <pivotArea outline="0" fieldPosition="0">
        <references count="1">
          <reference field="4294967294" count="1">
            <x v="4"/>
          </reference>
        </references>
      </pivotArea>
    </format>
    <format dxfId="188">
      <pivotArea dataOnly="0" labelOnly="1" outline="0" fieldPosition="0">
        <references count="1">
          <reference field="4294967294" count="1">
            <x v="4"/>
          </reference>
        </references>
      </pivotArea>
    </format>
    <format dxfId="187">
      <pivotArea outline="0" fieldPosition="0">
        <references count="1">
          <reference field="4294967294" count="1" selected="0">
            <x v="4"/>
          </reference>
        </references>
      </pivotArea>
    </format>
    <format dxfId="186">
      <pivotArea dataOnly="0" labelOnly="1" outline="0" fieldPosition="0">
        <references count="1">
          <reference field="4294967294" count="1">
            <x v="4"/>
          </reference>
        </references>
      </pivotArea>
    </format>
    <format dxfId="185">
      <pivotArea outline="0" fieldPosition="0">
        <references count="1">
          <reference field="4294967294" count="1" selected="0">
            <x v="4"/>
          </reference>
        </references>
      </pivotArea>
    </format>
    <format dxfId="184">
      <pivotArea dataOnly="0" labelOnly="1" outline="0" fieldPosition="0">
        <references count="1">
          <reference field="4294967294" count="1">
            <x v="4"/>
          </reference>
        </references>
      </pivotArea>
    </format>
    <format dxfId="183">
      <pivotArea outline="0" fieldPosition="0">
        <references count="1">
          <reference field="4294967294" count="1">
            <x v="5"/>
          </reference>
        </references>
      </pivotArea>
    </format>
    <format dxfId="182">
      <pivotArea dataOnly="0" labelOnly="1" outline="0" fieldPosition="0">
        <references count="1">
          <reference field="4294967294" count="1">
            <x v="5"/>
          </reference>
        </references>
      </pivotArea>
    </format>
    <format dxfId="181">
      <pivotArea dataOnly="0" labelOnly="1" outline="0" fieldPosition="0">
        <references count="1">
          <reference field="4294967294" count="1">
            <x v="5"/>
          </reference>
        </references>
      </pivotArea>
    </format>
    <format dxfId="180">
      <pivotArea outline="0" fieldPosition="0">
        <references count="1">
          <reference field="4294967294" count="1" selected="0">
            <x v="5"/>
          </reference>
        </references>
      </pivotArea>
    </format>
    <format dxfId="179">
      <pivotArea dataOnly="0" labelOnly="1" outline="0" fieldPosition="0">
        <references count="1">
          <reference field="4294967294" count="1">
            <x v="5"/>
          </reference>
        </references>
      </pivotArea>
    </format>
    <format dxfId="178">
      <pivotArea outline="0" fieldPosition="0">
        <references count="1">
          <reference field="4294967294" count="1">
            <x v="6"/>
          </reference>
        </references>
      </pivotArea>
    </format>
    <format dxfId="177">
      <pivotArea outline="0" fieldPosition="0">
        <references count="1">
          <reference field="4294967294" count="1" selected="0">
            <x v="6"/>
          </reference>
        </references>
      </pivotArea>
    </format>
    <format dxfId="176">
      <pivotArea dataOnly="0" labelOnly="1" outline="0" fieldPosition="0">
        <references count="1">
          <reference field="4294967294" count="1">
            <x v="6"/>
          </reference>
        </references>
      </pivotArea>
    </format>
    <format dxfId="175">
      <pivotArea dataOnly="0" labelOnly="1" outline="0" fieldPosition="0">
        <references count="1">
          <reference field="4294967294" count="1">
            <x v="6"/>
          </reference>
        </references>
      </pivotArea>
    </format>
    <format dxfId="174">
      <pivotArea dataOnly="0" labelOnly="1" outline="0" fieldPosition="0">
        <references count="1">
          <reference field="4294967294" count="1">
            <x v="6"/>
          </reference>
        </references>
      </pivotArea>
    </format>
    <format dxfId="173">
      <pivotArea dataOnly="0" labelOnly="1" outline="0" fieldPosition="0">
        <references count="1">
          <reference field="4294967294" count="1">
            <x v="7"/>
          </reference>
        </references>
      </pivotArea>
    </format>
    <format dxfId="172">
      <pivotArea dataOnly="0" labelOnly="1" outline="0" fieldPosition="0">
        <references count="1">
          <reference field="4294967294" count="1">
            <x v="7"/>
          </reference>
        </references>
      </pivotArea>
    </format>
    <format dxfId="171">
      <pivotArea outline="0" fieldPosition="0">
        <references count="1">
          <reference field="4294967294" count="1">
            <x v="7"/>
          </reference>
        </references>
      </pivotArea>
    </format>
    <format dxfId="170">
      <pivotArea dataOnly="0" labelOnly="1" outline="0" fieldPosition="0">
        <references count="1">
          <reference field="4294967294" count="1">
            <x v="8"/>
          </reference>
        </references>
      </pivotArea>
    </format>
    <format dxfId="169">
      <pivotArea dataOnly="0" labelOnly="1" outline="0" fieldPosition="0">
        <references count="1">
          <reference field="4294967294" count="1">
            <x v="8"/>
          </reference>
        </references>
      </pivotArea>
    </format>
    <format dxfId="168">
      <pivotArea outline="0" fieldPosition="0">
        <references count="1">
          <reference field="4294967294" count="1">
            <x v="8"/>
          </reference>
        </references>
      </pivotArea>
    </format>
    <format dxfId="167">
      <pivotArea dataOnly="0" labelOnly="1" outline="0" fieldPosition="0">
        <references count="1">
          <reference field="4294967294" count="1">
            <x v="9"/>
          </reference>
        </references>
      </pivotArea>
    </format>
    <format dxfId="166">
      <pivotArea dataOnly="0" labelOnly="1" outline="0" fieldPosition="0">
        <references count="1">
          <reference field="4294967294" count="1">
            <x v="9"/>
          </reference>
        </references>
      </pivotArea>
    </format>
    <format dxfId="165">
      <pivotArea dataOnly="0" labelOnly="1" outline="0" fieldPosition="0">
        <references count="1">
          <reference field="4294967294" count="1">
            <x v="9"/>
          </reference>
        </references>
      </pivotArea>
    </format>
    <format dxfId="164">
      <pivotArea outline="0" fieldPosition="0">
        <references count="1">
          <reference field="4294967294" count="1">
            <x v="9"/>
          </reference>
        </references>
      </pivotArea>
    </format>
    <format dxfId="163">
      <pivotArea dataOnly="0" labelOnly="1" outline="0" fieldPosition="0">
        <references count="1">
          <reference field="4294967294" count="1">
            <x v="10"/>
          </reference>
        </references>
      </pivotArea>
    </format>
    <format dxfId="162">
      <pivotArea dataOnly="0" labelOnly="1" outline="0" fieldPosition="0">
        <references count="1">
          <reference field="4294967294" count="1">
            <x v="10"/>
          </reference>
        </references>
      </pivotArea>
    </format>
    <format dxfId="161">
      <pivotArea outline="0" fieldPosition="0">
        <references count="1">
          <reference field="4294967294" count="1" selected="0">
            <x v="10"/>
          </reference>
        </references>
      </pivotArea>
    </format>
    <format dxfId="160">
      <pivotArea dataOnly="0" labelOnly="1" outline="0" fieldPosition="0">
        <references count="1">
          <reference field="4294967294" count="1">
            <x v="10"/>
          </reference>
        </references>
      </pivotArea>
    </format>
    <format dxfId="159">
      <pivotArea outline="0" fieldPosition="0">
        <references count="1">
          <reference field="4294967294" count="1">
            <x v="11"/>
          </reference>
        </references>
      </pivotArea>
    </format>
    <format dxfId="158">
      <pivotArea dataOnly="0" labelOnly="1" outline="0" fieldPosition="0">
        <references count="1">
          <reference field="4294967294" count="1">
            <x v="11"/>
          </reference>
        </references>
      </pivotArea>
    </format>
    <format dxfId="157">
      <pivotArea dataOnly="0" labelOnly="1" outline="0" fieldPosition="0">
        <references count="1">
          <reference field="4294967294" count="1">
            <x v="11"/>
          </reference>
        </references>
      </pivotArea>
    </format>
    <format dxfId="156">
      <pivotArea dataOnly="0" labelOnly="1" outline="0" fieldPosition="0">
        <references count="1">
          <reference field="4294967294" count="1">
            <x v="11"/>
          </reference>
        </references>
      </pivotArea>
    </format>
    <format dxfId="155">
      <pivotArea outline="0" fieldPosition="0">
        <references count="1">
          <reference field="4294967294" count="1">
            <x v="12"/>
          </reference>
        </references>
      </pivotArea>
    </format>
    <format dxfId="154">
      <pivotArea outline="0" fieldPosition="0">
        <references count="1">
          <reference field="4294967294" count="1">
            <x v="10"/>
          </reference>
        </references>
      </pivotArea>
    </format>
    <format dxfId="153">
      <pivotArea dataOnly="0" labelOnly="1" outline="0" fieldPosition="0">
        <references count="1">
          <reference field="4294967294" count="1">
            <x v="12"/>
          </reference>
        </references>
      </pivotArea>
    </format>
    <format dxfId="152">
      <pivotArea dataOnly="0" labelOnly="1" outline="0" fieldPosition="0">
        <references count="1">
          <reference field="4294967294" count="1">
            <x v="12"/>
          </reference>
        </references>
      </pivotArea>
    </format>
    <format dxfId="151">
      <pivotArea dataOnly="0" labelOnly="1" outline="0" fieldPosition="0">
        <references count="1">
          <reference field="4294967294" count="1">
            <x v="12"/>
          </reference>
        </references>
      </pivotArea>
    </format>
    <format dxfId="150">
      <pivotArea dataOnly="0" fieldPosition="0">
        <references count="1">
          <reference field="3" count="0" defaultSubtotal="1"/>
        </references>
      </pivotArea>
    </format>
    <format dxfId="149">
      <pivotArea dataOnly="0" fieldPosition="0">
        <references count="1">
          <reference field="1" count="0" defaultSubtotal="1"/>
        </references>
      </pivotArea>
    </format>
    <format dxfId="148">
      <pivotArea dataOnly="0" fieldPosition="0">
        <references count="1">
          <reference field="0" count="0" defaultSubtotal="1"/>
        </references>
      </pivotArea>
    </format>
    <format dxfId="147">
      <pivotArea dataOnly="0" fieldPosition="0">
        <references count="1">
          <reference field="8" count="0" defaultSubtotal="1"/>
        </references>
      </pivotArea>
    </format>
    <format dxfId="146">
      <pivotArea dataOnly="0" fieldPosition="0">
        <references count="1">
          <reference field="8" count="0" defaultSubtotal="1"/>
        </references>
      </pivotArea>
    </format>
    <format dxfId="145">
      <pivotArea dataOnly="0" fieldPosition="0">
        <references count="1">
          <reference field="8" count="0" defaultSubtotal="1"/>
        </references>
      </pivotArea>
    </format>
    <format dxfId="144">
      <pivotArea dataOnly="0" grandRow="1" fieldPosition="0"/>
    </format>
    <format dxfId="143">
      <pivotArea dataOnly="0" grandRow="1" fieldPosition="0"/>
    </format>
    <format dxfId="142">
      <pivotArea dataOnly="0" grandRow="1" fieldPosition="0"/>
    </format>
    <format dxfId="141">
      <pivotArea dataOnly="0" labelOnly="1" fieldPosition="0">
        <references count="1">
          <reference field="2" count="0"/>
        </references>
      </pivotArea>
    </format>
    <format dxfId="140">
      <pivotArea type="all" dataOnly="0" outline="0" fieldPosition="0"/>
    </format>
    <format dxfId="139">
      <pivotArea outline="0" collapsedLevelsAreSubtotals="1" fieldPosition="0"/>
    </format>
    <format dxfId="138">
      <pivotArea field="8" type="button" dataOnly="0" labelOnly="1" outline="0" axis="axisRow" fieldPosition="1"/>
    </format>
    <format dxfId="137">
      <pivotArea field="1" type="button" dataOnly="0" labelOnly="1" outline="0" axis="axisRow" fieldPosition="2"/>
    </format>
    <format dxfId="136">
      <pivotArea field="0" type="button" dataOnly="0" labelOnly="1" outline="0" axis="axisRow" fieldPosition="3"/>
    </format>
    <format dxfId="135">
      <pivotArea field="3" type="button" dataOnly="0" labelOnly="1" outline="0" axis="axisRow" fieldPosition="4"/>
    </format>
    <format dxfId="134">
      <pivotArea field="6" type="button" dataOnly="0" labelOnly="1" outline="0" axis="axisRow" fieldPosition="5"/>
    </format>
    <format dxfId="133">
      <pivotArea field="2" type="button" dataOnly="0" labelOnly="1" outline="0" axis="axisRow" fieldPosition="6"/>
    </format>
    <format dxfId="132">
      <pivotArea field="5" type="button" dataOnly="0" labelOnly="1" outline="0" axis="axisRow" fieldPosition="7"/>
    </format>
    <format dxfId="131">
      <pivotArea field="4" type="button" dataOnly="0" labelOnly="1" outline="0" axis="axisRow" fieldPosition="8"/>
    </format>
    <format dxfId="130">
      <pivotArea field="21" type="button" dataOnly="0" labelOnly="1" outline="0" axis="axisRow" fieldPosition="9"/>
    </format>
    <format dxfId="129">
      <pivotArea field="22" type="button" dataOnly="0" labelOnly="1" outline="0" axis="axisRow" fieldPosition="10"/>
    </format>
    <format dxfId="128">
      <pivotArea field="20" type="button" dataOnly="0" labelOnly="1" outline="0" axis="axisRow" fieldPosition="11"/>
    </format>
    <format dxfId="127">
      <pivotArea field="19" type="button" dataOnly="0" labelOnly="1" outline="0" axis="axisRow" fieldPosition="12"/>
    </format>
    <format dxfId="126">
      <pivotArea dataOnly="0" labelOnly="1" grandRow="1" outline="0" fieldPosition="0"/>
    </format>
    <format dxfId="125">
      <pivotArea dataOnly="0" labelOnly="1" outline="0" fieldPosition="0">
        <references count="1">
          <reference field="4294967294" count="13">
            <x v="0"/>
            <x v="1"/>
            <x v="2"/>
            <x v="3"/>
            <x v="4"/>
            <x v="5"/>
            <x v="6"/>
            <x v="7"/>
            <x v="8"/>
            <x v="9"/>
            <x v="10"/>
            <x v="11"/>
            <x v="12"/>
          </reference>
        </references>
      </pivotArea>
    </format>
    <format dxfId="124">
      <pivotArea field="8" type="button" dataOnly="0" labelOnly="1" outline="0" axis="axisRow" fieldPosition="1"/>
    </format>
    <format dxfId="123">
      <pivotArea field="1" type="button" dataOnly="0" labelOnly="1" outline="0" axis="axisRow" fieldPosition="2"/>
    </format>
    <format dxfId="122">
      <pivotArea field="0" type="button" dataOnly="0" labelOnly="1" outline="0" axis="axisRow" fieldPosition="3"/>
    </format>
    <format dxfId="121">
      <pivotArea field="3" type="button" dataOnly="0" labelOnly="1" outline="0" axis="axisRow" fieldPosition="4"/>
    </format>
    <format dxfId="120">
      <pivotArea field="6" type="button" dataOnly="0" labelOnly="1" outline="0" axis="axisRow" fieldPosition="5"/>
    </format>
    <format dxfId="119">
      <pivotArea field="2" type="button" dataOnly="0" labelOnly="1" outline="0" axis="axisRow" fieldPosition="6"/>
    </format>
    <format dxfId="118">
      <pivotArea field="5" type="button" dataOnly="0" labelOnly="1" outline="0" axis="axisRow" fieldPosition="7"/>
    </format>
    <format dxfId="117">
      <pivotArea field="4" type="button" dataOnly="0" labelOnly="1" outline="0" axis="axisRow" fieldPosition="8"/>
    </format>
    <format dxfId="116">
      <pivotArea field="21" type="button" dataOnly="0" labelOnly="1" outline="0" axis="axisRow" fieldPosition="9"/>
    </format>
    <format dxfId="115">
      <pivotArea field="22" type="button" dataOnly="0" labelOnly="1" outline="0" axis="axisRow" fieldPosition="10"/>
    </format>
    <format dxfId="114">
      <pivotArea field="20" type="button" dataOnly="0" labelOnly="1" outline="0" axis="axisRow" fieldPosition="11"/>
    </format>
    <format dxfId="113">
      <pivotArea field="19" type="button" dataOnly="0" labelOnly="1" outline="0" axis="axisRow" fieldPosition="12"/>
    </format>
    <format dxfId="112">
      <pivotArea dataOnly="0" labelOnly="1" outline="0" fieldPosition="0">
        <references count="1">
          <reference field="4294967294" count="13">
            <x v="0"/>
            <x v="1"/>
            <x v="2"/>
            <x v="3"/>
            <x v="4"/>
            <x v="5"/>
            <x v="6"/>
            <x v="7"/>
            <x v="8"/>
            <x v="9"/>
            <x v="10"/>
            <x v="11"/>
            <x v="12"/>
          </reference>
        </references>
      </pivotArea>
    </format>
    <format dxfId="111">
      <pivotArea field="8" type="button" dataOnly="0" labelOnly="1" outline="0" axis="axisRow" fieldPosition="1"/>
    </format>
    <format dxfId="110">
      <pivotArea field="1" type="button" dataOnly="0" labelOnly="1" outline="0" axis="axisRow" fieldPosition="2"/>
    </format>
    <format dxfId="109">
      <pivotArea field="0" type="button" dataOnly="0" labelOnly="1" outline="0" axis="axisRow" fieldPosition="3"/>
    </format>
    <format dxfId="108">
      <pivotArea field="3" type="button" dataOnly="0" labelOnly="1" outline="0" axis="axisRow" fieldPosition="4"/>
    </format>
    <format dxfId="107">
      <pivotArea field="6" type="button" dataOnly="0" labelOnly="1" outline="0" axis="axisRow" fieldPosition="5"/>
    </format>
    <format dxfId="106">
      <pivotArea field="2" type="button" dataOnly="0" labelOnly="1" outline="0" axis="axisRow" fieldPosition="6"/>
    </format>
    <format dxfId="105">
      <pivotArea field="5" type="button" dataOnly="0" labelOnly="1" outline="0" axis="axisRow" fieldPosition="7"/>
    </format>
    <format dxfId="104">
      <pivotArea field="4" type="button" dataOnly="0" labelOnly="1" outline="0" axis="axisRow" fieldPosition="8"/>
    </format>
    <format dxfId="103">
      <pivotArea field="21" type="button" dataOnly="0" labelOnly="1" outline="0" axis="axisRow" fieldPosition="9"/>
    </format>
    <format dxfId="102">
      <pivotArea field="22" type="button" dataOnly="0" labelOnly="1" outline="0" axis="axisRow" fieldPosition="10"/>
    </format>
    <format dxfId="101">
      <pivotArea field="20" type="button" dataOnly="0" labelOnly="1" outline="0" axis="axisRow" fieldPosition="11"/>
    </format>
    <format dxfId="100">
      <pivotArea field="19" type="button" dataOnly="0" labelOnly="1" outline="0" axis="axisRow" fieldPosition="12"/>
    </format>
    <format dxfId="99">
      <pivotArea dataOnly="0" labelOnly="1" outline="0" fieldPosition="0">
        <references count="1">
          <reference field="4294967294" count="13">
            <x v="0"/>
            <x v="1"/>
            <x v="2"/>
            <x v="3"/>
            <x v="4"/>
            <x v="5"/>
            <x v="6"/>
            <x v="7"/>
            <x v="8"/>
            <x v="9"/>
            <x v="10"/>
            <x v="11"/>
            <x v="12"/>
          </reference>
        </references>
      </pivotArea>
    </format>
    <format dxfId="98">
      <pivotArea field="19" type="button" dataOnly="0" labelOnly="1" outline="0" axis="axisRow" fieldPosition="12"/>
    </format>
    <format dxfId="97">
      <pivotArea dataOnly="0" labelOnly="1" outline="0" fieldPosition="0">
        <references count="1">
          <reference field="4294967294" count="13">
            <x v="0"/>
            <x v="1"/>
            <x v="2"/>
            <x v="3"/>
            <x v="4"/>
            <x v="5"/>
            <x v="6"/>
            <x v="7"/>
            <x v="8"/>
            <x v="9"/>
            <x v="10"/>
            <x v="11"/>
            <x v="12"/>
          </reference>
        </references>
      </pivotArea>
    </format>
    <format dxfId="96">
      <pivotArea field="8" type="button" dataOnly="0" labelOnly="1" outline="0" axis="axisRow" fieldPosition="1"/>
    </format>
    <format dxfId="95">
      <pivotArea field="1" type="button" dataOnly="0" labelOnly="1" outline="0" axis="axisRow" fieldPosition="2"/>
    </format>
    <format dxfId="94">
      <pivotArea field="0" type="button" dataOnly="0" labelOnly="1" outline="0" axis="axisRow" fieldPosition="3"/>
    </format>
    <format dxfId="93">
      <pivotArea field="3" type="button" dataOnly="0" labelOnly="1" outline="0" axis="axisRow" fieldPosition="4"/>
    </format>
    <format dxfId="92">
      <pivotArea field="6" type="button" dataOnly="0" labelOnly="1" outline="0" axis="axisRow" fieldPosition="5"/>
    </format>
    <format dxfId="91">
      <pivotArea field="2" type="button" dataOnly="0" labelOnly="1" outline="0" axis="axisRow" fieldPosition="6"/>
    </format>
    <format dxfId="90">
      <pivotArea field="5" type="button" dataOnly="0" labelOnly="1" outline="0" axis="axisRow" fieldPosition="7"/>
    </format>
    <format dxfId="89">
      <pivotArea field="4" type="button" dataOnly="0" labelOnly="1" outline="0" axis="axisRow" fieldPosition="8"/>
    </format>
    <format dxfId="88">
      <pivotArea field="21" type="button" dataOnly="0" labelOnly="1" outline="0" axis="axisRow" fieldPosition="9"/>
    </format>
    <format dxfId="87">
      <pivotArea field="22" type="button" dataOnly="0" labelOnly="1" outline="0" axis="axisRow" fieldPosition="10"/>
    </format>
    <format dxfId="86">
      <pivotArea field="20" type="button" dataOnly="0" labelOnly="1" outline="0" axis="axisRow" fieldPosition="11"/>
    </format>
    <format dxfId="85">
      <pivotArea dataOnly="0" fieldPosition="0">
        <references count="1">
          <reference field="3" count="0" defaultSubtotal="1"/>
        </references>
      </pivotArea>
    </format>
    <format dxfId="84">
      <pivotArea dataOnly="0" fieldPosition="0">
        <references count="1">
          <reference field="3" count="0" defaultSubtotal="1"/>
        </references>
      </pivotArea>
    </format>
    <format dxfId="83">
      <pivotArea dataOnly="0" fieldPosition="0">
        <references count="1">
          <reference field="0" count="0" defaultSubtotal="1"/>
        </references>
      </pivotArea>
    </format>
    <format dxfId="82">
      <pivotArea dataOnly="0" fieldPosition="0">
        <references count="1">
          <reference field="0" count="0" defaultSubtotal="1"/>
        </references>
      </pivotArea>
    </format>
    <format dxfId="81">
      <pivotArea dataOnly="0" fieldPosition="0">
        <references count="1">
          <reference field="1" count="0" defaultSubtotal="1"/>
        </references>
      </pivotArea>
    </format>
    <format dxfId="80">
      <pivotArea dataOnly="0" fieldPosition="0">
        <references count="1">
          <reference field="1" count="0" defaultSubtotal="1"/>
        </references>
      </pivotArea>
    </format>
    <format dxfId="79">
      <pivotArea dataOnly="0" fieldPosition="0">
        <references count="1">
          <reference field="8" count="0" defaultSubtotal="1"/>
        </references>
      </pivotArea>
    </format>
    <format dxfId="78">
      <pivotArea field="8" dataOnly="0" grandRow="1" axis="axisRow" fieldPosition="1">
        <references count="1">
          <reference field="8" count="0"/>
        </references>
      </pivotArea>
    </format>
    <format dxfId="77">
      <pivotArea dataOnly="0" labelOnly="1" outline="0" fieldPosition="0">
        <references count="1">
          <reference field="8" count="1">
            <x v="0"/>
          </reference>
        </references>
      </pivotArea>
    </format>
    <format dxfId="76">
      <pivotArea dataOnly="0" labelOnly="1" outline="0" fieldPosition="0">
        <references count="1">
          <reference field="8" count="1" defaultSubtotal="1">
            <x v="0"/>
          </reference>
        </references>
      </pivotArea>
    </format>
    <format dxfId="75">
      <pivotArea dataOnly="0" labelOnly="1" outline="0" fieldPosition="0">
        <references count="1">
          <reference field="8" count="1">
            <x v="1"/>
          </reference>
        </references>
      </pivotArea>
    </format>
    <format dxfId="74">
      <pivotArea dataOnly="0" labelOnly="1" outline="0" fieldPosition="0">
        <references count="1">
          <reference field="8" count="1" defaultSubtotal="1">
            <x v="1"/>
          </reference>
        </references>
      </pivotArea>
    </format>
    <format dxfId="73">
      <pivotArea dataOnly="0" labelOnly="1" grandRow="1" outline="0" fieldPosition="0"/>
    </format>
    <format dxfId="72">
      <pivotArea field="8" type="button" dataOnly="0" labelOnly="1" outline="0" axis="axisRow" fieldPosition="1"/>
    </format>
    <format dxfId="71">
      <pivotArea outline="0" fieldPosition="0">
        <references count="1">
          <reference field="4294967294" count="1">
            <x v="2"/>
          </reference>
        </references>
      </pivotArea>
    </format>
    <format dxfId="70">
      <pivotArea fieldPosition="0">
        <references count="2">
          <reference field="4294967294" count="2" selected="0">
            <x v="1"/>
            <x v="2"/>
          </reference>
          <reference field="8" count="1" defaultSubtotal="1">
            <x v="0"/>
          </reference>
        </references>
      </pivotArea>
    </format>
    <format dxfId="69">
      <pivotArea fieldPosition="0">
        <references count="2">
          <reference field="4294967294" count="1" selected="0">
            <x v="5"/>
          </reference>
          <reference field="8" count="1" defaultSubtotal="1">
            <x v="0"/>
          </reference>
        </references>
      </pivotArea>
    </format>
    <format dxfId="68">
      <pivotArea fieldPosition="0">
        <references count="2">
          <reference field="4294967294" count="1" selected="0">
            <x v="6"/>
          </reference>
          <reference field="8" count="1" defaultSubtotal="1">
            <x v="0"/>
          </reference>
        </references>
      </pivotArea>
    </format>
    <format dxfId="67">
      <pivotArea fieldPosition="0">
        <references count="2">
          <reference field="4294967294" count="1" selected="0">
            <x v="4"/>
          </reference>
          <reference field="8" count="1" defaultSubtotal="1">
            <x v="0"/>
          </reference>
        </references>
      </pivotArea>
    </format>
    <format dxfId="66">
      <pivotArea fieldPosition="0">
        <references count="3">
          <reference field="4294967294" count="1" selected="0">
            <x v="1"/>
          </reference>
          <reference field="1" count="0" defaultSubtotal="1"/>
          <reference field="8" count="1" selected="0">
            <x v="0"/>
          </reference>
        </references>
      </pivotArea>
    </format>
    <format dxfId="65">
      <pivotArea fieldPosition="0">
        <references count="3">
          <reference field="4294967294" count="1" selected="0">
            <x v="2"/>
          </reference>
          <reference field="1" count="0" defaultSubtotal="1"/>
          <reference field="8" count="1" selected="0">
            <x v="0"/>
          </reference>
        </references>
      </pivotArea>
    </format>
    <format dxfId="64">
      <pivotArea fieldPosition="0">
        <references count="3">
          <reference field="4294967294" count="1" selected="0">
            <x v="4"/>
          </reference>
          <reference field="1" count="0" defaultSubtotal="1"/>
          <reference field="8" count="1" selected="0">
            <x v="0"/>
          </reference>
        </references>
      </pivotArea>
    </format>
    <format dxfId="63">
      <pivotArea fieldPosition="0">
        <references count="3">
          <reference field="4294967294" count="1" selected="0">
            <x v="5"/>
          </reference>
          <reference field="1" count="0" defaultSubtotal="1"/>
          <reference field="8" count="1" selected="0">
            <x v="0"/>
          </reference>
        </references>
      </pivotArea>
    </format>
    <format dxfId="62">
      <pivotArea fieldPosition="0">
        <references count="3">
          <reference field="4294967294" count="1" selected="0">
            <x v="6"/>
          </reference>
          <reference field="1" count="0" defaultSubtotal="1"/>
          <reference field="8" count="1" selected="0">
            <x v="0"/>
          </reference>
        </references>
      </pivotArea>
    </format>
    <format dxfId="61">
      <pivotArea fieldPosition="0">
        <references count="3">
          <reference field="4294967294" count="1" selected="0">
            <x v="10"/>
          </reference>
          <reference field="1" count="0" defaultSubtotal="1"/>
          <reference field="8" count="1" selected="0">
            <x v="0"/>
          </reference>
        </references>
      </pivotArea>
    </format>
    <format dxfId="60">
      <pivotArea fieldPosition="0">
        <references count="3">
          <reference field="4294967294" count="1" selected="0">
            <x v="9"/>
          </reference>
          <reference field="1" count="0" defaultSubtotal="1"/>
          <reference field="8" count="1" selected="0">
            <x v="0"/>
          </reference>
        </references>
      </pivotArea>
    </format>
    <format dxfId="59">
      <pivotArea fieldPosition="0">
        <references count="4">
          <reference field="4294967294" count="1" selected="0">
            <x v="9"/>
          </reference>
          <reference field="0" count="0" defaultSubtotal="1"/>
          <reference field="1" count="0" selected="0"/>
          <reference field="8" count="1" selected="0">
            <x v="0"/>
          </reference>
        </references>
      </pivotArea>
    </format>
    <format dxfId="58">
      <pivotArea fieldPosition="0">
        <references count="4">
          <reference field="4294967294" count="1" selected="0">
            <x v="10"/>
          </reference>
          <reference field="0" count="0" defaultSubtotal="1"/>
          <reference field="1" count="0" selected="0"/>
          <reference field="8" count="1" selected="0">
            <x v="0"/>
          </reference>
        </references>
      </pivotArea>
    </format>
    <format dxfId="57">
      <pivotArea fieldPosition="0">
        <references count="4">
          <reference field="4294967294" count="1" selected="0">
            <x v="6"/>
          </reference>
          <reference field="0" count="0" defaultSubtotal="1"/>
          <reference field="1" count="0" selected="0"/>
          <reference field="8" count="1" selected="0">
            <x v="0"/>
          </reference>
        </references>
      </pivotArea>
    </format>
    <format dxfId="56">
      <pivotArea fieldPosition="0">
        <references count="4">
          <reference field="4294967294" count="1" selected="0">
            <x v="5"/>
          </reference>
          <reference field="0" count="0" defaultSubtotal="1"/>
          <reference field="1" count="0" selected="0"/>
          <reference field="8" count="1" selected="0">
            <x v="0"/>
          </reference>
        </references>
      </pivotArea>
    </format>
    <format dxfId="55">
      <pivotArea fieldPosition="0">
        <references count="4">
          <reference field="4294967294" count="1" selected="0">
            <x v="4"/>
          </reference>
          <reference field="0" count="0" defaultSubtotal="1"/>
          <reference field="1" count="0" selected="0"/>
          <reference field="8" count="1" selected="0">
            <x v="0"/>
          </reference>
        </references>
      </pivotArea>
    </format>
    <format dxfId="54">
      <pivotArea fieldPosition="0">
        <references count="4">
          <reference field="4294967294" count="1" selected="0">
            <x v="2"/>
          </reference>
          <reference field="0" count="0" defaultSubtotal="1"/>
          <reference field="1" count="0" selected="0"/>
          <reference field="8" count="1" selected="0">
            <x v="0"/>
          </reference>
        </references>
      </pivotArea>
    </format>
    <format dxfId="53">
      <pivotArea fieldPosition="0">
        <references count="4">
          <reference field="4294967294" count="1" selected="0">
            <x v="1"/>
          </reference>
          <reference field="0" count="0" defaultSubtotal="1"/>
          <reference field="1" count="0" selected="0"/>
          <reference field="8" count="1" selected="0">
            <x v="0"/>
          </reference>
        </references>
      </pivotArea>
    </format>
    <format dxfId="52">
      <pivotArea fieldPosition="0">
        <references count="2">
          <reference field="4294967294" count="1" selected="0">
            <x v="9"/>
          </reference>
          <reference field="8" count="1" defaultSubtotal="1">
            <x v="0"/>
          </reference>
        </references>
      </pivotArea>
    </format>
    <format dxfId="51">
      <pivotArea fieldPosition="0">
        <references count="2">
          <reference field="4294967294" count="1" selected="0">
            <x v="10"/>
          </reference>
          <reference field="8" count="1" defaultSubtotal="1">
            <x v="0"/>
          </reference>
        </references>
      </pivotArea>
    </format>
    <format dxfId="50">
      <pivotArea fieldPosition="0">
        <references count="5">
          <reference field="4294967294" count="1" selected="0">
            <x v="10"/>
          </reference>
          <reference field="0" count="0" selected="0"/>
          <reference field="1" count="0" selected="0"/>
          <reference field="3" count="0" defaultSubtotal="1"/>
          <reference field="8" count="1" selected="0">
            <x v="0"/>
          </reference>
        </references>
      </pivotArea>
    </format>
    <format dxfId="49">
      <pivotArea fieldPosition="0">
        <references count="5">
          <reference field="4294967294" count="1" selected="0">
            <x v="9"/>
          </reference>
          <reference field="0" count="0" selected="0"/>
          <reference field="1" count="0" selected="0"/>
          <reference field="3" count="0" defaultSubtotal="1"/>
          <reference field="8" count="1" selected="0">
            <x v="0"/>
          </reference>
        </references>
      </pivotArea>
    </format>
    <format dxfId="48">
      <pivotArea fieldPosition="0">
        <references count="5">
          <reference field="4294967294" count="1" selected="0">
            <x v="8"/>
          </reference>
          <reference field="0" count="0" selected="0"/>
          <reference field="1" count="0" selected="0"/>
          <reference field="3" count="0" defaultSubtotal="1"/>
          <reference field="8" count="1" selected="0">
            <x v="0"/>
          </reference>
        </references>
      </pivotArea>
    </format>
    <format dxfId="47">
      <pivotArea fieldPosition="0">
        <references count="5">
          <reference field="4294967294" count="1" selected="0">
            <x v="6"/>
          </reference>
          <reference field="0" count="0" selected="0"/>
          <reference field="1" count="0" selected="0"/>
          <reference field="3" count="0" defaultSubtotal="1"/>
          <reference field="8" count="1" selected="0">
            <x v="0"/>
          </reference>
        </references>
      </pivotArea>
    </format>
    <format dxfId="46">
      <pivotArea fieldPosition="0">
        <references count="5">
          <reference field="4294967294" count="1" selected="0">
            <x v="5"/>
          </reference>
          <reference field="0" count="0" selected="0"/>
          <reference field="1" count="0" selected="0"/>
          <reference field="3" count="0" defaultSubtotal="1"/>
          <reference field="8" count="1" selected="0">
            <x v="0"/>
          </reference>
        </references>
      </pivotArea>
    </format>
    <format dxfId="45">
      <pivotArea fieldPosition="0">
        <references count="5">
          <reference field="4294967294" count="1" selected="0">
            <x v="4"/>
          </reference>
          <reference field="0" count="0" selected="0"/>
          <reference field="1" count="0" selected="0"/>
          <reference field="3" count="0" defaultSubtotal="1"/>
          <reference field="8" count="1" selected="0">
            <x v="0"/>
          </reference>
        </references>
      </pivotArea>
    </format>
    <format dxfId="44">
      <pivotArea fieldPosition="0">
        <references count="5">
          <reference field="4294967294" count="1" selected="0">
            <x v="2"/>
          </reference>
          <reference field="0" count="0" selected="0"/>
          <reference field="1" count="0" selected="0"/>
          <reference field="3" count="0" defaultSubtotal="1"/>
          <reference field="8" count="1" selected="0">
            <x v="0"/>
          </reference>
        </references>
      </pivotArea>
    </format>
    <format dxfId="43">
      <pivotArea fieldPosition="0">
        <references count="5">
          <reference field="4294967294" count="1" selected="0">
            <x v="1"/>
          </reference>
          <reference field="0" count="0" selected="0"/>
          <reference field="1" count="0" selected="0"/>
          <reference field="3" count="0" defaultSubtotal="1"/>
          <reference field="8" count="1" selected="0">
            <x v="0"/>
          </reference>
        </references>
      </pivotArea>
    </format>
    <format dxfId="42">
      <pivotArea field="8" grandRow="1" outline="0" axis="axisRow" fieldPosition="1">
        <references count="1">
          <reference field="4294967294" count="1" selected="0">
            <x v="10"/>
          </reference>
        </references>
      </pivotArea>
    </format>
    <format dxfId="41">
      <pivotArea field="8" grandRow="1" outline="0" axis="axisRow" fieldPosition="1">
        <references count="1">
          <reference field="4294967294" count="3" selected="0">
            <x v="4"/>
            <x v="5"/>
            <x v="6"/>
          </reference>
        </references>
      </pivotArea>
    </format>
    <format dxfId="40">
      <pivotArea field="8" grandRow="1" outline="0" axis="axisRow" fieldPosition="1">
        <references count="1">
          <reference field="4294967294" count="1" selected="0">
            <x v="2"/>
          </reference>
        </references>
      </pivotArea>
    </format>
    <format dxfId="39">
      <pivotArea field="8" grandRow="1" outline="0" axis="axisRow" fieldPosition="1">
        <references count="1">
          <reference field="4294967294" count="1" selected="0">
            <x v="1"/>
          </reference>
        </references>
      </pivotArea>
    </format>
    <format dxfId="38">
      <pivotArea field="8" grandRow="1" outline="0" axis="axisRow" fieldPosition="1">
        <references count="1">
          <reference field="4294967294" count="1" selected="0">
            <x v="9"/>
          </reference>
        </references>
      </pivotArea>
    </format>
    <format dxfId="37">
      <pivotArea field="18" type="button" dataOnly="0" labelOnly="1" outline="0" axis="axisRow" fieldPosition="0"/>
    </format>
    <format dxfId="36">
      <pivotArea dataOnly="0" labelOnly="1" outline="0" fieldPosition="0">
        <references count="1">
          <reference field="18" count="1">
            <x v="0"/>
          </reference>
        </references>
      </pivotArea>
    </format>
    <format dxfId="35">
      <pivotArea dataOnly="0" labelOnly="1" fieldPosition="0">
        <references count="1">
          <reference field="8" count="0"/>
        </references>
      </pivotArea>
    </format>
    <format dxfId="34">
      <pivotArea dataOnly="0" fieldPosition="0">
        <references count="1">
          <reference field="3" count="0" defaultSubtotal="1"/>
        </references>
      </pivotArea>
    </format>
    <format dxfId="33">
      <pivotArea dataOnly="0" fieldPosition="0">
        <references count="1">
          <reference field="1" count="0" defaultSubtotal="1"/>
        </references>
      </pivotArea>
    </format>
    <format dxfId="32">
      <pivotArea dataOnly="0" fieldPosition="0">
        <references count="1">
          <reference field="8" count="0" defaultSubtotal="1"/>
        </references>
      </pivotArea>
    </format>
    <format dxfId="31">
      <pivotArea dataOnly="0" grandRow="1" fieldPosition="0"/>
    </format>
    <format dxfId="30">
      <pivotArea dataOnly="0" labelOnly="1" fieldPosition="0">
        <references count="1">
          <reference field="18" count="0"/>
        </references>
      </pivotArea>
    </format>
    <format dxfId="29">
      <pivotArea dataOnly="0" labelOnly="1" fieldPosition="0">
        <references count="1">
          <reference field="8" count="0"/>
        </references>
      </pivotArea>
    </format>
    <format dxfId="28">
      <pivotArea dataOnly="0" labelOnly="1" fieldPosition="0">
        <references count="1">
          <reference field="0" count="0"/>
        </references>
      </pivotArea>
    </format>
    <format dxfId="27">
      <pivotArea fieldPosition="0">
        <references count="6">
          <reference field="4294967294" count="2" selected="0">
            <x v="1"/>
            <x v="2"/>
          </reference>
          <reference field="0" count="0" selected="0"/>
          <reference field="1" count="0" selected="0"/>
          <reference field="3" count="0" defaultSubtotal="1"/>
          <reference field="8" count="1" selected="0">
            <x v="1"/>
          </reference>
          <reference field="18" count="1" selected="0">
            <x v="1"/>
          </reference>
        </references>
      </pivotArea>
    </format>
    <format dxfId="26">
      <pivotArea fieldPosition="0">
        <references count="6">
          <reference field="4294967294" count="2" selected="0">
            <x v="9"/>
            <x v="10"/>
          </reference>
          <reference field="0" count="0" selected="0"/>
          <reference field="1" count="0" selected="0"/>
          <reference field="3" count="0" defaultSubtotal="1"/>
          <reference field="8" count="1" selected="0">
            <x v="1"/>
          </reference>
          <reference field="18" count="1" selected="0">
            <x v="1"/>
          </reference>
        </references>
      </pivotArea>
    </format>
    <format dxfId="25">
      <pivotArea fieldPosition="0">
        <references count="5">
          <reference field="4294967294" count="2" selected="0">
            <x v="1"/>
            <x v="2"/>
          </reference>
          <reference field="0" count="0" defaultSubtotal="1"/>
          <reference field="1" count="0" selected="0"/>
          <reference field="8" count="1" selected="0">
            <x v="1"/>
          </reference>
          <reference field="18" count="1" selected="0">
            <x v="1"/>
          </reference>
        </references>
      </pivotArea>
    </format>
    <format dxfId="24">
      <pivotArea fieldPosition="0">
        <references count="5">
          <reference field="4294967294" count="3" selected="0">
            <x v="4"/>
            <x v="5"/>
            <x v="6"/>
          </reference>
          <reference field="0" count="0" defaultSubtotal="1"/>
          <reference field="1" count="0" selected="0"/>
          <reference field="8" count="1" selected="0">
            <x v="1"/>
          </reference>
          <reference field="18" count="1" selected="0">
            <x v="1"/>
          </reference>
        </references>
      </pivotArea>
    </format>
    <format dxfId="23">
      <pivotArea fieldPosition="0">
        <references count="5">
          <reference field="4294967294" count="2" selected="0">
            <x v="9"/>
            <x v="10"/>
          </reference>
          <reference field="0" count="0" defaultSubtotal="1"/>
          <reference field="1" count="0" selected="0"/>
          <reference field="8" count="1" selected="0">
            <x v="1"/>
          </reference>
          <reference field="18" count="1" selected="0">
            <x v="1"/>
          </reference>
        </references>
      </pivotArea>
    </format>
    <format dxfId="22">
      <pivotArea fieldPosition="0">
        <references count="4">
          <reference field="4294967294" count="2" selected="0">
            <x v="9"/>
            <x v="10"/>
          </reference>
          <reference field="1" count="0" defaultSubtotal="1"/>
          <reference field="8" count="1" selected="0">
            <x v="1"/>
          </reference>
          <reference field="18" count="1" selected="0">
            <x v="1"/>
          </reference>
        </references>
      </pivotArea>
    </format>
    <format dxfId="21">
      <pivotArea fieldPosition="0">
        <references count="4">
          <reference field="4294967294" count="3" selected="0">
            <x v="4"/>
            <x v="5"/>
            <x v="6"/>
          </reference>
          <reference field="1" count="0" defaultSubtotal="1"/>
          <reference field="8" count="1" selected="0">
            <x v="1"/>
          </reference>
          <reference field="18" count="1" selected="0">
            <x v="1"/>
          </reference>
        </references>
      </pivotArea>
    </format>
    <format dxfId="20">
      <pivotArea fieldPosition="0">
        <references count="4">
          <reference field="4294967294" count="2" selected="0">
            <x v="1"/>
            <x v="2"/>
          </reference>
          <reference field="1" count="0" defaultSubtotal="1"/>
          <reference field="8" count="1" selected="0">
            <x v="1"/>
          </reference>
          <reference field="18" count="1" selected="0">
            <x v="1"/>
          </reference>
        </references>
      </pivotArea>
    </format>
    <format dxfId="19">
      <pivotArea fieldPosition="0">
        <references count="3">
          <reference field="4294967294" count="2" selected="0">
            <x v="1"/>
            <x v="2"/>
          </reference>
          <reference field="8" count="1" defaultSubtotal="1">
            <x v="1"/>
          </reference>
          <reference field="18" count="1" selected="0">
            <x v="1"/>
          </reference>
        </references>
      </pivotArea>
    </format>
    <format dxfId="18">
      <pivotArea fieldPosition="0">
        <references count="3">
          <reference field="4294967294" count="3" selected="0">
            <x v="4"/>
            <x v="5"/>
            <x v="6"/>
          </reference>
          <reference field="8" count="1" defaultSubtotal="1">
            <x v="1"/>
          </reference>
          <reference field="18" count="1" selected="0">
            <x v="1"/>
          </reference>
        </references>
      </pivotArea>
    </format>
    <format dxfId="17">
      <pivotArea fieldPosition="0">
        <references count="3">
          <reference field="4294967294" count="2" selected="0">
            <x v="9"/>
            <x v="10"/>
          </reference>
          <reference field="8" count="1" defaultSubtotal="1">
            <x v="1"/>
          </reference>
          <reference field="18" count="1" selected="0">
            <x v="1"/>
          </reference>
        </references>
      </pivotArea>
    </format>
    <format dxfId="16">
      <pivotArea fieldPosition="0">
        <references count="14">
          <reference field="4294967294" count="2" selected="0">
            <x v="7"/>
            <x v="8"/>
          </reference>
          <reference field="0" count="0" selected="0"/>
          <reference field="1" count="0" selected="0"/>
          <reference field="2" count="0" selected="0"/>
          <reference field="3" count="0" selected="0"/>
          <reference field="4" count="0" selected="0"/>
          <reference field="5" count="0" selected="0"/>
          <reference field="6" count="0" selected="0"/>
          <reference field="8" count="1" selected="0">
            <x v="0"/>
          </reference>
          <reference field="18" count="1" selected="0">
            <x v="0"/>
          </reference>
          <reference field="19" count="0"/>
          <reference field="20" count="0" selected="0"/>
          <reference field="21" count="0" selected="0"/>
          <reference field="22" count="0" selected="0"/>
        </references>
      </pivotArea>
    </format>
    <format dxfId="15">
      <pivotArea fieldPosition="0">
        <references count="13">
          <reference field="4294967294" count="2" selected="0">
            <x v="7"/>
            <x v="8"/>
          </reference>
          <reference field="0" count="0" selected="0"/>
          <reference field="1" count="0" selected="0"/>
          <reference field="2" count="0" selected="0"/>
          <reference field="3" count="0" selected="0"/>
          <reference field="4" count="0" selected="0"/>
          <reference field="5" count="0" selected="0"/>
          <reference field="6" count="0" selected="0"/>
          <reference field="8" count="1" selected="0">
            <x v="0"/>
          </reference>
          <reference field="18" count="1" selected="0">
            <x v="0"/>
          </reference>
          <reference field="20" count="0"/>
          <reference field="21" count="0" selected="0"/>
          <reference field="22" count="0" selected="0"/>
        </references>
      </pivotArea>
    </format>
    <format dxfId="14">
      <pivotArea fieldPosition="0">
        <references count="6">
          <reference field="4294967294" count="2" selected="0">
            <x v="7"/>
            <x v="8"/>
          </reference>
          <reference field="0" count="0" selected="0"/>
          <reference field="1" count="0" selected="0"/>
          <reference field="3" count="0" defaultSubtotal="1"/>
          <reference field="8" count="1" selected="0">
            <x v="0"/>
          </reference>
          <reference field="18" count="1" selected="0">
            <x v="0"/>
          </reference>
        </references>
      </pivotArea>
    </format>
    <format dxfId="13">
      <pivotArea fieldPosition="0">
        <references count="5">
          <reference field="4294967294" count="2" selected="0">
            <x v="7"/>
            <x v="8"/>
          </reference>
          <reference field="0" count="0" defaultSubtotal="1"/>
          <reference field="1" count="0" selected="0"/>
          <reference field="8" count="1" selected="0">
            <x v="0"/>
          </reference>
          <reference field="18" count="1" selected="0">
            <x v="0"/>
          </reference>
        </references>
      </pivotArea>
    </format>
    <format dxfId="12">
      <pivotArea fieldPosition="0">
        <references count="4">
          <reference field="4294967294" count="2" selected="0">
            <x v="7"/>
            <x v="8"/>
          </reference>
          <reference field="1" count="0" defaultSubtotal="1"/>
          <reference field="8" count="1" selected="0">
            <x v="0"/>
          </reference>
          <reference field="18" count="1" selected="0">
            <x v="0"/>
          </reference>
        </references>
      </pivotArea>
    </format>
    <format dxfId="11">
      <pivotArea fieldPosition="0">
        <references count="3">
          <reference field="4294967294" count="2" selected="0">
            <x v="7"/>
            <x v="8"/>
          </reference>
          <reference field="8" count="1" defaultSubtotal="1">
            <x v="0"/>
          </reference>
          <reference field="18" count="1" selected="0">
            <x v="0"/>
          </reference>
        </references>
      </pivotArea>
    </format>
    <format dxfId="10">
      <pivotArea fieldPosition="0">
        <references count="6">
          <reference field="4294967294" count="2" selected="0">
            <x v="7"/>
            <x v="8"/>
          </reference>
          <reference field="0" count="0" selected="0"/>
          <reference field="1" count="0" selected="0"/>
          <reference field="3" count="0" defaultSubtotal="1"/>
          <reference field="8" count="1" selected="0">
            <x v="1"/>
          </reference>
          <reference field="18" count="1" selected="0">
            <x v="1"/>
          </reference>
        </references>
      </pivotArea>
    </format>
    <format dxfId="9">
      <pivotArea fieldPosition="0">
        <references count="5">
          <reference field="4294967294" count="2" selected="0">
            <x v="7"/>
            <x v="8"/>
          </reference>
          <reference field="0" count="0" defaultSubtotal="1"/>
          <reference field="1" count="0" selected="0"/>
          <reference field="8" count="1" selected="0">
            <x v="1"/>
          </reference>
          <reference field="18" count="1" selected="0">
            <x v="1"/>
          </reference>
        </references>
      </pivotArea>
    </format>
    <format dxfId="8">
      <pivotArea fieldPosition="0">
        <references count="4">
          <reference field="4294967294" count="2" selected="0">
            <x v="7"/>
            <x v="8"/>
          </reference>
          <reference field="1" count="0" defaultSubtotal="1"/>
          <reference field="8" count="1" selected="0">
            <x v="1"/>
          </reference>
          <reference field="18" count="1" selected="0">
            <x v="1"/>
          </reference>
        </references>
      </pivotArea>
    </format>
    <format dxfId="7">
      <pivotArea fieldPosition="0">
        <references count="3">
          <reference field="4294967294" count="2" selected="0">
            <x v="7"/>
            <x v="8"/>
          </reference>
          <reference field="8" count="1" defaultSubtotal="1">
            <x v="1"/>
          </reference>
          <reference field="18" count="1" selected="0">
            <x v="1"/>
          </reference>
        </references>
      </pivotArea>
    </format>
    <format dxfId="6">
      <pivotArea field="18" grandRow="1" outline="0" axis="axisRow" fieldPosition="0">
        <references count="1">
          <reference field="4294967294" count="2" selected="0">
            <x v="7"/>
            <x v="8"/>
          </reference>
        </references>
      </pivotArea>
    </format>
    <format dxfId="5">
      <pivotArea dataOnly="0" outline="0" fieldPosition="0">
        <references count="1">
          <reference field="4294967294" count="1">
            <x v="3"/>
          </reference>
        </references>
      </pivotArea>
    </format>
    <format dxfId="4">
      <pivotArea dataOnly="0" labelOnly="1" outline="0" fieldPosition="0">
        <references count="1">
          <reference field="4294967294" count="1">
            <x v="3"/>
          </reference>
        </references>
      </pivotArea>
    </format>
    <format dxfId="3">
      <pivotArea dataOnly="0" outline="0" fieldPosition="0">
        <references count="1">
          <reference field="4294967294" count="1">
            <x v="7"/>
          </reference>
        </references>
      </pivotArea>
    </format>
    <format dxfId="2">
      <pivotArea dataOnly="0" labelOnly="1" outline="0" fieldPosition="0">
        <references count="1">
          <reference field="4294967294" count="1">
            <x v="7"/>
          </reference>
        </references>
      </pivotArea>
    </format>
    <format dxfId="1">
      <pivotArea dataOnly="0" outline="0" fieldPosition="0">
        <references count="1">
          <reference field="4294967294" count="1">
            <x v="8"/>
          </reference>
        </references>
      </pivotArea>
    </format>
    <format dxfId="0">
      <pivotArea dataOnly="0" labelOnly="1" outline="0" fieldPosition="0">
        <references count="1">
          <reference field="4294967294" count="1">
            <x v="8"/>
          </reference>
        </references>
      </pivotArea>
    </format>
  </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1:W56"/>
  <sheetViews>
    <sheetView view="pageBreakPreview" zoomScale="90" zoomScaleNormal="100" zoomScaleSheetLayoutView="120" workbookViewId="0">
      <selection activeCell="F32" sqref="F32"/>
    </sheetView>
  </sheetViews>
  <sheetFormatPr baseColWidth="10" defaultColWidth="10.83203125" defaultRowHeight="20" customHeight="1"/>
  <cols>
    <col min="1" max="1" width="10.83203125" style="1"/>
    <col min="2" max="2" width="37.83203125" style="1" customWidth="1"/>
    <col min="3" max="3" width="40.1640625" style="1" customWidth="1"/>
    <col min="4" max="4" width="28.83203125" style="1" customWidth="1"/>
    <col min="5" max="5" width="13.83203125" style="1" customWidth="1"/>
    <col min="6" max="6" width="10.83203125" style="1"/>
    <col min="7" max="7" width="6" style="1" hidden="1" customWidth="1"/>
    <col min="8" max="8" width="28.33203125" style="1" hidden="1" customWidth="1"/>
    <col min="9" max="12" width="0" style="1" hidden="1" customWidth="1"/>
    <col min="13" max="14" width="23.5" style="1" customWidth="1"/>
    <col min="15" max="15" width="15.5" style="1" customWidth="1"/>
    <col min="16" max="16384" width="10.83203125" style="1"/>
  </cols>
  <sheetData>
    <row r="1" spans="2:23" ht="20" customHeight="1">
      <c r="B1" s="134"/>
      <c r="C1" s="134"/>
      <c r="D1" s="134"/>
      <c r="E1" s="134"/>
      <c r="F1" s="134"/>
      <c r="G1" s="134"/>
      <c r="H1" s="134"/>
      <c r="I1" s="134"/>
      <c r="J1" s="134"/>
      <c r="K1" s="134"/>
      <c r="L1" s="134"/>
      <c r="M1" s="134"/>
      <c r="N1" s="134"/>
      <c r="O1" s="134"/>
      <c r="P1" s="134"/>
      <c r="Q1" s="134"/>
      <c r="R1" s="134"/>
      <c r="S1" s="134"/>
      <c r="T1" s="134"/>
      <c r="U1" s="134"/>
      <c r="V1" s="134"/>
      <c r="W1" s="134"/>
    </row>
    <row r="2" spans="2:23" ht="20" customHeight="1">
      <c r="B2" s="571" t="s">
        <v>445</v>
      </c>
      <c r="C2" s="571"/>
      <c r="D2" s="571"/>
      <c r="E2" s="134"/>
      <c r="F2" s="134"/>
      <c r="G2" s="134"/>
      <c r="H2" s="134"/>
      <c r="I2" s="134"/>
      <c r="J2" s="134"/>
      <c r="K2" s="134"/>
      <c r="L2" s="134"/>
      <c r="M2" s="134"/>
      <c r="N2" s="134"/>
      <c r="O2" s="134"/>
      <c r="P2" s="134"/>
      <c r="Q2" s="134"/>
      <c r="R2" s="134"/>
      <c r="S2" s="134"/>
      <c r="T2" s="134"/>
      <c r="U2" s="134"/>
      <c r="V2" s="134"/>
      <c r="W2" s="134"/>
    </row>
    <row r="3" spans="2:23" ht="20" customHeight="1">
      <c r="B3" s="571" t="s">
        <v>677</v>
      </c>
      <c r="C3" s="134"/>
      <c r="D3" s="134"/>
      <c r="E3" s="134"/>
      <c r="F3" s="134"/>
      <c r="G3" s="722" t="s">
        <v>467</v>
      </c>
      <c r="H3" s="722"/>
      <c r="I3" s="722"/>
      <c r="J3" s="722"/>
      <c r="K3" s="134"/>
      <c r="L3" s="134"/>
      <c r="M3" s="134"/>
      <c r="N3" s="134"/>
      <c r="O3" s="134"/>
      <c r="P3" s="134"/>
      <c r="Q3" s="134"/>
      <c r="R3" s="134"/>
      <c r="S3" s="134"/>
      <c r="T3" s="134"/>
      <c r="U3" s="134"/>
      <c r="V3" s="134"/>
      <c r="W3" s="134"/>
    </row>
    <row r="4" spans="2:23" ht="20" customHeight="1" thickBot="1">
      <c r="B4" s="572" t="s">
        <v>0</v>
      </c>
      <c r="C4" s="572" t="s">
        <v>1</v>
      </c>
      <c r="D4" s="573" t="s">
        <v>2</v>
      </c>
      <c r="E4" s="134"/>
      <c r="F4" s="134"/>
      <c r="G4" s="719" t="s">
        <v>374</v>
      </c>
      <c r="H4" s="720"/>
      <c r="I4" s="720"/>
      <c r="J4" s="721"/>
      <c r="K4" s="134"/>
      <c r="L4" s="134"/>
      <c r="M4" s="572" t="s">
        <v>555</v>
      </c>
      <c r="N4" s="572" t="s">
        <v>507</v>
      </c>
      <c r="O4" s="572" t="s">
        <v>508</v>
      </c>
      <c r="P4" s="134"/>
      <c r="Q4" s="134"/>
      <c r="R4" s="134"/>
      <c r="S4" s="134"/>
      <c r="T4" s="134"/>
      <c r="U4" s="134"/>
      <c r="V4" s="134"/>
      <c r="W4" s="134"/>
    </row>
    <row r="5" spans="2:23" ht="20" customHeight="1">
      <c r="B5" s="5"/>
      <c r="C5" s="6"/>
      <c r="D5" s="6"/>
      <c r="E5" s="134"/>
      <c r="F5" s="134"/>
      <c r="G5" s="574"/>
      <c r="H5" s="134"/>
      <c r="I5" s="134"/>
      <c r="J5" s="575"/>
      <c r="K5" s="134"/>
      <c r="L5" s="134"/>
      <c r="M5" s="6"/>
      <c r="N5" s="6"/>
      <c r="O5" s="6"/>
      <c r="P5" s="134"/>
      <c r="Q5" s="134"/>
      <c r="R5" s="134"/>
      <c r="S5" s="134"/>
      <c r="T5" s="134"/>
      <c r="U5" s="134"/>
      <c r="V5" s="134"/>
      <c r="W5" s="134"/>
    </row>
    <row r="6" spans="2:23" ht="20" customHeight="1">
      <c r="B6" s="7" t="s">
        <v>1246</v>
      </c>
      <c r="C6" s="7" t="s">
        <v>685</v>
      </c>
      <c r="D6" s="7" t="s">
        <v>77</v>
      </c>
      <c r="E6" s="134"/>
      <c r="F6" s="134"/>
      <c r="G6" s="574"/>
      <c r="H6" s="576" t="s">
        <v>375</v>
      </c>
      <c r="I6" s="134" t="s">
        <v>449</v>
      </c>
      <c r="J6" s="575"/>
      <c r="K6" s="134"/>
      <c r="L6" s="134"/>
      <c r="M6" s="159"/>
      <c r="N6" s="159"/>
      <c r="O6" s="7"/>
      <c r="P6" s="134"/>
      <c r="Q6" s="134"/>
      <c r="R6" s="134"/>
      <c r="S6" s="134"/>
      <c r="T6" s="134"/>
      <c r="U6" s="134"/>
      <c r="V6" s="134"/>
      <c r="W6" s="134"/>
    </row>
    <row r="7" spans="2:23" ht="20" customHeight="1">
      <c r="B7" s="7" t="s">
        <v>1250</v>
      </c>
      <c r="C7" s="7" t="s">
        <v>686</v>
      </c>
      <c r="D7" s="7" t="s">
        <v>77</v>
      </c>
      <c r="E7" s="134"/>
      <c r="F7" s="134"/>
      <c r="G7" s="574"/>
      <c r="H7" s="134"/>
      <c r="I7" s="134"/>
      <c r="J7" s="575"/>
      <c r="K7" s="134"/>
      <c r="L7" s="134"/>
      <c r="M7" s="159"/>
      <c r="N7" s="159"/>
      <c r="O7" s="7"/>
      <c r="P7" s="134"/>
      <c r="Q7" s="134"/>
      <c r="R7" s="134"/>
      <c r="S7" s="134"/>
      <c r="T7" s="134"/>
      <c r="U7" s="134"/>
      <c r="V7" s="134"/>
      <c r="W7" s="134"/>
    </row>
    <row r="8" spans="2:23" ht="20" customHeight="1">
      <c r="B8" s="7" t="s">
        <v>1254</v>
      </c>
      <c r="C8" s="7" t="s">
        <v>686</v>
      </c>
      <c r="D8" s="7" t="s">
        <v>77</v>
      </c>
      <c r="E8" s="134"/>
      <c r="F8" s="134"/>
      <c r="G8" s="577">
        <v>1</v>
      </c>
      <c r="H8" s="578" t="s">
        <v>375</v>
      </c>
      <c r="I8" s="134"/>
      <c r="J8" s="575"/>
      <c r="K8" s="134"/>
      <c r="L8" s="134"/>
      <c r="M8" s="159"/>
      <c r="N8" s="159"/>
      <c r="O8" s="7"/>
      <c r="P8" s="134"/>
      <c r="Q8" s="134"/>
      <c r="R8" s="134"/>
      <c r="S8" s="134"/>
      <c r="T8" s="134"/>
      <c r="U8" s="134"/>
      <c r="V8" s="134"/>
      <c r="W8" s="134"/>
    </row>
    <row r="9" spans="2:23" ht="20" customHeight="1">
      <c r="B9" s="7" t="s">
        <v>1256</v>
      </c>
      <c r="C9" s="7" t="s">
        <v>686</v>
      </c>
      <c r="D9" s="7" t="s">
        <v>77</v>
      </c>
      <c r="E9" s="134"/>
      <c r="F9" s="134"/>
      <c r="G9" s="577">
        <v>2</v>
      </c>
      <c r="H9" s="578" t="s">
        <v>376</v>
      </c>
      <c r="I9" s="134"/>
      <c r="J9" s="575"/>
      <c r="K9" s="134"/>
      <c r="L9" s="134"/>
      <c r="M9" s="159"/>
      <c r="N9" s="159"/>
      <c r="O9" s="7"/>
      <c r="P9" s="134"/>
      <c r="Q9" s="134"/>
      <c r="R9" s="134"/>
      <c r="S9" s="134"/>
      <c r="T9" s="134"/>
      <c r="U9" s="134"/>
      <c r="V9" s="134"/>
      <c r="W9" s="134"/>
    </row>
    <row r="10" spans="2:23" ht="20" customHeight="1">
      <c r="B10" s="7" t="s">
        <v>1260</v>
      </c>
      <c r="C10" s="7" t="s">
        <v>688</v>
      </c>
      <c r="D10" s="7" t="s">
        <v>77</v>
      </c>
      <c r="E10" s="134"/>
      <c r="F10" s="134"/>
      <c r="G10" s="579"/>
      <c r="H10" s="580"/>
      <c r="I10" s="580"/>
      <c r="J10" s="581"/>
      <c r="K10" s="134"/>
      <c r="L10" s="134"/>
      <c r="M10" s="159"/>
      <c r="N10" s="159"/>
      <c r="O10" s="7"/>
      <c r="P10" s="134"/>
      <c r="Q10" s="134"/>
      <c r="R10" s="134"/>
      <c r="S10" s="134"/>
      <c r="T10" s="134"/>
      <c r="U10" s="134"/>
      <c r="V10" s="134"/>
      <c r="W10" s="134"/>
    </row>
    <row r="11" spans="2:23" ht="20" customHeight="1">
      <c r="B11" s="7" t="s">
        <v>1263</v>
      </c>
      <c r="C11" s="7" t="s">
        <v>688</v>
      </c>
      <c r="D11" s="7" t="s">
        <v>77</v>
      </c>
      <c r="E11" s="134"/>
      <c r="F11" s="134"/>
      <c r="G11" s="134"/>
      <c r="H11" s="134"/>
      <c r="I11" s="134"/>
      <c r="J11" s="134"/>
      <c r="K11" s="134"/>
      <c r="L11" s="134"/>
      <c r="M11" s="159"/>
      <c r="N11" s="159"/>
      <c r="O11" s="7"/>
      <c r="P11" s="134"/>
      <c r="Q11" s="134"/>
      <c r="R11" s="134"/>
      <c r="S11" s="134"/>
      <c r="T11" s="134"/>
      <c r="U11" s="134"/>
      <c r="V11" s="134"/>
      <c r="W11" s="134"/>
    </row>
    <row r="12" spans="2:23" ht="20" customHeight="1">
      <c r="B12" s="7" t="s">
        <v>1266</v>
      </c>
      <c r="C12" s="7" t="s">
        <v>691</v>
      </c>
      <c r="D12" s="7" t="s">
        <v>77</v>
      </c>
      <c r="E12" s="134"/>
      <c r="F12" s="134"/>
      <c r="G12" s="134"/>
      <c r="H12" s="134"/>
      <c r="I12" s="134"/>
      <c r="J12" s="134"/>
      <c r="K12" s="134"/>
      <c r="L12" s="134"/>
      <c r="M12" s="159"/>
      <c r="N12" s="159"/>
      <c r="O12" s="7"/>
      <c r="P12" s="134"/>
      <c r="Q12" s="134"/>
      <c r="R12" s="134"/>
      <c r="S12" s="134"/>
      <c r="T12" s="134"/>
      <c r="U12" s="134"/>
      <c r="V12" s="134"/>
      <c r="W12" s="134"/>
    </row>
    <row r="13" spans="2:23" ht="20" hidden="1" customHeight="1">
      <c r="B13" s="7" t="s">
        <v>10</v>
      </c>
      <c r="C13" s="7"/>
      <c r="D13" s="7"/>
      <c r="E13" s="134"/>
      <c r="F13" s="134"/>
      <c r="G13" s="134"/>
      <c r="H13" s="134"/>
      <c r="I13" s="134"/>
      <c r="J13" s="134"/>
      <c r="K13" s="134"/>
      <c r="L13" s="134"/>
      <c r="M13" s="159"/>
      <c r="N13" s="159"/>
      <c r="O13" s="7"/>
      <c r="P13" s="134"/>
      <c r="Q13" s="134"/>
      <c r="R13" s="134"/>
      <c r="S13" s="134"/>
      <c r="T13" s="134"/>
      <c r="U13" s="134"/>
      <c r="V13" s="134"/>
      <c r="W13" s="134"/>
    </row>
    <row r="14" spans="2:23" ht="20" hidden="1" customHeight="1">
      <c r="B14" s="7" t="s">
        <v>11</v>
      </c>
      <c r="C14" s="7"/>
      <c r="D14" s="7"/>
      <c r="E14" s="134"/>
      <c r="F14" s="134"/>
      <c r="G14" s="134"/>
      <c r="H14" s="134"/>
      <c r="I14" s="134"/>
      <c r="J14" s="134"/>
      <c r="K14" s="134"/>
      <c r="L14" s="134"/>
      <c r="M14" s="159"/>
      <c r="N14" s="159"/>
      <c r="O14" s="7"/>
      <c r="P14" s="134"/>
      <c r="Q14" s="134"/>
      <c r="R14" s="134"/>
      <c r="S14" s="134"/>
      <c r="T14" s="134"/>
      <c r="U14" s="134"/>
      <c r="V14" s="134"/>
      <c r="W14" s="134"/>
    </row>
    <row r="15" spans="2:23" ht="20" hidden="1" customHeight="1">
      <c r="B15" s="7" t="s">
        <v>254</v>
      </c>
      <c r="C15" s="7"/>
      <c r="D15" s="7"/>
      <c r="E15" s="134"/>
      <c r="F15" s="134"/>
      <c r="G15" s="134"/>
      <c r="H15" s="134"/>
      <c r="I15" s="134"/>
      <c r="J15" s="134"/>
      <c r="K15" s="134"/>
      <c r="L15" s="134"/>
      <c r="M15" s="159"/>
      <c r="N15" s="159"/>
      <c r="O15" s="7"/>
      <c r="P15" s="134"/>
      <c r="Q15" s="134"/>
      <c r="R15" s="134"/>
      <c r="S15" s="134"/>
      <c r="T15" s="134"/>
      <c r="U15" s="134"/>
      <c r="V15" s="134"/>
      <c r="W15" s="134"/>
    </row>
    <row r="16" spans="2:23" ht="20" hidden="1" customHeight="1">
      <c r="B16" s="7" t="s">
        <v>255</v>
      </c>
      <c r="C16" s="7"/>
      <c r="D16" s="7"/>
      <c r="E16" s="134"/>
      <c r="F16" s="134"/>
      <c r="G16" s="134"/>
      <c r="H16" s="134"/>
      <c r="I16" s="134"/>
      <c r="J16" s="134"/>
      <c r="K16" s="134"/>
      <c r="L16" s="134"/>
      <c r="M16" s="159"/>
      <c r="N16" s="159"/>
      <c r="O16" s="7"/>
      <c r="P16" s="134"/>
      <c r="Q16" s="134"/>
      <c r="R16" s="134"/>
      <c r="S16" s="134"/>
      <c r="T16" s="134"/>
      <c r="U16" s="134"/>
      <c r="V16" s="134"/>
      <c r="W16" s="134"/>
    </row>
    <row r="17" spans="2:23" ht="20" hidden="1" customHeight="1">
      <c r="B17" s="7" t="s">
        <v>256</v>
      </c>
      <c r="C17" s="7"/>
      <c r="D17" s="7"/>
      <c r="E17" s="134"/>
      <c r="F17" s="134"/>
      <c r="G17" s="134"/>
      <c r="H17" s="134"/>
      <c r="I17" s="134"/>
      <c r="J17" s="134"/>
      <c r="K17" s="134"/>
      <c r="L17" s="134"/>
      <c r="M17" s="159"/>
      <c r="N17" s="159"/>
      <c r="O17" s="7"/>
      <c r="P17" s="134"/>
      <c r="Q17" s="134"/>
      <c r="R17" s="134"/>
      <c r="S17" s="134"/>
      <c r="T17" s="134"/>
      <c r="U17" s="134"/>
      <c r="V17" s="134"/>
      <c r="W17" s="134"/>
    </row>
    <row r="18" spans="2:23" ht="20" hidden="1" customHeight="1">
      <c r="B18" s="7" t="s">
        <v>257</v>
      </c>
      <c r="C18" s="7"/>
      <c r="D18" s="7"/>
      <c r="E18" s="134"/>
      <c r="F18" s="134"/>
      <c r="G18" s="134"/>
      <c r="H18" s="134"/>
      <c r="I18" s="134"/>
      <c r="J18" s="134"/>
      <c r="K18" s="134"/>
      <c r="L18" s="134"/>
      <c r="M18" s="159"/>
      <c r="N18" s="159"/>
      <c r="O18" s="7"/>
      <c r="P18" s="134"/>
      <c r="Q18" s="134"/>
      <c r="R18" s="134"/>
      <c r="S18" s="134"/>
      <c r="T18" s="134"/>
      <c r="U18" s="134"/>
      <c r="V18" s="134"/>
      <c r="W18" s="134"/>
    </row>
    <row r="19" spans="2:23" ht="20" hidden="1" customHeight="1">
      <c r="B19" s="7" t="s">
        <v>103</v>
      </c>
      <c r="C19" s="7"/>
      <c r="D19" s="7"/>
      <c r="E19" s="134"/>
      <c r="F19" s="134"/>
      <c r="G19" s="134"/>
      <c r="H19" s="134"/>
      <c r="I19" s="134"/>
      <c r="J19" s="134"/>
      <c r="K19" s="134"/>
      <c r="L19" s="134"/>
      <c r="M19" s="159"/>
      <c r="N19" s="159"/>
      <c r="O19" s="7"/>
      <c r="P19" s="134"/>
      <c r="Q19" s="134"/>
      <c r="R19" s="134"/>
      <c r="S19" s="134"/>
      <c r="T19" s="134"/>
      <c r="U19" s="134"/>
      <c r="V19" s="134"/>
      <c r="W19" s="134"/>
    </row>
    <row r="20" spans="2:23" ht="20" hidden="1" customHeight="1">
      <c r="B20" s="7" t="s">
        <v>258</v>
      </c>
      <c r="C20" s="7"/>
      <c r="D20" s="7"/>
      <c r="E20" s="134"/>
      <c r="F20" s="134"/>
      <c r="G20" s="134"/>
      <c r="H20" s="134"/>
      <c r="I20" s="134"/>
      <c r="J20" s="134"/>
      <c r="K20" s="134"/>
      <c r="L20" s="134"/>
      <c r="M20" s="159"/>
      <c r="N20" s="159"/>
      <c r="O20" s="7"/>
      <c r="P20" s="134"/>
      <c r="Q20" s="134"/>
      <c r="R20" s="134"/>
      <c r="S20" s="134"/>
      <c r="T20" s="134"/>
      <c r="U20" s="134"/>
      <c r="V20" s="134"/>
      <c r="W20" s="134"/>
    </row>
    <row r="21" spans="2:23" ht="20" hidden="1" customHeight="1">
      <c r="B21" s="7" t="s">
        <v>259</v>
      </c>
      <c r="C21" s="7"/>
      <c r="D21" s="7"/>
      <c r="E21" s="134"/>
      <c r="F21" s="134"/>
      <c r="G21" s="134"/>
      <c r="H21" s="134"/>
      <c r="I21" s="134"/>
      <c r="J21" s="134"/>
      <c r="K21" s="134"/>
      <c r="L21" s="134"/>
      <c r="M21" s="159"/>
      <c r="N21" s="159"/>
      <c r="O21" s="7"/>
      <c r="P21" s="134"/>
      <c r="Q21" s="134"/>
      <c r="R21" s="134"/>
      <c r="S21" s="134"/>
      <c r="T21" s="134"/>
      <c r="U21" s="134"/>
      <c r="V21" s="134"/>
      <c r="W21" s="134"/>
    </row>
    <row r="22" spans="2:23" ht="20" hidden="1" customHeight="1">
      <c r="B22" s="7" t="s">
        <v>260</v>
      </c>
      <c r="C22" s="7"/>
      <c r="D22" s="7"/>
      <c r="E22" s="134"/>
      <c r="F22" s="134"/>
      <c r="G22" s="134"/>
      <c r="H22" s="134"/>
      <c r="I22" s="134"/>
      <c r="J22" s="134"/>
      <c r="K22" s="134"/>
      <c r="L22" s="134"/>
      <c r="M22" s="159"/>
      <c r="N22" s="159"/>
      <c r="O22" s="7"/>
      <c r="P22" s="134"/>
      <c r="Q22" s="134"/>
      <c r="R22" s="134"/>
      <c r="S22" s="134"/>
      <c r="T22" s="134"/>
      <c r="U22" s="134"/>
      <c r="V22" s="134"/>
      <c r="W22" s="134"/>
    </row>
    <row r="23" spans="2:23" ht="20" hidden="1" customHeight="1">
      <c r="B23" s="7" t="s">
        <v>261</v>
      </c>
      <c r="C23" s="7"/>
      <c r="D23" s="7"/>
      <c r="E23" s="134"/>
      <c r="F23" s="134"/>
      <c r="G23" s="134"/>
      <c r="H23" s="134"/>
      <c r="I23" s="134"/>
      <c r="J23" s="134"/>
      <c r="K23" s="134"/>
      <c r="L23" s="134"/>
      <c r="M23" s="159"/>
      <c r="N23" s="159"/>
      <c r="O23" s="7"/>
      <c r="P23" s="134"/>
      <c r="Q23" s="134"/>
      <c r="R23" s="134"/>
      <c r="S23" s="134"/>
      <c r="T23" s="134"/>
      <c r="U23" s="134"/>
      <c r="V23" s="134"/>
      <c r="W23" s="134"/>
    </row>
    <row r="24" spans="2:23" ht="20" hidden="1" customHeight="1">
      <c r="B24" s="7" t="s">
        <v>98</v>
      </c>
      <c r="C24" s="7"/>
      <c r="D24" s="7"/>
      <c r="E24" s="134"/>
      <c r="F24" s="134"/>
      <c r="G24" s="134"/>
      <c r="H24" s="134"/>
      <c r="I24" s="134"/>
      <c r="J24" s="134"/>
      <c r="K24" s="134"/>
      <c r="L24" s="134"/>
      <c r="M24" s="159"/>
      <c r="N24" s="159"/>
      <c r="O24" s="7"/>
      <c r="P24" s="134"/>
      <c r="Q24" s="134"/>
      <c r="R24" s="134"/>
      <c r="S24" s="134"/>
      <c r="T24" s="134"/>
      <c r="U24" s="134"/>
      <c r="V24" s="134"/>
      <c r="W24" s="134"/>
    </row>
    <row r="25" spans="2:23" ht="20" hidden="1" customHeight="1">
      <c r="B25" s="7" t="s">
        <v>262</v>
      </c>
      <c r="C25" s="7"/>
      <c r="D25" s="7"/>
      <c r="E25" s="134"/>
      <c r="F25" s="134"/>
      <c r="G25" s="134"/>
      <c r="H25" s="134"/>
      <c r="I25" s="134"/>
      <c r="J25" s="134"/>
      <c r="K25" s="134"/>
      <c r="L25" s="134"/>
      <c r="M25" s="159"/>
      <c r="N25" s="159"/>
      <c r="O25" s="7"/>
      <c r="P25" s="134"/>
      <c r="Q25" s="134"/>
      <c r="R25" s="134"/>
      <c r="S25" s="134"/>
      <c r="T25" s="134"/>
      <c r="U25" s="134"/>
      <c r="V25" s="134"/>
      <c r="W25" s="134"/>
    </row>
    <row r="26" spans="2:23" ht="20" hidden="1" customHeight="1">
      <c r="B26" s="7" t="s">
        <v>263</v>
      </c>
      <c r="C26" s="7"/>
      <c r="D26" s="7"/>
      <c r="E26" s="134"/>
      <c r="F26" s="134"/>
      <c r="G26" s="134"/>
      <c r="H26" s="134"/>
      <c r="I26" s="134"/>
      <c r="J26" s="134"/>
      <c r="K26" s="134"/>
      <c r="L26" s="134"/>
      <c r="M26" s="159"/>
      <c r="N26" s="159"/>
      <c r="O26" s="7"/>
      <c r="P26" s="134"/>
      <c r="Q26" s="134"/>
      <c r="R26" s="134"/>
      <c r="S26" s="134"/>
      <c r="T26" s="134"/>
      <c r="U26" s="134"/>
      <c r="V26" s="134"/>
      <c r="W26" s="134"/>
    </row>
    <row r="27" spans="2:23" ht="20" hidden="1" customHeight="1">
      <c r="B27" s="140"/>
      <c r="C27" s="140"/>
      <c r="D27" s="140"/>
      <c r="E27" s="134"/>
      <c r="F27" s="134"/>
      <c r="G27" s="134"/>
      <c r="H27" s="134"/>
      <c r="I27" s="134"/>
      <c r="J27" s="134"/>
      <c r="K27" s="134"/>
      <c r="L27" s="134"/>
      <c r="M27" s="134"/>
      <c r="N27" s="134"/>
      <c r="O27" s="134"/>
      <c r="P27" s="134"/>
      <c r="Q27" s="134"/>
      <c r="R27" s="134"/>
      <c r="S27" s="134"/>
      <c r="T27" s="134"/>
      <c r="U27" s="134"/>
      <c r="V27" s="134"/>
      <c r="W27" s="134"/>
    </row>
    <row r="28" spans="2:23" ht="20" customHeight="1">
      <c r="B28" s="140" t="s">
        <v>12</v>
      </c>
      <c r="C28" s="140"/>
      <c r="D28" s="140"/>
      <c r="E28" s="134"/>
      <c r="F28" s="134"/>
      <c r="G28" s="134"/>
      <c r="H28" s="134"/>
      <c r="I28" s="134"/>
      <c r="J28" s="134"/>
      <c r="K28" s="134"/>
      <c r="L28" s="134"/>
      <c r="M28" s="134"/>
      <c r="N28" s="134"/>
      <c r="O28" s="134"/>
      <c r="P28" s="134"/>
      <c r="Q28" s="134"/>
      <c r="R28" s="134"/>
      <c r="S28" s="134"/>
      <c r="T28" s="134"/>
      <c r="U28" s="134"/>
      <c r="V28" s="134"/>
      <c r="W28" s="134"/>
    </row>
    <row r="29" spans="2:23" ht="20" customHeight="1">
      <c r="B29" s="134"/>
      <c r="C29" s="134"/>
      <c r="D29" s="134"/>
      <c r="E29" s="134"/>
      <c r="F29" s="134"/>
      <c r="G29" s="134"/>
      <c r="H29" s="134"/>
      <c r="I29" s="134"/>
      <c r="J29" s="134"/>
      <c r="K29" s="134"/>
      <c r="L29" s="134"/>
      <c r="M29" s="134"/>
      <c r="N29" s="134"/>
      <c r="O29" s="134"/>
      <c r="P29" s="134"/>
      <c r="Q29" s="134"/>
      <c r="R29" s="134"/>
      <c r="S29" s="134"/>
      <c r="T29" s="134"/>
      <c r="U29" s="134"/>
      <c r="V29" s="134"/>
      <c r="W29" s="134"/>
    </row>
    <row r="30" spans="2:23" ht="20" customHeight="1">
      <c r="B30" s="134"/>
      <c r="C30" s="134"/>
      <c r="D30" s="134"/>
      <c r="E30" s="134"/>
      <c r="F30" s="134"/>
      <c r="G30" s="134"/>
      <c r="H30" s="134"/>
      <c r="I30" s="134"/>
      <c r="J30" s="134"/>
      <c r="K30" s="134"/>
      <c r="L30" s="134"/>
      <c r="M30" s="134"/>
      <c r="N30" s="134"/>
      <c r="O30" s="134"/>
      <c r="P30" s="134"/>
      <c r="Q30" s="134"/>
      <c r="R30" s="134"/>
      <c r="S30" s="134"/>
      <c r="T30" s="134"/>
      <c r="U30" s="134"/>
      <c r="V30" s="134"/>
      <c r="W30" s="134"/>
    </row>
    <row r="31" spans="2:23" ht="20" customHeight="1">
      <c r="B31" s="333"/>
      <c r="C31" s="134"/>
      <c r="D31" s="134"/>
      <c r="E31" s="134"/>
      <c r="F31" s="134"/>
      <c r="G31" s="134"/>
      <c r="H31" s="134"/>
      <c r="I31" s="134"/>
      <c r="J31" s="134"/>
      <c r="K31" s="134"/>
      <c r="L31" s="134"/>
      <c r="M31" s="134"/>
      <c r="N31" s="134"/>
      <c r="O31" s="134"/>
      <c r="P31" s="134"/>
      <c r="Q31" s="134"/>
      <c r="R31" s="134"/>
      <c r="S31" s="134"/>
      <c r="T31" s="134"/>
      <c r="U31" s="134"/>
      <c r="V31" s="134"/>
      <c r="W31" s="134"/>
    </row>
    <row r="32" spans="2:23" ht="20" customHeight="1">
      <c r="B32" s="134"/>
      <c r="C32" s="134"/>
      <c r="D32" s="134"/>
      <c r="E32" s="134"/>
      <c r="F32" s="134"/>
      <c r="G32" s="134"/>
      <c r="H32" s="134"/>
      <c r="I32" s="134"/>
      <c r="J32" s="134"/>
      <c r="K32" s="134"/>
      <c r="L32" s="134"/>
      <c r="M32" s="134"/>
      <c r="N32" s="134"/>
      <c r="O32" s="134"/>
      <c r="P32" s="134"/>
      <c r="Q32" s="134"/>
      <c r="R32" s="134"/>
      <c r="S32" s="134"/>
      <c r="T32" s="134"/>
      <c r="U32" s="134"/>
      <c r="V32" s="134"/>
      <c r="W32" s="134"/>
    </row>
    <row r="33" spans="2:23" ht="20" customHeight="1">
      <c r="B33" s="76"/>
      <c r="C33" s="76"/>
      <c r="D33" s="76"/>
      <c r="E33" s="76"/>
      <c r="F33" s="76"/>
      <c r="G33" s="134"/>
      <c r="H33" s="134"/>
      <c r="I33" s="134"/>
      <c r="J33" s="134"/>
      <c r="K33" s="134"/>
      <c r="L33" s="134"/>
      <c r="M33" s="134"/>
      <c r="N33" s="134"/>
      <c r="O33" s="134"/>
      <c r="P33" s="134"/>
      <c r="Q33" s="134"/>
      <c r="R33" s="134"/>
      <c r="S33" s="134"/>
      <c r="T33" s="134"/>
      <c r="U33" s="134"/>
      <c r="V33" s="134"/>
      <c r="W33" s="134"/>
    </row>
    <row r="34" spans="2:23" ht="20" customHeight="1">
      <c r="B34" s="204"/>
      <c r="C34" s="666"/>
      <c r="D34" s="678"/>
      <c r="E34" s="204"/>
      <c r="F34" s="134"/>
      <c r="G34" s="134"/>
      <c r="H34" s="134"/>
      <c r="I34" s="134"/>
      <c r="J34" s="134"/>
      <c r="K34" s="134"/>
      <c r="L34" s="134"/>
      <c r="M34" s="134"/>
      <c r="N34" s="134"/>
      <c r="O34" s="134"/>
      <c r="P34" s="134"/>
      <c r="Q34" s="134"/>
      <c r="R34" s="134"/>
      <c r="S34" s="134"/>
      <c r="T34" s="134"/>
      <c r="U34" s="134"/>
      <c r="V34" s="134"/>
      <c r="W34" s="134"/>
    </row>
    <row r="35" spans="2:23" ht="20" customHeight="1">
      <c r="B35" s="204"/>
      <c r="C35" s="666"/>
      <c r="D35" s="678"/>
      <c r="E35" s="204"/>
      <c r="F35" s="134"/>
      <c r="G35" s="134"/>
      <c r="H35" s="134"/>
      <c r="I35" s="134"/>
      <c r="J35" s="134"/>
      <c r="K35" s="134"/>
      <c r="L35" s="134"/>
      <c r="M35" s="134"/>
      <c r="N35" s="134"/>
      <c r="O35" s="134"/>
      <c r="P35" s="134"/>
      <c r="Q35" s="134"/>
      <c r="R35" s="134"/>
      <c r="S35" s="134"/>
      <c r="T35" s="134"/>
      <c r="U35" s="134"/>
      <c r="V35" s="134"/>
      <c r="W35" s="134"/>
    </row>
    <row r="36" spans="2:23" ht="20" customHeight="1">
      <c r="B36" s="204"/>
      <c r="C36" s="666"/>
      <c r="D36" s="678"/>
      <c r="E36" s="204"/>
      <c r="F36" s="134"/>
      <c r="G36" s="134"/>
      <c r="H36" s="134"/>
      <c r="I36" s="134"/>
      <c r="J36" s="134"/>
      <c r="K36" s="134"/>
      <c r="L36" s="134"/>
      <c r="M36" s="134"/>
      <c r="N36" s="134"/>
      <c r="O36" s="134"/>
      <c r="P36" s="134"/>
      <c r="Q36" s="134"/>
      <c r="R36" s="134"/>
      <c r="S36" s="134"/>
      <c r="T36" s="134"/>
      <c r="U36" s="134"/>
      <c r="V36" s="134"/>
      <c r="W36" s="134"/>
    </row>
    <row r="37" spans="2:23" ht="20" customHeight="1">
      <c r="B37" s="134"/>
      <c r="C37" s="666"/>
      <c r="D37" s="678"/>
      <c r="E37" s="204"/>
      <c r="F37" s="134"/>
      <c r="G37" s="134"/>
      <c r="H37" s="134"/>
      <c r="I37" s="134"/>
      <c r="J37" s="134"/>
      <c r="K37" s="134"/>
      <c r="L37" s="134"/>
      <c r="M37" s="134"/>
      <c r="N37" s="134"/>
      <c r="O37" s="134"/>
      <c r="P37" s="134"/>
      <c r="Q37" s="134"/>
      <c r="R37" s="134"/>
      <c r="S37" s="134"/>
      <c r="T37" s="134"/>
      <c r="U37" s="134"/>
      <c r="V37" s="134"/>
      <c r="W37" s="134"/>
    </row>
    <row r="38" spans="2:23" ht="20" customHeight="1">
      <c r="B38" s="134"/>
      <c r="C38" s="134"/>
      <c r="D38" s="134"/>
      <c r="E38" s="134"/>
      <c r="F38" s="134"/>
      <c r="G38" s="134"/>
      <c r="H38" s="134"/>
      <c r="I38" s="134"/>
      <c r="J38" s="134"/>
      <c r="K38" s="134"/>
      <c r="L38" s="134"/>
      <c r="M38" s="134"/>
      <c r="N38" s="134"/>
      <c r="O38" s="134"/>
      <c r="P38" s="134"/>
      <c r="Q38" s="134"/>
      <c r="R38" s="134"/>
      <c r="S38" s="134"/>
      <c r="T38" s="134"/>
      <c r="U38" s="134"/>
      <c r="V38" s="134"/>
      <c r="W38" s="134"/>
    </row>
    <row r="39" spans="2:23" ht="20" customHeight="1">
      <c r="B39" s="134"/>
      <c r="C39" s="134"/>
      <c r="D39" s="134"/>
      <c r="E39" s="134"/>
      <c r="F39" s="134"/>
      <c r="G39" s="134"/>
      <c r="H39" s="134"/>
      <c r="I39" s="134"/>
      <c r="J39" s="134"/>
      <c r="K39" s="134"/>
      <c r="L39" s="134"/>
      <c r="M39" s="134"/>
      <c r="N39" s="134"/>
      <c r="O39" s="134"/>
      <c r="P39" s="134"/>
      <c r="Q39" s="134"/>
      <c r="R39" s="134"/>
      <c r="S39" s="134"/>
      <c r="T39" s="134"/>
      <c r="U39" s="134"/>
      <c r="V39" s="134"/>
      <c r="W39" s="134"/>
    </row>
    <row r="40" spans="2:23" ht="20" customHeight="1">
      <c r="B40" s="333"/>
      <c r="C40" s="134"/>
      <c r="D40" s="134"/>
      <c r="E40" s="134"/>
      <c r="F40" s="134"/>
      <c r="G40" s="134"/>
      <c r="H40" s="134"/>
      <c r="I40" s="134"/>
      <c r="J40" s="134"/>
      <c r="K40" s="134"/>
      <c r="L40" s="134"/>
      <c r="M40" s="134"/>
      <c r="N40" s="134"/>
      <c r="O40" s="134"/>
      <c r="P40" s="134"/>
      <c r="Q40" s="134"/>
      <c r="R40" s="134"/>
      <c r="S40" s="134"/>
      <c r="T40" s="134"/>
      <c r="U40" s="134"/>
      <c r="V40" s="134"/>
      <c r="W40" s="134"/>
    </row>
    <row r="41" spans="2:23" ht="20" customHeight="1">
      <c r="B41" s="134"/>
      <c r="C41" s="134"/>
      <c r="D41" s="134"/>
      <c r="E41" s="134"/>
      <c r="F41" s="134"/>
      <c r="G41" s="134"/>
      <c r="H41" s="134"/>
      <c r="I41" s="134"/>
      <c r="J41" s="134"/>
      <c r="K41" s="134"/>
      <c r="L41" s="134"/>
      <c r="M41" s="134"/>
      <c r="N41" s="134"/>
      <c r="O41" s="134"/>
      <c r="P41" s="134"/>
      <c r="Q41" s="134"/>
      <c r="R41" s="134"/>
      <c r="S41" s="134"/>
      <c r="T41" s="134"/>
      <c r="U41" s="134"/>
      <c r="V41" s="134"/>
      <c r="W41" s="134"/>
    </row>
    <row r="42" spans="2:23" ht="20" customHeight="1">
      <c r="B42" s="76"/>
      <c r="C42" s="76"/>
      <c r="D42" s="76"/>
      <c r="E42" s="76"/>
      <c r="F42" s="76"/>
      <c r="G42" s="134"/>
      <c r="H42" s="134"/>
      <c r="I42" s="134"/>
      <c r="J42" s="134"/>
      <c r="K42" s="134"/>
      <c r="L42" s="134"/>
      <c r="M42" s="134"/>
      <c r="N42" s="134"/>
      <c r="O42" s="134"/>
      <c r="P42" s="134"/>
      <c r="Q42" s="134"/>
      <c r="R42" s="134"/>
      <c r="S42" s="134"/>
      <c r="T42" s="134"/>
      <c r="U42" s="134"/>
      <c r="V42" s="134"/>
      <c r="W42" s="134"/>
    </row>
    <row r="43" spans="2:23" ht="20" customHeight="1">
      <c r="B43" s="204"/>
      <c r="C43" s="666"/>
      <c r="D43" s="678"/>
      <c r="E43" s="204"/>
      <c r="F43" s="134"/>
      <c r="G43" s="134"/>
      <c r="H43" s="134"/>
      <c r="I43" s="134"/>
      <c r="J43" s="134"/>
      <c r="K43" s="134"/>
      <c r="L43" s="134"/>
      <c r="M43" s="134"/>
      <c r="N43" s="134"/>
      <c r="O43" s="134"/>
      <c r="P43" s="134"/>
      <c r="Q43" s="134"/>
      <c r="R43" s="134"/>
      <c r="S43" s="134"/>
      <c r="T43" s="134"/>
      <c r="U43" s="134"/>
      <c r="V43" s="134"/>
      <c r="W43" s="134"/>
    </row>
    <row r="44" spans="2:23" ht="20" customHeight="1">
      <c r="B44" s="134"/>
      <c r="C44" s="134"/>
      <c r="D44" s="134"/>
      <c r="E44" s="134"/>
      <c r="F44" s="134"/>
      <c r="G44" s="134"/>
      <c r="H44" s="134"/>
      <c r="I44" s="134"/>
      <c r="J44" s="134"/>
      <c r="K44" s="134"/>
      <c r="L44" s="134"/>
      <c r="M44" s="134"/>
      <c r="N44" s="134"/>
      <c r="O44" s="134"/>
      <c r="P44" s="134"/>
      <c r="Q44" s="134"/>
      <c r="R44" s="134"/>
      <c r="S44" s="134"/>
      <c r="T44" s="134"/>
      <c r="U44" s="134"/>
      <c r="V44" s="134"/>
      <c r="W44" s="134"/>
    </row>
    <row r="45" spans="2:23" ht="20" customHeight="1">
      <c r="B45" s="134"/>
      <c r="C45" s="134"/>
      <c r="D45" s="134"/>
      <c r="E45" s="134"/>
      <c r="F45" s="134"/>
      <c r="G45" s="134"/>
      <c r="H45" s="134"/>
      <c r="I45" s="134"/>
      <c r="J45" s="134"/>
      <c r="K45" s="134"/>
      <c r="L45" s="134"/>
      <c r="M45" s="134"/>
      <c r="N45" s="134"/>
      <c r="O45" s="134"/>
      <c r="P45" s="134"/>
      <c r="Q45" s="134"/>
      <c r="R45" s="134"/>
      <c r="S45" s="134"/>
      <c r="T45" s="134"/>
      <c r="U45" s="134"/>
      <c r="V45" s="134"/>
      <c r="W45" s="134"/>
    </row>
    <row r="46" spans="2:23" ht="20" customHeight="1">
      <c r="B46" s="333"/>
      <c r="C46" s="134"/>
      <c r="D46" s="134"/>
      <c r="E46" s="134"/>
      <c r="F46" s="134"/>
      <c r="G46" s="134"/>
      <c r="H46" s="134"/>
      <c r="I46" s="134"/>
      <c r="J46" s="134"/>
      <c r="K46" s="134"/>
      <c r="L46" s="134"/>
      <c r="M46" s="134"/>
      <c r="N46" s="134"/>
      <c r="O46" s="134"/>
      <c r="P46" s="134"/>
      <c r="Q46" s="134"/>
      <c r="R46" s="134"/>
      <c r="S46" s="134"/>
      <c r="T46" s="134"/>
      <c r="U46" s="134"/>
      <c r="V46" s="134"/>
      <c r="W46" s="134"/>
    </row>
    <row r="47" spans="2:23" ht="20" customHeight="1">
      <c r="B47" s="134"/>
      <c r="C47" s="134"/>
      <c r="D47" s="134"/>
      <c r="E47" s="134"/>
      <c r="F47" s="134"/>
      <c r="G47" s="134"/>
      <c r="H47" s="134"/>
      <c r="I47" s="134"/>
      <c r="J47" s="134"/>
      <c r="K47" s="134"/>
      <c r="L47" s="134"/>
      <c r="M47" s="134"/>
      <c r="N47" s="134"/>
      <c r="O47" s="134"/>
      <c r="P47" s="134"/>
      <c r="Q47" s="134"/>
      <c r="R47" s="134"/>
      <c r="S47" s="134"/>
      <c r="T47" s="134"/>
      <c r="U47" s="134"/>
      <c r="V47" s="134"/>
      <c r="W47" s="134"/>
    </row>
    <row r="48" spans="2:23" ht="20" customHeight="1">
      <c r="B48" s="76"/>
      <c r="C48" s="76"/>
      <c r="D48" s="76"/>
      <c r="E48" s="76"/>
      <c r="F48" s="76"/>
      <c r="G48" s="134"/>
      <c r="H48" s="134"/>
      <c r="I48" s="134"/>
      <c r="J48" s="134"/>
      <c r="K48" s="134"/>
      <c r="L48" s="134"/>
      <c r="M48" s="134"/>
      <c r="N48" s="134"/>
      <c r="O48" s="134"/>
      <c r="P48" s="134"/>
      <c r="Q48" s="134"/>
      <c r="R48" s="134"/>
      <c r="S48" s="134"/>
      <c r="T48" s="134"/>
      <c r="U48" s="134"/>
      <c r="V48" s="134"/>
      <c r="W48" s="134"/>
    </row>
    <row r="49" spans="2:23" ht="20" customHeight="1">
      <c r="B49" s="204"/>
      <c r="C49" s="666"/>
      <c r="D49" s="676"/>
      <c r="E49" s="204"/>
      <c r="F49" s="134"/>
      <c r="G49" s="134"/>
      <c r="H49" s="134"/>
      <c r="I49" s="134"/>
      <c r="J49" s="134"/>
      <c r="K49" s="134"/>
      <c r="L49" s="134"/>
      <c r="M49" s="134"/>
      <c r="N49" s="134"/>
      <c r="O49" s="134"/>
      <c r="P49" s="134"/>
      <c r="Q49" s="134"/>
      <c r="R49" s="134"/>
      <c r="S49" s="134"/>
      <c r="T49" s="134"/>
      <c r="U49" s="134"/>
      <c r="V49" s="134"/>
      <c r="W49" s="134"/>
    </row>
    <row r="50" spans="2:23" ht="20" customHeight="1">
      <c r="B50" s="134"/>
      <c r="C50" s="134"/>
      <c r="D50" s="134"/>
      <c r="E50" s="134"/>
      <c r="F50" s="134"/>
      <c r="G50" s="134"/>
      <c r="H50" s="134"/>
      <c r="I50" s="134"/>
      <c r="J50" s="134"/>
      <c r="K50" s="134"/>
      <c r="L50" s="134"/>
      <c r="M50" s="134"/>
      <c r="N50" s="134"/>
      <c r="O50" s="134"/>
      <c r="P50" s="134"/>
      <c r="Q50" s="134"/>
      <c r="R50" s="134"/>
      <c r="S50" s="134"/>
      <c r="T50" s="134"/>
      <c r="U50" s="134"/>
      <c r="V50" s="134"/>
      <c r="W50" s="134"/>
    </row>
    <row r="51" spans="2:23" ht="20" customHeight="1">
      <c r="B51" s="134"/>
      <c r="C51" s="134"/>
      <c r="D51" s="134"/>
      <c r="E51" s="134"/>
      <c r="F51" s="134"/>
      <c r="G51" s="134"/>
      <c r="H51" s="134"/>
      <c r="I51" s="134"/>
      <c r="J51" s="134"/>
      <c r="K51" s="134"/>
      <c r="L51" s="134"/>
      <c r="M51" s="134"/>
      <c r="N51" s="134"/>
      <c r="O51" s="134"/>
      <c r="P51" s="134"/>
      <c r="Q51" s="134"/>
      <c r="R51" s="134"/>
      <c r="S51" s="134"/>
      <c r="T51" s="134"/>
      <c r="U51" s="134"/>
      <c r="V51" s="134"/>
      <c r="W51" s="134"/>
    </row>
    <row r="52" spans="2:23" ht="20" customHeight="1">
      <c r="B52" s="333"/>
      <c r="C52" s="134"/>
      <c r="D52" s="134"/>
      <c r="E52" s="134"/>
      <c r="F52" s="134"/>
      <c r="G52" s="134"/>
      <c r="H52" s="134"/>
      <c r="I52" s="134"/>
      <c r="J52" s="134"/>
      <c r="K52" s="134"/>
      <c r="L52" s="134"/>
      <c r="M52" s="134"/>
      <c r="N52" s="134"/>
      <c r="O52" s="134"/>
      <c r="P52" s="134"/>
      <c r="Q52" s="134"/>
      <c r="R52" s="134"/>
      <c r="S52" s="134"/>
      <c r="T52" s="134"/>
      <c r="U52" s="134"/>
      <c r="V52" s="134"/>
      <c r="W52" s="134"/>
    </row>
    <row r="53" spans="2:23" ht="20" customHeight="1">
      <c r="B53" s="134"/>
      <c r="C53" s="134"/>
      <c r="D53" s="134"/>
      <c r="E53" s="134"/>
      <c r="F53" s="134"/>
      <c r="G53" s="134"/>
      <c r="H53" s="134"/>
      <c r="I53" s="134"/>
      <c r="J53" s="134"/>
      <c r="K53" s="134"/>
      <c r="L53" s="134"/>
      <c r="M53" s="134"/>
      <c r="N53" s="134"/>
      <c r="O53" s="134"/>
      <c r="P53" s="134"/>
      <c r="Q53" s="134"/>
      <c r="R53" s="134"/>
      <c r="S53" s="134"/>
      <c r="T53" s="134"/>
      <c r="U53" s="134"/>
      <c r="V53" s="134"/>
      <c r="W53" s="134"/>
    </row>
    <row r="54" spans="2:23" ht="20" customHeight="1">
      <c r="B54" s="76"/>
      <c r="C54" s="76"/>
      <c r="D54" s="76"/>
      <c r="E54" s="76"/>
      <c r="F54" s="76"/>
      <c r="G54" s="134"/>
      <c r="H54" s="134"/>
      <c r="I54" s="134"/>
      <c r="J54" s="134"/>
      <c r="K54" s="134"/>
      <c r="L54" s="134"/>
      <c r="M54" s="134"/>
      <c r="N54" s="134"/>
      <c r="O54" s="134"/>
      <c r="P54" s="134"/>
      <c r="Q54" s="134"/>
      <c r="R54" s="134"/>
      <c r="S54" s="134"/>
      <c r="T54" s="134"/>
      <c r="U54" s="134"/>
      <c r="V54" s="134"/>
      <c r="W54" s="134"/>
    </row>
    <row r="55" spans="2:23" ht="20" customHeight="1">
      <c r="B55" s="204"/>
      <c r="C55" s="666"/>
      <c r="D55" s="678"/>
      <c r="E55" s="204"/>
      <c r="F55" s="134"/>
      <c r="G55" s="134"/>
      <c r="H55" s="134"/>
      <c r="I55" s="134"/>
      <c r="J55" s="134"/>
      <c r="K55" s="134"/>
      <c r="L55" s="134"/>
      <c r="M55" s="134"/>
      <c r="N55" s="134"/>
      <c r="O55" s="134"/>
      <c r="P55" s="134"/>
      <c r="Q55" s="134"/>
      <c r="R55" s="134"/>
      <c r="S55" s="134"/>
      <c r="T55" s="134"/>
      <c r="U55" s="134"/>
      <c r="V55" s="134"/>
      <c r="W55" s="134"/>
    </row>
    <row r="56" spans="2:23" ht="20" customHeight="1">
      <c r="B56" s="134"/>
      <c r="C56" s="134"/>
      <c r="D56" s="134"/>
      <c r="E56" s="134"/>
      <c r="F56" s="134"/>
      <c r="G56" s="134"/>
      <c r="H56" s="134"/>
      <c r="I56" s="134"/>
      <c r="J56" s="134"/>
      <c r="K56" s="134"/>
      <c r="L56" s="134"/>
      <c r="M56" s="134"/>
      <c r="N56" s="134"/>
      <c r="O56" s="134"/>
      <c r="P56" s="134"/>
      <c r="Q56" s="134"/>
      <c r="R56" s="134"/>
      <c r="S56" s="134"/>
      <c r="T56" s="134"/>
      <c r="U56" s="134"/>
      <c r="V56" s="134"/>
      <c r="W56" s="134"/>
    </row>
  </sheetData>
  <sheetProtection algorithmName="SHA-512" hashValue="QMEtV8A476BUU50ki8DdA5bDGimryaJl88LRs20RZM3SdSLBksrjVqaGAr8C1wQm01LgRD1ByyRTu44Z2Vm2Og==" saltValue="qThaet4ayB0k8ICW1lqIBQ==" spinCount="100000" sheet="1" objects="1" scenarios="1" formatCells="0" formatColumns="0" formatRows="0" insertRows="0" deleteColumns="0" deleteRows="0"/>
  <mergeCells count="2">
    <mergeCell ref="G4:J4"/>
    <mergeCell ref="G3:J3"/>
  </mergeCells>
  <phoneticPr fontId="8" type="noConversion"/>
  <dataValidations disablePrompts="1" count="1">
    <dataValidation type="list" allowBlank="1" showInputMessage="1" showErrorMessage="1" sqref="H6" xr:uid="{1E00743F-E189-8C49-9C7E-31285FAC05C4}">
      <formula1>$H$8:$H$9</formula1>
    </dataValidation>
  </dataValidations>
  <printOptions horizontalCentered="1"/>
  <pageMargins left="0.7" right="0.7" top="0.75" bottom="0.75" header="0.3" footer="0.3"/>
  <pageSetup scale="7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1BDA2-A4CB-42CB-8064-6701140B7E02}">
  <dimension ref="B3:G35"/>
  <sheetViews>
    <sheetView topLeftCell="B1" workbookViewId="0">
      <selection activeCell="F12" sqref="F12"/>
    </sheetView>
  </sheetViews>
  <sheetFormatPr baseColWidth="10" defaultColWidth="11" defaultRowHeight="16"/>
  <cols>
    <col min="2" max="2" width="23.1640625" bestFit="1" customWidth="1"/>
    <col min="4" max="4" width="12.6640625" bestFit="1" customWidth="1"/>
    <col min="6" max="6" width="84" bestFit="1" customWidth="1"/>
  </cols>
  <sheetData>
    <row r="3" spans="2:7">
      <c r="B3" s="333" t="s">
        <v>1257</v>
      </c>
      <c r="C3" s="134"/>
      <c r="D3" s="134"/>
      <c r="E3" s="134"/>
      <c r="F3" s="134"/>
    </row>
    <row r="4" spans="2:7">
      <c r="B4" s="134" t="s">
        <v>817</v>
      </c>
      <c r="C4" s="134"/>
      <c r="D4" s="134"/>
      <c r="E4" s="134"/>
      <c r="F4" s="134"/>
    </row>
    <row r="5" spans="2:7">
      <c r="B5" s="76" t="s">
        <v>818</v>
      </c>
      <c r="C5" s="76" t="s">
        <v>54</v>
      </c>
      <c r="D5" s="76" t="s">
        <v>819</v>
      </c>
      <c r="E5" s="76" t="s">
        <v>562</v>
      </c>
      <c r="F5" s="76" t="s">
        <v>820</v>
      </c>
    </row>
    <row r="6" spans="2:7">
      <c r="B6" s="665" t="s">
        <v>821</v>
      </c>
      <c r="C6" s="666">
        <v>44657</v>
      </c>
      <c r="D6" s="667">
        <v>-400000</v>
      </c>
      <c r="E6" s="204" t="s">
        <v>59</v>
      </c>
      <c r="F6" s="134" t="s">
        <v>822</v>
      </c>
    </row>
    <row r="7" spans="2:7">
      <c r="B7" s="677" t="s">
        <v>923</v>
      </c>
      <c r="C7" s="666">
        <v>44799</v>
      </c>
      <c r="D7" s="667">
        <v>3675000</v>
      </c>
      <c r="E7" s="204" t="s">
        <v>59</v>
      </c>
      <c r="F7" s="134" t="s">
        <v>954</v>
      </c>
    </row>
    <row r="8" spans="2:7">
      <c r="B8" s="665" t="s">
        <v>821</v>
      </c>
      <c r="C8" s="666">
        <v>44799</v>
      </c>
      <c r="D8" s="667">
        <v>-4000000</v>
      </c>
      <c r="E8" s="204" t="s">
        <v>59</v>
      </c>
      <c r="F8" s="134" t="s">
        <v>955</v>
      </c>
    </row>
    <row r="9" spans="2:7">
      <c r="B9" s="677" t="s">
        <v>923</v>
      </c>
      <c r="C9" s="666">
        <v>44839</v>
      </c>
      <c r="D9" s="667">
        <v>2000000</v>
      </c>
      <c r="E9" s="204" t="s">
        <v>59</v>
      </c>
      <c r="F9" s="134" t="s">
        <v>1251</v>
      </c>
      <c r="G9" t="s">
        <v>1022</v>
      </c>
    </row>
    <row r="10" spans="2:7">
      <c r="B10" s="665" t="s">
        <v>821</v>
      </c>
      <c r="C10" s="666">
        <v>44839</v>
      </c>
      <c r="D10" s="667">
        <v>-2350</v>
      </c>
      <c r="E10" s="204" t="s">
        <v>59</v>
      </c>
      <c r="F10" s="134" t="s">
        <v>1023</v>
      </c>
    </row>
    <row r="11" spans="2:7">
      <c r="B11" s="665" t="s">
        <v>821</v>
      </c>
      <c r="C11" s="666">
        <v>44862</v>
      </c>
      <c r="D11" s="667">
        <v>-8500</v>
      </c>
      <c r="E11" s="204" t="s">
        <v>59</v>
      </c>
      <c r="F11" s="134" t="s">
        <v>1024</v>
      </c>
    </row>
    <row r="12" spans="2:7">
      <c r="B12" s="134"/>
      <c r="C12" s="134"/>
      <c r="D12" s="676"/>
      <c r="E12" s="134"/>
      <c r="F12" s="134"/>
    </row>
    <row r="13" spans="2:7">
      <c r="B13" s="333" t="s">
        <v>1261</v>
      </c>
      <c r="C13" s="134"/>
      <c r="D13" s="134"/>
      <c r="E13" s="134"/>
      <c r="F13" s="134"/>
    </row>
    <row r="14" spans="2:7">
      <c r="B14" s="134" t="s">
        <v>817</v>
      </c>
      <c r="C14" s="134"/>
      <c r="D14" s="134"/>
      <c r="E14" s="134"/>
      <c r="F14" s="134"/>
    </row>
    <row r="15" spans="2:7">
      <c r="B15" s="76" t="s">
        <v>818</v>
      </c>
      <c r="C15" s="76" t="s">
        <v>54</v>
      </c>
      <c r="D15" s="76" t="s">
        <v>819</v>
      </c>
      <c r="E15" s="76" t="s">
        <v>562</v>
      </c>
      <c r="F15" s="76" t="s">
        <v>820</v>
      </c>
    </row>
    <row r="16" spans="2:7">
      <c r="B16" s="665" t="s">
        <v>821</v>
      </c>
      <c r="C16" s="666">
        <v>44768</v>
      </c>
      <c r="D16" s="667">
        <v>-2373000</v>
      </c>
      <c r="E16" s="204" t="s">
        <v>59</v>
      </c>
      <c r="F16" s="134" t="s">
        <v>920</v>
      </c>
    </row>
    <row r="17" spans="2:7">
      <c r="B17" s="134"/>
      <c r="C17" s="134"/>
      <c r="D17" s="134"/>
      <c r="E17" s="134"/>
      <c r="F17" s="134"/>
    </row>
    <row r="18" spans="2:7">
      <c r="B18" s="134"/>
      <c r="C18" s="134"/>
      <c r="D18" s="134"/>
      <c r="E18" s="134"/>
      <c r="F18" s="134"/>
    </row>
    <row r="19" spans="2:7">
      <c r="B19" s="333" t="s">
        <v>1264</v>
      </c>
      <c r="C19" s="134"/>
      <c r="D19" s="134"/>
      <c r="E19" s="134"/>
      <c r="F19" s="134"/>
    </row>
    <row r="20" spans="2:7">
      <c r="B20" s="134" t="s">
        <v>817</v>
      </c>
      <c r="C20" s="134"/>
      <c r="D20" s="134"/>
      <c r="E20" s="134"/>
      <c r="F20" s="134"/>
    </row>
    <row r="21" spans="2:7">
      <c r="B21" s="76" t="s">
        <v>818</v>
      </c>
      <c r="C21" s="76" t="s">
        <v>54</v>
      </c>
      <c r="D21" s="76" t="s">
        <v>819</v>
      </c>
      <c r="E21" s="76" t="s">
        <v>562</v>
      </c>
      <c r="F21" s="76" t="s">
        <v>820</v>
      </c>
    </row>
    <row r="22" spans="2:7">
      <c r="B22" s="677" t="s">
        <v>923</v>
      </c>
      <c r="C22" s="666">
        <v>44768</v>
      </c>
      <c r="D22" s="676">
        <v>2373000</v>
      </c>
      <c r="E22" s="204" t="s">
        <v>59</v>
      </c>
      <c r="F22" s="134" t="s">
        <v>922</v>
      </c>
    </row>
    <row r="23" spans="2:7">
      <c r="B23" s="134"/>
      <c r="C23" s="134"/>
      <c r="D23" s="134"/>
      <c r="E23" s="134"/>
      <c r="F23" s="134"/>
    </row>
    <row r="24" spans="2:7">
      <c r="B24" s="134"/>
      <c r="C24" s="134"/>
      <c r="D24" s="134"/>
      <c r="E24" s="134"/>
      <c r="F24" s="134"/>
    </row>
    <row r="25" spans="2:7">
      <c r="B25" s="333" t="s">
        <v>1252</v>
      </c>
      <c r="C25" s="134"/>
      <c r="D25" s="134"/>
      <c r="E25" s="134"/>
      <c r="F25" s="134"/>
    </row>
    <row r="26" spans="2:7">
      <c r="B26" s="134" t="s">
        <v>817</v>
      </c>
      <c r="C26" s="134"/>
      <c r="D26" s="134"/>
      <c r="E26" s="134"/>
      <c r="F26" s="134"/>
    </row>
    <row r="27" spans="2:7">
      <c r="B27" s="76" t="s">
        <v>818</v>
      </c>
      <c r="C27" s="76" t="s">
        <v>54</v>
      </c>
      <c r="D27" s="76" t="s">
        <v>819</v>
      </c>
      <c r="E27" s="76" t="s">
        <v>562</v>
      </c>
      <c r="F27" s="76" t="s">
        <v>820</v>
      </c>
    </row>
    <row r="28" spans="2:7">
      <c r="B28" s="665" t="s">
        <v>821</v>
      </c>
      <c r="C28" s="666">
        <v>44799</v>
      </c>
      <c r="D28" s="667">
        <v>-3675000</v>
      </c>
      <c r="E28" s="204" t="s">
        <v>59</v>
      </c>
      <c r="F28" s="134" t="s">
        <v>953</v>
      </c>
    </row>
    <row r="29" spans="2:7">
      <c r="B29" s="665" t="s">
        <v>821</v>
      </c>
      <c r="C29" s="666">
        <v>44839</v>
      </c>
      <c r="D29" s="667">
        <v>-2000000</v>
      </c>
      <c r="E29" s="204" t="s">
        <v>59</v>
      </c>
      <c r="F29" s="134" t="s">
        <v>953</v>
      </c>
      <c r="G29" t="s">
        <v>1258</v>
      </c>
    </row>
    <row r="32" spans="2:7">
      <c r="B32" s="333" t="s">
        <v>1247</v>
      </c>
      <c r="C32" s="134"/>
      <c r="D32" s="134"/>
      <c r="E32" s="134"/>
      <c r="F32" s="134"/>
    </row>
    <row r="33" spans="2:6">
      <c r="B33" s="134" t="s">
        <v>817</v>
      </c>
      <c r="C33" s="134"/>
      <c r="D33" s="134"/>
      <c r="E33" s="134"/>
      <c r="F33" s="134"/>
    </row>
    <row r="34" spans="2:6">
      <c r="B34" s="76" t="s">
        <v>818</v>
      </c>
      <c r="C34" s="76" t="s">
        <v>54</v>
      </c>
      <c r="D34" s="76" t="s">
        <v>819</v>
      </c>
      <c r="E34" s="76" t="s">
        <v>562</v>
      </c>
      <c r="F34" s="76" t="s">
        <v>820</v>
      </c>
    </row>
    <row r="35" spans="2:6">
      <c r="B35" s="665" t="s">
        <v>821</v>
      </c>
      <c r="C35" s="666">
        <v>44811</v>
      </c>
      <c r="D35" s="667">
        <v>-4000000</v>
      </c>
      <c r="E35" s="204" t="s">
        <v>59</v>
      </c>
      <c r="F35" s="134" t="s">
        <v>1248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3:I24"/>
  <sheetViews>
    <sheetView view="pageBreakPreview" zoomScale="67" zoomScaleNormal="110" zoomScaleSheetLayoutView="90" zoomScalePageLayoutView="80" workbookViewId="0">
      <pane ySplit="8" topLeftCell="A9" activePane="bottomLeft" state="frozen"/>
      <selection pane="bottomLeft" activeCell="B4" sqref="B4:G4"/>
    </sheetView>
  </sheetViews>
  <sheetFormatPr baseColWidth="10" defaultColWidth="10.83203125" defaultRowHeight="23" customHeight="1"/>
  <cols>
    <col min="1" max="1" width="10.83203125" style="1"/>
    <col min="2" max="2" width="3.83203125" style="3" customWidth="1"/>
    <col min="3" max="3" width="67.33203125" style="1" customWidth="1"/>
    <col min="4" max="4" width="4.83203125" style="1" customWidth="1"/>
    <col min="5" max="5" width="23.5" style="1" customWidth="1"/>
    <col min="6" max="6" width="4.1640625" style="1" customWidth="1"/>
    <col min="7" max="7" width="14" style="1" bestFit="1" customWidth="1"/>
    <col min="8" max="8" width="10.83203125" style="1"/>
    <col min="9" max="9" width="23" style="1" customWidth="1"/>
    <col min="10" max="16384" width="10.83203125" style="1"/>
  </cols>
  <sheetData>
    <row r="3" spans="2:9" ht="23" customHeight="1">
      <c r="B3" s="723" t="s">
        <v>1245</v>
      </c>
      <c r="C3" s="723"/>
      <c r="D3" s="723"/>
      <c r="E3" s="723"/>
      <c r="F3" s="723"/>
      <c r="G3" s="723"/>
    </row>
    <row r="4" spans="2:9" ht="23" customHeight="1">
      <c r="B4" s="724" t="s">
        <v>234</v>
      </c>
      <c r="C4" s="724"/>
      <c r="D4" s="724"/>
      <c r="E4" s="724"/>
      <c r="F4" s="724"/>
      <c r="G4" s="724"/>
    </row>
    <row r="5" spans="2:9" ht="23" customHeight="1">
      <c r="B5" s="725" t="s">
        <v>684</v>
      </c>
      <c r="C5" s="725"/>
      <c r="D5" s="725"/>
      <c r="E5" s="725"/>
      <c r="F5" s="725"/>
      <c r="G5" s="725"/>
    </row>
    <row r="6" spans="2:9" ht="14" customHeight="1">
      <c r="B6" s="22" t="s">
        <v>678</v>
      </c>
      <c r="C6" s="23"/>
      <c r="D6" s="24"/>
      <c r="E6" s="23"/>
      <c r="F6" s="22"/>
      <c r="G6" s="23"/>
    </row>
    <row r="7" spans="2:9" ht="22" customHeight="1">
      <c r="B7" s="31"/>
      <c r="C7" s="32"/>
      <c r="D7" s="31"/>
      <c r="E7" s="32"/>
      <c r="F7" s="31"/>
      <c r="G7" s="32"/>
    </row>
    <row r="8" spans="2:9" ht="30">
      <c r="B8" s="27"/>
      <c r="C8" s="28"/>
      <c r="D8" s="27"/>
      <c r="E8" s="29" t="s">
        <v>252</v>
      </c>
      <c r="F8" s="30"/>
      <c r="G8" s="29" t="s">
        <v>272</v>
      </c>
      <c r="I8" s="41" t="s">
        <v>628</v>
      </c>
    </row>
    <row r="9" spans="2:9" ht="23" customHeight="1">
      <c r="B9" s="10"/>
      <c r="C9" s="11"/>
      <c r="D9" s="10"/>
      <c r="E9" s="12"/>
      <c r="F9" s="9"/>
      <c r="G9" s="9"/>
    </row>
    <row r="10" spans="2:9" ht="23" customHeight="1">
      <c r="B10" s="8" t="s">
        <v>13</v>
      </c>
      <c r="C10" s="13" t="str">
        <f>+'1 Ingresos Acum &amp; No Acum'!E48</f>
        <v>Total de Ingresos acumulables sujetos a tarifa</v>
      </c>
      <c r="D10" s="10"/>
      <c r="E10" s="14">
        <f>+'1 Ingresos Acum &amp; No Acum'!K48</f>
        <v>13958517.799785014</v>
      </c>
      <c r="F10" s="9"/>
      <c r="G10" s="15">
        <v>0.35</v>
      </c>
      <c r="I10" s="547">
        <f>+E10*G10</f>
        <v>4885481.2299247542</v>
      </c>
    </row>
    <row r="11" spans="2:9" ht="23" customHeight="1">
      <c r="B11" s="10"/>
      <c r="C11" s="11"/>
      <c r="D11" s="10"/>
      <c r="E11" s="14"/>
      <c r="F11" s="9"/>
      <c r="G11" s="9"/>
    </row>
    <row r="12" spans="2:9" ht="23" customHeight="1">
      <c r="B12" s="8" t="s">
        <v>16</v>
      </c>
      <c r="C12" s="11" t="s">
        <v>25</v>
      </c>
      <c r="D12" s="10"/>
      <c r="E12" s="14">
        <f>+'1 Ingresos Acum &amp; No Acum'!K79</f>
        <v>2469154.4251685571</v>
      </c>
      <c r="F12" s="9"/>
      <c r="G12" s="9"/>
      <c r="I12" s="547">
        <f>-E12</f>
        <v>-2469154.4251685571</v>
      </c>
    </row>
    <row r="13" spans="2:9" ht="23" customHeight="1">
      <c r="B13" s="10"/>
      <c r="C13" s="11"/>
      <c r="D13" s="10"/>
      <c r="E13" s="14"/>
      <c r="F13" s="9"/>
      <c r="G13" s="9"/>
    </row>
    <row r="14" spans="2:9" ht="23" customHeight="1">
      <c r="B14" s="8" t="s">
        <v>18</v>
      </c>
      <c r="C14" s="11" t="str">
        <f>+'2 Ingresos BMV &amp; SIC'!D10</f>
        <v>Total de ingresos en enajenación de bienes BMV &amp; SIC</v>
      </c>
      <c r="D14" s="10"/>
      <c r="E14" s="14">
        <f>+'2 Ingresos BMV &amp; SIC'!J10</f>
        <v>-69853155.508366227</v>
      </c>
      <c r="F14" s="9"/>
      <c r="G14" s="15">
        <v>0.1</v>
      </c>
      <c r="I14" s="547">
        <f>+E14*G14</f>
        <v>-6985315.5508366227</v>
      </c>
    </row>
    <row r="15" spans="2:9" ht="23" customHeight="1">
      <c r="B15" s="10"/>
      <c r="C15" s="11"/>
      <c r="D15" s="10"/>
      <c r="E15" s="14"/>
      <c r="F15" s="9"/>
      <c r="G15" s="9"/>
    </row>
    <row r="16" spans="2:9" ht="47" customHeight="1">
      <c r="B16" s="8" t="s">
        <v>19</v>
      </c>
      <c r="C16" s="13" t="str">
        <f>+'3 Ingresos 10% Ad - Dividendos'!D17</f>
        <v>Ingresos sujetos al 10% adicional por dividendos y utilidades del extranjero ( 1- 2 )</v>
      </c>
      <c r="D16" s="10"/>
      <c r="E16" s="14">
        <f>+'3 Ingresos 10% Ad - Dividendos'!J22</f>
        <v>457936.65500610042</v>
      </c>
      <c r="F16" s="9"/>
      <c r="G16" s="15">
        <v>0.1</v>
      </c>
      <c r="I16" s="547">
        <f>+E16*G16</f>
        <v>45793.665500610048</v>
      </c>
    </row>
    <row r="17" spans="2:9" ht="23" customHeight="1">
      <c r="B17" s="10"/>
      <c r="C17" s="11"/>
      <c r="D17" s="10"/>
      <c r="E17" s="16"/>
      <c r="F17" s="9"/>
      <c r="G17" s="9"/>
    </row>
    <row r="18" spans="2:9" ht="23" customHeight="1">
      <c r="B18" s="10"/>
      <c r="C18" s="17"/>
      <c r="D18" s="18"/>
      <c r="E18" s="19"/>
      <c r="F18" s="20"/>
      <c r="G18" s="9"/>
      <c r="I18" s="111">
        <f>SUM(I10:I16)</f>
        <v>-4523195.0805798154</v>
      </c>
    </row>
    <row r="19" spans="2:9" ht="23" customHeight="1">
      <c r="B19" s="10"/>
      <c r="C19" s="17"/>
      <c r="D19" s="18"/>
      <c r="E19" s="19"/>
      <c r="F19" s="20"/>
      <c r="G19" s="9"/>
    </row>
    <row r="20" spans="2:9" ht="23" customHeight="1">
      <c r="C20" s="21"/>
      <c r="D20" s="21"/>
      <c r="E20" s="21"/>
      <c r="F20" s="21"/>
    </row>
    <row r="21" spans="2:9" ht="23" customHeight="1">
      <c r="C21" s="21"/>
      <c r="D21" s="21"/>
      <c r="E21" s="21"/>
      <c r="F21" s="21"/>
    </row>
    <row r="22" spans="2:9" ht="23" customHeight="1">
      <c r="C22" s="21"/>
      <c r="D22" s="21"/>
      <c r="E22" s="21"/>
      <c r="F22" s="21"/>
    </row>
    <row r="23" spans="2:9" ht="23" customHeight="1">
      <c r="C23" s="21"/>
      <c r="D23" s="21"/>
      <c r="E23" s="21"/>
      <c r="F23" s="21"/>
    </row>
    <row r="24" spans="2:9" ht="23" customHeight="1">
      <c r="C24" s="21"/>
      <c r="D24" s="21"/>
      <c r="E24" s="21"/>
      <c r="F24" s="21"/>
    </row>
  </sheetData>
  <sheetProtection algorithmName="SHA-512" hashValue="RX1PJz6GU+NZ669J7J1WCSgk6Jbu7nb/DRS0Tm3VpKyPeSdTQnwHY5xT5Qai88DqCtViKMHJ//MEdSFyHxgsSQ==" saltValue="Di99/S0AezrvUN2/gnB5EQ==" spinCount="100000" sheet="1" scenarios="1" formatCells="0" formatColumns="0" formatRows="0"/>
  <mergeCells count="3">
    <mergeCell ref="B3:G3"/>
    <mergeCell ref="B4:G4"/>
    <mergeCell ref="B5:G5"/>
  </mergeCells>
  <phoneticPr fontId="8" type="noConversion"/>
  <printOptions horizontalCentered="1"/>
  <pageMargins left="0.70866141732283472" right="0.70866141732283472" top="0.74803149606299213" bottom="0.74803149606299213" header="0.31496062992125984" footer="0.31496062992125984"/>
  <pageSetup scale="72"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BCEBA-4893-C64B-9A3B-D9CE55DBC891}">
  <sheetPr>
    <pageSetUpPr fitToPage="1"/>
  </sheetPr>
  <dimension ref="B2:P16"/>
  <sheetViews>
    <sheetView view="pageBreakPreview" zoomScale="90" zoomScaleNormal="100" zoomScaleSheetLayoutView="90" workbookViewId="0">
      <selection activeCell="J10" sqref="J10"/>
    </sheetView>
  </sheetViews>
  <sheetFormatPr baseColWidth="10" defaultColWidth="10.83203125" defaultRowHeight="23" customHeight="1"/>
  <cols>
    <col min="1" max="1" width="10.83203125" style="1"/>
    <col min="2" max="2" width="3.5" style="1" customWidth="1"/>
    <col min="3" max="3" width="5" style="1" customWidth="1"/>
    <col min="4" max="4" width="73" style="1" customWidth="1"/>
    <col min="5" max="5" width="3" style="1" customWidth="1"/>
    <col min="6" max="6" width="22.83203125" style="1" customWidth="1"/>
    <col min="7" max="7" width="3" style="1" customWidth="1"/>
    <col min="8" max="8" width="22.83203125" style="1" customWidth="1"/>
    <col min="9" max="9" width="3" style="1" customWidth="1"/>
    <col min="10" max="10" width="22.83203125" style="1" customWidth="1"/>
    <col min="11" max="11" width="10.83203125" style="1"/>
    <col min="12" max="12" width="15.5" style="1" customWidth="1"/>
    <col min="13" max="16384" width="10.83203125" style="1"/>
  </cols>
  <sheetData>
    <row r="2" spans="2:16" ht="23" customHeight="1">
      <c r="B2" s="723" t="str">
        <f>'1 Ingresos Acum &amp; No Acum'!B2</f>
        <v>LP 1</v>
      </c>
      <c r="C2" s="723"/>
      <c r="D2" s="723"/>
      <c r="E2" s="723"/>
      <c r="F2" s="723"/>
      <c r="G2" s="723"/>
      <c r="H2" s="723"/>
      <c r="I2" s="723"/>
      <c r="J2" s="723"/>
    </row>
    <row r="3" spans="2:16" ht="23" customHeight="1">
      <c r="B3" s="724" t="s">
        <v>463</v>
      </c>
      <c r="C3" s="724"/>
      <c r="D3" s="724"/>
      <c r="E3" s="724"/>
      <c r="F3" s="724"/>
      <c r="G3" s="724"/>
      <c r="H3" s="724"/>
      <c r="I3" s="724"/>
      <c r="J3" s="724"/>
    </row>
    <row r="4" spans="2:16" ht="23" customHeight="1">
      <c r="B4" s="726" t="s">
        <v>452</v>
      </c>
      <c r="C4" s="726"/>
      <c r="D4" s="726"/>
      <c r="E4" s="726"/>
      <c r="F4" s="726"/>
      <c r="G4" s="726"/>
      <c r="H4" s="726"/>
      <c r="I4" s="726"/>
      <c r="J4" s="726"/>
    </row>
    <row r="5" spans="2:16" ht="14" customHeight="1">
      <c r="B5" s="22" t="s">
        <v>446</v>
      </c>
      <c r="C5" s="23"/>
      <c r="D5" s="24" t="s">
        <v>679</v>
      </c>
      <c r="E5" s="23"/>
      <c r="F5" s="327" t="s">
        <v>435</v>
      </c>
      <c r="G5" s="327"/>
      <c r="H5" s="327" t="s">
        <v>436</v>
      </c>
      <c r="I5" s="327"/>
      <c r="J5" s="327" t="s">
        <v>437</v>
      </c>
    </row>
    <row r="6" spans="2:16" ht="23" customHeight="1">
      <c r="B6" s="98" t="s">
        <v>13</v>
      </c>
      <c r="C6" s="97" t="s">
        <v>438</v>
      </c>
      <c r="D6" s="35"/>
      <c r="E6" s="35"/>
      <c r="F6" s="51"/>
      <c r="G6" s="51"/>
      <c r="H6" s="51"/>
      <c r="I6" s="33"/>
      <c r="J6" s="61"/>
    </row>
    <row r="7" spans="2:16" ht="23" customHeight="1">
      <c r="B7" s="98"/>
      <c r="C7" s="99"/>
      <c r="D7" s="35"/>
      <c r="E7" s="35"/>
      <c r="F7" s="51"/>
      <c r="G7" s="51"/>
      <c r="H7" s="51"/>
      <c r="I7" s="33"/>
      <c r="J7" s="61"/>
    </row>
    <row r="8" spans="2:16" ht="46" customHeight="1">
      <c r="B8" s="33"/>
      <c r="C8" s="33" t="s">
        <v>23</v>
      </c>
      <c r="D8" s="100" t="s">
        <v>249</v>
      </c>
      <c r="E8" s="35"/>
      <c r="F8" s="46">
        <f>SUMIF('Ventas Acciones &amp; Bonos'!$E:$E,'Ventas Acciones &amp; Bonos'!$AT$9,'Ventas Acciones &amp; Bonos'!$AI:$AI)</f>
        <v>0</v>
      </c>
      <c r="G8" s="35"/>
      <c r="H8" s="46">
        <f>SUMIF('Ventas Acciones &amp; Bonos'!$E:$E,'Ventas Acciones &amp; Bonos'!$AT$10,'Ventas Acciones &amp; Bonos'!$AI:$AI)</f>
        <v>-69853155.508366227</v>
      </c>
      <c r="I8" s="33"/>
      <c r="J8" s="42">
        <f>F8+H8</f>
        <v>-69853155.508366227</v>
      </c>
    </row>
    <row r="9" spans="2:16" ht="46" customHeight="1">
      <c r="B9" s="33"/>
      <c r="C9" s="33" t="s">
        <v>23</v>
      </c>
      <c r="D9" s="100" t="s">
        <v>250</v>
      </c>
      <c r="E9" s="35"/>
      <c r="F9" s="46">
        <f>SUMIF('Ventas OFD'!$C:$C,'Ventas OFD'!$AQ$5,'Ventas OFD'!$AH:$AH)</f>
        <v>0</v>
      </c>
      <c r="G9" s="35"/>
      <c r="H9" s="46">
        <f>SUMIF('Ventas OFD'!$C:$C,'Ventas OFD'!$AQ$6,'Ventas OFD'!$AH:$AH)</f>
        <v>0</v>
      </c>
      <c r="I9" s="33"/>
      <c r="J9" s="42">
        <f>F9+H9</f>
        <v>0</v>
      </c>
    </row>
    <row r="10" spans="2:16" ht="23" customHeight="1">
      <c r="B10" s="33"/>
      <c r="C10" s="101" t="s">
        <v>21</v>
      </c>
      <c r="D10" s="102" t="s">
        <v>444</v>
      </c>
      <c r="E10" s="4"/>
      <c r="F10" s="89">
        <f>SUM(F8:F9)</f>
        <v>0</v>
      </c>
      <c r="G10" s="51"/>
      <c r="H10" s="89">
        <f>SUM(H8:H9)</f>
        <v>-69853155.508366227</v>
      </c>
      <c r="I10" s="47"/>
      <c r="J10" s="89">
        <f>SUM(J8:J9)</f>
        <v>-69853155.508366227</v>
      </c>
      <c r="L10" s="74"/>
    </row>
    <row r="12" spans="2:16" ht="23" customHeight="1">
      <c r="C12" s="41" t="s">
        <v>253</v>
      </c>
      <c r="D12" s="4" t="s">
        <v>442</v>
      </c>
      <c r="F12" s="271"/>
      <c r="G12" s="134"/>
      <c r="H12" s="271"/>
      <c r="I12" s="134"/>
      <c r="J12" s="271"/>
      <c r="L12" s="425" t="s">
        <v>560</v>
      </c>
      <c r="M12" s="425"/>
      <c r="N12" s="425"/>
      <c r="O12" s="326"/>
      <c r="P12" s="326"/>
    </row>
    <row r="13" spans="2:16" ht="23" customHeight="1">
      <c r="C13" s="41"/>
      <c r="D13" s="4"/>
    </row>
    <row r="14" spans="2:16" ht="23" customHeight="1">
      <c r="C14" s="104" t="s">
        <v>21</v>
      </c>
      <c r="D14" s="105" t="s">
        <v>443</v>
      </c>
      <c r="F14" s="426">
        <f>+IF(F10-F12&lt;0,0,F10-F12)</f>
        <v>0</v>
      </c>
      <c r="H14" s="426">
        <f>+IF(H10-H12&lt;0,0,H10-H12)</f>
        <v>0</v>
      </c>
      <c r="J14" s="426">
        <f>+IF(J10-J12&lt;0,0,J10-J12)</f>
        <v>0</v>
      </c>
    </row>
    <row r="16" spans="2:16" ht="23" customHeight="1">
      <c r="C16" s="2" t="s">
        <v>434</v>
      </c>
    </row>
  </sheetData>
  <sheetProtection algorithmName="SHA-512" hashValue="0Rth7dlWHSzxL3DEI5s5Ua+gDJOmrbvNdOV3RUWl3xDzf7fXAOzieSCIO9HNdg0q+bBa8mZCJnpW56a6F/LLmQ==" saltValue="O9gPTTGwJNW2Aesa2nZ/2A==" spinCount="100000" sheet="1" objects="1" scenarios="1"/>
  <mergeCells count="3">
    <mergeCell ref="B4:J4"/>
    <mergeCell ref="B2:J2"/>
    <mergeCell ref="B3:J3"/>
  </mergeCells>
  <pageMargins left="0.70866141732283505" right="0.70866141732283505" top="0.74803149606299202" bottom="0.74803149606299202" header="0.31496062992126" footer="0.31496062992126"/>
  <pageSetup scale="53"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Q83"/>
  <sheetViews>
    <sheetView view="pageBreakPreview" topLeftCell="A28" zoomScale="40" zoomScaleNormal="100" zoomScaleSheetLayoutView="40" zoomScalePageLayoutView="140" workbookViewId="0">
      <selection activeCell="B52" sqref="B52:K83"/>
    </sheetView>
  </sheetViews>
  <sheetFormatPr baseColWidth="10" defaultColWidth="10.83203125" defaultRowHeight="23" customHeight="1"/>
  <cols>
    <col min="1" max="1" width="10.83203125" style="1"/>
    <col min="2" max="2" width="4.33203125" style="3" customWidth="1"/>
    <col min="3" max="4" width="3.5" style="1" customWidth="1"/>
    <col min="5" max="5" width="68.33203125" style="1" customWidth="1"/>
    <col min="6" max="6" width="3.83203125" style="1" hidden="1" customWidth="1"/>
    <col min="7" max="7" width="21" style="1" hidden="1" customWidth="1"/>
    <col min="8" max="8" width="3.83203125" style="1" hidden="1" customWidth="1"/>
    <col min="9" max="9" width="21" style="1" hidden="1" customWidth="1"/>
    <col min="10" max="10" width="5" style="3" customWidth="1"/>
    <col min="11" max="11" width="21.1640625" style="1" customWidth="1"/>
    <col min="12" max="12" width="15" style="1" customWidth="1"/>
    <col min="13" max="13" width="20.1640625" style="1" customWidth="1"/>
    <col min="14" max="14" width="24" style="1" customWidth="1"/>
    <col min="15" max="15" width="21.1640625" style="1" customWidth="1"/>
    <col min="16" max="16" width="18.33203125" style="1" customWidth="1"/>
    <col min="17" max="16384" width="10.83203125" style="1"/>
  </cols>
  <sheetData>
    <row r="2" spans="2:11" ht="23" customHeight="1">
      <c r="B2" s="723" t="str">
        <f>'Sumaria Ingresos'!B3:E3</f>
        <v>LP 1</v>
      </c>
      <c r="C2" s="723"/>
      <c r="D2" s="723"/>
      <c r="E2" s="723"/>
      <c r="F2" s="723"/>
      <c r="G2" s="723"/>
      <c r="H2" s="723"/>
      <c r="I2" s="723"/>
      <c r="J2" s="723"/>
      <c r="K2" s="723"/>
    </row>
    <row r="3" spans="2:11" ht="23" customHeight="1">
      <c r="B3" s="724" t="s">
        <v>450</v>
      </c>
      <c r="C3" s="724"/>
      <c r="D3" s="724"/>
      <c r="E3" s="724"/>
      <c r="F3" s="724"/>
      <c r="G3" s="724"/>
      <c r="H3" s="724"/>
      <c r="I3" s="724"/>
      <c r="J3" s="724"/>
      <c r="K3" s="724"/>
    </row>
    <row r="4" spans="2:11" ht="23" customHeight="1">
      <c r="B4" s="726" t="s">
        <v>451</v>
      </c>
      <c r="C4" s="726"/>
      <c r="D4" s="726"/>
      <c r="E4" s="726"/>
      <c r="F4" s="726"/>
      <c r="G4" s="726"/>
      <c r="H4" s="726"/>
      <c r="I4" s="726"/>
      <c r="J4" s="726"/>
      <c r="K4" s="726"/>
    </row>
    <row r="5" spans="2:11" ht="14" customHeight="1">
      <c r="B5" s="22" t="s">
        <v>446</v>
      </c>
      <c r="C5" s="23"/>
      <c r="D5" s="24" t="s">
        <v>679</v>
      </c>
      <c r="E5" s="23"/>
      <c r="F5" s="22"/>
      <c r="G5" s="22"/>
      <c r="H5" s="22"/>
      <c r="I5" s="22"/>
      <c r="J5" s="22"/>
      <c r="K5" s="22"/>
    </row>
    <row r="6" spans="2:11" s="85" customFormat="1" ht="15">
      <c r="B6" s="80"/>
      <c r="C6" s="81"/>
      <c r="D6" s="82"/>
      <c r="E6" s="82"/>
      <c r="F6" s="82"/>
      <c r="G6" s="83" t="s">
        <v>26</v>
      </c>
      <c r="H6" s="82"/>
      <c r="I6" s="83" t="s">
        <v>27</v>
      </c>
      <c r="J6" s="80"/>
      <c r="K6" s="84" t="s">
        <v>28</v>
      </c>
    </row>
    <row r="7" spans="2:11" ht="23" customHeight="1">
      <c r="B7" s="38" t="s">
        <v>13</v>
      </c>
      <c r="C7" s="39" t="s">
        <v>14</v>
      </c>
      <c r="D7" s="40"/>
      <c r="E7" s="35"/>
      <c r="F7" s="35"/>
      <c r="G7" s="4"/>
      <c r="H7" s="4"/>
      <c r="I7" s="4"/>
      <c r="J7" s="41"/>
      <c r="K7" s="4"/>
    </row>
    <row r="8" spans="2:11" ht="23" customHeight="1">
      <c r="B8" s="33"/>
      <c r="C8" s="34"/>
      <c r="D8" s="33"/>
      <c r="E8" s="35"/>
      <c r="F8" s="35"/>
      <c r="G8" s="42"/>
      <c r="H8" s="35"/>
      <c r="I8" s="42"/>
      <c r="J8" s="33"/>
      <c r="K8" s="42"/>
    </row>
    <row r="9" spans="2:11" ht="23" customHeight="1">
      <c r="B9" s="33"/>
      <c r="C9" s="43" t="s">
        <v>29</v>
      </c>
      <c r="D9" s="44" t="s">
        <v>15</v>
      </c>
      <c r="E9" s="35"/>
      <c r="F9" s="35"/>
      <c r="G9" s="42"/>
      <c r="H9" s="35"/>
      <c r="I9" s="42"/>
      <c r="J9" s="33"/>
      <c r="K9" s="42"/>
    </row>
    <row r="10" spans="2:11" ht="23" customHeight="1">
      <c r="B10" s="33"/>
      <c r="C10" s="34"/>
      <c r="D10" s="33"/>
      <c r="E10" s="35"/>
      <c r="F10" s="35"/>
      <c r="G10" s="42"/>
      <c r="H10" s="35"/>
      <c r="I10" s="42"/>
      <c r="J10" s="33"/>
      <c r="K10" s="42"/>
    </row>
    <row r="11" spans="2:11" ht="23" customHeight="1">
      <c r="B11" s="33"/>
      <c r="C11" s="34"/>
      <c r="D11" s="33" t="s">
        <v>23</v>
      </c>
      <c r="E11" s="45" t="s">
        <v>30</v>
      </c>
      <c r="F11" s="4"/>
      <c r="G11" s="46">
        <f>SUMIF('Ventas Acciones &amp; Bonos'!$E:$E,'Ventas Acciones &amp; Bonos'!$AT$3,'Ventas Acciones &amp; Bonos'!$AI:$AI)</f>
        <v>0</v>
      </c>
      <c r="H11" s="4"/>
      <c r="I11" s="46">
        <f>SUMIF('Ventas Acciones &amp; Bonos'!$E:$E,'Ventas Acciones &amp; Bonos'!$AT$4,'Ventas Acciones &amp; Bonos'!$AI:$AI)</f>
        <v>-7617497.614797187</v>
      </c>
      <c r="J11" s="41"/>
      <c r="K11" s="42">
        <f>G11+I11</f>
        <v>-7617497.614797187</v>
      </c>
    </row>
    <row r="12" spans="2:11" ht="23" customHeight="1">
      <c r="B12" s="33"/>
      <c r="C12" s="34"/>
      <c r="D12" s="33" t="s">
        <v>23</v>
      </c>
      <c r="E12" s="45" t="s">
        <v>235</v>
      </c>
      <c r="F12" s="4"/>
      <c r="G12" s="46">
        <f>SUMIF('Ventas Acciones &amp; Bonos'!$E:$E,'Ventas Acciones &amp; Bonos'!$AT$5,'Ventas Acciones &amp; Bonos'!$AI:$AI)</f>
        <v>0</v>
      </c>
      <c r="H12" s="4"/>
      <c r="I12" s="46">
        <f>SUMIF('Ventas Acciones &amp; Bonos'!$E:$E,'Ventas Acciones &amp; Bonos'!$AT$6,'Ventas Acciones &amp; Bonos'!$AI:$AI)</f>
        <v>0</v>
      </c>
      <c r="J12" s="41"/>
      <c r="K12" s="42">
        <f>G12+I12</f>
        <v>0</v>
      </c>
    </row>
    <row r="13" spans="2:11" ht="23" customHeight="1">
      <c r="B13" s="33"/>
      <c r="C13" s="34"/>
      <c r="D13" s="33" t="s">
        <v>23</v>
      </c>
      <c r="E13" s="45" t="s">
        <v>236</v>
      </c>
      <c r="F13" s="4"/>
      <c r="G13" s="46">
        <f>SUMIF('Ventas Acciones &amp; Bonos'!$E:$E,'Ventas Acciones &amp; Bonos'!$AT$7,'Ventas Acciones &amp; Bonos'!$AI:$AI)</f>
        <v>0</v>
      </c>
      <c r="H13" s="4"/>
      <c r="I13" s="46">
        <f>SUMIF('Ventas Acciones &amp; Bonos'!$E:$E,'Ventas Acciones &amp; Bonos'!$AT$8,'Ventas Acciones &amp; Bonos'!$AI:$AI)</f>
        <v>0</v>
      </c>
      <c r="J13" s="41"/>
      <c r="K13" s="42">
        <f>G13+I13</f>
        <v>0</v>
      </c>
    </row>
    <row r="14" spans="2:11" ht="23" customHeight="1">
      <c r="B14" s="41"/>
      <c r="C14" s="34"/>
      <c r="D14" s="86" t="s">
        <v>21</v>
      </c>
      <c r="E14" s="87" t="s">
        <v>31</v>
      </c>
      <c r="F14" s="4"/>
      <c r="G14" s="88">
        <f>SUM(G11:G13)</f>
        <v>0</v>
      </c>
      <c r="H14" s="35"/>
      <c r="I14" s="88">
        <f>SUM(I11:I13)</f>
        <v>-7617497.614797187</v>
      </c>
      <c r="J14" s="47" t="s">
        <v>32</v>
      </c>
      <c r="K14" s="89">
        <f>SUM(K11:K13)</f>
        <v>-7617497.614797187</v>
      </c>
    </row>
    <row r="15" spans="2:11" ht="23" customHeight="1">
      <c r="B15" s="41"/>
      <c r="C15" s="34"/>
      <c r="D15" s="33"/>
      <c r="E15" s="35"/>
      <c r="F15" s="35"/>
      <c r="G15" s="48"/>
      <c r="H15" s="35"/>
      <c r="I15" s="48"/>
      <c r="J15" s="33"/>
      <c r="K15" s="48"/>
    </row>
    <row r="16" spans="2:11" ht="23" customHeight="1">
      <c r="B16" s="43" t="s">
        <v>16</v>
      </c>
      <c r="C16" s="49" t="s">
        <v>17</v>
      </c>
      <c r="D16" s="33"/>
      <c r="E16" s="4"/>
      <c r="F16" s="4"/>
      <c r="G16" s="48"/>
      <c r="H16" s="4"/>
      <c r="I16" s="48"/>
      <c r="J16" s="41"/>
      <c r="K16" s="48"/>
    </row>
    <row r="17" spans="2:17" ht="23" customHeight="1">
      <c r="B17" s="33"/>
      <c r="C17" s="34"/>
      <c r="D17" s="33"/>
      <c r="E17" s="35"/>
      <c r="F17" s="35"/>
      <c r="G17" s="42"/>
      <c r="H17" s="35"/>
      <c r="I17" s="42"/>
      <c r="J17" s="33"/>
      <c r="K17" s="42"/>
    </row>
    <row r="18" spans="2:17" ht="23" customHeight="1">
      <c r="B18" s="33"/>
      <c r="C18" s="50"/>
      <c r="D18" s="33" t="s">
        <v>23</v>
      </c>
      <c r="E18" s="4" t="s">
        <v>62</v>
      </c>
      <c r="F18" s="4"/>
      <c r="G18" s="42"/>
      <c r="H18" s="4"/>
      <c r="I18" s="42"/>
      <c r="J18" s="33"/>
      <c r="K18" s="42">
        <f>'Intereses percibidos'!K111</f>
        <v>164532.557596</v>
      </c>
    </row>
    <row r="19" spans="2:17" ht="23" customHeight="1">
      <c r="B19" s="33"/>
      <c r="C19" s="50"/>
      <c r="D19" s="33" t="s">
        <v>23</v>
      </c>
      <c r="E19" s="4" t="s">
        <v>207</v>
      </c>
      <c r="F19" s="4"/>
      <c r="G19" s="42"/>
      <c r="H19" s="4"/>
      <c r="I19" s="42"/>
      <c r="J19" s="33"/>
      <c r="K19" s="42">
        <f>'Intereses en Compra Venta Bonos'!K42</f>
        <v>0</v>
      </c>
    </row>
    <row r="20" spans="2:17" ht="23" customHeight="1">
      <c r="B20" s="33"/>
      <c r="C20" s="50"/>
      <c r="D20" s="33" t="s">
        <v>23</v>
      </c>
      <c r="E20" s="4" t="s">
        <v>164</v>
      </c>
      <c r="F20" s="4"/>
      <c r="G20" s="42"/>
      <c r="H20" s="4"/>
      <c r="I20" s="42"/>
      <c r="J20" s="33"/>
      <c r="K20" s="42">
        <f>IF(M20="Economica",AAI!J23,AAI!W23)</f>
        <v>-1798044.5742548858</v>
      </c>
      <c r="M20" s="515" t="s">
        <v>594</v>
      </c>
      <c r="N20" s="514" t="s">
        <v>597</v>
      </c>
      <c r="O20" s="326"/>
      <c r="P20" s="326"/>
      <c r="Q20" s="326"/>
    </row>
    <row r="21" spans="2:17" ht="23" customHeight="1">
      <c r="B21" s="33"/>
      <c r="C21" s="50"/>
      <c r="D21" s="33" t="s">
        <v>23</v>
      </c>
      <c r="E21" s="4" t="s">
        <v>35</v>
      </c>
      <c r="F21" s="4"/>
      <c r="G21" s="42"/>
      <c r="H21" s="4"/>
      <c r="I21" s="42"/>
      <c r="J21" s="33"/>
      <c r="K21" s="42">
        <f>'Ganancias Cambiarias - Contrato'!K43</f>
        <v>0</v>
      </c>
    </row>
    <row r="22" spans="2:17" ht="23" customHeight="1">
      <c r="B22" s="33"/>
      <c r="C22" s="50"/>
      <c r="D22" s="33" t="s">
        <v>23</v>
      </c>
      <c r="E22" s="4" t="s">
        <v>174</v>
      </c>
      <c r="F22" s="4"/>
      <c r="G22" s="42"/>
      <c r="H22" s="4"/>
      <c r="I22" s="42"/>
      <c r="J22" s="33"/>
      <c r="K22" s="42">
        <f>AAI!F27</f>
        <v>-4118610.5535441078</v>
      </c>
    </row>
    <row r="23" spans="2:17" ht="23" customHeight="1">
      <c r="B23" s="41"/>
      <c r="C23" s="50"/>
      <c r="D23" s="86" t="s">
        <v>21</v>
      </c>
      <c r="E23" s="87" t="s">
        <v>36</v>
      </c>
      <c r="F23" s="51"/>
      <c r="G23" s="52"/>
      <c r="H23" s="51"/>
      <c r="I23" s="52"/>
      <c r="J23" s="33"/>
      <c r="K23" s="89">
        <f>SUM(K18:K22)</f>
        <v>-5752122.5702029932</v>
      </c>
    </row>
    <row r="24" spans="2:17" ht="23" customHeight="1">
      <c r="B24" s="41"/>
      <c r="C24" s="50"/>
      <c r="D24" s="4"/>
      <c r="E24" s="4"/>
      <c r="F24" s="4"/>
      <c r="G24" s="4"/>
      <c r="H24" s="4"/>
      <c r="I24" s="4"/>
      <c r="J24" s="41"/>
      <c r="K24" s="4"/>
    </row>
    <row r="25" spans="2:17" ht="23" customHeight="1">
      <c r="B25" s="41"/>
      <c r="C25" s="50"/>
      <c r="D25" s="41" t="s">
        <v>37</v>
      </c>
      <c r="E25" s="4" t="s">
        <v>38</v>
      </c>
      <c r="F25" s="53"/>
      <c r="G25" s="54"/>
      <c r="H25" s="53"/>
      <c r="I25" s="54"/>
      <c r="J25" s="55"/>
      <c r="K25" s="56">
        <f>'239'!D10</f>
        <v>0</v>
      </c>
    </row>
    <row r="26" spans="2:17" ht="23" customHeight="1">
      <c r="B26" s="41"/>
      <c r="C26" s="50"/>
      <c r="D26" s="4"/>
      <c r="E26" s="4"/>
      <c r="F26" s="4"/>
      <c r="G26" s="4"/>
      <c r="H26" s="4"/>
      <c r="I26" s="4"/>
      <c r="J26" s="41"/>
      <c r="K26" s="4"/>
    </row>
    <row r="27" spans="2:17" ht="23" customHeight="1">
      <c r="B27" s="41"/>
      <c r="C27" s="34"/>
      <c r="D27" s="86" t="s">
        <v>21</v>
      </c>
      <c r="E27" s="87" t="s">
        <v>39</v>
      </c>
      <c r="G27" s="52"/>
      <c r="H27" s="51"/>
      <c r="I27" s="52"/>
      <c r="J27" s="47" t="s">
        <v>34</v>
      </c>
      <c r="K27" s="89">
        <f>IF(K25=0,K23,IF(K25&lt;K23,K25,K23))</f>
        <v>-5752122.5702029932</v>
      </c>
    </row>
    <row r="28" spans="2:17" ht="23" customHeight="1">
      <c r="B28" s="41"/>
      <c r="C28" s="34"/>
      <c r="D28" s="33"/>
      <c r="E28" s="35"/>
      <c r="G28" s="48"/>
      <c r="H28" s="35"/>
      <c r="I28" s="48"/>
      <c r="J28" s="33"/>
      <c r="K28" s="48"/>
    </row>
    <row r="29" spans="2:17" ht="23" customHeight="1">
      <c r="B29" s="43" t="s">
        <v>18</v>
      </c>
      <c r="C29" s="49" t="s">
        <v>41</v>
      </c>
      <c r="D29" s="33"/>
      <c r="E29" s="4"/>
      <c r="G29" s="48"/>
      <c r="H29" s="4"/>
      <c r="I29" s="48"/>
      <c r="J29" s="41"/>
      <c r="K29" s="48"/>
    </row>
    <row r="30" spans="2:17" ht="23" customHeight="1">
      <c r="B30" s="33"/>
      <c r="C30" s="34"/>
      <c r="D30" s="35"/>
      <c r="E30" s="35"/>
      <c r="G30" s="42"/>
      <c r="H30" s="35"/>
      <c r="I30" s="42"/>
      <c r="J30" s="33"/>
      <c r="K30" s="42"/>
    </row>
    <row r="31" spans="2:17" ht="23" customHeight="1">
      <c r="B31" s="33"/>
      <c r="C31" s="34"/>
      <c r="D31" s="33" t="s">
        <v>23</v>
      </c>
      <c r="E31" s="35" t="s">
        <v>42</v>
      </c>
      <c r="G31" s="42"/>
      <c r="H31" s="35"/>
      <c r="I31" s="42"/>
      <c r="J31" s="33"/>
      <c r="K31" s="42">
        <f>+'Dividendos Nacionales'!N57</f>
        <v>7723576.2993651917</v>
      </c>
    </row>
    <row r="32" spans="2:17" ht="23" customHeight="1">
      <c r="B32" s="33"/>
      <c r="C32" s="34"/>
      <c r="D32" s="86" t="s">
        <v>21</v>
      </c>
      <c r="E32" s="87" t="s">
        <v>43</v>
      </c>
      <c r="G32" s="52"/>
      <c r="H32" s="51"/>
      <c r="I32" s="52"/>
      <c r="J32" s="47" t="s">
        <v>40</v>
      </c>
      <c r="K32" s="89">
        <f>K31</f>
        <v>7723576.2993651917</v>
      </c>
    </row>
    <row r="33" spans="2:16" ht="23" customHeight="1">
      <c r="B33" s="41"/>
      <c r="C33" s="34"/>
      <c r="D33" s="35"/>
      <c r="E33" s="4"/>
      <c r="G33" s="42"/>
      <c r="H33" s="4"/>
      <c r="I33" s="42"/>
      <c r="J33" s="41"/>
      <c r="K33" s="42"/>
    </row>
    <row r="34" spans="2:16" ht="23" customHeight="1">
      <c r="B34" s="43" t="s">
        <v>19</v>
      </c>
      <c r="C34" s="49" t="s">
        <v>20</v>
      </c>
      <c r="D34" s="57"/>
      <c r="E34" s="35"/>
      <c r="G34" s="42"/>
      <c r="H34" s="35"/>
      <c r="I34" s="42"/>
      <c r="J34" s="33"/>
      <c r="K34" s="42"/>
    </row>
    <row r="35" spans="2:16" ht="23" customHeight="1">
      <c r="B35" s="33"/>
      <c r="C35" s="34"/>
      <c r="D35" s="33"/>
      <c r="E35" s="35"/>
      <c r="G35" s="42"/>
      <c r="H35" s="35"/>
      <c r="I35" s="42"/>
      <c r="J35" s="33"/>
      <c r="K35" s="42"/>
    </row>
    <row r="36" spans="2:16" ht="23" customHeight="1">
      <c r="B36" s="33"/>
      <c r="C36" s="34"/>
      <c r="D36" s="33" t="s">
        <v>23</v>
      </c>
      <c r="E36" s="4" t="s">
        <v>447</v>
      </c>
      <c r="G36" s="42"/>
      <c r="H36" s="35"/>
      <c r="I36" s="42"/>
      <c r="J36" s="33"/>
      <c r="K36" s="42">
        <f>+'Dividendos Extranjero'!K569</f>
        <v>19604561.685420003</v>
      </c>
      <c r="M36" s="1" t="s">
        <v>638</v>
      </c>
    </row>
    <row r="37" spans="2:16" ht="23" customHeight="1">
      <c r="B37" s="33"/>
      <c r="C37" s="34"/>
      <c r="D37" s="33" t="s">
        <v>23</v>
      </c>
      <c r="E37" s="4" t="s">
        <v>582</v>
      </c>
      <c r="G37" s="42"/>
      <c r="H37" s="35"/>
      <c r="I37" s="42"/>
      <c r="J37" s="33"/>
      <c r="K37" s="42">
        <f>+'PE - Inventario'!T165</f>
        <v>0</v>
      </c>
      <c r="M37" s="1" t="s">
        <v>638</v>
      </c>
    </row>
    <row r="38" spans="2:16" ht="23" customHeight="1">
      <c r="B38" s="33"/>
      <c r="C38" s="34"/>
      <c r="D38" s="33" t="s">
        <v>23</v>
      </c>
      <c r="E38" s="4" t="s">
        <v>664</v>
      </c>
      <c r="G38" s="42"/>
      <c r="H38" s="35"/>
      <c r="I38" s="42"/>
      <c r="J38" s="33"/>
      <c r="K38" s="42">
        <f>'PE - Real Gain Loss'!K42</f>
        <v>0</v>
      </c>
      <c r="O38" s="42">
        <f>+SUMIF('Ventas OFD'!$C:$C,'Ventas OFD'!$AQ$3,'Ventas OFD'!$AE:$AE)</f>
        <v>0</v>
      </c>
      <c r="P38" s="1" t="s">
        <v>440</v>
      </c>
    </row>
    <row r="39" spans="2:16" ht="23" customHeight="1">
      <c r="B39" s="33"/>
      <c r="C39" s="34"/>
      <c r="D39" s="33" t="s">
        <v>23</v>
      </c>
      <c r="E39" s="45" t="s">
        <v>237</v>
      </c>
      <c r="H39" s="35"/>
      <c r="J39" s="33"/>
      <c r="K39" s="42">
        <f>+IF(O40&gt;0,O40,0)</f>
        <v>0</v>
      </c>
      <c r="O39" s="46">
        <f>SUMIF('Ventas OFD'!C:C,'Ventas OFD'!AQ4,'Ventas OFD'!AE:AE)</f>
        <v>0</v>
      </c>
      <c r="P39" s="1" t="s">
        <v>441</v>
      </c>
    </row>
    <row r="40" spans="2:16" ht="23" customHeight="1">
      <c r="B40" s="33"/>
      <c r="C40" s="34"/>
      <c r="D40" s="33" t="s">
        <v>23</v>
      </c>
      <c r="E40" s="45" t="s">
        <v>549</v>
      </c>
      <c r="H40" s="35"/>
      <c r="J40" s="33"/>
      <c r="K40" s="42">
        <f>IF(Swap!J40&lt;=0,0,Swap!J40)</f>
        <v>0</v>
      </c>
      <c r="O40" s="58">
        <f>+O38+O39</f>
        <v>0</v>
      </c>
      <c r="P40" s="59" t="s">
        <v>221</v>
      </c>
    </row>
    <row r="41" spans="2:16" ht="23" customHeight="1">
      <c r="B41" s="33"/>
      <c r="C41" s="34"/>
      <c r="D41" s="33" t="s">
        <v>23</v>
      </c>
      <c r="E41" s="45" t="s">
        <v>550</v>
      </c>
      <c r="H41" s="35"/>
      <c r="J41" s="33"/>
      <c r="K41" s="42">
        <f>IF(FWD!J40&lt;=0,0,FWD!J40)</f>
        <v>0</v>
      </c>
      <c r="O41" s="58"/>
      <c r="P41" s="59"/>
    </row>
    <row r="42" spans="2:16" ht="23" customHeight="1">
      <c r="B42" s="33"/>
      <c r="C42" s="34"/>
      <c r="D42" s="33" t="s">
        <v>23</v>
      </c>
      <c r="E42" s="4" t="s">
        <v>165</v>
      </c>
      <c r="G42" s="42"/>
      <c r="H42" s="35"/>
      <c r="I42" s="42"/>
      <c r="J42" s="33"/>
      <c r="K42" s="42">
        <f>'Otros Ingresos'!K42</f>
        <v>0</v>
      </c>
    </row>
    <row r="43" spans="2:16" ht="23" customHeight="1">
      <c r="B43" s="33"/>
      <c r="C43" s="34"/>
      <c r="D43" s="86" t="s">
        <v>21</v>
      </c>
      <c r="E43" s="90" t="s">
        <v>45</v>
      </c>
      <c r="G43" s="52"/>
      <c r="H43" s="53"/>
      <c r="I43" s="52"/>
      <c r="J43" s="47" t="s">
        <v>44</v>
      </c>
      <c r="K43" s="89">
        <f>SUM(K36:K42)</f>
        <v>19604561.685420003</v>
      </c>
    </row>
    <row r="44" spans="2:16" ht="23" customHeight="1">
      <c r="B44" s="33"/>
      <c r="C44" s="60"/>
      <c r="D44" s="53"/>
      <c r="E44" s="35"/>
      <c r="G44" s="35"/>
      <c r="H44" s="35"/>
      <c r="I44" s="35"/>
      <c r="J44" s="33"/>
      <c r="K44" s="52"/>
    </row>
    <row r="45" spans="2:16" ht="23" customHeight="1">
      <c r="B45" s="33"/>
      <c r="C45" s="60"/>
      <c r="D45" s="91" t="s">
        <v>239</v>
      </c>
      <c r="E45" s="92"/>
      <c r="G45" s="61"/>
      <c r="H45" s="35"/>
      <c r="I45" s="61"/>
      <c r="J45" s="33"/>
      <c r="K45" s="93">
        <f>K14+K27+K32+K43</f>
        <v>13958517.799785014</v>
      </c>
    </row>
    <row r="46" spans="2:16" ht="20" customHeight="1">
      <c r="B46" s="33"/>
      <c r="C46" s="60"/>
      <c r="D46" s="33" t="s">
        <v>23</v>
      </c>
      <c r="E46" s="62" t="s">
        <v>238</v>
      </c>
      <c r="G46" s="61"/>
      <c r="H46" s="35"/>
      <c r="I46" s="61"/>
      <c r="J46" s="33"/>
      <c r="K46" s="63">
        <v>0</v>
      </c>
      <c r="M46" s="64"/>
      <c r="P46" s="331" t="s">
        <v>548</v>
      </c>
    </row>
    <row r="47" spans="2:16" ht="20" customHeight="1">
      <c r="B47" s="33"/>
      <c r="C47" s="34"/>
      <c r="D47" s="33" t="s">
        <v>23</v>
      </c>
      <c r="E47" s="62" t="s">
        <v>173</v>
      </c>
      <c r="G47" s="4"/>
      <c r="H47" s="4"/>
      <c r="I47" s="4"/>
      <c r="J47" s="41"/>
      <c r="K47" s="63">
        <v>0</v>
      </c>
      <c r="M47" s="64"/>
      <c r="P47" s="331" t="s">
        <v>548</v>
      </c>
    </row>
    <row r="48" spans="2:16" ht="23" customHeight="1">
      <c r="B48" s="65"/>
      <c r="C48" s="34"/>
      <c r="D48" s="105" t="s">
        <v>21</v>
      </c>
      <c r="E48" s="105" t="s">
        <v>22</v>
      </c>
      <c r="F48" s="4"/>
      <c r="G48" s="4"/>
      <c r="H48" s="4"/>
      <c r="I48" s="4"/>
      <c r="J48" s="47"/>
      <c r="K48" s="106">
        <f>IF(K45&lt;0,0,SUM(K45:K47))</f>
        <v>13958517.799785014</v>
      </c>
    </row>
    <row r="49" spans="2:11" ht="23" customHeight="1">
      <c r="B49" s="65"/>
      <c r="C49" s="34"/>
      <c r="D49" s="33"/>
      <c r="E49" s="35"/>
      <c r="F49" s="35"/>
      <c r="G49" s="35"/>
      <c r="H49" s="35"/>
      <c r="I49" s="35"/>
      <c r="J49" s="33"/>
      <c r="K49" s="48"/>
    </row>
    <row r="50" spans="2:11" ht="23" customHeight="1">
      <c r="B50" s="65"/>
      <c r="C50" s="34"/>
      <c r="D50" s="33"/>
      <c r="E50" s="35"/>
      <c r="F50" s="35"/>
      <c r="G50" s="35"/>
      <c r="H50" s="35"/>
      <c r="I50" s="35"/>
      <c r="J50" s="33"/>
      <c r="K50" s="48"/>
    </row>
    <row r="51" spans="2:11" ht="23" customHeight="1">
      <c r="B51" s="65"/>
      <c r="C51" s="34"/>
      <c r="D51" s="33"/>
      <c r="E51" s="35"/>
      <c r="F51" s="35"/>
      <c r="G51" s="35"/>
      <c r="H51" s="35"/>
      <c r="I51" s="35"/>
      <c r="J51" s="33"/>
      <c r="K51" s="48"/>
    </row>
    <row r="52" spans="2:11" ht="23" customHeight="1">
      <c r="B52" s="723" t="str">
        <f>+B2</f>
        <v>LP 1</v>
      </c>
      <c r="C52" s="723"/>
      <c r="D52" s="723"/>
      <c r="E52" s="723"/>
      <c r="F52" s="723"/>
      <c r="G52" s="723"/>
      <c r="H52" s="723"/>
      <c r="I52" s="723"/>
      <c r="J52" s="723"/>
      <c r="K52" s="723"/>
    </row>
    <row r="53" spans="2:11" ht="23" customHeight="1">
      <c r="B53" s="724" t="s">
        <v>453</v>
      </c>
      <c r="C53" s="724"/>
      <c r="D53" s="724"/>
      <c r="E53" s="724"/>
      <c r="F53" s="724"/>
      <c r="G53" s="724"/>
      <c r="H53" s="724"/>
      <c r="I53" s="724"/>
      <c r="J53" s="724"/>
      <c r="K53" s="724"/>
    </row>
    <row r="54" spans="2:11" ht="23" customHeight="1">
      <c r="B54" s="726" t="str">
        <f>+B4</f>
        <v>INGRESOS OBTENIDOS EN CUENTAS DEL EXTRANJERO</v>
      </c>
      <c r="C54" s="726"/>
      <c r="D54" s="726"/>
      <c r="E54" s="726"/>
      <c r="F54" s="726"/>
      <c r="G54" s="726"/>
      <c r="H54" s="726"/>
      <c r="I54" s="726"/>
      <c r="J54" s="726"/>
      <c r="K54" s="726"/>
    </row>
    <row r="55" spans="2:11" ht="14" customHeight="1">
      <c r="B55" s="22" t="s">
        <v>446</v>
      </c>
      <c r="C55" s="23"/>
      <c r="D55" s="24" t="s">
        <v>679</v>
      </c>
      <c r="E55" s="23"/>
      <c r="F55" s="22"/>
      <c r="G55" s="22"/>
      <c r="H55" s="22"/>
      <c r="I55" s="22"/>
      <c r="J55" s="22"/>
      <c r="K55" s="22"/>
    </row>
    <row r="56" spans="2:11" s="85" customFormat="1" ht="15">
      <c r="B56" s="80"/>
      <c r="C56" s="81"/>
      <c r="D56" s="82"/>
      <c r="E56" s="82"/>
      <c r="F56" s="82"/>
      <c r="G56" s="83" t="s">
        <v>26</v>
      </c>
      <c r="H56" s="82"/>
      <c r="I56" s="83" t="s">
        <v>27</v>
      </c>
      <c r="J56" s="80"/>
      <c r="K56" s="84" t="s">
        <v>28</v>
      </c>
    </row>
    <row r="57" spans="2:11" ht="23" customHeight="1">
      <c r="B57" s="65"/>
      <c r="C57" s="34"/>
      <c r="D57" s="33"/>
      <c r="E57" s="35"/>
      <c r="F57" s="35"/>
      <c r="G57" s="35"/>
      <c r="H57" s="35"/>
      <c r="I57" s="35"/>
      <c r="J57" s="33"/>
      <c r="K57" s="48"/>
    </row>
    <row r="58" spans="2:11" ht="23" customHeight="1">
      <c r="B58" s="66" t="s">
        <v>13</v>
      </c>
      <c r="C58" s="67" t="s">
        <v>247</v>
      </c>
      <c r="D58" s="33"/>
      <c r="E58" s="35"/>
      <c r="F58" s="35"/>
      <c r="G58" s="35"/>
      <c r="H58" s="35"/>
      <c r="I58" s="35"/>
      <c r="J58" s="33"/>
      <c r="K58" s="48"/>
    </row>
    <row r="59" spans="2:11" ht="23" customHeight="1">
      <c r="B59" s="65"/>
      <c r="C59" s="34"/>
      <c r="D59" s="33"/>
      <c r="E59" s="35"/>
      <c r="F59" s="35"/>
      <c r="G59" s="48"/>
      <c r="H59" s="35"/>
      <c r="I59" s="48"/>
      <c r="J59" s="33"/>
      <c r="K59" s="48"/>
    </row>
    <row r="60" spans="2:11" ht="23" customHeight="1">
      <c r="B60" s="65"/>
      <c r="C60" s="65" t="s">
        <v>29</v>
      </c>
      <c r="D60" s="34" t="s">
        <v>24</v>
      </c>
      <c r="E60" s="68"/>
      <c r="G60" s="42"/>
      <c r="H60" s="35"/>
      <c r="I60" s="42"/>
      <c r="J60" s="69"/>
      <c r="K60" s="42"/>
    </row>
    <row r="61" spans="2:11" ht="23" customHeight="1">
      <c r="B61" s="65"/>
      <c r="C61" s="34"/>
      <c r="D61" s="33"/>
      <c r="E61" s="35"/>
      <c r="G61" s="48"/>
      <c r="H61" s="35"/>
      <c r="I61" s="48"/>
      <c r="J61" s="33"/>
      <c r="K61" s="48"/>
    </row>
    <row r="62" spans="2:11" ht="23" customHeight="1">
      <c r="B62" s="65"/>
      <c r="C62" s="34"/>
      <c r="D62" s="33" t="s">
        <v>23</v>
      </c>
      <c r="E62" s="35" t="s">
        <v>175</v>
      </c>
      <c r="G62" s="46"/>
      <c r="H62" s="35"/>
      <c r="I62" s="46"/>
      <c r="J62" s="33"/>
      <c r="K62" s="70">
        <f>+'Dividendos Extranjeros - Ret'!K413</f>
        <v>152081.535359</v>
      </c>
    </row>
    <row r="63" spans="2:11" ht="23" customHeight="1">
      <c r="B63" s="65"/>
      <c r="C63" s="34"/>
      <c r="D63" s="33" t="s">
        <v>23</v>
      </c>
      <c r="E63" s="35" t="s">
        <v>176</v>
      </c>
      <c r="G63" s="46"/>
      <c r="H63" s="35"/>
      <c r="I63" s="46"/>
      <c r="J63" s="33"/>
      <c r="K63" s="71">
        <f>+'PE - Retenciones'!K42</f>
        <v>0</v>
      </c>
    </row>
    <row r="64" spans="2:11" ht="23" customHeight="1">
      <c r="D64" s="72" t="s">
        <v>23</v>
      </c>
      <c r="E64" s="73" t="s">
        <v>240</v>
      </c>
      <c r="K64" s="74">
        <v>0</v>
      </c>
    </row>
    <row r="65" spans="2:16" ht="23" customHeight="1">
      <c r="B65" s="65"/>
      <c r="C65" s="34"/>
      <c r="D65" s="33" t="s">
        <v>23</v>
      </c>
      <c r="E65" s="35" t="s">
        <v>177</v>
      </c>
      <c r="G65" s="46"/>
      <c r="H65" s="35"/>
      <c r="I65" s="46"/>
      <c r="J65" s="1"/>
      <c r="K65" s="70">
        <f>'Otras Retenciones'!K45</f>
        <v>0</v>
      </c>
    </row>
    <row r="66" spans="2:16" ht="23" customHeight="1">
      <c r="B66" s="65"/>
      <c r="C66" s="34"/>
      <c r="D66" s="86" t="s">
        <v>21</v>
      </c>
      <c r="E66" s="90" t="s">
        <v>46</v>
      </c>
      <c r="G66" s="52"/>
      <c r="H66" s="53"/>
      <c r="I66" s="52"/>
      <c r="J66" s="47" t="s">
        <v>47</v>
      </c>
      <c r="K66" s="89">
        <f>SUM(K62:K65)</f>
        <v>152081.535359</v>
      </c>
    </row>
    <row r="67" spans="2:16" ht="23" customHeight="1">
      <c r="B67" s="65"/>
      <c r="C67" s="34"/>
      <c r="D67" s="33"/>
      <c r="E67" s="35"/>
      <c r="F67" s="35"/>
      <c r="G67" s="48"/>
      <c r="H67" s="35"/>
      <c r="I67" s="48"/>
      <c r="J67" s="33"/>
      <c r="K67" s="48"/>
    </row>
    <row r="68" spans="2:16" ht="23" customHeight="1">
      <c r="B68" s="65"/>
      <c r="C68" s="65" t="s">
        <v>33</v>
      </c>
      <c r="D68" s="35" t="s">
        <v>245</v>
      </c>
      <c r="E68" s="4"/>
      <c r="F68" s="68"/>
      <c r="G68" s="48"/>
      <c r="H68" s="68"/>
      <c r="I68" s="48"/>
      <c r="J68" s="33"/>
      <c r="K68" s="48"/>
    </row>
    <row r="69" spans="2:16" ht="23" customHeight="1">
      <c r="B69" s="65"/>
      <c r="C69" s="34"/>
      <c r="D69" s="33"/>
      <c r="E69" s="35"/>
      <c r="F69" s="35"/>
      <c r="G69" s="42"/>
      <c r="H69" s="35"/>
      <c r="I69" s="42"/>
      <c r="J69" s="33"/>
      <c r="K69" s="42"/>
    </row>
    <row r="70" spans="2:16" ht="23" customHeight="1">
      <c r="B70" s="65"/>
      <c r="C70" s="34"/>
      <c r="D70" s="33" t="s">
        <v>23</v>
      </c>
      <c r="E70" s="35" t="s">
        <v>241</v>
      </c>
      <c r="F70" s="35"/>
      <c r="G70" s="46"/>
      <c r="H70" s="35"/>
      <c r="I70" s="46"/>
      <c r="J70" s="33"/>
      <c r="K70" s="75">
        <v>0</v>
      </c>
      <c r="M70" s="64"/>
    </row>
    <row r="71" spans="2:16" ht="23" customHeight="1">
      <c r="B71" s="65"/>
      <c r="C71" s="34"/>
      <c r="D71" s="33" t="s">
        <v>23</v>
      </c>
      <c r="E71" s="35" t="s">
        <v>242</v>
      </c>
      <c r="F71" s="35"/>
      <c r="G71" s="46"/>
      <c r="H71" s="35"/>
      <c r="I71" s="46"/>
      <c r="J71" s="33"/>
      <c r="K71" s="75">
        <v>0</v>
      </c>
      <c r="M71" s="64"/>
    </row>
    <row r="72" spans="2:16" ht="23" customHeight="1">
      <c r="B72" s="65"/>
      <c r="C72" s="34"/>
      <c r="D72" s="33" t="s">
        <v>23</v>
      </c>
      <c r="E72" s="35" t="s">
        <v>243</v>
      </c>
      <c r="F72" s="35"/>
      <c r="G72" s="46"/>
      <c r="H72" s="35"/>
      <c r="I72" s="46"/>
      <c r="J72" s="33"/>
      <c r="K72" s="75">
        <v>0</v>
      </c>
      <c r="M72" s="64"/>
    </row>
    <row r="73" spans="2:16" ht="23" customHeight="1">
      <c r="B73" s="65"/>
      <c r="C73" s="34"/>
      <c r="D73" s="33" t="s">
        <v>23</v>
      </c>
      <c r="E73" s="35" t="s">
        <v>48</v>
      </c>
      <c r="F73" s="35"/>
      <c r="G73" s="46"/>
      <c r="H73" s="35"/>
      <c r="I73" s="46"/>
      <c r="J73" s="33"/>
      <c r="K73" s="75">
        <v>0</v>
      </c>
      <c r="M73" s="64"/>
    </row>
    <row r="74" spans="2:16" ht="23" customHeight="1">
      <c r="B74" s="65"/>
      <c r="C74" s="34"/>
      <c r="D74" s="76" t="s">
        <v>23</v>
      </c>
      <c r="E74" s="45" t="s">
        <v>244</v>
      </c>
      <c r="F74" s="35"/>
      <c r="G74" s="46"/>
      <c r="H74" s="35"/>
      <c r="I74" s="46"/>
      <c r="J74" s="33"/>
      <c r="K74" s="48">
        <f>+'Dividendos Nacionales'!Q57</f>
        <v>2317072.8898095572</v>
      </c>
      <c r="M74" s="77"/>
    </row>
    <row r="75" spans="2:16" ht="23" customHeight="1">
      <c r="B75" s="65"/>
      <c r="C75" s="34"/>
      <c r="D75" s="86" t="s">
        <v>21</v>
      </c>
      <c r="E75" s="90" t="s">
        <v>246</v>
      </c>
      <c r="G75" s="52"/>
      <c r="H75" s="53"/>
      <c r="I75" s="52"/>
      <c r="J75" s="47" t="s">
        <v>49</v>
      </c>
      <c r="K75" s="89">
        <f>SUM(K70:K74)</f>
        <v>2317072.8898095572</v>
      </c>
    </row>
    <row r="76" spans="2:16" ht="23" customHeight="1">
      <c r="B76" s="65"/>
      <c r="C76" s="34"/>
      <c r="D76" s="33"/>
      <c r="E76" s="35"/>
      <c r="G76" s="48"/>
      <c r="H76" s="35"/>
      <c r="I76" s="48"/>
      <c r="J76" s="33"/>
      <c r="K76" s="48"/>
    </row>
    <row r="77" spans="2:16" ht="23" customHeight="1">
      <c r="B77" s="65"/>
      <c r="C77" s="34"/>
      <c r="D77" s="94" t="s">
        <v>21</v>
      </c>
      <c r="E77" s="95" t="s">
        <v>50</v>
      </c>
      <c r="G77" s="53"/>
      <c r="H77" s="53"/>
      <c r="I77" s="53"/>
      <c r="J77" s="47" t="s">
        <v>51</v>
      </c>
      <c r="K77" s="96">
        <v>0</v>
      </c>
      <c r="M77" s="64"/>
      <c r="P77" s="331" t="s">
        <v>468</v>
      </c>
    </row>
    <row r="78" spans="2:16" ht="23" customHeight="1">
      <c r="B78" s="65"/>
      <c r="C78" s="34"/>
      <c r="D78" s="33"/>
      <c r="E78" s="35"/>
      <c r="F78" s="35"/>
      <c r="G78" s="51"/>
      <c r="H78" s="51"/>
      <c r="I78" s="51"/>
      <c r="J78" s="33"/>
      <c r="K78" s="46"/>
    </row>
    <row r="79" spans="2:16" ht="23" customHeight="1">
      <c r="B79" s="65"/>
      <c r="C79" s="34"/>
      <c r="D79" s="727" t="s">
        <v>248</v>
      </c>
      <c r="E79" s="727"/>
      <c r="F79" s="4"/>
      <c r="G79" s="51"/>
      <c r="H79" s="51"/>
      <c r="I79" s="51"/>
      <c r="J79" s="78"/>
      <c r="K79" s="106">
        <f>+K66+K75+K77</f>
        <v>2469154.4251685571</v>
      </c>
    </row>
    <row r="80" spans="2:16" ht="23" customHeight="1">
      <c r="B80" s="65"/>
      <c r="C80" s="34"/>
      <c r="D80" s="33"/>
      <c r="E80" s="35"/>
      <c r="F80" s="35"/>
      <c r="G80" s="51"/>
      <c r="H80" s="51"/>
      <c r="I80" s="51"/>
      <c r="J80" s="33"/>
      <c r="K80" s="48"/>
    </row>
    <row r="81" spans="2:11" ht="23" customHeight="1">
      <c r="B81" s="65"/>
      <c r="C81" s="34"/>
      <c r="D81" s="33"/>
      <c r="E81" s="35"/>
      <c r="F81" s="35"/>
      <c r="G81" s="51"/>
      <c r="H81" s="51"/>
      <c r="I81" s="51"/>
      <c r="J81" s="33"/>
      <c r="K81" s="48"/>
    </row>
    <row r="82" spans="2:11" ht="23" customHeight="1">
      <c r="B82" s="41"/>
      <c r="C82" s="34" t="s">
        <v>52</v>
      </c>
      <c r="D82" s="35"/>
      <c r="E82" s="35"/>
      <c r="F82" s="35"/>
      <c r="G82" s="35"/>
      <c r="H82" s="35"/>
      <c r="I82" s="35"/>
      <c r="J82" s="79"/>
      <c r="K82" s="4"/>
    </row>
    <row r="83" spans="2:11" ht="23" customHeight="1">
      <c r="B83" s="41"/>
      <c r="C83" s="34" t="s">
        <v>680</v>
      </c>
      <c r="D83" s="35"/>
      <c r="E83" s="35"/>
      <c r="F83" s="35"/>
      <c r="G83" s="35"/>
      <c r="H83" s="35"/>
      <c r="I83" s="35"/>
      <c r="J83" s="79"/>
      <c r="K83" s="4"/>
    </row>
  </sheetData>
  <sheetProtection algorithmName="SHA-512" hashValue="EPjlltEFpTnQapnqSV3HyhfMnnB7TDvYA1wUqDU0J8gILvvsKQbkfoC+K9kZiJUXOcLENTTz/OhmvfWW2IpW9Q==" saltValue="ApWCsUpEZVyDS9jWO/yxJQ==" spinCount="100000" sheet="1" objects="1" scenarios="1"/>
  <mergeCells count="7">
    <mergeCell ref="B54:K54"/>
    <mergeCell ref="D79:E79"/>
    <mergeCell ref="B53:K53"/>
    <mergeCell ref="B52:K52"/>
    <mergeCell ref="B2:K2"/>
    <mergeCell ref="B3:K3"/>
    <mergeCell ref="B4:K4"/>
  </mergeCells>
  <phoneticPr fontId="8" type="noConversion"/>
  <printOptions horizontalCentered="1"/>
  <pageMargins left="0.7" right="0.7" top="0.75" bottom="0.75" header="0.3" footer="0.3"/>
  <pageSetup scale="69" orientation="portrait" horizontalDpi="1200" verticalDpi="1200"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3B200E0F-34D6-9440-9BE3-8A309F5623D8}">
          <x14:formula1>
            <xm:f>AAI!$H$56:$H$57</xm:f>
          </x14:formula1>
          <xm:sqref>M20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6AF57-3CA6-5F4B-94DD-E3CD33B4E30C}">
  <sheetPr>
    <pageSetUpPr fitToPage="1"/>
  </sheetPr>
  <dimension ref="B3:J25"/>
  <sheetViews>
    <sheetView view="pageBreakPreview" zoomScale="90" zoomScaleNormal="110" zoomScaleSheetLayoutView="90" workbookViewId="0">
      <selection activeCell="J22" sqref="J22"/>
    </sheetView>
  </sheetViews>
  <sheetFormatPr baseColWidth="10" defaultColWidth="10.83203125" defaultRowHeight="23" customHeight="1"/>
  <cols>
    <col min="1" max="1" width="10.83203125" style="1"/>
    <col min="2" max="2" width="3.33203125" style="1" customWidth="1"/>
    <col min="3" max="3" width="6.83203125" style="1" customWidth="1"/>
    <col min="4" max="4" width="95.33203125" style="1" bestFit="1" customWidth="1"/>
    <col min="5" max="5" width="3.6640625" style="1" customWidth="1"/>
    <col min="6" max="6" width="22.83203125" style="1" customWidth="1"/>
    <col min="7" max="7" width="4" style="1" customWidth="1"/>
    <col min="8" max="8" width="21.83203125" style="1" customWidth="1"/>
    <col min="9" max="9" width="3.5" style="1" customWidth="1"/>
    <col min="10" max="10" width="21.83203125" style="1" customWidth="1"/>
    <col min="11" max="16384" width="10.83203125" style="1"/>
  </cols>
  <sheetData>
    <row r="3" spans="2:10" ht="23" customHeight="1">
      <c r="B3" s="723" t="str">
        <f>'2 Ingresos BMV &amp; SIC'!B2</f>
        <v>LP 1</v>
      </c>
      <c r="C3" s="723"/>
      <c r="D3" s="723"/>
      <c r="E3" s="723"/>
      <c r="F3" s="723"/>
      <c r="G3" s="723"/>
      <c r="H3" s="723"/>
      <c r="I3" s="723"/>
      <c r="J3" s="723"/>
    </row>
    <row r="4" spans="2:10" ht="23" customHeight="1">
      <c r="B4" s="724" t="s">
        <v>439</v>
      </c>
      <c r="C4" s="724"/>
      <c r="D4" s="724"/>
      <c r="E4" s="724"/>
      <c r="F4" s="724"/>
      <c r="G4" s="724"/>
      <c r="H4" s="724"/>
      <c r="I4" s="724"/>
      <c r="J4" s="724"/>
    </row>
    <row r="5" spans="2:10" ht="23" customHeight="1">
      <c r="B5" s="726" t="s">
        <v>448</v>
      </c>
      <c r="C5" s="726"/>
      <c r="D5" s="726"/>
      <c r="E5" s="726"/>
      <c r="F5" s="726"/>
      <c r="G5" s="726"/>
      <c r="H5" s="726"/>
      <c r="I5" s="726"/>
      <c r="J5" s="726"/>
    </row>
    <row r="6" spans="2:10" ht="14" customHeight="1">
      <c r="B6" s="22" t="s">
        <v>446</v>
      </c>
      <c r="C6" s="23"/>
      <c r="D6" s="24" t="s">
        <v>679</v>
      </c>
      <c r="E6" s="23"/>
      <c r="F6" s="327" t="s">
        <v>26</v>
      </c>
      <c r="G6" s="327"/>
      <c r="H6" s="327" t="s">
        <v>27</v>
      </c>
      <c r="I6" s="327"/>
      <c r="J6" s="327" t="s">
        <v>28</v>
      </c>
    </row>
    <row r="7" spans="2:10" ht="23" customHeight="1">
      <c r="B7" s="98" t="s">
        <v>13</v>
      </c>
      <c r="C7" s="97" t="s">
        <v>433</v>
      </c>
      <c r="D7" s="99"/>
      <c r="E7" s="35"/>
      <c r="F7" s="51"/>
      <c r="G7" s="51"/>
      <c r="H7" s="51"/>
      <c r="I7" s="33"/>
      <c r="J7" s="35"/>
    </row>
    <row r="8" spans="2:10" ht="23" customHeight="1">
      <c r="B8" s="107"/>
      <c r="C8" s="108"/>
      <c r="D8" s="99"/>
      <c r="E8" s="35"/>
      <c r="F8" s="36"/>
      <c r="G8" s="35"/>
      <c r="H8" s="36"/>
      <c r="I8" s="33"/>
      <c r="J8" s="37"/>
    </row>
    <row r="9" spans="2:10" ht="23" customHeight="1">
      <c r="B9" s="107"/>
      <c r="C9" s="33" t="s">
        <v>23</v>
      </c>
      <c r="D9" s="35" t="s">
        <v>430</v>
      </c>
      <c r="E9" s="35"/>
      <c r="F9" s="109" t="s">
        <v>251</v>
      </c>
      <c r="G9" s="46"/>
      <c r="H9" s="48">
        <f>+'1 Ingresos Acum &amp; No Acum'!K36</f>
        <v>19604561.685420003</v>
      </c>
      <c r="I9" s="110"/>
      <c r="J9" s="58">
        <f>+H9</f>
        <v>19604561.685420003</v>
      </c>
    </row>
    <row r="10" spans="2:10" ht="23" customHeight="1">
      <c r="B10" s="107"/>
      <c r="C10" s="33" t="s">
        <v>23</v>
      </c>
      <c r="D10" s="35" t="s">
        <v>637</v>
      </c>
      <c r="E10" s="35"/>
      <c r="F10" s="109" t="s">
        <v>251</v>
      </c>
      <c r="G10" s="46"/>
      <c r="H10" s="48">
        <f>IF('1 Ingresos Acum &amp; No Acum'!K37&lt;0,0,'1 Ingresos Acum &amp; No Acum'!K37)</f>
        <v>0</v>
      </c>
      <c r="I10" s="110"/>
      <c r="J10" s="58">
        <f>+H10</f>
        <v>0</v>
      </c>
    </row>
    <row r="11" spans="2:10" ht="23" customHeight="1">
      <c r="B11" s="107"/>
      <c r="C11" s="86" t="s">
        <v>21</v>
      </c>
      <c r="D11" s="87" t="s">
        <v>498</v>
      </c>
      <c r="E11" s="35"/>
      <c r="F11" s="113" t="s">
        <v>251</v>
      </c>
      <c r="G11" s="46"/>
      <c r="H11" s="114">
        <f>SUM(H9:H10)</f>
        <v>19604561.685420003</v>
      </c>
      <c r="I11" s="110"/>
      <c r="J11" s="114">
        <f>SUM(J9:J10)</f>
        <v>19604561.685420003</v>
      </c>
    </row>
    <row r="12" spans="2:10" ht="23" customHeight="1">
      <c r="B12" s="107"/>
      <c r="C12" s="33"/>
      <c r="D12" s="35"/>
      <c r="E12" s="35"/>
      <c r="F12" s="109"/>
      <c r="G12" s="46"/>
      <c r="H12" s="48"/>
      <c r="I12" s="110"/>
      <c r="J12" s="111"/>
    </row>
    <row r="13" spans="2:10" ht="23" customHeight="1">
      <c r="B13" s="107"/>
      <c r="C13" s="33" t="s">
        <v>253</v>
      </c>
      <c r="D13" s="35" t="s">
        <v>431</v>
      </c>
      <c r="E13" s="35"/>
      <c r="F13" s="109" t="s">
        <v>251</v>
      </c>
      <c r="G13" s="46"/>
      <c r="H13" s="48">
        <f>+'1 Ingresos Acum &amp; No Acum'!K62</f>
        <v>152081.535359</v>
      </c>
      <c r="I13" s="110"/>
      <c r="J13" s="111">
        <f>+H13</f>
        <v>152081.535359</v>
      </c>
    </row>
    <row r="14" spans="2:10" ht="23" customHeight="1">
      <c r="B14" s="107"/>
      <c r="C14" s="33" t="s">
        <v>253</v>
      </c>
      <c r="D14" s="35" t="s">
        <v>432</v>
      </c>
      <c r="E14" s="35"/>
      <c r="F14" s="109" t="s">
        <v>251</v>
      </c>
      <c r="G14" s="46"/>
      <c r="H14" s="48">
        <f>+'1 Ingresos Acum &amp; No Acum'!K63</f>
        <v>0</v>
      </c>
      <c r="I14" s="110"/>
      <c r="J14" s="111">
        <f>+H14</f>
        <v>0</v>
      </c>
    </row>
    <row r="15" spans="2:10" ht="23" customHeight="1">
      <c r="B15" s="107"/>
      <c r="C15" s="86" t="s">
        <v>21</v>
      </c>
      <c r="D15" s="87" t="s">
        <v>499</v>
      </c>
      <c r="E15" s="35"/>
      <c r="F15" s="113" t="s">
        <v>251</v>
      </c>
      <c r="G15" s="46"/>
      <c r="H15" s="114">
        <f>+H13+H14</f>
        <v>152081.535359</v>
      </c>
      <c r="I15" s="110"/>
      <c r="J15" s="115">
        <f>+J13+J14</f>
        <v>152081.535359</v>
      </c>
    </row>
    <row r="16" spans="2:10" ht="23" customHeight="1">
      <c r="B16" s="107"/>
      <c r="C16" s="33"/>
      <c r="D16" s="35"/>
      <c r="E16" s="35"/>
      <c r="F16" s="109"/>
      <c r="G16" s="46"/>
      <c r="H16" s="48"/>
      <c r="I16" s="110"/>
      <c r="J16" s="111"/>
    </row>
    <row r="17" spans="2:10" ht="23" customHeight="1">
      <c r="B17" s="112"/>
      <c r="C17" s="104" t="s">
        <v>21</v>
      </c>
      <c r="D17" s="367" t="s">
        <v>497</v>
      </c>
      <c r="E17" s="53"/>
      <c r="F17" s="117" t="s">
        <v>251</v>
      </c>
      <c r="G17" s="53"/>
      <c r="H17" s="106">
        <f>+H11-H15</f>
        <v>19452480.150061004</v>
      </c>
      <c r="I17" s="65"/>
      <c r="J17" s="106">
        <f>+J11-J15</f>
        <v>19452480.150061004</v>
      </c>
    </row>
    <row r="18" spans="2:10" ht="23" customHeight="1">
      <c r="B18" s="33"/>
      <c r="C18" s="34"/>
      <c r="D18" s="35"/>
      <c r="E18" s="35"/>
      <c r="F18" s="51"/>
      <c r="G18" s="51"/>
      <c r="H18" s="51"/>
      <c r="I18" s="33"/>
      <c r="J18" s="42"/>
    </row>
    <row r="19" spans="2:10" ht="23" customHeight="1">
      <c r="B19" s="33"/>
      <c r="C19" s="33" t="s">
        <v>556</v>
      </c>
      <c r="D19" s="35" t="s">
        <v>557</v>
      </c>
      <c r="E19" s="35"/>
      <c r="F19" s="51"/>
      <c r="G19" s="51"/>
      <c r="H19" s="417">
        <v>0.1</v>
      </c>
      <c r="I19" s="33"/>
      <c r="J19" s="417">
        <v>0.1</v>
      </c>
    </row>
    <row r="20" spans="2:10" ht="23" customHeight="1">
      <c r="B20" s="33"/>
      <c r="C20" s="33" t="s">
        <v>21</v>
      </c>
      <c r="D20" s="35" t="s">
        <v>558</v>
      </c>
      <c r="E20" s="35"/>
      <c r="F20" s="33" t="s">
        <v>251</v>
      </c>
      <c r="G20" s="51"/>
      <c r="H20" s="42">
        <f>+H17*0.1</f>
        <v>1945248.0150061005</v>
      </c>
      <c r="I20" s="33"/>
      <c r="J20" s="42">
        <f>+J17*0.1</f>
        <v>1945248.0150061005</v>
      </c>
    </row>
    <row r="21" spans="2:10" ht="23" customHeight="1">
      <c r="B21" s="33"/>
      <c r="C21" s="33" t="s">
        <v>253</v>
      </c>
      <c r="D21" s="35" t="s">
        <v>681</v>
      </c>
      <c r="E21" s="35"/>
      <c r="F21" s="33" t="s">
        <v>251</v>
      </c>
      <c r="G21" s="51"/>
      <c r="H21" s="424">
        <v>1487311.36</v>
      </c>
      <c r="I21" s="72"/>
      <c r="J21" s="424">
        <v>1487311.36</v>
      </c>
    </row>
    <row r="22" spans="2:10" ht="23" customHeight="1">
      <c r="B22" s="33"/>
      <c r="C22" s="418" t="s">
        <v>21</v>
      </c>
      <c r="D22" s="419" t="s">
        <v>559</v>
      </c>
      <c r="E22" s="420"/>
      <c r="F22" s="418" t="s">
        <v>251</v>
      </c>
      <c r="G22" s="421"/>
      <c r="H22" s="422">
        <f>+H20-H21</f>
        <v>457936.65500610042</v>
      </c>
      <c r="I22" s="423"/>
      <c r="J22" s="422">
        <f>+J20-J21</f>
        <v>457936.65500610042</v>
      </c>
    </row>
    <row r="23" spans="2:10" ht="23" customHeight="1">
      <c r="B23" s="33"/>
      <c r="C23" s="34"/>
      <c r="D23" s="35"/>
      <c r="E23" s="35"/>
      <c r="F23" s="51"/>
      <c r="G23" s="51"/>
      <c r="H23" s="51"/>
      <c r="I23" s="33"/>
      <c r="J23" s="42"/>
    </row>
    <row r="24" spans="2:10" ht="23" customHeight="1">
      <c r="B24" s="33"/>
      <c r="C24" s="34"/>
      <c r="D24" s="35"/>
      <c r="E24" s="35"/>
      <c r="F24" s="51"/>
      <c r="G24" s="51"/>
      <c r="H24" s="51"/>
      <c r="I24" s="33"/>
      <c r="J24" s="42"/>
    </row>
    <row r="25" spans="2:10" ht="23" customHeight="1">
      <c r="C25" s="2" t="s">
        <v>434</v>
      </c>
    </row>
  </sheetData>
  <sheetProtection algorithmName="SHA-512" hashValue="tMspUxQOp4uXVCUdx4S2857iYwTttC/hRKI3YOJ4xX+MZizJu+qzGN/Ttz2OpwQqgUu06WuCE3Bg9FO78xv3FQ==" saltValue="1WtSIQJtxfg9cwTJKoneGg==" spinCount="100000" sheet="1" objects="1" scenarios="1"/>
  <mergeCells count="3">
    <mergeCell ref="B3:J3"/>
    <mergeCell ref="B4:J4"/>
    <mergeCell ref="B5:J5"/>
  </mergeCells>
  <printOptions horizontalCentered="1"/>
  <pageMargins left="0.70866141732283505" right="0.70866141732283505" top="0.74803149606299202" bottom="0.74803149606299202" header="0.31496062992126" footer="0.31496062992126"/>
  <pageSetup scale="62" orientation="landscape"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B2:K165"/>
  <sheetViews>
    <sheetView view="pageBreakPreview" zoomScale="80" zoomScaleNormal="110" zoomScaleSheetLayoutView="80" workbookViewId="0">
      <pane ySplit="6" topLeftCell="A21" activePane="bottomLeft" state="frozen"/>
      <selection pane="bottomLeft" activeCell="B5" sqref="B5"/>
    </sheetView>
  </sheetViews>
  <sheetFormatPr baseColWidth="10" defaultColWidth="11.5" defaultRowHeight="20" customHeight="1"/>
  <cols>
    <col min="1" max="1" width="11.5" style="1"/>
    <col min="2" max="2" width="44.33203125" style="1" bestFit="1" customWidth="1"/>
    <col min="3" max="3" width="11" style="1" bestFit="1" customWidth="1"/>
    <col min="4" max="4" width="13.33203125" style="1" bestFit="1" customWidth="1"/>
    <col min="5" max="5" width="19.6640625" style="1" bestFit="1" customWidth="1"/>
    <col min="6" max="6" width="19" style="1" bestFit="1" customWidth="1"/>
    <col min="7" max="7" width="14" style="1" bestFit="1" customWidth="1"/>
    <col min="8" max="8" width="17" style="1" bestFit="1" customWidth="1"/>
    <col min="9" max="9" width="25.83203125" style="1" bestFit="1" customWidth="1"/>
    <col min="10" max="10" width="21.83203125" style="1" customWidth="1"/>
    <col min="11" max="11" width="17.5" style="1" customWidth="1"/>
    <col min="12" max="16384" width="11.5" style="1"/>
  </cols>
  <sheetData>
    <row r="2" spans="2:11" ht="49" customHeight="1">
      <c r="B2" s="729" t="s">
        <v>464</v>
      </c>
      <c r="C2" s="729"/>
      <c r="D2" s="729"/>
      <c r="E2" s="729"/>
      <c r="F2" s="729"/>
      <c r="G2" s="729"/>
      <c r="H2" s="729"/>
      <c r="I2" s="729"/>
      <c r="J2" s="125"/>
    </row>
    <row r="3" spans="2:11" ht="20" customHeight="1">
      <c r="B3" s="728" t="s">
        <v>454</v>
      </c>
      <c r="C3" s="728"/>
      <c r="D3" s="728"/>
      <c r="E3" s="728"/>
      <c r="F3" s="728"/>
      <c r="G3" s="728"/>
      <c r="H3" s="728"/>
      <c r="I3" s="728"/>
      <c r="J3" s="728"/>
    </row>
    <row r="4" spans="2:11" ht="14" customHeight="1">
      <c r="B4" s="548" t="s">
        <v>446</v>
      </c>
      <c r="C4" s="122" t="s">
        <v>682</v>
      </c>
      <c r="D4" s="24"/>
      <c r="E4" s="123"/>
      <c r="F4" s="123"/>
      <c r="G4" s="123"/>
      <c r="H4" s="123"/>
      <c r="I4" s="123"/>
      <c r="J4" s="26"/>
      <c r="K4" s="26"/>
    </row>
    <row r="5" spans="2:11" s="85" customFormat="1" ht="30">
      <c r="B5" s="126" t="s">
        <v>169</v>
      </c>
      <c r="C5" s="127" t="s">
        <v>167</v>
      </c>
      <c r="D5" s="127" t="s">
        <v>168</v>
      </c>
      <c r="E5" s="127" t="s">
        <v>311</v>
      </c>
      <c r="F5" s="127" t="s">
        <v>312</v>
      </c>
      <c r="G5" s="127" t="s">
        <v>495</v>
      </c>
      <c r="H5" s="127" t="s">
        <v>313</v>
      </c>
      <c r="I5" s="127" t="s">
        <v>314</v>
      </c>
      <c r="J5"/>
      <c r="K5"/>
    </row>
    <row r="6" spans="2:11" ht="16">
      <c r="B6" s="685" t="s">
        <v>910</v>
      </c>
      <c r="C6" s="686"/>
      <c r="D6" s="687"/>
      <c r="E6" s="686"/>
      <c r="F6" s="686"/>
      <c r="G6" s="686"/>
      <c r="H6" s="687"/>
      <c r="I6" s="352"/>
      <c r="J6"/>
      <c r="K6"/>
    </row>
    <row r="7" spans="2:11" ht="16">
      <c r="B7" s="353" t="s">
        <v>106</v>
      </c>
      <c r="C7" s="686"/>
      <c r="D7" s="687"/>
      <c r="E7" s="686"/>
      <c r="F7" s="686"/>
      <c r="G7" s="686"/>
      <c r="H7" s="687"/>
      <c r="I7" s="352"/>
      <c r="J7"/>
      <c r="K7"/>
    </row>
    <row r="8" spans="2:11" ht="16">
      <c r="B8" s="354" t="s">
        <v>1254</v>
      </c>
      <c r="C8" s="686"/>
      <c r="D8" s="687"/>
      <c r="E8" s="686"/>
      <c r="F8" s="686"/>
      <c r="G8" s="686"/>
      <c r="H8" s="687"/>
      <c r="I8" s="352"/>
      <c r="J8"/>
      <c r="K8"/>
    </row>
    <row r="9" spans="2:11" ht="16">
      <c r="B9" s="355" t="s">
        <v>947</v>
      </c>
      <c r="C9" s="686">
        <v>161</v>
      </c>
      <c r="D9" s="687">
        <v>6084.2999999999993</v>
      </c>
      <c r="E9" s="686">
        <v>7862.3945714285719</v>
      </c>
      <c r="F9" s="686">
        <v>-1778.094571428572</v>
      </c>
      <c r="G9" s="686">
        <v>124377.08588999999</v>
      </c>
      <c r="H9" s="687">
        <v>167603.18100947465</v>
      </c>
      <c r="I9" s="352">
        <v>-43226.095119474681</v>
      </c>
      <c r="J9"/>
      <c r="K9"/>
    </row>
    <row r="10" spans="2:11" ht="16">
      <c r="B10" s="355" t="s">
        <v>890</v>
      </c>
      <c r="C10" s="686">
        <v>523</v>
      </c>
      <c r="D10" s="687">
        <v>20505.73</v>
      </c>
      <c r="E10" s="686">
        <v>45016.950000000004</v>
      </c>
      <c r="F10" s="686">
        <v>-24511.22</v>
      </c>
      <c r="G10" s="686">
        <v>430208.31721000001</v>
      </c>
      <c r="H10" s="687">
        <v>954331.3300494689</v>
      </c>
      <c r="I10" s="352">
        <v>-524123.01283946907</v>
      </c>
      <c r="J10"/>
      <c r="K10"/>
    </row>
    <row r="11" spans="2:11" ht="16">
      <c r="B11" s="355" t="s">
        <v>876</v>
      </c>
      <c r="C11" s="686">
        <v>506</v>
      </c>
      <c r="D11" s="687">
        <v>18492.030000000002</v>
      </c>
      <c r="E11" s="686">
        <v>52189.166666666657</v>
      </c>
      <c r="F11" s="686">
        <v>-33697.136666666673</v>
      </c>
      <c r="G11" s="686">
        <v>391933.02824100002</v>
      </c>
      <c r="H11" s="687">
        <v>1120226.309143825</v>
      </c>
      <c r="I11" s="352">
        <v>-728293.28090282483</v>
      </c>
      <c r="J11"/>
      <c r="K11"/>
    </row>
    <row r="12" spans="2:11" ht="16">
      <c r="B12" s="355" t="s">
        <v>725</v>
      </c>
      <c r="C12" s="686">
        <v>470</v>
      </c>
      <c r="D12" s="687">
        <v>47195.179999999986</v>
      </c>
      <c r="E12" s="686">
        <v>58597.299500000016</v>
      </c>
      <c r="F12" s="686">
        <v>-11402.119500000001</v>
      </c>
      <c r="G12" s="686">
        <v>957781.99563000025</v>
      </c>
      <c r="H12" s="687">
        <v>1247500.8521026764</v>
      </c>
      <c r="I12" s="352">
        <v>-289718.85647267656</v>
      </c>
      <c r="J12"/>
      <c r="K12"/>
    </row>
    <row r="13" spans="2:11" ht="16">
      <c r="B13" s="355" t="s">
        <v>708</v>
      </c>
      <c r="C13" s="686">
        <v>2005</v>
      </c>
      <c r="D13" s="687">
        <v>79725.98</v>
      </c>
      <c r="E13" s="686">
        <v>88130.64813765182</v>
      </c>
      <c r="F13" s="686">
        <v>-8404.6681376518209</v>
      </c>
      <c r="G13" s="686">
        <v>1623991.7674219995</v>
      </c>
      <c r="H13" s="687">
        <v>1883606.4333052889</v>
      </c>
      <c r="I13" s="352">
        <v>-259614.66588328889</v>
      </c>
      <c r="J13"/>
      <c r="K13"/>
    </row>
    <row r="14" spans="2:11" ht="16">
      <c r="B14" s="357" t="s">
        <v>1255</v>
      </c>
      <c r="C14" s="688">
        <v>3665</v>
      </c>
      <c r="D14" s="689">
        <v>172003.21999999997</v>
      </c>
      <c r="E14" s="688">
        <v>251796.45887574708</v>
      </c>
      <c r="F14" s="688">
        <v>-79793.238875747076</v>
      </c>
      <c r="G14" s="688">
        <v>3528292.1943929996</v>
      </c>
      <c r="H14" s="689">
        <v>5373268.1056107339</v>
      </c>
      <c r="I14" s="358">
        <v>-1844975.911217734</v>
      </c>
      <c r="J14"/>
      <c r="K14"/>
    </row>
    <row r="15" spans="2:11" ht="16">
      <c r="B15" s="356"/>
      <c r="C15" s="686"/>
      <c r="D15" s="687"/>
      <c r="E15" s="686"/>
      <c r="F15" s="686"/>
      <c r="G15" s="686"/>
      <c r="H15" s="687"/>
      <c r="I15" s="352"/>
      <c r="J15"/>
      <c r="K15"/>
    </row>
    <row r="16" spans="2:11" ht="16">
      <c r="B16" s="354" t="s">
        <v>1266</v>
      </c>
      <c r="C16" s="686"/>
      <c r="D16" s="687"/>
      <c r="E16" s="686"/>
      <c r="F16" s="686"/>
      <c r="G16" s="686"/>
      <c r="H16" s="687"/>
      <c r="I16" s="352"/>
      <c r="J16"/>
      <c r="K16"/>
    </row>
    <row r="17" spans="2:10" ht="16">
      <c r="B17" s="355" t="s">
        <v>938</v>
      </c>
      <c r="C17" s="686">
        <v>82</v>
      </c>
      <c r="D17" s="687">
        <v>10607.67</v>
      </c>
      <c r="E17" s="686">
        <v>10740.36</v>
      </c>
      <c r="F17" s="686">
        <v>-132.69000000000051</v>
      </c>
      <c r="G17" s="686">
        <v>215300.68019599997</v>
      </c>
      <c r="H17" s="687">
        <v>212313.78493484284</v>
      </c>
      <c r="I17" s="352">
        <v>2986.8952611571585</v>
      </c>
      <c r="J17"/>
    </row>
    <row r="18" spans="2:10" ht="16">
      <c r="B18" s="355" t="s">
        <v>1016</v>
      </c>
      <c r="C18" s="686">
        <v>225</v>
      </c>
      <c r="D18" s="687">
        <v>3760.58</v>
      </c>
      <c r="E18" s="686">
        <v>5926.5</v>
      </c>
      <c r="F18" s="686">
        <v>-2165.92</v>
      </c>
      <c r="G18" s="686">
        <v>75289.444006000005</v>
      </c>
      <c r="H18" s="687">
        <v>118950.45009011999</v>
      </c>
      <c r="I18" s="352">
        <v>-43661.006084119988</v>
      </c>
      <c r="J18"/>
    </row>
    <row r="19" spans="2:10" ht="16">
      <c r="B19" s="355" t="s">
        <v>974</v>
      </c>
      <c r="C19" s="686">
        <v>34</v>
      </c>
      <c r="D19" s="687">
        <v>3897.89</v>
      </c>
      <c r="E19" s="686">
        <v>5379.31</v>
      </c>
      <c r="F19" s="686">
        <v>-1481.4200000000005</v>
      </c>
      <c r="G19" s="686">
        <v>77419.11160199999</v>
      </c>
      <c r="H19" s="687">
        <v>106705.54067990081</v>
      </c>
      <c r="I19" s="352">
        <v>-29286.429077900815</v>
      </c>
      <c r="J19"/>
    </row>
    <row r="20" spans="2:10" ht="16">
      <c r="B20" s="355" t="s">
        <v>841</v>
      </c>
      <c r="C20" s="686">
        <v>1827.644</v>
      </c>
      <c r="D20" s="687">
        <v>31976.46</v>
      </c>
      <c r="E20" s="686">
        <v>29682.77</v>
      </c>
      <c r="F20" s="686">
        <v>2293.6899999999987</v>
      </c>
      <c r="G20" s="686">
        <v>627147.91468799999</v>
      </c>
      <c r="H20" s="687">
        <v>633032.96310256736</v>
      </c>
      <c r="I20" s="352">
        <v>-5885.048414567369</v>
      </c>
      <c r="J20"/>
    </row>
    <row r="21" spans="2:10" ht="16">
      <c r="B21" s="355" t="s">
        <v>940</v>
      </c>
      <c r="C21" s="686">
        <v>87</v>
      </c>
      <c r="D21" s="687">
        <v>2217.5500000000002</v>
      </c>
      <c r="E21" s="686">
        <v>2561.7199999999998</v>
      </c>
      <c r="F21" s="686">
        <v>-344.16999999999962</v>
      </c>
      <c r="G21" s="686">
        <v>46008.175115000005</v>
      </c>
      <c r="H21" s="687">
        <v>50464.359213021598</v>
      </c>
      <c r="I21" s="352">
        <v>-4456.1840980215929</v>
      </c>
      <c r="J21"/>
    </row>
    <row r="22" spans="2:10" ht="16">
      <c r="B22" s="355" t="s">
        <v>1019</v>
      </c>
      <c r="C22" s="686">
        <v>22</v>
      </c>
      <c r="D22" s="687">
        <v>6177.35</v>
      </c>
      <c r="E22" s="686">
        <v>6605.76</v>
      </c>
      <c r="F22" s="686">
        <v>-428.41000000000031</v>
      </c>
      <c r="G22" s="686">
        <v>123674.87114500001</v>
      </c>
      <c r="H22" s="687">
        <v>133059.87981975361</v>
      </c>
      <c r="I22" s="352">
        <v>-9385.008674753597</v>
      </c>
      <c r="J22"/>
    </row>
    <row r="23" spans="2:10" ht="16">
      <c r="B23" s="355" t="s">
        <v>845</v>
      </c>
      <c r="C23" s="686">
        <v>11.086</v>
      </c>
      <c r="D23" s="687">
        <v>922.61</v>
      </c>
      <c r="E23" s="686">
        <v>717.38</v>
      </c>
      <c r="F23" s="686">
        <v>205.23000000000002</v>
      </c>
      <c r="G23" s="686">
        <v>18324.695297999999</v>
      </c>
      <c r="H23" s="687">
        <v>19967.548269887397</v>
      </c>
      <c r="I23" s="352">
        <v>-1642.8529718873979</v>
      </c>
      <c r="J23"/>
    </row>
    <row r="24" spans="2:10" ht="16">
      <c r="B24" s="355" t="s">
        <v>846</v>
      </c>
      <c r="C24" s="686">
        <v>18179.330000000002</v>
      </c>
      <c r="D24" s="687">
        <v>676254.26</v>
      </c>
      <c r="E24" s="686">
        <v>558336.75</v>
      </c>
      <c r="F24" s="686">
        <v>117917.51000000001</v>
      </c>
      <c r="G24" s="686">
        <v>13425025.246214001</v>
      </c>
      <c r="H24" s="687">
        <v>12086550.233135499</v>
      </c>
      <c r="I24" s="352">
        <v>1338475.0130785007</v>
      </c>
      <c r="J24"/>
    </row>
    <row r="25" spans="2:10" ht="16">
      <c r="B25" s="355" t="s">
        <v>850</v>
      </c>
      <c r="C25" s="686">
        <v>950.85200000000009</v>
      </c>
      <c r="D25" s="687">
        <v>20195.28</v>
      </c>
      <c r="E25" s="686">
        <v>16135.960000000001</v>
      </c>
      <c r="F25" s="686">
        <v>4059.3199999999997</v>
      </c>
      <c r="G25" s="686">
        <v>395981.82780000003</v>
      </c>
      <c r="H25" s="687">
        <v>366064.37365804124</v>
      </c>
      <c r="I25" s="352">
        <v>29917.454141958799</v>
      </c>
      <c r="J25"/>
    </row>
    <row r="26" spans="2:10" ht="16">
      <c r="B26" s="355" t="s">
        <v>981</v>
      </c>
      <c r="C26" s="686">
        <v>28082.73</v>
      </c>
      <c r="D26" s="687">
        <v>659944.16</v>
      </c>
      <c r="E26" s="686">
        <v>478743.87</v>
      </c>
      <c r="F26" s="686">
        <v>181200.29000000007</v>
      </c>
      <c r="G26" s="686">
        <v>13107678.917088</v>
      </c>
      <c r="H26" s="687">
        <v>11015998.143428314</v>
      </c>
      <c r="I26" s="352">
        <v>2091680.773659687</v>
      </c>
      <c r="J26"/>
    </row>
    <row r="27" spans="2:10" ht="16">
      <c r="B27" s="357" t="s">
        <v>1267</v>
      </c>
      <c r="C27" s="688">
        <v>49501.642</v>
      </c>
      <c r="D27" s="689">
        <v>1415953.81</v>
      </c>
      <c r="E27" s="688">
        <v>1114830.3799999999</v>
      </c>
      <c r="F27" s="688">
        <v>301123.43000000005</v>
      </c>
      <c r="G27" s="688">
        <v>28111850.883152001</v>
      </c>
      <c r="H27" s="689">
        <v>24743107.276331946</v>
      </c>
      <c r="I27" s="358">
        <v>3368743.606820053</v>
      </c>
      <c r="J27"/>
    </row>
    <row r="28" spans="2:10" ht="16">
      <c r="B28" s="356"/>
      <c r="C28" s="686"/>
      <c r="D28" s="687"/>
      <c r="E28" s="686"/>
      <c r="F28" s="686"/>
      <c r="G28" s="686"/>
      <c r="H28" s="687"/>
      <c r="I28" s="352"/>
      <c r="J28"/>
    </row>
    <row r="29" spans="2:10" ht="16">
      <c r="B29" s="354" t="s">
        <v>1260</v>
      </c>
      <c r="C29" s="686"/>
      <c r="D29" s="687"/>
      <c r="E29" s="686"/>
      <c r="F29" s="686"/>
      <c r="G29" s="686"/>
      <c r="H29" s="687"/>
      <c r="I29" s="352"/>
      <c r="J29"/>
    </row>
    <row r="30" spans="2:10" ht="16">
      <c r="B30" s="355" t="s">
        <v>824</v>
      </c>
      <c r="C30" s="686">
        <v>19187.915000000001</v>
      </c>
      <c r="D30" s="687">
        <v>2372771.5699999998</v>
      </c>
      <c r="E30" s="686">
        <v>2500000</v>
      </c>
      <c r="F30" s="686">
        <v>-127228.43000000017</v>
      </c>
      <c r="G30" s="686">
        <v>48338102.424039997</v>
      </c>
      <c r="H30" s="687">
        <v>52536792</v>
      </c>
      <c r="I30" s="352">
        <v>-4198689.5759600028</v>
      </c>
      <c r="J30"/>
    </row>
    <row r="31" spans="2:10" ht="16">
      <c r="B31" s="357" t="s">
        <v>1262</v>
      </c>
      <c r="C31" s="688">
        <v>19187.915000000001</v>
      </c>
      <c r="D31" s="689">
        <v>2372771.5699999998</v>
      </c>
      <c r="E31" s="688">
        <v>2500000</v>
      </c>
      <c r="F31" s="688">
        <v>-127228.43000000017</v>
      </c>
      <c r="G31" s="688">
        <v>48338102.424039997</v>
      </c>
      <c r="H31" s="689">
        <v>52536792</v>
      </c>
      <c r="I31" s="358">
        <v>-4198689.5759600028</v>
      </c>
      <c r="J31"/>
    </row>
    <row r="32" spans="2:10" ht="16">
      <c r="B32" s="356"/>
      <c r="C32" s="686"/>
      <c r="D32" s="687"/>
      <c r="E32" s="686"/>
      <c r="F32" s="686"/>
      <c r="G32" s="686"/>
      <c r="H32" s="687"/>
      <c r="I32" s="352"/>
      <c r="J32"/>
    </row>
    <row r="33" spans="2:10" ht="16">
      <c r="B33" s="354" t="s">
        <v>1263</v>
      </c>
      <c r="C33" s="686"/>
      <c r="D33" s="687"/>
      <c r="E33" s="686"/>
      <c r="F33" s="686"/>
      <c r="G33" s="686"/>
      <c r="H33" s="687"/>
      <c r="I33" s="352"/>
      <c r="J33"/>
    </row>
    <row r="34" spans="2:10" ht="16">
      <c r="B34" s="355" t="s">
        <v>792</v>
      </c>
      <c r="C34" s="686">
        <v>39200</v>
      </c>
      <c r="D34" s="687">
        <v>797341.1</v>
      </c>
      <c r="E34" s="686">
        <v>838378.24</v>
      </c>
      <c r="F34" s="686">
        <v>-41037.140000000014</v>
      </c>
      <c r="G34" s="686">
        <v>15625094.866149999</v>
      </c>
      <c r="H34" s="687">
        <v>17621114.332631044</v>
      </c>
      <c r="I34" s="352">
        <v>-1996019.4664810449</v>
      </c>
      <c r="J34"/>
    </row>
    <row r="35" spans="2:10" ht="16">
      <c r="B35" s="357" t="s">
        <v>1265</v>
      </c>
      <c r="C35" s="688">
        <v>39200</v>
      </c>
      <c r="D35" s="689">
        <v>797341.1</v>
      </c>
      <c r="E35" s="688">
        <v>838378.24</v>
      </c>
      <c r="F35" s="688">
        <v>-41037.140000000014</v>
      </c>
      <c r="G35" s="688">
        <v>15625094.866149999</v>
      </c>
      <c r="H35" s="689">
        <v>17621114.332631044</v>
      </c>
      <c r="I35" s="358">
        <v>-1996019.4664810449</v>
      </c>
      <c r="J35"/>
    </row>
    <row r="36" spans="2:10" ht="16">
      <c r="B36" s="356"/>
      <c r="C36" s="686"/>
      <c r="D36" s="687"/>
      <c r="E36" s="686"/>
      <c r="F36" s="686"/>
      <c r="G36" s="686"/>
      <c r="H36" s="687"/>
      <c r="I36" s="352"/>
      <c r="J36"/>
    </row>
    <row r="37" spans="2:10" ht="16">
      <c r="B37" s="354" t="s">
        <v>1256</v>
      </c>
      <c r="C37" s="686"/>
      <c r="D37" s="687"/>
      <c r="E37" s="686"/>
      <c r="F37" s="686"/>
      <c r="G37" s="686"/>
      <c r="H37" s="687"/>
      <c r="I37" s="352"/>
      <c r="J37"/>
    </row>
    <row r="38" spans="2:10" ht="16">
      <c r="B38" s="355" t="s">
        <v>956</v>
      </c>
      <c r="C38" s="686">
        <v>6760</v>
      </c>
      <c r="D38" s="687">
        <v>19172.96</v>
      </c>
      <c r="E38" s="686">
        <v>152417.98000000001</v>
      </c>
      <c r="F38" s="686">
        <v>-133245.02000000002</v>
      </c>
      <c r="G38" s="686">
        <v>387211.34827199997</v>
      </c>
      <c r="H38" s="687">
        <v>3333767.6162304571</v>
      </c>
      <c r="I38" s="352">
        <v>-2946556.2679584571</v>
      </c>
      <c r="J38"/>
    </row>
    <row r="39" spans="2:10" ht="16">
      <c r="B39" s="357" t="s">
        <v>1259</v>
      </c>
      <c r="C39" s="688">
        <v>6760</v>
      </c>
      <c r="D39" s="689">
        <v>19172.96</v>
      </c>
      <c r="E39" s="688">
        <v>152417.98000000001</v>
      </c>
      <c r="F39" s="688">
        <v>-133245.02000000002</v>
      </c>
      <c r="G39" s="688">
        <v>387211.34827199997</v>
      </c>
      <c r="H39" s="689">
        <v>3333767.6162304571</v>
      </c>
      <c r="I39" s="358">
        <v>-2946556.2679584571</v>
      </c>
      <c r="J39"/>
    </row>
    <row r="40" spans="2:10" ht="16">
      <c r="B40" s="356"/>
      <c r="C40" s="686"/>
      <c r="D40" s="687"/>
      <c r="E40" s="686"/>
      <c r="F40" s="686"/>
      <c r="G40" s="686"/>
      <c r="H40" s="687"/>
      <c r="I40" s="352"/>
      <c r="J40"/>
    </row>
    <row r="41" spans="2:10" ht="16">
      <c r="B41" s="359" t="s">
        <v>1046</v>
      </c>
      <c r="C41" s="690">
        <v>118314.557</v>
      </c>
      <c r="D41" s="691">
        <v>4777242.6599999992</v>
      </c>
      <c r="E41" s="690">
        <v>4857423.058875748</v>
      </c>
      <c r="F41" s="690">
        <v>-80180.398875747196</v>
      </c>
      <c r="G41" s="690">
        <v>95990551.716006994</v>
      </c>
      <c r="H41" s="691">
        <v>103608049.3308042</v>
      </c>
      <c r="I41" s="360">
        <v>-7617497.6147971861</v>
      </c>
      <c r="J41"/>
    </row>
    <row r="42" spans="2:10" ht="16">
      <c r="B42" s="353"/>
      <c r="C42" s="686"/>
      <c r="D42" s="687"/>
      <c r="E42" s="686"/>
      <c r="F42" s="686"/>
      <c r="G42" s="686"/>
      <c r="H42" s="687"/>
      <c r="I42" s="352"/>
      <c r="J42"/>
    </row>
    <row r="43" spans="2:10" ht="16">
      <c r="B43" s="361" t="s">
        <v>1047</v>
      </c>
      <c r="C43" s="694">
        <v>118314.557</v>
      </c>
      <c r="D43" s="695">
        <v>4777242.6599999992</v>
      </c>
      <c r="E43" s="694">
        <v>4857423.058875748</v>
      </c>
      <c r="F43" s="694">
        <v>-80180.398875747196</v>
      </c>
      <c r="G43" s="694">
        <v>95990551.716006994</v>
      </c>
      <c r="H43" s="695">
        <v>103608049.3308042</v>
      </c>
      <c r="I43" s="362">
        <v>-7617497.6147971861</v>
      </c>
      <c r="J43"/>
    </row>
    <row r="44" spans="2:10" ht="16">
      <c r="B44" s="67"/>
      <c r="C44" s="686"/>
      <c r="D44" s="687"/>
      <c r="E44" s="686"/>
      <c r="F44" s="686"/>
      <c r="G44" s="686"/>
      <c r="H44" s="687"/>
      <c r="I44" s="352"/>
      <c r="J44"/>
    </row>
    <row r="45" spans="2:10" ht="16">
      <c r="B45" s="128" t="s">
        <v>61</v>
      </c>
      <c r="C45" s="696">
        <v>118314.557</v>
      </c>
      <c r="D45" s="697">
        <v>4777242.6599999992</v>
      </c>
      <c r="E45" s="696">
        <v>4857423.058875748</v>
      </c>
      <c r="F45" s="696">
        <v>-80180.398875747196</v>
      </c>
      <c r="G45" s="696">
        <v>95990551.716006994</v>
      </c>
      <c r="H45" s="697">
        <v>103608049.3308042</v>
      </c>
      <c r="I45" s="129">
        <v>-7617497.6147971861</v>
      </c>
      <c r="J45"/>
    </row>
    <row r="46" spans="2:10" ht="16">
      <c r="B46"/>
      <c r="C46"/>
      <c r="D46"/>
      <c r="E46"/>
      <c r="F46"/>
      <c r="G46"/>
      <c r="H46"/>
      <c r="I46"/>
      <c r="J46"/>
    </row>
    <row r="47" spans="2:10" ht="16">
      <c r="B47"/>
      <c r="C47"/>
      <c r="D47"/>
      <c r="E47"/>
      <c r="F47"/>
      <c r="G47"/>
      <c r="H47"/>
      <c r="I47"/>
      <c r="J47"/>
    </row>
    <row r="48" spans="2:10" ht="16">
      <c r="B48"/>
      <c r="C48"/>
      <c r="D48"/>
      <c r="E48"/>
      <c r="F48"/>
      <c r="G48"/>
      <c r="H48"/>
      <c r="I48"/>
      <c r="J48"/>
    </row>
    <row r="49" spans="2:10" ht="16">
      <c r="B49"/>
      <c r="C49"/>
      <c r="D49"/>
      <c r="E49"/>
      <c r="F49"/>
      <c r="G49"/>
      <c r="H49"/>
      <c r="I49"/>
      <c r="J49"/>
    </row>
    <row r="50" spans="2:10" ht="16">
      <c r="B50"/>
      <c r="C50"/>
      <c r="D50"/>
      <c r="E50"/>
      <c r="F50"/>
      <c r="G50"/>
      <c r="H50"/>
      <c r="I50"/>
      <c r="J50"/>
    </row>
    <row r="51" spans="2:10" ht="16">
      <c r="B51"/>
      <c r="C51"/>
      <c r="D51"/>
      <c r="E51"/>
      <c r="F51"/>
      <c r="G51"/>
      <c r="H51"/>
      <c r="I51"/>
      <c r="J51"/>
    </row>
    <row r="52" spans="2:10" ht="16">
      <c r="B52"/>
      <c r="C52"/>
      <c r="D52"/>
      <c r="E52"/>
      <c r="F52"/>
      <c r="G52"/>
      <c r="H52"/>
      <c r="I52"/>
      <c r="J52"/>
    </row>
    <row r="53" spans="2:10" ht="16">
      <c r="B53"/>
      <c r="C53"/>
      <c r="D53"/>
      <c r="E53"/>
      <c r="F53"/>
      <c r="G53"/>
      <c r="H53"/>
      <c r="I53"/>
      <c r="J53"/>
    </row>
    <row r="54" spans="2:10" ht="16">
      <c r="B54"/>
      <c r="C54"/>
      <c r="D54"/>
      <c r="E54"/>
      <c r="F54"/>
      <c r="G54"/>
      <c r="H54"/>
      <c r="I54"/>
      <c r="J54"/>
    </row>
    <row r="55" spans="2:10" ht="16">
      <c r="B55"/>
      <c r="C55"/>
      <c r="D55"/>
      <c r="E55"/>
      <c r="F55"/>
      <c r="G55"/>
      <c r="H55"/>
      <c r="I55"/>
      <c r="J55"/>
    </row>
    <row r="56" spans="2:10" ht="16">
      <c r="B56"/>
      <c r="C56"/>
      <c r="D56"/>
      <c r="E56"/>
      <c r="F56"/>
      <c r="G56"/>
      <c r="H56"/>
      <c r="I56"/>
      <c r="J56"/>
    </row>
    <row r="57" spans="2:10" ht="16">
      <c r="B57"/>
      <c r="C57"/>
      <c r="D57"/>
      <c r="E57"/>
      <c r="F57"/>
      <c r="G57"/>
      <c r="H57"/>
      <c r="I57"/>
      <c r="J57"/>
    </row>
    <row r="58" spans="2:10" ht="16">
      <c r="B58"/>
      <c r="C58"/>
      <c r="D58"/>
      <c r="E58"/>
      <c r="F58"/>
      <c r="G58"/>
      <c r="H58"/>
      <c r="I58"/>
      <c r="J58"/>
    </row>
    <row r="59" spans="2:10" ht="16">
      <c r="B59"/>
      <c r="C59"/>
      <c r="D59"/>
      <c r="E59"/>
      <c r="F59"/>
      <c r="G59"/>
      <c r="H59"/>
      <c r="I59"/>
      <c r="J59"/>
    </row>
    <row r="60" spans="2:10" ht="16">
      <c r="B60"/>
      <c r="C60"/>
      <c r="D60"/>
      <c r="E60"/>
      <c r="F60"/>
      <c r="G60"/>
      <c r="H60"/>
      <c r="I60"/>
      <c r="J60"/>
    </row>
    <row r="61" spans="2:10" ht="16">
      <c r="B61"/>
      <c r="C61"/>
      <c r="D61"/>
      <c r="E61"/>
      <c r="F61"/>
      <c r="G61"/>
      <c r="H61"/>
      <c r="I61"/>
      <c r="J61"/>
    </row>
    <row r="62" spans="2:10" ht="16">
      <c r="B62"/>
      <c r="C62"/>
      <c r="D62"/>
      <c r="E62"/>
      <c r="F62"/>
      <c r="G62"/>
      <c r="H62"/>
      <c r="I62"/>
      <c r="J62"/>
    </row>
    <row r="63" spans="2:10" ht="16">
      <c r="B63"/>
      <c r="C63"/>
      <c r="D63"/>
      <c r="E63"/>
      <c r="F63"/>
      <c r="G63"/>
      <c r="H63"/>
      <c r="I63"/>
      <c r="J63"/>
    </row>
    <row r="64" spans="2:10" ht="16">
      <c r="B64"/>
      <c r="C64"/>
      <c r="D64"/>
      <c r="E64"/>
      <c r="F64"/>
      <c r="G64"/>
      <c r="H64"/>
      <c r="I64"/>
      <c r="J64"/>
    </row>
    <row r="65" spans="2:10" ht="16">
      <c r="B65"/>
      <c r="C65"/>
      <c r="D65"/>
      <c r="E65"/>
      <c r="F65"/>
      <c r="G65"/>
      <c r="H65"/>
      <c r="I65"/>
      <c r="J65"/>
    </row>
    <row r="66" spans="2:10" ht="16">
      <c r="B66"/>
      <c r="C66"/>
      <c r="D66"/>
      <c r="E66"/>
      <c r="F66"/>
      <c r="G66"/>
      <c r="H66"/>
      <c r="I66"/>
      <c r="J66"/>
    </row>
    <row r="67" spans="2:10" ht="16">
      <c r="B67"/>
      <c r="C67"/>
      <c r="D67"/>
      <c r="E67"/>
      <c r="F67"/>
      <c r="G67"/>
      <c r="H67"/>
      <c r="I67"/>
      <c r="J67"/>
    </row>
    <row r="68" spans="2:10" ht="16">
      <c r="B68"/>
      <c r="C68"/>
      <c r="D68"/>
      <c r="E68"/>
      <c r="F68"/>
      <c r="G68"/>
      <c r="H68"/>
      <c r="I68"/>
      <c r="J68"/>
    </row>
    <row r="69" spans="2:10" ht="16">
      <c r="B69"/>
      <c r="C69"/>
      <c r="D69"/>
      <c r="E69"/>
      <c r="F69"/>
      <c r="G69"/>
      <c r="H69"/>
      <c r="I69"/>
      <c r="J69"/>
    </row>
    <row r="70" spans="2:10" ht="16">
      <c r="B70"/>
      <c r="C70"/>
      <c r="D70"/>
      <c r="E70"/>
      <c r="F70"/>
      <c r="G70"/>
      <c r="H70"/>
      <c r="I70"/>
      <c r="J70"/>
    </row>
    <row r="71" spans="2:10" ht="16">
      <c r="B71"/>
      <c r="C71"/>
      <c r="D71"/>
      <c r="E71"/>
      <c r="F71"/>
      <c r="G71"/>
      <c r="H71"/>
      <c r="I71"/>
      <c r="J71"/>
    </row>
    <row r="72" spans="2:10" ht="16">
      <c r="B72"/>
      <c r="C72"/>
      <c r="D72"/>
      <c r="E72"/>
      <c r="F72"/>
      <c r="G72"/>
      <c r="H72"/>
      <c r="I72"/>
      <c r="J72"/>
    </row>
    <row r="73" spans="2:10" ht="16">
      <c r="B73"/>
      <c r="C73"/>
      <c r="D73"/>
      <c r="E73"/>
      <c r="F73"/>
      <c r="G73"/>
      <c r="H73"/>
      <c r="I73"/>
      <c r="J73"/>
    </row>
    <row r="74" spans="2:10" ht="16">
      <c r="B74"/>
      <c r="C74"/>
      <c r="D74"/>
      <c r="E74"/>
      <c r="F74"/>
      <c r="G74"/>
      <c r="H74"/>
      <c r="I74"/>
      <c r="J74"/>
    </row>
    <row r="75" spans="2:10" ht="16">
      <c r="B75"/>
      <c r="C75"/>
      <c r="D75"/>
      <c r="E75"/>
      <c r="F75"/>
      <c r="G75"/>
      <c r="H75"/>
      <c r="I75"/>
      <c r="J75"/>
    </row>
    <row r="76" spans="2:10" ht="16">
      <c r="B76"/>
      <c r="C76"/>
      <c r="D76"/>
      <c r="E76"/>
      <c r="F76"/>
      <c r="G76"/>
      <c r="H76"/>
      <c r="I76"/>
      <c r="J76"/>
    </row>
    <row r="77" spans="2:10" ht="16">
      <c r="B77"/>
      <c r="C77"/>
      <c r="D77"/>
      <c r="E77"/>
      <c r="F77"/>
      <c r="G77"/>
      <c r="H77"/>
      <c r="I77"/>
      <c r="J77"/>
    </row>
    <row r="78" spans="2:10" ht="16">
      <c r="B78"/>
      <c r="C78"/>
      <c r="D78"/>
      <c r="E78"/>
      <c r="F78"/>
      <c r="G78"/>
      <c r="H78"/>
      <c r="I78"/>
      <c r="J78"/>
    </row>
    <row r="79" spans="2:10" ht="16">
      <c r="B79"/>
      <c r="C79"/>
      <c r="D79"/>
      <c r="E79"/>
      <c r="F79"/>
      <c r="G79"/>
      <c r="H79"/>
      <c r="I79"/>
      <c r="J79"/>
    </row>
    <row r="80" spans="2:10" ht="20" customHeight="1">
      <c r="B80"/>
      <c r="C80"/>
      <c r="D80"/>
      <c r="E80"/>
      <c r="F80"/>
      <c r="G80"/>
      <c r="H80"/>
      <c r="I80"/>
    </row>
    <row r="81" spans="2:9" ht="20" customHeight="1">
      <c r="B81"/>
      <c r="C81"/>
      <c r="D81"/>
      <c r="E81"/>
      <c r="F81"/>
      <c r="G81"/>
      <c r="H81"/>
      <c r="I81"/>
    </row>
    <row r="82" spans="2:9" ht="20" customHeight="1">
      <c r="B82"/>
      <c r="C82"/>
      <c r="D82"/>
      <c r="E82"/>
      <c r="F82"/>
      <c r="G82"/>
      <c r="H82"/>
      <c r="I82"/>
    </row>
    <row r="83" spans="2:9" ht="20" customHeight="1">
      <c r="B83"/>
      <c r="C83"/>
      <c r="D83"/>
      <c r="E83"/>
      <c r="F83"/>
      <c r="G83"/>
      <c r="H83"/>
      <c r="I83"/>
    </row>
    <row r="84" spans="2:9" ht="20" customHeight="1">
      <c r="B84"/>
      <c r="C84"/>
      <c r="D84"/>
      <c r="E84"/>
      <c r="F84"/>
      <c r="G84"/>
      <c r="H84"/>
      <c r="I84"/>
    </row>
    <row r="85" spans="2:9" ht="20" customHeight="1">
      <c r="B85"/>
      <c r="C85"/>
      <c r="D85"/>
      <c r="E85"/>
      <c r="F85"/>
      <c r="G85"/>
      <c r="H85"/>
      <c r="I85"/>
    </row>
    <row r="86" spans="2:9" ht="20" customHeight="1">
      <c r="B86"/>
      <c r="C86"/>
      <c r="D86"/>
      <c r="E86"/>
      <c r="F86"/>
      <c r="G86"/>
      <c r="H86"/>
      <c r="I86"/>
    </row>
    <row r="87" spans="2:9" ht="20" customHeight="1">
      <c r="B87"/>
      <c r="C87"/>
      <c r="D87"/>
      <c r="E87"/>
      <c r="F87"/>
      <c r="G87"/>
      <c r="H87"/>
      <c r="I87"/>
    </row>
    <row r="88" spans="2:9" ht="20" customHeight="1">
      <c r="B88"/>
      <c r="C88"/>
      <c r="D88"/>
      <c r="E88"/>
      <c r="F88"/>
      <c r="G88"/>
      <c r="H88"/>
      <c r="I88"/>
    </row>
    <row r="89" spans="2:9" ht="20" customHeight="1">
      <c r="B89"/>
      <c r="C89"/>
      <c r="D89"/>
      <c r="E89"/>
      <c r="F89"/>
      <c r="G89"/>
      <c r="H89"/>
      <c r="I89"/>
    </row>
    <row r="90" spans="2:9" ht="20" customHeight="1">
      <c r="B90"/>
      <c r="C90"/>
      <c r="D90"/>
      <c r="E90"/>
      <c r="F90"/>
      <c r="G90"/>
      <c r="H90"/>
      <c r="I90"/>
    </row>
    <row r="91" spans="2:9" ht="20" customHeight="1">
      <c r="B91"/>
      <c r="C91"/>
      <c r="D91"/>
      <c r="E91"/>
      <c r="F91"/>
      <c r="G91"/>
      <c r="H91"/>
      <c r="I91"/>
    </row>
    <row r="92" spans="2:9" ht="20" customHeight="1">
      <c r="B92"/>
      <c r="C92"/>
      <c r="D92"/>
      <c r="E92"/>
      <c r="F92"/>
      <c r="G92"/>
      <c r="H92"/>
      <c r="I92"/>
    </row>
    <row r="93" spans="2:9" ht="20" customHeight="1">
      <c r="B93"/>
      <c r="C93"/>
      <c r="D93"/>
      <c r="E93"/>
      <c r="F93"/>
      <c r="G93"/>
      <c r="H93"/>
      <c r="I93"/>
    </row>
    <row r="94" spans="2:9" ht="20" customHeight="1">
      <c r="B94"/>
      <c r="C94"/>
      <c r="D94"/>
      <c r="E94"/>
      <c r="F94"/>
      <c r="G94"/>
      <c r="H94"/>
      <c r="I94"/>
    </row>
    <row r="95" spans="2:9" ht="20" customHeight="1">
      <c r="B95"/>
      <c r="C95"/>
      <c r="D95"/>
      <c r="E95"/>
      <c r="F95"/>
      <c r="G95"/>
      <c r="H95"/>
      <c r="I95"/>
    </row>
    <row r="96" spans="2:9" ht="20" customHeight="1">
      <c r="B96"/>
      <c r="C96"/>
      <c r="D96"/>
      <c r="E96"/>
      <c r="F96"/>
      <c r="G96"/>
      <c r="H96"/>
      <c r="I96"/>
    </row>
    <row r="97" spans="2:9" ht="20" customHeight="1">
      <c r="B97"/>
      <c r="C97"/>
      <c r="D97"/>
      <c r="E97"/>
      <c r="F97"/>
      <c r="G97"/>
      <c r="H97"/>
      <c r="I97"/>
    </row>
    <row r="98" spans="2:9" ht="20" customHeight="1">
      <c r="B98"/>
      <c r="C98"/>
      <c r="D98"/>
      <c r="E98"/>
      <c r="F98"/>
      <c r="G98"/>
      <c r="H98"/>
      <c r="I98"/>
    </row>
    <row r="99" spans="2:9" ht="20" customHeight="1">
      <c r="B99"/>
      <c r="C99"/>
      <c r="D99"/>
      <c r="E99"/>
      <c r="F99"/>
      <c r="G99"/>
      <c r="H99"/>
      <c r="I99"/>
    </row>
    <row r="100" spans="2:9" ht="20" customHeight="1">
      <c r="B100"/>
      <c r="C100"/>
      <c r="D100"/>
      <c r="E100"/>
      <c r="F100"/>
      <c r="G100"/>
      <c r="H100"/>
      <c r="I100"/>
    </row>
    <row r="101" spans="2:9" ht="20" customHeight="1">
      <c r="B101"/>
      <c r="C101"/>
      <c r="D101"/>
      <c r="E101"/>
      <c r="F101"/>
      <c r="G101"/>
      <c r="H101"/>
      <c r="I101"/>
    </row>
    <row r="102" spans="2:9" ht="20" customHeight="1">
      <c r="B102"/>
      <c r="C102"/>
      <c r="D102"/>
      <c r="E102"/>
      <c r="F102"/>
      <c r="G102"/>
      <c r="H102"/>
      <c r="I102"/>
    </row>
    <row r="103" spans="2:9" ht="20" customHeight="1">
      <c r="B103"/>
      <c r="C103"/>
      <c r="D103"/>
      <c r="E103"/>
      <c r="F103"/>
      <c r="G103"/>
      <c r="H103"/>
      <c r="I103"/>
    </row>
    <row r="104" spans="2:9" ht="20" customHeight="1">
      <c r="B104"/>
      <c r="C104"/>
      <c r="D104"/>
      <c r="E104"/>
      <c r="F104"/>
      <c r="G104"/>
      <c r="H104"/>
      <c r="I104"/>
    </row>
    <row r="105" spans="2:9" ht="20" customHeight="1">
      <c r="B105"/>
      <c r="C105"/>
      <c r="D105"/>
      <c r="E105"/>
      <c r="F105"/>
      <c r="G105"/>
      <c r="H105"/>
      <c r="I105"/>
    </row>
    <row r="106" spans="2:9" ht="20" customHeight="1">
      <c r="B106"/>
      <c r="C106"/>
      <c r="D106"/>
      <c r="E106"/>
      <c r="F106"/>
      <c r="G106"/>
      <c r="H106"/>
      <c r="I106"/>
    </row>
    <row r="107" spans="2:9" ht="20" customHeight="1">
      <c r="B107"/>
      <c r="C107"/>
      <c r="D107"/>
      <c r="E107"/>
      <c r="F107"/>
      <c r="G107"/>
      <c r="H107"/>
      <c r="I107"/>
    </row>
    <row r="108" spans="2:9" ht="20" customHeight="1">
      <c r="B108"/>
      <c r="C108"/>
      <c r="D108"/>
      <c r="E108"/>
      <c r="F108"/>
      <c r="G108"/>
      <c r="H108"/>
      <c r="I108"/>
    </row>
    <row r="109" spans="2:9" ht="20" customHeight="1">
      <c r="B109"/>
      <c r="C109"/>
      <c r="D109"/>
      <c r="E109"/>
      <c r="F109"/>
      <c r="G109"/>
      <c r="H109"/>
      <c r="I109"/>
    </row>
    <row r="110" spans="2:9" ht="20" customHeight="1">
      <c r="B110"/>
      <c r="C110"/>
      <c r="D110"/>
      <c r="E110"/>
      <c r="F110"/>
      <c r="G110"/>
      <c r="H110"/>
      <c r="I110"/>
    </row>
    <row r="111" spans="2:9" ht="20" customHeight="1">
      <c r="B111"/>
      <c r="C111"/>
      <c r="D111"/>
      <c r="E111"/>
      <c r="F111"/>
      <c r="G111"/>
      <c r="H111"/>
      <c r="I111"/>
    </row>
    <row r="112" spans="2:9" ht="20" customHeight="1">
      <c r="B112"/>
      <c r="C112"/>
      <c r="D112"/>
      <c r="E112"/>
      <c r="F112"/>
      <c r="G112"/>
      <c r="H112"/>
      <c r="I112"/>
    </row>
    <row r="113" spans="2:9" ht="20" customHeight="1">
      <c r="B113"/>
      <c r="C113"/>
      <c r="D113"/>
      <c r="E113"/>
      <c r="F113"/>
      <c r="G113"/>
      <c r="H113"/>
      <c r="I113"/>
    </row>
    <row r="114" spans="2:9" ht="20" customHeight="1">
      <c r="B114"/>
      <c r="C114"/>
      <c r="D114"/>
      <c r="E114"/>
      <c r="F114"/>
      <c r="G114"/>
      <c r="H114"/>
      <c r="I114"/>
    </row>
    <row r="115" spans="2:9" ht="20" customHeight="1">
      <c r="B115"/>
      <c r="C115"/>
      <c r="D115"/>
      <c r="E115"/>
      <c r="F115"/>
      <c r="G115"/>
      <c r="H115"/>
      <c r="I115"/>
    </row>
    <row r="116" spans="2:9" ht="20" customHeight="1">
      <c r="B116"/>
      <c r="C116"/>
      <c r="D116"/>
      <c r="E116"/>
      <c r="F116"/>
      <c r="G116"/>
      <c r="H116"/>
      <c r="I116"/>
    </row>
    <row r="117" spans="2:9" ht="20" customHeight="1">
      <c r="B117"/>
      <c r="C117"/>
      <c r="D117"/>
      <c r="E117"/>
      <c r="F117"/>
      <c r="G117"/>
      <c r="H117"/>
      <c r="I117"/>
    </row>
    <row r="118" spans="2:9" ht="20" customHeight="1">
      <c r="B118"/>
      <c r="C118"/>
      <c r="D118"/>
      <c r="E118"/>
      <c r="F118"/>
      <c r="G118"/>
      <c r="H118"/>
      <c r="I118"/>
    </row>
    <row r="119" spans="2:9" ht="20" customHeight="1">
      <c r="B119"/>
      <c r="C119"/>
      <c r="D119"/>
      <c r="E119"/>
      <c r="F119"/>
      <c r="G119"/>
      <c r="H119"/>
      <c r="I119"/>
    </row>
    <row r="120" spans="2:9" ht="20" customHeight="1">
      <c r="B120"/>
      <c r="C120"/>
      <c r="D120"/>
      <c r="E120"/>
      <c r="F120"/>
      <c r="G120"/>
      <c r="H120"/>
      <c r="I120"/>
    </row>
    <row r="121" spans="2:9" ht="20" customHeight="1">
      <c r="B121"/>
      <c r="C121"/>
      <c r="D121"/>
      <c r="E121"/>
      <c r="F121"/>
      <c r="G121"/>
      <c r="H121"/>
      <c r="I121"/>
    </row>
    <row r="122" spans="2:9" ht="20" customHeight="1">
      <c r="B122"/>
      <c r="C122"/>
      <c r="D122"/>
      <c r="E122"/>
      <c r="F122"/>
      <c r="G122"/>
      <c r="H122"/>
      <c r="I122"/>
    </row>
    <row r="123" spans="2:9" ht="20" customHeight="1">
      <c r="B123"/>
      <c r="C123"/>
      <c r="D123"/>
      <c r="E123"/>
      <c r="F123"/>
      <c r="G123"/>
      <c r="H123"/>
      <c r="I123"/>
    </row>
    <row r="124" spans="2:9" ht="20" customHeight="1">
      <c r="B124"/>
      <c r="C124"/>
      <c r="D124"/>
      <c r="E124"/>
      <c r="F124"/>
      <c r="G124"/>
      <c r="H124"/>
      <c r="I124"/>
    </row>
    <row r="125" spans="2:9" ht="20" customHeight="1">
      <c r="B125"/>
      <c r="C125"/>
      <c r="D125"/>
      <c r="E125"/>
      <c r="F125"/>
      <c r="G125"/>
      <c r="H125"/>
      <c r="I125"/>
    </row>
    <row r="126" spans="2:9" ht="20" customHeight="1">
      <c r="B126"/>
      <c r="C126"/>
      <c r="D126"/>
      <c r="E126"/>
      <c r="F126"/>
      <c r="G126"/>
      <c r="H126"/>
      <c r="I126"/>
    </row>
    <row r="127" spans="2:9" ht="20" customHeight="1">
      <c r="B127"/>
      <c r="C127"/>
      <c r="D127"/>
      <c r="E127"/>
      <c r="F127"/>
      <c r="G127"/>
      <c r="H127"/>
      <c r="I127"/>
    </row>
    <row r="128" spans="2:9" ht="20" customHeight="1">
      <c r="B128"/>
      <c r="C128"/>
      <c r="D128"/>
      <c r="E128"/>
      <c r="F128"/>
      <c r="G128"/>
      <c r="H128"/>
      <c r="I128"/>
    </row>
    <row r="129" spans="2:9" ht="20" customHeight="1">
      <c r="B129"/>
      <c r="C129"/>
      <c r="D129"/>
      <c r="E129"/>
      <c r="F129"/>
      <c r="G129"/>
      <c r="H129"/>
      <c r="I129"/>
    </row>
    <row r="130" spans="2:9" ht="20" customHeight="1">
      <c r="B130"/>
      <c r="C130"/>
      <c r="D130"/>
      <c r="E130"/>
      <c r="F130"/>
      <c r="G130"/>
      <c r="H130"/>
      <c r="I130"/>
    </row>
    <row r="131" spans="2:9" ht="20" customHeight="1">
      <c r="B131"/>
      <c r="C131"/>
      <c r="D131"/>
      <c r="E131"/>
      <c r="F131"/>
      <c r="G131"/>
      <c r="H131"/>
      <c r="I131"/>
    </row>
    <row r="132" spans="2:9" ht="20" customHeight="1">
      <c r="B132"/>
      <c r="C132"/>
      <c r="D132"/>
      <c r="E132"/>
      <c r="F132"/>
      <c r="G132"/>
      <c r="H132"/>
      <c r="I132"/>
    </row>
    <row r="133" spans="2:9" ht="20" customHeight="1">
      <c r="B133"/>
      <c r="C133"/>
      <c r="D133"/>
      <c r="E133"/>
      <c r="F133"/>
      <c r="G133"/>
      <c r="H133"/>
      <c r="I133"/>
    </row>
    <row r="134" spans="2:9" ht="20" customHeight="1">
      <c r="B134"/>
      <c r="C134"/>
      <c r="D134"/>
      <c r="E134"/>
      <c r="F134"/>
      <c r="G134"/>
      <c r="H134"/>
      <c r="I134"/>
    </row>
    <row r="135" spans="2:9" ht="20" customHeight="1">
      <c r="B135"/>
      <c r="C135"/>
      <c r="D135"/>
      <c r="E135"/>
      <c r="F135"/>
      <c r="G135"/>
      <c r="H135"/>
      <c r="I135"/>
    </row>
    <row r="136" spans="2:9" ht="20" customHeight="1">
      <c r="B136"/>
      <c r="C136"/>
      <c r="D136"/>
      <c r="E136"/>
      <c r="F136"/>
      <c r="G136"/>
      <c r="H136"/>
      <c r="I136"/>
    </row>
    <row r="137" spans="2:9" ht="20" customHeight="1">
      <c r="B137"/>
      <c r="C137"/>
      <c r="D137"/>
      <c r="E137"/>
      <c r="F137"/>
      <c r="G137"/>
      <c r="H137"/>
      <c r="I137"/>
    </row>
    <row r="138" spans="2:9" ht="20" customHeight="1">
      <c r="B138"/>
      <c r="C138"/>
      <c r="D138"/>
      <c r="E138"/>
      <c r="F138"/>
      <c r="G138"/>
      <c r="H138"/>
      <c r="I138"/>
    </row>
    <row r="139" spans="2:9" ht="20" customHeight="1">
      <c r="B139"/>
      <c r="C139"/>
      <c r="D139"/>
      <c r="E139"/>
      <c r="F139"/>
      <c r="G139"/>
      <c r="H139"/>
      <c r="I139"/>
    </row>
    <row r="140" spans="2:9" ht="20" customHeight="1">
      <c r="B140"/>
      <c r="C140"/>
      <c r="D140"/>
      <c r="E140"/>
      <c r="F140"/>
      <c r="G140"/>
      <c r="H140"/>
      <c r="I140"/>
    </row>
    <row r="141" spans="2:9" ht="20" customHeight="1">
      <c r="B141"/>
      <c r="C141"/>
      <c r="D141"/>
      <c r="E141"/>
      <c r="F141"/>
      <c r="G141"/>
      <c r="H141"/>
      <c r="I141"/>
    </row>
    <row r="142" spans="2:9" ht="20" customHeight="1">
      <c r="B142"/>
      <c r="C142"/>
      <c r="D142"/>
      <c r="E142"/>
      <c r="F142"/>
      <c r="G142"/>
      <c r="H142"/>
      <c r="I142"/>
    </row>
    <row r="143" spans="2:9" ht="20" customHeight="1">
      <c r="B143"/>
      <c r="C143"/>
      <c r="D143"/>
      <c r="E143"/>
      <c r="F143"/>
      <c r="G143"/>
      <c r="H143"/>
      <c r="I143"/>
    </row>
    <row r="144" spans="2:9" ht="20" customHeight="1">
      <c r="B144"/>
      <c r="C144"/>
      <c r="D144"/>
      <c r="E144"/>
      <c r="F144"/>
      <c r="G144"/>
      <c r="H144"/>
      <c r="I144"/>
    </row>
    <row r="145" spans="2:9" ht="20" customHeight="1">
      <c r="B145"/>
      <c r="C145"/>
      <c r="D145"/>
      <c r="E145"/>
      <c r="F145"/>
      <c r="G145"/>
      <c r="H145"/>
      <c r="I145"/>
    </row>
    <row r="146" spans="2:9" ht="20" customHeight="1">
      <c r="B146"/>
      <c r="C146"/>
      <c r="D146"/>
      <c r="E146"/>
      <c r="F146"/>
      <c r="G146"/>
      <c r="H146"/>
      <c r="I146"/>
    </row>
    <row r="147" spans="2:9" ht="20" customHeight="1">
      <c r="B147"/>
      <c r="C147"/>
      <c r="D147"/>
      <c r="E147"/>
      <c r="F147"/>
      <c r="G147"/>
      <c r="H147"/>
      <c r="I147"/>
    </row>
    <row r="148" spans="2:9" ht="20" customHeight="1">
      <c r="B148"/>
      <c r="C148"/>
      <c r="D148"/>
      <c r="E148"/>
      <c r="F148"/>
      <c r="G148"/>
      <c r="H148"/>
      <c r="I148"/>
    </row>
    <row r="149" spans="2:9" ht="20" customHeight="1">
      <c r="B149"/>
      <c r="C149"/>
      <c r="D149"/>
      <c r="E149"/>
      <c r="F149"/>
      <c r="G149"/>
      <c r="H149"/>
      <c r="I149"/>
    </row>
    <row r="150" spans="2:9" ht="20" customHeight="1">
      <c r="B150"/>
      <c r="C150"/>
      <c r="D150"/>
      <c r="E150"/>
      <c r="F150"/>
      <c r="G150"/>
      <c r="H150"/>
      <c r="I150"/>
    </row>
    <row r="151" spans="2:9" ht="20" customHeight="1">
      <c r="B151"/>
      <c r="C151"/>
      <c r="D151"/>
      <c r="E151"/>
      <c r="F151"/>
      <c r="G151"/>
      <c r="H151"/>
      <c r="I151"/>
    </row>
    <row r="152" spans="2:9" ht="20" customHeight="1">
      <c r="B152"/>
      <c r="C152"/>
      <c r="D152"/>
      <c r="E152"/>
      <c r="F152"/>
      <c r="G152"/>
      <c r="H152"/>
      <c r="I152"/>
    </row>
    <row r="153" spans="2:9" ht="20" customHeight="1">
      <c r="B153"/>
      <c r="C153"/>
      <c r="D153"/>
      <c r="E153"/>
      <c r="F153"/>
      <c r="G153"/>
      <c r="H153"/>
      <c r="I153"/>
    </row>
    <row r="154" spans="2:9" ht="20" customHeight="1">
      <c r="B154"/>
      <c r="C154"/>
      <c r="D154"/>
      <c r="E154"/>
      <c r="F154"/>
      <c r="G154"/>
      <c r="H154"/>
      <c r="I154"/>
    </row>
    <row r="155" spans="2:9" ht="20" customHeight="1">
      <c r="B155"/>
      <c r="C155"/>
      <c r="D155"/>
      <c r="E155"/>
      <c r="F155"/>
      <c r="G155"/>
      <c r="H155"/>
      <c r="I155"/>
    </row>
    <row r="156" spans="2:9" ht="20" customHeight="1">
      <c r="B156"/>
      <c r="C156"/>
      <c r="D156"/>
      <c r="E156"/>
      <c r="F156"/>
      <c r="G156"/>
      <c r="H156"/>
      <c r="I156"/>
    </row>
    <row r="157" spans="2:9" ht="20" customHeight="1">
      <c r="B157"/>
      <c r="C157"/>
      <c r="D157"/>
      <c r="E157"/>
      <c r="F157"/>
      <c r="G157"/>
      <c r="H157"/>
      <c r="I157"/>
    </row>
    <row r="158" spans="2:9" ht="20" customHeight="1">
      <c r="B158"/>
      <c r="C158"/>
      <c r="D158"/>
      <c r="E158"/>
      <c r="F158"/>
      <c r="G158"/>
      <c r="H158"/>
      <c r="I158"/>
    </row>
    <row r="159" spans="2:9" ht="20" customHeight="1">
      <c r="B159"/>
      <c r="C159"/>
      <c r="D159"/>
      <c r="E159"/>
      <c r="F159"/>
      <c r="G159"/>
      <c r="H159"/>
      <c r="I159"/>
    </row>
    <row r="160" spans="2:9" ht="20" customHeight="1">
      <c r="B160"/>
      <c r="C160"/>
      <c r="D160"/>
      <c r="E160"/>
      <c r="F160"/>
      <c r="G160"/>
      <c r="H160"/>
      <c r="I160"/>
    </row>
    <row r="161" spans="2:9" ht="20" customHeight="1">
      <c r="B161"/>
      <c r="C161"/>
      <c r="D161"/>
      <c r="E161"/>
      <c r="F161"/>
      <c r="G161"/>
      <c r="H161"/>
      <c r="I161"/>
    </row>
    <row r="162" spans="2:9" ht="20" customHeight="1">
      <c r="B162"/>
      <c r="C162"/>
      <c r="D162"/>
      <c r="E162"/>
      <c r="F162"/>
      <c r="G162"/>
      <c r="H162"/>
      <c r="I162"/>
    </row>
    <row r="163" spans="2:9" ht="20" customHeight="1">
      <c r="B163"/>
      <c r="C163"/>
      <c r="D163"/>
      <c r="E163"/>
      <c r="F163"/>
      <c r="G163"/>
      <c r="H163"/>
      <c r="I163"/>
    </row>
    <row r="164" spans="2:9" ht="20" customHeight="1">
      <c r="B164"/>
      <c r="C164"/>
      <c r="D164"/>
      <c r="E164"/>
      <c r="F164"/>
      <c r="G164"/>
      <c r="H164"/>
      <c r="I164"/>
    </row>
    <row r="165" spans="2:9" ht="20" customHeight="1">
      <c r="B165"/>
      <c r="C165"/>
      <c r="D165"/>
      <c r="E165"/>
      <c r="F165"/>
      <c r="G165"/>
      <c r="H165"/>
      <c r="I165"/>
    </row>
  </sheetData>
  <sheetProtection formatCells="0" formatColumns="0" formatRows="0"/>
  <mergeCells count="2">
    <mergeCell ref="B3:J3"/>
    <mergeCell ref="B2:I2"/>
  </mergeCells>
  <phoneticPr fontId="8" type="noConversion"/>
  <printOptions horizontalCentered="1"/>
  <pageMargins left="0.70866141732283472" right="0.70866141732283472" top="0.74803149606299213" bottom="0.74803149606299213" header="0.31496062992125984" footer="0.31496062992125984"/>
  <pageSetup scale="57" orientation="landscape" horizontalDpi="1200" verticalDpi="120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7C0AD-313E-7842-BCEA-0FEE93CB8A6B}">
  <sheetPr>
    <pageSetUpPr fitToPage="1"/>
  </sheetPr>
  <dimension ref="B2:J217"/>
  <sheetViews>
    <sheetView view="pageBreakPreview" zoomScaleNormal="100" zoomScaleSheetLayoutView="100" workbookViewId="0">
      <pane ySplit="6" topLeftCell="A202" activePane="bottomLeft" state="frozen"/>
      <selection pane="bottomLeft" activeCell="B5" sqref="B5"/>
    </sheetView>
  </sheetViews>
  <sheetFormatPr baseColWidth="10" defaultColWidth="10.83203125" defaultRowHeight="23" customHeight="1"/>
  <cols>
    <col min="1" max="1" width="10.83203125" style="1"/>
    <col min="2" max="2" width="44.6640625" style="1" bestFit="1" customWidth="1"/>
    <col min="3" max="3" width="11" style="3" bestFit="1" customWidth="1"/>
    <col min="4" max="4" width="15" style="1" bestFit="1" customWidth="1"/>
    <col min="5" max="5" width="16" style="1" bestFit="1" customWidth="1"/>
    <col min="6" max="6" width="13.1640625" style="1" bestFit="1" customWidth="1"/>
    <col min="7" max="8" width="16.5" style="1" bestFit="1" customWidth="1"/>
    <col min="9" max="9" width="15.6640625" style="1" bestFit="1" customWidth="1"/>
    <col min="10" max="10" width="20.6640625" style="1" bestFit="1" customWidth="1"/>
    <col min="11" max="16384" width="10.83203125" style="1"/>
  </cols>
  <sheetData>
    <row r="2" spans="2:10" ht="46" customHeight="1">
      <c r="B2" s="729" t="s">
        <v>465</v>
      </c>
      <c r="C2" s="729"/>
      <c r="D2" s="729"/>
      <c r="E2" s="729"/>
      <c r="F2" s="729"/>
      <c r="G2" s="729"/>
      <c r="H2" s="729"/>
      <c r="I2" s="729"/>
      <c r="J2" s="125"/>
    </row>
    <row r="3" spans="2:10" ht="22" customHeight="1">
      <c r="B3" s="730" t="s">
        <v>456</v>
      </c>
      <c r="C3" s="730"/>
      <c r="D3" s="730"/>
      <c r="E3" s="730"/>
      <c r="F3" s="730"/>
      <c r="G3" s="730"/>
      <c r="H3" s="730"/>
      <c r="I3" s="730"/>
      <c r="J3" s="2"/>
    </row>
    <row r="4" spans="2:10" ht="14" customHeight="1">
      <c r="B4" s="548" t="s">
        <v>462</v>
      </c>
      <c r="C4" s="122" t="s">
        <v>682</v>
      </c>
      <c r="D4" s="24"/>
      <c r="E4" s="123"/>
      <c r="F4" s="123"/>
      <c r="G4" s="123"/>
      <c r="H4" s="123"/>
      <c r="I4" s="123"/>
      <c r="J4" s="26"/>
    </row>
    <row r="5" spans="2:10" ht="45">
      <c r="B5" s="126" t="s">
        <v>169</v>
      </c>
      <c r="C5" s="127" t="s">
        <v>167</v>
      </c>
      <c r="D5" s="127" t="s">
        <v>168</v>
      </c>
      <c r="E5" s="127" t="s">
        <v>311</v>
      </c>
      <c r="F5" s="127" t="s">
        <v>312</v>
      </c>
      <c r="G5" s="127" t="s">
        <v>496</v>
      </c>
      <c r="H5" s="127" t="s">
        <v>313</v>
      </c>
      <c r="I5" s="127" t="s">
        <v>315</v>
      </c>
      <c r="J5"/>
    </row>
    <row r="6" spans="2:10" ht="16">
      <c r="B6" s="685" t="s">
        <v>911</v>
      </c>
      <c r="C6" s="698"/>
      <c r="D6" s="687"/>
      <c r="E6" s="686"/>
      <c r="F6" s="686"/>
      <c r="G6" s="686"/>
      <c r="H6" s="687"/>
      <c r="I6" s="352"/>
      <c r="J6"/>
    </row>
    <row r="7" spans="2:10" ht="16">
      <c r="B7" s="353" t="s">
        <v>113</v>
      </c>
      <c r="C7" s="698"/>
      <c r="D7" s="687"/>
      <c r="E7" s="686"/>
      <c r="F7" s="686"/>
      <c r="G7" s="686"/>
      <c r="H7" s="687"/>
      <c r="I7" s="352"/>
      <c r="J7"/>
    </row>
    <row r="8" spans="2:10" ht="16">
      <c r="B8" s="354" t="s">
        <v>1246</v>
      </c>
      <c r="C8" s="698"/>
      <c r="D8" s="687"/>
      <c r="E8" s="686"/>
      <c r="F8" s="686"/>
      <c r="G8" s="686"/>
      <c r="H8" s="687"/>
      <c r="I8" s="352"/>
      <c r="J8"/>
    </row>
    <row r="9" spans="2:10" ht="16">
      <c r="B9" s="355" t="s">
        <v>908</v>
      </c>
      <c r="C9" s="698">
        <v>1622</v>
      </c>
      <c r="D9" s="687">
        <v>1148087.9610622569</v>
      </c>
      <c r="E9" s="686">
        <v>1329043.0242601407</v>
      </c>
      <c r="F9" s="686">
        <v>-180955.06319788375</v>
      </c>
      <c r="G9" s="686">
        <v>22892975.500787996</v>
      </c>
      <c r="H9" s="687">
        <v>28461524.586237207</v>
      </c>
      <c r="I9" s="352">
        <v>-5568549.0854492094</v>
      </c>
      <c r="J9"/>
    </row>
    <row r="10" spans="2:10" ht="16">
      <c r="B10" s="355" t="s">
        <v>913</v>
      </c>
      <c r="C10" s="698">
        <v>7891</v>
      </c>
      <c r="D10" s="687">
        <v>189132.60164069629</v>
      </c>
      <c r="E10" s="686">
        <v>263786.39390266815</v>
      </c>
      <c r="F10" s="686">
        <v>-74653.79226197183</v>
      </c>
      <c r="G10" s="686">
        <v>3875572.88</v>
      </c>
      <c r="H10" s="687">
        <v>5610195.7927880008</v>
      </c>
      <c r="I10" s="352">
        <v>-1734622.9127880009</v>
      </c>
      <c r="J10"/>
    </row>
    <row r="11" spans="2:10" ht="16">
      <c r="B11" s="355" t="s">
        <v>909</v>
      </c>
      <c r="C11" s="698">
        <v>1906</v>
      </c>
      <c r="D11" s="687">
        <v>1737002.2555172993</v>
      </c>
      <c r="E11" s="686">
        <v>1749180.7854555598</v>
      </c>
      <c r="F11" s="686">
        <v>-12178.529938260595</v>
      </c>
      <c r="G11" s="686">
        <v>34658308.210968003</v>
      </c>
      <c r="H11" s="687">
        <v>39531162.699001186</v>
      </c>
      <c r="I11" s="352">
        <v>-4872854.488033182</v>
      </c>
      <c r="J11"/>
    </row>
    <row r="12" spans="2:10" ht="16">
      <c r="B12" s="355" t="s">
        <v>1026</v>
      </c>
      <c r="C12" s="698">
        <v>1323</v>
      </c>
      <c r="D12" s="687">
        <v>1297305.28</v>
      </c>
      <c r="E12" s="686">
        <v>1409781.5638009312</v>
      </c>
      <c r="F12" s="686">
        <v>-112476.28380093118</v>
      </c>
      <c r="G12" s="686">
        <v>25851142.853504002</v>
      </c>
      <c r="H12" s="687">
        <v>28888256.95831402</v>
      </c>
      <c r="I12" s="352">
        <v>-3037114.1048100181</v>
      </c>
      <c r="J12"/>
    </row>
    <row r="13" spans="2:10" ht="16">
      <c r="B13" s="355" t="s">
        <v>907</v>
      </c>
      <c r="C13" s="698">
        <v>4648</v>
      </c>
      <c r="D13" s="687">
        <v>293625.39020959014</v>
      </c>
      <c r="E13" s="686">
        <v>279939.5032296764</v>
      </c>
      <c r="F13" s="686">
        <v>13685.886979913757</v>
      </c>
      <c r="G13" s="686">
        <v>6157177.620000001</v>
      </c>
      <c r="H13" s="687">
        <v>6403606.2587191612</v>
      </c>
      <c r="I13" s="352">
        <v>-246428.63871916023</v>
      </c>
      <c r="J13"/>
    </row>
    <row r="14" spans="2:10" ht="16">
      <c r="B14" s="355" t="s">
        <v>1020</v>
      </c>
      <c r="C14" s="698">
        <v>847</v>
      </c>
      <c r="D14" s="687">
        <v>1984228.7800000003</v>
      </c>
      <c r="E14" s="686">
        <v>1597268.6550313819</v>
      </c>
      <c r="F14" s="686">
        <v>386960.12496861827</v>
      </c>
      <c r="G14" s="686">
        <v>39539330.053304002</v>
      </c>
      <c r="H14" s="687">
        <v>39681033.772193328</v>
      </c>
      <c r="I14" s="352">
        <v>-141703.71888932586</v>
      </c>
      <c r="J14"/>
    </row>
    <row r="15" spans="2:10" ht="16">
      <c r="B15" s="355" t="s">
        <v>701</v>
      </c>
      <c r="C15" s="698">
        <v>587</v>
      </c>
      <c r="D15" s="687">
        <v>1908467.1822976223</v>
      </c>
      <c r="E15" s="686">
        <v>1239813.3515568341</v>
      </c>
      <c r="F15" s="686">
        <v>668653.83074078825</v>
      </c>
      <c r="G15" s="686">
        <v>38079892.35605599</v>
      </c>
      <c r="H15" s="687">
        <v>28019991.88454967</v>
      </c>
      <c r="I15" s="352">
        <v>10059900.471506324</v>
      </c>
      <c r="J15"/>
    </row>
    <row r="16" spans="2:10" ht="16">
      <c r="B16" s="355" t="s">
        <v>702</v>
      </c>
      <c r="C16" s="698">
        <v>2373</v>
      </c>
      <c r="D16" s="687">
        <v>3983644.2865211377</v>
      </c>
      <c r="E16" s="686">
        <v>3403126.6320354044</v>
      </c>
      <c r="F16" s="686">
        <v>580517.65448573278</v>
      </c>
      <c r="G16" s="686">
        <v>79566036.99689199</v>
      </c>
      <c r="H16" s="687">
        <v>85482399.575745597</v>
      </c>
      <c r="I16" s="352">
        <v>-5916362.5788536072</v>
      </c>
      <c r="J16"/>
    </row>
    <row r="17" spans="2:10" ht="16">
      <c r="B17" s="355" t="s">
        <v>1027</v>
      </c>
      <c r="C17" s="698">
        <v>4313</v>
      </c>
      <c r="D17" s="687">
        <v>2830807.36</v>
      </c>
      <c r="E17" s="686">
        <v>3304394.0905689076</v>
      </c>
      <c r="F17" s="686">
        <v>-473586.73056890769</v>
      </c>
      <c r="G17" s="686">
        <v>56408932.101247996</v>
      </c>
      <c r="H17" s="687">
        <v>70899054.493851408</v>
      </c>
      <c r="I17" s="352">
        <v>-14490122.392603412</v>
      </c>
      <c r="J17"/>
    </row>
    <row r="18" spans="2:10" ht="16">
      <c r="B18" s="355" t="s">
        <v>946</v>
      </c>
      <c r="C18" s="698">
        <v>1852</v>
      </c>
      <c r="D18" s="687">
        <v>73454.070751977662</v>
      </c>
      <c r="E18" s="686">
        <v>79838.22584332987</v>
      </c>
      <c r="F18" s="686">
        <v>-6384.1550913522078</v>
      </c>
      <c r="G18" s="686">
        <v>1505169.4</v>
      </c>
      <c r="H18" s="687">
        <v>1792563.9335125235</v>
      </c>
      <c r="I18" s="352">
        <v>-287394.53351252363</v>
      </c>
      <c r="J18"/>
    </row>
    <row r="19" spans="2:10" ht="16">
      <c r="B19" s="355" t="s">
        <v>900</v>
      </c>
      <c r="C19" s="698">
        <v>7413</v>
      </c>
      <c r="D19" s="687">
        <v>244366.97685990206</v>
      </c>
      <c r="E19" s="686">
        <v>236718.64504290032</v>
      </c>
      <c r="F19" s="686">
        <v>7648.3318170017446</v>
      </c>
      <c r="G19" s="686">
        <v>5093641.9000000004</v>
      </c>
      <c r="H19" s="687">
        <v>5040592.7284908397</v>
      </c>
      <c r="I19" s="352">
        <v>53049.171509160195</v>
      </c>
      <c r="J19"/>
    </row>
    <row r="20" spans="2:10" ht="16">
      <c r="B20" s="355" t="s">
        <v>865</v>
      </c>
      <c r="C20" s="698">
        <v>352</v>
      </c>
      <c r="D20" s="687">
        <v>43739.044326283423</v>
      </c>
      <c r="E20" s="686">
        <v>32303.112348114359</v>
      </c>
      <c r="F20" s="686">
        <v>11435.931978169065</v>
      </c>
      <c r="G20" s="686">
        <v>917185.89000000025</v>
      </c>
      <c r="H20" s="687">
        <v>716285.3820579634</v>
      </c>
      <c r="I20" s="352">
        <v>200900.50794203684</v>
      </c>
      <c r="J20"/>
    </row>
    <row r="21" spans="2:10" ht="16">
      <c r="B21" s="355" t="s">
        <v>862</v>
      </c>
      <c r="C21" s="698">
        <v>4467</v>
      </c>
      <c r="D21" s="687">
        <v>6666622.6699999999</v>
      </c>
      <c r="E21" s="686">
        <v>7976829.0299999993</v>
      </c>
      <c r="F21" s="686">
        <v>-1310206.3599999994</v>
      </c>
      <c r="G21" s="686">
        <v>132844456.620556</v>
      </c>
      <c r="H21" s="687">
        <v>170544728.29835293</v>
      </c>
      <c r="I21" s="352">
        <v>-37700271.677796938</v>
      </c>
      <c r="J21"/>
    </row>
    <row r="22" spans="2:10" ht="16">
      <c r="B22" s="355" t="s">
        <v>867</v>
      </c>
      <c r="C22" s="698">
        <v>7013</v>
      </c>
      <c r="D22" s="687">
        <v>5275298.03</v>
      </c>
      <c r="E22" s="686">
        <v>4968835.4000000004</v>
      </c>
      <c r="F22" s="686">
        <v>306462.62999999989</v>
      </c>
      <c r="G22" s="686">
        <v>105119808.78420401</v>
      </c>
      <c r="H22" s="687">
        <v>106611294.57925098</v>
      </c>
      <c r="I22" s="352">
        <v>-1491485.7950469702</v>
      </c>
      <c r="J22"/>
    </row>
    <row r="23" spans="2:10" ht="16">
      <c r="B23" s="355" t="s">
        <v>903</v>
      </c>
      <c r="C23" s="698">
        <v>5888</v>
      </c>
      <c r="D23" s="687">
        <v>2918616.9397119489</v>
      </c>
      <c r="E23" s="686">
        <v>2956684.9632332684</v>
      </c>
      <c r="F23" s="686">
        <v>-38068.023521319759</v>
      </c>
      <c r="G23" s="686">
        <v>58456666.275575995</v>
      </c>
      <c r="H23" s="687">
        <v>65058980.909415603</v>
      </c>
      <c r="I23" s="352">
        <v>-6602314.6338395961</v>
      </c>
      <c r="J23"/>
    </row>
    <row r="24" spans="2:10" ht="16">
      <c r="B24" s="355" t="s">
        <v>901</v>
      </c>
      <c r="C24" s="698">
        <v>4161</v>
      </c>
      <c r="D24" s="687">
        <v>137291.09899915592</v>
      </c>
      <c r="E24" s="686">
        <v>103745.8180789239</v>
      </c>
      <c r="F24" s="686">
        <v>33545.28092023202</v>
      </c>
      <c r="G24" s="686">
        <v>2846387.7100000004</v>
      </c>
      <c r="H24" s="687">
        <v>2634386.0301239998</v>
      </c>
      <c r="I24" s="352">
        <v>212001.67987600062</v>
      </c>
      <c r="J24"/>
    </row>
    <row r="25" spans="2:10" ht="16">
      <c r="B25" s="355" t="s">
        <v>864</v>
      </c>
      <c r="C25" s="698">
        <v>14742</v>
      </c>
      <c r="D25" s="687">
        <v>11619659.289999999</v>
      </c>
      <c r="E25" s="686">
        <v>12123097.997728981</v>
      </c>
      <c r="F25" s="686">
        <v>-503438.70772898197</v>
      </c>
      <c r="G25" s="686">
        <v>231542626.739972</v>
      </c>
      <c r="H25" s="687">
        <v>274205239.77672678</v>
      </c>
      <c r="I25" s="352">
        <v>-42662613.036754787</v>
      </c>
      <c r="J25"/>
    </row>
    <row r="26" spans="2:10" ht="16">
      <c r="B26" s="355" t="s">
        <v>863</v>
      </c>
      <c r="C26" s="698">
        <v>4892</v>
      </c>
      <c r="D26" s="687">
        <v>2683810.5180633776</v>
      </c>
      <c r="E26" s="686">
        <v>2628738.7132884297</v>
      </c>
      <c r="F26" s="686">
        <v>55071.80477494825</v>
      </c>
      <c r="G26" s="686">
        <v>53636431.510472</v>
      </c>
      <c r="H26" s="687">
        <v>59354545.992677651</v>
      </c>
      <c r="I26" s="352">
        <v>-5718114.4822056554</v>
      </c>
      <c r="J26"/>
    </row>
    <row r="27" spans="2:10" ht="16">
      <c r="B27" s="355" t="s">
        <v>705</v>
      </c>
      <c r="C27" s="698">
        <v>4280</v>
      </c>
      <c r="D27" s="687">
        <v>19378942.317936808</v>
      </c>
      <c r="E27" s="686">
        <v>13730884.820385313</v>
      </c>
      <c r="F27" s="686">
        <v>5648057.4975514952</v>
      </c>
      <c r="G27" s="686">
        <v>386899622.52680004</v>
      </c>
      <c r="H27" s="687">
        <v>310058138.15812635</v>
      </c>
      <c r="I27" s="352">
        <v>76841484.368673652</v>
      </c>
      <c r="J27"/>
    </row>
    <row r="28" spans="2:10" ht="16">
      <c r="B28" s="355" t="s">
        <v>945</v>
      </c>
      <c r="C28" s="698">
        <v>2227</v>
      </c>
      <c r="D28" s="687">
        <v>473363.44204613671</v>
      </c>
      <c r="E28" s="686">
        <v>583805.63008178549</v>
      </c>
      <c r="F28" s="686">
        <v>-110442.18803564878</v>
      </c>
      <c r="G28" s="686">
        <v>9699832.3000000007</v>
      </c>
      <c r="H28" s="687">
        <v>12433089.109696001</v>
      </c>
      <c r="I28" s="352">
        <v>-2733256.8096960001</v>
      </c>
      <c r="J28"/>
    </row>
    <row r="29" spans="2:10" ht="16">
      <c r="B29" s="355" t="s">
        <v>906</v>
      </c>
      <c r="C29" s="698">
        <v>2573</v>
      </c>
      <c r="D29" s="687">
        <v>1769259.6552299769</v>
      </c>
      <c r="E29" s="686">
        <v>2299508.1369096581</v>
      </c>
      <c r="F29" s="686">
        <v>-530248.48167968122</v>
      </c>
      <c r="G29" s="686">
        <v>35360832.236827999</v>
      </c>
      <c r="H29" s="687">
        <v>49290150.846660316</v>
      </c>
      <c r="I29" s="352">
        <v>-13929318.609832318</v>
      </c>
      <c r="J29"/>
    </row>
    <row r="30" spans="2:10" ht="16">
      <c r="B30" s="355" t="s">
        <v>905</v>
      </c>
      <c r="C30" s="698">
        <v>2752</v>
      </c>
      <c r="D30" s="687">
        <v>4325742.8424266204</v>
      </c>
      <c r="E30" s="686">
        <v>3857210.0973506132</v>
      </c>
      <c r="F30" s="686">
        <v>468532.74507600698</v>
      </c>
      <c r="G30" s="686">
        <v>86403778.246236011</v>
      </c>
      <c r="H30" s="687">
        <v>105591225.53967462</v>
      </c>
      <c r="I30" s="352">
        <v>-19187447.293438628</v>
      </c>
      <c r="J30"/>
    </row>
    <row r="31" spans="2:10" ht="16">
      <c r="B31" s="355" t="s">
        <v>902</v>
      </c>
      <c r="C31" s="698">
        <v>13793</v>
      </c>
      <c r="D31" s="687">
        <v>7197411.8620865066</v>
      </c>
      <c r="E31" s="686">
        <v>7296116.1895917132</v>
      </c>
      <c r="F31" s="686">
        <v>-98704.327505205976</v>
      </c>
      <c r="G31" s="686">
        <v>143858542.35914001</v>
      </c>
      <c r="H31" s="687">
        <v>164718969.02394086</v>
      </c>
      <c r="I31" s="352">
        <v>-20860426.664800864</v>
      </c>
      <c r="J31"/>
    </row>
    <row r="32" spans="2:10" ht="16">
      <c r="B32" s="355" t="s">
        <v>904</v>
      </c>
      <c r="C32" s="698">
        <v>2372</v>
      </c>
      <c r="D32" s="687">
        <v>3713065.295656072</v>
      </c>
      <c r="E32" s="686">
        <v>3004663.2867814167</v>
      </c>
      <c r="F32" s="686">
        <v>708402.00887465547</v>
      </c>
      <c r="G32" s="686">
        <v>74182284.551423997</v>
      </c>
      <c r="H32" s="687">
        <v>64397009.715716787</v>
      </c>
      <c r="I32" s="352">
        <v>9785274.8357072175</v>
      </c>
      <c r="J32"/>
    </row>
    <row r="33" spans="2:10" ht="16">
      <c r="B33" s="357" t="s">
        <v>1249</v>
      </c>
      <c r="C33" s="702">
        <v>104287</v>
      </c>
      <c r="D33" s="689">
        <v>81892945.151343375</v>
      </c>
      <c r="E33" s="688">
        <v>76455314.066505954</v>
      </c>
      <c r="F33" s="688">
        <v>5437631.0848374171</v>
      </c>
      <c r="G33" s="688">
        <v>1635396635.6239679</v>
      </c>
      <c r="H33" s="689">
        <v>1725424426.0458236</v>
      </c>
      <c r="I33" s="358">
        <v>-90027790.421855822</v>
      </c>
      <c r="J33"/>
    </row>
    <row r="34" spans="2:10" ht="16">
      <c r="B34" s="356"/>
      <c r="C34" s="698"/>
      <c r="D34" s="687"/>
      <c r="E34" s="686"/>
      <c r="F34" s="686"/>
      <c r="G34" s="686"/>
      <c r="H34" s="687"/>
      <c r="I34" s="352"/>
      <c r="J34"/>
    </row>
    <row r="35" spans="2:10" ht="16">
      <c r="B35" s="354" t="s">
        <v>1250</v>
      </c>
      <c r="C35" s="698"/>
      <c r="D35" s="687"/>
      <c r="E35" s="686"/>
      <c r="F35" s="686"/>
      <c r="G35" s="686"/>
      <c r="H35" s="687"/>
      <c r="I35" s="352"/>
      <c r="J35"/>
    </row>
    <row r="36" spans="2:10" ht="16">
      <c r="B36" s="355" t="s">
        <v>893</v>
      </c>
      <c r="C36" s="698">
        <v>6065</v>
      </c>
      <c r="D36" s="687">
        <v>286284.4442143098</v>
      </c>
      <c r="E36" s="686">
        <v>320891.83067151048</v>
      </c>
      <c r="F36" s="686">
        <v>-34607.386457200671</v>
      </c>
      <c r="G36" s="686">
        <v>5792959.0499999998</v>
      </c>
      <c r="H36" s="687">
        <v>7708018.6101256497</v>
      </c>
      <c r="I36" s="352">
        <v>-1915059.5601256501</v>
      </c>
      <c r="J36"/>
    </row>
    <row r="37" spans="2:10" ht="16">
      <c r="B37" s="355" t="s">
        <v>894</v>
      </c>
      <c r="C37" s="698">
        <v>13040</v>
      </c>
      <c r="D37" s="687">
        <v>959421.29392874334</v>
      </c>
      <c r="E37" s="686">
        <v>693233.85440665332</v>
      </c>
      <c r="F37" s="686">
        <v>266187.43952208996</v>
      </c>
      <c r="G37" s="686">
        <v>19998722.340000004</v>
      </c>
      <c r="H37" s="687">
        <v>16349427.631896913</v>
      </c>
      <c r="I37" s="352">
        <v>3649294.7081030859</v>
      </c>
      <c r="J37"/>
    </row>
    <row r="38" spans="2:10" ht="16">
      <c r="B38" s="355" t="s">
        <v>895</v>
      </c>
      <c r="C38" s="698">
        <v>6107</v>
      </c>
      <c r="D38" s="687">
        <v>2583613.2892368552</v>
      </c>
      <c r="E38" s="686">
        <v>1567644.3310072157</v>
      </c>
      <c r="F38" s="686">
        <v>1015968.9582296397</v>
      </c>
      <c r="G38" s="686">
        <v>52098627.620000005</v>
      </c>
      <c r="H38" s="687">
        <v>38286053.962369367</v>
      </c>
      <c r="I38" s="352">
        <v>13812573.657630639</v>
      </c>
      <c r="J38"/>
    </row>
    <row r="39" spans="2:10" ht="16">
      <c r="B39" s="355" t="s">
        <v>1028</v>
      </c>
      <c r="C39" s="698">
        <v>2088</v>
      </c>
      <c r="D39" s="687">
        <v>306929.76542739931</v>
      </c>
      <c r="E39" s="686">
        <v>323750.9539835176</v>
      </c>
      <c r="F39" s="686">
        <v>-16821.188556118286</v>
      </c>
      <c r="G39" s="686">
        <v>6169747.4000000004</v>
      </c>
      <c r="H39" s="687">
        <v>7951411.8008955922</v>
      </c>
      <c r="I39" s="352">
        <v>-1781664.4008955918</v>
      </c>
      <c r="J39"/>
    </row>
    <row r="40" spans="2:10" ht="16">
      <c r="B40" s="355" t="s">
        <v>1029</v>
      </c>
      <c r="C40" s="698">
        <v>608</v>
      </c>
      <c r="D40" s="687">
        <v>88361.106399440556</v>
      </c>
      <c r="E40" s="686">
        <v>90685.275640426669</v>
      </c>
      <c r="F40" s="686">
        <v>-2324.1692409861171</v>
      </c>
      <c r="G40" s="686">
        <v>1781598.48</v>
      </c>
      <c r="H40" s="687">
        <v>2093267.3136780998</v>
      </c>
      <c r="I40" s="352">
        <v>-311668.83367809991</v>
      </c>
      <c r="J40"/>
    </row>
    <row r="41" spans="2:10" ht="16">
      <c r="B41" s="355" t="s">
        <v>896</v>
      </c>
      <c r="C41" s="698">
        <v>33326</v>
      </c>
      <c r="D41" s="687">
        <v>615172.96958214091</v>
      </c>
      <c r="E41" s="686">
        <v>334641.0896704981</v>
      </c>
      <c r="F41" s="686">
        <v>280531.87991164281</v>
      </c>
      <c r="G41" s="686">
        <v>12382852.949999999</v>
      </c>
      <c r="H41" s="687">
        <v>8443061.4312289916</v>
      </c>
      <c r="I41" s="352">
        <v>3939791.5187710086</v>
      </c>
      <c r="J41"/>
    </row>
    <row r="42" spans="2:10" ht="16">
      <c r="B42" s="355" t="s">
        <v>1030</v>
      </c>
      <c r="C42" s="698">
        <v>15294</v>
      </c>
      <c r="D42" s="687">
        <v>119657.8716245431</v>
      </c>
      <c r="E42" s="686">
        <v>86851.544866968427</v>
      </c>
      <c r="F42" s="686">
        <v>32806.32675757468</v>
      </c>
      <c r="G42" s="686">
        <v>2401890.5900000003</v>
      </c>
      <c r="H42" s="687">
        <v>2247903.0823669541</v>
      </c>
      <c r="I42" s="352">
        <v>153987.50763304625</v>
      </c>
      <c r="J42"/>
    </row>
    <row r="43" spans="2:10" ht="16">
      <c r="B43" s="355" t="s">
        <v>1031</v>
      </c>
      <c r="C43" s="698">
        <v>29421</v>
      </c>
      <c r="D43" s="687">
        <v>215896.01192605184</v>
      </c>
      <c r="E43" s="686">
        <v>156220.73923989059</v>
      </c>
      <c r="F43" s="686">
        <v>59675.272686161246</v>
      </c>
      <c r="G43" s="686">
        <v>4330637.7700000005</v>
      </c>
      <c r="H43" s="687">
        <v>3372225.7002213853</v>
      </c>
      <c r="I43" s="352">
        <v>958412.06977861468</v>
      </c>
      <c r="J43"/>
    </row>
    <row r="44" spans="2:10" ht="16">
      <c r="B44" s="355" t="s">
        <v>1038</v>
      </c>
      <c r="C44" s="698">
        <v>23149</v>
      </c>
      <c r="D44" s="687">
        <v>215964.69600152038</v>
      </c>
      <c r="E44" s="686">
        <v>137771.73434334312</v>
      </c>
      <c r="F44" s="686">
        <v>78192.961658177286</v>
      </c>
      <c r="G44" s="686">
        <v>4339768.33</v>
      </c>
      <c r="H44" s="687">
        <v>3860023.7146525425</v>
      </c>
      <c r="I44" s="352">
        <v>479744.61534745776</v>
      </c>
      <c r="J44"/>
    </row>
    <row r="45" spans="2:10" ht="16">
      <c r="B45" s="355" t="s">
        <v>1032</v>
      </c>
      <c r="C45" s="698">
        <v>16708</v>
      </c>
      <c r="D45" s="687">
        <v>128797.7117466066</v>
      </c>
      <c r="E45" s="686">
        <v>87785.727585187866</v>
      </c>
      <c r="F45" s="686">
        <v>41011.984161418746</v>
      </c>
      <c r="G45" s="686">
        <v>2585080.66</v>
      </c>
      <c r="H45" s="687">
        <v>2136884.3386315843</v>
      </c>
      <c r="I45" s="352">
        <v>448196.32136841619</v>
      </c>
      <c r="J45"/>
    </row>
    <row r="46" spans="2:10" ht="16">
      <c r="B46" s="355" t="s">
        <v>1033</v>
      </c>
      <c r="C46" s="698">
        <v>31600</v>
      </c>
      <c r="D46" s="687">
        <v>338332.07100603729</v>
      </c>
      <c r="E46" s="686">
        <v>247836.81386337546</v>
      </c>
      <c r="F46" s="686">
        <v>90495.257142661852</v>
      </c>
      <c r="G46" s="686">
        <v>6791715.8700000001</v>
      </c>
      <c r="H46" s="687">
        <v>5811806.0804288704</v>
      </c>
      <c r="I46" s="352">
        <v>979909.78957112913</v>
      </c>
      <c r="J46"/>
    </row>
    <row r="47" spans="2:10" ht="16">
      <c r="B47" s="355" t="s">
        <v>1034</v>
      </c>
      <c r="C47" s="698">
        <v>40845</v>
      </c>
      <c r="D47" s="687">
        <v>398897.95206923969</v>
      </c>
      <c r="E47" s="686">
        <v>243664.99738113972</v>
      </c>
      <c r="F47" s="686">
        <v>155232.95468810003</v>
      </c>
      <c r="G47" s="686">
        <v>8021909.9100000001</v>
      </c>
      <c r="H47" s="687">
        <v>5872501.5791305415</v>
      </c>
      <c r="I47" s="352">
        <v>2149408.3308694595</v>
      </c>
      <c r="J47"/>
    </row>
    <row r="48" spans="2:10" ht="16">
      <c r="B48" s="355" t="s">
        <v>897</v>
      </c>
      <c r="C48" s="698">
        <v>2169</v>
      </c>
      <c r="D48" s="687">
        <v>311336.36505218467</v>
      </c>
      <c r="E48" s="686">
        <v>387885.09158459434</v>
      </c>
      <c r="F48" s="686">
        <v>-76548.726532409637</v>
      </c>
      <c r="G48" s="686">
        <v>6316544.3500000006</v>
      </c>
      <c r="H48" s="687">
        <v>8381880.1152567994</v>
      </c>
      <c r="I48" s="352">
        <v>-2065335.7652567993</v>
      </c>
      <c r="J48"/>
    </row>
    <row r="49" spans="2:10" ht="16">
      <c r="B49" s="355" t="s">
        <v>1039</v>
      </c>
      <c r="C49" s="698">
        <v>1144</v>
      </c>
      <c r="D49" s="687">
        <v>194397.93995213468</v>
      </c>
      <c r="E49" s="686">
        <v>163533.26843975385</v>
      </c>
      <c r="F49" s="686">
        <v>30864.671512380824</v>
      </c>
      <c r="G49" s="686">
        <v>3901802.38</v>
      </c>
      <c r="H49" s="687">
        <v>3562602.1331184371</v>
      </c>
      <c r="I49" s="352">
        <v>339200.24688156287</v>
      </c>
      <c r="J49"/>
    </row>
    <row r="50" spans="2:10" ht="16">
      <c r="B50" s="355" t="s">
        <v>1035</v>
      </c>
      <c r="C50" s="698">
        <v>512</v>
      </c>
      <c r="D50" s="687">
        <v>114268.0955989034</v>
      </c>
      <c r="E50" s="686">
        <v>111530.31000349607</v>
      </c>
      <c r="F50" s="686">
        <v>2737.7855954073384</v>
      </c>
      <c r="G50" s="686">
        <v>2295935.0499999998</v>
      </c>
      <c r="H50" s="687">
        <v>2502493.3423159998</v>
      </c>
      <c r="I50" s="352">
        <v>-206558.29231599974</v>
      </c>
      <c r="J50"/>
    </row>
    <row r="51" spans="2:10" ht="16">
      <c r="B51" s="355" t="s">
        <v>1036</v>
      </c>
      <c r="C51" s="698">
        <v>930</v>
      </c>
      <c r="D51" s="687">
        <v>167476.12249799137</v>
      </c>
      <c r="E51" s="686">
        <v>137747.31381632775</v>
      </c>
      <c r="F51" s="686">
        <v>29728.808681663621</v>
      </c>
      <c r="G51" s="686">
        <v>3365208.4699999997</v>
      </c>
      <c r="H51" s="687">
        <v>3147536.3205095395</v>
      </c>
      <c r="I51" s="352">
        <v>217672.14949046052</v>
      </c>
      <c r="J51"/>
    </row>
    <row r="52" spans="2:10" ht="16">
      <c r="B52" s="355" t="s">
        <v>1041</v>
      </c>
      <c r="C52" s="698">
        <v>182</v>
      </c>
      <c r="D52" s="687">
        <v>38476.36089079325</v>
      </c>
      <c r="E52" s="686">
        <v>37741.983197881476</v>
      </c>
      <c r="F52" s="686">
        <v>734.37769291177574</v>
      </c>
      <c r="G52" s="686">
        <v>772689.81</v>
      </c>
      <c r="H52" s="687">
        <v>849614.28551513655</v>
      </c>
      <c r="I52" s="352">
        <v>-76924.475515136553</v>
      </c>
      <c r="J52"/>
    </row>
    <row r="53" spans="2:10" ht="16">
      <c r="B53" s="355" t="s">
        <v>899</v>
      </c>
      <c r="C53" s="698">
        <v>2632</v>
      </c>
      <c r="D53" s="687">
        <v>272680.35364835733</v>
      </c>
      <c r="E53" s="686">
        <v>199526.82949622793</v>
      </c>
      <c r="F53" s="686">
        <v>73153.524152129423</v>
      </c>
      <c r="G53" s="686">
        <v>5556032.3200000003</v>
      </c>
      <c r="H53" s="687">
        <v>5610016.9824121241</v>
      </c>
      <c r="I53" s="352">
        <v>-53984.662412123595</v>
      </c>
      <c r="J53"/>
    </row>
    <row r="54" spans="2:10" ht="16">
      <c r="B54" s="355" t="s">
        <v>898</v>
      </c>
      <c r="C54" s="698">
        <v>7467</v>
      </c>
      <c r="D54" s="687">
        <v>504094.63003756187</v>
      </c>
      <c r="E54" s="686">
        <v>397120.19834279735</v>
      </c>
      <c r="F54" s="686">
        <v>106974.43169476451</v>
      </c>
      <c r="G54" s="686">
        <v>10444936.540000001</v>
      </c>
      <c r="H54" s="687">
        <v>9198407.9098103773</v>
      </c>
      <c r="I54" s="352">
        <v>1246528.6301896237</v>
      </c>
      <c r="J54"/>
    </row>
    <row r="55" spans="2:10" ht="16">
      <c r="B55" s="355" t="s">
        <v>1040</v>
      </c>
      <c r="C55" s="698">
        <v>85</v>
      </c>
      <c r="D55" s="687">
        <v>19415.800959196931</v>
      </c>
      <c r="E55" s="686">
        <v>18286.442758633471</v>
      </c>
      <c r="F55" s="686">
        <v>1129.3582005634598</v>
      </c>
      <c r="G55" s="686">
        <v>391474.97</v>
      </c>
      <c r="H55" s="687">
        <v>475607.46250782226</v>
      </c>
      <c r="I55" s="352">
        <v>-84132.492507822288</v>
      </c>
      <c r="J55"/>
    </row>
    <row r="56" spans="2:10" ht="16">
      <c r="B56" s="355" t="s">
        <v>1037</v>
      </c>
      <c r="C56" s="698">
        <v>11065</v>
      </c>
      <c r="D56" s="687">
        <v>175085.96543289704</v>
      </c>
      <c r="E56" s="686">
        <v>142559.73755461539</v>
      </c>
      <c r="F56" s="686">
        <v>32526.227878281636</v>
      </c>
      <c r="G56" s="686">
        <v>3517064.1900000004</v>
      </c>
      <c r="H56" s="687">
        <v>3242037.1973107308</v>
      </c>
      <c r="I56" s="352">
        <v>275026.99268926936</v>
      </c>
      <c r="J56"/>
    </row>
    <row r="57" spans="2:10" ht="16">
      <c r="B57" s="357" t="s">
        <v>1253</v>
      </c>
      <c r="C57" s="702">
        <v>244437</v>
      </c>
      <c r="D57" s="689">
        <v>8054560.8172329105</v>
      </c>
      <c r="E57" s="688">
        <v>5886910.0678540543</v>
      </c>
      <c r="F57" s="688">
        <v>2167650.7493788539</v>
      </c>
      <c r="G57" s="688">
        <v>163257199.05000001</v>
      </c>
      <c r="H57" s="689">
        <v>141102780.99438345</v>
      </c>
      <c r="I57" s="358">
        <v>22154418.055616543</v>
      </c>
      <c r="J57"/>
    </row>
    <row r="58" spans="2:10" ht="16">
      <c r="B58" s="356"/>
      <c r="C58" s="698"/>
      <c r="D58" s="687"/>
      <c r="E58" s="686"/>
      <c r="F58" s="686"/>
      <c r="G58" s="686"/>
      <c r="H58" s="687"/>
      <c r="I58" s="352"/>
      <c r="J58"/>
    </row>
    <row r="59" spans="2:10" ht="16">
      <c r="B59" s="354" t="s">
        <v>1254</v>
      </c>
      <c r="C59" s="698"/>
      <c r="D59" s="687"/>
      <c r="E59" s="686"/>
      <c r="F59" s="686"/>
      <c r="G59" s="686"/>
      <c r="H59" s="687"/>
      <c r="I59" s="352"/>
      <c r="J59"/>
    </row>
    <row r="60" spans="2:10" ht="16">
      <c r="B60" s="355" t="s">
        <v>838</v>
      </c>
      <c r="C60" s="698">
        <v>214</v>
      </c>
      <c r="D60" s="687">
        <v>23583.19</v>
      </c>
      <c r="E60" s="686">
        <v>22094.45918181818</v>
      </c>
      <c r="F60" s="686">
        <v>1488.7308181818194</v>
      </c>
      <c r="G60" s="686">
        <v>481989.04748399998</v>
      </c>
      <c r="H60" s="687">
        <v>503830.50083875796</v>
      </c>
      <c r="I60" s="352">
        <v>-21841.453354758036</v>
      </c>
      <c r="J60"/>
    </row>
    <row r="61" spans="2:10" ht="16">
      <c r="B61" s="355" t="s">
        <v>839</v>
      </c>
      <c r="C61" s="698">
        <v>245</v>
      </c>
      <c r="D61" s="687">
        <v>30187.479999999996</v>
      </c>
      <c r="E61" s="686">
        <v>76435.719565217398</v>
      </c>
      <c r="F61" s="686">
        <v>-46248.239565217387</v>
      </c>
      <c r="G61" s="686">
        <v>617053.22243599989</v>
      </c>
      <c r="H61" s="687">
        <v>1701989.8654678995</v>
      </c>
      <c r="I61" s="352">
        <v>-1084936.6430318994</v>
      </c>
      <c r="J61"/>
    </row>
    <row r="62" spans="2:10" ht="16">
      <c r="B62" s="355" t="s">
        <v>716</v>
      </c>
      <c r="C62" s="698">
        <v>105</v>
      </c>
      <c r="D62" s="687">
        <v>14313.88</v>
      </c>
      <c r="E62" s="686">
        <v>11851.568892508145</v>
      </c>
      <c r="F62" s="686">
        <v>2462.3111074918543</v>
      </c>
      <c r="G62" s="686">
        <v>285779.47697599995</v>
      </c>
      <c r="H62" s="687">
        <v>272824.4428071907</v>
      </c>
      <c r="I62" s="352">
        <v>12955.034168809245</v>
      </c>
      <c r="J62"/>
    </row>
    <row r="63" spans="2:10" ht="16">
      <c r="B63" s="355" t="s">
        <v>882</v>
      </c>
      <c r="C63" s="698">
        <v>425</v>
      </c>
      <c r="D63" s="687">
        <v>40424.769999999997</v>
      </c>
      <c r="E63" s="686">
        <v>89713.860000000015</v>
      </c>
      <c r="F63" s="686">
        <v>-49289.09</v>
      </c>
      <c r="G63" s="686">
        <v>820877.50705099991</v>
      </c>
      <c r="H63" s="687">
        <v>1875406.3569786656</v>
      </c>
      <c r="I63" s="352">
        <v>-1054528.8499276657</v>
      </c>
      <c r="J63"/>
    </row>
    <row r="64" spans="2:10" ht="16">
      <c r="B64" s="355" t="s">
        <v>950</v>
      </c>
      <c r="C64" s="698">
        <v>916</v>
      </c>
      <c r="D64" s="687">
        <v>30726.270000000004</v>
      </c>
      <c r="E64" s="686">
        <v>45156.234814814808</v>
      </c>
      <c r="F64" s="686">
        <v>-14429.96481481481</v>
      </c>
      <c r="G64" s="686">
        <v>633882.14126900001</v>
      </c>
      <c r="H64" s="687">
        <v>978944.16665355174</v>
      </c>
      <c r="I64" s="352">
        <v>-345062.02538455126</v>
      </c>
      <c r="J64"/>
    </row>
    <row r="65" spans="2:10" ht="16">
      <c r="B65" s="355" t="s">
        <v>878</v>
      </c>
      <c r="C65" s="698">
        <v>646</v>
      </c>
      <c r="D65" s="687">
        <v>30408.729999999996</v>
      </c>
      <c r="E65" s="686">
        <v>59680.530000000006</v>
      </c>
      <c r="F65" s="686">
        <v>-29271.8</v>
      </c>
      <c r="G65" s="686">
        <v>606377.40265599987</v>
      </c>
      <c r="H65" s="687">
        <v>1295692.9410311237</v>
      </c>
      <c r="I65" s="352">
        <v>-689315.53837512364</v>
      </c>
      <c r="J65"/>
    </row>
    <row r="66" spans="2:10" ht="16">
      <c r="B66" s="355" t="s">
        <v>889</v>
      </c>
      <c r="C66" s="698">
        <v>629</v>
      </c>
      <c r="D66" s="687">
        <v>27273.789999999997</v>
      </c>
      <c r="E66" s="686">
        <v>40803.080125000008</v>
      </c>
      <c r="F66" s="686">
        <v>-13529.290125</v>
      </c>
      <c r="G66" s="686">
        <v>553950.65447800013</v>
      </c>
      <c r="H66" s="687">
        <v>851980.45196621737</v>
      </c>
      <c r="I66" s="352">
        <v>-298029.79748821736</v>
      </c>
      <c r="J66"/>
    </row>
    <row r="67" spans="2:10" ht="16">
      <c r="B67" s="355" t="s">
        <v>949</v>
      </c>
      <c r="C67" s="698">
        <v>41</v>
      </c>
      <c r="D67" s="687">
        <v>57608.5</v>
      </c>
      <c r="E67" s="686">
        <v>65822.383333333346</v>
      </c>
      <c r="F67" s="686">
        <v>-8213.8833333333369</v>
      </c>
      <c r="G67" s="686">
        <v>1184282.8172499998</v>
      </c>
      <c r="H67" s="687">
        <v>1456357.7370043306</v>
      </c>
      <c r="I67" s="352">
        <v>-272074.91975433088</v>
      </c>
      <c r="J67"/>
    </row>
    <row r="68" spans="2:10" ht="23" customHeight="1">
      <c r="B68" s="355" t="s">
        <v>884</v>
      </c>
      <c r="C68" s="698">
        <v>142</v>
      </c>
      <c r="D68" s="687">
        <v>49034.05</v>
      </c>
      <c r="E68" s="686">
        <v>56842.080312500002</v>
      </c>
      <c r="F68" s="686">
        <v>-7808.0303124999991</v>
      </c>
      <c r="G68" s="686">
        <v>974241.77799600002</v>
      </c>
      <c r="H68" s="687">
        <v>1224506.5233564789</v>
      </c>
      <c r="I68" s="352">
        <v>-250264.74536047888</v>
      </c>
    </row>
    <row r="69" spans="2:10" ht="23" customHeight="1">
      <c r="B69" s="355" t="s">
        <v>915</v>
      </c>
      <c r="C69" s="698">
        <v>19</v>
      </c>
      <c r="D69" s="687">
        <v>10115.959999999999</v>
      </c>
      <c r="E69" s="686">
        <v>10037.037317073171</v>
      </c>
      <c r="F69" s="686">
        <v>78.922682926828202</v>
      </c>
      <c r="G69" s="686">
        <v>201016.264352</v>
      </c>
      <c r="H69" s="687">
        <v>206339.02906691632</v>
      </c>
      <c r="I69" s="352">
        <v>-5322.764714916324</v>
      </c>
    </row>
    <row r="70" spans="2:10" ht="23" customHeight="1">
      <c r="B70" s="355" t="s">
        <v>729</v>
      </c>
      <c r="C70" s="698">
        <v>183</v>
      </c>
      <c r="D70" s="687">
        <v>55900.320000000007</v>
      </c>
      <c r="E70" s="686">
        <v>42676.565476190481</v>
      </c>
      <c r="F70" s="686">
        <v>13223.754523809524</v>
      </c>
      <c r="G70" s="686">
        <v>1130555.2733439999</v>
      </c>
      <c r="H70" s="687">
        <v>911025.28898217983</v>
      </c>
      <c r="I70" s="352">
        <v>219529.9843618201</v>
      </c>
    </row>
    <row r="71" spans="2:10" ht="23" customHeight="1">
      <c r="B71" s="355" t="s">
        <v>730</v>
      </c>
      <c r="C71" s="698">
        <v>183</v>
      </c>
      <c r="D71" s="687">
        <v>49563.799999999996</v>
      </c>
      <c r="E71" s="686">
        <v>53035.142428571431</v>
      </c>
      <c r="F71" s="686">
        <v>-3471.3424285714318</v>
      </c>
      <c r="G71" s="686">
        <v>1011177.0803319999</v>
      </c>
      <c r="H71" s="687">
        <v>1176946.0711123259</v>
      </c>
      <c r="I71" s="352">
        <v>-165768.99078032564</v>
      </c>
    </row>
    <row r="72" spans="2:10" ht="23" customHeight="1">
      <c r="B72" s="355" t="s">
        <v>768</v>
      </c>
      <c r="C72" s="698">
        <v>82</v>
      </c>
      <c r="D72" s="687">
        <v>15560.13</v>
      </c>
      <c r="E72" s="686">
        <v>15094.725504587155</v>
      </c>
      <c r="F72" s="686">
        <v>465.40449541284397</v>
      </c>
      <c r="G72" s="686">
        <v>313700.00086499995</v>
      </c>
      <c r="H72" s="687">
        <v>350467.54200264206</v>
      </c>
      <c r="I72" s="352">
        <v>-36767.541137642111</v>
      </c>
    </row>
    <row r="73" spans="2:10" ht="23" customHeight="1">
      <c r="B73" s="355" t="s">
        <v>1043</v>
      </c>
      <c r="C73" s="698">
        <v>187</v>
      </c>
      <c r="D73" s="687">
        <v>15326.16</v>
      </c>
      <c r="E73" s="686">
        <v>14636.636296296296</v>
      </c>
      <c r="F73" s="686">
        <v>689.52370370370522</v>
      </c>
      <c r="G73" s="686">
        <v>311864.36676</v>
      </c>
      <c r="H73" s="687">
        <v>356482.18238823256</v>
      </c>
      <c r="I73" s="352">
        <v>-44617.815628232565</v>
      </c>
    </row>
    <row r="74" spans="2:10" ht="23" customHeight="1">
      <c r="B74" s="355" t="s">
        <v>1042</v>
      </c>
      <c r="C74" s="698">
        <v>21</v>
      </c>
      <c r="D74" s="687">
        <v>7366.15</v>
      </c>
      <c r="E74" s="686">
        <v>9596.9220000000005</v>
      </c>
      <c r="F74" s="686">
        <v>-2230.7720000000004</v>
      </c>
      <c r="G74" s="686">
        <v>149262.50729499999</v>
      </c>
      <c r="H74" s="687">
        <v>217306.68684115104</v>
      </c>
      <c r="I74" s="352">
        <v>-68044.179546151034</v>
      </c>
    </row>
    <row r="75" spans="2:10" ht="23" customHeight="1">
      <c r="B75" s="355" t="s">
        <v>951</v>
      </c>
      <c r="C75" s="698">
        <v>102</v>
      </c>
      <c r="D75" s="687">
        <v>49683.69</v>
      </c>
      <c r="E75" s="686">
        <v>39925.4</v>
      </c>
      <c r="F75" s="686">
        <v>9758.2899999999991</v>
      </c>
      <c r="G75" s="686">
        <v>1025643.3927690001</v>
      </c>
      <c r="H75" s="687">
        <v>843258.64021940564</v>
      </c>
      <c r="I75" s="352">
        <v>182384.7525495945</v>
      </c>
    </row>
    <row r="76" spans="2:10" ht="23" customHeight="1">
      <c r="B76" s="355" t="s">
        <v>886</v>
      </c>
      <c r="C76" s="698">
        <v>1340</v>
      </c>
      <c r="D76" s="687">
        <v>64850.140000000007</v>
      </c>
      <c r="E76" s="686">
        <v>98491.136116504844</v>
      </c>
      <c r="F76" s="686">
        <v>-33640.996116504859</v>
      </c>
      <c r="G76" s="686">
        <v>1356270.815341</v>
      </c>
      <c r="H76" s="687">
        <v>2055223.7528400875</v>
      </c>
      <c r="I76" s="352">
        <v>-698952.9374990873</v>
      </c>
    </row>
    <row r="77" spans="2:10" ht="23" customHeight="1">
      <c r="B77" s="355" t="s">
        <v>717</v>
      </c>
      <c r="C77" s="698">
        <v>243</v>
      </c>
      <c r="D77" s="687">
        <v>65411.250000000007</v>
      </c>
      <c r="E77" s="686">
        <v>111457.32124999998</v>
      </c>
      <c r="F77" s="686">
        <v>-46046.071250000008</v>
      </c>
      <c r="G77" s="686">
        <v>1302345.9063110002</v>
      </c>
      <c r="H77" s="687">
        <v>2394782.0888223294</v>
      </c>
      <c r="I77" s="352">
        <v>-1092436.1825113287</v>
      </c>
    </row>
    <row r="78" spans="2:10" ht="23" customHeight="1">
      <c r="B78" s="355" t="s">
        <v>888</v>
      </c>
      <c r="C78" s="698">
        <v>102</v>
      </c>
      <c r="D78" s="687">
        <v>17717.77</v>
      </c>
      <c r="E78" s="686">
        <v>15717.410584707646</v>
      </c>
      <c r="F78" s="686">
        <v>2000.3594152923542</v>
      </c>
      <c r="G78" s="686">
        <v>361129.13593900006</v>
      </c>
      <c r="H78" s="687">
        <v>325462.13857616996</v>
      </c>
      <c r="I78" s="352">
        <v>35666.99736283008</v>
      </c>
    </row>
    <row r="79" spans="2:10" ht="23" customHeight="1">
      <c r="B79" s="355" t="s">
        <v>713</v>
      </c>
      <c r="C79" s="698">
        <v>427</v>
      </c>
      <c r="D79" s="687">
        <v>16264.789999999999</v>
      </c>
      <c r="E79" s="686">
        <v>31154.002467622773</v>
      </c>
      <c r="F79" s="686">
        <v>-14889.212467622776</v>
      </c>
      <c r="G79" s="686">
        <v>326054.60392799997</v>
      </c>
      <c r="H79" s="687">
        <v>679824.42423772335</v>
      </c>
      <c r="I79" s="352">
        <v>-353769.82030972332</v>
      </c>
    </row>
    <row r="80" spans="2:10" ht="23" customHeight="1">
      <c r="B80" s="355" t="s">
        <v>880</v>
      </c>
      <c r="C80" s="698">
        <v>204</v>
      </c>
      <c r="D80" s="687">
        <v>68693.559999999983</v>
      </c>
      <c r="E80" s="686">
        <v>69330.192428571434</v>
      </c>
      <c r="F80" s="686">
        <v>-636.63242857142598</v>
      </c>
      <c r="G80" s="686">
        <v>1390423.5994060005</v>
      </c>
      <c r="H80" s="687">
        <v>1557681.4857381142</v>
      </c>
      <c r="I80" s="352">
        <v>-167257.88633211397</v>
      </c>
    </row>
    <row r="81" spans="2:9" ht="23" customHeight="1">
      <c r="B81" s="355" t="s">
        <v>875</v>
      </c>
      <c r="C81" s="698">
        <v>869</v>
      </c>
      <c r="D81" s="687">
        <v>144042.17000000004</v>
      </c>
      <c r="E81" s="686">
        <v>201642.37000000002</v>
      </c>
      <c r="F81" s="686">
        <v>-57600.19999999999</v>
      </c>
      <c r="G81" s="686">
        <v>2931859.1689790003</v>
      </c>
      <c r="H81" s="687">
        <v>4250507.2291464759</v>
      </c>
      <c r="I81" s="352">
        <v>-1318648.0601674756</v>
      </c>
    </row>
    <row r="82" spans="2:9" ht="23" customHeight="1">
      <c r="B82" s="355" t="s">
        <v>885</v>
      </c>
      <c r="C82" s="698">
        <v>996</v>
      </c>
      <c r="D82" s="687">
        <v>42485.369999999995</v>
      </c>
      <c r="E82" s="686">
        <v>63690.404444444452</v>
      </c>
      <c r="F82" s="686">
        <v>-21205.034444444449</v>
      </c>
      <c r="G82" s="686">
        <v>887425.41719799966</v>
      </c>
      <c r="H82" s="687">
        <v>1345485.3134875961</v>
      </c>
      <c r="I82" s="352">
        <v>-458059.89628959645</v>
      </c>
    </row>
    <row r="83" spans="2:9" ht="23" customHeight="1">
      <c r="B83" s="355" t="s">
        <v>892</v>
      </c>
      <c r="C83" s="698">
        <v>101</v>
      </c>
      <c r="D83" s="687">
        <v>21895.48</v>
      </c>
      <c r="E83" s="686">
        <v>42757.05</v>
      </c>
      <c r="F83" s="686">
        <v>-20861.57</v>
      </c>
      <c r="G83" s="686">
        <v>436545.51159600005</v>
      </c>
      <c r="H83" s="687">
        <v>900455.22970375861</v>
      </c>
      <c r="I83" s="352">
        <v>-463909.71810775856</v>
      </c>
    </row>
    <row r="84" spans="2:9" ht="23" customHeight="1">
      <c r="B84" s="355" t="s">
        <v>731</v>
      </c>
      <c r="C84" s="698">
        <v>628</v>
      </c>
      <c r="D84" s="687">
        <v>48052.03</v>
      </c>
      <c r="E84" s="686">
        <v>46639.355735083634</v>
      </c>
      <c r="F84" s="686">
        <v>1412.6742649163657</v>
      </c>
      <c r="G84" s="686">
        <v>964487.7286700001</v>
      </c>
      <c r="H84" s="687">
        <v>1063858.0806401311</v>
      </c>
      <c r="I84" s="352">
        <v>-99370.351970131233</v>
      </c>
    </row>
    <row r="85" spans="2:9" ht="23" customHeight="1">
      <c r="B85" s="355" t="s">
        <v>879</v>
      </c>
      <c r="C85" s="698">
        <v>790</v>
      </c>
      <c r="D85" s="687">
        <v>75990.75</v>
      </c>
      <c r="E85" s="686">
        <v>109189.54074545455</v>
      </c>
      <c r="F85" s="686">
        <v>-33198.790745454549</v>
      </c>
      <c r="G85" s="686">
        <v>1563987.3363050001</v>
      </c>
      <c r="H85" s="687">
        <v>2401220.0421070298</v>
      </c>
      <c r="I85" s="352">
        <v>-837232.70580202958</v>
      </c>
    </row>
    <row r="86" spans="2:9" ht="23" customHeight="1">
      <c r="B86" s="355" t="s">
        <v>918</v>
      </c>
      <c r="C86" s="698">
        <v>384</v>
      </c>
      <c r="D86" s="687">
        <v>48449.67</v>
      </c>
      <c r="E86" s="686">
        <v>69314.399999999994</v>
      </c>
      <c r="F86" s="686">
        <v>-20864.730000000003</v>
      </c>
      <c r="G86" s="686">
        <v>986033.14893899998</v>
      </c>
      <c r="H86" s="687">
        <v>1409299.5000063065</v>
      </c>
      <c r="I86" s="352">
        <v>-423266.35106730636</v>
      </c>
    </row>
    <row r="87" spans="2:9" ht="23" customHeight="1">
      <c r="B87" s="355" t="s">
        <v>712</v>
      </c>
      <c r="C87" s="698">
        <v>2505</v>
      </c>
      <c r="D87" s="687">
        <v>104396.15999999999</v>
      </c>
      <c r="E87" s="686">
        <v>67502.735108055</v>
      </c>
      <c r="F87" s="686">
        <v>36893.424891944996</v>
      </c>
      <c r="G87" s="686">
        <v>2157565.9312219997</v>
      </c>
      <c r="H87" s="687">
        <v>1418863.4309870244</v>
      </c>
      <c r="I87" s="352">
        <v>738702.50023497583</v>
      </c>
    </row>
    <row r="88" spans="2:9" ht="23" customHeight="1">
      <c r="B88" s="355" t="s">
        <v>874</v>
      </c>
      <c r="C88" s="698">
        <v>2359</v>
      </c>
      <c r="D88" s="687">
        <v>47528.379999999983</v>
      </c>
      <c r="E88" s="686">
        <v>67538.920236220467</v>
      </c>
      <c r="F88" s="686">
        <v>-20010.540236220473</v>
      </c>
      <c r="G88" s="686">
        <v>964171.48534500005</v>
      </c>
      <c r="H88" s="687">
        <v>1446782.0126571825</v>
      </c>
      <c r="I88" s="352">
        <v>-482610.5273121823</v>
      </c>
    </row>
    <row r="89" spans="2:9" ht="23" customHeight="1">
      <c r="B89" s="355" t="s">
        <v>728</v>
      </c>
      <c r="C89" s="698">
        <v>243</v>
      </c>
      <c r="D89" s="687">
        <v>32487.8</v>
      </c>
      <c r="E89" s="686">
        <v>41759.676153846158</v>
      </c>
      <c r="F89" s="686">
        <v>-9271.8761538461549</v>
      </c>
      <c r="G89" s="686">
        <v>673524.16076999996</v>
      </c>
      <c r="H89" s="687">
        <v>888799.2248244459</v>
      </c>
      <c r="I89" s="352">
        <v>-215275.06405444583</v>
      </c>
    </row>
    <row r="90" spans="2:9" ht="23" customHeight="1">
      <c r="B90" s="355" t="s">
        <v>711</v>
      </c>
      <c r="C90" s="698">
        <v>427</v>
      </c>
      <c r="D90" s="687">
        <v>46278.520000000011</v>
      </c>
      <c r="E90" s="686">
        <v>39115.907816648796</v>
      </c>
      <c r="F90" s="686">
        <v>7162.612183351197</v>
      </c>
      <c r="G90" s="686">
        <v>946289.56753100001</v>
      </c>
      <c r="H90" s="687">
        <v>865424.72276374884</v>
      </c>
      <c r="I90" s="352">
        <v>80864.844767251081</v>
      </c>
    </row>
    <row r="91" spans="2:9" ht="23" customHeight="1">
      <c r="B91" s="355" t="s">
        <v>877</v>
      </c>
      <c r="C91" s="698">
        <v>690</v>
      </c>
      <c r="D91" s="687">
        <v>77991.94</v>
      </c>
      <c r="E91" s="686">
        <v>82209.232972972983</v>
      </c>
      <c r="F91" s="686">
        <v>-4217.2929729729758</v>
      </c>
      <c r="G91" s="686">
        <v>1579265.7095320001</v>
      </c>
      <c r="H91" s="687">
        <v>1758754.0782717438</v>
      </c>
      <c r="I91" s="352">
        <v>-179488.36873974401</v>
      </c>
    </row>
    <row r="92" spans="2:9" ht="23" customHeight="1">
      <c r="B92" s="355" t="s">
        <v>881</v>
      </c>
      <c r="C92" s="698">
        <v>1305</v>
      </c>
      <c r="D92" s="687">
        <v>17703.740000000002</v>
      </c>
      <c r="E92" s="686">
        <v>61982.614114713215</v>
      </c>
      <c r="F92" s="686">
        <v>-44278.874114713217</v>
      </c>
      <c r="G92" s="686">
        <v>351697.18771800003</v>
      </c>
      <c r="H92" s="687">
        <v>1302421.8218899372</v>
      </c>
      <c r="I92" s="352">
        <v>-950724.63417193689</v>
      </c>
    </row>
    <row r="93" spans="2:9" ht="23" customHeight="1">
      <c r="B93" s="355" t="s">
        <v>1044</v>
      </c>
      <c r="C93" s="698">
        <v>61</v>
      </c>
      <c r="D93" s="687">
        <v>15152.190000000002</v>
      </c>
      <c r="E93" s="686">
        <v>24762.87</v>
      </c>
      <c r="F93" s="686">
        <v>-9610.6799999999985</v>
      </c>
      <c r="G93" s="686">
        <v>304971.15856799996</v>
      </c>
      <c r="H93" s="687">
        <v>506387.07205359358</v>
      </c>
      <c r="I93" s="352">
        <v>-201415.91348559357</v>
      </c>
    </row>
    <row r="94" spans="2:9" ht="23" customHeight="1">
      <c r="B94" s="355" t="s">
        <v>724</v>
      </c>
      <c r="C94" s="698">
        <v>792</v>
      </c>
      <c r="D94" s="687">
        <v>32440.13</v>
      </c>
      <c r="E94" s="686">
        <v>37515.184239543727</v>
      </c>
      <c r="F94" s="686">
        <v>-5075.0542395437242</v>
      </c>
      <c r="G94" s="686">
        <v>669673.05813100003</v>
      </c>
      <c r="H94" s="687">
        <v>776741.8278934441</v>
      </c>
      <c r="I94" s="352">
        <v>-107068.76976244402</v>
      </c>
    </row>
    <row r="95" spans="2:9" ht="23" customHeight="1">
      <c r="B95" s="355" t="s">
        <v>883</v>
      </c>
      <c r="C95" s="698">
        <v>61</v>
      </c>
      <c r="D95" s="687">
        <v>62696.790000000008</v>
      </c>
      <c r="E95" s="686">
        <v>36019.568372093025</v>
      </c>
      <c r="F95" s="686">
        <v>26677.221627906976</v>
      </c>
      <c r="G95" s="686">
        <v>1247741.357148</v>
      </c>
      <c r="H95" s="687">
        <v>800367.34159943252</v>
      </c>
      <c r="I95" s="352">
        <v>447374.01554856758</v>
      </c>
    </row>
    <row r="96" spans="2:9" ht="23" customHeight="1">
      <c r="B96" s="355" t="s">
        <v>707</v>
      </c>
      <c r="C96" s="698">
        <v>183</v>
      </c>
      <c r="D96" s="687">
        <v>27813.74</v>
      </c>
      <c r="E96" s="686">
        <v>28652.53025536261</v>
      </c>
      <c r="F96" s="686">
        <v>-838.79025536261088</v>
      </c>
      <c r="G96" s="686">
        <v>557079.19479199999</v>
      </c>
      <c r="H96" s="687">
        <v>659557.73783082527</v>
      </c>
      <c r="I96" s="352">
        <v>-102478.5430388252</v>
      </c>
    </row>
    <row r="97" spans="2:9" ht="23" customHeight="1">
      <c r="B97" s="355" t="s">
        <v>720</v>
      </c>
      <c r="C97" s="698">
        <v>1216</v>
      </c>
      <c r="D97" s="687">
        <v>56988.560000000027</v>
      </c>
      <c r="E97" s="686">
        <v>64357.767207928053</v>
      </c>
      <c r="F97" s="686">
        <v>-7369.2072079280688</v>
      </c>
      <c r="G97" s="686">
        <v>1161936.8392690003</v>
      </c>
      <c r="H97" s="687">
        <v>1385476.6953818388</v>
      </c>
      <c r="I97" s="352">
        <v>-223539.85611283843</v>
      </c>
    </row>
    <row r="98" spans="2:9" ht="23" customHeight="1">
      <c r="B98" s="355" t="s">
        <v>718</v>
      </c>
      <c r="C98" s="698">
        <v>385</v>
      </c>
      <c r="D98" s="687">
        <v>15750.300000000001</v>
      </c>
      <c r="E98" s="686">
        <v>22408.431264516126</v>
      </c>
      <c r="F98" s="686">
        <v>-6658.1312645161288</v>
      </c>
      <c r="G98" s="686">
        <v>317009.43816000002</v>
      </c>
      <c r="H98" s="687">
        <v>516075.22191802517</v>
      </c>
      <c r="I98" s="352">
        <v>-199065.78375802515</v>
      </c>
    </row>
    <row r="99" spans="2:9" ht="23" customHeight="1">
      <c r="B99" s="355" t="s">
        <v>887</v>
      </c>
      <c r="C99" s="698">
        <v>1798</v>
      </c>
      <c r="D99" s="687">
        <v>27921.149999999991</v>
      </c>
      <c r="E99" s="686">
        <v>51551.55</v>
      </c>
      <c r="F99" s="686">
        <v>-23630.400000000001</v>
      </c>
      <c r="G99" s="686">
        <v>568105.3006079999</v>
      </c>
      <c r="H99" s="687">
        <v>1057251.6166632085</v>
      </c>
      <c r="I99" s="352">
        <v>-489146.31605520856</v>
      </c>
    </row>
    <row r="100" spans="2:9" ht="23" customHeight="1">
      <c r="B100" s="355" t="s">
        <v>891</v>
      </c>
      <c r="C100" s="698">
        <v>345</v>
      </c>
      <c r="D100" s="687">
        <v>32470.02</v>
      </c>
      <c r="E100" s="686">
        <v>47484.030000000006</v>
      </c>
      <c r="F100" s="686">
        <v>-15014.010000000002</v>
      </c>
      <c r="G100" s="686">
        <v>670229.91782999993</v>
      </c>
      <c r="H100" s="687">
        <v>981691.65333999996</v>
      </c>
      <c r="I100" s="352">
        <v>-311461.73550999997</v>
      </c>
    </row>
    <row r="101" spans="2:9" ht="23" customHeight="1">
      <c r="B101" s="355" t="s">
        <v>714</v>
      </c>
      <c r="C101" s="698">
        <v>650</v>
      </c>
      <c r="D101" s="687">
        <v>75483.200000000026</v>
      </c>
      <c r="E101" s="686">
        <v>105963.46636363635</v>
      </c>
      <c r="F101" s="686">
        <v>-30480.266363636365</v>
      </c>
      <c r="G101" s="686">
        <v>1520297.3417949998</v>
      </c>
      <c r="H101" s="687">
        <v>2346937.77954076</v>
      </c>
      <c r="I101" s="352">
        <v>-826640.43774576008</v>
      </c>
    </row>
    <row r="102" spans="2:9" ht="23" customHeight="1">
      <c r="B102" s="355" t="s">
        <v>1045</v>
      </c>
      <c r="C102" s="698">
        <v>65</v>
      </c>
      <c r="D102" s="687">
        <v>1499.4099999999999</v>
      </c>
      <c r="E102" s="686">
        <v>2586.6912499999999</v>
      </c>
      <c r="F102" s="686">
        <v>-1087.28125</v>
      </c>
      <c r="G102" s="686">
        <v>31104.341978999997</v>
      </c>
      <c r="H102" s="687">
        <v>52834.979465124998</v>
      </c>
      <c r="I102" s="352">
        <v>-21730.637486124997</v>
      </c>
    </row>
    <row r="103" spans="2:9" ht="23" customHeight="1">
      <c r="B103" s="355" t="s">
        <v>719</v>
      </c>
      <c r="C103" s="698">
        <v>284</v>
      </c>
      <c r="D103" s="687">
        <v>42871.05</v>
      </c>
      <c r="E103" s="686">
        <v>49139.149692307692</v>
      </c>
      <c r="F103" s="686">
        <v>-6268.0996923076937</v>
      </c>
      <c r="G103" s="686">
        <v>858634.0354660002</v>
      </c>
      <c r="H103" s="687">
        <v>1084363.9716561725</v>
      </c>
      <c r="I103" s="352">
        <v>-225729.93619017254</v>
      </c>
    </row>
    <row r="104" spans="2:9" ht="23" customHeight="1">
      <c r="B104" s="355" t="s">
        <v>948</v>
      </c>
      <c r="C104" s="698">
        <v>161</v>
      </c>
      <c r="D104" s="687">
        <v>24542.44</v>
      </c>
      <c r="E104" s="686">
        <v>40889.57</v>
      </c>
      <c r="F104" s="686">
        <v>-16347.130000000001</v>
      </c>
      <c r="G104" s="686">
        <v>501703.92121199996</v>
      </c>
      <c r="H104" s="687">
        <v>868969.55998082005</v>
      </c>
      <c r="I104" s="352">
        <v>-367265.63876882009</v>
      </c>
    </row>
    <row r="105" spans="2:9" ht="23" customHeight="1">
      <c r="B105" s="357" t="s">
        <v>1255</v>
      </c>
      <c r="C105" s="702">
        <v>23754</v>
      </c>
      <c r="D105" s="689">
        <v>1862945.3699999996</v>
      </c>
      <c r="E105" s="688">
        <v>2384225.4240681431</v>
      </c>
      <c r="F105" s="688">
        <v>-521280.05406814406</v>
      </c>
      <c r="G105" s="688">
        <v>37889215.253000997</v>
      </c>
      <c r="H105" s="689">
        <v>51324858.460740127</v>
      </c>
      <c r="I105" s="358">
        <v>-13435643.207739113</v>
      </c>
    </row>
    <row r="106" spans="2:9" ht="23" customHeight="1">
      <c r="B106" s="356"/>
      <c r="C106" s="698"/>
      <c r="D106" s="687"/>
      <c r="E106" s="686"/>
      <c r="F106" s="686"/>
      <c r="G106" s="686"/>
      <c r="H106" s="687"/>
      <c r="I106" s="352"/>
    </row>
    <row r="107" spans="2:9" ht="23" customHeight="1">
      <c r="B107" s="354" t="s">
        <v>1266</v>
      </c>
      <c r="C107" s="698"/>
      <c r="D107" s="687"/>
      <c r="E107" s="686"/>
      <c r="F107" s="686"/>
      <c r="G107" s="686"/>
      <c r="H107" s="687"/>
      <c r="I107" s="352"/>
    </row>
    <row r="108" spans="2:9" ht="23" customHeight="1">
      <c r="B108" s="355" t="s">
        <v>751</v>
      </c>
      <c r="C108" s="698">
        <v>70</v>
      </c>
      <c r="D108" s="687">
        <v>7743.22</v>
      </c>
      <c r="E108" s="686">
        <v>8100.11</v>
      </c>
      <c r="F108" s="686">
        <v>-356.88999999999942</v>
      </c>
      <c r="G108" s="686">
        <v>153794.28699600001</v>
      </c>
      <c r="H108" s="687">
        <v>177811.19602715396</v>
      </c>
      <c r="I108" s="352">
        <v>-24016.909031153948</v>
      </c>
    </row>
    <row r="109" spans="2:9" ht="23" customHeight="1">
      <c r="B109" s="355" t="s">
        <v>832</v>
      </c>
      <c r="C109" s="698">
        <v>79</v>
      </c>
      <c r="D109" s="687">
        <v>12580.14</v>
      </c>
      <c r="E109" s="686">
        <v>7080.41</v>
      </c>
      <c r="F109" s="686">
        <v>5499.73</v>
      </c>
      <c r="G109" s="686">
        <v>258628.80818999998</v>
      </c>
      <c r="H109" s="687">
        <v>190826.80694221691</v>
      </c>
      <c r="I109" s="352">
        <v>67802.001247783046</v>
      </c>
    </row>
    <row r="110" spans="2:9" ht="23" customHeight="1">
      <c r="B110" s="355" t="s">
        <v>1008</v>
      </c>
      <c r="C110" s="698">
        <v>343</v>
      </c>
      <c r="D110" s="687">
        <v>99828.390000000014</v>
      </c>
      <c r="E110" s="686">
        <v>109768.49999999999</v>
      </c>
      <c r="F110" s="686">
        <v>-9940.11</v>
      </c>
      <c r="G110" s="686">
        <v>2005661.0079599998</v>
      </c>
      <c r="H110" s="687">
        <v>2451706.5186890122</v>
      </c>
      <c r="I110" s="352">
        <v>-446045.51072901196</v>
      </c>
    </row>
    <row r="111" spans="2:9" ht="23" customHeight="1">
      <c r="B111" s="355" t="s">
        <v>838</v>
      </c>
      <c r="C111" s="698">
        <v>257</v>
      </c>
      <c r="D111" s="687">
        <v>35064.78</v>
      </c>
      <c r="E111" s="686">
        <v>18295.010000000002</v>
      </c>
      <c r="F111" s="686">
        <v>16769.77</v>
      </c>
      <c r="G111" s="686">
        <v>695227.96076399996</v>
      </c>
      <c r="H111" s="687">
        <v>415195.86816966301</v>
      </c>
      <c r="I111" s="352">
        <v>280032.09259433695</v>
      </c>
    </row>
    <row r="112" spans="2:9" ht="23" customHeight="1">
      <c r="B112" s="355" t="s">
        <v>839</v>
      </c>
      <c r="C112" s="698">
        <v>253</v>
      </c>
      <c r="D112" s="687">
        <v>34497.369999999995</v>
      </c>
      <c r="E112" s="686">
        <v>24363.64</v>
      </c>
      <c r="F112" s="686">
        <v>10133.73</v>
      </c>
      <c r="G112" s="686">
        <v>683798.21165399998</v>
      </c>
      <c r="H112" s="687">
        <v>543754.04061919998</v>
      </c>
      <c r="I112" s="352">
        <v>140044.17103480001</v>
      </c>
    </row>
    <row r="113" spans="2:9" ht="23" customHeight="1">
      <c r="B113" s="355" t="s">
        <v>939</v>
      </c>
      <c r="C113" s="698">
        <v>329</v>
      </c>
      <c r="D113" s="687">
        <v>4069.28</v>
      </c>
      <c r="E113" s="686">
        <v>4393.8</v>
      </c>
      <c r="F113" s="686">
        <v>-324.52</v>
      </c>
      <c r="G113" s="686">
        <v>84426.572944</v>
      </c>
      <c r="H113" s="687">
        <v>85919.440860000002</v>
      </c>
      <c r="I113" s="352">
        <v>-1492.8679160000029</v>
      </c>
    </row>
    <row r="114" spans="2:9" ht="23" customHeight="1">
      <c r="B114" s="355" t="s">
        <v>750</v>
      </c>
      <c r="C114" s="698">
        <v>132</v>
      </c>
      <c r="D114" s="687">
        <v>21940.149999999998</v>
      </c>
      <c r="E114" s="686">
        <v>11487.65</v>
      </c>
      <c r="F114" s="686">
        <v>10452.499999999998</v>
      </c>
      <c r="G114" s="686">
        <v>441983.58435399999</v>
      </c>
      <c r="H114" s="687">
        <v>305891.75304160966</v>
      </c>
      <c r="I114" s="352">
        <v>136091.83131239028</v>
      </c>
    </row>
    <row r="115" spans="2:9" ht="23" customHeight="1">
      <c r="B115" s="355" t="s">
        <v>971</v>
      </c>
      <c r="C115" s="698">
        <v>28</v>
      </c>
      <c r="D115" s="687">
        <v>7777.1</v>
      </c>
      <c r="E115" s="686">
        <v>6773.4000000000005</v>
      </c>
      <c r="F115" s="686">
        <v>1003.6999999999998</v>
      </c>
      <c r="G115" s="686">
        <v>154467.20478</v>
      </c>
      <c r="H115" s="687">
        <v>152975.956904586</v>
      </c>
      <c r="I115" s="352">
        <v>1491.2478754139811</v>
      </c>
    </row>
    <row r="116" spans="2:9" ht="23" customHeight="1">
      <c r="B116" s="355" t="s">
        <v>757</v>
      </c>
      <c r="C116" s="698">
        <v>205</v>
      </c>
      <c r="D116" s="687">
        <v>56413.960000000006</v>
      </c>
      <c r="E116" s="686">
        <v>23341</v>
      </c>
      <c r="F116" s="686">
        <v>33072.959999999999</v>
      </c>
      <c r="G116" s="686">
        <v>1142595.3268520001</v>
      </c>
      <c r="H116" s="687">
        <v>541813.93071063841</v>
      </c>
      <c r="I116" s="352">
        <v>600781.39614136168</v>
      </c>
    </row>
    <row r="117" spans="2:9" ht="23" customHeight="1">
      <c r="B117" s="355" t="s">
        <v>716</v>
      </c>
      <c r="C117" s="698">
        <v>220</v>
      </c>
      <c r="D117" s="687">
        <v>35915.990000000005</v>
      </c>
      <c r="E117" s="686">
        <v>18312.190000000002</v>
      </c>
      <c r="F117" s="686">
        <v>17603.800000000003</v>
      </c>
      <c r="G117" s="686">
        <v>710674.78630799998</v>
      </c>
      <c r="H117" s="687">
        <v>458287.48744711443</v>
      </c>
      <c r="I117" s="352">
        <v>252387.29886088561</v>
      </c>
    </row>
    <row r="118" spans="2:9" ht="23" customHeight="1">
      <c r="B118" s="355" t="s">
        <v>772</v>
      </c>
      <c r="C118" s="698">
        <v>77</v>
      </c>
      <c r="D118" s="687">
        <v>8189.55</v>
      </c>
      <c r="E118" s="686">
        <v>8707.91</v>
      </c>
      <c r="F118" s="686">
        <v>-518.35999999999967</v>
      </c>
      <c r="G118" s="686">
        <v>162659.20418999999</v>
      </c>
      <c r="H118" s="687">
        <v>203565.61232692897</v>
      </c>
      <c r="I118" s="352">
        <v>-40906.408136928978</v>
      </c>
    </row>
    <row r="119" spans="2:9" ht="23" customHeight="1">
      <c r="B119" s="355" t="s">
        <v>960</v>
      </c>
      <c r="C119" s="698">
        <v>374</v>
      </c>
      <c r="D119" s="687">
        <v>6399.7099999999991</v>
      </c>
      <c r="E119" s="686">
        <v>7867.09</v>
      </c>
      <c r="F119" s="686">
        <v>-1467.38</v>
      </c>
      <c r="G119" s="686">
        <v>127896.76953199999</v>
      </c>
      <c r="H119" s="687">
        <v>156596.3265558538</v>
      </c>
      <c r="I119" s="352">
        <v>-28699.557023853791</v>
      </c>
    </row>
    <row r="120" spans="2:9" ht="23" customHeight="1">
      <c r="B120" s="355" t="s">
        <v>1017</v>
      </c>
      <c r="C120" s="698">
        <v>1</v>
      </c>
      <c r="D120" s="687">
        <v>2262.6799999999998</v>
      </c>
      <c r="E120" s="686">
        <v>2326.25</v>
      </c>
      <c r="F120" s="686">
        <v>-63.570000000000164</v>
      </c>
      <c r="G120" s="686">
        <v>45300.437475999999</v>
      </c>
      <c r="H120" s="687">
        <v>46650.310109324993</v>
      </c>
      <c r="I120" s="352">
        <v>-1349.8726333249942</v>
      </c>
    </row>
    <row r="121" spans="2:9" ht="23" customHeight="1">
      <c r="B121" s="355" t="s">
        <v>1018</v>
      </c>
      <c r="C121" s="698">
        <v>29</v>
      </c>
      <c r="D121" s="687">
        <v>7577.26</v>
      </c>
      <c r="E121" s="686">
        <v>5982.99</v>
      </c>
      <c r="F121" s="686">
        <v>1594.2700000000004</v>
      </c>
      <c r="G121" s="686">
        <v>151702.04928200002</v>
      </c>
      <c r="H121" s="687">
        <v>119417.38294624709</v>
      </c>
      <c r="I121" s="352">
        <v>32284.666335752932</v>
      </c>
    </row>
    <row r="122" spans="2:9" ht="23" customHeight="1">
      <c r="B122" s="355" t="s">
        <v>972</v>
      </c>
      <c r="C122" s="698">
        <v>4</v>
      </c>
      <c r="D122" s="687">
        <v>8513.75</v>
      </c>
      <c r="E122" s="686">
        <v>8489.27</v>
      </c>
      <c r="F122" s="686">
        <v>24.479999999999563</v>
      </c>
      <c r="G122" s="686">
        <v>169098.39974999998</v>
      </c>
      <c r="H122" s="687">
        <v>184343.050629465</v>
      </c>
      <c r="I122" s="352">
        <v>-15244.650879465014</v>
      </c>
    </row>
    <row r="123" spans="2:9" ht="23" customHeight="1">
      <c r="B123" s="355" t="s">
        <v>973</v>
      </c>
      <c r="C123" s="698">
        <v>187</v>
      </c>
      <c r="D123" s="687">
        <v>7922.08</v>
      </c>
      <c r="E123" s="686">
        <v>7353.94</v>
      </c>
      <c r="F123" s="686">
        <v>568.14000000000033</v>
      </c>
      <c r="G123" s="686">
        <v>157346.76854399999</v>
      </c>
      <c r="H123" s="687">
        <v>168566.244560967</v>
      </c>
      <c r="I123" s="352">
        <v>-11219.476016967004</v>
      </c>
    </row>
    <row r="124" spans="2:9" ht="23" customHeight="1">
      <c r="B124" s="355" t="s">
        <v>782</v>
      </c>
      <c r="C124" s="698">
        <v>18</v>
      </c>
      <c r="D124" s="687">
        <v>10681.18</v>
      </c>
      <c r="E124" s="686">
        <v>4684.7700000000004</v>
      </c>
      <c r="F124" s="686">
        <v>5996.41</v>
      </c>
      <c r="G124" s="686">
        <v>218013.56498000002</v>
      </c>
      <c r="H124" s="687">
        <v>125224.51135433851</v>
      </c>
      <c r="I124" s="352">
        <v>92789.053625661516</v>
      </c>
    </row>
    <row r="125" spans="2:9" ht="23" customHeight="1">
      <c r="B125" s="355" t="s">
        <v>743</v>
      </c>
      <c r="C125" s="698">
        <v>358</v>
      </c>
      <c r="D125" s="687">
        <v>15532.509999999998</v>
      </c>
      <c r="E125" s="686">
        <v>16166.85</v>
      </c>
      <c r="F125" s="686">
        <v>-634.34000000000106</v>
      </c>
      <c r="G125" s="686">
        <v>314443.23894199997</v>
      </c>
      <c r="H125" s="687">
        <v>431183.73014375486</v>
      </c>
      <c r="I125" s="352">
        <v>-116740.49120175489</v>
      </c>
    </row>
    <row r="126" spans="2:9" ht="23" customHeight="1">
      <c r="B126" s="355" t="s">
        <v>737</v>
      </c>
      <c r="C126" s="698">
        <v>50</v>
      </c>
      <c r="D126" s="687">
        <v>12417.92</v>
      </c>
      <c r="E126" s="686">
        <v>8385.36</v>
      </c>
      <c r="F126" s="686">
        <v>4032.5599999999995</v>
      </c>
      <c r="G126" s="686">
        <v>255293.80831999995</v>
      </c>
      <c r="H126" s="687">
        <v>202851.65103226982</v>
      </c>
      <c r="I126" s="352">
        <v>52442.157287730108</v>
      </c>
    </row>
    <row r="127" spans="2:9" ht="23" customHeight="1">
      <c r="B127" s="355" t="s">
        <v>840</v>
      </c>
      <c r="C127" s="698">
        <v>801</v>
      </c>
      <c r="D127" s="687">
        <v>30792.93</v>
      </c>
      <c r="E127" s="686">
        <v>45742.920000000006</v>
      </c>
      <c r="F127" s="686">
        <v>-14949.990000000002</v>
      </c>
      <c r="G127" s="686">
        <v>623378.23350600002</v>
      </c>
      <c r="H127" s="687">
        <v>1051860.2321160475</v>
      </c>
      <c r="I127" s="352">
        <v>-428481.99861004751</v>
      </c>
    </row>
    <row r="128" spans="2:9" ht="23" customHeight="1">
      <c r="B128" s="355" t="s">
        <v>738</v>
      </c>
      <c r="C128" s="698">
        <v>935</v>
      </c>
      <c r="D128" s="687">
        <v>84002.44</v>
      </c>
      <c r="E128" s="686">
        <v>32832.229999999996</v>
      </c>
      <c r="F128" s="686">
        <v>51170.210000000006</v>
      </c>
      <c r="G128" s="686">
        <v>1709302.022628</v>
      </c>
      <c r="H128" s="687">
        <v>812638.08919983043</v>
      </c>
      <c r="I128" s="352">
        <v>896663.93342816958</v>
      </c>
    </row>
    <row r="129" spans="2:9" ht="23" customHeight="1">
      <c r="B129" s="355" t="s">
        <v>755</v>
      </c>
      <c r="C129" s="698">
        <v>60</v>
      </c>
      <c r="D129" s="687">
        <v>33469.050000000003</v>
      </c>
      <c r="E129" s="686">
        <v>18318.599999999999</v>
      </c>
      <c r="F129" s="686">
        <v>15150.449999999999</v>
      </c>
      <c r="G129" s="686">
        <v>672125.06826499989</v>
      </c>
      <c r="H129" s="687">
        <v>404947.15024234075</v>
      </c>
      <c r="I129" s="352">
        <v>267177.91802265914</v>
      </c>
    </row>
    <row r="130" spans="2:9" ht="23" customHeight="1">
      <c r="B130" s="355" t="s">
        <v>833</v>
      </c>
      <c r="C130" s="698">
        <v>55</v>
      </c>
      <c r="D130" s="687">
        <v>10295.61</v>
      </c>
      <c r="E130" s="686">
        <v>10054.19</v>
      </c>
      <c r="F130" s="686">
        <v>241.42000000000007</v>
      </c>
      <c r="G130" s="686">
        <v>205565.23794300001</v>
      </c>
      <c r="H130" s="687">
        <v>275220.01653969631</v>
      </c>
      <c r="I130" s="352">
        <v>-69654.778596696298</v>
      </c>
    </row>
    <row r="131" spans="2:9" ht="23" customHeight="1">
      <c r="B131" s="355" t="s">
        <v>1005</v>
      </c>
      <c r="C131" s="698">
        <v>18</v>
      </c>
      <c r="D131" s="687">
        <v>5769.06</v>
      </c>
      <c r="E131" s="686">
        <v>7053.55</v>
      </c>
      <c r="F131" s="686">
        <v>-1284.49</v>
      </c>
      <c r="G131" s="686">
        <v>115500.61954200001</v>
      </c>
      <c r="H131" s="687">
        <v>140942.617840997</v>
      </c>
      <c r="I131" s="352">
        <v>-25441.998298996987</v>
      </c>
    </row>
    <row r="132" spans="2:9" ht="23" customHeight="1">
      <c r="B132" s="355" t="s">
        <v>834</v>
      </c>
      <c r="C132" s="698">
        <v>55.4</v>
      </c>
      <c r="D132" s="687">
        <v>1695.04</v>
      </c>
      <c r="E132" s="686">
        <v>1557.25</v>
      </c>
      <c r="F132" s="686">
        <v>137.78999999999994</v>
      </c>
      <c r="G132" s="686">
        <v>33749.692927999997</v>
      </c>
      <c r="H132" s="687">
        <v>37421.686570667</v>
      </c>
      <c r="I132" s="352">
        <v>-3671.9936426670006</v>
      </c>
    </row>
    <row r="133" spans="2:9" ht="23" customHeight="1">
      <c r="B133" s="355" t="s">
        <v>763</v>
      </c>
      <c r="C133" s="698">
        <v>565</v>
      </c>
      <c r="D133" s="687">
        <v>44071.82</v>
      </c>
      <c r="E133" s="686">
        <v>47113.04</v>
      </c>
      <c r="F133" s="686">
        <v>-3041.2200000000003</v>
      </c>
      <c r="G133" s="686">
        <v>882942.72819399997</v>
      </c>
      <c r="H133" s="687">
        <v>1059666.611747771</v>
      </c>
      <c r="I133" s="352">
        <v>-176723.88355377101</v>
      </c>
    </row>
    <row r="134" spans="2:9" ht="23" customHeight="1">
      <c r="B134" s="355" t="s">
        <v>975</v>
      </c>
      <c r="C134" s="698">
        <v>68</v>
      </c>
      <c r="D134" s="687">
        <v>6918.16</v>
      </c>
      <c r="E134" s="686">
        <v>8917.92</v>
      </c>
      <c r="F134" s="686">
        <v>-1999.7600000000002</v>
      </c>
      <c r="G134" s="686">
        <v>137407.110288</v>
      </c>
      <c r="H134" s="687">
        <v>204613.40463442562</v>
      </c>
      <c r="I134" s="352">
        <v>-67206.294346425624</v>
      </c>
    </row>
    <row r="135" spans="2:9" ht="23" customHeight="1">
      <c r="B135" s="355" t="s">
        <v>783</v>
      </c>
      <c r="C135" s="698">
        <v>63</v>
      </c>
      <c r="D135" s="687">
        <v>22165.35</v>
      </c>
      <c r="E135" s="686">
        <v>12649.45</v>
      </c>
      <c r="F135" s="686">
        <v>9515.8999999999978</v>
      </c>
      <c r="G135" s="686">
        <v>453926.54907499999</v>
      </c>
      <c r="H135" s="687">
        <v>310340.39640261472</v>
      </c>
      <c r="I135" s="352">
        <v>143586.15267238527</v>
      </c>
    </row>
    <row r="136" spans="2:9" ht="23" customHeight="1">
      <c r="B136" s="355" t="s">
        <v>775</v>
      </c>
      <c r="C136" s="698">
        <v>100</v>
      </c>
      <c r="D136" s="687">
        <v>28172.06</v>
      </c>
      <c r="E136" s="686">
        <v>21449.66</v>
      </c>
      <c r="F136" s="686">
        <v>6722.4000000000015</v>
      </c>
      <c r="G136" s="686">
        <v>572643.65244199999</v>
      </c>
      <c r="H136" s="687">
        <v>481435.10854500788</v>
      </c>
      <c r="I136" s="352">
        <v>91208.543896992051</v>
      </c>
    </row>
    <row r="137" spans="2:9" ht="23" customHeight="1">
      <c r="B137" s="355" t="s">
        <v>768</v>
      </c>
      <c r="C137" s="698">
        <v>78</v>
      </c>
      <c r="D137" s="687">
        <v>15213.7</v>
      </c>
      <c r="E137" s="686">
        <v>12172.79</v>
      </c>
      <c r="F137" s="686">
        <v>3040.9099999999989</v>
      </c>
      <c r="G137" s="686">
        <v>303040.35803499998</v>
      </c>
      <c r="H137" s="687">
        <v>290572.582182321</v>
      </c>
      <c r="I137" s="352">
        <v>12467.775852678995</v>
      </c>
    </row>
    <row r="138" spans="2:9" ht="23" customHeight="1">
      <c r="B138" s="355" t="s">
        <v>1011</v>
      </c>
      <c r="C138" s="698">
        <v>71</v>
      </c>
      <c r="D138" s="687">
        <v>1817.72</v>
      </c>
      <c r="E138" s="686">
        <v>2697.29</v>
      </c>
      <c r="F138" s="686">
        <v>-879.56999999999994</v>
      </c>
      <c r="G138" s="686">
        <v>36392.026804000001</v>
      </c>
      <c r="H138" s="687">
        <v>53836.511985994097</v>
      </c>
      <c r="I138" s="352">
        <v>-17444.485181994096</v>
      </c>
    </row>
    <row r="139" spans="2:9" ht="23" customHeight="1">
      <c r="B139" s="355" t="s">
        <v>758</v>
      </c>
      <c r="C139" s="698">
        <v>2723</v>
      </c>
      <c r="D139" s="687">
        <v>97776.700000000012</v>
      </c>
      <c r="E139" s="686">
        <v>134033.10999999999</v>
      </c>
      <c r="F139" s="686">
        <v>-36256.410000000003</v>
      </c>
      <c r="G139" s="686">
        <v>1967742.7846149998</v>
      </c>
      <c r="H139" s="687">
        <v>3097292.7703683483</v>
      </c>
      <c r="I139" s="352">
        <v>-1129549.9857533488</v>
      </c>
    </row>
    <row r="140" spans="2:9" ht="23" customHeight="1">
      <c r="B140" s="355" t="s">
        <v>784</v>
      </c>
      <c r="C140" s="698">
        <v>659</v>
      </c>
      <c r="D140" s="687">
        <v>67404.400000000009</v>
      </c>
      <c r="E140" s="686">
        <v>51129.380000000005</v>
      </c>
      <c r="F140" s="686">
        <v>16275.02</v>
      </c>
      <c r="G140" s="686">
        <v>1344694.4246809999</v>
      </c>
      <c r="H140" s="687">
        <v>1185890.3224679464</v>
      </c>
      <c r="I140" s="352">
        <v>158804.10221305361</v>
      </c>
    </row>
    <row r="141" spans="2:9" ht="23" customHeight="1">
      <c r="B141" s="355" t="s">
        <v>976</v>
      </c>
      <c r="C141" s="698">
        <v>27</v>
      </c>
      <c r="D141" s="687">
        <v>6211.75</v>
      </c>
      <c r="E141" s="686">
        <v>7857.86</v>
      </c>
      <c r="F141" s="686">
        <v>-1646.1099999999997</v>
      </c>
      <c r="G141" s="686">
        <v>123376.53614999999</v>
      </c>
      <c r="H141" s="687">
        <v>161858.9203568176</v>
      </c>
      <c r="I141" s="352">
        <v>-38482.384206817616</v>
      </c>
    </row>
    <row r="142" spans="2:9" ht="23" customHeight="1">
      <c r="B142" s="355" t="s">
        <v>842</v>
      </c>
      <c r="C142" s="698">
        <v>13</v>
      </c>
      <c r="D142" s="687">
        <v>681.44</v>
      </c>
      <c r="E142" s="686">
        <v>810.03</v>
      </c>
      <c r="F142" s="686">
        <v>-128.58999999999992</v>
      </c>
      <c r="G142" s="686">
        <v>13338.642848000001</v>
      </c>
      <c r="H142" s="687">
        <v>18373.467581796602</v>
      </c>
      <c r="I142" s="352">
        <v>-5034.8247337966004</v>
      </c>
    </row>
    <row r="143" spans="2:9" ht="23" customHeight="1">
      <c r="B143" s="355" t="s">
        <v>1014</v>
      </c>
      <c r="C143" s="698">
        <v>140</v>
      </c>
      <c r="D143" s="687">
        <v>7147.46</v>
      </c>
      <c r="E143" s="686">
        <v>7660.8</v>
      </c>
      <c r="F143" s="686">
        <v>-513.34000000000015</v>
      </c>
      <c r="G143" s="686">
        <v>143097.15242200001</v>
      </c>
      <c r="H143" s="687">
        <v>152905.601927232</v>
      </c>
      <c r="I143" s="352">
        <v>-9808.4495052319835</v>
      </c>
    </row>
    <row r="144" spans="2:9" ht="23" customHeight="1">
      <c r="B144" s="355" t="s">
        <v>788</v>
      </c>
      <c r="C144" s="698">
        <v>148</v>
      </c>
      <c r="D144" s="687">
        <v>22299.54</v>
      </c>
      <c r="E144" s="686">
        <v>13337.34</v>
      </c>
      <c r="F144" s="686">
        <v>8962.2000000000007</v>
      </c>
      <c r="G144" s="686">
        <v>452685.12190799997</v>
      </c>
      <c r="H144" s="687">
        <v>342523.94108791428</v>
      </c>
      <c r="I144" s="352">
        <v>110161.18082008572</v>
      </c>
    </row>
    <row r="145" spans="2:9" ht="23" customHeight="1">
      <c r="B145" s="355" t="s">
        <v>941</v>
      </c>
      <c r="C145" s="698">
        <v>171</v>
      </c>
      <c r="D145" s="687">
        <v>2844.57</v>
      </c>
      <c r="E145" s="686">
        <v>3394.08</v>
      </c>
      <c r="F145" s="686">
        <v>-549.50999999999976</v>
      </c>
      <c r="G145" s="686">
        <v>59017.147161000001</v>
      </c>
      <c r="H145" s="687">
        <v>66370.216176000002</v>
      </c>
      <c r="I145" s="352">
        <v>-7353.0690150000009</v>
      </c>
    </row>
    <row r="146" spans="2:9" ht="23" customHeight="1">
      <c r="B146" s="355" t="s">
        <v>942</v>
      </c>
      <c r="C146" s="698">
        <v>205</v>
      </c>
      <c r="D146" s="687">
        <v>9498.4700000000012</v>
      </c>
      <c r="E146" s="686">
        <v>10505.720000000001</v>
      </c>
      <c r="F146" s="686">
        <v>-1007.25</v>
      </c>
      <c r="G146" s="686">
        <v>195226.82365900002</v>
      </c>
      <c r="H146" s="687">
        <v>206680.8436605836</v>
      </c>
      <c r="I146" s="352">
        <v>-11454.020001583587</v>
      </c>
    </row>
    <row r="147" spans="2:9" ht="23" customHeight="1">
      <c r="B147" s="355" t="s">
        <v>943</v>
      </c>
      <c r="C147" s="698">
        <v>25</v>
      </c>
      <c r="D147" s="687">
        <v>5696.42</v>
      </c>
      <c r="E147" s="686">
        <v>6107.74</v>
      </c>
      <c r="F147" s="686">
        <v>-411.31999999999971</v>
      </c>
      <c r="G147" s="686">
        <v>118185.334666</v>
      </c>
      <c r="H147" s="687">
        <v>119435.023378</v>
      </c>
      <c r="I147" s="352">
        <v>-1249.6887120000174</v>
      </c>
    </row>
    <row r="148" spans="2:9" ht="23" customHeight="1">
      <c r="B148" s="355" t="s">
        <v>977</v>
      </c>
      <c r="C148" s="698">
        <v>19</v>
      </c>
      <c r="D148" s="687">
        <v>4575.91</v>
      </c>
      <c r="E148" s="686">
        <v>4641.87</v>
      </c>
      <c r="F148" s="686">
        <v>-65.960000000000036</v>
      </c>
      <c r="G148" s="686">
        <v>90885.809237999987</v>
      </c>
      <c r="H148" s="687">
        <v>91442.076066138616</v>
      </c>
      <c r="I148" s="352">
        <v>-556.26682813862863</v>
      </c>
    </row>
    <row r="149" spans="2:9" ht="23" customHeight="1">
      <c r="B149" s="355" t="s">
        <v>978</v>
      </c>
      <c r="C149" s="698">
        <v>20</v>
      </c>
      <c r="D149" s="687">
        <v>5538.87</v>
      </c>
      <c r="E149" s="686">
        <v>3207.74</v>
      </c>
      <c r="F149" s="686">
        <v>2331.13</v>
      </c>
      <c r="G149" s="686">
        <v>110011.928166</v>
      </c>
      <c r="H149" s="687">
        <v>74028.258459824181</v>
      </c>
      <c r="I149" s="352">
        <v>35983.669706175817</v>
      </c>
    </row>
    <row r="150" spans="2:9" ht="23" customHeight="1">
      <c r="B150" s="355" t="s">
        <v>779</v>
      </c>
      <c r="C150" s="698">
        <v>70</v>
      </c>
      <c r="D150" s="687">
        <v>28012.059999999998</v>
      </c>
      <c r="E150" s="686">
        <v>25001.95</v>
      </c>
      <c r="F150" s="686">
        <v>3010.1099999999997</v>
      </c>
      <c r="G150" s="686">
        <v>569130.7412719999</v>
      </c>
      <c r="H150" s="687">
        <v>674803.58332036377</v>
      </c>
      <c r="I150" s="352">
        <v>-105672.84204836379</v>
      </c>
    </row>
    <row r="151" spans="2:9" ht="23" customHeight="1">
      <c r="B151" s="355" t="s">
        <v>748</v>
      </c>
      <c r="C151" s="698">
        <v>618</v>
      </c>
      <c r="D151" s="687">
        <v>115554.40000000001</v>
      </c>
      <c r="E151" s="686">
        <v>75314.090000000011</v>
      </c>
      <c r="F151" s="686">
        <v>40240.31</v>
      </c>
      <c r="G151" s="686">
        <v>2355859.7755280002</v>
      </c>
      <c r="H151" s="687">
        <v>1726839.469397397</v>
      </c>
      <c r="I151" s="352">
        <v>629020.30613060296</v>
      </c>
    </row>
    <row r="152" spans="2:9" ht="23" customHeight="1">
      <c r="B152" s="355" t="s">
        <v>991</v>
      </c>
      <c r="C152" s="698">
        <v>362</v>
      </c>
      <c r="D152" s="687">
        <v>2430.9899999999998</v>
      </c>
      <c r="E152" s="686">
        <v>4211.87</v>
      </c>
      <c r="F152" s="686">
        <v>-1780.88</v>
      </c>
      <c r="G152" s="686">
        <v>48670.121492999999</v>
      </c>
      <c r="H152" s="687">
        <v>84066.744672782297</v>
      </c>
      <c r="I152" s="352">
        <v>-35396.623179782298</v>
      </c>
    </row>
    <row r="153" spans="2:9" ht="23" customHeight="1">
      <c r="B153" s="355" t="s">
        <v>1009</v>
      </c>
      <c r="C153" s="698">
        <v>16</v>
      </c>
      <c r="D153" s="687">
        <v>5768.9100000000008</v>
      </c>
      <c r="E153" s="686">
        <v>5835.36</v>
      </c>
      <c r="F153" s="686">
        <v>-66.44999999999925</v>
      </c>
      <c r="G153" s="686">
        <v>115497.61643700002</v>
      </c>
      <c r="H153" s="687">
        <v>116991.78708000988</v>
      </c>
      <c r="I153" s="352">
        <v>-1494.1706430098602</v>
      </c>
    </row>
    <row r="154" spans="2:9" ht="23" customHeight="1">
      <c r="B154" s="355" t="s">
        <v>739</v>
      </c>
      <c r="C154" s="698">
        <v>834</v>
      </c>
      <c r="D154" s="687">
        <v>78500.950000000012</v>
      </c>
      <c r="E154" s="686">
        <v>93761.4</v>
      </c>
      <c r="F154" s="686">
        <v>-15260.449999999995</v>
      </c>
      <c r="G154" s="686">
        <v>1566580.65839</v>
      </c>
      <c r="H154" s="687">
        <v>1989955.2990192848</v>
      </c>
      <c r="I154" s="352">
        <v>-423374.6406292849</v>
      </c>
    </row>
    <row r="155" spans="2:9" ht="23" customHeight="1">
      <c r="B155" s="355" t="s">
        <v>875</v>
      </c>
      <c r="C155" s="698">
        <v>914</v>
      </c>
      <c r="D155" s="687">
        <v>166999.1</v>
      </c>
      <c r="E155" s="686">
        <v>184189.3</v>
      </c>
      <c r="F155" s="686">
        <v>-17190.200000000004</v>
      </c>
      <c r="G155" s="686">
        <v>3414670.987892</v>
      </c>
      <c r="H155" s="687">
        <v>4235462.9334674552</v>
      </c>
      <c r="I155" s="352">
        <v>-820791.94557545416</v>
      </c>
    </row>
    <row r="156" spans="2:9" ht="23" customHeight="1">
      <c r="B156" s="355" t="s">
        <v>727</v>
      </c>
      <c r="C156" s="698">
        <v>198</v>
      </c>
      <c r="D156" s="687">
        <v>56301.840000000004</v>
      </c>
      <c r="E156" s="686">
        <v>21284.579999999998</v>
      </c>
      <c r="F156" s="686">
        <v>35017.260000000009</v>
      </c>
      <c r="G156" s="686">
        <v>1115542.0687140001</v>
      </c>
      <c r="H156" s="687">
        <v>482576.34622491</v>
      </c>
      <c r="I156" s="352">
        <v>632965.72248909005</v>
      </c>
    </row>
    <row r="157" spans="2:9" ht="23" customHeight="1">
      <c r="B157" s="355" t="s">
        <v>753</v>
      </c>
      <c r="C157" s="698">
        <v>229</v>
      </c>
      <c r="D157" s="687">
        <v>22531.03</v>
      </c>
      <c r="E157" s="686">
        <v>8565.75</v>
      </c>
      <c r="F157" s="686">
        <v>13965.279999999999</v>
      </c>
      <c r="G157" s="686">
        <v>461255.74803000002</v>
      </c>
      <c r="H157" s="687">
        <v>229791.1897694075</v>
      </c>
      <c r="I157" s="352">
        <v>231464.55826059246</v>
      </c>
    </row>
    <row r="158" spans="2:9" ht="23" customHeight="1">
      <c r="B158" s="355" t="s">
        <v>843</v>
      </c>
      <c r="C158" s="698">
        <v>482.13099999999997</v>
      </c>
      <c r="D158" s="687">
        <v>23214.6</v>
      </c>
      <c r="E158" s="686">
        <v>26199</v>
      </c>
      <c r="F158" s="686">
        <v>-2984.4000000000015</v>
      </c>
      <c r="G158" s="686">
        <v>455303.30687999999</v>
      </c>
      <c r="H158" s="687">
        <v>554086.74695166014</v>
      </c>
      <c r="I158" s="352">
        <v>-98783.440071660152</v>
      </c>
    </row>
    <row r="159" spans="2:9" ht="23" customHeight="1">
      <c r="B159" s="355" t="s">
        <v>844</v>
      </c>
      <c r="C159" s="698">
        <v>28.428999999999998</v>
      </c>
      <c r="D159" s="687">
        <v>5752.83</v>
      </c>
      <c r="E159" s="686">
        <v>4222.84</v>
      </c>
      <c r="F159" s="686">
        <v>1529.9899999999998</v>
      </c>
      <c r="G159" s="686">
        <v>112829.104224</v>
      </c>
      <c r="H159" s="687">
        <v>94999.289818167992</v>
      </c>
      <c r="I159" s="352">
        <v>17829.814405832003</v>
      </c>
    </row>
    <row r="160" spans="2:9" ht="23" customHeight="1">
      <c r="B160" s="355" t="s">
        <v>879</v>
      </c>
      <c r="C160" s="698">
        <v>52</v>
      </c>
      <c r="D160" s="687">
        <v>6089.06</v>
      </c>
      <c r="E160" s="686">
        <v>7584.9</v>
      </c>
      <c r="F160" s="686">
        <v>-1495.8399999999992</v>
      </c>
      <c r="G160" s="686">
        <v>120939.69190799999</v>
      </c>
      <c r="H160" s="687">
        <v>165231.56110032002</v>
      </c>
      <c r="I160" s="352">
        <v>-44291.869192320024</v>
      </c>
    </row>
    <row r="161" spans="2:9" ht="23" customHeight="1">
      <c r="B161" s="355" t="s">
        <v>845</v>
      </c>
      <c r="C161" s="698">
        <v>180.72300000000001</v>
      </c>
      <c r="D161" s="687">
        <v>13362.68</v>
      </c>
      <c r="E161" s="686">
        <v>11694.59</v>
      </c>
      <c r="F161" s="686">
        <v>1668.0900000000001</v>
      </c>
      <c r="G161" s="686">
        <v>262079.57030399999</v>
      </c>
      <c r="H161" s="687">
        <v>318193.59771147126</v>
      </c>
      <c r="I161" s="352">
        <v>-56114.027407471265</v>
      </c>
    </row>
    <row r="162" spans="2:9" ht="23" customHeight="1">
      <c r="B162" s="355" t="s">
        <v>756</v>
      </c>
      <c r="C162" s="698">
        <v>50</v>
      </c>
      <c r="D162" s="687">
        <v>12815.77</v>
      </c>
      <c r="E162" s="686">
        <v>8121.75</v>
      </c>
      <c r="F162" s="686">
        <v>4694.0200000000004</v>
      </c>
      <c r="G162" s="686">
        <v>260149.87838400001</v>
      </c>
      <c r="H162" s="687">
        <v>221060.37957685499</v>
      </c>
      <c r="I162" s="352">
        <v>39089.498807145021</v>
      </c>
    </row>
    <row r="163" spans="2:9" ht="23" customHeight="1">
      <c r="B163" s="355" t="s">
        <v>944</v>
      </c>
      <c r="C163" s="698">
        <v>19</v>
      </c>
      <c r="D163" s="687">
        <v>8891.61</v>
      </c>
      <c r="E163" s="686">
        <v>8988.33</v>
      </c>
      <c r="F163" s="686">
        <v>-96.719999999999345</v>
      </c>
      <c r="G163" s="686">
        <v>184476.900153</v>
      </c>
      <c r="H163" s="687">
        <v>175764.096651</v>
      </c>
      <c r="I163" s="352">
        <v>8712.8035019999952</v>
      </c>
    </row>
    <row r="164" spans="2:9" ht="23" customHeight="1">
      <c r="B164" s="355" t="s">
        <v>831</v>
      </c>
      <c r="C164" s="698">
        <v>102</v>
      </c>
      <c r="D164" s="687">
        <v>68082.25</v>
      </c>
      <c r="E164" s="686">
        <v>32584.940000000002</v>
      </c>
      <c r="F164" s="686">
        <v>35497.31</v>
      </c>
      <c r="G164" s="686">
        <v>1382311.302685</v>
      </c>
      <c r="H164" s="687">
        <v>718343.76249439304</v>
      </c>
      <c r="I164" s="352">
        <v>663967.54019060684</v>
      </c>
    </row>
    <row r="165" spans="2:9" ht="23" customHeight="1">
      <c r="B165" s="355" t="s">
        <v>935</v>
      </c>
      <c r="C165" s="698">
        <v>97</v>
      </c>
      <c r="D165" s="687">
        <v>6650.5599999999995</v>
      </c>
      <c r="E165" s="686">
        <v>7255.28</v>
      </c>
      <c r="F165" s="686">
        <v>-604.7199999999998</v>
      </c>
      <c r="G165" s="686">
        <v>133148.86659200001</v>
      </c>
      <c r="H165" s="687">
        <v>145126.77381709707</v>
      </c>
      <c r="I165" s="352">
        <v>-11977.907225097078</v>
      </c>
    </row>
    <row r="166" spans="2:9" ht="23" customHeight="1">
      <c r="B166" s="355" t="s">
        <v>762</v>
      </c>
      <c r="C166" s="698">
        <v>145</v>
      </c>
      <c r="D166" s="687">
        <v>38233.96</v>
      </c>
      <c r="E166" s="686">
        <v>23219.41</v>
      </c>
      <c r="F166" s="686">
        <v>15014.550000000001</v>
      </c>
      <c r="G166" s="686">
        <v>769065.23212000006</v>
      </c>
      <c r="H166" s="687">
        <v>523574.23796258221</v>
      </c>
      <c r="I166" s="352">
        <v>245490.99415741776</v>
      </c>
    </row>
    <row r="167" spans="2:9" ht="23" customHeight="1">
      <c r="B167" s="355" t="s">
        <v>711</v>
      </c>
      <c r="C167" s="698">
        <v>60</v>
      </c>
      <c r="D167" s="687">
        <v>7413.46</v>
      </c>
      <c r="E167" s="686">
        <v>7172.38</v>
      </c>
      <c r="F167" s="686">
        <v>241.07999999999993</v>
      </c>
      <c r="G167" s="686">
        <v>149222.973088</v>
      </c>
      <c r="H167" s="687">
        <v>140962.95612440142</v>
      </c>
      <c r="I167" s="352">
        <v>8260.0169635985658</v>
      </c>
    </row>
    <row r="168" spans="2:9" ht="23" customHeight="1">
      <c r="B168" s="355" t="s">
        <v>926</v>
      </c>
      <c r="C168" s="698">
        <v>39</v>
      </c>
      <c r="D168" s="687">
        <v>1695.1</v>
      </c>
      <c r="E168" s="686">
        <v>1722.24</v>
      </c>
      <c r="F168" s="686">
        <v>-27.1400000000001</v>
      </c>
      <c r="G168" s="686">
        <v>33667.737179999996</v>
      </c>
      <c r="H168" s="687">
        <v>33927.102888307207</v>
      </c>
      <c r="I168" s="352">
        <v>-259.3657083072103</v>
      </c>
    </row>
    <row r="169" spans="2:9" ht="23" customHeight="1">
      <c r="B169" s="355" t="s">
        <v>934</v>
      </c>
      <c r="C169" s="698">
        <v>66</v>
      </c>
      <c r="D169" s="687">
        <v>8811.99</v>
      </c>
      <c r="E169" s="686">
        <v>8957.8700000000008</v>
      </c>
      <c r="F169" s="686">
        <v>-145.88000000000056</v>
      </c>
      <c r="G169" s="686">
        <v>176422.208193</v>
      </c>
      <c r="H169" s="687">
        <v>179000.22232155781</v>
      </c>
      <c r="I169" s="352">
        <v>-2578.014128557792</v>
      </c>
    </row>
    <row r="170" spans="2:9" ht="23" customHeight="1">
      <c r="B170" s="355" t="s">
        <v>835</v>
      </c>
      <c r="C170" s="698">
        <v>330</v>
      </c>
      <c r="D170" s="687">
        <v>31492.16</v>
      </c>
      <c r="E170" s="686">
        <v>17420.7</v>
      </c>
      <c r="F170" s="686">
        <v>14071.46</v>
      </c>
      <c r="G170" s="686">
        <v>642357.30472199991</v>
      </c>
      <c r="H170" s="687">
        <v>473801.87101850461</v>
      </c>
      <c r="I170" s="352">
        <v>168555.43370349536</v>
      </c>
    </row>
    <row r="171" spans="2:9" ht="23" customHeight="1">
      <c r="B171" s="355" t="s">
        <v>765</v>
      </c>
      <c r="C171" s="698">
        <v>77</v>
      </c>
      <c r="D171" s="687">
        <v>27992.68</v>
      </c>
      <c r="E171" s="686">
        <v>29105.300000000003</v>
      </c>
      <c r="F171" s="686">
        <v>-1112.6199999999999</v>
      </c>
      <c r="G171" s="686">
        <v>558785.75646299997</v>
      </c>
      <c r="H171" s="687">
        <v>631759.28053316753</v>
      </c>
      <c r="I171" s="352">
        <v>-72973.524070167536</v>
      </c>
    </row>
    <row r="172" spans="2:9" ht="23" customHeight="1">
      <c r="B172" s="355" t="s">
        <v>979</v>
      </c>
      <c r="C172" s="698">
        <v>49</v>
      </c>
      <c r="D172" s="687">
        <v>9206.4</v>
      </c>
      <c r="E172" s="686">
        <v>8863.58</v>
      </c>
      <c r="F172" s="686">
        <v>342.81999999999971</v>
      </c>
      <c r="G172" s="686">
        <v>182855.67551999999</v>
      </c>
      <c r="H172" s="687">
        <v>246935.8024974874</v>
      </c>
      <c r="I172" s="352">
        <v>-64080.126977487409</v>
      </c>
    </row>
    <row r="173" spans="2:9" ht="23" customHeight="1">
      <c r="B173" s="355" t="s">
        <v>1012</v>
      </c>
      <c r="C173" s="698">
        <v>32</v>
      </c>
      <c r="D173" s="687">
        <v>1694.4</v>
      </c>
      <c r="E173" s="686">
        <v>2674.88</v>
      </c>
      <c r="F173" s="686">
        <v>-980.48</v>
      </c>
      <c r="G173" s="686">
        <v>33923.074080000006</v>
      </c>
      <c r="H173" s="687">
        <v>53389.2199878752</v>
      </c>
      <c r="I173" s="352">
        <v>-19466.145907875194</v>
      </c>
    </row>
    <row r="174" spans="2:9" ht="23" customHeight="1">
      <c r="B174" s="355" t="s">
        <v>769</v>
      </c>
      <c r="C174" s="698">
        <v>23</v>
      </c>
      <c r="D174" s="687">
        <v>5813.35</v>
      </c>
      <c r="E174" s="686">
        <v>4280.8100000000004</v>
      </c>
      <c r="F174" s="686">
        <v>1532.54</v>
      </c>
      <c r="G174" s="686">
        <v>115463.59503</v>
      </c>
      <c r="H174" s="687">
        <v>119261.6586852343</v>
      </c>
      <c r="I174" s="352">
        <v>-3798.0636552343058</v>
      </c>
    </row>
    <row r="175" spans="2:9" ht="23" customHeight="1">
      <c r="B175" s="355" t="s">
        <v>1007</v>
      </c>
      <c r="C175" s="698">
        <v>14</v>
      </c>
      <c r="D175" s="687">
        <v>1385.34</v>
      </c>
      <c r="E175" s="686">
        <v>1507.87</v>
      </c>
      <c r="F175" s="686">
        <v>-122.52999999999997</v>
      </c>
      <c r="G175" s="686">
        <v>27735.476537999999</v>
      </c>
      <c r="H175" s="687">
        <v>30096.304560622295</v>
      </c>
      <c r="I175" s="352">
        <v>-2360.828022622296</v>
      </c>
    </row>
    <row r="176" spans="2:9" ht="23" customHeight="1">
      <c r="B176" s="355" t="s">
        <v>980</v>
      </c>
      <c r="C176" s="698">
        <v>83</v>
      </c>
      <c r="D176" s="687">
        <v>11552.82</v>
      </c>
      <c r="E176" s="686">
        <v>10608.22</v>
      </c>
      <c r="F176" s="686">
        <v>944.60000000000036</v>
      </c>
      <c r="G176" s="686">
        <v>229459.80027599999</v>
      </c>
      <c r="H176" s="687">
        <v>208975.61977529162</v>
      </c>
      <c r="I176" s="352">
        <v>20484.180500708375</v>
      </c>
    </row>
    <row r="177" spans="2:9" ht="23" customHeight="1">
      <c r="B177" s="355" t="s">
        <v>745</v>
      </c>
      <c r="C177" s="698">
        <v>198</v>
      </c>
      <c r="D177" s="687">
        <v>15559.69</v>
      </c>
      <c r="E177" s="686">
        <v>15607.61</v>
      </c>
      <c r="F177" s="686">
        <v>-47.920000000000073</v>
      </c>
      <c r="G177" s="686">
        <v>314993.47629800002</v>
      </c>
      <c r="H177" s="687">
        <v>342268.73868204054</v>
      </c>
      <c r="I177" s="352">
        <v>-27275.262384040514</v>
      </c>
    </row>
    <row r="178" spans="2:9" ht="23" customHeight="1">
      <c r="B178" s="355" t="s">
        <v>749</v>
      </c>
      <c r="C178" s="698">
        <v>44</v>
      </c>
      <c r="D178" s="687">
        <v>7800.36</v>
      </c>
      <c r="E178" s="686">
        <v>7472.13</v>
      </c>
      <c r="F178" s="686">
        <v>328.22999999999956</v>
      </c>
      <c r="G178" s="686">
        <v>154929.19024799997</v>
      </c>
      <c r="H178" s="687">
        <v>174676.66969874702</v>
      </c>
      <c r="I178" s="352">
        <v>-19747.479450747051</v>
      </c>
    </row>
    <row r="179" spans="2:9" ht="23" customHeight="1">
      <c r="B179" s="355" t="s">
        <v>847</v>
      </c>
      <c r="C179" s="698">
        <v>13</v>
      </c>
      <c r="D179" s="687">
        <v>6916.41</v>
      </c>
      <c r="E179" s="686">
        <v>4142.24</v>
      </c>
      <c r="F179" s="686">
        <v>2774.17</v>
      </c>
      <c r="G179" s="686">
        <v>135492.4719</v>
      </c>
      <c r="H179" s="687">
        <v>92423.692512727983</v>
      </c>
      <c r="I179" s="352">
        <v>43068.779387272021</v>
      </c>
    </row>
    <row r="180" spans="2:9" ht="23" customHeight="1">
      <c r="B180" s="355" t="s">
        <v>836</v>
      </c>
      <c r="C180" s="698">
        <v>1084</v>
      </c>
      <c r="D180" s="687">
        <v>65439.130000000005</v>
      </c>
      <c r="E180" s="686">
        <v>50322.739999999991</v>
      </c>
      <c r="F180" s="686">
        <v>15116.39</v>
      </c>
      <c r="G180" s="686">
        <v>1326162.970611</v>
      </c>
      <c r="H180" s="687">
        <v>1131551.1680479641</v>
      </c>
      <c r="I180" s="352">
        <v>194611.80256303598</v>
      </c>
    </row>
    <row r="181" spans="2:9" ht="23" customHeight="1">
      <c r="B181" s="355" t="s">
        <v>837</v>
      </c>
      <c r="C181" s="698">
        <v>67</v>
      </c>
      <c r="D181" s="687">
        <v>11600.23</v>
      </c>
      <c r="E181" s="686">
        <v>6101.76</v>
      </c>
      <c r="F181" s="686">
        <v>5498.4699999999993</v>
      </c>
      <c r="G181" s="686">
        <v>235475.38881599996</v>
      </c>
      <c r="H181" s="687">
        <v>164754.1525969154</v>
      </c>
      <c r="I181" s="352">
        <v>70721.23621908456</v>
      </c>
    </row>
    <row r="182" spans="2:9" ht="23" customHeight="1">
      <c r="B182" s="355" t="s">
        <v>848</v>
      </c>
      <c r="C182" s="698">
        <v>179.798</v>
      </c>
      <c r="D182" s="687">
        <v>44615.08</v>
      </c>
      <c r="E182" s="686">
        <v>49852.6</v>
      </c>
      <c r="F182" s="686">
        <v>-5237.5199999999968</v>
      </c>
      <c r="G182" s="686">
        <v>875026.64102400001</v>
      </c>
      <c r="H182" s="687">
        <v>1054340.4313554841</v>
      </c>
      <c r="I182" s="352">
        <v>-179313.79033148405</v>
      </c>
    </row>
    <row r="183" spans="2:9" ht="23" customHeight="1">
      <c r="B183" s="355" t="s">
        <v>849</v>
      </c>
      <c r="C183" s="698">
        <v>92.592999999999989</v>
      </c>
      <c r="D183" s="687">
        <v>17217.080000000002</v>
      </c>
      <c r="E183" s="686">
        <v>15821.37</v>
      </c>
      <c r="F183" s="686">
        <v>1395.7099999999991</v>
      </c>
      <c r="G183" s="686">
        <v>337539.374212</v>
      </c>
      <c r="H183" s="687">
        <v>334608.62764298584</v>
      </c>
      <c r="I183" s="352">
        <v>2930.7465690141544</v>
      </c>
    </row>
    <row r="184" spans="2:9" ht="23" customHeight="1">
      <c r="B184" s="355" t="s">
        <v>787</v>
      </c>
      <c r="C184" s="698">
        <v>195</v>
      </c>
      <c r="D184" s="687">
        <v>46310.040000000008</v>
      </c>
      <c r="E184" s="686">
        <v>43948.469999999994</v>
      </c>
      <c r="F184" s="686">
        <v>2361.5700000000006</v>
      </c>
      <c r="G184" s="686">
        <v>948059.02468299994</v>
      </c>
      <c r="H184" s="687">
        <v>930155.67046138982</v>
      </c>
      <c r="I184" s="352">
        <v>17903.35422161028</v>
      </c>
    </row>
    <row r="185" spans="2:9" ht="23" customHeight="1">
      <c r="B185" s="355" t="s">
        <v>830</v>
      </c>
      <c r="C185" s="698">
        <v>57</v>
      </c>
      <c r="D185" s="687">
        <v>13064.05</v>
      </c>
      <c r="E185" s="686">
        <v>11294.47</v>
      </c>
      <c r="F185" s="686">
        <v>1769.58</v>
      </c>
      <c r="G185" s="686">
        <v>269579.28456</v>
      </c>
      <c r="H185" s="687">
        <v>236521.86948878402</v>
      </c>
      <c r="I185" s="352">
        <v>33057.415071216004</v>
      </c>
    </row>
    <row r="186" spans="2:9" ht="23" customHeight="1">
      <c r="B186" s="355" t="s">
        <v>774</v>
      </c>
      <c r="C186" s="698">
        <v>141</v>
      </c>
      <c r="D186" s="687">
        <v>71534</v>
      </c>
      <c r="E186" s="686">
        <v>36460.53</v>
      </c>
      <c r="F186" s="686">
        <v>35073.469999999994</v>
      </c>
      <c r="G186" s="686">
        <v>1444765.6560590002</v>
      </c>
      <c r="H186" s="687">
        <v>894558.41257708042</v>
      </c>
      <c r="I186" s="352">
        <v>550207.2434819194</v>
      </c>
    </row>
    <row r="187" spans="2:9" ht="23" customHeight="1">
      <c r="B187" s="355" t="s">
        <v>773</v>
      </c>
      <c r="C187" s="698">
        <v>1711</v>
      </c>
      <c r="D187" s="687">
        <v>63863.460000000006</v>
      </c>
      <c r="E187" s="686">
        <v>97389.250000000015</v>
      </c>
      <c r="F187" s="686">
        <v>-33525.79</v>
      </c>
      <c r="G187" s="686">
        <v>1277634.0209639999</v>
      </c>
      <c r="H187" s="687">
        <v>2195033.6327001764</v>
      </c>
      <c r="I187" s="352">
        <v>-917399.61173617677</v>
      </c>
    </row>
    <row r="188" spans="2:9" ht="23" customHeight="1">
      <c r="B188" s="355" t="s">
        <v>982</v>
      </c>
      <c r="C188" s="698">
        <v>71</v>
      </c>
      <c r="D188" s="687">
        <v>15250.81</v>
      </c>
      <c r="E188" s="686">
        <v>9857.99</v>
      </c>
      <c r="F188" s="686">
        <v>5392.82</v>
      </c>
      <c r="G188" s="686">
        <v>302908.53805799998</v>
      </c>
      <c r="H188" s="687">
        <v>224199.1196914434</v>
      </c>
      <c r="I188" s="352">
        <v>78709.41836655658</v>
      </c>
    </row>
    <row r="189" spans="2:9" ht="23" customHeight="1">
      <c r="B189" s="357" t="s">
        <v>1267</v>
      </c>
      <c r="C189" s="702">
        <v>19057.073999999997</v>
      </c>
      <c r="D189" s="689">
        <v>2054806.1300000006</v>
      </c>
      <c r="E189" s="688">
        <v>1753745.05</v>
      </c>
      <c r="F189" s="688">
        <v>301061.0799999999</v>
      </c>
      <c r="G189" s="688">
        <v>41397218.206510976</v>
      </c>
      <c r="H189" s="689">
        <v>39952947.691491999</v>
      </c>
      <c r="I189" s="358">
        <v>1444270.5150189942</v>
      </c>
    </row>
    <row r="190" spans="2:9" ht="23" customHeight="1">
      <c r="B190" s="356"/>
      <c r="C190" s="698"/>
      <c r="D190" s="687"/>
      <c r="E190" s="686"/>
      <c r="F190" s="686"/>
      <c r="G190" s="686"/>
      <c r="H190" s="687"/>
      <c r="I190" s="352"/>
    </row>
    <row r="191" spans="2:9" ht="23" customHeight="1">
      <c r="B191" s="354" t="s">
        <v>1263</v>
      </c>
      <c r="C191" s="698"/>
      <c r="D191" s="687"/>
      <c r="E191" s="686"/>
      <c r="F191" s="686"/>
      <c r="G191" s="686"/>
      <c r="H191" s="687"/>
      <c r="I191" s="352"/>
    </row>
    <row r="192" spans="2:9" ht="23" customHeight="1">
      <c r="B192" s="355" t="s">
        <v>825</v>
      </c>
      <c r="C192" s="698">
        <v>13550</v>
      </c>
      <c r="D192" s="687">
        <v>767961.18</v>
      </c>
      <c r="E192" s="686">
        <v>634304.82999999996</v>
      </c>
      <c r="F192" s="686">
        <v>133656.35000000003</v>
      </c>
      <c r="G192" s="686">
        <v>15049351.263869999</v>
      </c>
      <c r="H192" s="687">
        <v>15896894.662131108</v>
      </c>
      <c r="I192" s="352">
        <v>-847543.39826110983</v>
      </c>
    </row>
    <row r="193" spans="2:9" ht="23" customHeight="1">
      <c r="B193" s="355" t="s">
        <v>793</v>
      </c>
      <c r="C193" s="698">
        <v>80000</v>
      </c>
      <c r="D193" s="687">
        <v>2401235.75</v>
      </c>
      <c r="E193" s="686">
        <v>2501798.77</v>
      </c>
      <c r="F193" s="686">
        <v>-100563.02000000002</v>
      </c>
      <c r="G193" s="686">
        <v>48786386.979900002</v>
      </c>
      <c r="H193" s="687">
        <v>52488437.072086401</v>
      </c>
      <c r="I193" s="352">
        <v>-3702050.0921864025</v>
      </c>
    </row>
    <row r="194" spans="2:9" ht="23" customHeight="1">
      <c r="B194" s="355" t="s">
        <v>957</v>
      </c>
      <c r="C194" s="698">
        <v>4270</v>
      </c>
      <c r="D194" s="687">
        <v>717181.74</v>
      </c>
      <c r="E194" s="686">
        <v>645403.63</v>
      </c>
      <c r="F194" s="686">
        <v>71778.110000000015</v>
      </c>
      <c r="G194" s="686">
        <v>14293647.232721999</v>
      </c>
      <c r="H194" s="687">
        <v>15544390.917116392</v>
      </c>
      <c r="I194" s="352">
        <v>-1250743.6843943931</v>
      </c>
    </row>
    <row r="195" spans="2:9" ht="23" customHeight="1">
      <c r="B195" s="355" t="s">
        <v>826</v>
      </c>
      <c r="C195" s="698">
        <v>65500</v>
      </c>
      <c r="D195" s="687">
        <v>657310.18999999994</v>
      </c>
      <c r="E195" s="686">
        <v>575980.80000000005</v>
      </c>
      <c r="F195" s="686">
        <v>81329.389999999898</v>
      </c>
      <c r="G195" s="686">
        <v>12880979.138334999</v>
      </c>
      <c r="H195" s="687">
        <v>12558322.172746753</v>
      </c>
      <c r="I195" s="352">
        <v>322656.96558824554</v>
      </c>
    </row>
    <row r="196" spans="2:9" ht="23" customHeight="1">
      <c r="B196" s="355" t="s">
        <v>827</v>
      </c>
      <c r="C196" s="698">
        <v>36004</v>
      </c>
      <c r="D196" s="687">
        <v>3672536.88</v>
      </c>
      <c r="E196" s="686">
        <v>3676199.71</v>
      </c>
      <c r="F196" s="686">
        <v>-3662.8299999999581</v>
      </c>
      <c r="G196" s="686">
        <v>74615666.298335999</v>
      </c>
      <c r="H196" s="687">
        <v>79387151.534920245</v>
      </c>
      <c r="I196" s="352">
        <v>-4771485.236584248</v>
      </c>
    </row>
    <row r="197" spans="2:9" ht="23" customHeight="1">
      <c r="B197" s="355" t="s">
        <v>790</v>
      </c>
      <c r="C197" s="698">
        <v>13190</v>
      </c>
      <c r="D197" s="687">
        <v>1241779.32</v>
      </c>
      <c r="E197" s="686">
        <v>931594.05999999994</v>
      </c>
      <c r="F197" s="686">
        <v>310185.25999999995</v>
      </c>
      <c r="G197" s="686">
        <v>24841493.831898</v>
      </c>
      <c r="H197" s="687">
        <v>22446893.462911583</v>
      </c>
      <c r="I197" s="352">
        <v>2394600.3689864166</v>
      </c>
    </row>
    <row r="198" spans="2:9" ht="23" customHeight="1">
      <c r="B198" s="355" t="s">
        <v>797</v>
      </c>
      <c r="C198" s="698">
        <v>12850</v>
      </c>
      <c r="D198" s="687">
        <v>681996.85</v>
      </c>
      <c r="E198" s="686">
        <v>426959.93</v>
      </c>
      <c r="F198" s="686">
        <v>255036.91999999998</v>
      </c>
      <c r="G198" s="686">
        <v>13364751.271024998</v>
      </c>
      <c r="H198" s="687">
        <v>9710047.5839523301</v>
      </c>
      <c r="I198" s="352">
        <v>3654703.6870726682</v>
      </c>
    </row>
    <row r="199" spans="2:9" ht="23" customHeight="1">
      <c r="B199" s="355" t="s">
        <v>828</v>
      </c>
      <c r="C199" s="698">
        <v>4925</v>
      </c>
      <c r="D199" s="687">
        <v>2072521.0299999998</v>
      </c>
      <c r="E199" s="686">
        <v>1618527.94</v>
      </c>
      <c r="F199" s="686">
        <v>453993.08999999991</v>
      </c>
      <c r="G199" s="686">
        <v>40966455.587637</v>
      </c>
      <c r="H199" s="687">
        <v>38024272.401696496</v>
      </c>
      <c r="I199" s="352">
        <v>2942183.1859405055</v>
      </c>
    </row>
    <row r="200" spans="2:9" ht="23" customHeight="1">
      <c r="B200" s="355" t="s">
        <v>958</v>
      </c>
      <c r="C200" s="698">
        <v>2225</v>
      </c>
      <c r="D200" s="687">
        <v>1059073.52</v>
      </c>
      <c r="E200" s="686">
        <v>814445.67999999993</v>
      </c>
      <c r="F200" s="686">
        <v>244627.84000000005</v>
      </c>
      <c r="G200" s="686">
        <v>21107652.975655999</v>
      </c>
      <c r="H200" s="687">
        <v>18793538.370872095</v>
      </c>
      <c r="I200" s="352">
        <v>2314114.6047839029</v>
      </c>
    </row>
    <row r="201" spans="2:9" ht="23" customHeight="1">
      <c r="B201" s="355" t="s">
        <v>959</v>
      </c>
      <c r="C201" s="698">
        <v>8700</v>
      </c>
      <c r="D201" s="687">
        <v>768918.84</v>
      </c>
      <c r="E201" s="686">
        <v>625883.32000000007</v>
      </c>
      <c r="F201" s="686">
        <v>143035.51999999996</v>
      </c>
      <c r="G201" s="686">
        <v>15324783.156851999</v>
      </c>
      <c r="H201" s="687">
        <v>12896397.163753878</v>
      </c>
      <c r="I201" s="352">
        <v>2428385.9930981207</v>
      </c>
    </row>
    <row r="202" spans="2:9" ht="23" customHeight="1">
      <c r="B202" s="355" t="s">
        <v>735</v>
      </c>
      <c r="C202" s="698">
        <v>6200</v>
      </c>
      <c r="D202" s="687">
        <v>896305.54</v>
      </c>
      <c r="E202" s="686">
        <v>775884.7</v>
      </c>
      <c r="F202" s="686">
        <v>120420.84000000003</v>
      </c>
      <c r="G202" s="686">
        <v>17928325.673784003</v>
      </c>
      <c r="H202" s="687">
        <v>16322010.865228141</v>
      </c>
      <c r="I202" s="352">
        <v>1606314.808555861</v>
      </c>
    </row>
    <row r="203" spans="2:9" ht="23" customHeight="1">
      <c r="B203" s="355" t="s">
        <v>760</v>
      </c>
      <c r="C203" s="698">
        <v>12900</v>
      </c>
      <c r="D203" s="687">
        <v>746446.95</v>
      </c>
      <c r="E203" s="686">
        <v>373589.16</v>
      </c>
      <c r="F203" s="686">
        <v>372857.79</v>
      </c>
      <c r="G203" s="686">
        <v>15202138.583699999</v>
      </c>
      <c r="H203" s="687">
        <v>7949291.9941654373</v>
      </c>
      <c r="I203" s="352">
        <v>7252846.5895345611</v>
      </c>
    </row>
    <row r="204" spans="2:9" ht="23" customHeight="1">
      <c r="B204" s="357" t="s">
        <v>1265</v>
      </c>
      <c r="C204" s="702">
        <v>260314</v>
      </c>
      <c r="D204" s="689">
        <v>15683267.789999995</v>
      </c>
      <c r="E204" s="688">
        <v>13600572.529999999</v>
      </c>
      <c r="F204" s="688">
        <v>2082695.26</v>
      </c>
      <c r="G204" s="688">
        <v>314361631.99371505</v>
      </c>
      <c r="H204" s="689">
        <v>302017648.20158082</v>
      </c>
      <c r="I204" s="358">
        <v>12343983.792134129</v>
      </c>
    </row>
    <row r="205" spans="2:9" ht="23" customHeight="1">
      <c r="B205" s="356"/>
      <c r="C205" s="698"/>
      <c r="D205" s="687"/>
      <c r="E205" s="686"/>
      <c r="F205" s="686"/>
      <c r="G205" s="686"/>
      <c r="H205" s="687"/>
      <c r="I205" s="352"/>
    </row>
    <row r="206" spans="2:9" ht="23" customHeight="1">
      <c r="B206" s="354" t="s">
        <v>1256</v>
      </c>
      <c r="C206" s="698"/>
      <c r="D206" s="687"/>
      <c r="E206" s="686"/>
      <c r="F206" s="686"/>
      <c r="G206" s="686"/>
      <c r="H206" s="687"/>
      <c r="I206" s="352"/>
    </row>
    <row r="207" spans="2:9" ht="23" customHeight="1">
      <c r="B207" s="355" t="s">
        <v>868</v>
      </c>
      <c r="C207" s="698">
        <v>1412</v>
      </c>
      <c r="D207" s="687">
        <v>78575.990000000005</v>
      </c>
      <c r="E207" s="686">
        <v>119123.51000000001</v>
      </c>
      <c r="F207" s="686">
        <v>-40547.520000000004</v>
      </c>
      <c r="G207" s="686">
        <v>1586897.121243</v>
      </c>
      <c r="H207" s="687">
        <v>2576844.3718745788</v>
      </c>
      <c r="I207" s="352">
        <v>-989947.25063157873</v>
      </c>
    </row>
    <row r="208" spans="2:9" ht="23" customHeight="1">
      <c r="B208" s="355" t="s">
        <v>810</v>
      </c>
      <c r="C208" s="698">
        <v>2420</v>
      </c>
      <c r="D208" s="687">
        <v>95805.6</v>
      </c>
      <c r="E208" s="686">
        <v>150873.04999999999</v>
      </c>
      <c r="F208" s="686">
        <v>-55067.450000000004</v>
      </c>
      <c r="G208" s="686">
        <v>1934861.1559199998</v>
      </c>
      <c r="H208" s="687">
        <v>3277308.1468293988</v>
      </c>
      <c r="I208" s="352">
        <v>-1342446.9909093995</v>
      </c>
    </row>
    <row r="209" spans="2:9" ht="23" customHeight="1">
      <c r="B209" s="357" t="s">
        <v>1259</v>
      </c>
      <c r="C209" s="702">
        <v>3832</v>
      </c>
      <c r="D209" s="689">
        <v>174381.59000000003</v>
      </c>
      <c r="E209" s="688">
        <v>269996.56</v>
      </c>
      <c r="F209" s="688">
        <v>-95614.97</v>
      </c>
      <c r="G209" s="688">
        <v>3521758.2771629998</v>
      </c>
      <c r="H209" s="689">
        <v>5854152.5187039776</v>
      </c>
      <c r="I209" s="358">
        <v>-2332394.2415409782</v>
      </c>
    </row>
    <row r="210" spans="2:9" ht="23" customHeight="1">
      <c r="B210" s="356"/>
      <c r="C210" s="698"/>
      <c r="D210" s="687"/>
      <c r="E210" s="686"/>
      <c r="F210" s="686"/>
      <c r="G210" s="686"/>
      <c r="H210" s="687"/>
      <c r="I210" s="352"/>
    </row>
    <row r="211" spans="2:9" ht="23" customHeight="1">
      <c r="B211" s="359" t="s">
        <v>1048</v>
      </c>
      <c r="C211" s="699">
        <v>655681.07400000002</v>
      </c>
      <c r="D211" s="691">
        <v>109722906.8485762</v>
      </c>
      <c r="E211" s="690">
        <v>100350763.69842812</v>
      </c>
      <c r="F211" s="690">
        <v>9372143.1501481235</v>
      </c>
      <c r="G211" s="690">
        <v>2195823658.404356</v>
      </c>
      <c r="H211" s="691">
        <v>2265676813.9127235</v>
      </c>
      <c r="I211" s="360">
        <v>-69853155.508366242</v>
      </c>
    </row>
    <row r="212" spans="2:9" ht="23" customHeight="1">
      <c r="B212" s="353"/>
      <c r="C212" s="698"/>
      <c r="D212" s="687"/>
      <c r="E212" s="686"/>
      <c r="F212" s="686"/>
      <c r="G212" s="686"/>
      <c r="H212" s="687"/>
      <c r="I212" s="352"/>
    </row>
    <row r="213" spans="2:9" ht="23" customHeight="1">
      <c r="B213" s="365" t="s">
        <v>1049</v>
      </c>
      <c r="C213" s="700">
        <v>655681.07400000002</v>
      </c>
      <c r="D213" s="693">
        <v>109722906.8485762</v>
      </c>
      <c r="E213" s="692">
        <v>100350763.69842812</v>
      </c>
      <c r="F213" s="692">
        <v>9372143.1501481235</v>
      </c>
      <c r="G213" s="692">
        <v>2195823658.404356</v>
      </c>
      <c r="H213" s="693">
        <v>2265676813.9127235</v>
      </c>
      <c r="I213" s="366">
        <v>-69853155.508366242</v>
      </c>
    </row>
    <row r="214" spans="2:9" ht="23" customHeight="1">
      <c r="B214" s="67"/>
      <c r="C214" s="698"/>
      <c r="D214" s="687"/>
      <c r="E214" s="686"/>
      <c r="F214" s="686"/>
      <c r="G214" s="686"/>
      <c r="H214" s="687"/>
      <c r="I214" s="352"/>
    </row>
    <row r="215" spans="2:9" ht="23" customHeight="1">
      <c r="B215" s="128" t="s">
        <v>61</v>
      </c>
      <c r="C215" s="701">
        <v>655681.07400000002</v>
      </c>
      <c r="D215" s="697">
        <v>109722906.8485762</v>
      </c>
      <c r="E215" s="696">
        <v>100350763.69842812</v>
      </c>
      <c r="F215" s="696">
        <v>9372143.1501481235</v>
      </c>
      <c r="G215" s="696">
        <v>2195823658.404356</v>
      </c>
      <c r="H215" s="697">
        <v>2265676813.9127235</v>
      </c>
      <c r="I215" s="129">
        <v>-69853155.508366242</v>
      </c>
    </row>
    <row r="216" spans="2:9" ht="23" customHeight="1">
      <c r="B216"/>
      <c r="C216"/>
      <c r="D216"/>
      <c r="E216"/>
      <c r="F216"/>
      <c r="G216"/>
      <c r="H216"/>
      <c r="I216"/>
    </row>
    <row r="217" spans="2:9" ht="23" customHeight="1">
      <c r="B217"/>
      <c r="C217"/>
      <c r="D217"/>
      <c r="E217"/>
      <c r="F217"/>
      <c r="G217"/>
      <c r="H217"/>
      <c r="I217"/>
    </row>
  </sheetData>
  <mergeCells count="2">
    <mergeCell ref="B2:I2"/>
    <mergeCell ref="B3:I3"/>
  </mergeCells>
  <pageMargins left="0.70866141732283472" right="0.70866141732283472" top="0.74803149606299213" bottom="0.74803149606299213" header="0.31496062992125984" footer="0.31496062992125984"/>
  <pageSetup scale="70" fitToHeight="7" orientation="landscape" horizontalDpi="1200" verticalDpi="12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338D4-2CDA-3C44-88F2-17B4232B5AEF}">
  <sheetPr>
    <pageSetUpPr fitToPage="1"/>
  </sheetPr>
  <dimension ref="B2:AA434"/>
  <sheetViews>
    <sheetView view="pageBreakPreview" zoomScale="110" zoomScaleNormal="110" zoomScaleSheetLayoutView="110" workbookViewId="0">
      <pane ySplit="5" topLeftCell="A6" activePane="bottomLeft" state="frozen"/>
      <selection pane="bottomLeft" activeCell="C5" sqref="C5"/>
    </sheetView>
  </sheetViews>
  <sheetFormatPr baseColWidth="10" defaultColWidth="10.83203125" defaultRowHeight="17" customHeight="1"/>
  <cols>
    <col min="1" max="1" width="10.83203125" style="1"/>
    <col min="2" max="2" width="4.1640625" style="1" customWidth="1"/>
    <col min="3" max="3" width="20.1640625" style="1" customWidth="1"/>
    <col min="4" max="4" width="23.33203125" style="1" customWidth="1"/>
    <col min="5" max="5" width="35.6640625" style="1" bestFit="1" customWidth="1"/>
    <col min="6" max="6" width="23.1640625" style="1" customWidth="1"/>
    <col min="7" max="7" width="16" style="1" customWidth="1"/>
    <col min="8" max="8" width="22" style="1" bestFit="1" customWidth="1"/>
    <col min="9" max="9" width="14.33203125" style="1" bestFit="1" customWidth="1"/>
    <col min="10" max="10" width="20" style="1" bestFit="1" customWidth="1"/>
    <col min="11" max="11" width="18.6640625" style="1" bestFit="1" customWidth="1"/>
    <col min="12" max="12" width="17.33203125" style="1" bestFit="1" customWidth="1"/>
    <col min="13" max="13" width="17.83203125" style="1" bestFit="1" customWidth="1"/>
    <col min="14" max="14" width="19.83203125" style="1" bestFit="1" customWidth="1"/>
    <col min="15" max="16" width="7.33203125" style="3" bestFit="1" customWidth="1"/>
    <col min="17" max="17" width="7.33203125" style="1" bestFit="1" customWidth="1"/>
    <col min="18" max="20" width="10.83203125" style="3" bestFit="1" customWidth="1"/>
    <col min="21" max="21" width="15.33203125" style="1" bestFit="1" customWidth="1"/>
    <col min="22" max="23" width="7.33203125" style="1" bestFit="1" customWidth="1"/>
    <col min="24" max="24" width="7.33203125" style="3" bestFit="1" customWidth="1"/>
    <col min="25" max="25" width="7.33203125" style="1" bestFit="1" customWidth="1"/>
    <col min="26" max="26" width="10.83203125" style="1" bestFit="1" customWidth="1"/>
    <col min="27" max="16384" width="10.83203125" style="1"/>
  </cols>
  <sheetData>
    <row r="2" spans="2:27" s="67" customFormat="1" ht="51" customHeight="1">
      <c r="B2" s="731" t="s">
        <v>494</v>
      </c>
      <c r="C2" s="731"/>
      <c r="D2" s="731"/>
      <c r="E2" s="731"/>
      <c r="F2" s="731"/>
      <c r="G2" s="731"/>
      <c r="H2" s="731"/>
      <c r="I2" s="731"/>
      <c r="J2" s="731"/>
      <c r="K2" s="731"/>
      <c r="L2" s="731"/>
      <c r="M2" s="731"/>
      <c r="N2" s="731"/>
      <c r="O2" s="125"/>
      <c r="P2" s="125"/>
      <c r="Q2" s="125"/>
      <c r="R2" s="125"/>
      <c r="S2" s="125"/>
      <c r="T2" s="125"/>
      <c r="U2" s="125"/>
      <c r="V2" s="125"/>
      <c r="W2" s="125"/>
      <c r="X2" s="125"/>
      <c r="Y2" s="125"/>
      <c r="Z2" s="124"/>
    </row>
    <row r="3" spans="2:27" ht="16">
      <c r="B3" s="732" t="s">
        <v>457</v>
      </c>
      <c r="C3" s="732"/>
      <c r="D3" s="732"/>
      <c r="E3" s="732"/>
      <c r="F3" s="732"/>
      <c r="G3" s="732"/>
      <c r="H3" s="732"/>
      <c r="I3" s="732"/>
      <c r="J3" s="732"/>
      <c r="K3" s="732"/>
      <c r="L3" s="732"/>
      <c r="M3" s="732"/>
      <c r="N3" s="732"/>
      <c r="O3" s="619"/>
      <c r="P3" s="619"/>
      <c r="Q3" s="619"/>
      <c r="R3" s="619"/>
      <c r="S3" s="619"/>
      <c r="T3" s="619"/>
      <c r="U3" s="619"/>
      <c r="V3" s="53"/>
      <c r="W3" s="53"/>
      <c r="X3" s="53"/>
      <c r="Y3" s="53"/>
      <c r="Z3" s="60"/>
    </row>
    <row r="4" spans="2:27" ht="16">
      <c r="B4" s="24" t="s">
        <v>446</v>
      </c>
      <c r="C4" s="122" t="s">
        <v>682</v>
      </c>
      <c r="D4" s="24"/>
      <c r="E4" s="123"/>
      <c r="F4" s="123"/>
      <c r="G4" s="123"/>
      <c r="H4" s="123"/>
      <c r="I4" s="123"/>
      <c r="J4" s="123"/>
      <c r="K4" s="123"/>
      <c r="L4" s="123"/>
      <c r="M4" s="123"/>
      <c r="N4" s="123"/>
      <c r="O4" s="123"/>
      <c r="P4" s="123"/>
      <c r="Q4" s="123"/>
      <c r="R4" s="123"/>
      <c r="S4" s="123"/>
      <c r="T4" s="123"/>
      <c r="U4" s="123"/>
      <c r="V4" s="123"/>
      <c r="W4" s="123"/>
      <c r="X4" s="123"/>
      <c r="Y4" s="123"/>
      <c r="Z4" s="123"/>
    </row>
    <row r="5" spans="2:27" s="85" customFormat="1" ht="39" customHeight="1">
      <c r="B5" s="582" t="s">
        <v>668</v>
      </c>
      <c r="C5" s="127" t="s">
        <v>273</v>
      </c>
      <c r="D5" s="127" t="s">
        <v>455</v>
      </c>
      <c r="E5" s="127" t="s">
        <v>178</v>
      </c>
      <c r="F5" s="127" t="s">
        <v>274</v>
      </c>
      <c r="G5" s="127" t="s">
        <v>670</v>
      </c>
      <c r="H5" s="127" t="s">
        <v>334</v>
      </c>
      <c r="I5" s="127" t="s">
        <v>341</v>
      </c>
      <c r="J5" s="127" t="s">
        <v>346</v>
      </c>
      <c r="K5" s="127" t="s">
        <v>672</v>
      </c>
      <c r="L5" s="127" t="s">
        <v>345</v>
      </c>
      <c r="M5" s="127" t="s">
        <v>348</v>
      </c>
      <c r="N5" s="127" t="s">
        <v>671</v>
      </c>
      <c r="O5"/>
      <c r="P5"/>
      <c r="Q5"/>
      <c r="R5"/>
      <c r="S5"/>
      <c r="T5"/>
      <c r="U5"/>
      <c r="V5"/>
      <c r="W5"/>
      <c r="X5"/>
      <c r="Y5"/>
      <c r="Z5"/>
      <c r="AA5"/>
    </row>
    <row r="6" spans="2:27" ht="16">
      <c r="B6" s="479" t="s">
        <v>669</v>
      </c>
      <c r="C6" s="50">
        <v>0</v>
      </c>
      <c r="D6" s="50" t="s">
        <v>489</v>
      </c>
      <c r="E6" s="3" t="s">
        <v>489</v>
      </c>
      <c r="F6" s="1" t="s">
        <v>489</v>
      </c>
      <c r="G6" s="345" t="s">
        <v>489</v>
      </c>
      <c r="H6" s="345" t="s">
        <v>489</v>
      </c>
      <c r="I6" s="620"/>
      <c r="J6" s="621"/>
      <c r="K6" s="621" t="e">
        <v>#N/A</v>
      </c>
      <c r="L6" s="620" t="e">
        <v>#N/A</v>
      </c>
      <c r="M6" s="621">
        <v>0</v>
      </c>
      <c r="N6" s="621">
        <v>0</v>
      </c>
      <c r="O6"/>
      <c r="P6"/>
      <c r="Q6"/>
      <c r="R6"/>
      <c r="S6"/>
      <c r="T6"/>
      <c r="U6"/>
      <c r="V6"/>
      <c r="W6"/>
      <c r="X6"/>
      <c r="Y6"/>
      <c r="Z6"/>
      <c r="AA6"/>
    </row>
    <row r="7" spans="2:27" ht="17" customHeight="1">
      <c r="B7" s="479" t="s">
        <v>669</v>
      </c>
      <c r="C7" s="50">
        <v>0</v>
      </c>
      <c r="D7" s="50" t="s">
        <v>489</v>
      </c>
      <c r="E7" s="590" t="s">
        <v>490</v>
      </c>
      <c r="F7" s="590"/>
      <c r="G7" s="590"/>
      <c r="H7" s="590"/>
      <c r="I7" s="624"/>
      <c r="J7" s="591"/>
      <c r="K7" s="591" t="e">
        <v>#N/A</v>
      </c>
      <c r="L7" s="624" t="e">
        <v>#N/A</v>
      </c>
      <c r="M7" s="641">
        <v>0</v>
      </c>
      <c r="N7" s="591">
        <v>0</v>
      </c>
      <c r="O7"/>
      <c r="P7"/>
      <c r="Q7"/>
      <c r="R7"/>
      <c r="S7"/>
      <c r="T7"/>
      <c r="U7"/>
      <c r="V7"/>
      <c r="W7"/>
      <c r="X7"/>
      <c r="Y7"/>
      <c r="Z7"/>
      <c r="AA7"/>
    </row>
    <row r="8" spans="2:27" ht="17" customHeight="1">
      <c r="B8" s="479" t="s">
        <v>669</v>
      </c>
      <c r="C8" s="50">
        <v>0</v>
      </c>
      <c r="D8" s="568" t="s">
        <v>490</v>
      </c>
      <c r="E8" s="568"/>
      <c r="F8" s="568"/>
      <c r="G8" s="568"/>
      <c r="H8" s="568"/>
      <c r="I8" s="625"/>
      <c r="J8" s="583"/>
      <c r="K8" s="583" t="e">
        <v>#N/A</v>
      </c>
      <c r="L8" s="625" t="e">
        <v>#N/A</v>
      </c>
      <c r="M8" s="642">
        <v>0</v>
      </c>
      <c r="N8" s="583">
        <v>0</v>
      </c>
      <c r="O8"/>
      <c r="P8"/>
      <c r="Q8"/>
      <c r="R8"/>
      <c r="S8"/>
      <c r="T8"/>
      <c r="U8"/>
      <c r="V8"/>
      <c r="W8"/>
      <c r="X8"/>
      <c r="Y8"/>
      <c r="Z8"/>
      <c r="AA8"/>
    </row>
    <row r="9" spans="2:27" ht="17" customHeight="1">
      <c r="B9" s="479" t="s">
        <v>669</v>
      </c>
      <c r="C9" s="569" t="s">
        <v>491</v>
      </c>
      <c r="D9" s="569"/>
      <c r="E9" s="569"/>
      <c r="F9" s="569"/>
      <c r="G9" s="569"/>
      <c r="H9" s="569"/>
      <c r="I9" s="626"/>
      <c r="J9" s="584"/>
      <c r="K9" s="584" t="e">
        <v>#N/A</v>
      </c>
      <c r="L9" s="626" t="e">
        <v>#N/A</v>
      </c>
      <c r="M9" s="584">
        <v>0</v>
      </c>
      <c r="N9" s="584">
        <v>0</v>
      </c>
      <c r="O9"/>
      <c r="P9"/>
      <c r="Q9"/>
      <c r="R9"/>
      <c r="S9"/>
      <c r="T9"/>
      <c r="U9"/>
      <c r="V9"/>
      <c r="W9"/>
      <c r="X9"/>
      <c r="Y9"/>
      <c r="Z9"/>
      <c r="AA9"/>
    </row>
    <row r="10" spans="2:27" ht="17" customHeight="1">
      <c r="B10" s="479" t="s">
        <v>489</v>
      </c>
      <c r="C10" s="50" t="s">
        <v>489</v>
      </c>
      <c r="D10" s="50" t="s">
        <v>489</v>
      </c>
      <c r="E10" s="3" t="s">
        <v>489</v>
      </c>
      <c r="F10" s="1" t="s">
        <v>489</v>
      </c>
      <c r="G10" s="345" t="s">
        <v>489</v>
      </c>
      <c r="H10" s="345" t="s">
        <v>489</v>
      </c>
      <c r="I10" s="620"/>
      <c r="J10" s="621"/>
      <c r="K10" s="621"/>
      <c r="L10" s="620"/>
      <c r="M10" s="621"/>
      <c r="N10" s="621"/>
      <c r="O10"/>
      <c r="P10"/>
      <c r="Q10"/>
      <c r="R10"/>
      <c r="S10"/>
      <c r="T10"/>
      <c r="U10"/>
      <c r="V10"/>
      <c r="W10"/>
      <c r="X10"/>
      <c r="Y10"/>
      <c r="Z10"/>
      <c r="AA10"/>
    </row>
    <row r="11" spans="2:27" ht="17" customHeight="1">
      <c r="B11" s="479" t="s">
        <v>489</v>
      </c>
      <c r="C11" s="50" t="s">
        <v>489</v>
      </c>
      <c r="D11" s="50" t="s">
        <v>489</v>
      </c>
      <c r="E11" s="590" t="s">
        <v>490</v>
      </c>
      <c r="F11" s="590"/>
      <c r="G11" s="590"/>
      <c r="H11" s="590"/>
      <c r="I11" s="624"/>
      <c r="J11" s="591"/>
      <c r="K11" s="591"/>
      <c r="L11" s="624"/>
      <c r="M11" s="641"/>
      <c r="N11" s="591"/>
      <c r="O11"/>
      <c r="P11"/>
      <c r="Q11"/>
      <c r="R11"/>
      <c r="S11"/>
      <c r="T11"/>
      <c r="U11"/>
      <c r="V11"/>
      <c r="W11"/>
      <c r="X11"/>
      <c r="Y11"/>
      <c r="Z11"/>
      <c r="AA11"/>
    </row>
    <row r="12" spans="2:27" ht="17" customHeight="1">
      <c r="B12" s="479" t="s">
        <v>489</v>
      </c>
      <c r="C12" s="50" t="s">
        <v>489</v>
      </c>
      <c r="D12" s="589" t="s">
        <v>490</v>
      </c>
      <c r="E12" s="589"/>
      <c r="F12" s="589"/>
      <c r="G12" s="589"/>
      <c r="H12" s="589"/>
      <c r="I12" s="627"/>
      <c r="J12" s="622"/>
      <c r="K12" s="622"/>
      <c r="L12" s="627"/>
      <c r="M12" s="643"/>
      <c r="N12" s="622"/>
      <c r="O12"/>
      <c r="P12"/>
      <c r="Q12"/>
      <c r="R12"/>
      <c r="S12"/>
      <c r="T12"/>
      <c r="U12"/>
      <c r="V12"/>
      <c r="W12"/>
      <c r="X12"/>
      <c r="Y12"/>
      <c r="Z12"/>
      <c r="AA12"/>
    </row>
    <row r="13" spans="2:27" ht="17" customHeight="1">
      <c r="B13" s="479" t="s">
        <v>489</v>
      </c>
      <c r="C13" s="586" t="s">
        <v>490</v>
      </c>
      <c r="D13" s="586"/>
      <c r="E13" s="586"/>
      <c r="F13" s="586"/>
      <c r="G13" s="586"/>
      <c r="H13" s="586"/>
      <c r="I13" s="628"/>
      <c r="J13" s="623"/>
      <c r="K13" s="623"/>
      <c r="L13" s="628"/>
      <c r="M13" s="623"/>
      <c r="N13" s="623"/>
      <c r="O13"/>
      <c r="P13"/>
      <c r="Q13"/>
      <c r="R13"/>
      <c r="S13"/>
      <c r="T13"/>
      <c r="U13"/>
      <c r="V13"/>
      <c r="W13"/>
      <c r="X13"/>
      <c r="Y13"/>
      <c r="Z13"/>
      <c r="AA13"/>
    </row>
    <row r="14" spans="2:27" ht="17" customHeight="1">
      <c r="B14" s="570" t="s">
        <v>229</v>
      </c>
      <c r="C14" s="570"/>
      <c r="D14" s="570"/>
      <c r="E14" s="570"/>
      <c r="F14" s="570"/>
      <c r="G14" s="570"/>
      <c r="H14" s="570"/>
      <c r="I14" s="629"/>
      <c r="J14" s="585"/>
      <c r="K14" s="585" t="e">
        <v>#N/A</v>
      </c>
      <c r="L14" s="629" t="e">
        <v>#N/A</v>
      </c>
      <c r="M14" s="585">
        <v>0</v>
      </c>
      <c r="N14" s="585">
        <v>0</v>
      </c>
      <c r="O14"/>
      <c r="P14"/>
      <c r="Q14"/>
      <c r="R14"/>
      <c r="S14"/>
      <c r="T14"/>
      <c r="U14"/>
      <c r="V14"/>
      <c r="W14"/>
      <c r="X14"/>
      <c r="Y14"/>
      <c r="Z14"/>
      <c r="AA14"/>
    </row>
    <row r="15" spans="2:27" ht="17" customHeight="1">
      <c r="B15"/>
      <c r="C15"/>
      <c r="D15"/>
      <c r="E15"/>
      <c r="F15"/>
      <c r="G15"/>
      <c r="H15"/>
      <c r="I15"/>
      <c r="J15"/>
      <c r="K15"/>
      <c r="L15"/>
      <c r="M15"/>
      <c r="N15"/>
      <c r="O15"/>
      <c r="P15"/>
      <c r="Q15"/>
      <c r="R15"/>
      <c r="S15"/>
      <c r="T15"/>
      <c r="U15"/>
      <c r="V15"/>
      <c r="W15"/>
      <c r="X15"/>
      <c r="Y15"/>
      <c r="Z15"/>
      <c r="AA15"/>
    </row>
    <row r="16" spans="2:27" ht="17" customHeight="1">
      <c r="B16"/>
      <c r="C16"/>
      <c r="D16"/>
      <c r="E16"/>
      <c r="F16"/>
      <c r="G16"/>
      <c r="H16"/>
      <c r="I16"/>
      <c r="J16"/>
      <c r="K16"/>
      <c r="L16"/>
      <c r="M16"/>
      <c r="N16"/>
      <c r="O16"/>
      <c r="P16"/>
      <c r="Q16"/>
      <c r="R16"/>
      <c r="S16"/>
      <c r="T16"/>
      <c r="U16"/>
      <c r="V16"/>
      <c r="W16"/>
      <c r="X16"/>
      <c r="Y16"/>
      <c r="Z16"/>
      <c r="AA16"/>
    </row>
    <row r="17" spans="2:27" ht="17" customHeight="1">
      <c r="B17"/>
      <c r="C17"/>
      <c r="D17"/>
      <c r="E17"/>
      <c r="F17"/>
      <c r="G17"/>
      <c r="H17"/>
      <c r="I17"/>
      <c r="J17"/>
      <c r="K17"/>
      <c r="L17"/>
      <c r="M17"/>
      <c r="N17"/>
      <c r="O17"/>
      <c r="P17"/>
      <c r="Q17"/>
      <c r="R17"/>
      <c r="S17"/>
      <c r="T17"/>
      <c r="U17"/>
      <c r="V17"/>
      <c r="W17"/>
      <c r="X17"/>
      <c r="Y17"/>
      <c r="Z17"/>
      <c r="AA17"/>
    </row>
    <row r="18" spans="2:27" ht="17" customHeight="1">
      <c r="B18"/>
      <c r="C18"/>
      <c r="D18"/>
      <c r="E18"/>
      <c r="F18"/>
      <c r="G18"/>
      <c r="H18"/>
      <c r="I18"/>
      <c r="J18"/>
      <c r="K18"/>
      <c r="L18"/>
      <c r="M18"/>
      <c r="N18"/>
      <c r="O18"/>
      <c r="P18"/>
      <c r="Q18"/>
      <c r="R18"/>
      <c r="S18"/>
      <c r="T18"/>
      <c r="U18"/>
      <c r="V18"/>
      <c r="W18"/>
      <c r="X18"/>
      <c r="Y18"/>
      <c r="Z18"/>
      <c r="AA18"/>
    </row>
    <row r="19" spans="2:27" ht="17" customHeight="1">
      <c r="B19"/>
      <c r="C19"/>
      <c r="D19"/>
      <c r="E19"/>
      <c r="F19"/>
      <c r="G19"/>
      <c r="H19"/>
      <c r="I19"/>
      <c r="J19"/>
      <c r="K19"/>
      <c r="L19"/>
      <c r="M19"/>
      <c r="N19"/>
      <c r="O19"/>
      <c r="P19"/>
      <c r="Q19"/>
      <c r="R19"/>
      <c r="S19"/>
      <c r="T19"/>
      <c r="U19"/>
      <c r="V19"/>
      <c r="W19"/>
      <c r="X19"/>
      <c r="Y19"/>
      <c r="Z19"/>
      <c r="AA19"/>
    </row>
    <row r="20" spans="2:27" ht="17" customHeight="1">
      <c r="B20"/>
      <c r="C20"/>
      <c r="D20"/>
      <c r="E20"/>
      <c r="F20"/>
      <c r="G20"/>
      <c r="H20"/>
      <c r="I20"/>
      <c r="J20"/>
      <c r="K20"/>
      <c r="L20"/>
      <c r="M20"/>
      <c r="N20"/>
      <c r="O20"/>
      <c r="P20"/>
      <c r="Q20"/>
      <c r="R20"/>
      <c r="S20"/>
      <c r="T20"/>
      <c r="U20"/>
      <c r="V20"/>
      <c r="W20"/>
      <c r="X20"/>
      <c r="Y20"/>
      <c r="Z20"/>
      <c r="AA20"/>
    </row>
    <row r="21" spans="2:27" ht="17" customHeight="1">
      <c r="B21"/>
      <c r="C21"/>
      <c r="D21"/>
      <c r="E21"/>
      <c r="F21"/>
      <c r="G21"/>
      <c r="H21"/>
      <c r="I21"/>
      <c r="J21"/>
      <c r="K21"/>
      <c r="L21"/>
      <c r="M21"/>
      <c r="N21"/>
      <c r="O21"/>
      <c r="P21"/>
      <c r="Q21"/>
      <c r="R21"/>
      <c r="S21"/>
      <c r="T21"/>
      <c r="U21"/>
      <c r="V21"/>
      <c r="W21"/>
      <c r="X21"/>
      <c r="Y21"/>
      <c r="Z21"/>
      <c r="AA21"/>
    </row>
    <row r="22" spans="2:27" ht="17" customHeight="1">
      <c r="B22"/>
      <c r="C22"/>
      <c r="D22"/>
      <c r="E22"/>
      <c r="F22"/>
      <c r="G22"/>
      <c r="H22"/>
      <c r="I22"/>
      <c r="J22"/>
      <c r="K22"/>
      <c r="L22"/>
      <c r="M22"/>
      <c r="N22"/>
      <c r="O22"/>
      <c r="P22"/>
      <c r="Q22"/>
      <c r="R22"/>
      <c r="S22"/>
      <c r="T22"/>
      <c r="U22"/>
      <c r="V22"/>
      <c r="W22"/>
      <c r="X22"/>
      <c r="Y22"/>
      <c r="Z22"/>
      <c r="AA22"/>
    </row>
    <row r="23" spans="2:27" ht="17" customHeight="1">
      <c r="B23"/>
      <c r="C23"/>
      <c r="D23"/>
      <c r="E23"/>
      <c r="F23"/>
      <c r="G23"/>
      <c r="H23"/>
      <c r="I23"/>
      <c r="J23"/>
      <c r="K23"/>
      <c r="L23"/>
      <c r="M23"/>
      <c r="N23"/>
      <c r="O23"/>
      <c r="P23"/>
      <c r="Q23"/>
      <c r="R23"/>
      <c r="S23"/>
      <c r="T23"/>
      <c r="U23"/>
      <c r="V23"/>
      <c r="W23"/>
      <c r="X23"/>
      <c r="Y23"/>
      <c r="Z23"/>
      <c r="AA23"/>
    </row>
    <row r="24" spans="2:27" ht="17" customHeight="1">
      <c r="B24"/>
      <c r="C24"/>
      <c r="D24"/>
      <c r="E24"/>
      <c r="F24"/>
      <c r="G24"/>
      <c r="H24"/>
      <c r="I24"/>
      <c r="J24"/>
      <c r="K24"/>
      <c r="L24"/>
      <c r="M24"/>
      <c r="N24"/>
      <c r="O24"/>
      <c r="P24"/>
      <c r="Q24"/>
      <c r="R24"/>
      <c r="S24"/>
      <c r="T24"/>
      <c r="U24"/>
      <c r="V24"/>
      <c r="W24"/>
      <c r="X24"/>
      <c r="Y24"/>
      <c r="Z24"/>
      <c r="AA24"/>
    </row>
    <row r="25" spans="2:27" ht="17" customHeight="1">
      <c r="B25"/>
      <c r="C25"/>
      <c r="D25"/>
      <c r="E25"/>
      <c r="F25"/>
      <c r="G25"/>
      <c r="H25"/>
      <c r="I25"/>
      <c r="J25"/>
      <c r="K25"/>
      <c r="L25"/>
      <c r="M25"/>
      <c r="N25"/>
      <c r="O25"/>
      <c r="P25"/>
      <c r="Q25"/>
      <c r="R25"/>
      <c r="S25"/>
      <c r="T25"/>
      <c r="U25"/>
      <c r="V25"/>
      <c r="W25"/>
      <c r="X25"/>
      <c r="Y25"/>
      <c r="Z25"/>
      <c r="AA25"/>
    </row>
    <row r="26" spans="2:27" ht="17" customHeight="1">
      <c r="B26"/>
      <c r="C26"/>
      <c r="D26"/>
      <c r="E26"/>
      <c r="F26"/>
      <c r="G26"/>
      <c r="H26"/>
      <c r="I26"/>
      <c r="J26"/>
      <c r="K26"/>
      <c r="L26"/>
      <c r="M26"/>
      <c r="N26"/>
      <c r="O26"/>
      <c r="P26"/>
      <c r="Q26"/>
      <c r="R26"/>
      <c r="S26"/>
      <c r="T26"/>
      <c r="U26"/>
      <c r="V26"/>
      <c r="W26"/>
      <c r="X26"/>
      <c r="Y26"/>
      <c r="Z26"/>
      <c r="AA26"/>
    </row>
    <row r="27" spans="2:27" ht="17" customHeight="1">
      <c r="B27"/>
      <c r="C27"/>
      <c r="D27"/>
      <c r="E27"/>
      <c r="F27"/>
      <c r="G27"/>
      <c r="H27"/>
      <c r="I27"/>
      <c r="J27"/>
      <c r="K27"/>
      <c r="L27"/>
      <c r="M27"/>
      <c r="N27"/>
      <c r="O27"/>
      <c r="P27"/>
      <c r="Q27"/>
      <c r="R27"/>
      <c r="S27"/>
      <c r="T27"/>
      <c r="U27"/>
      <c r="V27"/>
      <c r="W27"/>
      <c r="X27"/>
      <c r="Y27"/>
      <c r="Z27"/>
      <c r="AA27"/>
    </row>
    <row r="28" spans="2:27" ht="17" customHeight="1">
      <c r="B28"/>
      <c r="C28"/>
      <c r="D28"/>
      <c r="E28"/>
      <c r="F28"/>
      <c r="G28"/>
      <c r="H28"/>
      <c r="I28"/>
      <c r="J28"/>
      <c r="K28"/>
      <c r="L28"/>
      <c r="M28"/>
      <c r="N28"/>
      <c r="O28"/>
      <c r="P28"/>
      <c r="Q28"/>
      <c r="R28"/>
      <c r="S28"/>
      <c r="T28"/>
      <c r="U28"/>
      <c r="V28"/>
      <c r="W28"/>
      <c r="X28"/>
      <c r="Y28"/>
      <c r="Z28"/>
      <c r="AA28"/>
    </row>
    <row r="29" spans="2:27" ht="17" customHeight="1">
      <c r="B29"/>
      <c r="C29"/>
      <c r="D29"/>
      <c r="E29"/>
      <c r="F29"/>
      <c r="G29"/>
      <c r="H29"/>
      <c r="I29"/>
      <c r="J29"/>
      <c r="K29"/>
      <c r="L29"/>
      <c r="M29"/>
      <c r="N29"/>
      <c r="O29"/>
      <c r="P29"/>
      <c r="Q29"/>
      <c r="R29"/>
      <c r="S29"/>
      <c r="T29"/>
      <c r="U29"/>
      <c r="V29"/>
      <c r="W29"/>
      <c r="X29"/>
      <c r="Y29"/>
      <c r="Z29"/>
      <c r="AA29"/>
    </row>
    <row r="30" spans="2:27" ht="17" customHeight="1">
      <c r="B30"/>
      <c r="C30"/>
      <c r="D30"/>
      <c r="E30"/>
      <c r="F30"/>
      <c r="G30"/>
      <c r="H30"/>
      <c r="I30"/>
      <c r="J30"/>
      <c r="K30"/>
      <c r="L30"/>
      <c r="M30"/>
      <c r="N30"/>
      <c r="O30"/>
      <c r="P30"/>
      <c r="Q30"/>
      <c r="R30"/>
      <c r="S30"/>
      <c r="T30"/>
      <c r="U30"/>
      <c r="V30"/>
      <c r="W30"/>
      <c r="X30"/>
      <c r="Y30"/>
      <c r="Z30"/>
      <c r="AA30"/>
    </row>
    <row r="31" spans="2:27" ht="17" customHeight="1">
      <c r="B31"/>
      <c r="C31"/>
      <c r="D31"/>
      <c r="E31"/>
      <c r="F31"/>
      <c r="G31"/>
      <c r="H31"/>
      <c r="I31"/>
      <c r="J31"/>
      <c r="K31"/>
      <c r="L31"/>
      <c r="M31"/>
      <c r="N31"/>
      <c r="O31"/>
      <c r="P31"/>
      <c r="Q31"/>
      <c r="R31"/>
      <c r="S31"/>
      <c r="T31"/>
      <c r="U31"/>
      <c r="V31"/>
      <c r="W31"/>
      <c r="X31"/>
      <c r="Y31"/>
      <c r="Z31"/>
      <c r="AA31"/>
    </row>
    <row r="32" spans="2:27" ht="17" customHeight="1">
      <c r="B32"/>
      <c r="C32"/>
      <c r="D32"/>
      <c r="E32"/>
      <c r="F32"/>
      <c r="G32"/>
      <c r="H32"/>
      <c r="I32"/>
      <c r="J32"/>
      <c r="K32"/>
      <c r="L32"/>
      <c r="M32"/>
      <c r="N32"/>
      <c r="O32"/>
      <c r="P32"/>
      <c r="Q32"/>
      <c r="R32"/>
      <c r="S32"/>
      <c r="T32"/>
      <c r="U32"/>
      <c r="V32"/>
      <c r="W32"/>
      <c r="X32"/>
      <c r="Y32"/>
      <c r="Z32"/>
      <c r="AA32"/>
    </row>
    <row r="33" spans="2:27" ht="17" customHeight="1">
      <c r="B33"/>
      <c r="C33"/>
      <c r="D33"/>
      <c r="E33"/>
      <c r="F33"/>
      <c r="G33"/>
      <c r="H33"/>
      <c r="I33"/>
      <c r="J33"/>
      <c r="K33"/>
      <c r="L33"/>
      <c r="M33"/>
      <c r="N33"/>
      <c r="O33"/>
      <c r="P33"/>
      <c r="Q33"/>
      <c r="R33"/>
      <c r="S33"/>
      <c r="T33"/>
      <c r="U33"/>
      <c r="V33"/>
      <c r="W33"/>
      <c r="X33"/>
      <c r="Y33"/>
      <c r="Z33"/>
      <c r="AA33"/>
    </row>
    <row r="34" spans="2:27" ht="17" customHeight="1">
      <c r="B34"/>
      <c r="C34"/>
      <c r="D34"/>
      <c r="E34"/>
      <c r="F34"/>
      <c r="G34"/>
      <c r="H34"/>
      <c r="I34"/>
      <c r="J34"/>
      <c r="K34"/>
      <c r="L34"/>
      <c r="M34"/>
      <c r="N34"/>
      <c r="O34"/>
      <c r="P34"/>
      <c r="Q34"/>
      <c r="R34"/>
      <c r="S34"/>
      <c r="T34"/>
      <c r="U34"/>
      <c r="V34"/>
      <c r="W34"/>
      <c r="X34"/>
      <c r="Y34"/>
      <c r="Z34"/>
      <c r="AA34"/>
    </row>
    <row r="35" spans="2:27" ht="17" customHeight="1">
      <c r="B35"/>
      <c r="C35"/>
      <c r="D35"/>
      <c r="E35"/>
      <c r="F35"/>
      <c r="G35"/>
      <c r="H35"/>
      <c r="I35"/>
      <c r="J35"/>
      <c r="K35"/>
      <c r="L35"/>
      <c r="M35"/>
      <c r="N35"/>
      <c r="O35"/>
      <c r="P35"/>
      <c r="Q35"/>
      <c r="R35"/>
      <c r="S35"/>
      <c r="T35"/>
      <c r="U35"/>
      <c r="V35"/>
      <c r="W35"/>
      <c r="X35"/>
      <c r="Y35"/>
      <c r="Z35"/>
    </row>
    <row r="36" spans="2:27" ht="17" customHeight="1">
      <c r="B36"/>
      <c r="C36"/>
      <c r="D36"/>
      <c r="E36"/>
      <c r="F36"/>
      <c r="G36"/>
      <c r="H36"/>
      <c r="I36"/>
      <c r="J36"/>
      <c r="K36"/>
      <c r="L36"/>
      <c r="M36"/>
      <c r="N36"/>
      <c r="O36"/>
      <c r="P36"/>
      <c r="Q36"/>
      <c r="R36"/>
      <c r="S36"/>
      <c r="T36"/>
      <c r="U36"/>
      <c r="V36"/>
      <c r="W36"/>
      <c r="X36"/>
      <c r="Y36"/>
      <c r="Z36"/>
    </row>
    <row r="37" spans="2:27" ht="17" customHeight="1">
      <c r="B37"/>
      <c r="C37"/>
      <c r="D37"/>
      <c r="E37"/>
      <c r="F37"/>
      <c r="G37"/>
      <c r="H37"/>
      <c r="I37"/>
      <c r="J37"/>
      <c r="K37"/>
      <c r="L37"/>
      <c r="M37"/>
      <c r="N37"/>
      <c r="O37"/>
      <c r="P37"/>
      <c r="Q37"/>
      <c r="R37"/>
      <c r="S37"/>
      <c r="T37"/>
      <c r="U37"/>
      <c r="V37"/>
      <c r="W37"/>
      <c r="X37"/>
      <c r="Y37"/>
      <c r="Z37"/>
    </row>
    <row r="38" spans="2:27" ht="17" customHeight="1">
      <c r="B38"/>
      <c r="C38"/>
      <c r="D38"/>
      <c r="E38"/>
      <c r="F38"/>
      <c r="G38"/>
      <c r="H38"/>
      <c r="I38"/>
      <c r="J38"/>
      <c r="K38"/>
      <c r="L38"/>
      <c r="M38"/>
      <c r="N38"/>
      <c r="O38"/>
      <c r="P38"/>
      <c r="Q38"/>
      <c r="R38"/>
      <c r="S38"/>
      <c r="T38"/>
      <c r="U38"/>
      <c r="V38"/>
      <c r="W38"/>
      <c r="X38"/>
      <c r="Y38"/>
      <c r="Z38"/>
    </row>
    <row r="39" spans="2:27" ht="17" customHeight="1">
      <c r="B39"/>
      <c r="C39"/>
      <c r="D39"/>
      <c r="E39"/>
      <c r="F39"/>
      <c r="G39"/>
      <c r="H39"/>
      <c r="I39"/>
      <c r="J39"/>
      <c r="K39"/>
      <c r="L39"/>
      <c r="M39"/>
      <c r="N39"/>
      <c r="O39"/>
      <c r="P39"/>
      <c r="Q39"/>
      <c r="R39"/>
      <c r="S39"/>
      <c r="T39"/>
      <c r="U39"/>
      <c r="V39"/>
      <c r="W39"/>
      <c r="X39"/>
      <c r="Y39"/>
      <c r="Z39"/>
    </row>
    <row r="40" spans="2:27" ht="17" customHeight="1">
      <c r="B40"/>
      <c r="C40"/>
      <c r="D40"/>
      <c r="E40"/>
      <c r="F40"/>
      <c r="G40"/>
      <c r="H40"/>
      <c r="I40"/>
      <c r="J40"/>
      <c r="K40"/>
      <c r="L40"/>
      <c r="M40"/>
      <c r="N40"/>
      <c r="O40"/>
      <c r="P40"/>
      <c r="Q40"/>
      <c r="R40"/>
      <c r="S40"/>
      <c r="T40"/>
      <c r="U40"/>
      <c r="V40"/>
      <c r="W40"/>
      <c r="X40"/>
      <c r="Y40"/>
      <c r="Z40"/>
    </row>
    <row r="41" spans="2:27" ht="17" customHeight="1">
      <c r="B41"/>
      <c r="C41"/>
      <c r="D41"/>
      <c r="E41"/>
      <c r="F41"/>
      <c r="G41"/>
      <c r="H41"/>
      <c r="I41"/>
      <c r="J41"/>
      <c r="K41"/>
      <c r="L41"/>
      <c r="M41"/>
      <c r="N41"/>
      <c r="O41"/>
      <c r="P41"/>
      <c r="Q41"/>
      <c r="R41"/>
      <c r="S41"/>
      <c r="T41"/>
      <c r="U41"/>
      <c r="V41"/>
      <c r="W41"/>
      <c r="X41"/>
      <c r="Y41"/>
      <c r="Z41"/>
    </row>
    <row r="42" spans="2:27" ht="17" customHeight="1">
      <c r="B42"/>
      <c r="C42"/>
      <c r="D42"/>
      <c r="E42"/>
      <c r="F42"/>
      <c r="G42"/>
      <c r="H42"/>
      <c r="I42"/>
      <c r="J42"/>
      <c r="K42"/>
      <c r="L42"/>
      <c r="M42"/>
      <c r="N42"/>
      <c r="O42"/>
      <c r="P42"/>
      <c r="Q42"/>
      <c r="R42"/>
      <c r="S42"/>
      <c r="T42"/>
      <c r="U42"/>
      <c r="V42"/>
      <c r="W42"/>
      <c r="X42"/>
      <c r="Y42"/>
      <c r="Z42"/>
    </row>
    <row r="43" spans="2:27" ht="17" customHeight="1">
      <c r="B43"/>
      <c r="C43"/>
      <c r="D43"/>
      <c r="E43"/>
      <c r="F43"/>
      <c r="G43"/>
      <c r="H43"/>
      <c r="I43"/>
      <c r="J43"/>
      <c r="K43"/>
      <c r="L43"/>
      <c r="M43"/>
      <c r="N43"/>
      <c r="O43"/>
      <c r="P43"/>
      <c r="Q43"/>
      <c r="R43"/>
      <c r="S43"/>
      <c r="T43"/>
      <c r="U43"/>
      <c r="V43"/>
      <c r="W43"/>
      <c r="X43"/>
      <c r="Y43"/>
      <c r="Z43"/>
    </row>
    <row r="44" spans="2:27" ht="17" customHeight="1">
      <c r="B44"/>
      <c r="C44"/>
      <c r="D44"/>
      <c r="E44"/>
      <c r="F44"/>
      <c r="G44"/>
      <c r="H44"/>
      <c r="I44"/>
      <c r="J44"/>
      <c r="K44"/>
      <c r="L44"/>
      <c r="M44"/>
      <c r="N44"/>
      <c r="O44"/>
      <c r="P44"/>
      <c r="Q44"/>
      <c r="R44"/>
      <c r="S44"/>
      <c r="T44"/>
      <c r="U44"/>
      <c r="V44"/>
      <c r="W44"/>
      <c r="X44"/>
      <c r="Y44"/>
      <c r="Z44"/>
    </row>
    <row r="45" spans="2:27" ht="17" customHeight="1">
      <c r="B45"/>
      <c r="C45"/>
      <c r="D45"/>
      <c r="E45"/>
      <c r="F45"/>
      <c r="G45"/>
      <c r="H45"/>
      <c r="I45"/>
      <c r="J45"/>
      <c r="K45"/>
      <c r="L45"/>
      <c r="M45"/>
      <c r="N45"/>
      <c r="O45"/>
      <c r="P45"/>
      <c r="Q45"/>
      <c r="R45"/>
      <c r="S45"/>
      <c r="T45"/>
      <c r="U45"/>
      <c r="V45"/>
      <c r="W45"/>
      <c r="X45"/>
      <c r="Y45"/>
      <c r="Z45"/>
    </row>
    <row r="46" spans="2:27" ht="17" customHeight="1">
      <c r="B46"/>
      <c r="C46"/>
      <c r="D46"/>
      <c r="E46"/>
      <c r="F46"/>
      <c r="G46"/>
      <c r="H46"/>
      <c r="I46"/>
      <c r="J46"/>
      <c r="K46"/>
      <c r="L46"/>
      <c r="M46"/>
      <c r="N46"/>
      <c r="O46"/>
      <c r="P46"/>
      <c r="Q46"/>
      <c r="R46"/>
      <c r="S46"/>
      <c r="T46"/>
      <c r="U46"/>
      <c r="V46"/>
      <c r="W46"/>
      <c r="X46"/>
      <c r="Y46"/>
      <c r="Z46"/>
    </row>
    <row r="47" spans="2:27" ht="17" customHeight="1">
      <c r="B47"/>
      <c r="C47"/>
      <c r="D47"/>
      <c r="E47"/>
      <c r="F47"/>
      <c r="G47"/>
      <c r="H47"/>
      <c r="I47"/>
      <c r="J47"/>
      <c r="K47"/>
      <c r="L47"/>
      <c r="M47"/>
      <c r="N47"/>
      <c r="O47"/>
      <c r="P47"/>
      <c r="Q47"/>
      <c r="R47"/>
      <c r="S47"/>
      <c r="T47"/>
      <c r="U47"/>
      <c r="V47"/>
      <c r="W47"/>
      <c r="X47"/>
      <c r="Y47"/>
      <c r="Z47"/>
    </row>
    <row r="48" spans="2:27" ht="17" customHeight="1">
      <c r="B48"/>
      <c r="C48"/>
      <c r="D48"/>
      <c r="E48"/>
      <c r="F48"/>
      <c r="G48"/>
      <c r="H48"/>
      <c r="I48"/>
      <c r="J48"/>
      <c r="K48"/>
      <c r="L48"/>
      <c r="M48"/>
      <c r="N48"/>
      <c r="O48"/>
      <c r="P48"/>
      <c r="Q48"/>
      <c r="R48"/>
      <c r="S48"/>
      <c r="T48"/>
      <c r="U48"/>
      <c r="V48"/>
      <c r="W48"/>
      <c r="X48"/>
      <c r="Y48"/>
      <c r="Z48"/>
    </row>
    <row r="49" spans="2:26" ht="17" customHeight="1">
      <c r="B49"/>
      <c r="C49"/>
      <c r="D49"/>
      <c r="E49"/>
      <c r="F49"/>
      <c r="G49"/>
      <c r="H49"/>
      <c r="I49"/>
      <c r="J49"/>
      <c r="K49"/>
      <c r="L49"/>
      <c r="M49"/>
      <c r="N49"/>
      <c r="O49"/>
      <c r="P49"/>
      <c r="Q49"/>
      <c r="R49"/>
      <c r="S49"/>
      <c r="T49"/>
      <c r="U49"/>
      <c r="V49"/>
      <c r="W49"/>
      <c r="X49"/>
      <c r="Y49"/>
      <c r="Z49"/>
    </row>
    <row r="50" spans="2:26" ht="17" customHeight="1">
      <c r="B50"/>
      <c r="C50"/>
      <c r="D50"/>
      <c r="E50"/>
      <c r="F50"/>
      <c r="G50"/>
      <c r="H50"/>
      <c r="I50"/>
      <c r="J50"/>
      <c r="K50"/>
      <c r="L50"/>
      <c r="M50"/>
      <c r="N50"/>
      <c r="O50"/>
      <c r="P50"/>
      <c r="Q50"/>
      <c r="R50"/>
      <c r="S50"/>
      <c r="T50"/>
      <c r="U50"/>
      <c r="V50"/>
      <c r="W50"/>
      <c r="X50"/>
      <c r="Y50"/>
      <c r="Z50"/>
    </row>
    <row r="51" spans="2:26" ht="17" customHeight="1">
      <c r="B51"/>
      <c r="C51"/>
      <c r="D51"/>
      <c r="E51"/>
      <c r="F51"/>
      <c r="G51"/>
      <c r="H51"/>
      <c r="I51"/>
      <c r="J51"/>
      <c r="K51"/>
      <c r="L51"/>
      <c r="M51"/>
      <c r="N51"/>
      <c r="O51"/>
      <c r="P51"/>
      <c r="Q51"/>
      <c r="R51"/>
      <c r="S51"/>
      <c r="T51"/>
      <c r="U51"/>
      <c r="V51"/>
      <c r="W51"/>
      <c r="X51"/>
      <c r="Y51"/>
      <c r="Z51"/>
    </row>
    <row r="52" spans="2:26" ht="17" customHeight="1">
      <c r="B52"/>
      <c r="C52"/>
      <c r="D52"/>
      <c r="E52"/>
      <c r="F52"/>
      <c r="G52"/>
      <c r="H52"/>
      <c r="I52"/>
      <c r="J52"/>
      <c r="K52"/>
      <c r="L52"/>
      <c r="M52"/>
      <c r="N52"/>
      <c r="O52"/>
      <c r="P52"/>
      <c r="Q52"/>
      <c r="R52"/>
      <c r="S52"/>
      <c r="T52"/>
      <c r="U52"/>
      <c r="V52"/>
      <c r="W52"/>
      <c r="X52"/>
      <c r="Y52"/>
      <c r="Z52"/>
    </row>
    <row r="53" spans="2:26" ht="17" customHeight="1">
      <c r="B53"/>
      <c r="C53"/>
      <c r="D53"/>
      <c r="E53"/>
      <c r="F53"/>
      <c r="G53"/>
      <c r="H53"/>
      <c r="I53"/>
      <c r="J53"/>
      <c r="K53"/>
      <c r="L53"/>
      <c r="M53"/>
      <c r="N53"/>
      <c r="O53"/>
      <c r="P53"/>
      <c r="Q53"/>
      <c r="R53"/>
      <c r="S53"/>
      <c r="T53"/>
      <c r="U53"/>
      <c r="V53"/>
      <c r="W53"/>
      <c r="X53"/>
      <c r="Y53"/>
      <c r="Z53"/>
    </row>
    <row r="54" spans="2:26" ht="17" customHeight="1">
      <c r="B54"/>
      <c r="C54"/>
      <c r="D54"/>
      <c r="E54"/>
      <c r="F54"/>
      <c r="G54"/>
      <c r="H54"/>
      <c r="I54"/>
      <c r="J54"/>
      <c r="K54"/>
      <c r="L54"/>
      <c r="M54"/>
      <c r="N54"/>
      <c r="O54"/>
      <c r="P54"/>
      <c r="Q54"/>
      <c r="R54"/>
      <c r="S54"/>
      <c r="T54"/>
      <c r="U54"/>
      <c r="V54"/>
      <c r="W54"/>
      <c r="X54"/>
      <c r="Y54"/>
      <c r="Z54"/>
    </row>
    <row r="55" spans="2:26" ht="17" customHeight="1">
      <c r="B55"/>
      <c r="C55"/>
      <c r="D55"/>
      <c r="E55"/>
      <c r="F55"/>
      <c r="G55"/>
      <c r="H55"/>
      <c r="I55"/>
      <c r="J55"/>
      <c r="K55"/>
      <c r="L55"/>
      <c r="M55"/>
      <c r="N55"/>
      <c r="O55"/>
      <c r="P55"/>
      <c r="Q55"/>
      <c r="R55"/>
      <c r="S55"/>
      <c r="T55"/>
      <c r="U55"/>
      <c r="V55"/>
      <c r="W55"/>
      <c r="X55"/>
      <c r="Y55"/>
      <c r="Z55"/>
    </row>
    <row r="56" spans="2:26" ht="17" customHeight="1">
      <c r="B56"/>
      <c r="C56"/>
      <c r="D56"/>
      <c r="E56"/>
      <c r="F56"/>
      <c r="G56"/>
      <c r="H56"/>
      <c r="I56"/>
      <c r="J56"/>
      <c r="K56"/>
      <c r="L56"/>
      <c r="M56"/>
      <c r="N56"/>
      <c r="O56"/>
      <c r="P56"/>
      <c r="Q56"/>
      <c r="R56"/>
      <c r="S56"/>
      <c r="T56"/>
      <c r="U56"/>
      <c r="V56"/>
      <c r="W56"/>
      <c r="X56"/>
      <c r="Y56"/>
      <c r="Z56"/>
    </row>
    <row r="57" spans="2:26" ht="17" customHeight="1">
      <c r="B57"/>
      <c r="C57"/>
      <c r="D57"/>
      <c r="E57"/>
      <c r="F57"/>
      <c r="G57"/>
      <c r="H57"/>
      <c r="I57"/>
      <c r="J57"/>
      <c r="K57"/>
      <c r="L57"/>
      <c r="M57"/>
      <c r="N57"/>
      <c r="O57"/>
      <c r="P57"/>
      <c r="Q57"/>
      <c r="R57"/>
      <c r="S57"/>
      <c r="T57"/>
      <c r="U57"/>
      <c r="V57"/>
      <c r="W57"/>
      <c r="X57"/>
      <c r="Y57"/>
      <c r="Z57"/>
    </row>
    <row r="58" spans="2:26" ht="17" customHeight="1">
      <c r="B58"/>
      <c r="C58"/>
      <c r="D58"/>
      <c r="E58"/>
      <c r="F58"/>
      <c r="G58"/>
      <c r="H58"/>
      <c r="I58"/>
      <c r="J58"/>
      <c r="K58"/>
      <c r="L58"/>
      <c r="M58"/>
      <c r="N58"/>
      <c r="O58"/>
      <c r="P58"/>
      <c r="Q58"/>
      <c r="R58"/>
      <c r="S58"/>
      <c r="T58"/>
      <c r="U58"/>
      <c r="V58"/>
      <c r="W58"/>
      <c r="X58"/>
      <c r="Y58"/>
      <c r="Z58"/>
    </row>
    <row r="59" spans="2:26" ht="17" customHeight="1">
      <c r="B59"/>
      <c r="C59"/>
      <c r="D59"/>
      <c r="E59"/>
      <c r="F59"/>
      <c r="G59"/>
      <c r="H59"/>
      <c r="I59"/>
      <c r="J59"/>
      <c r="K59"/>
      <c r="L59"/>
      <c r="M59"/>
      <c r="N59"/>
      <c r="O59"/>
      <c r="P59"/>
      <c r="Q59"/>
      <c r="R59"/>
      <c r="S59"/>
      <c r="T59"/>
      <c r="U59"/>
      <c r="V59"/>
      <c r="W59"/>
      <c r="X59"/>
      <c r="Y59"/>
      <c r="Z59"/>
    </row>
    <row r="60" spans="2:26" ht="17" customHeight="1">
      <c r="B60"/>
      <c r="C60"/>
      <c r="D60"/>
      <c r="E60"/>
      <c r="F60"/>
      <c r="G60"/>
      <c r="H60"/>
      <c r="I60"/>
      <c r="J60"/>
      <c r="K60"/>
      <c r="L60"/>
      <c r="M60"/>
      <c r="N60"/>
      <c r="O60"/>
      <c r="P60"/>
      <c r="Q60"/>
      <c r="R60"/>
      <c r="S60"/>
      <c r="T60"/>
      <c r="U60"/>
      <c r="V60"/>
      <c r="W60"/>
      <c r="X60"/>
      <c r="Y60"/>
      <c r="Z60"/>
    </row>
    <row r="61" spans="2:26" ht="17" customHeight="1">
      <c r="B61"/>
      <c r="C61"/>
      <c r="D61"/>
      <c r="E61"/>
      <c r="F61"/>
      <c r="G61"/>
      <c r="H61"/>
      <c r="I61"/>
      <c r="J61"/>
      <c r="K61"/>
      <c r="L61"/>
      <c r="M61"/>
      <c r="N61"/>
      <c r="O61"/>
      <c r="P61"/>
      <c r="Q61"/>
      <c r="R61"/>
      <c r="S61"/>
      <c r="T61"/>
      <c r="U61"/>
      <c r="V61"/>
      <c r="W61"/>
      <c r="X61"/>
      <c r="Y61"/>
      <c r="Z61"/>
    </row>
    <row r="62" spans="2:26" ht="17" customHeight="1">
      <c r="B62"/>
      <c r="C62"/>
      <c r="D62"/>
      <c r="E62"/>
      <c r="F62"/>
      <c r="G62"/>
      <c r="H62"/>
      <c r="I62"/>
      <c r="J62"/>
      <c r="K62"/>
      <c r="L62"/>
      <c r="M62"/>
      <c r="N62"/>
      <c r="O62"/>
      <c r="P62"/>
      <c r="Q62"/>
      <c r="R62"/>
      <c r="S62"/>
      <c r="T62"/>
      <c r="U62"/>
      <c r="V62"/>
      <c r="W62"/>
      <c r="X62"/>
      <c r="Y62"/>
      <c r="Z62"/>
    </row>
    <row r="63" spans="2:26" ht="17" customHeight="1">
      <c r="B63"/>
      <c r="C63"/>
      <c r="D63"/>
      <c r="E63"/>
      <c r="F63"/>
      <c r="G63"/>
      <c r="H63"/>
      <c r="I63"/>
      <c r="J63"/>
      <c r="K63"/>
      <c r="L63"/>
      <c r="M63"/>
      <c r="N63"/>
      <c r="O63"/>
      <c r="P63"/>
      <c r="Q63"/>
      <c r="R63"/>
      <c r="S63"/>
      <c r="T63"/>
      <c r="U63"/>
      <c r="V63"/>
      <c r="W63"/>
      <c r="X63"/>
      <c r="Y63"/>
      <c r="Z63"/>
    </row>
    <row r="64" spans="2:26" ht="17" customHeight="1">
      <c r="B64"/>
      <c r="C64"/>
      <c r="D64"/>
      <c r="E64"/>
      <c r="F64"/>
      <c r="G64"/>
      <c r="H64"/>
      <c r="I64"/>
      <c r="J64"/>
      <c r="K64"/>
      <c r="L64"/>
      <c r="M64"/>
      <c r="N64"/>
      <c r="O64"/>
      <c r="P64"/>
      <c r="Q64"/>
      <c r="R64"/>
      <c r="S64"/>
      <c r="T64"/>
      <c r="U64"/>
      <c r="V64"/>
      <c r="W64"/>
      <c r="X64"/>
      <c r="Y64"/>
      <c r="Z64"/>
    </row>
    <row r="65" spans="2:26" ht="17" customHeight="1">
      <c r="B65"/>
      <c r="C65"/>
      <c r="D65"/>
      <c r="E65"/>
      <c r="F65"/>
      <c r="G65"/>
      <c r="H65"/>
      <c r="I65"/>
      <c r="J65"/>
      <c r="K65"/>
      <c r="L65"/>
      <c r="M65"/>
      <c r="N65"/>
      <c r="O65"/>
      <c r="P65"/>
      <c r="Q65"/>
      <c r="R65"/>
      <c r="S65"/>
      <c r="T65"/>
      <c r="U65"/>
      <c r="V65"/>
      <c r="W65"/>
      <c r="X65"/>
      <c r="Y65"/>
      <c r="Z65"/>
    </row>
    <row r="66" spans="2:26" ht="17" customHeight="1">
      <c r="B66"/>
      <c r="C66"/>
      <c r="D66"/>
      <c r="E66"/>
      <c r="F66"/>
      <c r="G66"/>
      <c r="H66"/>
      <c r="I66"/>
      <c r="J66"/>
      <c r="K66"/>
      <c r="L66"/>
      <c r="M66"/>
      <c r="N66"/>
      <c r="O66"/>
      <c r="P66"/>
      <c r="Q66"/>
      <c r="R66"/>
      <c r="S66"/>
      <c r="T66"/>
      <c r="U66"/>
      <c r="V66"/>
      <c r="W66"/>
      <c r="X66"/>
      <c r="Y66"/>
      <c r="Z66"/>
    </row>
    <row r="67" spans="2:26" ht="17" customHeight="1">
      <c r="B67"/>
      <c r="C67"/>
      <c r="D67"/>
      <c r="E67"/>
      <c r="F67"/>
      <c r="G67"/>
      <c r="H67"/>
      <c r="I67"/>
      <c r="J67"/>
      <c r="K67"/>
      <c r="L67"/>
      <c r="M67"/>
      <c r="N67"/>
      <c r="O67"/>
      <c r="P67"/>
      <c r="Q67"/>
      <c r="R67"/>
      <c r="S67"/>
      <c r="T67"/>
      <c r="U67"/>
      <c r="V67"/>
      <c r="W67"/>
      <c r="X67"/>
      <c r="Y67"/>
      <c r="Z67"/>
    </row>
    <row r="68" spans="2:26" ht="17" customHeight="1">
      <c r="B68"/>
      <c r="C68"/>
      <c r="D68"/>
      <c r="E68"/>
      <c r="F68"/>
      <c r="G68"/>
      <c r="H68"/>
      <c r="I68"/>
      <c r="J68"/>
      <c r="K68"/>
      <c r="L68"/>
      <c r="M68"/>
      <c r="N68"/>
      <c r="O68"/>
      <c r="P68"/>
      <c r="Q68"/>
      <c r="R68"/>
      <c r="S68"/>
      <c r="T68"/>
      <c r="U68"/>
      <c r="V68"/>
      <c r="W68"/>
      <c r="X68"/>
      <c r="Y68"/>
      <c r="Z68"/>
    </row>
    <row r="69" spans="2:26" ht="17" customHeight="1">
      <c r="B69"/>
      <c r="C69"/>
      <c r="D69"/>
      <c r="E69"/>
      <c r="F69"/>
      <c r="G69"/>
      <c r="H69"/>
      <c r="I69"/>
      <c r="J69"/>
      <c r="K69"/>
      <c r="L69"/>
      <c r="M69"/>
      <c r="N69"/>
      <c r="O69"/>
      <c r="P69"/>
      <c r="Q69"/>
      <c r="R69"/>
      <c r="S69"/>
      <c r="T69"/>
      <c r="U69"/>
      <c r="V69"/>
      <c r="W69"/>
      <c r="X69"/>
      <c r="Y69"/>
      <c r="Z69"/>
    </row>
    <row r="70" spans="2:26" ht="17" customHeight="1">
      <c r="B70"/>
      <c r="C70"/>
      <c r="D70"/>
      <c r="E70"/>
      <c r="F70"/>
      <c r="G70"/>
      <c r="H70"/>
      <c r="I70"/>
      <c r="J70"/>
      <c r="K70"/>
      <c r="L70"/>
      <c r="M70"/>
      <c r="N70"/>
      <c r="O70"/>
      <c r="P70"/>
      <c r="Q70"/>
      <c r="R70"/>
      <c r="S70"/>
      <c r="T70"/>
      <c r="U70"/>
      <c r="V70"/>
      <c r="W70"/>
      <c r="X70"/>
      <c r="Y70"/>
      <c r="Z70"/>
    </row>
    <row r="71" spans="2:26" ht="17" customHeight="1">
      <c r="B71"/>
      <c r="C71"/>
      <c r="D71"/>
      <c r="E71"/>
      <c r="F71"/>
      <c r="G71"/>
      <c r="H71"/>
      <c r="I71"/>
      <c r="J71"/>
      <c r="K71"/>
      <c r="L71"/>
      <c r="M71"/>
      <c r="N71"/>
      <c r="O71"/>
      <c r="P71"/>
      <c r="Q71"/>
      <c r="R71"/>
      <c r="S71"/>
      <c r="T71"/>
      <c r="U71"/>
      <c r="V71"/>
      <c r="W71"/>
      <c r="X71"/>
      <c r="Y71"/>
      <c r="Z71"/>
    </row>
    <row r="72" spans="2:26" ht="17" customHeight="1">
      <c r="B72"/>
      <c r="C72"/>
      <c r="D72"/>
      <c r="E72"/>
      <c r="F72"/>
      <c r="G72"/>
      <c r="H72"/>
      <c r="I72"/>
      <c r="J72"/>
      <c r="K72"/>
      <c r="L72"/>
      <c r="M72"/>
      <c r="N72"/>
      <c r="O72"/>
      <c r="P72"/>
      <c r="Q72"/>
      <c r="R72"/>
      <c r="S72"/>
      <c r="T72"/>
      <c r="U72"/>
      <c r="V72"/>
      <c r="W72"/>
      <c r="X72"/>
      <c r="Y72"/>
      <c r="Z72"/>
    </row>
    <row r="73" spans="2:26" ht="17" customHeight="1">
      <c r="B73"/>
      <c r="C73"/>
      <c r="D73"/>
      <c r="E73"/>
      <c r="F73"/>
      <c r="G73"/>
      <c r="H73"/>
      <c r="I73"/>
      <c r="J73"/>
      <c r="K73"/>
      <c r="L73"/>
      <c r="M73"/>
      <c r="N73"/>
      <c r="O73"/>
      <c r="P73"/>
      <c r="Q73"/>
      <c r="R73"/>
      <c r="S73"/>
      <c r="T73"/>
      <c r="U73"/>
      <c r="V73"/>
      <c r="W73"/>
      <c r="X73"/>
      <c r="Y73"/>
      <c r="Z73"/>
    </row>
    <row r="74" spans="2:26" ht="17" customHeight="1">
      <c r="B74"/>
      <c r="C74"/>
      <c r="D74"/>
      <c r="E74"/>
      <c r="F74"/>
      <c r="G74"/>
      <c r="H74"/>
      <c r="I74"/>
      <c r="J74"/>
      <c r="K74"/>
      <c r="L74"/>
      <c r="M74"/>
      <c r="N74"/>
      <c r="O74"/>
      <c r="P74"/>
      <c r="Q74"/>
      <c r="R74"/>
      <c r="S74"/>
      <c r="T74"/>
      <c r="U74"/>
      <c r="V74"/>
      <c r="W74"/>
      <c r="X74"/>
      <c r="Y74"/>
      <c r="Z74"/>
    </row>
    <row r="75" spans="2:26" ht="17" customHeight="1">
      <c r="B75"/>
      <c r="C75"/>
      <c r="D75"/>
      <c r="E75"/>
      <c r="F75"/>
      <c r="G75"/>
      <c r="H75"/>
      <c r="I75"/>
      <c r="J75"/>
      <c r="K75"/>
      <c r="L75"/>
      <c r="M75"/>
      <c r="N75"/>
      <c r="O75"/>
      <c r="P75"/>
      <c r="Q75"/>
      <c r="R75"/>
      <c r="S75"/>
      <c r="T75"/>
      <c r="U75"/>
      <c r="V75"/>
      <c r="W75"/>
      <c r="X75"/>
      <c r="Y75"/>
      <c r="Z75"/>
    </row>
    <row r="76" spans="2:26" ht="17" customHeight="1">
      <c r="B76"/>
      <c r="C76"/>
      <c r="D76"/>
      <c r="E76"/>
      <c r="F76"/>
      <c r="G76"/>
      <c r="H76"/>
      <c r="I76"/>
      <c r="J76"/>
      <c r="K76"/>
      <c r="L76"/>
      <c r="M76"/>
      <c r="N76"/>
      <c r="O76"/>
      <c r="P76"/>
      <c r="Q76"/>
      <c r="R76"/>
      <c r="S76"/>
      <c r="T76"/>
      <c r="U76"/>
      <c r="V76"/>
      <c r="W76"/>
      <c r="X76"/>
      <c r="Y76"/>
      <c r="Z76"/>
    </row>
    <row r="77" spans="2:26" ht="17" customHeight="1">
      <c r="B77"/>
      <c r="C77"/>
      <c r="D77"/>
      <c r="E77"/>
      <c r="F77"/>
      <c r="G77"/>
      <c r="H77"/>
      <c r="I77"/>
      <c r="J77"/>
      <c r="K77"/>
      <c r="L77"/>
      <c r="M77"/>
      <c r="N77"/>
      <c r="O77"/>
      <c r="P77"/>
      <c r="Q77"/>
      <c r="R77"/>
      <c r="S77"/>
      <c r="T77"/>
      <c r="U77"/>
      <c r="V77"/>
      <c r="W77"/>
      <c r="X77"/>
      <c r="Y77"/>
      <c r="Z77"/>
    </row>
    <row r="78" spans="2:26" ht="17" customHeight="1">
      <c r="B78"/>
      <c r="C78"/>
      <c r="D78"/>
      <c r="E78"/>
      <c r="F78"/>
      <c r="G78"/>
      <c r="H78"/>
      <c r="I78"/>
      <c r="J78"/>
      <c r="K78"/>
      <c r="L78"/>
      <c r="M78"/>
      <c r="N78"/>
      <c r="O78"/>
      <c r="P78"/>
      <c r="Q78"/>
      <c r="R78"/>
      <c r="S78"/>
      <c r="T78"/>
      <c r="U78"/>
      <c r="V78"/>
      <c r="W78"/>
      <c r="X78"/>
      <c r="Y78"/>
      <c r="Z78"/>
    </row>
    <row r="79" spans="2:26" ht="17" customHeight="1">
      <c r="B79"/>
      <c r="C79"/>
      <c r="D79"/>
      <c r="E79"/>
      <c r="F79"/>
      <c r="G79"/>
      <c r="H79"/>
      <c r="I79"/>
      <c r="J79"/>
      <c r="K79"/>
      <c r="L79"/>
      <c r="M79"/>
      <c r="N79"/>
      <c r="O79"/>
      <c r="P79"/>
      <c r="Q79"/>
      <c r="R79"/>
      <c r="S79"/>
      <c r="T79"/>
      <c r="U79"/>
      <c r="V79"/>
      <c r="W79"/>
      <c r="X79"/>
      <c r="Y79"/>
      <c r="Z79"/>
    </row>
    <row r="80" spans="2:26" ht="17" customHeight="1">
      <c r="B80"/>
      <c r="C80"/>
      <c r="D80"/>
      <c r="E80"/>
      <c r="F80"/>
      <c r="G80"/>
      <c r="H80"/>
      <c r="I80"/>
      <c r="J80"/>
      <c r="K80"/>
      <c r="L80"/>
      <c r="M80"/>
      <c r="N80"/>
      <c r="O80"/>
      <c r="P80"/>
      <c r="Q80"/>
      <c r="R80"/>
      <c r="S80"/>
      <c r="T80"/>
      <c r="U80"/>
      <c r="V80"/>
      <c r="W80"/>
      <c r="X80"/>
      <c r="Y80"/>
      <c r="Z80"/>
    </row>
    <row r="81" spans="2:26" ht="17" customHeight="1">
      <c r="B81"/>
      <c r="C81"/>
      <c r="D81"/>
      <c r="E81"/>
      <c r="F81"/>
      <c r="G81"/>
      <c r="H81"/>
      <c r="I81"/>
      <c r="J81"/>
      <c r="K81"/>
      <c r="L81"/>
      <c r="M81"/>
      <c r="N81"/>
      <c r="O81"/>
      <c r="P81"/>
      <c r="Q81"/>
      <c r="R81"/>
      <c r="S81"/>
      <c r="T81"/>
      <c r="U81"/>
      <c r="V81"/>
      <c r="W81"/>
      <c r="X81"/>
      <c r="Y81"/>
      <c r="Z81"/>
    </row>
    <row r="82" spans="2:26" ht="17" customHeight="1">
      <c r="B82"/>
      <c r="C82"/>
      <c r="D82"/>
      <c r="E82"/>
      <c r="F82"/>
      <c r="G82"/>
      <c r="H82"/>
      <c r="I82"/>
      <c r="J82"/>
      <c r="K82"/>
      <c r="L82"/>
      <c r="M82"/>
      <c r="N82"/>
      <c r="O82"/>
      <c r="P82"/>
      <c r="Q82"/>
      <c r="R82"/>
      <c r="S82"/>
      <c r="T82"/>
      <c r="U82"/>
      <c r="V82"/>
      <c r="W82"/>
      <c r="X82"/>
      <c r="Y82"/>
      <c r="Z82"/>
    </row>
    <row r="83" spans="2:26" ht="17" customHeight="1">
      <c r="B83"/>
      <c r="C83"/>
      <c r="D83"/>
      <c r="E83"/>
      <c r="F83"/>
      <c r="G83"/>
      <c r="H83"/>
      <c r="I83"/>
      <c r="J83"/>
      <c r="K83"/>
      <c r="L83"/>
      <c r="M83"/>
      <c r="N83"/>
      <c r="O83"/>
      <c r="P83"/>
      <c r="Q83"/>
      <c r="R83"/>
      <c r="S83"/>
      <c r="T83"/>
      <c r="U83"/>
      <c r="V83"/>
      <c r="W83"/>
      <c r="X83"/>
      <c r="Y83"/>
      <c r="Z83"/>
    </row>
    <row r="84" spans="2:26" ht="17" customHeight="1">
      <c r="B84"/>
      <c r="C84"/>
      <c r="D84"/>
      <c r="E84"/>
      <c r="F84"/>
      <c r="G84"/>
      <c r="H84"/>
      <c r="I84"/>
      <c r="J84"/>
      <c r="K84"/>
      <c r="L84"/>
      <c r="M84"/>
      <c r="N84"/>
      <c r="O84"/>
      <c r="P84"/>
      <c r="Q84"/>
      <c r="R84"/>
      <c r="S84"/>
      <c r="T84"/>
      <c r="U84"/>
      <c r="V84"/>
      <c r="W84"/>
      <c r="X84"/>
      <c r="Y84"/>
      <c r="Z84"/>
    </row>
    <row r="85" spans="2:26" ht="17" customHeight="1">
      <c r="B85"/>
      <c r="C85"/>
      <c r="D85"/>
      <c r="E85"/>
      <c r="F85"/>
      <c r="G85"/>
      <c r="H85"/>
      <c r="I85"/>
      <c r="J85"/>
      <c r="K85"/>
      <c r="L85"/>
      <c r="M85"/>
      <c r="N85"/>
      <c r="O85"/>
      <c r="P85"/>
      <c r="Q85"/>
      <c r="R85"/>
      <c r="S85"/>
      <c r="T85"/>
      <c r="U85"/>
      <c r="V85"/>
      <c r="W85"/>
      <c r="X85"/>
      <c r="Y85"/>
      <c r="Z85"/>
    </row>
    <row r="86" spans="2:26" ht="17" customHeight="1">
      <c r="B86"/>
      <c r="C86"/>
      <c r="D86"/>
      <c r="E86"/>
      <c r="F86"/>
      <c r="G86"/>
      <c r="H86"/>
      <c r="I86"/>
      <c r="J86"/>
      <c r="K86"/>
      <c r="L86"/>
      <c r="M86"/>
      <c r="N86"/>
      <c r="O86"/>
      <c r="P86"/>
      <c r="Q86"/>
      <c r="R86"/>
      <c r="S86"/>
      <c r="T86"/>
      <c r="U86"/>
      <c r="V86"/>
      <c r="W86"/>
      <c r="X86"/>
      <c r="Y86"/>
      <c r="Z86"/>
    </row>
    <row r="87" spans="2:26" ht="17" customHeight="1">
      <c r="B87"/>
      <c r="C87"/>
      <c r="D87"/>
      <c r="E87"/>
      <c r="F87"/>
      <c r="G87"/>
      <c r="H87"/>
      <c r="I87"/>
      <c r="J87"/>
      <c r="K87"/>
      <c r="L87"/>
      <c r="M87"/>
      <c r="N87"/>
      <c r="O87"/>
      <c r="P87"/>
      <c r="Q87"/>
      <c r="R87"/>
      <c r="S87"/>
      <c r="T87"/>
      <c r="U87"/>
      <c r="V87"/>
      <c r="W87"/>
      <c r="X87"/>
      <c r="Y87"/>
      <c r="Z87"/>
    </row>
    <row r="88" spans="2:26" ht="17" customHeight="1">
      <c r="B88"/>
      <c r="C88"/>
      <c r="D88"/>
      <c r="E88"/>
      <c r="F88"/>
      <c r="G88"/>
      <c r="H88"/>
      <c r="I88"/>
      <c r="J88"/>
      <c r="K88"/>
      <c r="L88"/>
      <c r="M88"/>
      <c r="N88"/>
      <c r="O88"/>
      <c r="P88"/>
      <c r="Q88"/>
      <c r="R88"/>
      <c r="S88"/>
      <c r="T88"/>
      <c r="U88"/>
      <c r="V88"/>
      <c r="W88"/>
      <c r="X88"/>
      <c r="Y88"/>
      <c r="Z88"/>
    </row>
    <row r="89" spans="2:26" ht="17" customHeight="1">
      <c r="B89"/>
      <c r="C89"/>
      <c r="D89"/>
      <c r="E89"/>
      <c r="F89"/>
      <c r="G89"/>
      <c r="H89"/>
      <c r="I89"/>
      <c r="J89"/>
      <c r="K89"/>
      <c r="L89"/>
      <c r="M89"/>
      <c r="N89"/>
      <c r="O89"/>
      <c r="P89"/>
      <c r="Q89"/>
      <c r="R89"/>
      <c r="S89"/>
      <c r="T89"/>
      <c r="U89"/>
      <c r="V89"/>
      <c r="W89"/>
      <c r="X89"/>
      <c r="Y89"/>
      <c r="Z89"/>
    </row>
    <row r="90" spans="2:26" ht="17" customHeight="1">
      <c r="B90"/>
      <c r="C90"/>
      <c r="D90"/>
      <c r="E90"/>
      <c r="F90"/>
      <c r="G90"/>
      <c r="H90"/>
      <c r="I90"/>
      <c r="J90"/>
      <c r="K90"/>
      <c r="L90"/>
      <c r="M90"/>
      <c r="N90"/>
      <c r="O90"/>
      <c r="P90"/>
      <c r="Q90"/>
      <c r="R90"/>
      <c r="S90"/>
      <c r="T90"/>
      <c r="U90"/>
      <c r="V90"/>
      <c r="W90"/>
      <c r="X90"/>
      <c r="Y90"/>
      <c r="Z90"/>
    </row>
    <row r="91" spans="2:26" ht="17" customHeight="1">
      <c r="B91"/>
      <c r="C91"/>
      <c r="D91"/>
      <c r="E91"/>
      <c r="F91"/>
      <c r="G91"/>
      <c r="H91"/>
      <c r="I91"/>
      <c r="J91"/>
      <c r="K91"/>
      <c r="L91"/>
      <c r="M91"/>
      <c r="N91"/>
      <c r="O91"/>
      <c r="P91"/>
      <c r="Q91"/>
      <c r="R91"/>
      <c r="S91"/>
      <c r="T91"/>
      <c r="U91"/>
      <c r="V91"/>
      <c r="W91"/>
      <c r="X91"/>
      <c r="Y91"/>
      <c r="Z91"/>
    </row>
    <row r="92" spans="2:26" ht="17" customHeight="1">
      <c r="B92"/>
      <c r="C92"/>
      <c r="D92"/>
      <c r="E92"/>
      <c r="F92"/>
      <c r="G92"/>
      <c r="H92"/>
      <c r="I92"/>
      <c r="J92"/>
      <c r="K92"/>
      <c r="L92"/>
      <c r="M92"/>
      <c r="N92"/>
      <c r="O92"/>
      <c r="P92"/>
      <c r="Q92"/>
      <c r="R92"/>
      <c r="S92"/>
      <c r="T92"/>
      <c r="U92"/>
      <c r="V92"/>
      <c r="W92"/>
      <c r="X92"/>
      <c r="Y92"/>
      <c r="Z92"/>
    </row>
    <row r="93" spans="2:26" ht="17" customHeight="1">
      <c r="B93"/>
      <c r="C93"/>
      <c r="D93"/>
      <c r="E93"/>
      <c r="F93"/>
      <c r="G93"/>
      <c r="H93"/>
      <c r="I93"/>
      <c r="J93"/>
      <c r="K93"/>
      <c r="L93"/>
      <c r="M93"/>
      <c r="N93"/>
      <c r="O93"/>
      <c r="P93"/>
      <c r="Q93"/>
      <c r="R93"/>
      <c r="S93"/>
      <c r="T93"/>
      <c r="U93"/>
      <c r="V93"/>
      <c r="W93"/>
      <c r="X93"/>
      <c r="Y93"/>
      <c r="Z93"/>
    </row>
    <row r="94" spans="2:26" ht="17" customHeight="1">
      <c r="B94"/>
      <c r="C94"/>
      <c r="D94"/>
      <c r="E94"/>
      <c r="F94"/>
      <c r="G94"/>
      <c r="H94"/>
      <c r="I94"/>
      <c r="J94"/>
      <c r="K94"/>
      <c r="L94"/>
      <c r="M94"/>
      <c r="N94"/>
      <c r="O94"/>
      <c r="P94"/>
      <c r="Q94"/>
      <c r="R94"/>
      <c r="S94"/>
      <c r="T94"/>
      <c r="U94"/>
      <c r="V94"/>
      <c r="W94"/>
      <c r="X94"/>
      <c r="Y94"/>
      <c r="Z94"/>
    </row>
    <row r="95" spans="2:26" ht="17" customHeight="1">
      <c r="B95"/>
      <c r="C95"/>
      <c r="D95"/>
      <c r="E95"/>
      <c r="F95"/>
      <c r="G95"/>
      <c r="H95"/>
      <c r="I95"/>
      <c r="J95"/>
      <c r="K95"/>
      <c r="L95"/>
      <c r="M95"/>
      <c r="N95"/>
      <c r="O95"/>
      <c r="P95"/>
      <c r="Q95"/>
      <c r="R95"/>
      <c r="S95"/>
      <c r="T95"/>
      <c r="U95"/>
      <c r="V95"/>
      <c r="W95"/>
      <c r="X95"/>
      <c r="Y95"/>
      <c r="Z95"/>
    </row>
    <row r="96" spans="2:26" ht="17" customHeight="1">
      <c r="B96"/>
      <c r="C96"/>
      <c r="D96"/>
      <c r="E96"/>
      <c r="F96"/>
      <c r="G96"/>
      <c r="H96"/>
      <c r="I96"/>
      <c r="J96"/>
      <c r="K96"/>
      <c r="L96"/>
      <c r="M96"/>
      <c r="N96"/>
      <c r="O96"/>
      <c r="P96"/>
      <c r="Q96"/>
      <c r="R96"/>
      <c r="S96"/>
      <c r="T96"/>
      <c r="U96"/>
      <c r="V96"/>
      <c r="W96"/>
      <c r="X96"/>
      <c r="Y96"/>
      <c r="Z96"/>
    </row>
    <row r="97" spans="2:26" ht="17" customHeight="1">
      <c r="B97"/>
      <c r="C97"/>
      <c r="D97"/>
      <c r="E97"/>
      <c r="F97"/>
      <c r="G97"/>
      <c r="H97"/>
      <c r="I97"/>
      <c r="J97"/>
      <c r="K97"/>
      <c r="L97"/>
      <c r="M97"/>
      <c r="N97"/>
      <c r="O97"/>
      <c r="P97"/>
      <c r="Q97"/>
      <c r="R97"/>
      <c r="S97"/>
      <c r="T97"/>
      <c r="U97"/>
      <c r="V97"/>
      <c r="W97"/>
      <c r="X97"/>
      <c r="Y97"/>
      <c r="Z97"/>
    </row>
    <row r="98" spans="2:26" ht="17" customHeight="1">
      <c r="B98"/>
      <c r="C98"/>
      <c r="D98"/>
      <c r="E98"/>
      <c r="F98"/>
      <c r="G98"/>
      <c r="H98"/>
      <c r="I98"/>
      <c r="J98"/>
      <c r="K98"/>
      <c r="L98"/>
      <c r="M98"/>
      <c r="N98"/>
      <c r="O98"/>
      <c r="P98"/>
      <c r="Q98"/>
      <c r="R98"/>
      <c r="S98"/>
      <c r="T98"/>
      <c r="U98"/>
      <c r="V98"/>
      <c r="W98"/>
      <c r="X98"/>
      <c r="Y98"/>
      <c r="Z98"/>
    </row>
    <row r="99" spans="2:26" ht="17" customHeight="1">
      <c r="B99"/>
      <c r="C99"/>
      <c r="D99"/>
      <c r="E99"/>
      <c r="F99"/>
      <c r="G99"/>
      <c r="H99"/>
      <c r="I99"/>
      <c r="J99"/>
      <c r="K99"/>
      <c r="L99"/>
      <c r="M99"/>
      <c r="N99"/>
      <c r="O99"/>
      <c r="P99"/>
      <c r="Q99"/>
      <c r="R99"/>
      <c r="S99"/>
      <c r="T99"/>
      <c r="U99"/>
      <c r="V99"/>
      <c r="W99"/>
      <c r="X99"/>
      <c r="Y99"/>
      <c r="Z99"/>
    </row>
    <row r="100" spans="2:26" ht="17" customHeight="1">
      <c r="B100"/>
      <c r="C100"/>
      <c r="D100"/>
      <c r="E100"/>
      <c r="F100"/>
      <c r="G100"/>
      <c r="H100"/>
      <c r="I100"/>
      <c r="J100"/>
      <c r="K100"/>
      <c r="L100"/>
      <c r="M100"/>
      <c r="N100"/>
      <c r="O100"/>
      <c r="P100"/>
      <c r="Q100"/>
      <c r="R100"/>
      <c r="S100"/>
      <c r="T100"/>
      <c r="U100"/>
      <c r="V100"/>
      <c r="W100"/>
      <c r="X100"/>
      <c r="Y100"/>
      <c r="Z100"/>
    </row>
    <row r="101" spans="2:26" ht="17" customHeight="1">
      <c r="B101"/>
      <c r="C101"/>
      <c r="D101"/>
      <c r="E101"/>
      <c r="F101"/>
      <c r="G101"/>
      <c r="H101"/>
      <c r="I101"/>
      <c r="J101"/>
      <c r="K101"/>
      <c r="L101"/>
      <c r="M101"/>
      <c r="N101"/>
      <c r="O101"/>
      <c r="P101"/>
      <c r="Q101"/>
      <c r="R101"/>
      <c r="S101"/>
      <c r="T101"/>
      <c r="U101"/>
      <c r="V101"/>
      <c r="W101"/>
      <c r="X101"/>
      <c r="Y101"/>
      <c r="Z101"/>
    </row>
    <row r="102" spans="2:26" ht="17" customHeight="1">
      <c r="B102"/>
      <c r="C102"/>
      <c r="D102"/>
      <c r="E102"/>
      <c r="F102"/>
      <c r="G102"/>
      <c r="H102"/>
      <c r="I102"/>
      <c r="J102"/>
      <c r="K102"/>
      <c r="L102"/>
      <c r="M102"/>
      <c r="N102"/>
      <c r="O102"/>
      <c r="P102"/>
      <c r="Q102"/>
      <c r="R102"/>
      <c r="S102"/>
      <c r="T102"/>
      <c r="U102"/>
      <c r="V102"/>
      <c r="W102"/>
      <c r="X102"/>
      <c r="Y102"/>
      <c r="Z102"/>
    </row>
    <row r="103" spans="2:26" ht="17" customHeight="1">
      <c r="B103"/>
      <c r="C103"/>
      <c r="D103"/>
      <c r="E103"/>
      <c r="F103"/>
      <c r="G103"/>
      <c r="H103"/>
      <c r="I103"/>
      <c r="J103"/>
      <c r="K103"/>
      <c r="L103"/>
      <c r="M103"/>
      <c r="N103"/>
      <c r="O103"/>
      <c r="P103"/>
      <c r="Q103"/>
      <c r="R103"/>
      <c r="S103"/>
      <c r="T103"/>
      <c r="U103"/>
      <c r="V103"/>
      <c r="W103"/>
      <c r="X103"/>
      <c r="Y103"/>
      <c r="Z103"/>
    </row>
    <row r="104" spans="2:26" ht="17" customHeight="1">
      <c r="B104"/>
      <c r="C104"/>
      <c r="D104"/>
      <c r="E104"/>
      <c r="F104"/>
      <c r="G104"/>
      <c r="H104"/>
      <c r="I104"/>
      <c r="J104"/>
      <c r="K104"/>
      <c r="L104"/>
      <c r="M104"/>
      <c r="N104"/>
      <c r="O104"/>
      <c r="P104"/>
      <c r="Q104"/>
      <c r="R104"/>
      <c r="S104"/>
      <c r="T104"/>
      <c r="U104"/>
      <c r="V104"/>
      <c r="W104"/>
      <c r="X104"/>
      <c r="Y104"/>
      <c r="Z104"/>
    </row>
    <row r="105" spans="2:26" ht="17" customHeight="1">
      <c r="B105"/>
      <c r="C105"/>
      <c r="D105"/>
      <c r="E105"/>
      <c r="F105"/>
      <c r="G105"/>
      <c r="H105"/>
      <c r="I105"/>
      <c r="J105"/>
      <c r="K105"/>
      <c r="L105"/>
      <c r="M105"/>
      <c r="N105"/>
      <c r="O105"/>
      <c r="P105"/>
      <c r="Q105"/>
      <c r="R105"/>
      <c r="S105"/>
      <c r="T105"/>
      <c r="U105"/>
      <c r="V105"/>
      <c r="W105"/>
      <c r="X105"/>
      <c r="Y105"/>
      <c r="Z105"/>
    </row>
    <row r="106" spans="2:26" ht="17" customHeight="1">
      <c r="B106"/>
      <c r="C106"/>
      <c r="D106"/>
      <c r="E106"/>
      <c r="F106"/>
      <c r="G106"/>
      <c r="H106"/>
      <c r="I106"/>
      <c r="J106"/>
      <c r="K106"/>
      <c r="L106"/>
      <c r="M106"/>
      <c r="N106"/>
      <c r="O106"/>
      <c r="P106"/>
      <c r="Q106"/>
      <c r="R106"/>
      <c r="S106"/>
      <c r="T106"/>
      <c r="U106"/>
      <c r="V106"/>
      <c r="W106"/>
      <c r="X106"/>
      <c r="Y106"/>
      <c r="Z106"/>
    </row>
    <row r="107" spans="2:26" ht="17" customHeight="1">
      <c r="B107"/>
      <c r="C107"/>
      <c r="D107"/>
      <c r="E107"/>
      <c r="F107"/>
      <c r="G107"/>
      <c r="H107"/>
      <c r="I107"/>
      <c r="J107"/>
      <c r="K107"/>
      <c r="L107"/>
      <c r="M107"/>
      <c r="N107"/>
      <c r="O107"/>
      <c r="P107"/>
      <c r="Q107"/>
      <c r="R107"/>
      <c r="S107"/>
      <c r="T107"/>
      <c r="U107"/>
      <c r="V107"/>
      <c r="W107"/>
      <c r="X107"/>
      <c r="Y107"/>
      <c r="Z107"/>
    </row>
    <row r="108" spans="2:26" ht="17" customHeight="1">
      <c r="B108"/>
      <c r="C108"/>
      <c r="D108"/>
      <c r="E108"/>
      <c r="F108"/>
      <c r="G108"/>
      <c r="H108"/>
      <c r="I108"/>
      <c r="J108"/>
      <c r="K108"/>
      <c r="L108"/>
      <c r="M108"/>
      <c r="N108"/>
      <c r="O108"/>
      <c r="P108"/>
      <c r="Q108"/>
      <c r="R108"/>
      <c r="S108"/>
      <c r="T108"/>
      <c r="U108"/>
      <c r="V108"/>
      <c r="W108"/>
      <c r="X108"/>
      <c r="Y108"/>
      <c r="Z108"/>
    </row>
    <row r="109" spans="2:26" ht="17" customHeight="1">
      <c r="B109"/>
      <c r="C109"/>
      <c r="D109"/>
      <c r="E109"/>
      <c r="F109"/>
      <c r="G109"/>
      <c r="H109"/>
      <c r="I109"/>
      <c r="J109"/>
      <c r="K109"/>
      <c r="L109"/>
      <c r="M109"/>
      <c r="N109"/>
      <c r="O109"/>
      <c r="P109"/>
      <c r="Q109"/>
      <c r="R109"/>
      <c r="S109"/>
      <c r="T109"/>
      <c r="U109"/>
      <c r="V109"/>
      <c r="W109"/>
      <c r="X109"/>
      <c r="Y109"/>
      <c r="Z109"/>
    </row>
    <row r="110" spans="2:26" ht="17" customHeight="1">
      <c r="B110"/>
      <c r="C110"/>
      <c r="D110"/>
      <c r="E110"/>
      <c r="F110"/>
      <c r="G110"/>
      <c r="H110"/>
      <c r="I110"/>
      <c r="J110"/>
      <c r="K110"/>
      <c r="L110"/>
      <c r="M110"/>
      <c r="N110"/>
      <c r="O110"/>
      <c r="P110"/>
      <c r="Q110"/>
      <c r="R110"/>
      <c r="S110"/>
      <c r="T110"/>
      <c r="U110"/>
      <c r="V110"/>
      <c r="W110"/>
      <c r="X110"/>
      <c r="Y110"/>
      <c r="Z110"/>
    </row>
    <row r="111" spans="2:26" ht="17" customHeight="1">
      <c r="B111"/>
      <c r="C111"/>
      <c r="D111"/>
      <c r="E111"/>
      <c r="F111"/>
      <c r="G111"/>
      <c r="H111"/>
      <c r="I111"/>
      <c r="J111"/>
      <c r="K111"/>
      <c r="L111"/>
      <c r="M111"/>
      <c r="N111"/>
      <c r="O111"/>
      <c r="P111"/>
      <c r="Q111"/>
      <c r="R111"/>
      <c r="S111"/>
      <c r="T111"/>
      <c r="U111"/>
      <c r="V111"/>
      <c r="W111"/>
      <c r="X111"/>
      <c r="Y111"/>
      <c r="Z111"/>
    </row>
    <row r="112" spans="2:26" ht="17" customHeight="1">
      <c r="B112"/>
      <c r="C112"/>
      <c r="D112"/>
      <c r="E112"/>
      <c r="F112"/>
      <c r="G112"/>
      <c r="H112"/>
      <c r="I112"/>
      <c r="J112"/>
      <c r="K112"/>
      <c r="L112"/>
      <c r="M112"/>
      <c r="N112"/>
      <c r="O112"/>
      <c r="P112"/>
      <c r="Q112"/>
      <c r="R112"/>
      <c r="S112"/>
      <c r="T112"/>
      <c r="U112"/>
      <c r="V112"/>
      <c r="W112"/>
      <c r="X112"/>
      <c r="Y112"/>
      <c r="Z112"/>
    </row>
    <row r="113" spans="2:26" ht="17" customHeight="1">
      <c r="B113"/>
      <c r="C113"/>
      <c r="D113"/>
      <c r="E113"/>
      <c r="F113"/>
      <c r="G113"/>
      <c r="H113"/>
      <c r="I113"/>
      <c r="J113"/>
      <c r="K113"/>
      <c r="L113"/>
      <c r="M113"/>
      <c r="N113"/>
      <c r="O113"/>
      <c r="P113"/>
      <c r="Q113"/>
      <c r="R113"/>
      <c r="S113"/>
      <c r="T113"/>
      <c r="U113"/>
      <c r="V113"/>
      <c r="W113"/>
      <c r="X113"/>
      <c r="Y113"/>
      <c r="Z113"/>
    </row>
    <row r="114" spans="2:26" ht="17" customHeight="1">
      <c r="B114"/>
      <c r="C114"/>
      <c r="D114"/>
      <c r="E114"/>
      <c r="F114"/>
      <c r="G114"/>
      <c r="H114"/>
      <c r="I114"/>
      <c r="J114"/>
      <c r="K114"/>
      <c r="L114"/>
      <c r="M114"/>
      <c r="N114"/>
      <c r="O114"/>
      <c r="P114"/>
      <c r="Q114"/>
      <c r="R114"/>
      <c r="S114"/>
      <c r="T114"/>
      <c r="U114"/>
      <c r="V114"/>
      <c r="W114"/>
      <c r="X114"/>
      <c r="Y114"/>
      <c r="Z114"/>
    </row>
    <row r="115" spans="2:26" ht="17" customHeight="1">
      <c r="B115"/>
      <c r="C115"/>
      <c r="D115"/>
      <c r="E115"/>
      <c r="F115"/>
      <c r="G115"/>
      <c r="H115"/>
      <c r="I115"/>
      <c r="J115"/>
      <c r="K115"/>
      <c r="L115"/>
      <c r="M115"/>
      <c r="N115"/>
      <c r="O115"/>
      <c r="P115"/>
      <c r="Q115"/>
      <c r="R115"/>
      <c r="S115"/>
      <c r="T115"/>
      <c r="U115"/>
      <c r="V115"/>
      <c r="W115"/>
      <c r="X115"/>
      <c r="Y115"/>
      <c r="Z115"/>
    </row>
    <row r="116" spans="2:26" ht="17" customHeight="1">
      <c r="B116"/>
      <c r="C116"/>
      <c r="D116"/>
      <c r="E116"/>
      <c r="F116"/>
      <c r="G116"/>
      <c r="H116"/>
      <c r="I116"/>
      <c r="J116"/>
      <c r="K116"/>
      <c r="L116"/>
      <c r="M116"/>
      <c r="N116"/>
      <c r="O116"/>
      <c r="P116"/>
      <c r="Q116"/>
      <c r="R116"/>
      <c r="S116"/>
      <c r="T116"/>
      <c r="U116"/>
      <c r="V116"/>
      <c r="W116"/>
      <c r="X116"/>
      <c r="Y116"/>
      <c r="Z116"/>
    </row>
    <row r="117" spans="2:26" ht="17" customHeight="1">
      <c r="B117"/>
      <c r="C117"/>
      <c r="D117"/>
      <c r="E117"/>
      <c r="F117"/>
      <c r="G117"/>
      <c r="H117"/>
      <c r="I117"/>
      <c r="J117"/>
      <c r="K117"/>
      <c r="L117"/>
      <c r="M117"/>
      <c r="N117"/>
      <c r="O117"/>
      <c r="P117"/>
      <c r="Q117"/>
      <c r="R117"/>
      <c r="S117"/>
      <c r="T117"/>
      <c r="U117"/>
      <c r="V117"/>
      <c r="W117"/>
      <c r="X117"/>
      <c r="Y117"/>
      <c r="Z117"/>
    </row>
    <row r="118" spans="2:26" ht="17" customHeight="1">
      <c r="B118"/>
      <c r="C118"/>
      <c r="D118"/>
      <c r="E118"/>
      <c r="F118"/>
      <c r="G118"/>
      <c r="H118"/>
      <c r="I118"/>
      <c r="J118"/>
      <c r="K118"/>
      <c r="L118"/>
      <c r="M118"/>
      <c r="N118"/>
      <c r="O118"/>
      <c r="P118"/>
      <c r="Q118"/>
      <c r="R118"/>
      <c r="S118"/>
      <c r="T118"/>
      <c r="U118"/>
      <c r="V118"/>
      <c r="W118"/>
      <c r="X118"/>
      <c r="Y118"/>
      <c r="Z118"/>
    </row>
    <row r="119" spans="2:26" ht="17" customHeight="1">
      <c r="B119"/>
      <c r="C119"/>
      <c r="D119"/>
      <c r="E119"/>
      <c r="F119"/>
      <c r="G119"/>
      <c r="H119"/>
      <c r="I119"/>
      <c r="J119"/>
      <c r="K119"/>
      <c r="L119"/>
      <c r="M119"/>
      <c r="N119"/>
      <c r="O119"/>
      <c r="P119"/>
      <c r="Q119"/>
      <c r="R119"/>
      <c r="S119"/>
      <c r="T119"/>
      <c r="U119"/>
      <c r="V119"/>
      <c r="W119"/>
      <c r="X119"/>
      <c r="Y119"/>
      <c r="Z119"/>
    </row>
    <row r="120" spans="2:26" ht="17" customHeight="1">
      <c r="B120"/>
      <c r="C120"/>
      <c r="D120"/>
      <c r="E120"/>
      <c r="F120"/>
      <c r="G120"/>
      <c r="H120"/>
      <c r="I120"/>
      <c r="J120"/>
      <c r="K120"/>
      <c r="L120"/>
      <c r="M120"/>
      <c r="N120"/>
      <c r="O120"/>
      <c r="P120"/>
      <c r="Q120"/>
      <c r="R120"/>
      <c r="S120"/>
      <c r="T120"/>
      <c r="U120"/>
      <c r="V120"/>
      <c r="W120"/>
      <c r="X120"/>
      <c r="Y120"/>
      <c r="Z120"/>
    </row>
    <row r="121" spans="2:26" ht="17" customHeight="1">
      <c r="B121"/>
      <c r="C121"/>
      <c r="D121"/>
      <c r="E121"/>
      <c r="F121"/>
      <c r="G121"/>
      <c r="H121"/>
      <c r="I121"/>
      <c r="J121"/>
      <c r="K121"/>
      <c r="L121"/>
      <c r="M121"/>
      <c r="N121"/>
      <c r="O121"/>
      <c r="P121"/>
      <c r="Q121"/>
      <c r="R121"/>
      <c r="S121"/>
      <c r="T121"/>
      <c r="U121"/>
      <c r="V121"/>
      <c r="W121"/>
      <c r="X121"/>
      <c r="Y121"/>
      <c r="Z121"/>
    </row>
    <row r="122" spans="2:26" ht="17" customHeight="1">
      <c r="B122"/>
      <c r="C122"/>
      <c r="D122"/>
      <c r="E122"/>
      <c r="F122"/>
      <c r="G122"/>
      <c r="H122"/>
      <c r="I122"/>
      <c r="J122"/>
      <c r="K122"/>
      <c r="L122"/>
      <c r="M122"/>
      <c r="N122"/>
      <c r="O122"/>
      <c r="P122"/>
      <c r="Q122"/>
      <c r="R122"/>
      <c r="S122"/>
      <c r="T122"/>
      <c r="U122"/>
      <c r="V122"/>
      <c r="W122"/>
      <c r="X122"/>
      <c r="Y122"/>
      <c r="Z122"/>
    </row>
    <row r="123" spans="2:26" ht="17" customHeight="1">
      <c r="B123"/>
      <c r="C123"/>
      <c r="D123"/>
      <c r="E123"/>
      <c r="F123"/>
      <c r="G123"/>
      <c r="H123"/>
      <c r="I123"/>
      <c r="J123"/>
      <c r="K123"/>
      <c r="L123"/>
      <c r="M123"/>
      <c r="N123"/>
      <c r="O123"/>
      <c r="P123"/>
      <c r="Q123"/>
      <c r="R123"/>
      <c r="S123"/>
      <c r="T123"/>
      <c r="U123"/>
      <c r="V123"/>
      <c r="W123"/>
      <c r="X123"/>
      <c r="Y123"/>
      <c r="Z123"/>
    </row>
    <row r="124" spans="2:26" ht="17" customHeight="1">
      <c r="B124"/>
      <c r="C124"/>
      <c r="D124"/>
      <c r="E124"/>
      <c r="F124"/>
      <c r="G124"/>
      <c r="H124"/>
      <c r="I124"/>
      <c r="J124"/>
      <c r="K124"/>
      <c r="L124"/>
      <c r="M124"/>
      <c r="N124"/>
      <c r="O124"/>
      <c r="P124"/>
      <c r="Q124"/>
      <c r="R124"/>
      <c r="S124"/>
      <c r="T124"/>
      <c r="U124"/>
      <c r="V124"/>
      <c r="W124"/>
      <c r="X124"/>
      <c r="Y124"/>
      <c r="Z124"/>
    </row>
    <row r="125" spans="2:26" ht="17" customHeight="1">
      <c r="B125"/>
      <c r="C125"/>
      <c r="D125"/>
      <c r="E125"/>
      <c r="F125"/>
      <c r="G125"/>
      <c r="H125"/>
      <c r="I125"/>
      <c r="J125"/>
      <c r="K125"/>
      <c r="L125"/>
      <c r="M125"/>
      <c r="N125"/>
      <c r="O125"/>
      <c r="P125"/>
      <c r="Q125"/>
      <c r="R125"/>
      <c r="S125"/>
      <c r="T125"/>
      <c r="U125"/>
      <c r="V125"/>
      <c r="W125"/>
      <c r="X125"/>
      <c r="Y125"/>
      <c r="Z125"/>
    </row>
    <row r="126" spans="2:26" ht="17" customHeight="1">
      <c r="B126"/>
      <c r="C126"/>
      <c r="D126"/>
      <c r="E126"/>
      <c r="F126"/>
      <c r="G126"/>
      <c r="H126"/>
      <c r="I126"/>
      <c r="J126"/>
      <c r="K126"/>
      <c r="L126"/>
      <c r="M126"/>
      <c r="N126"/>
      <c r="O126"/>
      <c r="P126"/>
      <c r="Q126"/>
      <c r="R126"/>
      <c r="S126"/>
      <c r="T126"/>
      <c r="U126"/>
      <c r="V126"/>
      <c r="W126"/>
      <c r="X126"/>
      <c r="Y126"/>
      <c r="Z126"/>
    </row>
    <row r="127" spans="2:26" ht="17" customHeight="1">
      <c r="B127"/>
      <c r="C127"/>
      <c r="D127"/>
      <c r="E127"/>
      <c r="F127"/>
      <c r="G127"/>
      <c r="H127"/>
      <c r="I127"/>
      <c r="J127"/>
      <c r="K127"/>
      <c r="L127"/>
      <c r="M127"/>
      <c r="N127"/>
      <c r="O127"/>
      <c r="P127"/>
      <c r="Q127"/>
      <c r="R127"/>
      <c r="S127"/>
      <c r="T127"/>
      <c r="U127"/>
      <c r="V127"/>
      <c r="W127"/>
      <c r="X127"/>
      <c r="Y127"/>
      <c r="Z127"/>
    </row>
    <row r="128" spans="2:26" ht="17" customHeight="1">
      <c r="B128"/>
      <c r="C128"/>
      <c r="D128"/>
      <c r="E128"/>
      <c r="F128"/>
      <c r="G128"/>
      <c r="H128"/>
      <c r="I128"/>
      <c r="J128"/>
      <c r="K128"/>
      <c r="L128"/>
      <c r="M128"/>
      <c r="N128"/>
      <c r="O128"/>
      <c r="P128"/>
      <c r="Q128"/>
      <c r="R128"/>
      <c r="S128"/>
      <c r="T128"/>
      <c r="U128"/>
      <c r="V128"/>
      <c r="W128"/>
      <c r="X128"/>
      <c r="Y128"/>
      <c r="Z128"/>
    </row>
    <row r="129" spans="2:26" ht="17" customHeight="1">
      <c r="B129"/>
      <c r="C129"/>
      <c r="D129"/>
      <c r="E129"/>
      <c r="F129"/>
      <c r="G129"/>
      <c r="H129"/>
      <c r="I129"/>
      <c r="J129"/>
      <c r="K129"/>
      <c r="L129"/>
      <c r="M129"/>
      <c r="N129"/>
      <c r="O129"/>
      <c r="P129"/>
      <c r="Q129"/>
      <c r="R129"/>
      <c r="S129"/>
      <c r="T129"/>
      <c r="U129"/>
      <c r="V129"/>
      <c r="W129"/>
      <c r="X129"/>
      <c r="Y129"/>
      <c r="Z129"/>
    </row>
    <row r="130" spans="2:26" ht="17" customHeight="1">
      <c r="B130"/>
      <c r="C130"/>
      <c r="D130"/>
      <c r="E130"/>
      <c r="F130"/>
      <c r="G130"/>
      <c r="H130"/>
      <c r="I130"/>
      <c r="J130"/>
      <c r="K130"/>
      <c r="L130"/>
      <c r="M130"/>
      <c r="N130"/>
      <c r="O130"/>
      <c r="P130"/>
      <c r="Q130"/>
      <c r="R130"/>
      <c r="S130"/>
      <c r="T130"/>
      <c r="U130"/>
      <c r="V130"/>
      <c r="W130"/>
      <c r="X130"/>
      <c r="Y130"/>
      <c r="Z130"/>
    </row>
    <row r="131" spans="2:26" ht="17" customHeight="1">
      <c r="B131"/>
      <c r="C131"/>
      <c r="D131"/>
      <c r="E131"/>
      <c r="F131"/>
      <c r="G131"/>
      <c r="H131"/>
      <c r="I131"/>
      <c r="J131"/>
      <c r="K131"/>
      <c r="L131"/>
      <c r="M131"/>
      <c r="N131"/>
      <c r="O131"/>
      <c r="P131"/>
      <c r="Q131"/>
      <c r="R131"/>
      <c r="S131"/>
      <c r="T131"/>
      <c r="U131"/>
      <c r="V131"/>
      <c r="W131"/>
      <c r="X131"/>
      <c r="Y131"/>
      <c r="Z131"/>
    </row>
    <row r="132" spans="2:26" ht="17" customHeight="1">
      <c r="B132"/>
      <c r="C132"/>
      <c r="D132"/>
      <c r="E132"/>
      <c r="F132"/>
      <c r="G132"/>
      <c r="H132"/>
      <c r="I132"/>
      <c r="J132"/>
      <c r="K132"/>
      <c r="L132"/>
      <c r="M132"/>
      <c r="N132"/>
      <c r="O132"/>
      <c r="P132"/>
      <c r="Q132"/>
      <c r="R132"/>
      <c r="S132"/>
      <c r="T132"/>
      <c r="U132"/>
      <c r="V132"/>
      <c r="W132"/>
      <c r="X132"/>
      <c r="Y132"/>
      <c r="Z132"/>
    </row>
    <row r="133" spans="2:26" ht="17" customHeight="1">
      <c r="B133"/>
      <c r="C133"/>
      <c r="D133"/>
      <c r="E133"/>
      <c r="F133"/>
      <c r="G133"/>
      <c r="H133"/>
      <c r="I133"/>
      <c r="J133"/>
      <c r="K133"/>
      <c r="L133"/>
      <c r="M133"/>
      <c r="N133"/>
      <c r="O133"/>
      <c r="P133"/>
      <c r="Q133"/>
      <c r="R133"/>
      <c r="S133"/>
      <c r="T133"/>
      <c r="U133"/>
      <c r="V133"/>
      <c r="W133"/>
      <c r="X133"/>
      <c r="Y133"/>
      <c r="Z133"/>
    </row>
    <row r="134" spans="2:26" ht="17" customHeight="1">
      <c r="B134"/>
      <c r="C134"/>
      <c r="D134"/>
      <c r="E134"/>
      <c r="F134"/>
      <c r="G134"/>
      <c r="H134"/>
      <c r="I134"/>
      <c r="J134"/>
      <c r="K134"/>
      <c r="L134"/>
      <c r="M134"/>
      <c r="N134"/>
      <c r="O134"/>
      <c r="P134"/>
      <c r="Q134"/>
      <c r="R134"/>
      <c r="S134"/>
      <c r="T134"/>
      <c r="U134"/>
      <c r="V134"/>
      <c r="W134"/>
      <c r="X134"/>
      <c r="Y134"/>
      <c r="Z134"/>
    </row>
    <row r="135" spans="2:26" ht="17" customHeight="1">
      <c r="B135"/>
      <c r="C135"/>
      <c r="D135"/>
      <c r="E135"/>
      <c r="F135"/>
      <c r="G135"/>
      <c r="H135"/>
      <c r="I135"/>
      <c r="J135"/>
      <c r="K135"/>
      <c r="L135"/>
      <c r="M135"/>
      <c r="N135"/>
      <c r="O135"/>
      <c r="P135"/>
      <c r="Q135"/>
      <c r="R135"/>
      <c r="S135"/>
      <c r="T135"/>
      <c r="U135"/>
      <c r="V135"/>
      <c r="W135"/>
      <c r="X135"/>
      <c r="Y135"/>
      <c r="Z135"/>
    </row>
    <row r="136" spans="2:26" ht="17" customHeight="1">
      <c r="B136"/>
      <c r="C136"/>
      <c r="D136"/>
      <c r="E136"/>
      <c r="F136"/>
      <c r="G136"/>
      <c r="H136"/>
      <c r="I136"/>
      <c r="J136"/>
      <c r="K136"/>
      <c r="L136"/>
      <c r="M136"/>
      <c r="N136"/>
      <c r="O136"/>
      <c r="P136"/>
      <c r="Q136"/>
      <c r="R136"/>
      <c r="S136"/>
      <c r="T136"/>
      <c r="U136"/>
      <c r="V136"/>
      <c r="W136"/>
      <c r="X136"/>
      <c r="Y136"/>
      <c r="Z136"/>
    </row>
    <row r="137" spans="2:26" ht="17" customHeight="1">
      <c r="B137"/>
      <c r="C137"/>
      <c r="D137"/>
      <c r="E137"/>
      <c r="F137"/>
      <c r="G137"/>
      <c r="H137"/>
      <c r="I137"/>
      <c r="J137"/>
      <c r="K137"/>
      <c r="L137"/>
      <c r="M137"/>
      <c r="N137"/>
      <c r="O137"/>
      <c r="P137"/>
      <c r="Q137"/>
      <c r="R137"/>
      <c r="S137"/>
      <c r="T137"/>
      <c r="U137"/>
      <c r="V137"/>
      <c r="W137"/>
      <c r="X137"/>
      <c r="Y137"/>
      <c r="Z137"/>
    </row>
    <row r="138" spans="2:26" ht="17" customHeight="1">
      <c r="B138"/>
      <c r="C138"/>
      <c r="D138"/>
      <c r="E138"/>
      <c r="F138"/>
      <c r="G138"/>
      <c r="H138"/>
      <c r="I138"/>
      <c r="J138"/>
      <c r="K138"/>
      <c r="L138"/>
      <c r="M138"/>
      <c r="N138"/>
      <c r="O138"/>
      <c r="P138"/>
      <c r="Q138"/>
      <c r="R138"/>
      <c r="S138"/>
      <c r="T138"/>
      <c r="U138"/>
      <c r="V138"/>
      <c r="W138"/>
      <c r="X138"/>
      <c r="Y138"/>
      <c r="Z138"/>
    </row>
    <row r="139" spans="2:26" ht="17" customHeight="1">
      <c r="B139"/>
      <c r="C139"/>
      <c r="D139"/>
      <c r="E139"/>
      <c r="F139"/>
      <c r="G139"/>
      <c r="H139"/>
      <c r="I139"/>
      <c r="J139"/>
      <c r="K139"/>
      <c r="L139"/>
      <c r="M139"/>
      <c r="N139"/>
      <c r="O139"/>
      <c r="P139"/>
      <c r="Q139"/>
      <c r="R139"/>
      <c r="S139"/>
      <c r="T139"/>
      <c r="U139"/>
      <c r="V139"/>
      <c r="W139"/>
      <c r="X139"/>
      <c r="Y139"/>
      <c r="Z139"/>
    </row>
    <row r="140" spans="2:26" ht="17" customHeight="1">
      <c r="B140"/>
      <c r="C140"/>
      <c r="D140"/>
      <c r="E140"/>
      <c r="F140"/>
      <c r="G140"/>
      <c r="H140"/>
      <c r="I140"/>
      <c r="J140"/>
      <c r="K140"/>
      <c r="L140"/>
      <c r="M140"/>
      <c r="N140"/>
      <c r="O140"/>
      <c r="P140"/>
      <c r="Q140"/>
      <c r="R140"/>
      <c r="S140"/>
      <c r="T140"/>
      <c r="U140"/>
      <c r="V140"/>
      <c r="W140"/>
      <c r="X140"/>
      <c r="Y140"/>
      <c r="Z140"/>
    </row>
    <row r="141" spans="2:26" ht="17" customHeight="1">
      <c r="B141"/>
      <c r="C141"/>
      <c r="D141"/>
      <c r="E141"/>
      <c r="F141"/>
      <c r="G141"/>
      <c r="H141"/>
      <c r="I141"/>
      <c r="J141"/>
      <c r="K141"/>
      <c r="L141"/>
      <c r="M141"/>
      <c r="N141"/>
      <c r="O141"/>
      <c r="P141"/>
      <c r="Q141"/>
      <c r="R141"/>
      <c r="S141"/>
      <c r="T141"/>
      <c r="U141"/>
      <c r="V141"/>
      <c r="W141"/>
      <c r="X141"/>
      <c r="Y141"/>
      <c r="Z141"/>
    </row>
    <row r="142" spans="2:26" ht="17" customHeight="1">
      <c r="B142"/>
      <c r="C142"/>
      <c r="D142"/>
      <c r="E142"/>
      <c r="F142"/>
      <c r="G142"/>
      <c r="H142"/>
      <c r="I142"/>
      <c r="J142"/>
      <c r="K142"/>
      <c r="L142"/>
      <c r="M142"/>
      <c r="N142"/>
      <c r="O142"/>
      <c r="P142"/>
      <c r="Q142"/>
      <c r="R142"/>
      <c r="S142"/>
      <c r="T142"/>
      <c r="U142"/>
      <c r="V142"/>
      <c r="W142"/>
      <c r="X142"/>
      <c r="Y142"/>
      <c r="Z142"/>
    </row>
    <row r="143" spans="2:26" ht="17" customHeight="1">
      <c r="B143"/>
      <c r="C143"/>
      <c r="D143"/>
      <c r="E143"/>
      <c r="F143"/>
      <c r="G143"/>
      <c r="H143"/>
      <c r="I143"/>
      <c r="J143"/>
      <c r="K143"/>
      <c r="L143"/>
      <c r="M143"/>
      <c r="N143"/>
      <c r="O143"/>
      <c r="P143"/>
      <c r="Q143"/>
      <c r="R143"/>
      <c r="S143"/>
      <c r="T143"/>
      <c r="U143"/>
      <c r="V143"/>
      <c r="W143"/>
      <c r="X143"/>
      <c r="Y143"/>
      <c r="Z143"/>
    </row>
    <row r="144" spans="2:26" ht="17" customHeight="1">
      <c r="B144"/>
      <c r="C144"/>
      <c r="D144"/>
      <c r="E144"/>
      <c r="F144"/>
      <c r="G144"/>
      <c r="H144"/>
      <c r="I144"/>
      <c r="J144"/>
      <c r="K144"/>
      <c r="L144"/>
      <c r="M144"/>
      <c r="N144"/>
      <c r="O144"/>
      <c r="P144"/>
      <c r="Q144"/>
      <c r="R144"/>
      <c r="S144"/>
      <c r="T144"/>
      <c r="U144"/>
      <c r="V144"/>
      <c r="W144"/>
      <c r="X144"/>
      <c r="Y144"/>
      <c r="Z144"/>
    </row>
    <row r="145" spans="2:26" ht="17" customHeight="1">
      <c r="B145"/>
      <c r="C145"/>
      <c r="D145"/>
      <c r="E145"/>
      <c r="F145"/>
      <c r="G145"/>
      <c r="H145"/>
      <c r="I145"/>
      <c r="J145"/>
      <c r="K145"/>
      <c r="L145"/>
      <c r="M145"/>
      <c r="N145"/>
      <c r="O145"/>
      <c r="P145"/>
      <c r="Q145"/>
      <c r="R145"/>
      <c r="S145"/>
      <c r="T145"/>
      <c r="U145"/>
      <c r="V145"/>
      <c r="W145"/>
      <c r="X145"/>
      <c r="Y145"/>
      <c r="Z145"/>
    </row>
    <row r="146" spans="2:26" ht="17" customHeight="1">
      <c r="B146"/>
      <c r="C146"/>
      <c r="D146"/>
      <c r="E146"/>
      <c r="F146"/>
      <c r="G146"/>
      <c r="H146"/>
      <c r="I146"/>
      <c r="J146"/>
      <c r="K146"/>
      <c r="L146"/>
      <c r="M146"/>
      <c r="N146"/>
      <c r="O146"/>
      <c r="P146"/>
      <c r="Q146"/>
      <c r="R146"/>
      <c r="S146"/>
      <c r="T146"/>
      <c r="U146"/>
      <c r="V146"/>
      <c r="W146"/>
      <c r="X146"/>
      <c r="Y146"/>
      <c r="Z146"/>
    </row>
    <row r="147" spans="2:26" ht="17" customHeight="1">
      <c r="B147"/>
      <c r="C147"/>
      <c r="D147"/>
      <c r="E147"/>
      <c r="F147"/>
      <c r="G147"/>
      <c r="H147"/>
      <c r="I147"/>
      <c r="J147"/>
      <c r="K147"/>
      <c r="L147"/>
      <c r="M147"/>
      <c r="N147"/>
      <c r="O147"/>
      <c r="P147"/>
      <c r="Q147"/>
      <c r="R147"/>
      <c r="S147"/>
      <c r="T147"/>
      <c r="U147"/>
      <c r="V147"/>
      <c r="W147"/>
      <c r="X147"/>
      <c r="Y147"/>
      <c r="Z147"/>
    </row>
    <row r="148" spans="2:26" ht="17" customHeight="1">
      <c r="B148"/>
      <c r="C148"/>
      <c r="D148"/>
      <c r="E148"/>
      <c r="F148"/>
      <c r="G148"/>
      <c r="H148"/>
      <c r="I148"/>
      <c r="J148"/>
      <c r="K148"/>
      <c r="L148"/>
      <c r="M148"/>
      <c r="N148"/>
      <c r="O148"/>
      <c r="P148"/>
      <c r="Q148"/>
      <c r="R148"/>
      <c r="S148"/>
      <c r="T148"/>
      <c r="U148"/>
      <c r="V148"/>
      <c r="W148"/>
      <c r="X148"/>
      <c r="Y148"/>
      <c r="Z148"/>
    </row>
    <row r="149" spans="2:26" ht="17" customHeight="1">
      <c r="B149"/>
      <c r="C149"/>
      <c r="D149"/>
      <c r="E149"/>
      <c r="F149"/>
      <c r="G149"/>
      <c r="H149"/>
      <c r="I149"/>
      <c r="J149"/>
      <c r="K149"/>
      <c r="L149"/>
      <c r="M149"/>
      <c r="N149"/>
      <c r="O149"/>
      <c r="P149"/>
      <c r="Q149"/>
      <c r="R149"/>
      <c r="S149"/>
      <c r="T149"/>
      <c r="U149"/>
      <c r="V149"/>
      <c r="W149"/>
      <c r="X149"/>
      <c r="Y149"/>
      <c r="Z149"/>
    </row>
    <row r="150" spans="2:26" ht="17" customHeight="1">
      <c r="B150"/>
      <c r="C150"/>
      <c r="D150"/>
      <c r="E150"/>
      <c r="F150"/>
      <c r="G150"/>
      <c r="H150"/>
      <c r="I150"/>
      <c r="J150"/>
      <c r="K150"/>
      <c r="L150"/>
      <c r="M150"/>
      <c r="N150"/>
      <c r="O150"/>
      <c r="P150"/>
      <c r="Q150"/>
      <c r="R150"/>
      <c r="S150"/>
      <c r="T150"/>
      <c r="U150"/>
      <c r="V150"/>
      <c r="W150"/>
      <c r="X150"/>
      <c r="Y150"/>
      <c r="Z150"/>
    </row>
    <row r="151" spans="2:26" ht="17" customHeight="1">
      <c r="B151"/>
      <c r="C151"/>
      <c r="D151"/>
      <c r="E151"/>
      <c r="F151"/>
      <c r="G151"/>
      <c r="H151"/>
      <c r="I151"/>
      <c r="J151"/>
      <c r="K151"/>
      <c r="L151"/>
      <c r="M151"/>
      <c r="N151"/>
      <c r="O151"/>
      <c r="P151"/>
      <c r="Q151"/>
      <c r="R151"/>
      <c r="S151"/>
      <c r="T151"/>
      <c r="U151"/>
      <c r="V151"/>
      <c r="W151"/>
      <c r="X151"/>
      <c r="Y151"/>
      <c r="Z151"/>
    </row>
    <row r="152" spans="2:26" ht="17" customHeight="1">
      <c r="B152"/>
      <c r="C152"/>
      <c r="D152"/>
      <c r="E152"/>
      <c r="F152"/>
      <c r="G152"/>
      <c r="H152"/>
      <c r="I152"/>
      <c r="J152"/>
      <c r="K152"/>
      <c r="L152"/>
      <c r="M152"/>
      <c r="N152"/>
      <c r="O152"/>
      <c r="P152"/>
      <c r="Q152"/>
      <c r="R152"/>
      <c r="S152"/>
      <c r="T152"/>
      <c r="U152"/>
      <c r="V152"/>
      <c r="W152"/>
      <c r="X152"/>
      <c r="Y152"/>
      <c r="Z152"/>
    </row>
    <row r="153" spans="2:26" ht="17" customHeight="1">
      <c r="B153"/>
      <c r="C153"/>
      <c r="D153"/>
      <c r="E153"/>
      <c r="F153"/>
      <c r="G153"/>
      <c r="H153"/>
      <c r="I153"/>
      <c r="J153"/>
      <c r="K153"/>
      <c r="L153"/>
      <c r="M153"/>
      <c r="N153"/>
      <c r="O153"/>
      <c r="P153"/>
      <c r="Q153"/>
      <c r="R153"/>
      <c r="S153"/>
      <c r="T153"/>
      <c r="U153"/>
      <c r="V153"/>
      <c r="W153"/>
      <c r="X153"/>
      <c r="Y153"/>
      <c r="Z153"/>
    </row>
    <row r="154" spans="2:26" ht="17" customHeight="1">
      <c r="B154"/>
      <c r="C154"/>
      <c r="D154"/>
      <c r="E154"/>
      <c r="F154"/>
      <c r="G154"/>
      <c r="H154"/>
      <c r="I154"/>
      <c r="J154"/>
      <c r="K154"/>
      <c r="L154"/>
      <c r="M154"/>
      <c r="N154"/>
      <c r="O154"/>
      <c r="P154"/>
      <c r="Q154"/>
      <c r="R154"/>
      <c r="S154"/>
      <c r="T154"/>
      <c r="U154"/>
      <c r="V154"/>
      <c r="W154"/>
      <c r="X154"/>
      <c r="Y154"/>
      <c r="Z154"/>
    </row>
    <row r="155" spans="2:26" ht="17" customHeight="1">
      <c r="B155"/>
      <c r="C155"/>
      <c r="D155"/>
      <c r="E155"/>
      <c r="F155"/>
      <c r="G155"/>
      <c r="H155"/>
      <c r="I155"/>
      <c r="J155"/>
      <c r="K155"/>
      <c r="L155"/>
      <c r="M155"/>
      <c r="N155"/>
      <c r="O155"/>
      <c r="P155"/>
      <c r="Q155"/>
      <c r="R155"/>
      <c r="S155"/>
      <c r="T155"/>
      <c r="U155"/>
      <c r="V155"/>
      <c r="W155"/>
      <c r="X155"/>
      <c r="Y155"/>
      <c r="Z155"/>
    </row>
    <row r="156" spans="2:26" ht="17" customHeight="1">
      <c r="B156"/>
      <c r="C156"/>
      <c r="D156"/>
      <c r="E156"/>
      <c r="F156"/>
      <c r="G156"/>
      <c r="H156"/>
      <c r="I156"/>
      <c r="J156"/>
      <c r="K156"/>
      <c r="L156"/>
      <c r="M156"/>
      <c r="N156"/>
      <c r="O156"/>
      <c r="P156"/>
      <c r="Q156"/>
      <c r="R156"/>
      <c r="S156"/>
      <c r="T156"/>
      <c r="U156"/>
      <c r="V156"/>
      <c r="W156"/>
      <c r="X156"/>
      <c r="Y156"/>
      <c r="Z156"/>
    </row>
    <row r="157" spans="2:26" ht="17" customHeight="1">
      <c r="B157"/>
      <c r="C157"/>
      <c r="D157"/>
      <c r="E157"/>
      <c r="F157"/>
      <c r="G157"/>
      <c r="H157"/>
      <c r="I157"/>
      <c r="J157"/>
      <c r="K157"/>
      <c r="L157"/>
      <c r="M157"/>
      <c r="N157"/>
      <c r="O157"/>
      <c r="P157"/>
      <c r="Q157"/>
      <c r="R157"/>
      <c r="S157"/>
      <c r="T157"/>
      <c r="U157"/>
      <c r="V157"/>
      <c r="W157"/>
      <c r="X157"/>
      <c r="Y157"/>
      <c r="Z157"/>
    </row>
    <row r="158" spans="2:26" ht="17" customHeight="1">
      <c r="B158"/>
      <c r="C158"/>
      <c r="D158"/>
      <c r="E158"/>
      <c r="F158"/>
      <c r="G158"/>
      <c r="H158"/>
      <c r="I158"/>
      <c r="J158"/>
      <c r="K158"/>
      <c r="L158"/>
      <c r="M158"/>
      <c r="N158"/>
      <c r="O158"/>
      <c r="P158"/>
      <c r="Q158"/>
      <c r="R158"/>
      <c r="S158"/>
      <c r="T158"/>
      <c r="U158"/>
      <c r="V158"/>
      <c r="W158"/>
      <c r="X158"/>
      <c r="Y158"/>
      <c r="Z158"/>
    </row>
    <row r="159" spans="2:26" ht="17" customHeight="1">
      <c r="B159"/>
      <c r="C159"/>
      <c r="D159"/>
      <c r="E159"/>
      <c r="F159"/>
      <c r="G159"/>
      <c r="H159"/>
      <c r="I159"/>
      <c r="J159"/>
      <c r="K159"/>
      <c r="L159"/>
      <c r="M159"/>
      <c r="N159"/>
      <c r="O159"/>
      <c r="P159"/>
      <c r="Q159"/>
      <c r="R159"/>
      <c r="S159"/>
      <c r="T159"/>
      <c r="U159"/>
      <c r="V159"/>
      <c r="W159"/>
      <c r="X159"/>
      <c r="Y159"/>
      <c r="Z159"/>
    </row>
    <row r="160" spans="2:26" ht="17" customHeight="1">
      <c r="B160"/>
      <c r="C160"/>
      <c r="D160"/>
      <c r="E160"/>
      <c r="F160"/>
      <c r="G160"/>
      <c r="H160"/>
      <c r="I160"/>
      <c r="J160"/>
      <c r="K160"/>
      <c r="L160"/>
      <c r="M160"/>
      <c r="N160"/>
      <c r="O160"/>
      <c r="P160"/>
      <c r="Q160"/>
      <c r="R160"/>
      <c r="S160"/>
      <c r="T160"/>
      <c r="U160"/>
      <c r="V160"/>
      <c r="W160"/>
      <c r="X160"/>
      <c r="Y160"/>
      <c r="Z160"/>
    </row>
    <row r="161" spans="2:26" ht="17" customHeight="1">
      <c r="B161"/>
      <c r="C161"/>
      <c r="D161"/>
      <c r="E161"/>
      <c r="F161"/>
      <c r="G161"/>
      <c r="H161"/>
      <c r="I161"/>
      <c r="J161"/>
      <c r="K161"/>
      <c r="L161"/>
      <c r="M161"/>
      <c r="N161"/>
      <c r="O161"/>
      <c r="P161"/>
      <c r="Q161"/>
      <c r="R161"/>
      <c r="S161"/>
      <c r="T161"/>
      <c r="U161"/>
      <c r="V161"/>
      <c r="W161"/>
      <c r="X161"/>
      <c r="Y161"/>
      <c r="Z161"/>
    </row>
    <row r="162" spans="2:26" ht="17" customHeight="1">
      <c r="B162"/>
      <c r="C162"/>
      <c r="D162"/>
      <c r="E162"/>
      <c r="F162"/>
      <c r="G162"/>
      <c r="H162"/>
      <c r="I162"/>
      <c r="J162"/>
      <c r="K162"/>
      <c r="L162"/>
      <c r="M162"/>
      <c r="N162"/>
      <c r="O162"/>
      <c r="P162"/>
      <c r="Q162"/>
      <c r="R162"/>
      <c r="S162"/>
      <c r="T162"/>
      <c r="U162"/>
      <c r="V162"/>
      <c r="W162"/>
      <c r="X162"/>
      <c r="Y162"/>
      <c r="Z162"/>
    </row>
    <row r="163" spans="2:26" ht="17" customHeight="1">
      <c r="B163"/>
      <c r="C163"/>
      <c r="D163"/>
      <c r="E163"/>
      <c r="F163"/>
      <c r="G163"/>
      <c r="H163"/>
      <c r="I163"/>
      <c r="J163"/>
      <c r="K163"/>
      <c r="L163"/>
      <c r="M163"/>
      <c r="N163"/>
      <c r="O163"/>
      <c r="P163"/>
      <c r="Q163"/>
      <c r="R163"/>
      <c r="S163"/>
      <c r="T163"/>
      <c r="U163"/>
      <c r="V163"/>
      <c r="W163"/>
      <c r="X163"/>
      <c r="Y163"/>
      <c r="Z163"/>
    </row>
    <row r="164" spans="2:26" ht="17" customHeight="1">
      <c r="B164"/>
      <c r="C164"/>
      <c r="D164"/>
      <c r="E164"/>
      <c r="F164"/>
      <c r="G164"/>
      <c r="H164"/>
      <c r="I164"/>
      <c r="J164"/>
      <c r="K164"/>
      <c r="L164"/>
      <c r="M164"/>
      <c r="N164"/>
      <c r="O164"/>
      <c r="P164"/>
      <c r="Q164"/>
      <c r="R164"/>
      <c r="S164"/>
      <c r="T164"/>
      <c r="U164"/>
      <c r="V164"/>
      <c r="W164"/>
      <c r="X164"/>
      <c r="Y164"/>
      <c r="Z164"/>
    </row>
    <row r="165" spans="2:26" ht="17" customHeight="1">
      <c r="B165"/>
      <c r="C165"/>
      <c r="D165"/>
      <c r="E165"/>
      <c r="F165"/>
      <c r="G165"/>
      <c r="H165"/>
      <c r="I165"/>
      <c r="J165"/>
      <c r="K165"/>
      <c r="L165"/>
      <c r="M165"/>
      <c r="N165"/>
      <c r="O165"/>
      <c r="P165"/>
      <c r="Q165"/>
      <c r="R165"/>
      <c r="S165"/>
      <c r="T165"/>
      <c r="U165"/>
      <c r="V165"/>
      <c r="W165"/>
      <c r="X165"/>
      <c r="Y165"/>
      <c r="Z165"/>
    </row>
    <row r="166" spans="2:26" ht="17" customHeight="1">
      <c r="B166"/>
      <c r="C166"/>
      <c r="D166"/>
      <c r="E166"/>
      <c r="F166"/>
      <c r="G166"/>
      <c r="H166"/>
      <c r="I166"/>
      <c r="J166"/>
      <c r="K166"/>
      <c r="L166"/>
      <c r="M166"/>
      <c r="N166"/>
      <c r="O166"/>
      <c r="P166"/>
      <c r="Q166"/>
      <c r="R166"/>
      <c r="S166"/>
      <c r="T166"/>
      <c r="U166"/>
      <c r="V166"/>
      <c r="W166"/>
      <c r="X166"/>
      <c r="Y166"/>
      <c r="Z166"/>
    </row>
    <row r="167" spans="2:26" ht="17" customHeight="1">
      <c r="B167"/>
      <c r="C167"/>
      <c r="D167"/>
      <c r="E167"/>
      <c r="F167"/>
      <c r="G167"/>
      <c r="H167"/>
      <c r="I167"/>
      <c r="J167"/>
      <c r="K167"/>
      <c r="L167"/>
      <c r="M167"/>
      <c r="N167"/>
      <c r="O167"/>
      <c r="P167"/>
      <c r="Q167"/>
      <c r="R167"/>
      <c r="S167"/>
      <c r="T167"/>
      <c r="U167"/>
      <c r="V167"/>
      <c r="W167"/>
      <c r="X167"/>
      <c r="Y167"/>
      <c r="Z167"/>
    </row>
    <row r="168" spans="2:26" ht="17" customHeight="1">
      <c r="B168"/>
      <c r="C168"/>
      <c r="D168"/>
      <c r="E168"/>
      <c r="F168"/>
      <c r="G168"/>
      <c r="H168"/>
      <c r="I168"/>
      <c r="J168"/>
      <c r="K168"/>
      <c r="L168"/>
      <c r="M168"/>
      <c r="N168"/>
      <c r="O168"/>
      <c r="P168"/>
      <c r="Q168"/>
      <c r="R168"/>
      <c r="S168"/>
      <c r="T168"/>
      <c r="U168"/>
      <c r="V168"/>
      <c r="W168"/>
      <c r="X168"/>
      <c r="Y168"/>
      <c r="Z168"/>
    </row>
    <row r="169" spans="2:26" ht="17" customHeight="1">
      <c r="B169"/>
      <c r="C169"/>
      <c r="D169"/>
      <c r="E169"/>
      <c r="F169"/>
      <c r="G169"/>
      <c r="H169"/>
      <c r="I169"/>
      <c r="J169"/>
      <c r="K169"/>
      <c r="L169"/>
      <c r="M169"/>
      <c r="N169"/>
      <c r="O169"/>
      <c r="P169"/>
      <c r="Q169"/>
      <c r="R169"/>
      <c r="S169"/>
      <c r="T169"/>
      <c r="U169"/>
      <c r="V169"/>
      <c r="W169"/>
      <c r="X169"/>
      <c r="Y169"/>
      <c r="Z169"/>
    </row>
    <row r="170" spans="2:26" ht="17" customHeight="1">
      <c r="B170"/>
      <c r="C170"/>
      <c r="D170"/>
      <c r="E170"/>
      <c r="F170"/>
      <c r="G170"/>
      <c r="H170"/>
      <c r="I170"/>
      <c r="J170"/>
      <c r="K170"/>
      <c r="L170"/>
      <c r="M170"/>
      <c r="N170"/>
      <c r="O170"/>
      <c r="P170"/>
      <c r="Q170"/>
      <c r="R170"/>
      <c r="S170"/>
      <c r="T170"/>
      <c r="U170"/>
      <c r="V170"/>
      <c r="W170"/>
      <c r="X170"/>
      <c r="Y170"/>
      <c r="Z170"/>
    </row>
    <row r="171" spans="2:26" ht="17" customHeight="1">
      <c r="B171"/>
      <c r="C171"/>
      <c r="D171"/>
      <c r="E171"/>
      <c r="F171"/>
      <c r="G171"/>
      <c r="H171"/>
      <c r="I171"/>
      <c r="J171"/>
      <c r="K171"/>
      <c r="L171"/>
      <c r="M171"/>
      <c r="N171"/>
      <c r="O171"/>
      <c r="P171"/>
      <c r="Q171"/>
      <c r="R171"/>
      <c r="S171"/>
      <c r="T171"/>
      <c r="U171"/>
      <c r="V171"/>
      <c r="W171"/>
      <c r="X171"/>
      <c r="Y171"/>
      <c r="Z171"/>
    </row>
    <row r="172" spans="2:26" ht="17" customHeight="1">
      <c r="B172"/>
      <c r="C172"/>
      <c r="D172"/>
      <c r="E172"/>
      <c r="F172"/>
      <c r="G172"/>
      <c r="H172"/>
      <c r="I172"/>
      <c r="J172"/>
      <c r="K172"/>
      <c r="L172"/>
      <c r="M172"/>
      <c r="N172"/>
      <c r="O172"/>
      <c r="P172"/>
      <c r="Q172"/>
      <c r="R172"/>
      <c r="S172"/>
      <c r="T172"/>
      <c r="U172"/>
      <c r="V172"/>
      <c r="W172"/>
      <c r="X172"/>
      <c r="Y172"/>
      <c r="Z172"/>
    </row>
    <row r="173" spans="2:26" ht="17" customHeight="1">
      <c r="B173"/>
      <c r="C173"/>
      <c r="D173"/>
      <c r="E173"/>
      <c r="F173"/>
      <c r="G173"/>
      <c r="H173"/>
      <c r="I173"/>
      <c r="J173"/>
      <c r="K173"/>
      <c r="L173"/>
      <c r="M173"/>
      <c r="N173"/>
      <c r="O173"/>
      <c r="P173"/>
      <c r="Q173"/>
      <c r="R173"/>
      <c r="S173"/>
      <c r="T173"/>
      <c r="U173"/>
      <c r="V173"/>
      <c r="W173"/>
      <c r="X173"/>
      <c r="Y173"/>
      <c r="Z173"/>
    </row>
    <row r="174" spans="2:26" ht="17" customHeight="1">
      <c r="B174"/>
      <c r="C174"/>
      <c r="D174"/>
      <c r="E174"/>
      <c r="F174"/>
      <c r="G174"/>
      <c r="H174"/>
      <c r="I174"/>
      <c r="J174"/>
      <c r="K174"/>
      <c r="L174"/>
      <c r="M174"/>
      <c r="N174"/>
      <c r="O174"/>
      <c r="P174"/>
      <c r="Q174"/>
      <c r="R174"/>
      <c r="S174"/>
      <c r="T174"/>
      <c r="U174"/>
      <c r="V174"/>
      <c r="W174"/>
      <c r="X174"/>
      <c r="Y174"/>
      <c r="Z174"/>
    </row>
    <row r="175" spans="2:26" ht="17" customHeight="1">
      <c r="B175"/>
      <c r="C175"/>
      <c r="D175"/>
      <c r="E175"/>
      <c r="F175"/>
      <c r="G175"/>
      <c r="H175"/>
      <c r="I175"/>
      <c r="J175"/>
      <c r="K175"/>
      <c r="L175"/>
      <c r="M175"/>
      <c r="N175"/>
      <c r="O175"/>
      <c r="P175"/>
      <c r="Q175"/>
      <c r="R175"/>
      <c r="S175"/>
      <c r="T175"/>
      <c r="U175"/>
      <c r="V175"/>
      <c r="W175"/>
      <c r="X175"/>
      <c r="Y175"/>
      <c r="Z175"/>
    </row>
    <row r="176" spans="2:26" ht="17" customHeight="1">
      <c r="B176"/>
      <c r="C176"/>
      <c r="D176"/>
      <c r="E176"/>
      <c r="F176"/>
      <c r="G176"/>
      <c r="H176"/>
      <c r="I176"/>
      <c r="J176"/>
      <c r="K176"/>
      <c r="L176"/>
      <c r="M176"/>
      <c r="N176"/>
      <c r="O176"/>
      <c r="P176"/>
      <c r="Q176"/>
      <c r="R176"/>
      <c r="S176"/>
      <c r="T176"/>
      <c r="U176"/>
      <c r="V176"/>
      <c r="W176"/>
      <c r="X176"/>
      <c r="Y176"/>
      <c r="Z176"/>
    </row>
    <row r="177" spans="2:26" ht="17" customHeight="1">
      <c r="B177"/>
      <c r="C177"/>
      <c r="D177"/>
      <c r="E177"/>
      <c r="F177"/>
      <c r="G177"/>
      <c r="H177"/>
      <c r="I177"/>
      <c r="J177"/>
      <c r="K177"/>
      <c r="L177"/>
      <c r="M177"/>
      <c r="N177"/>
      <c r="O177"/>
      <c r="P177"/>
      <c r="Q177"/>
      <c r="R177"/>
      <c r="S177"/>
      <c r="T177"/>
      <c r="U177"/>
      <c r="V177"/>
      <c r="W177"/>
      <c r="X177"/>
      <c r="Y177"/>
      <c r="Z177"/>
    </row>
    <row r="178" spans="2:26" ht="17" customHeight="1">
      <c r="B178"/>
      <c r="C178"/>
      <c r="D178"/>
      <c r="E178"/>
      <c r="F178"/>
      <c r="G178"/>
      <c r="H178"/>
      <c r="I178"/>
      <c r="J178"/>
      <c r="K178"/>
      <c r="L178"/>
      <c r="M178"/>
      <c r="N178"/>
      <c r="O178"/>
      <c r="P178"/>
      <c r="Q178"/>
      <c r="R178"/>
      <c r="S178"/>
      <c r="T178"/>
      <c r="U178"/>
      <c r="V178"/>
      <c r="W178"/>
      <c r="X178"/>
      <c r="Y178"/>
      <c r="Z178"/>
    </row>
    <row r="179" spans="2:26" ht="17" customHeight="1">
      <c r="B179"/>
      <c r="C179"/>
      <c r="D179"/>
      <c r="E179"/>
      <c r="F179"/>
      <c r="G179"/>
      <c r="H179"/>
      <c r="I179"/>
      <c r="J179"/>
      <c r="K179"/>
      <c r="L179"/>
      <c r="M179"/>
      <c r="N179"/>
      <c r="O179"/>
      <c r="P179"/>
      <c r="Q179"/>
      <c r="R179"/>
      <c r="S179"/>
      <c r="T179"/>
      <c r="U179"/>
      <c r="V179"/>
      <c r="W179"/>
      <c r="X179"/>
      <c r="Y179"/>
      <c r="Z179"/>
    </row>
    <row r="180" spans="2:26" ht="17" customHeight="1">
      <c r="B180"/>
      <c r="C180"/>
      <c r="D180"/>
      <c r="E180"/>
      <c r="F180"/>
      <c r="G180"/>
      <c r="H180"/>
      <c r="I180"/>
      <c r="J180"/>
      <c r="K180"/>
      <c r="L180"/>
      <c r="M180"/>
      <c r="N180"/>
      <c r="O180"/>
      <c r="P180"/>
      <c r="Q180"/>
      <c r="R180"/>
      <c r="S180"/>
      <c r="T180"/>
      <c r="U180"/>
      <c r="V180"/>
      <c r="W180"/>
      <c r="X180"/>
      <c r="Y180"/>
      <c r="Z180"/>
    </row>
    <row r="181" spans="2:26" ht="17" customHeight="1">
      <c r="B181"/>
      <c r="C181"/>
      <c r="D181"/>
      <c r="E181"/>
      <c r="F181"/>
      <c r="G181"/>
      <c r="H181"/>
      <c r="I181"/>
      <c r="J181"/>
      <c r="K181"/>
      <c r="L181"/>
      <c r="M181"/>
      <c r="N181"/>
      <c r="O181"/>
      <c r="P181"/>
      <c r="Q181"/>
      <c r="R181"/>
      <c r="S181"/>
      <c r="T181"/>
      <c r="U181"/>
      <c r="V181"/>
      <c r="W181"/>
      <c r="X181"/>
      <c r="Y181"/>
      <c r="Z181"/>
    </row>
    <row r="182" spans="2:26" ht="17" customHeight="1">
      <c r="B182"/>
      <c r="C182"/>
      <c r="D182"/>
      <c r="E182"/>
      <c r="F182"/>
      <c r="G182"/>
      <c r="H182"/>
      <c r="I182"/>
      <c r="J182"/>
      <c r="K182"/>
      <c r="L182"/>
      <c r="M182"/>
      <c r="N182"/>
      <c r="O182"/>
      <c r="P182"/>
      <c r="Q182"/>
      <c r="R182"/>
      <c r="S182"/>
      <c r="T182"/>
      <c r="U182"/>
      <c r="V182"/>
      <c r="W182"/>
      <c r="X182"/>
      <c r="Y182"/>
      <c r="Z182"/>
    </row>
    <row r="183" spans="2:26" ht="17" customHeight="1">
      <c r="B183"/>
      <c r="C183"/>
      <c r="D183"/>
      <c r="E183"/>
      <c r="F183"/>
      <c r="G183"/>
      <c r="H183"/>
      <c r="I183"/>
      <c r="J183"/>
      <c r="K183"/>
      <c r="L183"/>
      <c r="M183"/>
      <c r="N183"/>
      <c r="O183"/>
      <c r="P183"/>
      <c r="Q183"/>
      <c r="R183"/>
      <c r="S183"/>
      <c r="T183"/>
      <c r="U183"/>
      <c r="V183"/>
      <c r="W183"/>
      <c r="X183"/>
      <c r="Y183"/>
      <c r="Z183"/>
    </row>
    <row r="184" spans="2:26" ht="17" customHeight="1">
      <c r="B184"/>
      <c r="C184"/>
      <c r="D184"/>
      <c r="E184"/>
      <c r="F184"/>
      <c r="G184"/>
      <c r="H184"/>
      <c r="I184"/>
      <c r="J184"/>
      <c r="K184"/>
      <c r="L184"/>
      <c r="M184"/>
      <c r="N184"/>
      <c r="O184"/>
      <c r="P184"/>
      <c r="Q184"/>
      <c r="R184"/>
      <c r="S184"/>
      <c r="T184"/>
      <c r="U184"/>
      <c r="V184"/>
      <c r="W184"/>
      <c r="X184"/>
      <c r="Y184"/>
      <c r="Z184"/>
    </row>
    <row r="185" spans="2:26" ht="17" customHeight="1">
      <c r="B185"/>
      <c r="C185"/>
      <c r="D185"/>
      <c r="E185"/>
      <c r="F185"/>
      <c r="G185"/>
      <c r="H185"/>
      <c r="I185"/>
      <c r="J185"/>
      <c r="K185"/>
      <c r="L185"/>
      <c r="M185"/>
      <c r="N185"/>
      <c r="O185"/>
      <c r="P185"/>
      <c r="Q185"/>
      <c r="R185"/>
      <c r="S185"/>
      <c r="T185"/>
      <c r="U185"/>
      <c r="V185"/>
      <c r="W185"/>
      <c r="X185"/>
      <c r="Y185"/>
      <c r="Z185"/>
    </row>
    <row r="186" spans="2:26" ht="17" customHeight="1">
      <c r="B186"/>
      <c r="C186"/>
      <c r="D186"/>
      <c r="E186"/>
      <c r="F186"/>
      <c r="G186"/>
      <c r="H186"/>
      <c r="I186"/>
      <c r="J186"/>
      <c r="K186"/>
      <c r="L186"/>
      <c r="M186"/>
      <c r="N186"/>
      <c r="O186"/>
      <c r="P186"/>
      <c r="Q186"/>
      <c r="R186"/>
      <c r="S186"/>
      <c r="T186"/>
      <c r="U186"/>
      <c r="V186"/>
      <c r="W186"/>
      <c r="X186"/>
      <c r="Y186"/>
      <c r="Z186"/>
    </row>
    <row r="187" spans="2:26" ht="17" customHeight="1">
      <c r="B187"/>
      <c r="C187"/>
      <c r="D187"/>
      <c r="E187"/>
      <c r="F187"/>
      <c r="G187"/>
      <c r="H187"/>
      <c r="I187"/>
      <c r="J187"/>
      <c r="K187"/>
      <c r="L187"/>
      <c r="M187"/>
      <c r="N187"/>
      <c r="O187"/>
      <c r="P187"/>
      <c r="Q187"/>
      <c r="R187"/>
      <c r="S187"/>
      <c r="T187"/>
      <c r="U187"/>
      <c r="V187"/>
      <c r="W187"/>
      <c r="X187"/>
      <c r="Y187"/>
      <c r="Z187"/>
    </row>
    <row r="188" spans="2:26" ht="17" customHeight="1">
      <c r="B188"/>
      <c r="C188"/>
      <c r="D188"/>
      <c r="E188"/>
      <c r="F188"/>
      <c r="G188"/>
      <c r="H188"/>
      <c r="I188"/>
      <c r="J188"/>
      <c r="K188"/>
      <c r="L188"/>
      <c r="M188"/>
      <c r="N188"/>
      <c r="O188"/>
      <c r="P188"/>
      <c r="Q188"/>
      <c r="R188"/>
      <c r="S188"/>
      <c r="T188"/>
      <c r="U188"/>
      <c r="V188"/>
      <c r="W188"/>
      <c r="X188"/>
      <c r="Y188"/>
      <c r="Z188"/>
    </row>
    <row r="189" spans="2:26" ht="17" customHeight="1">
      <c r="B189"/>
      <c r="C189"/>
      <c r="D189"/>
      <c r="E189"/>
      <c r="F189"/>
      <c r="G189"/>
      <c r="H189"/>
      <c r="I189"/>
      <c r="J189"/>
      <c r="K189"/>
      <c r="L189"/>
      <c r="M189"/>
      <c r="N189"/>
      <c r="O189"/>
      <c r="P189"/>
      <c r="Q189"/>
      <c r="R189"/>
      <c r="S189"/>
      <c r="T189"/>
      <c r="U189"/>
      <c r="V189"/>
      <c r="W189"/>
      <c r="X189"/>
      <c r="Y189"/>
      <c r="Z189"/>
    </row>
    <row r="190" spans="2:26" ht="17" customHeight="1">
      <c r="B190"/>
      <c r="C190"/>
      <c r="D190"/>
      <c r="E190"/>
      <c r="F190"/>
      <c r="G190"/>
      <c r="H190"/>
      <c r="I190"/>
      <c r="J190"/>
      <c r="K190"/>
      <c r="L190"/>
      <c r="M190"/>
      <c r="N190"/>
      <c r="O190"/>
      <c r="P190"/>
      <c r="Q190"/>
      <c r="R190"/>
      <c r="S190"/>
      <c r="T190"/>
      <c r="U190"/>
      <c r="V190"/>
      <c r="W190"/>
      <c r="X190"/>
      <c r="Y190"/>
      <c r="Z190"/>
    </row>
    <row r="191" spans="2:26" ht="17" customHeight="1">
      <c r="B191"/>
      <c r="C191"/>
      <c r="D191"/>
      <c r="E191"/>
      <c r="F191"/>
      <c r="G191"/>
      <c r="H191"/>
      <c r="I191"/>
      <c r="J191"/>
      <c r="K191"/>
      <c r="L191"/>
      <c r="M191"/>
      <c r="N191"/>
      <c r="O191"/>
      <c r="P191"/>
      <c r="Q191"/>
      <c r="R191"/>
      <c r="S191"/>
      <c r="T191"/>
      <c r="U191"/>
      <c r="V191"/>
      <c r="W191"/>
      <c r="X191"/>
      <c r="Y191"/>
      <c r="Z191"/>
    </row>
    <row r="192" spans="2:26" ht="17" customHeight="1">
      <c r="B192"/>
      <c r="C192"/>
      <c r="D192"/>
      <c r="E192"/>
      <c r="F192"/>
      <c r="G192"/>
      <c r="H192"/>
      <c r="I192"/>
      <c r="J192"/>
      <c r="K192"/>
      <c r="L192"/>
      <c r="M192"/>
      <c r="N192"/>
      <c r="O192"/>
      <c r="P192"/>
      <c r="Q192"/>
      <c r="R192"/>
      <c r="S192"/>
      <c r="T192"/>
      <c r="U192"/>
      <c r="V192"/>
      <c r="W192"/>
      <c r="X192"/>
      <c r="Y192"/>
      <c r="Z192"/>
    </row>
    <row r="193" spans="2:26" ht="17" customHeight="1">
      <c r="B193"/>
      <c r="C193"/>
      <c r="D193"/>
      <c r="E193"/>
      <c r="F193"/>
      <c r="G193"/>
      <c r="H193"/>
      <c r="I193"/>
      <c r="J193"/>
      <c r="K193"/>
      <c r="L193"/>
      <c r="M193"/>
      <c r="N193"/>
      <c r="O193"/>
      <c r="P193"/>
      <c r="Q193"/>
      <c r="R193"/>
      <c r="S193"/>
      <c r="T193"/>
      <c r="U193"/>
      <c r="V193"/>
      <c r="W193"/>
      <c r="X193"/>
      <c r="Y193"/>
      <c r="Z193"/>
    </row>
    <row r="194" spans="2:26" ht="17" customHeight="1">
      <c r="B194"/>
      <c r="C194"/>
      <c r="D194"/>
      <c r="E194"/>
      <c r="F194"/>
      <c r="G194"/>
      <c r="H194"/>
      <c r="I194"/>
      <c r="J194"/>
      <c r="K194"/>
      <c r="L194"/>
      <c r="M194"/>
      <c r="N194"/>
      <c r="O194"/>
      <c r="P194"/>
      <c r="Q194"/>
      <c r="R194"/>
      <c r="S194"/>
      <c r="T194"/>
      <c r="U194"/>
      <c r="V194"/>
      <c r="W194"/>
      <c r="X194"/>
      <c r="Y194"/>
      <c r="Z194"/>
    </row>
    <row r="195" spans="2:26" ht="17" customHeight="1">
      <c r="B195"/>
      <c r="C195"/>
      <c r="D195"/>
      <c r="E195"/>
      <c r="F195"/>
      <c r="G195"/>
      <c r="H195"/>
      <c r="I195"/>
      <c r="J195"/>
      <c r="K195"/>
      <c r="L195"/>
      <c r="M195"/>
      <c r="N195"/>
      <c r="O195"/>
      <c r="P195"/>
      <c r="Q195"/>
      <c r="R195"/>
      <c r="S195"/>
      <c r="T195"/>
      <c r="U195"/>
      <c r="V195"/>
      <c r="W195"/>
      <c r="X195"/>
      <c r="Y195"/>
      <c r="Z195"/>
    </row>
    <row r="196" spans="2:26" ht="17" customHeight="1">
      <c r="B196"/>
      <c r="C196"/>
      <c r="D196"/>
      <c r="E196"/>
      <c r="F196"/>
      <c r="G196"/>
      <c r="H196"/>
      <c r="I196"/>
      <c r="J196"/>
      <c r="K196"/>
      <c r="L196"/>
      <c r="M196"/>
      <c r="N196"/>
      <c r="O196"/>
      <c r="P196"/>
      <c r="Q196"/>
      <c r="R196"/>
      <c r="S196"/>
      <c r="T196"/>
      <c r="U196"/>
      <c r="V196"/>
      <c r="W196"/>
      <c r="X196"/>
      <c r="Y196"/>
      <c r="Z196"/>
    </row>
    <row r="197" spans="2:26" ht="17" customHeight="1">
      <c r="B197"/>
      <c r="C197"/>
      <c r="D197"/>
      <c r="E197"/>
      <c r="F197"/>
      <c r="G197"/>
      <c r="H197"/>
      <c r="I197"/>
      <c r="J197"/>
      <c r="K197"/>
      <c r="L197"/>
      <c r="M197"/>
      <c r="N197"/>
      <c r="O197"/>
      <c r="P197"/>
      <c r="Q197"/>
      <c r="R197"/>
      <c r="S197"/>
      <c r="T197"/>
      <c r="U197"/>
      <c r="V197"/>
      <c r="W197"/>
      <c r="X197"/>
      <c r="Y197"/>
      <c r="Z197"/>
    </row>
    <row r="198" spans="2:26" ht="17" customHeight="1">
      <c r="B198"/>
      <c r="C198"/>
      <c r="D198"/>
      <c r="E198"/>
      <c r="F198"/>
      <c r="G198"/>
      <c r="H198"/>
      <c r="I198"/>
      <c r="J198"/>
      <c r="K198"/>
      <c r="L198"/>
      <c r="M198"/>
      <c r="N198"/>
      <c r="O198"/>
      <c r="P198"/>
      <c r="Q198"/>
      <c r="R198"/>
      <c r="S198"/>
      <c r="T198"/>
      <c r="U198"/>
      <c r="V198"/>
      <c r="W198"/>
      <c r="X198"/>
      <c r="Y198"/>
      <c r="Z198"/>
    </row>
    <row r="199" spans="2:26" ht="17" customHeight="1">
      <c r="B199"/>
      <c r="C199"/>
      <c r="D199"/>
      <c r="E199"/>
      <c r="F199"/>
      <c r="G199"/>
      <c r="H199"/>
      <c r="I199"/>
      <c r="J199"/>
      <c r="K199"/>
      <c r="L199"/>
      <c r="M199"/>
      <c r="N199"/>
      <c r="O199"/>
      <c r="P199"/>
      <c r="Q199"/>
      <c r="R199"/>
      <c r="S199"/>
      <c r="T199"/>
      <c r="U199"/>
      <c r="V199"/>
      <c r="W199"/>
      <c r="X199"/>
      <c r="Y199"/>
      <c r="Z199"/>
    </row>
    <row r="200" spans="2:26" ht="17" customHeight="1">
      <c r="B200"/>
      <c r="C200"/>
      <c r="D200"/>
      <c r="E200"/>
      <c r="F200"/>
      <c r="G200"/>
      <c r="H200"/>
      <c r="I200"/>
      <c r="J200"/>
      <c r="K200"/>
      <c r="L200"/>
      <c r="M200"/>
      <c r="N200"/>
      <c r="O200"/>
      <c r="P200"/>
      <c r="Q200"/>
      <c r="R200"/>
      <c r="S200"/>
      <c r="T200"/>
      <c r="U200"/>
      <c r="V200"/>
      <c r="W200"/>
      <c r="X200"/>
      <c r="Y200"/>
      <c r="Z200"/>
    </row>
    <row r="201" spans="2:26" ht="17" customHeight="1">
      <c r="B201"/>
      <c r="C201"/>
      <c r="D201"/>
      <c r="E201"/>
      <c r="F201"/>
      <c r="G201"/>
      <c r="H201"/>
      <c r="I201"/>
      <c r="J201"/>
      <c r="K201"/>
      <c r="L201"/>
      <c r="M201"/>
      <c r="N201"/>
      <c r="O201"/>
      <c r="P201"/>
      <c r="Q201"/>
      <c r="R201"/>
      <c r="S201"/>
      <c r="T201"/>
      <c r="U201"/>
      <c r="V201"/>
      <c r="W201"/>
      <c r="X201"/>
      <c r="Y201"/>
      <c r="Z201"/>
    </row>
    <row r="202" spans="2:26" ht="17" customHeight="1">
      <c r="B202"/>
      <c r="C202"/>
      <c r="D202"/>
      <c r="E202"/>
      <c r="F202"/>
      <c r="G202"/>
      <c r="H202"/>
      <c r="I202"/>
      <c r="J202"/>
      <c r="K202"/>
      <c r="L202"/>
      <c r="M202"/>
      <c r="N202"/>
      <c r="O202"/>
      <c r="P202"/>
      <c r="Q202"/>
      <c r="R202"/>
      <c r="S202"/>
      <c r="T202"/>
      <c r="U202"/>
      <c r="V202"/>
      <c r="W202"/>
      <c r="X202"/>
      <c r="Y202"/>
      <c r="Z202"/>
    </row>
    <row r="203" spans="2:26" ht="17" customHeight="1">
      <c r="B203"/>
      <c r="C203"/>
      <c r="D203"/>
      <c r="E203"/>
      <c r="F203"/>
      <c r="G203"/>
      <c r="H203"/>
      <c r="I203"/>
      <c r="J203"/>
      <c r="K203"/>
      <c r="L203"/>
      <c r="M203"/>
      <c r="N203"/>
      <c r="O203"/>
      <c r="P203"/>
      <c r="Q203"/>
      <c r="R203"/>
      <c r="S203"/>
      <c r="T203"/>
      <c r="U203"/>
      <c r="V203"/>
      <c r="W203"/>
      <c r="X203"/>
      <c r="Y203"/>
      <c r="Z203"/>
    </row>
    <row r="204" spans="2:26" ht="17" customHeight="1">
      <c r="B204"/>
      <c r="C204"/>
      <c r="D204"/>
      <c r="E204"/>
      <c r="F204"/>
      <c r="G204"/>
      <c r="H204"/>
      <c r="I204"/>
      <c r="J204"/>
      <c r="K204"/>
      <c r="L204"/>
      <c r="M204"/>
      <c r="N204"/>
      <c r="O204"/>
      <c r="P204"/>
      <c r="Q204"/>
      <c r="R204"/>
      <c r="S204"/>
      <c r="T204"/>
      <c r="U204"/>
      <c r="V204"/>
      <c r="W204"/>
      <c r="X204"/>
      <c r="Y204"/>
      <c r="Z204"/>
    </row>
    <row r="205" spans="2:26" ht="17" customHeight="1">
      <c r="B205"/>
      <c r="C205"/>
      <c r="D205"/>
      <c r="E205"/>
      <c r="F205"/>
      <c r="G205"/>
      <c r="H205"/>
      <c r="I205"/>
      <c r="J205"/>
      <c r="K205"/>
      <c r="L205"/>
      <c r="M205"/>
      <c r="N205"/>
      <c r="O205"/>
      <c r="P205"/>
      <c r="Q205"/>
      <c r="R205"/>
      <c r="S205"/>
      <c r="T205"/>
      <c r="U205"/>
      <c r="V205"/>
      <c r="W205"/>
      <c r="X205"/>
      <c r="Y205"/>
      <c r="Z205"/>
    </row>
    <row r="206" spans="2:26" ht="17" customHeight="1">
      <c r="B206"/>
      <c r="C206"/>
      <c r="D206"/>
      <c r="E206"/>
      <c r="F206"/>
      <c r="G206"/>
      <c r="H206"/>
      <c r="I206"/>
      <c r="J206"/>
      <c r="K206"/>
      <c r="L206"/>
      <c r="M206"/>
      <c r="N206"/>
      <c r="O206"/>
      <c r="P206"/>
      <c r="Q206"/>
      <c r="R206"/>
      <c r="S206"/>
      <c r="T206"/>
      <c r="U206"/>
      <c r="V206"/>
      <c r="W206"/>
      <c r="X206"/>
      <c r="Y206"/>
      <c r="Z206"/>
    </row>
    <row r="207" spans="2:26" ht="17" customHeight="1">
      <c r="B207"/>
      <c r="C207"/>
      <c r="D207"/>
      <c r="E207"/>
      <c r="F207"/>
      <c r="G207"/>
      <c r="H207"/>
      <c r="I207"/>
      <c r="J207"/>
      <c r="K207"/>
      <c r="L207"/>
      <c r="M207"/>
      <c r="N207"/>
      <c r="O207"/>
      <c r="P207"/>
      <c r="Q207"/>
      <c r="R207"/>
      <c r="S207"/>
      <c r="T207"/>
      <c r="U207"/>
      <c r="V207"/>
      <c r="W207"/>
      <c r="X207"/>
      <c r="Y207"/>
      <c r="Z207"/>
    </row>
    <row r="208" spans="2:26" ht="17" customHeight="1">
      <c r="B208"/>
      <c r="C208"/>
      <c r="D208"/>
      <c r="E208"/>
      <c r="F208"/>
      <c r="G208"/>
      <c r="H208"/>
      <c r="I208"/>
      <c r="J208"/>
      <c r="K208"/>
      <c r="L208"/>
      <c r="M208"/>
      <c r="N208"/>
      <c r="O208"/>
      <c r="P208"/>
      <c r="Q208"/>
      <c r="R208"/>
      <c r="S208"/>
      <c r="T208"/>
      <c r="U208"/>
      <c r="V208"/>
      <c r="W208"/>
      <c r="X208"/>
      <c r="Y208"/>
      <c r="Z208"/>
    </row>
    <row r="209" spans="2:26" ht="17" customHeight="1">
      <c r="B209"/>
      <c r="C209"/>
      <c r="D209"/>
      <c r="E209"/>
      <c r="F209"/>
      <c r="G209"/>
      <c r="H209"/>
      <c r="I209"/>
      <c r="J209"/>
      <c r="K209"/>
      <c r="L209"/>
      <c r="M209"/>
      <c r="N209"/>
      <c r="O209"/>
      <c r="P209"/>
      <c r="Q209"/>
      <c r="R209"/>
      <c r="S209"/>
      <c r="T209"/>
      <c r="U209"/>
      <c r="V209"/>
      <c r="W209"/>
      <c r="X209"/>
      <c r="Y209"/>
      <c r="Z209"/>
    </row>
    <row r="210" spans="2:26" ht="17" customHeight="1">
      <c r="B210"/>
      <c r="C210"/>
      <c r="D210"/>
      <c r="E210"/>
      <c r="F210"/>
      <c r="G210"/>
      <c r="H210"/>
      <c r="I210"/>
      <c r="J210"/>
      <c r="K210"/>
      <c r="L210"/>
      <c r="M210"/>
      <c r="N210"/>
      <c r="O210"/>
      <c r="P210"/>
      <c r="Q210"/>
      <c r="R210"/>
      <c r="S210"/>
      <c r="T210"/>
      <c r="U210"/>
      <c r="V210"/>
      <c r="W210"/>
      <c r="X210"/>
      <c r="Y210"/>
      <c r="Z210"/>
    </row>
    <row r="211" spans="2:26" ht="17" customHeight="1">
      <c r="B211"/>
      <c r="C211"/>
      <c r="D211"/>
      <c r="E211"/>
      <c r="F211"/>
      <c r="G211"/>
      <c r="H211"/>
      <c r="I211"/>
      <c r="J211"/>
      <c r="K211"/>
      <c r="L211"/>
      <c r="M211"/>
      <c r="N211"/>
      <c r="O211"/>
      <c r="P211"/>
      <c r="Q211"/>
      <c r="R211"/>
      <c r="S211"/>
      <c r="T211"/>
      <c r="U211"/>
      <c r="V211"/>
      <c r="W211"/>
      <c r="X211"/>
      <c r="Y211"/>
      <c r="Z211"/>
    </row>
    <row r="212" spans="2:26" ht="17" customHeight="1">
      <c r="B212"/>
      <c r="C212"/>
      <c r="D212"/>
      <c r="E212"/>
      <c r="F212"/>
      <c r="G212"/>
      <c r="H212"/>
      <c r="I212"/>
      <c r="J212"/>
      <c r="K212"/>
      <c r="L212"/>
      <c r="M212"/>
      <c r="N212"/>
      <c r="O212"/>
      <c r="P212"/>
      <c r="Q212"/>
      <c r="R212"/>
      <c r="S212"/>
      <c r="T212"/>
      <c r="U212"/>
      <c r="V212"/>
      <c r="W212"/>
      <c r="X212"/>
      <c r="Y212"/>
      <c r="Z212"/>
    </row>
    <row r="213" spans="2:26" ht="17" customHeight="1">
      <c r="B213"/>
      <c r="C213"/>
      <c r="D213"/>
      <c r="E213"/>
      <c r="F213"/>
      <c r="G213"/>
      <c r="H213"/>
      <c r="I213"/>
      <c r="J213"/>
      <c r="K213"/>
      <c r="L213"/>
      <c r="M213"/>
      <c r="N213"/>
      <c r="O213"/>
      <c r="P213"/>
      <c r="Q213"/>
      <c r="R213"/>
      <c r="S213"/>
      <c r="T213"/>
      <c r="U213"/>
      <c r="V213"/>
      <c r="W213"/>
      <c r="X213"/>
      <c r="Y213"/>
      <c r="Z213"/>
    </row>
    <row r="214" spans="2:26" ht="17" customHeight="1">
      <c r="B214"/>
      <c r="C214"/>
      <c r="D214"/>
      <c r="E214"/>
      <c r="F214"/>
      <c r="G214"/>
      <c r="H214"/>
      <c r="I214"/>
      <c r="J214"/>
      <c r="K214"/>
      <c r="L214"/>
      <c r="M214"/>
      <c r="N214"/>
      <c r="O214"/>
      <c r="P214"/>
      <c r="Q214"/>
      <c r="R214"/>
      <c r="S214"/>
      <c r="T214"/>
      <c r="U214"/>
      <c r="V214"/>
      <c r="W214"/>
      <c r="X214"/>
      <c r="Y214"/>
      <c r="Z214"/>
    </row>
    <row r="215" spans="2:26" ht="17" customHeight="1">
      <c r="B215"/>
      <c r="C215"/>
      <c r="D215"/>
      <c r="E215"/>
      <c r="F215"/>
      <c r="G215"/>
      <c r="H215"/>
      <c r="I215"/>
      <c r="J215"/>
      <c r="K215"/>
      <c r="L215"/>
      <c r="M215"/>
      <c r="N215"/>
      <c r="O215"/>
      <c r="P215"/>
      <c r="Q215"/>
      <c r="R215"/>
      <c r="S215"/>
      <c r="T215"/>
      <c r="U215"/>
      <c r="V215"/>
      <c r="W215"/>
      <c r="X215"/>
      <c r="Y215"/>
      <c r="Z215"/>
    </row>
    <row r="216" spans="2:26" ht="17" customHeight="1">
      <c r="B216"/>
      <c r="C216"/>
      <c r="D216"/>
      <c r="E216"/>
      <c r="F216"/>
      <c r="G216"/>
      <c r="H216"/>
      <c r="I216"/>
      <c r="J216"/>
      <c r="K216"/>
      <c r="L216"/>
      <c r="M216"/>
      <c r="N216"/>
      <c r="O216"/>
      <c r="P216"/>
      <c r="Q216"/>
      <c r="R216"/>
      <c r="S216"/>
      <c r="T216"/>
      <c r="U216"/>
      <c r="V216"/>
      <c r="W216"/>
      <c r="X216"/>
      <c r="Y216"/>
      <c r="Z216"/>
    </row>
    <row r="217" spans="2:26" ht="17" customHeight="1">
      <c r="B217"/>
      <c r="C217"/>
      <c r="D217"/>
      <c r="E217"/>
      <c r="F217"/>
      <c r="G217"/>
      <c r="H217"/>
      <c r="I217"/>
      <c r="J217"/>
      <c r="K217"/>
      <c r="L217"/>
      <c r="M217"/>
      <c r="N217"/>
      <c r="O217"/>
      <c r="P217"/>
      <c r="Q217"/>
      <c r="R217"/>
      <c r="S217"/>
      <c r="T217"/>
      <c r="U217"/>
      <c r="V217"/>
      <c r="W217"/>
      <c r="X217"/>
      <c r="Y217"/>
      <c r="Z217"/>
    </row>
    <row r="218" spans="2:26" ht="17" customHeight="1">
      <c r="O218" s="1"/>
      <c r="P218" s="1"/>
      <c r="R218" s="1"/>
      <c r="S218" s="1"/>
      <c r="T218" s="1"/>
      <c r="X218" s="1"/>
    </row>
    <row r="219" spans="2:26" ht="17" customHeight="1">
      <c r="O219" s="1"/>
      <c r="P219" s="1"/>
      <c r="R219" s="1"/>
      <c r="S219" s="1"/>
      <c r="T219" s="1"/>
      <c r="X219" s="1"/>
    </row>
    <row r="220" spans="2:26" ht="17" customHeight="1">
      <c r="O220" s="1"/>
      <c r="P220" s="1"/>
      <c r="R220" s="1"/>
      <c r="S220" s="1"/>
      <c r="T220" s="1"/>
      <c r="X220" s="1"/>
    </row>
    <row r="221" spans="2:26" ht="17" customHeight="1">
      <c r="O221" s="1"/>
      <c r="P221" s="1"/>
      <c r="R221" s="1"/>
      <c r="S221" s="1"/>
      <c r="T221" s="1"/>
      <c r="X221" s="1"/>
    </row>
    <row r="222" spans="2:26" ht="17" customHeight="1">
      <c r="O222" s="1"/>
      <c r="P222" s="1"/>
      <c r="R222" s="1"/>
      <c r="S222" s="1"/>
      <c r="T222" s="1"/>
      <c r="X222" s="1"/>
    </row>
    <row r="223" spans="2:26" ht="17" customHeight="1">
      <c r="O223" s="1"/>
      <c r="P223" s="1"/>
      <c r="R223" s="1"/>
      <c r="S223" s="1"/>
      <c r="T223" s="1"/>
      <c r="X223" s="1"/>
    </row>
    <row r="224" spans="2:26" ht="17" customHeight="1">
      <c r="O224" s="1"/>
      <c r="P224" s="1"/>
      <c r="R224" s="1"/>
      <c r="S224" s="1"/>
      <c r="T224" s="1"/>
      <c r="X224" s="1"/>
    </row>
    <row r="225" s="1" customFormat="1" ht="17" customHeight="1"/>
    <row r="226" s="1" customFormat="1" ht="17" customHeight="1"/>
    <row r="227" s="1" customFormat="1" ht="17" customHeight="1"/>
    <row r="228" s="1" customFormat="1" ht="17" customHeight="1"/>
    <row r="229" s="1" customFormat="1" ht="17" customHeight="1"/>
    <row r="230" s="1" customFormat="1" ht="17" customHeight="1"/>
    <row r="231" s="1" customFormat="1" ht="17" customHeight="1"/>
    <row r="232" s="1" customFormat="1" ht="17" customHeight="1"/>
    <row r="233" s="1" customFormat="1" ht="17" customHeight="1"/>
    <row r="234" s="1" customFormat="1" ht="17" customHeight="1"/>
    <row r="235" s="1" customFormat="1" ht="17" customHeight="1"/>
    <row r="236" s="1" customFormat="1" ht="17" customHeight="1"/>
    <row r="237" s="1" customFormat="1" ht="17" customHeight="1"/>
    <row r="238" s="1" customFormat="1" ht="17" customHeight="1"/>
    <row r="239" s="1" customFormat="1" ht="17" customHeight="1"/>
    <row r="240" s="1" customFormat="1" ht="17" customHeight="1"/>
    <row r="241" s="1" customFormat="1" ht="17" customHeight="1"/>
    <row r="242" s="1" customFormat="1" ht="17" customHeight="1"/>
    <row r="243" s="1" customFormat="1" ht="17" customHeight="1"/>
    <row r="244" s="1" customFormat="1" ht="17" customHeight="1"/>
    <row r="245" s="1" customFormat="1" ht="17" customHeight="1"/>
    <row r="246" s="1" customFormat="1" ht="17" customHeight="1"/>
    <row r="247" s="1" customFormat="1" ht="17" customHeight="1"/>
    <row r="248" s="1" customFormat="1" ht="17" customHeight="1"/>
    <row r="249" s="1" customFormat="1" ht="17" customHeight="1"/>
    <row r="250" s="1" customFormat="1" ht="17" customHeight="1"/>
    <row r="251" s="1" customFormat="1" ht="17" customHeight="1"/>
    <row r="252" s="1" customFormat="1" ht="17" customHeight="1"/>
    <row r="253" s="1" customFormat="1" ht="17" customHeight="1"/>
    <row r="254" s="1" customFormat="1" ht="17" customHeight="1"/>
    <row r="255" s="1" customFormat="1" ht="17" customHeight="1"/>
    <row r="256" s="1" customFormat="1" ht="17" customHeight="1"/>
    <row r="257" s="1" customFormat="1" ht="17" customHeight="1"/>
    <row r="258" s="1" customFormat="1" ht="17" customHeight="1"/>
    <row r="259" s="1" customFormat="1" ht="17" customHeight="1"/>
    <row r="260" s="1" customFormat="1" ht="17" customHeight="1"/>
    <row r="261" s="1" customFormat="1" ht="17" customHeight="1"/>
    <row r="262" s="1" customFormat="1" ht="17" customHeight="1"/>
    <row r="263" s="1" customFormat="1" ht="17" customHeight="1"/>
    <row r="264" s="1" customFormat="1" ht="17" customHeight="1"/>
    <row r="265" s="1" customFormat="1" ht="17" customHeight="1"/>
    <row r="266" s="1" customFormat="1" ht="17" customHeight="1"/>
    <row r="267" s="1" customFormat="1" ht="17" customHeight="1"/>
    <row r="268" s="1" customFormat="1" ht="17" customHeight="1"/>
    <row r="269" s="1" customFormat="1" ht="17" customHeight="1"/>
    <row r="270" s="1" customFormat="1" ht="17" customHeight="1"/>
    <row r="271" s="1" customFormat="1" ht="17" customHeight="1"/>
    <row r="272" s="1" customFormat="1" ht="17" customHeight="1"/>
    <row r="273" s="1" customFormat="1" ht="17" customHeight="1"/>
    <row r="274" s="1" customFormat="1" ht="17" customHeight="1"/>
    <row r="275" s="1" customFormat="1" ht="17" customHeight="1"/>
    <row r="276" s="1" customFormat="1" ht="17" customHeight="1"/>
    <row r="277" s="1" customFormat="1" ht="17" customHeight="1"/>
    <row r="278" s="1" customFormat="1" ht="17" customHeight="1"/>
    <row r="279" s="1" customFormat="1" ht="17" customHeight="1"/>
    <row r="280" s="1" customFormat="1" ht="17" customHeight="1"/>
    <row r="281" s="1" customFormat="1" ht="17" customHeight="1"/>
    <row r="282" s="1" customFormat="1" ht="17" customHeight="1"/>
    <row r="283" s="1" customFormat="1" ht="17" customHeight="1"/>
    <row r="284" s="1" customFormat="1" ht="17" customHeight="1"/>
    <row r="285" s="1" customFormat="1" ht="17" customHeight="1"/>
    <row r="286" s="1" customFormat="1" ht="17" customHeight="1"/>
    <row r="287" s="1" customFormat="1" ht="17" customHeight="1"/>
    <row r="288" s="1" customFormat="1" ht="17" customHeight="1"/>
    <row r="289" s="1" customFormat="1" ht="17" customHeight="1"/>
    <row r="290" s="1" customFormat="1" ht="17" customHeight="1"/>
    <row r="291" s="1" customFormat="1" ht="17" customHeight="1"/>
    <row r="292" s="1" customFormat="1" ht="17" customHeight="1"/>
    <row r="293" s="1" customFormat="1" ht="17" customHeight="1"/>
    <row r="294" s="1" customFormat="1" ht="17" customHeight="1"/>
    <row r="295" s="1" customFormat="1" ht="17" customHeight="1"/>
    <row r="296" s="1" customFormat="1" ht="17" customHeight="1"/>
    <row r="297" s="1" customFormat="1" ht="17" customHeight="1"/>
    <row r="298" s="1" customFormat="1" ht="17" customHeight="1"/>
    <row r="299" s="1" customFormat="1" ht="17" customHeight="1"/>
    <row r="300" s="1" customFormat="1" ht="17" customHeight="1"/>
    <row r="301" s="1" customFormat="1" ht="17" customHeight="1"/>
    <row r="302" s="1" customFormat="1" ht="17" customHeight="1"/>
    <row r="303" s="1" customFormat="1" ht="17" customHeight="1"/>
    <row r="304" s="1" customFormat="1" ht="17" customHeight="1"/>
    <row r="305" s="1" customFormat="1" ht="17" customHeight="1"/>
    <row r="306" s="1" customFormat="1" ht="17" customHeight="1"/>
    <row r="307" s="1" customFormat="1" ht="17" customHeight="1"/>
    <row r="308" s="1" customFormat="1" ht="17" customHeight="1"/>
    <row r="309" s="1" customFormat="1" ht="17" customHeight="1"/>
    <row r="310" s="1" customFormat="1" ht="17" customHeight="1"/>
    <row r="311" s="1" customFormat="1" ht="17" customHeight="1"/>
    <row r="312" s="1" customFormat="1" ht="17" customHeight="1"/>
    <row r="313" s="1" customFormat="1" ht="17" customHeight="1"/>
    <row r="314" s="1" customFormat="1" ht="17" customHeight="1"/>
    <row r="315" s="1" customFormat="1" ht="17" customHeight="1"/>
    <row r="316" s="1" customFormat="1" ht="17" customHeight="1"/>
    <row r="317" s="1" customFormat="1" ht="17" customHeight="1"/>
    <row r="318" s="1" customFormat="1" ht="17" customHeight="1"/>
    <row r="319" s="1" customFormat="1" ht="17" customHeight="1"/>
    <row r="320" s="1" customFormat="1" ht="17" customHeight="1"/>
    <row r="321" s="1" customFormat="1" ht="17" customHeight="1"/>
    <row r="322" s="1" customFormat="1" ht="17" customHeight="1"/>
    <row r="323" s="1" customFormat="1" ht="17" customHeight="1"/>
    <row r="324" s="1" customFormat="1" ht="17" customHeight="1"/>
    <row r="325" s="1" customFormat="1" ht="17" customHeight="1"/>
    <row r="326" s="1" customFormat="1" ht="17" customHeight="1"/>
    <row r="327" s="1" customFormat="1" ht="17" customHeight="1"/>
    <row r="328" s="1" customFormat="1" ht="17" customHeight="1"/>
    <row r="329" s="1" customFormat="1" ht="17" customHeight="1"/>
    <row r="330" s="1" customFormat="1" ht="17" customHeight="1"/>
    <row r="331" s="1" customFormat="1" ht="17" customHeight="1"/>
    <row r="332" s="1" customFormat="1" ht="17" customHeight="1"/>
    <row r="333" s="1" customFormat="1" ht="17" customHeight="1"/>
    <row r="334" s="1" customFormat="1" ht="17" customHeight="1"/>
    <row r="335" s="1" customFormat="1" ht="17" customHeight="1"/>
    <row r="336" s="1" customFormat="1" ht="17" customHeight="1"/>
    <row r="337" s="1" customFormat="1" ht="17" customHeight="1"/>
    <row r="338" s="1" customFormat="1" ht="17" customHeight="1"/>
    <row r="339" s="1" customFormat="1" ht="17" customHeight="1"/>
    <row r="340" s="1" customFormat="1" ht="17" customHeight="1"/>
    <row r="341" s="1" customFormat="1" ht="17" customHeight="1"/>
    <row r="342" s="1" customFormat="1" ht="17" customHeight="1"/>
    <row r="343" s="1" customFormat="1" ht="17" customHeight="1"/>
    <row r="344" s="1" customFormat="1" ht="17" customHeight="1"/>
    <row r="345" s="1" customFormat="1" ht="17" customHeight="1"/>
    <row r="346" s="1" customFormat="1" ht="17" customHeight="1"/>
    <row r="347" s="1" customFormat="1" ht="17" customHeight="1"/>
    <row r="348" s="1" customFormat="1" ht="17" customHeight="1"/>
    <row r="349" s="1" customFormat="1" ht="17" customHeight="1"/>
    <row r="350" s="1" customFormat="1" ht="17" customHeight="1"/>
    <row r="351" s="1" customFormat="1" ht="17" customHeight="1"/>
    <row r="352" s="1" customFormat="1" ht="17" customHeight="1"/>
    <row r="353" s="1" customFormat="1" ht="17" customHeight="1"/>
    <row r="354" s="1" customFormat="1" ht="17" customHeight="1"/>
    <row r="355" s="1" customFormat="1" ht="17" customHeight="1"/>
    <row r="356" s="1" customFormat="1" ht="17" customHeight="1"/>
    <row r="357" s="1" customFormat="1" ht="17" customHeight="1"/>
    <row r="358" s="1" customFormat="1" ht="17" customHeight="1"/>
    <row r="359" s="1" customFormat="1" ht="17" customHeight="1"/>
    <row r="360" s="1" customFormat="1" ht="17" customHeight="1"/>
    <row r="361" s="1" customFormat="1" ht="17" customHeight="1"/>
    <row r="362" s="1" customFormat="1" ht="17" customHeight="1"/>
    <row r="363" s="1" customFormat="1" ht="17" customHeight="1"/>
    <row r="364" s="1" customFormat="1" ht="17" customHeight="1"/>
    <row r="365" s="1" customFormat="1" ht="17" customHeight="1"/>
    <row r="366" s="1" customFormat="1" ht="17" customHeight="1"/>
    <row r="367" s="1" customFormat="1" ht="17" customHeight="1"/>
    <row r="368" s="1" customFormat="1" ht="17" customHeight="1"/>
    <row r="369" s="1" customFormat="1" ht="17" customHeight="1"/>
    <row r="370" s="1" customFormat="1" ht="17" customHeight="1"/>
    <row r="371" s="1" customFormat="1" ht="17" customHeight="1"/>
    <row r="372" s="1" customFormat="1" ht="17" customHeight="1"/>
    <row r="373" s="1" customFormat="1" ht="17" customHeight="1"/>
    <row r="374" s="1" customFormat="1" ht="17" customHeight="1"/>
    <row r="375" s="1" customFormat="1" ht="17" customHeight="1"/>
    <row r="376" s="1" customFormat="1" ht="17" customHeight="1"/>
    <row r="377" s="1" customFormat="1" ht="17" customHeight="1"/>
    <row r="378" s="1" customFormat="1" ht="17" customHeight="1"/>
    <row r="379" s="1" customFormat="1" ht="17" customHeight="1"/>
    <row r="380" s="1" customFormat="1" ht="17" customHeight="1"/>
    <row r="381" s="1" customFormat="1" ht="17" customHeight="1"/>
    <row r="382" s="1" customFormat="1" ht="17" customHeight="1"/>
    <row r="383" s="1" customFormat="1" ht="17" customHeight="1"/>
    <row r="384" s="1" customFormat="1" ht="17" customHeight="1"/>
    <row r="385" s="1" customFormat="1" ht="17" customHeight="1"/>
    <row r="386" s="1" customFormat="1" ht="17" customHeight="1"/>
    <row r="387" s="1" customFormat="1" ht="17" customHeight="1"/>
    <row r="388" s="1" customFormat="1" ht="17" customHeight="1"/>
    <row r="389" s="1" customFormat="1" ht="17" customHeight="1"/>
    <row r="390" s="1" customFormat="1" ht="17" customHeight="1"/>
    <row r="391" s="1" customFormat="1" ht="17" customHeight="1"/>
    <row r="392" s="1" customFormat="1" ht="17" customHeight="1"/>
    <row r="393" s="1" customFormat="1" ht="17" customHeight="1"/>
    <row r="394" s="1" customFormat="1" ht="17" customHeight="1"/>
    <row r="395" s="1" customFormat="1" ht="17" customHeight="1"/>
    <row r="396" s="1" customFormat="1" ht="17" customHeight="1"/>
    <row r="397" s="1" customFormat="1" ht="17" customHeight="1"/>
    <row r="398" s="1" customFormat="1" ht="17" customHeight="1"/>
    <row r="399" s="1" customFormat="1" ht="17" customHeight="1"/>
    <row r="400" s="1" customFormat="1" ht="17" customHeight="1"/>
    <row r="401" s="1" customFormat="1" ht="17" customHeight="1"/>
    <row r="402" s="1" customFormat="1" ht="17" customHeight="1"/>
    <row r="403" s="1" customFormat="1" ht="17" customHeight="1"/>
    <row r="404" s="1" customFormat="1" ht="17" customHeight="1"/>
    <row r="405" s="1" customFormat="1" ht="17" customHeight="1"/>
    <row r="406" s="1" customFormat="1" ht="17" customHeight="1"/>
    <row r="407" s="1" customFormat="1" ht="17" customHeight="1"/>
    <row r="408" s="1" customFormat="1" ht="17" customHeight="1"/>
    <row r="409" s="1" customFormat="1" ht="17" customHeight="1"/>
    <row r="410" s="1" customFormat="1" ht="17" customHeight="1"/>
    <row r="411" s="1" customFormat="1" ht="17" customHeight="1"/>
    <row r="412" s="1" customFormat="1" ht="17" customHeight="1"/>
    <row r="413" s="1" customFormat="1" ht="17" customHeight="1"/>
    <row r="414" s="1" customFormat="1" ht="17" customHeight="1"/>
    <row r="415" s="1" customFormat="1" ht="17" customHeight="1"/>
    <row r="416" s="1" customFormat="1" ht="17" customHeight="1"/>
    <row r="417" s="1" customFormat="1" ht="17" customHeight="1"/>
    <row r="418" s="1" customFormat="1" ht="17" customHeight="1"/>
    <row r="419" s="1" customFormat="1" ht="17" customHeight="1"/>
    <row r="420" s="1" customFormat="1" ht="17" customHeight="1"/>
    <row r="421" s="1" customFormat="1" ht="17" customHeight="1"/>
    <row r="422" s="1" customFormat="1" ht="17" customHeight="1"/>
    <row r="423" s="1" customFormat="1" ht="17" customHeight="1"/>
    <row r="424" s="1" customFormat="1" ht="17" customHeight="1"/>
    <row r="425" s="1" customFormat="1" ht="17" customHeight="1"/>
    <row r="426" s="1" customFormat="1" ht="17" customHeight="1"/>
    <row r="427" s="1" customFormat="1" ht="17" customHeight="1"/>
    <row r="428" s="1" customFormat="1" ht="17" customHeight="1"/>
    <row r="429" s="1" customFormat="1" ht="17" customHeight="1"/>
    <row r="430" s="1" customFormat="1" ht="17" customHeight="1"/>
    <row r="431" s="1" customFormat="1" ht="17" customHeight="1"/>
    <row r="432" s="1" customFormat="1" ht="17" customHeight="1"/>
    <row r="433" s="1" customFormat="1" ht="17" customHeight="1"/>
    <row r="434" s="1" customFormat="1" ht="17" customHeight="1"/>
  </sheetData>
  <mergeCells count="2">
    <mergeCell ref="B2:N2"/>
    <mergeCell ref="B3:N3"/>
  </mergeCells>
  <printOptions horizontalCentered="1"/>
  <pageMargins left="0.7" right="0.7" top="0.75" bottom="0.75" header="0.3" footer="0.3"/>
  <pageSetup scale="45" fitToHeight="10" orientation="landscape" horizontalDpi="1200" verticalDpi="120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0A4AB-010F-E24E-9265-4185A0CA9B8C}">
  <sheetPr>
    <pageSetUpPr fitToPage="1"/>
  </sheetPr>
  <dimension ref="B2:Y3820"/>
  <sheetViews>
    <sheetView view="pageBreakPreview" zoomScale="30" zoomScaleNormal="90" zoomScaleSheetLayoutView="30" workbookViewId="0">
      <pane ySplit="5" topLeftCell="A3718" activePane="bottomLeft" state="frozen"/>
      <selection pane="bottomLeft" activeCell="B5" sqref="B5"/>
    </sheetView>
  </sheetViews>
  <sheetFormatPr baseColWidth="10" defaultColWidth="10.83203125" defaultRowHeight="24" customHeight="1"/>
  <cols>
    <col min="1" max="1" width="10.83203125" style="1"/>
    <col min="2" max="2" width="19.83203125" style="1" customWidth="1"/>
    <col min="3" max="3" width="17.83203125" style="1" customWidth="1"/>
    <col min="4" max="4" width="24.1640625" style="1" bestFit="1" customWidth="1"/>
    <col min="5" max="5" width="58.33203125" style="1" bestFit="1" customWidth="1"/>
    <col min="6" max="9" width="15.6640625" style="1" customWidth="1"/>
    <col min="10" max="10" width="18.5" style="1" bestFit="1" customWidth="1"/>
    <col min="11" max="11" width="24.6640625" style="1" bestFit="1" customWidth="1"/>
    <col min="12" max="12" width="13.83203125" style="1" bestFit="1" customWidth="1"/>
    <col min="13" max="13" width="22.6640625" style="1" customWidth="1"/>
    <col min="14" max="14" width="27.83203125" style="130" bestFit="1" customWidth="1"/>
    <col min="15" max="15" width="24.6640625" style="1" bestFit="1" customWidth="1"/>
    <col min="16" max="16" width="15.33203125" style="1" customWidth="1"/>
    <col min="17" max="17" width="15.6640625" style="1" customWidth="1"/>
    <col min="18" max="18" width="27.83203125" style="1" bestFit="1" customWidth="1"/>
    <col min="19" max="20" width="14.5" style="1" customWidth="1"/>
    <col min="21" max="21" width="16.33203125" style="1" customWidth="1"/>
    <col min="22" max="22" width="27.83203125" style="1" bestFit="1" customWidth="1"/>
    <col min="23" max="23" width="22.83203125" style="1" customWidth="1"/>
    <col min="24" max="24" width="23.33203125" style="1" customWidth="1"/>
    <col min="25" max="25" width="21.83203125" style="1" customWidth="1"/>
    <col min="26" max="16384" width="10.83203125" style="1"/>
  </cols>
  <sheetData>
    <row r="2" spans="2:25" ht="24" customHeight="1">
      <c r="B2" s="125" t="s">
        <v>466</v>
      </c>
      <c r="C2" s="125"/>
      <c r="D2" s="125"/>
      <c r="E2" s="125"/>
      <c r="F2" s="125"/>
      <c r="G2" s="125"/>
      <c r="H2" s="125"/>
      <c r="I2" s="125"/>
      <c r="J2" s="125"/>
      <c r="K2" s="125"/>
      <c r="L2" s="125"/>
      <c r="M2" s="125"/>
      <c r="N2" s="125"/>
      <c r="O2" s="125"/>
      <c r="P2" s="125"/>
      <c r="Q2" s="125"/>
      <c r="R2" s="125"/>
      <c r="S2" s="125"/>
      <c r="T2" s="125"/>
      <c r="U2" s="125"/>
      <c r="V2" s="125"/>
      <c r="W2" s="125"/>
      <c r="X2" s="125"/>
      <c r="Y2" s="125"/>
    </row>
    <row r="3" spans="2:25" ht="24" customHeight="1">
      <c r="B3" s="53" t="s">
        <v>492</v>
      </c>
      <c r="C3" s="53"/>
      <c r="D3" s="53"/>
      <c r="E3" s="53"/>
      <c r="F3" s="53"/>
      <c r="G3" s="53"/>
      <c r="H3" s="53"/>
      <c r="I3" s="53"/>
      <c r="J3" s="53"/>
      <c r="K3" s="53"/>
      <c r="L3" s="53"/>
      <c r="M3" s="53"/>
      <c r="N3" s="53"/>
      <c r="O3" s="53"/>
      <c r="P3" s="53"/>
      <c r="Q3" s="53"/>
      <c r="R3" s="53"/>
      <c r="S3" s="53"/>
      <c r="T3" s="53"/>
      <c r="U3" s="53"/>
      <c r="V3" s="53"/>
      <c r="W3" s="53"/>
      <c r="X3" s="53"/>
      <c r="Y3" s="53"/>
    </row>
    <row r="4" spans="2:25" ht="14" customHeight="1">
      <c r="B4" s="548" t="s">
        <v>446</v>
      </c>
      <c r="C4" s="122" t="s">
        <v>682</v>
      </c>
      <c r="D4" s="24"/>
      <c r="E4" s="123"/>
      <c r="F4" s="123"/>
      <c r="G4" s="123"/>
      <c r="H4" s="123"/>
      <c r="I4" s="123"/>
      <c r="J4" s="123"/>
      <c r="K4" s="123"/>
      <c r="L4" s="123"/>
      <c r="M4" s="123"/>
      <c r="N4" s="123"/>
      <c r="O4" s="123"/>
      <c r="P4" s="123"/>
      <c r="Q4" s="123"/>
      <c r="R4" s="123"/>
      <c r="S4" s="123"/>
      <c r="T4" s="123"/>
      <c r="U4" s="123"/>
      <c r="V4" s="123"/>
      <c r="W4" s="123"/>
      <c r="X4" s="26"/>
      <c r="Y4" s="26"/>
    </row>
    <row r="5" spans="2:25" s="121" customFormat="1" ht="45">
      <c r="B5" s="127" t="s">
        <v>53</v>
      </c>
      <c r="C5" s="127" t="s">
        <v>316</v>
      </c>
      <c r="D5" s="127" t="s">
        <v>178</v>
      </c>
      <c r="E5" s="127" t="s">
        <v>226</v>
      </c>
      <c r="F5" s="127" t="s">
        <v>228</v>
      </c>
      <c r="G5" s="127" t="s">
        <v>287</v>
      </c>
      <c r="H5" s="127" t="s">
        <v>227</v>
      </c>
      <c r="I5" s="127" t="s">
        <v>281</v>
      </c>
      <c r="J5" s="127" t="s">
        <v>284</v>
      </c>
      <c r="K5" s="127" t="s">
        <v>319</v>
      </c>
      <c r="L5" s="127" t="s">
        <v>224</v>
      </c>
      <c r="M5" s="127" t="s">
        <v>634</v>
      </c>
      <c r="N5" s="127" t="s">
        <v>503</v>
      </c>
      <c r="O5" s="127" t="s">
        <v>317</v>
      </c>
      <c r="P5" s="127" t="s">
        <v>222</v>
      </c>
      <c r="Q5" s="127" t="s">
        <v>318</v>
      </c>
      <c r="R5" s="127" t="s">
        <v>500</v>
      </c>
      <c r="S5" s="127" t="s">
        <v>502</v>
      </c>
      <c r="T5" s="127" t="s">
        <v>501</v>
      </c>
      <c r="U5" s="127" t="s">
        <v>223</v>
      </c>
      <c r="V5" s="127" t="s">
        <v>506</v>
      </c>
      <c r="W5" s="127" t="s">
        <v>320</v>
      </c>
      <c r="X5"/>
      <c r="Y5"/>
    </row>
    <row r="6" spans="2:25" ht="16">
      <c r="B6" s="67" t="s">
        <v>910</v>
      </c>
      <c r="J6" s="345"/>
      <c r="K6" s="703"/>
      <c r="L6" s="342"/>
      <c r="M6" s="342"/>
      <c r="N6" s="340"/>
      <c r="O6" s="703"/>
      <c r="P6" s="342"/>
      <c r="Q6" s="363"/>
      <c r="R6" s="340"/>
      <c r="S6" s="342"/>
      <c r="T6" s="342"/>
      <c r="U6" s="342"/>
      <c r="V6" s="340"/>
      <c r="W6" s="340"/>
      <c r="X6"/>
      <c r="Y6"/>
    </row>
    <row r="7" spans="2:25" ht="16">
      <c r="B7" s="67"/>
      <c r="C7" s="4" t="s">
        <v>106</v>
      </c>
      <c r="D7" s="4"/>
      <c r="E7" s="4"/>
      <c r="F7" s="4"/>
      <c r="G7" s="4"/>
      <c r="H7" s="4"/>
      <c r="I7" s="4"/>
      <c r="J7" s="345"/>
      <c r="K7" s="703"/>
      <c r="L7" s="342"/>
      <c r="M7" s="342"/>
      <c r="N7" s="340"/>
      <c r="O7" s="703"/>
      <c r="P7" s="342"/>
      <c r="Q7" s="363"/>
      <c r="R7" s="340"/>
      <c r="S7" s="342"/>
      <c r="T7" s="342"/>
      <c r="U7" s="342"/>
      <c r="V7" s="340"/>
      <c r="W7" s="340"/>
      <c r="X7"/>
      <c r="Y7"/>
    </row>
    <row r="8" spans="2:25" ht="16">
      <c r="B8" s="67"/>
      <c r="D8" s="1" t="s">
        <v>1254</v>
      </c>
      <c r="J8" s="345"/>
      <c r="K8" s="703"/>
      <c r="L8" s="342"/>
      <c r="M8" s="342"/>
      <c r="N8" s="340"/>
      <c r="O8" s="703"/>
      <c r="P8" s="342"/>
      <c r="Q8" s="363"/>
      <c r="R8" s="340"/>
      <c r="S8" s="342"/>
      <c r="T8" s="342"/>
      <c r="U8" s="342"/>
      <c r="V8" s="340"/>
      <c r="W8" s="340"/>
      <c r="X8"/>
      <c r="Y8"/>
    </row>
    <row r="9" spans="2:25" ht="16">
      <c r="B9" s="67"/>
      <c r="E9" s="1" t="s">
        <v>947</v>
      </c>
      <c r="J9" s="345"/>
      <c r="K9" s="703"/>
      <c r="L9" s="342"/>
      <c r="M9" s="342"/>
      <c r="N9" s="340"/>
      <c r="O9" s="703"/>
      <c r="P9" s="342"/>
      <c r="Q9" s="363"/>
      <c r="R9" s="340"/>
      <c r="S9" s="342"/>
      <c r="T9" s="342"/>
      <c r="U9" s="342"/>
      <c r="V9" s="340"/>
      <c r="W9" s="340"/>
      <c r="X9"/>
      <c r="Y9"/>
    </row>
    <row r="10" spans="2:25" ht="16">
      <c r="B10" s="67"/>
      <c r="F10" s="346">
        <v>44754</v>
      </c>
      <c r="G10" s="346"/>
      <c r="H10" s="346"/>
      <c r="I10" s="346"/>
      <c r="J10" s="345"/>
      <c r="K10" s="703"/>
      <c r="L10" s="342"/>
      <c r="M10" s="342"/>
      <c r="N10" s="340"/>
      <c r="O10" s="703"/>
      <c r="P10" s="342"/>
      <c r="Q10" s="363"/>
      <c r="R10" s="340"/>
      <c r="S10" s="342"/>
      <c r="T10" s="342"/>
      <c r="U10" s="342"/>
      <c r="V10" s="340"/>
      <c r="W10" s="340"/>
      <c r="X10"/>
      <c r="Y10"/>
    </row>
    <row r="11" spans="2:25" ht="16">
      <c r="B11" s="67"/>
      <c r="G11" s="3" t="s">
        <v>59</v>
      </c>
      <c r="H11" s="3"/>
      <c r="I11" s="3"/>
      <c r="J11" s="345"/>
      <c r="K11" s="703"/>
      <c r="L11" s="342"/>
      <c r="M11" s="342"/>
      <c r="N11" s="340"/>
      <c r="O11" s="703"/>
      <c r="P11" s="342"/>
      <c r="Q11" s="363"/>
      <c r="R11" s="340"/>
      <c r="S11" s="342"/>
      <c r="T11" s="342"/>
      <c r="U11" s="342"/>
      <c r="V11" s="340"/>
      <c r="W11" s="340"/>
      <c r="X11"/>
      <c r="Y11"/>
    </row>
    <row r="12" spans="2:25" ht="16">
      <c r="B12" s="67"/>
      <c r="H12" s="347">
        <v>44586</v>
      </c>
      <c r="I12" s="347"/>
      <c r="J12" s="345"/>
      <c r="K12" s="703"/>
      <c r="L12" s="342"/>
      <c r="M12" s="342"/>
      <c r="N12" s="340"/>
      <c r="O12" s="703"/>
      <c r="P12" s="342"/>
      <c r="Q12" s="363"/>
      <c r="R12" s="340"/>
      <c r="S12" s="342"/>
      <c r="T12" s="342"/>
      <c r="U12" s="342"/>
      <c r="V12" s="340"/>
      <c r="W12" s="340"/>
      <c r="X12"/>
      <c r="Y12"/>
    </row>
    <row r="13" spans="2:25" ht="16">
      <c r="B13" s="67"/>
      <c r="I13" s="3" t="s">
        <v>59</v>
      </c>
      <c r="J13" s="345">
        <v>161</v>
      </c>
      <c r="K13" s="703">
        <v>6084.3</v>
      </c>
      <c r="L13" s="342">
        <v>1</v>
      </c>
      <c r="M13" s="342">
        <v>20.442299999999999</v>
      </c>
      <c r="N13" s="340">
        <v>124377.08588999999</v>
      </c>
      <c r="O13" s="703">
        <v>7862.394571428571</v>
      </c>
      <c r="P13" s="342">
        <v>1</v>
      </c>
      <c r="Q13" s="363">
        <v>20.459800000000001</v>
      </c>
      <c r="R13" s="340">
        <v>160863.02045251432</v>
      </c>
      <c r="S13" s="342">
        <v>118.002</v>
      </c>
      <c r="T13" s="342">
        <v>122.94799999999999</v>
      </c>
      <c r="U13" s="342">
        <v>1.0419</v>
      </c>
      <c r="V13" s="340">
        <v>167603.18100947468</v>
      </c>
      <c r="W13" s="340">
        <v>-43226.095119474681</v>
      </c>
      <c r="X13"/>
      <c r="Y13"/>
    </row>
    <row r="14" spans="2:25" ht="16">
      <c r="J14" s="345"/>
      <c r="K14" s="703"/>
      <c r="L14" s="342"/>
      <c r="M14" s="342"/>
      <c r="N14" s="340"/>
      <c r="O14" s="703"/>
      <c r="P14" s="342"/>
      <c r="Q14" s="363"/>
      <c r="R14" s="340"/>
      <c r="S14" s="342"/>
      <c r="T14" s="342"/>
      <c r="U14" s="342"/>
      <c r="V14" s="340"/>
      <c r="W14" s="340"/>
      <c r="X14"/>
      <c r="Y14"/>
    </row>
    <row r="15" spans="2:25" ht="16">
      <c r="B15" s="67"/>
      <c r="E15" s="131" t="s">
        <v>1050</v>
      </c>
      <c r="F15" s="131"/>
      <c r="G15" s="131"/>
      <c r="H15" s="131"/>
      <c r="I15" s="131"/>
      <c r="J15" s="704">
        <v>161</v>
      </c>
      <c r="K15" s="705">
        <v>6084.3</v>
      </c>
      <c r="L15" s="369">
        <v>1</v>
      </c>
      <c r="M15" s="377">
        <v>20.442299999999999</v>
      </c>
      <c r="N15" s="706">
        <v>124377.08588999999</v>
      </c>
      <c r="O15" s="705">
        <v>7862.394571428571</v>
      </c>
      <c r="P15" s="369">
        <v>1</v>
      </c>
      <c r="Q15" s="377">
        <v>20.459800000000001</v>
      </c>
      <c r="R15" s="706">
        <v>160863.02045251432</v>
      </c>
      <c r="S15" s="369">
        <v>118.002</v>
      </c>
      <c r="T15" s="369">
        <v>122.94799999999999</v>
      </c>
      <c r="U15" s="369">
        <v>1.0419</v>
      </c>
      <c r="V15" s="706">
        <v>167603.18100947468</v>
      </c>
      <c r="W15" s="706">
        <v>-43226.095119474681</v>
      </c>
      <c r="X15"/>
      <c r="Y15"/>
    </row>
    <row r="16" spans="2:25" ht="16">
      <c r="J16" s="345"/>
      <c r="K16" s="703"/>
      <c r="L16" s="342"/>
      <c r="M16" s="342"/>
      <c r="N16" s="340"/>
      <c r="O16" s="703"/>
      <c r="P16" s="342"/>
      <c r="Q16" s="363"/>
      <c r="R16" s="340"/>
      <c r="S16" s="342"/>
      <c r="T16" s="342"/>
      <c r="U16" s="342"/>
      <c r="V16" s="340"/>
      <c r="W16" s="340"/>
      <c r="X16"/>
      <c r="Y16"/>
    </row>
    <row r="17" spans="2:25" ht="16">
      <c r="B17" s="67"/>
      <c r="E17" s="1" t="s">
        <v>890</v>
      </c>
      <c r="J17" s="345"/>
      <c r="K17" s="703"/>
      <c r="L17" s="342"/>
      <c r="M17" s="342"/>
      <c r="N17" s="340"/>
      <c r="O17" s="703"/>
      <c r="P17" s="342"/>
      <c r="Q17" s="363"/>
      <c r="R17" s="340"/>
      <c r="S17" s="342"/>
      <c r="T17" s="342"/>
      <c r="U17" s="342"/>
      <c r="V17" s="340"/>
      <c r="W17" s="340"/>
      <c r="X17"/>
      <c r="Y17"/>
    </row>
    <row r="18" spans="2:25" ht="16">
      <c r="B18" s="67"/>
      <c r="F18" s="346">
        <v>44628</v>
      </c>
      <c r="G18" s="346"/>
      <c r="H18" s="346"/>
      <c r="I18" s="346"/>
      <c r="J18" s="345"/>
      <c r="K18" s="703"/>
      <c r="L18" s="342"/>
      <c r="M18" s="342"/>
      <c r="N18" s="340"/>
      <c r="O18" s="703"/>
      <c r="P18" s="342"/>
      <c r="Q18" s="363"/>
      <c r="R18" s="340"/>
      <c r="S18" s="342"/>
      <c r="T18" s="342"/>
      <c r="U18" s="342"/>
      <c r="V18" s="340"/>
      <c r="W18" s="340"/>
      <c r="X18"/>
      <c r="Y18"/>
    </row>
    <row r="19" spans="2:25" ht="16">
      <c r="B19" s="67"/>
      <c r="G19" s="3" t="s">
        <v>59</v>
      </c>
      <c r="H19" s="3"/>
      <c r="I19" s="3"/>
      <c r="J19" s="345"/>
      <c r="K19" s="703"/>
      <c r="L19" s="342"/>
      <c r="M19" s="342"/>
      <c r="N19" s="340"/>
      <c r="O19" s="703"/>
      <c r="P19" s="342"/>
      <c r="Q19" s="363"/>
      <c r="R19" s="340"/>
      <c r="S19" s="342"/>
      <c r="T19" s="342"/>
      <c r="U19" s="342"/>
      <c r="V19" s="340"/>
      <c r="W19" s="340"/>
      <c r="X19"/>
      <c r="Y19"/>
    </row>
    <row r="20" spans="2:25" ht="16">
      <c r="B20" s="67"/>
      <c r="H20" s="347">
        <v>44550</v>
      </c>
      <c r="I20" s="347"/>
      <c r="J20" s="345"/>
      <c r="K20" s="703"/>
      <c r="L20" s="342"/>
      <c r="M20" s="342"/>
      <c r="N20" s="340"/>
      <c r="O20" s="703"/>
      <c r="P20" s="342"/>
      <c r="Q20" s="363"/>
      <c r="R20" s="340"/>
      <c r="S20" s="342"/>
      <c r="T20" s="342"/>
      <c r="U20" s="342"/>
      <c r="V20" s="340"/>
      <c r="W20" s="340"/>
      <c r="X20"/>
      <c r="Y20"/>
    </row>
    <row r="21" spans="2:25" ht="16">
      <c r="B21" s="67"/>
      <c r="I21" s="3" t="s">
        <v>59</v>
      </c>
      <c r="J21" s="345">
        <v>12</v>
      </c>
      <c r="K21" s="703">
        <v>447.36</v>
      </c>
      <c r="L21" s="342">
        <v>1</v>
      </c>
      <c r="M21" s="342">
        <v>20.926200000000001</v>
      </c>
      <c r="N21" s="340">
        <v>9361.5448320000014</v>
      </c>
      <c r="O21" s="703">
        <v>1095.673125</v>
      </c>
      <c r="P21" s="342">
        <v>1</v>
      </c>
      <c r="Q21" s="363">
        <v>20.9238</v>
      </c>
      <c r="R21" s="340">
        <v>22925.645332874999</v>
      </c>
      <c r="S21" s="342">
        <v>117.30800000000001</v>
      </c>
      <c r="T21" s="342">
        <v>120.15900000000001</v>
      </c>
      <c r="U21" s="342">
        <v>1.0243</v>
      </c>
      <c r="V21" s="340">
        <v>23482.738514463861</v>
      </c>
      <c r="W21" s="340">
        <v>-14121.19368246386</v>
      </c>
      <c r="X21"/>
      <c r="Y21"/>
    </row>
    <row r="22" spans="2:25" ht="16">
      <c r="J22" s="345"/>
      <c r="K22" s="703"/>
      <c r="L22" s="342"/>
      <c r="M22" s="342"/>
      <c r="N22" s="340"/>
      <c r="O22" s="703"/>
      <c r="P22" s="342"/>
      <c r="Q22" s="363"/>
      <c r="R22" s="340"/>
      <c r="S22" s="342"/>
      <c r="T22" s="342"/>
      <c r="U22" s="342"/>
      <c r="V22" s="340"/>
      <c r="W22" s="340"/>
      <c r="X22"/>
      <c r="Y22"/>
    </row>
    <row r="23" spans="2:25" ht="16">
      <c r="B23" s="67"/>
      <c r="H23" s="347">
        <v>44557</v>
      </c>
      <c r="I23" s="347"/>
      <c r="J23" s="345"/>
      <c r="K23" s="703"/>
      <c r="L23" s="342"/>
      <c r="M23" s="342"/>
      <c r="N23" s="340"/>
      <c r="O23" s="703"/>
      <c r="P23" s="342"/>
      <c r="Q23" s="363"/>
      <c r="R23" s="340"/>
      <c r="S23" s="342"/>
      <c r="T23" s="342"/>
      <c r="U23" s="342"/>
      <c r="V23" s="340"/>
      <c r="W23" s="340"/>
      <c r="X23"/>
      <c r="Y23"/>
    </row>
    <row r="24" spans="2:25" ht="16">
      <c r="B24" s="67"/>
      <c r="I24" s="3" t="s">
        <v>59</v>
      </c>
      <c r="J24" s="345">
        <v>82</v>
      </c>
      <c r="K24" s="703">
        <v>3109.7181411359725</v>
      </c>
      <c r="L24" s="342">
        <v>1</v>
      </c>
      <c r="M24" s="342">
        <v>20.926199999999998</v>
      </c>
      <c r="N24" s="340">
        <v>65074.583765039592</v>
      </c>
      <c r="O24" s="703">
        <v>7850.3700000000008</v>
      </c>
      <c r="P24" s="342">
        <v>1</v>
      </c>
      <c r="Q24" s="363">
        <v>20.658199999999997</v>
      </c>
      <c r="R24" s="340">
        <v>162174.51353400003</v>
      </c>
      <c r="S24" s="342">
        <v>117.30800000000001</v>
      </c>
      <c r="T24" s="342">
        <v>120.15900000000001</v>
      </c>
      <c r="U24" s="342">
        <v>1.0243</v>
      </c>
      <c r="V24" s="340">
        <v>166115.35421287621</v>
      </c>
      <c r="W24" s="340">
        <v>-101040.77044783661</v>
      </c>
      <c r="X24"/>
      <c r="Y24"/>
    </row>
    <row r="25" spans="2:25" ht="16">
      <c r="J25" s="345"/>
      <c r="K25" s="703"/>
      <c r="L25" s="342"/>
      <c r="M25" s="342"/>
      <c r="N25" s="340"/>
      <c r="O25" s="703"/>
      <c r="P25" s="342"/>
      <c r="Q25" s="363"/>
      <c r="R25" s="340"/>
      <c r="S25" s="342"/>
      <c r="T25" s="342"/>
      <c r="U25" s="342"/>
      <c r="V25" s="340"/>
      <c r="W25" s="340"/>
      <c r="X25"/>
      <c r="Y25"/>
    </row>
    <row r="26" spans="2:25" ht="16">
      <c r="B26" s="67"/>
      <c r="H26" s="347">
        <v>44551</v>
      </c>
      <c r="I26" s="347"/>
      <c r="J26" s="345"/>
      <c r="K26" s="703"/>
      <c r="L26" s="342"/>
      <c r="M26" s="342"/>
      <c r="N26" s="340"/>
      <c r="O26" s="703"/>
      <c r="P26" s="342"/>
      <c r="Q26" s="363"/>
      <c r="R26" s="340"/>
      <c r="S26" s="342"/>
      <c r="T26" s="342"/>
      <c r="U26" s="342"/>
      <c r="V26" s="340"/>
      <c r="W26" s="340"/>
      <c r="X26"/>
      <c r="Y26"/>
    </row>
    <row r="27" spans="2:25" ht="16">
      <c r="B27" s="67"/>
      <c r="I27" s="3" t="s">
        <v>59</v>
      </c>
      <c r="J27" s="345">
        <v>86</v>
      </c>
      <c r="K27" s="703">
        <v>3422.6704819277111</v>
      </c>
      <c r="L27" s="342">
        <v>1</v>
      </c>
      <c r="M27" s="342">
        <v>20.926200000000001</v>
      </c>
      <c r="N27" s="340">
        <v>71623.487038915671</v>
      </c>
      <c r="O27" s="703">
        <v>8086.16</v>
      </c>
      <c r="P27" s="342">
        <v>1</v>
      </c>
      <c r="Q27" s="363">
        <v>20.733699999999999</v>
      </c>
      <c r="R27" s="340">
        <v>167656.01559199998</v>
      </c>
      <c r="S27" s="342">
        <v>117.30800000000001</v>
      </c>
      <c r="T27" s="342">
        <v>120.15900000000001</v>
      </c>
      <c r="U27" s="342">
        <v>1.0243</v>
      </c>
      <c r="V27" s="340">
        <v>171730.0567708856</v>
      </c>
      <c r="W27" s="340">
        <v>-100106.56973196991</v>
      </c>
      <c r="X27"/>
      <c r="Y27"/>
    </row>
    <row r="28" spans="2:25" ht="16">
      <c r="J28" s="345"/>
      <c r="K28" s="703"/>
      <c r="L28" s="342"/>
      <c r="M28" s="342"/>
      <c r="N28" s="340"/>
      <c r="O28" s="703"/>
      <c r="P28" s="342"/>
      <c r="Q28" s="363"/>
      <c r="R28" s="340"/>
      <c r="S28" s="342"/>
      <c r="T28" s="342"/>
      <c r="U28" s="342"/>
      <c r="V28" s="340"/>
      <c r="W28" s="340"/>
      <c r="X28"/>
      <c r="Y28"/>
    </row>
    <row r="29" spans="2:25" ht="16">
      <c r="B29" s="67"/>
      <c r="H29" s="347">
        <v>44552</v>
      </c>
      <c r="I29" s="347"/>
      <c r="J29" s="345"/>
      <c r="K29" s="703"/>
      <c r="L29" s="342"/>
      <c r="M29" s="342"/>
      <c r="N29" s="340"/>
      <c r="O29" s="703"/>
      <c r="P29" s="342"/>
      <c r="Q29" s="363"/>
      <c r="R29" s="340"/>
      <c r="S29" s="342"/>
      <c r="T29" s="342"/>
      <c r="U29" s="342"/>
      <c r="V29" s="340"/>
      <c r="W29" s="340"/>
      <c r="X29"/>
      <c r="Y29"/>
    </row>
    <row r="30" spans="2:25" ht="16">
      <c r="B30" s="67"/>
      <c r="I30" s="3" t="s">
        <v>59</v>
      </c>
      <c r="J30" s="345">
        <v>13</v>
      </c>
      <c r="K30" s="703">
        <v>517.38042168674701</v>
      </c>
      <c r="L30" s="342">
        <v>1</v>
      </c>
      <c r="M30" s="342">
        <v>20.926200000000001</v>
      </c>
      <c r="N30" s="340">
        <v>10826.806180301206</v>
      </c>
      <c r="O30" s="703">
        <v>1247.52</v>
      </c>
      <c r="P30" s="342">
        <v>1</v>
      </c>
      <c r="Q30" s="363">
        <v>20.7363</v>
      </c>
      <c r="R30" s="340">
        <v>25868.948976</v>
      </c>
      <c r="S30" s="342">
        <v>117.30800000000001</v>
      </c>
      <c r="T30" s="342">
        <v>120.15900000000001</v>
      </c>
      <c r="U30" s="342">
        <v>1.0243</v>
      </c>
      <c r="V30" s="340">
        <v>26497.564436116798</v>
      </c>
      <c r="W30" s="340">
        <v>-15670.758255815592</v>
      </c>
      <c r="X30"/>
      <c r="Y30"/>
    </row>
    <row r="31" spans="2:25" ht="16">
      <c r="J31" s="345"/>
      <c r="K31" s="703"/>
      <c r="L31" s="342"/>
      <c r="M31" s="342"/>
      <c r="N31" s="340"/>
      <c r="O31" s="703"/>
      <c r="P31" s="342"/>
      <c r="Q31" s="363"/>
      <c r="R31" s="340"/>
      <c r="S31" s="342"/>
      <c r="T31" s="342"/>
      <c r="U31" s="342"/>
      <c r="V31" s="340"/>
      <c r="W31" s="340"/>
      <c r="X31"/>
      <c r="Y31"/>
    </row>
    <row r="32" spans="2:25" ht="16">
      <c r="B32" s="67"/>
      <c r="H32" s="347">
        <v>44553</v>
      </c>
      <c r="I32" s="347"/>
      <c r="J32" s="345"/>
      <c r="K32" s="703"/>
      <c r="L32" s="342"/>
      <c r="M32" s="342"/>
      <c r="N32" s="340"/>
      <c r="O32" s="703"/>
      <c r="P32" s="342"/>
      <c r="Q32" s="363"/>
      <c r="R32" s="340"/>
      <c r="S32" s="342"/>
      <c r="T32" s="342"/>
      <c r="U32" s="342"/>
      <c r="V32" s="340"/>
      <c r="W32" s="340"/>
      <c r="X32"/>
      <c r="Y32"/>
    </row>
    <row r="33" spans="2:25" ht="16">
      <c r="B33" s="67"/>
      <c r="I33" s="3" t="s">
        <v>59</v>
      </c>
      <c r="J33" s="345">
        <v>43</v>
      </c>
      <c r="K33" s="703">
        <v>1711.3352409638555</v>
      </c>
      <c r="L33" s="342">
        <v>1</v>
      </c>
      <c r="M33" s="342">
        <v>20.926200000000001</v>
      </c>
      <c r="N33" s="340">
        <v>35811.743519457836</v>
      </c>
      <c r="O33" s="703">
        <v>4084.08</v>
      </c>
      <c r="P33" s="342">
        <v>1</v>
      </c>
      <c r="Q33" s="363">
        <v>20.782299999999999</v>
      </c>
      <c r="R33" s="340">
        <v>84876.575784000001</v>
      </c>
      <c r="S33" s="342">
        <v>117.30800000000001</v>
      </c>
      <c r="T33" s="342">
        <v>120.15900000000001</v>
      </c>
      <c r="U33" s="342">
        <v>1.0243</v>
      </c>
      <c r="V33" s="340">
        <v>86939.076575551197</v>
      </c>
      <c r="W33" s="340">
        <v>-51127.333056093354</v>
      </c>
      <c r="X33"/>
      <c r="Y33"/>
    </row>
    <row r="34" spans="2:25" ht="16">
      <c r="J34" s="345"/>
      <c r="K34" s="703"/>
      <c r="L34" s="342"/>
      <c r="M34" s="342"/>
      <c r="N34" s="340"/>
      <c r="O34" s="703"/>
      <c r="P34" s="342"/>
      <c r="Q34" s="363"/>
      <c r="R34" s="340"/>
      <c r="S34" s="342"/>
      <c r="T34" s="342"/>
      <c r="U34" s="342"/>
      <c r="V34" s="340"/>
      <c r="W34" s="340"/>
      <c r="X34"/>
      <c r="Y34"/>
    </row>
    <row r="35" spans="2:25" ht="16">
      <c r="B35" s="67"/>
      <c r="H35" s="347">
        <v>44566</v>
      </c>
      <c r="I35" s="347"/>
      <c r="J35" s="345"/>
      <c r="K35" s="703"/>
      <c r="L35" s="342"/>
      <c r="M35" s="342"/>
      <c r="N35" s="340"/>
      <c r="O35" s="703"/>
      <c r="P35" s="342"/>
      <c r="Q35" s="363"/>
      <c r="R35" s="340"/>
      <c r="S35" s="342"/>
      <c r="T35" s="342"/>
      <c r="U35" s="342"/>
      <c r="V35" s="340"/>
      <c r="W35" s="340"/>
      <c r="X35"/>
      <c r="Y35"/>
    </row>
    <row r="36" spans="2:25" ht="16">
      <c r="B36" s="67"/>
      <c r="I36" s="3" t="s">
        <v>59</v>
      </c>
      <c r="J36" s="345">
        <v>8</v>
      </c>
      <c r="K36" s="703">
        <v>297.08571428571429</v>
      </c>
      <c r="L36" s="342">
        <v>1</v>
      </c>
      <c r="M36" s="342">
        <v>20.926200000000001</v>
      </c>
      <c r="N36" s="340">
        <v>6216.8750742857146</v>
      </c>
      <c r="O36" s="703">
        <v>599.59999999999991</v>
      </c>
      <c r="P36" s="342">
        <v>1</v>
      </c>
      <c r="Q36" s="363">
        <v>20.588999999999999</v>
      </c>
      <c r="R36" s="340">
        <v>12345.164399999998</v>
      </c>
      <c r="S36" s="342">
        <v>118.002</v>
      </c>
      <c r="T36" s="342">
        <v>120.15900000000001</v>
      </c>
      <c r="U36" s="342">
        <v>1.0182</v>
      </c>
      <c r="V36" s="340">
        <v>12569.846392079999</v>
      </c>
      <c r="W36" s="340">
        <v>-6352.971317794284</v>
      </c>
      <c r="X36"/>
      <c r="Y36"/>
    </row>
    <row r="37" spans="2:25" ht="16">
      <c r="J37" s="345"/>
      <c r="K37" s="703"/>
      <c r="L37" s="342"/>
      <c r="M37" s="342"/>
      <c r="N37" s="340"/>
      <c r="O37" s="703"/>
      <c r="P37" s="342"/>
      <c r="Q37" s="363"/>
      <c r="R37" s="340"/>
      <c r="S37" s="342"/>
      <c r="T37" s="342"/>
      <c r="U37" s="342"/>
      <c r="V37" s="340"/>
      <c r="W37" s="340"/>
      <c r="X37"/>
      <c r="Y37"/>
    </row>
    <row r="38" spans="2:25" ht="16">
      <c r="B38" s="67"/>
      <c r="F38" s="346">
        <v>44629</v>
      </c>
      <c r="G38" s="346"/>
      <c r="H38" s="346"/>
      <c r="I38" s="346"/>
      <c r="J38" s="345"/>
      <c r="K38" s="703"/>
      <c r="L38" s="342"/>
      <c r="M38" s="342"/>
      <c r="N38" s="340"/>
      <c r="O38" s="703"/>
      <c r="P38" s="342"/>
      <c r="Q38" s="363"/>
      <c r="R38" s="340"/>
      <c r="S38" s="342"/>
      <c r="T38" s="342"/>
      <c r="U38" s="342"/>
      <c r="V38" s="340"/>
      <c r="W38" s="340"/>
      <c r="X38"/>
      <c r="Y38"/>
    </row>
    <row r="39" spans="2:25" ht="16">
      <c r="B39" s="67"/>
      <c r="G39" s="3" t="s">
        <v>59</v>
      </c>
      <c r="H39" s="3"/>
      <c r="I39" s="3"/>
      <c r="J39" s="345"/>
      <c r="K39" s="703"/>
      <c r="L39" s="342"/>
      <c r="M39" s="342"/>
      <c r="N39" s="340"/>
      <c r="O39" s="703"/>
      <c r="P39" s="342"/>
      <c r="Q39" s="363"/>
      <c r="R39" s="340"/>
      <c r="S39" s="342"/>
      <c r="T39" s="342"/>
      <c r="U39" s="342"/>
      <c r="V39" s="340"/>
      <c r="W39" s="340"/>
      <c r="X39"/>
      <c r="Y39"/>
    </row>
    <row r="40" spans="2:25" ht="16">
      <c r="B40" s="67"/>
      <c r="H40" s="347">
        <v>44566</v>
      </c>
      <c r="I40" s="347"/>
      <c r="J40" s="345"/>
      <c r="K40" s="703"/>
      <c r="L40" s="342"/>
      <c r="M40" s="342"/>
      <c r="N40" s="340"/>
      <c r="O40" s="703"/>
      <c r="P40" s="342"/>
      <c r="Q40" s="363"/>
      <c r="R40" s="340"/>
      <c r="S40" s="342"/>
      <c r="T40" s="342"/>
      <c r="U40" s="342"/>
      <c r="V40" s="340"/>
      <c r="W40" s="340"/>
      <c r="X40"/>
      <c r="Y40"/>
    </row>
    <row r="41" spans="2:25" ht="16">
      <c r="B41" s="67"/>
      <c r="I41" s="3" t="s">
        <v>59</v>
      </c>
      <c r="J41" s="345">
        <v>54</v>
      </c>
      <c r="K41" s="703">
        <v>2241.86</v>
      </c>
      <c r="L41" s="342">
        <v>1</v>
      </c>
      <c r="M41" s="342">
        <v>21.194700000000001</v>
      </c>
      <c r="N41" s="340">
        <v>47515.550142000007</v>
      </c>
      <c r="O41" s="703">
        <v>4027.996444444444</v>
      </c>
      <c r="P41" s="342">
        <v>1</v>
      </c>
      <c r="Q41" s="363">
        <v>20.588999999999999</v>
      </c>
      <c r="R41" s="340">
        <v>82932.41879466665</v>
      </c>
      <c r="S41" s="342">
        <v>118.002</v>
      </c>
      <c r="T41" s="342">
        <v>120.15900000000001</v>
      </c>
      <c r="U41" s="342">
        <v>1.0182</v>
      </c>
      <c r="V41" s="340">
        <v>84441.78881672959</v>
      </c>
      <c r="W41" s="340">
        <v>-36926.238674729582</v>
      </c>
      <c r="X41"/>
      <c r="Y41"/>
    </row>
    <row r="42" spans="2:25" ht="16">
      <c r="J42" s="345"/>
      <c r="K42" s="703"/>
      <c r="L42" s="342"/>
      <c r="M42" s="342"/>
      <c r="N42" s="340"/>
      <c r="O42" s="703"/>
      <c r="P42" s="342"/>
      <c r="Q42" s="363"/>
      <c r="R42" s="340"/>
      <c r="S42" s="342"/>
      <c r="T42" s="342"/>
      <c r="U42" s="342"/>
      <c r="V42" s="340"/>
      <c r="W42" s="340"/>
      <c r="X42"/>
      <c r="Y42"/>
    </row>
    <row r="43" spans="2:25" ht="16">
      <c r="B43" s="67"/>
      <c r="F43" s="346">
        <v>44627</v>
      </c>
      <c r="G43" s="346"/>
      <c r="H43" s="346"/>
      <c r="I43" s="346"/>
      <c r="J43" s="345"/>
      <c r="K43" s="703"/>
      <c r="L43" s="342"/>
      <c r="M43" s="342"/>
      <c r="N43" s="340"/>
      <c r="O43" s="703"/>
      <c r="P43" s="342"/>
      <c r="Q43" s="363"/>
      <c r="R43" s="340"/>
      <c r="S43" s="342"/>
      <c r="T43" s="342"/>
      <c r="U43" s="342"/>
      <c r="V43" s="340"/>
      <c r="W43" s="340"/>
      <c r="X43"/>
      <c r="Y43"/>
    </row>
    <row r="44" spans="2:25" ht="16">
      <c r="B44" s="67"/>
      <c r="G44" s="3" t="s">
        <v>59</v>
      </c>
      <c r="H44" s="3"/>
      <c r="I44" s="3"/>
      <c r="J44" s="345"/>
      <c r="K44" s="703"/>
      <c r="L44" s="342"/>
      <c r="M44" s="342"/>
      <c r="N44" s="340"/>
      <c r="O44" s="703"/>
      <c r="P44" s="342"/>
      <c r="Q44" s="363"/>
      <c r="R44" s="340"/>
      <c r="S44" s="342"/>
      <c r="T44" s="342"/>
      <c r="U44" s="342"/>
      <c r="V44" s="340"/>
      <c r="W44" s="340"/>
      <c r="X44"/>
      <c r="Y44"/>
    </row>
    <row r="45" spans="2:25" ht="16">
      <c r="B45" s="67"/>
      <c r="H45" s="347">
        <v>44550</v>
      </c>
      <c r="I45" s="347"/>
      <c r="J45" s="345"/>
      <c r="K45" s="703"/>
      <c r="L45" s="342"/>
      <c r="M45" s="342"/>
      <c r="N45" s="340"/>
      <c r="O45" s="703"/>
      <c r="P45" s="342"/>
      <c r="Q45" s="363"/>
      <c r="R45" s="340"/>
      <c r="S45" s="342"/>
      <c r="T45" s="342"/>
      <c r="U45" s="342"/>
      <c r="V45" s="340"/>
      <c r="W45" s="340"/>
      <c r="X45"/>
      <c r="Y45"/>
    </row>
    <row r="46" spans="2:25" ht="16">
      <c r="B46" s="67"/>
      <c r="I46" s="3" t="s">
        <v>59</v>
      </c>
      <c r="J46" s="345">
        <v>130</v>
      </c>
      <c r="K46" s="703">
        <v>5122.01</v>
      </c>
      <c r="L46" s="342">
        <v>1</v>
      </c>
      <c r="M46" s="342">
        <v>20.703299999999999</v>
      </c>
      <c r="N46" s="340">
        <v>106042.50963299998</v>
      </c>
      <c r="O46" s="703">
        <v>11884.636875</v>
      </c>
      <c r="P46" s="342">
        <v>1</v>
      </c>
      <c r="Q46" s="363">
        <v>20.9238</v>
      </c>
      <c r="R46" s="340">
        <v>248671.76504512501</v>
      </c>
      <c r="S46" s="342">
        <v>117.30800000000001</v>
      </c>
      <c r="T46" s="342">
        <v>120.15900000000001</v>
      </c>
      <c r="U46" s="342">
        <v>1.0243</v>
      </c>
      <c r="V46" s="340">
        <v>254714.48893572154</v>
      </c>
      <c r="W46" s="340">
        <v>-148671.97930272156</v>
      </c>
      <c r="X46"/>
      <c r="Y46"/>
    </row>
    <row r="47" spans="2:25" ht="16">
      <c r="J47" s="345"/>
      <c r="K47" s="703"/>
      <c r="L47" s="342"/>
      <c r="M47" s="342"/>
      <c r="N47" s="340"/>
      <c r="O47" s="703"/>
      <c r="P47" s="342"/>
      <c r="Q47" s="363"/>
      <c r="R47" s="340"/>
      <c r="S47" s="342"/>
      <c r="T47" s="342"/>
      <c r="U47" s="342"/>
      <c r="V47" s="340"/>
      <c r="W47" s="340"/>
      <c r="X47"/>
      <c r="Y47"/>
    </row>
    <row r="48" spans="2:25" ht="16">
      <c r="B48" s="67"/>
      <c r="F48" s="346">
        <v>44630</v>
      </c>
      <c r="G48" s="346"/>
      <c r="H48" s="346"/>
      <c r="I48" s="346"/>
      <c r="J48" s="345"/>
      <c r="K48" s="703"/>
      <c r="L48" s="342"/>
      <c r="M48" s="342"/>
      <c r="N48" s="340"/>
      <c r="O48" s="703"/>
      <c r="P48" s="342"/>
      <c r="Q48" s="363"/>
      <c r="R48" s="340"/>
      <c r="S48" s="342"/>
      <c r="T48" s="342"/>
      <c r="U48" s="342"/>
      <c r="V48" s="340"/>
      <c r="W48" s="340"/>
      <c r="X48"/>
      <c r="Y48"/>
    </row>
    <row r="49" spans="2:25" ht="16">
      <c r="B49" s="67"/>
      <c r="G49" s="3" t="s">
        <v>59</v>
      </c>
      <c r="H49" s="3"/>
      <c r="I49" s="3"/>
      <c r="J49" s="345"/>
      <c r="K49" s="703"/>
      <c r="L49" s="342"/>
      <c r="M49" s="342"/>
      <c r="N49" s="340"/>
      <c r="O49" s="703"/>
      <c r="P49" s="342"/>
      <c r="Q49" s="363"/>
      <c r="R49" s="340"/>
      <c r="S49" s="342"/>
      <c r="T49" s="342"/>
      <c r="U49" s="342"/>
      <c r="V49" s="340"/>
      <c r="W49" s="340"/>
      <c r="X49"/>
      <c r="Y49"/>
    </row>
    <row r="50" spans="2:25" ht="16">
      <c r="B50" s="67"/>
      <c r="H50" s="347">
        <v>44581</v>
      </c>
      <c r="I50" s="347"/>
      <c r="J50" s="345"/>
      <c r="K50" s="703"/>
      <c r="L50" s="342"/>
      <c r="M50" s="342"/>
      <c r="N50" s="340"/>
      <c r="O50" s="703"/>
      <c r="P50" s="342"/>
      <c r="Q50" s="363"/>
      <c r="R50" s="340"/>
      <c r="S50" s="342"/>
      <c r="T50" s="342"/>
      <c r="U50" s="342"/>
      <c r="V50" s="340"/>
      <c r="W50" s="340"/>
      <c r="X50"/>
      <c r="Y50"/>
    </row>
    <row r="51" spans="2:25" ht="16">
      <c r="B51" s="67"/>
      <c r="I51" s="3" t="s">
        <v>59</v>
      </c>
      <c r="J51" s="345">
        <v>76</v>
      </c>
      <c r="K51" s="703">
        <v>2892.054090909091</v>
      </c>
      <c r="L51" s="342">
        <v>1</v>
      </c>
      <c r="M51" s="342">
        <v>21.377500000000001</v>
      </c>
      <c r="N51" s="340">
        <v>61824.886328409098</v>
      </c>
      <c r="O51" s="703">
        <v>4730.9699999999993</v>
      </c>
      <c r="P51" s="342">
        <v>1</v>
      </c>
      <c r="Q51" s="363">
        <v>20.402999999999999</v>
      </c>
      <c r="R51" s="340">
        <v>96525.980909999998</v>
      </c>
      <c r="S51" s="342">
        <v>118.002</v>
      </c>
      <c r="T51" s="342">
        <v>120.15900000000002</v>
      </c>
      <c r="U51" s="342">
        <v>1.0182</v>
      </c>
      <c r="V51" s="340">
        <v>98282.753762561988</v>
      </c>
      <c r="W51" s="340">
        <v>-36457.867434152889</v>
      </c>
      <c r="X51"/>
      <c r="Y51"/>
    </row>
    <row r="52" spans="2:25" ht="16">
      <c r="J52" s="345"/>
      <c r="K52" s="703"/>
      <c r="L52" s="342"/>
      <c r="M52" s="342"/>
      <c r="N52" s="340"/>
      <c r="O52" s="703"/>
      <c r="P52" s="342"/>
      <c r="Q52" s="363"/>
      <c r="R52" s="340"/>
      <c r="S52" s="342"/>
      <c r="T52" s="342"/>
      <c r="U52" s="342"/>
      <c r="V52" s="340"/>
      <c r="W52" s="340"/>
      <c r="X52"/>
      <c r="Y52"/>
    </row>
    <row r="53" spans="2:25" ht="16">
      <c r="B53" s="67"/>
      <c r="H53" s="347">
        <v>44566</v>
      </c>
      <c r="I53" s="347"/>
      <c r="J53" s="345"/>
      <c r="K53" s="703"/>
      <c r="L53" s="342"/>
      <c r="M53" s="342"/>
      <c r="N53" s="340"/>
      <c r="O53" s="703"/>
      <c r="P53" s="342"/>
      <c r="Q53" s="363"/>
      <c r="R53" s="340"/>
      <c r="S53" s="342"/>
      <c r="T53" s="342"/>
      <c r="U53" s="342"/>
      <c r="V53" s="340"/>
      <c r="W53" s="340"/>
      <c r="X53"/>
      <c r="Y53"/>
    </row>
    <row r="54" spans="2:25" ht="16">
      <c r="B54" s="67"/>
      <c r="I54" s="3" t="s">
        <v>59</v>
      </c>
      <c r="J54" s="345">
        <v>19</v>
      </c>
      <c r="K54" s="703">
        <v>744.25590909090909</v>
      </c>
      <c r="L54" s="342">
        <v>1</v>
      </c>
      <c r="M54" s="342">
        <v>21.377500000000001</v>
      </c>
      <c r="N54" s="340">
        <v>15910.330696590911</v>
      </c>
      <c r="O54" s="703">
        <v>1409.9435555555556</v>
      </c>
      <c r="P54" s="342">
        <v>1</v>
      </c>
      <c r="Q54" s="363">
        <v>20.588999999999999</v>
      </c>
      <c r="R54" s="340">
        <v>29029.327865333333</v>
      </c>
      <c r="S54" s="342">
        <v>118.002</v>
      </c>
      <c r="T54" s="342">
        <v>120.15900000000001</v>
      </c>
      <c r="U54" s="342">
        <v>1.0182</v>
      </c>
      <c r="V54" s="340">
        <v>29557.661632482399</v>
      </c>
      <c r="W54" s="340">
        <v>-13647.330935891488</v>
      </c>
      <c r="X54"/>
      <c r="Y54"/>
    </row>
    <row r="55" spans="2:25" ht="16">
      <c r="J55" s="345"/>
      <c r="K55" s="703"/>
      <c r="L55" s="342"/>
      <c r="M55" s="342"/>
      <c r="N55" s="340"/>
      <c r="O55" s="703"/>
      <c r="P55" s="342"/>
      <c r="Q55" s="363"/>
      <c r="R55" s="340"/>
      <c r="S55" s="342"/>
      <c r="T55" s="342"/>
      <c r="U55" s="342"/>
      <c r="V55" s="340"/>
      <c r="W55" s="340"/>
      <c r="X55"/>
      <c r="Y55"/>
    </row>
    <row r="56" spans="2:25" ht="16">
      <c r="B56" s="67"/>
      <c r="E56" s="131" t="s">
        <v>1051</v>
      </c>
      <c r="F56" s="131"/>
      <c r="G56" s="131"/>
      <c r="H56" s="131"/>
      <c r="I56" s="131"/>
      <c r="J56" s="704">
        <v>523</v>
      </c>
      <c r="K56" s="705">
        <v>20505.73</v>
      </c>
      <c r="L56" s="369">
        <v>1</v>
      </c>
      <c r="M56" s="377">
        <v>21.010242857142863</v>
      </c>
      <c r="N56" s="706">
        <v>430208.31720999995</v>
      </c>
      <c r="O56" s="705">
        <v>45016.94999999999</v>
      </c>
      <c r="P56" s="369">
        <v>1</v>
      </c>
      <c r="Q56" s="377">
        <v>20.678778571428577</v>
      </c>
      <c r="R56" s="706">
        <v>933006.35623399995</v>
      </c>
      <c r="S56" s="369">
        <v>117.53107142857142</v>
      </c>
      <c r="T56" s="369">
        <v>120.15900000000008</v>
      </c>
      <c r="U56" s="369">
        <v>1.0223392857142859</v>
      </c>
      <c r="V56" s="706">
        <v>954331.33004946902</v>
      </c>
      <c r="W56" s="706">
        <v>-524123.01283946913</v>
      </c>
      <c r="X56"/>
      <c r="Y56"/>
    </row>
    <row r="57" spans="2:25" ht="16">
      <c r="J57" s="345"/>
      <c r="K57" s="703"/>
      <c r="L57" s="342"/>
      <c r="M57" s="342"/>
      <c r="N57" s="340"/>
      <c r="O57" s="703"/>
      <c r="P57" s="342"/>
      <c r="Q57" s="363"/>
      <c r="R57" s="340"/>
      <c r="S57" s="342"/>
      <c r="T57" s="342"/>
      <c r="U57" s="342"/>
      <c r="V57" s="340"/>
      <c r="W57" s="340"/>
      <c r="X57"/>
      <c r="Y57"/>
    </row>
    <row r="58" spans="2:25" ht="16">
      <c r="B58" s="67"/>
      <c r="E58" s="1" t="s">
        <v>876</v>
      </c>
      <c r="J58" s="345"/>
      <c r="K58" s="703"/>
      <c r="L58" s="342"/>
      <c r="M58" s="342"/>
      <c r="N58" s="340"/>
      <c r="O58" s="703"/>
      <c r="P58" s="342"/>
      <c r="Q58" s="363"/>
      <c r="R58" s="340"/>
      <c r="S58" s="342"/>
      <c r="T58" s="342"/>
      <c r="U58" s="342"/>
      <c r="V58" s="340"/>
      <c r="W58" s="340"/>
      <c r="X58"/>
      <c r="Y58"/>
    </row>
    <row r="59" spans="2:25" ht="16">
      <c r="B59" s="67"/>
      <c r="F59" s="346">
        <v>44629</v>
      </c>
      <c r="G59" s="346"/>
      <c r="H59" s="346"/>
      <c r="I59" s="346"/>
      <c r="J59" s="345"/>
      <c r="K59" s="703"/>
      <c r="L59" s="342"/>
      <c r="M59" s="342"/>
      <c r="N59" s="340"/>
      <c r="O59" s="703"/>
      <c r="P59" s="342"/>
      <c r="Q59" s="363"/>
      <c r="R59" s="340"/>
      <c r="S59" s="342"/>
      <c r="T59" s="342"/>
      <c r="U59" s="342"/>
      <c r="V59" s="340"/>
      <c r="W59" s="340"/>
      <c r="X59"/>
      <c r="Y59"/>
    </row>
    <row r="60" spans="2:25" ht="16">
      <c r="B60" s="67"/>
      <c r="G60" s="3" t="s">
        <v>59</v>
      </c>
      <c r="H60" s="3"/>
      <c r="I60" s="3"/>
      <c r="J60" s="345"/>
      <c r="K60" s="703"/>
      <c r="L60" s="342"/>
      <c r="M60" s="342"/>
      <c r="N60" s="340"/>
      <c r="O60" s="703"/>
      <c r="P60" s="342"/>
      <c r="Q60" s="363"/>
      <c r="R60" s="340"/>
      <c r="S60" s="342"/>
      <c r="T60" s="342"/>
      <c r="U60" s="342"/>
      <c r="V60" s="340"/>
      <c r="W60" s="340"/>
      <c r="X60"/>
      <c r="Y60"/>
    </row>
    <row r="61" spans="2:25" ht="16">
      <c r="B61" s="67"/>
      <c r="H61" s="347">
        <v>44312</v>
      </c>
      <c r="I61" s="347"/>
      <c r="J61" s="345"/>
      <c r="K61" s="703"/>
      <c r="L61" s="342"/>
      <c r="M61" s="342"/>
      <c r="N61" s="340"/>
      <c r="O61" s="703"/>
      <c r="P61" s="342"/>
      <c r="Q61" s="363"/>
      <c r="R61" s="340"/>
      <c r="S61" s="342"/>
      <c r="T61" s="342"/>
      <c r="U61" s="342"/>
      <c r="V61" s="340"/>
      <c r="W61" s="340"/>
      <c r="X61"/>
      <c r="Y61"/>
    </row>
    <row r="62" spans="2:25" ht="16">
      <c r="B62" s="67"/>
      <c r="I62" s="3" t="s">
        <v>59</v>
      </c>
      <c r="J62" s="345">
        <v>78</v>
      </c>
      <c r="K62" s="703">
        <v>2961.2154</v>
      </c>
      <c r="L62" s="342">
        <v>1</v>
      </c>
      <c r="M62" s="342">
        <v>21.194700000000001</v>
      </c>
      <c r="N62" s="340">
        <v>62762.072038380007</v>
      </c>
      <c r="O62" s="703">
        <v>8682.5299999999988</v>
      </c>
      <c r="P62" s="342">
        <v>1</v>
      </c>
      <c r="Q62" s="363">
        <v>19.886500000000002</v>
      </c>
      <c r="R62" s="340">
        <v>172665.13284500001</v>
      </c>
      <c r="S62" s="342">
        <v>112.19</v>
      </c>
      <c r="T62" s="342">
        <v>120.15900000000001</v>
      </c>
      <c r="U62" s="342">
        <v>1.071</v>
      </c>
      <c r="V62" s="340">
        <v>184924.357276995</v>
      </c>
      <c r="W62" s="340">
        <v>-122162.28523861499</v>
      </c>
      <c r="X62"/>
      <c r="Y62"/>
    </row>
    <row r="63" spans="2:25" ht="16">
      <c r="J63" s="345"/>
      <c r="K63" s="703"/>
      <c r="L63" s="342"/>
      <c r="M63" s="342"/>
      <c r="N63" s="340"/>
      <c r="O63" s="703"/>
      <c r="P63" s="342"/>
      <c r="Q63" s="363"/>
      <c r="R63" s="340"/>
      <c r="S63" s="342"/>
      <c r="T63" s="342"/>
      <c r="U63" s="342"/>
      <c r="V63" s="340"/>
      <c r="W63" s="340"/>
      <c r="X63"/>
      <c r="Y63"/>
    </row>
    <row r="64" spans="2:25" ht="16">
      <c r="B64" s="67"/>
      <c r="H64" s="347">
        <v>44313</v>
      </c>
      <c r="I64" s="347"/>
      <c r="J64" s="345"/>
      <c r="K64" s="703"/>
      <c r="L64" s="342"/>
      <c r="M64" s="342"/>
      <c r="N64" s="340"/>
      <c r="O64" s="703"/>
      <c r="P64" s="342"/>
      <c r="Q64" s="363"/>
      <c r="R64" s="340"/>
      <c r="S64" s="342"/>
      <c r="T64" s="342"/>
      <c r="U64" s="342"/>
      <c r="V64" s="340"/>
      <c r="W64" s="340"/>
      <c r="X64"/>
      <c r="Y64"/>
    </row>
    <row r="65" spans="2:25" ht="16">
      <c r="B65" s="67"/>
      <c r="I65" s="3" t="s">
        <v>59</v>
      </c>
      <c r="J65" s="345">
        <v>34</v>
      </c>
      <c r="K65" s="703">
        <v>1290.7862</v>
      </c>
      <c r="L65" s="342">
        <v>1</v>
      </c>
      <c r="M65" s="342">
        <v>21.194700000000001</v>
      </c>
      <c r="N65" s="340">
        <v>27357.826273140003</v>
      </c>
      <c r="O65" s="703">
        <v>3841.96</v>
      </c>
      <c r="P65" s="342">
        <v>1</v>
      </c>
      <c r="Q65" s="363">
        <v>19.869499999999999</v>
      </c>
      <c r="R65" s="340">
        <v>76337.824219999995</v>
      </c>
      <c r="S65" s="342">
        <v>112.19</v>
      </c>
      <c r="T65" s="342">
        <v>120.15900000000001</v>
      </c>
      <c r="U65" s="342">
        <v>1.071</v>
      </c>
      <c r="V65" s="340">
        <v>81757.809739619988</v>
      </c>
      <c r="W65" s="340">
        <v>-54399.983466479986</v>
      </c>
      <c r="X65"/>
      <c r="Y65"/>
    </row>
    <row r="66" spans="2:25" ht="16">
      <c r="J66" s="345"/>
      <c r="K66" s="703"/>
      <c r="L66" s="342"/>
      <c r="M66" s="342"/>
      <c r="N66" s="340"/>
      <c r="O66" s="703"/>
      <c r="P66" s="342"/>
      <c r="Q66" s="363"/>
      <c r="R66" s="340"/>
      <c r="S66" s="342"/>
      <c r="T66" s="342"/>
      <c r="U66" s="342"/>
      <c r="V66" s="340"/>
      <c r="W66" s="340"/>
      <c r="X66"/>
      <c r="Y66"/>
    </row>
    <row r="67" spans="2:25" ht="16">
      <c r="B67" s="67"/>
      <c r="H67" s="347">
        <v>44265</v>
      </c>
      <c r="I67" s="347"/>
      <c r="J67" s="345"/>
      <c r="K67" s="703"/>
      <c r="L67" s="342"/>
      <c r="M67" s="342"/>
      <c r="N67" s="340"/>
      <c r="O67" s="703"/>
      <c r="P67" s="342"/>
      <c r="Q67" s="363"/>
      <c r="R67" s="340"/>
      <c r="S67" s="342"/>
      <c r="T67" s="342"/>
      <c r="U67" s="342"/>
      <c r="V67" s="340"/>
      <c r="W67" s="340"/>
      <c r="X67"/>
      <c r="Y67"/>
    </row>
    <row r="68" spans="2:25" ht="16">
      <c r="B68" s="67"/>
      <c r="I68" s="3" t="s">
        <v>59</v>
      </c>
      <c r="J68" s="345">
        <v>1</v>
      </c>
      <c r="K68" s="703">
        <v>34.384687499999998</v>
      </c>
      <c r="L68" s="342">
        <v>1</v>
      </c>
      <c r="M68" s="342">
        <v>21.194700000000001</v>
      </c>
      <c r="N68" s="340">
        <v>728.77313615624996</v>
      </c>
      <c r="O68" s="703">
        <v>99.86666666666666</v>
      </c>
      <c r="P68" s="342">
        <v>1</v>
      </c>
      <c r="Q68" s="363">
        <v>21.4177</v>
      </c>
      <c r="R68" s="340">
        <v>2138.9143066666666</v>
      </c>
      <c r="S68" s="342">
        <v>111.824</v>
      </c>
      <c r="T68" s="342">
        <v>120.15900000000001</v>
      </c>
      <c r="U68" s="342">
        <v>1.0745</v>
      </c>
      <c r="V68" s="340">
        <v>2298.2634225133334</v>
      </c>
      <c r="W68" s="340">
        <v>-1569.4902863570833</v>
      </c>
      <c r="X68"/>
      <c r="Y68"/>
    </row>
    <row r="69" spans="2:25" ht="16">
      <c r="J69" s="345"/>
      <c r="K69" s="703"/>
      <c r="L69" s="342"/>
      <c r="M69" s="342"/>
      <c r="N69" s="340"/>
      <c r="O69" s="703"/>
      <c r="P69" s="342"/>
      <c r="Q69" s="363"/>
      <c r="R69" s="340"/>
      <c r="S69" s="342"/>
      <c r="T69" s="342"/>
      <c r="U69" s="342"/>
      <c r="V69" s="340"/>
      <c r="W69" s="340"/>
      <c r="X69"/>
      <c r="Y69"/>
    </row>
    <row r="70" spans="2:25" ht="16">
      <c r="B70" s="67"/>
      <c r="H70" s="347">
        <v>44537</v>
      </c>
      <c r="I70" s="347"/>
      <c r="J70" s="345"/>
      <c r="K70" s="703"/>
      <c r="L70" s="342"/>
      <c r="M70" s="342"/>
      <c r="N70" s="340"/>
      <c r="O70" s="703"/>
      <c r="P70" s="342"/>
      <c r="Q70" s="363"/>
      <c r="R70" s="340"/>
      <c r="S70" s="342"/>
      <c r="T70" s="342"/>
      <c r="U70" s="342"/>
      <c r="V70" s="340"/>
      <c r="W70" s="340"/>
      <c r="X70"/>
      <c r="Y70"/>
    </row>
    <row r="71" spans="2:25" ht="16">
      <c r="B71" s="67"/>
      <c r="I71" s="3" t="s">
        <v>59</v>
      </c>
      <c r="J71" s="345">
        <v>79</v>
      </c>
      <c r="K71" s="703">
        <v>2395.8215</v>
      </c>
      <c r="L71" s="342">
        <v>1</v>
      </c>
      <c r="M71" s="342">
        <v>21.194700000000001</v>
      </c>
      <c r="N71" s="340">
        <v>50778.717946049997</v>
      </c>
      <c r="O71" s="703">
        <v>7353.4800000000005</v>
      </c>
      <c r="P71" s="342">
        <v>1</v>
      </c>
      <c r="Q71" s="363">
        <v>21.4177</v>
      </c>
      <c r="R71" s="340">
        <v>157494.62859600002</v>
      </c>
      <c r="S71" s="342">
        <v>117.30800000000001</v>
      </c>
      <c r="T71" s="342">
        <v>120.15900000000001</v>
      </c>
      <c r="U71" s="342">
        <v>1.0243</v>
      </c>
      <c r="V71" s="340">
        <v>161321.74807088284</v>
      </c>
      <c r="W71" s="340">
        <v>-110543.03012483283</v>
      </c>
      <c r="X71"/>
      <c r="Y71"/>
    </row>
    <row r="72" spans="2:25" ht="16">
      <c r="J72" s="345"/>
      <c r="K72" s="703"/>
      <c r="L72" s="342"/>
      <c r="M72" s="342"/>
      <c r="N72" s="340"/>
      <c r="O72" s="703"/>
      <c r="P72" s="342"/>
      <c r="Q72" s="363"/>
      <c r="R72" s="340"/>
      <c r="S72" s="342"/>
      <c r="T72" s="342"/>
      <c r="U72" s="342"/>
      <c r="V72" s="340"/>
      <c r="W72" s="340"/>
      <c r="X72"/>
      <c r="Y72"/>
    </row>
    <row r="73" spans="2:25" ht="16">
      <c r="B73" s="67"/>
      <c r="H73" s="347">
        <v>44266</v>
      </c>
      <c r="I73" s="347"/>
      <c r="J73" s="345"/>
      <c r="K73" s="703"/>
      <c r="L73" s="342"/>
      <c r="M73" s="342"/>
      <c r="N73" s="340"/>
      <c r="O73" s="703"/>
      <c r="P73" s="342"/>
      <c r="Q73" s="363"/>
      <c r="R73" s="340"/>
      <c r="S73" s="342"/>
      <c r="T73" s="342"/>
      <c r="U73" s="342"/>
      <c r="V73" s="340"/>
      <c r="W73" s="340"/>
      <c r="X73"/>
      <c r="Y73"/>
    </row>
    <row r="74" spans="2:25" ht="16">
      <c r="B74" s="67"/>
      <c r="I74" s="3" t="s">
        <v>59</v>
      </c>
      <c r="J74" s="345">
        <v>35</v>
      </c>
      <c r="K74" s="703">
        <v>1217.7825124999999</v>
      </c>
      <c r="L74" s="342">
        <v>1</v>
      </c>
      <c r="M74" s="342">
        <v>21.194700000000001</v>
      </c>
      <c r="N74" s="340">
        <v>25810.535017683753</v>
      </c>
      <c r="O74" s="703">
        <v>3532.85</v>
      </c>
      <c r="P74" s="342">
        <v>1</v>
      </c>
      <c r="Q74" s="363">
        <v>21.2575</v>
      </c>
      <c r="R74" s="340">
        <v>75099.558874999988</v>
      </c>
      <c r="S74" s="342">
        <v>111.824</v>
      </c>
      <c r="T74" s="342">
        <v>120.15900000000001</v>
      </c>
      <c r="U74" s="342">
        <v>1.0745</v>
      </c>
      <c r="V74" s="340">
        <v>80694.476011187493</v>
      </c>
      <c r="W74" s="340">
        <v>-54883.94099350374</v>
      </c>
      <c r="X74"/>
      <c r="Y74"/>
    </row>
    <row r="75" spans="2:25" ht="16">
      <c r="J75" s="345"/>
      <c r="K75" s="703"/>
      <c r="L75" s="342"/>
      <c r="M75" s="342"/>
      <c r="N75" s="340"/>
      <c r="O75" s="703"/>
      <c r="P75" s="342"/>
      <c r="Q75" s="363"/>
      <c r="R75" s="340"/>
      <c r="S75" s="342"/>
      <c r="T75" s="342"/>
      <c r="U75" s="342"/>
      <c r="V75" s="340"/>
      <c r="W75" s="340"/>
      <c r="X75"/>
      <c r="Y75"/>
    </row>
    <row r="76" spans="2:25" ht="16">
      <c r="B76" s="67"/>
      <c r="H76" s="347">
        <v>44349</v>
      </c>
      <c r="I76" s="347"/>
      <c r="J76" s="345"/>
      <c r="K76" s="703"/>
      <c r="L76" s="342"/>
      <c r="M76" s="342"/>
      <c r="N76" s="340"/>
      <c r="O76" s="703"/>
      <c r="P76" s="342"/>
      <c r="Q76" s="363"/>
      <c r="R76" s="340"/>
      <c r="S76" s="342"/>
      <c r="T76" s="342"/>
      <c r="U76" s="342"/>
      <c r="V76" s="340"/>
      <c r="W76" s="340"/>
      <c r="X76"/>
      <c r="Y76"/>
    </row>
    <row r="77" spans="2:25" ht="16">
      <c r="B77" s="67"/>
      <c r="I77" s="3" t="s">
        <v>59</v>
      </c>
      <c r="J77" s="345">
        <v>73</v>
      </c>
      <c r="K77" s="703">
        <v>2771.3939</v>
      </c>
      <c r="L77" s="342">
        <v>1</v>
      </c>
      <c r="M77" s="342">
        <v>21.194700000000001</v>
      </c>
      <c r="N77" s="340">
        <v>58738.862292330006</v>
      </c>
      <c r="O77" s="703">
        <v>6920.21</v>
      </c>
      <c r="P77" s="342">
        <v>1</v>
      </c>
      <c r="Q77" s="363">
        <v>19.921299999999999</v>
      </c>
      <c r="R77" s="340">
        <v>137859.57947299999</v>
      </c>
      <c r="S77" s="342">
        <v>113.018</v>
      </c>
      <c r="T77" s="342">
        <v>120.15900000000001</v>
      </c>
      <c r="U77" s="342">
        <v>1.0630999999999999</v>
      </c>
      <c r="V77" s="340">
        <v>146558.51893774627</v>
      </c>
      <c r="W77" s="340">
        <v>-87819.656645416253</v>
      </c>
      <c r="X77"/>
      <c r="Y77"/>
    </row>
    <row r="78" spans="2:25" ht="16">
      <c r="J78" s="345"/>
      <c r="K78" s="703"/>
      <c r="L78" s="342"/>
      <c r="M78" s="342"/>
      <c r="N78" s="340"/>
      <c r="O78" s="703"/>
      <c r="P78" s="342"/>
      <c r="Q78" s="363"/>
      <c r="R78" s="340"/>
      <c r="S78" s="342"/>
      <c r="T78" s="342"/>
      <c r="U78" s="342"/>
      <c r="V78" s="340"/>
      <c r="W78" s="340"/>
      <c r="X78"/>
      <c r="Y78"/>
    </row>
    <row r="79" spans="2:25" ht="16">
      <c r="B79" s="67"/>
      <c r="H79" s="347">
        <v>44398</v>
      </c>
      <c r="I79" s="347"/>
      <c r="J79" s="345"/>
      <c r="K79" s="703"/>
      <c r="L79" s="342"/>
      <c r="M79" s="342"/>
      <c r="N79" s="340"/>
      <c r="O79" s="703"/>
      <c r="P79" s="342"/>
      <c r="Q79" s="363"/>
      <c r="R79" s="340"/>
      <c r="S79" s="342"/>
      <c r="T79" s="342"/>
      <c r="U79" s="342"/>
      <c r="V79" s="340"/>
      <c r="W79" s="340"/>
      <c r="X79"/>
      <c r="Y79"/>
    </row>
    <row r="80" spans="2:25" ht="16">
      <c r="B80" s="67"/>
      <c r="I80" s="3" t="s">
        <v>59</v>
      </c>
      <c r="J80" s="345">
        <v>103</v>
      </c>
      <c r="K80" s="703">
        <v>3910.3229000000001</v>
      </c>
      <c r="L80" s="342">
        <v>1</v>
      </c>
      <c r="M80" s="342">
        <v>21.194700000000001</v>
      </c>
      <c r="N80" s="340">
        <v>82878.120768630004</v>
      </c>
      <c r="O80" s="703">
        <v>11722.07</v>
      </c>
      <c r="P80" s="342">
        <v>1</v>
      </c>
      <c r="Q80" s="363">
        <v>20</v>
      </c>
      <c r="R80" s="340">
        <v>234441.4</v>
      </c>
      <c r="S80" s="342">
        <v>113.682</v>
      </c>
      <c r="T80" s="342">
        <v>120.15900000000001</v>
      </c>
      <c r="U80" s="342">
        <v>1.0569</v>
      </c>
      <c r="V80" s="340">
        <v>247781.11565999995</v>
      </c>
      <c r="W80" s="340">
        <v>-164902.99489136998</v>
      </c>
      <c r="X80"/>
      <c r="Y80"/>
    </row>
    <row r="81" spans="2:25" ht="16">
      <c r="J81" s="345"/>
      <c r="K81" s="703"/>
      <c r="L81" s="342"/>
      <c r="M81" s="342"/>
      <c r="N81" s="340"/>
      <c r="O81" s="703"/>
      <c r="P81" s="342"/>
      <c r="Q81" s="363"/>
      <c r="R81" s="340"/>
      <c r="S81" s="342"/>
      <c r="T81" s="342"/>
      <c r="U81" s="342"/>
      <c r="V81" s="340"/>
      <c r="W81" s="340"/>
      <c r="X81"/>
      <c r="Y81"/>
    </row>
    <row r="82" spans="2:25" ht="16">
      <c r="B82" s="67"/>
      <c r="H82" s="347">
        <v>44523</v>
      </c>
      <c r="I82" s="347"/>
      <c r="J82" s="345"/>
      <c r="K82" s="703"/>
      <c r="L82" s="342"/>
      <c r="M82" s="342"/>
      <c r="N82" s="340"/>
      <c r="O82" s="703"/>
      <c r="P82" s="342"/>
      <c r="Q82" s="363"/>
      <c r="R82" s="340"/>
      <c r="S82" s="342"/>
      <c r="T82" s="342"/>
      <c r="U82" s="342"/>
      <c r="V82" s="340"/>
      <c r="W82" s="340"/>
      <c r="X82"/>
      <c r="Y82"/>
    </row>
    <row r="83" spans="2:25" ht="16">
      <c r="B83" s="67"/>
      <c r="I83" s="3" t="s">
        <v>59</v>
      </c>
      <c r="J83" s="345">
        <v>103</v>
      </c>
      <c r="K83" s="703">
        <v>3910.3229000000001</v>
      </c>
      <c r="L83" s="342">
        <v>1</v>
      </c>
      <c r="M83" s="342">
        <v>21.194700000000001</v>
      </c>
      <c r="N83" s="340">
        <v>82878.120768630019</v>
      </c>
      <c r="O83" s="703">
        <v>10036.200000000001</v>
      </c>
      <c r="P83" s="342">
        <v>1</v>
      </c>
      <c r="Q83" s="363">
        <v>20.828299999999995</v>
      </c>
      <c r="R83" s="340">
        <v>209036.98445999998</v>
      </c>
      <c r="S83" s="342">
        <v>116.884</v>
      </c>
      <c r="T83" s="342">
        <v>120.15900000000001</v>
      </c>
      <c r="U83" s="342">
        <v>1.0280000000000002</v>
      </c>
      <c r="V83" s="340">
        <v>214890.02002487998</v>
      </c>
      <c r="W83" s="340">
        <v>-132011.89925624998</v>
      </c>
      <c r="X83"/>
      <c r="Y83"/>
    </row>
    <row r="84" spans="2:25" ht="16">
      <c r="J84" s="345"/>
      <c r="K84" s="703"/>
      <c r="L84" s="342"/>
      <c r="M84" s="342"/>
      <c r="N84" s="340"/>
      <c r="O84" s="703"/>
      <c r="P84" s="342"/>
      <c r="Q84" s="363"/>
      <c r="R84" s="340"/>
      <c r="S84" s="342"/>
      <c r="T84" s="342"/>
      <c r="U84" s="342"/>
      <c r="V84" s="340"/>
      <c r="W84" s="340"/>
      <c r="X84"/>
      <c r="Y84"/>
    </row>
    <row r="85" spans="2:25" ht="16">
      <c r="B85" s="67"/>
      <c r="E85" s="131" t="s">
        <v>1052</v>
      </c>
      <c r="F85" s="131"/>
      <c r="G85" s="131"/>
      <c r="H85" s="131"/>
      <c r="I85" s="131"/>
      <c r="J85" s="704">
        <v>506</v>
      </c>
      <c r="K85" s="705">
        <v>18492.030000000002</v>
      </c>
      <c r="L85" s="369">
        <v>1</v>
      </c>
      <c r="M85" s="377">
        <v>21.194700000000005</v>
      </c>
      <c r="N85" s="706">
        <v>391933.02824099996</v>
      </c>
      <c r="O85" s="705">
        <v>52189.166666666672</v>
      </c>
      <c r="P85" s="369">
        <v>1</v>
      </c>
      <c r="Q85" s="377">
        <v>20.748270000000002</v>
      </c>
      <c r="R85" s="706">
        <v>1065074.0227756668</v>
      </c>
      <c r="S85" s="369">
        <v>114.9922</v>
      </c>
      <c r="T85" s="369">
        <v>120.15900000000006</v>
      </c>
      <c r="U85" s="369">
        <v>1.0453299999999999</v>
      </c>
      <c r="V85" s="706">
        <v>1120226.3091438247</v>
      </c>
      <c r="W85" s="706">
        <v>-728293.28090282483</v>
      </c>
      <c r="X85"/>
      <c r="Y85"/>
    </row>
    <row r="86" spans="2:25" ht="16">
      <c r="J86" s="345"/>
      <c r="K86" s="703"/>
      <c r="L86" s="342"/>
      <c r="M86" s="342"/>
      <c r="N86" s="340"/>
      <c r="O86" s="703"/>
      <c r="P86" s="342"/>
      <c r="Q86" s="363"/>
      <c r="R86" s="340"/>
      <c r="S86" s="342"/>
      <c r="T86" s="342"/>
      <c r="U86" s="342"/>
      <c r="V86" s="340"/>
      <c r="W86" s="340"/>
      <c r="X86"/>
      <c r="Y86"/>
    </row>
    <row r="87" spans="2:25" ht="16">
      <c r="B87" s="67"/>
      <c r="E87" s="1" t="s">
        <v>725</v>
      </c>
      <c r="J87" s="345"/>
      <c r="K87" s="703"/>
      <c r="L87" s="342"/>
      <c r="M87" s="342"/>
      <c r="N87" s="340"/>
      <c r="O87" s="703"/>
      <c r="P87" s="342"/>
      <c r="Q87" s="363"/>
      <c r="R87" s="340"/>
      <c r="S87" s="342"/>
      <c r="T87" s="342"/>
      <c r="U87" s="342"/>
      <c r="V87" s="340"/>
      <c r="W87" s="340"/>
      <c r="X87"/>
      <c r="Y87"/>
    </row>
    <row r="88" spans="2:25" ht="16">
      <c r="B88" s="67"/>
      <c r="F88" s="346">
        <v>44580</v>
      </c>
      <c r="G88" s="346"/>
      <c r="H88" s="346"/>
      <c r="I88" s="346"/>
      <c r="J88" s="345"/>
      <c r="K88" s="703"/>
      <c r="L88" s="342"/>
      <c r="M88" s="342"/>
      <c r="N88" s="340"/>
      <c r="O88" s="703"/>
      <c r="P88" s="342"/>
      <c r="Q88" s="363"/>
      <c r="R88" s="340"/>
      <c r="S88" s="342"/>
      <c r="T88" s="342"/>
      <c r="U88" s="342"/>
      <c r="V88" s="340"/>
      <c r="W88" s="340"/>
      <c r="X88"/>
      <c r="Y88"/>
    </row>
    <row r="89" spans="2:25" ht="16">
      <c r="B89" s="67"/>
      <c r="G89" s="3" t="s">
        <v>59</v>
      </c>
      <c r="H89" s="3"/>
      <c r="I89" s="3"/>
      <c r="J89" s="345"/>
      <c r="K89" s="703"/>
      <c r="L89" s="342"/>
      <c r="M89" s="342"/>
      <c r="N89" s="340"/>
      <c r="O89" s="703"/>
      <c r="P89" s="342"/>
      <c r="Q89" s="363"/>
      <c r="R89" s="340"/>
      <c r="S89" s="342"/>
      <c r="T89" s="342"/>
      <c r="U89" s="342"/>
      <c r="V89" s="340"/>
      <c r="W89" s="340"/>
      <c r="X89"/>
      <c r="Y89"/>
    </row>
    <row r="90" spans="2:25" ht="16">
      <c r="B90" s="67"/>
      <c r="H90" s="347">
        <v>44355</v>
      </c>
      <c r="I90" s="347"/>
      <c r="J90" s="345"/>
      <c r="K90" s="703"/>
      <c r="L90" s="342"/>
      <c r="M90" s="342"/>
      <c r="N90" s="340"/>
      <c r="O90" s="703"/>
      <c r="P90" s="342"/>
      <c r="Q90" s="363"/>
      <c r="R90" s="340"/>
      <c r="S90" s="342"/>
      <c r="T90" s="342"/>
      <c r="U90" s="342"/>
      <c r="V90" s="340"/>
      <c r="W90" s="340"/>
      <c r="X90"/>
      <c r="Y90"/>
    </row>
    <row r="91" spans="2:25" ht="16">
      <c r="B91" s="67"/>
      <c r="I91" s="3" t="s">
        <v>59</v>
      </c>
      <c r="J91" s="345">
        <v>60</v>
      </c>
      <c r="K91" s="703">
        <v>7256.59</v>
      </c>
      <c r="L91" s="342">
        <v>1</v>
      </c>
      <c r="M91" s="342">
        <v>20.3002</v>
      </c>
      <c r="N91" s="340">
        <v>147310.22831800001</v>
      </c>
      <c r="O91" s="703">
        <v>7824.4045238095232</v>
      </c>
      <c r="P91" s="342">
        <v>1</v>
      </c>
      <c r="Q91" s="363">
        <v>19.9328</v>
      </c>
      <c r="R91" s="340">
        <v>155962.29049219046</v>
      </c>
      <c r="S91" s="342">
        <v>113.018</v>
      </c>
      <c r="T91" s="342">
        <v>118.002</v>
      </c>
      <c r="U91" s="342">
        <v>1.044</v>
      </c>
      <c r="V91" s="340">
        <v>162824.63127384684</v>
      </c>
      <c r="W91" s="340">
        <v>-15514.40295584685</v>
      </c>
      <c r="X91"/>
      <c r="Y91"/>
    </row>
    <row r="92" spans="2:25" ht="16">
      <c r="J92" s="345"/>
      <c r="K92" s="703"/>
      <c r="L92" s="342"/>
      <c r="M92" s="342"/>
      <c r="N92" s="340"/>
      <c r="O92" s="703"/>
      <c r="P92" s="342"/>
      <c r="Q92" s="363"/>
      <c r="R92" s="340"/>
      <c r="S92" s="342"/>
      <c r="T92" s="342"/>
      <c r="U92" s="342"/>
      <c r="V92" s="340"/>
      <c r="W92" s="340"/>
      <c r="X92"/>
      <c r="Y92"/>
    </row>
    <row r="93" spans="2:25" ht="16">
      <c r="B93" s="67"/>
      <c r="F93" s="346">
        <v>44573</v>
      </c>
      <c r="G93" s="346"/>
      <c r="H93" s="346"/>
      <c r="I93" s="346"/>
      <c r="J93" s="345"/>
      <c r="K93" s="703"/>
      <c r="L93" s="342"/>
      <c r="M93" s="342"/>
      <c r="N93" s="340"/>
      <c r="O93" s="703"/>
      <c r="P93" s="342"/>
      <c r="Q93" s="363"/>
      <c r="R93" s="340"/>
      <c r="S93" s="342"/>
      <c r="T93" s="342"/>
      <c r="U93" s="342"/>
      <c r="V93" s="340"/>
      <c r="W93" s="340"/>
      <c r="X93"/>
      <c r="Y93"/>
    </row>
    <row r="94" spans="2:25" ht="16">
      <c r="B94" s="67"/>
      <c r="G94" s="3" t="s">
        <v>59</v>
      </c>
      <c r="H94" s="3"/>
      <c r="I94" s="3"/>
      <c r="J94" s="345"/>
      <c r="K94" s="703"/>
      <c r="L94" s="342"/>
      <c r="M94" s="342"/>
      <c r="N94" s="340"/>
      <c r="O94" s="703"/>
      <c r="P94" s="342"/>
      <c r="Q94" s="363"/>
      <c r="R94" s="340"/>
      <c r="S94" s="342"/>
      <c r="T94" s="342"/>
      <c r="U94" s="342"/>
      <c r="V94" s="340"/>
      <c r="W94" s="340"/>
      <c r="X94"/>
      <c r="Y94"/>
    </row>
    <row r="95" spans="2:25" ht="16">
      <c r="B95" s="67"/>
      <c r="H95" s="347">
        <v>44348</v>
      </c>
      <c r="I95" s="347"/>
      <c r="J95" s="345"/>
      <c r="K95" s="703"/>
      <c r="L95" s="342"/>
      <c r="M95" s="342"/>
      <c r="N95" s="340"/>
      <c r="O95" s="703"/>
      <c r="P95" s="342"/>
      <c r="Q95" s="363"/>
      <c r="R95" s="340"/>
      <c r="S95" s="342"/>
      <c r="T95" s="342"/>
      <c r="U95" s="342"/>
      <c r="V95" s="340"/>
      <c r="W95" s="340"/>
      <c r="X95"/>
      <c r="Y95"/>
    </row>
    <row r="96" spans="2:25" ht="16">
      <c r="B96" s="67"/>
      <c r="I96" s="3" t="s">
        <v>59</v>
      </c>
      <c r="J96" s="345">
        <v>24</v>
      </c>
      <c r="K96" s="703">
        <v>2858.1112698412699</v>
      </c>
      <c r="L96" s="342">
        <v>1</v>
      </c>
      <c r="M96" s="342">
        <v>20.4453</v>
      </c>
      <c r="N96" s="340">
        <v>58434.942345285708</v>
      </c>
      <c r="O96" s="703">
        <v>3215.6129032258059</v>
      </c>
      <c r="P96" s="342">
        <v>1</v>
      </c>
      <c r="Q96" s="363">
        <v>19.944199999999999</v>
      </c>
      <c r="R96" s="340">
        <v>64132.826864516115</v>
      </c>
      <c r="S96" s="342">
        <v>113.018</v>
      </c>
      <c r="T96" s="342">
        <v>118.002</v>
      </c>
      <c r="U96" s="342">
        <v>1.044</v>
      </c>
      <c r="V96" s="340">
        <v>66954.671246554833</v>
      </c>
      <c r="W96" s="340">
        <v>-8519.7289012691253</v>
      </c>
      <c r="X96"/>
      <c r="Y96"/>
    </row>
    <row r="97" spans="2:25" ht="16">
      <c r="J97" s="345"/>
      <c r="K97" s="703"/>
      <c r="L97" s="342"/>
      <c r="M97" s="342"/>
      <c r="N97" s="340"/>
      <c r="O97" s="703"/>
      <c r="P97" s="342"/>
      <c r="Q97" s="363"/>
      <c r="R97" s="340"/>
      <c r="S97" s="342"/>
      <c r="T97" s="342"/>
      <c r="U97" s="342"/>
      <c r="V97" s="340"/>
      <c r="W97" s="340"/>
      <c r="X97"/>
      <c r="Y97"/>
    </row>
    <row r="98" spans="2:25" ht="16">
      <c r="B98" s="67"/>
      <c r="H98" s="347">
        <v>44334</v>
      </c>
      <c r="I98" s="347"/>
      <c r="J98" s="345"/>
      <c r="K98" s="703"/>
      <c r="L98" s="342"/>
      <c r="M98" s="342"/>
      <c r="N98" s="340"/>
      <c r="O98" s="703"/>
      <c r="P98" s="342"/>
      <c r="Q98" s="363"/>
      <c r="R98" s="340"/>
      <c r="S98" s="342"/>
      <c r="T98" s="342"/>
      <c r="U98" s="342"/>
      <c r="V98" s="340"/>
      <c r="W98" s="340"/>
      <c r="X98"/>
      <c r="Y98"/>
    </row>
    <row r="99" spans="2:25" ht="16">
      <c r="B99" s="67"/>
      <c r="I99" s="3" t="s">
        <v>59</v>
      </c>
      <c r="J99" s="345">
        <v>31</v>
      </c>
      <c r="K99" s="703">
        <v>3688.4141269841266</v>
      </c>
      <c r="L99" s="342">
        <v>1</v>
      </c>
      <c r="M99" s="342">
        <v>20.4453</v>
      </c>
      <c r="N99" s="340">
        <v>75410.733350428578</v>
      </c>
      <c r="O99" s="703">
        <v>4227.4994999999999</v>
      </c>
      <c r="P99" s="342">
        <v>1</v>
      </c>
      <c r="Q99" s="363">
        <v>19.848700000000001</v>
      </c>
      <c r="R99" s="340">
        <v>83910.369325649997</v>
      </c>
      <c r="S99" s="342">
        <v>112.419</v>
      </c>
      <c r="T99" s="342">
        <v>118.002</v>
      </c>
      <c r="U99" s="342">
        <v>1.0496000000000001</v>
      </c>
      <c r="V99" s="340">
        <v>88072.323644202232</v>
      </c>
      <c r="W99" s="340">
        <v>-12661.590293773676</v>
      </c>
      <c r="X99"/>
      <c r="Y99"/>
    </row>
    <row r="100" spans="2:25" ht="16">
      <c r="J100" s="345"/>
      <c r="K100" s="703"/>
      <c r="L100" s="342"/>
      <c r="M100" s="342"/>
      <c r="N100" s="340"/>
      <c r="O100" s="703"/>
      <c r="P100" s="342"/>
      <c r="Q100" s="363"/>
      <c r="R100" s="340"/>
      <c r="S100" s="342"/>
      <c r="T100" s="342"/>
      <c r="U100" s="342"/>
      <c r="V100" s="340"/>
      <c r="W100" s="340"/>
      <c r="X100"/>
      <c r="Y100"/>
    </row>
    <row r="101" spans="2:25" ht="16">
      <c r="B101" s="67"/>
      <c r="H101" s="347">
        <v>44335</v>
      </c>
      <c r="I101" s="347"/>
      <c r="J101" s="345"/>
      <c r="K101" s="703"/>
      <c r="L101" s="342"/>
      <c r="M101" s="342"/>
      <c r="N101" s="340"/>
      <c r="O101" s="703"/>
      <c r="P101" s="342"/>
      <c r="Q101" s="363"/>
      <c r="R101" s="340"/>
      <c r="S101" s="342"/>
      <c r="T101" s="342"/>
      <c r="U101" s="342"/>
      <c r="V101" s="340"/>
      <c r="W101" s="340"/>
      <c r="X101"/>
      <c r="Y101"/>
    </row>
    <row r="102" spans="2:25" ht="16">
      <c r="B102" s="67"/>
      <c r="I102" s="3" t="s">
        <v>59</v>
      </c>
      <c r="J102" s="345">
        <v>38</v>
      </c>
      <c r="K102" s="703">
        <v>4519.8346031746032</v>
      </c>
      <c r="L102" s="342">
        <v>1</v>
      </c>
      <c r="M102" s="342">
        <v>20.4453</v>
      </c>
      <c r="N102" s="340">
        <v>92409.374412285717</v>
      </c>
      <c r="O102" s="703">
        <v>5159.7700000000004</v>
      </c>
      <c r="P102" s="342">
        <v>1</v>
      </c>
      <c r="Q102" s="363">
        <v>19.802800000000001</v>
      </c>
      <c r="R102" s="340">
        <v>102177.89335600002</v>
      </c>
      <c r="S102" s="342">
        <v>112.419</v>
      </c>
      <c r="T102" s="342">
        <v>118.002</v>
      </c>
      <c r="U102" s="342">
        <v>1.0496000000000001</v>
      </c>
      <c r="V102" s="340">
        <v>107245.91686645763</v>
      </c>
      <c r="W102" s="340">
        <v>-14836.542454171911</v>
      </c>
      <c r="X102"/>
      <c r="Y102"/>
    </row>
    <row r="103" spans="2:25" ht="16">
      <c r="J103" s="345"/>
      <c r="K103" s="703"/>
      <c r="L103" s="342"/>
      <c r="M103" s="342"/>
      <c r="N103" s="340"/>
      <c r="O103" s="703"/>
      <c r="P103" s="342"/>
      <c r="Q103" s="363"/>
      <c r="R103" s="340"/>
      <c r="S103" s="342"/>
      <c r="T103" s="342"/>
      <c r="U103" s="342"/>
      <c r="V103" s="340"/>
      <c r="W103" s="340"/>
      <c r="X103"/>
      <c r="Y103"/>
    </row>
    <row r="104" spans="2:25" ht="16">
      <c r="B104" s="67"/>
      <c r="F104" s="346">
        <v>44574</v>
      </c>
      <c r="G104" s="346"/>
      <c r="H104" s="346"/>
      <c r="I104" s="346"/>
      <c r="J104" s="345"/>
      <c r="K104" s="703"/>
      <c r="L104" s="342"/>
      <c r="M104" s="342"/>
      <c r="N104" s="340"/>
      <c r="O104" s="703"/>
      <c r="P104" s="342"/>
      <c r="Q104" s="363"/>
      <c r="R104" s="340"/>
      <c r="S104" s="342"/>
      <c r="T104" s="342"/>
      <c r="U104" s="342"/>
      <c r="V104" s="340"/>
      <c r="W104" s="340"/>
      <c r="X104"/>
      <c r="Y104"/>
    </row>
    <row r="105" spans="2:25" ht="16">
      <c r="B105" s="67"/>
      <c r="G105" s="3" t="s">
        <v>59</v>
      </c>
      <c r="H105" s="3"/>
      <c r="I105" s="3"/>
      <c r="J105" s="345"/>
      <c r="K105" s="703"/>
      <c r="L105" s="342"/>
      <c r="M105" s="342"/>
      <c r="N105" s="340"/>
      <c r="O105" s="703"/>
      <c r="P105" s="342"/>
      <c r="Q105" s="363"/>
      <c r="R105" s="340"/>
      <c r="S105" s="342"/>
      <c r="T105" s="342"/>
      <c r="U105" s="342"/>
      <c r="V105" s="340"/>
      <c r="W105" s="340"/>
      <c r="X105"/>
      <c r="Y105"/>
    </row>
    <row r="106" spans="2:25" ht="16">
      <c r="B106" s="67"/>
      <c r="H106" s="347">
        <v>44348</v>
      </c>
      <c r="I106" s="347"/>
      <c r="J106" s="345"/>
      <c r="K106" s="703"/>
      <c r="L106" s="342"/>
      <c r="M106" s="342"/>
      <c r="N106" s="340"/>
      <c r="O106" s="703"/>
      <c r="P106" s="342"/>
      <c r="Q106" s="363"/>
      <c r="R106" s="340"/>
      <c r="S106" s="342"/>
      <c r="T106" s="342"/>
      <c r="U106" s="342"/>
      <c r="V106" s="340"/>
      <c r="W106" s="340"/>
      <c r="X106"/>
      <c r="Y106"/>
    </row>
    <row r="107" spans="2:25" ht="16">
      <c r="B107" s="67"/>
      <c r="I107" s="3" t="s">
        <v>59</v>
      </c>
      <c r="J107" s="345">
        <v>7</v>
      </c>
      <c r="K107" s="703">
        <v>854.42466666666678</v>
      </c>
      <c r="L107" s="342">
        <v>1</v>
      </c>
      <c r="M107" s="342">
        <v>20.378499999999999</v>
      </c>
      <c r="N107" s="340">
        <v>17411.893069666668</v>
      </c>
      <c r="O107" s="703">
        <v>937.88709677419342</v>
      </c>
      <c r="P107" s="342">
        <v>1</v>
      </c>
      <c r="Q107" s="363">
        <v>19.944199999999999</v>
      </c>
      <c r="R107" s="340">
        <v>18705.407835483868</v>
      </c>
      <c r="S107" s="342">
        <v>113.018</v>
      </c>
      <c r="T107" s="342">
        <v>118.002</v>
      </c>
      <c r="U107" s="342">
        <v>1.044</v>
      </c>
      <c r="V107" s="340">
        <v>19528.445780245158</v>
      </c>
      <c r="W107" s="340">
        <v>-2116.5527105784895</v>
      </c>
      <c r="X107"/>
      <c r="Y107"/>
    </row>
    <row r="108" spans="2:25" ht="16">
      <c r="J108" s="345"/>
      <c r="K108" s="703"/>
      <c r="L108" s="342"/>
      <c r="M108" s="342"/>
      <c r="N108" s="340"/>
      <c r="O108" s="703"/>
      <c r="P108" s="342"/>
      <c r="Q108" s="363"/>
      <c r="R108" s="340"/>
      <c r="S108" s="342"/>
      <c r="T108" s="342"/>
      <c r="U108" s="342"/>
      <c r="V108" s="340"/>
      <c r="W108" s="340"/>
      <c r="X108"/>
      <c r="Y108"/>
    </row>
    <row r="109" spans="2:25" ht="16">
      <c r="B109" s="67"/>
      <c r="H109" s="347">
        <v>44355</v>
      </c>
      <c r="I109" s="347"/>
      <c r="J109" s="345"/>
      <c r="K109" s="703"/>
      <c r="L109" s="342"/>
      <c r="M109" s="342"/>
      <c r="N109" s="340"/>
      <c r="O109" s="703"/>
      <c r="P109" s="342"/>
      <c r="Q109" s="363"/>
      <c r="R109" s="340"/>
      <c r="S109" s="342"/>
      <c r="T109" s="342"/>
      <c r="U109" s="342"/>
      <c r="V109" s="340"/>
      <c r="W109" s="340"/>
      <c r="X109"/>
      <c r="Y109"/>
    </row>
    <row r="110" spans="2:25" ht="16">
      <c r="B110" s="67"/>
      <c r="I110" s="3" t="s">
        <v>59</v>
      </c>
      <c r="J110" s="345">
        <v>22</v>
      </c>
      <c r="K110" s="703">
        <v>2676.4753333333333</v>
      </c>
      <c r="L110" s="342">
        <v>1</v>
      </c>
      <c r="M110" s="342">
        <v>20.378499999999999</v>
      </c>
      <c r="N110" s="340">
        <v>54542.552580333329</v>
      </c>
      <c r="O110" s="703">
        <v>2860.9105555555557</v>
      </c>
      <c r="P110" s="342">
        <v>1</v>
      </c>
      <c r="Q110" s="363">
        <v>19.9328</v>
      </c>
      <c r="R110" s="340">
        <v>57025.957921777779</v>
      </c>
      <c r="S110" s="342">
        <v>113.01799999999999</v>
      </c>
      <c r="T110" s="342">
        <v>118.002</v>
      </c>
      <c r="U110" s="342">
        <v>1.044</v>
      </c>
      <c r="V110" s="340">
        <v>59535.100070336011</v>
      </c>
      <c r="W110" s="340">
        <v>-4992.5474900026747</v>
      </c>
      <c r="X110"/>
      <c r="Y110"/>
    </row>
    <row r="111" spans="2:25" ht="16">
      <c r="J111" s="345"/>
      <c r="K111" s="703"/>
      <c r="L111" s="342"/>
      <c r="M111" s="342"/>
      <c r="N111" s="340"/>
      <c r="O111" s="703"/>
      <c r="P111" s="342"/>
      <c r="Q111" s="363"/>
      <c r="R111" s="340"/>
      <c r="S111" s="342"/>
      <c r="T111" s="342"/>
      <c r="U111" s="342"/>
      <c r="V111" s="340"/>
      <c r="W111" s="340"/>
      <c r="X111"/>
      <c r="Y111"/>
    </row>
    <row r="112" spans="2:25" ht="16">
      <c r="B112" s="67"/>
      <c r="F112" s="346">
        <v>44587</v>
      </c>
      <c r="G112" s="346"/>
      <c r="H112" s="346"/>
      <c r="I112" s="346"/>
      <c r="J112" s="345"/>
      <c r="K112" s="703"/>
      <c r="L112" s="342"/>
      <c r="M112" s="342"/>
      <c r="N112" s="340"/>
      <c r="O112" s="703"/>
      <c r="P112" s="342"/>
      <c r="Q112" s="363"/>
      <c r="R112" s="340"/>
      <c r="S112" s="342"/>
      <c r="T112" s="342"/>
      <c r="U112" s="342"/>
      <c r="V112" s="340"/>
      <c r="W112" s="340"/>
      <c r="X112"/>
      <c r="Y112"/>
    </row>
    <row r="113" spans="2:25" ht="16">
      <c r="B113" s="67"/>
      <c r="G113" s="3" t="s">
        <v>59</v>
      </c>
      <c r="H113" s="3"/>
      <c r="I113" s="3"/>
      <c r="J113" s="345"/>
      <c r="K113" s="703"/>
      <c r="L113" s="342"/>
      <c r="M113" s="342"/>
      <c r="N113" s="340"/>
      <c r="O113" s="703"/>
      <c r="P113" s="342"/>
      <c r="Q113" s="363"/>
      <c r="R113" s="340"/>
      <c r="S113" s="342"/>
      <c r="T113" s="342"/>
      <c r="U113" s="342"/>
      <c r="V113" s="340"/>
      <c r="W113" s="340"/>
      <c r="X113"/>
      <c r="Y113"/>
    </row>
    <row r="114" spans="2:25" ht="16">
      <c r="B114" s="67"/>
      <c r="H114" s="347">
        <v>44397</v>
      </c>
      <c r="I114" s="347"/>
      <c r="J114" s="345"/>
      <c r="K114" s="703"/>
      <c r="L114" s="342"/>
      <c r="M114" s="342"/>
      <c r="N114" s="340"/>
      <c r="O114" s="703"/>
      <c r="P114" s="342"/>
      <c r="Q114" s="363"/>
      <c r="R114" s="340"/>
      <c r="S114" s="342"/>
      <c r="T114" s="342"/>
      <c r="U114" s="342"/>
      <c r="V114" s="340"/>
      <c r="W114" s="340"/>
      <c r="X114"/>
      <c r="Y114"/>
    </row>
    <row r="115" spans="2:25" ht="16">
      <c r="B115" s="67"/>
      <c r="I115" s="3" t="s">
        <v>59</v>
      </c>
      <c r="J115" s="345">
        <v>12</v>
      </c>
      <c r="K115" s="703">
        <v>1453.32</v>
      </c>
      <c r="L115" s="342">
        <v>1</v>
      </c>
      <c r="M115" s="342">
        <v>20.630800000000001</v>
      </c>
      <c r="N115" s="340">
        <v>29983.154255999998</v>
      </c>
      <c r="O115" s="703">
        <v>1409.6423076923077</v>
      </c>
      <c r="P115" s="342">
        <v>1</v>
      </c>
      <c r="Q115" s="363">
        <v>19.8537</v>
      </c>
      <c r="R115" s="340">
        <v>27986.61548423077</v>
      </c>
      <c r="S115" s="342">
        <v>113.682</v>
      </c>
      <c r="T115" s="342">
        <v>118.002</v>
      </c>
      <c r="U115" s="342">
        <v>1.038</v>
      </c>
      <c r="V115" s="340">
        <v>29050.106872631539</v>
      </c>
      <c r="W115" s="340">
        <v>933.04738336846276</v>
      </c>
      <c r="X115"/>
      <c r="Y115"/>
    </row>
    <row r="116" spans="2:25" ht="16">
      <c r="J116" s="345"/>
      <c r="K116" s="703"/>
      <c r="L116" s="342"/>
      <c r="M116" s="342"/>
      <c r="N116" s="340"/>
      <c r="O116" s="703"/>
      <c r="P116" s="342"/>
      <c r="Q116" s="363"/>
      <c r="R116" s="340"/>
      <c r="S116" s="342"/>
      <c r="T116" s="342"/>
      <c r="U116" s="342"/>
      <c r="V116" s="340"/>
      <c r="W116" s="340"/>
      <c r="X116"/>
      <c r="Y116"/>
    </row>
    <row r="117" spans="2:25" ht="16">
      <c r="B117" s="67"/>
      <c r="F117" s="346">
        <v>44581</v>
      </c>
      <c r="G117" s="346"/>
      <c r="H117" s="346"/>
      <c r="I117" s="346"/>
      <c r="J117" s="345"/>
      <c r="K117" s="703"/>
      <c r="L117" s="342"/>
      <c r="M117" s="342"/>
      <c r="N117" s="340"/>
      <c r="O117" s="703"/>
      <c r="P117" s="342"/>
      <c r="Q117" s="363"/>
      <c r="R117" s="340"/>
      <c r="S117" s="342"/>
      <c r="T117" s="342"/>
      <c r="U117" s="342"/>
      <c r="V117" s="340"/>
      <c r="W117" s="340"/>
      <c r="X117"/>
      <c r="Y117"/>
    </row>
    <row r="118" spans="2:25" ht="16">
      <c r="B118" s="67"/>
      <c r="G118" s="3" t="s">
        <v>59</v>
      </c>
      <c r="H118" s="3"/>
      <c r="I118" s="3"/>
      <c r="J118" s="345"/>
      <c r="K118" s="703"/>
      <c r="L118" s="342"/>
      <c r="M118" s="342"/>
      <c r="N118" s="340"/>
      <c r="O118" s="703"/>
      <c r="P118" s="342"/>
      <c r="Q118" s="363"/>
      <c r="R118" s="340"/>
      <c r="S118" s="342"/>
      <c r="T118" s="342"/>
      <c r="U118" s="342"/>
      <c r="V118" s="340"/>
      <c r="W118" s="340"/>
      <c r="X118"/>
      <c r="Y118"/>
    </row>
    <row r="119" spans="2:25" ht="16">
      <c r="B119" s="67"/>
      <c r="H119" s="347">
        <v>44397</v>
      </c>
      <c r="I119" s="347"/>
      <c r="J119" s="345"/>
      <c r="K119" s="703"/>
      <c r="L119" s="342"/>
      <c r="M119" s="342"/>
      <c r="N119" s="340"/>
      <c r="O119" s="703"/>
      <c r="P119" s="342"/>
      <c r="Q119" s="363"/>
      <c r="R119" s="340"/>
      <c r="S119" s="342"/>
      <c r="T119" s="342"/>
      <c r="U119" s="342"/>
      <c r="V119" s="340"/>
      <c r="W119" s="340"/>
      <c r="X119"/>
      <c r="Y119"/>
    </row>
    <row r="120" spans="2:25" ht="16">
      <c r="B120" s="67"/>
      <c r="I120" s="3" t="s">
        <v>59</v>
      </c>
      <c r="J120" s="345">
        <v>15</v>
      </c>
      <c r="K120" s="703">
        <v>1816.2149999999999</v>
      </c>
      <c r="L120" s="342">
        <v>1</v>
      </c>
      <c r="M120" s="342">
        <v>20.402999999999999</v>
      </c>
      <c r="N120" s="340">
        <v>37056.234644999997</v>
      </c>
      <c r="O120" s="703">
        <v>1748.1503846153846</v>
      </c>
      <c r="P120" s="342">
        <v>1</v>
      </c>
      <c r="Q120" s="363">
        <v>19.8537</v>
      </c>
      <c r="R120" s="340">
        <v>34707.253291038462</v>
      </c>
      <c r="S120" s="342">
        <v>113.682</v>
      </c>
      <c r="T120" s="342">
        <v>118.002</v>
      </c>
      <c r="U120" s="342">
        <v>1.038</v>
      </c>
      <c r="V120" s="340">
        <v>36026.128916097921</v>
      </c>
      <c r="W120" s="340">
        <v>1030.1057289020719</v>
      </c>
      <c r="X120"/>
      <c r="Y120"/>
    </row>
    <row r="121" spans="2:25" ht="16">
      <c r="J121" s="345"/>
      <c r="K121" s="703"/>
      <c r="L121" s="342"/>
      <c r="M121" s="342"/>
      <c r="N121" s="340"/>
      <c r="O121" s="703"/>
      <c r="P121" s="342"/>
      <c r="Q121" s="363"/>
      <c r="R121" s="340"/>
      <c r="S121" s="342"/>
      <c r="T121" s="342"/>
      <c r="U121" s="342"/>
      <c r="V121" s="340"/>
      <c r="W121" s="340"/>
      <c r="X121"/>
      <c r="Y121"/>
    </row>
    <row r="122" spans="2:25" ht="16">
      <c r="B122" s="67"/>
      <c r="H122" s="347">
        <v>44355</v>
      </c>
      <c r="I122" s="347"/>
      <c r="J122" s="345"/>
      <c r="K122" s="703"/>
      <c r="L122" s="342"/>
      <c r="M122" s="342"/>
      <c r="N122" s="340"/>
      <c r="O122" s="703"/>
      <c r="P122" s="342"/>
      <c r="Q122" s="363"/>
      <c r="R122" s="340"/>
      <c r="S122" s="342"/>
      <c r="T122" s="342"/>
      <c r="U122" s="342"/>
      <c r="V122" s="340"/>
      <c r="W122" s="340"/>
      <c r="X122"/>
      <c r="Y122"/>
    </row>
    <row r="123" spans="2:25" ht="16">
      <c r="B123" s="67"/>
      <c r="I123" s="3" t="s">
        <v>59</v>
      </c>
      <c r="J123" s="345">
        <v>17</v>
      </c>
      <c r="K123" s="703">
        <v>2058.4549999999999</v>
      </c>
      <c r="L123" s="342">
        <v>1</v>
      </c>
      <c r="M123" s="342">
        <v>20.402999999999999</v>
      </c>
      <c r="N123" s="340">
        <v>41998.657364999999</v>
      </c>
      <c r="O123" s="703">
        <v>2218.8049206349206</v>
      </c>
      <c r="P123" s="342">
        <v>1</v>
      </c>
      <c r="Q123" s="363">
        <v>19.9328</v>
      </c>
      <c r="R123" s="340">
        <v>44226.994722031741</v>
      </c>
      <c r="S123" s="342">
        <v>113.01799999999999</v>
      </c>
      <c r="T123" s="342">
        <v>118.002</v>
      </c>
      <c r="U123" s="342">
        <v>1.044</v>
      </c>
      <c r="V123" s="340">
        <v>46172.982489801143</v>
      </c>
      <c r="W123" s="340">
        <v>-4174.3251248011402</v>
      </c>
      <c r="X123"/>
      <c r="Y123"/>
    </row>
    <row r="124" spans="2:25" ht="16">
      <c r="J124" s="345"/>
      <c r="K124" s="703"/>
      <c r="L124" s="342"/>
      <c r="M124" s="342"/>
      <c r="N124" s="340"/>
      <c r="O124" s="703"/>
      <c r="P124" s="342"/>
      <c r="Q124" s="363"/>
      <c r="R124" s="340"/>
      <c r="S124" s="342"/>
      <c r="T124" s="342"/>
      <c r="U124" s="342"/>
      <c r="V124" s="340"/>
      <c r="W124" s="340"/>
      <c r="X124"/>
      <c r="Y124"/>
    </row>
    <row r="125" spans="2:25" ht="16">
      <c r="B125" s="67"/>
      <c r="F125" s="346">
        <v>44593</v>
      </c>
      <c r="G125" s="346"/>
      <c r="H125" s="346"/>
      <c r="I125" s="346"/>
      <c r="J125" s="345"/>
      <c r="K125" s="703"/>
      <c r="L125" s="342"/>
      <c r="M125" s="342"/>
      <c r="N125" s="340"/>
      <c r="O125" s="703"/>
      <c r="P125" s="342"/>
      <c r="Q125" s="363"/>
      <c r="R125" s="340"/>
      <c r="S125" s="342"/>
      <c r="T125" s="342"/>
      <c r="U125" s="342"/>
      <c r="V125" s="340"/>
      <c r="W125" s="340"/>
      <c r="X125"/>
      <c r="Y125"/>
    </row>
    <row r="126" spans="2:25" ht="16">
      <c r="B126" s="67"/>
      <c r="G126" s="3" t="s">
        <v>59</v>
      </c>
      <c r="H126" s="3"/>
      <c r="I126" s="3"/>
      <c r="J126" s="345"/>
      <c r="K126" s="703"/>
      <c r="L126" s="342"/>
      <c r="M126" s="342"/>
      <c r="N126" s="340"/>
      <c r="O126" s="703"/>
      <c r="P126" s="342"/>
      <c r="Q126" s="363"/>
      <c r="R126" s="340"/>
      <c r="S126" s="342"/>
      <c r="T126" s="342"/>
      <c r="U126" s="342"/>
      <c r="V126" s="340"/>
      <c r="W126" s="340"/>
      <c r="X126"/>
      <c r="Y126"/>
    </row>
    <row r="127" spans="2:25" ht="16">
      <c r="B127" s="67"/>
      <c r="H127" s="347">
        <v>44397</v>
      </c>
      <c r="I127" s="347"/>
      <c r="J127" s="345"/>
      <c r="K127" s="703"/>
      <c r="L127" s="342"/>
      <c r="M127" s="342"/>
      <c r="N127" s="340"/>
      <c r="O127" s="703"/>
      <c r="P127" s="342"/>
      <c r="Q127" s="363"/>
      <c r="R127" s="340"/>
      <c r="S127" s="342"/>
      <c r="T127" s="342"/>
      <c r="U127" s="342"/>
      <c r="V127" s="340"/>
      <c r="W127" s="340"/>
      <c r="X127"/>
      <c r="Y127"/>
    </row>
    <row r="128" spans="2:25" ht="16">
      <c r="B128" s="67"/>
      <c r="I128" s="3" t="s">
        <v>59</v>
      </c>
      <c r="J128" s="345">
        <v>28</v>
      </c>
      <c r="K128" s="703">
        <v>3195.8599999999997</v>
      </c>
      <c r="L128" s="342">
        <v>1</v>
      </c>
      <c r="M128" s="342">
        <v>20.8597</v>
      </c>
      <c r="N128" s="340">
        <v>66664.680842000002</v>
      </c>
      <c r="O128" s="703">
        <v>3289.1653846153845</v>
      </c>
      <c r="P128" s="342">
        <v>1</v>
      </c>
      <c r="Q128" s="363">
        <v>19.8537</v>
      </c>
      <c r="R128" s="340">
        <v>65302.102796538464</v>
      </c>
      <c r="S128" s="342">
        <v>113.682</v>
      </c>
      <c r="T128" s="342">
        <v>118.98099999999999</v>
      </c>
      <c r="U128" s="342">
        <v>1.0466</v>
      </c>
      <c r="V128" s="340">
        <v>68345.180786857149</v>
      </c>
      <c r="W128" s="340">
        <v>-1680.4999448571507</v>
      </c>
      <c r="X128"/>
      <c r="Y128"/>
    </row>
    <row r="129" spans="2:25" ht="16">
      <c r="J129" s="345"/>
      <c r="K129" s="703"/>
      <c r="L129" s="342"/>
      <c r="M129" s="342"/>
      <c r="N129" s="340"/>
      <c r="O129" s="703"/>
      <c r="P129" s="342"/>
      <c r="Q129" s="363"/>
      <c r="R129" s="340"/>
      <c r="S129" s="342"/>
      <c r="T129" s="342"/>
      <c r="U129" s="342"/>
      <c r="V129" s="340"/>
      <c r="W129" s="340"/>
      <c r="X129"/>
      <c r="Y129"/>
    </row>
    <row r="130" spans="2:25" ht="16">
      <c r="B130" s="67"/>
      <c r="F130" s="346">
        <v>44582</v>
      </c>
      <c r="G130" s="346"/>
      <c r="H130" s="346"/>
      <c r="I130" s="346"/>
      <c r="J130" s="345"/>
      <c r="K130" s="703"/>
      <c r="L130" s="342"/>
      <c r="M130" s="342"/>
      <c r="N130" s="340"/>
      <c r="O130" s="703"/>
      <c r="P130" s="342"/>
      <c r="Q130" s="363"/>
      <c r="R130" s="340"/>
      <c r="S130" s="342"/>
      <c r="T130" s="342"/>
      <c r="U130" s="342"/>
      <c r="V130" s="340"/>
      <c r="W130" s="340"/>
      <c r="X130"/>
      <c r="Y130"/>
    </row>
    <row r="131" spans="2:25" ht="16">
      <c r="B131" s="67"/>
      <c r="G131" s="3" t="s">
        <v>59</v>
      </c>
      <c r="H131" s="3"/>
      <c r="I131" s="3"/>
      <c r="J131" s="345"/>
      <c r="K131" s="703"/>
      <c r="L131" s="342"/>
      <c r="M131" s="342"/>
      <c r="N131" s="340"/>
      <c r="O131" s="703"/>
      <c r="P131" s="342"/>
      <c r="Q131" s="363"/>
      <c r="R131" s="340"/>
      <c r="S131" s="342"/>
      <c r="T131" s="342"/>
      <c r="U131" s="342"/>
      <c r="V131" s="340"/>
      <c r="W131" s="340"/>
      <c r="X131"/>
      <c r="Y131"/>
    </row>
    <row r="132" spans="2:25" ht="16">
      <c r="B132" s="67"/>
      <c r="H132" s="347">
        <v>44397</v>
      </c>
      <c r="I132" s="347"/>
      <c r="J132" s="345"/>
      <c r="K132" s="703"/>
      <c r="L132" s="342"/>
      <c r="M132" s="342"/>
      <c r="N132" s="340"/>
      <c r="O132" s="703"/>
      <c r="P132" s="342"/>
      <c r="Q132" s="363"/>
      <c r="R132" s="340"/>
      <c r="S132" s="342"/>
      <c r="T132" s="342"/>
      <c r="U132" s="342"/>
      <c r="V132" s="340"/>
      <c r="W132" s="340"/>
      <c r="X132"/>
      <c r="Y132"/>
    </row>
    <row r="133" spans="2:25" ht="16">
      <c r="B133" s="67"/>
      <c r="I133" s="3" t="s">
        <v>59</v>
      </c>
      <c r="J133" s="345">
        <v>9</v>
      </c>
      <c r="K133" s="703">
        <v>1090.1600000000001</v>
      </c>
      <c r="L133" s="342">
        <v>1</v>
      </c>
      <c r="M133" s="342">
        <v>20.46</v>
      </c>
      <c r="N133" s="340">
        <v>22304.673600000002</v>
      </c>
      <c r="O133" s="703">
        <v>1057.2317307692308</v>
      </c>
      <c r="P133" s="342">
        <v>1</v>
      </c>
      <c r="Q133" s="363">
        <v>19.8537</v>
      </c>
      <c r="R133" s="340">
        <v>20989.961613173076</v>
      </c>
      <c r="S133" s="342">
        <v>113.682</v>
      </c>
      <c r="T133" s="342">
        <v>118.002</v>
      </c>
      <c r="U133" s="342">
        <v>1.038</v>
      </c>
      <c r="V133" s="340">
        <v>21787.580154473653</v>
      </c>
      <c r="W133" s="340">
        <v>517.09344552634866</v>
      </c>
      <c r="X133"/>
      <c r="Y133"/>
    </row>
    <row r="134" spans="2:25" ht="16">
      <c r="J134" s="345"/>
      <c r="K134" s="703"/>
      <c r="L134" s="342"/>
      <c r="M134" s="342"/>
      <c r="N134" s="340"/>
      <c r="O134" s="703"/>
      <c r="P134" s="342"/>
      <c r="Q134" s="363"/>
      <c r="R134" s="340"/>
      <c r="S134" s="342"/>
      <c r="T134" s="342"/>
      <c r="U134" s="342"/>
      <c r="V134" s="340"/>
      <c r="W134" s="340"/>
      <c r="X134"/>
      <c r="Y134"/>
    </row>
    <row r="135" spans="2:25" ht="16">
      <c r="B135" s="67"/>
      <c r="F135" s="346">
        <v>44847</v>
      </c>
      <c r="G135" s="346"/>
      <c r="H135" s="346"/>
      <c r="I135" s="346"/>
      <c r="J135" s="345"/>
      <c r="K135" s="703"/>
      <c r="L135" s="342"/>
      <c r="M135" s="342"/>
      <c r="N135" s="340"/>
      <c r="O135" s="703"/>
      <c r="P135" s="342"/>
      <c r="Q135" s="363"/>
      <c r="R135" s="340"/>
      <c r="S135" s="342"/>
      <c r="T135" s="342"/>
      <c r="U135" s="342"/>
      <c r="V135" s="340"/>
      <c r="W135" s="340"/>
      <c r="X135"/>
      <c r="Y135"/>
    </row>
    <row r="136" spans="2:25" ht="16">
      <c r="B136" s="67"/>
      <c r="G136" s="3" t="s">
        <v>59</v>
      </c>
      <c r="H136" s="3"/>
      <c r="I136" s="3"/>
      <c r="J136" s="345"/>
      <c r="K136" s="703"/>
      <c r="L136" s="342"/>
      <c r="M136" s="342"/>
      <c r="N136" s="340"/>
      <c r="O136" s="703"/>
      <c r="P136" s="342"/>
      <c r="Q136" s="363"/>
      <c r="R136" s="340"/>
      <c r="S136" s="342"/>
      <c r="T136" s="342"/>
      <c r="U136" s="342"/>
      <c r="V136" s="340"/>
      <c r="W136" s="340"/>
      <c r="X136"/>
      <c r="Y136"/>
    </row>
    <row r="137" spans="2:25" ht="16">
      <c r="B137" s="67"/>
      <c r="H137" s="347">
        <v>44410</v>
      </c>
      <c r="I137" s="347"/>
      <c r="J137" s="345"/>
      <c r="K137" s="703"/>
      <c r="L137" s="342"/>
      <c r="M137" s="342"/>
      <c r="N137" s="340"/>
      <c r="O137" s="703"/>
      <c r="P137" s="342"/>
      <c r="Q137" s="363"/>
      <c r="R137" s="340"/>
      <c r="S137" s="342"/>
      <c r="T137" s="342"/>
      <c r="U137" s="342"/>
      <c r="V137" s="340"/>
      <c r="W137" s="340"/>
      <c r="X137"/>
      <c r="Y137"/>
    </row>
    <row r="138" spans="2:25" ht="16">
      <c r="B138" s="67"/>
      <c r="I138" s="3" t="s">
        <v>59</v>
      </c>
      <c r="J138" s="345">
        <v>16</v>
      </c>
      <c r="K138" s="703">
        <v>1219.3078260869565</v>
      </c>
      <c r="L138" s="342">
        <v>1</v>
      </c>
      <c r="M138" s="342">
        <v>19.965199999999999</v>
      </c>
      <c r="N138" s="340">
        <v>24343.724609391305</v>
      </c>
      <c r="O138" s="703">
        <v>1916.5500000000002</v>
      </c>
      <c r="P138" s="342">
        <v>1</v>
      </c>
      <c r="Q138" s="363">
        <v>19.844799999999999</v>
      </c>
      <c r="R138" s="340">
        <v>38033.551439999996</v>
      </c>
      <c r="S138" s="342">
        <v>113.899</v>
      </c>
      <c r="T138" s="342">
        <v>125.276</v>
      </c>
      <c r="U138" s="342">
        <v>1.0998000000000001</v>
      </c>
      <c r="V138" s="340">
        <v>41829.299873712007</v>
      </c>
      <c r="W138" s="340">
        <v>-17485.575264320702</v>
      </c>
      <c r="X138"/>
      <c r="Y138"/>
    </row>
    <row r="139" spans="2:25" ht="16">
      <c r="J139" s="345"/>
      <c r="K139" s="703"/>
      <c r="L139" s="342"/>
      <c r="M139" s="342"/>
      <c r="N139" s="340"/>
      <c r="O139" s="703"/>
      <c r="P139" s="342"/>
      <c r="Q139" s="363"/>
      <c r="R139" s="340"/>
      <c r="S139" s="342"/>
      <c r="T139" s="342"/>
      <c r="U139" s="342"/>
      <c r="V139" s="340"/>
      <c r="W139" s="340"/>
      <c r="X139"/>
      <c r="Y139"/>
    </row>
    <row r="140" spans="2:25" ht="16">
      <c r="B140" s="67"/>
      <c r="H140" s="347">
        <v>44407</v>
      </c>
      <c r="I140" s="347"/>
      <c r="J140" s="345"/>
      <c r="K140" s="703"/>
      <c r="L140" s="342"/>
      <c r="M140" s="342"/>
      <c r="N140" s="340"/>
      <c r="O140" s="703"/>
      <c r="P140" s="342"/>
      <c r="Q140" s="363"/>
      <c r="R140" s="340"/>
      <c r="S140" s="342"/>
      <c r="T140" s="342"/>
      <c r="U140" s="342"/>
      <c r="V140" s="340"/>
      <c r="W140" s="340"/>
      <c r="X140"/>
      <c r="Y140"/>
    </row>
    <row r="141" spans="2:25" ht="16">
      <c r="B141" s="67"/>
      <c r="I141" s="3" t="s">
        <v>59</v>
      </c>
      <c r="J141" s="345">
        <v>16</v>
      </c>
      <c r="K141" s="703">
        <v>1238.3721739130435</v>
      </c>
      <c r="L141" s="342">
        <v>1</v>
      </c>
      <c r="M141" s="342">
        <v>19.965199999999999</v>
      </c>
      <c r="N141" s="340">
        <v>24724.348126608696</v>
      </c>
      <c r="O141" s="703">
        <v>1910.52</v>
      </c>
      <c r="P141" s="342">
        <v>1</v>
      </c>
      <c r="Q141" s="363">
        <v>19.953499999999998</v>
      </c>
      <c r="R141" s="340">
        <v>38121.560819999999</v>
      </c>
      <c r="S141" s="342">
        <v>113.682</v>
      </c>
      <c r="T141" s="342">
        <v>125.276</v>
      </c>
      <c r="U141" s="342">
        <v>1.1019000000000001</v>
      </c>
      <c r="V141" s="340">
        <v>42006.147867558</v>
      </c>
      <c r="W141" s="340">
        <v>-17281.799740949304</v>
      </c>
      <c r="X141"/>
      <c r="Y141"/>
    </row>
    <row r="142" spans="2:25" ht="16">
      <c r="J142" s="345"/>
      <c r="K142" s="703"/>
      <c r="L142" s="342"/>
      <c r="M142" s="342"/>
      <c r="N142" s="340"/>
      <c r="O142" s="703"/>
      <c r="P142" s="342"/>
      <c r="Q142" s="363"/>
      <c r="R142" s="340"/>
      <c r="S142" s="342"/>
      <c r="T142" s="342"/>
      <c r="U142" s="342"/>
      <c r="V142" s="340"/>
      <c r="W142" s="340"/>
      <c r="X142"/>
      <c r="Y142"/>
    </row>
    <row r="143" spans="2:25" ht="16">
      <c r="B143" s="67"/>
      <c r="H143" s="347">
        <v>44418</v>
      </c>
      <c r="I143" s="347"/>
      <c r="J143" s="345"/>
      <c r="K143" s="703"/>
      <c r="L143" s="342"/>
      <c r="M143" s="342"/>
      <c r="N143" s="340"/>
      <c r="O143" s="703"/>
      <c r="P143" s="342"/>
      <c r="Q143" s="363"/>
      <c r="R143" s="340"/>
      <c r="S143" s="342"/>
      <c r="T143" s="342"/>
      <c r="U143" s="342"/>
      <c r="V143" s="340"/>
      <c r="W143" s="340"/>
      <c r="X143"/>
      <c r="Y143"/>
    </row>
    <row r="144" spans="2:25" ht="16">
      <c r="B144" s="67"/>
      <c r="I144" s="3" t="s">
        <v>59</v>
      </c>
      <c r="J144" s="345">
        <v>57</v>
      </c>
      <c r="K144" s="703">
        <v>4332.4299999999994</v>
      </c>
      <c r="L144" s="342">
        <v>1</v>
      </c>
      <c r="M144" s="342">
        <v>19.965200000000003</v>
      </c>
      <c r="N144" s="340">
        <v>86497.831435999993</v>
      </c>
      <c r="O144" s="703">
        <v>6771.6980000000003</v>
      </c>
      <c r="P144" s="342">
        <v>1</v>
      </c>
      <c r="Q144" s="363">
        <v>20.003700000000002</v>
      </c>
      <c r="R144" s="340">
        <v>135459.01528259998</v>
      </c>
      <c r="S144" s="342">
        <v>113.89899999999997</v>
      </c>
      <c r="T144" s="342">
        <v>125.276</v>
      </c>
      <c r="U144" s="342">
        <v>1.0998000000000001</v>
      </c>
      <c r="V144" s="340">
        <v>148977.82500780348</v>
      </c>
      <c r="W144" s="340">
        <v>-62479.993571803498</v>
      </c>
      <c r="X144"/>
      <c r="Y144"/>
    </row>
    <row r="145" spans="2:25" ht="16">
      <c r="J145" s="345"/>
      <c r="K145" s="703"/>
      <c r="L145" s="342"/>
      <c r="M145" s="342"/>
      <c r="N145" s="340"/>
      <c r="O145" s="703"/>
      <c r="P145" s="342"/>
      <c r="Q145" s="363"/>
      <c r="R145" s="340"/>
      <c r="S145" s="342"/>
      <c r="T145" s="342"/>
      <c r="U145" s="342"/>
      <c r="V145" s="340"/>
      <c r="W145" s="340"/>
      <c r="X145"/>
      <c r="Y145"/>
    </row>
    <row r="146" spans="2:25" ht="16">
      <c r="B146" s="67"/>
      <c r="F146" s="346">
        <v>44851</v>
      </c>
      <c r="G146" s="346"/>
      <c r="H146" s="346"/>
      <c r="I146" s="346"/>
      <c r="J146" s="345"/>
      <c r="K146" s="703"/>
      <c r="L146" s="342"/>
      <c r="M146" s="342"/>
      <c r="N146" s="340"/>
      <c r="O146" s="703"/>
      <c r="P146" s="342"/>
      <c r="Q146" s="363"/>
      <c r="R146" s="340"/>
      <c r="S146" s="342"/>
      <c r="T146" s="342"/>
      <c r="U146" s="342"/>
      <c r="V146" s="340"/>
      <c r="W146" s="340"/>
      <c r="X146"/>
      <c r="Y146"/>
    </row>
    <row r="147" spans="2:25" ht="16">
      <c r="B147" s="67"/>
      <c r="G147" s="3" t="s">
        <v>59</v>
      </c>
      <c r="H147" s="3"/>
      <c r="I147" s="3"/>
      <c r="J147" s="345"/>
      <c r="K147" s="703"/>
      <c r="L147" s="342"/>
      <c r="M147" s="342"/>
      <c r="N147" s="340"/>
      <c r="O147" s="703"/>
      <c r="P147" s="342"/>
      <c r="Q147" s="363"/>
      <c r="R147" s="340"/>
      <c r="S147" s="342"/>
      <c r="T147" s="342"/>
      <c r="U147" s="342"/>
      <c r="V147" s="340"/>
      <c r="W147" s="340"/>
      <c r="X147"/>
      <c r="Y147"/>
    </row>
    <row r="148" spans="2:25" ht="16">
      <c r="B148" s="67"/>
      <c r="H148" s="347">
        <v>44419</v>
      </c>
      <c r="I148" s="347"/>
      <c r="J148" s="345"/>
      <c r="K148" s="703"/>
      <c r="L148" s="342"/>
      <c r="M148" s="342"/>
      <c r="N148" s="340"/>
      <c r="O148" s="703"/>
      <c r="P148" s="342"/>
      <c r="Q148" s="363"/>
      <c r="R148" s="340"/>
      <c r="S148" s="342"/>
      <c r="T148" s="342"/>
      <c r="U148" s="342"/>
      <c r="V148" s="340"/>
      <c r="W148" s="340"/>
      <c r="X148"/>
      <c r="Y148"/>
    </row>
    <row r="149" spans="2:25" ht="16">
      <c r="B149" s="67"/>
      <c r="I149" s="3" t="s">
        <v>59</v>
      </c>
      <c r="J149" s="345">
        <v>5</v>
      </c>
      <c r="K149" s="703">
        <v>387.67</v>
      </c>
      <c r="L149" s="342">
        <v>1</v>
      </c>
      <c r="M149" s="342">
        <v>20.0398</v>
      </c>
      <c r="N149" s="340">
        <v>7768.8292660000006</v>
      </c>
      <c r="O149" s="703">
        <v>608.93999999999994</v>
      </c>
      <c r="P149" s="342">
        <v>1</v>
      </c>
      <c r="Q149" s="363">
        <v>20.064800000000002</v>
      </c>
      <c r="R149" s="340">
        <v>12218.259312</v>
      </c>
      <c r="S149" s="342">
        <v>113.899</v>
      </c>
      <c r="T149" s="342">
        <v>125.276</v>
      </c>
      <c r="U149" s="342">
        <v>1.0998000000000001</v>
      </c>
      <c r="V149" s="340">
        <v>13437.6415913376</v>
      </c>
      <c r="W149" s="340">
        <v>-5668.8123253376016</v>
      </c>
      <c r="X149"/>
      <c r="Y149"/>
    </row>
    <row r="150" spans="2:25" ht="16">
      <c r="J150" s="345"/>
      <c r="K150" s="703"/>
      <c r="L150" s="342"/>
      <c r="M150" s="342"/>
      <c r="N150" s="340"/>
      <c r="O150" s="703"/>
      <c r="P150" s="342"/>
      <c r="Q150" s="363"/>
      <c r="R150" s="340"/>
      <c r="S150" s="342"/>
      <c r="T150" s="342"/>
      <c r="U150" s="342"/>
      <c r="V150" s="340"/>
      <c r="W150" s="340"/>
      <c r="X150"/>
      <c r="Y150"/>
    </row>
    <row r="151" spans="2:25" ht="16">
      <c r="B151" s="67"/>
      <c r="F151" s="346">
        <v>44846</v>
      </c>
      <c r="G151" s="346"/>
      <c r="H151" s="346"/>
      <c r="I151" s="346"/>
      <c r="J151" s="345"/>
      <c r="K151" s="703"/>
      <c r="L151" s="342"/>
      <c r="M151" s="342"/>
      <c r="N151" s="340"/>
      <c r="O151" s="703"/>
      <c r="P151" s="342"/>
      <c r="Q151" s="363"/>
      <c r="R151" s="340"/>
      <c r="S151" s="342"/>
      <c r="T151" s="342"/>
      <c r="U151" s="342"/>
      <c r="V151" s="340"/>
      <c r="W151" s="340"/>
      <c r="X151"/>
      <c r="Y151"/>
    </row>
    <row r="152" spans="2:25" ht="16">
      <c r="B152" s="67"/>
      <c r="G152" s="3" t="s">
        <v>59</v>
      </c>
      <c r="H152" s="3"/>
      <c r="I152" s="3"/>
      <c r="J152" s="345"/>
      <c r="K152" s="703"/>
      <c r="L152" s="342"/>
      <c r="M152" s="342"/>
      <c r="N152" s="340"/>
      <c r="O152" s="703"/>
      <c r="P152" s="342"/>
      <c r="Q152" s="363"/>
      <c r="R152" s="340"/>
      <c r="S152" s="342"/>
      <c r="T152" s="342"/>
      <c r="U152" s="342"/>
      <c r="V152" s="340"/>
      <c r="W152" s="340"/>
      <c r="X152"/>
      <c r="Y152"/>
    </row>
    <row r="153" spans="2:25" ht="16">
      <c r="B153" s="67"/>
      <c r="H153" s="347">
        <v>44398</v>
      </c>
      <c r="I153" s="347"/>
      <c r="J153" s="345"/>
      <c r="K153" s="703"/>
      <c r="L153" s="342"/>
      <c r="M153" s="342"/>
      <c r="N153" s="340"/>
      <c r="O153" s="703"/>
      <c r="P153" s="342"/>
      <c r="Q153" s="363"/>
      <c r="R153" s="340"/>
      <c r="S153" s="342"/>
      <c r="T153" s="342"/>
      <c r="U153" s="342"/>
      <c r="V153" s="340"/>
      <c r="W153" s="340"/>
      <c r="X153"/>
      <c r="Y153"/>
    </row>
    <row r="154" spans="2:25" ht="16">
      <c r="B154" s="67"/>
      <c r="I154" s="3" t="s">
        <v>59</v>
      </c>
      <c r="J154" s="345">
        <v>34</v>
      </c>
      <c r="K154" s="703">
        <v>2571.6127703703705</v>
      </c>
      <c r="L154" s="342">
        <v>1</v>
      </c>
      <c r="M154" s="342">
        <v>19.975200000000001</v>
      </c>
      <c r="N154" s="340">
        <v>51368.479410702232</v>
      </c>
      <c r="O154" s="703">
        <v>4084.8100000000004</v>
      </c>
      <c r="P154" s="342">
        <v>1</v>
      </c>
      <c r="Q154" s="363">
        <v>20</v>
      </c>
      <c r="R154" s="340">
        <v>81696.2</v>
      </c>
      <c r="S154" s="342">
        <v>113.682</v>
      </c>
      <c r="T154" s="342">
        <v>125.276</v>
      </c>
      <c r="U154" s="342">
        <v>1.1019000000000001</v>
      </c>
      <c r="V154" s="340">
        <v>90021.042780000018</v>
      </c>
      <c r="W154" s="340">
        <v>-38652.563369297786</v>
      </c>
      <c r="X154"/>
      <c r="Y154"/>
    </row>
    <row r="155" spans="2:25" ht="16">
      <c r="J155" s="345"/>
      <c r="K155" s="703"/>
      <c r="L155" s="342"/>
      <c r="M155" s="342"/>
      <c r="N155" s="340"/>
      <c r="O155" s="703"/>
      <c r="P155" s="342"/>
      <c r="Q155" s="363"/>
      <c r="R155" s="340"/>
      <c r="S155" s="342"/>
      <c r="T155" s="342"/>
      <c r="U155" s="342"/>
      <c r="V155" s="340"/>
      <c r="W155" s="340"/>
      <c r="X155"/>
      <c r="Y155"/>
    </row>
    <row r="156" spans="2:25" ht="16">
      <c r="B156" s="67"/>
      <c r="H156" s="347">
        <v>44397</v>
      </c>
      <c r="I156" s="347"/>
      <c r="J156" s="345"/>
      <c r="K156" s="703"/>
      <c r="L156" s="342"/>
      <c r="M156" s="342"/>
      <c r="N156" s="340"/>
      <c r="O156" s="703"/>
      <c r="P156" s="342"/>
      <c r="Q156" s="363"/>
      <c r="R156" s="340"/>
      <c r="S156" s="342"/>
      <c r="T156" s="342"/>
      <c r="U156" s="342"/>
      <c r="V156" s="340"/>
      <c r="W156" s="340"/>
      <c r="X156"/>
      <c r="Y156"/>
    </row>
    <row r="157" spans="2:25" ht="16">
      <c r="B157" s="67"/>
      <c r="I157" s="3" t="s">
        <v>59</v>
      </c>
      <c r="J157" s="345">
        <v>5</v>
      </c>
      <c r="K157" s="703">
        <v>378.17962962962963</v>
      </c>
      <c r="L157" s="342">
        <v>1</v>
      </c>
      <c r="M157" s="342">
        <v>19.975200000000001</v>
      </c>
      <c r="N157" s="340">
        <v>7554.2137377777781</v>
      </c>
      <c r="O157" s="703">
        <v>588.07019230769231</v>
      </c>
      <c r="P157" s="342">
        <v>1</v>
      </c>
      <c r="Q157" s="363">
        <v>19.8537</v>
      </c>
      <c r="R157" s="340">
        <v>11675.369177019231</v>
      </c>
      <c r="S157" s="342">
        <v>113.682</v>
      </c>
      <c r="T157" s="342">
        <v>125.276</v>
      </c>
      <c r="U157" s="342">
        <v>1.1019000000000001</v>
      </c>
      <c r="V157" s="340">
        <v>12865.08929615749</v>
      </c>
      <c r="W157" s="340">
        <v>-5310.8755583797129</v>
      </c>
      <c r="X157"/>
      <c r="Y157"/>
    </row>
    <row r="158" spans="2:25" ht="16">
      <c r="J158" s="345"/>
      <c r="K158" s="703"/>
      <c r="L158" s="342"/>
      <c r="M158" s="342"/>
      <c r="N158" s="340"/>
      <c r="O158" s="703"/>
      <c r="P158" s="342"/>
      <c r="Q158" s="363"/>
      <c r="R158" s="340"/>
      <c r="S158" s="342"/>
      <c r="T158" s="342"/>
      <c r="U158" s="342"/>
      <c r="V158" s="340"/>
      <c r="W158" s="340"/>
      <c r="X158"/>
      <c r="Y158"/>
    </row>
    <row r="159" spans="2:25" ht="16">
      <c r="B159" s="67"/>
      <c r="H159" s="347">
        <v>44407</v>
      </c>
      <c r="I159" s="347"/>
      <c r="J159" s="345"/>
      <c r="K159" s="703"/>
      <c r="L159" s="342"/>
      <c r="M159" s="342"/>
      <c r="N159" s="340"/>
      <c r="O159" s="703"/>
      <c r="P159" s="342"/>
      <c r="Q159" s="363"/>
      <c r="R159" s="340"/>
      <c r="S159" s="342"/>
      <c r="T159" s="342"/>
      <c r="U159" s="342"/>
      <c r="V159" s="340"/>
      <c r="W159" s="340"/>
      <c r="X159"/>
      <c r="Y159"/>
    </row>
    <row r="160" spans="2:25" ht="16">
      <c r="B160" s="67"/>
      <c r="I160" s="3" t="s">
        <v>59</v>
      </c>
      <c r="J160" s="345">
        <v>43</v>
      </c>
      <c r="K160" s="703">
        <v>3243.6475999999998</v>
      </c>
      <c r="L160" s="342">
        <v>1</v>
      </c>
      <c r="M160" s="342">
        <v>19.975200000000001</v>
      </c>
      <c r="N160" s="340">
        <v>64792.509539520004</v>
      </c>
      <c r="O160" s="703">
        <v>5092.8500000000004</v>
      </c>
      <c r="P160" s="342">
        <v>1</v>
      </c>
      <c r="Q160" s="363">
        <v>19.953499999999995</v>
      </c>
      <c r="R160" s="340">
        <v>101620.18247499999</v>
      </c>
      <c r="S160" s="342">
        <v>113.682</v>
      </c>
      <c r="T160" s="342">
        <v>125.276</v>
      </c>
      <c r="U160" s="342">
        <v>1.1019000000000003</v>
      </c>
      <c r="V160" s="340">
        <v>111975.27906920249</v>
      </c>
      <c r="W160" s="340">
        <v>-47182.769529682497</v>
      </c>
      <c r="X160"/>
      <c r="Y160"/>
    </row>
    <row r="161" spans="2:25" ht="16">
      <c r="J161" s="345"/>
      <c r="K161" s="703"/>
      <c r="L161" s="342"/>
      <c r="M161" s="342"/>
      <c r="N161" s="340"/>
      <c r="O161" s="703"/>
      <c r="P161" s="342"/>
      <c r="Q161" s="363"/>
      <c r="R161" s="340"/>
      <c r="S161" s="342"/>
      <c r="T161" s="342"/>
      <c r="U161" s="342"/>
      <c r="V161" s="340"/>
      <c r="W161" s="340"/>
      <c r="X161"/>
      <c r="Y161"/>
    </row>
    <row r="162" spans="2:25" ht="16">
      <c r="B162" s="67"/>
      <c r="F162" s="346">
        <v>44848</v>
      </c>
      <c r="G162" s="346"/>
      <c r="H162" s="346"/>
      <c r="I162" s="346"/>
      <c r="J162" s="345"/>
      <c r="K162" s="703"/>
      <c r="L162" s="342"/>
      <c r="M162" s="342"/>
      <c r="N162" s="340"/>
      <c r="O162" s="703"/>
      <c r="P162" s="342"/>
      <c r="Q162" s="363"/>
      <c r="R162" s="340"/>
      <c r="S162" s="342"/>
      <c r="T162" s="342"/>
      <c r="U162" s="342"/>
      <c r="V162" s="340"/>
      <c r="W162" s="340"/>
      <c r="X162"/>
      <c r="Y162"/>
    </row>
    <row r="163" spans="2:25" ht="16">
      <c r="B163" s="67"/>
      <c r="G163" s="3" t="s">
        <v>59</v>
      </c>
      <c r="H163" s="3"/>
      <c r="I163" s="3"/>
      <c r="J163" s="345"/>
      <c r="K163" s="703"/>
      <c r="L163" s="342"/>
      <c r="M163" s="342"/>
      <c r="N163" s="340"/>
      <c r="O163" s="703"/>
      <c r="P163" s="342"/>
      <c r="Q163" s="363"/>
      <c r="R163" s="340"/>
      <c r="S163" s="342"/>
      <c r="T163" s="342"/>
      <c r="U163" s="342"/>
      <c r="V163" s="340"/>
      <c r="W163" s="340"/>
      <c r="X163"/>
      <c r="Y163"/>
    </row>
    <row r="164" spans="2:25" ht="16">
      <c r="B164" s="67"/>
      <c r="H164" s="347">
        <v>44418</v>
      </c>
      <c r="I164" s="347"/>
      <c r="J164" s="345"/>
      <c r="K164" s="703"/>
      <c r="L164" s="342"/>
      <c r="M164" s="342"/>
      <c r="N164" s="340"/>
      <c r="O164" s="703"/>
      <c r="P164" s="342"/>
      <c r="Q164" s="363"/>
      <c r="R164" s="340"/>
      <c r="S164" s="342"/>
      <c r="T164" s="342"/>
      <c r="U164" s="342"/>
      <c r="V164" s="340"/>
      <c r="W164" s="340"/>
      <c r="X164"/>
      <c r="Y164"/>
    </row>
    <row r="165" spans="2:25" ht="16">
      <c r="B165" s="67"/>
      <c r="I165" s="3" t="s">
        <v>59</v>
      </c>
      <c r="J165" s="345">
        <v>31</v>
      </c>
      <c r="K165" s="703">
        <v>2356.1</v>
      </c>
      <c r="L165" s="342">
        <v>1</v>
      </c>
      <c r="M165" s="342">
        <v>20.0352</v>
      </c>
      <c r="N165" s="340">
        <v>47204.934720000005</v>
      </c>
      <c r="O165" s="703">
        <v>3674.7819999999997</v>
      </c>
      <c r="P165" s="342">
        <v>1</v>
      </c>
      <c r="Q165" s="363">
        <v>20.003699999999998</v>
      </c>
      <c r="R165" s="340">
        <v>73509.236693400002</v>
      </c>
      <c r="S165" s="342">
        <v>113.89899999999999</v>
      </c>
      <c r="T165" s="342">
        <v>125.276</v>
      </c>
      <c r="U165" s="342">
        <v>1.0998000000000001</v>
      </c>
      <c r="V165" s="340">
        <v>80845.458515401348</v>
      </c>
      <c r="W165" s="340">
        <v>-33640.523795401328</v>
      </c>
      <c r="X165"/>
      <c r="Y165"/>
    </row>
    <row r="166" spans="2:25" ht="16">
      <c r="J166" s="345"/>
      <c r="K166" s="703"/>
      <c r="L166" s="342"/>
      <c r="M166" s="342"/>
      <c r="N166" s="340"/>
      <c r="O166" s="703"/>
      <c r="P166" s="342"/>
      <c r="Q166" s="363"/>
      <c r="R166" s="340"/>
      <c r="S166" s="342"/>
      <c r="T166" s="342"/>
      <c r="U166" s="342"/>
      <c r="V166" s="340"/>
      <c r="W166" s="340"/>
      <c r="X166"/>
      <c r="Y166"/>
    </row>
    <row r="167" spans="2:25" ht="16">
      <c r="B167" s="67"/>
      <c r="E167" s="131" t="s">
        <v>1053</v>
      </c>
      <c r="F167" s="131"/>
      <c r="G167" s="131"/>
      <c r="H167" s="131"/>
      <c r="I167" s="131"/>
      <c r="J167" s="704">
        <v>470</v>
      </c>
      <c r="K167" s="705">
        <v>47195.18</v>
      </c>
      <c r="L167" s="369">
        <v>1</v>
      </c>
      <c r="M167" s="377">
        <v>20.186466666666664</v>
      </c>
      <c r="N167" s="706">
        <v>957781.99562999944</v>
      </c>
      <c r="O167" s="705">
        <v>58597.299499999994</v>
      </c>
      <c r="P167" s="369">
        <v>1</v>
      </c>
      <c r="Q167" s="377">
        <v>19.943424999999991</v>
      </c>
      <c r="R167" s="706">
        <v>1167461.0489026501</v>
      </c>
      <c r="S167" s="369">
        <v>113.51606666666666</v>
      </c>
      <c r="T167" s="369">
        <v>122.29411666666655</v>
      </c>
      <c r="U167" s="369">
        <v>1.0771666666666675</v>
      </c>
      <c r="V167" s="706">
        <v>1247500.8521026766</v>
      </c>
      <c r="W167" s="706">
        <v>-289718.85647267645</v>
      </c>
      <c r="X167"/>
      <c r="Y167"/>
    </row>
    <row r="168" spans="2:25" ht="16">
      <c r="J168" s="345"/>
      <c r="K168" s="703"/>
      <c r="L168" s="342"/>
      <c r="M168" s="342"/>
      <c r="N168" s="340"/>
      <c r="O168" s="703"/>
      <c r="P168" s="342"/>
      <c r="Q168" s="363"/>
      <c r="R168" s="340"/>
      <c r="S168" s="342"/>
      <c r="T168" s="342"/>
      <c r="U168" s="342"/>
      <c r="V168" s="340"/>
      <c r="W168" s="340"/>
      <c r="X168"/>
      <c r="Y168"/>
    </row>
    <row r="169" spans="2:25" ht="16">
      <c r="B169" s="67"/>
      <c r="E169" s="1" t="s">
        <v>708</v>
      </c>
      <c r="J169" s="345"/>
      <c r="K169" s="703"/>
      <c r="L169" s="342"/>
      <c r="M169" s="342"/>
      <c r="N169" s="340"/>
      <c r="O169" s="703"/>
      <c r="P169" s="342"/>
      <c r="Q169" s="363"/>
      <c r="R169" s="340"/>
      <c r="S169" s="342"/>
      <c r="T169" s="342"/>
      <c r="U169" s="342"/>
      <c r="V169" s="340"/>
      <c r="W169" s="340"/>
      <c r="X169"/>
      <c r="Y169"/>
    </row>
    <row r="170" spans="2:25" ht="16">
      <c r="B170" s="67"/>
      <c r="F170" s="346">
        <v>44693</v>
      </c>
      <c r="G170" s="346"/>
      <c r="H170" s="346"/>
      <c r="I170" s="346"/>
      <c r="J170" s="345"/>
      <c r="K170" s="703"/>
      <c r="L170" s="342"/>
      <c r="M170" s="342"/>
      <c r="N170" s="340"/>
      <c r="O170" s="703"/>
      <c r="P170" s="342"/>
      <c r="Q170" s="363"/>
      <c r="R170" s="340"/>
      <c r="S170" s="342"/>
      <c r="T170" s="342"/>
      <c r="U170" s="342"/>
      <c r="V170" s="340"/>
      <c r="W170" s="340"/>
      <c r="X170"/>
      <c r="Y170"/>
    </row>
    <row r="171" spans="2:25" ht="16">
      <c r="B171" s="67"/>
      <c r="G171" s="3" t="s">
        <v>59</v>
      </c>
      <c r="H171" s="3"/>
      <c r="I171" s="3"/>
      <c r="J171" s="345"/>
      <c r="K171" s="703"/>
      <c r="L171" s="342"/>
      <c r="M171" s="342"/>
      <c r="N171" s="340"/>
      <c r="O171" s="703"/>
      <c r="P171" s="342"/>
      <c r="Q171" s="363"/>
      <c r="R171" s="340"/>
      <c r="S171" s="342"/>
      <c r="T171" s="342"/>
      <c r="U171" s="342"/>
      <c r="V171" s="340"/>
      <c r="W171" s="340"/>
      <c r="X171"/>
      <c r="Y171"/>
    </row>
    <row r="172" spans="2:25" ht="16">
      <c r="B172" s="67"/>
      <c r="H172" s="347">
        <v>44636</v>
      </c>
      <c r="I172" s="347"/>
      <c r="J172" s="345"/>
      <c r="K172" s="703"/>
      <c r="L172" s="342"/>
      <c r="M172" s="342"/>
      <c r="N172" s="340"/>
      <c r="O172" s="703"/>
      <c r="P172" s="342"/>
      <c r="Q172" s="363"/>
      <c r="R172" s="340"/>
      <c r="S172" s="342"/>
      <c r="T172" s="342"/>
      <c r="U172" s="342"/>
      <c r="V172" s="340"/>
      <c r="W172" s="340"/>
      <c r="X172"/>
      <c r="Y172"/>
    </row>
    <row r="173" spans="2:25" ht="16">
      <c r="B173" s="67"/>
      <c r="I173" s="3" t="s">
        <v>59</v>
      </c>
      <c r="J173" s="345">
        <v>21</v>
      </c>
      <c r="K173" s="703">
        <v>619.41999999999996</v>
      </c>
      <c r="L173" s="342">
        <v>1</v>
      </c>
      <c r="M173" s="342">
        <v>20.372</v>
      </c>
      <c r="N173" s="340">
        <v>12618.82424</v>
      </c>
      <c r="O173" s="703">
        <v>966.0616</v>
      </c>
      <c r="P173" s="342">
        <v>1</v>
      </c>
      <c r="Q173" s="363">
        <v>20.890799999999999</v>
      </c>
      <c r="R173" s="340">
        <v>20181.799673279998</v>
      </c>
      <c r="S173" s="342">
        <v>120.15900000000001</v>
      </c>
      <c r="T173" s="342">
        <v>121.02200000000001</v>
      </c>
      <c r="U173" s="342">
        <v>1.0071000000000001</v>
      </c>
      <c r="V173" s="340">
        <v>20325.090450960288</v>
      </c>
      <c r="W173" s="340">
        <v>-7706.2662109602879</v>
      </c>
      <c r="X173"/>
      <c r="Y173"/>
    </row>
    <row r="174" spans="2:25" ht="16">
      <c r="J174" s="345"/>
      <c r="K174" s="703"/>
      <c r="L174" s="342"/>
      <c r="M174" s="342"/>
      <c r="N174" s="340"/>
      <c r="O174" s="703"/>
      <c r="P174" s="342"/>
      <c r="Q174" s="363"/>
      <c r="R174" s="340"/>
      <c r="S174" s="342"/>
      <c r="T174" s="342"/>
      <c r="U174" s="342"/>
      <c r="V174" s="340"/>
      <c r="W174" s="340"/>
      <c r="X174"/>
      <c r="Y174"/>
    </row>
    <row r="175" spans="2:25" ht="16">
      <c r="B175" s="67"/>
      <c r="F175" s="346">
        <v>44575</v>
      </c>
      <c r="G175" s="346"/>
      <c r="H175" s="346"/>
      <c r="I175" s="346"/>
      <c r="J175" s="345"/>
      <c r="K175" s="703"/>
      <c r="L175" s="342"/>
      <c r="M175" s="342"/>
      <c r="N175" s="340"/>
      <c r="O175" s="703"/>
      <c r="P175" s="342"/>
      <c r="Q175" s="363"/>
      <c r="R175" s="340"/>
      <c r="S175" s="342"/>
      <c r="T175" s="342"/>
      <c r="U175" s="342"/>
      <c r="V175" s="340"/>
      <c r="W175" s="340"/>
      <c r="X175"/>
      <c r="Y175"/>
    </row>
    <row r="176" spans="2:25" ht="16">
      <c r="B176" s="67"/>
      <c r="G176" s="3" t="s">
        <v>59</v>
      </c>
      <c r="H176" s="3"/>
      <c r="I176" s="3"/>
      <c r="J176" s="345"/>
      <c r="K176" s="703"/>
      <c r="L176" s="342"/>
      <c r="M176" s="342"/>
      <c r="N176" s="340"/>
      <c r="O176" s="703"/>
      <c r="P176" s="342"/>
      <c r="Q176" s="363"/>
      <c r="R176" s="340"/>
      <c r="S176" s="342"/>
      <c r="T176" s="342"/>
      <c r="U176" s="342"/>
      <c r="V176" s="340"/>
      <c r="W176" s="340"/>
      <c r="X176"/>
      <c r="Y176"/>
    </row>
    <row r="177" spans="2:25" ht="16">
      <c r="B177" s="67"/>
      <c r="H177" s="347">
        <v>44259</v>
      </c>
      <c r="I177" s="347"/>
      <c r="J177" s="345"/>
      <c r="K177" s="703"/>
      <c r="L177" s="342"/>
      <c r="M177" s="342"/>
      <c r="N177" s="340"/>
      <c r="O177" s="703"/>
      <c r="P177" s="342"/>
      <c r="Q177" s="363"/>
      <c r="R177" s="340"/>
      <c r="S177" s="342"/>
      <c r="T177" s="342"/>
      <c r="U177" s="342"/>
      <c r="V177" s="340"/>
      <c r="W177" s="340"/>
      <c r="X177"/>
      <c r="Y177"/>
    </row>
    <row r="178" spans="2:25" ht="16">
      <c r="B178" s="67"/>
      <c r="I178" s="3" t="s">
        <v>59</v>
      </c>
      <c r="J178" s="345">
        <v>52</v>
      </c>
      <c r="K178" s="703">
        <v>2510.7599999999998</v>
      </c>
      <c r="L178" s="342">
        <v>1</v>
      </c>
      <c r="M178" s="342">
        <v>20.366</v>
      </c>
      <c r="N178" s="340">
        <v>51134.138160000002</v>
      </c>
      <c r="O178" s="703">
        <v>2488.1999999999998</v>
      </c>
      <c r="P178" s="342">
        <v>1</v>
      </c>
      <c r="Q178" s="363">
        <v>20.690300000000001</v>
      </c>
      <c r="R178" s="340">
        <v>51481.604459999995</v>
      </c>
      <c r="S178" s="342">
        <v>111.824</v>
      </c>
      <c r="T178" s="342">
        <v>118.002</v>
      </c>
      <c r="U178" s="342">
        <v>1.0551999999999999</v>
      </c>
      <c r="V178" s="340">
        <v>54323.389026191988</v>
      </c>
      <c r="W178" s="340">
        <v>-3189.2508661919919</v>
      </c>
      <c r="X178"/>
      <c r="Y178"/>
    </row>
    <row r="179" spans="2:25" ht="16">
      <c r="J179" s="345"/>
      <c r="K179" s="703"/>
      <c r="L179" s="342"/>
      <c r="M179" s="342"/>
      <c r="N179" s="340"/>
      <c r="O179" s="703"/>
      <c r="P179" s="342"/>
      <c r="Q179" s="363"/>
      <c r="R179" s="340"/>
      <c r="S179" s="342"/>
      <c r="T179" s="342"/>
      <c r="U179" s="342"/>
      <c r="V179" s="340"/>
      <c r="W179" s="340"/>
      <c r="X179"/>
      <c r="Y179"/>
    </row>
    <row r="180" spans="2:25" ht="16">
      <c r="B180" s="67"/>
      <c r="F180" s="346">
        <v>44692</v>
      </c>
      <c r="G180" s="346"/>
      <c r="H180" s="346"/>
      <c r="I180" s="346"/>
      <c r="J180" s="345"/>
      <c r="K180" s="703"/>
      <c r="L180" s="342"/>
      <c r="M180" s="342"/>
      <c r="N180" s="340"/>
      <c r="O180" s="703"/>
      <c r="P180" s="342"/>
      <c r="Q180" s="363"/>
      <c r="R180" s="340"/>
      <c r="S180" s="342"/>
      <c r="T180" s="342"/>
      <c r="U180" s="342"/>
      <c r="V180" s="340"/>
      <c r="W180" s="340"/>
      <c r="X180"/>
      <c r="Y180"/>
    </row>
    <row r="181" spans="2:25" ht="16">
      <c r="B181" s="67"/>
      <c r="G181" s="3" t="s">
        <v>59</v>
      </c>
      <c r="H181" s="3"/>
      <c r="I181" s="3"/>
      <c r="J181" s="345"/>
      <c r="K181" s="703"/>
      <c r="L181" s="342"/>
      <c r="M181" s="342"/>
      <c r="N181" s="340"/>
      <c r="O181" s="703"/>
      <c r="P181" s="342"/>
      <c r="Q181" s="363"/>
      <c r="R181" s="340"/>
      <c r="S181" s="342"/>
      <c r="T181" s="342"/>
      <c r="U181" s="342"/>
      <c r="V181" s="340"/>
      <c r="W181" s="340"/>
      <c r="X181"/>
      <c r="Y181"/>
    </row>
    <row r="182" spans="2:25" ht="16">
      <c r="B182" s="67"/>
      <c r="H182" s="347">
        <v>44629</v>
      </c>
      <c r="I182" s="347"/>
      <c r="J182" s="345"/>
      <c r="K182" s="703"/>
      <c r="L182" s="342"/>
      <c r="M182" s="342"/>
      <c r="N182" s="340"/>
      <c r="O182" s="703"/>
      <c r="P182" s="342"/>
      <c r="Q182" s="363"/>
      <c r="R182" s="340"/>
      <c r="S182" s="342"/>
      <c r="T182" s="342"/>
      <c r="U182" s="342"/>
      <c r="V182" s="340"/>
      <c r="W182" s="340"/>
      <c r="X182"/>
      <c r="Y182"/>
    </row>
    <row r="183" spans="2:25" ht="16">
      <c r="B183" s="67"/>
      <c r="I183" s="3" t="s">
        <v>59</v>
      </c>
      <c r="J183" s="345">
        <v>116</v>
      </c>
      <c r="K183" s="703">
        <v>3607.2351612903221</v>
      </c>
      <c r="L183" s="342">
        <v>1</v>
      </c>
      <c r="M183" s="342">
        <v>20.3172</v>
      </c>
      <c r="N183" s="340">
        <v>73288.918218967738</v>
      </c>
      <c r="O183" s="703">
        <v>4936.2109230769229</v>
      </c>
      <c r="P183" s="342">
        <v>1</v>
      </c>
      <c r="Q183" s="363">
        <v>21.194700000000001</v>
      </c>
      <c r="R183" s="340">
        <v>104621.50965133845</v>
      </c>
      <c r="S183" s="342">
        <v>120.15900000000001</v>
      </c>
      <c r="T183" s="342">
        <v>121.02200000000001</v>
      </c>
      <c r="U183" s="342">
        <v>1.0071000000000001</v>
      </c>
      <c r="V183" s="340">
        <v>105364.32236986296</v>
      </c>
      <c r="W183" s="340">
        <v>-32075.404150895229</v>
      </c>
      <c r="X183"/>
      <c r="Y183"/>
    </row>
    <row r="184" spans="2:25" ht="16">
      <c r="J184" s="345"/>
      <c r="K184" s="703"/>
      <c r="L184" s="342"/>
      <c r="M184" s="342"/>
      <c r="N184" s="340"/>
      <c r="O184" s="703"/>
      <c r="P184" s="342"/>
      <c r="Q184" s="363"/>
      <c r="R184" s="340"/>
      <c r="S184" s="342"/>
      <c r="T184" s="342"/>
      <c r="U184" s="342"/>
      <c r="V184" s="340"/>
      <c r="W184" s="340"/>
      <c r="X184"/>
      <c r="Y184"/>
    </row>
    <row r="185" spans="2:25" ht="16">
      <c r="B185" s="67"/>
      <c r="H185" s="347">
        <v>44630</v>
      </c>
      <c r="I185" s="347"/>
      <c r="J185" s="345"/>
      <c r="K185" s="703"/>
      <c r="L185" s="342"/>
      <c r="M185" s="342"/>
      <c r="N185" s="340"/>
      <c r="O185" s="703"/>
      <c r="P185" s="342"/>
      <c r="Q185" s="363"/>
      <c r="R185" s="340"/>
      <c r="S185" s="342"/>
      <c r="T185" s="342"/>
      <c r="U185" s="342"/>
      <c r="V185" s="340"/>
      <c r="W185" s="340"/>
      <c r="X185"/>
      <c r="Y185"/>
    </row>
    <row r="186" spans="2:25" ht="16">
      <c r="B186" s="67"/>
      <c r="I186" s="3" t="s">
        <v>59</v>
      </c>
      <c r="J186" s="345">
        <v>19</v>
      </c>
      <c r="K186" s="703">
        <v>588.50983870967741</v>
      </c>
      <c r="L186" s="342">
        <v>1</v>
      </c>
      <c r="M186" s="342">
        <v>20.3172</v>
      </c>
      <c r="N186" s="340">
        <v>11956.872095032259</v>
      </c>
      <c r="O186" s="703">
        <v>827.67999999999984</v>
      </c>
      <c r="P186" s="342">
        <v>1</v>
      </c>
      <c r="Q186" s="363">
        <v>21.377500000000001</v>
      </c>
      <c r="R186" s="340">
        <v>17693.729199999998</v>
      </c>
      <c r="S186" s="342">
        <v>120.15900000000001</v>
      </c>
      <c r="T186" s="342">
        <v>121.02200000000001</v>
      </c>
      <c r="U186" s="342">
        <v>1.0071000000000001</v>
      </c>
      <c r="V186" s="340">
        <v>17819.35467732</v>
      </c>
      <c r="W186" s="340">
        <v>-5862.4825822877419</v>
      </c>
      <c r="X186"/>
      <c r="Y186"/>
    </row>
    <row r="187" spans="2:25" ht="16">
      <c r="J187" s="345"/>
      <c r="K187" s="703"/>
      <c r="L187" s="342"/>
      <c r="M187" s="342"/>
      <c r="N187" s="340"/>
      <c r="O187" s="703"/>
      <c r="P187" s="342"/>
      <c r="Q187" s="363"/>
      <c r="R187" s="340"/>
      <c r="S187" s="342"/>
      <c r="T187" s="342"/>
      <c r="U187" s="342"/>
      <c r="V187" s="340"/>
      <c r="W187" s="340"/>
      <c r="X187"/>
      <c r="Y187"/>
    </row>
    <row r="188" spans="2:25" ht="16">
      <c r="B188" s="67"/>
      <c r="H188" s="347">
        <v>44636</v>
      </c>
      <c r="I188" s="347"/>
      <c r="J188" s="345"/>
      <c r="K188" s="703"/>
      <c r="L188" s="342"/>
      <c r="M188" s="342"/>
      <c r="N188" s="340"/>
      <c r="O188" s="703"/>
      <c r="P188" s="342"/>
      <c r="Q188" s="363"/>
      <c r="R188" s="340"/>
      <c r="S188" s="342"/>
      <c r="T188" s="342"/>
      <c r="U188" s="342"/>
      <c r="V188" s="340"/>
      <c r="W188" s="340"/>
      <c r="X188"/>
      <c r="Y188"/>
    </row>
    <row r="189" spans="2:25" ht="16">
      <c r="B189" s="67"/>
      <c r="I189" s="3" t="s">
        <v>59</v>
      </c>
      <c r="J189" s="345">
        <v>113</v>
      </c>
      <c r="K189" s="703">
        <v>3570.6949999999997</v>
      </c>
      <c r="L189" s="342">
        <v>1</v>
      </c>
      <c r="M189" s="342">
        <v>20.3172</v>
      </c>
      <c r="N189" s="340">
        <v>72546.524453999999</v>
      </c>
      <c r="O189" s="703">
        <v>5203.6684000000005</v>
      </c>
      <c r="P189" s="342">
        <v>1</v>
      </c>
      <c r="Q189" s="363">
        <v>20.890799999999999</v>
      </c>
      <c r="R189" s="340">
        <v>108708.79581071998</v>
      </c>
      <c r="S189" s="342">
        <v>120.15900000000001</v>
      </c>
      <c r="T189" s="342">
        <v>121.02200000000001</v>
      </c>
      <c r="U189" s="342">
        <v>1.0071000000000001</v>
      </c>
      <c r="V189" s="340">
        <v>109480.62826097611</v>
      </c>
      <c r="W189" s="340">
        <v>-36934.103806976113</v>
      </c>
      <c r="X189"/>
      <c r="Y189"/>
    </row>
    <row r="190" spans="2:25" ht="16">
      <c r="J190" s="345"/>
      <c r="K190" s="703"/>
      <c r="L190" s="342"/>
      <c r="M190" s="342"/>
      <c r="N190" s="340"/>
      <c r="O190" s="703"/>
      <c r="P190" s="342"/>
      <c r="Q190" s="363"/>
      <c r="R190" s="340"/>
      <c r="S190" s="342"/>
      <c r="T190" s="342"/>
      <c r="U190" s="342"/>
      <c r="V190" s="340"/>
      <c r="W190" s="340"/>
      <c r="X190"/>
      <c r="Y190"/>
    </row>
    <row r="191" spans="2:25" ht="16">
      <c r="B191" s="67"/>
      <c r="F191" s="346">
        <v>44580</v>
      </c>
      <c r="G191" s="346"/>
      <c r="H191" s="346"/>
      <c r="I191" s="346"/>
      <c r="J191" s="345"/>
      <c r="K191" s="703"/>
      <c r="L191" s="342"/>
      <c r="M191" s="342"/>
      <c r="N191" s="340"/>
      <c r="O191" s="703"/>
      <c r="P191" s="342"/>
      <c r="Q191" s="363"/>
      <c r="R191" s="340"/>
      <c r="S191" s="342"/>
      <c r="T191" s="342"/>
      <c r="U191" s="342"/>
      <c r="V191" s="340"/>
      <c r="W191" s="340"/>
      <c r="X191"/>
      <c r="Y191"/>
    </row>
    <row r="192" spans="2:25" ht="16">
      <c r="B192" s="67"/>
      <c r="G192" s="3" t="s">
        <v>59</v>
      </c>
      <c r="H192" s="3"/>
      <c r="I192" s="3"/>
      <c r="J192" s="345"/>
      <c r="K192" s="703"/>
      <c r="L192" s="342"/>
      <c r="M192" s="342"/>
      <c r="N192" s="340"/>
      <c r="O192" s="703"/>
      <c r="P192" s="342"/>
      <c r="Q192" s="363"/>
      <c r="R192" s="340"/>
      <c r="S192" s="342"/>
      <c r="T192" s="342"/>
      <c r="U192" s="342"/>
      <c r="V192" s="340"/>
      <c r="W192" s="340"/>
      <c r="X192"/>
      <c r="Y192"/>
    </row>
    <row r="193" spans="2:25" ht="16">
      <c r="B193" s="67"/>
      <c r="H193" s="347">
        <v>44293</v>
      </c>
      <c r="I193" s="347"/>
      <c r="J193" s="345"/>
      <c r="K193" s="703"/>
      <c r="L193" s="342"/>
      <c r="M193" s="342"/>
      <c r="N193" s="340"/>
      <c r="O193" s="703"/>
      <c r="P193" s="342"/>
      <c r="Q193" s="363"/>
      <c r="R193" s="340"/>
      <c r="S193" s="342"/>
      <c r="T193" s="342"/>
      <c r="U193" s="342"/>
      <c r="V193" s="340"/>
      <c r="W193" s="340"/>
      <c r="X193"/>
      <c r="Y193"/>
    </row>
    <row r="194" spans="2:25" ht="16">
      <c r="B194" s="67"/>
      <c r="I194" s="3" t="s">
        <v>59</v>
      </c>
      <c r="J194" s="345">
        <v>30</v>
      </c>
      <c r="K194" s="703">
        <v>1421.49</v>
      </c>
      <c r="L194" s="342">
        <v>1</v>
      </c>
      <c r="M194" s="342">
        <v>20.3002</v>
      </c>
      <c r="N194" s="340">
        <v>28856.531298000002</v>
      </c>
      <c r="O194" s="703">
        <v>1473.2028571428571</v>
      </c>
      <c r="P194" s="342">
        <v>1</v>
      </c>
      <c r="Q194" s="363">
        <v>20.2483</v>
      </c>
      <c r="R194" s="340">
        <v>29829.853412285713</v>
      </c>
      <c r="S194" s="342">
        <v>112.19</v>
      </c>
      <c r="T194" s="342">
        <v>118.002</v>
      </c>
      <c r="U194" s="342">
        <v>1.0518000000000001</v>
      </c>
      <c r="V194" s="340">
        <v>31375.039819042115</v>
      </c>
      <c r="W194" s="340">
        <v>-2518.5085210421166</v>
      </c>
      <c r="X194"/>
      <c r="Y194"/>
    </row>
    <row r="195" spans="2:25" ht="16">
      <c r="J195" s="345"/>
      <c r="K195" s="703"/>
      <c r="L195" s="342"/>
      <c r="M195" s="342"/>
      <c r="N195" s="340"/>
      <c r="O195" s="703"/>
      <c r="P195" s="342"/>
      <c r="Q195" s="363"/>
      <c r="R195" s="340"/>
      <c r="S195" s="342"/>
      <c r="T195" s="342"/>
      <c r="U195" s="342"/>
      <c r="V195" s="340"/>
      <c r="W195" s="340"/>
      <c r="X195"/>
      <c r="Y195"/>
    </row>
    <row r="196" spans="2:25" ht="16">
      <c r="B196" s="67"/>
      <c r="F196" s="346">
        <v>44574</v>
      </c>
      <c r="G196" s="346"/>
      <c r="H196" s="346"/>
      <c r="I196" s="346"/>
      <c r="J196" s="345"/>
      <c r="K196" s="703"/>
      <c r="L196" s="342"/>
      <c r="M196" s="342"/>
      <c r="N196" s="340"/>
      <c r="O196" s="703"/>
      <c r="P196" s="342"/>
      <c r="Q196" s="363"/>
      <c r="R196" s="340"/>
      <c r="S196" s="342"/>
      <c r="T196" s="342"/>
      <c r="U196" s="342"/>
      <c r="V196" s="340"/>
      <c r="W196" s="340"/>
      <c r="X196"/>
      <c r="Y196"/>
    </row>
    <row r="197" spans="2:25" ht="16">
      <c r="B197" s="67"/>
      <c r="G197" s="3" t="s">
        <v>59</v>
      </c>
      <c r="H197" s="3"/>
      <c r="I197" s="3"/>
      <c r="J197" s="345"/>
      <c r="K197" s="703"/>
      <c r="L197" s="342"/>
      <c r="M197" s="342"/>
      <c r="N197" s="340"/>
      <c r="O197" s="703"/>
      <c r="P197" s="342"/>
      <c r="Q197" s="363"/>
      <c r="R197" s="340"/>
      <c r="S197" s="342"/>
      <c r="T197" s="342"/>
      <c r="U197" s="342"/>
      <c r="V197" s="340"/>
      <c r="W197" s="340"/>
      <c r="X197"/>
      <c r="Y197"/>
    </row>
    <row r="198" spans="2:25" ht="16">
      <c r="B198" s="67"/>
      <c r="H198" s="347">
        <v>44259</v>
      </c>
      <c r="I198" s="347"/>
      <c r="J198" s="345"/>
      <c r="K198" s="703"/>
      <c r="L198" s="342"/>
      <c r="M198" s="342"/>
      <c r="N198" s="340"/>
      <c r="O198" s="703"/>
      <c r="P198" s="342"/>
      <c r="Q198" s="363"/>
      <c r="R198" s="340"/>
      <c r="S198" s="342"/>
      <c r="T198" s="342"/>
      <c r="U198" s="342"/>
      <c r="V198" s="340"/>
      <c r="W198" s="340"/>
      <c r="X198"/>
      <c r="Y198"/>
    </row>
    <row r="199" spans="2:25" ht="16">
      <c r="B199" s="67"/>
      <c r="I199" s="3" t="s">
        <v>59</v>
      </c>
      <c r="J199" s="345">
        <v>188</v>
      </c>
      <c r="K199" s="703">
        <v>9288.2914339622639</v>
      </c>
      <c r="L199" s="342">
        <v>1</v>
      </c>
      <c r="M199" s="342">
        <v>20.378499999999999</v>
      </c>
      <c r="N199" s="340">
        <v>189281.44698699997</v>
      </c>
      <c r="O199" s="703">
        <v>8995.8000000000011</v>
      </c>
      <c r="P199" s="342">
        <v>1</v>
      </c>
      <c r="Q199" s="363">
        <v>20.690300000000001</v>
      </c>
      <c r="R199" s="340">
        <v>186125.80074000001</v>
      </c>
      <c r="S199" s="342">
        <v>111.824</v>
      </c>
      <c r="T199" s="342">
        <v>118.002</v>
      </c>
      <c r="U199" s="342">
        <v>1.0551999999999999</v>
      </c>
      <c r="V199" s="340">
        <v>196399.94494084801</v>
      </c>
      <c r="W199" s="340">
        <v>-7118.4979538480384</v>
      </c>
      <c r="X199"/>
      <c r="Y199"/>
    </row>
    <row r="200" spans="2:25" ht="16">
      <c r="J200" s="345"/>
      <c r="K200" s="703"/>
      <c r="L200" s="342"/>
      <c r="M200" s="342"/>
      <c r="N200" s="340"/>
      <c r="O200" s="703"/>
      <c r="P200" s="342"/>
      <c r="Q200" s="363"/>
      <c r="R200" s="340"/>
      <c r="S200" s="342"/>
      <c r="T200" s="342"/>
      <c r="U200" s="342"/>
      <c r="V200" s="340"/>
      <c r="W200" s="340"/>
      <c r="X200"/>
      <c r="Y200"/>
    </row>
    <row r="201" spans="2:25" ht="16">
      <c r="B201" s="67"/>
      <c r="H201" s="347">
        <v>44195</v>
      </c>
      <c r="I201" s="347"/>
      <c r="J201" s="345"/>
      <c r="K201" s="703"/>
      <c r="L201" s="342"/>
      <c r="M201" s="342"/>
      <c r="N201" s="340"/>
      <c r="O201" s="703"/>
      <c r="P201" s="342"/>
      <c r="Q201" s="363"/>
      <c r="R201" s="340"/>
      <c r="S201" s="342"/>
      <c r="T201" s="342"/>
      <c r="U201" s="342"/>
      <c r="V201" s="340"/>
      <c r="W201" s="340"/>
      <c r="X201"/>
      <c r="Y201"/>
    </row>
    <row r="202" spans="2:25" ht="16">
      <c r="B202" s="67"/>
      <c r="I202" s="3" t="s">
        <v>59</v>
      </c>
      <c r="J202" s="345">
        <v>83</v>
      </c>
      <c r="K202" s="703">
        <v>4101.7785660377358</v>
      </c>
      <c r="L202" s="342">
        <v>1</v>
      </c>
      <c r="M202" s="342">
        <v>20.378499999999999</v>
      </c>
      <c r="N202" s="340">
        <v>83588.094507999995</v>
      </c>
      <c r="O202" s="703">
        <v>3255.0281376518219</v>
      </c>
      <c r="P202" s="342">
        <v>1</v>
      </c>
      <c r="Q202" s="363">
        <v>20.047699999999999</v>
      </c>
      <c r="R202" s="340">
        <v>65255.827595202427</v>
      </c>
      <c r="S202" s="342">
        <v>109.271</v>
      </c>
      <c r="T202" s="342">
        <v>118.002</v>
      </c>
      <c r="U202" s="342">
        <v>1.0799000000000001</v>
      </c>
      <c r="V202" s="340">
        <v>70469.768220059108</v>
      </c>
      <c r="W202" s="340">
        <v>13118.326287940887</v>
      </c>
      <c r="X202"/>
      <c r="Y202"/>
    </row>
    <row r="203" spans="2:25" ht="16">
      <c r="J203" s="345"/>
      <c r="K203" s="703"/>
      <c r="L203" s="342"/>
      <c r="M203" s="342"/>
      <c r="N203" s="340"/>
      <c r="O203" s="703"/>
      <c r="P203" s="342"/>
      <c r="Q203" s="363"/>
      <c r="R203" s="340"/>
      <c r="S203" s="342"/>
      <c r="T203" s="342"/>
      <c r="U203" s="342"/>
      <c r="V203" s="340"/>
      <c r="W203" s="340"/>
      <c r="X203"/>
      <c r="Y203"/>
    </row>
    <row r="204" spans="2:25" ht="16">
      <c r="B204" s="67"/>
      <c r="F204" s="346">
        <v>44579</v>
      </c>
      <c r="G204" s="346"/>
      <c r="H204" s="346"/>
      <c r="I204" s="346"/>
      <c r="J204" s="345"/>
      <c r="K204" s="703"/>
      <c r="L204" s="342"/>
      <c r="M204" s="342"/>
      <c r="N204" s="340"/>
      <c r="O204" s="703"/>
      <c r="P204" s="342"/>
      <c r="Q204" s="363"/>
      <c r="R204" s="340"/>
      <c r="S204" s="342"/>
      <c r="T204" s="342"/>
      <c r="U204" s="342"/>
      <c r="V204" s="340"/>
      <c r="W204" s="340"/>
      <c r="X204"/>
      <c r="Y204"/>
    </row>
    <row r="205" spans="2:25" ht="16">
      <c r="B205" s="67"/>
      <c r="G205" s="3" t="s">
        <v>59</v>
      </c>
      <c r="H205" s="3"/>
      <c r="I205" s="3"/>
      <c r="J205" s="345"/>
      <c r="K205" s="703"/>
      <c r="L205" s="342"/>
      <c r="M205" s="342"/>
      <c r="N205" s="340"/>
      <c r="O205" s="703"/>
      <c r="P205" s="342"/>
      <c r="Q205" s="363"/>
      <c r="R205" s="340"/>
      <c r="S205" s="342"/>
      <c r="T205" s="342"/>
      <c r="U205" s="342"/>
      <c r="V205" s="340"/>
      <c r="W205" s="340"/>
      <c r="X205"/>
      <c r="Y205"/>
    </row>
    <row r="206" spans="2:25" ht="16">
      <c r="B206" s="67"/>
      <c r="H206" s="347">
        <v>44293</v>
      </c>
      <c r="I206" s="347"/>
      <c r="J206" s="345"/>
      <c r="K206" s="703"/>
      <c r="L206" s="342"/>
      <c r="M206" s="342"/>
      <c r="N206" s="340"/>
      <c r="O206" s="703"/>
      <c r="P206" s="342"/>
      <c r="Q206" s="363"/>
      <c r="R206" s="340"/>
      <c r="S206" s="342"/>
      <c r="T206" s="342"/>
      <c r="U206" s="342"/>
      <c r="V206" s="340"/>
      <c r="W206" s="340"/>
      <c r="X206"/>
      <c r="Y206"/>
    </row>
    <row r="207" spans="2:25" ht="16">
      <c r="B207" s="67"/>
      <c r="I207" s="3" t="s">
        <v>59</v>
      </c>
      <c r="J207" s="345">
        <v>172</v>
      </c>
      <c r="K207" s="703">
        <v>8412.3439999999991</v>
      </c>
      <c r="L207" s="342">
        <v>1</v>
      </c>
      <c r="M207" s="342">
        <v>20.311800000000002</v>
      </c>
      <c r="N207" s="340">
        <v>170869.84885919999</v>
      </c>
      <c r="O207" s="703">
        <v>8431.3960952380949</v>
      </c>
      <c r="P207" s="342">
        <v>1</v>
      </c>
      <c r="Q207" s="363">
        <v>20.2483</v>
      </c>
      <c r="R207" s="340">
        <v>170721.43755520956</v>
      </c>
      <c r="S207" s="342">
        <v>112.19000000000001</v>
      </c>
      <c r="T207" s="342">
        <v>118.002</v>
      </c>
      <c r="U207" s="342">
        <v>1.0518000000000001</v>
      </c>
      <c r="V207" s="340">
        <v>179564.80802056938</v>
      </c>
      <c r="W207" s="340">
        <v>-8694.959161369381</v>
      </c>
      <c r="X207"/>
      <c r="Y207"/>
    </row>
    <row r="208" spans="2:25" ht="16">
      <c r="J208" s="345"/>
      <c r="K208" s="703"/>
      <c r="L208" s="342"/>
      <c r="M208" s="342"/>
      <c r="N208" s="340"/>
      <c r="O208" s="703"/>
      <c r="P208" s="342"/>
      <c r="Q208" s="363"/>
      <c r="R208" s="340"/>
      <c r="S208" s="342"/>
      <c r="T208" s="342"/>
      <c r="U208" s="342"/>
      <c r="V208" s="340"/>
      <c r="W208" s="340"/>
      <c r="X208"/>
      <c r="Y208"/>
    </row>
    <row r="209" spans="2:25" ht="16">
      <c r="B209" s="67"/>
      <c r="H209" s="347">
        <v>44259</v>
      </c>
      <c r="I209" s="347"/>
      <c r="J209" s="345"/>
      <c r="K209" s="703"/>
      <c r="L209" s="342"/>
      <c r="M209" s="342"/>
      <c r="N209" s="340"/>
      <c r="O209" s="703"/>
      <c r="P209" s="342"/>
      <c r="Q209" s="363"/>
      <c r="R209" s="340"/>
      <c r="S209" s="342"/>
      <c r="T209" s="342"/>
      <c r="U209" s="342"/>
      <c r="V209" s="340"/>
      <c r="W209" s="340"/>
      <c r="X209"/>
      <c r="Y209"/>
    </row>
    <row r="210" spans="2:25" ht="16">
      <c r="B210" s="67"/>
      <c r="I210" s="3" t="s">
        <v>59</v>
      </c>
      <c r="J210" s="345">
        <v>26</v>
      </c>
      <c r="K210" s="703">
        <v>1271.4160000000002</v>
      </c>
      <c r="L210" s="342">
        <v>1</v>
      </c>
      <c r="M210" s="342">
        <v>20.311800000000002</v>
      </c>
      <c r="N210" s="340">
        <v>25824.747508800006</v>
      </c>
      <c r="O210" s="703">
        <v>1244.0999999999999</v>
      </c>
      <c r="P210" s="342">
        <v>1</v>
      </c>
      <c r="Q210" s="363">
        <v>20.690300000000001</v>
      </c>
      <c r="R210" s="340">
        <v>25740.802230000001</v>
      </c>
      <c r="S210" s="342">
        <v>111.824</v>
      </c>
      <c r="T210" s="342">
        <v>118.002</v>
      </c>
      <c r="U210" s="342">
        <v>1.0551999999999999</v>
      </c>
      <c r="V210" s="340">
        <v>27161.694513096001</v>
      </c>
      <c r="W210" s="340">
        <v>-1336.9470042959965</v>
      </c>
      <c r="X210"/>
      <c r="Y210"/>
    </row>
    <row r="211" spans="2:25" ht="16">
      <c r="J211" s="345"/>
      <c r="K211" s="703"/>
      <c r="L211" s="342"/>
      <c r="M211" s="342"/>
      <c r="N211" s="340"/>
      <c r="O211" s="703"/>
      <c r="P211" s="342"/>
      <c r="Q211" s="363"/>
      <c r="R211" s="340"/>
      <c r="S211" s="342"/>
      <c r="T211" s="342"/>
      <c r="U211" s="342"/>
      <c r="V211" s="340"/>
      <c r="W211" s="340"/>
      <c r="X211"/>
      <c r="Y211"/>
    </row>
    <row r="212" spans="2:25" ht="16">
      <c r="B212" s="67"/>
      <c r="F212" s="346">
        <v>44587</v>
      </c>
      <c r="G212" s="346"/>
      <c r="H212" s="346"/>
      <c r="I212" s="346"/>
      <c r="J212" s="345"/>
      <c r="K212" s="703"/>
      <c r="L212" s="342"/>
      <c r="M212" s="342"/>
      <c r="N212" s="340"/>
      <c r="O212" s="703"/>
      <c r="P212" s="342"/>
      <c r="Q212" s="363"/>
      <c r="R212" s="340"/>
      <c r="S212" s="342"/>
      <c r="T212" s="342"/>
      <c r="U212" s="342"/>
      <c r="V212" s="340"/>
      <c r="W212" s="340"/>
      <c r="X212"/>
      <c r="Y212"/>
    </row>
    <row r="213" spans="2:25" ht="16">
      <c r="B213" s="67"/>
      <c r="G213" s="3" t="s">
        <v>59</v>
      </c>
      <c r="H213" s="3"/>
      <c r="I213" s="3"/>
      <c r="J213" s="345"/>
      <c r="K213" s="703"/>
      <c r="L213" s="342"/>
      <c r="M213" s="342"/>
      <c r="N213" s="340"/>
      <c r="O213" s="703"/>
      <c r="P213" s="342"/>
      <c r="Q213" s="363"/>
      <c r="R213" s="340"/>
      <c r="S213" s="342"/>
      <c r="T213" s="342"/>
      <c r="U213" s="342"/>
      <c r="V213" s="340"/>
      <c r="W213" s="340"/>
      <c r="X213"/>
      <c r="Y213"/>
    </row>
    <row r="214" spans="2:25" ht="16">
      <c r="B214" s="67"/>
      <c r="H214" s="347">
        <v>44293</v>
      </c>
      <c r="I214" s="347"/>
      <c r="J214" s="345"/>
      <c r="K214" s="703"/>
      <c r="L214" s="342"/>
      <c r="M214" s="342"/>
      <c r="N214" s="340"/>
      <c r="O214" s="703"/>
      <c r="P214" s="342"/>
      <c r="Q214" s="363"/>
      <c r="R214" s="340"/>
      <c r="S214" s="342"/>
      <c r="T214" s="342"/>
      <c r="U214" s="342"/>
      <c r="V214" s="340"/>
      <c r="W214" s="340"/>
      <c r="X214"/>
      <c r="Y214"/>
    </row>
    <row r="215" spans="2:25" ht="16">
      <c r="B215" s="67"/>
      <c r="I215" s="3" t="s">
        <v>59</v>
      </c>
      <c r="J215" s="345">
        <v>24</v>
      </c>
      <c r="K215" s="703">
        <v>1061.0999999999999</v>
      </c>
      <c r="L215" s="342">
        <v>1</v>
      </c>
      <c r="M215" s="342">
        <v>20.630800000000001</v>
      </c>
      <c r="N215" s="340">
        <v>21891.34188</v>
      </c>
      <c r="O215" s="703">
        <v>1178.5622857142857</v>
      </c>
      <c r="P215" s="342">
        <v>1</v>
      </c>
      <c r="Q215" s="363">
        <v>20.2483</v>
      </c>
      <c r="R215" s="340">
        <v>23863.882729828572</v>
      </c>
      <c r="S215" s="342">
        <v>112.19</v>
      </c>
      <c r="T215" s="342">
        <v>118.002</v>
      </c>
      <c r="U215" s="342">
        <v>1.0518000000000001</v>
      </c>
      <c r="V215" s="340">
        <v>25100.031855233694</v>
      </c>
      <c r="W215" s="340">
        <v>-3208.6899752336922</v>
      </c>
      <c r="X215"/>
      <c r="Y215"/>
    </row>
    <row r="216" spans="2:25" ht="16">
      <c r="J216" s="345"/>
      <c r="K216" s="703"/>
      <c r="L216" s="342"/>
      <c r="M216" s="342"/>
      <c r="N216" s="340"/>
      <c r="O216" s="703"/>
      <c r="P216" s="342"/>
      <c r="Q216" s="363"/>
      <c r="R216" s="340"/>
      <c r="S216" s="342"/>
      <c r="T216" s="342"/>
      <c r="U216" s="342"/>
      <c r="V216" s="340"/>
      <c r="W216" s="340"/>
      <c r="X216"/>
      <c r="Y216"/>
    </row>
    <row r="217" spans="2:25" ht="16">
      <c r="B217" s="67"/>
      <c r="H217" s="347">
        <v>44349</v>
      </c>
      <c r="I217" s="347"/>
      <c r="J217" s="345"/>
      <c r="K217" s="703"/>
      <c r="L217" s="342"/>
      <c r="M217" s="342"/>
      <c r="N217" s="340"/>
      <c r="O217" s="703"/>
      <c r="P217" s="342"/>
      <c r="Q217" s="363"/>
      <c r="R217" s="340"/>
      <c r="S217" s="342"/>
      <c r="T217" s="342"/>
      <c r="U217" s="342"/>
      <c r="V217" s="340"/>
      <c r="W217" s="340"/>
      <c r="X217"/>
      <c r="Y217"/>
    </row>
    <row r="218" spans="2:25" ht="16">
      <c r="B218" s="67"/>
      <c r="I218" s="3" t="s">
        <v>59</v>
      </c>
      <c r="J218" s="345">
        <v>93</v>
      </c>
      <c r="K218" s="703">
        <v>4194.3999999999996</v>
      </c>
      <c r="L218" s="342">
        <v>1</v>
      </c>
      <c r="M218" s="342">
        <v>20.630800000000001</v>
      </c>
      <c r="N218" s="340">
        <v>86533.827519999992</v>
      </c>
      <c r="O218" s="703">
        <v>4699.5608241758246</v>
      </c>
      <c r="P218" s="342">
        <v>1</v>
      </c>
      <c r="Q218" s="363">
        <v>19.921299999999999</v>
      </c>
      <c r="R218" s="340">
        <v>93621.361046653852</v>
      </c>
      <c r="S218" s="342">
        <v>113.018</v>
      </c>
      <c r="T218" s="342">
        <v>118.002</v>
      </c>
      <c r="U218" s="342">
        <v>1.044</v>
      </c>
      <c r="V218" s="340">
        <v>97740.700932706619</v>
      </c>
      <c r="W218" s="340">
        <v>-11206.873412706627</v>
      </c>
      <c r="X218"/>
      <c r="Y218"/>
    </row>
    <row r="219" spans="2:25" ht="16">
      <c r="J219" s="345"/>
      <c r="K219" s="703"/>
      <c r="L219" s="342"/>
      <c r="M219" s="342"/>
      <c r="N219" s="340"/>
      <c r="O219" s="703"/>
      <c r="P219" s="342"/>
      <c r="Q219" s="363"/>
      <c r="R219" s="340"/>
      <c r="S219" s="342"/>
      <c r="T219" s="342"/>
      <c r="U219" s="342"/>
      <c r="V219" s="340"/>
      <c r="W219" s="340"/>
      <c r="X219"/>
      <c r="Y219"/>
    </row>
    <row r="220" spans="2:25" ht="16">
      <c r="B220" s="67"/>
      <c r="F220" s="346">
        <v>44600</v>
      </c>
      <c r="G220" s="346"/>
      <c r="H220" s="346"/>
      <c r="I220" s="346"/>
      <c r="J220" s="345"/>
      <c r="K220" s="703"/>
      <c r="L220" s="342"/>
      <c r="M220" s="342"/>
      <c r="N220" s="340"/>
      <c r="O220" s="703"/>
      <c r="P220" s="342"/>
      <c r="Q220" s="363"/>
      <c r="R220" s="340"/>
      <c r="S220" s="342"/>
      <c r="T220" s="342"/>
      <c r="U220" s="342"/>
      <c r="V220" s="340"/>
      <c r="W220" s="340"/>
      <c r="X220"/>
      <c r="Y220"/>
    </row>
    <row r="221" spans="2:25" ht="16">
      <c r="B221" s="67"/>
      <c r="G221" s="3" t="s">
        <v>59</v>
      </c>
      <c r="H221" s="3"/>
      <c r="I221" s="3"/>
      <c r="J221" s="345"/>
      <c r="K221" s="703"/>
      <c r="L221" s="342"/>
      <c r="M221" s="342"/>
      <c r="N221" s="340"/>
      <c r="O221" s="703"/>
      <c r="P221" s="342"/>
      <c r="Q221" s="363"/>
      <c r="R221" s="340"/>
      <c r="S221" s="342"/>
      <c r="T221" s="342"/>
      <c r="U221" s="342"/>
      <c r="V221" s="340"/>
      <c r="W221" s="340"/>
      <c r="X221"/>
      <c r="Y221"/>
    </row>
    <row r="222" spans="2:25" ht="16">
      <c r="B222" s="67"/>
      <c r="H222" s="347">
        <v>44349</v>
      </c>
      <c r="I222" s="347"/>
      <c r="J222" s="345"/>
      <c r="K222" s="703"/>
      <c r="L222" s="342"/>
      <c r="M222" s="342"/>
      <c r="N222" s="340"/>
      <c r="O222" s="703"/>
      <c r="P222" s="342"/>
      <c r="Q222" s="363"/>
      <c r="R222" s="340"/>
      <c r="S222" s="342"/>
      <c r="T222" s="342"/>
      <c r="U222" s="342"/>
      <c r="V222" s="340"/>
      <c r="W222" s="340"/>
      <c r="X222"/>
      <c r="Y222"/>
    </row>
    <row r="223" spans="2:25" ht="16">
      <c r="B223" s="67"/>
      <c r="I223" s="3" t="s">
        <v>59</v>
      </c>
      <c r="J223" s="345">
        <v>12</v>
      </c>
      <c r="K223" s="703">
        <v>595.77</v>
      </c>
      <c r="L223" s="342">
        <v>1</v>
      </c>
      <c r="M223" s="342">
        <v>20.5562</v>
      </c>
      <c r="N223" s="340">
        <v>12246.767274</v>
      </c>
      <c r="O223" s="703">
        <v>528.53047539417105</v>
      </c>
      <c r="P223" s="342">
        <v>1</v>
      </c>
      <c r="Q223" s="363">
        <v>19.921299999999999</v>
      </c>
      <c r="R223" s="340">
        <v>10529.014159469898</v>
      </c>
      <c r="S223" s="342">
        <v>113.018</v>
      </c>
      <c r="T223" s="342">
        <v>118.98099999999999</v>
      </c>
      <c r="U223" s="342">
        <v>1.0527</v>
      </c>
      <c r="V223" s="340">
        <v>11083.893205673961</v>
      </c>
      <c r="W223" s="340">
        <v>1162.874068326038</v>
      </c>
      <c r="X223"/>
      <c r="Y223"/>
    </row>
    <row r="224" spans="2:25" ht="16">
      <c r="J224" s="345"/>
      <c r="K224" s="703"/>
      <c r="L224" s="342"/>
      <c r="M224" s="342"/>
      <c r="N224" s="340"/>
      <c r="O224" s="703"/>
      <c r="P224" s="342"/>
      <c r="Q224" s="363"/>
      <c r="R224" s="340"/>
      <c r="S224" s="342"/>
      <c r="T224" s="342"/>
      <c r="U224" s="342"/>
      <c r="V224" s="340"/>
      <c r="W224" s="340"/>
      <c r="X224"/>
      <c r="Y224"/>
    </row>
    <row r="225" spans="2:25" ht="16">
      <c r="B225" s="67"/>
      <c r="H225" s="347">
        <v>44397</v>
      </c>
      <c r="I225" s="347"/>
      <c r="J225" s="345"/>
      <c r="K225" s="703"/>
      <c r="L225" s="342"/>
      <c r="M225" s="342"/>
      <c r="N225" s="340"/>
      <c r="O225" s="703"/>
      <c r="P225" s="342"/>
      <c r="Q225" s="363"/>
      <c r="R225" s="340"/>
      <c r="S225" s="342"/>
      <c r="T225" s="342"/>
      <c r="U225" s="342"/>
      <c r="V225" s="340"/>
      <c r="W225" s="340"/>
      <c r="X225"/>
      <c r="Y225"/>
    </row>
    <row r="226" spans="2:25" ht="16">
      <c r="B226" s="67"/>
      <c r="I226" s="3" t="s">
        <v>59</v>
      </c>
      <c r="J226" s="345">
        <v>130</v>
      </c>
      <c r="K226" s="703">
        <v>6428.49</v>
      </c>
      <c r="L226" s="342">
        <v>1</v>
      </c>
      <c r="M226" s="342">
        <v>20.5562</v>
      </c>
      <c r="N226" s="340">
        <v>132145.326138</v>
      </c>
      <c r="O226" s="703">
        <v>5449.4610345921928</v>
      </c>
      <c r="P226" s="342">
        <v>1</v>
      </c>
      <c r="Q226" s="363">
        <v>19.8537</v>
      </c>
      <c r="R226" s="340">
        <v>108191.96454248302</v>
      </c>
      <c r="S226" s="342">
        <v>113.682</v>
      </c>
      <c r="T226" s="342">
        <v>118.98099999999999</v>
      </c>
      <c r="U226" s="342">
        <v>1.0466</v>
      </c>
      <c r="V226" s="340">
        <v>113233.71009016273</v>
      </c>
      <c r="W226" s="340">
        <v>18911.616047837277</v>
      </c>
      <c r="X226"/>
      <c r="Y226"/>
    </row>
    <row r="227" spans="2:25" ht="16">
      <c r="J227" s="345"/>
      <c r="K227" s="703"/>
      <c r="L227" s="342"/>
      <c r="M227" s="342"/>
      <c r="N227" s="340"/>
      <c r="O227" s="703"/>
      <c r="P227" s="342"/>
      <c r="Q227" s="363"/>
      <c r="R227" s="340"/>
      <c r="S227" s="342"/>
      <c r="T227" s="342"/>
      <c r="U227" s="342"/>
      <c r="V227" s="340"/>
      <c r="W227" s="340"/>
      <c r="X227"/>
      <c r="Y227"/>
    </row>
    <row r="228" spans="2:25" ht="16">
      <c r="B228" s="67"/>
      <c r="F228" s="346">
        <v>44687</v>
      </c>
      <c r="G228" s="346"/>
      <c r="H228" s="346"/>
      <c r="I228" s="346"/>
      <c r="J228" s="345"/>
      <c r="K228" s="703"/>
      <c r="L228" s="342"/>
      <c r="M228" s="342"/>
      <c r="N228" s="340"/>
      <c r="O228" s="703"/>
      <c r="P228" s="342"/>
      <c r="Q228" s="363"/>
      <c r="R228" s="340"/>
      <c r="S228" s="342"/>
      <c r="T228" s="342"/>
      <c r="U228" s="342"/>
      <c r="V228" s="340"/>
      <c r="W228" s="340"/>
      <c r="X228"/>
      <c r="Y228"/>
    </row>
    <row r="229" spans="2:25" ht="16">
      <c r="B229" s="67"/>
      <c r="G229" s="3" t="s">
        <v>59</v>
      </c>
      <c r="H229" s="3"/>
      <c r="I229" s="3"/>
      <c r="J229" s="345"/>
      <c r="K229" s="703"/>
      <c r="L229" s="342"/>
      <c r="M229" s="342"/>
      <c r="N229" s="340"/>
      <c r="O229" s="703"/>
      <c r="P229" s="342"/>
      <c r="Q229" s="363"/>
      <c r="R229" s="340"/>
      <c r="S229" s="342"/>
      <c r="T229" s="342"/>
      <c r="U229" s="342"/>
      <c r="V229" s="340"/>
      <c r="W229" s="340"/>
      <c r="X229"/>
      <c r="Y229"/>
    </row>
    <row r="230" spans="2:25" ht="16">
      <c r="B230" s="67"/>
      <c r="H230" s="347">
        <v>44426</v>
      </c>
      <c r="I230" s="347"/>
      <c r="J230" s="345"/>
      <c r="K230" s="703"/>
      <c r="L230" s="342"/>
      <c r="M230" s="342"/>
      <c r="N230" s="340"/>
      <c r="O230" s="703"/>
      <c r="P230" s="342"/>
      <c r="Q230" s="363"/>
      <c r="R230" s="340"/>
      <c r="S230" s="342"/>
      <c r="T230" s="342"/>
      <c r="U230" s="342"/>
      <c r="V230" s="340"/>
      <c r="W230" s="340"/>
      <c r="X230"/>
      <c r="Y230"/>
    </row>
    <row r="231" spans="2:25" ht="16">
      <c r="B231" s="67"/>
      <c r="I231" s="3" t="s">
        <v>59</v>
      </c>
      <c r="J231" s="345">
        <v>156</v>
      </c>
      <c r="K231" s="703">
        <v>5444.0145882352945</v>
      </c>
      <c r="L231" s="342">
        <v>1</v>
      </c>
      <c r="M231" s="342">
        <v>20.335000000000001</v>
      </c>
      <c r="N231" s="340">
        <v>110704.03665176472</v>
      </c>
      <c r="O231" s="703">
        <v>6331.82</v>
      </c>
      <c r="P231" s="342">
        <v>1</v>
      </c>
      <c r="Q231" s="363">
        <v>19.886299999999999</v>
      </c>
      <c r="R231" s="340">
        <v>125916.47206599999</v>
      </c>
      <c r="S231" s="342">
        <v>113.899</v>
      </c>
      <c r="T231" s="342">
        <v>121.02200000000001</v>
      </c>
      <c r="U231" s="342">
        <v>1.0625</v>
      </c>
      <c r="V231" s="340">
        <v>133786.25157012499</v>
      </c>
      <c r="W231" s="340">
        <v>-23082.214918360278</v>
      </c>
      <c r="X231"/>
      <c r="Y231"/>
    </row>
    <row r="232" spans="2:25" ht="16">
      <c r="J232" s="345"/>
      <c r="K232" s="703"/>
      <c r="L232" s="342"/>
      <c r="M232" s="342"/>
      <c r="N232" s="340"/>
      <c r="O232" s="703"/>
      <c r="P232" s="342"/>
      <c r="Q232" s="363"/>
      <c r="R232" s="340"/>
      <c r="S232" s="342"/>
      <c r="T232" s="342"/>
      <c r="U232" s="342"/>
      <c r="V232" s="340"/>
      <c r="W232" s="340"/>
      <c r="X232"/>
      <c r="Y232"/>
    </row>
    <row r="233" spans="2:25" ht="16">
      <c r="B233" s="67"/>
      <c r="H233" s="347">
        <v>44427</v>
      </c>
      <c r="I233" s="347"/>
      <c r="J233" s="345"/>
      <c r="K233" s="703"/>
      <c r="L233" s="342"/>
      <c r="M233" s="342"/>
      <c r="N233" s="340"/>
      <c r="O233" s="703"/>
      <c r="P233" s="342"/>
      <c r="Q233" s="363"/>
      <c r="R233" s="340"/>
      <c r="S233" s="342"/>
      <c r="T233" s="342"/>
      <c r="U233" s="342"/>
      <c r="V233" s="340"/>
      <c r="W233" s="340"/>
      <c r="X233"/>
      <c r="Y233"/>
    </row>
    <row r="234" spans="2:25" ht="16">
      <c r="B234" s="67"/>
      <c r="I234" s="3" t="s">
        <v>59</v>
      </c>
      <c r="J234" s="345">
        <v>100</v>
      </c>
      <c r="K234" s="703">
        <v>3512.2225882352941</v>
      </c>
      <c r="L234" s="342">
        <v>1</v>
      </c>
      <c r="M234" s="342">
        <v>20.335000000000001</v>
      </c>
      <c r="N234" s="340">
        <v>71421.046331764708</v>
      </c>
      <c r="O234" s="703">
        <v>3904.1279999999997</v>
      </c>
      <c r="P234" s="342">
        <v>1</v>
      </c>
      <c r="Q234" s="363">
        <v>19.991199999999999</v>
      </c>
      <c r="R234" s="340">
        <v>78048.203673599986</v>
      </c>
      <c r="S234" s="342">
        <v>113.899</v>
      </c>
      <c r="T234" s="342">
        <v>121.02200000000001</v>
      </c>
      <c r="U234" s="342">
        <v>1.0625</v>
      </c>
      <c r="V234" s="340">
        <v>82926.2164032</v>
      </c>
      <c r="W234" s="340">
        <v>-11505.170071435286</v>
      </c>
      <c r="X234"/>
      <c r="Y234"/>
    </row>
    <row r="235" spans="2:25" ht="16">
      <c r="J235" s="345"/>
      <c r="K235" s="703"/>
      <c r="L235" s="342"/>
      <c r="M235" s="342"/>
      <c r="N235" s="340"/>
      <c r="O235" s="703"/>
      <c r="P235" s="342"/>
      <c r="Q235" s="363"/>
      <c r="R235" s="340"/>
      <c r="S235" s="342"/>
      <c r="T235" s="342"/>
      <c r="U235" s="342"/>
      <c r="V235" s="340"/>
      <c r="W235" s="340"/>
      <c r="X235"/>
      <c r="Y235"/>
    </row>
    <row r="236" spans="2:25" ht="16">
      <c r="B236" s="67"/>
      <c r="H236" s="347">
        <v>44397</v>
      </c>
      <c r="I236" s="347"/>
      <c r="J236" s="345"/>
      <c r="K236" s="703"/>
      <c r="L236" s="342"/>
      <c r="M236" s="342"/>
      <c r="N236" s="340"/>
      <c r="O236" s="703"/>
      <c r="P236" s="342"/>
      <c r="Q236" s="363"/>
      <c r="R236" s="340"/>
      <c r="S236" s="342"/>
      <c r="T236" s="342"/>
      <c r="U236" s="342"/>
      <c r="V236" s="340"/>
      <c r="W236" s="340"/>
      <c r="X236"/>
      <c r="Y236"/>
    </row>
    <row r="237" spans="2:25" ht="16">
      <c r="B237" s="67"/>
      <c r="I237" s="3" t="s">
        <v>59</v>
      </c>
      <c r="J237" s="345">
        <v>167</v>
      </c>
      <c r="K237" s="703">
        <v>5879.9928235294128</v>
      </c>
      <c r="L237" s="342">
        <v>1</v>
      </c>
      <c r="M237" s="342">
        <v>20.335000000000001</v>
      </c>
      <c r="N237" s="340">
        <v>119569.6540664706</v>
      </c>
      <c r="O237" s="703">
        <v>7017.9672262773729</v>
      </c>
      <c r="P237" s="342">
        <v>1</v>
      </c>
      <c r="Q237" s="363">
        <v>19.8537</v>
      </c>
      <c r="R237" s="340">
        <v>139332.61592034306</v>
      </c>
      <c r="S237" s="342">
        <v>113.682</v>
      </c>
      <c r="T237" s="342">
        <v>121.02200000000001</v>
      </c>
      <c r="U237" s="342">
        <v>1.0645</v>
      </c>
      <c r="V237" s="340">
        <v>148319.56964720521</v>
      </c>
      <c r="W237" s="340">
        <v>-28749.915580734607</v>
      </c>
      <c r="X237"/>
      <c r="Y237"/>
    </row>
    <row r="238" spans="2:25" ht="16">
      <c r="J238" s="345"/>
      <c r="K238" s="703"/>
      <c r="L238" s="342"/>
      <c r="M238" s="342"/>
      <c r="N238" s="340"/>
      <c r="O238" s="703"/>
      <c r="P238" s="342"/>
      <c r="Q238" s="363"/>
      <c r="R238" s="340"/>
      <c r="S238" s="342"/>
      <c r="T238" s="342"/>
      <c r="U238" s="342"/>
      <c r="V238" s="340"/>
      <c r="W238" s="340"/>
      <c r="X238"/>
      <c r="Y238"/>
    </row>
    <row r="239" spans="2:25" ht="16">
      <c r="B239" s="67"/>
      <c r="F239" s="346">
        <v>44690</v>
      </c>
      <c r="G239" s="346"/>
      <c r="H239" s="346"/>
      <c r="I239" s="346"/>
      <c r="J239" s="345"/>
      <c r="K239" s="703"/>
      <c r="L239" s="342"/>
      <c r="M239" s="342"/>
      <c r="N239" s="340"/>
      <c r="O239" s="703"/>
      <c r="P239" s="342"/>
      <c r="Q239" s="363"/>
      <c r="R239" s="340"/>
      <c r="S239" s="342"/>
      <c r="T239" s="342"/>
      <c r="U239" s="342"/>
      <c r="V239" s="340"/>
      <c r="W239" s="340"/>
      <c r="X239"/>
      <c r="Y239"/>
    </row>
    <row r="240" spans="2:25" ht="16">
      <c r="B240" s="67"/>
      <c r="G240" s="3" t="s">
        <v>59</v>
      </c>
      <c r="H240" s="3"/>
      <c r="I240" s="3"/>
      <c r="J240" s="345"/>
      <c r="K240" s="703"/>
      <c r="L240" s="342"/>
      <c r="M240" s="342"/>
      <c r="N240" s="340"/>
      <c r="O240" s="703"/>
      <c r="P240" s="342"/>
      <c r="Q240" s="363"/>
      <c r="R240" s="340"/>
      <c r="S240" s="342"/>
      <c r="T240" s="342"/>
      <c r="U240" s="342"/>
      <c r="V240" s="340"/>
      <c r="W240" s="340"/>
      <c r="X240"/>
      <c r="Y240"/>
    </row>
    <row r="241" spans="2:25" ht="16">
      <c r="B241" s="67"/>
      <c r="H241" s="347">
        <v>44427</v>
      </c>
      <c r="I241" s="347"/>
      <c r="J241" s="345"/>
      <c r="K241" s="703"/>
      <c r="L241" s="342"/>
      <c r="M241" s="342"/>
      <c r="N241" s="340"/>
      <c r="O241" s="703"/>
      <c r="P241" s="342"/>
      <c r="Q241" s="363"/>
      <c r="R241" s="340"/>
      <c r="S241" s="342"/>
      <c r="T241" s="342"/>
      <c r="U241" s="342"/>
      <c r="V241" s="340"/>
      <c r="W241" s="340"/>
      <c r="X241"/>
      <c r="Y241"/>
    </row>
    <row r="242" spans="2:25" ht="16">
      <c r="B242" s="67"/>
      <c r="I242" s="3" t="s">
        <v>59</v>
      </c>
      <c r="J242" s="345">
        <v>39</v>
      </c>
      <c r="K242" s="703">
        <v>1244.5307462686567</v>
      </c>
      <c r="L242" s="342">
        <v>1</v>
      </c>
      <c r="M242" s="342">
        <v>20.253499999999999</v>
      </c>
      <c r="N242" s="340">
        <v>25206.103469552236</v>
      </c>
      <c r="O242" s="703">
        <v>1510.2220000000002</v>
      </c>
      <c r="P242" s="342">
        <v>1</v>
      </c>
      <c r="Q242" s="363">
        <v>19.991199999999999</v>
      </c>
      <c r="R242" s="340">
        <v>30191.150046399998</v>
      </c>
      <c r="S242" s="342">
        <v>113.899</v>
      </c>
      <c r="T242" s="342">
        <v>121.02200000000001</v>
      </c>
      <c r="U242" s="342">
        <v>1.0625</v>
      </c>
      <c r="V242" s="340">
        <v>32078.0969243</v>
      </c>
      <c r="W242" s="340">
        <v>-6871.9934547477642</v>
      </c>
      <c r="X242"/>
      <c r="Y242"/>
    </row>
    <row r="243" spans="2:25" ht="16">
      <c r="J243" s="345"/>
      <c r="K243" s="703"/>
      <c r="L243" s="342"/>
      <c r="M243" s="342"/>
      <c r="N243" s="340"/>
      <c r="O243" s="703"/>
      <c r="P243" s="342"/>
      <c r="Q243" s="363"/>
      <c r="R243" s="340"/>
      <c r="S243" s="342"/>
      <c r="T243" s="342"/>
      <c r="U243" s="342"/>
      <c r="V243" s="340"/>
      <c r="W243" s="340"/>
      <c r="X243"/>
      <c r="Y243"/>
    </row>
    <row r="244" spans="2:25" ht="16">
      <c r="B244" s="67"/>
      <c r="H244" s="347">
        <v>44529</v>
      </c>
      <c r="I244" s="347"/>
      <c r="J244" s="345"/>
      <c r="K244" s="703"/>
      <c r="L244" s="342"/>
      <c r="M244" s="342"/>
      <c r="N244" s="340"/>
      <c r="O244" s="703"/>
      <c r="P244" s="342"/>
      <c r="Q244" s="363"/>
      <c r="R244" s="340"/>
      <c r="S244" s="342"/>
      <c r="T244" s="342"/>
      <c r="U244" s="342"/>
      <c r="V244" s="340"/>
      <c r="W244" s="340"/>
      <c r="X244"/>
      <c r="Y244"/>
    </row>
    <row r="245" spans="2:25" ht="16">
      <c r="B245" s="67"/>
      <c r="I245" s="3" t="s">
        <v>59</v>
      </c>
      <c r="J245" s="345">
        <v>95</v>
      </c>
      <c r="K245" s="703">
        <v>3031.549253731343</v>
      </c>
      <c r="L245" s="342">
        <v>1</v>
      </c>
      <c r="M245" s="342">
        <v>20.253499999999999</v>
      </c>
      <c r="N245" s="340">
        <v>61399.482810447756</v>
      </c>
      <c r="O245" s="703">
        <v>3676.6125581395345</v>
      </c>
      <c r="P245" s="342">
        <v>1</v>
      </c>
      <c r="Q245" s="363">
        <v>21.546199999999999</v>
      </c>
      <c r="R245" s="340">
        <v>79217.029500186036</v>
      </c>
      <c r="S245" s="342">
        <v>116.884</v>
      </c>
      <c r="T245" s="342">
        <v>121.02200000000001</v>
      </c>
      <c r="U245" s="342">
        <v>1.0354000000000001</v>
      </c>
      <c r="V245" s="340">
        <v>82021.312344492631</v>
      </c>
      <c r="W245" s="340">
        <v>-20621.829534044875</v>
      </c>
      <c r="X245"/>
      <c r="Y245"/>
    </row>
    <row r="246" spans="2:25" ht="16">
      <c r="J246" s="345"/>
      <c r="K246" s="703"/>
      <c r="L246" s="342"/>
      <c r="M246" s="342"/>
      <c r="N246" s="340"/>
      <c r="O246" s="703"/>
      <c r="P246" s="342"/>
      <c r="Q246" s="363"/>
      <c r="R246" s="340"/>
      <c r="S246" s="342"/>
      <c r="T246" s="342"/>
      <c r="U246" s="342"/>
      <c r="V246" s="340"/>
      <c r="W246" s="340"/>
      <c r="X246"/>
      <c r="Y246"/>
    </row>
    <row r="247" spans="2:25" ht="16">
      <c r="B247" s="67"/>
      <c r="F247" s="346">
        <v>44691</v>
      </c>
      <c r="G247" s="346"/>
      <c r="H247" s="346"/>
      <c r="I247" s="346"/>
      <c r="J247" s="345"/>
      <c r="K247" s="703"/>
      <c r="L247" s="342"/>
      <c r="M247" s="342"/>
      <c r="N247" s="340"/>
      <c r="O247" s="703"/>
      <c r="P247" s="342"/>
      <c r="Q247" s="363"/>
      <c r="R247" s="340"/>
      <c r="S247" s="342"/>
      <c r="T247" s="342"/>
      <c r="U247" s="342"/>
      <c r="V247" s="340"/>
      <c r="W247" s="340"/>
      <c r="X247"/>
      <c r="Y247"/>
    </row>
    <row r="248" spans="2:25" ht="16">
      <c r="B248" s="67"/>
      <c r="G248" s="3" t="s">
        <v>59</v>
      </c>
      <c r="H248" s="3"/>
      <c r="I248" s="3"/>
      <c r="J248" s="345"/>
      <c r="K248" s="703"/>
      <c r="L248" s="342"/>
      <c r="M248" s="342"/>
      <c r="N248" s="340"/>
      <c r="O248" s="703"/>
      <c r="P248" s="342"/>
      <c r="Q248" s="363"/>
      <c r="R248" s="340"/>
      <c r="S248" s="342"/>
      <c r="T248" s="342"/>
      <c r="U248" s="342"/>
      <c r="V248" s="340"/>
      <c r="W248" s="340"/>
      <c r="X248"/>
      <c r="Y248"/>
    </row>
    <row r="249" spans="2:25" ht="16">
      <c r="B249" s="67"/>
      <c r="H249" s="347">
        <v>44529</v>
      </c>
      <c r="I249" s="347"/>
      <c r="J249" s="345"/>
      <c r="K249" s="703"/>
      <c r="L249" s="342"/>
      <c r="M249" s="342"/>
      <c r="N249" s="340"/>
      <c r="O249" s="703"/>
      <c r="P249" s="342"/>
      <c r="Q249" s="363"/>
      <c r="R249" s="340"/>
      <c r="S249" s="342"/>
      <c r="T249" s="342"/>
      <c r="U249" s="342"/>
      <c r="V249" s="340"/>
      <c r="W249" s="340"/>
      <c r="X249"/>
      <c r="Y249"/>
    </row>
    <row r="250" spans="2:25" ht="16">
      <c r="B250" s="67"/>
      <c r="I250" s="3" t="s">
        <v>59</v>
      </c>
      <c r="J250" s="345">
        <v>151</v>
      </c>
      <c r="K250" s="703">
        <v>4737.9615662650604</v>
      </c>
      <c r="L250" s="342">
        <v>1</v>
      </c>
      <c r="M250" s="342">
        <v>20.108499999999999</v>
      </c>
      <c r="N250" s="340">
        <v>95273.30015524097</v>
      </c>
      <c r="O250" s="703">
        <v>5888.2274418604648</v>
      </c>
      <c r="P250" s="342">
        <v>1</v>
      </c>
      <c r="Q250" s="363">
        <v>21.546199999999999</v>
      </c>
      <c r="R250" s="340">
        <v>126868.92610781394</v>
      </c>
      <c r="S250" s="342">
        <v>116.884</v>
      </c>
      <c r="T250" s="342">
        <v>121.02200000000001</v>
      </c>
      <c r="U250" s="342">
        <v>1.0354000000000001</v>
      </c>
      <c r="V250" s="340">
        <v>131360.08609203057</v>
      </c>
      <c r="W250" s="340">
        <v>-36086.785936789602</v>
      </c>
      <c r="X250"/>
      <c r="Y250"/>
    </row>
    <row r="251" spans="2:25" ht="16">
      <c r="J251" s="345"/>
      <c r="K251" s="703"/>
      <c r="L251" s="342"/>
      <c r="M251" s="342"/>
      <c r="N251" s="340"/>
      <c r="O251" s="703"/>
      <c r="P251" s="342"/>
      <c r="Q251" s="363"/>
      <c r="R251" s="340"/>
      <c r="S251" s="342"/>
      <c r="T251" s="342"/>
      <c r="U251" s="342"/>
      <c r="V251" s="340"/>
      <c r="W251" s="340"/>
      <c r="X251"/>
      <c r="Y251"/>
    </row>
    <row r="252" spans="2:25" ht="16">
      <c r="B252" s="67"/>
      <c r="H252" s="347">
        <v>44629</v>
      </c>
      <c r="I252" s="347"/>
      <c r="J252" s="345"/>
      <c r="K252" s="703"/>
      <c r="L252" s="342"/>
      <c r="M252" s="342"/>
      <c r="N252" s="340"/>
      <c r="O252" s="703"/>
      <c r="P252" s="342"/>
      <c r="Q252" s="363"/>
      <c r="R252" s="340"/>
      <c r="S252" s="342"/>
      <c r="T252" s="342"/>
      <c r="U252" s="342"/>
      <c r="V252" s="340"/>
      <c r="W252" s="340"/>
      <c r="X252"/>
      <c r="Y252"/>
    </row>
    <row r="253" spans="2:25" ht="16">
      <c r="B253" s="67"/>
      <c r="I253" s="3" t="s">
        <v>59</v>
      </c>
      <c r="J253" s="345">
        <v>110</v>
      </c>
      <c r="K253" s="703">
        <v>3444.0384337349401</v>
      </c>
      <c r="L253" s="342">
        <v>1</v>
      </c>
      <c r="M253" s="342">
        <v>20.108499999999996</v>
      </c>
      <c r="N253" s="340">
        <v>69254.446844759033</v>
      </c>
      <c r="O253" s="703">
        <v>4698.0290769230769</v>
      </c>
      <c r="P253" s="342">
        <v>1</v>
      </c>
      <c r="Q253" s="363">
        <v>21.194700000000001</v>
      </c>
      <c r="R253" s="340">
        <v>99573.316876661527</v>
      </c>
      <c r="S253" s="342">
        <v>120.15900000000001</v>
      </c>
      <c r="T253" s="342">
        <v>121.02200000000001</v>
      </c>
      <c r="U253" s="342">
        <v>1.0071000000000001</v>
      </c>
      <c r="V253" s="340">
        <v>100280.28742648584</v>
      </c>
      <c r="W253" s="340">
        <v>-31025.840581726807</v>
      </c>
      <c r="X253"/>
      <c r="Y253"/>
    </row>
    <row r="254" spans="2:25" ht="16">
      <c r="J254" s="345"/>
      <c r="K254" s="703"/>
      <c r="L254" s="342"/>
      <c r="M254" s="342"/>
      <c r="N254" s="340"/>
      <c r="O254" s="703"/>
      <c r="P254" s="342"/>
      <c r="Q254" s="363"/>
      <c r="R254" s="340"/>
      <c r="S254" s="342"/>
      <c r="T254" s="342"/>
      <c r="U254" s="342"/>
      <c r="V254" s="340"/>
      <c r="W254" s="340"/>
      <c r="X254"/>
      <c r="Y254"/>
    </row>
    <row r="255" spans="2:25" ht="16">
      <c r="B255" s="67"/>
      <c r="F255" s="346">
        <v>44588</v>
      </c>
      <c r="G255" s="346"/>
      <c r="H255" s="346"/>
      <c r="I255" s="346"/>
      <c r="J255" s="345"/>
      <c r="K255" s="703"/>
      <c r="L255" s="342"/>
      <c r="M255" s="342"/>
      <c r="N255" s="340"/>
      <c r="O255" s="703"/>
      <c r="P255" s="342"/>
      <c r="Q255" s="363"/>
      <c r="R255" s="340"/>
      <c r="S255" s="342"/>
      <c r="T255" s="342"/>
      <c r="U255" s="342"/>
      <c r="V255" s="340"/>
      <c r="W255" s="340"/>
      <c r="X255"/>
      <c r="Y255"/>
    </row>
    <row r="256" spans="2:25" ht="16">
      <c r="B256" s="67"/>
      <c r="G256" s="3" t="s">
        <v>59</v>
      </c>
      <c r="H256" s="3"/>
      <c r="I256" s="3"/>
      <c r="J256" s="345"/>
      <c r="K256" s="703"/>
      <c r="L256" s="342"/>
      <c r="M256" s="342"/>
      <c r="N256" s="340"/>
      <c r="O256" s="703"/>
      <c r="P256" s="342"/>
      <c r="Q256" s="363"/>
      <c r="R256" s="340"/>
      <c r="S256" s="342"/>
      <c r="T256" s="342"/>
      <c r="U256" s="342"/>
      <c r="V256" s="340"/>
      <c r="W256" s="340"/>
      <c r="X256"/>
      <c r="Y256"/>
    </row>
    <row r="257" spans="2:25" ht="16">
      <c r="B257" s="67"/>
      <c r="H257" s="347">
        <v>44293</v>
      </c>
      <c r="I257" s="347"/>
      <c r="J257" s="345"/>
      <c r="K257" s="703"/>
      <c r="L257" s="342"/>
      <c r="M257" s="342"/>
      <c r="N257" s="340"/>
      <c r="O257" s="703"/>
      <c r="P257" s="342"/>
      <c r="Q257" s="363"/>
      <c r="R257" s="340"/>
      <c r="S257" s="342"/>
      <c r="T257" s="342"/>
      <c r="U257" s="342"/>
      <c r="V257" s="340"/>
      <c r="W257" s="340"/>
      <c r="X257"/>
      <c r="Y257"/>
    </row>
    <row r="258" spans="2:25" ht="16">
      <c r="B258" s="67"/>
      <c r="I258" s="3" t="s">
        <v>59</v>
      </c>
      <c r="J258" s="345">
        <v>22</v>
      </c>
      <c r="K258" s="703">
        <v>984.57920000000001</v>
      </c>
      <c r="L258" s="342">
        <v>1</v>
      </c>
      <c r="M258" s="342">
        <v>20.668299999999999</v>
      </c>
      <c r="N258" s="340">
        <v>20349.578279359997</v>
      </c>
      <c r="O258" s="703">
        <v>1080.3487619047619</v>
      </c>
      <c r="P258" s="342">
        <v>1</v>
      </c>
      <c r="Q258" s="363">
        <v>20.2483</v>
      </c>
      <c r="R258" s="340">
        <v>21875.225835676192</v>
      </c>
      <c r="S258" s="342">
        <v>112.19</v>
      </c>
      <c r="T258" s="342">
        <v>118.002</v>
      </c>
      <c r="U258" s="342">
        <v>1.0518000000000001</v>
      </c>
      <c r="V258" s="340">
        <v>23008.36253396422</v>
      </c>
      <c r="W258" s="340">
        <v>-2658.784254604223</v>
      </c>
      <c r="X258"/>
      <c r="Y258"/>
    </row>
    <row r="259" spans="2:25" ht="16">
      <c r="J259" s="345"/>
      <c r="K259" s="703"/>
      <c r="L259" s="342"/>
      <c r="M259" s="342"/>
      <c r="N259" s="340"/>
      <c r="O259" s="703"/>
      <c r="P259" s="342"/>
      <c r="Q259" s="363"/>
      <c r="R259" s="340"/>
      <c r="S259" s="342"/>
      <c r="T259" s="342"/>
      <c r="U259" s="342"/>
      <c r="V259" s="340"/>
      <c r="W259" s="340"/>
      <c r="X259"/>
      <c r="Y259"/>
    </row>
    <row r="260" spans="2:25" ht="16">
      <c r="B260" s="67"/>
      <c r="H260" s="347">
        <v>44349</v>
      </c>
      <c r="I260" s="347"/>
      <c r="J260" s="345"/>
      <c r="K260" s="703"/>
      <c r="L260" s="342"/>
      <c r="M260" s="342"/>
      <c r="N260" s="340"/>
      <c r="O260" s="703"/>
      <c r="P260" s="342"/>
      <c r="Q260" s="363"/>
      <c r="R260" s="340"/>
      <c r="S260" s="342"/>
      <c r="T260" s="342"/>
      <c r="U260" s="342"/>
      <c r="V260" s="340"/>
      <c r="W260" s="340"/>
      <c r="X260"/>
      <c r="Y260"/>
    </row>
    <row r="261" spans="2:25" ht="16">
      <c r="B261" s="67"/>
      <c r="I261" s="3" t="s">
        <v>59</v>
      </c>
      <c r="J261" s="345">
        <v>86</v>
      </c>
      <c r="K261" s="703">
        <v>3775.3908000000001</v>
      </c>
      <c r="L261" s="342">
        <v>1</v>
      </c>
      <c r="M261" s="342">
        <v>20.668299999999999</v>
      </c>
      <c r="N261" s="340">
        <v>78030.909671639994</v>
      </c>
      <c r="O261" s="703">
        <v>4345.8304395604391</v>
      </c>
      <c r="P261" s="342">
        <v>1</v>
      </c>
      <c r="Q261" s="363">
        <v>19.921299999999999</v>
      </c>
      <c r="R261" s="340">
        <v>86574.591935615375</v>
      </c>
      <c r="S261" s="342">
        <v>113.018</v>
      </c>
      <c r="T261" s="342">
        <v>118.002</v>
      </c>
      <c r="U261" s="342">
        <v>1.044</v>
      </c>
      <c r="V261" s="340">
        <v>90383.873980782446</v>
      </c>
      <c r="W261" s="340">
        <v>-12352.964309142444</v>
      </c>
      <c r="X261"/>
      <c r="Y261"/>
    </row>
    <row r="262" spans="2:25" ht="16">
      <c r="J262" s="345"/>
      <c r="K262" s="703"/>
      <c r="L262" s="342"/>
      <c r="M262" s="342"/>
      <c r="N262" s="340"/>
      <c r="O262" s="703"/>
      <c r="P262" s="342"/>
      <c r="Q262" s="363"/>
      <c r="R262" s="340"/>
      <c r="S262" s="342"/>
      <c r="T262" s="342"/>
      <c r="U262" s="342"/>
      <c r="V262" s="340"/>
      <c r="W262" s="340"/>
      <c r="X262"/>
      <c r="Y262"/>
    </row>
    <row r="263" spans="2:25" ht="16">
      <c r="B263" s="67"/>
      <c r="E263" s="131" t="s">
        <v>1054</v>
      </c>
      <c r="F263" s="131"/>
      <c r="G263" s="131"/>
      <c r="H263" s="131"/>
      <c r="I263" s="131"/>
      <c r="J263" s="704">
        <v>2005</v>
      </c>
      <c r="K263" s="705">
        <v>79725.98</v>
      </c>
      <c r="L263" s="369">
        <v>1</v>
      </c>
      <c r="M263" s="377">
        <v>20.352412121212136</v>
      </c>
      <c r="N263" s="706">
        <v>1623991.7674220002</v>
      </c>
      <c r="O263" s="705">
        <v>88130.64813765182</v>
      </c>
      <c r="P263" s="369">
        <v>1</v>
      </c>
      <c r="Q263" s="377">
        <v>20.482946969696972</v>
      </c>
      <c r="R263" s="706">
        <v>1804164.9147687682</v>
      </c>
      <c r="S263" s="369">
        <v>115.28289393939393</v>
      </c>
      <c r="T263" s="369">
        <v>119.78277272727269</v>
      </c>
      <c r="U263" s="369">
        <v>1.0396151515151515</v>
      </c>
      <c r="V263" s="706">
        <v>1883606.4333052889</v>
      </c>
      <c r="W263" s="706">
        <v>-259614.66588328889</v>
      </c>
      <c r="X263"/>
      <c r="Y263"/>
    </row>
    <row r="264" spans="2:25" ht="16">
      <c r="J264" s="345"/>
      <c r="K264" s="703"/>
      <c r="L264" s="342"/>
      <c r="M264" s="342"/>
      <c r="N264" s="340"/>
      <c r="O264" s="703"/>
      <c r="P264" s="342"/>
      <c r="Q264" s="363"/>
      <c r="R264" s="340"/>
      <c r="S264" s="342"/>
      <c r="T264" s="342"/>
      <c r="U264" s="342"/>
      <c r="V264" s="340"/>
      <c r="W264" s="340"/>
      <c r="X264"/>
      <c r="Y264"/>
    </row>
    <row r="265" spans="2:25" ht="16">
      <c r="B265" s="67"/>
      <c r="D265" s="364" t="s">
        <v>1255</v>
      </c>
      <c r="E265" s="364"/>
      <c r="F265" s="364"/>
      <c r="G265" s="364"/>
      <c r="H265" s="364"/>
      <c r="I265" s="364"/>
      <c r="J265" s="707">
        <v>3665</v>
      </c>
      <c r="K265" s="708">
        <v>172003.22</v>
      </c>
      <c r="L265" s="370">
        <v>1</v>
      </c>
      <c r="M265" s="370">
        <v>20.496920338983028</v>
      </c>
      <c r="N265" s="709">
        <v>3528292.1943930001</v>
      </c>
      <c r="O265" s="708">
        <v>251796.45887574699</v>
      </c>
      <c r="P265" s="370">
        <v>1</v>
      </c>
      <c r="Q265" s="376">
        <v>20.360624858757099</v>
      </c>
      <c r="R265" s="709">
        <v>5130569.3631336018</v>
      </c>
      <c r="S265" s="370">
        <v>115.05285310734469</v>
      </c>
      <c r="T265" s="370">
        <v>120.78975141242958</v>
      </c>
      <c r="U265" s="370">
        <v>1.0502960451977421</v>
      </c>
      <c r="V265" s="709">
        <v>5373268.1056107339</v>
      </c>
      <c r="W265" s="709">
        <v>-1844975.911217734</v>
      </c>
      <c r="X265"/>
      <c r="Y265"/>
    </row>
    <row r="266" spans="2:25" ht="16">
      <c r="J266" s="345"/>
      <c r="K266" s="703"/>
      <c r="L266" s="342"/>
      <c r="M266" s="342"/>
      <c r="N266" s="340"/>
      <c r="O266" s="703"/>
      <c r="P266" s="342"/>
      <c r="Q266" s="363"/>
      <c r="R266" s="340"/>
      <c r="S266" s="342"/>
      <c r="T266" s="342"/>
      <c r="U266" s="342"/>
      <c r="V266" s="340"/>
      <c r="W266" s="340"/>
      <c r="X266"/>
      <c r="Y266"/>
    </row>
    <row r="267" spans="2:25" ht="16">
      <c r="B267" s="67"/>
      <c r="D267" s="1" t="s">
        <v>1266</v>
      </c>
      <c r="J267" s="345"/>
      <c r="K267" s="703"/>
      <c r="L267" s="342"/>
      <c r="M267" s="342"/>
      <c r="N267" s="340"/>
      <c r="O267" s="703"/>
      <c r="P267" s="342"/>
      <c r="Q267" s="363"/>
      <c r="R267" s="340"/>
      <c r="S267" s="342"/>
      <c r="T267" s="342"/>
      <c r="U267" s="342"/>
      <c r="V267" s="340"/>
      <c r="W267" s="340"/>
      <c r="X267"/>
      <c r="Y267"/>
    </row>
    <row r="268" spans="2:25" ht="16">
      <c r="B268" s="67"/>
      <c r="E268" s="1" t="s">
        <v>938</v>
      </c>
      <c r="J268" s="345"/>
      <c r="K268" s="703"/>
      <c r="L268" s="342"/>
      <c r="M268" s="342"/>
      <c r="N268" s="340"/>
      <c r="O268" s="703"/>
      <c r="P268" s="342"/>
      <c r="Q268" s="363"/>
      <c r="R268" s="340"/>
      <c r="S268" s="342"/>
      <c r="T268" s="342"/>
      <c r="U268" s="342"/>
      <c r="V268" s="340"/>
      <c r="W268" s="340"/>
      <c r="X268"/>
      <c r="Y268"/>
    </row>
    <row r="269" spans="2:25" ht="16">
      <c r="B269" s="67"/>
      <c r="F269" s="346">
        <v>44755</v>
      </c>
      <c r="G269" s="346"/>
      <c r="H269" s="346"/>
      <c r="I269" s="346"/>
      <c r="J269" s="345"/>
      <c r="K269" s="703"/>
      <c r="L269" s="342"/>
      <c r="M269" s="342"/>
      <c r="N269" s="340"/>
      <c r="O269" s="703"/>
      <c r="P269" s="342"/>
      <c r="Q269" s="363"/>
      <c r="R269" s="340"/>
      <c r="S269" s="342"/>
      <c r="T269" s="342"/>
      <c r="U269" s="342"/>
      <c r="V269" s="340"/>
      <c r="W269" s="340"/>
      <c r="X269"/>
      <c r="Y269"/>
    </row>
    <row r="270" spans="2:25" ht="16">
      <c r="B270" s="67"/>
      <c r="G270" s="3" t="s">
        <v>59</v>
      </c>
      <c r="H270" s="3"/>
      <c r="I270" s="3"/>
      <c r="J270" s="345"/>
      <c r="K270" s="703"/>
      <c r="L270" s="342"/>
      <c r="M270" s="342"/>
      <c r="N270" s="340"/>
      <c r="O270" s="703"/>
      <c r="P270" s="342"/>
      <c r="Q270" s="363"/>
      <c r="R270" s="340"/>
      <c r="S270" s="342"/>
      <c r="T270" s="342"/>
      <c r="U270" s="342"/>
      <c r="V270" s="340"/>
      <c r="W270" s="340"/>
      <c r="X270"/>
      <c r="Y270"/>
    </row>
    <row r="271" spans="2:25" ht="16">
      <c r="B271" s="67"/>
      <c r="H271" s="347">
        <v>44720</v>
      </c>
      <c r="I271" s="347"/>
      <c r="J271" s="345"/>
      <c r="K271" s="703"/>
      <c r="L271" s="342"/>
      <c r="M271" s="342"/>
      <c r="N271" s="340"/>
      <c r="O271" s="703"/>
      <c r="P271" s="342"/>
      <c r="Q271" s="363"/>
      <c r="R271" s="340"/>
      <c r="S271" s="342"/>
      <c r="T271" s="342"/>
      <c r="U271" s="342"/>
      <c r="V271" s="340"/>
      <c r="W271" s="340"/>
      <c r="X271"/>
      <c r="Y271"/>
    </row>
    <row r="272" spans="2:25" ht="16">
      <c r="B272" s="67"/>
      <c r="I272" s="3" t="s">
        <v>59</v>
      </c>
      <c r="J272" s="345">
        <v>41</v>
      </c>
      <c r="K272" s="703">
        <v>5209.78</v>
      </c>
      <c r="L272" s="342">
        <v>1</v>
      </c>
      <c r="M272" s="342">
        <v>20.747299999999999</v>
      </c>
      <c r="N272" s="340">
        <v>108088.86859399999</v>
      </c>
      <c r="O272" s="703">
        <v>5370.18</v>
      </c>
      <c r="P272" s="342">
        <v>1</v>
      </c>
      <c r="Q272" s="363">
        <v>19.5547</v>
      </c>
      <c r="R272" s="340">
        <v>105012.25884600001</v>
      </c>
      <c r="S272" s="342">
        <v>122.044</v>
      </c>
      <c r="T272" s="342">
        <v>122.94799999999999</v>
      </c>
      <c r="U272" s="342">
        <v>1.0074000000000001</v>
      </c>
      <c r="V272" s="340">
        <v>105789.34956146042</v>
      </c>
      <c r="W272" s="340">
        <v>2299.519032539567</v>
      </c>
      <c r="X272"/>
      <c r="Y272"/>
    </row>
    <row r="273" spans="2:25" ht="16">
      <c r="J273" s="345"/>
      <c r="K273" s="703"/>
      <c r="L273" s="342"/>
      <c r="M273" s="342"/>
      <c r="N273" s="340"/>
      <c r="O273" s="703"/>
      <c r="P273" s="342"/>
      <c r="Q273" s="363"/>
      <c r="R273" s="340"/>
      <c r="S273" s="342"/>
      <c r="T273" s="342"/>
      <c r="U273" s="342"/>
      <c r="V273" s="340"/>
      <c r="W273" s="340"/>
      <c r="X273"/>
      <c r="Y273"/>
    </row>
    <row r="274" spans="2:25" ht="16">
      <c r="B274" s="67"/>
      <c r="F274" s="346">
        <v>44790</v>
      </c>
      <c r="G274" s="346"/>
      <c r="H274" s="346"/>
      <c r="I274" s="346"/>
      <c r="J274" s="345"/>
      <c r="K274" s="703"/>
      <c r="L274" s="342"/>
      <c r="M274" s="342"/>
      <c r="N274" s="340"/>
      <c r="O274" s="703"/>
      <c r="P274" s="342"/>
      <c r="Q274" s="363"/>
      <c r="R274" s="340"/>
      <c r="S274" s="342"/>
      <c r="T274" s="342"/>
      <c r="U274" s="342"/>
      <c r="V274" s="340"/>
      <c r="W274" s="340"/>
      <c r="X274"/>
      <c r="Y274"/>
    </row>
    <row r="275" spans="2:25" ht="16">
      <c r="B275" s="67"/>
      <c r="G275" s="3" t="s">
        <v>59</v>
      </c>
      <c r="H275" s="3"/>
      <c r="I275" s="3"/>
      <c r="J275" s="345"/>
      <c r="K275" s="703"/>
      <c r="L275" s="342"/>
      <c r="M275" s="342"/>
      <c r="N275" s="340"/>
      <c r="O275" s="703"/>
      <c r="P275" s="342"/>
      <c r="Q275" s="363"/>
      <c r="R275" s="340"/>
      <c r="S275" s="342"/>
      <c r="T275" s="342"/>
      <c r="U275" s="342"/>
      <c r="V275" s="340"/>
      <c r="W275" s="340"/>
      <c r="X275"/>
      <c r="Y275"/>
    </row>
    <row r="276" spans="2:25" ht="16">
      <c r="B276" s="67"/>
      <c r="H276" s="347">
        <v>44720</v>
      </c>
      <c r="I276" s="347"/>
      <c r="J276" s="345"/>
      <c r="K276" s="703"/>
      <c r="L276" s="342"/>
      <c r="M276" s="342"/>
      <c r="N276" s="340"/>
      <c r="O276" s="703"/>
      <c r="P276" s="342"/>
      <c r="Q276" s="363"/>
      <c r="R276" s="340"/>
      <c r="S276" s="342"/>
      <c r="T276" s="342"/>
      <c r="U276" s="342"/>
      <c r="V276" s="340"/>
      <c r="W276" s="340"/>
      <c r="X276"/>
      <c r="Y276"/>
    </row>
    <row r="277" spans="2:25" ht="16">
      <c r="B277" s="67"/>
      <c r="I277" s="3" t="s">
        <v>59</v>
      </c>
      <c r="J277" s="345">
        <v>41</v>
      </c>
      <c r="K277" s="703">
        <v>5397.89</v>
      </c>
      <c r="L277" s="342">
        <v>1</v>
      </c>
      <c r="M277" s="342">
        <v>19.861799999999999</v>
      </c>
      <c r="N277" s="340">
        <v>107211.811602</v>
      </c>
      <c r="O277" s="703">
        <v>5370.18</v>
      </c>
      <c r="P277" s="342">
        <v>1</v>
      </c>
      <c r="Q277" s="363">
        <v>19.5547</v>
      </c>
      <c r="R277" s="340">
        <v>105012.25884600001</v>
      </c>
      <c r="S277" s="342">
        <v>122.044</v>
      </c>
      <c r="T277" s="342">
        <v>123.803</v>
      </c>
      <c r="U277" s="342">
        <v>1.0144</v>
      </c>
      <c r="V277" s="340">
        <v>106524.43537338241</v>
      </c>
      <c r="W277" s="340">
        <v>687.37622861759155</v>
      </c>
      <c r="X277"/>
      <c r="Y277"/>
    </row>
    <row r="278" spans="2:25" ht="16">
      <c r="J278" s="345"/>
      <c r="K278" s="703"/>
      <c r="L278" s="342"/>
      <c r="M278" s="342"/>
      <c r="N278" s="340"/>
      <c r="O278" s="703"/>
      <c r="P278" s="342"/>
      <c r="Q278" s="363"/>
      <c r="R278" s="340"/>
      <c r="S278" s="342"/>
      <c r="T278" s="342"/>
      <c r="U278" s="342"/>
      <c r="V278" s="340"/>
      <c r="W278" s="340"/>
      <c r="X278"/>
      <c r="Y278"/>
    </row>
    <row r="279" spans="2:25" ht="16">
      <c r="B279" s="67"/>
      <c r="E279" s="131" t="s">
        <v>1055</v>
      </c>
      <c r="F279" s="131"/>
      <c r="G279" s="131"/>
      <c r="H279" s="131"/>
      <c r="I279" s="131"/>
      <c r="J279" s="704">
        <v>82</v>
      </c>
      <c r="K279" s="705">
        <v>10607.67</v>
      </c>
      <c r="L279" s="369">
        <v>1</v>
      </c>
      <c r="M279" s="377">
        <v>20.304549999999999</v>
      </c>
      <c r="N279" s="706">
        <v>215300.68019599997</v>
      </c>
      <c r="O279" s="705">
        <v>10740.36</v>
      </c>
      <c r="P279" s="369">
        <v>1</v>
      </c>
      <c r="Q279" s="377">
        <v>19.5547</v>
      </c>
      <c r="R279" s="706">
        <v>210024.51769200002</v>
      </c>
      <c r="S279" s="369">
        <v>122.044</v>
      </c>
      <c r="T279" s="369">
        <v>123.37549999999999</v>
      </c>
      <c r="U279" s="369">
        <v>1.0108999999999999</v>
      </c>
      <c r="V279" s="706">
        <v>212313.78493484284</v>
      </c>
      <c r="W279" s="706">
        <v>2986.8952611571585</v>
      </c>
      <c r="X279"/>
      <c r="Y279"/>
    </row>
    <row r="280" spans="2:25" ht="16">
      <c r="J280" s="345"/>
      <c r="K280" s="703"/>
      <c r="L280" s="342"/>
      <c r="M280" s="342"/>
      <c r="N280" s="340"/>
      <c r="O280" s="703"/>
      <c r="P280" s="342"/>
      <c r="Q280" s="363"/>
      <c r="R280" s="340"/>
      <c r="S280" s="342"/>
      <c r="T280" s="342"/>
      <c r="U280" s="342"/>
      <c r="V280" s="340"/>
      <c r="W280" s="340"/>
      <c r="X280"/>
      <c r="Y280"/>
    </row>
    <row r="281" spans="2:25" ht="16">
      <c r="B281" s="67"/>
      <c r="E281" s="1" t="s">
        <v>1016</v>
      </c>
      <c r="J281" s="345"/>
      <c r="K281" s="703"/>
      <c r="L281" s="342"/>
      <c r="M281" s="342"/>
      <c r="N281" s="340"/>
      <c r="O281" s="703"/>
      <c r="P281" s="342"/>
      <c r="Q281" s="363"/>
      <c r="R281" s="340"/>
      <c r="S281" s="342"/>
      <c r="T281" s="342"/>
      <c r="U281" s="342"/>
      <c r="V281" s="340"/>
      <c r="W281" s="340"/>
      <c r="X281"/>
      <c r="Y281"/>
    </row>
    <row r="282" spans="2:25" ht="16">
      <c r="B282" s="67"/>
      <c r="F282" s="346">
        <v>44854</v>
      </c>
      <c r="G282" s="346"/>
      <c r="H282" s="346"/>
      <c r="I282" s="346"/>
      <c r="J282" s="345"/>
      <c r="K282" s="703"/>
      <c r="L282" s="342"/>
      <c r="M282" s="342"/>
      <c r="N282" s="340"/>
      <c r="O282" s="703"/>
      <c r="P282" s="342"/>
      <c r="Q282" s="363"/>
      <c r="R282" s="340"/>
      <c r="S282" s="342"/>
      <c r="T282" s="342"/>
      <c r="U282" s="342"/>
      <c r="V282" s="340"/>
      <c r="W282" s="340"/>
      <c r="X282"/>
      <c r="Y282"/>
    </row>
    <row r="283" spans="2:25" ht="16">
      <c r="B283" s="67"/>
      <c r="G283" s="3" t="s">
        <v>59</v>
      </c>
      <c r="H283" s="3"/>
      <c r="I283" s="3"/>
      <c r="J283" s="345"/>
      <c r="K283" s="703"/>
      <c r="L283" s="342"/>
      <c r="M283" s="342"/>
      <c r="N283" s="340"/>
      <c r="O283" s="703"/>
      <c r="P283" s="342"/>
      <c r="Q283" s="363"/>
      <c r="R283" s="340"/>
      <c r="S283" s="342"/>
      <c r="T283" s="342"/>
      <c r="U283" s="342"/>
      <c r="V283" s="340"/>
      <c r="W283" s="340"/>
      <c r="X283"/>
      <c r="Y283"/>
    </row>
    <row r="284" spans="2:25" ht="16">
      <c r="B284" s="67"/>
      <c r="H284" s="347">
        <v>44720</v>
      </c>
      <c r="I284" s="347"/>
      <c r="J284" s="345"/>
      <c r="K284" s="703"/>
      <c r="L284" s="342"/>
      <c r="M284" s="342"/>
      <c r="N284" s="340"/>
      <c r="O284" s="703"/>
      <c r="P284" s="342"/>
      <c r="Q284" s="363"/>
      <c r="R284" s="340"/>
      <c r="S284" s="342"/>
      <c r="T284" s="342"/>
      <c r="U284" s="342"/>
      <c r="V284" s="340"/>
      <c r="W284" s="340"/>
      <c r="X284"/>
      <c r="Y284"/>
    </row>
    <row r="285" spans="2:25" ht="16">
      <c r="B285" s="67"/>
      <c r="I285" s="3" t="s">
        <v>59</v>
      </c>
      <c r="J285" s="345">
        <v>225</v>
      </c>
      <c r="K285" s="703">
        <v>3760.58</v>
      </c>
      <c r="L285" s="342">
        <v>1</v>
      </c>
      <c r="M285" s="342">
        <v>20.020700000000001</v>
      </c>
      <c r="N285" s="340">
        <v>75289.444006000005</v>
      </c>
      <c r="O285" s="703">
        <v>5926.5</v>
      </c>
      <c r="P285" s="342">
        <v>1</v>
      </c>
      <c r="Q285" s="363">
        <v>19.5547</v>
      </c>
      <c r="R285" s="340">
        <v>115890.92955</v>
      </c>
      <c r="S285" s="342">
        <v>122.044</v>
      </c>
      <c r="T285" s="342">
        <v>125.276</v>
      </c>
      <c r="U285" s="342">
        <v>1.0264</v>
      </c>
      <c r="V285" s="340">
        <v>118950.45009011999</v>
      </c>
      <c r="W285" s="340">
        <v>-43661.006084119988</v>
      </c>
      <c r="X285"/>
      <c r="Y285"/>
    </row>
    <row r="286" spans="2:25" ht="16">
      <c r="J286" s="345"/>
      <c r="K286" s="703"/>
      <c r="L286" s="342"/>
      <c r="M286" s="342"/>
      <c r="N286" s="340"/>
      <c r="O286" s="703"/>
      <c r="P286" s="342"/>
      <c r="Q286" s="363"/>
      <c r="R286" s="340"/>
      <c r="S286" s="342"/>
      <c r="T286" s="342"/>
      <c r="U286" s="342"/>
      <c r="V286" s="340"/>
      <c r="W286" s="340"/>
      <c r="X286"/>
      <c r="Y286"/>
    </row>
    <row r="287" spans="2:25" ht="16">
      <c r="B287" s="67"/>
      <c r="E287" s="131" t="s">
        <v>1056</v>
      </c>
      <c r="F287" s="131"/>
      <c r="G287" s="131"/>
      <c r="H287" s="131"/>
      <c r="I287" s="131"/>
      <c r="J287" s="704">
        <v>225</v>
      </c>
      <c r="K287" s="705">
        <v>3760.58</v>
      </c>
      <c r="L287" s="369">
        <v>1</v>
      </c>
      <c r="M287" s="377">
        <v>20.020700000000001</v>
      </c>
      <c r="N287" s="706">
        <v>75289.444006000005</v>
      </c>
      <c r="O287" s="705">
        <v>5926.5</v>
      </c>
      <c r="P287" s="369">
        <v>1</v>
      </c>
      <c r="Q287" s="377">
        <v>19.5547</v>
      </c>
      <c r="R287" s="706">
        <v>115890.92955</v>
      </c>
      <c r="S287" s="369">
        <v>122.044</v>
      </c>
      <c r="T287" s="369">
        <v>125.276</v>
      </c>
      <c r="U287" s="369">
        <v>1.0264</v>
      </c>
      <c r="V287" s="706">
        <v>118950.45009011999</v>
      </c>
      <c r="W287" s="706">
        <v>-43661.006084119988</v>
      </c>
      <c r="X287"/>
      <c r="Y287"/>
    </row>
    <row r="288" spans="2:25" ht="16">
      <c r="J288" s="345"/>
      <c r="K288" s="703"/>
      <c r="L288" s="342"/>
      <c r="M288" s="342"/>
      <c r="N288" s="340"/>
      <c r="O288" s="703"/>
      <c r="P288" s="342"/>
      <c r="Q288" s="363"/>
      <c r="R288" s="340"/>
      <c r="S288" s="342"/>
      <c r="T288" s="342"/>
      <c r="U288" s="342"/>
      <c r="V288" s="340"/>
      <c r="W288" s="340"/>
      <c r="X288"/>
      <c r="Y288"/>
    </row>
    <row r="289" spans="2:25" ht="16">
      <c r="B289" s="67"/>
      <c r="E289" s="1" t="s">
        <v>974</v>
      </c>
      <c r="J289" s="345"/>
      <c r="K289" s="703"/>
      <c r="L289" s="342"/>
      <c r="M289" s="342"/>
      <c r="N289" s="340"/>
      <c r="O289" s="703"/>
      <c r="P289" s="342"/>
      <c r="Q289" s="363"/>
      <c r="R289" s="340"/>
      <c r="S289" s="342"/>
      <c r="T289" s="342"/>
      <c r="U289" s="342"/>
      <c r="V289" s="340"/>
      <c r="W289" s="340"/>
      <c r="X289"/>
      <c r="Y289"/>
    </row>
    <row r="290" spans="2:25" ht="16">
      <c r="B290" s="67"/>
      <c r="F290" s="346">
        <v>44790</v>
      </c>
      <c r="G290" s="346"/>
      <c r="H290" s="346"/>
      <c r="I290" s="346"/>
      <c r="J290" s="345"/>
      <c r="K290" s="703"/>
      <c r="L290" s="342"/>
      <c r="M290" s="342"/>
      <c r="N290" s="340"/>
      <c r="O290" s="703"/>
      <c r="P290" s="342"/>
      <c r="Q290" s="363"/>
      <c r="R290" s="340"/>
      <c r="S290" s="342"/>
      <c r="T290" s="342"/>
      <c r="U290" s="342"/>
      <c r="V290" s="340"/>
      <c r="W290" s="340"/>
      <c r="X290"/>
      <c r="Y290"/>
    </row>
    <row r="291" spans="2:25" ht="16">
      <c r="B291" s="67"/>
      <c r="G291" s="3" t="s">
        <v>59</v>
      </c>
      <c r="H291" s="3"/>
      <c r="I291" s="3"/>
      <c r="J291" s="345"/>
      <c r="K291" s="703"/>
      <c r="L291" s="342"/>
      <c r="M291" s="342"/>
      <c r="N291" s="340"/>
      <c r="O291" s="703"/>
      <c r="P291" s="342"/>
      <c r="Q291" s="363"/>
      <c r="R291" s="340"/>
      <c r="S291" s="342"/>
      <c r="T291" s="342"/>
      <c r="U291" s="342"/>
      <c r="V291" s="340"/>
      <c r="W291" s="340"/>
      <c r="X291"/>
      <c r="Y291"/>
    </row>
    <row r="292" spans="2:25" ht="16">
      <c r="B292" s="67"/>
      <c r="H292" s="347">
        <v>44720</v>
      </c>
      <c r="I292" s="347"/>
      <c r="J292" s="345"/>
      <c r="K292" s="703"/>
      <c r="L292" s="342"/>
      <c r="M292" s="342"/>
      <c r="N292" s="340"/>
      <c r="O292" s="703"/>
      <c r="P292" s="342"/>
      <c r="Q292" s="363"/>
      <c r="R292" s="340"/>
      <c r="S292" s="342"/>
      <c r="T292" s="342"/>
      <c r="U292" s="342"/>
      <c r="V292" s="340"/>
      <c r="W292" s="340"/>
      <c r="X292"/>
      <c r="Y292"/>
    </row>
    <row r="293" spans="2:25" ht="16">
      <c r="B293" s="67"/>
      <c r="I293" s="3" t="s">
        <v>59</v>
      </c>
      <c r="J293" s="345">
        <v>34</v>
      </c>
      <c r="K293" s="703">
        <v>3897.89</v>
      </c>
      <c r="L293" s="342">
        <v>1</v>
      </c>
      <c r="M293" s="342">
        <v>19.861799999999999</v>
      </c>
      <c r="N293" s="340">
        <v>77419.11160199999</v>
      </c>
      <c r="O293" s="703">
        <v>5379.31</v>
      </c>
      <c r="P293" s="342">
        <v>1</v>
      </c>
      <c r="Q293" s="363">
        <v>19.5547</v>
      </c>
      <c r="R293" s="340">
        <v>105190.79325700001</v>
      </c>
      <c r="S293" s="342">
        <v>122.044</v>
      </c>
      <c r="T293" s="342">
        <v>123.803</v>
      </c>
      <c r="U293" s="342">
        <v>1.0144</v>
      </c>
      <c r="V293" s="340">
        <v>106705.54067990081</v>
      </c>
      <c r="W293" s="340">
        <v>-29286.429077900815</v>
      </c>
      <c r="X293"/>
      <c r="Y293"/>
    </row>
    <row r="294" spans="2:25" ht="16">
      <c r="J294" s="345"/>
      <c r="K294" s="703"/>
      <c r="L294" s="342"/>
      <c r="M294" s="342"/>
      <c r="N294" s="340"/>
      <c r="O294" s="703"/>
      <c r="P294" s="342"/>
      <c r="Q294" s="363"/>
      <c r="R294" s="340"/>
      <c r="S294" s="342"/>
      <c r="T294" s="342"/>
      <c r="U294" s="342"/>
      <c r="V294" s="340"/>
      <c r="W294" s="340"/>
      <c r="X294"/>
      <c r="Y294"/>
    </row>
    <row r="295" spans="2:25" ht="16">
      <c r="B295" s="67"/>
      <c r="E295" s="131" t="s">
        <v>1057</v>
      </c>
      <c r="F295" s="131"/>
      <c r="G295" s="131"/>
      <c r="H295" s="131"/>
      <c r="I295" s="131"/>
      <c r="J295" s="704">
        <v>34</v>
      </c>
      <c r="K295" s="705">
        <v>3897.89</v>
      </c>
      <c r="L295" s="369">
        <v>1</v>
      </c>
      <c r="M295" s="377">
        <v>19.861799999999999</v>
      </c>
      <c r="N295" s="706">
        <v>77419.11160199999</v>
      </c>
      <c r="O295" s="705">
        <v>5379.31</v>
      </c>
      <c r="P295" s="369">
        <v>1</v>
      </c>
      <c r="Q295" s="377">
        <v>19.5547</v>
      </c>
      <c r="R295" s="706">
        <v>105190.79325700001</v>
      </c>
      <c r="S295" s="369">
        <v>122.044</v>
      </c>
      <c r="T295" s="369">
        <v>123.803</v>
      </c>
      <c r="U295" s="369">
        <v>1.0144</v>
      </c>
      <c r="V295" s="706">
        <v>106705.54067990081</v>
      </c>
      <c r="W295" s="706">
        <v>-29286.429077900815</v>
      </c>
      <c r="X295"/>
      <c r="Y295"/>
    </row>
    <row r="296" spans="2:25" ht="16">
      <c r="J296" s="345"/>
      <c r="K296" s="703"/>
      <c r="L296" s="342"/>
      <c r="M296" s="342"/>
      <c r="N296" s="340"/>
      <c r="O296" s="703"/>
      <c r="P296" s="342"/>
      <c r="Q296" s="363"/>
      <c r="R296" s="340"/>
      <c r="S296" s="342"/>
      <c r="T296" s="342"/>
      <c r="U296" s="342"/>
      <c r="V296" s="340"/>
      <c r="W296" s="340"/>
      <c r="X296"/>
      <c r="Y296"/>
    </row>
    <row r="297" spans="2:25" ht="16">
      <c r="B297" s="67"/>
      <c r="E297" s="1" t="s">
        <v>841</v>
      </c>
      <c r="J297" s="345"/>
      <c r="K297" s="703"/>
      <c r="L297" s="342"/>
      <c r="M297" s="342"/>
      <c r="N297" s="340"/>
      <c r="O297" s="703"/>
      <c r="P297" s="342"/>
      <c r="Q297" s="363"/>
      <c r="R297" s="340"/>
      <c r="S297" s="342"/>
      <c r="T297" s="342"/>
      <c r="U297" s="342"/>
      <c r="V297" s="340"/>
      <c r="W297" s="340"/>
      <c r="X297"/>
      <c r="Y297"/>
    </row>
    <row r="298" spans="2:25" ht="16">
      <c r="B298" s="67"/>
      <c r="F298" s="346">
        <v>44725</v>
      </c>
      <c r="G298" s="346"/>
      <c r="H298" s="346"/>
      <c r="I298" s="346"/>
      <c r="J298" s="345"/>
      <c r="K298" s="703"/>
      <c r="L298" s="342"/>
      <c r="M298" s="342"/>
      <c r="N298" s="340"/>
      <c r="O298" s="703"/>
      <c r="P298" s="342"/>
      <c r="Q298" s="363"/>
      <c r="R298" s="340"/>
      <c r="S298" s="342"/>
      <c r="T298" s="342"/>
      <c r="U298" s="342"/>
      <c r="V298" s="340"/>
      <c r="W298" s="340"/>
      <c r="X298"/>
      <c r="Y298"/>
    </row>
    <row r="299" spans="2:25" ht="16">
      <c r="B299" s="67"/>
      <c r="G299" s="3" t="s">
        <v>59</v>
      </c>
      <c r="H299" s="3"/>
      <c r="I299" s="3"/>
      <c r="J299" s="345"/>
      <c r="K299" s="703"/>
      <c r="L299" s="342"/>
      <c r="M299" s="342"/>
      <c r="N299" s="340"/>
      <c r="O299" s="703"/>
      <c r="P299" s="342"/>
      <c r="Q299" s="363"/>
      <c r="R299" s="340"/>
      <c r="S299" s="342"/>
      <c r="T299" s="342"/>
      <c r="U299" s="342"/>
      <c r="V299" s="340"/>
      <c r="W299" s="340"/>
      <c r="X299"/>
      <c r="Y299"/>
    </row>
    <row r="300" spans="2:25" ht="16">
      <c r="B300" s="67"/>
      <c r="H300" s="347">
        <v>43867</v>
      </c>
      <c r="I300" s="347"/>
      <c r="J300" s="345"/>
      <c r="K300" s="703"/>
      <c r="L300" s="342"/>
      <c r="M300" s="342"/>
      <c r="N300" s="340"/>
      <c r="O300" s="703"/>
      <c r="P300" s="342"/>
      <c r="Q300" s="363"/>
      <c r="R300" s="340"/>
      <c r="S300" s="342"/>
      <c r="T300" s="342"/>
      <c r="U300" s="342"/>
      <c r="V300" s="340"/>
      <c r="W300" s="340"/>
      <c r="X300"/>
      <c r="Y300"/>
    </row>
    <row r="301" spans="2:25" ht="16">
      <c r="B301" s="67"/>
      <c r="I301" s="3" t="s">
        <v>59</v>
      </c>
      <c r="J301" s="345">
        <v>1827.644</v>
      </c>
      <c r="K301" s="703">
        <v>31976.46</v>
      </c>
      <c r="L301" s="342">
        <v>1</v>
      </c>
      <c r="M301" s="342">
        <v>19.6128</v>
      </c>
      <c r="N301" s="340">
        <v>627147.91468799999</v>
      </c>
      <c r="O301" s="703">
        <v>29682.77</v>
      </c>
      <c r="P301" s="342">
        <v>1</v>
      </c>
      <c r="Q301" s="363">
        <v>18.6797</v>
      </c>
      <c r="R301" s="340">
        <v>554465.23876900005</v>
      </c>
      <c r="S301" s="342">
        <v>106.889</v>
      </c>
      <c r="T301" s="342">
        <v>122.044</v>
      </c>
      <c r="U301" s="342">
        <v>1.1416999999999999</v>
      </c>
      <c r="V301" s="340">
        <v>633032.96310256736</v>
      </c>
      <c r="W301" s="340">
        <v>-5885.048414567369</v>
      </c>
      <c r="X301"/>
      <c r="Y301"/>
    </row>
    <row r="302" spans="2:25" ht="16">
      <c r="J302" s="345"/>
      <c r="K302" s="703"/>
      <c r="L302" s="342"/>
      <c r="M302" s="342"/>
      <c r="N302" s="340"/>
      <c r="O302" s="703"/>
      <c r="P302" s="342"/>
      <c r="Q302" s="363"/>
      <c r="R302" s="340"/>
      <c r="S302" s="342"/>
      <c r="T302" s="342"/>
      <c r="U302" s="342"/>
      <c r="V302" s="340"/>
      <c r="W302" s="340"/>
      <c r="X302"/>
      <c r="Y302"/>
    </row>
    <row r="303" spans="2:25" ht="16">
      <c r="B303" s="67"/>
      <c r="E303" s="131" t="s">
        <v>1058</v>
      </c>
      <c r="F303" s="131"/>
      <c r="G303" s="131"/>
      <c r="H303" s="131"/>
      <c r="I303" s="131"/>
      <c r="J303" s="704">
        <v>1827.644</v>
      </c>
      <c r="K303" s="705">
        <v>31976.46</v>
      </c>
      <c r="L303" s="369">
        <v>1</v>
      </c>
      <c r="M303" s="377">
        <v>19.6128</v>
      </c>
      <c r="N303" s="706">
        <v>627147.91468799999</v>
      </c>
      <c r="O303" s="705">
        <v>29682.77</v>
      </c>
      <c r="P303" s="369">
        <v>1</v>
      </c>
      <c r="Q303" s="377">
        <v>18.6797</v>
      </c>
      <c r="R303" s="706">
        <v>554465.23876900005</v>
      </c>
      <c r="S303" s="369">
        <v>106.889</v>
      </c>
      <c r="T303" s="369">
        <v>122.044</v>
      </c>
      <c r="U303" s="369">
        <v>1.1416999999999999</v>
      </c>
      <c r="V303" s="706">
        <v>633032.96310256736</v>
      </c>
      <c r="W303" s="706">
        <v>-5885.048414567369</v>
      </c>
      <c r="X303"/>
      <c r="Y303"/>
    </row>
    <row r="304" spans="2:25" ht="16">
      <c r="J304" s="345"/>
      <c r="K304" s="703"/>
      <c r="L304" s="342"/>
      <c r="M304" s="342"/>
      <c r="N304" s="340"/>
      <c r="O304" s="703"/>
      <c r="P304" s="342"/>
      <c r="Q304" s="363"/>
      <c r="R304" s="340"/>
      <c r="S304" s="342"/>
      <c r="T304" s="342"/>
      <c r="U304" s="342"/>
      <c r="V304" s="340"/>
      <c r="W304" s="340"/>
      <c r="X304"/>
      <c r="Y304"/>
    </row>
    <row r="305" spans="2:25" ht="16">
      <c r="B305" s="67"/>
      <c r="E305" s="1" t="s">
        <v>940</v>
      </c>
      <c r="J305" s="345"/>
      <c r="K305" s="703"/>
      <c r="L305" s="342"/>
      <c r="M305" s="342"/>
      <c r="N305" s="340"/>
      <c r="O305" s="703"/>
      <c r="P305" s="342"/>
      <c r="Q305" s="363"/>
      <c r="R305" s="340"/>
      <c r="S305" s="342"/>
      <c r="T305" s="342"/>
      <c r="U305" s="342"/>
      <c r="V305" s="340"/>
      <c r="W305" s="340"/>
      <c r="X305"/>
      <c r="Y305"/>
    </row>
    <row r="306" spans="2:25" ht="16">
      <c r="B306" s="67"/>
      <c r="F306" s="346">
        <v>44755</v>
      </c>
      <c r="G306" s="346"/>
      <c r="H306" s="346"/>
      <c r="I306" s="346"/>
      <c r="J306" s="345"/>
      <c r="K306" s="703"/>
      <c r="L306" s="342"/>
      <c r="M306" s="342"/>
      <c r="N306" s="340"/>
      <c r="O306" s="703"/>
      <c r="P306" s="342"/>
      <c r="Q306" s="363"/>
      <c r="R306" s="340"/>
      <c r="S306" s="342"/>
      <c r="T306" s="342"/>
      <c r="U306" s="342"/>
      <c r="V306" s="340"/>
      <c r="W306" s="340"/>
      <c r="X306"/>
      <c r="Y306"/>
    </row>
    <row r="307" spans="2:25" ht="16">
      <c r="B307" s="67"/>
      <c r="G307" s="3" t="s">
        <v>59</v>
      </c>
      <c r="H307" s="3"/>
      <c r="I307" s="3"/>
      <c r="J307" s="345"/>
      <c r="K307" s="703"/>
      <c r="L307" s="342"/>
      <c r="M307" s="342"/>
      <c r="N307" s="340"/>
      <c r="O307" s="703"/>
      <c r="P307" s="342"/>
      <c r="Q307" s="363"/>
      <c r="R307" s="340"/>
      <c r="S307" s="342"/>
      <c r="T307" s="342"/>
      <c r="U307" s="342"/>
      <c r="V307" s="340"/>
      <c r="W307" s="340"/>
      <c r="X307"/>
      <c r="Y307"/>
    </row>
    <row r="308" spans="2:25" ht="16">
      <c r="B308" s="67"/>
      <c r="H308" s="347">
        <v>44720</v>
      </c>
      <c r="I308" s="347"/>
      <c r="J308" s="345"/>
      <c r="K308" s="703"/>
      <c r="L308" s="342"/>
      <c r="M308" s="342"/>
      <c r="N308" s="340"/>
      <c r="O308" s="703"/>
      <c r="P308" s="342"/>
      <c r="Q308" s="363"/>
      <c r="R308" s="340"/>
      <c r="S308" s="342"/>
      <c r="T308" s="342"/>
      <c r="U308" s="342"/>
      <c r="V308" s="340"/>
      <c r="W308" s="340"/>
      <c r="X308"/>
      <c r="Y308"/>
    </row>
    <row r="309" spans="2:25" ht="16">
      <c r="B309" s="67"/>
      <c r="I309" s="3" t="s">
        <v>59</v>
      </c>
      <c r="J309" s="345">
        <v>87</v>
      </c>
      <c r="K309" s="703">
        <v>2217.5500000000002</v>
      </c>
      <c r="L309" s="342">
        <v>1</v>
      </c>
      <c r="M309" s="342">
        <v>20.747299999999999</v>
      </c>
      <c r="N309" s="340">
        <v>46008.175115000005</v>
      </c>
      <c r="O309" s="703">
        <v>2561.7199999999998</v>
      </c>
      <c r="P309" s="342">
        <v>1</v>
      </c>
      <c r="Q309" s="363">
        <v>19.5547</v>
      </c>
      <c r="R309" s="340">
        <v>50093.666083999997</v>
      </c>
      <c r="S309" s="342">
        <v>122.044</v>
      </c>
      <c r="T309" s="342">
        <v>122.94799999999999</v>
      </c>
      <c r="U309" s="342">
        <v>1.0074000000000001</v>
      </c>
      <c r="V309" s="340">
        <v>50464.359213021598</v>
      </c>
      <c r="W309" s="340">
        <v>-4456.1840980215929</v>
      </c>
      <c r="X309"/>
      <c r="Y309"/>
    </row>
    <row r="310" spans="2:25" ht="16">
      <c r="J310" s="345"/>
      <c r="K310" s="703"/>
      <c r="L310" s="342"/>
      <c r="M310" s="342"/>
      <c r="N310" s="340"/>
      <c r="O310" s="703"/>
      <c r="P310" s="342"/>
      <c r="Q310" s="363"/>
      <c r="R310" s="340"/>
      <c r="S310" s="342"/>
      <c r="T310" s="342"/>
      <c r="U310" s="342"/>
      <c r="V310" s="340"/>
      <c r="W310" s="340"/>
      <c r="X310"/>
      <c r="Y310"/>
    </row>
    <row r="311" spans="2:25" ht="16">
      <c r="B311" s="67"/>
      <c r="E311" s="131" t="s">
        <v>1059</v>
      </c>
      <c r="F311" s="131"/>
      <c r="G311" s="131"/>
      <c r="H311" s="131"/>
      <c r="I311" s="131"/>
      <c r="J311" s="704">
        <v>87</v>
      </c>
      <c r="K311" s="705">
        <v>2217.5500000000002</v>
      </c>
      <c r="L311" s="369">
        <v>1</v>
      </c>
      <c r="M311" s="377">
        <v>20.747299999999999</v>
      </c>
      <c r="N311" s="706">
        <v>46008.175115000005</v>
      </c>
      <c r="O311" s="705">
        <v>2561.7199999999998</v>
      </c>
      <c r="P311" s="369">
        <v>1</v>
      </c>
      <c r="Q311" s="377">
        <v>19.5547</v>
      </c>
      <c r="R311" s="706">
        <v>50093.666083999997</v>
      </c>
      <c r="S311" s="369">
        <v>122.044</v>
      </c>
      <c r="T311" s="369">
        <v>122.94799999999999</v>
      </c>
      <c r="U311" s="369">
        <v>1.0074000000000001</v>
      </c>
      <c r="V311" s="706">
        <v>50464.359213021598</v>
      </c>
      <c r="W311" s="706">
        <v>-4456.1840980215929</v>
      </c>
      <c r="X311"/>
      <c r="Y311"/>
    </row>
    <row r="312" spans="2:25" ht="16">
      <c r="J312" s="345"/>
      <c r="K312" s="703"/>
      <c r="L312" s="342"/>
      <c r="M312" s="342"/>
      <c r="N312" s="340"/>
      <c r="O312" s="703"/>
      <c r="P312" s="342"/>
      <c r="Q312" s="363"/>
      <c r="R312" s="340"/>
      <c r="S312" s="342"/>
      <c r="T312" s="342"/>
      <c r="U312" s="342"/>
      <c r="V312" s="340"/>
      <c r="W312" s="340"/>
      <c r="X312"/>
      <c r="Y312"/>
    </row>
    <row r="313" spans="2:25" ht="16">
      <c r="B313" s="67"/>
      <c r="E313" s="1" t="s">
        <v>1019</v>
      </c>
      <c r="J313" s="345"/>
      <c r="K313" s="703"/>
      <c r="L313" s="342"/>
      <c r="M313" s="342"/>
      <c r="N313" s="340"/>
      <c r="O313" s="703"/>
      <c r="P313" s="342"/>
      <c r="Q313" s="363"/>
      <c r="R313" s="340"/>
      <c r="S313" s="342"/>
      <c r="T313" s="342"/>
      <c r="U313" s="342"/>
      <c r="V313" s="340"/>
      <c r="W313" s="340"/>
      <c r="X313"/>
      <c r="Y313"/>
    </row>
    <row r="314" spans="2:25" ht="16">
      <c r="B314" s="67"/>
      <c r="F314" s="346">
        <v>44854</v>
      </c>
      <c r="G314" s="346"/>
      <c r="H314" s="346"/>
      <c r="I314" s="346"/>
      <c r="J314" s="345"/>
      <c r="K314" s="703"/>
      <c r="L314" s="342"/>
      <c r="M314" s="342"/>
      <c r="N314" s="340"/>
      <c r="O314" s="703"/>
      <c r="P314" s="342"/>
      <c r="Q314" s="363"/>
      <c r="R314" s="340"/>
      <c r="S314" s="342"/>
      <c r="T314" s="342"/>
      <c r="U314" s="342"/>
      <c r="V314" s="340"/>
      <c r="W314" s="340"/>
      <c r="X314"/>
      <c r="Y314"/>
    </row>
    <row r="315" spans="2:25" ht="16">
      <c r="B315" s="67"/>
      <c r="G315" s="3" t="s">
        <v>59</v>
      </c>
      <c r="H315" s="3"/>
      <c r="I315" s="3"/>
      <c r="J315" s="345"/>
      <c r="K315" s="703"/>
      <c r="L315" s="342"/>
      <c r="M315" s="342"/>
      <c r="N315" s="340"/>
      <c r="O315" s="703"/>
      <c r="P315" s="342"/>
      <c r="Q315" s="363"/>
      <c r="R315" s="340"/>
      <c r="S315" s="342"/>
      <c r="T315" s="342"/>
      <c r="U315" s="342"/>
      <c r="V315" s="340"/>
      <c r="W315" s="340"/>
      <c r="X315"/>
      <c r="Y315"/>
    </row>
    <row r="316" spans="2:25" ht="16">
      <c r="B316" s="67"/>
      <c r="H316" s="347">
        <v>44720</v>
      </c>
      <c r="I316" s="347"/>
      <c r="J316" s="345"/>
      <c r="K316" s="703"/>
      <c r="L316" s="342"/>
      <c r="M316" s="342"/>
      <c r="N316" s="340"/>
      <c r="O316" s="703"/>
      <c r="P316" s="342"/>
      <c r="Q316" s="363"/>
      <c r="R316" s="340"/>
      <c r="S316" s="342"/>
      <c r="T316" s="342"/>
      <c r="U316" s="342"/>
      <c r="V316" s="340"/>
      <c r="W316" s="340"/>
      <c r="X316"/>
      <c r="Y316"/>
    </row>
    <row r="317" spans="2:25" ht="16">
      <c r="B317" s="67"/>
      <c r="I317" s="3" t="s">
        <v>59</v>
      </c>
      <c r="J317" s="345">
        <v>6</v>
      </c>
      <c r="K317" s="703">
        <v>1684.73</v>
      </c>
      <c r="L317" s="342">
        <v>1</v>
      </c>
      <c r="M317" s="342">
        <v>20.020700000000001</v>
      </c>
      <c r="N317" s="340">
        <v>33729.473911000001</v>
      </c>
      <c r="O317" s="703">
        <v>1570.08</v>
      </c>
      <c r="P317" s="342">
        <v>1</v>
      </c>
      <c r="Q317" s="363">
        <v>19.5547</v>
      </c>
      <c r="R317" s="340">
        <v>30702.443375999999</v>
      </c>
      <c r="S317" s="342">
        <v>122.044</v>
      </c>
      <c r="T317" s="342">
        <v>125.276</v>
      </c>
      <c r="U317" s="342">
        <v>1.0264</v>
      </c>
      <c r="V317" s="340">
        <v>31512.987881126399</v>
      </c>
      <c r="W317" s="340">
        <v>2216.4860298736021</v>
      </c>
      <c r="X317"/>
      <c r="Y317"/>
    </row>
    <row r="318" spans="2:25" ht="16">
      <c r="J318" s="345"/>
      <c r="K318" s="703"/>
      <c r="L318" s="342"/>
      <c r="M318" s="342"/>
      <c r="N318" s="340"/>
      <c r="O318" s="703"/>
      <c r="P318" s="342"/>
      <c r="Q318" s="363"/>
      <c r="R318" s="340"/>
      <c r="S318" s="342"/>
      <c r="T318" s="342"/>
      <c r="U318" s="342"/>
      <c r="V318" s="340"/>
      <c r="W318" s="340"/>
      <c r="X318"/>
      <c r="Y318"/>
    </row>
    <row r="319" spans="2:25" ht="16">
      <c r="B319" s="67"/>
      <c r="H319" s="347">
        <v>44791</v>
      </c>
      <c r="I319" s="347"/>
      <c r="J319" s="345"/>
      <c r="K319" s="703"/>
      <c r="L319" s="342"/>
      <c r="M319" s="342"/>
      <c r="N319" s="340"/>
      <c r="O319" s="703"/>
      <c r="P319" s="342"/>
      <c r="Q319" s="363"/>
      <c r="R319" s="340"/>
      <c r="S319" s="342"/>
      <c r="T319" s="342"/>
      <c r="U319" s="342"/>
      <c r="V319" s="340"/>
      <c r="W319" s="340"/>
      <c r="X319"/>
      <c r="Y319"/>
    </row>
    <row r="320" spans="2:25" ht="16">
      <c r="B320" s="67"/>
      <c r="I320" s="3" t="s">
        <v>59</v>
      </c>
      <c r="J320" s="345">
        <v>16</v>
      </c>
      <c r="K320" s="703">
        <v>4492.62</v>
      </c>
      <c r="L320" s="342">
        <v>1</v>
      </c>
      <c r="M320" s="342">
        <v>20.020700000000001</v>
      </c>
      <c r="N320" s="340">
        <v>89945.397234000004</v>
      </c>
      <c r="O320" s="703">
        <v>5035.68</v>
      </c>
      <c r="P320" s="342">
        <v>1</v>
      </c>
      <c r="Q320" s="363">
        <v>19.930299999999999</v>
      </c>
      <c r="R320" s="340">
        <v>100362.613104</v>
      </c>
      <c r="S320" s="342">
        <v>123.803</v>
      </c>
      <c r="T320" s="342">
        <v>125.276</v>
      </c>
      <c r="U320" s="342">
        <v>1.0118</v>
      </c>
      <c r="V320" s="340">
        <v>101546.8919386272</v>
      </c>
      <c r="W320" s="340">
        <v>-11601.494704627199</v>
      </c>
      <c r="X320"/>
      <c r="Y320"/>
    </row>
    <row r="321" spans="2:25" ht="16">
      <c r="J321" s="345"/>
      <c r="K321" s="703"/>
      <c r="L321" s="342"/>
      <c r="M321" s="342"/>
      <c r="N321" s="340"/>
      <c r="O321" s="703"/>
      <c r="P321" s="342"/>
      <c r="Q321" s="363"/>
      <c r="R321" s="340"/>
      <c r="S321" s="342"/>
      <c r="T321" s="342"/>
      <c r="U321" s="342"/>
      <c r="V321" s="340"/>
      <c r="W321" s="340"/>
      <c r="X321"/>
      <c r="Y321"/>
    </row>
    <row r="322" spans="2:25" ht="16">
      <c r="B322" s="67"/>
      <c r="E322" s="131" t="s">
        <v>1060</v>
      </c>
      <c r="F322" s="131"/>
      <c r="G322" s="131"/>
      <c r="H322" s="131"/>
      <c r="I322" s="131"/>
      <c r="J322" s="704">
        <v>22</v>
      </c>
      <c r="K322" s="705">
        <v>6177.35</v>
      </c>
      <c r="L322" s="369">
        <v>1</v>
      </c>
      <c r="M322" s="377">
        <v>20.020700000000001</v>
      </c>
      <c r="N322" s="706">
        <v>123674.87114500001</v>
      </c>
      <c r="O322" s="705">
        <v>6605.76</v>
      </c>
      <c r="P322" s="369">
        <v>1</v>
      </c>
      <c r="Q322" s="377">
        <v>19.7425</v>
      </c>
      <c r="R322" s="706">
        <v>131065.05648</v>
      </c>
      <c r="S322" s="369">
        <v>122.92349999999999</v>
      </c>
      <c r="T322" s="369">
        <v>125.276</v>
      </c>
      <c r="U322" s="369">
        <v>1.0190999999999999</v>
      </c>
      <c r="V322" s="706">
        <v>133059.87981975361</v>
      </c>
      <c r="W322" s="706">
        <v>-9385.008674753597</v>
      </c>
      <c r="X322"/>
      <c r="Y322"/>
    </row>
    <row r="323" spans="2:25" ht="16">
      <c r="J323" s="345"/>
      <c r="K323" s="703"/>
      <c r="L323" s="342"/>
      <c r="M323" s="342"/>
      <c r="N323" s="340"/>
      <c r="O323" s="703"/>
      <c r="P323" s="342"/>
      <c r="Q323" s="363"/>
      <c r="R323" s="340"/>
      <c r="S323" s="342"/>
      <c r="T323" s="342"/>
      <c r="U323" s="342"/>
      <c r="V323" s="340"/>
      <c r="W323" s="340"/>
      <c r="X323"/>
      <c r="Y323"/>
    </row>
    <row r="324" spans="2:25" ht="16">
      <c r="B324" s="67"/>
      <c r="E324" s="1" t="s">
        <v>845</v>
      </c>
      <c r="J324" s="345"/>
      <c r="K324" s="703"/>
      <c r="L324" s="342"/>
      <c r="M324" s="342"/>
      <c r="N324" s="340"/>
      <c r="O324" s="703"/>
      <c r="P324" s="342"/>
      <c r="Q324" s="363"/>
      <c r="R324" s="340"/>
      <c r="S324" s="342"/>
      <c r="T324" s="342"/>
      <c r="U324" s="342"/>
      <c r="V324" s="340"/>
      <c r="W324" s="340"/>
      <c r="X324"/>
      <c r="Y324"/>
    </row>
    <row r="325" spans="2:25" ht="16">
      <c r="B325" s="67"/>
      <c r="F325" s="346">
        <v>44790</v>
      </c>
      <c r="G325" s="346"/>
      <c r="H325" s="346"/>
      <c r="I325" s="346"/>
      <c r="J325" s="345"/>
      <c r="K325" s="703"/>
      <c r="L325" s="342"/>
      <c r="M325" s="342"/>
      <c r="N325" s="340"/>
      <c r="O325" s="703"/>
      <c r="P325" s="342"/>
      <c r="Q325" s="363"/>
      <c r="R325" s="340"/>
      <c r="S325" s="342"/>
      <c r="T325" s="342"/>
      <c r="U325" s="342"/>
      <c r="V325" s="340"/>
      <c r="W325" s="340"/>
      <c r="X325"/>
      <c r="Y325"/>
    </row>
    <row r="326" spans="2:25" ht="16">
      <c r="B326" s="67"/>
      <c r="G326" s="3" t="s">
        <v>59</v>
      </c>
      <c r="H326" s="3"/>
      <c r="I326" s="3"/>
      <c r="J326" s="345"/>
      <c r="K326" s="703"/>
      <c r="L326" s="342"/>
      <c r="M326" s="342"/>
      <c r="N326" s="340"/>
      <c r="O326" s="703"/>
      <c r="P326" s="342"/>
      <c r="Q326" s="363"/>
      <c r="R326" s="340"/>
      <c r="S326" s="342"/>
      <c r="T326" s="342"/>
      <c r="U326" s="342"/>
      <c r="V326" s="340"/>
      <c r="W326" s="340"/>
      <c r="X326"/>
      <c r="Y326"/>
    </row>
    <row r="327" spans="2:25" ht="16">
      <c r="B327" s="67"/>
      <c r="H327" s="347">
        <v>43964</v>
      </c>
      <c r="I327" s="347"/>
      <c r="J327" s="345"/>
      <c r="K327" s="703"/>
      <c r="L327" s="342"/>
      <c r="M327" s="342"/>
      <c r="N327" s="340"/>
      <c r="O327" s="703"/>
      <c r="P327" s="342"/>
      <c r="Q327" s="363"/>
      <c r="R327" s="340"/>
      <c r="S327" s="342"/>
      <c r="T327" s="342"/>
      <c r="U327" s="342"/>
      <c r="V327" s="340"/>
      <c r="W327" s="340"/>
      <c r="X327"/>
      <c r="Y327"/>
    </row>
    <row r="328" spans="2:25" ht="16">
      <c r="B328" s="67"/>
      <c r="I328" s="3" t="s">
        <v>59</v>
      </c>
      <c r="J328" s="345">
        <v>11.086</v>
      </c>
      <c r="K328" s="703">
        <v>922.61</v>
      </c>
      <c r="L328" s="342">
        <v>1</v>
      </c>
      <c r="M328" s="342">
        <v>19.861799999999999</v>
      </c>
      <c r="N328" s="340">
        <v>18324.695297999999</v>
      </c>
      <c r="O328" s="703">
        <v>717.38</v>
      </c>
      <c r="P328" s="342">
        <v>1</v>
      </c>
      <c r="Q328" s="363">
        <v>23.869299999999999</v>
      </c>
      <c r="R328" s="340">
        <v>17123.358433999998</v>
      </c>
      <c r="S328" s="342">
        <v>106.16200000000001</v>
      </c>
      <c r="T328" s="342">
        <v>123.803</v>
      </c>
      <c r="U328" s="342">
        <v>1.1660999999999999</v>
      </c>
      <c r="V328" s="340">
        <v>19967.548269887397</v>
      </c>
      <c r="W328" s="340">
        <v>-1642.8529718873979</v>
      </c>
      <c r="X328"/>
      <c r="Y328"/>
    </row>
    <row r="329" spans="2:25" ht="16">
      <c r="J329" s="345"/>
      <c r="K329" s="703"/>
      <c r="L329" s="342"/>
      <c r="M329" s="342"/>
      <c r="N329" s="340"/>
      <c r="O329" s="703"/>
      <c r="P329" s="342"/>
      <c r="Q329" s="363"/>
      <c r="R329" s="340"/>
      <c r="S329" s="342"/>
      <c r="T329" s="342"/>
      <c r="U329" s="342"/>
      <c r="V329" s="340"/>
      <c r="W329" s="340"/>
      <c r="X329"/>
      <c r="Y329"/>
    </row>
    <row r="330" spans="2:25" ht="16">
      <c r="B330" s="67"/>
      <c r="E330" s="131" t="s">
        <v>1061</v>
      </c>
      <c r="F330" s="131"/>
      <c r="G330" s="131"/>
      <c r="H330" s="131"/>
      <c r="I330" s="131"/>
      <c r="J330" s="704">
        <v>11.086</v>
      </c>
      <c r="K330" s="705">
        <v>922.61</v>
      </c>
      <c r="L330" s="369">
        <v>1</v>
      </c>
      <c r="M330" s="377">
        <v>19.861799999999999</v>
      </c>
      <c r="N330" s="706">
        <v>18324.695297999999</v>
      </c>
      <c r="O330" s="705">
        <v>717.38</v>
      </c>
      <c r="P330" s="369">
        <v>1</v>
      </c>
      <c r="Q330" s="377">
        <v>23.869299999999999</v>
      </c>
      <c r="R330" s="706">
        <v>17123.358433999998</v>
      </c>
      <c r="S330" s="369">
        <v>106.16200000000001</v>
      </c>
      <c r="T330" s="369">
        <v>123.803</v>
      </c>
      <c r="U330" s="369">
        <v>1.1660999999999999</v>
      </c>
      <c r="V330" s="706">
        <v>19967.548269887397</v>
      </c>
      <c r="W330" s="706">
        <v>-1642.8529718873979</v>
      </c>
      <c r="X330"/>
      <c r="Y330"/>
    </row>
    <row r="331" spans="2:25" ht="16">
      <c r="J331" s="345"/>
      <c r="K331" s="703"/>
      <c r="L331" s="342"/>
      <c r="M331" s="342"/>
      <c r="N331" s="340"/>
      <c r="O331" s="703"/>
      <c r="P331" s="342"/>
      <c r="Q331" s="363"/>
      <c r="R331" s="340"/>
      <c r="S331" s="342"/>
      <c r="T331" s="342"/>
      <c r="U331" s="342"/>
      <c r="V331" s="340"/>
      <c r="W331" s="340"/>
      <c r="X331"/>
      <c r="Y331"/>
    </row>
    <row r="332" spans="2:25" ht="16">
      <c r="B332" s="67"/>
      <c r="E332" s="1" t="s">
        <v>846</v>
      </c>
      <c r="J332" s="345"/>
      <c r="K332" s="703"/>
      <c r="L332" s="342"/>
      <c r="M332" s="342"/>
      <c r="N332" s="340"/>
      <c r="O332" s="703"/>
      <c r="P332" s="342"/>
      <c r="Q332" s="363"/>
      <c r="R332" s="340"/>
      <c r="S332" s="342"/>
      <c r="T332" s="342"/>
      <c r="U332" s="342"/>
      <c r="V332" s="340"/>
      <c r="W332" s="340"/>
      <c r="X332"/>
      <c r="Y332"/>
    </row>
    <row r="333" spans="2:25" ht="16">
      <c r="B333" s="67"/>
      <c r="F333" s="346">
        <v>44725</v>
      </c>
      <c r="G333" s="346"/>
      <c r="H333" s="346"/>
      <c r="I333" s="346"/>
      <c r="J333" s="345"/>
      <c r="K333" s="703"/>
      <c r="L333" s="342"/>
      <c r="M333" s="342"/>
      <c r="N333" s="340"/>
      <c r="O333" s="703"/>
      <c r="P333" s="342"/>
      <c r="Q333" s="363"/>
      <c r="R333" s="340"/>
      <c r="S333" s="342"/>
      <c r="T333" s="342"/>
      <c r="U333" s="342"/>
      <c r="V333" s="340"/>
      <c r="W333" s="340"/>
      <c r="X333"/>
      <c r="Y333"/>
    </row>
    <row r="334" spans="2:25" ht="16">
      <c r="B334" s="67"/>
      <c r="G334" s="3" t="s">
        <v>59</v>
      </c>
      <c r="H334" s="3"/>
      <c r="I334" s="3"/>
      <c r="J334" s="345"/>
      <c r="K334" s="703"/>
      <c r="L334" s="342"/>
      <c r="M334" s="342"/>
      <c r="N334" s="340"/>
      <c r="O334" s="703"/>
      <c r="P334" s="342"/>
      <c r="Q334" s="363"/>
      <c r="R334" s="340"/>
      <c r="S334" s="342"/>
      <c r="T334" s="342"/>
      <c r="U334" s="342"/>
      <c r="V334" s="340"/>
      <c r="W334" s="340"/>
      <c r="X334"/>
      <c r="Y334"/>
    </row>
    <row r="335" spans="2:25" ht="16">
      <c r="B335" s="67"/>
      <c r="H335" s="347">
        <v>43867</v>
      </c>
      <c r="I335" s="347"/>
      <c r="J335" s="345"/>
      <c r="K335" s="703"/>
      <c r="L335" s="342"/>
      <c r="M335" s="342"/>
      <c r="N335" s="340"/>
      <c r="O335" s="703"/>
      <c r="P335" s="342"/>
      <c r="Q335" s="363"/>
      <c r="R335" s="340"/>
      <c r="S335" s="342"/>
      <c r="T335" s="342"/>
      <c r="U335" s="342"/>
      <c r="V335" s="340"/>
      <c r="W335" s="340"/>
      <c r="X335"/>
      <c r="Y335"/>
    </row>
    <row r="336" spans="2:25" ht="16">
      <c r="B336" s="67"/>
      <c r="I336" s="3" t="s">
        <v>59</v>
      </c>
      <c r="J336" s="345">
        <v>152.33000000000001</v>
      </c>
      <c r="K336" s="703">
        <v>4795.43</v>
      </c>
      <c r="L336" s="342">
        <v>1</v>
      </c>
      <c r="M336" s="342">
        <v>19.6128</v>
      </c>
      <c r="N336" s="340">
        <v>94051.809504000004</v>
      </c>
      <c r="O336" s="703">
        <v>4682.62</v>
      </c>
      <c r="P336" s="342">
        <v>1</v>
      </c>
      <c r="Q336" s="363">
        <v>18.6797</v>
      </c>
      <c r="R336" s="340">
        <v>87469.936814000001</v>
      </c>
      <c r="S336" s="342">
        <v>106.889</v>
      </c>
      <c r="T336" s="342">
        <v>122.044</v>
      </c>
      <c r="U336" s="342">
        <v>1.1416999999999999</v>
      </c>
      <c r="V336" s="340">
        <v>99864.426860543797</v>
      </c>
      <c r="W336" s="340">
        <v>-5812.617356543793</v>
      </c>
      <c r="X336"/>
      <c r="Y336"/>
    </row>
    <row r="337" spans="2:25" ht="16">
      <c r="J337" s="345"/>
      <c r="K337" s="703"/>
      <c r="L337" s="342"/>
      <c r="M337" s="342"/>
      <c r="N337" s="340"/>
      <c r="O337" s="703"/>
      <c r="P337" s="342"/>
      <c r="Q337" s="363"/>
      <c r="R337" s="340"/>
      <c r="S337" s="342"/>
      <c r="T337" s="342"/>
      <c r="U337" s="342"/>
      <c r="V337" s="340"/>
      <c r="W337" s="340"/>
      <c r="X337"/>
      <c r="Y337"/>
    </row>
    <row r="338" spans="2:25" ht="16">
      <c r="B338" s="67"/>
      <c r="F338" s="346">
        <v>44719</v>
      </c>
      <c r="G338" s="346"/>
      <c r="H338" s="346"/>
      <c r="I338" s="346"/>
      <c r="J338" s="345"/>
      <c r="K338" s="703"/>
      <c r="L338" s="342"/>
      <c r="M338" s="342"/>
      <c r="N338" s="340"/>
      <c r="O338" s="703"/>
      <c r="P338" s="342"/>
      <c r="Q338" s="363"/>
      <c r="R338" s="340"/>
      <c r="S338" s="342"/>
      <c r="T338" s="342"/>
      <c r="U338" s="342"/>
      <c r="V338" s="340"/>
      <c r="W338" s="340"/>
      <c r="X338"/>
      <c r="Y338"/>
    </row>
    <row r="339" spans="2:25" ht="16">
      <c r="B339" s="67"/>
      <c r="G339" s="3" t="s">
        <v>59</v>
      </c>
      <c r="H339" s="3"/>
      <c r="I339" s="3"/>
      <c r="J339" s="345"/>
      <c r="K339" s="703"/>
      <c r="L339" s="342"/>
      <c r="M339" s="342"/>
      <c r="N339" s="340"/>
      <c r="O339" s="703"/>
      <c r="P339" s="342"/>
      <c r="Q339" s="363"/>
      <c r="R339" s="340"/>
      <c r="S339" s="342"/>
      <c r="T339" s="342"/>
      <c r="U339" s="342"/>
      <c r="V339" s="340"/>
      <c r="W339" s="340"/>
      <c r="X339"/>
      <c r="Y339"/>
    </row>
    <row r="340" spans="2:25" ht="16">
      <c r="B340" s="67"/>
      <c r="H340" s="347">
        <v>43867</v>
      </c>
      <c r="I340" s="347"/>
      <c r="J340" s="345"/>
      <c r="K340" s="703"/>
      <c r="L340" s="342"/>
      <c r="M340" s="342"/>
      <c r="N340" s="340"/>
      <c r="O340" s="703"/>
      <c r="P340" s="342"/>
      <c r="Q340" s="363"/>
      <c r="R340" s="340"/>
      <c r="S340" s="342"/>
      <c r="T340" s="342"/>
      <c r="U340" s="342"/>
      <c r="V340" s="340"/>
      <c r="W340" s="340"/>
      <c r="X340"/>
      <c r="Y340"/>
    </row>
    <row r="341" spans="2:25" ht="16">
      <c r="B341" s="67"/>
      <c r="I341" s="3" t="s">
        <v>59</v>
      </c>
      <c r="J341" s="345">
        <v>520.12</v>
      </c>
      <c r="K341" s="703">
        <v>18802.34</v>
      </c>
      <c r="L341" s="342">
        <v>1</v>
      </c>
      <c r="M341" s="342">
        <v>19.574200000000001</v>
      </c>
      <c r="N341" s="340">
        <v>368040.76362800004</v>
      </c>
      <c r="O341" s="703">
        <v>15988.49</v>
      </c>
      <c r="P341" s="342">
        <v>1</v>
      </c>
      <c r="Q341" s="363">
        <v>18.6797</v>
      </c>
      <c r="R341" s="340">
        <v>298660.19665300002</v>
      </c>
      <c r="S341" s="342">
        <v>106.889</v>
      </c>
      <c r="T341" s="342">
        <v>122.044</v>
      </c>
      <c r="U341" s="342">
        <v>1.1416999999999999</v>
      </c>
      <c r="V341" s="340">
        <v>340980.3465187301</v>
      </c>
      <c r="W341" s="340">
        <v>27060.41710926994</v>
      </c>
      <c r="X341"/>
      <c r="Y341"/>
    </row>
    <row r="342" spans="2:25" ht="16">
      <c r="J342" s="345"/>
      <c r="K342" s="703"/>
      <c r="L342" s="342"/>
      <c r="M342" s="342"/>
      <c r="N342" s="340"/>
      <c r="O342" s="703"/>
      <c r="P342" s="342"/>
      <c r="Q342" s="363"/>
      <c r="R342" s="340"/>
      <c r="S342" s="342"/>
      <c r="T342" s="342"/>
      <c r="U342" s="342"/>
      <c r="V342" s="340"/>
      <c r="W342" s="340"/>
      <c r="X342"/>
      <c r="Y342"/>
    </row>
    <row r="343" spans="2:25" ht="16">
      <c r="B343" s="67"/>
      <c r="F343" s="346">
        <v>44790</v>
      </c>
      <c r="G343" s="346"/>
      <c r="H343" s="346"/>
      <c r="I343" s="346"/>
      <c r="J343" s="345"/>
      <c r="K343" s="703"/>
      <c r="L343" s="342"/>
      <c r="M343" s="342"/>
      <c r="N343" s="340"/>
      <c r="O343" s="703"/>
      <c r="P343" s="342"/>
      <c r="Q343" s="363"/>
      <c r="R343" s="340"/>
      <c r="S343" s="342"/>
      <c r="T343" s="342"/>
      <c r="U343" s="342"/>
      <c r="V343" s="340"/>
      <c r="W343" s="340"/>
      <c r="X343"/>
      <c r="Y343"/>
    </row>
    <row r="344" spans="2:25" ht="16">
      <c r="B344" s="67"/>
      <c r="G344" s="3" t="s">
        <v>59</v>
      </c>
      <c r="H344" s="3"/>
      <c r="I344" s="3"/>
      <c r="J344" s="345"/>
      <c r="K344" s="703"/>
      <c r="L344" s="342"/>
      <c r="M344" s="342"/>
      <c r="N344" s="340"/>
      <c r="O344" s="703"/>
      <c r="P344" s="342"/>
      <c r="Q344" s="363"/>
      <c r="R344" s="340"/>
      <c r="S344" s="342"/>
      <c r="T344" s="342"/>
      <c r="U344" s="342"/>
      <c r="V344" s="340"/>
      <c r="W344" s="340"/>
      <c r="X344"/>
      <c r="Y344"/>
    </row>
    <row r="345" spans="2:25" ht="16">
      <c r="B345" s="67"/>
      <c r="H345" s="347">
        <v>43867</v>
      </c>
      <c r="I345" s="347"/>
      <c r="J345" s="345"/>
      <c r="K345" s="703"/>
      <c r="L345" s="342"/>
      <c r="M345" s="342"/>
      <c r="N345" s="340"/>
      <c r="O345" s="703"/>
      <c r="P345" s="342"/>
      <c r="Q345" s="363"/>
      <c r="R345" s="340"/>
      <c r="S345" s="342"/>
      <c r="T345" s="342"/>
      <c r="U345" s="342"/>
      <c r="V345" s="340"/>
      <c r="W345" s="340"/>
      <c r="X345"/>
      <c r="Y345"/>
    </row>
    <row r="346" spans="2:25" ht="16">
      <c r="B346" s="67"/>
      <c r="I346" s="3" t="s">
        <v>59</v>
      </c>
      <c r="J346" s="345">
        <v>17150.05</v>
      </c>
      <c r="K346" s="703">
        <v>639353.87</v>
      </c>
      <c r="L346" s="342">
        <v>1</v>
      </c>
      <c r="M346" s="342">
        <v>19.861799999999999</v>
      </c>
      <c r="N346" s="340">
        <v>12698718.695165999</v>
      </c>
      <c r="O346" s="703">
        <v>527192.61</v>
      </c>
      <c r="P346" s="342">
        <v>1</v>
      </c>
      <c r="Q346" s="363">
        <v>18.6797</v>
      </c>
      <c r="R346" s="340">
        <v>9847799.7970170006</v>
      </c>
      <c r="S346" s="342">
        <v>106.889</v>
      </c>
      <c r="T346" s="342">
        <v>123.803</v>
      </c>
      <c r="U346" s="342">
        <v>1.1581999999999999</v>
      </c>
      <c r="V346" s="340">
        <v>11405721.724905089</v>
      </c>
      <c r="W346" s="340">
        <v>1292996.9702609107</v>
      </c>
      <c r="X346"/>
      <c r="Y346"/>
    </row>
    <row r="347" spans="2:25" ht="16">
      <c r="J347" s="345"/>
      <c r="K347" s="703"/>
      <c r="L347" s="342"/>
      <c r="M347" s="342"/>
      <c r="N347" s="340"/>
      <c r="O347" s="703"/>
      <c r="P347" s="342"/>
      <c r="Q347" s="363"/>
      <c r="R347" s="340"/>
      <c r="S347" s="342"/>
      <c r="T347" s="342"/>
      <c r="U347" s="342"/>
      <c r="V347" s="340"/>
      <c r="W347" s="340"/>
      <c r="X347"/>
      <c r="Y347"/>
    </row>
    <row r="348" spans="2:25" ht="16">
      <c r="B348" s="67"/>
      <c r="H348" s="347">
        <v>43893</v>
      </c>
      <c r="I348" s="347"/>
      <c r="J348" s="345"/>
      <c r="K348" s="703"/>
      <c r="L348" s="342"/>
      <c r="M348" s="342"/>
      <c r="N348" s="340"/>
      <c r="O348" s="703"/>
      <c r="P348" s="342"/>
      <c r="Q348" s="363"/>
      <c r="R348" s="340"/>
      <c r="S348" s="342"/>
      <c r="T348" s="342"/>
      <c r="U348" s="342"/>
      <c r="V348" s="340"/>
      <c r="W348" s="340"/>
      <c r="X348"/>
      <c r="Y348"/>
    </row>
    <row r="349" spans="2:25" ht="16">
      <c r="B349" s="67"/>
      <c r="I349" s="3" t="s">
        <v>59</v>
      </c>
      <c r="J349" s="345">
        <v>356.83</v>
      </c>
      <c r="K349" s="703">
        <v>13302.62</v>
      </c>
      <c r="L349" s="342">
        <v>1</v>
      </c>
      <c r="M349" s="342">
        <v>19.861799999999999</v>
      </c>
      <c r="N349" s="340">
        <v>264213.977916</v>
      </c>
      <c r="O349" s="703">
        <v>10473.030000000001</v>
      </c>
      <c r="P349" s="342">
        <v>1</v>
      </c>
      <c r="Q349" s="363">
        <v>19.776</v>
      </c>
      <c r="R349" s="340">
        <v>207114.64128000001</v>
      </c>
      <c r="S349" s="342">
        <v>106.83799999999999</v>
      </c>
      <c r="T349" s="342">
        <v>123.803</v>
      </c>
      <c r="U349" s="342">
        <v>1.1587000000000001</v>
      </c>
      <c r="V349" s="340">
        <v>239983.73485113602</v>
      </c>
      <c r="W349" s="340">
        <v>24230.243064863957</v>
      </c>
      <c r="X349"/>
      <c r="Y349"/>
    </row>
    <row r="350" spans="2:25" ht="16">
      <c r="J350" s="345"/>
      <c r="K350" s="703"/>
      <c r="L350" s="342"/>
      <c r="M350" s="342"/>
      <c r="N350" s="340"/>
      <c r="O350" s="703"/>
      <c r="P350" s="342"/>
      <c r="Q350" s="363"/>
      <c r="R350" s="340"/>
      <c r="S350" s="342"/>
      <c r="T350" s="342"/>
      <c r="U350" s="342"/>
      <c r="V350" s="340"/>
      <c r="W350" s="340"/>
      <c r="X350"/>
      <c r="Y350"/>
    </row>
    <row r="351" spans="2:25" ht="16">
      <c r="B351" s="67"/>
      <c r="E351" s="131" t="s">
        <v>1062</v>
      </c>
      <c r="F351" s="131"/>
      <c r="G351" s="131"/>
      <c r="H351" s="131"/>
      <c r="I351" s="131"/>
      <c r="J351" s="704">
        <v>18179.330000000002</v>
      </c>
      <c r="K351" s="705">
        <v>676254.26</v>
      </c>
      <c r="L351" s="369">
        <v>1</v>
      </c>
      <c r="M351" s="377">
        <v>19.727650000000001</v>
      </c>
      <c r="N351" s="706">
        <v>13425025.246214001</v>
      </c>
      <c r="O351" s="705">
        <v>558336.75</v>
      </c>
      <c r="P351" s="369">
        <v>1</v>
      </c>
      <c r="Q351" s="377">
        <v>18.953775</v>
      </c>
      <c r="R351" s="706">
        <v>10441044.571764</v>
      </c>
      <c r="S351" s="369">
        <v>106.87625</v>
      </c>
      <c r="T351" s="369">
        <v>122.92349999999999</v>
      </c>
      <c r="U351" s="369">
        <v>1.150075</v>
      </c>
      <c r="V351" s="706">
        <v>12086550.233135499</v>
      </c>
      <c r="W351" s="706">
        <v>1338475.013078501</v>
      </c>
      <c r="X351"/>
      <c r="Y351"/>
    </row>
    <row r="352" spans="2:25" ht="16">
      <c r="J352" s="345"/>
      <c r="K352" s="703"/>
      <c r="L352" s="342"/>
      <c r="M352" s="342"/>
      <c r="N352" s="340"/>
      <c r="O352" s="703"/>
      <c r="P352" s="342"/>
      <c r="Q352" s="363"/>
      <c r="R352" s="340"/>
      <c r="S352" s="342"/>
      <c r="T352" s="342"/>
      <c r="U352" s="342"/>
      <c r="V352" s="340"/>
      <c r="W352" s="340"/>
      <c r="X352"/>
      <c r="Y352"/>
    </row>
    <row r="353" spans="2:25" ht="16">
      <c r="B353" s="67"/>
      <c r="E353" s="1" t="s">
        <v>850</v>
      </c>
      <c r="J353" s="345"/>
      <c r="K353" s="703"/>
      <c r="L353" s="342"/>
      <c r="M353" s="342"/>
      <c r="N353" s="340"/>
      <c r="O353" s="703"/>
      <c r="P353" s="342"/>
      <c r="Q353" s="363"/>
      <c r="R353" s="340"/>
      <c r="S353" s="342"/>
      <c r="T353" s="342"/>
      <c r="U353" s="342"/>
      <c r="V353" s="340"/>
      <c r="W353" s="340"/>
      <c r="X353"/>
      <c r="Y353"/>
    </row>
    <row r="354" spans="2:25" ht="16">
      <c r="B354" s="67"/>
      <c r="F354" s="346">
        <v>44725</v>
      </c>
      <c r="G354" s="346"/>
      <c r="H354" s="346"/>
      <c r="I354" s="346"/>
      <c r="J354" s="345"/>
      <c r="K354" s="703"/>
      <c r="L354" s="342"/>
      <c r="M354" s="342"/>
      <c r="N354" s="340"/>
      <c r="O354" s="703"/>
      <c r="P354" s="342"/>
      <c r="Q354" s="363"/>
      <c r="R354" s="340"/>
      <c r="S354" s="342"/>
      <c r="T354" s="342"/>
      <c r="U354" s="342"/>
      <c r="V354" s="340"/>
      <c r="W354" s="340"/>
      <c r="X354"/>
      <c r="Y354"/>
    </row>
    <row r="355" spans="2:25" ht="16">
      <c r="B355" s="67"/>
      <c r="G355" s="3" t="s">
        <v>59</v>
      </c>
      <c r="H355" s="3"/>
      <c r="I355" s="3"/>
      <c r="J355" s="345"/>
      <c r="K355" s="703"/>
      <c r="L355" s="342"/>
      <c r="M355" s="342"/>
      <c r="N355" s="340"/>
      <c r="O355" s="703"/>
      <c r="P355" s="342"/>
      <c r="Q355" s="363"/>
      <c r="R355" s="340"/>
      <c r="S355" s="342"/>
      <c r="T355" s="342"/>
      <c r="U355" s="342"/>
      <c r="V355" s="340"/>
      <c r="W355" s="340"/>
      <c r="X355"/>
      <c r="Y355"/>
    </row>
    <row r="356" spans="2:25" ht="16">
      <c r="B356" s="67"/>
      <c r="H356" s="347">
        <v>43497</v>
      </c>
      <c r="I356" s="347"/>
      <c r="J356" s="345"/>
      <c r="K356" s="703"/>
      <c r="L356" s="342"/>
      <c r="M356" s="342"/>
      <c r="N356" s="340"/>
      <c r="O356" s="703"/>
      <c r="P356" s="342"/>
      <c r="Q356" s="363"/>
      <c r="R356" s="340"/>
      <c r="S356" s="342"/>
      <c r="T356" s="342"/>
      <c r="U356" s="342"/>
      <c r="V356" s="340"/>
      <c r="W356" s="340"/>
      <c r="X356"/>
      <c r="Y356"/>
    </row>
    <row r="357" spans="2:25" ht="16">
      <c r="B357" s="67"/>
      <c r="I357" s="3" t="s">
        <v>59</v>
      </c>
      <c r="J357" s="345">
        <v>833.58</v>
      </c>
      <c r="K357" s="703">
        <v>17496.84</v>
      </c>
      <c r="L357" s="342">
        <v>1</v>
      </c>
      <c r="M357" s="342">
        <v>19.6128</v>
      </c>
      <c r="N357" s="340">
        <v>343162.023552</v>
      </c>
      <c r="O357" s="703">
        <v>14145.86</v>
      </c>
      <c r="P357" s="342">
        <v>1</v>
      </c>
      <c r="Q357" s="363">
        <v>19.162299999999998</v>
      </c>
      <c r="R357" s="340">
        <v>271067.213078</v>
      </c>
      <c r="S357" s="342">
        <v>103.07899999999999</v>
      </c>
      <c r="T357" s="342">
        <v>122.044</v>
      </c>
      <c r="U357" s="342">
        <v>1.1839</v>
      </c>
      <c r="V357" s="340">
        <v>320916.47356304422</v>
      </c>
      <c r="W357" s="340">
        <v>22245.549988955783</v>
      </c>
      <c r="X357"/>
      <c r="Y357"/>
    </row>
    <row r="358" spans="2:25" ht="16">
      <c r="J358" s="345"/>
      <c r="K358" s="703"/>
      <c r="L358" s="342"/>
      <c r="M358" s="342"/>
      <c r="N358" s="340"/>
      <c r="O358" s="703"/>
      <c r="P358" s="342"/>
      <c r="Q358" s="363"/>
      <c r="R358" s="340"/>
      <c r="S358" s="342"/>
      <c r="T358" s="342"/>
      <c r="U358" s="342"/>
      <c r="V358" s="340"/>
      <c r="W358" s="340"/>
      <c r="X358"/>
      <c r="Y358"/>
    </row>
    <row r="359" spans="2:25" ht="16">
      <c r="B359" s="67"/>
      <c r="F359" s="346">
        <v>44719</v>
      </c>
      <c r="G359" s="346"/>
      <c r="H359" s="346"/>
      <c r="I359" s="346"/>
      <c r="J359" s="345"/>
      <c r="K359" s="703"/>
      <c r="L359" s="342"/>
      <c r="M359" s="342"/>
      <c r="N359" s="340"/>
      <c r="O359" s="703"/>
      <c r="P359" s="342"/>
      <c r="Q359" s="363"/>
      <c r="R359" s="340"/>
      <c r="S359" s="342"/>
      <c r="T359" s="342"/>
      <c r="U359" s="342"/>
      <c r="V359" s="340"/>
      <c r="W359" s="340"/>
      <c r="X359"/>
      <c r="Y359"/>
    </row>
    <row r="360" spans="2:25" ht="16">
      <c r="B360" s="67"/>
      <c r="G360" s="3" t="s">
        <v>59</v>
      </c>
      <c r="H360" s="3"/>
      <c r="I360" s="3"/>
      <c r="J360" s="345"/>
      <c r="K360" s="703"/>
      <c r="L360" s="342"/>
      <c r="M360" s="342"/>
      <c r="N360" s="340"/>
      <c r="O360" s="703"/>
      <c r="P360" s="342"/>
      <c r="Q360" s="363"/>
      <c r="R360" s="340"/>
      <c r="S360" s="342"/>
      <c r="T360" s="342"/>
      <c r="U360" s="342"/>
      <c r="V360" s="340"/>
      <c r="W360" s="340"/>
      <c r="X360"/>
      <c r="Y360"/>
    </row>
    <row r="361" spans="2:25" ht="16">
      <c r="B361" s="67"/>
      <c r="H361" s="347">
        <v>43497</v>
      </c>
      <c r="I361" s="347"/>
      <c r="J361" s="345"/>
      <c r="K361" s="703"/>
      <c r="L361" s="342"/>
      <c r="M361" s="342"/>
      <c r="N361" s="340"/>
      <c r="O361" s="703"/>
      <c r="P361" s="342"/>
      <c r="Q361" s="363"/>
      <c r="R361" s="340"/>
      <c r="S361" s="342"/>
      <c r="T361" s="342"/>
      <c r="U361" s="342"/>
      <c r="V361" s="340"/>
      <c r="W361" s="340"/>
      <c r="X361"/>
      <c r="Y361"/>
    </row>
    <row r="362" spans="2:25" ht="16">
      <c r="B362" s="67"/>
      <c r="I362" s="3" t="s">
        <v>59</v>
      </c>
      <c r="J362" s="345">
        <v>117.27200000000001</v>
      </c>
      <c r="K362" s="703">
        <v>2698.44</v>
      </c>
      <c r="L362" s="342">
        <v>1</v>
      </c>
      <c r="M362" s="342">
        <v>19.574200000000001</v>
      </c>
      <c r="N362" s="340">
        <v>52819.804248000008</v>
      </c>
      <c r="O362" s="703">
        <v>1990.1</v>
      </c>
      <c r="P362" s="342">
        <v>1</v>
      </c>
      <c r="Q362" s="363">
        <v>19.162299999999998</v>
      </c>
      <c r="R362" s="340">
        <v>38134.893229999994</v>
      </c>
      <c r="S362" s="342">
        <v>103.07899999999999</v>
      </c>
      <c r="T362" s="342">
        <v>122.044</v>
      </c>
      <c r="U362" s="342">
        <v>1.1839</v>
      </c>
      <c r="V362" s="340">
        <v>45147.900094996992</v>
      </c>
      <c r="W362" s="340">
        <v>7671.9041530030154</v>
      </c>
      <c r="X362"/>
      <c r="Y362"/>
    </row>
    <row r="363" spans="2:25" ht="16">
      <c r="J363" s="345"/>
      <c r="K363" s="703"/>
      <c r="L363" s="342"/>
      <c r="M363" s="342"/>
      <c r="N363" s="340"/>
      <c r="O363" s="703"/>
      <c r="P363" s="342"/>
      <c r="Q363" s="363"/>
      <c r="R363" s="340"/>
      <c r="S363" s="342"/>
      <c r="T363" s="342"/>
      <c r="U363" s="342"/>
      <c r="V363" s="340"/>
      <c r="W363" s="340"/>
      <c r="X363"/>
      <c r="Y363"/>
    </row>
    <row r="364" spans="2:25" ht="16">
      <c r="B364" s="67"/>
      <c r="E364" s="131" t="s">
        <v>1063</v>
      </c>
      <c r="F364" s="131"/>
      <c r="G364" s="131"/>
      <c r="H364" s="131"/>
      <c r="I364" s="131"/>
      <c r="J364" s="704">
        <v>950.85200000000009</v>
      </c>
      <c r="K364" s="705">
        <v>20195.28</v>
      </c>
      <c r="L364" s="369">
        <v>1</v>
      </c>
      <c r="M364" s="377">
        <v>19.593499999999999</v>
      </c>
      <c r="N364" s="706">
        <v>395981.82780000003</v>
      </c>
      <c r="O364" s="705">
        <v>16135.960000000001</v>
      </c>
      <c r="P364" s="369">
        <v>1</v>
      </c>
      <c r="Q364" s="377">
        <v>19.162299999999998</v>
      </c>
      <c r="R364" s="706">
        <v>309202.10630799999</v>
      </c>
      <c r="S364" s="369">
        <v>103.07899999999999</v>
      </c>
      <c r="T364" s="369">
        <v>122.044</v>
      </c>
      <c r="U364" s="369">
        <v>1.1839</v>
      </c>
      <c r="V364" s="706">
        <v>366064.37365804124</v>
      </c>
      <c r="W364" s="706">
        <v>29917.454141958799</v>
      </c>
      <c r="X364"/>
      <c r="Y364"/>
    </row>
    <row r="365" spans="2:25" ht="16">
      <c r="J365" s="345"/>
      <c r="K365" s="703"/>
      <c r="L365" s="342"/>
      <c r="M365" s="342"/>
      <c r="N365" s="340"/>
      <c r="O365" s="703"/>
      <c r="P365" s="342"/>
      <c r="Q365" s="363"/>
      <c r="R365" s="340"/>
      <c r="S365" s="342"/>
      <c r="T365" s="342"/>
      <c r="U365" s="342"/>
      <c r="V365" s="340"/>
      <c r="W365" s="340"/>
      <c r="X365"/>
      <c r="Y365"/>
    </row>
    <row r="366" spans="2:25" ht="16">
      <c r="B366" s="67"/>
      <c r="E366" s="1" t="s">
        <v>981</v>
      </c>
      <c r="J366" s="345"/>
      <c r="K366" s="703"/>
      <c r="L366" s="342"/>
      <c r="M366" s="342"/>
      <c r="N366" s="340"/>
      <c r="O366" s="703"/>
      <c r="P366" s="342"/>
      <c r="Q366" s="363"/>
      <c r="R366" s="340"/>
      <c r="S366" s="342"/>
      <c r="T366" s="342"/>
      <c r="U366" s="342"/>
      <c r="V366" s="340"/>
      <c r="W366" s="340"/>
      <c r="X366"/>
      <c r="Y366"/>
    </row>
    <row r="367" spans="2:25" ht="16">
      <c r="B367" s="67"/>
      <c r="F367" s="346">
        <v>44790</v>
      </c>
      <c r="G367" s="346"/>
      <c r="H367" s="346"/>
      <c r="I367" s="346"/>
      <c r="J367" s="345"/>
      <c r="K367" s="703"/>
      <c r="L367" s="342"/>
      <c r="M367" s="342"/>
      <c r="N367" s="340"/>
      <c r="O367" s="703"/>
      <c r="P367" s="342"/>
      <c r="Q367" s="363"/>
      <c r="R367" s="340"/>
      <c r="S367" s="342"/>
      <c r="T367" s="342"/>
      <c r="U367" s="342"/>
      <c r="V367" s="340"/>
      <c r="W367" s="340"/>
      <c r="X367"/>
      <c r="Y367"/>
    </row>
    <row r="368" spans="2:25" ht="16">
      <c r="B368" s="67"/>
      <c r="G368" s="3" t="s">
        <v>59</v>
      </c>
      <c r="H368" s="3"/>
      <c r="I368" s="3"/>
      <c r="J368" s="345"/>
      <c r="K368" s="703"/>
      <c r="L368" s="342"/>
      <c r="M368" s="342"/>
      <c r="N368" s="340"/>
      <c r="O368" s="703"/>
      <c r="P368" s="342"/>
      <c r="Q368" s="363"/>
      <c r="R368" s="340"/>
      <c r="S368" s="342"/>
      <c r="T368" s="342"/>
      <c r="U368" s="342"/>
      <c r="V368" s="340"/>
      <c r="W368" s="340"/>
      <c r="X368"/>
      <c r="Y368"/>
    </row>
    <row r="369" spans="2:25" ht="16">
      <c r="B369" s="67"/>
      <c r="H369" s="347">
        <v>43497</v>
      </c>
      <c r="I369" s="347"/>
      <c r="J369" s="345"/>
      <c r="K369" s="703"/>
      <c r="L369" s="342"/>
      <c r="M369" s="342"/>
      <c r="N369" s="340"/>
      <c r="O369" s="703"/>
      <c r="P369" s="342"/>
      <c r="Q369" s="363"/>
      <c r="R369" s="340"/>
      <c r="S369" s="342"/>
      <c r="T369" s="342"/>
      <c r="U369" s="342"/>
      <c r="V369" s="340"/>
      <c r="W369" s="340"/>
      <c r="X369"/>
      <c r="Y369"/>
    </row>
    <row r="370" spans="2:25" ht="16">
      <c r="B370" s="67"/>
      <c r="I370" s="3" t="s">
        <v>59</v>
      </c>
      <c r="J370" s="345">
        <v>27159.023000000001</v>
      </c>
      <c r="K370" s="703">
        <v>638237.05000000005</v>
      </c>
      <c r="L370" s="342">
        <v>1</v>
      </c>
      <c r="M370" s="342">
        <v>19.861799999999999</v>
      </c>
      <c r="N370" s="340">
        <v>12676536.639690001</v>
      </c>
      <c r="O370" s="703">
        <v>460888.61</v>
      </c>
      <c r="P370" s="342">
        <v>1</v>
      </c>
      <c r="Q370" s="363">
        <v>19.162299999999998</v>
      </c>
      <c r="R370" s="340">
        <v>8831685.8114029989</v>
      </c>
      <c r="S370" s="342">
        <v>103.07899999999999</v>
      </c>
      <c r="T370" s="342">
        <v>123.803</v>
      </c>
      <c r="U370" s="342">
        <v>1.2010000000000001</v>
      </c>
      <c r="V370" s="340">
        <v>10606854.659495002</v>
      </c>
      <c r="W370" s="340">
        <v>2069681.9801949989</v>
      </c>
      <c r="X370"/>
      <c r="Y370"/>
    </row>
    <row r="371" spans="2:25" ht="16">
      <c r="J371" s="345"/>
      <c r="K371" s="703"/>
      <c r="L371" s="342"/>
      <c r="M371" s="342"/>
      <c r="N371" s="340"/>
      <c r="O371" s="703"/>
      <c r="P371" s="342"/>
      <c r="Q371" s="363"/>
      <c r="R371" s="340"/>
      <c r="S371" s="342"/>
      <c r="T371" s="342"/>
      <c r="U371" s="342"/>
      <c r="V371" s="340"/>
      <c r="W371" s="340"/>
      <c r="X371"/>
      <c r="Y371"/>
    </row>
    <row r="372" spans="2:25" ht="16">
      <c r="B372" s="67"/>
      <c r="H372" s="347">
        <v>43893</v>
      </c>
      <c r="I372" s="347"/>
      <c r="J372" s="345"/>
      <c r="K372" s="703"/>
      <c r="L372" s="342"/>
      <c r="M372" s="342"/>
      <c r="N372" s="340"/>
      <c r="O372" s="703"/>
      <c r="P372" s="342"/>
      <c r="Q372" s="363"/>
      <c r="R372" s="340"/>
      <c r="S372" s="342"/>
      <c r="T372" s="342"/>
      <c r="U372" s="342"/>
      <c r="V372" s="340"/>
      <c r="W372" s="340"/>
      <c r="X372"/>
      <c r="Y372"/>
    </row>
    <row r="373" spans="2:25" ht="16">
      <c r="B373" s="67"/>
      <c r="I373" s="3" t="s">
        <v>59</v>
      </c>
      <c r="J373" s="345">
        <v>923.70699999999999</v>
      </c>
      <c r="K373" s="703">
        <v>21707.11</v>
      </c>
      <c r="L373" s="342">
        <v>1</v>
      </c>
      <c r="M373" s="342">
        <v>19.861799999999999</v>
      </c>
      <c r="N373" s="340">
        <v>431142.27739800001</v>
      </c>
      <c r="O373" s="703">
        <v>17855.259999999998</v>
      </c>
      <c r="P373" s="342">
        <v>1</v>
      </c>
      <c r="Q373" s="363">
        <v>19.776</v>
      </c>
      <c r="R373" s="340">
        <v>353105.62175999995</v>
      </c>
      <c r="S373" s="342">
        <v>106.83799999999999</v>
      </c>
      <c r="T373" s="342">
        <v>123.803</v>
      </c>
      <c r="U373" s="342">
        <v>1.1587000000000001</v>
      </c>
      <c r="V373" s="340">
        <v>409143.48393331195</v>
      </c>
      <c r="W373" s="340">
        <v>21998.79346468806</v>
      </c>
      <c r="X373"/>
      <c r="Y373"/>
    </row>
    <row r="374" spans="2:25" ht="16">
      <c r="J374" s="345"/>
      <c r="K374" s="703"/>
      <c r="L374" s="342"/>
      <c r="M374" s="342"/>
      <c r="N374" s="340"/>
      <c r="O374" s="703"/>
      <c r="P374" s="342"/>
      <c r="Q374" s="363"/>
      <c r="R374" s="340"/>
      <c r="S374" s="342"/>
      <c r="T374" s="342"/>
      <c r="U374" s="342"/>
      <c r="V374" s="340"/>
      <c r="W374" s="340"/>
      <c r="X374"/>
      <c r="Y374"/>
    </row>
    <row r="375" spans="2:25" ht="16">
      <c r="B375" s="67"/>
      <c r="E375" s="131" t="s">
        <v>1064</v>
      </c>
      <c r="F375" s="131"/>
      <c r="G375" s="131"/>
      <c r="H375" s="131"/>
      <c r="I375" s="131"/>
      <c r="J375" s="704">
        <v>28082.73</v>
      </c>
      <c r="K375" s="705">
        <v>659944.16</v>
      </c>
      <c r="L375" s="369">
        <v>1</v>
      </c>
      <c r="M375" s="377">
        <v>19.861799999999999</v>
      </c>
      <c r="N375" s="706">
        <v>13107678.917088</v>
      </c>
      <c r="O375" s="705">
        <v>478743.87</v>
      </c>
      <c r="P375" s="369">
        <v>1</v>
      </c>
      <c r="Q375" s="377">
        <v>19.469149999999999</v>
      </c>
      <c r="R375" s="706">
        <v>9184791.4331629984</v>
      </c>
      <c r="S375" s="369">
        <v>104.95849999999999</v>
      </c>
      <c r="T375" s="369">
        <v>123.803</v>
      </c>
      <c r="U375" s="369">
        <v>1.1798500000000001</v>
      </c>
      <c r="V375" s="706">
        <v>11015998.143428314</v>
      </c>
      <c r="W375" s="706">
        <v>2091680.773659687</v>
      </c>
      <c r="X375"/>
      <c r="Y375"/>
    </row>
    <row r="376" spans="2:25" ht="16">
      <c r="J376" s="345"/>
      <c r="K376" s="703"/>
      <c r="L376" s="342"/>
      <c r="M376" s="342"/>
      <c r="N376" s="340"/>
      <c r="O376" s="703"/>
      <c r="P376" s="342"/>
      <c r="Q376" s="363"/>
      <c r="R376" s="340"/>
      <c r="S376" s="342"/>
      <c r="T376" s="342"/>
      <c r="U376" s="342"/>
      <c r="V376" s="340"/>
      <c r="W376" s="340"/>
      <c r="X376"/>
      <c r="Y376"/>
    </row>
    <row r="377" spans="2:25" ht="16">
      <c r="B377" s="67"/>
      <c r="D377" s="364" t="s">
        <v>1267</v>
      </c>
      <c r="E377" s="364"/>
      <c r="F377" s="364"/>
      <c r="G377" s="364"/>
      <c r="H377" s="364"/>
      <c r="I377" s="364"/>
      <c r="J377" s="707">
        <v>49501.642000000007</v>
      </c>
      <c r="K377" s="708">
        <v>1415953.81</v>
      </c>
      <c r="L377" s="370">
        <v>1</v>
      </c>
      <c r="M377" s="370">
        <v>19.916241176470589</v>
      </c>
      <c r="N377" s="709">
        <v>28111850.883152001</v>
      </c>
      <c r="O377" s="708">
        <v>1114830.3800000001</v>
      </c>
      <c r="P377" s="370">
        <v>1</v>
      </c>
      <c r="Q377" s="376">
        <v>19.581500000000002</v>
      </c>
      <c r="R377" s="709">
        <v>21118891.671500999</v>
      </c>
      <c r="S377" s="370">
        <v>112.5116470588235</v>
      </c>
      <c r="T377" s="370">
        <v>123.44500000000001</v>
      </c>
      <c r="U377" s="370">
        <v>1.1025764705882353</v>
      </c>
      <c r="V377" s="709">
        <v>24743107.276331946</v>
      </c>
      <c r="W377" s="709">
        <v>3368743.606820053</v>
      </c>
      <c r="X377"/>
      <c r="Y377"/>
    </row>
    <row r="378" spans="2:25" ht="16">
      <c r="J378" s="345"/>
      <c r="K378" s="703"/>
      <c r="L378" s="342"/>
      <c r="M378" s="342"/>
      <c r="N378" s="340"/>
      <c r="O378" s="703"/>
      <c r="P378" s="342"/>
      <c r="Q378" s="363"/>
      <c r="R378" s="340"/>
      <c r="S378" s="342"/>
      <c r="T378" s="342"/>
      <c r="U378" s="342"/>
      <c r="V378" s="340"/>
      <c r="W378" s="340"/>
      <c r="X378"/>
      <c r="Y378"/>
    </row>
    <row r="379" spans="2:25" ht="16">
      <c r="B379" s="67"/>
      <c r="D379" s="1" t="s">
        <v>1260</v>
      </c>
      <c r="J379" s="345"/>
      <c r="K379" s="703"/>
      <c r="L379" s="342"/>
      <c r="M379" s="342"/>
      <c r="N379" s="340"/>
      <c r="O379" s="703"/>
      <c r="P379" s="342"/>
      <c r="Q379" s="363"/>
      <c r="R379" s="340"/>
      <c r="S379" s="342"/>
      <c r="T379" s="342"/>
      <c r="U379" s="342"/>
      <c r="V379" s="340"/>
      <c r="W379" s="340"/>
      <c r="X379"/>
      <c r="Y379"/>
    </row>
    <row r="380" spans="2:25" ht="16">
      <c r="B380" s="67"/>
      <c r="E380" s="1" t="s">
        <v>824</v>
      </c>
      <c r="J380" s="345"/>
      <c r="K380" s="703"/>
      <c r="L380" s="342"/>
      <c r="M380" s="342"/>
      <c r="N380" s="340"/>
      <c r="O380" s="703"/>
      <c r="P380" s="342"/>
      <c r="Q380" s="363"/>
      <c r="R380" s="340"/>
      <c r="S380" s="342"/>
      <c r="T380" s="342"/>
      <c r="U380" s="342"/>
      <c r="V380" s="340"/>
      <c r="W380" s="340"/>
      <c r="X380"/>
      <c r="Y380"/>
    </row>
    <row r="381" spans="2:25" ht="16">
      <c r="B381" s="67"/>
      <c r="F381" s="346">
        <v>44693</v>
      </c>
      <c r="G381" s="346"/>
      <c r="H381" s="346"/>
      <c r="I381" s="346"/>
      <c r="J381" s="345"/>
      <c r="K381" s="703"/>
      <c r="L381" s="342"/>
      <c r="M381" s="342"/>
      <c r="N381" s="340"/>
      <c r="O381" s="703"/>
      <c r="P381" s="342"/>
      <c r="Q381" s="363"/>
      <c r="R381" s="340"/>
      <c r="S381" s="342"/>
      <c r="T381" s="342"/>
      <c r="U381" s="342"/>
      <c r="V381" s="340"/>
      <c r="W381" s="340"/>
      <c r="X381"/>
      <c r="Y381"/>
    </row>
    <row r="382" spans="2:25" ht="16">
      <c r="B382" s="67"/>
      <c r="G382" s="3" t="s">
        <v>59</v>
      </c>
      <c r="H382" s="3"/>
      <c r="I382" s="3"/>
      <c r="J382" s="345"/>
      <c r="K382" s="703"/>
      <c r="L382" s="342"/>
      <c r="M382" s="342"/>
      <c r="N382" s="340"/>
      <c r="O382" s="703"/>
      <c r="P382" s="342"/>
      <c r="Q382" s="363"/>
      <c r="R382" s="340"/>
      <c r="S382" s="342"/>
      <c r="T382" s="342"/>
      <c r="U382" s="342"/>
      <c r="V382" s="340"/>
      <c r="W382" s="340"/>
      <c r="X382"/>
      <c r="Y382"/>
    </row>
    <row r="383" spans="2:25" ht="16">
      <c r="B383" s="67"/>
      <c r="H383" s="347">
        <v>44459</v>
      </c>
      <c r="I383" s="347"/>
      <c r="J383" s="345"/>
      <c r="K383" s="703"/>
      <c r="L383" s="342"/>
      <c r="M383" s="342"/>
      <c r="N383" s="340"/>
      <c r="O383" s="703"/>
      <c r="P383" s="342"/>
      <c r="Q383" s="363"/>
      <c r="R383" s="340"/>
      <c r="S383" s="342"/>
      <c r="T383" s="342"/>
      <c r="U383" s="342"/>
      <c r="V383" s="340"/>
      <c r="W383" s="340"/>
      <c r="X383"/>
      <c r="Y383"/>
    </row>
    <row r="384" spans="2:25" ht="16">
      <c r="B384" s="67"/>
      <c r="I384" s="3" t="s">
        <v>59</v>
      </c>
      <c r="J384" s="345">
        <v>19187.915000000001</v>
      </c>
      <c r="K384" s="703">
        <v>2372771.5699999998</v>
      </c>
      <c r="L384" s="342">
        <v>1</v>
      </c>
      <c r="M384" s="342">
        <v>20.372</v>
      </c>
      <c r="N384" s="340">
        <v>48338102.424039997</v>
      </c>
      <c r="O384" s="703">
        <v>2500000</v>
      </c>
      <c r="P384" s="342">
        <v>1</v>
      </c>
      <c r="Q384" s="363">
        <v>19.900300000000001</v>
      </c>
      <c r="R384" s="340">
        <v>49750750</v>
      </c>
      <c r="S384" s="342">
        <v>114.601</v>
      </c>
      <c r="T384" s="342">
        <v>121.02200000000001</v>
      </c>
      <c r="U384" s="342">
        <v>1.056</v>
      </c>
      <c r="V384" s="340">
        <v>52536792</v>
      </c>
      <c r="W384" s="340">
        <v>-4198689.5759600028</v>
      </c>
      <c r="X384"/>
      <c r="Y384"/>
    </row>
    <row r="385" spans="2:25" ht="16">
      <c r="J385" s="345"/>
      <c r="K385" s="703"/>
      <c r="L385" s="342"/>
      <c r="M385" s="342"/>
      <c r="N385" s="340"/>
      <c r="O385" s="703"/>
      <c r="P385" s="342"/>
      <c r="Q385" s="363"/>
      <c r="R385" s="340"/>
      <c r="S385" s="342"/>
      <c r="T385" s="342"/>
      <c r="U385" s="342"/>
      <c r="V385" s="340"/>
      <c r="W385" s="340"/>
      <c r="X385"/>
      <c r="Y385"/>
    </row>
    <row r="386" spans="2:25" ht="16">
      <c r="B386" s="67"/>
      <c r="E386" s="131" t="s">
        <v>1065</v>
      </c>
      <c r="F386" s="131"/>
      <c r="G386" s="131"/>
      <c r="H386" s="131"/>
      <c r="I386" s="131"/>
      <c r="J386" s="704">
        <v>19187.915000000001</v>
      </c>
      <c r="K386" s="705">
        <v>2372771.5699999998</v>
      </c>
      <c r="L386" s="369">
        <v>1</v>
      </c>
      <c r="M386" s="377">
        <v>20.372</v>
      </c>
      <c r="N386" s="706">
        <v>48338102.424039997</v>
      </c>
      <c r="O386" s="705">
        <v>2500000</v>
      </c>
      <c r="P386" s="369">
        <v>1</v>
      </c>
      <c r="Q386" s="377">
        <v>19.900300000000001</v>
      </c>
      <c r="R386" s="706">
        <v>49750750</v>
      </c>
      <c r="S386" s="369">
        <v>114.601</v>
      </c>
      <c r="T386" s="369">
        <v>121.02200000000001</v>
      </c>
      <c r="U386" s="369">
        <v>1.056</v>
      </c>
      <c r="V386" s="706">
        <v>52536792</v>
      </c>
      <c r="W386" s="706">
        <v>-4198689.5759600028</v>
      </c>
      <c r="X386"/>
      <c r="Y386"/>
    </row>
    <row r="387" spans="2:25" ht="16">
      <c r="J387" s="345"/>
      <c r="K387" s="703"/>
      <c r="L387" s="342"/>
      <c r="M387" s="342"/>
      <c r="N387" s="340"/>
      <c r="O387" s="703"/>
      <c r="P387" s="342"/>
      <c r="Q387" s="363"/>
      <c r="R387" s="340"/>
      <c r="S387" s="342"/>
      <c r="T387" s="342"/>
      <c r="U387" s="342"/>
      <c r="V387" s="340"/>
      <c r="W387" s="340"/>
      <c r="X387"/>
      <c r="Y387"/>
    </row>
    <row r="388" spans="2:25" ht="16">
      <c r="B388" s="67"/>
      <c r="D388" s="364" t="s">
        <v>1262</v>
      </c>
      <c r="E388" s="364"/>
      <c r="F388" s="364"/>
      <c r="G388" s="364"/>
      <c r="H388" s="364"/>
      <c r="I388" s="364"/>
      <c r="J388" s="707">
        <v>19187.915000000001</v>
      </c>
      <c r="K388" s="708">
        <v>2372771.5699999998</v>
      </c>
      <c r="L388" s="370">
        <v>1</v>
      </c>
      <c r="M388" s="370">
        <v>20.372</v>
      </c>
      <c r="N388" s="709">
        <v>48338102.424039997</v>
      </c>
      <c r="O388" s="708">
        <v>2500000</v>
      </c>
      <c r="P388" s="370">
        <v>1</v>
      </c>
      <c r="Q388" s="376">
        <v>19.900300000000001</v>
      </c>
      <c r="R388" s="709">
        <v>49750750</v>
      </c>
      <c r="S388" s="370">
        <v>114.601</v>
      </c>
      <c r="T388" s="370">
        <v>121.02200000000001</v>
      </c>
      <c r="U388" s="370">
        <v>1.056</v>
      </c>
      <c r="V388" s="709">
        <v>52536792</v>
      </c>
      <c r="W388" s="709">
        <v>-4198689.5759600028</v>
      </c>
      <c r="X388"/>
      <c r="Y388"/>
    </row>
    <row r="389" spans="2:25" ht="16">
      <c r="J389" s="345"/>
      <c r="K389" s="703"/>
      <c r="L389" s="342"/>
      <c r="M389" s="342"/>
      <c r="N389" s="340"/>
      <c r="O389" s="703"/>
      <c r="P389" s="342"/>
      <c r="Q389" s="363"/>
      <c r="R389" s="340"/>
      <c r="S389" s="342"/>
      <c r="T389" s="342"/>
      <c r="U389" s="342"/>
      <c r="V389" s="340"/>
      <c r="W389" s="340"/>
      <c r="X389"/>
      <c r="Y389"/>
    </row>
    <row r="390" spans="2:25" ht="16">
      <c r="B390" s="67"/>
      <c r="D390" s="1" t="s">
        <v>1263</v>
      </c>
      <c r="J390" s="345"/>
      <c r="K390" s="703"/>
      <c r="L390" s="342"/>
      <c r="M390" s="342"/>
      <c r="N390" s="340"/>
      <c r="O390" s="703"/>
      <c r="P390" s="342"/>
      <c r="Q390" s="363"/>
      <c r="R390" s="340"/>
      <c r="S390" s="342"/>
      <c r="T390" s="342"/>
      <c r="U390" s="342"/>
      <c r="V390" s="340"/>
      <c r="W390" s="340"/>
      <c r="X390"/>
      <c r="Y390"/>
    </row>
    <row r="391" spans="2:25" ht="16">
      <c r="B391" s="67"/>
      <c r="E391" s="1" t="s">
        <v>792</v>
      </c>
      <c r="J391" s="345"/>
      <c r="K391" s="703"/>
      <c r="L391" s="342"/>
      <c r="M391" s="342"/>
      <c r="N391" s="340"/>
      <c r="O391" s="703"/>
      <c r="P391" s="342"/>
      <c r="Q391" s="363"/>
      <c r="R391" s="340"/>
      <c r="S391" s="342"/>
      <c r="T391" s="342"/>
      <c r="U391" s="342"/>
      <c r="V391" s="340"/>
      <c r="W391" s="340"/>
      <c r="X391"/>
      <c r="Y391"/>
    </row>
    <row r="392" spans="2:25" ht="16">
      <c r="B392" s="67"/>
      <c r="F392" s="346">
        <v>44712</v>
      </c>
      <c r="G392" s="346"/>
      <c r="H392" s="346"/>
      <c r="I392" s="346"/>
      <c r="J392" s="345"/>
      <c r="K392" s="703"/>
      <c r="L392" s="342"/>
      <c r="M392" s="342"/>
      <c r="N392" s="340"/>
      <c r="O392" s="703"/>
      <c r="P392" s="342"/>
      <c r="Q392" s="363"/>
      <c r="R392" s="340"/>
      <c r="S392" s="342"/>
      <c r="T392" s="342"/>
      <c r="U392" s="342"/>
      <c r="V392" s="340"/>
      <c r="W392" s="340"/>
      <c r="X392"/>
      <c r="Y392"/>
    </row>
    <row r="393" spans="2:25" ht="16">
      <c r="B393" s="67"/>
      <c r="G393" s="3" t="s">
        <v>59</v>
      </c>
      <c r="H393" s="3"/>
      <c r="I393" s="3"/>
      <c r="J393" s="345"/>
      <c r="K393" s="703"/>
      <c r="L393" s="342"/>
      <c r="M393" s="342"/>
      <c r="N393" s="340"/>
      <c r="O393" s="703"/>
      <c r="P393" s="342"/>
      <c r="Q393" s="363"/>
      <c r="R393" s="340"/>
      <c r="S393" s="342"/>
      <c r="T393" s="342"/>
      <c r="U393" s="342"/>
      <c r="V393" s="340"/>
      <c r="W393" s="340"/>
      <c r="X393"/>
      <c r="Y393"/>
    </row>
    <row r="394" spans="2:25" ht="16">
      <c r="B394" s="67"/>
      <c r="H394" s="347">
        <v>44455</v>
      </c>
      <c r="I394" s="347"/>
      <c r="J394" s="345"/>
      <c r="K394" s="703"/>
      <c r="L394" s="342"/>
      <c r="M394" s="342"/>
      <c r="N394" s="340"/>
      <c r="O394" s="703"/>
      <c r="P394" s="342"/>
      <c r="Q394" s="363"/>
      <c r="R394" s="340"/>
      <c r="S394" s="342"/>
      <c r="T394" s="342"/>
      <c r="U394" s="342"/>
      <c r="V394" s="340"/>
      <c r="W394" s="340"/>
      <c r="X394"/>
      <c r="Y394"/>
    </row>
    <row r="395" spans="2:25" ht="16">
      <c r="B395" s="67"/>
      <c r="I395" s="3" t="s">
        <v>59</v>
      </c>
      <c r="J395" s="345">
        <v>39200</v>
      </c>
      <c r="K395" s="703">
        <v>797341.1</v>
      </c>
      <c r="L395" s="342">
        <v>1</v>
      </c>
      <c r="M395" s="342">
        <v>19.596499999999999</v>
      </c>
      <c r="N395" s="340">
        <v>15625094.866149999</v>
      </c>
      <c r="O395" s="703">
        <v>838378.24</v>
      </c>
      <c r="P395" s="342">
        <v>1</v>
      </c>
      <c r="Q395" s="363">
        <v>19.903500000000001</v>
      </c>
      <c r="R395" s="340">
        <v>16686661.299840001</v>
      </c>
      <c r="S395" s="342">
        <v>114.601</v>
      </c>
      <c r="T395" s="342">
        <v>121.02200000000001</v>
      </c>
      <c r="U395" s="342">
        <v>1.056</v>
      </c>
      <c r="V395" s="340">
        <v>17621114.332631044</v>
      </c>
      <c r="W395" s="340">
        <v>-1996019.4664810449</v>
      </c>
      <c r="X395"/>
      <c r="Y395"/>
    </row>
    <row r="396" spans="2:25" ht="16">
      <c r="J396" s="345"/>
      <c r="K396" s="703"/>
      <c r="L396" s="342"/>
      <c r="M396" s="342"/>
      <c r="N396" s="340"/>
      <c r="O396" s="703"/>
      <c r="P396" s="342"/>
      <c r="Q396" s="363"/>
      <c r="R396" s="340"/>
      <c r="S396" s="342"/>
      <c r="T396" s="342"/>
      <c r="U396" s="342"/>
      <c r="V396" s="340"/>
      <c r="W396" s="340"/>
      <c r="X396"/>
      <c r="Y396"/>
    </row>
    <row r="397" spans="2:25" ht="16">
      <c r="B397" s="67"/>
      <c r="E397" s="131" t="s">
        <v>1066</v>
      </c>
      <c r="F397" s="131"/>
      <c r="G397" s="131"/>
      <c r="H397" s="131"/>
      <c r="I397" s="131"/>
      <c r="J397" s="704">
        <v>39200</v>
      </c>
      <c r="K397" s="705">
        <v>797341.1</v>
      </c>
      <c r="L397" s="369">
        <v>1</v>
      </c>
      <c r="M397" s="377">
        <v>19.596499999999999</v>
      </c>
      <c r="N397" s="706">
        <v>15625094.866149999</v>
      </c>
      <c r="O397" s="705">
        <v>838378.24</v>
      </c>
      <c r="P397" s="369">
        <v>1</v>
      </c>
      <c r="Q397" s="377">
        <v>19.903500000000001</v>
      </c>
      <c r="R397" s="706">
        <v>16686661.299840001</v>
      </c>
      <c r="S397" s="369">
        <v>114.601</v>
      </c>
      <c r="T397" s="369">
        <v>121.02200000000001</v>
      </c>
      <c r="U397" s="369">
        <v>1.056</v>
      </c>
      <c r="V397" s="706">
        <v>17621114.332631044</v>
      </c>
      <c r="W397" s="706">
        <v>-1996019.4664810449</v>
      </c>
      <c r="X397"/>
      <c r="Y397"/>
    </row>
    <row r="398" spans="2:25" ht="16">
      <c r="J398" s="345"/>
      <c r="K398" s="703"/>
      <c r="L398" s="342"/>
      <c r="M398" s="342"/>
      <c r="N398" s="340"/>
      <c r="O398" s="703"/>
      <c r="P398" s="342"/>
      <c r="Q398" s="363"/>
      <c r="R398" s="340"/>
      <c r="S398" s="342"/>
      <c r="T398" s="342"/>
      <c r="U398" s="342"/>
      <c r="V398" s="340"/>
      <c r="W398" s="340"/>
      <c r="X398"/>
      <c r="Y398"/>
    </row>
    <row r="399" spans="2:25" ht="16">
      <c r="B399" s="67"/>
      <c r="D399" s="364" t="s">
        <v>1265</v>
      </c>
      <c r="E399" s="364"/>
      <c r="F399" s="364"/>
      <c r="G399" s="364"/>
      <c r="H399" s="364"/>
      <c r="I399" s="364"/>
      <c r="J399" s="707">
        <v>39200</v>
      </c>
      <c r="K399" s="708">
        <v>797341.1</v>
      </c>
      <c r="L399" s="370">
        <v>1</v>
      </c>
      <c r="M399" s="370">
        <v>19.596499999999999</v>
      </c>
      <c r="N399" s="709">
        <v>15625094.866149999</v>
      </c>
      <c r="O399" s="708">
        <v>838378.24</v>
      </c>
      <c r="P399" s="370">
        <v>1</v>
      </c>
      <c r="Q399" s="376">
        <v>19.903500000000001</v>
      </c>
      <c r="R399" s="709">
        <v>16686661.299840001</v>
      </c>
      <c r="S399" s="370">
        <v>114.601</v>
      </c>
      <c r="T399" s="370">
        <v>121.02200000000001</v>
      </c>
      <c r="U399" s="370">
        <v>1.056</v>
      </c>
      <c r="V399" s="709">
        <v>17621114.332631044</v>
      </c>
      <c r="W399" s="709">
        <v>-1996019.4664810449</v>
      </c>
      <c r="X399"/>
      <c r="Y399"/>
    </row>
    <row r="400" spans="2:25" ht="16">
      <c r="J400" s="345"/>
      <c r="K400" s="703"/>
      <c r="L400" s="342"/>
      <c r="M400" s="342"/>
      <c r="N400" s="340"/>
      <c r="O400" s="703"/>
      <c r="P400" s="342"/>
      <c r="Q400" s="363"/>
      <c r="R400" s="340"/>
      <c r="S400" s="342"/>
      <c r="T400" s="342"/>
      <c r="U400" s="342"/>
      <c r="V400" s="340"/>
      <c r="W400" s="340"/>
      <c r="X400"/>
      <c r="Y400"/>
    </row>
    <row r="401" spans="2:25" ht="16">
      <c r="B401" s="67"/>
      <c r="D401" s="1" t="s">
        <v>1256</v>
      </c>
      <c r="J401" s="345"/>
      <c r="K401" s="703"/>
      <c r="L401" s="342"/>
      <c r="M401" s="342"/>
      <c r="N401" s="340"/>
      <c r="O401" s="703"/>
      <c r="P401" s="342"/>
      <c r="Q401" s="363"/>
      <c r="R401" s="340"/>
      <c r="S401" s="342"/>
      <c r="T401" s="342"/>
      <c r="U401" s="342"/>
      <c r="V401" s="340"/>
      <c r="W401" s="340"/>
      <c r="X401"/>
      <c r="Y401"/>
    </row>
    <row r="402" spans="2:25" ht="16">
      <c r="B402" s="67"/>
      <c r="E402" s="1" t="s">
        <v>956</v>
      </c>
      <c r="J402" s="345"/>
      <c r="K402" s="703"/>
      <c r="L402" s="342"/>
      <c r="M402" s="342"/>
      <c r="N402" s="340"/>
      <c r="O402" s="703"/>
      <c r="P402" s="342"/>
      <c r="Q402" s="363"/>
      <c r="R402" s="340"/>
      <c r="S402" s="342"/>
      <c r="T402" s="342"/>
      <c r="U402" s="342"/>
      <c r="V402" s="340"/>
      <c r="W402" s="340"/>
      <c r="X402"/>
      <c r="Y402"/>
    </row>
    <row r="403" spans="2:25" ht="16">
      <c r="B403" s="67"/>
      <c r="F403" s="346">
        <v>44796</v>
      </c>
      <c r="G403" s="346"/>
      <c r="H403" s="346"/>
      <c r="I403" s="346"/>
      <c r="J403" s="345"/>
      <c r="K403" s="703"/>
      <c r="L403" s="342"/>
      <c r="M403" s="342"/>
      <c r="N403" s="340"/>
      <c r="O403" s="703"/>
      <c r="P403" s="342"/>
      <c r="Q403" s="363"/>
      <c r="R403" s="340"/>
      <c r="S403" s="342"/>
      <c r="T403" s="342"/>
      <c r="U403" s="342"/>
      <c r="V403" s="340"/>
      <c r="W403" s="340"/>
      <c r="X403"/>
      <c r="Y403"/>
    </row>
    <row r="404" spans="2:25" ht="16">
      <c r="B404" s="67"/>
      <c r="G404" s="3" t="s">
        <v>59</v>
      </c>
      <c r="H404" s="3"/>
      <c r="I404" s="3"/>
      <c r="J404" s="345"/>
      <c r="K404" s="703"/>
      <c r="L404" s="342"/>
      <c r="M404" s="342"/>
      <c r="N404" s="340"/>
      <c r="O404" s="703"/>
      <c r="P404" s="342"/>
      <c r="Q404" s="363"/>
      <c r="R404" s="340"/>
      <c r="S404" s="342"/>
      <c r="T404" s="342"/>
      <c r="U404" s="342"/>
      <c r="V404" s="340"/>
      <c r="W404" s="340"/>
      <c r="X404"/>
      <c r="Y404"/>
    </row>
    <row r="405" spans="2:25" ht="16">
      <c r="B405" s="67"/>
      <c r="H405" s="347">
        <v>44504</v>
      </c>
      <c r="I405" s="347"/>
      <c r="J405" s="345"/>
      <c r="K405" s="703"/>
      <c r="L405" s="342"/>
      <c r="M405" s="342"/>
      <c r="N405" s="340"/>
      <c r="O405" s="703"/>
      <c r="P405" s="342"/>
      <c r="Q405" s="363"/>
      <c r="R405" s="340"/>
      <c r="S405" s="342"/>
      <c r="T405" s="342"/>
      <c r="U405" s="342"/>
      <c r="V405" s="340"/>
      <c r="W405" s="340"/>
      <c r="X405"/>
      <c r="Y405"/>
    </row>
    <row r="406" spans="2:25" ht="16">
      <c r="B406" s="67"/>
      <c r="I406" s="3" t="s">
        <v>59</v>
      </c>
      <c r="J406" s="345">
        <v>2300</v>
      </c>
      <c r="K406" s="703">
        <v>6523.34</v>
      </c>
      <c r="L406" s="342">
        <v>1</v>
      </c>
      <c r="M406" s="342">
        <v>20.195699999999999</v>
      </c>
      <c r="N406" s="340">
        <v>131743.41763799998</v>
      </c>
      <c r="O406" s="703">
        <v>51858.19</v>
      </c>
      <c r="P406" s="342">
        <v>1</v>
      </c>
      <c r="Q406" s="363">
        <v>20.8598</v>
      </c>
      <c r="R406" s="340">
        <v>1081751.4717620001</v>
      </c>
      <c r="S406" s="342">
        <v>116.884</v>
      </c>
      <c r="T406" s="342">
        <v>123.803</v>
      </c>
      <c r="U406" s="342">
        <v>1.0590999999999999</v>
      </c>
      <c r="V406" s="340">
        <v>1145682.9837431342</v>
      </c>
      <c r="W406" s="340">
        <v>-1013939.5661051342</v>
      </c>
      <c r="X406"/>
      <c r="Y406"/>
    </row>
    <row r="407" spans="2:25" ht="16">
      <c r="J407" s="345"/>
      <c r="K407" s="703"/>
      <c r="L407" s="342"/>
      <c r="M407" s="342"/>
      <c r="N407" s="340"/>
      <c r="O407" s="703"/>
      <c r="P407" s="342"/>
      <c r="Q407" s="363"/>
      <c r="R407" s="340"/>
      <c r="S407" s="342"/>
      <c r="T407" s="342"/>
      <c r="U407" s="342"/>
      <c r="V407" s="340"/>
      <c r="W407" s="340"/>
      <c r="X407"/>
      <c r="Y407"/>
    </row>
    <row r="408" spans="2:25" ht="16">
      <c r="B408" s="67"/>
      <c r="H408" s="347">
        <v>44516</v>
      </c>
      <c r="I408" s="347"/>
      <c r="J408" s="345"/>
      <c r="K408" s="703"/>
      <c r="L408" s="342"/>
      <c r="M408" s="342"/>
      <c r="N408" s="340"/>
      <c r="O408" s="703"/>
      <c r="P408" s="342"/>
      <c r="Q408" s="363"/>
      <c r="R408" s="340"/>
      <c r="S408" s="342"/>
      <c r="T408" s="342"/>
      <c r="U408" s="342"/>
      <c r="V408" s="340"/>
      <c r="W408" s="340"/>
      <c r="X408"/>
      <c r="Y408"/>
    </row>
    <row r="409" spans="2:25" ht="16">
      <c r="B409" s="67"/>
      <c r="I409" s="3" t="s">
        <v>59</v>
      </c>
      <c r="J409" s="345">
        <v>3500</v>
      </c>
      <c r="K409" s="703">
        <v>9926.83</v>
      </c>
      <c r="L409" s="342">
        <v>1</v>
      </c>
      <c r="M409" s="342">
        <v>20.195699999999999</v>
      </c>
      <c r="N409" s="340">
        <v>200479.28063099997</v>
      </c>
      <c r="O409" s="703">
        <v>78914.63</v>
      </c>
      <c r="P409" s="342">
        <v>1</v>
      </c>
      <c r="Q409" s="363">
        <v>20.465199999999999</v>
      </c>
      <c r="R409" s="340">
        <v>1615003.685876</v>
      </c>
      <c r="S409" s="342">
        <v>116.884</v>
      </c>
      <c r="T409" s="342">
        <v>123.803</v>
      </c>
      <c r="U409" s="342">
        <v>1.0590999999999999</v>
      </c>
      <c r="V409" s="340">
        <v>1710450.4037112715</v>
      </c>
      <c r="W409" s="340">
        <v>-1509971.1230802715</v>
      </c>
      <c r="X409"/>
      <c r="Y409"/>
    </row>
    <row r="410" spans="2:25" ht="16">
      <c r="J410" s="345"/>
      <c r="K410" s="703"/>
      <c r="L410" s="342"/>
      <c r="M410" s="342"/>
      <c r="N410" s="340"/>
      <c r="O410" s="703"/>
      <c r="P410" s="342"/>
      <c r="Q410" s="363"/>
      <c r="R410" s="340"/>
      <c r="S410" s="342"/>
      <c r="T410" s="342"/>
      <c r="U410" s="342"/>
      <c r="V410" s="340"/>
      <c r="W410" s="340"/>
      <c r="X410"/>
      <c r="Y410"/>
    </row>
    <row r="411" spans="2:25" ht="16">
      <c r="B411" s="67"/>
      <c r="H411" s="347">
        <v>44505</v>
      </c>
      <c r="I411" s="347"/>
      <c r="J411" s="345"/>
      <c r="K411" s="703"/>
      <c r="L411" s="342"/>
      <c r="M411" s="342"/>
      <c r="N411" s="340"/>
      <c r="O411" s="703"/>
      <c r="P411" s="342"/>
      <c r="Q411" s="363"/>
      <c r="R411" s="340"/>
      <c r="S411" s="342"/>
      <c r="T411" s="342"/>
      <c r="U411" s="342"/>
      <c r="V411" s="340"/>
      <c r="W411" s="340"/>
      <c r="X411"/>
      <c r="Y411"/>
    </row>
    <row r="412" spans="2:25" ht="16">
      <c r="B412" s="67"/>
      <c r="I412" s="3" t="s">
        <v>59</v>
      </c>
      <c r="J412" s="345">
        <v>960</v>
      </c>
      <c r="K412" s="703">
        <v>2722.79</v>
      </c>
      <c r="L412" s="342">
        <v>1</v>
      </c>
      <c r="M412" s="342">
        <v>20.195699999999999</v>
      </c>
      <c r="N412" s="340">
        <v>54988.650002999995</v>
      </c>
      <c r="O412" s="703">
        <v>21645.16</v>
      </c>
      <c r="P412" s="342">
        <v>1</v>
      </c>
      <c r="Q412" s="363">
        <v>20.8352</v>
      </c>
      <c r="R412" s="340">
        <v>450981.237632</v>
      </c>
      <c r="S412" s="342">
        <v>116.884</v>
      </c>
      <c r="T412" s="342">
        <v>123.803</v>
      </c>
      <c r="U412" s="342">
        <v>1.0590999999999999</v>
      </c>
      <c r="V412" s="340">
        <v>477634.2287760512</v>
      </c>
      <c r="W412" s="340">
        <v>-422645.57877305121</v>
      </c>
      <c r="X412"/>
      <c r="Y412"/>
    </row>
    <row r="413" spans="2:25" ht="16">
      <c r="J413" s="345"/>
      <c r="K413" s="703"/>
      <c r="L413" s="342"/>
      <c r="M413" s="342"/>
      <c r="N413" s="340"/>
      <c r="O413" s="703"/>
      <c r="P413" s="342"/>
      <c r="Q413" s="363"/>
      <c r="R413" s="340"/>
      <c r="S413" s="342"/>
      <c r="T413" s="342"/>
      <c r="U413" s="342"/>
      <c r="V413" s="340"/>
      <c r="W413" s="340"/>
      <c r="X413"/>
      <c r="Y413"/>
    </row>
    <row r="414" spans="2:25" ht="16">
      <c r="B414" s="67"/>
      <c r="E414" s="131" t="s">
        <v>1067</v>
      </c>
      <c r="F414" s="131"/>
      <c r="G414" s="131"/>
      <c r="H414" s="131"/>
      <c r="I414" s="131"/>
      <c r="J414" s="704">
        <v>6760</v>
      </c>
      <c r="K414" s="705">
        <v>19172.96</v>
      </c>
      <c r="L414" s="369">
        <v>1</v>
      </c>
      <c r="M414" s="377">
        <v>20.195699999999999</v>
      </c>
      <c r="N414" s="706">
        <v>387211.34827199992</v>
      </c>
      <c r="O414" s="705">
        <v>152417.98000000001</v>
      </c>
      <c r="P414" s="369">
        <v>1</v>
      </c>
      <c r="Q414" s="377">
        <v>20.720066666666668</v>
      </c>
      <c r="R414" s="706">
        <v>3147736.3952700002</v>
      </c>
      <c r="S414" s="369">
        <v>116.884</v>
      </c>
      <c r="T414" s="369">
        <v>123.803</v>
      </c>
      <c r="U414" s="369">
        <v>1.0590999999999999</v>
      </c>
      <c r="V414" s="706">
        <v>3333767.6162304566</v>
      </c>
      <c r="W414" s="706">
        <v>-2946556.2679584567</v>
      </c>
      <c r="X414"/>
      <c r="Y414"/>
    </row>
    <row r="415" spans="2:25" ht="16">
      <c r="J415" s="345"/>
      <c r="K415" s="703"/>
      <c r="L415" s="342"/>
      <c r="M415" s="342"/>
      <c r="N415" s="340"/>
      <c r="O415" s="703"/>
      <c r="P415" s="342"/>
      <c r="Q415" s="363"/>
      <c r="R415" s="340"/>
      <c r="S415" s="342"/>
      <c r="T415" s="342"/>
      <c r="U415" s="342"/>
      <c r="V415" s="340"/>
      <c r="W415" s="340"/>
      <c r="X415"/>
      <c r="Y415"/>
    </row>
    <row r="416" spans="2:25" ht="16">
      <c r="B416" s="67"/>
      <c r="D416" s="364" t="s">
        <v>1259</v>
      </c>
      <c r="E416" s="364"/>
      <c r="F416" s="364"/>
      <c r="G416" s="364"/>
      <c r="H416" s="364"/>
      <c r="I416" s="364"/>
      <c r="J416" s="707">
        <v>6760</v>
      </c>
      <c r="K416" s="708">
        <v>19172.96</v>
      </c>
      <c r="L416" s="370">
        <v>1</v>
      </c>
      <c r="M416" s="370">
        <v>20.195699999999999</v>
      </c>
      <c r="N416" s="709">
        <v>387211.34827199992</v>
      </c>
      <c r="O416" s="708">
        <v>152417.98000000001</v>
      </c>
      <c r="P416" s="370">
        <v>1</v>
      </c>
      <c r="Q416" s="376">
        <v>20.720066666666668</v>
      </c>
      <c r="R416" s="709">
        <v>3147736.3952700002</v>
      </c>
      <c r="S416" s="370">
        <v>116.884</v>
      </c>
      <c r="T416" s="370">
        <v>123.803</v>
      </c>
      <c r="U416" s="370">
        <v>1.0590999999999999</v>
      </c>
      <c r="V416" s="709">
        <v>3333767.6162304566</v>
      </c>
      <c r="W416" s="709">
        <v>-2946556.2679584567</v>
      </c>
      <c r="X416"/>
      <c r="Y416"/>
    </row>
    <row r="417" spans="2:25" ht="16">
      <c r="J417" s="345"/>
      <c r="K417" s="703"/>
      <c r="L417" s="342"/>
      <c r="M417" s="342"/>
      <c r="N417" s="340"/>
      <c r="O417" s="703"/>
      <c r="P417" s="342"/>
      <c r="Q417" s="363"/>
      <c r="R417" s="340"/>
      <c r="S417" s="342"/>
      <c r="T417" s="342"/>
      <c r="U417" s="342"/>
      <c r="V417" s="340"/>
      <c r="W417" s="340"/>
      <c r="X417"/>
      <c r="Y417"/>
    </row>
    <row r="418" spans="2:25" ht="16">
      <c r="B418" s="67"/>
      <c r="C418" s="350" t="s">
        <v>1046</v>
      </c>
      <c r="D418" s="350"/>
      <c r="E418" s="350"/>
      <c r="F418" s="350"/>
      <c r="G418" s="350"/>
      <c r="H418" s="350"/>
      <c r="I418" s="350"/>
      <c r="J418" s="710">
        <v>118314.557</v>
      </c>
      <c r="K418" s="711">
        <v>4777242.6599999992</v>
      </c>
      <c r="L418" s="371">
        <v>1</v>
      </c>
      <c r="M418" s="371">
        <v>20.437621105527626</v>
      </c>
      <c r="N418" s="712">
        <v>95990551.716007009</v>
      </c>
      <c r="O418" s="711">
        <v>4857423.058875748</v>
      </c>
      <c r="P418" s="371">
        <v>1</v>
      </c>
      <c r="Q418" s="375">
        <v>20.294874874371896</v>
      </c>
      <c r="R418" s="712">
        <v>95834608.729744598</v>
      </c>
      <c r="S418" s="371">
        <v>114.85882914572871</v>
      </c>
      <c r="T418" s="371">
        <v>121.06434170854297</v>
      </c>
      <c r="U418" s="371">
        <v>1.0549522613065341</v>
      </c>
      <c r="V418" s="712">
        <v>103608049.33080417</v>
      </c>
      <c r="W418" s="712">
        <v>-7617497.6147971852</v>
      </c>
      <c r="X418"/>
      <c r="Y418"/>
    </row>
    <row r="419" spans="2:25" ht="16">
      <c r="J419" s="345"/>
      <c r="K419" s="703"/>
      <c r="L419" s="342"/>
      <c r="M419" s="342"/>
      <c r="N419" s="340"/>
      <c r="O419" s="703"/>
      <c r="P419" s="342"/>
      <c r="Q419" s="363"/>
      <c r="R419" s="340"/>
      <c r="S419" s="342"/>
      <c r="T419" s="342"/>
      <c r="U419" s="342"/>
      <c r="V419" s="340"/>
      <c r="W419" s="340"/>
      <c r="X419"/>
      <c r="Y419"/>
    </row>
    <row r="420" spans="2:25" ht="16">
      <c r="B420" s="351" t="s">
        <v>1047</v>
      </c>
      <c r="C420" s="351"/>
      <c r="D420" s="351"/>
      <c r="E420" s="351"/>
      <c r="F420" s="351"/>
      <c r="G420" s="351"/>
      <c r="H420" s="351"/>
      <c r="I420" s="351"/>
      <c r="J420" s="713">
        <v>118314.557</v>
      </c>
      <c r="K420" s="714">
        <v>4777242.6599999992</v>
      </c>
      <c r="L420" s="372">
        <v>1</v>
      </c>
      <c r="M420" s="372">
        <v>20.437621105527626</v>
      </c>
      <c r="N420" s="715">
        <v>95990551.716007009</v>
      </c>
      <c r="O420" s="714">
        <v>4857423.058875748</v>
      </c>
      <c r="P420" s="372">
        <v>1</v>
      </c>
      <c r="Q420" s="374">
        <v>20.294874874371896</v>
      </c>
      <c r="R420" s="715">
        <v>95834608.729744598</v>
      </c>
      <c r="S420" s="372">
        <v>114.85882914572871</v>
      </c>
      <c r="T420" s="372">
        <v>121.06434170854297</v>
      </c>
      <c r="U420" s="372">
        <v>1.0549522613065341</v>
      </c>
      <c r="V420" s="715">
        <v>103608049.33080417</v>
      </c>
      <c r="W420" s="715">
        <v>-7617497.6147971852</v>
      </c>
      <c r="X420"/>
      <c r="Y420"/>
    </row>
    <row r="421" spans="2:25" ht="16">
      <c r="J421" s="345"/>
      <c r="K421" s="703"/>
      <c r="L421" s="342"/>
      <c r="M421" s="342"/>
      <c r="N421" s="340"/>
      <c r="O421" s="703"/>
      <c r="P421" s="342"/>
      <c r="Q421" s="363"/>
      <c r="R421" s="340"/>
      <c r="S421" s="342"/>
      <c r="T421" s="342"/>
      <c r="U421" s="342"/>
      <c r="V421" s="340"/>
      <c r="W421" s="340"/>
      <c r="X421"/>
      <c r="Y421"/>
    </row>
    <row r="422" spans="2:25" ht="16">
      <c r="B422" s="67" t="s">
        <v>911</v>
      </c>
      <c r="J422" s="345"/>
      <c r="K422" s="703"/>
      <c r="L422" s="342"/>
      <c r="M422" s="342"/>
      <c r="N422" s="340"/>
      <c r="O422" s="703"/>
      <c r="P422" s="342"/>
      <c r="Q422" s="363"/>
      <c r="R422" s="340"/>
      <c r="S422" s="342"/>
      <c r="T422" s="342"/>
      <c r="U422" s="342"/>
      <c r="V422" s="340"/>
      <c r="W422" s="340"/>
      <c r="X422"/>
      <c r="Y422"/>
    </row>
    <row r="423" spans="2:25" ht="16">
      <c r="B423" s="67"/>
      <c r="C423" s="4" t="s">
        <v>113</v>
      </c>
      <c r="D423" s="4"/>
      <c r="E423" s="4"/>
      <c r="F423" s="4"/>
      <c r="G423" s="4"/>
      <c r="H423" s="4"/>
      <c r="I423" s="4"/>
      <c r="J423" s="345"/>
      <c r="K423" s="703"/>
      <c r="L423" s="342"/>
      <c r="M423" s="342"/>
      <c r="N423" s="340"/>
      <c r="O423" s="703"/>
      <c r="P423" s="342"/>
      <c r="Q423" s="363"/>
      <c r="R423" s="340"/>
      <c r="S423" s="342"/>
      <c r="T423" s="342"/>
      <c r="U423" s="342"/>
      <c r="V423" s="340"/>
      <c r="W423" s="340"/>
      <c r="X423"/>
      <c r="Y423"/>
    </row>
    <row r="424" spans="2:25" ht="16">
      <c r="B424" s="67"/>
      <c r="D424" s="1" t="s">
        <v>1246</v>
      </c>
      <c r="J424" s="345"/>
      <c r="K424" s="703"/>
      <c r="L424" s="342"/>
      <c r="M424" s="342"/>
      <c r="N424" s="340"/>
      <c r="O424" s="703"/>
      <c r="P424" s="342"/>
      <c r="Q424" s="363"/>
      <c r="R424" s="340"/>
      <c r="S424" s="342"/>
      <c r="T424" s="342"/>
      <c r="U424" s="342"/>
      <c r="V424" s="340"/>
      <c r="W424" s="340"/>
      <c r="X424"/>
      <c r="Y424"/>
    </row>
    <row r="425" spans="2:25" ht="16">
      <c r="B425" s="67"/>
      <c r="E425" s="1" t="s">
        <v>908</v>
      </c>
      <c r="J425" s="345"/>
      <c r="K425" s="703"/>
      <c r="L425" s="342"/>
      <c r="M425" s="342"/>
      <c r="N425" s="340"/>
      <c r="O425" s="703"/>
      <c r="P425" s="342"/>
      <c r="Q425" s="363"/>
      <c r="R425" s="340"/>
      <c r="S425" s="342"/>
      <c r="T425" s="342"/>
      <c r="U425" s="342"/>
      <c r="V425" s="340"/>
      <c r="W425" s="340"/>
      <c r="X425"/>
      <c r="Y425"/>
    </row>
    <row r="426" spans="2:25" ht="16">
      <c r="B426" s="67"/>
      <c r="F426" s="346">
        <v>44635</v>
      </c>
      <c r="G426" s="346"/>
      <c r="H426" s="346"/>
      <c r="I426" s="346"/>
      <c r="J426" s="345"/>
      <c r="K426" s="703"/>
      <c r="L426" s="342"/>
      <c r="M426" s="342"/>
      <c r="N426" s="340"/>
      <c r="O426" s="703"/>
      <c r="P426" s="342"/>
      <c r="Q426" s="363"/>
      <c r="R426" s="340"/>
      <c r="S426" s="342"/>
      <c r="T426" s="342"/>
      <c r="U426" s="342"/>
      <c r="V426" s="340"/>
      <c r="W426" s="340"/>
      <c r="X426"/>
      <c r="Y426"/>
    </row>
    <row r="427" spans="2:25" ht="16">
      <c r="B427" s="67"/>
      <c r="G427" s="3" t="s">
        <v>60</v>
      </c>
      <c r="H427" s="3"/>
      <c r="I427" s="3"/>
      <c r="J427" s="345"/>
      <c r="K427" s="703"/>
      <c r="L427" s="342"/>
      <c r="M427" s="342"/>
      <c r="N427" s="340"/>
      <c r="O427" s="703"/>
      <c r="P427" s="342"/>
      <c r="Q427" s="363"/>
      <c r="R427" s="340"/>
      <c r="S427" s="342"/>
      <c r="T427" s="342"/>
      <c r="U427" s="342"/>
      <c r="V427" s="340"/>
      <c r="W427" s="340"/>
      <c r="X427"/>
      <c r="Y427"/>
    </row>
    <row r="428" spans="2:25" ht="16">
      <c r="B428" s="67"/>
      <c r="H428" s="347">
        <v>44601</v>
      </c>
      <c r="I428" s="347"/>
      <c r="J428" s="345"/>
      <c r="K428" s="703"/>
      <c r="L428" s="342"/>
      <c r="M428" s="342"/>
      <c r="N428" s="340"/>
      <c r="O428" s="703"/>
      <c r="P428" s="342"/>
      <c r="Q428" s="363"/>
      <c r="R428" s="340"/>
      <c r="S428" s="342"/>
      <c r="T428" s="342"/>
      <c r="U428" s="342"/>
      <c r="V428" s="340"/>
      <c r="W428" s="340"/>
      <c r="X428"/>
      <c r="Y428"/>
    </row>
    <row r="429" spans="2:25" ht="16">
      <c r="B429" s="67"/>
      <c r="I429" s="3" t="s">
        <v>60</v>
      </c>
      <c r="J429" s="345">
        <v>312</v>
      </c>
      <c r="K429" s="703">
        <v>306816.31</v>
      </c>
      <c r="L429" s="342">
        <v>4.7688309210996926E-2</v>
      </c>
      <c r="M429" s="342">
        <v>20.9695</v>
      </c>
      <c r="N429" s="340">
        <v>306816.31000000006</v>
      </c>
      <c r="O429" s="703">
        <v>312940.48354154034</v>
      </c>
      <c r="P429" s="342">
        <v>4.8233449897503916E-2</v>
      </c>
      <c r="Q429" s="363">
        <v>20.732500000000002</v>
      </c>
      <c r="R429" s="340">
        <v>312940.48354154034</v>
      </c>
      <c r="S429" s="342">
        <v>118.98099999999999</v>
      </c>
      <c r="T429" s="342">
        <v>118.98099999999999</v>
      </c>
      <c r="U429" s="342">
        <v>1</v>
      </c>
      <c r="V429" s="340">
        <v>312940.48354154034</v>
      </c>
      <c r="W429" s="340">
        <v>-6124.17354154028</v>
      </c>
      <c r="X429"/>
      <c r="Y429"/>
    </row>
    <row r="430" spans="2:25" ht="16">
      <c r="J430" s="345"/>
      <c r="K430" s="703"/>
      <c r="L430" s="342"/>
      <c r="M430" s="342"/>
      <c r="N430" s="340"/>
      <c r="O430" s="703"/>
      <c r="P430" s="342"/>
      <c r="Q430" s="363"/>
      <c r="R430" s="340"/>
      <c r="S430" s="342"/>
      <c r="T430" s="342"/>
      <c r="U430" s="342"/>
      <c r="V430" s="340"/>
      <c r="W430" s="340"/>
      <c r="X430"/>
      <c r="Y430"/>
    </row>
    <row r="431" spans="2:25" ht="16">
      <c r="B431" s="67"/>
      <c r="F431" s="346">
        <v>44803</v>
      </c>
      <c r="G431" s="346"/>
      <c r="H431" s="346"/>
      <c r="I431" s="346"/>
      <c r="J431" s="345"/>
      <c r="K431" s="703"/>
      <c r="L431" s="342"/>
      <c r="M431" s="342"/>
      <c r="N431" s="340"/>
      <c r="O431" s="703"/>
      <c r="P431" s="342"/>
      <c r="Q431" s="363"/>
      <c r="R431" s="340"/>
      <c r="S431" s="342"/>
      <c r="T431" s="342"/>
      <c r="U431" s="342"/>
      <c r="V431" s="340"/>
      <c r="W431" s="340"/>
      <c r="X431"/>
      <c r="Y431"/>
    </row>
    <row r="432" spans="2:25" ht="16">
      <c r="B432" s="67"/>
      <c r="G432" s="3" t="s">
        <v>59</v>
      </c>
      <c r="H432" s="3"/>
      <c r="I432" s="3"/>
      <c r="J432" s="345"/>
      <c r="K432" s="703"/>
      <c r="L432" s="342"/>
      <c r="M432" s="342"/>
      <c r="N432" s="340"/>
      <c r="O432" s="703"/>
      <c r="P432" s="342"/>
      <c r="Q432" s="363"/>
      <c r="R432" s="340"/>
      <c r="S432" s="342"/>
      <c r="T432" s="342"/>
      <c r="U432" s="342"/>
      <c r="V432" s="340"/>
      <c r="W432" s="340"/>
      <c r="X432"/>
      <c r="Y432"/>
    </row>
    <row r="433" spans="2:25" ht="16">
      <c r="B433" s="67"/>
      <c r="H433" s="347">
        <v>44601</v>
      </c>
      <c r="I433" s="347"/>
      <c r="J433" s="345"/>
      <c r="K433" s="703"/>
      <c r="L433" s="342"/>
      <c r="M433" s="342"/>
      <c r="N433" s="340"/>
      <c r="O433" s="703"/>
      <c r="P433" s="342"/>
      <c r="Q433" s="363"/>
      <c r="R433" s="340"/>
      <c r="S433" s="342"/>
      <c r="T433" s="342"/>
      <c r="U433" s="342"/>
      <c r="V433" s="340"/>
      <c r="W433" s="340"/>
      <c r="X433"/>
      <c r="Y433"/>
    </row>
    <row r="434" spans="2:25" ht="16">
      <c r="B434" s="67"/>
      <c r="I434" s="3" t="s">
        <v>59</v>
      </c>
      <c r="J434" s="345">
        <v>1310</v>
      </c>
      <c r="K434" s="703">
        <v>1133456.4099999999</v>
      </c>
      <c r="L434" s="342">
        <v>1</v>
      </c>
      <c r="M434" s="342">
        <v>19.9268</v>
      </c>
      <c r="N434" s="340">
        <v>22586159.190787997</v>
      </c>
      <c r="O434" s="703">
        <v>1313948.8251263392</v>
      </c>
      <c r="P434" s="342">
        <v>1</v>
      </c>
      <c r="Q434" s="363">
        <v>20.732500000000002</v>
      </c>
      <c r="R434" s="340">
        <v>27241444.016931832</v>
      </c>
      <c r="S434" s="342">
        <v>118.98099999999999</v>
      </c>
      <c r="T434" s="342">
        <v>122.94799999999999</v>
      </c>
      <c r="U434" s="342">
        <v>1.0333000000000001</v>
      </c>
      <c r="V434" s="340">
        <v>28148584.102695666</v>
      </c>
      <c r="W434" s="340">
        <v>-5562424.9119076692</v>
      </c>
      <c r="X434"/>
      <c r="Y434"/>
    </row>
    <row r="435" spans="2:25" ht="16">
      <c r="J435" s="345"/>
      <c r="K435" s="703"/>
      <c r="L435" s="342"/>
      <c r="M435" s="342"/>
      <c r="N435" s="340"/>
      <c r="O435" s="703"/>
      <c r="P435" s="342"/>
      <c r="Q435" s="363"/>
      <c r="R435" s="340"/>
      <c r="S435" s="342"/>
      <c r="T435" s="342"/>
      <c r="U435" s="342"/>
      <c r="V435" s="340"/>
      <c r="W435" s="340"/>
      <c r="X435"/>
      <c r="Y435"/>
    </row>
    <row r="436" spans="2:25" ht="16">
      <c r="B436" s="67"/>
      <c r="E436" s="131" t="s">
        <v>1068</v>
      </c>
      <c r="F436" s="131"/>
      <c r="G436" s="131"/>
      <c r="H436" s="131"/>
      <c r="I436" s="131"/>
      <c r="J436" s="704">
        <v>1622</v>
      </c>
      <c r="K436" s="705">
        <v>1440272.72</v>
      </c>
      <c r="L436" s="369">
        <v>0.52384415460549849</v>
      </c>
      <c r="M436" s="377">
        <v>20.448149999999998</v>
      </c>
      <c r="N436" s="706">
        <v>22892975.500787996</v>
      </c>
      <c r="O436" s="705">
        <v>1626889.3086678796</v>
      </c>
      <c r="P436" s="369">
        <v>0.52411672494875194</v>
      </c>
      <c r="Q436" s="377">
        <v>20.732500000000002</v>
      </c>
      <c r="R436" s="706">
        <v>27554384.500473373</v>
      </c>
      <c r="S436" s="369">
        <v>118.98099999999999</v>
      </c>
      <c r="T436" s="369">
        <v>120.96449999999999</v>
      </c>
      <c r="U436" s="369">
        <v>1.0166500000000001</v>
      </c>
      <c r="V436" s="706">
        <v>28461524.586237207</v>
      </c>
      <c r="W436" s="706">
        <v>-5568549.0854492094</v>
      </c>
      <c r="X436"/>
      <c r="Y436"/>
    </row>
    <row r="437" spans="2:25" ht="16">
      <c r="J437" s="345"/>
      <c r="K437" s="703"/>
      <c r="L437" s="342"/>
      <c r="M437" s="342"/>
      <c r="N437" s="340"/>
      <c r="O437" s="703"/>
      <c r="P437" s="342"/>
      <c r="Q437" s="363"/>
      <c r="R437" s="340"/>
      <c r="S437" s="342"/>
      <c r="T437" s="342"/>
      <c r="U437" s="342"/>
      <c r="V437" s="340"/>
      <c r="W437" s="340"/>
      <c r="X437"/>
      <c r="Y437"/>
    </row>
    <row r="438" spans="2:25" ht="16">
      <c r="B438" s="67"/>
      <c r="E438" s="1" t="s">
        <v>913</v>
      </c>
      <c r="J438" s="345"/>
      <c r="K438" s="703"/>
      <c r="L438" s="342"/>
      <c r="M438" s="342"/>
      <c r="N438" s="340"/>
      <c r="O438" s="703"/>
      <c r="P438" s="342"/>
      <c r="Q438" s="363"/>
      <c r="R438" s="340"/>
      <c r="S438" s="342"/>
      <c r="T438" s="342"/>
      <c r="U438" s="342"/>
      <c r="V438" s="340"/>
      <c r="W438" s="340"/>
      <c r="X438"/>
      <c r="Y438"/>
    </row>
    <row r="439" spans="2:25" ht="16">
      <c r="B439" s="67"/>
      <c r="F439" s="346">
        <v>44764</v>
      </c>
      <c r="G439" s="346"/>
      <c r="H439" s="346"/>
      <c r="I439" s="346"/>
      <c r="J439" s="345"/>
      <c r="K439" s="703"/>
      <c r="L439" s="342"/>
      <c r="M439" s="342"/>
      <c r="N439" s="340"/>
      <c r="O439" s="703"/>
      <c r="P439" s="342"/>
      <c r="Q439" s="363"/>
      <c r="R439" s="340"/>
      <c r="S439" s="342"/>
      <c r="T439" s="342"/>
      <c r="U439" s="342"/>
      <c r="V439" s="340"/>
      <c r="W439" s="340"/>
      <c r="X439"/>
      <c r="Y439"/>
    </row>
    <row r="440" spans="2:25" ht="16">
      <c r="B440" s="67"/>
      <c r="G440" s="3" t="s">
        <v>60</v>
      </c>
      <c r="H440" s="3"/>
      <c r="I440" s="3"/>
      <c r="J440" s="345"/>
      <c r="K440" s="703"/>
      <c r="L440" s="342"/>
      <c r="M440" s="342"/>
      <c r="N440" s="340"/>
      <c r="O440" s="703"/>
      <c r="P440" s="342"/>
      <c r="Q440" s="363"/>
      <c r="R440" s="340"/>
      <c r="S440" s="342"/>
      <c r="T440" s="342"/>
      <c r="U440" s="342"/>
      <c r="V440" s="340"/>
      <c r="W440" s="340"/>
      <c r="X440"/>
      <c r="Y440"/>
    </row>
    <row r="441" spans="2:25" ht="16">
      <c r="B441" s="67"/>
      <c r="H441" s="347">
        <v>44601</v>
      </c>
      <c r="I441" s="347"/>
      <c r="J441" s="345"/>
      <c r="K441" s="703"/>
      <c r="L441" s="342"/>
      <c r="M441" s="342"/>
      <c r="N441" s="340"/>
      <c r="O441" s="703"/>
      <c r="P441" s="342"/>
      <c r="Q441" s="363"/>
      <c r="R441" s="340"/>
      <c r="S441" s="342"/>
      <c r="T441" s="342"/>
      <c r="U441" s="342"/>
      <c r="V441" s="340"/>
      <c r="W441" s="340"/>
      <c r="X441"/>
      <c r="Y441"/>
    </row>
    <row r="442" spans="2:25" ht="16">
      <c r="B442" s="67"/>
      <c r="I442" s="3" t="s">
        <v>60</v>
      </c>
      <c r="J442" s="345">
        <v>7092</v>
      </c>
      <c r="K442" s="703">
        <v>3483153.3221340766</v>
      </c>
      <c r="L442" s="342">
        <v>4.8801198557436573E-2</v>
      </c>
      <c r="M442" s="342">
        <v>20.491299999999999</v>
      </c>
      <c r="N442" s="340">
        <v>3483153.3221340766</v>
      </c>
      <c r="O442" s="703">
        <v>5010350.4000000004</v>
      </c>
      <c r="P442" s="342">
        <v>4.8233449897503916E-2</v>
      </c>
      <c r="Q442" s="363">
        <v>20.732500000000002</v>
      </c>
      <c r="R442" s="340">
        <v>5010350.4000000004</v>
      </c>
      <c r="S442" s="342">
        <v>118.98099999999999</v>
      </c>
      <c r="T442" s="342">
        <v>122.044</v>
      </c>
      <c r="U442" s="342">
        <v>1.0257000000000001</v>
      </c>
      <c r="V442" s="340">
        <v>5139116.4052800005</v>
      </c>
      <c r="W442" s="340">
        <v>-1655963.0831459239</v>
      </c>
      <c r="X442"/>
      <c r="Y442"/>
    </row>
    <row r="443" spans="2:25" ht="16">
      <c r="J443" s="345"/>
      <c r="K443" s="703"/>
      <c r="L443" s="342"/>
      <c r="M443" s="342"/>
      <c r="N443" s="340"/>
      <c r="O443" s="703"/>
      <c r="P443" s="342"/>
      <c r="Q443" s="363"/>
      <c r="R443" s="340"/>
      <c r="S443" s="342"/>
      <c r="T443" s="342"/>
      <c r="U443" s="342"/>
      <c r="V443" s="340"/>
      <c r="W443" s="340"/>
      <c r="X443"/>
      <c r="Y443"/>
    </row>
    <row r="444" spans="2:25" ht="16">
      <c r="B444" s="67"/>
      <c r="H444" s="347">
        <v>44635</v>
      </c>
      <c r="I444" s="347"/>
      <c r="J444" s="345"/>
      <c r="K444" s="703"/>
      <c r="L444" s="342"/>
      <c r="M444" s="342"/>
      <c r="N444" s="340"/>
      <c r="O444" s="703"/>
      <c r="P444" s="342"/>
      <c r="Q444" s="363"/>
      <c r="R444" s="340"/>
      <c r="S444" s="342"/>
      <c r="T444" s="342"/>
      <c r="U444" s="342"/>
      <c r="V444" s="340"/>
      <c r="W444" s="340"/>
      <c r="X444"/>
      <c r="Y444"/>
    </row>
    <row r="445" spans="2:25" ht="16">
      <c r="B445" s="67"/>
      <c r="I445" s="3" t="s">
        <v>60</v>
      </c>
      <c r="J445" s="345">
        <v>799</v>
      </c>
      <c r="K445" s="703">
        <v>392419.55786592321</v>
      </c>
      <c r="L445" s="342">
        <v>4.8801198557436573E-2</v>
      </c>
      <c r="M445" s="342">
        <v>20.491299999999999</v>
      </c>
      <c r="N445" s="340">
        <v>392419.55786592321</v>
      </c>
      <c r="O445" s="703">
        <v>463843.43</v>
      </c>
      <c r="P445" s="342">
        <v>4.7688309210996926E-2</v>
      </c>
      <c r="Q445" s="363">
        <v>20.9695</v>
      </c>
      <c r="R445" s="340">
        <v>463843.43000000005</v>
      </c>
      <c r="S445" s="342">
        <v>120.15900000000001</v>
      </c>
      <c r="T445" s="342">
        <v>122.044</v>
      </c>
      <c r="U445" s="342">
        <v>1.0156000000000001</v>
      </c>
      <c r="V445" s="340">
        <v>471079.38750800007</v>
      </c>
      <c r="W445" s="340">
        <v>-78659.82964207686</v>
      </c>
      <c r="X445"/>
      <c r="Y445"/>
    </row>
    <row r="446" spans="2:25" ht="16">
      <c r="J446" s="345"/>
      <c r="K446" s="703"/>
      <c r="L446" s="342"/>
      <c r="M446" s="342"/>
      <c r="N446" s="340"/>
      <c r="O446" s="703"/>
      <c r="P446" s="342"/>
      <c r="Q446" s="363"/>
      <c r="R446" s="340"/>
      <c r="S446" s="342"/>
      <c r="T446" s="342"/>
      <c r="U446" s="342"/>
      <c r="V446" s="340"/>
      <c r="W446" s="340"/>
      <c r="X446"/>
      <c r="Y446"/>
    </row>
    <row r="447" spans="2:25" ht="16">
      <c r="B447" s="67"/>
      <c r="E447" s="131" t="s">
        <v>1069</v>
      </c>
      <c r="F447" s="131"/>
      <c r="G447" s="131"/>
      <c r="H447" s="131"/>
      <c r="I447" s="131"/>
      <c r="J447" s="704">
        <v>7891</v>
      </c>
      <c r="K447" s="705">
        <v>3875572.88</v>
      </c>
      <c r="L447" s="369">
        <v>4.8801198557436573E-2</v>
      </c>
      <c r="M447" s="377">
        <v>20.491299999999999</v>
      </c>
      <c r="N447" s="706">
        <v>3875572.88</v>
      </c>
      <c r="O447" s="705">
        <v>5474193.8300000001</v>
      </c>
      <c r="P447" s="369">
        <v>4.7960879554250421E-2</v>
      </c>
      <c r="Q447" s="377">
        <v>20.850999999999999</v>
      </c>
      <c r="R447" s="706">
        <v>5474193.8300000001</v>
      </c>
      <c r="S447" s="369">
        <v>119.57</v>
      </c>
      <c r="T447" s="369">
        <v>122.044</v>
      </c>
      <c r="U447" s="369">
        <v>1.0206500000000001</v>
      </c>
      <c r="V447" s="706">
        <v>5610195.7927880008</v>
      </c>
      <c r="W447" s="706">
        <v>-1734622.9127880009</v>
      </c>
      <c r="X447"/>
      <c r="Y447"/>
    </row>
    <row r="448" spans="2:25" ht="16">
      <c r="J448" s="345"/>
      <c r="K448" s="703"/>
      <c r="L448" s="342"/>
      <c r="M448" s="342"/>
      <c r="N448" s="340"/>
      <c r="O448" s="703"/>
      <c r="P448" s="342"/>
      <c r="Q448" s="363"/>
      <c r="R448" s="340"/>
      <c r="S448" s="342"/>
      <c r="T448" s="342"/>
      <c r="U448" s="342"/>
      <c r="V448" s="340"/>
      <c r="W448" s="340"/>
      <c r="X448"/>
      <c r="Y448"/>
    </row>
    <row r="449" spans="2:25" ht="16">
      <c r="B449" s="67"/>
      <c r="E449" s="1" t="s">
        <v>909</v>
      </c>
      <c r="J449" s="345"/>
      <c r="K449" s="703"/>
      <c r="L449" s="342"/>
      <c r="M449" s="342"/>
      <c r="N449" s="340"/>
      <c r="O449" s="703"/>
      <c r="P449" s="342"/>
      <c r="Q449" s="363"/>
      <c r="R449" s="340"/>
      <c r="S449" s="342"/>
      <c r="T449" s="342"/>
      <c r="U449" s="342"/>
      <c r="V449" s="340"/>
      <c r="W449" s="340"/>
      <c r="X449"/>
      <c r="Y449"/>
    </row>
    <row r="450" spans="2:25" ht="16">
      <c r="B450" s="67"/>
      <c r="F450" s="346">
        <v>44635</v>
      </c>
      <c r="G450" s="346"/>
      <c r="H450" s="346"/>
      <c r="I450" s="346"/>
      <c r="J450" s="345"/>
      <c r="K450" s="703"/>
      <c r="L450" s="342"/>
      <c r="M450" s="342"/>
      <c r="N450" s="340"/>
      <c r="O450" s="703"/>
      <c r="P450" s="342"/>
      <c r="Q450" s="363"/>
      <c r="R450" s="340"/>
      <c r="S450" s="342"/>
      <c r="T450" s="342"/>
      <c r="U450" s="342"/>
      <c r="V450" s="340"/>
      <c r="W450" s="340"/>
      <c r="X450"/>
      <c r="Y450"/>
    </row>
    <row r="451" spans="2:25" ht="16">
      <c r="B451" s="67"/>
      <c r="G451" s="3" t="s">
        <v>60</v>
      </c>
      <c r="H451" s="3"/>
      <c r="I451" s="3"/>
      <c r="J451" s="345"/>
      <c r="K451" s="703"/>
      <c r="L451" s="342"/>
      <c r="M451" s="342"/>
      <c r="N451" s="340"/>
      <c r="O451" s="703"/>
      <c r="P451" s="342"/>
      <c r="Q451" s="363"/>
      <c r="R451" s="340"/>
      <c r="S451" s="342"/>
      <c r="T451" s="342"/>
      <c r="U451" s="342"/>
      <c r="V451" s="340"/>
      <c r="W451" s="340"/>
      <c r="X451"/>
      <c r="Y451"/>
    </row>
    <row r="452" spans="2:25" ht="16">
      <c r="B452" s="67"/>
      <c r="H452" s="347">
        <v>43649</v>
      </c>
      <c r="I452" s="347"/>
      <c r="J452" s="345"/>
      <c r="K452" s="703"/>
      <c r="L452" s="342"/>
      <c r="M452" s="342"/>
      <c r="N452" s="340"/>
      <c r="O452" s="703"/>
      <c r="P452" s="342"/>
      <c r="Q452" s="363"/>
      <c r="R452" s="340"/>
      <c r="S452" s="342"/>
      <c r="T452" s="342"/>
      <c r="U452" s="342"/>
      <c r="V452" s="340"/>
      <c r="W452" s="340"/>
      <c r="X452"/>
      <c r="Y452"/>
    </row>
    <row r="453" spans="2:25" ht="16">
      <c r="B453" s="67"/>
      <c r="I453" s="3" t="s">
        <v>60</v>
      </c>
      <c r="J453" s="345">
        <v>635</v>
      </c>
      <c r="K453" s="703">
        <v>913263.57</v>
      </c>
      <c r="L453" s="342">
        <v>4.7688309210996926E-2</v>
      </c>
      <c r="M453" s="342">
        <v>20.9695</v>
      </c>
      <c r="N453" s="340">
        <v>913263.57000000007</v>
      </c>
      <c r="O453" s="703">
        <v>851598.63699516747</v>
      </c>
      <c r="P453" s="342">
        <v>5.2421891381841057E-2</v>
      </c>
      <c r="Q453" s="363">
        <v>19.076000000000001</v>
      </c>
      <c r="R453" s="340">
        <v>851598.63699516747</v>
      </c>
      <c r="S453" s="342">
        <v>103.687</v>
      </c>
      <c r="T453" s="342">
        <v>118.98099999999999</v>
      </c>
      <c r="U453" s="342">
        <v>1.1475</v>
      </c>
      <c r="V453" s="340">
        <v>977209.43595195469</v>
      </c>
      <c r="W453" s="340">
        <v>-63945.865951954736</v>
      </c>
      <c r="X453"/>
      <c r="Y453"/>
    </row>
    <row r="454" spans="2:25" ht="16">
      <c r="J454" s="345"/>
      <c r="K454" s="703"/>
      <c r="L454" s="342"/>
      <c r="M454" s="342"/>
      <c r="N454" s="340"/>
      <c r="O454" s="703"/>
      <c r="P454" s="342"/>
      <c r="Q454" s="363"/>
      <c r="R454" s="340"/>
      <c r="S454" s="342"/>
      <c r="T454" s="342"/>
      <c r="U454" s="342"/>
      <c r="V454" s="340"/>
      <c r="W454" s="340"/>
      <c r="X454"/>
      <c r="Y454"/>
    </row>
    <row r="455" spans="2:25" ht="16">
      <c r="B455" s="67"/>
      <c r="F455" s="346">
        <v>44803</v>
      </c>
      <c r="G455" s="346"/>
      <c r="H455" s="346"/>
      <c r="I455" s="346"/>
      <c r="J455" s="345"/>
      <c r="K455" s="703"/>
      <c r="L455" s="342"/>
      <c r="M455" s="342"/>
      <c r="N455" s="340"/>
      <c r="O455" s="703"/>
      <c r="P455" s="342"/>
      <c r="Q455" s="363"/>
      <c r="R455" s="340"/>
      <c r="S455" s="342"/>
      <c r="T455" s="342"/>
      <c r="U455" s="342"/>
      <c r="V455" s="340"/>
      <c r="W455" s="340"/>
      <c r="X455"/>
      <c r="Y455"/>
    </row>
    <row r="456" spans="2:25" ht="16">
      <c r="B456" s="67"/>
      <c r="G456" s="3" t="s">
        <v>59</v>
      </c>
      <c r="H456" s="3"/>
      <c r="I456" s="3"/>
      <c r="J456" s="345"/>
      <c r="K456" s="703"/>
      <c r="L456" s="342"/>
      <c r="M456" s="342"/>
      <c r="N456" s="340"/>
      <c r="O456" s="703"/>
      <c r="P456" s="342"/>
      <c r="Q456" s="363"/>
      <c r="R456" s="340"/>
      <c r="S456" s="342"/>
      <c r="T456" s="342"/>
      <c r="U456" s="342"/>
      <c r="V456" s="340"/>
      <c r="W456" s="340"/>
      <c r="X456"/>
      <c r="Y456"/>
    </row>
    <row r="457" spans="2:25" ht="16">
      <c r="B457" s="67"/>
      <c r="H457" s="347">
        <v>43649</v>
      </c>
      <c r="I457" s="347"/>
      <c r="J457" s="345"/>
      <c r="K457" s="703"/>
      <c r="L457" s="342"/>
      <c r="M457" s="342"/>
      <c r="N457" s="340"/>
      <c r="O457" s="703"/>
      <c r="P457" s="342"/>
      <c r="Q457" s="363"/>
      <c r="R457" s="340"/>
      <c r="S457" s="342"/>
      <c r="T457" s="342"/>
      <c r="U457" s="342"/>
      <c r="V457" s="340"/>
      <c r="W457" s="340"/>
      <c r="X457"/>
      <c r="Y457"/>
    </row>
    <row r="458" spans="2:25" ht="16">
      <c r="B458" s="67"/>
      <c r="I458" s="3" t="s">
        <v>59</v>
      </c>
      <c r="J458" s="345">
        <v>1271</v>
      </c>
      <c r="K458" s="703">
        <v>1693450.2600000002</v>
      </c>
      <c r="L458" s="342">
        <v>1</v>
      </c>
      <c r="M458" s="342">
        <v>19.9268</v>
      </c>
      <c r="N458" s="340">
        <v>33745044.640968002</v>
      </c>
      <c r="O458" s="703">
        <v>1704538.3742060752</v>
      </c>
      <c r="P458" s="342">
        <v>1</v>
      </c>
      <c r="Q458" s="363">
        <v>19.076000000000001</v>
      </c>
      <c r="R458" s="340">
        <v>32515774.026355091</v>
      </c>
      <c r="S458" s="342">
        <v>103.687</v>
      </c>
      <c r="T458" s="342">
        <v>122.94799999999999</v>
      </c>
      <c r="U458" s="342">
        <v>1.1857</v>
      </c>
      <c r="V458" s="340">
        <v>38553953.26304923</v>
      </c>
      <c r="W458" s="340">
        <v>-4808908.6220812276</v>
      </c>
      <c r="X458"/>
      <c r="Y458"/>
    </row>
    <row r="459" spans="2:25" ht="16">
      <c r="J459" s="345"/>
      <c r="K459" s="703"/>
      <c r="L459" s="342"/>
      <c r="M459" s="342"/>
      <c r="N459" s="340"/>
      <c r="O459" s="703"/>
      <c r="P459" s="342"/>
      <c r="Q459" s="363"/>
      <c r="R459" s="340"/>
      <c r="S459" s="342"/>
      <c r="T459" s="342"/>
      <c r="U459" s="342"/>
      <c r="V459" s="340"/>
      <c r="W459" s="340"/>
      <c r="X459"/>
      <c r="Y459"/>
    </row>
    <row r="460" spans="2:25" ht="16">
      <c r="B460" s="67"/>
      <c r="E460" s="131" t="s">
        <v>1070</v>
      </c>
      <c r="F460" s="131"/>
      <c r="G460" s="131"/>
      <c r="H460" s="131"/>
      <c r="I460" s="131"/>
      <c r="J460" s="704">
        <v>1906</v>
      </c>
      <c r="K460" s="705">
        <v>2606713.83</v>
      </c>
      <c r="L460" s="369">
        <v>0.52384415460549849</v>
      </c>
      <c r="M460" s="377">
        <v>20.448149999999998</v>
      </c>
      <c r="N460" s="706">
        <v>34658308.210968003</v>
      </c>
      <c r="O460" s="705">
        <v>2556137.0112012429</v>
      </c>
      <c r="P460" s="369">
        <v>0.52621094569092053</v>
      </c>
      <c r="Q460" s="377">
        <v>19.076000000000001</v>
      </c>
      <c r="R460" s="706">
        <v>33367372.663350258</v>
      </c>
      <c r="S460" s="369">
        <v>103.687</v>
      </c>
      <c r="T460" s="369">
        <v>120.96449999999999</v>
      </c>
      <c r="U460" s="369">
        <v>1.1665999999999999</v>
      </c>
      <c r="V460" s="706">
        <v>39531162.699001186</v>
      </c>
      <c r="W460" s="706">
        <v>-4872854.488033182</v>
      </c>
      <c r="X460"/>
      <c r="Y460"/>
    </row>
    <row r="461" spans="2:25" ht="16">
      <c r="J461" s="345"/>
      <c r="K461" s="703"/>
      <c r="L461" s="342"/>
      <c r="M461" s="342"/>
      <c r="N461" s="340"/>
      <c r="O461" s="703"/>
      <c r="P461" s="342"/>
      <c r="Q461" s="363"/>
      <c r="R461" s="340"/>
      <c r="S461" s="342"/>
      <c r="T461" s="342"/>
      <c r="U461" s="342"/>
      <c r="V461" s="340"/>
      <c r="W461" s="340"/>
      <c r="X461"/>
      <c r="Y461"/>
    </row>
    <row r="462" spans="2:25" ht="16">
      <c r="B462" s="67"/>
      <c r="E462" s="1" t="s">
        <v>1026</v>
      </c>
      <c r="J462" s="345"/>
      <c r="K462" s="703"/>
      <c r="L462" s="342"/>
      <c r="M462" s="342"/>
      <c r="N462" s="340"/>
      <c r="O462" s="703"/>
      <c r="P462" s="342"/>
      <c r="Q462" s="363"/>
      <c r="R462" s="340"/>
      <c r="S462" s="342"/>
      <c r="T462" s="342"/>
      <c r="U462" s="342"/>
      <c r="V462" s="340"/>
      <c r="W462" s="340"/>
      <c r="X462"/>
      <c r="Y462"/>
    </row>
    <row r="463" spans="2:25" ht="16">
      <c r="B463" s="67"/>
      <c r="F463" s="346">
        <v>44803</v>
      </c>
      <c r="G463" s="346"/>
      <c r="H463" s="346"/>
      <c r="I463" s="346"/>
      <c r="J463" s="345"/>
      <c r="K463" s="703"/>
      <c r="L463" s="342"/>
      <c r="M463" s="342"/>
      <c r="N463" s="340"/>
      <c r="O463" s="703"/>
      <c r="P463" s="342"/>
      <c r="Q463" s="363"/>
      <c r="R463" s="340"/>
      <c r="S463" s="342"/>
      <c r="T463" s="342"/>
      <c r="U463" s="342"/>
      <c r="V463" s="340"/>
      <c r="W463" s="340"/>
      <c r="X463"/>
      <c r="Y463"/>
    </row>
    <row r="464" spans="2:25" ht="16">
      <c r="B464" s="67"/>
      <c r="G464" s="3" t="s">
        <v>59</v>
      </c>
      <c r="H464" s="3"/>
      <c r="I464" s="3"/>
      <c r="J464" s="345"/>
      <c r="K464" s="703"/>
      <c r="L464" s="342"/>
      <c r="M464" s="342"/>
      <c r="N464" s="340"/>
      <c r="O464" s="703"/>
      <c r="P464" s="342"/>
      <c r="Q464" s="363"/>
      <c r="R464" s="340"/>
      <c r="S464" s="342"/>
      <c r="T464" s="342"/>
      <c r="U464" s="342"/>
      <c r="V464" s="340"/>
      <c r="W464" s="340"/>
      <c r="X464"/>
      <c r="Y464"/>
    </row>
    <row r="465" spans="2:25" ht="16">
      <c r="B465" s="67"/>
      <c r="H465" s="347">
        <v>44764</v>
      </c>
      <c r="I465" s="347"/>
      <c r="J465" s="345"/>
      <c r="K465" s="703"/>
      <c r="L465" s="342"/>
      <c r="M465" s="342"/>
      <c r="N465" s="340"/>
      <c r="O465" s="703"/>
      <c r="P465" s="342"/>
      <c r="Q465" s="363"/>
      <c r="R465" s="340"/>
      <c r="S465" s="342"/>
      <c r="T465" s="342"/>
      <c r="U465" s="342"/>
      <c r="V465" s="340"/>
      <c r="W465" s="340"/>
      <c r="X465"/>
      <c r="Y465"/>
    </row>
    <row r="466" spans="2:25" ht="16">
      <c r="B466" s="67"/>
      <c r="I466" s="3" t="s">
        <v>59</v>
      </c>
      <c r="J466" s="345">
        <v>1323</v>
      </c>
      <c r="K466" s="703">
        <v>1297305.28</v>
      </c>
      <c r="L466" s="342">
        <v>1</v>
      </c>
      <c r="M466" s="342">
        <v>19.9268</v>
      </c>
      <c r="N466" s="340">
        <v>25851142.853504002</v>
      </c>
      <c r="O466" s="703">
        <v>1409781.5638009312</v>
      </c>
      <c r="P466" s="342">
        <v>1</v>
      </c>
      <c r="Q466" s="363">
        <v>20.491299999999999</v>
      </c>
      <c r="R466" s="340">
        <v>28888256.95831402</v>
      </c>
      <c r="S466" s="342">
        <v>122.94799999999999</v>
      </c>
      <c r="T466" s="342">
        <v>122.94799999999999</v>
      </c>
      <c r="U466" s="342">
        <v>1</v>
      </c>
      <c r="V466" s="340">
        <v>28888256.95831402</v>
      </c>
      <c r="W466" s="340">
        <v>-3037114.1048100181</v>
      </c>
      <c r="X466"/>
      <c r="Y466"/>
    </row>
    <row r="467" spans="2:25" ht="16">
      <c r="J467" s="345"/>
      <c r="K467" s="703"/>
      <c r="L467" s="342"/>
      <c r="M467" s="342"/>
      <c r="N467" s="340"/>
      <c r="O467" s="703"/>
      <c r="P467" s="342"/>
      <c r="Q467" s="363"/>
      <c r="R467" s="340"/>
      <c r="S467" s="342"/>
      <c r="T467" s="342"/>
      <c r="U467" s="342"/>
      <c r="V467" s="340"/>
      <c r="W467" s="340"/>
      <c r="X467"/>
      <c r="Y467"/>
    </row>
    <row r="468" spans="2:25" ht="16">
      <c r="B468" s="67"/>
      <c r="E468" s="131" t="s">
        <v>1071</v>
      </c>
      <c r="F468" s="131"/>
      <c r="G468" s="131"/>
      <c r="H468" s="131"/>
      <c r="I468" s="131"/>
      <c r="J468" s="704">
        <v>1323</v>
      </c>
      <c r="K468" s="705">
        <v>1297305.28</v>
      </c>
      <c r="L468" s="369">
        <v>1</v>
      </c>
      <c r="M468" s="377">
        <v>19.9268</v>
      </c>
      <c r="N468" s="706">
        <v>25851142.853504002</v>
      </c>
      <c r="O468" s="705">
        <v>1409781.5638009312</v>
      </c>
      <c r="P468" s="369">
        <v>1</v>
      </c>
      <c r="Q468" s="377">
        <v>20.491299999999999</v>
      </c>
      <c r="R468" s="706">
        <v>28888256.95831402</v>
      </c>
      <c r="S468" s="369">
        <v>122.94799999999999</v>
      </c>
      <c r="T468" s="369">
        <v>122.94799999999999</v>
      </c>
      <c r="U468" s="369">
        <v>1</v>
      </c>
      <c r="V468" s="706">
        <v>28888256.95831402</v>
      </c>
      <c r="W468" s="706">
        <v>-3037114.1048100181</v>
      </c>
      <c r="X468"/>
      <c r="Y468"/>
    </row>
    <row r="469" spans="2:25" ht="16">
      <c r="J469" s="345"/>
      <c r="K469" s="703"/>
      <c r="L469" s="342"/>
      <c r="M469" s="342"/>
      <c r="N469" s="340"/>
      <c r="O469" s="703"/>
      <c r="P469" s="342"/>
      <c r="Q469" s="363"/>
      <c r="R469" s="340"/>
      <c r="S469" s="342"/>
      <c r="T469" s="342"/>
      <c r="U469" s="342"/>
      <c r="V469" s="340"/>
      <c r="W469" s="340"/>
      <c r="X469"/>
      <c r="Y469"/>
    </row>
    <row r="470" spans="2:25" ht="16">
      <c r="B470" s="67"/>
      <c r="E470" s="1" t="s">
        <v>907</v>
      </c>
      <c r="J470" s="345"/>
      <c r="K470" s="703"/>
      <c r="L470" s="342"/>
      <c r="M470" s="342"/>
      <c r="N470" s="340"/>
      <c r="O470" s="703"/>
      <c r="P470" s="342"/>
      <c r="Q470" s="363"/>
      <c r="R470" s="340"/>
      <c r="S470" s="342"/>
      <c r="T470" s="342"/>
      <c r="U470" s="342"/>
      <c r="V470" s="340"/>
      <c r="W470" s="340"/>
      <c r="X470"/>
      <c r="Y470"/>
    </row>
    <row r="471" spans="2:25" ht="16">
      <c r="B471" s="67"/>
      <c r="F471" s="346">
        <v>44635</v>
      </c>
      <c r="G471" s="346"/>
      <c r="H471" s="346"/>
      <c r="I471" s="346"/>
      <c r="J471" s="345"/>
      <c r="K471" s="703"/>
      <c r="L471" s="342"/>
      <c r="M471" s="342"/>
      <c r="N471" s="340"/>
      <c r="O471" s="703"/>
      <c r="P471" s="342"/>
      <c r="Q471" s="363"/>
      <c r="R471" s="340"/>
      <c r="S471" s="342"/>
      <c r="T471" s="342"/>
      <c r="U471" s="342"/>
      <c r="V471" s="340"/>
      <c r="W471" s="340"/>
      <c r="X471"/>
      <c r="Y471"/>
    </row>
    <row r="472" spans="2:25" ht="16">
      <c r="B472" s="67"/>
      <c r="G472" s="3" t="s">
        <v>60</v>
      </c>
      <c r="H472" s="3"/>
      <c r="I472" s="3"/>
      <c r="J472" s="345"/>
      <c r="K472" s="703"/>
      <c r="L472" s="342"/>
      <c r="M472" s="342"/>
      <c r="N472" s="340"/>
      <c r="O472" s="703"/>
      <c r="P472" s="342"/>
      <c r="Q472" s="363"/>
      <c r="R472" s="340"/>
      <c r="S472" s="342"/>
      <c r="T472" s="342"/>
      <c r="U472" s="342"/>
      <c r="V472" s="340"/>
      <c r="W472" s="340"/>
      <c r="X472"/>
      <c r="Y472"/>
    </row>
    <row r="473" spans="2:25" ht="16">
      <c r="B473" s="67"/>
      <c r="H473" s="347">
        <v>43934</v>
      </c>
      <c r="I473" s="347"/>
      <c r="J473" s="345"/>
      <c r="K473" s="703"/>
      <c r="L473" s="342"/>
      <c r="M473" s="342"/>
      <c r="N473" s="340"/>
      <c r="O473" s="703"/>
      <c r="P473" s="342"/>
      <c r="Q473" s="363"/>
      <c r="R473" s="340"/>
      <c r="S473" s="342"/>
      <c r="T473" s="342"/>
      <c r="U473" s="342"/>
      <c r="V473" s="340"/>
      <c r="W473" s="340"/>
      <c r="X473"/>
      <c r="Y473"/>
    </row>
    <row r="474" spans="2:25" ht="16">
      <c r="B474" s="67"/>
      <c r="I474" s="3" t="s">
        <v>60</v>
      </c>
      <c r="J474" s="345">
        <v>519</v>
      </c>
      <c r="K474" s="703">
        <v>687516.17572719452</v>
      </c>
      <c r="L474" s="342">
        <v>4.7688309210996926E-2</v>
      </c>
      <c r="M474" s="342">
        <v>20.9695</v>
      </c>
      <c r="N474" s="340">
        <v>687516.17572719452</v>
      </c>
      <c r="O474" s="703">
        <v>582910.32999999996</v>
      </c>
      <c r="P474" s="342">
        <v>4.1599414280246938E-2</v>
      </c>
      <c r="Q474" s="363">
        <v>24.038799999999998</v>
      </c>
      <c r="R474" s="340">
        <v>582910.32999999996</v>
      </c>
      <c r="S474" s="342">
        <v>105.755</v>
      </c>
      <c r="T474" s="342">
        <v>118.98099999999999</v>
      </c>
      <c r="U474" s="342">
        <v>1.125</v>
      </c>
      <c r="V474" s="340">
        <v>655774.12124999997</v>
      </c>
      <c r="W474" s="340">
        <v>31742.054477194557</v>
      </c>
      <c r="X474"/>
      <c r="Y474"/>
    </row>
    <row r="475" spans="2:25" ht="16">
      <c r="J475" s="345"/>
      <c r="K475" s="703"/>
      <c r="L475" s="342"/>
      <c r="M475" s="342"/>
      <c r="N475" s="340"/>
      <c r="O475" s="703"/>
      <c r="P475" s="342"/>
      <c r="Q475" s="363"/>
      <c r="R475" s="340"/>
      <c r="S475" s="342"/>
      <c r="T475" s="342"/>
      <c r="U475" s="342"/>
      <c r="V475" s="340"/>
      <c r="W475" s="340"/>
      <c r="X475"/>
      <c r="Y475"/>
    </row>
    <row r="476" spans="2:25" ht="16">
      <c r="B476" s="67"/>
      <c r="H476" s="347">
        <v>43649</v>
      </c>
      <c r="I476" s="347"/>
      <c r="J476" s="345"/>
      <c r="K476" s="703"/>
      <c r="L476" s="342"/>
      <c r="M476" s="342"/>
      <c r="N476" s="340"/>
      <c r="O476" s="703"/>
      <c r="P476" s="342"/>
      <c r="Q476" s="363"/>
      <c r="R476" s="340"/>
      <c r="S476" s="342"/>
      <c r="T476" s="342"/>
      <c r="U476" s="342"/>
      <c r="V476" s="340"/>
      <c r="W476" s="340"/>
      <c r="X476"/>
      <c r="Y476"/>
    </row>
    <row r="477" spans="2:25" ht="16">
      <c r="B477" s="67"/>
      <c r="I477" s="3" t="s">
        <v>60</v>
      </c>
      <c r="J477" s="345">
        <v>994</v>
      </c>
      <c r="K477" s="703">
        <v>1316745.8163253013</v>
      </c>
      <c r="L477" s="342">
        <v>4.7688309210996926E-2</v>
      </c>
      <c r="M477" s="342">
        <v>20.9695</v>
      </c>
      <c r="N477" s="340">
        <v>1316745.8163253013</v>
      </c>
      <c r="O477" s="703">
        <v>1105482.8654981789</v>
      </c>
      <c r="P477" s="342">
        <v>5.2421891381841057E-2</v>
      </c>
      <c r="Q477" s="363">
        <v>19.076000000000001</v>
      </c>
      <c r="R477" s="340">
        <v>1105482.8654981789</v>
      </c>
      <c r="S477" s="342">
        <v>103.687</v>
      </c>
      <c r="T477" s="342">
        <v>118.98099999999999</v>
      </c>
      <c r="U477" s="342">
        <v>1.1475</v>
      </c>
      <c r="V477" s="340">
        <v>1268541.5881591602</v>
      </c>
      <c r="W477" s="340">
        <v>48204.228166141082</v>
      </c>
      <c r="X477"/>
      <c r="Y477"/>
    </row>
    <row r="478" spans="2:25" ht="16">
      <c r="J478" s="345"/>
      <c r="K478" s="703"/>
      <c r="L478" s="342"/>
      <c r="M478" s="342"/>
      <c r="N478" s="340"/>
      <c r="O478" s="703"/>
      <c r="P478" s="342"/>
      <c r="Q478" s="363"/>
      <c r="R478" s="340"/>
      <c r="S478" s="342"/>
      <c r="T478" s="342"/>
      <c r="U478" s="342"/>
      <c r="V478" s="340"/>
      <c r="W478" s="340"/>
      <c r="X478"/>
      <c r="Y478"/>
    </row>
    <row r="479" spans="2:25" ht="16">
      <c r="B479" s="67"/>
      <c r="H479" s="347">
        <v>44245</v>
      </c>
      <c r="I479" s="347"/>
      <c r="J479" s="345"/>
      <c r="K479" s="703"/>
      <c r="L479" s="342"/>
      <c r="M479" s="342"/>
      <c r="N479" s="340"/>
      <c r="O479" s="703"/>
      <c r="P479" s="342"/>
      <c r="Q479" s="363"/>
      <c r="R479" s="340"/>
      <c r="S479" s="342"/>
      <c r="T479" s="342"/>
      <c r="U479" s="342"/>
      <c r="V479" s="340"/>
      <c r="W479" s="340"/>
      <c r="X479"/>
      <c r="Y479"/>
    </row>
    <row r="480" spans="2:25" ht="16">
      <c r="B480" s="67"/>
      <c r="I480" s="3" t="s">
        <v>60</v>
      </c>
      <c r="J480" s="345">
        <v>447</v>
      </c>
      <c r="K480" s="703">
        <v>592138.20915232366</v>
      </c>
      <c r="L480" s="342">
        <v>4.7688309210996926E-2</v>
      </c>
      <c r="M480" s="342">
        <v>20.9695</v>
      </c>
      <c r="N480" s="340">
        <v>592138.20915232366</v>
      </c>
      <c r="O480" s="703">
        <v>649867.55000000005</v>
      </c>
      <c r="P480" s="342">
        <v>4.9499314434495081E-2</v>
      </c>
      <c r="Q480" s="363">
        <v>20.202300000000001</v>
      </c>
      <c r="R480" s="340">
        <v>649867.55000000005</v>
      </c>
      <c r="S480" s="342">
        <v>110.907</v>
      </c>
      <c r="T480" s="342">
        <v>118.98099999999999</v>
      </c>
      <c r="U480" s="342">
        <v>1.0727</v>
      </c>
      <c r="V480" s="340">
        <v>697112.92088500003</v>
      </c>
      <c r="W480" s="340">
        <v>-104974.71173267637</v>
      </c>
      <c r="X480"/>
      <c r="Y480"/>
    </row>
    <row r="481" spans="2:25" ht="16">
      <c r="J481" s="345"/>
      <c r="K481" s="703"/>
      <c r="L481" s="342"/>
      <c r="M481" s="342"/>
      <c r="N481" s="340"/>
      <c r="O481" s="703"/>
      <c r="P481" s="342"/>
      <c r="Q481" s="363"/>
      <c r="R481" s="340"/>
      <c r="S481" s="342"/>
      <c r="T481" s="342"/>
      <c r="U481" s="342"/>
      <c r="V481" s="340"/>
      <c r="W481" s="340"/>
      <c r="X481"/>
      <c r="Y481"/>
    </row>
    <row r="482" spans="2:25" ht="16">
      <c r="B482" s="67"/>
      <c r="H482" s="347">
        <v>44084</v>
      </c>
      <c r="I482" s="347"/>
      <c r="J482" s="345"/>
      <c r="K482" s="703"/>
      <c r="L482" s="342"/>
      <c r="M482" s="342"/>
      <c r="N482" s="340"/>
      <c r="O482" s="703"/>
      <c r="P482" s="342"/>
      <c r="Q482" s="363"/>
      <c r="R482" s="340"/>
      <c r="S482" s="342"/>
      <c r="T482" s="342"/>
      <c r="U482" s="342"/>
      <c r="V482" s="340"/>
      <c r="W482" s="340"/>
      <c r="X482"/>
      <c r="Y482"/>
    </row>
    <row r="483" spans="2:25" ht="16">
      <c r="B483" s="67"/>
      <c r="I483" s="3" t="s">
        <v>60</v>
      </c>
      <c r="J483" s="345">
        <v>1336</v>
      </c>
      <c r="K483" s="703">
        <v>1769791.1575559382</v>
      </c>
      <c r="L483" s="342">
        <v>4.7688309210996926E-2</v>
      </c>
      <c r="M483" s="342">
        <v>20.9695</v>
      </c>
      <c r="N483" s="340">
        <v>1769791.1575559382</v>
      </c>
      <c r="O483" s="703">
        <v>1671663.73</v>
      </c>
      <c r="P483" s="342">
        <v>4.6053661726643887E-2</v>
      </c>
      <c r="Q483" s="363">
        <v>21.713799999999999</v>
      </c>
      <c r="R483" s="340">
        <v>1671663.73</v>
      </c>
      <c r="S483" s="342">
        <v>108.114</v>
      </c>
      <c r="T483" s="342">
        <v>118.98099999999999</v>
      </c>
      <c r="U483" s="342">
        <v>1.1005</v>
      </c>
      <c r="V483" s="340">
        <v>1839665.934865</v>
      </c>
      <c r="W483" s="340">
        <v>-69874.777309061959</v>
      </c>
      <c r="X483"/>
      <c r="Y483"/>
    </row>
    <row r="484" spans="2:25" ht="16">
      <c r="J484" s="345"/>
      <c r="K484" s="703"/>
      <c r="L484" s="342"/>
      <c r="M484" s="342"/>
      <c r="N484" s="340"/>
      <c r="O484" s="703"/>
      <c r="P484" s="342"/>
      <c r="Q484" s="363"/>
      <c r="R484" s="340"/>
      <c r="S484" s="342"/>
      <c r="T484" s="342"/>
      <c r="U484" s="342"/>
      <c r="V484" s="340"/>
      <c r="W484" s="340"/>
      <c r="X484"/>
      <c r="Y484"/>
    </row>
    <row r="485" spans="2:25" ht="16">
      <c r="B485" s="67"/>
      <c r="H485" s="347">
        <v>44167</v>
      </c>
      <c r="I485" s="347"/>
      <c r="J485" s="345"/>
      <c r="K485" s="703"/>
      <c r="L485" s="342"/>
      <c r="M485" s="342"/>
      <c r="N485" s="340"/>
      <c r="O485" s="703"/>
      <c r="P485" s="342"/>
      <c r="Q485" s="363"/>
      <c r="R485" s="340"/>
      <c r="S485" s="342"/>
      <c r="T485" s="342"/>
      <c r="U485" s="342"/>
      <c r="V485" s="340"/>
      <c r="W485" s="340"/>
      <c r="X485"/>
      <c r="Y485"/>
    </row>
    <row r="486" spans="2:25" ht="16">
      <c r="B486" s="67"/>
      <c r="I486" s="3" t="s">
        <v>60</v>
      </c>
      <c r="J486" s="345">
        <v>1352</v>
      </c>
      <c r="K486" s="703">
        <v>1790986.2612392427</v>
      </c>
      <c r="L486" s="342">
        <v>4.7688309210996926E-2</v>
      </c>
      <c r="M486" s="342">
        <v>20.9695</v>
      </c>
      <c r="N486" s="340">
        <v>1790986.2612392427</v>
      </c>
      <c r="O486" s="703">
        <v>1784084.95</v>
      </c>
      <c r="P486" s="342">
        <v>4.9652926046931944E-2</v>
      </c>
      <c r="Q486" s="363">
        <v>20.139800000000001</v>
      </c>
      <c r="R486" s="340">
        <v>1784084.9500000002</v>
      </c>
      <c r="S486" s="342">
        <v>109.271</v>
      </c>
      <c r="T486" s="342">
        <v>118.98099999999999</v>
      </c>
      <c r="U486" s="342">
        <v>1.0888</v>
      </c>
      <c r="V486" s="340">
        <v>1942511.6935600003</v>
      </c>
      <c r="W486" s="340">
        <v>-151525.43232075754</v>
      </c>
      <c r="X486"/>
      <c r="Y486"/>
    </row>
    <row r="487" spans="2:25" ht="16">
      <c r="J487" s="345"/>
      <c r="K487" s="703"/>
      <c r="L487" s="342"/>
      <c r="M487" s="342"/>
      <c r="N487" s="340"/>
      <c r="O487" s="703"/>
      <c r="P487" s="342"/>
      <c r="Q487" s="363"/>
      <c r="R487" s="340"/>
      <c r="S487" s="342"/>
      <c r="T487" s="342"/>
      <c r="U487" s="342"/>
      <c r="V487" s="340"/>
      <c r="W487" s="340"/>
      <c r="X487"/>
      <c r="Y487"/>
    </row>
    <row r="488" spans="2:25" ht="16">
      <c r="B488" s="67"/>
      <c r="E488" s="131" t="s">
        <v>1072</v>
      </c>
      <c r="F488" s="131"/>
      <c r="G488" s="131"/>
      <c r="H488" s="131"/>
      <c r="I488" s="131"/>
      <c r="J488" s="704">
        <v>4648</v>
      </c>
      <c r="K488" s="705">
        <v>6157177.6200000001</v>
      </c>
      <c r="L488" s="369">
        <v>4.7688309210996926E-2</v>
      </c>
      <c r="M488" s="377">
        <v>20.9695</v>
      </c>
      <c r="N488" s="706">
        <v>6157177.6200000001</v>
      </c>
      <c r="O488" s="705">
        <v>5794009.4254981782</v>
      </c>
      <c r="P488" s="369">
        <v>4.7845441574031776E-2</v>
      </c>
      <c r="Q488" s="377">
        <v>21.034140000000001</v>
      </c>
      <c r="R488" s="706">
        <v>5794009.4254981782</v>
      </c>
      <c r="S488" s="369">
        <v>107.54679999999999</v>
      </c>
      <c r="T488" s="369">
        <v>118.98099999999999</v>
      </c>
      <c r="U488" s="369">
        <v>1.1069</v>
      </c>
      <c r="V488" s="706">
        <v>6403606.2587191602</v>
      </c>
      <c r="W488" s="706">
        <v>-246428.63871916023</v>
      </c>
      <c r="X488"/>
      <c r="Y488"/>
    </row>
    <row r="489" spans="2:25" ht="16">
      <c r="J489" s="345"/>
      <c r="K489" s="703"/>
      <c r="L489" s="342"/>
      <c r="M489" s="342"/>
      <c r="N489" s="340"/>
      <c r="O489" s="703"/>
      <c r="P489" s="342"/>
      <c r="Q489" s="363"/>
      <c r="R489" s="340"/>
      <c r="S489" s="342"/>
      <c r="T489" s="342"/>
      <c r="U489" s="342"/>
      <c r="V489" s="340"/>
      <c r="W489" s="340"/>
      <c r="X489"/>
      <c r="Y489"/>
    </row>
    <row r="490" spans="2:25" ht="16">
      <c r="B490" s="67"/>
      <c r="E490" s="1" t="s">
        <v>1020</v>
      </c>
      <c r="J490" s="345"/>
      <c r="K490" s="703"/>
      <c r="L490" s="342"/>
      <c r="M490" s="342"/>
      <c r="N490" s="340"/>
      <c r="O490" s="703"/>
      <c r="P490" s="342"/>
      <c r="Q490" s="363"/>
      <c r="R490" s="340"/>
      <c r="S490" s="342"/>
      <c r="T490" s="342"/>
      <c r="U490" s="342"/>
      <c r="V490" s="340"/>
      <c r="W490" s="340"/>
      <c r="X490"/>
      <c r="Y490"/>
    </row>
    <row r="491" spans="2:25" ht="16">
      <c r="B491" s="67"/>
      <c r="F491" s="346">
        <v>44803</v>
      </c>
      <c r="G491" s="346"/>
      <c r="H491" s="346"/>
      <c r="I491" s="346"/>
      <c r="J491" s="345"/>
      <c r="K491" s="703"/>
      <c r="L491" s="342"/>
      <c r="M491" s="342"/>
      <c r="N491" s="340"/>
      <c r="O491" s="703"/>
      <c r="P491" s="342"/>
      <c r="Q491" s="363"/>
      <c r="R491" s="340"/>
      <c r="S491" s="342"/>
      <c r="T491" s="342"/>
      <c r="U491" s="342"/>
      <c r="V491" s="340"/>
      <c r="W491" s="340"/>
      <c r="X491"/>
      <c r="Y491"/>
    </row>
    <row r="492" spans="2:25" ht="16">
      <c r="B492" s="67"/>
      <c r="G492" s="3" t="s">
        <v>59</v>
      </c>
      <c r="H492" s="3"/>
      <c r="I492" s="3"/>
      <c r="J492" s="345"/>
      <c r="K492" s="703"/>
      <c r="L492" s="342"/>
      <c r="M492" s="342"/>
      <c r="N492" s="340"/>
      <c r="O492" s="703"/>
      <c r="P492" s="342"/>
      <c r="Q492" s="363"/>
      <c r="R492" s="340"/>
      <c r="S492" s="342"/>
      <c r="T492" s="342"/>
      <c r="U492" s="342"/>
      <c r="V492" s="340"/>
      <c r="W492" s="340"/>
      <c r="X492"/>
      <c r="Y492"/>
    </row>
    <row r="493" spans="2:25" ht="16">
      <c r="B493" s="67"/>
      <c r="H493" s="347">
        <v>43934</v>
      </c>
      <c r="I493" s="347"/>
      <c r="J493" s="345"/>
      <c r="K493" s="703"/>
      <c r="L493" s="342"/>
      <c r="M493" s="342"/>
      <c r="N493" s="340"/>
      <c r="O493" s="703"/>
      <c r="P493" s="342"/>
      <c r="Q493" s="363"/>
      <c r="R493" s="340"/>
      <c r="S493" s="342"/>
      <c r="T493" s="342"/>
      <c r="U493" s="342"/>
      <c r="V493" s="340"/>
      <c r="W493" s="340"/>
      <c r="X493"/>
      <c r="Y493"/>
    </row>
    <row r="494" spans="2:25" ht="16">
      <c r="B494" s="67"/>
      <c r="I494" s="3" t="s">
        <v>59</v>
      </c>
      <c r="J494" s="345">
        <v>296</v>
      </c>
      <c r="K494" s="703">
        <v>693425.87825265655</v>
      </c>
      <c r="L494" s="342">
        <v>1</v>
      </c>
      <c r="M494" s="342">
        <v>19.9268</v>
      </c>
      <c r="N494" s="340">
        <v>13817758.790765036</v>
      </c>
      <c r="O494" s="703">
        <v>612437.02471153846</v>
      </c>
      <c r="P494" s="342">
        <v>1</v>
      </c>
      <c r="Q494" s="363">
        <v>24.038799999999998</v>
      </c>
      <c r="R494" s="340">
        <v>14722251.14963573</v>
      </c>
      <c r="S494" s="342">
        <v>105.755</v>
      </c>
      <c r="T494" s="342">
        <v>122.94799999999999</v>
      </c>
      <c r="U494" s="342">
        <v>1.1625000000000001</v>
      </c>
      <c r="V494" s="340">
        <v>17114616.961451538</v>
      </c>
      <c r="W494" s="340">
        <v>-3296858.170686502</v>
      </c>
      <c r="X494"/>
      <c r="Y494"/>
    </row>
    <row r="495" spans="2:25" ht="16">
      <c r="J495" s="345"/>
      <c r="K495" s="703"/>
      <c r="L495" s="342"/>
      <c r="M495" s="342"/>
      <c r="N495" s="340"/>
      <c r="O495" s="703"/>
      <c r="P495" s="342"/>
      <c r="Q495" s="363"/>
      <c r="R495" s="340"/>
      <c r="S495" s="342"/>
      <c r="T495" s="342"/>
      <c r="U495" s="342"/>
      <c r="V495" s="340"/>
      <c r="W495" s="340"/>
      <c r="X495"/>
      <c r="Y495"/>
    </row>
    <row r="496" spans="2:25" ht="16">
      <c r="B496" s="67"/>
      <c r="H496" s="347">
        <v>43752</v>
      </c>
      <c r="I496" s="347"/>
      <c r="J496" s="345"/>
      <c r="K496" s="703"/>
      <c r="L496" s="342"/>
      <c r="M496" s="342"/>
      <c r="N496" s="340"/>
      <c r="O496" s="703"/>
      <c r="P496" s="342"/>
      <c r="Q496" s="363"/>
      <c r="R496" s="340"/>
      <c r="S496" s="342"/>
      <c r="T496" s="342"/>
      <c r="U496" s="342"/>
      <c r="V496" s="340"/>
      <c r="W496" s="340"/>
      <c r="X496"/>
      <c r="Y496"/>
    </row>
    <row r="497" spans="2:25" ht="16">
      <c r="B497" s="67"/>
      <c r="I497" s="3" t="s">
        <v>59</v>
      </c>
      <c r="J497" s="345">
        <v>551</v>
      </c>
      <c r="K497" s="703">
        <v>1290802.9017473436</v>
      </c>
      <c r="L497" s="342">
        <v>1</v>
      </c>
      <c r="M497" s="342">
        <v>19.9268</v>
      </c>
      <c r="N497" s="340">
        <v>25721571.262538966</v>
      </c>
      <c r="O497" s="703">
        <v>984831.63031984342</v>
      </c>
      <c r="P497" s="342">
        <v>1</v>
      </c>
      <c r="Q497" s="363">
        <v>19.476400000000002</v>
      </c>
      <c r="R497" s="340">
        <v>19180974.764761399</v>
      </c>
      <c r="S497" s="342">
        <v>104.503</v>
      </c>
      <c r="T497" s="342">
        <v>122.94799999999999</v>
      </c>
      <c r="U497" s="342">
        <v>1.1765000000000001</v>
      </c>
      <c r="V497" s="340">
        <v>22566416.81074179</v>
      </c>
      <c r="W497" s="340">
        <v>3155154.4517971762</v>
      </c>
      <c r="X497"/>
      <c r="Y497"/>
    </row>
    <row r="498" spans="2:25" ht="16">
      <c r="J498" s="345"/>
      <c r="K498" s="703"/>
      <c r="L498" s="342"/>
      <c r="M498" s="342"/>
      <c r="N498" s="340"/>
      <c r="O498" s="703"/>
      <c r="P498" s="342"/>
      <c r="Q498" s="363"/>
      <c r="R498" s="340"/>
      <c r="S498" s="342"/>
      <c r="T498" s="342"/>
      <c r="U498" s="342"/>
      <c r="V498" s="340"/>
      <c r="W498" s="340"/>
      <c r="X498"/>
      <c r="Y498"/>
    </row>
    <row r="499" spans="2:25" ht="16">
      <c r="B499" s="67"/>
      <c r="E499" s="131" t="s">
        <v>1073</v>
      </c>
      <c r="F499" s="131"/>
      <c r="G499" s="131"/>
      <c r="H499" s="131"/>
      <c r="I499" s="131"/>
      <c r="J499" s="704">
        <v>847</v>
      </c>
      <c r="K499" s="705">
        <v>1984228.7800000003</v>
      </c>
      <c r="L499" s="369">
        <v>1</v>
      </c>
      <c r="M499" s="377">
        <v>19.9268</v>
      </c>
      <c r="N499" s="706">
        <v>39539330.053304002</v>
      </c>
      <c r="O499" s="705">
        <v>1597268.6550313819</v>
      </c>
      <c r="P499" s="369">
        <v>1</v>
      </c>
      <c r="Q499" s="377">
        <v>21.7576</v>
      </c>
      <c r="R499" s="706">
        <v>33903225.914397128</v>
      </c>
      <c r="S499" s="369">
        <v>105.12899999999999</v>
      </c>
      <c r="T499" s="369">
        <v>122.94799999999999</v>
      </c>
      <c r="U499" s="369">
        <v>1.1695000000000002</v>
      </c>
      <c r="V499" s="706">
        <v>39681033.772193328</v>
      </c>
      <c r="W499" s="706">
        <v>-141703.71888932586</v>
      </c>
      <c r="X499"/>
      <c r="Y499"/>
    </row>
    <row r="500" spans="2:25" ht="16">
      <c r="J500" s="345"/>
      <c r="K500" s="703"/>
      <c r="L500" s="342"/>
      <c r="M500" s="342"/>
      <c r="N500" s="340"/>
      <c r="O500" s="703"/>
      <c r="P500" s="342"/>
      <c r="Q500" s="363"/>
      <c r="R500" s="340"/>
      <c r="S500" s="342"/>
      <c r="T500" s="342"/>
      <c r="U500" s="342"/>
      <c r="V500" s="340"/>
      <c r="W500" s="340"/>
      <c r="X500"/>
      <c r="Y500"/>
    </row>
    <row r="501" spans="2:25" ht="16">
      <c r="B501" s="67"/>
      <c r="E501" s="1" t="s">
        <v>701</v>
      </c>
      <c r="J501" s="345"/>
      <c r="K501" s="703"/>
      <c r="L501" s="342"/>
      <c r="M501" s="342"/>
      <c r="N501" s="340"/>
      <c r="O501" s="703"/>
      <c r="P501" s="342"/>
      <c r="Q501" s="363"/>
      <c r="R501" s="340"/>
      <c r="S501" s="342"/>
      <c r="T501" s="342"/>
      <c r="U501" s="342"/>
      <c r="V501" s="340"/>
      <c r="W501" s="340"/>
      <c r="X501"/>
      <c r="Y501"/>
    </row>
    <row r="502" spans="2:25" ht="16">
      <c r="B502" s="67"/>
      <c r="F502" s="346">
        <v>44635</v>
      </c>
      <c r="G502" s="346"/>
      <c r="H502" s="346"/>
      <c r="I502" s="346"/>
      <c r="J502" s="345"/>
      <c r="K502" s="703"/>
      <c r="L502" s="342"/>
      <c r="M502" s="342"/>
      <c r="N502" s="340"/>
      <c r="O502" s="703"/>
      <c r="P502" s="342"/>
      <c r="Q502" s="363"/>
      <c r="R502" s="340"/>
      <c r="S502" s="342"/>
      <c r="T502" s="342"/>
      <c r="U502" s="342"/>
      <c r="V502" s="340"/>
      <c r="W502" s="340"/>
      <c r="X502"/>
      <c r="Y502"/>
    </row>
    <row r="503" spans="2:25" ht="16">
      <c r="B503" s="67"/>
      <c r="G503" s="3" t="s">
        <v>60</v>
      </c>
      <c r="H503" s="3"/>
      <c r="I503" s="3"/>
      <c r="J503" s="345"/>
      <c r="K503" s="703"/>
      <c r="L503" s="342"/>
      <c r="M503" s="342"/>
      <c r="N503" s="340"/>
      <c r="O503" s="703"/>
      <c r="P503" s="342"/>
      <c r="Q503" s="363"/>
      <c r="R503" s="340"/>
      <c r="S503" s="342"/>
      <c r="T503" s="342"/>
      <c r="U503" s="342"/>
      <c r="V503" s="340"/>
      <c r="W503" s="340"/>
      <c r="X503"/>
      <c r="Y503"/>
    </row>
    <row r="504" spans="2:25" ht="16">
      <c r="B504" s="67"/>
      <c r="H504" s="347">
        <v>43649</v>
      </c>
      <c r="I504" s="347"/>
      <c r="J504" s="345"/>
      <c r="K504" s="703"/>
      <c r="L504" s="342"/>
      <c r="M504" s="342"/>
      <c r="N504" s="340"/>
      <c r="O504" s="703"/>
      <c r="P504" s="342"/>
      <c r="Q504" s="363"/>
      <c r="R504" s="340"/>
      <c r="S504" s="342"/>
      <c r="T504" s="342"/>
      <c r="U504" s="342"/>
      <c r="V504" s="340"/>
      <c r="W504" s="340"/>
      <c r="X504"/>
      <c r="Y504"/>
    </row>
    <row r="505" spans="2:25" ht="16">
      <c r="B505" s="67"/>
      <c r="I505" s="3" t="s">
        <v>60</v>
      </c>
      <c r="J505" s="345">
        <v>193</v>
      </c>
      <c r="K505" s="703">
        <v>1010536.19</v>
      </c>
      <c r="L505" s="342">
        <v>4.7688309210996926E-2</v>
      </c>
      <c r="M505" s="342">
        <v>20.9695</v>
      </c>
      <c r="N505" s="340">
        <v>1010536.19</v>
      </c>
      <c r="O505" s="703">
        <v>592114.96962483402</v>
      </c>
      <c r="P505" s="342">
        <v>5.2421891381841057E-2</v>
      </c>
      <c r="Q505" s="363">
        <v>19.076000000000001</v>
      </c>
      <c r="R505" s="340">
        <v>592114.96962483402</v>
      </c>
      <c r="S505" s="342">
        <v>103.687</v>
      </c>
      <c r="T505" s="342">
        <v>118.98099999999999</v>
      </c>
      <c r="U505" s="342">
        <v>1.1475</v>
      </c>
      <c r="V505" s="340">
        <v>679451.92764449702</v>
      </c>
      <c r="W505" s="340">
        <v>331084.26235550293</v>
      </c>
      <c r="X505"/>
      <c r="Y505"/>
    </row>
    <row r="506" spans="2:25" ht="16">
      <c r="J506" s="345"/>
      <c r="K506" s="703"/>
      <c r="L506" s="342"/>
      <c r="M506" s="342"/>
      <c r="N506" s="340"/>
      <c r="O506" s="703"/>
      <c r="P506" s="342"/>
      <c r="Q506" s="363"/>
      <c r="R506" s="340"/>
      <c r="S506" s="342"/>
      <c r="T506" s="342"/>
      <c r="U506" s="342"/>
      <c r="V506" s="340"/>
      <c r="W506" s="340"/>
      <c r="X506"/>
      <c r="Y506"/>
    </row>
    <row r="507" spans="2:25" ht="16">
      <c r="B507" s="67"/>
      <c r="F507" s="346">
        <v>44803</v>
      </c>
      <c r="G507" s="346"/>
      <c r="H507" s="346"/>
      <c r="I507" s="346"/>
      <c r="J507" s="345"/>
      <c r="K507" s="703"/>
      <c r="L507" s="342"/>
      <c r="M507" s="342"/>
      <c r="N507" s="340"/>
      <c r="O507" s="703"/>
      <c r="P507" s="342"/>
      <c r="Q507" s="363"/>
      <c r="R507" s="340"/>
      <c r="S507" s="342"/>
      <c r="T507" s="342"/>
      <c r="U507" s="342"/>
      <c r="V507" s="340"/>
      <c r="W507" s="340"/>
      <c r="X507"/>
      <c r="Y507"/>
    </row>
    <row r="508" spans="2:25" ht="16">
      <c r="B508" s="67"/>
      <c r="G508" s="3" t="s">
        <v>59</v>
      </c>
      <c r="H508" s="3"/>
      <c r="I508" s="3"/>
      <c r="J508" s="345"/>
      <c r="K508" s="703"/>
      <c r="L508" s="342"/>
      <c r="M508" s="342"/>
      <c r="N508" s="340"/>
      <c r="O508" s="703"/>
      <c r="P508" s="342"/>
      <c r="Q508" s="363"/>
      <c r="R508" s="340"/>
      <c r="S508" s="342"/>
      <c r="T508" s="342"/>
      <c r="U508" s="342"/>
      <c r="V508" s="340"/>
      <c r="W508" s="340"/>
      <c r="X508"/>
      <c r="Y508"/>
    </row>
    <row r="509" spans="2:25" ht="16">
      <c r="B509" s="67"/>
      <c r="H509" s="347">
        <v>43649</v>
      </c>
      <c r="I509" s="347"/>
      <c r="J509" s="345"/>
      <c r="K509" s="703"/>
      <c r="L509" s="342"/>
      <c r="M509" s="342"/>
      <c r="N509" s="340"/>
      <c r="O509" s="703"/>
      <c r="P509" s="342"/>
      <c r="Q509" s="363"/>
      <c r="R509" s="340"/>
      <c r="S509" s="342"/>
      <c r="T509" s="342"/>
      <c r="U509" s="342"/>
      <c r="V509" s="340"/>
      <c r="W509" s="340"/>
      <c r="X509"/>
      <c r="Y509"/>
    </row>
    <row r="510" spans="2:25" ht="16">
      <c r="B510" s="67"/>
      <c r="I510" s="3" t="s">
        <v>59</v>
      </c>
      <c r="J510" s="345">
        <v>394</v>
      </c>
      <c r="K510" s="703">
        <v>1860276.4199999997</v>
      </c>
      <c r="L510" s="342">
        <v>1</v>
      </c>
      <c r="M510" s="342">
        <v>19.9268</v>
      </c>
      <c r="N510" s="340">
        <v>37069356.166055992</v>
      </c>
      <c r="O510" s="703">
        <v>1208773.564933599</v>
      </c>
      <c r="P510" s="342">
        <v>1</v>
      </c>
      <c r="Q510" s="363">
        <v>19.076000000000001</v>
      </c>
      <c r="R510" s="340">
        <v>23058564.524673335</v>
      </c>
      <c r="S510" s="342">
        <v>103.687</v>
      </c>
      <c r="T510" s="342">
        <v>122.94799999999999</v>
      </c>
      <c r="U510" s="342">
        <v>1.1857</v>
      </c>
      <c r="V510" s="340">
        <v>27340539.956905171</v>
      </c>
      <c r="W510" s="340">
        <v>9728816.209150821</v>
      </c>
      <c r="X510"/>
      <c r="Y510"/>
    </row>
    <row r="511" spans="2:25" ht="16">
      <c r="J511" s="345"/>
      <c r="K511" s="703"/>
      <c r="L511" s="342"/>
      <c r="M511" s="342"/>
      <c r="N511" s="340"/>
      <c r="O511" s="703"/>
      <c r="P511" s="342"/>
      <c r="Q511" s="363"/>
      <c r="R511" s="340"/>
      <c r="S511" s="342"/>
      <c r="T511" s="342"/>
      <c r="U511" s="342"/>
      <c r="V511" s="340"/>
      <c r="W511" s="340"/>
      <c r="X511"/>
      <c r="Y511"/>
    </row>
    <row r="512" spans="2:25" ht="16">
      <c r="B512" s="67"/>
      <c r="E512" s="131" t="s">
        <v>1074</v>
      </c>
      <c r="F512" s="131"/>
      <c r="G512" s="131"/>
      <c r="H512" s="131"/>
      <c r="I512" s="131"/>
      <c r="J512" s="704">
        <v>587</v>
      </c>
      <c r="K512" s="705">
        <v>2870812.6099999994</v>
      </c>
      <c r="L512" s="369">
        <v>0.52384415460549849</v>
      </c>
      <c r="M512" s="377">
        <v>20.448149999999998</v>
      </c>
      <c r="N512" s="706">
        <v>38079892.35605599</v>
      </c>
      <c r="O512" s="705">
        <v>1800888.5345584331</v>
      </c>
      <c r="P512" s="369">
        <v>0.52621094569092053</v>
      </c>
      <c r="Q512" s="377">
        <v>19.076000000000001</v>
      </c>
      <c r="R512" s="706">
        <v>23650679.494298168</v>
      </c>
      <c r="S512" s="369">
        <v>103.687</v>
      </c>
      <c r="T512" s="369">
        <v>120.96449999999999</v>
      </c>
      <c r="U512" s="369">
        <v>1.1665999999999999</v>
      </c>
      <c r="V512" s="706">
        <v>28019991.88454967</v>
      </c>
      <c r="W512" s="706">
        <v>10059900.471506324</v>
      </c>
      <c r="X512"/>
      <c r="Y512"/>
    </row>
    <row r="513" spans="2:25" ht="16">
      <c r="J513" s="345"/>
      <c r="K513" s="703"/>
      <c r="L513" s="342"/>
      <c r="M513" s="342"/>
      <c r="N513" s="340"/>
      <c r="O513" s="703"/>
      <c r="P513" s="342"/>
      <c r="Q513" s="363"/>
      <c r="R513" s="340"/>
      <c r="S513" s="342"/>
      <c r="T513" s="342"/>
      <c r="U513" s="342"/>
      <c r="V513" s="340"/>
      <c r="W513" s="340"/>
      <c r="X513"/>
      <c r="Y513"/>
    </row>
    <row r="514" spans="2:25" ht="16">
      <c r="B514" s="67"/>
      <c r="E514" s="1" t="s">
        <v>702</v>
      </c>
      <c r="J514" s="345"/>
      <c r="K514" s="703"/>
      <c r="L514" s="342"/>
      <c r="M514" s="342"/>
      <c r="N514" s="340"/>
      <c r="O514" s="703"/>
      <c r="P514" s="342"/>
      <c r="Q514" s="363"/>
      <c r="R514" s="340"/>
      <c r="S514" s="342"/>
      <c r="T514" s="342"/>
      <c r="U514" s="342"/>
      <c r="V514" s="340"/>
      <c r="W514" s="340"/>
      <c r="X514"/>
      <c r="Y514"/>
    </row>
    <row r="515" spans="2:25" ht="16">
      <c r="B515" s="67"/>
      <c r="F515" s="346">
        <v>44635</v>
      </c>
      <c r="G515" s="346"/>
      <c r="H515" s="346"/>
      <c r="I515" s="346"/>
      <c r="J515" s="345"/>
      <c r="K515" s="703"/>
      <c r="L515" s="342"/>
      <c r="M515" s="342"/>
      <c r="N515" s="340"/>
      <c r="O515" s="703"/>
      <c r="P515" s="342"/>
      <c r="Q515" s="363"/>
      <c r="R515" s="340"/>
      <c r="S515" s="342"/>
      <c r="T515" s="342"/>
      <c r="U515" s="342"/>
      <c r="V515" s="340"/>
      <c r="W515" s="340"/>
      <c r="X515"/>
      <c r="Y515"/>
    </row>
    <row r="516" spans="2:25" ht="16">
      <c r="B516" s="67"/>
      <c r="G516" s="3" t="s">
        <v>60</v>
      </c>
      <c r="H516" s="3"/>
      <c r="I516" s="3"/>
      <c r="J516" s="345"/>
      <c r="K516" s="703"/>
      <c r="L516" s="342"/>
      <c r="M516" s="342"/>
      <c r="N516" s="340"/>
      <c r="O516" s="703"/>
      <c r="P516" s="342"/>
      <c r="Q516" s="363"/>
      <c r="R516" s="340"/>
      <c r="S516" s="342"/>
      <c r="T516" s="342"/>
      <c r="U516" s="342"/>
      <c r="V516" s="340"/>
      <c r="W516" s="340"/>
      <c r="X516"/>
      <c r="Y516"/>
    </row>
    <row r="517" spans="2:25" ht="16">
      <c r="B517" s="67"/>
      <c r="H517" s="347">
        <v>44012</v>
      </c>
      <c r="I517" s="347"/>
      <c r="J517" s="345"/>
      <c r="K517" s="703"/>
      <c r="L517" s="342"/>
      <c r="M517" s="342"/>
      <c r="N517" s="340"/>
      <c r="O517" s="703"/>
      <c r="P517" s="342"/>
      <c r="Q517" s="363"/>
      <c r="R517" s="340"/>
      <c r="S517" s="342"/>
      <c r="T517" s="342"/>
      <c r="U517" s="342"/>
      <c r="V517" s="340"/>
      <c r="W517" s="340"/>
      <c r="X517"/>
      <c r="Y517"/>
    </row>
    <row r="518" spans="2:25" ht="16">
      <c r="B518" s="67"/>
      <c r="I518" s="3" t="s">
        <v>60</v>
      </c>
      <c r="J518" s="345">
        <v>1119</v>
      </c>
      <c r="K518" s="703">
        <v>3715545.79</v>
      </c>
      <c r="L518" s="342">
        <v>4.7688309210996926E-2</v>
      </c>
      <c r="M518" s="342">
        <v>20.9695</v>
      </c>
      <c r="N518" s="340">
        <v>3715545.7900000005</v>
      </c>
      <c r="O518" s="703">
        <v>2880727.3555289758</v>
      </c>
      <c r="P518" s="342">
        <v>4.3532202947130144E-2</v>
      </c>
      <c r="Q518" s="363">
        <v>22.971499999999999</v>
      </c>
      <c r="R518" s="340">
        <v>2880727.3555289758</v>
      </c>
      <c r="S518" s="342">
        <v>106.74299999999999</v>
      </c>
      <c r="T518" s="342">
        <v>118.98099999999999</v>
      </c>
      <c r="U518" s="342">
        <v>1.1146</v>
      </c>
      <c r="V518" s="340">
        <v>3210858.7104725963</v>
      </c>
      <c r="W518" s="340">
        <v>504687.07952740416</v>
      </c>
      <c r="X518"/>
      <c r="Y518"/>
    </row>
    <row r="519" spans="2:25" ht="16">
      <c r="J519" s="345"/>
      <c r="K519" s="703"/>
      <c r="L519" s="342"/>
      <c r="M519" s="342"/>
      <c r="N519" s="340"/>
      <c r="O519" s="703"/>
      <c r="P519" s="342"/>
      <c r="Q519" s="363"/>
      <c r="R519" s="340"/>
      <c r="S519" s="342"/>
      <c r="T519" s="342"/>
      <c r="U519" s="342"/>
      <c r="V519" s="340"/>
      <c r="W519" s="340"/>
      <c r="X519"/>
      <c r="Y519"/>
    </row>
    <row r="520" spans="2:25" ht="16">
      <c r="B520" s="67"/>
      <c r="F520" s="346">
        <v>44803</v>
      </c>
      <c r="G520" s="346"/>
      <c r="H520" s="346"/>
      <c r="I520" s="346"/>
      <c r="J520" s="345"/>
      <c r="K520" s="703"/>
      <c r="L520" s="342"/>
      <c r="M520" s="342"/>
      <c r="N520" s="340"/>
      <c r="O520" s="703"/>
      <c r="P520" s="342"/>
      <c r="Q520" s="363"/>
      <c r="R520" s="340"/>
      <c r="S520" s="342"/>
      <c r="T520" s="342"/>
      <c r="U520" s="342"/>
      <c r="V520" s="340"/>
      <c r="W520" s="340"/>
      <c r="X520"/>
      <c r="Y520"/>
    </row>
    <row r="521" spans="2:25" ht="16">
      <c r="B521" s="67"/>
      <c r="G521" s="3" t="s">
        <v>59</v>
      </c>
      <c r="H521" s="3"/>
      <c r="I521" s="3"/>
      <c r="J521" s="345"/>
      <c r="K521" s="703"/>
      <c r="L521" s="342"/>
      <c r="M521" s="342"/>
      <c r="N521" s="340"/>
      <c r="O521" s="703"/>
      <c r="P521" s="342"/>
      <c r="Q521" s="363"/>
      <c r="R521" s="340"/>
      <c r="S521" s="342"/>
      <c r="T521" s="342"/>
      <c r="U521" s="342"/>
      <c r="V521" s="340"/>
      <c r="W521" s="340"/>
      <c r="X521"/>
      <c r="Y521"/>
    </row>
    <row r="522" spans="2:25" ht="16">
      <c r="B522" s="67"/>
      <c r="H522" s="347">
        <v>44012</v>
      </c>
      <c r="I522" s="347"/>
      <c r="J522" s="345"/>
      <c r="K522" s="703"/>
      <c r="L522" s="342"/>
      <c r="M522" s="342"/>
      <c r="N522" s="340"/>
      <c r="O522" s="703"/>
      <c r="P522" s="342"/>
      <c r="Q522" s="363"/>
      <c r="R522" s="340"/>
      <c r="S522" s="342"/>
      <c r="T522" s="342"/>
      <c r="U522" s="342"/>
      <c r="V522" s="340"/>
      <c r="W522" s="340"/>
      <c r="X522"/>
      <c r="Y522"/>
    </row>
    <row r="523" spans="2:25" ht="16">
      <c r="B523" s="67"/>
      <c r="I523" s="3" t="s">
        <v>59</v>
      </c>
      <c r="J523" s="345">
        <v>818</v>
      </c>
      <c r="K523" s="703">
        <v>2482999.3328708131</v>
      </c>
      <c r="L523" s="342">
        <v>1</v>
      </c>
      <c r="M523" s="342">
        <v>19.9268</v>
      </c>
      <c r="N523" s="340">
        <v>49478231.106250115</v>
      </c>
      <c r="O523" s="703">
        <v>2105840.0150336926</v>
      </c>
      <c r="P523" s="342">
        <v>1</v>
      </c>
      <c r="Q523" s="363">
        <v>22.971499999999999</v>
      </c>
      <c r="R523" s="340">
        <v>48374303.905346468</v>
      </c>
      <c r="S523" s="342">
        <v>106.74299999999999</v>
      </c>
      <c r="T523" s="342">
        <v>122.94799999999999</v>
      </c>
      <c r="U523" s="342">
        <v>1.1517999999999999</v>
      </c>
      <c r="V523" s="340">
        <v>55717523.238178059</v>
      </c>
      <c r="W523" s="340">
        <v>-6239292.1319279522</v>
      </c>
      <c r="X523"/>
      <c r="Y523"/>
    </row>
    <row r="524" spans="2:25" ht="16">
      <c r="J524" s="345"/>
      <c r="K524" s="703"/>
      <c r="L524" s="342"/>
      <c r="M524" s="342"/>
      <c r="N524" s="340"/>
      <c r="O524" s="703"/>
      <c r="P524" s="342"/>
      <c r="Q524" s="363"/>
      <c r="R524" s="340"/>
      <c r="S524" s="342"/>
      <c r="T524" s="342"/>
      <c r="U524" s="342"/>
      <c r="V524" s="340"/>
      <c r="W524" s="340"/>
      <c r="X524"/>
      <c r="Y524"/>
    </row>
    <row r="525" spans="2:25" ht="16">
      <c r="B525" s="67"/>
      <c r="H525" s="347">
        <v>44167</v>
      </c>
      <c r="I525" s="347"/>
      <c r="J525" s="345"/>
      <c r="K525" s="703"/>
      <c r="L525" s="342"/>
      <c r="M525" s="342"/>
      <c r="N525" s="340"/>
      <c r="O525" s="703"/>
      <c r="P525" s="342"/>
      <c r="Q525" s="363"/>
      <c r="R525" s="340"/>
      <c r="S525" s="342"/>
      <c r="T525" s="342"/>
      <c r="U525" s="342"/>
      <c r="V525" s="340"/>
      <c r="W525" s="340"/>
      <c r="X525"/>
      <c r="Y525"/>
    </row>
    <row r="526" spans="2:25" ht="16">
      <c r="B526" s="67"/>
      <c r="I526" s="3" t="s">
        <v>59</v>
      </c>
      <c r="J526" s="345">
        <v>436</v>
      </c>
      <c r="K526" s="703">
        <v>1323456.8571291866</v>
      </c>
      <c r="L526" s="342">
        <v>1</v>
      </c>
      <c r="M526" s="342">
        <v>19.9268</v>
      </c>
      <c r="N526" s="340">
        <v>26372260.100641876</v>
      </c>
      <c r="O526" s="703">
        <v>1171882.2091254753</v>
      </c>
      <c r="P526" s="342">
        <v>1</v>
      </c>
      <c r="Q526" s="363">
        <v>20.139800000000001</v>
      </c>
      <c r="R526" s="340">
        <v>23601473.315345246</v>
      </c>
      <c r="S526" s="342">
        <v>109.271</v>
      </c>
      <c r="T526" s="342">
        <v>122.94799999999999</v>
      </c>
      <c r="U526" s="342">
        <v>1.1251</v>
      </c>
      <c r="V526" s="340">
        <v>26554017.627094936</v>
      </c>
      <c r="W526" s="340">
        <v>-181757.52645305917</v>
      </c>
      <c r="X526"/>
      <c r="Y526"/>
    </row>
    <row r="527" spans="2:25" ht="16">
      <c r="J527" s="345"/>
      <c r="K527" s="703"/>
      <c r="L527" s="342"/>
      <c r="M527" s="342"/>
      <c r="N527" s="340"/>
      <c r="O527" s="703"/>
      <c r="P527" s="342"/>
      <c r="Q527" s="363"/>
      <c r="R527" s="340"/>
      <c r="S527" s="342"/>
      <c r="T527" s="342"/>
      <c r="U527" s="342"/>
      <c r="V527" s="340"/>
      <c r="W527" s="340"/>
      <c r="X527"/>
      <c r="Y527"/>
    </row>
    <row r="528" spans="2:25" ht="16">
      <c r="B528" s="67"/>
      <c r="E528" s="131" t="s">
        <v>1075</v>
      </c>
      <c r="F528" s="131"/>
      <c r="G528" s="131"/>
      <c r="H528" s="131"/>
      <c r="I528" s="131"/>
      <c r="J528" s="704">
        <v>2373</v>
      </c>
      <c r="K528" s="705">
        <v>7522001.9799999995</v>
      </c>
      <c r="L528" s="369">
        <v>0.68256276973699903</v>
      </c>
      <c r="M528" s="377">
        <v>20.274366666666666</v>
      </c>
      <c r="N528" s="706">
        <v>79566036.99689199</v>
      </c>
      <c r="O528" s="705">
        <v>6158449.5796881439</v>
      </c>
      <c r="P528" s="369">
        <v>0.68117740098237667</v>
      </c>
      <c r="Q528" s="377">
        <v>22.027599999999996</v>
      </c>
      <c r="R528" s="706">
        <v>74856504.576220691</v>
      </c>
      <c r="S528" s="369">
        <v>107.58566666666667</v>
      </c>
      <c r="T528" s="369">
        <v>121.62566666666665</v>
      </c>
      <c r="U528" s="369">
        <v>1.1304999999999998</v>
      </c>
      <c r="V528" s="706">
        <v>85482399.575745597</v>
      </c>
      <c r="W528" s="706">
        <v>-5916362.5788536072</v>
      </c>
      <c r="X528"/>
      <c r="Y528"/>
    </row>
    <row r="529" spans="2:25" ht="16">
      <c r="J529" s="345"/>
      <c r="K529" s="703"/>
      <c r="L529" s="342"/>
      <c r="M529" s="342"/>
      <c r="N529" s="340"/>
      <c r="O529" s="703"/>
      <c r="P529" s="342"/>
      <c r="Q529" s="363"/>
      <c r="R529" s="340"/>
      <c r="S529" s="342"/>
      <c r="T529" s="342"/>
      <c r="U529" s="342"/>
      <c r="V529" s="340"/>
      <c r="W529" s="340"/>
      <c r="X529"/>
      <c r="Y529"/>
    </row>
    <row r="530" spans="2:25" ht="16">
      <c r="B530" s="67"/>
      <c r="E530" s="1" t="s">
        <v>1027</v>
      </c>
      <c r="J530" s="345"/>
      <c r="K530" s="703"/>
      <c r="L530" s="342"/>
      <c r="M530" s="342"/>
      <c r="N530" s="340"/>
      <c r="O530" s="703"/>
      <c r="P530" s="342"/>
      <c r="Q530" s="363"/>
      <c r="R530" s="340"/>
      <c r="S530" s="342"/>
      <c r="T530" s="342"/>
      <c r="U530" s="342"/>
      <c r="V530" s="340"/>
      <c r="W530" s="340"/>
      <c r="X530"/>
      <c r="Y530"/>
    </row>
    <row r="531" spans="2:25" ht="16">
      <c r="B531" s="67"/>
      <c r="F531" s="346">
        <v>44803</v>
      </c>
      <c r="G531" s="346"/>
      <c r="H531" s="346"/>
      <c r="I531" s="346"/>
      <c r="J531" s="345"/>
      <c r="K531" s="703"/>
      <c r="L531" s="342"/>
      <c r="M531" s="342"/>
      <c r="N531" s="340"/>
      <c r="O531" s="703"/>
      <c r="P531" s="342"/>
      <c r="Q531" s="363"/>
      <c r="R531" s="340"/>
      <c r="S531" s="342"/>
      <c r="T531" s="342"/>
      <c r="U531" s="342"/>
      <c r="V531" s="340"/>
      <c r="W531" s="340"/>
      <c r="X531"/>
      <c r="Y531"/>
    </row>
    <row r="532" spans="2:25" ht="16">
      <c r="B532" s="67"/>
      <c r="G532" s="3" t="s">
        <v>59</v>
      </c>
      <c r="H532" s="3"/>
      <c r="I532" s="3"/>
      <c r="J532" s="345"/>
      <c r="K532" s="703"/>
      <c r="L532" s="342"/>
      <c r="M532" s="342"/>
      <c r="N532" s="340"/>
      <c r="O532" s="703"/>
      <c r="P532" s="342"/>
      <c r="Q532" s="363"/>
      <c r="R532" s="340"/>
      <c r="S532" s="342"/>
      <c r="T532" s="342"/>
      <c r="U532" s="342"/>
      <c r="V532" s="340"/>
      <c r="W532" s="340"/>
      <c r="X532"/>
      <c r="Y532"/>
    </row>
    <row r="533" spans="2:25" ht="16">
      <c r="B533" s="67"/>
      <c r="H533" s="347">
        <v>44635</v>
      </c>
      <c r="I533" s="347"/>
      <c r="J533" s="345"/>
      <c r="K533" s="703"/>
      <c r="L533" s="342"/>
      <c r="M533" s="342"/>
      <c r="N533" s="340"/>
      <c r="O533" s="703"/>
      <c r="P533" s="342"/>
      <c r="Q533" s="363"/>
      <c r="R533" s="340"/>
      <c r="S533" s="342"/>
      <c r="T533" s="342"/>
      <c r="U533" s="342"/>
      <c r="V533" s="340"/>
      <c r="W533" s="340"/>
      <c r="X533"/>
      <c r="Y533"/>
    </row>
    <row r="534" spans="2:25" ht="16">
      <c r="B534" s="67"/>
      <c r="I534" s="3" t="s">
        <v>59</v>
      </c>
      <c r="J534" s="345">
        <v>4313</v>
      </c>
      <c r="K534" s="703">
        <v>2830807.36</v>
      </c>
      <c r="L534" s="342">
        <v>1</v>
      </c>
      <c r="M534" s="342">
        <v>19.9268</v>
      </c>
      <c r="N534" s="340">
        <v>56408932.101247996</v>
      </c>
      <c r="O534" s="703">
        <v>3304394.0905689076</v>
      </c>
      <c r="P534" s="342">
        <v>1</v>
      </c>
      <c r="Q534" s="363">
        <v>20.9695</v>
      </c>
      <c r="R534" s="340">
        <v>69291491.882184714</v>
      </c>
      <c r="S534" s="342">
        <v>120.15900000000001</v>
      </c>
      <c r="T534" s="342">
        <v>122.94799999999999</v>
      </c>
      <c r="U534" s="342">
        <v>1.0232000000000001</v>
      </c>
      <c r="V534" s="340">
        <v>70899054.493851408</v>
      </c>
      <c r="W534" s="340">
        <v>-14490122.392603412</v>
      </c>
      <c r="X534"/>
      <c r="Y534"/>
    </row>
    <row r="535" spans="2:25" ht="16">
      <c r="J535" s="345"/>
      <c r="K535" s="703"/>
      <c r="L535" s="342"/>
      <c r="M535" s="342"/>
      <c r="N535" s="340"/>
      <c r="O535" s="703"/>
      <c r="P535" s="342"/>
      <c r="Q535" s="363"/>
      <c r="R535" s="340"/>
      <c r="S535" s="342"/>
      <c r="T535" s="342"/>
      <c r="U535" s="342"/>
      <c r="V535" s="340"/>
      <c r="W535" s="340"/>
      <c r="X535"/>
      <c r="Y535"/>
    </row>
    <row r="536" spans="2:25" ht="16">
      <c r="B536" s="67"/>
      <c r="E536" s="131" t="s">
        <v>1076</v>
      </c>
      <c r="F536" s="131"/>
      <c r="G536" s="131"/>
      <c r="H536" s="131"/>
      <c r="I536" s="131"/>
      <c r="J536" s="704">
        <v>4313</v>
      </c>
      <c r="K536" s="705">
        <v>2830807.36</v>
      </c>
      <c r="L536" s="369">
        <v>1</v>
      </c>
      <c r="M536" s="377">
        <v>19.9268</v>
      </c>
      <c r="N536" s="706">
        <v>56408932.101247996</v>
      </c>
      <c r="O536" s="705">
        <v>3304394.0905689076</v>
      </c>
      <c r="P536" s="369">
        <v>1</v>
      </c>
      <c r="Q536" s="377">
        <v>20.9695</v>
      </c>
      <c r="R536" s="706">
        <v>69291491.882184714</v>
      </c>
      <c r="S536" s="369">
        <v>120.15900000000001</v>
      </c>
      <c r="T536" s="369">
        <v>122.94799999999999</v>
      </c>
      <c r="U536" s="369">
        <v>1.0232000000000001</v>
      </c>
      <c r="V536" s="706">
        <v>70899054.493851408</v>
      </c>
      <c r="W536" s="706">
        <v>-14490122.392603412</v>
      </c>
      <c r="X536"/>
      <c r="Y536"/>
    </row>
    <row r="537" spans="2:25" ht="16">
      <c r="J537" s="345"/>
      <c r="K537" s="703"/>
      <c r="L537" s="342"/>
      <c r="M537" s="342"/>
      <c r="N537" s="340"/>
      <c r="O537" s="703"/>
      <c r="P537" s="342"/>
      <c r="Q537" s="363"/>
      <c r="R537" s="340"/>
      <c r="S537" s="342"/>
      <c r="T537" s="342"/>
      <c r="U537" s="342"/>
      <c r="V537" s="340"/>
      <c r="W537" s="340"/>
      <c r="X537"/>
      <c r="Y537"/>
    </row>
    <row r="538" spans="2:25" ht="16">
      <c r="B538" s="67"/>
      <c r="E538" s="1" t="s">
        <v>946</v>
      </c>
      <c r="J538" s="345"/>
      <c r="K538" s="703"/>
      <c r="L538" s="342"/>
      <c r="M538" s="342"/>
      <c r="N538" s="340"/>
      <c r="O538" s="703"/>
      <c r="P538" s="342"/>
      <c r="Q538" s="363"/>
      <c r="R538" s="340"/>
      <c r="S538" s="342"/>
      <c r="T538" s="342"/>
      <c r="U538" s="342"/>
      <c r="V538" s="340"/>
      <c r="W538" s="340"/>
      <c r="X538"/>
      <c r="Y538"/>
    </row>
    <row r="539" spans="2:25" ht="16">
      <c r="B539" s="67"/>
      <c r="F539" s="346">
        <v>44764</v>
      </c>
      <c r="G539" s="346"/>
      <c r="H539" s="346"/>
      <c r="I539" s="346"/>
      <c r="J539" s="345"/>
      <c r="K539" s="703"/>
      <c r="L539" s="342"/>
      <c r="M539" s="342"/>
      <c r="N539" s="340"/>
      <c r="O539" s="703"/>
      <c r="P539" s="342"/>
      <c r="Q539" s="363"/>
      <c r="R539" s="340"/>
      <c r="S539" s="342"/>
      <c r="T539" s="342"/>
      <c r="U539" s="342"/>
      <c r="V539" s="340"/>
      <c r="W539" s="340"/>
      <c r="X539"/>
      <c r="Y539"/>
    </row>
    <row r="540" spans="2:25" ht="16">
      <c r="B540" s="67"/>
      <c r="G540" s="3" t="s">
        <v>60</v>
      </c>
      <c r="H540" s="3"/>
      <c r="I540" s="3"/>
      <c r="J540" s="345"/>
      <c r="K540" s="703"/>
      <c r="L540" s="342"/>
      <c r="M540" s="342"/>
      <c r="N540" s="340"/>
      <c r="O540" s="703"/>
      <c r="P540" s="342"/>
      <c r="Q540" s="363"/>
      <c r="R540" s="340"/>
      <c r="S540" s="342"/>
      <c r="T540" s="342"/>
      <c r="U540" s="342"/>
      <c r="V540" s="340"/>
      <c r="W540" s="340"/>
      <c r="X540"/>
      <c r="Y540"/>
    </row>
    <row r="541" spans="2:25" ht="16">
      <c r="B541" s="67"/>
      <c r="H541" s="347">
        <v>43649</v>
      </c>
      <c r="I541" s="347"/>
      <c r="J541" s="345"/>
      <c r="K541" s="703"/>
      <c r="L541" s="342"/>
      <c r="M541" s="342"/>
      <c r="N541" s="340"/>
      <c r="O541" s="703"/>
      <c r="P541" s="342"/>
      <c r="Q541" s="363"/>
      <c r="R541" s="340"/>
      <c r="S541" s="342"/>
      <c r="T541" s="342"/>
      <c r="U541" s="342"/>
      <c r="V541" s="340"/>
      <c r="W541" s="340"/>
      <c r="X541"/>
      <c r="Y541"/>
    </row>
    <row r="542" spans="2:25" ht="16">
      <c r="B542" s="67"/>
      <c r="I542" s="3" t="s">
        <v>60</v>
      </c>
      <c r="J542" s="345">
        <v>1852</v>
      </c>
      <c r="K542" s="703">
        <v>1505169.4</v>
      </c>
      <c r="L542" s="342">
        <v>4.8801198557436573E-2</v>
      </c>
      <c r="M542" s="342">
        <v>20.491299999999999</v>
      </c>
      <c r="N542" s="340">
        <v>1505169.4</v>
      </c>
      <c r="O542" s="703">
        <v>1522993.9961873607</v>
      </c>
      <c r="P542" s="342">
        <v>5.2421891381841057E-2</v>
      </c>
      <c r="Q542" s="363">
        <v>19.076000000000001</v>
      </c>
      <c r="R542" s="340">
        <v>1522993.9961873607</v>
      </c>
      <c r="S542" s="342">
        <v>103.687</v>
      </c>
      <c r="T542" s="342">
        <v>122.044</v>
      </c>
      <c r="U542" s="342">
        <v>1.177</v>
      </c>
      <c r="V542" s="340">
        <v>1792563.9335125235</v>
      </c>
      <c r="W542" s="340">
        <v>-287394.53351252363</v>
      </c>
      <c r="X542"/>
      <c r="Y542"/>
    </row>
    <row r="543" spans="2:25" ht="16">
      <c r="J543" s="345"/>
      <c r="K543" s="703"/>
      <c r="L543" s="342"/>
      <c r="M543" s="342"/>
      <c r="N543" s="340"/>
      <c r="O543" s="703"/>
      <c r="P543" s="342"/>
      <c r="Q543" s="363"/>
      <c r="R543" s="340"/>
      <c r="S543" s="342"/>
      <c r="T543" s="342"/>
      <c r="U543" s="342"/>
      <c r="V543" s="340"/>
      <c r="W543" s="340"/>
      <c r="X543"/>
      <c r="Y543"/>
    </row>
    <row r="544" spans="2:25" ht="16">
      <c r="B544" s="67"/>
      <c r="E544" s="131" t="s">
        <v>1077</v>
      </c>
      <c r="F544" s="131"/>
      <c r="G544" s="131"/>
      <c r="H544" s="131"/>
      <c r="I544" s="131"/>
      <c r="J544" s="704">
        <v>1852</v>
      </c>
      <c r="K544" s="705">
        <v>1505169.4</v>
      </c>
      <c r="L544" s="369">
        <v>4.8801198557436573E-2</v>
      </c>
      <c r="M544" s="377">
        <v>20.491299999999999</v>
      </c>
      <c r="N544" s="706">
        <v>1505169.4</v>
      </c>
      <c r="O544" s="705">
        <v>1522993.9961873607</v>
      </c>
      <c r="P544" s="369">
        <v>5.2421891381841057E-2</v>
      </c>
      <c r="Q544" s="377">
        <v>19.076000000000001</v>
      </c>
      <c r="R544" s="706">
        <v>1522993.9961873607</v>
      </c>
      <c r="S544" s="369">
        <v>103.687</v>
      </c>
      <c r="T544" s="369">
        <v>122.044</v>
      </c>
      <c r="U544" s="369">
        <v>1.177</v>
      </c>
      <c r="V544" s="706">
        <v>1792563.9335125235</v>
      </c>
      <c r="W544" s="706">
        <v>-287394.53351252363</v>
      </c>
      <c r="X544"/>
      <c r="Y544"/>
    </row>
    <row r="545" spans="2:25" ht="16">
      <c r="J545" s="345"/>
      <c r="K545" s="703"/>
      <c r="L545" s="342"/>
      <c r="M545" s="342"/>
      <c r="N545" s="340"/>
      <c r="O545" s="703"/>
      <c r="P545" s="342"/>
      <c r="Q545" s="363"/>
      <c r="R545" s="340"/>
      <c r="S545" s="342"/>
      <c r="T545" s="342"/>
      <c r="U545" s="342"/>
      <c r="V545" s="340"/>
      <c r="W545" s="340"/>
      <c r="X545"/>
      <c r="Y545"/>
    </row>
    <row r="546" spans="2:25" ht="16">
      <c r="B546" s="67"/>
      <c r="E546" s="1" t="s">
        <v>900</v>
      </c>
      <c r="J546" s="345"/>
      <c r="K546" s="703"/>
      <c r="L546" s="342"/>
      <c r="M546" s="342"/>
      <c r="N546" s="340"/>
      <c r="O546" s="703"/>
      <c r="P546" s="342"/>
      <c r="Q546" s="363"/>
      <c r="R546" s="340"/>
      <c r="S546" s="342"/>
      <c r="T546" s="342"/>
      <c r="U546" s="342"/>
      <c r="V546" s="340"/>
      <c r="W546" s="340"/>
      <c r="X546"/>
      <c r="Y546"/>
    </row>
    <row r="547" spans="2:25" ht="16">
      <c r="B547" s="67"/>
      <c r="F547" s="346">
        <v>44601</v>
      </c>
      <c r="G547" s="346"/>
      <c r="H547" s="346"/>
      <c r="I547" s="346"/>
      <c r="J547" s="345"/>
      <c r="K547" s="703"/>
      <c r="L547" s="342"/>
      <c r="M547" s="342"/>
      <c r="N547" s="340"/>
      <c r="O547" s="703"/>
      <c r="P547" s="342"/>
      <c r="Q547" s="363"/>
      <c r="R547" s="340"/>
      <c r="S547" s="342"/>
      <c r="T547" s="342"/>
      <c r="U547" s="342"/>
      <c r="V547" s="340"/>
      <c r="W547" s="340"/>
      <c r="X547"/>
      <c r="Y547"/>
    </row>
    <row r="548" spans="2:25" ht="16">
      <c r="B548" s="67"/>
      <c r="G548" s="3" t="s">
        <v>60</v>
      </c>
      <c r="H548" s="3"/>
      <c r="I548" s="3"/>
      <c r="J548" s="345"/>
      <c r="K548" s="703"/>
      <c r="L548" s="342"/>
      <c r="M548" s="342"/>
      <c r="N548" s="340"/>
      <c r="O548" s="703"/>
      <c r="P548" s="342"/>
      <c r="Q548" s="363"/>
      <c r="R548" s="340"/>
      <c r="S548" s="342"/>
      <c r="T548" s="342"/>
      <c r="U548" s="342"/>
      <c r="V548" s="340"/>
      <c r="W548" s="340"/>
      <c r="X548"/>
      <c r="Y548"/>
    </row>
    <row r="549" spans="2:25" ht="16">
      <c r="B549" s="67"/>
      <c r="H549" s="347">
        <v>44299</v>
      </c>
      <c r="I549" s="347"/>
      <c r="J549" s="345"/>
      <c r="K549" s="703"/>
      <c r="L549" s="342"/>
      <c r="M549" s="342"/>
      <c r="N549" s="340"/>
      <c r="O549" s="703"/>
      <c r="P549" s="342"/>
      <c r="Q549" s="363"/>
      <c r="R549" s="340"/>
      <c r="S549" s="342"/>
      <c r="T549" s="342"/>
      <c r="U549" s="342"/>
      <c r="V549" s="340"/>
      <c r="W549" s="340"/>
      <c r="X549"/>
      <c r="Y549"/>
    </row>
    <row r="550" spans="2:25" ht="16">
      <c r="B550" s="67"/>
      <c r="I550" s="3" t="s">
        <v>60</v>
      </c>
      <c r="J550" s="345">
        <v>3772</v>
      </c>
      <c r="K550" s="703">
        <v>2677853.5499999998</v>
      </c>
      <c r="L550" s="342">
        <v>4.8233449897503916E-2</v>
      </c>
      <c r="M550" s="342">
        <v>20.732500000000002</v>
      </c>
      <c r="N550" s="340">
        <v>2677853.5499999998</v>
      </c>
      <c r="O550" s="703">
        <v>2428652.0608228785</v>
      </c>
      <c r="P550" s="342">
        <v>4.9595794276645337E-2</v>
      </c>
      <c r="Q550" s="363">
        <v>20.163</v>
      </c>
      <c r="R550" s="340">
        <v>2428652.060822878</v>
      </c>
      <c r="S550" s="342">
        <v>112.19</v>
      </c>
      <c r="T550" s="342">
        <v>118.002</v>
      </c>
      <c r="U550" s="342">
        <v>1.0518000000000001</v>
      </c>
      <c r="V550" s="340">
        <v>2554456.2375735031</v>
      </c>
      <c r="W550" s="340">
        <v>123397.31242649676</v>
      </c>
      <c r="X550"/>
      <c r="Y550"/>
    </row>
    <row r="551" spans="2:25" ht="16">
      <c r="J551" s="345"/>
      <c r="K551" s="703"/>
      <c r="L551" s="342"/>
      <c r="M551" s="342"/>
      <c r="N551" s="340"/>
      <c r="O551" s="703"/>
      <c r="P551" s="342"/>
      <c r="Q551" s="363"/>
      <c r="R551" s="340"/>
      <c r="S551" s="342"/>
      <c r="T551" s="342"/>
      <c r="U551" s="342"/>
      <c r="V551" s="340"/>
      <c r="W551" s="340"/>
      <c r="X551"/>
      <c r="Y551"/>
    </row>
    <row r="552" spans="2:25" ht="16">
      <c r="B552" s="67"/>
      <c r="F552" s="346">
        <v>44635</v>
      </c>
      <c r="G552" s="346"/>
      <c r="H552" s="346"/>
      <c r="I552" s="346"/>
      <c r="J552" s="345"/>
      <c r="K552" s="703"/>
      <c r="L552" s="342"/>
      <c r="M552" s="342"/>
      <c r="N552" s="340"/>
      <c r="O552" s="703"/>
      <c r="P552" s="342"/>
      <c r="Q552" s="363"/>
      <c r="R552" s="340"/>
      <c r="S552" s="342"/>
      <c r="T552" s="342"/>
      <c r="U552" s="342"/>
      <c r="V552" s="340"/>
      <c r="W552" s="340"/>
      <c r="X552"/>
      <c r="Y552"/>
    </row>
    <row r="553" spans="2:25" ht="16">
      <c r="B553" s="67"/>
      <c r="G553" s="3" t="s">
        <v>60</v>
      </c>
      <c r="H553" s="3"/>
      <c r="I553" s="3"/>
      <c r="J553" s="345"/>
      <c r="K553" s="703"/>
      <c r="L553" s="342"/>
      <c r="M553" s="342"/>
      <c r="N553" s="340"/>
      <c r="O553" s="703"/>
      <c r="P553" s="342"/>
      <c r="Q553" s="363"/>
      <c r="R553" s="340"/>
      <c r="S553" s="342"/>
      <c r="T553" s="342"/>
      <c r="U553" s="342"/>
      <c r="V553" s="340"/>
      <c r="W553" s="340"/>
      <c r="X553"/>
      <c r="Y553"/>
    </row>
    <row r="554" spans="2:25" ht="16">
      <c r="B554" s="67"/>
      <c r="H554" s="347">
        <v>44299</v>
      </c>
      <c r="I554" s="347"/>
      <c r="J554" s="345"/>
      <c r="K554" s="703"/>
      <c r="L554" s="342"/>
      <c r="M554" s="342"/>
      <c r="N554" s="340"/>
      <c r="O554" s="703"/>
      <c r="P554" s="342"/>
      <c r="Q554" s="363"/>
      <c r="R554" s="340"/>
      <c r="S554" s="342"/>
      <c r="T554" s="342"/>
      <c r="U554" s="342"/>
      <c r="V554" s="340"/>
      <c r="W554" s="340"/>
      <c r="X554"/>
      <c r="Y554"/>
    </row>
    <row r="555" spans="2:25" ht="16">
      <c r="B555" s="67"/>
      <c r="I555" s="3" t="s">
        <v>60</v>
      </c>
      <c r="J555" s="345">
        <v>3641</v>
      </c>
      <c r="K555" s="703">
        <v>2415788.35</v>
      </c>
      <c r="L555" s="342">
        <v>4.7688309210996926E-2</v>
      </c>
      <c r="M555" s="342">
        <v>20.9695</v>
      </c>
      <c r="N555" s="340">
        <v>2415788.35</v>
      </c>
      <c r="O555" s="703">
        <v>2344305.9791771211</v>
      </c>
      <c r="P555" s="342">
        <v>4.9595794276645337E-2</v>
      </c>
      <c r="Q555" s="363">
        <v>20.163</v>
      </c>
      <c r="R555" s="340">
        <v>2344305.9791771211</v>
      </c>
      <c r="S555" s="342">
        <v>112.19</v>
      </c>
      <c r="T555" s="342">
        <v>118.98099999999999</v>
      </c>
      <c r="U555" s="342">
        <v>1.0605</v>
      </c>
      <c r="V555" s="340">
        <v>2486136.4909173367</v>
      </c>
      <c r="W555" s="340">
        <v>-70348.140917336568</v>
      </c>
      <c r="X555"/>
      <c r="Y555"/>
    </row>
    <row r="556" spans="2:25" ht="16">
      <c r="J556" s="345"/>
      <c r="K556" s="703"/>
      <c r="L556" s="342"/>
      <c r="M556" s="342"/>
      <c r="N556" s="340"/>
      <c r="O556" s="703"/>
      <c r="P556" s="342"/>
      <c r="Q556" s="363"/>
      <c r="R556" s="340"/>
      <c r="S556" s="342"/>
      <c r="T556" s="342"/>
      <c r="U556" s="342"/>
      <c r="V556" s="340"/>
      <c r="W556" s="340"/>
      <c r="X556"/>
      <c r="Y556"/>
    </row>
    <row r="557" spans="2:25" ht="16">
      <c r="B557" s="67"/>
      <c r="E557" s="131" t="s">
        <v>1078</v>
      </c>
      <c r="F557" s="131"/>
      <c r="G557" s="131"/>
      <c r="H557" s="131"/>
      <c r="I557" s="131"/>
      <c r="J557" s="704">
        <v>7413</v>
      </c>
      <c r="K557" s="705">
        <v>5093641.9000000004</v>
      </c>
      <c r="L557" s="369">
        <v>4.7960879554250421E-2</v>
      </c>
      <c r="M557" s="377">
        <v>20.850999999999999</v>
      </c>
      <c r="N557" s="706">
        <v>5093641.9000000004</v>
      </c>
      <c r="O557" s="705">
        <v>4772958.0399999991</v>
      </c>
      <c r="P557" s="369">
        <v>4.9595794276645337E-2</v>
      </c>
      <c r="Q557" s="377">
        <v>20.163</v>
      </c>
      <c r="R557" s="706">
        <v>4772958.0399999991</v>
      </c>
      <c r="S557" s="369">
        <v>112.19</v>
      </c>
      <c r="T557" s="369">
        <v>118.4915</v>
      </c>
      <c r="U557" s="369">
        <v>1.0561500000000001</v>
      </c>
      <c r="V557" s="706">
        <v>5040592.7284908397</v>
      </c>
      <c r="W557" s="706">
        <v>53049.171509160195</v>
      </c>
      <c r="X557"/>
      <c r="Y557"/>
    </row>
    <row r="558" spans="2:25" ht="16">
      <c r="J558" s="345"/>
      <c r="K558" s="703"/>
      <c r="L558" s="342"/>
      <c r="M558" s="342"/>
      <c r="N558" s="340"/>
      <c r="O558" s="703"/>
      <c r="P558" s="342"/>
      <c r="Q558" s="363"/>
      <c r="R558" s="340"/>
      <c r="S558" s="342"/>
      <c r="T558" s="342"/>
      <c r="U558" s="342"/>
      <c r="V558" s="340"/>
      <c r="W558" s="340"/>
      <c r="X558"/>
      <c r="Y558"/>
    </row>
    <row r="559" spans="2:25" ht="16">
      <c r="B559" s="67"/>
      <c r="E559" s="1" t="s">
        <v>865</v>
      </c>
      <c r="J559" s="345"/>
      <c r="K559" s="703"/>
      <c r="L559" s="342"/>
      <c r="M559" s="342"/>
      <c r="N559" s="340"/>
      <c r="O559" s="703"/>
      <c r="P559" s="342"/>
      <c r="Q559" s="363"/>
      <c r="R559" s="340"/>
      <c r="S559" s="342"/>
      <c r="T559" s="342"/>
      <c r="U559" s="342"/>
      <c r="V559" s="340"/>
      <c r="W559" s="340"/>
      <c r="X559"/>
      <c r="Y559"/>
    </row>
    <row r="560" spans="2:25" ht="16">
      <c r="B560" s="67"/>
      <c r="F560" s="346">
        <v>44635</v>
      </c>
      <c r="G560" s="346"/>
      <c r="H560" s="346"/>
      <c r="I560" s="346"/>
      <c r="J560" s="345"/>
      <c r="K560" s="703"/>
      <c r="L560" s="342"/>
      <c r="M560" s="342"/>
      <c r="N560" s="340"/>
      <c r="O560" s="703"/>
      <c r="P560" s="342"/>
      <c r="Q560" s="363"/>
      <c r="R560" s="340"/>
      <c r="S560" s="342"/>
      <c r="T560" s="342"/>
      <c r="U560" s="342"/>
      <c r="V560" s="340"/>
      <c r="W560" s="340"/>
      <c r="X560"/>
      <c r="Y560"/>
    </row>
    <row r="561" spans="2:25" ht="16">
      <c r="B561" s="67"/>
      <c r="G561" s="3" t="s">
        <v>60</v>
      </c>
      <c r="H561" s="3"/>
      <c r="I561" s="3"/>
      <c r="J561" s="345"/>
      <c r="K561" s="703"/>
      <c r="L561" s="342"/>
      <c r="M561" s="342"/>
      <c r="N561" s="340"/>
      <c r="O561" s="703"/>
      <c r="P561" s="342"/>
      <c r="Q561" s="363"/>
      <c r="R561" s="340"/>
      <c r="S561" s="342"/>
      <c r="T561" s="342"/>
      <c r="U561" s="342"/>
      <c r="V561" s="340"/>
      <c r="W561" s="340"/>
      <c r="X561"/>
      <c r="Y561"/>
    </row>
    <row r="562" spans="2:25" ht="16">
      <c r="B562" s="67"/>
      <c r="H562" s="347">
        <v>43752</v>
      </c>
      <c r="I562" s="347"/>
      <c r="J562" s="345"/>
      <c r="K562" s="703"/>
      <c r="L562" s="342"/>
      <c r="M562" s="342"/>
      <c r="N562" s="340"/>
      <c r="O562" s="703"/>
      <c r="P562" s="342"/>
      <c r="Q562" s="363"/>
      <c r="R562" s="340"/>
      <c r="S562" s="342"/>
      <c r="T562" s="342"/>
      <c r="U562" s="342"/>
      <c r="V562" s="340"/>
      <c r="W562" s="340"/>
      <c r="X562"/>
      <c r="Y562"/>
    </row>
    <row r="563" spans="2:25" ht="16">
      <c r="B563" s="67"/>
      <c r="I563" s="3" t="s">
        <v>60</v>
      </c>
      <c r="J563" s="345">
        <v>352</v>
      </c>
      <c r="K563" s="703">
        <v>917185.89000000013</v>
      </c>
      <c r="L563" s="342">
        <v>4.7688309210996926E-2</v>
      </c>
      <c r="M563" s="342">
        <v>20.9695</v>
      </c>
      <c r="N563" s="340">
        <v>917185.89000000025</v>
      </c>
      <c r="O563" s="703">
        <v>629148.33733681461</v>
      </c>
      <c r="P563" s="342">
        <v>5.1344190918239503E-2</v>
      </c>
      <c r="Q563" s="363">
        <v>19.476400000000002</v>
      </c>
      <c r="R563" s="340">
        <v>629148.3373368145</v>
      </c>
      <c r="S563" s="342">
        <v>104.503</v>
      </c>
      <c r="T563" s="342">
        <v>118.98099999999999</v>
      </c>
      <c r="U563" s="342">
        <v>1.1385000000000001</v>
      </c>
      <c r="V563" s="340">
        <v>716285.3820579634</v>
      </c>
      <c r="W563" s="340">
        <v>200900.50794203684</v>
      </c>
      <c r="X563"/>
      <c r="Y563"/>
    </row>
    <row r="564" spans="2:25" ht="16">
      <c r="J564" s="345"/>
      <c r="K564" s="703"/>
      <c r="L564" s="342"/>
      <c r="M564" s="342"/>
      <c r="N564" s="340"/>
      <c r="O564" s="703"/>
      <c r="P564" s="342"/>
      <c r="Q564" s="363"/>
      <c r="R564" s="340"/>
      <c r="S564" s="342"/>
      <c r="T564" s="342"/>
      <c r="U564" s="342"/>
      <c r="V564" s="340"/>
      <c r="W564" s="340"/>
      <c r="X564"/>
      <c r="Y564"/>
    </row>
    <row r="565" spans="2:25" ht="16">
      <c r="B565" s="67"/>
      <c r="E565" s="131" t="s">
        <v>1079</v>
      </c>
      <c r="F565" s="131"/>
      <c r="G565" s="131"/>
      <c r="H565" s="131"/>
      <c r="I565" s="131"/>
      <c r="J565" s="704">
        <v>352</v>
      </c>
      <c r="K565" s="705">
        <v>917185.89000000013</v>
      </c>
      <c r="L565" s="369">
        <v>4.7688309210996926E-2</v>
      </c>
      <c r="M565" s="377">
        <v>20.9695</v>
      </c>
      <c r="N565" s="706">
        <v>917185.89000000025</v>
      </c>
      <c r="O565" s="705">
        <v>629148.33733681461</v>
      </c>
      <c r="P565" s="369">
        <v>5.1344190918239503E-2</v>
      </c>
      <c r="Q565" s="377">
        <v>19.476400000000002</v>
      </c>
      <c r="R565" s="706">
        <v>629148.3373368145</v>
      </c>
      <c r="S565" s="369">
        <v>104.503</v>
      </c>
      <c r="T565" s="369">
        <v>118.98099999999999</v>
      </c>
      <c r="U565" s="369">
        <v>1.1385000000000001</v>
      </c>
      <c r="V565" s="706">
        <v>716285.3820579634</v>
      </c>
      <c r="W565" s="706">
        <v>200900.50794203684</v>
      </c>
      <c r="X565"/>
      <c r="Y565"/>
    </row>
    <row r="566" spans="2:25" ht="16">
      <c r="J566" s="345"/>
      <c r="K566" s="703"/>
      <c r="L566" s="342"/>
      <c r="M566" s="342"/>
      <c r="N566" s="340"/>
      <c r="O566" s="703"/>
      <c r="P566" s="342"/>
      <c r="Q566" s="363"/>
      <c r="R566" s="340"/>
      <c r="S566" s="342"/>
      <c r="T566" s="342"/>
      <c r="U566" s="342"/>
      <c r="V566" s="340"/>
      <c r="W566" s="340"/>
      <c r="X566"/>
      <c r="Y566"/>
    </row>
    <row r="567" spans="2:25" ht="16">
      <c r="B567" s="67"/>
      <c r="E567" s="1" t="s">
        <v>862</v>
      </c>
      <c r="J567" s="345"/>
      <c r="K567" s="703"/>
      <c r="L567" s="342"/>
      <c r="M567" s="342"/>
      <c r="N567" s="340"/>
      <c r="O567" s="703"/>
      <c r="P567" s="342"/>
      <c r="Q567" s="363"/>
      <c r="R567" s="340"/>
      <c r="S567" s="342"/>
      <c r="T567" s="342"/>
      <c r="U567" s="342"/>
      <c r="V567" s="340"/>
      <c r="W567" s="340"/>
      <c r="X567"/>
      <c r="Y567"/>
    </row>
    <row r="568" spans="2:25" ht="16">
      <c r="B568" s="67"/>
      <c r="F568" s="346">
        <v>44803</v>
      </c>
      <c r="G568" s="346"/>
      <c r="H568" s="346"/>
      <c r="I568" s="346"/>
      <c r="J568" s="345"/>
      <c r="K568" s="703"/>
      <c r="L568" s="342"/>
      <c r="M568" s="342"/>
      <c r="N568" s="340"/>
      <c r="O568" s="703"/>
      <c r="P568" s="342"/>
      <c r="Q568" s="363"/>
      <c r="R568" s="340"/>
      <c r="S568" s="342"/>
      <c r="T568" s="342"/>
      <c r="U568" s="342"/>
      <c r="V568" s="340"/>
      <c r="W568" s="340"/>
      <c r="X568"/>
      <c r="Y568"/>
    </row>
    <row r="569" spans="2:25" ht="16">
      <c r="B569" s="67"/>
      <c r="G569" s="3" t="s">
        <v>59</v>
      </c>
      <c r="H569" s="3"/>
      <c r="I569" s="3"/>
      <c r="J569" s="345"/>
      <c r="K569" s="703"/>
      <c r="L569" s="342"/>
      <c r="M569" s="342"/>
      <c r="N569" s="340"/>
      <c r="O569" s="703"/>
      <c r="P569" s="342"/>
      <c r="Q569" s="363"/>
      <c r="R569" s="340"/>
      <c r="S569" s="342"/>
      <c r="T569" s="342"/>
      <c r="U569" s="342"/>
      <c r="V569" s="340"/>
      <c r="W569" s="340"/>
      <c r="X569"/>
      <c r="Y569"/>
    </row>
    <row r="570" spans="2:25" ht="16">
      <c r="B570" s="67"/>
      <c r="H570" s="347">
        <v>44635</v>
      </c>
      <c r="I570" s="347"/>
      <c r="J570" s="345"/>
      <c r="K570" s="703"/>
      <c r="L570" s="342"/>
      <c r="M570" s="342"/>
      <c r="N570" s="340"/>
      <c r="O570" s="703"/>
      <c r="P570" s="342"/>
      <c r="Q570" s="363"/>
      <c r="R570" s="340"/>
      <c r="S570" s="342"/>
      <c r="T570" s="342"/>
      <c r="U570" s="342"/>
      <c r="V570" s="340"/>
      <c r="W570" s="340"/>
      <c r="X570"/>
      <c r="Y570"/>
    </row>
    <row r="571" spans="2:25" ht="16">
      <c r="B571" s="67"/>
      <c r="I571" s="3" t="s">
        <v>59</v>
      </c>
      <c r="J571" s="345">
        <v>4052</v>
      </c>
      <c r="K571" s="703">
        <v>6047269.9930244014</v>
      </c>
      <c r="L571" s="342">
        <v>1</v>
      </c>
      <c r="M571" s="342">
        <v>19.9268</v>
      </c>
      <c r="N571" s="340">
        <v>120502739.69699864</v>
      </c>
      <c r="O571" s="703">
        <v>7348592.7699999996</v>
      </c>
      <c r="P571" s="342">
        <v>1</v>
      </c>
      <c r="Q571" s="363">
        <v>20.9695</v>
      </c>
      <c r="R571" s="340">
        <v>154096316.09051499</v>
      </c>
      <c r="S571" s="342">
        <v>120.15900000000001</v>
      </c>
      <c r="T571" s="342">
        <v>122.94799999999999</v>
      </c>
      <c r="U571" s="342">
        <v>1.0232000000000001</v>
      </c>
      <c r="V571" s="340">
        <v>157671350.62381494</v>
      </c>
      <c r="W571" s="340">
        <v>-37168610.9268163</v>
      </c>
      <c r="X571"/>
      <c r="Y571"/>
    </row>
    <row r="572" spans="2:25" ht="16">
      <c r="J572" s="345"/>
      <c r="K572" s="703"/>
      <c r="L572" s="342"/>
      <c r="M572" s="342"/>
      <c r="N572" s="340"/>
      <c r="O572" s="703"/>
      <c r="P572" s="342"/>
      <c r="Q572" s="363"/>
      <c r="R572" s="340"/>
      <c r="S572" s="342"/>
      <c r="T572" s="342"/>
      <c r="U572" s="342"/>
      <c r="V572" s="340"/>
      <c r="W572" s="340"/>
      <c r="X572"/>
      <c r="Y572"/>
    </row>
    <row r="573" spans="2:25" ht="16">
      <c r="B573" s="67"/>
      <c r="H573" s="347">
        <v>44764</v>
      </c>
      <c r="I573" s="347"/>
      <c r="J573" s="345"/>
      <c r="K573" s="703"/>
      <c r="L573" s="342"/>
      <c r="M573" s="342"/>
      <c r="N573" s="340"/>
      <c r="O573" s="703"/>
      <c r="P573" s="342"/>
      <c r="Q573" s="363"/>
      <c r="R573" s="340"/>
      <c r="S573" s="342"/>
      <c r="T573" s="342"/>
      <c r="U573" s="342"/>
      <c r="V573" s="340"/>
      <c r="W573" s="340"/>
      <c r="X573"/>
      <c r="Y573"/>
    </row>
    <row r="574" spans="2:25" ht="16">
      <c r="B574" s="67"/>
      <c r="I574" s="3" t="s">
        <v>59</v>
      </c>
      <c r="J574" s="345">
        <v>415</v>
      </c>
      <c r="K574" s="703">
        <v>619352.67697559879</v>
      </c>
      <c r="L574" s="342">
        <v>1</v>
      </c>
      <c r="M574" s="342">
        <v>19.9268</v>
      </c>
      <c r="N574" s="340">
        <v>12341716.923557362</v>
      </c>
      <c r="O574" s="703">
        <v>628236.26</v>
      </c>
      <c r="P574" s="342">
        <v>1</v>
      </c>
      <c r="Q574" s="363">
        <v>20.491299999999999</v>
      </c>
      <c r="R574" s="340">
        <v>12873377.674538</v>
      </c>
      <c r="S574" s="342">
        <v>122.94799999999999</v>
      </c>
      <c r="T574" s="342">
        <v>122.94799999999999</v>
      </c>
      <c r="U574" s="342">
        <v>1</v>
      </c>
      <c r="V574" s="340">
        <v>12873377.674538</v>
      </c>
      <c r="W574" s="340">
        <v>-531660.75098063797</v>
      </c>
      <c r="X574"/>
      <c r="Y574"/>
    </row>
    <row r="575" spans="2:25" ht="16">
      <c r="J575" s="345"/>
      <c r="K575" s="703"/>
      <c r="L575" s="342"/>
      <c r="M575" s="342"/>
      <c r="N575" s="340"/>
      <c r="O575" s="703"/>
      <c r="P575" s="342"/>
      <c r="Q575" s="363"/>
      <c r="R575" s="340"/>
      <c r="S575" s="342"/>
      <c r="T575" s="342"/>
      <c r="U575" s="342"/>
      <c r="V575" s="340"/>
      <c r="W575" s="340"/>
      <c r="X575"/>
      <c r="Y575"/>
    </row>
    <row r="576" spans="2:25" ht="16">
      <c r="B576" s="67"/>
      <c r="E576" s="131" t="s">
        <v>1080</v>
      </c>
      <c r="F576" s="131"/>
      <c r="G576" s="131"/>
      <c r="H576" s="131"/>
      <c r="I576" s="131"/>
      <c r="J576" s="704">
        <v>4467</v>
      </c>
      <c r="K576" s="705">
        <v>6666622.6699999999</v>
      </c>
      <c r="L576" s="369">
        <v>1</v>
      </c>
      <c r="M576" s="377">
        <v>19.9268</v>
      </c>
      <c r="N576" s="706">
        <v>132844456.620556</v>
      </c>
      <c r="O576" s="705">
        <v>7976829.0299999993</v>
      </c>
      <c r="P576" s="369">
        <v>1</v>
      </c>
      <c r="Q576" s="377">
        <v>20.730399999999999</v>
      </c>
      <c r="R576" s="706">
        <v>166969693.76505297</v>
      </c>
      <c r="S576" s="369">
        <v>121.5535</v>
      </c>
      <c r="T576" s="369">
        <v>122.94799999999999</v>
      </c>
      <c r="U576" s="369">
        <v>1.0116000000000001</v>
      </c>
      <c r="V576" s="706">
        <v>170544728.29835293</v>
      </c>
      <c r="W576" s="706">
        <v>-37700271.677796938</v>
      </c>
      <c r="X576"/>
      <c r="Y576"/>
    </row>
    <row r="577" spans="2:25" ht="16">
      <c r="J577" s="345"/>
      <c r="K577" s="703"/>
      <c r="L577" s="342"/>
      <c r="M577" s="342"/>
      <c r="N577" s="340"/>
      <c r="O577" s="703"/>
      <c r="P577" s="342"/>
      <c r="Q577" s="363"/>
      <c r="R577" s="340"/>
      <c r="S577" s="342"/>
      <c r="T577" s="342"/>
      <c r="U577" s="342"/>
      <c r="V577" s="340"/>
      <c r="W577" s="340"/>
      <c r="X577"/>
      <c r="Y577"/>
    </row>
    <row r="578" spans="2:25" ht="16">
      <c r="B578" s="67"/>
      <c r="E578" s="1" t="s">
        <v>867</v>
      </c>
      <c r="J578" s="345"/>
      <c r="K578" s="703"/>
      <c r="L578" s="342"/>
      <c r="M578" s="342"/>
      <c r="N578" s="340"/>
      <c r="O578" s="703"/>
      <c r="P578" s="342"/>
      <c r="Q578" s="363"/>
      <c r="R578" s="340"/>
      <c r="S578" s="342"/>
      <c r="T578" s="342"/>
      <c r="U578" s="342"/>
      <c r="V578" s="340"/>
      <c r="W578" s="340"/>
      <c r="X578"/>
      <c r="Y578"/>
    </row>
    <row r="579" spans="2:25" ht="16">
      <c r="B579" s="67"/>
      <c r="F579" s="346">
        <v>44803</v>
      </c>
      <c r="G579" s="346"/>
      <c r="H579" s="346"/>
      <c r="I579" s="346"/>
      <c r="J579" s="345"/>
      <c r="K579" s="703"/>
      <c r="L579" s="342"/>
      <c r="M579" s="342"/>
      <c r="N579" s="340"/>
      <c r="O579" s="703"/>
      <c r="P579" s="342"/>
      <c r="Q579" s="363"/>
      <c r="R579" s="340"/>
      <c r="S579" s="342"/>
      <c r="T579" s="342"/>
      <c r="U579" s="342"/>
      <c r="V579" s="340"/>
      <c r="W579" s="340"/>
      <c r="X579"/>
      <c r="Y579"/>
    </row>
    <row r="580" spans="2:25" ht="16">
      <c r="B580" s="67"/>
      <c r="G580" s="3" t="s">
        <v>59</v>
      </c>
      <c r="H580" s="3"/>
      <c r="I580" s="3"/>
      <c r="J580" s="345"/>
      <c r="K580" s="703"/>
      <c r="L580" s="342"/>
      <c r="M580" s="342"/>
      <c r="N580" s="340"/>
      <c r="O580" s="703"/>
      <c r="P580" s="342"/>
      <c r="Q580" s="363"/>
      <c r="R580" s="340"/>
      <c r="S580" s="342"/>
      <c r="T580" s="342"/>
      <c r="U580" s="342"/>
      <c r="V580" s="340"/>
      <c r="W580" s="340"/>
      <c r="X580"/>
      <c r="Y580"/>
    </row>
    <row r="581" spans="2:25" ht="16">
      <c r="B581" s="67"/>
      <c r="H581" s="347">
        <v>44635</v>
      </c>
      <c r="I581" s="347"/>
      <c r="J581" s="345"/>
      <c r="K581" s="703"/>
      <c r="L581" s="342"/>
      <c r="M581" s="342"/>
      <c r="N581" s="340"/>
      <c r="O581" s="703"/>
      <c r="P581" s="342"/>
      <c r="Q581" s="363"/>
      <c r="R581" s="340"/>
      <c r="S581" s="342"/>
      <c r="T581" s="342"/>
      <c r="U581" s="342"/>
      <c r="V581" s="340"/>
      <c r="W581" s="340"/>
      <c r="X581"/>
      <c r="Y581"/>
    </row>
    <row r="582" spans="2:25" ht="16">
      <c r="B582" s="67"/>
      <c r="I582" s="3" t="s">
        <v>59</v>
      </c>
      <c r="J582" s="345">
        <v>7013</v>
      </c>
      <c r="K582" s="703">
        <v>5275298.03</v>
      </c>
      <c r="L582" s="342">
        <v>1</v>
      </c>
      <c r="M582" s="342">
        <v>19.9268</v>
      </c>
      <c r="N582" s="340">
        <v>105119808.78420401</v>
      </c>
      <c r="O582" s="703">
        <v>4968835.4000000004</v>
      </c>
      <c r="P582" s="342">
        <v>1</v>
      </c>
      <c r="Q582" s="363">
        <v>20.9695</v>
      </c>
      <c r="R582" s="340">
        <v>104193993.92030001</v>
      </c>
      <c r="S582" s="342">
        <v>120.15900000000001</v>
      </c>
      <c r="T582" s="342">
        <v>122.94799999999999</v>
      </c>
      <c r="U582" s="342">
        <v>1.0232000000000001</v>
      </c>
      <c r="V582" s="340">
        <v>106611294.57925098</v>
      </c>
      <c r="W582" s="340">
        <v>-1491485.7950469702</v>
      </c>
      <c r="X582"/>
      <c r="Y582"/>
    </row>
    <row r="583" spans="2:25" ht="16">
      <c r="J583" s="345"/>
      <c r="K583" s="703"/>
      <c r="L583" s="342"/>
      <c r="M583" s="342"/>
      <c r="N583" s="340"/>
      <c r="O583" s="703"/>
      <c r="P583" s="342"/>
      <c r="Q583" s="363"/>
      <c r="R583" s="340"/>
      <c r="S583" s="342"/>
      <c r="T583" s="342"/>
      <c r="U583" s="342"/>
      <c r="V583" s="340"/>
      <c r="W583" s="340"/>
      <c r="X583"/>
      <c r="Y583"/>
    </row>
    <row r="584" spans="2:25" ht="16">
      <c r="B584" s="67"/>
      <c r="E584" s="131" t="s">
        <v>1081</v>
      </c>
      <c r="F584" s="131"/>
      <c r="G584" s="131"/>
      <c r="H584" s="131"/>
      <c r="I584" s="131"/>
      <c r="J584" s="704">
        <v>7013</v>
      </c>
      <c r="K584" s="705">
        <v>5275298.03</v>
      </c>
      <c r="L584" s="369">
        <v>1</v>
      </c>
      <c r="M584" s="377">
        <v>19.9268</v>
      </c>
      <c r="N584" s="706">
        <v>105119808.78420401</v>
      </c>
      <c r="O584" s="705">
        <v>4968835.4000000004</v>
      </c>
      <c r="P584" s="369">
        <v>1</v>
      </c>
      <c r="Q584" s="377">
        <v>20.9695</v>
      </c>
      <c r="R584" s="706">
        <v>104193993.92030001</v>
      </c>
      <c r="S584" s="369">
        <v>120.15900000000001</v>
      </c>
      <c r="T584" s="369">
        <v>122.94799999999999</v>
      </c>
      <c r="U584" s="369">
        <v>1.0232000000000001</v>
      </c>
      <c r="V584" s="706">
        <v>106611294.57925098</v>
      </c>
      <c r="W584" s="706">
        <v>-1491485.7950469702</v>
      </c>
      <c r="X584"/>
      <c r="Y584"/>
    </row>
    <row r="585" spans="2:25" ht="16">
      <c r="J585" s="345"/>
      <c r="K585" s="703"/>
      <c r="L585" s="342"/>
      <c r="M585" s="342"/>
      <c r="N585" s="340"/>
      <c r="O585" s="703"/>
      <c r="P585" s="342"/>
      <c r="Q585" s="363"/>
      <c r="R585" s="340"/>
      <c r="S585" s="342"/>
      <c r="T585" s="342"/>
      <c r="U585" s="342"/>
      <c r="V585" s="340"/>
      <c r="W585" s="340"/>
      <c r="X585"/>
      <c r="Y585"/>
    </row>
    <row r="586" spans="2:25" ht="16">
      <c r="B586" s="67"/>
      <c r="E586" s="1" t="s">
        <v>903</v>
      </c>
      <c r="J586" s="345"/>
      <c r="K586" s="703"/>
      <c r="L586" s="342"/>
      <c r="M586" s="342"/>
      <c r="N586" s="340"/>
      <c r="O586" s="703"/>
      <c r="P586" s="342"/>
      <c r="Q586" s="363"/>
      <c r="R586" s="340"/>
      <c r="S586" s="342"/>
      <c r="T586" s="342"/>
      <c r="U586" s="342"/>
      <c r="V586" s="340"/>
      <c r="W586" s="340"/>
      <c r="X586"/>
      <c r="Y586"/>
    </row>
    <row r="587" spans="2:25" ht="16">
      <c r="B587" s="67"/>
      <c r="F587" s="346">
        <v>44601</v>
      </c>
      <c r="G587" s="346"/>
      <c r="H587" s="346"/>
      <c r="I587" s="346"/>
      <c r="J587" s="345"/>
      <c r="K587" s="703"/>
      <c r="L587" s="342"/>
      <c r="M587" s="342"/>
      <c r="N587" s="340"/>
      <c r="O587" s="703"/>
      <c r="P587" s="342"/>
      <c r="Q587" s="363"/>
      <c r="R587" s="340"/>
      <c r="S587" s="342"/>
      <c r="T587" s="342"/>
      <c r="U587" s="342"/>
      <c r="V587" s="340"/>
      <c r="W587" s="340"/>
      <c r="X587"/>
      <c r="Y587"/>
    </row>
    <row r="588" spans="2:25" ht="16">
      <c r="B588" s="67"/>
      <c r="G588" s="3" t="s">
        <v>60</v>
      </c>
      <c r="H588" s="3"/>
      <c r="I588" s="3"/>
      <c r="J588" s="345"/>
      <c r="K588" s="703"/>
      <c r="L588" s="342"/>
      <c r="M588" s="342"/>
      <c r="N588" s="340"/>
      <c r="O588" s="703"/>
      <c r="P588" s="342"/>
      <c r="Q588" s="363"/>
      <c r="R588" s="340"/>
      <c r="S588" s="342"/>
      <c r="T588" s="342"/>
      <c r="U588" s="342"/>
      <c r="V588" s="340"/>
      <c r="W588" s="340"/>
      <c r="X588"/>
      <c r="Y588"/>
    </row>
    <row r="589" spans="2:25" ht="16">
      <c r="B589" s="67"/>
      <c r="H589" s="347">
        <v>44237</v>
      </c>
      <c r="I589" s="347"/>
      <c r="J589" s="345"/>
      <c r="K589" s="703"/>
      <c r="L589" s="342"/>
      <c r="M589" s="342"/>
      <c r="N589" s="340"/>
      <c r="O589" s="703"/>
      <c r="P589" s="342"/>
      <c r="Q589" s="363"/>
      <c r="R589" s="340"/>
      <c r="S589" s="342"/>
      <c r="T589" s="342"/>
      <c r="U589" s="342"/>
      <c r="V589" s="340"/>
      <c r="W589" s="340"/>
      <c r="X589"/>
      <c r="Y589"/>
    </row>
    <row r="590" spans="2:25" ht="16">
      <c r="B590" s="67"/>
      <c r="I590" s="3" t="s">
        <v>60</v>
      </c>
      <c r="J590" s="345">
        <v>3074</v>
      </c>
      <c r="K590" s="703">
        <v>5371487.9308666326</v>
      </c>
      <c r="L590" s="342">
        <v>4.8233449897503916E-2</v>
      </c>
      <c r="M590" s="342">
        <v>20.732500000000002</v>
      </c>
      <c r="N590" s="340">
        <v>5371487.9308666326</v>
      </c>
      <c r="O590" s="703">
        <v>4803804.8440579707</v>
      </c>
      <c r="P590" s="342">
        <v>4.9695120436124382E-2</v>
      </c>
      <c r="Q590" s="363">
        <v>20.122699999999998</v>
      </c>
      <c r="R590" s="340">
        <v>4803804.8440579707</v>
      </c>
      <c r="S590" s="342">
        <v>110.907</v>
      </c>
      <c r="T590" s="342">
        <v>118.002</v>
      </c>
      <c r="U590" s="342">
        <v>1.0639000000000001</v>
      </c>
      <c r="V590" s="340">
        <v>5110767.9735932751</v>
      </c>
      <c r="W590" s="340">
        <v>260719.95727335755</v>
      </c>
      <c r="X590"/>
      <c r="Y590"/>
    </row>
    <row r="591" spans="2:25" ht="16">
      <c r="J591" s="345"/>
      <c r="K591" s="703"/>
      <c r="L591" s="342"/>
      <c r="M591" s="342"/>
      <c r="N591" s="340"/>
      <c r="O591" s="703"/>
      <c r="P591" s="342"/>
      <c r="Q591" s="363"/>
      <c r="R591" s="340"/>
      <c r="S591" s="342"/>
      <c r="T591" s="342"/>
      <c r="U591" s="342"/>
      <c r="V591" s="340"/>
      <c r="W591" s="340"/>
      <c r="X591"/>
      <c r="Y591"/>
    </row>
    <row r="592" spans="2:25" ht="16">
      <c r="B592" s="67"/>
      <c r="H592" s="347">
        <v>44245</v>
      </c>
      <c r="I592" s="347"/>
      <c r="J592" s="345"/>
      <c r="K592" s="703"/>
      <c r="L592" s="342"/>
      <c r="M592" s="342"/>
      <c r="N592" s="340"/>
      <c r="O592" s="703"/>
      <c r="P592" s="342"/>
      <c r="Q592" s="363"/>
      <c r="R592" s="340"/>
      <c r="S592" s="342"/>
      <c r="T592" s="342"/>
      <c r="U592" s="342"/>
      <c r="V592" s="340"/>
      <c r="W592" s="340"/>
      <c r="X592"/>
      <c r="Y592"/>
    </row>
    <row r="593" spans="2:25" ht="16">
      <c r="B593" s="67"/>
      <c r="I593" s="3" t="s">
        <v>60</v>
      </c>
      <c r="J593" s="345">
        <v>611</v>
      </c>
      <c r="K593" s="703">
        <v>1067657.4904878049</v>
      </c>
      <c r="L593" s="342">
        <v>4.8233449897503916E-2</v>
      </c>
      <c r="M593" s="342">
        <v>20.732500000000002</v>
      </c>
      <c r="N593" s="340">
        <v>1067657.4904878049</v>
      </c>
      <c r="O593" s="703">
        <v>969623.61</v>
      </c>
      <c r="P593" s="342">
        <v>4.9499314434495081E-2</v>
      </c>
      <c r="Q593" s="363">
        <v>20.202300000000001</v>
      </c>
      <c r="R593" s="340">
        <v>969623.61</v>
      </c>
      <c r="S593" s="342">
        <v>110.907</v>
      </c>
      <c r="T593" s="342">
        <v>118.002</v>
      </c>
      <c r="U593" s="342">
        <v>1.0639000000000001</v>
      </c>
      <c r="V593" s="340">
        <v>1031582.558679</v>
      </c>
      <c r="W593" s="340">
        <v>36074.93180880486</v>
      </c>
      <c r="X593"/>
      <c r="Y593"/>
    </row>
    <row r="594" spans="2:25" ht="16">
      <c r="J594" s="345"/>
      <c r="K594" s="703"/>
      <c r="L594" s="342"/>
      <c r="M594" s="342"/>
      <c r="N594" s="340"/>
      <c r="O594" s="703"/>
      <c r="P594" s="342"/>
      <c r="Q594" s="363"/>
      <c r="R594" s="340"/>
      <c r="S594" s="342"/>
      <c r="T594" s="342"/>
      <c r="U594" s="342"/>
      <c r="V594" s="340"/>
      <c r="W594" s="340"/>
      <c r="X594"/>
      <c r="Y594"/>
    </row>
    <row r="595" spans="2:25" ht="16">
      <c r="B595" s="67"/>
      <c r="H595" s="347">
        <v>44321</v>
      </c>
      <c r="I595" s="347"/>
      <c r="J595" s="345"/>
      <c r="K595" s="703"/>
      <c r="L595" s="342"/>
      <c r="M595" s="342"/>
      <c r="N595" s="340"/>
      <c r="O595" s="703"/>
      <c r="P595" s="342"/>
      <c r="Q595" s="363"/>
      <c r="R595" s="340"/>
      <c r="S595" s="342"/>
      <c r="T595" s="342"/>
      <c r="U595" s="342"/>
      <c r="V595" s="340"/>
      <c r="W595" s="340"/>
      <c r="X595"/>
      <c r="Y595"/>
    </row>
    <row r="596" spans="2:25" ht="16">
      <c r="B596" s="67"/>
      <c r="I596" s="3" t="s">
        <v>60</v>
      </c>
      <c r="J596" s="345">
        <v>169</v>
      </c>
      <c r="K596" s="703">
        <v>295309.51864556305</v>
      </c>
      <c r="L596" s="342">
        <v>4.8233449897503916E-2</v>
      </c>
      <c r="M596" s="342">
        <v>20.732500000000002</v>
      </c>
      <c r="N596" s="340">
        <v>295309.51864556305</v>
      </c>
      <c r="O596" s="703">
        <v>274605.27079123136</v>
      </c>
      <c r="P596" s="342">
        <v>4.9528979405850361E-2</v>
      </c>
      <c r="Q596" s="363">
        <v>20.190200000000001</v>
      </c>
      <c r="R596" s="340">
        <v>274605.27079123136</v>
      </c>
      <c r="S596" s="342">
        <v>112.419</v>
      </c>
      <c r="T596" s="342">
        <v>118.002</v>
      </c>
      <c r="U596" s="342">
        <v>1.0496000000000001</v>
      </c>
      <c r="V596" s="340">
        <v>288225.69222247647</v>
      </c>
      <c r="W596" s="340">
        <v>7083.8264230865752</v>
      </c>
      <c r="X596"/>
      <c r="Y596"/>
    </row>
    <row r="597" spans="2:25" ht="16">
      <c r="J597" s="345"/>
      <c r="K597" s="703"/>
      <c r="L597" s="342"/>
      <c r="M597" s="342"/>
      <c r="N597" s="340"/>
      <c r="O597" s="703"/>
      <c r="P597" s="342"/>
      <c r="Q597" s="363"/>
      <c r="R597" s="340"/>
      <c r="S597" s="342"/>
      <c r="T597" s="342"/>
      <c r="U597" s="342"/>
      <c r="V597" s="340"/>
      <c r="W597" s="340"/>
      <c r="X597"/>
      <c r="Y597"/>
    </row>
    <row r="598" spans="2:25" ht="16">
      <c r="B598" s="67"/>
      <c r="F598" s="346">
        <v>44635</v>
      </c>
      <c r="G598" s="346"/>
      <c r="H598" s="346"/>
      <c r="I598" s="346"/>
      <c r="J598" s="345"/>
      <c r="K598" s="703"/>
      <c r="L598" s="342"/>
      <c r="M598" s="342"/>
      <c r="N598" s="340"/>
      <c r="O598" s="703"/>
      <c r="P598" s="342"/>
      <c r="Q598" s="363"/>
      <c r="R598" s="340"/>
      <c r="S598" s="342"/>
      <c r="T598" s="342"/>
      <c r="U598" s="342"/>
      <c r="V598" s="340"/>
      <c r="W598" s="340"/>
      <c r="X598"/>
      <c r="Y598"/>
    </row>
    <row r="599" spans="2:25" ht="16">
      <c r="B599" s="67"/>
      <c r="G599" s="3" t="s">
        <v>60</v>
      </c>
      <c r="H599" s="3"/>
      <c r="I599" s="3"/>
      <c r="J599" s="345"/>
      <c r="K599" s="703"/>
      <c r="L599" s="342"/>
      <c r="M599" s="342"/>
      <c r="N599" s="340"/>
      <c r="O599" s="703"/>
      <c r="P599" s="342"/>
      <c r="Q599" s="363"/>
      <c r="R599" s="340"/>
      <c r="S599" s="342"/>
      <c r="T599" s="342"/>
      <c r="U599" s="342"/>
      <c r="V599" s="340"/>
      <c r="W599" s="340"/>
      <c r="X599"/>
      <c r="Y599"/>
    </row>
    <row r="600" spans="2:25" ht="16">
      <c r="B600" s="67"/>
      <c r="H600" s="347">
        <v>44321</v>
      </c>
      <c r="I600" s="347"/>
      <c r="J600" s="345"/>
      <c r="K600" s="703"/>
      <c r="L600" s="342"/>
      <c r="M600" s="342"/>
      <c r="N600" s="340"/>
      <c r="O600" s="703"/>
      <c r="P600" s="342"/>
      <c r="Q600" s="363"/>
      <c r="R600" s="340"/>
      <c r="S600" s="342"/>
      <c r="T600" s="342"/>
      <c r="U600" s="342"/>
      <c r="V600" s="340"/>
      <c r="W600" s="340"/>
      <c r="X600"/>
      <c r="Y600"/>
    </row>
    <row r="601" spans="2:25" ht="16">
      <c r="B601" s="67"/>
      <c r="I601" s="3" t="s">
        <v>60</v>
      </c>
      <c r="J601" s="345">
        <v>420</v>
      </c>
      <c r="K601" s="703">
        <v>729175.04000000004</v>
      </c>
      <c r="L601" s="342">
        <v>4.7688309210996926E-2</v>
      </c>
      <c r="M601" s="342">
        <v>20.9695</v>
      </c>
      <c r="N601" s="340">
        <v>729175.04000000004</v>
      </c>
      <c r="O601" s="703">
        <v>682450.96883027907</v>
      </c>
      <c r="P601" s="342">
        <v>4.9528979405850361E-2</v>
      </c>
      <c r="Q601" s="363">
        <v>20.190200000000001</v>
      </c>
      <c r="R601" s="340">
        <v>682450.96883027896</v>
      </c>
      <c r="S601" s="342">
        <v>112.419</v>
      </c>
      <c r="T601" s="342">
        <v>118.98099999999999</v>
      </c>
      <c r="U601" s="342">
        <v>1.0583</v>
      </c>
      <c r="V601" s="340">
        <v>722237.86031308421</v>
      </c>
      <c r="W601" s="340">
        <v>6937.1796869158279</v>
      </c>
      <c r="X601"/>
      <c r="Y601"/>
    </row>
    <row r="602" spans="2:25" ht="16">
      <c r="J602" s="345"/>
      <c r="K602" s="703"/>
      <c r="L602" s="342"/>
      <c r="M602" s="342"/>
      <c r="N602" s="340"/>
      <c r="O602" s="703"/>
      <c r="P602" s="342"/>
      <c r="Q602" s="363"/>
      <c r="R602" s="340"/>
      <c r="S602" s="342"/>
      <c r="T602" s="342"/>
      <c r="U602" s="342"/>
      <c r="V602" s="340"/>
      <c r="W602" s="340"/>
      <c r="X602"/>
      <c r="Y602"/>
    </row>
    <row r="603" spans="2:25" ht="16">
      <c r="B603" s="67"/>
      <c r="F603" s="346">
        <v>44803</v>
      </c>
      <c r="G603" s="346"/>
      <c r="H603" s="346"/>
      <c r="I603" s="346"/>
      <c r="J603" s="345"/>
      <c r="K603" s="703"/>
      <c r="L603" s="342"/>
      <c r="M603" s="342"/>
      <c r="N603" s="340"/>
      <c r="O603" s="703"/>
      <c r="P603" s="342"/>
      <c r="Q603" s="363"/>
      <c r="R603" s="340"/>
      <c r="S603" s="342"/>
      <c r="T603" s="342"/>
      <c r="U603" s="342"/>
      <c r="V603" s="340"/>
      <c r="W603" s="340"/>
      <c r="X603"/>
      <c r="Y603"/>
    </row>
    <row r="604" spans="2:25" ht="16">
      <c r="B604" s="67"/>
      <c r="G604" s="3" t="s">
        <v>59</v>
      </c>
      <c r="H604" s="3"/>
      <c r="I604" s="3"/>
      <c r="J604" s="345"/>
      <c r="K604" s="703"/>
      <c r="L604" s="342"/>
      <c r="M604" s="342"/>
      <c r="N604" s="340"/>
      <c r="O604" s="703"/>
      <c r="P604" s="342"/>
      <c r="Q604" s="363"/>
      <c r="R604" s="340"/>
      <c r="S604" s="342"/>
      <c r="T604" s="342"/>
      <c r="U604" s="342"/>
      <c r="V604" s="340"/>
      <c r="W604" s="340"/>
      <c r="X604"/>
      <c r="Y604"/>
    </row>
    <row r="605" spans="2:25" ht="16">
      <c r="B605" s="67"/>
      <c r="H605" s="347">
        <v>44321</v>
      </c>
      <c r="I605" s="347"/>
      <c r="J605" s="345"/>
      <c r="K605" s="703"/>
      <c r="L605" s="342"/>
      <c r="M605" s="342"/>
      <c r="N605" s="340"/>
      <c r="O605" s="703"/>
      <c r="P605" s="342"/>
      <c r="Q605" s="363"/>
      <c r="R605" s="340"/>
      <c r="S605" s="342"/>
      <c r="T605" s="342"/>
      <c r="U605" s="342"/>
      <c r="V605" s="340"/>
      <c r="W605" s="340"/>
      <c r="X605"/>
      <c r="Y605"/>
    </row>
    <row r="606" spans="2:25" ht="16">
      <c r="B606" s="67"/>
      <c r="I606" s="3" t="s">
        <v>59</v>
      </c>
      <c r="J606" s="345">
        <v>1614</v>
      </c>
      <c r="K606" s="703">
        <v>2559017.8199999998</v>
      </c>
      <c r="L606" s="342">
        <v>1</v>
      </c>
      <c r="M606" s="342">
        <v>19.9268</v>
      </c>
      <c r="N606" s="340">
        <v>50993036.295575999</v>
      </c>
      <c r="O606" s="703">
        <v>2622561.5802192152</v>
      </c>
      <c r="P606" s="342">
        <v>1</v>
      </c>
      <c r="Q606" s="363">
        <v>20.190200000000001</v>
      </c>
      <c r="R606" s="340">
        <v>52950042.816941999</v>
      </c>
      <c r="S606" s="342">
        <v>112.419</v>
      </c>
      <c r="T606" s="342">
        <v>122.94799999999999</v>
      </c>
      <c r="U606" s="342">
        <v>1.0935999999999999</v>
      </c>
      <c r="V606" s="340">
        <v>57906166.824607767</v>
      </c>
      <c r="W606" s="340">
        <v>-6913130.529031761</v>
      </c>
      <c r="X606"/>
      <c r="Y606"/>
    </row>
    <row r="607" spans="2:25" ht="16">
      <c r="J607" s="345"/>
      <c r="K607" s="703"/>
      <c r="L607" s="342"/>
      <c r="M607" s="342"/>
      <c r="N607" s="340"/>
      <c r="O607" s="703"/>
      <c r="P607" s="342"/>
      <c r="Q607" s="363"/>
      <c r="R607" s="340"/>
      <c r="S607" s="342"/>
      <c r="T607" s="342"/>
      <c r="U607" s="342"/>
      <c r="V607" s="340"/>
      <c r="W607" s="340"/>
      <c r="X607"/>
      <c r="Y607"/>
    </row>
    <row r="608" spans="2:25" ht="16">
      <c r="B608" s="67"/>
      <c r="E608" s="131" t="s">
        <v>1082</v>
      </c>
      <c r="F608" s="131"/>
      <c r="G608" s="131"/>
      <c r="H608" s="131"/>
      <c r="I608" s="131"/>
      <c r="J608" s="704">
        <v>5888</v>
      </c>
      <c r="K608" s="705">
        <v>10022647.800000001</v>
      </c>
      <c r="L608" s="369">
        <v>0.23847773178070172</v>
      </c>
      <c r="M608" s="377">
        <v>20.618760000000002</v>
      </c>
      <c r="N608" s="706">
        <v>58456666.275575995</v>
      </c>
      <c r="O608" s="705">
        <v>9353046.2738986965</v>
      </c>
      <c r="P608" s="369">
        <v>0.23965047873646403</v>
      </c>
      <c r="Q608" s="377">
        <v>20.179120000000005</v>
      </c>
      <c r="R608" s="706">
        <v>59680527.510621481</v>
      </c>
      <c r="S608" s="369">
        <v>111.8142</v>
      </c>
      <c r="T608" s="369">
        <v>119.18699999999998</v>
      </c>
      <c r="U608" s="369">
        <v>1.06586</v>
      </c>
      <c r="V608" s="706">
        <v>65058980.909415603</v>
      </c>
      <c r="W608" s="706">
        <v>-6602314.6338395961</v>
      </c>
      <c r="X608"/>
      <c r="Y608"/>
    </row>
    <row r="609" spans="2:25" ht="16">
      <c r="J609" s="345"/>
      <c r="K609" s="703"/>
      <c r="L609" s="342"/>
      <c r="M609" s="342"/>
      <c r="N609" s="340"/>
      <c r="O609" s="703"/>
      <c r="P609" s="342"/>
      <c r="Q609" s="363"/>
      <c r="R609" s="340"/>
      <c r="S609" s="342"/>
      <c r="T609" s="342"/>
      <c r="U609" s="342"/>
      <c r="V609" s="340"/>
      <c r="W609" s="340"/>
      <c r="X609"/>
      <c r="Y609"/>
    </row>
    <row r="610" spans="2:25" ht="16">
      <c r="B610" s="67"/>
      <c r="E610" s="1" t="s">
        <v>901</v>
      </c>
      <c r="J610" s="345"/>
      <c r="K610" s="703"/>
      <c r="L610" s="342"/>
      <c r="M610" s="342"/>
      <c r="N610" s="340"/>
      <c r="O610" s="703"/>
      <c r="P610" s="342"/>
      <c r="Q610" s="363"/>
      <c r="R610" s="340"/>
      <c r="S610" s="342"/>
      <c r="T610" s="342"/>
      <c r="U610" s="342"/>
      <c r="V610" s="340"/>
      <c r="W610" s="340"/>
      <c r="X610"/>
      <c r="Y610"/>
    </row>
    <row r="611" spans="2:25" ht="16">
      <c r="B611" s="67"/>
      <c r="F611" s="346">
        <v>44601</v>
      </c>
      <c r="G611" s="346"/>
      <c r="H611" s="346"/>
      <c r="I611" s="346"/>
      <c r="J611" s="345"/>
      <c r="K611" s="703"/>
      <c r="L611" s="342"/>
      <c r="M611" s="342"/>
      <c r="N611" s="340"/>
      <c r="O611" s="703"/>
      <c r="P611" s="342"/>
      <c r="Q611" s="363"/>
      <c r="R611" s="340"/>
      <c r="S611" s="342"/>
      <c r="T611" s="342"/>
      <c r="U611" s="342"/>
      <c r="V611" s="340"/>
      <c r="W611" s="340"/>
      <c r="X611"/>
      <c r="Y611"/>
    </row>
    <row r="612" spans="2:25" ht="16">
      <c r="B612" s="67"/>
      <c r="G612" s="3" t="s">
        <v>60</v>
      </c>
      <c r="H612" s="3"/>
      <c r="I612" s="3"/>
      <c r="J612" s="345"/>
      <c r="K612" s="703"/>
      <c r="L612" s="342"/>
      <c r="M612" s="342"/>
      <c r="N612" s="340"/>
      <c r="O612" s="703"/>
      <c r="P612" s="342"/>
      <c r="Q612" s="363"/>
      <c r="R612" s="340"/>
      <c r="S612" s="342"/>
      <c r="T612" s="342"/>
      <c r="U612" s="342"/>
      <c r="V612" s="340"/>
      <c r="W612" s="340"/>
      <c r="X612"/>
      <c r="Y612"/>
    </row>
    <row r="613" spans="2:25" ht="16">
      <c r="B613" s="67"/>
      <c r="H613" s="347">
        <v>44012</v>
      </c>
      <c r="I613" s="347"/>
      <c r="J613" s="345"/>
      <c r="K613" s="703"/>
      <c r="L613" s="342"/>
      <c r="M613" s="342"/>
      <c r="N613" s="340"/>
      <c r="O613" s="703"/>
      <c r="P613" s="342"/>
      <c r="Q613" s="363"/>
      <c r="R613" s="340"/>
      <c r="S613" s="342"/>
      <c r="T613" s="342"/>
      <c r="U613" s="342"/>
      <c r="V613" s="340"/>
      <c r="W613" s="340"/>
      <c r="X613"/>
      <c r="Y613"/>
    </row>
    <row r="614" spans="2:25" ht="16">
      <c r="B614" s="67"/>
      <c r="I614" s="3" t="s">
        <v>60</v>
      </c>
      <c r="J614" s="345">
        <v>4161</v>
      </c>
      <c r="K614" s="703">
        <v>2846387.71</v>
      </c>
      <c r="L614" s="342">
        <v>4.8233449897503916E-2</v>
      </c>
      <c r="M614" s="342">
        <v>20.732500000000002</v>
      </c>
      <c r="N614" s="340">
        <v>2846387.7100000004</v>
      </c>
      <c r="O614" s="703">
        <v>2383197.06</v>
      </c>
      <c r="P614" s="342">
        <v>4.3532202947130144E-2</v>
      </c>
      <c r="Q614" s="363">
        <v>22.971499999999999</v>
      </c>
      <c r="R614" s="340">
        <v>2383197.06</v>
      </c>
      <c r="S614" s="342">
        <v>106.74299999999999</v>
      </c>
      <c r="T614" s="342">
        <v>118.002</v>
      </c>
      <c r="U614" s="342">
        <v>1.1053999999999999</v>
      </c>
      <c r="V614" s="340">
        <v>2634386.0301239998</v>
      </c>
      <c r="W614" s="340">
        <v>212001.67987600062</v>
      </c>
      <c r="X614"/>
      <c r="Y614"/>
    </row>
    <row r="615" spans="2:25" ht="16">
      <c r="J615" s="345"/>
      <c r="K615" s="703"/>
      <c r="L615" s="342"/>
      <c r="M615" s="342"/>
      <c r="N615" s="340"/>
      <c r="O615" s="703"/>
      <c r="P615" s="342"/>
      <c r="Q615" s="363"/>
      <c r="R615" s="340"/>
      <c r="S615" s="342"/>
      <c r="T615" s="342"/>
      <c r="U615" s="342"/>
      <c r="V615" s="340"/>
      <c r="W615" s="340"/>
      <c r="X615"/>
      <c r="Y615"/>
    </row>
    <row r="616" spans="2:25" ht="16">
      <c r="B616" s="67"/>
      <c r="E616" s="131" t="s">
        <v>1083</v>
      </c>
      <c r="F616" s="131"/>
      <c r="G616" s="131"/>
      <c r="H616" s="131"/>
      <c r="I616" s="131"/>
      <c r="J616" s="704">
        <v>4161</v>
      </c>
      <c r="K616" s="705">
        <v>2846387.71</v>
      </c>
      <c r="L616" s="369">
        <v>4.8233449897503916E-2</v>
      </c>
      <c r="M616" s="377">
        <v>20.732500000000002</v>
      </c>
      <c r="N616" s="706">
        <v>2846387.7100000004</v>
      </c>
      <c r="O616" s="705">
        <v>2383197.06</v>
      </c>
      <c r="P616" s="369">
        <v>4.3532202947130144E-2</v>
      </c>
      <c r="Q616" s="377">
        <v>22.971499999999999</v>
      </c>
      <c r="R616" s="706">
        <v>2383197.06</v>
      </c>
      <c r="S616" s="369">
        <v>106.74299999999999</v>
      </c>
      <c r="T616" s="369">
        <v>118.002</v>
      </c>
      <c r="U616" s="369">
        <v>1.1053999999999999</v>
      </c>
      <c r="V616" s="706">
        <v>2634386.0301239998</v>
      </c>
      <c r="W616" s="706">
        <v>212001.67987600062</v>
      </c>
      <c r="X616"/>
      <c r="Y616"/>
    </row>
    <row r="617" spans="2:25" ht="16">
      <c r="J617" s="345"/>
      <c r="K617" s="703"/>
      <c r="L617" s="342"/>
      <c r="M617" s="342"/>
      <c r="N617" s="340"/>
      <c r="O617" s="703"/>
      <c r="P617" s="342"/>
      <c r="Q617" s="363"/>
      <c r="R617" s="340"/>
      <c r="S617" s="342"/>
      <c r="T617" s="342"/>
      <c r="U617" s="342"/>
      <c r="V617" s="340"/>
      <c r="W617" s="340"/>
      <c r="X617"/>
      <c r="Y617"/>
    </row>
    <row r="618" spans="2:25" ht="16">
      <c r="B618" s="67"/>
      <c r="E618" s="1" t="s">
        <v>864</v>
      </c>
      <c r="J618" s="345"/>
      <c r="K618" s="703"/>
      <c r="L618" s="342"/>
      <c r="M618" s="342"/>
      <c r="N618" s="340"/>
      <c r="O618" s="703"/>
      <c r="P618" s="342"/>
      <c r="Q618" s="363"/>
      <c r="R618" s="340"/>
      <c r="S618" s="342"/>
      <c r="T618" s="342"/>
      <c r="U618" s="342"/>
      <c r="V618" s="340"/>
      <c r="W618" s="340"/>
      <c r="X618"/>
      <c r="Y618"/>
    </row>
    <row r="619" spans="2:25" ht="16">
      <c r="B619" s="67"/>
      <c r="F619" s="346">
        <v>44803</v>
      </c>
      <c r="G619" s="346"/>
      <c r="H619" s="346"/>
      <c r="I619" s="346"/>
      <c r="J619" s="345"/>
      <c r="K619" s="703"/>
      <c r="L619" s="342"/>
      <c r="M619" s="342"/>
      <c r="N619" s="340"/>
      <c r="O619" s="703"/>
      <c r="P619" s="342"/>
      <c r="Q619" s="363"/>
      <c r="R619" s="340"/>
      <c r="S619" s="342"/>
      <c r="T619" s="342"/>
      <c r="U619" s="342"/>
      <c r="V619" s="340"/>
      <c r="W619" s="340"/>
      <c r="X619"/>
      <c r="Y619"/>
    </row>
    <row r="620" spans="2:25" ht="16">
      <c r="B620" s="67"/>
      <c r="G620" s="3" t="s">
        <v>59</v>
      </c>
      <c r="H620" s="3"/>
      <c r="I620" s="3"/>
      <c r="J620" s="345"/>
      <c r="K620" s="703"/>
      <c r="L620" s="342"/>
      <c r="M620" s="342"/>
      <c r="N620" s="340"/>
      <c r="O620" s="703"/>
      <c r="P620" s="342"/>
      <c r="Q620" s="363"/>
      <c r="R620" s="340"/>
      <c r="S620" s="342"/>
      <c r="T620" s="342"/>
      <c r="U620" s="342"/>
      <c r="V620" s="340"/>
      <c r="W620" s="340"/>
      <c r="X620"/>
      <c r="Y620"/>
    </row>
    <row r="621" spans="2:25" ht="16">
      <c r="B621" s="67"/>
      <c r="H621" s="347">
        <v>43649</v>
      </c>
      <c r="I621" s="347"/>
      <c r="J621" s="345"/>
      <c r="K621" s="703"/>
      <c r="L621" s="342"/>
      <c r="M621" s="342"/>
      <c r="N621" s="340"/>
      <c r="O621" s="703"/>
      <c r="P621" s="342"/>
      <c r="Q621" s="363"/>
      <c r="R621" s="340"/>
      <c r="S621" s="342"/>
      <c r="T621" s="342"/>
      <c r="U621" s="342"/>
      <c r="V621" s="340"/>
      <c r="W621" s="340"/>
      <c r="X621"/>
      <c r="Y621"/>
    </row>
    <row r="622" spans="2:25" ht="16">
      <c r="B622" s="67"/>
      <c r="I622" s="3" t="s">
        <v>59</v>
      </c>
      <c r="J622" s="345">
        <v>14742</v>
      </c>
      <c r="K622" s="703">
        <v>11619659.289999999</v>
      </c>
      <c r="L622" s="342">
        <v>1</v>
      </c>
      <c r="M622" s="342">
        <v>19.9268</v>
      </c>
      <c r="N622" s="340">
        <v>231542626.739972</v>
      </c>
      <c r="O622" s="703">
        <v>12123097.997728981</v>
      </c>
      <c r="P622" s="342">
        <v>1</v>
      </c>
      <c r="Q622" s="363">
        <v>19.076000000000001</v>
      </c>
      <c r="R622" s="340">
        <v>231260217.40467805</v>
      </c>
      <c r="S622" s="342">
        <v>103.687</v>
      </c>
      <c r="T622" s="342">
        <v>122.94799999999999</v>
      </c>
      <c r="U622" s="342">
        <v>1.1857</v>
      </c>
      <c r="V622" s="340">
        <v>274205239.77672678</v>
      </c>
      <c r="W622" s="340">
        <v>-42662613.036754787</v>
      </c>
      <c r="X622"/>
      <c r="Y622"/>
    </row>
    <row r="623" spans="2:25" ht="16">
      <c r="J623" s="345"/>
      <c r="K623" s="703"/>
      <c r="L623" s="342"/>
      <c r="M623" s="342"/>
      <c r="N623" s="340"/>
      <c r="O623" s="703"/>
      <c r="P623" s="342"/>
      <c r="Q623" s="363"/>
      <c r="R623" s="340"/>
      <c r="S623" s="342"/>
      <c r="T623" s="342"/>
      <c r="U623" s="342"/>
      <c r="V623" s="340"/>
      <c r="W623" s="340"/>
      <c r="X623"/>
      <c r="Y623"/>
    </row>
    <row r="624" spans="2:25" ht="16">
      <c r="B624" s="67"/>
      <c r="E624" s="131" t="s">
        <v>1084</v>
      </c>
      <c r="F624" s="131"/>
      <c r="G624" s="131"/>
      <c r="H624" s="131"/>
      <c r="I624" s="131"/>
      <c r="J624" s="704">
        <v>14742</v>
      </c>
      <c r="K624" s="705">
        <v>11619659.289999999</v>
      </c>
      <c r="L624" s="369">
        <v>1</v>
      </c>
      <c r="M624" s="377">
        <v>19.9268</v>
      </c>
      <c r="N624" s="706">
        <v>231542626.739972</v>
      </c>
      <c r="O624" s="705">
        <v>12123097.997728981</v>
      </c>
      <c r="P624" s="369">
        <v>1</v>
      </c>
      <c r="Q624" s="377">
        <v>19.076000000000001</v>
      </c>
      <c r="R624" s="706">
        <v>231260217.40467805</v>
      </c>
      <c r="S624" s="369">
        <v>103.687</v>
      </c>
      <c r="T624" s="369">
        <v>122.94799999999999</v>
      </c>
      <c r="U624" s="369">
        <v>1.1857</v>
      </c>
      <c r="V624" s="706">
        <v>274205239.77672678</v>
      </c>
      <c r="W624" s="706">
        <v>-42662613.036754787</v>
      </c>
      <c r="X624"/>
      <c r="Y624"/>
    </row>
    <row r="625" spans="2:25" ht="16">
      <c r="J625" s="345"/>
      <c r="K625" s="703"/>
      <c r="L625" s="342"/>
      <c r="M625" s="342"/>
      <c r="N625" s="340"/>
      <c r="O625" s="703"/>
      <c r="P625" s="342"/>
      <c r="Q625" s="363"/>
      <c r="R625" s="340"/>
      <c r="S625" s="342"/>
      <c r="T625" s="342"/>
      <c r="U625" s="342"/>
      <c r="V625" s="340"/>
      <c r="W625" s="340"/>
      <c r="X625"/>
      <c r="Y625"/>
    </row>
    <row r="626" spans="2:25" ht="16">
      <c r="B626" s="67"/>
      <c r="E626" s="1" t="s">
        <v>863</v>
      </c>
      <c r="J626" s="345"/>
      <c r="K626" s="703"/>
      <c r="L626" s="342"/>
      <c r="M626" s="342"/>
      <c r="N626" s="340"/>
      <c r="O626" s="703"/>
      <c r="P626" s="342"/>
      <c r="Q626" s="363"/>
      <c r="R626" s="340"/>
      <c r="S626" s="342"/>
      <c r="T626" s="342"/>
      <c r="U626" s="342"/>
      <c r="V626" s="340"/>
      <c r="W626" s="340"/>
      <c r="X626"/>
      <c r="Y626"/>
    </row>
    <row r="627" spans="2:25" ht="16">
      <c r="B627" s="67"/>
      <c r="F627" s="346">
        <v>44635</v>
      </c>
      <c r="G627" s="346"/>
      <c r="H627" s="346"/>
      <c r="I627" s="346"/>
      <c r="J627" s="345"/>
      <c r="K627" s="703"/>
      <c r="L627" s="342"/>
      <c r="M627" s="342"/>
      <c r="N627" s="340"/>
      <c r="O627" s="703"/>
      <c r="P627" s="342"/>
      <c r="Q627" s="363"/>
      <c r="R627" s="340"/>
      <c r="S627" s="342"/>
      <c r="T627" s="342"/>
      <c r="U627" s="342"/>
      <c r="V627" s="340"/>
      <c r="W627" s="340"/>
      <c r="X627"/>
      <c r="Y627"/>
    </row>
    <row r="628" spans="2:25" ht="16">
      <c r="B628" s="67"/>
      <c r="G628" s="3" t="s">
        <v>60</v>
      </c>
      <c r="H628" s="3"/>
      <c r="I628" s="3"/>
      <c r="J628" s="345"/>
      <c r="K628" s="703"/>
      <c r="L628" s="342"/>
      <c r="M628" s="342"/>
      <c r="N628" s="340"/>
      <c r="O628" s="703"/>
      <c r="P628" s="342"/>
      <c r="Q628" s="363"/>
      <c r="R628" s="340"/>
      <c r="S628" s="342"/>
      <c r="T628" s="342"/>
      <c r="U628" s="342"/>
      <c r="V628" s="340"/>
      <c r="W628" s="340"/>
      <c r="X628"/>
      <c r="Y628"/>
    </row>
    <row r="629" spans="2:25" ht="16">
      <c r="B629" s="67"/>
      <c r="H629" s="347">
        <v>43649</v>
      </c>
      <c r="I629" s="347"/>
      <c r="J629" s="345"/>
      <c r="K629" s="703"/>
      <c r="L629" s="342"/>
      <c r="M629" s="342"/>
      <c r="N629" s="340"/>
      <c r="O629" s="703"/>
      <c r="P629" s="342"/>
      <c r="Q629" s="363"/>
      <c r="R629" s="340"/>
      <c r="S629" s="342"/>
      <c r="T629" s="342"/>
      <c r="U629" s="342"/>
      <c r="V629" s="340"/>
      <c r="W629" s="340"/>
      <c r="X629"/>
      <c r="Y629"/>
    </row>
    <row r="630" spans="2:25" ht="16">
      <c r="B630" s="67"/>
      <c r="I630" s="3" t="s">
        <v>60</v>
      </c>
      <c r="J630" s="345">
        <v>2549</v>
      </c>
      <c r="K630" s="703">
        <v>3150876.61</v>
      </c>
      <c r="L630" s="342">
        <v>4.7688309210996926E-2</v>
      </c>
      <c r="M630" s="342">
        <v>20.9695</v>
      </c>
      <c r="N630" s="340">
        <v>3150876.61</v>
      </c>
      <c r="O630" s="703">
        <v>2705560.7150884005</v>
      </c>
      <c r="P630" s="342">
        <v>5.2421891381841057E-2</v>
      </c>
      <c r="Q630" s="363">
        <v>19.076000000000001</v>
      </c>
      <c r="R630" s="340">
        <v>2705560.7150884005</v>
      </c>
      <c r="S630" s="342">
        <v>103.687</v>
      </c>
      <c r="T630" s="342">
        <v>118.98099999999999</v>
      </c>
      <c r="U630" s="342">
        <v>1.1475</v>
      </c>
      <c r="V630" s="340">
        <v>3104630.9205639395</v>
      </c>
      <c r="W630" s="340">
        <v>46245.689436059911</v>
      </c>
      <c r="X630"/>
      <c r="Y630"/>
    </row>
    <row r="631" spans="2:25" ht="16">
      <c r="J631" s="345"/>
      <c r="K631" s="703"/>
      <c r="L631" s="342"/>
      <c r="M631" s="342"/>
      <c r="N631" s="340"/>
      <c r="O631" s="703"/>
      <c r="P631" s="342"/>
      <c r="Q631" s="363"/>
      <c r="R631" s="340"/>
      <c r="S631" s="342"/>
      <c r="T631" s="342"/>
      <c r="U631" s="342"/>
      <c r="V631" s="340"/>
      <c r="W631" s="340"/>
      <c r="X631"/>
      <c r="Y631"/>
    </row>
    <row r="632" spans="2:25" ht="16">
      <c r="B632" s="67"/>
      <c r="F632" s="346">
        <v>44803</v>
      </c>
      <c r="G632" s="346"/>
      <c r="H632" s="346"/>
      <c r="I632" s="346"/>
      <c r="J632" s="345"/>
      <c r="K632" s="703"/>
      <c r="L632" s="342"/>
      <c r="M632" s="342"/>
      <c r="N632" s="340"/>
      <c r="O632" s="703"/>
      <c r="P632" s="342"/>
      <c r="Q632" s="363"/>
      <c r="R632" s="340"/>
      <c r="S632" s="342"/>
      <c r="T632" s="342"/>
      <c r="U632" s="342"/>
      <c r="V632" s="340"/>
      <c r="W632" s="340"/>
      <c r="X632"/>
      <c r="Y632"/>
    </row>
    <row r="633" spans="2:25" ht="16">
      <c r="B633" s="67"/>
      <c r="G633" s="3" t="s">
        <v>59</v>
      </c>
      <c r="H633" s="3"/>
      <c r="I633" s="3"/>
      <c r="J633" s="345"/>
      <c r="K633" s="703"/>
      <c r="L633" s="342"/>
      <c r="M633" s="342"/>
      <c r="N633" s="340"/>
      <c r="O633" s="703"/>
      <c r="P633" s="342"/>
      <c r="Q633" s="363"/>
      <c r="R633" s="340"/>
      <c r="S633" s="342"/>
      <c r="T633" s="342"/>
      <c r="U633" s="342"/>
      <c r="V633" s="340"/>
      <c r="W633" s="340"/>
      <c r="X633"/>
      <c r="Y633"/>
    </row>
    <row r="634" spans="2:25" ht="16">
      <c r="B634" s="67"/>
      <c r="H634" s="347">
        <v>43649</v>
      </c>
      <c r="I634" s="347"/>
      <c r="J634" s="345"/>
      <c r="K634" s="703"/>
      <c r="L634" s="342"/>
      <c r="M634" s="342"/>
      <c r="N634" s="340"/>
      <c r="O634" s="703"/>
      <c r="P634" s="342"/>
      <c r="Q634" s="363"/>
      <c r="R634" s="340"/>
      <c r="S634" s="342"/>
      <c r="T634" s="342"/>
      <c r="U634" s="342"/>
      <c r="V634" s="340"/>
      <c r="W634" s="340"/>
      <c r="X634"/>
      <c r="Y634"/>
    </row>
    <row r="635" spans="2:25" ht="16">
      <c r="B635" s="67"/>
      <c r="I635" s="3" t="s">
        <v>59</v>
      </c>
      <c r="J635" s="345">
        <v>2343</v>
      </c>
      <c r="K635" s="703">
        <v>2533550.54</v>
      </c>
      <c r="L635" s="342">
        <v>1</v>
      </c>
      <c r="M635" s="342">
        <v>19.9268</v>
      </c>
      <c r="N635" s="340">
        <v>50485554.900472</v>
      </c>
      <c r="O635" s="703">
        <v>2486908.1033550892</v>
      </c>
      <c r="P635" s="342">
        <v>1</v>
      </c>
      <c r="Q635" s="363">
        <v>19.076000000000001</v>
      </c>
      <c r="R635" s="340">
        <v>47440258.979601681</v>
      </c>
      <c r="S635" s="342">
        <v>103.687</v>
      </c>
      <c r="T635" s="342">
        <v>122.94799999999999</v>
      </c>
      <c r="U635" s="342">
        <v>1.1857</v>
      </c>
      <c r="V635" s="340">
        <v>56249915.072113715</v>
      </c>
      <c r="W635" s="340">
        <v>-5764360.1716417149</v>
      </c>
      <c r="X635"/>
      <c r="Y635"/>
    </row>
    <row r="636" spans="2:25" ht="16">
      <c r="J636" s="345"/>
      <c r="K636" s="703"/>
      <c r="L636" s="342"/>
      <c r="M636" s="342"/>
      <c r="N636" s="340"/>
      <c r="O636" s="703"/>
      <c r="P636" s="342"/>
      <c r="Q636" s="363"/>
      <c r="R636" s="340"/>
      <c r="S636" s="342"/>
      <c r="T636" s="342"/>
      <c r="U636" s="342"/>
      <c r="V636" s="340"/>
      <c r="W636" s="340"/>
      <c r="X636"/>
      <c r="Y636"/>
    </row>
    <row r="637" spans="2:25" ht="16">
      <c r="B637" s="67"/>
      <c r="E637" s="131" t="s">
        <v>1085</v>
      </c>
      <c r="F637" s="131"/>
      <c r="G637" s="131"/>
      <c r="H637" s="131"/>
      <c r="I637" s="131"/>
      <c r="J637" s="704">
        <v>4892</v>
      </c>
      <c r="K637" s="705">
        <v>5684427.1500000004</v>
      </c>
      <c r="L637" s="369">
        <v>0.52384415460549849</v>
      </c>
      <c r="M637" s="377">
        <v>20.448149999999998</v>
      </c>
      <c r="N637" s="706">
        <v>53636431.510472</v>
      </c>
      <c r="O637" s="705">
        <v>5192468.8184434902</v>
      </c>
      <c r="P637" s="369">
        <v>0.52621094569092053</v>
      </c>
      <c r="Q637" s="377">
        <v>19.076000000000001</v>
      </c>
      <c r="R637" s="706">
        <v>50145819.694690078</v>
      </c>
      <c r="S637" s="369">
        <v>103.687</v>
      </c>
      <c r="T637" s="369">
        <v>120.96449999999999</v>
      </c>
      <c r="U637" s="369">
        <v>1.1665999999999999</v>
      </c>
      <c r="V637" s="706">
        <v>59354545.992677651</v>
      </c>
      <c r="W637" s="706">
        <v>-5718114.4822056554</v>
      </c>
      <c r="X637"/>
      <c r="Y637"/>
    </row>
    <row r="638" spans="2:25" ht="16">
      <c r="J638" s="345"/>
      <c r="K638" s="703"/>
      <c r="L638" s="342"/>
      <c r="M638" s="342"/>
      <c r="N638" s="340"/>
      <c r="O638" s="703"/>
      <c r="P638" s="342"/>
      <c r="Q638" s="363"/>
      <c r="R638" s="340"/>
      <c r="S638" s="342"/>
      <c r="T638" s="342"/>
      <c r="U638" s="342"/>
      <c r="V638" s="340"/>
      <c r="W638" s="340"/>
      <c r="X638"/>
      <c r="Y638"/>
    </row>
    <row r="639" spans="2:25" ht="16">
      <c r="B639" s="67"/>
      <c r="E639" s="1" t="s">
        <v>705</v>
      </c>
      <c r="J639" s="345"/>
      <c r="K639" s="703"/>
      <c r="L639" s="342"/>
      <c r="M639" s="342"/>
      <c r="N639" s="340"/>
      <c r="O639" s="703"/>
      <c r="P639" s="342"/>
      <c r="Q639" s="363"/>
      <c r="R639" s="340"/>
      <c r="S639" s="342"/>
      <c r="T639" s="342"/>
      <c r="U639" s="342"/>
      <c r="V639" s="340"/>
      <c r="W639" s="340"/>
      <c r="X639"/>
      <c r="Y639"/>
    </row>
    <row r="640" spans="2:25" ht="16">
      <c r="B640" s="67"/>
      <c r="F640" s="346">
        <v>44601</v>
      </c>
      <c r="G640" s="346"/>
      <c r="H640" s="346"/>
      <c r="I640" s="346"/>
      <c r="J640" s="345"/>
      <c r="K640" s="703"/>
      <c r="L640" s="342"/>
      <c r="M640" s="342"/>
      <c r="N640" s="340"/>
      <c r="O640" s="703"/>
      <c r="P640" s="342"/>
      <c r="Q640" s="363"/>
      <c r="R640" s="340"/>
      <c r="S640" s="342"/>
      <c r="T640" s="342"/>
      <c r="U640" s="342"/>
      <c r="V640" s="340"/>
      <c r="W640" s="340"/>
      <c r="X640"/>
      <c r="Y640"/>
    </row>
    <row r="641" spans="2:25" ht="16">
      <c r="B641" s="67"/>
      <c r="G641" s="3" t="s">
        <v>60</v>
      </c>
      <c r="H641" s="3"/>
      <c r="I641" s="3"/>
      <c r="J641" s="345"/>
      <c r="K641" s="703"/>
      <c r="L641" s="342"/>
      <c r="M641" s="342"/>
      <c r="N641" s="340"/>
      <c r="O641" s="703"/>
      <c r="P641" s="342"/>
      <c r="Q641" s="363"/>
      <c r="R641" s="340"/>
      <c r="S641" s="342"/>
      <c r="T641" s="342"/>
      <c r="U641" s="342"/>
      <c r="V641" s="340"/>
      <c r="W641" s="340"/>
      <c r="X641"/>
      <c r="Y641"/>
    </row>
    <row r="642" spans="2:25" ht="16">
      <c r="B642" s="67"/>
      <c r="H642" s="347">
        <v>43649</v>
      </c>
      <c r="I642" s="347"/>
      <c r="J642" s="345"/>
      <c r="K642" s="703"/>
      <c r="L642" s="342"/>
      <c r="M642" s="342"/>
      <c r="N642" s="340"/>
      <c r="O642" s="703"/>
      <c r="P642" s="342"/>
      <c r="Q642" s="363"/>
      <c r="R642" s="340"/>
      <c r="S642" s="342"/>
      <c r="T642" s="342"/>
      <c r="U642" s="342"/>
      <c r="V642" s="340"/>
      <c r="W642" s="340"/>
      <c r="X642"/>
      <c r="Y642"/>
    </row>
    <row r="643" spans="2:25" ht="16">
      <c r="B643" s="67"/>
      <c r="I643" s="3" t="s">
        <v>60</v>
      </c>
      <c r="J643" s="345">
        <v>1610</v>
      </c>
      <c r="K643" s="703">
        <v>15034619.740000002</v>
      </c>
      <c r="L643" s="342">
        <v>4.8233449897503916E-2</v>
      </c>
      <c r="M643" s="342">
        <v>20.732500000000002</v>
      </c>
      <c r="N643" s="340">
        <v>15034619.740000004</v>
      </c>
      <c r="O643" s="703">
        <v>9138950.4919166341</v>
      </c>
      <c r="P643" s="342">
        <v>5.2421891381841057E-2</v>
      </c>
      <c r="Q643" s="363">
        <v>19.076000000000001</v>
      </c>
      <c r="R643" s="340">
        <v>9138950.4919166341</v>
      </c>
      <c r="S643" s="342">
        <v>103.687</v>
      </c>
      <c r="T643" s="342">
        <v>118.002</v>
      </c>
      <c r="U643" s="342">
        <v>1.1379999999999999</v>
      </c>
      <c r="V643" s="340">
        <v>10400125.659801129</v>
      </c>
      <c r="W643" s="340">
        <v>4634494.0801988747</v>
      </c>
      <c r="X643"/>
      <c r="Y643"/>
    </row>
    <row r="644" spans="2:25" ht="16">
      <c r="J644" s="345"/>
      <c r="K644" s="703"/>
      <c r="L644" s="342"/>
      <c r="M644" s="342"/>
      <c r="N644" s="340"/>
      <c r="O644" s="703"/>
      <c r="P644" s="342"/>
      <c r="Q644" s="363"/>
      <c r="R644" s="340"/>
      <c r="S644" s="342"/>
      <c r="T644" s="342"/>
      <c r="U644" s="342"/>
      <c r="V644" s="340"/>
      <c r="W644" s="340"/>
      <c r="X644"/>
      <c r="Y644"/>
    </row>
    <row r="645" spans="2:25" ht="16">
      <c r="B645" s="67"/>
      <c r="F645" s="346">
        <v>44635</v>
      </c>
      <c r="G645" s="346"/>
      <c r="H645" s="346"/>
      <c r="I645" s="346"/>
      <c r="J645" s="345"/>
      <c r="K645" s="703"/>
      <c r="L645" s="342"/>
      <c r="M645" s="342"/>
      <c r="N645" s="340"/>
      <c r="O645" s="703"/>
      <c r="P645" s="342"/>
      <c r="Q645" s="363"/>
      <c r="R645" s="340"/>
      <c r="S645" s="342"/>
      <c r="T645" s="342"/>
      <c r="U645" s="342"/>
      <c r="V645" s="340"/>
      <c r="W645" s="340"/>
      <c r="X645"/>
      <c r="Y645"/>
    </row>
    <row r="646" spans="2:25" ht="16">
      <c r="B646" s="67"/>
      <c r="G646" s="3" t="s">
        <v>60</v>
      </c>
      <c r="H646" s="3"/>
      <c r="I646" s="3"/>
      <c r="J646" s="345"/>
      <c r="K646" s="703"/>
      <c r="L646" s="342"/>
      <c r="M646" s="342"/>
      <c r="N646" s="340"/>
      <c r="O646" s="703"/>
      <c r="P646" s="342"/>
      <c r="Q646" s="363"/>
      <c r="R646" s="340"/>
      <c r="S646" s="342"/>
      <c r="T646" s="342"/>
      <c r="U646" s="342"/>
      <c r="V646" s="340"/>
      <c r="W646" s="340"/>
      <c r="X646"/>
      <c r="Y646"/>
    </row>
    <row r="647" spans="2:25" ht="16">
      <c r="B647" s="67"/>
      <c r="H647" s="347">
        <v>43649</v>
      </c>
      <c r="I647" s="347"/>
      <c r="J647" s="345"/>
      <c r="K647" s="703"/>
      <c r="L647" s="342"/>
      <c r="M647" s="342"/>
      <c r="N647" s="340"/>
      <c r="O647" s="703"/>
      <c r="P647" s="342"/>
      <c r="Q647" s="363"/>
      <c r="R647" s="340"/>
      <c r="S647" s="342"/>
      <c r="T647" s="342"/>
      <c r="U647" s="342"/>
      <c r="V647" s="340"/>
      <c r="W647" s="340"/>
      <c r="X647"/>
      <c r="Y647"/>
    </row>
    <row r="648" spans="2:25" ht="16">
      <c r="B648" s="67"/>
      <c r="I648" s="3" t="s">
        <v>60</v>
      </c>
      <c r="J648" s="345">
        <v>354</v>
      </c>
      <c r="K648" s="703">
        <v>3118054.35</v>
      </c>
      <c r="L648" s="342">
        <v>4.7688309210996926E-2</v>
      </c>
      <c r="M648" s="342">
        <v>20.9695</v>
      </c>
      <c r="N648" s="340">
        <v>3118054.3500000006</v>
      </c>
      <c r="O648" s="703">
        <v>2009433.8348686264</v>
      </c>
      <c r="P648" s="342">
        <v>5.2421891381841057E-2</v>
      </c>
      <c r="Q648" s="363">
        <v>19.076000000000001</v>
      </c>
      <c r="R648" s="340">
        <v>2009433.8348686264</v>
      </c>
      <c r="S648" s="342">
        <v>103.687</v>
      </c>
      <c r="T648" s="342">
        <v>118.98099999999999</v>
      </c>
      <c r="U648" s="342">
        <v>1.1475</v>
      </c>
      <c r="V648" s="340">
        <v>2305825.3255117489</v>
      </c>
      <c r="W648" s="340">
        <v>812229.02448825166</v>
      </c>
      <c r="X648"/>
      <c r="Y648"/>
    </row>
    <row r="649" spans="2:25" ht="16">
      <c r="J649" s="345"/>
      <c r="K649" s="703"/>
      <c r="L649" s="342"/>
      <c r="M649" s="342"/>
      <c r="N649" s="340"/>
      <c r="O649" s="703"/>
      <c r="P649" s="342"/>
      <c r="Q649" s="363"/>
      <c r="R649" s="340"/>
      <c r="S649" s="342"/>
      <c r="T649" s="342"/>
      <c r="U649" s="342"/>
      <c r="V649" s="340"/>
      <c r="W649" s="340"/>
      <c r="X649"/>
      <c r="Y649"/>
    </row>
    <row r="650" spans="2:25" ht="16">
      <c r="B650" s="67"/>
      <c r="F650" s="346">
        <v>44803</v>
      </c>
      <c r="G650" s="346"/>
      <c r="H650" s="346"/>
      <c r="I650" s="346"/>
      <c r="J650" s="345"/>
      <c r="K650" s="703"/>
      <c r="L650" s="342"/>
      <c r="M650" s="342"/>
      <c r="N650" s="340"/>
      <c r="O650" s="703"/>
      <c r="P650" s="342"/>
      <c r="Q650" s="363"/>
      <c r="R650" s="340"/>
      <c r="S650" s="342"/>
      <c r="T650" s="342"/>
      <c r="U650" s="342"/>
      <c r="V650" s="340"/>
      <c r="W650" s="340"/>
      <c r="X650"/>
      <c r="Y650"/>
    </row>
    <row r="651" spans="2:25" ht="16">
      <c r="B651" s="67"/>
      <c r="G651" s="3" t="s">
        <v>59</v>
      </c>
      <c r="H651" s="3"/>
      <c r="I651" s="3"/>
      <c r="J651" s="345"/>
      <c r="K651" s="703"/>
      <c r="L651" s="342"/>
      <c r="M651" s="342"/>
      <c r="N651" s="340"/>
      <c r="O651" s="703"/>
      <c r="P651" s="342"/>
      <c r="Q651" s="363"/>
      <c r="R651" s="340"/>
      <c r="S651" s="342"/>
      <c r="T651" s="342"/>
      <c r="U651" s="342"/>
      <c r="V651" s="340"/>
      <c r="W651" s="340"/>
      <c r="X651"/>
      <c r="Y651"/>
    </row>
    <row r="652" spans="2:25" ht="16">
      <c r="B652" s="67"/>
      <c r="H652" s="347">
        <v>43649</v>
      </c>
      <c r="I652" s="347"/>
      <c r="J652" s="345"/>
      <c r="K652" s="703"/>
      <c r="L652" s="342"/>
      <c r="M652" s="342"/>
      <c r="N652" s="340"/>
      <c r="O652" s="703"/>
      <c r="P652" s="342"/>
      <c r="Q652" s="363"/>
      <c r="R652" s="340"/>
      <c r="S652" s="342"/>
      <c r="T652" s="342"/>
      <c r="U652" s="342"/>
      <c r="V652" s="340"/>
      <c r="W652" s="340"/>
      <c r="X652"/>
      <c r="Y652"/>
    </row>
    <row r="653" spans="2:25" ht="16">
      <c r="B653" s="67"/>
      <c r="I653" s="3" t="s">
        <v>59</v>
      </c>
      <c r="J653" s="345">
        <v>2316</v>
      </c>
      <c r="K653" s="703">
        <v>18505076</v>
      </c>
      <c r="L653" s="342">
        <v>1</v>
      </c>
      <c r="M653" s="342">
        <v>19.9268</v>
      </c>
      <c r="N653" s="340">
        <v>368746948.4368</v>
      </c>
      <c r="O653" s="703">
        <v>13146465.428123556</v>
      </c>
      <c r="P653" s="342">
        <v>1</v>
      </c>
      <c r="Q653" s="363">
        <v>19.076000000000001</v>
      </c>
      <c r="R653" s="340">
        <v>250781974.50688496</v>
      </c>
      <c r="S653" s="342">
        <v>103.687</v>
      </c>
      <c r="T653" s="342">
        <v>122.94799999999999</v>
      </c>
      <c r="U653" s="342">
        <v>1.1857</v>
      </c>
      <c r="V653" s="340">
        <v>297352187.17281348</v>
      </c>
      <c r="W653" s="340">
        <v>71394761.263986528</v>
      </c>
      <c r="X653"/>
      <c r="Y653"/>
    </row>
    <row r="654" spans="2:25" ht="16">
      <c r="J654" s="345"/>
      <c r="K654" s="703"/>
      <c r="L654" s="342"/>
      <c r="M654" s="342"/>
      <c r="N654" s="340"/>
      <c r="O654" s="703"/>
      <c r="P654" s="342"/>
      <c r="Q654" s="363"/>
      <c r="R654" s="340"/>
      <c r="S654" s="342"/>
      <c r="T654" s="342"/>
      <c r="U654" s="342"/>
      <c r="V654" s="340"/>
      <c r="W654" s="340"/>
      <c r="X654"/>
      <c r="Y654"/>
    </row>
    <row r="655" spans="2:25" ht="16">
      <c r="B655" s="67"/>
      <c r="E655" s="131" t="s">
        <v>1086</v>
      </c>
      <c r="F655" s="131"/>
      <c r="G655" s="131"/>
      <c r="H655" s="131"/>
      <c r="I655" s="131"/>
      <c r="J655" s="704">
        <v>4280</v>
      </c>
      <c r="K655" s="705">
        <v>36657750.090000004</v>
      </c>
      <c r="L655" s="369">
        <v>0.36530725303616696</v>
      </c>
      <c r="M655" s="377">
        <v>20.542933333333334</v>
      </c>
      <c r="N655" s="706">
        <v>386899622.52680004</v>
      </c>
      <c r="O655" s="705">
        <v>24294849.754908815</v>
      </c>
      <c r="P655" s="369">
        <v>0.36828126092122737</v>
      </c>
      <c r="Q655" s="377">
        <v>19.076000000000001</v>
      </c>
      <c r="R655" s="706">
        <v>261930358.83367023</v>
      </c>
      <c r="S655" s="369">
        <v>103.687</v>
      </c>
      <c r="T655" s="369">
        <v>119.97699999999999</v>
      </c>
      <c r="U655" s="369">
        <v>1.1570666666666665</v>
      </c>
      <c r="V655" s="706">
        <v>310058138.15812635</v>
      </c>
      <c r="W655" s="706">
        <v>76841484.368673652</v>
      </c>
      <c r="X655"/>
      <c r="Y655"/>
    </row>
    <row r="656" spans="2:25" ht="16">
      <c r="J656" s="345"/>
      <c r="K656" s="703"/>
      <c r="L656" s="342"/>
      <c r="M656" s="342"/>
      <c r="N656" s="340"/>
      <c r="O656" s="703"/>
      <c r="P656" s="342"/>
      <c r="Q656" s="363"/>
      <c r="R656" s="340"/>
      <c r="S656" s="342"/>
      <c r="T656" s="342"/>
      <c r="U656" s="342"/>
      <c r="V656" s="340"/>
      <c r="W656" s="340"/>
      <c r="X656"/>
      <c r="Y656"/>
    </row>
    <row r="657" spans="2:25" ht="16">
      <c r="B657" s="67"/>
      <c r="E657" s="1" t="s">
        <v>945</v>
      </c>
      <c r="J657" s="345"/>
      <c r="K657" s="703"/>
      <c r="L657" s="342"/>
      <c r="M657" s="342"/>
      <c r="N657" s="340"/>
      <c r="O657" s="703"/>
      <c r="P657" s="342"/>
      <c r="Q657" s="363"/>
      <c r="R657" s="340"/>
      <c r="S657" s="342"/>
      <c r="T657" s="342"/>
      <c r="U657" s="342"/>
      <c r="V657" s="340"/>
      <c r="W657" s="340"/>
      <c r="X657"/>
      <c r="Y657"/>
    </row>
    <row r="658" spans="2:25" ht="16">
      <c r="B658" s="67"/>
      <c r="F658" s="346">
        <v>44764</v>
      </c>
      <c r="G658" s="346"/>
      <c r="H658" s="346"/>
      <c r="I658" s="346"/>
      <c r="J658" s="345"/>
      <c r="K658" s="703"/>
      <c r="L658" s="342"/>
      <c r="M658" s="342"/>
      <c r="N658" s="340"/>
      <c r="O658" s="703"/>
      <c r="P658" s="342"/>
      <c r="Q658" s="363"/>
      <c r="R658" s="340"/>
      <c r="S658" s="342"/>
      <c r="T658" s="342"/>
      <c r="U658" s="342"/>
      <c r="V658" s="340"/>
      <c r="W658" s="340"/>
      <c r="X658"/>
      <c r="Y658"/>
    </row>
    <row r="659" spans="2:25" ht="16">
      <c r="B659" s="67"/>
      <c r="G659" s="3" t="s">
        <v>60</v>
      </c>
      <c r="H659" s="3"/>
      <c r="I659" s="3"/>
      <c r="J659" s="345"/>
      <c r="K659" s="703"/>
      <c r="L659" s="342"/>
      <c r="M659" s="342"/>
      <c r="N659" s="340"/>
      <c r="O659" s="703"/>
      <c r="P659" s="342"/>
      <c r="Q659" s="363"/>
      <c r="R659" s="340"/>
      <c r="S659" s="342"/>
      <c r="T659" s="342"/>
      <c r="U659" s="342"/>
      <c r="V659" s="340"/>
      <c r="W659" s="340"/>
      <c r="X659"/>
      <c r="Y659"/>
    </row>
    <row r="660" spans="2:25" ht="16">
      <c r="B660" s="67"/>
      <c r="H660" s="347">
        <v>44635</v>
      </c>
      <c r="I660" s="347"/>
      <c r="J660" s="345"/>
      <c r="K660" s="703"/>
      <c r="L660" s="342"/>
      <c r="M660" s="342"/>
      <c r="N660" s="340"/>
      <c r="O660" s="703"/>
      <c r="P660" s="342"/>
      <c r="Q660" s="363"/>
      <c r="R660" s="340"/>
      <c r="S660" s="342"/>
      <c r="T660" s="342"/>
      <c r="U660" s="342"/>
      <c r="V660" s="340"/>
      <c r="W660" s="340"/>
      <c r="X660"/>
      <c r="Y660"/>
    </row>
    <row r="661" spans="2:25" ht="16">
      <c r="B661" s="67"/>
      <c r="I661" s="3" t="s">
        <v>60</v>
      </c>
      <c r="J661" s="345">
        <v>2227</v>
      </c>
      <c r="K661" s="703">
        <v>9699832.3000000007</v>
      </c>
      <c r="L661" s="342">
        <v>4.8801198557436573E-2</v>
      </c>
      <c r="M661" s="342">
        <v>20.491299999999999</v>
      </c>
      <c r="N661" s="340">
        <v>9699832.3000000007</v>
      </c>
      <c r="O661" s="703">
        <v>12242112.16</v>
      </c>
      <c r="P661" s="342">
        <v>4.7688309210996926E-2</v>
      </c>
      <c r="Q661" s="363">
        <v>20.9695</v>
      </c>
      <c r="R661" s="340">
        <v>12242112.16</v>
      </c>
      <c r="S661" s="342">
        <v>120.15900000000001</v>
      </c>
      <c r="T661" s="342">
        <v>122.044</v>
      </c>
      <c r="U661" s="342">
        <v>1.0156000000000001</v>
      </c>
      <c r="V661" s="340">
        <v>12433089.109696001</v>
      </c>
      <c r="W661" s="340">
        <v>-2733256.8096960001</v>
      </c>
      <c r="X661"/>
      <c r="Y661"/>
    </row>
    <row r="662" spans="2:25" ht="16">
      <c r="J662" s="345"/>
      <c r="K662" s="703"/>
      <c r="L662" s="342"/>
      <c r="M662" s="342"/>
      <c r="N662" s="340"/>
      <c r="O662" s="703"/>
      <c r="P662" s="342"/>
      <c r="Q662" s="363"/>
      <c r="R662" s="340"/>
      <c r="S662" s="342"/>
      <c r="T662" s="342"/>
      <c r="U662" s="342"/>
      <c r="V662" s="340"/>
      <c r="W662" s="340"/>
      <c r="X662"/>
      <c r="Y662"/>
    </row>
    <row r="663" spans="2:25" ht="16">
      <c r="B663" s="67"/>
      <c r="E663" s="131" t="s">
        <v>1087</v>
      </c>
      <c r="F663" s="131"/>
      <c r="G663" s="131"/>
      <c r="H663" s="131"/>
      <c r="I663" s="131"/>
      <c r="J663" s="704">
        <v>2227</v>
      </c>
      <c r="K663" s="705">
        <v>9699832.3000000007</v>
      </c>
      <c r="L663" s="369">
        <v>4.8801198557436573E-2</v>
      </c>
      <c r="M663" s="377">
        <v>20.491299999999999</v>
      </c>
      <c r="N663" s="706">
        <v>9699832.3000000007</v>
      </c>
      <c r="O663" s="705">
        <v>12242112.16</v>
      </c>
      <c r="P663" s="369">
        <v>4.7688309210996926E-2</v>
      </c>
      <c r="Q663" s="377">
        <v>20.9695</v>
      </c>
      <c r="R663" s="706">
        <v>12242112.16</v>
      </c>
      <c r="S663" s="369">
        <v>120.15900000000001</v>
      </c>
      <c r="T663" s="369">
        <v>122.044</v>
      </c>
      <c r="U663" s="369">
        <v>1.0156000000000001</v>
      </c>
      <c r="V663" s="706">
        <v>12433089.109696001</v>
      </c>
      <c r="W663" s="706">
        <v>-2733256.8096960001</v>
      </c>
      <c r="X663"/>
      <c r="Y663"/>
    </row>
    <row r="664" spans="2:25" ht="16">
      <c r="J664" s="345"/>
      <c r="K664" s="703"/>
      <c r="L664" s="342"/>
      <c r="M664" s="342"/>
      <c r="N664" s="340"/>
      <c r="O664" s="703"/>
      <c r="P664" s="342"/>
      <c r="Q664" s="363"/>
      <c r="R664" s="340"/>
      <c r="S664" s="342"/>
      <c r="T664" s="342"/>
      <c r="U664" s="342"/>
      <c r="V664" s="340"/>
      <c r="W664" s="340"/>
      <c r="X664"/>
      <c r="Y664"/>
    </row>
    <row r="665" spans="2:25" ht="16">
      <c r="B665" s="67"/>
      <c r="E665" s="1" t="s">
        <v>906</v>
      </c>
      <c r="J665" s="345"/>
      <c r="K665" s="703"/>
      <c r="L665" s="342"/>
      <c r="M665" s="342"/>
      <c r="N665" s="340"/>
      <c r="O665" s="703"/>
      <c r="P665" s="342"/>
      <c r="Q665" s="363"/>
      <c r="R665" s="340"/>
      <c r="S665" s="342"/>
      <c r="T665" s="342"/>
      <c r="U665" s="342"/>
      <c r="V665" s="340"/>
      <c r="W665" s="340"/>
      <c r="X665"/>
      <c r="Y665"/>
    </row>
    <row r="666" spans="2:25" ht="16">
      <c r="B666" s="67"/>
      <c r="F666" s="346">
        <v>44635</v>
      </c>
      <c r="G666" s="346"/>
      <c r="H666" s="346"/>
      <c r="I666" s="346"/>
      <c r="J666" s="345"/>
      <c r="K666" s="703"/>
      <c r="L666" s="342"/>
      <c r="M666" s="342"/>
      <c r="N666" s="340"/>
      <c r="O666" s="703"/>
      <c r="P666" s="342"/>
      <c r="Q666" s="363"/>
      <c r="R666" s="340"/>
      <c r="S666" s="342"/>
      <c r="T666" s="342"/>
      <c r="U666" s="342"/>
      <c r="V666" s="340"/>
      <c r="W666" s="340"/>
      <c r="X666"/>
      <c r="Y666"/>
    </row>
    <row r="667" spans="2:25" ht="16">
      <c r="B667" s="67"/>
      <c r="G667" s="3" t="s">
        <v>60</v>
      </c>
      <c r="H667" s="3"/>
      <c r="I667" s="3"/>
      <c r="J667" s="345"/>
      <c r="K667" s="703"/>
      <c r="L667" s="342"/>
      <c r="M667" s="342"/>
      <c r="N667" s="340"/>
      <c r="O667" s="703"/>
      <c r="P667" s="342"/>
      <c r="Q667" s="363"/>
      <c r="R667" s="340"/>
      <c r="S667" s="342"/>
      <c r="T667" s="342"/>
      <c r="U667" s="342"/>
      <c r="V667" s="340"/>
      <c r="W667" s="340"/>
      <c r="X667"/>
      <c r="Y667"/>
    </row>
    <row r="668" spans="2:25" ht="16">
      <c r="B668" s="67"/>
      <c r="H668" s="347">
        <v>44413</v>
      </c>
      <c r="I668" s="347"/>
      <c r="J668" s="345"/>
      <c r="K668" s="703"/>
      <c r="L668" s="342"/>
      <c r="M668" s="342"/>
      <c r="N668" s="340"/>
      <c r="O668" s="703"/>
      <c r="P668" s="342"/>
      <c r="Q668" s="363"/>
      <c r="R668" s="340"/>
      <c r="S668" s="342"/>
      <c r="T668" s="342"/>
      <c r="U668" s="342"/>
      <c r="V668" s="340"/>
      <c r="W668" s="340"/>
      <c r="X668"/>
      <c r="Y668"/>
    </row>
    <row r="669" spans="2:25" ht="16">
      <c r="B669" s="67"/>
      <c r="I669" s="3" t="s">
        <v>60</v>
      </c>
      <c r="J669" s="345">
        <v>1349</v>
      </c>
      <c r="K669" s="703">
        <v>2114626.14</v>
      </c>
      <c r="L669" s="342">
        <v>4.7688309210996926E-2</v>
      </c>
      <c r="M669" s="342">
        <v>20.9695</v>
      </c>
      <c r="N669" s="340">
        <v>2114626.1400000006</v>
      </c>
      <c r="O669" s="703">
        <v>2401298.6202153955</v>
      </c>
      <c r="P669" s="342">
        <v>5.0271465915946112E-2</v>
      </c>
      <c r="Q669" s="363">
        <v>19.891999999999999</v>
      </c>
      <c r="R669" s="340">
        <v>2401298.6202153955</v>
      </c>
      <c r="S669" s="342">
        <v>113.899</v>
      </c>
      <c r="T669" s="342">
        <v>118.98099999999999</v>
      </c>
      <c r="U669" s="342">
        <v>1.0446</v>
      </c>
      <c r="V669" s="340">
        <v>2508396.5386770018</v>
      </c>
      <c r="W669" s="340">
        <v>-393770.39867700124</v>
      </c>
      <c r="X669"/>
      <c r="Y669"/>
    </row>
    <row r="670" spans="2:25" ht="16">
      <c r="J670" s="345"/>
      <c r="K670" s="703"/>
      <c r="L670" s="342"/>
      <c r="M670" s="342"/>
      <c r="N670" s="340"/>
      <c r="O670" s="703"/>
      <c r="P670" s="342"/>
      <c r="Q670" s="363"/>
      <c r="R670" s="340"/>
      <c r="S670" s="342"/>
      <c r="T670" s="342"/>
      <c r="U670" s="342"/>
      <c r="V670" s="340"/>
      <c r="W670" s="340"/>
      <c r="X670"/>
      <c r="Y670"/>
    </row>
    <row r="671" spans="2:25" ht="16">
      <c r="B671" s="67"/>
      <c r="F671" s="346">
        <v>44803</v>
      </c>
      <c r="G671" s="346"/>
      <c r="H671" s="346"/>
      <c r="I671" s="346"/>
      <c r="J671" s="345"/>
      <c r="K671" s="703"/>
      <c r="L671" s="342"/>
      <c r="M671" s="342"/>
      <c r="N671" s="340"/>
      <c r="O671" s="703"/>
      <c r="P671" s="342"/>
      <c r="Q671" s="363"/>
      <c r="R671" s="340"/>
      <c r="S671" s="342"/>
      <c r="T671" s="342"/>
      <c r="U671" s="342"/>
      <c r="V671" s="340"/>
      <c r="W671" s="340"/>
      <c r="X671"/>
      <c r="Y671"/>
    </row>
    <row r="672" spans="2:25" ht="16">
      <c r="B672" s="67"/>
      <c r="G672" s="3" t="s">
        <v>59</v>
      </c>
      <c r="H672" s="3"/>
      <c r="I672" s="3"/>
      <c r="J672" s="345"/>
      <c r="K672" s="703"/>
      <c r="L672" s="342"/>
      <c r="M672" s="342"/>
      <c r="N672" s="340"/>
      <c r="O672" s="703"/>
      <c r="P672" s="342"/>
      <c r="Q672" s="363"/>
      <c r="R672" s="340"/>
      <c r="S672" s="342"/>
      <c r="T672" s="342"/>
      <c r="U672" s="342"/>
      <c r="V672" s="340"/>
      <c r="W672" s="340"/>
      <c r="X672"/>
      <c r="Y672"/>
    </row>
    <row r="673" spans="2:25" ht="16">
      <c r="B673" s="67"/>
      <c r="H673" s="347">
        <v>44413</v>
      </c>
      <c r="I673" s="347"/>
      <c r="J673" s="345"/>
      <c r="K673" s="703"/>
      <c r="L673" s="342"/>
      <c r="M673" s="342"/>
      <c r="N673" s="340"/>
      <c r="O673" s="703"/>
      <c r="P673" s="342"/>
      <c r="Q673" s="363"/>
      <c r="R673" s="340"/>
      <c r="S673" s="342"/>
      <c r="T673" s="342"/>
      <c r="U673" s="342"/>
      <c r="V673" s="340"/>
      <c r="W673" s="340"/>
      <c r="X673"/>
      <c r="Y673"/>
    </row>
    <row r="674" spans="2:25" ht="16">
      <c r="B674" s="67"/>
      <c r="I674" s="3" t="s">
        <v>59</v>
      </c>
      <c r="J674" s="345">
        <v>1224</v>
      </c>
      <c r="K674" s="703">
        <v>1668416.71</v>
      </c>
      <c r="L674" s="342">
        <v>1</v>
      </c>
      <c r="M674" s="342">
        <v>19.9268</v>
      </c>
      <c r="N674" s="340">
        <v>33246206.096827999</v>
      </c>
      <c r="O674" s="703">
        <v>2178791.3351694914</v>
      </c>
      <c r="P674" s="342">
        <v>1</v>
      </c>
      <c r="Q674" s="363">
        <v>19.891999999999999</v>
      </c>
      <c r="R674" s="340">
        <v>43340517.239191517</v>
      </c>
      <c r="S674" s="342">
        <v>113.899</v>
      </c>
      <c r="T674" s="342">
        <v>122.94799999999999</v>
      </c>
      <c r="U674" s="342">
        <v>1.0793999999999999</v>
      </c>
      <c r="V674" s="340">
        <v>46781754.307983316</v>
      </c>
      <c r="W674" s="340">
        <v>-13535548.211155318</v>
      </c>
      <c r="X674"/>
      <c r="Y674"/>
    </row>
    <row r="675" spans="2:25" ht="16">
      <c r="J675" s="345"/>
      <c r="K675" s="703"/>
      <c r="L675" s="342"/>
      <c r="M675" s="342"/>
      <c r="N675" s="340"/>
      <c r="O675" s="703"/>
      <c r="P675" s="342"/>
      <c r="Q675" s="363"/>
      <c r="R675" s="340"/>
      <c r="S675" s="342"/>
      <c r="T675" s="342"/>
      <c r="U675" s="342"/>
      <c r="V675" s="340"/>
      <c r="W675" s="340"/>
      <c r="X675"/>
      <c r="Y675"/>
    </row>
    <row r="676" spans="2:25" ht="16">
      <c r="B676" s="67"/>
      <c r="E676" s="131" t="s">
        <v>1088</v>
      </c>
      <c r="F676" s="131"/>
      <c r="G676" s="131"/>
      <c r="H676" s="131"/>
      <c r="I676" s="131"/>
      <c r="J676" s="704">
        <v>2573</v>
      </c>
      <c r="K676" s="705">
        <v>3783042.85</v>
      </c>
      <c r="L676" s="369">
        <v>0.52384415460549849</v>
      </c>
      <c r="M676" s="377">
        <v>20.448149999999998</v>
      </c>
      <c r="N676" s="706">
        <v>35360832.236827999</v>
      </c>
      <c r="O676" s="705">
        <v>4580089.9553848868</v>
      </c>
      <c r="P676" s="369">
        <v>0.52513573295797311</v>
      </c>
      <c r="Q676" s="377">
        <v>19.891999999999999</v>
      </c>
      <c r="R676" s="706">
        <v>45741815.859406911</v>
      </c>
      <c r="S676" s="369">
        <v>113.899</v>
      </c>
      <c r="T676" s="369">
        <v>120.96449999999999</v>
      </c>
      <c r="U676" s="369">
        <v>1.0619999999999998</v>
      </c>
      <c r="V676" s="706">
        <v>49290150.846660316</v>
      </c>
      <c r="W676" s="706">
        <v>-13929318.609832318</v>
      </c>
      <c r="X676"/>
      <c r="Y676"/>
    </row>
    <row r="677" spans="2:25" ht="16">
      <c r="J677" s="345"/>
      <c r="K677" s="703"/>
      <c r="L677" s="342"/>
      <c r="M677" s="342"/>
      <c r="N677" s="340"/>
      <c r="O677" s="703"/>
      <c r="P677" s="342"/>
      <c r="Q677" s="363"/>
      <c r="R677" s="340"/>
      <c r="S677" s="342"/>
      <c r="T677" s="342"/>
      <c r="U677" s="342"/>
      <c r="V677" s="340"/>
      <c r="W677" s="340"/>
      <c r="X677"/>
      <c r="Y677"/>
    </row>
    <row r="678" spans="2:25" ht="16">
      <c r="B678" s="67"/>
      <c r="E678" s="1" t="s">
        <v>905</v>
      </c>
      <c r="J678" s="345"/>
      <c r="K678" s="703"/>
      <c r="L678" s="342"/>
      <c r="M678" s="342"/>
      <c r="N678" s="340"/>
      <c r="O678" s="703"/>
      <c r="P678" s="342"/>
      <c r="Q678" s="363"/>
      <c r="R678" s="340"/>
      <c r="S678" s="342"/>
      <c r="T678" s="342"/>
      <c r="U678" s="342"/>
      <c r="V678" s="340"/>
      <c r="W678" s="340"/>
      <c r="X678"/>
      <c r="Y678"/>
    </row>
    <row r="679" spans="2:25" ht="16">
      <c r="B679" s="67"/>
      <c r="F679" s="346">
        <v>44635</v>
      </c>
      <c r="G679" s="346"/>
      <c r="H679" s="346"/>
      <c r="I679" s="346"/>
      <c r="J679" s="345"/>
      <c r="K679" s="703"/>
      <c r="L679" s="342"/>
      <c r="M679" s="342"/>
      <c r="N679" s="340"/>
      <c r="O679" s="703"/>
      <c r="P679" s="342"/>
      <c r="Q679" s="363"/>
      <c r="R679" s="340"/>
      <c r="S679" s="342"/>
      <c r="T679" s="342"/>
      <c r="U679" s="342"/>
      <c r="V679" s="340"/>
      <c r="W679" s="340"/>
      <c r="X679"/>
      <c r="Y679"/>
    </row>
    <row r="680" spans="2:25" ht="16">
      <c r="B680" s="67"/>
      <c r="G680" s="3" t="s">
        <v>60</v>
      </c>
      <c r="H680" s="3"/>
      <c r="I680" s="3"/>
      <c r="J680" s="345"/>
      <c r="K680" s="703"/>
      <c r="L680" s="342"/>
      <c r="M680" s="342"/>
      <c r="N680" s="340"/>
      <c r="O680" s="703"/>
      <c r="P680" s="342"/>
      <c r="Q680" s="363"/>
      <c r="R680" s="340"/>
      <c r="S680" s="342"/>
      <c r="T680" s="342"/>
      <c r="U680" s="342"/>
      <c r="V680" s="340"/>
      <c r="W680" s="340"/>
      <c r="X680"/>
      <c r="Y680"/>
    </row>
    <row r="681" spans="2:25" ht="16">
      <c r="B681" s="67"/>
      <c r="H681" s="347">
        <v>43934</v>
      </c>
      <c r="I681" s="347"/>
      <c r="J681" s="345"/>
      <c r="K681" s="703"/>
      <c r="L681" s="342"/>
      <c r="M681" s="342"/>
      <c r="N681" s="340"/>
      <c r="O681" s="703"/>
      <c r="P681" s="342"/>
      <c r="Q681" s="363"/>
      <c r="R681" s="340"/>
      <c r="S681" s="342"/>
      <c r="T681" s="342"/>
      <c r="U681" s="342"/>
      <c r="V681" s="340"/>
      <c r="W681" s="340"/>
      <c r="X681"/>
      <c r="Y681"/>
    </row>
    <row r="682" spans="2:25" ht="16">
      <c r="B682" s="67"/>
      <c r="I682" s="3" t="s">
        <v>60</v>
      </c>
      <c r="J682" s="345">
        <v>635</v>
      </c>
      <c r="K682" s="703">
        <v>2006991.3017584099</v>
      </c>
      <c r="L682" s="342">
        <v>4.7688309210996926E-2</v>
      </c>
      <c r="M682" s="342">
        <v>20.9695</v>
      </c>
      <c r="N682" s="340">
        <v>2006991.3017584099</v>
      </c>
      <c r="O682" s="703">
        <v>1474546.5</v>
      </c>
      <c r="P682" s="342">
        <v>4.1599414280246938E-2</v>
      </c>
      <c r="Q682" s="363">
        <v>24.038799999999998</v>
      </c>
      <c r="R682" s="340">
        <v>1474546.5</v>
      </c>
      <c r="S682" s="342">
        <v>105.755</v>
      </c>
      <c r="T682" s="342">
        <v>118.98099999999999</v>
      </c>
      <c r="U682" s="342">
        <v>1.125</v>
      </c>
      <c r="V682" s="340">
        <v>1658864.8125</v>
      </c>
      <c r="W682" s="340">
        <v>348126.48925840994</v>
      </c>
      <c r="X682"/>
      <c r="Y682"/>
    </row>
    <row r="683" spans="2:25" ht="16">
      <c r="J683" s="345"/>
      <c r="K683" s="703"/>
      <c r="L683" s="342"/>
      <c r="M683" s="342"/>
      <c r="N683" s="340"/>
      <c r="O683" s="703"/>
      <c r="P683" s="342"/>
      <c r="Q683" s="363"/>
      <c r="R683" s="340"/>
      <c r="S683" s="342"/>
      <c r="T683" s="342"/>
      <c r="U683" s="342"/>
      <c r="V683" s="340"/>
      <c r="W683" s="340"/>
      <c r="X683"/>
      <c r="Y683"/>
    </row>
    <row r="684" spans="2:25" ht="16">
      <c r="B684" s="67"/>
      <c r="H684" s="347">
        <v>43752</v>
      </c>
      <c r="I684" s="347"/>
      <c r="J684" s="345"/>
      <c r="K684" s="703"/>
      <c r="L684" s="342"/>
      <c r="M684" s="342"/>
      <c r="N684" s="340"/>
      <c r="O684" s="703"/>
      <c r="P684" s="342"/>
      <c r="Q684" s="363"/>
      <c r="R684" s="340"/>
      <c r="S684" s="342"/>
      <c r="T684" s="342"/>
      <c r="U684" s="342"/>
      <c r="V684" s="340"/>
      <c r="W684" s="340"/>
      <c r="X684"/>
      <c r="Y684"/>
    </row>
    <row r="685" spans="2:25" ht="16">
      <c r="B685" s="67"/>
      <c r="I685" s="3" t="s">
        <v>60</v>
      </c>
      <c r="J685" s="345">
        <v>203</v>
      </c>
      <c r="K685" s="703">
        <v>641605.09331804281</v>
      </c>
      <c r="L685" s="342">
        <v>4.7688309210996926E-2</v>
      </c>
      <c r="M685" s="342">
        <v>20.9695</v>
      </c>
      <c r="N685" s="340">
        <v>641605.09331804281</v>
      </c>
      <c r="O685" s="703">
        <v>451586.02876651986</v>
      </c>
      <c r="P685" s="342">
        <v>5.1344190918239503E-2</v>
      </c>
      <c r="Q685" s="363">
        <v>19.476400000000002</v>
      </c>
      <c r="R685" s="340">
        <v>451586.0287665198</v>
      </c>
      <c r="S685" s="342">
        <v>104.503</v>
      </c>
      <c r="T685" s="342">
        <v>118.98099999999999</v>
      </c>
      <c r="U685" s="342">
        <v>1.1385000000000001</v>
      </c>
      <c r="V685" s="340">
        <v>514130.69375068281</v>
      </c>
      <c r="W685" s="340">
        <v>127474.39956736</v>
      </c>
    </row>
    <row r="686" spans="2:25" ht="16">
      <c r="J686" s="345"/>
      <c r="K686" s="703"/>
      <c r="L686" s="342"/>
      <c r="M686" s="342"/>
      <c r="N686" s="340"/>
      <c r="O686" s="703"/>
      <c r="P686" s="342"/>
      <c r="Q686" s="363"/>
      <c r="R686" s="340"/>
      <c r="S686" s="342"/>
      <c r="T686" s="342"/>
      <c r="U686" s="342"/>
      <c r="V686" s="340"/>
      <c r="W686" s="340"/>
    </row>
    <row r="687" spans="2:25" ht="16">
      <c r="B687" s="67"/>
      <c r="H687" s="347">
        <v>43963</v>
      </c>
      <c r="I687" s="347"/>
      <c r="J687" s="345"/>
      <c r="K687" s="703"/>
      <c r="L687" s="342"/>
      <c r="M687" s="342"/>
      <c r="N687" s="340"/>
      <c r="O687" s="703"/>
      <c r="P687" s="342"/>
      <c r="Q687" s="363"/>
      <c r="R687" s="340"/>
      <c r="S687" s="342"/>
      <c r="T687" s="342"/>
      <c r="U687" s="342"/>
      <c r="V687" s="340"/>
      <c r="W687" s="340"/>
    </row>
    <row r="688" spans="2:25" ht="16">
      <c r="B688" s="67"/>
      <c r="I688" s="3" t="s">
        <v>60</v>
      </c>
      <c r="J688" s="345">
        <v>470</v>
      </c>
      <c r="K688" s="703">
        <v>1485489.6249235475</v>
      </c>
      <c r="L688" s="342">
        <v>4.7688309210996926E-2</v>
      </c>
      <c r="M688" s="342">
        <v>20.9695</v>
      </c>
      <c r="N688" s="340">
        <v>1485489.6249235475</v>
      </c>
      <c r="O688" s="703">
        <v>1211301.8488397193</v>
      </c>
      <c r="P688" s="342">
        <v>4.222883807352041E-2</v>
      </c>
      <c r="Q688" s="363">
        <v>23.680499999999999</v>
      </c>
      <c r="R688" s="340">
        <v>1211301.8488397193</v>
      </c>
      <c r="S688" s="342">
        <v>106.16200000000001</v>
      </c>
      <c r="T688" s="342">
        <v>118.98099999999999</v>
      </c>
      <c r="U688" s="342">
        <v>1.1207</v>
      </c>
      <c r="V688" s="340">
        <v>1357505.9819946734</v>
      </c>
      <c r="W688" s="340">
        <v>127983.64292887412</v>
      </c>
    </row>
    <row r="689" spans="2:23" ht="16">
      <c r="J689" s="345"/>
      <c r="K689" s="703"/>
      <c r="L689" s="342"/>
      <c r="M689" s="342"/>
      <c r="N689" s="340"/>
      <c r="O689" s="703"/>
      <c r="P689" s="342"/>
      <c r="Q689" s="363"/>
      <c r="R689" s="340"/>
      <c r="S689" s="342"/>
      <c r="T689" s="342"/>
      <c r="U689" s="342"/>
      <c r="V689" s="340"/>
      <c r="W689" s="340"/>
    </row>
    <row r="690" spans="2:23" ht="16">
      <c r="B690" s="67"/>
      <c r="F690" s="346">
        <v>44803</v>
      </c>
      <c r="G690" s="346"/>
      <c r="H690" s="346"/>
      <c r="I690" s="346"/>
      <c r="J690" s="345"/>
      <c r="K690" s="703"/>
      <c r="L690" s="342"/>
      <c r="M690" s="342"/>
      <c r="N690" s="340"/>
      <c r="O690" s="703"/>
      <c r="P690" s="342"/>
      <c r="Q690" s="363"/>
      <c r="R690" s="340"/>
      <c r="S690" s="342"/>
      <c r="T690" s="342"/>
      <c r="U690" s="342"/>
      <c r="V690" s="340"/>
      <c r="W690" s="340"/>
    </row>
    <row r="691" spans="2:23" ht="16">
      <c r="B691" s="67"/>
      <c r="G691" s="3" t="s">
        <v>59</v>
      </c>
      <c r="H691" s="3"/>
      <c r="I691" s="3"/>
      <c r="J691" s="345"/>
      <c r="K691" s="703"/>
      <c r="L691" s="342"/>
      <c r="M691" s="342"/>
      <c r="N691" s="340"/>
      <c r="O691" s="703"/>
      <c r="P691" s="342"/>
      <c r="Q691" s="363"/>
      <c r="R691" s="340"/>
      <c r="S691" s="342"/>
      <c r="T691" s="342"/>
      <c r="U691" s="342"/>
      <c r="V691" s="340"/>
      <c r="W691" s="340"/>
    </row>
    <row r="692" spans="2:23" ht="16">
      <c r="B692" s="67"/>
      <c r="H692" s="347">
        <v>43963</v>
      </c>
      <c r="I692" s="347"/>
      <c r="J692" s="345"/>
      <c r="K692" s="703"/>
      <c r="L692" s="342"/>
      <c r="M692" s="342"/>
      <c r="N692" s="340"/>
      <c r="O692" s="703"/>
      <c r="P692" s="342"/>
      <c r="Q692" s="363"/>
      <c r="R692" s="340"/>
      <c r="S692" s="342"/>
      <c r="T692" s="342"/>
      <c r="U692" s="342"/>
      <c r="V692" s="340"/>
      <c r="W692" s="340"/>
    </row>
    <row r="693" spans="2:23" ht="16">
      <c r="B693" s="67"/>
      <c r="I693" s="3" t="s">
        <v>59</v>
      </c>
      <c r="J693" s="345">
        <v>1444</v>
      </c>
      <c r="K693" s="703">
        <v>4128595.2700000005</v>
      </c>
      <c r="L693" s="342">
        <v>1</v>
      </c>
      <c r="M693" s="342">
        <v>19.9268</v>
      </c>
      <c r="N693" s="340">
        <v>82269692.226236016</v>
      </c>
      <c r="O693" s="703">
        <v>3721531.6377118188</v>
      </c>
      <c r="P693" s="342">
        <v>1</v>
      </c>
      <c r="Q693" s="363">
        <v>23.680499999999999</v>
      </c>
      <c r="R693" s="340">
        <v>88127729.946834713</v>
      </c>
      <c r="S693" s="342">
        <v>106.16200000000001</v>
      </c>
      <c r="T693" s="342">
        <v>122.94799999999999</v>
      </c>
      <c r="U693" s="342">
        <v>1.1580999999999999</v>
      </c>
      <c r="V693" s="340">
        <v>102060724.05142927</v>
      </c>
      <c r="W693" s="340">
        <v>-19791031.825193271</v>
      </c>
    </row>
    <row r="694" spans="2:23" ht="16">
      <c r="J694" s="345"/>
      <c r="K694" s="703"/>
      <c r="L694" s="342"/>
      <c r="M694" s="342"/>
      <c r="N694" s="340"/>
      <c r="O694" s="703"/>
      <c r="P694" s="342"/>
      <c r="Q694" s="363"/>
      <c r="R694" s="340"/>
      <c r="S694" s="342"/>
      <c r="T694" s="342"/>
      <c r="U694" s="342"/>
      <c r="V694" s="340"/>
      <c r="W694" s="340"/>
    </row>
    <row r="695" spans="2:23" ht="16">
      <c r="B695" s="67"/>
      <c r="E695" s="131" t="s">
        <v>1089</v>
      </c>
      <c r="F695" s="131"/>
      <c r="G695" s="131"/>
      <c r="H695" s="131"/>
      <c r="I695" s="131"/>
      <c r="J695" s="704">
        <v>2752</v>
      </c>
      <c r="K695" s="705">
        <v>8262681.290000001</v>
      </c>
      <c r="L695" s="369">
        <v>0.28576623190824768</v>
      </c>
      <c r="M695" s="377">
        <v>20.708825000000001</v>
      </c>
      <c r="N695" s="706">
        <v>86403778.246236011</v>
      </c>
      <c r="O695" s="705">
        <v>6858966.0153180584</v>
      </c>
      <c r="P695" s="369">
        <v>0.28379311081800174</v>
      </c>
      <c r="Q695" s="377">
        <v>22.719049999999999</v>
      </c>
      <c r="R695" s="706">
        <v>91265164.324440956</v>
      </c>
      <c r="S695" s="369">
        <v>105.6455</v>
      </c>
      <c r="T695" s="369">
        <v>119.97274999999999</v>
      </c>
      <c r="U695" s="369">
        <v>1.135575</v>
      </c>
      <c r="V695" s="706">
        <v>105591225.53967462</v>
      </c>
      <c r="W695" s="706">
        <v>-19187447.293438628</v>
      </c>
    </row>
    <row r="696" spans="2:23" ht="16">
      <c r="J696" s="345"/>
      <c r="K696" s="703"/>
      <c r="L696" s="342"/>
      <c r="M696" s="342"/>
      <c r="N696" s="340"/>
      <c r="O696" s="703"/>
      <c r="P696" s="342"/>
      <c r="Q696" s="363"/>
      <c r="R696" s="340"/>
      <c r="S696" s="342"/>
      <c r="T696" s="342"/>
      <c r="U696" s="342"/>
      <c r="V696" s="340"/>
      <c r="W696" s="340"/>
    </row>
    <row r="697" spans="2:23" ht="16">
      <c r="B697" s="67"/>
      <c r="E697" s="1" t="s">
        <v>902</v>
      </c>
      <c r="J697" s="345"/>
      <c r="K697" s="703"/>
      <c r="L697" s="342"/>
      <c r="M697" s="342"/>
      <c r="N697" s="340"/>
      <c r="O697" s="703"/>
      <c r="P697" s="342"/>
      <c r="Q697" s="363"/>
      <c r="R697" s="340"/>
      <c r="S697" s="342"/>
      <c r="T697" s="342"/>
      <c r="U697" s="342"/>
      <c r="V697" s="340"/>
      <c r="W697" s="340"/>
    </row>
    <row r="698" spans="2:23" ht="16">
      <c r="B698" s="67"/>
      <c r="F698" s="346">
        <v>44601</v>
      </c>
      <c r="G698" s="346"/>
      <c r="H698" s="346"/>
      <c r="I698" s="346"/>
      <c r="J698" s="345"/>
      <c r="K698" s="703"/>
      <c r="L698" s="342"/>
      <c r="M698" s="342"/>
      <c r="N698" s="340"/>
      <c r="O698" s="703"/>
      <c r="P698" s="342"/>
      <c r="Q698" s="363"/>
      <c r="R698" s="340"/>
      <c r="S698" s="342"/>
      <c r="T698" s="342"/>
      <c r="U698" s="342"/>
      <c r="V698" s="340"/>
      <c r="W698" s="340"/>
    </row>
    <row r="699" spans="2:23" ht="16">
      <c r="B699" s="67"/>
      <c r="G699" s="3" t="s">
        <v>60</v>
      </c>
      <c r="H699" s="3"/>
      <c r="I699" s="3"/>
      <c r="J699" s="345"/>
      <c r="K699" s="703"/>
      <c r="L699" s="342"/>
      <c r="M699" s="342"/>
      <c r="N699" s="340"/>
      <c r="O699" s="703"/>
      <c r="P699" s="342"/>
      <c r="Q699" s="363"/>
      <c r="R699" s="340"/>
      <c r="S699" s="342"/>
      <c r="T699" s="342"/>
      <c r="U699" s="342"/>
      <c r="V699" s="340"/>
      <c r="W699" s="340"/>
    </row>
    <row r="700" spans="2:23" ht="16">
      <c r="B700" s="67"/>
      <c r="H700" s="347">
        <v>43649</v>
      </c>
      <c r="I700" s="347"/>
      <c r="J700" s="345"/>
      <c r="K700" s="703"/>
      <c r="L700" s="342"/>
      <c r="M700" s="342"/>
      <c r="N700" s="340"/>
      <c r="O700" s="703"/>
      <c r="P700" s="342"/>
      <c r="Q700" s="363"/>
      <c r="R700" s="340"/>
      <c r="S700" s="342"/>
      <c r="T700" s="342"/>
      <c r="U700" s="342"/>
      <c r="V700" s="340"/>
      <c r="W700" s="340"/>
    </row>
    <row r="701" spans="2:23" ht="16">
      <c r="B701" s="67"/>
      <c r="I701" s="3" t="s">
        <v>60</v>
      </c>
      <c r="J701" s="345">
        <v>1283</v>
      </c>
      <c r="K701" s="703">
        <v>1763834.85</v>
      </c>
      <c r="L701" s="342">
        <v>4.8233449897503916E-2</v>
      </c>
      <c r="M701" s="342">
        <v>20.732500000000002</v>
      </c>
      <c r="N701" s="340">
        <v>1763834.85</v>
      </c>
      <c r="O701" s="703">
        <v>1358644.6728331277</v>
      </c>
      <c r="P701" s="342">
        <v>5.2421891381841057E-2</v>
      </c>
      <c r="Q701" s="363">
        <v>19.076000000000001</v>
      </c>
      <c r="R701" s="340">
        <v>1358644.6728331277</v>
      </c>
      <c r="S701" s="342">
        <v>103.687</v>
      </c>
      <c r="T701" s="342">
        <v>118.002</v>
      </c>
      <c r="U701" s="342">
        <v>1.1379999999999999</v>
      </c>
      <c r="V701" s="340">
        <v>1546137.6376840991</v>
      </c>
      <c r="W701" s="340">
        <v>217697.21231590095</v>
      </c>
    </row>
    <row r="702" spans="2:23" ht="16">
      <c r="J702" s="345"/>
      <c r="K702" s="703"/>
      <c r="L702" s="342"/>
      <c r="M702" s="342"/>
      <c r="N702" s="340"/>
      <c r="O702" s="703"/>
      <c r="P702" s="342"/>
      <c r="Q702" s="363"/>
      <c r="R702" s="340"/>
      <c r="S702" s="342"/>
      <c r="T702" s="342"/>
      <c r="U702" s="342"/>
      <c r="V702" s="340"/>
      <c r="W702" s="340"/>
    </row>
    <row r="703" spans="2:23" ht="16">
      <c r="B703" s="67"/>
      <c r="F703" s="346">
        <v>44635</v>
      </c>
      <c r="G703" s="346"/>
      <c r="H703" s="346"/>
      <c r="I703" s="346"/>
      <c r="J703" s="345"/>
      <c r="K703" s="703"/>
      <c r="L703" s="342"/>
      <c r="M703" s="342"/>
      <c r="N703" s="340"/>
      <c r="O703" s="703"/>
      <c r="P703" s="342"/>
      <c r="Q703" s="363"/>
      <c r="R703" s="340"/>
      <c r="S703" s="342"/>
      <c r="T703" s="342"/>
      <c r="U703" s="342"/>
      <c r="V703" s="340"/>
      <c r="W703" s="340"/>
    </row>
    <row r="704" spans="2:23" ht="16">
      <c r="B704" s="67"/>
      <c r="G704" s="3" t="s">
        <v>60</v>
      </c>
      <c r="H704" s="3"/>
      <c r="I704" s="3"/>
      <c r="J704" s="345"/>
      <c r="K704" s="703"/>
      <c r="L704" s="342"/>
      <c r="M704" s="342"/>
      <c r="N704" s="340"/>
      <c r="O704" s="703"/>
      <c r="P704" s="342"/>
      <c r="Q704" s="363"/>
      <c r="R704" s="340"/>
      <c r="S704" s="342"/>
      <c r="T704" s="342"/>
      <c r="U704" s="342"/>
      <c r="V704" s="340"/>
      <c r="W704" s="340"/>
    </row>
    <row r="705" spans="2:23" ht="16">
      <c r="B705" s="67"/>
      <c r="H705" s="347">
        <v>43649</v>
      </c>
      <c r="I705" s="347"/>
      <c r="J705" s="345"/>
      <c r="K705" s="703"/>
      <c r="L705" s="342"/>
      <c r="M705" s="342"/>
      <c r="N705" s="340"/>
      <c r="O705" s="703"/>
      <c r="P705" s="342"/>
      <c r="Q705" s="363"/>
      <c r="R705" s="340"/>
      <c r="S705" s="342"/>
      <c r="T705" s="342"/>
      <c r="U705" s="342"/>
      <c r="V705" s="340"/>
      <c r="W705" s="340"/>
    </row>
    <row r="706" spans="2:23" ht="16">
      <c r="B706" s="67"/>
      <c r="I706" s="3" t="s">
        <v>60</v>
      </c>
      <c r="J706" s="345">
        <v>6002</v>
      </c>
      <c r="K706" s="703">
        <v>7413032.21</v>
      </c>
      <c r="L706" s="342">
        <v>4.7688309210996926E-2</v>
      </c>
      <c r="M706" s="342">
        <v>20.9695</v>
      </c>
      <c r="N706" s="340">
        <v>7413032.21</v>
      </c>
      <c r="O706" s="703">
        <v>6355873.2083744602</v>
      </c>
      <c r="P706" s="342">
        <v>5.2421891381841057E-2</v>
      </c>
      <c r="Q706" s="363">
        <v>19.076000000000001</v>
      </c>
      <c r="R706" s="340">
        <v>6355873.2083744602</v>
      </c>
      <c r="S706" s="342">
        <v>103.687</v>
      </c>
      <c r="T706" s="342">
        <v>118.98099999999999</v>
      </c>
      <c r="U706" s="342">
        <v>1.1475</v>
      </c>
      <c r="V706" s="340">
        <v>7293364.5066096932</v>
      </c>
      <c r="W706" s="340">
        <v>119667.70339030679</v>
      </c>
    </row>
    <row r="707" spans="2:23" ht="16">
      <c r="J707" s="345"/>
      <c r="K707" s="703"/>
      <c r="L707" s="342"/>
      <c r="M707" s="342"/>
      <c r="N707" s="340"/>
      <c r="O707" s="703"/>
      <c r="P707" s="342"/>
      <c r="Q707" s="363"/>
      <c r="R707" s="340"/>
      <c r="S707" s="342"/>
      <c r="T707" s="342"/>
      <c r="U707" s="342"/>
      <c r="V707" s="340"/>
      <c r="W707" s="340"/>
    </row>
    <row r="708" spans="2:23" ht="16">
      <c r="B708" s="67"/>
      <c r="F708" s="346">
        <v>44803</v>
      </c>
      <c r="G708" s="346"/>
      <c r="H708" s="346"/>
      <c r="I708" s="346"/>
      <c r="J708" s="345"/>
      <c r="K708" s="703"/>
      <c r="L708" s="342"/>
      <c r="M708" s="342"/>
      <c r="N708" s="340"/>
      <c r="O708" s="703"/>
      <c r="P708" s="342"/>
      <c r="Q708" s="363"/>
      <c r="R708" s="340"/>
      <c r="S708" s="342"/>
      <c r="T708" s="342"/>
      <c r="U708" s="342"/>
      <c r="V708" s="340"/>
      <c r="W708" s="340"/>
    </row>
    <row r="709" spans="2:23" ht="16">
      <c r="B709" s="67"/>
      <c r="G709" s="3" t="s">
        <v>59</v>
      </c>
      <c r="H709" s="3"/>
      <c r="I709" s="3"/>
      <c r="J709" s="345"/>
      <c r="K709" s="703"/>
      <c r="L709" s="342"/>
      <c r="M709" s="342"/>
      <c r="N709" s="340"/>
      <c r="O709" s="703"/>
      <c r="P709" s="342"/>
      <c r="Q709" s="363"/>
      <c r="R709" s="340"/>
      <c r="S709" s="342"/>
      <c r="T709" s="342"/>
      <c r="U709" s="342"/>
      <c r="V709" s="340"/>
      <c r="W709" s="340"/>
    </row>
    <row r="710" spans="2:23" ht="16">
      <c r="B710" s="67"/>
      <c r="H710" s="347">
        <v>43649</v>
      </c>
      <c r="I710" s="347"/>
      <c r="J710" s="345"/>
      <c r="K710" s="703"/>
      <c r="L710" s="342"/>
      <c r="M710" s="342"/>
      <c r="N710" s="340"/>
      <c r="O710" s="703"/>
      <c r="P710" s="342"/>
      <c r="Q710" s="363"/>
      <c r="R710" s="340"/>
      <c r="S710" s="342"/>
      <c r="T710" s="342"/>
      <c r="U710" s="342"/>
      <c r="V710" s="340"/>
      <c r="W710" s="340"/>
    </row>
    <row r="711" spans="2:23" ht="16">
      <c r="B711" s="67"/>
      <c r="I711" s="3" t="s">
        <v>59</v>
      </c>
      <c r="J711" s="345">
        <v>6508</v>
      </c>
      <c r="K711" s="703">
        <v>6758821.0500000007</v>
      </c>
      <c r="L711" s="342">
        <v>1</v>
      </c>
      <c r="M711" s="342">
        <v>19.9268</v>
      </c>
      <c r="N711" s="340">
        <v>134681675.29914001</v>
      </c>
      <c r="O711" s="703">
        <v>6891706.5711597782</v>
      </c>
      <c r="P711" s="342">
        <v>1</v>
      </c>
      <c r="Q711" s="363">
        <v>19.076000000000001</v>
      </c>
      <c r="R711" s="340">
        <v>131466194.55144393</v>
      </c>
      <c r="S711" s="342">
        <v>103.687</v>
      </c>
      <c r="T711" s="342">
        <v>122.94799999999999</v>
      </c>
      <c r="U711" s="342">
        <v>1.1857</v>
      </c>
      <c r="V711" s="340">
        <v>155879466.87964708</v>
      </c>
      <c r="W711" s="340">
        <v>-21197791.58050707</v>
      </c>
    </row>
    <row r="712" spans="2:23" ht="16">
      <c r="J712" s="345"/>
      <c r="K712" s="703"/>
      <c r="L712" s="342"/>
      <c r="M712" s="342"/>
      <c r="N712" s="340"/>
      <c r="O712" s="703"/>
      <c r="P712" s="342"/>
      <c r="Q712" s="363"/>
      <c r="R712" s="340"/>
      <c r="S712" s="342"/>
      <c r="T712" s="342"/>
      <c r="U712" s="342"/>
      <c r="V712" s="340"/>
      <c r="W712" s="340"/>
    </row>
    <row r="713" spans="2:23" ht="16">
      <c r="B713" s="67"/>
      <c r="E713" s="131" t="s">
        <v>1090</v>
      </c>
      <c r="F713" s="131"/>
      <c r="G713" s="131"/>
      <c r="H713" s="131"/>
      <c r="I713" s="131"/>
      <c r="J713" s="704">
        <v>13793</v>
      </c>
      <c r="K713" s="705">
        <v>15935688.110000001</v>
      </c>
      <c r="L713" s="369">
        <v>0.36530725303616696</v>
      </c>
      <c r="M713" s="377">
        <v>20.542933333333334</v>
      </c>
      <c r="N713" s="706">
        <v>143858542.35914001</v>
      </c>
      <c r="O713" s="705">
        <v>14606224.452367365</v>
      </c>
      <c r="P713" s="369">
        <v>0.36828126092122737</v>
      </c>
      <c r="Q713" s="377">
        <v>19.076000000000001</v>
      </c>
      <c r="R713" s="706">
        <v>139180712.43265152</v>
      </c>
      <c r="S713" s="369">
        <v>103.687</v>
      </c>
      <c r="T713" s="369">
        <v>119.97699999999999</v>
      </c>
      <c r="U713" s="369">
        <v>1.1570666666666665</v>
      </c>
      <c r="V713" s="706">
        <v>164718969.02394086</v>
      </c>
      <c r="W713" s="706">
        <v>-20860426.664800864</v>
      </c>
    </row>
    <row r="714" spans="2:23" ht="16">
      <c r="J714" s="345"/>
      <c r="K714" s="703"/>
      <c r="L714" s="342"/>
      <c r="M714" s="342"/>
      <c r="N714" s="340"/>
      <c r="O714" s="703"/>
      <c r="P714" s="342"/>
      <c r="Q714" s="363"/>
      <c r="R714" s="340"/>
      <c r="S714" s="342"/>
      <c r="T714" s="342"/>
      <c r="U714" s="342"/>
      <c r="V714" s="340"/>
      <c r="W714" s="340"/>
    </row>
    <row r="715" spans="2:23" ht="16">
      <c r="B715" s="67"/>
      <c r="E715" s="1" t="s">
        <v>904</v>
      </c>
      <c r="J715" s="345"/>
      <c r="K715" s="703"/>
      <c r="L715" s="342"/>
      <c r="M715" s="342"/>
      <c r="N715" s="340"/>
      <c r="O715" s="703"/>
      <c r="P715" s="342"/>
      <c r="Q715" s="363"/>
      <c r="R715" s="340"/>
      <c r="S715" s="342"/>
      <c r="T715" s="342"/>
      <c r="U715" s="342"/>
      <c r="V715" s="340"/>
      <c r="W715" s="340"/>
    </row>
    <row r="716" spans="2:23" ht="16">
      <c r="B716" s="67"/>
      <c r="F716" s="346">
        <v>44635</v>
      </c>
      <c r="G716" s="346"/>
      <c r="H716" s="346"/>
      <c r="I716" s="346"/>
      <c r="J716" s="345"/>
      <c r="K716" s="703"/>
      <c r="L716" s="342"/>
      <c r="M716" s="342"/>
      <c r="N716" s="340"/>
      <c r="O716" s="703"/>
      <c r="P716" s="342"/>
      <c r="Q716" s="363"/>
      <c r="R716" s="340"/>
      <c r="S716" s="342"/>
      <c r="T716" s="342"/>
      <c r="U716" s="342"/>
      <c r="V716" s="340"/>
      <c r="W716" s="340"/>
    </row>
    <row r="717" spans="2:23" ht="16">
      <c r="B717" s="67"/>
      <c r="G717" s="3" t="s">
        <v>60</v>
      </c>
      <c r="H717" s="3"/>
      <c r="I717" s="3"/>
      <c r="J717" s="345"/>
      <c r="K717" s="703"/>
      <c r="L717" s="342"/>
      <c r="M717" s="342"/>
      <c r="N717" s="340"/>
      <c r="O717" s="703"/>
      <c r="P717" s="342"/>
      <c r="Q717" s="363"/>
      <c r="R717" s="340"/>
      <c r="S717" s="342"/>
      <c r="T717" s="342"/>
      <c r="U717" s="342"/>
      <c r="V717" s="340"/>
      <c r="W717" s="340"/>
    </row>
    <row r="718" spans="2:23" ht="16">
      <c r="B718" s="67"/>
      <c r="H718" s="347">
        <v>43871</v>
      </c>
      <c r="I718" s="347"/>
      <c r="J718" s="345"/>
      <c r="K718" s="703"/>
      <c r="L718" s="342"/>
      <c r="M718" s="342"/>
      <c r="N718" s="340"/>
      <c r="O718" s="703"/>
      <c r="P718" s="342"/>
      <c r="Q718" s="363"/>
      <c r="R718" s="340"/>
      <c r="S718" s="342"/>
      <c r="T718" s="342"/>
      <c r="U718" s="342"/>
      <c r="V718" s="340"/>
      <c r="W718" s="340"/>
    </row>
    <row r="719" spans="2:23" ht="16">
      <c r="B719" s="67"/>
      <c r="I719" s="3" t="s">
        <v>60</v>
      </c>
      <c r="J719" s="345">
        <v>1192</v>
      </c>
      <c r="K719" s="703">
        <v>3876854.07</v>
      </c>
      <c r="L719" s="342">
        <v>4.7688309210996926E-2</v>
      </c>
      <c r="M719" s="342">
        <v>20.9695</v>
      </c>
      <c r="N719" s="340">
        <v>3876854.0700000003</v>
      </c>
      <c r="O719" s="703">
        <v>2879379.9304030286</v>
      </c>
      <c r="P719" s="342">
        <v>5.3577647405502422E-2</v>
      </c>
      <c r="Q719" s="363">
        <v>18.6645</v>
      </c>
      <c r="R719" s="340">
        <v>2879379.9304030286</v>
      </c>
      <c r="S719" s="342">
        <v>106.889</v>
      </c>
      <c r="T719" s="342">
        <v>118.98099999999999</v>
      </c>
      <c r="U719" s="342">
        <v>1.1131</v>
      </c>
      <c r="V719" s="340">
        <v>3205037.8005316113</v>
      </c>
      <c r="W719" s="340">
        <v>671816.26946838899</v>
      </c>
    </row>
    <row r="720" spans="2:23" ht="16">
      <c r="J720" s="345"/>
      <c r="K720" s="703"/>
      <c r="L720" s="342"/>
      <c r="M720" s="342"/>
      <c r="N720" s="340"/>
      <c r="O720" s="703"/>
      <c r="P720" s="342"/>
      <c r="Q720" s="363"/>
      <c r="R720" s="340"/>
      <c r="S720" s="342"/>
      <c r="T720" s="342"/>
      <c r="U720" s="342"/>
      <c r="V720" s="340"/>
      <c r="W720" s="340"/>
    </row>
    <row r="721" spans="2:23" ht="16">
      <c r="B721" s="67"/>
      <c r="F721" s="346">
        <v>44803</v>
      </c>
      <c r="G721" s="346"/>
      <c r="H721" s="346"/>
      <c r="I721" s="346"/>
      <c r="J721" s="345"/>
      <c r="K721" s="703"/>
      <c r="L721" s="342"/>
      <c r="M721" s="342"/>
      <c r="N721" s="340"/>
      <c r="O721" s="703"/>
      <c r="P721" s="342"/>
      <c r="Q721" s="363"/>
      <c r="R721" s="340"/>
      <c r="S721" s="342"/>
      <c r="T721" s="342"/>
      <c r="U721" s="342"/>
      <c r="V721" s="340"/>
      <c r="W721" s="340"/>
    </row>
    <row r="722" spans="2:23" ht="16">
      <c r="B722" s="67"/>
      <c r="G722" s="3" t="s">
        <v>59</v>
      </c>
      <c r="H722" s="3"/>
      <c r="I722" s="3"/>
      <c r="J722" s="345"/>
      <c r="K722" s="703"/>
      <c r="L722" s="342"/>
      <c r="M722" s="342"/>
      <c r="N722" s="340"/>
      <c r="O722" s="703"/>
      <c r="P722" s="342"/>
      <c r="Q722" s="363"/>
      <c r="R722" s="340"/>
      <c r="S722" s="342"/>
      <c r="T722" s="342"/>
      <c r="U722" s="342"/>
      <c r="V722" s="340"/>
      <c r="W722" s="340"/>
    </row>
    <row r="723" spans="2:23" ht="16">
      <c r="B723" s="67"/>
      <c r="H723" s="347">
        <v>43871</v>
      </c>
      <c r="I723" s="347"/>
      <c r="J723" s="345"/>
      <c r="K723" s="703"/>
      <c r="L723" s="342"/>
      <c r="M723" s="342"/>
      <c r="N723" s="340"/>
      <c r="O723" s="703"/>
      <c r="P723" s="342"/>
      <c r="Q723" s="363"/>
      <c r="R723" s="340"/>
      <c r="S723" s="342"/>
      <c r="T723" s="342"/>
      <c r="U723" s="342"/>
      <c r="V723" s="340"/>
      <c r="W723" s="340"/>
    </row>
    <row r="724" spans="2:23" ht="16">
      <c r="B724" s="67"/>
      <c r="I724" s="3" t="s">
        <v>59</v>
      </c>
      <c r="J724" s="345">
        <v>1180</v>
      </c>
      <c r="K724" s="703">
        <v>3528184.68</v>
      </c>
      <c r="L724" s="342">
        <v>1</v>
      </c>
      <c r="M724" s="342">
        <v>19.9268</v>
      </c>
      <c r="N724" s="340">
        <v>70305430.481424004</v>
      </c>
      <c r="O724" s="703">
        <v>2850392.8841238031</v>
      </c>
      <c r="P724" s="342">
        <v>1</v>
      </c>
      <c r="Q724" s="363">
        <v>18.6645</v>
      </c>
      <c r="R724" s="340">
        <v>53201157.985728726</v>
      </c>
      <c r="S724" s="342">
        <v>106.889</v>
      </c>
      <c r="T724" s="342">
        <v>122.94799999999999</v>
      </c>
      <c r="U724" s="342">
        <v>1.1501999999999999</v>
      </c>
      <c r="V724" s="340">
        <v>61191971.915185176</v>
      </c>
      <c r="W724" s="340">
        <v>9113458.566238828</v>
      </c>
    </row>
    <row r="725" spans="2:23" ht="16">
      <c r="J725" s="345"/>
      <c r="K725" s="703"/>
      <c r="L725" s="342"/>
      <c r="M725" s="342"/>
      <c r="N725" s="340"/>
      <c r="O725" s="703"/>
      <c r="P725" s="342"/>
      <c r="Q725" s="363"/>
      <c r="R725" s="340"/>
      <c r="S725" s="342"/>
      <c r="T725" s="342"/>
      <c r="U725" s="342"/>
      <c r="V725" s="340"/>
      <c r="W725" s="340"/>
    </row>
    <row r="726" spans="2:23" ht="16">
      <c r="B726" s="67"/>
      <c r="E726" s="131" t="s">
        <v>1091</v>
      </c>
      <c r="F726" s="131"/>
      <c r="G726" s="131"/>
      <c r="H726" s="131"/>
      <c r="I726" s="131"/>
      <c r="J726" s="704">
        <v>2372</v>
      </c>
      <c r="K726" s="705">
        <v>7405038.75</v>
      </c>
      <c r="L726" s="369">
        <v>0.52384415460549849</v>
      </c>
      <c r="M726" s="377">
        <v>20.448149999999998</v>
      </c>
      <c r="N726" s="706">
        <v>74182284.551423997</v>
      </c>
      <c r="O726" s="705">
        <v>5729772.8145268317</v>
      </c>
      <c r="P726" s="369">
        <v>0.52678882370275126</v>
      </c>
      <c r="Q726" s="377">
        <v>18.6645</v>
      </c>
      <c r="R726" s="706">
        <v>56080537.916131757</v>
      </c>
      <c r="S726" s="369">
        <v>106.889</v>
      </c>
      <c r="T726" s="369">
        <v>120.96449999999999</v>
      </c>
      <c r="U726" s="369">
        <v>1.13165</v>
      </c>
      <c r="V726" s="706">
        <v>64397009.715716787</v>
      </c>
      <c r="W726" s="706">
        <v>9785274.8357072175</v>
      </c>
    </row>
    <row r="727" spans="2:23" ht="16">
      <c r="J727" s="345"/>
      <c r="K727" s="703"/>
      <c r="L727" s="342"/>
      <c r="M727" s="342"/>
      <c r="N727" s="340"/>
      <c r="O727" s="703"/>
      <c r="P727" s="342"/>
      <c r="Q727" s="363"/>
      <c r="R727" s="340"/>
      <c r="S727" s="342"/>
      <c r="T727" s="342"/>
      <c r="U727" s="342"/>
      <c r="V727" s="340"/>
      <c r="W727" s="340"/>
    </row>
    <row r="728" spans="2:23" ht="16">
      <c r="B728" s="67"/>
      <c r="D728" s="364" t="s">
        <v>1249</v>
      </c>
      <c r="E728" s="364"/>
      <c r="F728" s="364"/>
      <c r="G728" s="364"/>
      <c r="H728" s="364"/>
      <c r="I728" s="364"/>
      <c r="J728" s="707">
        <v>104287</v>
      </c>
      <c r="K728" s="708">
        <v>161959966.29000002</v>
      </c>
      <c r="L728" s="370">
        <v>0.42130598289671023</v>
      </c>
      <c r="M728" s="370">
        <v>20.490562745098032</v>
      </c>
      <c r="N728" s="709">
        <v>1635396635.6239681</v>
      </c>
      <c r="O728" s="708">
        <v>146956602.1051164</v>
      </c>
      <c r="P728" s="370">
        <v>0.42206509789771474</v>
      </c>
      <c r="Q728" s="376">
        <v>20.4219411764706</v>
      </c>
      <c r="R728" s="709">
        <v>1530779370.4999049</v>
      </c>
      <c r="S728" s="370">
        <v>109.50698039215686</v>
      </c>
      <c r="T728" s="370">
        <v>120.64254901960783</v>
      </c>
      <c r="U728" s="370">
        <v>1.1047960784313724</v>
      </c>
      <c r="V728" s="709">
        <v>1725424426.0458236</v>
      </c>
      <c r="W728" s="709">
        <v>-90027790.421855837</v>
      </c>
    </row>
    <row r="729" spans="2:23" ht="16">
      <c r="J729" s="345"/>
      <c r="K729" s="703"/>
      <c r="L729" s="342"/>
      <c r="M729" s="342"/>
      <c r="N729" s="340"/>
      <c r="O729" s="703"/>
      <c r="P729" s="342"/>
      <c r="Q729" s="363"/>
      <c r="R729" s="340"/>
      <c r="S729" s="342"/>
      <c r="T729" s="342"/>
      <c r="U729" s="342"/>
      <c r="V729" s="340"/>
      <c r="W729" s="340"/>
    </row>
    <row r="730" spans="2:23" ht="16">
      <c r="B730" s="67"/>
      <c r="D730" s="1" t="s">
        <v>1250</v>
      </c>
      <c r="J730" s="345"/>
      <c r="K730" s="703"/>
      <c r="L730" s="342"/>
      <c r="M730" s="342"/>
      <c r="N730" s="340"/>
      <c r="O730" s="703"/>
      <c r="P730" s="342"/>
      <c r="Q730" s="363"/>
      <c r="R730" s="340"/>
      <c r="S730" s="342"/>
      <c r="T730" s="342"/>
      <c r="U730" s="342"/>
      <c r="V730" s="340"/>
      <c r="W730" s="340"/>
    </row>
    <row r="731" spans="2:23" ht="16">
      <c r="B731" s="67"/>
      <c r="E731" s="1" t="s">
        <v>893</v>
      </c>
      <c r="J731" s="345"/>
      <c r="K731" s="703"/>
      <c r="L731" s="342"/>
      <c r="M731" s="342"/>
      <c r="N731" s="340"/>
      <c r="O731" s="703"/>
      <c r="P731" s="342"/>
      <c r="Q731" s="363"/>
      <c r="R731" s="340"/>
      <c r="S731" s="342"/>
      <c r="T731" s="342"/>
      <c r="U731" s="342"/>
      <c r="V731" s="340"/>
      <c r="W731" s="340"/>
    </row>
    <row r="732" spans="2:23" ht="16">
      <c r="B732" s="67"/>
      <c r="F732" s="346">
        <v>44685</v>
      </c>
      <c r="G732" s="346"/>
      <c r="H732" s="346"/>
      <c r="I732" s="346"/>
      <c r="J732" s="345"/>
      <c r="K732" s="703"/>
      <c r="L732" s="342"/>
      <c r="M732" s="342"/>
      <c r="N732" s="340"/>
      <c r="O732" s="703"/>
      <c r="P732" s="342"/>
      <c r="Q732" s="363"/>
      <c r="R732" s="340"/>
      <c r="S732" s="342"/>
      <c r="T732" s="342"/>
      <c r="U732" s="342"/>
      <c r="V732" s="340"/>
      <c r="W732" s="340"/>
    </row>
    <row r="733" spans="2:23" ht="16">
      <c r="B733" s="67"/>
      <c r="G733" s="3" t="s">
        <v>60</v>
      </c>
      <c r="H733" s="3"/>
      <c r="I733" s="3"/>
      <c r="J733" s="345"/>
      <c r="K733" s="703"/>
      <c r="L733" s="342"/>
      <c r="M733" s="342"/>
      <c r="N733" s="340"/>
      <c r="O733" s="703"/>
      <c r="P733" s="342"/>
      <c r="Q733" s="363"/>
      <c r="R733" s="340"/>
      <c r="S733" s="342"/>
      <c r="T733" s="342"/>
      <c r="U733" s="342"/>
      <c r="V733" s="340"/>
      <c r="W733" s="340"/>
    </row>
    <row r="734" spans="2:23" ht="16">
      <c r="B734" s="67"/>
      <c r="H734" s="347">
        <v>44123</v>
      </c>
      <c r="I734" s="347"/>
      <c r="J734" s="345"/>
      <c r="K734" s="703"/>
      <c r="L734" s="342"/>
      <c r="M734" s="342"/>
      <c r="N734" s="340"/>
      <c r="O734" s="703"/>
      <c r="P734" s="342"/>
      <c r="Q734" s="363"/>
      <c r="R734" s="340"/>
      <c r="S734" s="342"/>
      <c r="T734" s="342"/>
      <c r="U734" s="342"/>
      <c r="V734" s="340"/>
      <c r="W734" s="340"/>
    </row>
    <row r="735" spans="2:23" ht="16">
      <c r="B735" s="67"/>
      <c r="I735" s="3" t="s">
        <v>60</v>
      </c>
      <c r="J735" s="345">
        <v>2691</v>
      </c>
      <c r="K735" s="703">
        <v>2719267.77</v>
      </c>
      <c r="L735" s="342">
        <v>4.9001592551757935E-2</v>
      </c>
      <c r="M735" s="342">
        <v>20.407499999999999</v>
      </c>
      <c r="N735" s="340">
        <v>2719267.7699999996</v>
      </c>
      <c r="O735" s="703">
        <v>3044487.8936550836</v>
      </c>
      <c r="P735" s="342">
        <v>4.676568521081971E-2</v>
      </c>
      <c r="Q735" s="363">
        <v>21.383199999999999</v>
      </c>
      <c r="R735" s="340">
        <v>3044487.8936550831</v>
      </c>
      <c r="S735" s="342">
        <v>108.774</v>
      </c>
      <c r="T735" s="342">
        <v>120.809</v>
      </c>
      <c r="U735" s="342">
        <v>1.1106</v>
      </c>
      <c r="V735" s="340">
        <v>3381208.2546933354</v>
      </c>
      <c r="W735" s="340">
        <v>-661940.48469333583</v>
      </c>
    </row>
    <row r="736" spans="2:23" ht="16">
      <c r="J736" s="345"/>
      <c r="K736" s="703"/>
      <c r="L736" s="342"/>
      <c r="M736" s="342"/>
      <c r="N736" s="340"/>
      <c r="O736" s="703"/>
      <c r="P736" s="342"/>
      <c r="Q736" s="363"/>
      <c r="R736" s="340"/>
      <c r="S736" s="342"/>
      <c r="T736" s="342"/>
      <c r="U736" s="342"/>
      <c r="V736" s="340"/>
      <c r="W736" s="340"/>
    </row>
    <row r="737" spans="2:23" ht="16">
      <c r="B737" s="67"/>
      <c r="F737" s="346">
        <v>44831</v>
      </c>
      <c r="G737" s="346"/>
      <c r="H737" s="346"/>
      <c r="I737" s="346"/>
      <c r="J737" s="345"/>
      <c r="K737" s="703"/>
      <c r="L737" s="342"/>
      <c r="M737" s="342"/>
      <c r="N737" s="340"/>
      <c r="O737" s="703"/>
      <c r="P737" s="342"/>
      <c r="Q737" s="363"/>
      <c r="R737" s="340"/>
      <c r="S737" s="342"/>
      <c r="T737" s="342"/>
      <c r="U737" s="342"/>
      <c r="V737" s="340"/>
      <c r="W737" s="340"/>
    </row>
    <row r="738" spans="2:23" ht="16">
      <c r="B738" s="67"/>
      <c r="G738" s="3" t="s">
        <v>60</v>
      </c>
      <c r="H738" s="3"/>
      <c r="I738" s="3"/>
      <c r="J738" s="345"/>
      <c r="K738" s="703"/>
      <c r="L738" s="342"/>
      <c r="M738" s="342"/>
      <c r="N738" s="340"/>
      <c r="O738" s="703"/>
      <c r="P738" s="342"/>
      <c r="Q738" s="363"/>
      <c r="R738" s="340"/>
      <c r="S738" s="342"/>
      <c r="T738" s="342"/>
      <c r="U738" s="342"/>
      <c r="V738" s="340"/>
      <c r="W738" s="340"/>
    </row>
    <row r="739" spans="2:23" ht="16">
      <c r="B739" s="67"/>
      <c r="H739" s="347">
        <v>44123</v>
      </c>
      <c r="I739" s="347"/>
      <c r="J739" s="345"/>
      <c r="K739" s="703"/>
      <c r="L739" s="342"/>
      <c r="M739" s="342"/>
      <c r="N739" s="340"/>
      <c r="O739" s="703"/>
      <c r="P739" s="342"/>
      <c r="Q739" s="363"/>
      <c r="R739" s="340"/>
      <c r="S739" s="342"/>
      <c r="T739" s="342"/>
      <c r="U739" s="342"/>
      <c r="V739" s="340"/>
      <c r="W739" s="340"/>
    </row>
    <row r="740" spans="2:23" ht="16">
      <c r="B740" s="67"/>
      <c r="I740" s="3" t="s">
        <v>60</v>
      </c>
      <c r="J740" s="345">
        <v>1385</v>
      </c>
      <c r="K740" s="703">
        <v>1146172.8899999999</v>
      </c>
      <c r="L740" s="342">
        <v>4.9596532210467843E-2</v>
      </c>
      <c r="M740" s="342">
        <v>20.162700000000001</v>
      </c>
      <c r="N740" s="340">
        <v>1146172.8899999999</v>
      </c>
      <c r="O740" s="703">
        <v>1566932.6394322894</v>
      </c>
      <c r="P740" s="342">
        <v>4.676568521081971E-2</v>
      </c>
      <c r="Q740" s="363">
        <v>21.383199999999999</v>
      </c>
      <c r="R740" s="340">
        <v>1566932.6394322892</v>
      </c>
      <c r="S740" s="342">
        <v>108.774</v>
      </c>
      <c r="T740" s="342">
        <v>123.803</v>
      </c>
      <c r="U740" s="342">
        <v>1.1380999999999999</v>
      </c>
      <c r="V740" s="340">
        <v>1783326.0369378882</v>
      </c>
      <c r="W740" s="340">
        <v>-637153.14693788835</v>
      </c>
    </row>
    <row r="741" spans="2:23" ht="16">
      <c r="J741" s="345"/>
      <c r="K741" s="703"/>
      <c r="L741" s="342"/>
      <c r="M741" s="342"/>
      <c r="N741" s="340"/>
      <c r="O741" s="703"/>
      <c r="P741" s="342"/>
      <c r="Q741" s="363"/>
      <c r="R741" s="340"/>
      <c r="S741" s="342"/>
      <c r="T741" s="342"/>
      <c r="U741" s="342"/>
      <c r="V741" s="340"/>
      <c r="W741" s="340"/>
    </row>
    <row r="742" spans="2:23" ht="16">
      <c r="B742" s="67"/>
      <c r="F742" s="346">
        <v>44792</v>
      </c>
      <c r="G742" s="346"/>
      <c r="H742" s="346"/>
      <c r="I742" s="346"/>
      <c r="J742" s="345"/>
      <c r="K742" s="703"/>
      <c r="L742" s="342"/>
      <c r="M742" s="342"/>
      <c r="N742" s="340"/>
      <c r="O742" s="703"/>
      <c r="P742" s="342"/>
      <c r="Q742" s="363"/>
      <c r="R742" s="340"/>
      <c r="S742" s="342"/>
      <c r="T742" s="342"/>
      <c r="U742" s="342"/>
      <c r="V742" s="340"/>
      <c r="W742" s="340"/>
    </row>
    <row r="743" spans="2:23" ht="16">
      <c r="B743" s="67"/>
      <c r="G743" s="3" t="s">
        <v>60</v>
      </c>
      <c r="H743" s="3"/>
      <c r="I743" s="3"/>
      <c r="J743" s="345"/>
      <c r="K743" s="703"/>
      <c r="L743" s="342"/>
      <c r="M743" s="342"/>
      <c r="N743" s="340"/>
      <c r="O743" s="703"/>
      <c r="P743" s="342"/>
      <c r="Q743" s="363"/>
      <c r="R743" s="340"/>
      <c r="S743" s="342"/>
      <c r="T743" s="342"/>
      <c r="U743" s="342"/>
      <c r="V743" s="340"/>
      <c r="W743" s="340"/>
    </row>
    <row r="744" spans="2:23" ht="16">
      <c r="B744" s="67"/>
      <c r="H744" s="347">
        <v>44123</v>
      </c>
      <c r="I744" s="347"/>
      <c r="J744" s="345"/>
      <c r="K744" s="703"/>
      <c r="L744" s="342"/>
      <c r="M744" s="342"/>
      <c r="N744" s="340"/>
      <c r="O744" s="703"/>
      <c r="P744" s="342"/>
      <c r="Q744" s="363"/>
      <c r="R744" s="340"/>
      <c r="S744" s="342"/>
      <c r="T744" s="342"/>
      <c r="U744" s="342"/>
      <c r="V744" s="340"/>
      <c r="W744" s="340"/>
    </row>
    <row r="745" spans="2:23" ht="16">
      <c r="B745" s="67"/>
      <c r="I745" s="3" t="s">
        <v>60</v>
      </c>
      <c r="J745" s="345">
        <v>1989</v>
      </c>
      <c r="K745" s="703">
        <v>1927518.39</v>
      </c>
      <c r="L745" s="342">
        <v>4.9903436849695844E-2</v>
      </c>
      <c r="M745" s="342">
        <v>20.038699999999999</v>
      </c>
      <c r="N745" s="340">
        <v>1927518.3900000001</v>
      </c>
      <c r="O745" s="703">
        <v>2250273.6605276703</v>
      </c>
      <c r="P745" s="342">
        <v>4.676568521081971E-2</v>
      </c>
      <c r="Q745" s="363">
        <v>21.383199999999999</v>
      </c>
      <c r="R745" s="340">
        <v>2250273.6605276703</v>
      </c>
      <c r="S745" s="342">
        <v>108.774</v>
      </c>
      <c r="T745" s="342">
        <v>122.94799999999999</v>
      </c>
      <c r="U745" s="342">
        <v>1.1303000000000001</v>
      </c>
      <c r="V745" s="340">
        <v>2543484.3184944261</v>
      </c>
      <c r="W745" s="340">
        <v>-615965.92849442596</v>
      </c>
    </row>
    <row r="746" spans="2:23" ht="16">
      <c r="J746" s="345"/>
      <c r="K746" s="703"/>
      <c r="L746" s="342"/>
      <c r="M746" s="342"/>
      <c r="N746" s="340"/>
      <c r="O746" s="703"/>
      <c r="P746" s="342"/>
      <c r="Q746" s="363"/>
      <c r="R746" s="340"/>
      <c r="S746" s="342"/>
      <c r="T746" s="342"/>
      <c r="U746" s="342"/>
      <c r="V746" s="340"/>
      <c r="W746" s="340"/>
    </row>
    <row r="747" spans="2:23" ht="16">
      <c r="B747" s="67"/>
      <c r="E747" s="131" t="s">
        <v>1092</v>
      </c>
      <c r="F747" s="131"/>
      <c r="G747" s="131"/>
      <c r="H747" s="131"/>
      <c r="I747" s="131"/>
      <c r="J747" s="704">
        <v>6065</v>
      </c>
      <c r="K747" s="705">
        <v>5792959.0499999998</v>
      </c>
      <c r="L747" s="369">
        <v>4.9500520537307212E-2</v>
      </c>
      <c r="M747" s="377">
        <v>20.202966666666665</v>
      </c>
      <c r="N747" s="706">
        <v>5792959.0499999989</v>
      </c>
      <c r="O747" s="705">
        <v>6861694.1936150435</v>
      </c>
      <c r="P747" s="369">
        <v>4.6765685210819717E-2</v>
      </c>
      <c r="Q747" s="377">
        <v>21.383199999999999</v>
      </c>
      <c r="R747" s="706">
        <v>6861694.1936150435</v>
      </c>
      <c r="S747" s="369">
        <v>108.774</v>
      </c>
      <c r="T747" s="369">
        <v>122.52</v>
      </c>
      <c r="U747" s="369">
        <v>1.1263333333333334</v>
      </c>
      <c r="V747" s="706">
        <v>7708018.6101256497</v>
      </c>
      <c r="W747" s="706">
        <v>-1915059.5601256501</v>
      </c>
    </row>
    <row r="748" spans="2:23" ht="16">
      <c r="J748" s="345"/>
      <c r="K748" s="703"/>
      <c r="L748" s="342"/>
      <c r="M748" s="342"/>
      <c r="N748" s="340"/>
      <c r="O748" s="703"/>
      <c r="P748" s="342"/>
      <c r="Q748" s="363"/>
      <c r="R748" s="340"/>
      <c r="S748" s="342"/>
      <c r="T748" s="342"/>
      <c r="U748" s="342"/>
      <c r="V748" s="340"/>
      <c r="W748" s="340"/>
    </row>
    <row r="749" spans="2:23" ht="16">
      <c r="B749" s="67"/>
      <c r="E749" s="1" t="s">
        <v>894</v>
      </c>
      <c r="J749" s="345"/>
      <c r="K749" s="703"/>
      <c r="L749" s="342"/>
      <c r="M749" s="342"/>
      <c r="N749" s="340"/>
      <c r="O749" s="703"/>
      <c r="P749" s="342"/>
      <c r="Q749" s="363"/>
      <c r="R749" s="340"/>
      <c r="S749" s="342"/>
      <c r="T749" s="342"/>
      <c r="U749" s="342"/>
      <c r="V749" s="340"/>
      <c r="W749" s="340"/>
    </row>
    <row r="750" spans="2:23" ht="16">
      <c r="B750" s="67"/>
      <c r="F750" s="346">
        <v>44593</v>
      </c>
      <c r="G750" s="346"/>
      <c r="H750" s="346"/>
      <c r="I750" s="346"/>
      <c r="J750" s="345"/>
      <c r="K750" s="703"/>
      <c r="L750" s="342"/>
      <c r="M750" s="342"/>
      <c r="N750" s="340"/>
      <c r="O750" s="703"/>
      <c r="P750" s="342"/>
      <c r="Q750" s="363"/>
      <c r="R750" s="340"/>
      <c r="S750" s="342"/>
      <c r="T750" s="342"/>
      <c r="U750" s="342"/>
      <c r="V750" s="340"/>
      <c r="W750" s="340"/>
    </row>
    <row r="751" spans="2:23" ht="16">
      <c r="B751" s="67"/>
      <c r="G751" s="3" t="s">
        <v>60</v>
      </c>
      <c r="H751" s="3"/>
      <c r="I751" s="3"/>
      <c r="J751" s="345"/>
      <c r="K751" s="703"/>
      <c r="L751" s="342"/>
      <c r="M751" s="342"/>
      <c r="N751" s="340"/>
      <c r="O751" s="703"/>
      <c r="P751" s="342"/>
      <c r="Q751" s="363"/>
      <c r="R751" s="340"/>
      <c r="S751" s="342"/>
      <c r="T751" s="342"/>
      <c r="U751" s="342"/>
      <c r="V751" s="340"/>
      <c r="W751" s="340"/>
    </row>
    <row r="752" spans="2:23" ht="16">
      <c r="B752" s="67"/>
      <c r="H752" s="347">
        <v>43448</v>
      </c>
      <c r="I752" s="347"/>
      <c r="J752" s="345"/>
      <c r="K752" s="703"/>
      <c r="L752" s="342"/>
      <c r="M752" s="342"/>
      <c r="N752" s="340"/>
      <c r="O752" s="703"/>
      <c r="P752" s="342"/>
      <c r="Q752" s="363"/>
      <c r="R752" s="340"/>
      <c r="S752" s="342"/>
      <c r="T752" s="342"/>
      <c r="U752" s="342"/>
      <c r="V752" s="340"/>
      <c r="W752" s="340"/>
    </row>
    <row r="753" spans="2:23" ht="16">
      <c r="B753" s="67"/>
      <c r="I753" s="3" t="s">
        <v>60</v>
      </c>
      <c r="J753" s="345">
        <v>6556</v>
      </c>
      <c r="K753" s="703">
        <v>10135681.261487681</v>
      </c>
      <c r="L753" s="342">
        <v>4.7939327986500288E-2</v>
      </c>
      <c r="M753" s="342">
        <v>20.8597</v>
      </c>
      <c r="N753" s="340">
        <v>10135681.261487681</v>
      </c>
      <c r="O753" s="703">
        <v>6917081.0616542399</v>
      </c>
      <c r="P753" s="342">
        <v>4.9288034343902325E-2</v>
      </c>
      <c r="Q753" s="363">
        <v>20.288900000000002</v>
      </c>
      <c r="R753" s="340">
        <v>6917081.0616542399</v>
      </c>
      <c r="S753" s="342">
        <v>103.02</v>
      </c>
      <c r="T753" s="342">
        <v>118.002</v>
      </c>
      <c r="U753" s="342">
        <v>1.1454</v>
      </c>
      <c r="V753" s="340">
        <v>7922824.6480187662</v>
      </c>
      <c r="W753" s="340">
        <v>2212856.6134689152</v>
      </c>
    </row>
    <row r="754" spans="2:23" ht="16">
      <c r="J754" s="345"/>
      <c r="K754" s="703"/>
      <c r="L754" s="342"/>
      <c r="M754" s="342"/>
      <c r="N754" s="340"/>
      <c r="O754" s="703"/>
      <c r="P754" s="342"/>
      <c r="Q754" s="363"/>
      <c r="R754" s="340"/>
      <c r="S754" s="342"/>
      <c r="T754" s="342"/>
      <c r="U754" s="342"/>
      <c r="V754" s="340"/>
      <c r="W754" s="340"/>
    </row>
    <row r="755" spans="2:23" ht="16">
      <c r="B755" s="67"/>
      <c r="H755" s="347">
        <v>43767</v>
      </c>
      <c r="I755" s="347"/>
      <c r="J755" s="345"/>
      <c r="K755" s="703"/>
      <c r="L755" s="342"/>
      <c r="M755" s="342"/>
      <c r="N755" s="340"/>
      <c r="O755" s="703"/>
      <c r="P755" s="342"/>
      <c r="Q755" s="363"/>
      <c r="R755" s="340"/>
      <c r="S755" s="342"/>
      <c r="T755" s="342"/>
      <c r="U755" s="342"/>
      <c r="V755" s="340"/>
      <c r="W755" s="340"/>
    </row>
    <row r="756" spans="2:23" ht="16">
      <c r="B756" s="67"/>
      <c r="I756" s="3" t="s">
        <v>60</v>
      </c>
      <c r="J756" s="345">
        <v>2044</v>
      </c>
      <c r="K756" s="703">
        <v>3160056.8179500946</v>
      </c>
      <c r="L756" s="342">
        <v>4.7939327986500288E-2</v>
      </c>
      <c r="M756" s="342">
        <v>20.8597</v>
      </c>
      <c r="N756" s="340">
        <v>3160056.8179500951</v>
      </c>
      <c r="O756" s="703">
        <v>2335356.59</v>
      </c>
      <c r="P756" s="342">
        <v>5.2405408238130176E-2</v>
      </c>
      <c r="Q756" s="363">
        <v>19.082000000000001</v>
      </c>
      <c r="R756" s="340">
        <v>2335356.59</v>
      </c>
      <c r="S756" s="342">
        <v>104.503</v>
      </c>
      <c r="T756" s="342">
        <v>118.002</v>
      </c>
      <c r="U756" s="342">
        <v>1.1291</v>
      </c>
      <c r="V756" s="340">
        <v>2636851.125769</v>
      </c>
      <c r="W756" s="340">
        <v>523205.69218109502</v>
      </c>
    </row>
    <row r="757" spans="2:23" ht="16">
      <c r="J757" s="345"/>
      <c r="K757" s="703"/>
      <c r="L757" s="342"/>
      <c r="M757" s="342"/>
      <c r="N757" s="340"/>
      <c r="O757" s="703"/>
      <c r="P757" s="342"/>
      <c r="Q757" s="363"/>
      <c r="R757" s="340"/>
      <c r="S757" s="342"/>
      <c r="T757" s="342"/>
      <c r="U757" s="342"/>
      <c r="V757" s="340"/>
      <c r="W757" s="340"/>
    </row>
    <row r="758" spans="2:23" ht="16">
      <c r="B758" s="67"/>
      <c r="H758" s="347">
        <v>43937</v>
      </c>
      <c r="I758" s="347"/>
      <c r="J758" s="345"/>
      <c r="K758" s="703"/>
      <c r="L758" s="342"/>
      <c r="M758" s="342"/>
      <c r="N758" s="340"/>
      <c r="O758" s="703"/>
      <c r="P758" s="342"/>
      <c r="Q758" s="363"/>
      <c r="R758" s="340"/>
      <c r="S758" s="342"/>
      <c r="T758" s="342"/>
      <c r="U758" s="342"/>
      <c r="V758" s="340"/>
      <c r="W758" s="340"/>
    </row>
    <row r="759" spans="2:23" ht="16">
      <c r="B759" s="67"/>
      <c r="I759" s="3" t="s">
        <v>60</v>
      </c>
      <c r="J759" s="345">
        <v>2300</v>
      </c>
      <c r="K759" s="703">
        <v>3555836.9282217305</v>
      </c>
      <c r="L759" s="342">
        <v>4.7939327986500288E-2</v>
      </c>
      <c r="M759" s="342">
        <v>20.8597</v>
      </c>
      <c r="N759" s="340">
        <v>3555836.928221731</v>
      </c>
      <c r="O759" s="703">
        <v>2672527.52</v>
      </c>
      <c r="P759" s="342">
        <v>4.2436716246896815E-2</v>
      </c>
      <c r="Q759" s="363">
        <v>23.564499999999999</v>
      </c>
      <c r="R759" s="340">
        <v>2672527.5199999996</v>
      </c>
      <c r="S759" s="342">
        <v>105.755</v>
      </c>
      <c r="T759" s="342">
        <v>118.002</v>
      </c>
      <c r="U759" s="342">
        <v>1.1157999999999999</v>
      </c>
      <c r="V759" s="340">
        <v>2982006.2068159995</v>
      </c>
      <c r="W759" s="340">
        <v>573830.72140573151</v>
      </c>
    </row>
    <row r="760" spans="2:23" ht="16">
      <c r="J760" s="345"/>
      <c r="K760" s="703"/>
      <c r="L760" s="342"/>
      <c r="M760" s="342"/>
      <c r="N760" s="340"/>
      <c r="O760" s="703"/>
      <c r="P760" s="342"/>
      <c r="Q760" s="363"/>
      <c r="R760" s="340"/>
      <c r="S760" s="342"/>
      <c r="T760" s="342"/>
      <c r="U760" s="342"/>
      <c r="V760" s="340"/>
      <c r="W760" s="340"/>
    </row>
    <row r="761" spans="2:23" ht="16">
      <c r="B761" s="67"/>
      <c r="H761" s="347">
        <v>43987</v>
      </c>
      <c r="I761" s="347"/>
      <c r="J761" s="345"/>
      <c r="K761" s="703"/>
      <c r="L761" s="342"/>
      <c r="M761" s="342"/>
      <c r="N761" s="340"/>
      <c r="O761" s="703"/>
      <c r="P761" s="342"/>
      <c r="Q761" s="363"/>
      <c r="R761" s="340"/>
      <c r="S761" s="342"/>
      <c r="T761" s="342"/>
      <c r="U761" s="342"/>
      <c r="V761" s="340"/>
      <c r="W761" s="340"/>
    </row>
    <row r="762" spans="2:23" ht="16">
      <c r="B762" s="67"/>
      <c r="I762" s="3" t="s">
        <v>60</v>
      </c>
      <c r="J762" s="345">
        <v>1764</v>
      </c>
      <c r="K762" s="703">
        <v>2727172.3223404926</v>
      </c>
      <c r="L762" s="342">
        <v>4.7939327986500288E-2</v>
      </c>
      <c r="M762" s="342">
        <v>20.8597</v>
      </c>
      <c r="N762" s="340">
        <v>2727172.3223404926</v>
      </c>
      <c r="O762" s="703">
        <v>2049712.4109913043</v>
      </c>
      <c r="P762" s="342">
        <v>4.6287081738357647E-2</v>
      </c>
      <c r="Q762" s="363">
        <v>21.604299999999999</v>
      </c>
      <c r="R762" s="340">
        <v>2049712.4109913046</v>
      </c>
      <c r="S762" s="342">
        <v>106.74299999999999</v>
      </c>
      <c r="T762" s="342">
        <v>118.002</v>
      </c>
      <c r="U762" s="342">
        <v>1.1053999999999999</v>
      </c>
      <c r="V762" s="340">
        <v>2265752.099109788</v>
      </c>
      <c r="W762" s="340">
        <v>461420.22323070467</v>
      </c>
    </row>
    <row r="763" spans="2:23" ht="16">
      <c r="J763" s="345"/>
      <c r="K763" s="703"/>
      <c r="L763" s="342"/>
      <c r="M763" s="342"/>
      <c r="N763" s="340"/>
      <c r="O763" s="703"/>
      <c r="P763" s="342"/>
      <c r="Q763" s="363"/>
      <c r="R763" s="340"/>
      <c r="S763" s="342"/>
      <c r="T763" s="342"/>
      <c r="U763" s="342"/>
      <c r="V763" s="340"/>
      <c r="W763" s="340"/>
    </row>
    <row r="764" spans="2:23" ht="16">
      <c r="B764" s="67"/>
      <c r="F764" s="346">
        <v>44831</v>
      </c>
      <c r="G764" s="346"/>
      <c r="H764" s="346"/>
      <c r="I764" s="346"/>
      <c r="J764" s="345"/>
      <c r="K764" s="703"/>
      <c r="L764" s="342"/>
      <c r="M764" s="342"/>
      <c r="N764" s="340"/>
      <c r="O764" s="703"/>
      <c r="P764" s="342"/>
      <c r="Q764" s="363"/>
      <c r="R764" s="340"/>
      <c r="S764" s="342"/>
      <c r="T764" s="342"/>
      <c r="U764" s="342"/>
      <c r="V764" s="340"/>
      <c r="W764" s="340"/>
    </row>
    <row r="765" spans="2:23" ht="16">
      <c r="B765" s="67"/>
      <c r="G765" s="3" t="s">
        <v>60</v>
      </c>
      <c r="H765" s="3"/>
      <c r="I765" s="3"/>
      <c r="J765" s="345"/>
      <c r="K765" s="703"/>
      <c r="L765" s="342"/>
      <c r="M765" s="342"/>
      <c r="N765" s="340"/>
      <c r="O765" s="703"/>
      <c r="P765" s="342"/>
      <c r="Q765" s="363"/>
      <c r="R765" s="340"/>
      <c r="S765" s="342"/>
      <c r="T765" s="342"/>
      <c r="U765" s="342"/>
      <c r="V765" s="340"/>
      <c r="W765" s="340"/>
    </row>
    <row r="766" spans="2:23" ht="16">
      <c r="B766" s="67"/>
      <c r="H766" s="347">
        <v>43987</v>
      </c>
      <c r="I766" s="347"/>
      <c r="J766" s="345"/>
      <c r="K766" s="703"/>
      <c r="L766" s="342"/>
      <c r="M766" s="342"/>
      <c r="N766" s="340"/>
      <c r="O766" s="703"/>
      <c r="P766" s="342"/>
      <c r="Q766" s="363"/>
      <c r="R766" s="340"/>
      <c r="S766" s="342"/>
      <c r="T766" s="342"/>
      <c r="U766" s="342"/>
      <c r="V766" s="340"/>
      <c r="W766" s="340"/>
    </row>
    <row r="767" spans="2:23" ht="16">
      <c r="B767" s="67"/>
      <c r="I767" s="3" t="s">
        <v>60</v>
      </c>
      <c r="J767" s="345">
        <v>376</v>
      </c>
      <c r="K767" s="703">
        <v>419975.01</v>
      </c>
      <c r="L767" s="342">
        <v>4.9596532210467843E-2</v>
      </c>
      <c r="M767" s="342">
        <v>20.162700000000001</v>
      </c>
      <c r="N767" s="340">
        <v>419975.01</v>
      </c>
      <c r="O767" s="703">
        <v>467316.39263955894</v>
      </c>
      <c r="P767" s="342">
        <v>4.6287081738357647E-2</v>
      </c>
      <c r="Q767" s="363">
        <v>21.604299999999999</v>
      </c>
      <c r="R767" s="340">
        <v>467316.39263955894</v>
      </c>
      <c r="S767" s="342">
        <v>106.74299999999999</v>
      </c>
      <c r="T767" s="342">
        <v>123.803</v>
      </c>
      <c r="U767" s="342">
        <v>1.1597999999999999</v>
      </c>
      <c r="V767" s="340">
        <v>541993.55218336044</v>
      </c>
      <c r="W767" s="340">
        <v>-122018.54218336043</v>
      </c>
    </row>
    <row r="768" spans="2:23" ht="16">
      <c r="J768" s="345"/>
      <c r="K768" s="703"/>
      <c r="L768" s="342"/>
      <c r="M768" s="342"/>
      <c r="N768" s="340"/>
      <c r="O768" s="703"/>
      <c r="P768" s="342"/>
      <c r="Q768" s="363"/>
      <c r="R768" s="340"/>
      <c r="S768" s="342"/>
      <c r="T768" s="342"/>
      <c r="U768" s="342"/>
      <c r="V768" s="340"/>
      <c r="W768" s="340"/>
    </row>
    <row r="769" spans="2:23" ht="16">
      <c r="B769" s="67"/>
      <c r="E769" s="131" t="s">
        <v>1093</v>
      </c>
      <c r="F769" s="131"/>
      <c r="G769" s="131"/>
      <c r="H769" s="131"/>
      <c r="I769" s="131"/>
      <c r="J769" s="704">
        <v>13040</v>
      </c>
      <c r="K769" s="705">
        <v>19998722.34</v>
      </c>
      <c r="L769" s="369">
        <v>4.8270768831293796E-2</v>
      </c>
      <c r="M769" s="377">
        <v>20.720300000000002</v>
      </c>
      <c r="N769" s="706">
        <v>19998722.340000004</v>
      </c>
      <c r="O769" s="705">
        <v>14441993.975285102</v>
      </c>
      <c r="P769" s="369">
        <v>4.734086446112893E-2</v>
      </c>
      <c r="Q769" s="377">
        <v>21.2288</v>
      </c>
      <c r="R769" s="706">
        <v>14441993.975285102</v>
      </c>
      <c r="S769" s="369">
        <v>105.3528</v>
      </c>
      <c r="T769" s="369">
        <v>119.16219999999998</v>
      </c>
      <c r="U769" s="369">
        <v>1.1310999999999998</v>
      </c>
      <c r="V769" s="706">
        <v>16349427.631896913</v>
      </c>
      <c r="W769" s="706">
        <v>3649294.7081030859</v>
      </c>
    </row>
    <row r="770" spans="2:23" ht="16">
      <c r="J770" s="345"/>
      <c r="K770" s="703"/>
      <c r="L770" s="342"/>
      <c r="M770" s="342"/>
      <c r="N770" s="340"/>
      <c r="O770" s="703"/>
      <c r="P770" s="342"/>
      <c r="Q770" s="363"/>
      <c r="R770" s="340"/>
      <c r="S770" s="342"/>
      <c r="T770" s="342"/>
      <c r="U770" s="342"/>
      <c r="V770" s="340"/>
      <c r="W770" s="340"/>
    </row>
    <row r="771" spans="2:23" ht="16">
      <c r="B771" s="67"/>
      <c r="E771" s="1" t="s">
        <v>895</v>
      </c>
      <c r="J771" s="345"/>
      <c r="K771" s="703"/>
      <c r="L771" s="342"/>
      <c r="M771" s="342"/>
      <c r="N771" s="340"/>
      <c r="O771" s="703"/>
      <c r="P771" s="342"/>
      <c r="Q771" s="363"/>
      <c r="R771" s="340"/>
      <c r="S771" s="342"/>
      <c r="T771" s="342"/>
      <c r="U771" s="342"/>
      <c r="V771" s="340"/>
      <c r="W771" s="340"/>
    </row>
    <row r="772" spans="2:23" ht="16">
      <c r="B772" s="67"/>
      <c r="F772" s="346">
        <v>44593</v>
      </c>
      <c r="G772" s="346"/>
      <c r="H772" s="346"/>
      <c r="I772" s="346"/>
      <c r="J772" s="345"/>
      <c r="K772" s="703"/>
      <c r="L772" s="342"/>
      <c r="M772" s="342"/>
      <c r="N772" s="340"/>
      <c r="O772" s="703"/>
      <c r="P772" s="342"/>
      <c r="Q772" s="363"/>
      <c r="R772" s="340"/>
      <c r="S772" s="342"/>
      <c r="T772" s="342"/>
      <c r="U772" s="342"/>
      <c r="V772" s="340"/>
      <c r="W772" s="340"/>
    </row>
    <row r="773" spans="2:23" ht="16">
      <c r="B773" s="67"/>
      <c r="G773" s="3" t="s">
        <v>60</v>
      </c>
      <c r="H773" s="3"/>
      <c r="I773" s="3"/>
      <c r="J773" s="345"/>
      <c r="K773" s="703"/>
      <c r="L773" s="342"/>
      <c r="M773" s="342"/>
      <c r="N773" s="340"/>
      <c r="O773" s="703"/>
      <c r="P773" s="342"/>
      <c r="Q773" s="363"/>
      <c r="R773" s="340"/>
      <c r="S773" s="342"/>
      <c r="T773" s="342"/>
      <c r="U773" s="342"/>
      <c r="V773" s="340"/>
      <c r="W773" s="340"/>
    </row>
    <row r="774" spans="2:23" ht="16">
      <c r="B774" s="67"/>
      <c r="H774" s="347">
        <v>43103</v>
      </c>
      <c r="I774" s="347"/>
      <c r="J774" s="345"/>
      <c r="K774" s="703"/>
      <c r="L774" s="342"/>
      <c r="M774" s="342"/>
      <c r="N774" s="340"/>
      <c r="O774" s="703"/>
      <c r="P774" s="342"/>
      <c r="Q774" s="363"/>
      <c r="R774" s="340"/>
      <c r="S774" s="342"/>
      <c r="T774" s="342"/>
      <c r="U774" s="342"/>
      <c r="V774" s="340"/>
      <c r="W774" s="340"/>
    </row>
    <row r="775" spans="2:23" ht="16">
      <c r="B775" s="67"/>
      <c r="I775" s="3" t="s">
        <v>60</v>
      </c>
      <c r="J775" s="345">
        <v>626</v>
      </c>
      <c r="K775" s="703">
        <v>5914751.3600000003</v>
      </c>
      <c r="L775" s="342">
        <v>4.7939327986500288E-2</v>
      </c>
      <c r="M775" s="342">
        <v>20.8597</v>
      </c>
      <c r="N775" s="340">
        <v>5914751.3600000013</v>
      </c>
      <c r="O775" s="703">
        <v>3159668.4962039096</v>
      </c>
      <c r="P775" s="342">
        <v>5.0857198073529335E-2</v>
      </c>
      <c r="Q775" s="363">
        <v>19.6629</v>
      </c>
      <c r="R775" s="340">
        <v>3159668.4962039096</v>
      </c>
      <c r="S775" s="342">
        <v>98.794999699501005</v>
      </c>
      <c r="T775" s="342">
        <v>118.002</v>
      </c>
      <c r="U775" s="342">
        <v>1.1943999999999999</v>
      </c>
      <c r="V775" s="340">
        <v>3773908.0518659493</v>
      </c>
      <c r="W775" s="340">
        <v>2140843.308134052</v>
      </c>
    </row>
    <row r="776" spans="2:23" ht="16">
      <c r="J776" s="345"/>
      <c r="K776" s="703"/>
      <c r="L776" s="342"/>
      <c r="M776" s="342"/>
      <c r="N776" s="340"/>
      <c r="O776" s="703"/>
      <c r="P776" s="342"/>
      <c r="Q776" s="363"/>
      <c r="R776" s="340"/>
      <c r="S776" s="342"/>
      <c r="T776" s="342"/>
      <c r="U776" s="342"/>
      <c r="V776" s="340"/>
      <c r="W776" s="340"/>
    </row>
    <row r="777" spans="2:23" ht="16">
      <c r="B777" s="67"/>
      <c r="F777" s="346">
        <v>44831</v>
      </c>
      <c r="G777" s="346"/>
      <c r="H777" s="346"/>
      <c r="I777" s="346"/>
      <c r="J777" s="345"/>
      <c r="K777" s="703"/>
      <c r="L777" s="342"/>
      <c r="M777" s="342"/>
      <c r="N777" s="340"/>
      <c r="O777" s="703"/>
      <c r="P777" s="342"/>
      <c r="Q777" s="363"/>
      <c r="R777" s="340"/>
      <c r="S777" s="342"/>
      <c r="T777" s="342"/>
      <c r="U777" s="342"/>
      <c r="V777" s="340"/>
      <c r="W777" s="340"/>
    </row>
    <row r="778" spans="2:23" ht="16">
      <c r="B778" s="67"/>
      <c r="G778" s="3" t="s">
        <v>60</v>
      </c>
      <c r="H778" s="3"/>
      <c r="I778" s="3"/>
      <c r="J778" s="345"/>
      <c r="K778" s="703"/>
      <c r="L778" s="342"/>
      <c r="M778" s="342"/>
      <c r="N778" s="340"/>
      <c r="O778" s="703"/>
      <c r="P778" s="342"/>
      <c r="Q778" s="363"/>
      <c r="R778" s="340"/>
      <c r="S778" s="342"/>
      <c r="T778" s="342"/>
      <c r="U778" s="342"/>
      <c r="V778" s="340"/>
      <c r="W778" s="340"/>
    </row>
    <row r="779" spans="2:23" ht="16">
      <c r="B779" s="67"/>
      <c r="H779" s="347">
        <v>43103</v>
      </c>
      <c r="I779" s="347"/>
      <c r="J779" s="345"/>
      <c r="K779" s="703"/>
      <c r="L779" s="342"/>
      <c r="M779" s="342"/>
      <c r="N779" s="340"/>
      <c r="O779" s="703"/>
      <c r="P779" s="342"/>
      <c r="Q779" s="363"/>
      <c r="R779" s="340"/>
      <c r="S779" s="342"/>
      <c r="T779" s="342"/>
      <c r="U779" s="342"/>
      <c r="V779" s="340"/>
      <c r="W779" s="340"/>
    </row>
    <row r="780" spans="2:23" ht="16">
      <c r="B780" s="67"/>
      <c r="I780" s="3" t="s">
        <v>60</v>
      </c>
      <c r="J780" s="345">
        <v>1961</v>
      </c>
      <c r="K780" s="703">
        <v>15216676.41</v>
      </c>
      <c r="L780" s="342">
        <v>4.9596532210467843E-2</v>
      </c>
      <c r="M780" s="342">
        <v>20.162700000000001</v>
      </c>
      <c r="N780" s="340">
        <v>15216676.41</v>
      </c>
      <c r="O780" s="703">
        <v>9897939.1710157618</v>
      </c>
      <c r="P780" s="342">
        <v>5.0857198073529335E-2</v>
      </c>
      <c r="Q780" s="363">
        <v>19.6629</v>
      </c>
      <c r="R780" s="340">
        <v>9897939.1710157618</v>
      </c>
      <c r="S780" s="342">
        <v>98.794999699501005</v>
      </c>
      <c r="T780" s="342">
        <v>123.803</v>
      </c>
      <c r="U780" s="342">
        <v>1.2531000000000001</v>
      </c>
      <c r="V780" s="340">
        <v>12403107.575199852</v>
      </c>
      <c r="W780" s="340">
        <v>2813568.8348001484</v>
      </c>
    </row>
    <row r="781" spans="2:23" ht="16">
      <c r="J781" s="345"/>
      <c r="K781" s="703"/>
      <c r="L781" s="342"/>
      <c r="M781" s="342"/>
      <c r="N781" s="340"/>
      <c r="O781" s="703"/>
      <c r="P781" s="342"/>
      <c r="Q781" s="363"/>
      <c r="R781" s="340"/>
      <c r="S781" s="342"/>
      <c r="T781" s="342"/>
      <c r="U781" s="342"/>
      <c r="V781" s="340"/>
      <c r="W781" s="340"/>
    </row>
    <row r="782" spans="2:23" ht="16">
      <c r="B782" s="67"/>
      <c r="F782" s="346">
        <v>44792</v>
      </c>
      <c r="G782" s="346"/>
      <c r="H782" s="346"/>
      <c r="I782" s="346"/>
      <c r="J782" s="345"/>
      <c r="K782" s="703"/>
      <c r="L782" s="342"/>
      <c r="M782" s="342"/>
      <c r="N782" s="340"/>
      <c r="O782" s="703"/>
      <c r="P782" s="342"/>
      <c r="Q782" s="363"/>
      <c r="R782" s="340"/>
      <c r="S782" s="342"/>
      <c r="T782" s="342"/>
      <c r="U782" s="342"/>
      <c r="V782" s="340"/>
      <c r="W782" s="340"/>
    </row>
    <row r="783" spans="2:23" ht="16">
      <c r="B783" s="67"/>
      <c r="G783" s="3" t="s">
        <v>60</v>
      </c>
      <c r="H783" s="3"/>
      <c r="I783" s="3"/>
      <c r="J783" s="345"/>
      <c r="K783" s="703"/>
      <c r="L783" s="342"/>
      <c r="M783" s="342"/>
      <c r="N783" s="340"/>
      <c r="O783" s="703"/>
      <c r="P783" s="342"/>
      <c r="Q783" s="363"/>
      <c r="R783" s="340"/>
      <c r="S783" s="342"/>
      <c r="T783" s="342"/>
      <c r="U783" s="342"/>
      <c r="V783" s="340"/>
      <c r="W783" s="340"/>
    </row>
    <row r="784" spans="2:23" ht="16">
      <c r="B784" s="67"/>
      <c r="H784" s="347">
        <v>43103</v>
      </c>
      <c r="I784" s="347"/>
      <c r="J784" s="345"/>
      <c r="K784" s="703"/>
      <c r="L784" s="342"/>
      <c r="M784" s="342"/>
      <c r="N784" s="340"/>
      <c r="O784" s="703"/>
      <c r="P784" s="342"/>
      <c r="Q784" s="363"/>
      <c r="R784" s="340"/>
      <c r="S784" s="342"/>
      <c r="T784" s="342"/>
      <c r="U784" s="342"/>
      <c r="V784" s="340"/>
      <c r="W784" s="340"/>
    </row>
    <row r="785" spans="2:23" ht="16">
      <c r="B785" s="67"/>
      <c r="I785" s="3" t="s">
        <v>60</v>
      </c>
      <c r="J785" s="345">
        <v>3520</v>
      </c>
      <c r="K785" s="703">
        <v>30967199.850000001</v>
      </c>
      <c r="L785" s="342">
        <v>4.9903436849695844E-2</v>
      </c>
      <c r="M785" s="342">
        <v>20.038699999999999</v>
      </c>
      <c r="N785" s="340">
        <v>30967199.850000001</v>
      </c>
      <c r="O785" s="703">
        <v>17766826.048942111</v>
      </c>
      <c r="P785" s="342">
        <v>5.0857198073529335E-2</v>
      </c>
      <c r="Q785" s="363">
        <v>19.6629</v>
      </c>
      <c r="R785" s="340">
        <v>17766826.048942111</v>
      </c>
      <c r="S785" s="342">
        <v>98.794999699501005</v>
      </c>
      <c r="T785" s="342">
        <v>122.94799999999999</v>
      </c>
      <c r="U785" s="342">
        <v>1.2444</v>
      </c>
      <c r="V785" s="340">
        <v>22109038.335303564</v>
      </c>
      <c r="W785" s="340">
        <v>8858161.5146964379</v>
      </c>
    </row>
    <row r="786" spans="2:23" ht="16">
      <c r="J786" s="345"/>
      <c r="K786" s="703"/>
      <c r="L786" s="342"/>
      <c r="M786" s="342"/>
      <c r="N786" s="340"/>
      <c r="O786" s="703"/>
      <c r="P786" s="342"/>
      <c r="Q786" s="363"/>
      <c r="R786" s="340"/>
      <c r="S786" s="342"/>
      <c r="T786" s="342"/>
      <c r="U786" s="342"/>
      <c r="V786" s="340"/>
      <c r="W786" s="340"/>
    </row>
    <row r="787" spans="2:23" ht="16">
      <c r="B787" s="67"/>
      <c r="E787" s="131" t="s">
        <v>1094</v>
      </c>
      <c r="F787" s="131"/>
      <c r="G787" s="131"/>
      <c r="H787" s="131"/>
      <c r="I787" s="131"/>
      <c r="J787" s="704">
        <v>6107</v>
      </c>
      <c r="K787" s="705">
        <v>52098627.620000005</v>
      </c>
      <c r="L787" s="369">
        <v>4.9146432348887992E-2</v>
      </c>
      <c r="M787" s="377">
        <v>20.3537</v>
      </c>
      <c r="N787" s="706">
        <v>52098627.620000005</v>
      </c>
      <c r="O787" s="705">
        <v>30824433.716161784</v>
      </c>
      <c r="P787" s="369">
        <v>5.0857198073529335E-2</v>
      </c>
      <c r="Q787" s="377">
        <v>19.6629</v>
      </c>
      <c r="R787" s="706">
        <v>30824433.716161784</v>
      </c>
      <c r="S787" s="369">
        <v>98.79499969950102</v>
      </c>
      <c r="T787" s="369">
        <v>121.58433333333333</v>
      </c>
      <c r="U787" s="369">
        <v>1.2306333333333332</v>
      </c>
      <c r="V787" s="706">
        <v>38286053.962369367</v>
      </c>
      <c r="W787" s="706">
        <v>13812573.657630637</v>
      </c>
    </row>
    <row r="788" spans="2:23" ht="16">
      <c r="J788" s="345"/>
      <c r="K788" s="703"/>
      <c r="L788" s="342"/>
      <c r="M788" s="342"/>
      <c r="N788" s="340"/>
      <c r="O788" s="703"/>
      <c r="P788" s="342"/>
      <c r="Q788" s="363"/>
      <c r="R788" s="340"/>
      <c r="S788" s="342"/>
      <c r="T788" s="342"/>
      <c r="U788" s="342"/>
      <c r="V788" s="340"/>
      <c r="W788" s="340"/>
    </row>
    <row r="789" spans="2:23" ht="16">
      <c r="B789" s="67"/>
      <c r="E789" s="1" t="s">
        <v>1028</v>
      </c>
      <c r="J789" s="345"/>
      <c r="K789" s="703"/>
      <c r="L789" s="342"/>
      <c r="M789" s="342"/>
      <c r="N789" s="340"/>
      <c r="O789" s="703"/>
      <c r="P789" s="342"/>
      <c r="Q789" s="363"/>
      <c r="R789" s="340"/>
      <c r="S789" s="342"/>
      <c r="T789" s="342"/>
      <c r="U789" s="342"/>
      <c r="V789" s="340"/>
      <c r="W789" s="340"/>
    </row>
    <row r="790" spans="2:23" ht="16">
      <c r="B790" s="67"/>
      <c r="F790" s="346">
        <v>44831</v>
      </c>
      <c r="G790" s="346"/>
      <c r="H790" s="346"/>
      <c r="I790" s="346"/>
      <c r="J790" s="345"/>
      <c r="K790" s="703"/>
      <c r="L790" s="342"/>
      <c r="M790" s="342"/>
      <c r="N790" s="340"/>
      <c r="O790" s="703"/>
      <c r="P790" s="342"/>
      <c r="Q790" s="363"/>
      <c r="R790" s="340"/>
      <c r="S790" s="342"/>
      <c r="T790" s="342"/>
      <c r="U790" s="342"/>
      <c r="V790" s="340"/>
      <c r="W790" s="340"/>
    </row>
    <row r="791" spans="2:23" ht="16">
      <c r="B791" s="67"/>
      <c r="G791" s="3" t="s">
        <v>60</v>
      </c>
      <c r="H791" s="3"/>
      <c r="I791" s="3"/>
      <c r="J791" s="345"/>
      <c r="K791" s="703"/>
      <c r="L791" s="342"/>
      <c r="M791" s="342"/>
      <c r="N791" s="340"/>
      <c r="O791" s="703"/>
      <c r="P791" s="342"/>
      <c r="Q791" s="363"/>
      <c r="R791" s="340"/>
      <c r="S791" s="342"/>
      <c r="T791" s="342"/>
      <c r="U791" s="342"/>
      <c r="V791" s="340"/>
      <c r="W791" s="340"/>
    </row>
    <row r="792" spans="2:23" ht="16">
      <c r="B792" s="67"/>
      <c r="H792" s="347">
        <v>43103</v>
      </c>
      <c r="I792" s="347"/>
      <c r="J792" s="345"/>
      <c r="K792" s="703"/>
      <c r="L792" s="342"/>
      <c r="M792" s="342"/>
      <c r="N792" s="340"/>
      <c r="O792" s="703"/>
      <c r="P792" s="342"/>
      <c r="Q792" s="363"/>
      <c r="R792" s="340"/>
      <c r="S792" s="342"/>
      <c r="T792" s="342"/>
      <c r="U792" s="342"/>
      <c r="V792" s="340"/>
      <c r="W792" s="340"/>
    </row>
    <row r="793" spans="2:23" ht="16">
      <c r="B793" s="67"/>
      <c r="I793" s="3" t="s">
        <v>60</v>
      </c>
      <c r="J793" s="345">
        <v>1120</v>
      </c>
      <c r="K793" s="703">
        <v>3133984.32</v>
      </c>
      <c r="L793" s="342">
        <v>4.9596532210467843E-2</v>
      </c>
      <c r="M793" s="342">
        <v>20.162700000000001</v>
      </c>
      <c r="N793" s="340">
        <v>3133984.32</v>
      </c>
      <c r="O793" s="703">
        <v>3414649.6882434911</v>
      </c>
      <c r="P793" s="342">
        <v>5.0857198073529335E-2</v>
      </c>
      <c r="Q793" s="363">
        <v>19.6629</v>
      </c>
      <c r="R793" s="340">
        <v>3414649.6882434911</v>
      </c>
      <c r="S793" s="342">
        <v>98.794999699501005</v>
      </c>
      <c r="T793" s="342">
        <v>123.803</v>
      </c>
      <c r="U793" s="342">
        <v>1.2531000000000001</v>
      </c>
      <c r="V793" s="340">
        <v>4278897.5243379194</v>
      </c>
      <c r="W793" s="340">
        <v>-1144913.2043379196</v>
      </c>
    </row>
    <row r="794" spans="2:23" ht="16">
      <c r="J794" s="345"/>
      <c r="K794" s="703"/>
      <c r="L794" s="342"/>
      <c r="M794" s="342"/>
      <c r="N794" s="340"/>
      <c r="O794" s="703"/>
      <c r="P794" s="342"/>
      <c r="Q794" s="363"/>
      <c r="R794" s="340"/>
      <c r="S794" s="342"/>
      <c r="T794" s="342"/>
      <c r="U794" s="342"/>
      <c r="V794" s="340"/>
      <c r="W794" s="340"/>
    </row>
    <row r="795" spans="2:23" ht="16">
      <c r="B795" s="67"/>
      <c r="F795" s="346">
        <v>44792</v>
      </c>
      <c r="G795" s="346"/>
      <c r="H795" s="346"/>
      <c r="I795" s="346"/>
      <c r="J795" s="345"/>
      <c r="K795" s="703"/>
      <c r="L795" s="342"/>
      <c r="M795" s="342"/>
      <c r="N795" s="340"/>
      <c r="O795" s="703"/>
      <c r="P795" s="342"/>
      <c r="Q795" s="363"/>
      <c r="R795" s="340"/>
      <c r="S795" s="342"/>
      <c r="T795" s="342"/>
      <c r="U795" s="342"/>
      <c r="V795" s="340"/>
      <c r="W795" s="340"/>
    </row>
    <row r="796" spans="2:23" ht="16">
      <c r="B796" s="67"/>
      <c r="G796" s="3" t="s">
        <v>60</v>
      </c>
      <c r="H796" s="3"/>
      <c r="I796" s="3"/>
      <c r="J796" s="345"/>
      <c r="K796" s="703"/>
      <c r="L796" s="342"/>
      <c r="M796" s="342"/>
      <c r="N796" s="340"/>
      <c r="O796" s="703"/>
      <c r="P796" s="342"/>
      <c r="Q796" s="363"/>
      <c r="R796" s="340"/>
      <c r="S796" s="342"/>
      <c r="T796" s="342"/>
      <c r="U796" s="342"/>
      <c r="V796" s="340"/>
      <c r="W796" s="340"/>
    </row>
    <row r="797" spans="2:23" ht="16">
      <c r="B797" s="67"/>
      <c r="H797" s="347">
        <v>43103</v>
      </c>
      <c r="I797" s="347"/>
      <c r="J797" s="345"/>
      <c r="K797" s="703"/>
      <c r="L797" s="342"/>
      <c r="M797" s="342"/>
      <c r="N797" s="340"/>
      <c r="O797" s="703"/>
      <c r="P797" s="342"/>
      <c r="Q797" s="363"/>
      <c r="R797" s="340"/>
      <c r="S797" s="342"/>
      <c r="T797" s="342"/>
      <c r="U797" s="342"/>
      <c r="V797" s="340"/>
      <c r="W797" s="340"/>
    </row>
    <row r="798" spans="2:23" ht="16">
      <c r="B798" s="67"/>
      <c r="I798" s="3" t="s">
        <v>60</v>
      </c>
      <c r="J798" s="345">
        <v>968</v>
      </c>
      <c r="K798" s="703">
        <v>3035763.08</v>
      </c>
      <c r="L798" s="342">
        <v>4.9903436849695844E-2</v>
      </c>
      <c r="M798" s="342">
        <v>20.038699999999999</v>
      </c>
      <c r="N798" s="340">
        <v>3035763.0800000005</v>
      </c>
      <c r="O798" s="703">
        <v>2951232.944839017</v>
      </c>
      <c r="P798" s="342">
        <v>5.0857198073529335E-2</v>
      </c>
      <c r="Q798" s="363">
        <v>19.6629</v>
      </c>
      <c r="R798" s="340">
        <v>2951232.944839017</v>
      </c>
      <c r="S798" s="342">
        <v>98.794999699501005</v>
      </c>
      <c r="T798" s="342">
        <v>122.94799999999999</v>
      </c>
      <c r="U798" s="342">
        <v>1.2444</v>
      </c>
      <c r="V798" s="340">
        <v>3672514.2765576728</v>
      </c>
      <c r="W798" s="340">
        <v>-636751.19655767223</v>
      </c>
    </row>
    <row r="799" spans="2:23" ht="16">
      <c r="J799" s="345"/>
      <c r="K799" s="703"/>
      <c r="L799" s="342"/>
      <c r="M799" s="342"/>
      <c r="N799" s="340"/>
      <c r="O799" s="703"/>
      <c r="P799" s="342"/>
      <c r="Q799" s="363"/>
      <c r="R799" s="340"/>
      <c r="S799" s="342"/>
      <c r="T799" s="342"/>
      <c r="U799" s="342"/>
      <c r="V799" s="340"/>
      <c r="W799" s="340"/>
    </row>
    <row r="800" spans="2:23" ht="16">
      <c r="B800" s="67"/>
      <c r="E800" s="131" t="s">
        <v>1095</v>
      </c>
      <c r="F800" s="131"/>
      <c r="G800" s="131"/>
      <c r="H800" s="131"/>
      <c r="I800" s="131"/>
      <c r="J800" s="704">
        <v>2088</v>
      </c>
      <c r="K800" s="705">
        <v>6169747.4000000004</v>
      </c>
      <c r="L800" s="369">
        <v>4.9749984530081844E-2</v>
      </c>
      <c r="M800" s="377">
        <v>20.1007</v>
      </c>
      <c r="N800" s="706">
        <v>6169747.4000000004</v>
      </c>
      <c r="O800" s="705">
        <v>6365882.6330825081</v>
      </c>
      <c r="P800" s="369">
        <v>5.0857198073529335E-2</v>
      </c>
      <c r="Q800" s="377">
        <v>19.6629</v>
      </c>
      <c r="R800" s="706">
        <v>6365882.6330825081</v>
      </c>
      <c r="S800" s="369">
        <v>98.794999699501005</v>
      </c>
      <c r="T800" s="369">
        <v>123.37549999999999</v>
      </c>
      <c r="U800" s="369">
        <v>1.24875</v>
      </c>
      <c r="V800" s="706">
        <v>7951411.8008955922</v>
      </c>
      <c r="W800" s="706">
        <v>-1781664.4008955918</v>
      </c>
    </row>
    <row r="801" spans="2:23" ht="16">
      <c r="J801" s="345"/>
      <c r="K801" s="703"/>
      <c r="L801" s="342"/>
      <c r="M801" s="342"/>
      <c r="N801" s="340"/>
      <c r="O801" s="703"/>
      <c r="P801" s="342"/>
      <c r="Q801" s="363"/>
      <c r="R801" s="340"/>
      <c r="S801" s="342"/>
      <c r="T801" s="342"/>
      <c r="U801" s="342"/>
      <c r="V801" s="340"/>
      <c r="W801" s="340"/>
    </row>
    <row r="802" spans="2:23" ht="16">
      <c r="B802" s="67"/>
      <c r="E802" s="1" t="s">
        <v>1029</v>
      </c>
      <c r="J802" s="345"/>
      <c r="K802" s="703"/>
      <c r="L802" s="342"/>
      <c r="M802" s="342"/>
      <c r="N802" s="340"/>
      <c r="O802" s="703"/>
      <c r="P802" s="342"/>
      <c r="Q802" s="363"/>
      <c r="R802" s="340"/>
      <c r="S802" s="342"/>
      <c r="T802" s="342"/>
      <c r="U802" s="342"/>
      <c r="V802" s="340"/>
      <c r="W802" s="340"/>
    </row>
    <row r="803" spans="2:23" ht="16">
      <c r="B803" s="67"/>
      <c r="F803" s="346">
        <v>44831</v>
      </c>
      <c r="G803" s="346"/>
      <c r="H803" s="346"/>
      <c r="I803" s="346"/>
      <c r="J803" s="345"/>
      <c r="K803" s="703"/>
      <c r="L803" s="342"/>
      <c r="M803" s="342"/>
      <c r="N803" s="340"/>
      <c r="O803" s="703"/>
      <c r="P803" s="342"/>
      <c r="Q803" s="363"/>
      <c r="R803" s="340"/>
      <c r="S803" s="342"/>
      <c r="T803" s="342"/>
      <c r="U803" s="342"/>
      <c r="V803" s="340"/>
      <c r="W803" s="340"/>
    </row>
    <row r="804" spans="2:23" ht="16">
      <c r="B804" s="67"/>
      <c r="G804" s="3" t="s">
        <v>60</v>
      </c>
      <c r="H804" s="3"/>
      <c r="I804" s="3"/>
      <c r="J804" s="345"/>
      <c r="K804" s="703"/>
      <c r="L804" s="342"/>
      <c r="M804" s="342"/>
      <c r="N804" s="340"/>
      <c r="O804" s="703"/>
      <c r="P804" s="342"/>
      <c r="Q804" s="363"/>
      <c r="R804" s="340"/>
      <c r="S804" s="342"/>
      <c r="T804" s="342"/>
      <c r="U804" s="342"/>
      <c r="V804" s="340"/>
      <c r="W804" s="340"/>
    </row>
    <row r="805" spans="2:23" ht="16">
      <c r="B805" s="67"/>
      <c r="H805" s="347">
        <v>43602</v>
      </c>
      <c r="I805" s="347"/>
      <c r="J805" s="345"/>
      <c r="K805" s="703"/>
      <c r="L805" s="342"/>
      <c r="M805" s="342"/>
      <c r="N805" s="340"/>
      <c r="O805" s="703"/>
      <c r="P805" s="342"/>
      <c r="Q805" s="363"/>
      <c r="R805" s="340"/>
      <c r="S805" s="342"/>
      <c r="T805" s="342"/>
      <c r="U805" s="342"/>
      <c r="V805" s="340"/>
      <c r="W805" s="340"/>
    </row>
    <row r="806" spans="2:23" ht="16">
      <c r="B806" s="67"/>
      <c r="I806" s="3" t="s">
        <v>60</v>
      </c>
      <c r="J806" s="345">
        <v>422</v>
      </c>
      <c r="K806" s="703">
        <v>1236569.9976315789</v>
      </c>
      <c r="L806" s="342">
        <v>4.9596532210467843E-2</v>
      </c>
      <c r="M806" s="342">
        <v>20.162700000000001</v>
      </c>
      <c r="N806" s="340">
        <v>1236569.9976315789</v>
      </c>
      <c r="O806" s="703">
        <v>1199730.2312463976</v>
      </c>
      <c r="P806" s="342">
        <v>5.2291409567236297E-2</v>
      </c>
      <c r="Q806" s="363">
        <v>19.1236</v>
      </c>
      <c r="R806" s="340">
        <v>1199730.2312463976</v>
      </c>
      <c r="S806" s="342">
        <v>103.233</v>
      </c>
      <c r="T806" s="342">
        <v>123.803</v>
      </c>
      <c r="U806" s="342">
        <v>1.1992</v>
      </c>
      <c r="V806" s="340">
        <v>1438716.4933106801</v>
      </c>
      <c r="W806" s="340">
        <v>-202146.49567910121</v>
      </c>
    </row>
    <row r="807" spans="2:23" ht="16">
      <c r="J807" s="345"/>
      <c r="K807" s="703"/>
      <c r="L807" s="342"/>
      <c r="M807" s="342"/>
      <c r="N807" s="340"/>
      <c r="O807" s="703"/>
      <c r="P807" s="342"/>
      <c r="Q807" s="363"/>
      <c r="R807" s="340"/>
      <c r="S807" s="342"/>
      <c r="T807" s="342"/>
      <c r="U807" s="342"/>
      <c r="V807" s="340"/>
      <c r="W807" s="340"/>
    </row>
    <row r="808" spans="2:23" ht="16">
      <c r="B808" s="67"/>
      <c r="H808" s="347">
        <v>43623</v>
      </c>
      <c r="I808" s="347"/>
      <c r="J808" s="345"/>
      <c r="K808" s="703"/>
      <c r="L808" s="342"/>
      <c r="M808" s="342"/>
      <c r="N808" s="340"/>
      <c r="O808" s="703"/>
      <c r="P808" s="342"/>
      <c r="Q808" s="363"/>
      <c r="R808" s="340"/>
      <c r="S808" s="342"/>
      <c r="T808" s="342"/>
      <c r="U808" s="342"/>
      <c r="V808" s="340"/>
      <c r="W808" s="340"/>
    </row>
    <row r="809" spans="2:23" ht="16">
      <c r="B809" s="67"/>
      <c r="I809" s="3" t="s">
        <v>60</v>
      </c>
      <c r="J809" s="345">
        <v>186</v>
      </c>
      <c r="K809" s="703">
        <v>545028.48236842104</v>
      </c>
      <c r="L809" s="342">
        <v>4.9596532210467843E-2</v>
      </c>
      <c r="M809" s="342">
        <v>20.162700000000001</v>
      </c>
      <c r="N809" s="340">
        <v>545028.48236842104</v>
      </c>
      <c r="O809" s="703">
        <v>546187.26666173211</v>
      </c>
      <c r="P809" s="342">
        <v>5.1172358738703703E-2</v>
      </c>
      <c r="Q809" s="363">
        <v>19.541799999999999</v>
      </c>
      <c r="R809" s="340">
        <v>546187.26666173211</v>
      </c>
      <c r="S809" s="342">
        <v>103.29900000000001</v>
      </c>
      <c r="T809" s="342">
        <v>123.803</v>
      </c>
      <c r="U809" s="342">
        <v>1.1983999999999999</v>
      </c>
      <c r="V809" s="340">
        <v>654550.82036741974</v>
      </c>
      <c r="W809" s="340">
        <v>-109522.3379989987</v>
      </c>
    </row>
    <row r="810" spans="2:23" ht="24" customHeight="1">
      <c r="J810" s="345"/>
      <c r="K810" s="703"/>
      <c r="L810" s="342"/>
      <c r="M810" s="342"/>
      <c r="N810" s="340"/>
      <c r="O810" s="703"/>
      <c r="P810" s="342"/>
      <c r="Q810" s="363"/>
      <c r="R810" s="340"/>
      <c r="S810" s="342"/>
      <c r="T810" s="342"/>
      <c r="U810" s="342"/>
      <c r="V810" s="340"/>
      <c r="W810" s="340"/>
    </row>
    <row r="811" spans="2:23" ht="24" customHeight="1">
      <c r="B811" s="67"/>
      <c r="E811" s="131" t="s">
        <v>1096</v>
      </c>
      <c r="F811" s="131"/>
      <c r="G811" s="131"/>
      <c r="H811" s="131"/>
      <c r="I811" s="131"/>
      <c r="J811" s="704">
        <v>608</v>
      </c>
      <c r="K811" s="705">
        <v>1781598.48</v>
      </c>
      <c r="L811" s="369">
        <v>4.9596532210467843E-2</v>
      </c>
      <c r="M811" s="377">
        <v>20.162700000000001</v>
      </c>
      <c r="N811" s="706">
        <v>1781598.48</v>
      </c>
      <c r="O811" s="705">
        <v>1745917.4979081298</v>
      </c>
      <c r="P811" s="369">
        <v>5.1731884152970004E-2</v>
      </c>
      <c r="Q811" s="377">
        <v>19.332699999999999</v>
      </c>
      <c r="R811" s="706">
        <v>1745917.4979081298</v>
      </c>
      <c r="S811" s="369">
        <v>103.26600000000001</v>
      </c>
      <c r="T811" s="369">
        <v>123.803</v>
      </c>
      <c r="U811" s="369">
        <v>1.1987999999999999</v>
      </c>
      <c r="V811" s="706">
        <v>2093267.3136780998</v>
      </c>
      <c r="W811" s="706">
        <v>-311668.83367809991</v>
      </c>
    </row>
    <row r="812" spans="2:23" ht="24" customHeight="1">
      <c r="J812" s="345"/>
      <c r="K812" s="703"/>
      <c r="L812" s="342"/>
      <c r="M812" s="342"/>
      <c r="N812" s="340"/>
      <c r="O812" s="703"/>
      <c r="P812" s="342"/>
      <c r="Q812" s="363"/>
      <c r="R812" s="340"/>
      <c r="S812" s="342"/>
      <c r="T812" s="342"/>
      <c r="U812" s="342"/>
      <c r="V812" s="340"/>
      <c r="W812" s="340"/>
    </row>
    <row r="813" spans="2:23" ht="24" customHeight="1">
      <c r="B813" s="67"/>
      <c r="E813" s="1" t="s">
        <v>896</v>
      </c>
      <c r="J813" s="345"/>
      <c r="K813" s="703"/>
      <c r="L813" s="342"/>
      <c r="M813" s="342"/>
      <c r="N813" s="340"/>
      <c r="O813" s="703"/>
      <c r="P813" s="342"/>
      <c r="Q813" s="363"/>
      <c r="R813" s="340"/>
      <c r="S813" s="342"/>
      <c r="T813" s="342"/>
      <c r="U813" s="342"/>
      <c r="V813" s="340"/>
      <c r="W813" s="340"/>
    </row>
    <row r="814" spans="2:23" ht="24" customHeight="1">
      <c r="B814" s="67"/>
      <c r="F814" s="346">
        <v>44594</v>
      </c>
      <c r="G814" s="346"/>
      <c r="H814" s="346"/>
      <c r="I814" s="346"/>
      <c r="J814" s="345"/>
      <c r="K814" s="703"/>
      <c r="L814" s="342"/>
      <c r="M814" s="342"/>
      <c r="N814" s="340"/>
      <c r="O814" s="703"/>
      <c r="P814" s="342"/>
      <c r="Q814" s="363"/>
      <c r="R814" s="340"/>
      <c r="S814" s="342"/>
      <c r="T814" s="342"/>
      <c r="U814" s="342"/>
      <c r="V814" s="340"/>
      <c r="W814" s="340"/>
    </row>
    <row r="815" spans="2:23" ht="24" customHeight="1">
      <c r="B815" s="67"/>
      <c r="G815" s="3" t="s">
        <v>60</v>
      </c>
      <c r="H815" s="3"/>
      <c r="I815" s="3"/>
      <c r="J815" s="345"/>
      <c r="K815" s="703"/>
      <c r="L815" s="342"/>
      <c r="M815" s="342"/>
      <c r="N815" s="340"/>
      <c r="O815" s="703"/>
      <c r="P815" s="342"/>
      <c r="Q815" s="363"/>
      <c r="R815" s="340"/>
      <c r="S815" s="342"/>
      <c r="T815" s="342"/>
      <c r="U815" s="342"/>
      <c r="V815" s="340"/>
      <c r="W815" s="340"/>
    </row>
    <row r="816" spans="2:23" ht="24" customHeight="1">
      <c r="B816" s="67"/>
      <c r="H816" s="347">
        <v>43159</v>
      </c>
      <c r="I816" s="347"/>
      <c r="J816" s="345"/>
      <c r="K816" s="703"/>
      <c r="L816" s="342"/>
      <c r="M816" s="342"/>
      <c r="N816" s="340"/>
      <c r="O816" s="703"/>
      <c r="P816" s="342"/>
      <c r="Q816" s="363"/>
      <c r="R816" s="340"/>
      <c r="S816" s="342"/>
      <c r="T816" s="342"/>
      <c r="U816" s="342"/>
      <c r="V816" s="340"/>
      <c r="W816" s="340"/>
    </row>
    <row r="817" spans="2:23" ht="24" customHeight="1">
      <c r="B817" s="67"/>
      <c r="I817" s="3" t="s">
        <v>60</v>
      </c>
      <c r="J817" s="345">
        <v>3657</v>
      </c>
      <c r="K817" s="703">
        <v>1540634.04</v>
      </c>
      <c r="L817" s="342">
        <v>4.8460882375746292E-2</v>
      </c>
      <c r="M817" s="342">
        <v>20.635200000000001</v>
      </c>
      <c r="N817" s="340">
        <v>1540634.04</v>
      </c>
      <c r="O817" s="703">
        <v>580283.94273609284</v>
      </c>
      <c r="P817" s="342">
        <v>5.3631956064701586E-2</v>
      </c>
      <c r="Q817" s="363">
        <v>18.645600000000002</v>
      </c>
      <c r="R817" s="340">
        <v>580283.94273609284</v>
      </c>
      <c r="S817" s="342">
        <v>99.171374481640001</v>
      </c>
      <c r="T817" s="342">
        <v>118.002</v>
      </c>
      <c r="U817" s="342">
        <v>1.1898</v>
      </c>
      <c r="V817" s="340">
        <v>690421.83506740327</v>
      </c>
      <c r="W817" s="340">
        <v>850212.20493259677</v>
      </c>
    </row>
    <row r="818" spans="2:23" ht="24" customHeight="1">
      <c r="J818" s="345"/>
      <c r="K818" s="703"/>
      <c r="L818" s="342"/>
      <c r="M818" s="342"/>
      <c r="N818" s="340"/>
      <c r="O818" s="703"/>
      <c r="P818" s="342"/>
      <c r="Q818" s="363"/>
      <c r="R818" s="340"/>
      <c r="S818" s="342"/>
      <c r="T818" s="342"/>
      <c r="U818" s="342"/>
      <c r="V818" s="340"/>
      <c r="W818" s="340"/>
    </row>
    <row r="819" spans="2:23" ht="24" customHeight="1">
      <c r="B819" s="67"/>
      <c r="F819" s="346">
        <v>44831</v>
      </c>
      <c r="G819" s="346"/>
      <c r="H819" s="346"/>
      <c r="I819" s="346"/>
      <c r="J819" s="345"/>
      <c r="K819" s="703"/>
      <c r="L819" s="342"/>
      <c r="M819" s="342"/>
      <c r="N819" s="340"/>
      <c r="O819" s="703"/>
      <c r="P819" s="342"/>
      <c r="Q819" s="363"/>
      <c r="R819" s="340"/>
      <c r="S819" s="342"/>
      <c r="T819" s="342"/>
      <c r="U819" s="342"/>
      <c r="V819" s="340"/>
      <c r="W819" s="340"/>
    </row>
    <row r="820" spans="2:23" ht="24" customHeight="1">
      <c r="B820" s="67"/>
      <c r="G820" s="3" t="s">
        <v>60</v>
      </c>
      <c r="H820" s="3"/>
      <c r="I820" s="3"/>
      <c r="J820" s="345"/>
      <c r="K820" s="703"/>
      <c r="L820" s="342"/>
      <c r="M820" s="342"/>
      <c r="N820" s="340"/>
      <c r="O820" s="703"/>
      <c r="P820" s="342"/>
      <c r="Q820" s="363"/>
      <c r="R820" s="340"/>
      <c r="S820" s="342"/>
      <c r="T820" s="342"/>
      <c r="U820" s="342"/>
      <c r="V820" s="340"/>
      <c r="W820" s="340"/>
    </row>
    <row r="821" spans="2:23" ht="24" customHeight="1">
      <c r="B821" s="67"/>
      <c r="H821" s="347">
        <v>43987</v>
      </c>
      <c r="I821" s="347"/>
      <c r="J821" s="345"/>
      <c r="K821" s="703"/>
      <c r="L821" s="342"/>
      <c r="M821" s="342"/>
      <c r="N821" s="340"/>
      <c r="O821" s="703"/>
      <c r="P821" s="342"/>
      <c r="Q821" s="363"/>
      <c r="R821" s="340"/>
      <c r="S821" s="342"/>
      <c r="T821" s="342"/>
      <c r="U821" s="342"/>
      <c r="V821" s="340"/>
      <c r="W821" s="340"/>
    </row>
    <row r="822" spans="2:23" ht="24" customHeight="1">
      <c r="B822" s="67"/>
      <c r="I822" s="3" t="s">
        <v>60</v>
      </c>
      <c r="J822" s="345">
        <v>5437</v>
      </c>
      <c r="K822" s="703">
        <v>1731382.4059046607</v>
      </c>
      <c r="L822" s="342">
        <v>4.9596532210467843E-2</v>
      </c>
      <c r="M822" s="342">
        <v>20.162700000000001</v>
      </c>
      <c r="N822" s="340">
        <v>1731382.4059046607</v>
      </c>
      <c r="O822" s="703">
        <v>1535271.1739162505</v>
      </c>
      <c r="P822" s="342">
        <v>4.6287081738357647E-2</v>
      </c>
      <c r="Q822" s="363">
        <v>21.604299999999999</v>
      </c>
      <c r="R822" s="340">
        <v>1535271.1739162507</v>
      </c>
      <c r="S822" s="342">
        <v>106.74299999999999</v>
      </c>
      <c r="T822" s="342">
        <v>123.803</v>
      </c>
      <c r="U822" s="342">
        <v>1.1597999999999999</v>
      </c>
      <c r="V822" s="340">
        <v>1780607.5075080674</v>
      </c>
      <c r="W822" s="340">
        <v>-49225.101603406714</v>
      </c>
    </row>
    <row r="823" spans="2:23" ht="24" customHeight="1">
      <c r="J823" s="345"/>
      <c r="K823" s="703"/>
      <c r="L823" s="342"/>
      <c r="M823" s="342"/>
      <c r="N823" s="340"/>
      <c r="O823" s="703"/>
      <c r="P823" s="342"/>
      <c r="Q823" s="363"/>
      <c r="R823" s="340"/>
      <c r="S823" s="342"/>
      <c r="T823" s="342"/>
      <c r="U823" s="342"/>
      <c r="V823" s="340"/>
      <c r="W823" s="340"/>
    </row>
    <row r="824" spans="2:23" ht="24" customHeight="1">
      <c r="B824" s="67"/>
      <c r="H824" s="347">
        <v>43941</v>
      </c>
      <c r="I824" s="347"/>
      <c r="J824" s="345"/>
      <c r="K824" s="703"/>
      <c r="L824" s="342"/>
      <c r="M824" s="342"/>
      <c r="N824" s="340"/>
      <c r="O824" s="703"/>
      <c r="P824" s="342"/>
      <c r="Q824" s="363"/>
      <c r="R824" s="340"/>
      <c r="S824" s="342"/>
      <c r="T824" s="342"/>
      <c r="U824" s="342"/>
      <c r="V824" s="340"/>
      <c r="W824" s="340"/>
    </row>
    <row r="825" spans="2:23" ht="24" customHeight="1">
      <c r="B825" s="67"/>
      <c r="I825" s="3" t="s">
        <v>60</v>
      </c>
      <c r="J825" s="345">
        <v>206</v>
      </c>
      <c r="K825" s="703">
        <v>65599.55409533935</v>
      </c>
      <c r="L825" s="342">
        <v>4.9596532210467843E-2</v>
      </c>
      <c r="M825" s="342">
        <v>20.162700000000001</v>
      </c>
      <c r="N825" s="340">
        <v>65599.55409533935</v>
      </c>
      <c r="O825" s="703">
        <v>55402.166976744185</v>
      </c>
      <c r="P825" s="342">
        <v>4.1305586993696762E-2</v>
      </c>
      <c r="Q825" s="363">
        <v>24.209800000000001</v>
      </c>
      <c r="R825" s="340">
        <v>55402.166976744178</v>
      </c>
      <c r="S825" s="342">
        <v>105.755</v>
      </c>
      <c r="T825" s="342">
        <v>123.803</v>
      </c>
      <c r="U825" s="342">
        <v>1.1706000000000001</v>
      </c>
      <c r="V825" s="340">
        <v>64853.776662976743</v>
      </c>
      <c r="W825" s="340">
        <v>745.77743236260721</v>
      </c>
    </row>
    <row r="826" spans="2:23" ht="24" customHeight="1">
      <c r="J826" s="345"/>
      <c r="K826" s="703"/>
      <c r="L826" s="342"/>
      <c r="M826" s="342"/>
      <c r="N826" s="340"/>
      <c r="O826" s="703"/>
      <c r="P826" s="342"/>
      <c r="Q826" s="363"/>
      <c r="R826" s="340"/>
      <c r="S826" s="342"/>
      <c r="T826" s="342"/>
      <c r="U826" s="342"/>
      <c r="V826" s="340"/>
      <c r="W826" s="340"/>
    </row>
    <row r="827" spans="2:23" ht="24" customHeight="1">
      <c r="B827" s="67"/>
      <c r="F827" s="346">
        <v>44792</v>
      </c>
      <c r="G827" s="346"/>
      <c r="H827" s="346"/>
      <c r="I827" s="346"/>
      <c r="J827" s="345"/>
      <c r="K827" s="703"/>
      <c r="L827" s="342"/>
      <c r="M827" s="342"/>
      <c r="N827" s="340"/>
      <c r="O827" s="703"/>
      <c r="P827" s="342"/>
      <c r="Q827" s="363"/>
      <c r="R827" s="340"/>
      <c r="S827" s="342"/>
      <c r="T827" s="342"/>
      <c r="U827" s="342"/>
      <c r="V827" s="340"/>
      <c r="W827" s="340"/>
    </row>
    <row r="828" spans="2:23" ht="24" customHeight="1">
      <c r="B828" s="67"/>
      <c r="G828" s="3" t="s">
        <v>60</v>
      </c>
      <c r="H828" s="3"/>
      <c r="I828" s="3"/>
      <c r="J828" s="345"/>
      <c r="K828" s="703"/>
      <c r="L828" s="342"/>
      <c r="M828" s="342"/>
      <c r="N828" s="340"/>
      <c r="O828" s="703"/>
      <c r="P828" s="342"/>
      <c r="Q828" s="363"/>
      <c r="R828" s="340"/>
      <c r="S828" s="342"/>
      <c r="T828" s="342"/>
      <c r="U828" s="342"/>
      <c r="V828" s="340"/>
      <c r="W828" s="340"/>
    </row>
    <row r="829" spans="2:23" ht="24" customHeight="1">
      <c r="B829" s="67"/>
      <c r="H829" s="347">
        <v>43159</v>
      </c>
      <c r="I829" s="347"/>
      <c r="J829" s="345"/>
      <c r="K829" s="703"/>
      <c r="L829" s="342"/>
      <c r="M829" s="342"/>
      <c r="N829" s="340"/>
      <c r="O829" s="703"/>
      <c r="P829" s="342"/>
      <c r="Q829" s="363"/>
      <c r="R829" s="340"/>
      <c r="S829" s="342"/>
      <c r="T829" s="342"/>
      <c r="U829" s="342"/>
      <c r="V829" s="340"/>
      <c r="W829" s="340"/>
    </row>
    <row r="830" spans="2:23" ht="24" customHeight="1">
      <c r="B830" s="67"/>
      <c r="I830" s="3" t="s">
        <v>60</v>
      </c>
      <c r="J830" s="345">
        <v>3682</v>
      </c>
      <c r="K830" s="703">
        <v>1386188.3979813536</v>
      </c>
      <c r="L830" s="342">
        <v>4.9903436849695844E-2</v>
      </c>
      <c r="M830" s="342">
        <v>20.038699999999999</v>
      </c>
      <c r="N830" s="340">
        <v>1386188.3979813538</v>
      </c>
      <c r="O830" s="703">
        <v>584250.88245947321</v>
      </c>
      <c r="P830" s="342">
        <v>5.3631956064701586E-2</v>
      </c>
      <c r="Q830" s="363">
        <v>18.645600000000002</v>
      </c>
      <c r="R830" s="340">
        <v>584250.88245947321</v>
      </c>
      <c r="S830" s="342">
        <v>99.171374481640001</v>
      </c>
      <c r="T830" s="342">
        <v>122.94799999999999</v>
      </c>
      <c r="U830" s="342">
        <v>1.2397</v>
      </c>
      <c r="V830" s="340">
        <v>724295.81898500898</v>
      </c>
      <c r="W830" s="340">
        <v>661892.57899634482</v>
      </c>
    </row>
    <row r="831" spans="2:23" ht="24" customHeight="1">
      <c r="J831" s="345"/>
      <c r="K831" s="703"/>
      <c r="L831" s="342"/>
      <c r="M831" s="342"/>
      <c r="N831" s="340"/>
      <c r="O831" s="703"/>
      <c r="P831" s="342"/>
      <c r="Q831" s="363"/>
      <c r="R831" s="340"/>
      <c r="S831" s="342"/>
      <c r="T831" s="342"/>
      <c r="U831" s="342"/>
      <c r="V831" s="340"/>
      <c r="W831" s="340"/>
    </row>
    <row r="832" spans="2:23" ht="24" customHeight="1">
      <c r="B832" s="67"/>
      <c r="H832" s="347">
        <v>43234</v>
      </c>
      <c r="I832" s="347"/>
      <c r="J832" s="345"/>
      <c r="K832" s="703"/>
      <c r="L832" s="342"/>
      <c r="M832" s="342"/>
      <c r="N832" s="340"/>
      <c r="O832" s="703"/>
      <c r="P832" s="342"/>
      <c r="Q832" s="363"/>
      <c r="R832" s="340"/>
      <c r="S832" s="342"/>
      <c r="T832" s="342"/>
      <c r="U832" s="342"/>
      <c r="V832" s="340"/>
      <c r="W832" s="340"/>
    </row>
    <row r="833" spans="2:23" ht="24" customHeight="1">
      <c r="B833" s="67"/>
      <c r="I833" s="3" t="s">
        <v>60</v>
      </c>
      <c r="J833" s="345">
        <v>11348</v>
      </c>
      <c r="K833" s="703">
        <v>4272261.254832265</v>
      </c>
      <c r="L833" s="342">
        <v>4.9903436849695844E-2</v>
      </c>
      <c r="M833" s="342">
        <v>20.038699999999999</v>
      </c>
      <c r="N833" s="340">
        <v>4272261.254832265</v>
      </c>
      <c r="O833" s="703">
        <v>1908625.1399999997</v>
      </c>
      <c r="P833" s="342">
        <v>5.18164247703237E-2</v>
      </c>
      <c r="Q833" s="363">
        <v>19.2989</v>
      </c>
      <c r="R833" s="340">
        <v>1908625.14</v>
      </c>
      <c r="S833" s="342">
        <v>98.994080173086999</v>
      </c>
      <c r="T833" s="342">
        <v>122.94799999999999</v>
      </c>
      <c r="U833" s="342">
        <v>1.2419</v>
      </c>
      <c r="V833" s="340">
        <v>2370321.5613659997</v>
      </c>
      <c r="W833" s="340">
        <v>1901939.6934662652</v>
      </c>
    </row>
    <row r="834" spans="2:23" ht="24" customHeight="1">
      <c r="J834" s="345"/>
      <c r="K834" s="703"/>
      <c r="L834" s="342"/>
      <c r="M834" s="342"/>
      <c r="N834" s="340"/>
      <c r="O834" s="703"/>
      <c r="P834" s="342"/>
      <c r="Q834" s="363"/>
      <c r="R834" s="340"/>
      <c r="S834" s="342"/>
      <c r="T834" s="342"/>
      <c r="U834" s="342"/>
      <c r="V834" s="340"/>
      <c r="W834" s="340"/>
    </row>
    <row r="835" spans="2:23" ht="24" customHeight="1">
      <c r="B835" s="67"/>
      <c r="H835" s="347">
        <v>43941</v>
      </c>
      <c r="I835" s="347"/>
      <c r="J835" s="345"/>
      <c r="K835" s="703"/>
      <c r="L835" s="342"/>
      <c r="M835" s="342"/>
      <c r="N835" s="340"/>
      <c r="O835" s="703"/>
      <c r="P835" s="342"/>
      <c r="Q835" s="363"/>
      <c r="R835" s="340"/>
      <c r="S835" s="342"/>
      <c r="T835" s="342"/>
      <c r="U835" s="342"/>
      <c r="V835" s="340"/>
      <c r="W835" s="340"/>
    </row>
    <row r="836" spans="2:23" ht="24" customHeight="1">
      <c r="B836" s="67"/>
      <c r="I836" s="3" t="s">
        <v>60</v>
      </c>
      <c r="J836" s="345">
        <v>8996</v>
      </c>
      <c r="K836" s="703">
        <v>3386787.2971863812</v>
      </c>
      <c r="L836" s="342">
        <v>4.9903436849695844E-2</v>
      </c>
      <c r="M836" s="342">
        <v>20.038699999999999</v>
      </c>
      <c r="N836" s="340">
        <v>3386787.2971863812</v>
      </c>
      <c r="O836" s="703">
        <v>2419407.2530232556</v>
      </c>
      <c r="P836" s="342">
        <v>4.1305586993696762E-2</v>
      </c>
      <c r="Q836" s="363">
        <v>24.209800000000001</v>
      </c>
      <c r="R836" s="340">
        <v>2419407.2530232556</v>
      </c>
      <c r="S836" s="342">
        <v>105.755</v>
      </c>
      <c r="T836" s="342">
        <v>122.94799999999999</v>
      </c>
      <c r="U836" s="342">
        <v>1.1625000000000001</v>
      </c>
      <c r="V836" s="340">
        <v>2812560.9316395349</v>
      </c>
      <c r="W836" s="340">
        <v>574226.3655468463</v>
      </c>
    </row>
    <row r="837" spans="2:23" ht="24" customHeight="1">
      <c r="J837" s="345"/>
      <c r="K837" s="703"/>
      <c r="L837" s="342"/>
      <c r="M837" s="342"/>
      <c r="N837" s="340"/>
      <c r="O837" s="703"/>
      <c r="P837" s="342"/>
      <c r="Q837" s="363"/>
      <c r="R837" s="340"/>
      <c r="S837" s="342"/>
      <c r="T837" s="342"/>
      <c r="U837" s="342"/>
      <c r="V837" s="340"/>
      <c r="W837" s="340"/>
    </row>
    <row r="838" spans="2:23" ht="24" customHeight="1">
      <c r="B838" s="67"/>
      <c r="E838" s="131" t="s">
        <v>1097</v>
      </c>
      <c r="F838" s="131"/>
      <c r="G838" s="131"/>
      <c r="H838" s="131"/>
      <c r="I838" s="131"/>
      <c r="J838" s="704">
        <v>33326</v>
      </c>
      <c r="K838" s="705">
        <v>12382852.949999999</v>
      </c>
      <c r="L838" s="369">
        <v>4.9560709557628251E-2</v>
      </c>
      <c r="M838" s="377">
        <v>20.179450000000003</v>
      </c>
      <c r="N838" s="706">
        <v>12382852.949999999</v>
      </c>
      <c r="O838" s="705">
        <v>7083240.5591118168</v>
      </c>
      <c r="P838" s="369">
        <v>4.7996432104246339E-2</v>
      </c>
      <c r="Q838" s="377">
        <v>21.102333333333334</v>
      </c>
      <c r="R838" s="706">
        <v>7083240.5591118168</v>
      </c>
      <c r="S838" s="369">
        <v>102.59830485606115</v>
      </c>
      <c r="T838" s="369">
        <v>122.40866666666666</v>
      </c>
      <c r="U838" s="369">
        <v>1.1940500000000001</v>
      </c>
      <c r="V838" s="706">
        <v>8443061.4312289916</v>
      </c>
      <c r="W838" s="706">
        <v>3939791.5187710091</v>
      </c>
    </row>
    <row r="839" spans="2:23" ht="24" customHeight="1">
      <c r="J839" s="345"/>
      <c r="K839" s="703"/>
      <c r="L839" s="342"/>
      <c r="M839" s="342"/>
      <c r="N839" s="340"/>
      <c r="O839" s="703"/>
      <c r="P839" s="342"/>
      <c r="Q839" s="363"/>
      <c r="R839" s="340"/>
      <c r="S839" s="342"/>
      <c r="T839" s="342"/>
      <c r="U839" s="342"/>
      <c r="V839" s="340"/>
      <c r="W839" s="340"/>
    </row>
    <row r="840" spans="2:23" ht="24" customHeight="1">
      <c r="B840" s="67"/>
      <c r="E840" s="1" t="s">
        <v>1030</v>
      </c>
      <c r="J840" s="345"/>
      <c r="K840" s="703"/>
      <c r="L840" s="342"/>
      <c r="M840" s="342"/>
      <c r="N840" s="340"/>
      <c r="O840" s="703"/>
      <c r="P840" s="342"/>
      <c r="Q840" s="363"/>
      <c r="R840" s="340"/>
      <c r="S840" s="342"/>
      <c r="T840" s="342"/>
      <c r="U840" s="342"/>
      <c r="V840" s="340"/>
      <c r="W840" s="340"/>
    </row>
    <row r="841" spans="2:23" ht="24" customHeight="1">
      <c r="B841" s="67"/>
      <c r="F841" s="346">
        <v>44831</v>
      </c>
      <c r="G841" s="346"/>
      <c r="H841" s="346"/>
      <c r="I841" s="346"/>
      <c r="J841" s="345"/>
      <c r="K841" s="703"/>
      <c r="L841" s="342"/>
      <c r="M841" s="342"/>
      <c r="N841" s="340"/>
      <c r="O841" s="703"/>
      <c r="P841" s="342"/>
      <c r="Q841" s="363"/>
      <c r="R841" s="340"/>
      <c r="S841" s="342"/>
      <c r="T841" s="342"/>
      <c r="U841" s="342"/>
      <c r="V841" s="340"/>
      <c r="W841" s="340"/>
    </row>
    <row r="842" spans="2:23" ht="24" customHeight="1">
      <c r="B842" s="67"/>
      <c r="G842" s="3" t="s">
        <v>60</v>
      </c>
      <c r="H842" s="3"/>
      <c r="I842" s="3"/>
      <c r="J842" s="345"/>
      <c r="K842" s="703"/>
      <c r="L842" s="342"/>
      <c r="M842" s="342"/>
      <c r="N842" s="340"/>
      <c r="O842" s="703"/>
      <c r="P842" s="342"/>
      <c r="Q842" s="363"/>
      <c r="R842" s="340"/>
      <c r="S842" s="342"/>
      <c r="T842" s="342"/>
      <c r="U842" s="342"/>
      <c r="V842" s="340"/>
      <c r="W842" s="340"/>
    </row>
    <row r="843" spans="2:23" ht="24" customHeight="1">
      <c r="B843" s="67"/>
      <c r="H843" s="347">
        <v>43997</v>
      </c>
      <c r="I843" s="347"/>
      <c r="J843" s="345"/>
      <c r="K843" s="703"/>
      <c r="L843" s="342"/>
      <c r="M843" s="342"/>
      <c r="N843" s="340"/>
      <c r="O843" s="703"/>
      <c r="P843" s="342"/>
      <c r="Q843" s="363"/>
      <c r="R843" s="340"/>
      <c r="S843" s="342"/>
      <c r="T843" s="342"/>
      <c r="U843" s="342"/>
      <c r="V843" s="340"/>
      <c r="W843" s="340"/>
    </row>
    <row r="844" spans="2:23" ht="24" customHeight="1">
      <c r="B844" s="67"/>
      <c r="I844" s="3" t="s">
        <v>60</v>
      </c>
      <c r="J844" s="345">
        <v>4500</v>
      </c>
      <c r="K844" s="703">
        <v>667059.81999999995</v>
      </c>
      <c r="L844" s="342">
        <v>4.9596532210467843E-2</v>
      </c>
      <c r="M844" s="342">
        <v>20.162700000000001</v>
      </c>
      <c r="N844" s="340">
        <v>667059.82000000007</v>
      </c>
      <c r="O844" s="703">
        <v>573066.86856141826</v>
      </c>
      <c r="P844" s="342">
        <v>4.4592690366195176E-2</v>
      </c>
      <c r="Q844" s="363">
        <v>22.4252</v>
      </c>
      <c r="R844" s="340">
        <v>573066.86856141826</v>
      </c>
      <c r="S844" s="342">
        <v>106.74299999999999</v>
      </c>
      <c r="T844" s="342">
        <v>123.803</v>
      </c>
      <c r="U844" s="342">
        <v>1.1597999999999999</v>
      </c>
      <c r="V844" s="340">
        <v>664642.95415753289</v>
      </c>
      <c r="W844" s="340">
        <v>2416.8658424671739</v>
      </c>
    </row>
    <row r="845" spans="2:23" ht="24" customHeight="1">
      <c r="J845" s="345"/>
      <c r="K845" s="703"/>
      <c r="L845" s="342"/>
      <c r="M845" s="342"/>
      <c r="N845" s="340"/>
      <c r="O845" s="703"/>
      <c r="P845" s="342"/>
      <c r="Q845" s="363"/>
      <c r="R845" s="340"/>
      <c r="S845" s="342"/>
      <c r="T845" s="342"/>
      <c r="U845" s="342"/>
      <c r="V845" s="340"/>
      <c r="W845" s="340"/>
    </row>
    <row r="846" spans="2:23" ht="24" customHeight="1">
      <c r="B846" s="67"/>
      <c r="F846" s="346">
        <v>44792</v>
      </c>
      <c r="G846" s="346"/>
      <c r="H846" s="346"/>
      <c r="I846" s="346"/>
      <c r="J846" s="345"/>
      <c r="K846" s="703"/>
      <c r="L846" s="342"/>
      <c r="M846" s="342"/>
      <c r="N846" s="340"/>
      <c r="O846" s="703"/>
      <c r="P846" s="342"/>
      <c r="Q846" s="363"/>
      <c r="R846" s="340"/>
      <c r="S846" s="342"/>
      <c r="T846" s="342"/>
      <c r="U846" s="342"/>
      <c r="V846" s="340"/>
      <c r="W846" s="340"/>
    </row>
    <row r="847" spans="2:23" ht="24" customHeight="1">
      <c r="B847" s="67"/>
      <c r="G847" s="3" t="s">
        <v>60</v>
      </c>
      <c r="H847" s="3"/>
      <c r="I847" s="3"/>
      <c r="J847" s="345"/>
      <c r="K847" s="703"/>
      <c r="L847" s="342"/>
      <c r="M847" s="342"/>
      <c r="N847" s="340"/>
      <c r="O847" s="703"/>
      <c r="P847" s="342"/>
      <c r="Q847" s="363"/>
      <c r="R847" s="340"/>
      <c r="S847" s="342"/>
      <c r="T847" s="342"/>
      <c r="U847" s="342"/>
      <c r="V847" s="340"/>
      <c r="W847" s="340"/>
    </row>
    <row r="848" spans="2:23" ht="24" customHeight="1">
      <c r="B848" s="67"/>
      <c r="H848" s="347">
        <v>43997</v>
      </c>
      <c r="I848" s="347"/>
      <c r="J848" s="345"/>
      <c r="K848" s="703"/>
      <c r="L848" s="342"/>
      <c r="M848" s="342"/>
      <c r="N848" s="340"/>
      <c r="O848" s="703"/>
      <c r="P848" s="342"/>
      <c r="Q848" s="363"/>
      <c r="R848" s="340"/>
      <c r="S848" s="342"/>
      <c r="T848" s="342"/>
      <c r="U848" s="342"/>
      <c r="V848" s="340"/>
      <c r="W848" s="340"/>
    </row>
    <row r="849" spans="2:23" ht="24" customHeight="1">
      <c r="B849" s="67"/>
      <c r="I849" s="3" t="s">
        <v>60</v>
      </c>
      <c r="J849" s="345">
        <v>10794</v>
      </c>
      <c r="K849" s="703">
        <v>1734830.7700000003</v>
      </c>
      <c r="L849" s="342">
        <v>4.9903436849695844E-2</v>
      </c>
      <c r="M849" s="342">
        <v>20.038699999999999</v>
      </c>
      <c r="N849" s="340">
        <v>1734830.7700000003</v>
      </c>
      <c r="O849" s="703">
        <v>1374596.395389322</v>
      </c>
      <c r="P849" s="342">
        <v>4.4592690366195176E-2</v>
      </c>
      <c r="Q849" s="363">
        <v>22.4252</v>
      </c>
      <c r="R849" s="340">
        <v>1374596.3953893222</v>
      </c>
      <c r="S849" s="342">
        <v>106.74299999999999</v>
      </c>
      <c r="T849" s="342">
        <v>122.94799999999999</v>
      </c>
      <c r="U849" s="342">
        <v>1.1517999999999999</v>
      </c>
      <c r="V849" s="340">
        <v>1583260.1282094212</v>
      </c>
      <c r="W849" s="340">
        <v>151570.64179057907</v>
      </c>
    </row>
    <row r="850" spans="2:23" ht="24" customHeight="1">
      <c r="J850" s="345"/>
      <c r="K850" s="703"/>
      <c r="L850" s="342"/>
      <c r="M850" s="342"/>
      <c r="N850" s="340"/>
      <c r="O850" s="703"/>
      <c r="P850" s="342"/>
      <c r="Q850" s="363"/>
      <c r="R850" s="340"/>
      <c r="S850" s="342"/>
      <c r="T850" s="342"/>
      <c r="U850" s="342"/>
      <c r="V850" s="340"/>
      <c r="W850" s="340"/>
    </row>
    <row r="851" spans="2:23" ht="24" customHeight="1">
      <c r="B851" s="67"/>
      <c r="E851" s="131" t="s">
        <v>1098</v>
      </c>
      <c r="F851" s="131"/>
      <c r="G851" s="131"/>
      <c r="H851" s="131"/>
      <c r="I851" s="131"/>
      <c r="J851" s="704">
        <v>15294</v>
      </c>
      <c r="K851" s="705">
        <v>2401890.5900000003</v>
      </c>
      <c r="L851" s="369">
        <v>4.9749984530081844E-2</v>
      </c>
      <c r="M851" s="377">
        <v>20.1007</v>
      </c>
      <c r="N851" s="706">
        <v>2401890.5900000003</v>
      </c>
      <c r="O851" s="705">
        <v>1947663.2639507402</v>
      </c>
      <c r="P851" s="369">
        <v>4.4592690366195176E-2</v>
      </c>
      <c r="Q851" s="377">
        <v>22.4252</v>
      </c>
      <c r="R851" s="706">
        <v>1947663.2639507405</v>
      </c>
      <c r="S851" s="369">
        <v>106.74299999999999</v>
      </c>
      <c r="T851" s="369">
        <v>123.37549999999999</v>
      </c>
      <c r="U851" s="369">
        <v>1.1557999999999999</v>
      </c>
      <c r="V851" s="706">
        <v>2247903.0823669541</v>
      </c>
      <c r="W851" s="706">
        <v>153987.50763304625</v>
      </c>
    </row>
    <row r="852" spans="2:23" ht="24" customHeight="1">
      <c r="J852" s="345"/>
      <c r="K852" s="703"/>
      <c r="L852" s="342"/>
      <c r="M852" s="342"/>
      <c r="N852" s="340"/>
      <c r="O852" s="703"/>
      <c r="P852" s="342"/>
      <c r="Q852" s="363"/>
      <c r="R852" s="340"/>
      <c r="S852" s="342"/>
      <c r="T852" s="342"/>
      <c r="U852" s="342"/>
      <c r="V852" s="340"/>
      <c r="W852" s="340"/>
    </row>
    <row r="853" spans="2:23" ht="24" customHeight="1">
      <c r="B853" s="67"/>
      <c r="E853" s="1" t="s">
        <v>1031</v>
      </c>
      <c r="J853" s="345"/>
      <c r="K853" s="703"/>
      <c r="L853" s="342"/>
      <c r="M853" s="342"/>
      <c r="N853" s="340"/>
      <c r="O853" s="703"/>
      <c r="P853" s="342"/>
      <c r="Q853" s="363"/>
      <c r="R853" s="340"/>
      <c r="S853" s="342"/>
      <c r="T853" s="342"/>
      <c r="U853" s="342"/>
      <c r="V853" s="340"/>
      <c r="W853" s="340"/>
    </row>
    <row r="854" spans="2:23" ht="24" customHeight="1">
      <c r="B854" s="67"/>
      <c r="F854" s="346">
        <v>44831</v>
      </c>
      <c r="G854" s="346"/>
      <c r="H854" s="346"/>
      <c r="I854" s="346"/>
      <c r="J854" s="345"/>
      <c r="K854" s="703"/>
      <c r="L854" s="342"/>
      <c r="M854" s="342"/>
      <c r="N854" s="340"/>
      <c r="O854" s="703"/>
      <c r="P854" s="342"/>
      <c r="Q854" s="363"/>
      <c r="R854" s="340"/>
      <c r="S854" s="342"/>
      <c r="T854" s="342"/>
      <c r="U854" s="342"/>
      <c r="V854" s="340"/>
      <c r="W854" s="340"/>
    </row>
    <row r="855" spans="2:23" ht="24" customHeight="1">
      <c r="B855" s="67"/>
      <c r="G855" s="3" t="s">
        <v>60</v>
      </c>
      <c r="H855" s="3"/>
      <c r="I855" s="3"/>
      <c r="J855" s="345"/>
      <c r="K855" s="703"/>
      <c r="L855" s="342"/>
      <c r="M855" s="342"/>
      <c r="N855" s="340"/>
      <c r="O855" s="703"/>
      <c r="P855" s="342"/>
      <c r="Q855" s="363"/>
      <c r="R855" s="340"/>
      <c r="S855" s="342"/>
      <c r="T855" s="342"/>
      <c r="U855" s="342"/>
      <c r="V855" s="340"/>
      <c r="W855" s="340"/>
    </row>
    <row r="856" spans="2:23" ht="24" customHeight="1">
      <c r="B856" s="67"/>
      <c r="H856" s="347">
        <v>44490</v>
      </c>
      <c r="I856" s="347"/>
      <c r="J856" s="345"/>
      <c r="K856" s="703"/>
      <c r="L856" s="342"/>
      <c r="M856" s="342"/>
      <c r="N856" s="340"/>
      <c r="O856" s="703"/>
      <c r="P856" s="342"/>
      <c r="Q856" s="363"/>
      <c r="R856" s="340"/>
      <c r="S856" s="342"/>
      <c r="T856" s="342"/>
      <c r="U856" s="342"/>
      <c r="V856" s="340"/>
      <c r="W856" s="340"/>
    </row>
    <row r="857" spans="2:23" ht="24" customHeight="1">
      <c r="B857" s="67"/>
      <c r="I857" s="3" t="s">
        <v>60</v>
      </c>
      <c r="J857" s="345">
        <v>5233</v>
      </c>
      <c r="K857" s="703">
        <v>709329.61</v>
      </c>
      <c r="L857" s="342">
        <v>4.9596532210467843E-2</v>
      </c>
      <c r="M857" s="342">
        <v>20.162700000000001</v>
      </c>
      <c r="N857" s="340">
        <v>709329.61</v>
      </c>
      <c r="O857" s="703">
        <v>563082.68403336522</v>
      </c>
      <c r="P857" s="342">
        <v>4.9346893859765997E-2</v>
      </c>
      <c r="Q857" s="363">
        <v>20.264700000000001</v>
      </c>
      <c r="R857" s="340">
        <v>563082.68403336522</v>
      </c>
      <c r="S857" s="342">
        <v>115.56100000000001</v>
      </c>
      <c r="T857" s="342">
        <v>123.803</v>
      </c>
      <c r="U857" s="342">
        <v>1.0712999999999999</v>
      </c>
      <c r="V857" s="340">
        <v>603230.47940494411</v>
      </c>
      <c r="W857" s="340">
        <v>106099.13059505587</v>
      </c>
    </row>
    <row r="858" spans="2:23" ht="24" customHeight="1">
      <c r="J858" s="345"/>
      <c r="K858" s="703"/>
      <c r="L858" s="342"/>
      <c r="M858" s="342"/>
      <c r="N858" s="340"/>
      <c r="O858" s="703"/>
      <c r="P858" s="342"/>
      <c r="Q858" s="363"/>
      <c r="R858" s="340"/>
      <c r="S858" s="342"/>
      <c r="T858" s="342"/>
      <c r="U858" s="342"/>
      <c r="V858" s="340"/>
      <c r="W858" s="340"/>
    </row>
    <row r="859" spans="2:23" ht="24" customHeight="1">
      <c r="B859" s="67"/>
      <c r="F859" s="346">
        <v>44792</v>
      </c>
      <c r="G859" s="346"/>
      <c r="H859" s="346"/>
      <c r="I859" s="346"/>
      <c r="J859" s="345"/>
      <c r="K859" s="703"/>
      <c r="L859" s="342"/>
      <c r="M859" s="342"/>
      <c r="N859" s="340"/>
      <c r="O859" s="703"/>
      <c r="P859" s="342"/>
      <c r="Q859" s="363"/>
      <c r="R859" s="340"/>
      <c r="S859" s="342"/>
      <c r="T859" s="342"/>
      <c r="U859" s="342"/>
      <c r="V859" s="340"/>
      <c r="W859" s="340"/>
    </row>
    <row r="860" spans="2:23" ht="24" customHeight="1">
      <c r="B860" s="67"/>
      <c r="G860" s="3" t="s">
        <v>60</v>
      </c>
      <c r="H860" s="3"/>
      <c r="I860" s="3"/>
      <c r="J860" s="345"/>
      <c r="K860" s="703"/>
      <c r="L860" s="342"/>
      <c r="M860" s="342"/>
      <c r="N860" s="340"/>
      <c r="O860" s="703"/>
      <c r="P860" s="342"/>
      <c r="Q860" s="363"/>
      <c r="R860" s="340"/>
      <c r="S860" s="342"/>
      <c r="T860" s="342"/>
      <c r="U860" s="342"/>
      <c r="V860" s="340"/>
      <c r="W860" s="340"/>
    </row>
    <row r="861" spans="2:23" ht="24" customHeight="1">
      <c r="B861" s="67"/>
      <c r="H861" s="347">
        <v>44490</v>
      </c>
      <c r="I861" s="347"/>
      <c r="J861" s="345"/>
      <c r="K861" s="703"/>
      <c r="L861" s="342"/>
      <c r="M861" s="342"/>
      <c r="N861" s="340"/>
      <c r="O861" s="703"/>
      <c r="P861" s="342"/>
      <c r="Q861" s="363"/>
      <c r="R861" s="340"/>
      <c r="S861" s="342"/>
      <c r="T861" s="342"/>
      <c r="U861" s="342"/>
      <c r="V861" s="340"/>
      <c r="W861" s="340"/>
    </row>
    <row r="862" spans="2:23" ht="24" customHeight="1">
      <c r="B862" s="67"/>
      <c r="I862" s="3" t="s">
        <v>60</v>
      </c>
      <c r="J862" s="345">
        <v>24188</v>
      </c>
      <c r="K862" s="703">
        <v>3621308.16</v>
      </c>
      <c r="L862" s="342">
        <v>4.9903436849695844E-2</v>
      </c>
      <c r="M862" s="342">
        <v>20.038699999999999</v>
      </c>
      <c r="N862" s="340">
        <v>3621308.16</v>
      </c>
      <c r="O862" s="703">
        <v>2602683.7304412457</v>
      </c>
      <c r="P862" s="342">
        <v>4.9346893859765997E-2</v>
      </c>
      <c r="Q862" s="363">
        <v>20.264700000000001</v>
      </c>
      <c r="R862" s="340">
        <v>2602683.7304412457</v>
      </c>
      <c r="S862" s="342">
        <v>115.56100000000001</v>
      </c>
      <c r="T862" s="342">
        <v>122.94799999999999</v>
      </c>
      <c r="U862" s="342">
        <v>1.0639000000000001</v>
      </c>
      <c r="V862" s="340">
        <v>2768995.2208164413</v>
      </c>
      <c r="W862" s="340">
        <v>852312.9391835588</v>
      </c>
    </row>
    <row r="863" spans="2:23" ht="24" customHeight="1">
      <c r="J863" s="345"/>
      <c r="K863" s="703"/>
      <c r="L863" s="342"/>
      <c r="M863" s="342"/>
      <c r="N863" s="340"/>
      <c r="O863" s="703"/>
      <c r="P863" s="342"/>
      <c r="Q863" s="363"/>
      <c r="R863" s="340"/>
      <c r="S863" s="342"/>
      <c r="T863" s="342"/>
      <c r="U863" s="342"/>
      <c r="V863" s="340"/>
      <c r="W863" s="340"/>
    </row>
    <row r="864" spans="2:23" ht="24" customHeight="1">
      <c r="B864" s="67"/>
      <c r="E864" s="131" t="s">
        <v>1099</v>
      </c>
      <c r="F864" s="131"/>
      <c r="G864" s="131"/>
      <c r="H864" s="131"/>
      <c r="I864" s="131"/>
      <c r="J864" s="704">
        <v>29421</v>
      </c>
      <c r="K864" s="705">
        <v>4330637.7700000005</v>
      </c>
      <c r="L864" s="369">
        <v>4.9749984530081844E-2</v>
      </c>
      <c r="M864" s="377">
        <v>20.1007</v>
      </c>
      <c r="N864" s="706">
        <v>4330637.7700000005</v>
      </c>
      <c r="O864" s="705">
        <v>3165766.4144746112</v>
      </c>
      <c r="P864" s="369">
        <v>4.9346893859765997E-2</v>
      </c>
      <c r="Q864" s="377">
        <v>20.264700000000001</v>
      </c>
      <c r="R864" s="706">
        <v>3165766.4144746112</v>
      </c>
      <c r="S864" s="369">
        <v>115.56100000000001</v>
      </c>
      <c r="T864" s="369">
        <v>123.37549999999999</v>
      </c>
      <c r="U864" s="369">
        <v>1.0676000000000001</v>
      </c>
      <c r="V864" s="706">
        <v>3372225.7002213853</v>
      </c>
      <c r="W864" s="706">
        <v>958412.06977861468</v>
      </c>
    </row>
    <row r="865" spans="2:23" ht="24" customHeight="1">
      <c r="J865" s="345"/>
      <c r="K865" s="703"/>
      <c r="L865" s="342"/>
      <c r="M865" s="342"/>
      <c r="N865" s="340"/>
      <c r="O865" s="703"/>
      <c r="P865" s="342"/>
      <c r="Q865" s="363"/>
      <c r="R865" s="340"/>
      <c r="S865" s="342"/>
      <c r="T865" s="342"/>
      <c r="U865" s="342"/>
      <c r="V865" s="340"/>
      <c r="W865" s="340"/>
    </row>
    <row r="866" spans="2:23" ht="24" customHeight="1">
      <c r="B866" s="67"/>
      <c r="E866" s="1" t="s">
        <v>1038</v>
      </c>
      <c r="J866" s="345"/>
      <c r="K866" s="703"/>
      <c r="L866" s="342"/>
      <c r="M866" s="342"/>
      <c r="N866" s="340"/>
      <c r="O866" s="703"/>
      <c r="P866" s="342"/>
      <c r="Q866" s="363"/>
      <c r="R866" s="340"/>
      <c r="S866" s="342"/>
      <c r="T866" s="342"/>
      <c r="U866" s="342"/>
      <c r="V866" s="340"/>
      <c r="W866" s="340"/>
    </row>
    <row r="867" spans="2:23" ht="24" customHeight="1">
      <c r="B867" s="67"/>
      <c r="F867" s="346">
        <v>44831</v>
      </c>
      <c r="G867" s="346"/>
      <c r="H867" s="346"/>
      <c r="I867" s="346"/>
      <c r="J867" s="345"/>
      <c r="K867" s="703"/>
      <c r="L867" s="342"/>
      <c r="M867" s="342"/>
      <c r="N867" s="340"/>
      <c r="O867" s="703"/>
      <c r="P867" s="342"/>
      <c r="Q867" s="363"/>
      <c r="R867" s="340"/>
      <c r="S867" s="342"/>
      <c r="T867" s="342"/>
      <c r="U867" s="342"/>
      <c r="V867" s="340"/>
      <c r="W867" s="340"/>
    </row>
    <row r="868" spans="2:23" ht="24" customHeight="1">
      <c r="B868" s="67"/>
      <c r="G868" s="3" t="s">
        <v>60</v>
      </c>
      <c r="H868" s="3"/>
      <c r="I868" s="3"/>
      <c r="J868" s="345"/>
      <c r="K868" s="703"/>
      <c r="L868" s="342"/>
      <c r="M868" s="342"/>
      <c r="N868" s="340"/>
      <c r="O868" s="703"/>
      <c r="P868" s="342"/>
      <c r="Q868" s="363"/>
      <c r="R868" s="340"/>
      <c r="S868" s="342"/>
      <c r="T868" s="342"/>
      <c r="U868" s="342"/>
      <c r="V868" s="340"/>
      <c r="W868" s="340"/>
    </row>
    <row r="869" spans="2:23" ht="24" customHeight="1">
      <c r="B869" s="67"/>
      <c r="H869" s="347">
        <v>43941</v>
      </c>
      <c r="I869" s="347"/>
      <c r="J869" s="345"/>
      <c r="K869" s="703"/>
      <c r="L869" s="342"/>
      <c r="M869" s="342"/>
      <c r="N869" s="340"/>
      <c r="O869" s="703"/>
      <c r="P869" s="342"/>
      <c r="Q869" s="363"/>
      <c r="R869" s="340"/>
      <c r="S869" s="342"/>
      <c r="T869" s="342"/>
      <c r="U869" s="342"/>
      <c r="V869" s="340"/>
      <c r="W869" s="340"/>
    </row>
    <row r="870" spans="2:23" ht="24" customHeight="1">
      <c r="B870" s="67"/>
      <c r="I870" s="3" t="s">
        <v>60</v>
      </c>
      <c r="J870" s="345">
        <v>1873</v>
      </c>
      <c r="K870" s="703">
        <v>330185.73501521116</v>
      </c>
      <c r="L870" s="342">
        <v>4.9596532210467843E-2</v>
      </c>
      <c r="M870" s="342">
        <v>20.162700000000001</v>
      </c>
      <c r="N870" s="340">
        <v>330185.73501521116</v>
      </c>
      <c r="O870" s="703">
        <v>268334.15794353437</v>
      </c>
      <c r="P870" s="342">
        <v>4.1305586993696762E-2</v>
      </c>
      <c r="Q870" s="363">
        <v>24.209800000000001</v>
      </c>
      <c r="R870" s="340">
        <v>268334.15794353432</v>
      </c>
      <c r="S870" s="342">
        <v>105.755</v>
      </c>
      <c r="T870" s="342">
        <v>123.803</v>
      </c>
      <c r="U870" s="342">
        <v>1.1706000000000001</v>
      </c>
      <c r="V870" s="340">
        <v>314111.96528870129</v>
      </c>
      <c r="W870" s="340">
        <v>16073.769726509869</v>
      </c>
    </row>
    <row r="871" spans="2:23" ht="24" customHeight="1">
      <c r="J871" s="345"/>
      <c r="K871" s="703"/>
      <c r="L871" s="342"/>
      <c r="M871" s="342"/>
      <c r="N871" s="340"/>
      <c r="O871" s="703"/>
      <c r="P871" s="342"/>
      <c r="Q871" s="363"/>
      <c r="R871" s="340"/>
      <c r="S871" s="342"/>
      <c r="T871" s="342"/>
      <c r="U871" s="342"/>
      <c r="V871" s="340"/>
      <c r="W871" s="340"/>
    </row>
    <row r="872" spans="2:23" ht="24" customHeight="1">
      <c r="B872" s="67"/>
      <c r="H872" s="347">
        <v>43958</v>
      </c>
      <c r="I872" s="347"/>
      <c r="J872" s="345"/>
      <c r="K872" s="703"/>
      <c r="L872" s="342"/>
      <c r="M872" s="342"/>
      <c r="N872" s="340"/>
      <c r="O872" s="703"/>
      <c r="P872" s="342"/>
      <c r="Q872" s="363"/>
      <c r="R872" s="340"/>
      <c r="S872" s="342"/>
      <c r="T872" s="342"/>
      <c r="U872" s="342"/>
      <c r="V872" s="340"/>
      <c r="W872" s="340"/>
    </row>
    <row r="873" spans="2:23" ht="24" customHeight="1">
      <c r="B873" s="67"/>
      <c r="I873" s="3" t="s">
        <v>60</v>
      </c>
      <c r="J873" s="345">
        <v>9303</v>
      </c>
      <c r="K873" s="703">
        <v>1639998.8749847889</v>
      </c>
      <c r="L873" s="342">
        <v>4.9596532210467843E-2</v>
      </c>
      <c r="M873" s="342">
        <v>20.162700000000001</v>
      </c>
      <c r="N873" s="340">
        <v>1639998.8749847889</v>
      </c>
      <c r="O873" s="703">
        <v>1330821.1566670449</v>
      </c>
      <c r="P873" s="342">
        <v>4.1956340232354214E-2</v>
      </c>
      <c r="Q873" s="363">
        <v>23.834299999999999</v>
      </c>
      <c r="R873" s="340">
        <v>1330821.1566670449</v>
      </c>
      <c r="S873" s="342">
        <v>106.16200000000001</v>
      </c>
      <c r="T873" s="342">
        <v>123.803</v>
      </c>
      <c r="U873" s="342">
        <v>1.1660999999999999</v>
      </c>
      <c r="V873" s="340">
        <v>1551870.550789441</v>
      </c>
      <c r="W873" s="340">
        <v>88128.324195348192</v>
      </c>
    </row>
    <row r="874" spans="2:23" ht="24" customHeight="1">
      <c r="J874" s="345"/>
      <c r="K874" s="703"/>
      <c r="L874" s="342"/>
      <c r="M874" s="342"/>
      <c r="N874" s="340"/>
      <c r="O874" s="703"/>
      <c r="P874" s="342"/>
      <c r="Q874" s="363"/>
      <c r="R874" s="340"/>
      <c r="S874" s="342"/>
      <c r="T874" s="342"/>
      <c r="U874" s="342"/>
      <c r="V874" s="340"/>
      <c r="W874" s="340"/>
    </row>
    <row r="875" spans="2:23" ht="24" customHeight="1">
      <c r="B875" s="67"/>
      <c r="F875" s="346">
        <v>44792</v>
      </c>
      <c r="G875" s="346"/>
      <c r="H875" s="346"/>
      <c r="I875" s="346"/>
      <c r="J875" s="345"/>
      <c r="K875" s="703"/>
      <c r="L875" s="342"/>
      <c r="M875" s="342"/>
      <c r="N875" s="340"/>
      <c r="O875" s="703"/>
      <c r="P875" s="342"/>
      <c r="Q875" s="363"/>
      <c r="R875" s="340"/>
      <c r="S875" s="342"/>
      <c r="T875" s="342"/>
      <c r="U875" s="342"/>
      <c r="V875" s="340"/>
      <c r="W875" s="340"/>
    </row>
    <row r="876" spans="2:23" ht="24" customHeight="1">
      <c r="B876" s="67"/>
      <c r="G876" s="3" t="s">
        <v>60</v>
      </c>
      <c r="H876" s="3"/>
      <c r="I876" s="3"/>
      <c r="J876" s="345"/>
      <c r="K876" s="703"/>
      <c r="L876" s="342"/>
      <c r="M876" s="342"/>
      <c r="N876" s="340"/>
      <c r="O876" s="703"/>
      <c r="P876" s="342"/>
      <c r="Q876" s="363"/>
      <c r="R876" s="340"/>
      <c r="S876" s="342"/>
      <c r="T876" s="342"/>
      <c r="U876" s="342"/>
      <c r="V876" s="340"/>
      <c r="W876" s="340"/>
    </row>
    <row r="877" spans="2:23" ht="24" customHeight="1">
      <c r="B877" s="67"/>
      <c r="H877" s="347">
        <v>43941</v>
      </c>
      <c r="I877" s="347"/>
      <c r="J877" s="345"/>
      <c r="K877" s="703"/>
      <c r="L877" s="342"/>
      <c r="M877" s="342"/>
      <c r="N877" s="340"/>
      <c r="O877" s="703"/>
      <c r="P877" s="342"/>
      <c r="Q877" s="363"/>
      <c r="R877" s="340"/>
      <c r="S877" s="342"/>
      <c r="T877" s="342"/>
      <c r="U877" s="342"/>
      <c r="V877" s="340"/>
      <c r="W877" s="340"/>
    </row>
    <row r="878" spans="2:23" ht="24" customHeight="1">
      <c r="B878" s="67"/>
      <c r="I878" s="3" t="s">
        <v>60</v>
      </c>
      <c r="J878" s="345">
        <v>11973</v>
      </c>
      <c r="K878" s="703">
        <v>2369583.7200000002</v>
      </c>
      <c r="L878" s="342">
        <v>4.9903436849695844E-2</v>
      </c>
      <c r="M878" s="342">
        <v>20.038699999999999</v>
      </c>
      <c r="N878" s="340">
        <v>2369583.7200000002</v>
      </c>
      <c r="O878" s="703">
        <v>1715304.2568381939</v>
      </c>
      <c r="P878" s="342">
        <v>4.1305586993696762E-2</v>
      </c>
      <c r="Q878" s="363">
        <v>24.209800000000001</v>
      </c>
      <c r="R878" s="340">
        <v>1715304.2568381936</v>
      </c>
      <c r="S878" s="342">
        <v>105.755</v>
      </c>
      <c r="T878" s="342">
        <v>122.94799999999999</v>
      </c>
      <c r="U878" s="342">
        <v>1.1625000000000001</v>
      </c>
      <c r="V878" s="340">
        <v>1994041.1985744003</v>
      </c>
      <c r="W878" s="340">
        <v>375542.5214255997</v>
      </c>
    </row>
    <row r="879" spans="2:23" ht="24" customHeight="1">
      <c r="J879" s="345"/>
      <c r="K879" s="703"/>
      <c r="L879" s="342"/>
      <c r="M879" s="342"/>
      <c r="N879" s="340"/>
      <c r="O879" s="703"/>
      <c r="P879" s="342"/>
      <c r="Q879" s="363"/>
      <c r="R879" s="340"/>
      <c r="S879" s="342"/>
      <c r="T879" s="342"/>
      <c r="U879" s="342"/>
      <c r="V879" s="340"/>
      <c r="W879" s="340"/>
    </row>
    <row r="880" spans="2:23" ht="24" customHeight="1">
      <c r="B880" s="67"/>
      <c r="E880" s="131" t="s">
        <v>1100</v>
      </c>
      <c r="F880" s="131"/>
      <c r="G880" s="131"/>
      <c r="H880" s="131"/>
      <c r="I880" s="131"/>
      <c r="J880" s="704">
        <v>23149</v>
      </c>
      <c r="K880" s="705">
        <v>4339768.33</v>
      </c>
      <c r="L880" s="369">
        <v>4.9698833756877177E-2</v>
      </c>
      <c r="M880" s="377">
        <v>20.121366666666667</v>
      </c>
      <c r="N880" s="706">
        <v>4339768.33</v>
      </c>
      <c r="O880" s="705">
        <v>3314459.5714487731</v>
      </c>
      <c r="P880" s="369">
        <v>4.1522504739915915E-2</v>
      </c>
      <c r="Q880" s="377">
        <v>24.084633333333333</v>
      </c>
      <c r="R880" s="706">
        <v>3314459.5714487727</v>
      </c>
      <c r="S880" s="369">
        <v>105.89066666666668</v>
      </c>
      <c r="T880" s="369">
        <v>123.51799999999999</v>
      </c>
      <c r="U880" s="369">
        <v>1.1664000000000001</v>
      </c>
      <c r="V880" s="706">
        <v>3860023.7146525425</v>
      </c>
      <c r="W880" s="706">
        <v>479744.61534745776</v>
      </c>
    </row>
    <row r="881" spans="2:23" ht="24" customHeight="1">
      <c r="J881" s="345"/>
      <c r="K881" s="703"/>
      <c r="L881" s="342"/>
      <c r="M881" s="342"/>
      <c r="N881" s="340"/>
      <c r="O881" s="703"/>
      <c r="P881" s="342"/>
      <c r="Q881" s="363"/>
      <c r="R881" s="340"/>
      <c r="S881" s="342"/>
      <c r="T881" s="342"/>
      <c r="U881" s="342"/>
      <c r="V881" s="340"/>
      <c r="W881" s="340"/>
    </row>
    <row r="882" spans="2:23" ht="24" customHeight="1">
      <c r="B882" s="67"/>
      <c r="E882" s="1" t="s">
        <v>1032</v>
      </c>
      <c r="J882" s="345"/>
      <c r="K882" s="703"/>
      <c r="L882" s="342"/>
      <c r="M882" s="342"/>
      <c r="N882" s="340"/>
      <c r="O882" s="703"/>
      <c r="P882" s="342"/>
      <c r="Q882" s="363"/>
      <c r="R882" s="340"/>
      <c r="S882" s="342"/>
      <c r="T882" s="342"/>
      <c r="U882" s="342"/>
      <c r="V882" s="340"/>
      <c r="W882" s="340"/>
    </row>
    <row r="883" spans="2:23" ht="24" customHeight="1">
      <c r="B883" s="67"/>
      <c r="F883" s="346">
        <v>44831</v>
      </c>
      <c r="G883" s="346"/>
      <c r="H883" s="346"/>
      <c r="I883" s="346"/>
      <c r="J883" s="345"/>
      <c r="K883" s="703"/>
      <c r="L883" s="342"/>
      <c r="M883" s="342"/>
      <c r="N883" s="340"/>
      <c r="O883" s="703"/>
      <c r="P883" s="342"/>
      <c r="Q883" s="363"/>
      <c r="R883" s="340"/>
      <c r="S883" s="342"/>
      <c r="T883" s="342"/>
      <c r="U883" s="342"/>
      <c r="V883" s="340"/>
      <c r="W883" s="340"/>
    </row>
    <row r="884" spans="2:23" ht="24" customHeight="1">
      <c r="B884" s="67"/>
      <c r="G884" s="3" t="s">
        <v>60</v>
      </c>
      <c r="H884" s="3"/>
      <c r="I884" s="3"/>
      <c r="J884" s="345"/>
      <c r="K884" s="703"/>
      <c r="L884" s="342"/>
      <c r="M884" s="342"/>
      <c r="N884" s="340"/>
      <c r="O884" s="703"/>
      <c r="P884" s="342"/>
      <c r="Q884" s="363"/>
      <c r="R884" s="340"/>
      <c r="S884" s="342"/>
      <c r="T884" s="342"/>
      <c r="U884" s="342"/>
      <c r="V884" s="340"/>
      <c r="W884" s="340"/>
    </row>
    <row r="885" spans="2:23" ht="24" customHeight="1">
      <c r="B885" s="67"/>
      <c r="H885" s="347">
        <v>43901</v>
      </c>
      <c r="I885" s="347"/>
      <c r="J885" s="345"/>
      <c r="K885" s="703"/>
      <c r="L885" s="342"/>
      <c r="M885" s="342"/>
      <c r="N885" s="340"/>
      <c r="O885" s="703"/>
      <c r="P885" s="342"/>
      <c r="Q885" s="363"/>
      <c r="R885" s="340"/>
      <c r="S885" s="342"/>
      <c r="T885" s="342"/>
      <c r="U885" s="342"/>
      <c r="V885" s="340"/>
      <c r="W885" s="340"/>
    </row>
    <row r="886" spans="2:23" ht="24" customHeight="1">
      <c r="B886" s="67"/>
      <c r="I886" s="3" t="s">
        <v>60</v>
      </c>
      <c r="J886" s="345">
        <v>4829</v>
      </c>
      <c r="K886" s="703">
        <v>673491.68000000017</v>
      </c>
      <c r="L886" s="342">
        <v>4.9596532210467843E-2</v>
      </c>
      <c r="M886" s="342">
        <v>20.162700000000001</v>
      </c>
      <c r="N886" s="340">
        <v>673491.68000000017</v>
      </c>
      <c r="O886" s="703">
        <v>535648.45634999743</v>
      </c>
      <c r="P886" s="342">
        <v>4.7367099759848805E-2</v>
      </c>
      <c r="Q886" s="363">
        <v>21.111699999999999</v>
      </c>
      <c r="R886" s="340">
        <v>535648.45634999743</v>
      </c>
      <c r="S886" s="342">
        <v>106.83799999999999</v>
      </c>
      <c r="T886" s="342">
        <v>123.803</v>
      </c>
      <c r="U886" s="342">
        <v>1.1587000000000001</v>
      </c>
      <c r="V886" s="340">
        <v>620655.86637274211</v>
      </c>
      <c r="W886" s="340">
        <v>52835.81362725806</v>
      </c>
    </row>
    <row r="887" spans="2:23" ht="24" customHeight="1">
      <c r="J887" s="345"/>
      <c r="K887" s="703"/>
      <c r="L887" s="342"/>
      <c r="M887" s="342"/>
      <c r="N887" s="340"/>
      <c r="O887" s="703"/>
      <c r="P887" s="342"/>
      <c r="Q887" s="363"/>
      <c r="R887" s="340"/>
      <c r="S887" s="342"/>
      <c r="T887" s="342"/>
      <c r="U887" s="342"/>
      <c r="V887" s="340"/>
      <c r="W887" s="340"/>
    </row>
    <row r="888" spans="2:23" ht="24" customHeight="1">
      <c r="B888" s="67"/>
      <c r="F888" s="346">
        <v>44792</v>
      </c>
      <c r="G888" s="346"/>
      <c r="H888" s="346"/>
      <c r="I888" s="346"/>
      <c r="J888" s="345"/>
      <c r="K888" s="703"/>
      <c r="L888" s="342"/>
      <c r="M888" s="342"/>
      <c r="N888" s="340"/>
      <c r="O888" s="703"/>
      <c r="P888" s="342"/>
      <c r="Q888" s="363"/>
      <c r="R888" s="340"/>
      <c r="S888" s="342"/>
      <c r="T888" s="342"/>
      <c r="U888" s="342"/>
      <c r="V888" s="340"/>
      <c r="W888" s="340"/>
    </row>
    <row r="889" spans="2:23" ht="24" customHeight="1">
      <c r="B889" s="67"/>
      <c r="G889" s="3" t="s">
        <v>60</v>
      </c>
      <c r="H889" s="3"/>
      <c r="I889" s="3"/>
      <c r="J889" s="345"/>
      <c r="K889" s="703"/>
      <c r="L889" s="342"/>
      <c r="M889" s="342"/>
      <c r="N889" s="340"/>
      <c r="O889" s="703"/>
      <c r="P889" s="342"/>
      <c r="Q889" s="363"/>
      <c r="R889" s="340"/>
      <c r="S889" s="342"/>
      <c r="T889" s="342"/>
      <c r="U889" s="342"/>
      <c r="V889" s="340"/>
      <c r="W889" s="340"/>
    </row>
    <row r="890" spans="2:23" ht="24" customHeight="1">
      <c r="B890" s="67"/>
      <c r="H890" s="347">
        <v>43901</v>
      </c>
      <c r="I890" s="347"/>
      <c r="J890" s="345"/>
      <c r="K890" s="703"/>
      <c r="L890" s="342"/>
      <c r="M890" s="342"/>
      <c r="N890" s="340"/>
      <c r="O890" s="703"/>
      <c r="P890" s="342"/>
      <c r="Q890" s="363"/>
      <c r="R890" s="340"/>
      <c r="S890" s="342"/>
      <c r="T890" s="342"/>
      <c r="U890" s="342"/>
      <c r="V890" s="340"/>
      <c r="W890" s="340"/>
    </row>
    <row r="891" spans="2:23" ht="24" customHeight="1">
      <c r="B891" s="67"/>
      <c r="I891" s="3" t="s">
        <v>60</v>
      </c>
      <c r="J891" s="345">
        <v>11879</v>
      </c>
      <c r="K891" s="703">
        <v>1911588.98</v>
      </c>
      <c r="L891" s="342">
        <v>4.9903436849695844E-2</v>
      </c>
      <c r="M891" s="342">
        <v>20.038699999999999</v>
      </c>
      <c r="N891" s="340">
        <v>1911588.9800000002</v>
      </c>
      <c r="O891" s="703">
        <v>1317657.4887102132</v>
      </c>
      <c r="P891" s="342">
        <v>4.7367099759848805E-2</v>
      </c>
      <c r="Q891" s="363">
        <v>21.111699999999999</v>
      </c>
      <c r="R891" s="340">
        <v>1317657.488710213</v>
      </c>
      <c r="S891" s="342">
        <v>106.83799999999999</v>
      </c>
      <c r="T891" s="342">
        <v>122.94799999999999</v>
      </c>
      <c r="U891" s="342">
        <v>1.1507000000000001</v>
      </c>
      <c r="V891" s="340">
        <v>1516228.4722588421</v>
      </c>
      <c r="W891" s="340">
        <v>395360.50774115813</v>
      </c>
    </row>
    <row r="892" spans="2:23" ht="24" customHeight="1">
      <c r="J892" s="345"/>
      <c r="K892" s="703"/>
      <c r="L892" s="342"/>
      <c r="M892" s="342"/>
      <c r="N892" s="340"/>
      <c r="O892" s="703"/>
      <c r="P892" s="342"/>
      <c r="Q892" s="363"/>
      <c r="R892" s="340"/>
      <c r="S892" s="342"/>
      <c r="T892" s="342"/>
      <c r="U892" s="342"/>
      <c r="V892" s="340"/>
      <c r="W892" s="340"/>
    </row>
    <row r="893" spans="2:23" ht="24" customHeight="1">
      <c r="B893" s="67"/>
      <c r="E893" s="131" t="s">
        <v>1101</v>
      </c>
      <c r="F893" s="131"/>
      <c r="G893" s="131"/>
      <c r="H893" s="131"/>
      <c r="I893" s="131"/>
      <c r="J893" s="704">
        <v>16708</v>
      </c>
      <c r="K893" s="705">
        <v>2585080.66</v>
      </c>
      <c r="L893" s="369">
        <v>4.9749984530081844E-2</v>
      </c>
      <c r="M893" s="377">
        <v>20.1007</v>
      </c>
      <c r="N893" s="706">
        <v>2585080.66</v>
      </c>
      <c r="O893" s="705">
        <v>1853305.9450602108</v>
      </c>
      <c r="P893" s="369">
        <v>4.7367099759848805E-2</v>
      </c>
      <c r="Q893" s="377">
        <v>21.111699999999999</v>
      </c>
      <c r="R893" s="706">
        <v>1853305.9450602103</v>
      </c>
      <c r="S893" s="369">
        <v>106.83799999999999</v>
      </c>
      <c r="T893" s="369">
        <v>123.37549999999999</v>
      </c>
      <c r="U893" s="369">
        <v>1.1547000000000001</v>
      </c>
      <c r="V893" s="706">
        <v>2136884.3386315843</v>
      </c>
      <c r="W893" s="706">
        <v>448196.32136841619</v>
      </c>
    </row>
    <row r="894" spans="2:23" ht="24" customHeight="1">
      <c r="J894" s="345"/>
      <c r="K894" s="703"/>
      <c r="L894" s="342"/>
      <c r="M894" s="342"/>
      <c r="N894" s="340"/>
      <c r="O894" s="703"/>
      <c r="P894" s="342"/>
      <c r="Q894" s="363"/>
      <c r="R894" s="340"/>
      <c r="S894" s="342"/>
      <c r="T894" s="342"/>
      <c r="U894" s="342"/>
      <c r="V894" s="340"/>
      <c r="W894" s="340"/>
    </row>
    <row r="895" spans="2:23" ht="24" customHeight="1">
      <c r="B895" s="67"/>
      <c r="E895" s="1" t="s">
        <v>1033</v>
      </c>
      <c r="J895" s="345"/>
      <c r="K895" s="703"/>
      <c r="L895" s="342"/>
      <c r="M895" s="342"/>
      <c r="N895" s="340"/>
      <c r="O895" s="703"/>
      <c r="P895" s="342"/>
      <c r="Q895" s="363"/>
      <c r="R895" s="340"/>
      <c r="S895" s="342"/>
      <c r="T895" s="342"/>
      <c r="U895" s="342"/>
      <c r="V895" s="340"/>
      <c r="W895" s="340"/>
    </row>
    <row r="896" spans="2:23" ht="24" customHeight="1">
      <c r="B896" s="67"/>
      <c r="F896" s="346">
        <v>44831</v>
      </c>
      <c r="G896" s="346"/>
      <c r="H896" s="346"/>
      <c r="I896" s="346"/>
      <c r="J896" s="345"/>
      <c r="K896" s="703"/>
      <c r="L896" s="342"/>
      <c r="M896" s="342"/>
      <c r="N896" s="340"/>
      <c r="O896" s="703"/>
      <c r="P896" s="342"/>
      <c r="Q896" s="363"/>
      <c r="R896" s="340"/>
      <c r="S896" s="342"/>
      <c r="T896" s="342"/>
      <c r="U896" s="342"/>
      <c r="V896" s="340"/>
      <c r="W896" s="340"/>
    </row>
    <row r="897" spans="2:23" ht="24" customHeight="1">
      <c r="B897" s="67"/>
      <c r="G897" s="3" t="s">
        <v>60</v>
      </c>
      <c r="H897" s="3"/>
      <c r="I897" s="3"/>
      <c r="J897" s="345"/>
      <c r="K897" s="703"/>
      <c r="L897" s="342"/>
      <c r="M897" s="342"/>
      <c r="N897" s="340"/>
      <c r="O897" s="703"/>
      <c r="P897" s="342"/>
      <c r="Q897" s="363"/>
      <c r="R897" s="340"/>
      <c r="S897" s="342"/>
      <c r="T897" s="342"/>
      <c r="U897" s="342"/>
      <c r="V897" s="340"/>
      <c r="W897" s="340"/>
    </row>
    <row r="898" spans="2:23" ht="24" customHeight="1">
      <c r="B898" s="67"/>
      <c r="H898" s="347">
        <v>44104</v>
      </c>
      <c r="I898" s="347"/>
      <c r="J898" s="345"/>
      <c r="K898" s="703"/>
      <c r="L898" s="342"/>
      <c r="M898" s="342"/>
      <c r="N898" s="340"/>
      <c r="O898" s="703"/>
      <c r="P898" s="342"/>
      <c r="Q898" s="363"/>
      <c r="R898" s="340"/>
      <c r="S898" s="342"/>
      <c r="T898" s="342"/>
      <c r="U898" s="342"/>
      <c r="V898" s="340"/>
      <c r="W898" s="340"/>
    </row>
    <row r="899" spans="2:23" ht="24" customHeight="1">
      <c r="B899" s="67"/>
      <c r="I899" s="3" t="s">
        <v>60</v>
      </c>
      <c r="J899" s="345">
        <v>5450</v>
      </c>
      <c r="K899" s="703">
        <v>1077904.5300507613</v>
      </c>
      <c r="L899" s="342">
        <v>4.9596532210467843E-2</v>
      </c>
      <c r="M899" s="342">
        <v>20.162700000000001</v>
      </c>
      <c r="N899" s="340">
        <v>1077904.5300507613</v>
      </c>
      <c r="O899" s="703">
        <v>1205411.0141591344</v>
      </c>
      <c r="P899" s="342">
        <v>4.452895049716573E-2</v>
      </c>
      <c r="Q899" s="363">
        <v>22.4573</v>
      </c>
      <c r="R899" s="340">
        <v>1205411.0141591344</v>
      </c>
      <c r="S899" s="342">
        <v>108.114</v>
      </c>
      <c r="T899" s="342">
        <v>123.803</v>
      </c>
      <c r="U899" s="342">
        <v>1.1451</v>
      </c>
      <c r="V899" s="340">
        <v>1380316.1523136247</v>
      </c>
      <c r="W899" s="340">
        <v>-302411.62226286344</v>
      </c>
    </row>
    <row r="900" spans="2:23" ht="24" customHeight="1">
      <c r="J900" s="345"/>
      <c r="K900" s="703"/>
      <c r="L900" s="342"/>
      <c r="M900" s="342"/>
      <c r="N900" s="340"/>
      <c r="O900" s="703"/>
      <c r="P900" s="342"/>
      <c r="Q900" s="363"/>
      <c r="R900" s="340"/>
      <c r="S900" s="342"/>
      <c r="T900" s="342"/>
      <c r="U900" s="342"/>
      <c r="V900" s="340"/>
      <c r="W900" s="340"/>
    </row>
    <row r="901" spans="2:23" ht="24" customHeight="1">
      <c r="B901" s="67"/>
      <c r="H901" s="347">
        <v>43601</v>
      </c>
      <c r="I901" s="347"/>
      <c r="J901" s="345"/>
      <c r="K901" s="703"/>
      <c r="L901" s="342"/>
      <c r="M901" s="342"/>
      <c r="N901" s="340"/>
      <c r="O901" s="703"/>
      <c r="P901" s="342"/>
      <c r="Q901" s="363"/>
      <c r="R901" s="340"/>
      <c r="S901" s="342"/>
      <c r="T901" s="342"/>
      <c r="U901" s="342"/>
      <c r="V901" s="340"/>
      <c r="W901" s="340"/>
    </row>
    <row r="902" spans="2:23" ht="24" customHeight="1">
      <c r="B902" s="67"/>
      <c r="I902" s="3" t="s">
        <v>60</v>
      </c>
      <c r="J902" s="345">
        <v>4400</v>
      </c>
      <c r="K902" s="703">
        <v>870234.84994923847</v>
      </c>
      <c r="L902" s="342">
        <v>4.9596532210467843E-2</v>
      </c>
      <c r="M902" s="342">
        <v>20.162700000000001</v>
      </c>
      <c r="N902" s="340">
        <v>870234.84994923847</v>
      </c>
      <c r="O902" s="703">
        <v>625383.55878606567</v>
      </c>
      <c r="P902" s="342">
        <v>5.2239234799688651E-2</v>
      </c>
      <c r="Q902" s="363">
        <v>19.142700000000001</v>
      </c>
      <c r="R902" s="340">
        <v>625383.55878606567</v>
      </c>
      <c r="S902" s="342">
        <v>103.233</v>
      </c>
      <c r="T902" s="342">
        <v>123.803</v>
      </c>
      <c r="U902" s="342">
        <v>1.1992</v>
      </c>
      <c r="V902" s="340">
        <v>749959.96369624999</v>
      </c>
      <c r="W902" s="340">
        <v>120274.88625298848</v>
      </c>
    </row>
    <row r="903" spans="2:23" ht="24" customHeight="1">
      <c r="J903" s="345"/>
      <c r="K903" s="703"/>
      <c r="L903" s="342"/>
      <c r="M903" s="342"/>
      <c r="N903" s="340"/>
      <c r="O903" s="703"/>
      <c r="P903" s="342"/>
      <c r="Q903" s="363"/>
      <c r="R903" s="340"/>
      <c r="S903" s="342"/>
      <c r="T903" s="342"/>
      <c r="U903" s="342"/>
      <c r="V903" s="340"/>
      <c r="W903" s="340"/>
    </row>
    <row r="904" spans="2:23" ht="24" customHeight="1">
      <c r="B904" s="67"/>
      <c r="F904" s="346">
        <v>44792</v>
      </c>
      <c r="G904" s="346"/>
      <c r="H904" s="346"/>
      <c r="I904" s="346"/>
      <c r="J904" s="345"/>
      <c r="K904" s="703"/>
      <c r="L904" s="342"/>
      <c r="M904" s="342"/>
      <c r="N904" s="340"/>
      <c r="O904" s="703"/>
      <c r="P904" s="342"/>
      <c r="Q904" s="363"/>
      <c r="R904" s="340"/>
      <c r="S904" s="342"/>
      <c r="T904" s="342"/>
      <c r="U904" s="342"/>
      <c r="V904" s="340"/>
      <c r="W904" s="340"/>
    </row>
    <row r="905" spans="2:23" ht="24" customHeight="1">
      <c r="B905" s="67"/>
      <c r="G905" s="3" t="s">
        <v>60</v>
      </c>
      <c r="H905" s="3"/>
      <c r="I905" s="3"/>
      <c r="J905" s="345"/>
      <c r="K905" s="703"/>
      <c r="L905" s="342"/>
      <c r="M905" s="342"/>
      <c r="N905" s="340"/>
      <c r="O905" s="703"/>
      <c r="P905" s="342"/>
      <c r="Q905" s="363"/>
      <c r="R905" s="340"/>
      <c r="S905" s="342"/>
      <c r="T905" s="342"/>
      <c r="U905" s="342"/>
      <c r="V905" s="340"/>
      <c r="W905" s="340"/>
    </row>
    <row r="906" spans="2:23" ht="24" customHeight="1">
      <c r="B906" s="67"/>
      <c r="H906" s="347">
        <v>43601</v>
      </c>
      <c r="I906" s="347"/>
      <c r="J906" s="345"/>
      <c r="K906" s="703"/>
      <c r="L906" s="342"/>
      <c r="M906" s="342"/>
      <c r="N906" s="340"/>
      <c r="O906" s="703"/>
      <c r="P906" s="342"/>
      <c r="Q906" s="363"/>
      <c r="R906" s="340"/>
      <c r="S906" s="342"/>
      <c r="T906" s="342"/>
      <c r="U906" s="342"/>
      <c r="V906" s="340"/>
      <c r="W906" s="340"/>
    </row>
    <row r="907" spans="2:23" ht="24" customHeight="1">
      <c r="B907" s="67"/>
      <c r="I907" s="3" t="s">
        <v>60</v>
      </c>
      <c r="J907" s="345">
        <v>21750</v>
      </c>
      <c r="K907" s="703">
        <v>4843576.49</v>
      </c>
      <c r="L907" s="342">
        <v>4.9903436849695844E-2</v>
      </c>
      <c r="M907" s="342">
        <v>20.038699999999999</v>
      </c>
      <c r="N907" s="340">
        <v>4843576.49</v>
      </c>
      <c r="O907" s="703">
        <v>3091384.63718112</v>
      </c>
      <c r="P907" s="342">
        <v>5.2239234799688651E-2</v>
      </c>
      <c r="Q907" s="363">
        <v>19.142700000000001</v>
      </c>
      <c r="R907" s="340">
        <v>3091384.63718112</v>
      </c>
      <c r="S907" s="342">
        <v>103.233</v>
      </c>
      <c r="T907" s="342">
        <v>122.94799999999999</v>
      </c>
      <c r="U907" s="342">
        <v>1.1909000000000001</v>
      </c>
      <c r="V907" s="340">
        <v>3681529.9644189961</v>
      </c>
      <c r="W907" s="340">
        <v>1162046.5255810041</v>
      </c>
    </row>
    <row r="908" spans="2:23" ht="24" customHeight="1">
      <c r="J908" s="345"/>
      <c r="K908" s="703"/>
      <c r="L908" s="342"/>
      <c r="M908" s="342"/>
      <c r="N908" s="340"/>
      <c r="O908" s="703"/>
      <c r="P908" s="342"/>
      <c r="Q908" s="363"/>
      <c r="R908" s="340"/>
      <c r="S908" s="342"/>
      <c r="T908" s="342"/>
      <c r="U908" s="342"/>
      <c r="V908" s="340"/>
      <c r="W908" s="340"/>
    </row>
    <row r="909" spans="2:23" ht="24" customHeight="1">
      <c r="B909" s="67"/>
      <c r="E909" s="131" t="s">
        <v>1102</v>
      </c>
      <c r="F909" s="131"/>
      <c r="G909" s="131"/>
      <c r="H909" s="131"/>
      <c r="I909" s="131"/>
      <c r="J909" s="704">
        <v>31600</v>
      </c>
      <c r="K909" s="705">
        <v>6791715.8700000001</v>
      </c>
      <c r="L909" s="369">
        <v>4.9698833756877177E-2</v>
      </c>
      <c r="M909" s="377">
        <v>20.121366666666667</v>
      </c>
      <c r="N909" s="706">
        <v>6791715.8700000001</v>
      </c>
      <c r="O909" s="705">
        <v>4922179.2101263199</v>
      </c>
      <c r="P909" s="369">
        <v>4.9669140032181008E-2</v>
      </c>
      <c r="Q909" s="377">
        <v>20.247566666666668</v>
      </c>
      <c r="R909" s="706">
        <v>4922179.2101263199</v>
      </c>
      <c r="S909" s="369">
        <v>104.86000000000001</v>
      </c>
      <c r="T909" s="369">
        <v>123.51799999999999</v>
      </c>
      <c r="U909" s="369">
        <v>1.1784000000000001</v>
      </c>
      <c r="V909" s="706">
        <v>5811806.0804288704</v>
      </c>
      <c r="W909" s="706">
        <v>979909.78957112913</v>
      </c>
    </row>
    <row r="910" spans="2:23" ht="24" customHeight="1">
      <c r="J910" s="345"/>
      <c r="K910" s="703"/>
      <c r="L910" s="342"/>
      <c r="M910" s="342"/>
      <c r="N910" s="340"/>
      <c r="O910" s="703"/>
      <c r="P910" s="342"/>
      <c r="Q910" s="363"/>
      <c r="R910" s="340"/>
      <c r="S910" s="342"/>
      <c r="T910" s="342"/>
      <c r="U910" s="342"/>
      <c r="V910" s="340"/>
      <c r="W910" s="340"/>
    </row>
    <row r="911" spans="2:23" ht="24" customHeight="1">
      <c r="B911" s="67"/>
      <c r="E911" s="1" t="s">
        <v>1034</v>
      </c>
      <c r="J911" s="345"/>
      <c r="K911" s="703"/>
      <c r="L911" s="342"/>
      <c r="M911" s="342"/>
      <c r="N911" s="340"/>
      <c r="O911" s="703"/>
      <c r="P911" s="342"/>
      <c r="Q911" s="363"/>
      <c r="R911" s="340"/>
      <c r="S911" s="342"/>
      <c r="T911" s="342"/>
      <c r="U911" s="342"/>
      <c r="V911" s="340"/>
      <c r="W911" s="340"/>
    </row>
    <row r="912" spans="2:23" ht="24" customHeight="1">
      <c r="B912" s="67"/>
      <c r="F912" s="346">
        <v>44831</v>
      </c>
      <c r="G912" s="346"/>
      <c r="H912" s="346"/>
      <c r="I912" s="346"/>
      <c r="J912" s="345"/>
      <c r="K912" s="703"/>
      <c r="L912" s="342"/>
      <c r="M912" s="342"/>
      <c r="N912" s="340"/>
      <c r="O912" s="703"/>
      <c r="P912" s="342"/>
      <c r="Q912" s="363"/>
      <c r="R912" s="340"/>
      <c r="S912" s="342"/>
      <c r="T912" s="342"/>
      <c r="U912" s="342"/>
      <c r="V912" s="340"/>
      <c r="W912" s="340"/>
    </row>
    <row r="913" spans="2:23" ht="24" customHeight="1">
      <c r="B913" s="67"/>
      <c r="G913" s="3" t="s">
        <v>60</v>
      </c>
      <c r="H913" s="3"/>
      <c r="I913" s="3"/>
      <c r="J913" s="345"/>
      <c r="K913" s="703"/>
      <c r="L913" s="342"/>
      <c r="M913" s="342"/>
      <c r="N913" s="340"/>
      <c r="O913" s="703"/>
      <c r="P913" s="342"/>
      <c r="Q913" s="363"/>
      <c r="R913" s="340"/>
      <c r="S913" s="342"/>
      <c r="T913" s="342"/>
      <c r="U913" s="342"/>
      <c r="V913" s="340"/>
      <c r="W913" s="340"/>
    </row>
    <row r="914" spans="2:23" ht="24" customHeight="1">
      <c r="B914" s="67"/>
      <c r="H914" s="347">
        <v>43103</v>
      </c>
      <c r="I914" s="347"/>
      <c r="J914" s="345"/>
      <c r="K914" s="703"/>
      <c r="L914" s="342"/>
      <c r="M914" s="342"/>
      <c r="N914" s="340"/>
      <c r="O914" s="703"/>
      <c r="P914" s="342"/>
      <c r="Q914" s="363"/>
      <c r="R914" s="340"/>
      <c r="S914" s="342"/>
      <c r="T914" s="342"/>
      <c r="U914" s="342"/>
      <c r="V914" s="340"/>
      <c r="W914" s="340"/>
    </row>
    <row r="915" spans="2:23" ht="24" customHeight="1">
      <c r="B915" s="67"/>
      <c r="I915" s="3" t="s">
        <v>60</v>
      </c>
      <c r="J915" s="345">
        <v>13180</v>
      </c>
      <c r="K915" s="703">
        <v>2516361.2637209687</v>
      </c>
      <c r="L915" s="342">
        <v>4.9596532210467843E-2</v>
      </c>
      <c r="M915" s="342">
        <v>20.162700000000001</v>
      </c>
      <c r="N915" s="340">
        <v>2516361.2637209687</v>
      </c>
      <c r="O915" s="703">
        <v>1532634.652303071</v>
      </c>
      <c r="P915" s="342">
        <v>5.0857198073529335E-2</v>
      </c>
      <c r="Q915" s="363">
        <v>19.6629</v>
      </c>
      <c r="R915" s="340">
        <v>1532634.652303071</v>
      </c>
      <c r="S915" s="342">
        <v>98.794999699501005</v>
      </c>
      <c r="T915" s="342">
        <v>123.803</v>
      </c>
      <c r="U915" s="342">
        <v>1.2531000000000001</v>
      </c>
      <c r="V915" s="340">
        <v>1920544.4828009785</v>
      </c>
      <c r="W915" s="340">
        <v>595816.7809199905</v>
      </c>
    </row>
    <row r="916" spans="2:23" ht="24" customHeight="1">
      <c r="J916" s="345"/>
      <c r="K916" s="703"/>
      <c r="L916" s="342"/>
      <c r="M916" s="342"/>
      <c r="N916" s="340"/>
      <c r="O916" s="703"/>
      <c r="P916" s="342"/>
      <c r="Q916" s="363"/>
      <c r="R916" s="340"/>
      <c r="S916" s="342"/>
      <c r="T916" s="342"/>
      <c r="U916" s="342"/>
      <c r="V916" s="340"/>
      <c r="W916" s="340"/>
    </row>
    <row r="917" spans="2:23" ht="24" customHeight="1">
      <c r="B917" s="67"/>
      <c r="H917" s="347">
        <v>43599</v>
      </c>
      <c r="I917" s="347"/>
      <c r="J917" s="345"/>
      <c r="K917" s="703"/>
      <c r="L917" s="342"/>
      <c r="M917" s="342"/>
      <c r="N917" s="340"/>
      <c r="O917" s="703"/>
      <c r="P917" s="342"/>
      <c r="Q917" s="363"/>
      <c r="R917" s="340"/>
      <c r="S917" s="342"/>
      <c r="T917" s="342"/>
      <c r="U917" s="342"/>
      <c r="V917" s="340"/>
      <c r="W917" s="340"/>
    </row>
    <row r="918" spans="2:23" ht="24" customHeight="1">
      <c r="B918" s="67"/>
      <c r="I918" s="3" t="s">
        <v>60</v>
      </c>
      <c r="J918" s="345">
        <v>11104</v>
      </c>
      <c r="K918" s="703">
        <v>2120005.7262790315</v>
      </c>
      <c r="L918" s="342">
        <v>4.9596532210467843E-2</v>
      </c>
      <c r="M918" s="342">
        <v>20.162700000000001</v>
      </c>
      <c r="N918" s="340">
        <v>2120005.7262790315</v>
      </c>
      <c r="O918" s="703">
        <v>1297114.1372640384</v>
      </c>
      <c r="P918" s="342">
        <v>5.2253702174799084E-2</v>
      </c>
      <c r="Q918" s="363">
        <v>19.1374</v>
      </c>
      <c r="R918" s="340">
        <v>1297114.1372640384</v>
      </c>
      <c r="S918" s="342">
        <v>103.233</v>
      </c>
      <c r="T918" s="342">
        <v>123.803</v>
      </c>
      <c r="U918" s="342">
        <v>1.1992</v>
      </c>
      <c r="V918" s="340">
        <v>1555499.273407035</v>
      </c>
      <c r="W918" s="340">
        <v>564506.45287199644</v>
      </c>
    </row>
    <row r="919" spans="2:23" ht="24" customHeight="1">
      <c r="J919" s="345"/>
      <c r="K919" s="703"/>
      <c r="L919" s="342"/>
      <c r="M919" s="342"/>
      <c r="N919" s="340"/>
      <c r="O919" s="703"/>
      <c r="P919" s="342"/>
      <c r="Q919" s="363"/>
      <c r="R919" s="340"/>
      <c r="S919" s="342"/>
      <c r="T919" s="342"/>
      <c r="U919" s="342"/>
      <c r="V919" s="340"/>
      <c r="W919" s="340"/>
    </row>
    <row r="920" spans="2:23" ht="24" customHeight="1">
      <c r="B920" s="67"/>
      <c r="F920" s="346">
        <v>44792</v>
      </c>
      <c r="G920" s="346"/>
      <c r="H920" s="346"/>
      <c r="I920" s="346"/>
      <c r="J920" s="345"/>
      <c r="K920" s="703"/>
      <c r="L920" s="342"/>
      <c r="M920" s="342"/>
      <c r="N920" s="340"/>
      <c r="O920" s="703"/>
      <c r="P920" s="342"/>
      <c r="Q920" s="363"/>
      <c r="R920" s="340"/>
      <c r="S920" s="342"/>
      <c r="T920" s="342"/>
      <c r="U920" s="342"/>
      <c r="V920" s="340"/>
      <c r="W920" s="340"/>
    </row>
    <row r="921" spans="2:23" ht="24" customHeight="1">
      <c r="B921" s="67"/>
      <c r="G921" s="3" t="s">
        <v>60</v>
      </c>
      <c r="H921" s="3"/>
      <c r="I921" s="3"/>
      <c r="J921" s="345"/>
      <c r="K921" s="703"/>
      <c r="L921" s="342"/>
      <c r="M921" s="342"/>
      <c r="N921" s="340"/>
      <c r="O921" s="703"/>
      <c r="P921" s="342"/>
      <c r="Q921" s="363"/>
      <c r="R921" s="340"/>
      <c r="S921" s="342"/>
      <c r="T921" s="342"/>
      <c r="U921" s="342"/>
      <c r="V921" s="340"/>
      <c r="W921" s="340"/>
    </row>
    <row r="922" spans="2:23" ht="24" customHeight="1">
      <c r="B922" s="67"/>
      <c r="H922" s="347">
        <v>43103</v>
      </c>
      <c r="I922" s="347"/>
      <c r="J922" s="345"/>
      <c r="K922" s="703"/>
      <c r="L922" s="342"/>
      <c r="M922" s="342"/>
      <c r="N922" s="340"/>
      <c r="O922" s="703"/>
      <c r="P922" s="342"/>
      <c r="Q922" s="363"/>
      <c r="R922" s="340"/>
      <c r="S922" s="342"/>
      <c r="T922" s="342"/>
      <c r="U922" s="342"/>
      <c r="V922" s="340"/>
      <c r="W922" s="340"/>
    </row>
    <row r="923" spans="2:23" ht="24" customHeight="1">
      <c r="B923" s="67"/>
      <c r="I923" s="3" t="s">
        <v>60</v>
      </c>
      <c r="J923" s="345">
        <v>16561</v>
      </c>
      <c r="K923" s="703">
        <v>3385542.92</v>
      </c>
      <c r="L923" s="342">
        <v>4.9903436849695844E-2</v>
      </c>
      <c r="M923" s="342">
        <v>20.038699999999999</v>
      </c>
      <c r="N923" s="340">
        <v>3385542.9200000004</v>
      </c>
      <c r="O923" s="703">
        <v>1925793.8146275538</v>
      </c>
      <c r="P923" s="342">
        <v>5.0857198073529335E-2</v>
      </c>
      <c r="Q923" s="363">
        <v>19.6629</v>
      </c>
      <c r="R923" s="340">
        <v>1925793.8146275536</v>
      </c>
      <c r="S923" s="342">
        <v>98.794999699501005</v>
      </c>
      <c r="T923" s="342">
        <v>122.94799999999999</v>
      </c>
      <c r="U923" s="342">
        <v>1.2444</v>
      </c>
      <c r="V923" s="340">
        <v>2396457.8229225278</v>
      </c>
      <c r="W923" s="340">
        <v>989085.0970774726</v>
      </c>
    </row>
    <row r="924" spans="2:23" ht="24" customHeight="1">
      <c r="J924" s="345"/>
      <c r="K924" s="703"/>
      <c r="L924" s="342"/>
      <c r="M924" s="342"/>
      <c r="N924" s="340"/>
      <c r="O924" s="703"/>
      <c r="P924" s="342"/>
      <c r="Q924" s="363"/>
      <c r="R924" s="340"/>
      <c r="S924" s="342"/>
      <c r="T924" s="342"/>
      <c r="U924" s="342"/>
      <c r="V924" s="340"/>
      <c r="W924" s="340"/>
    </row>
    <row r="925" spans="2:23" ht="24" customHeight="1">
      <c r="B925" s="67"/>
      <c r="E925" s="131" t="s">
        <v>1103</v>
      </c>
      <c r="F925" s="131"/>
      <c r="G925" s="131"/>
      <c r="H925" s="131"/>
      <c r="I925" s="131"/>
      <c r="J925" s="704">
        <v>40845</v>
      </c>
      <c r="K925" s="705">
        <v>8021909.9100000001</v>
      </c>
      <c r="L925" s="369">
        <v>4.9698833756877177E-2</v>
      </c>
      <c r="M925" s="377">
        <v>20.121366666666667</v>
      </c>
      <c r="N925" s="706">
        <v>8021909.9100000001</v>
      </c>
      <c r="O925" s="705">
        <v>4755542.6041946635</v>
      </c>
      <c r="P925" s="369">
        <v>5.1322699440619256E-2</v>
      </c>
      <c r="Q925" s="377">
        <v>19.487733333333335</v>
      </c>
      <c r="R925" s="706">
        <v>4755542.6041946625</v>
      </c>
      <c r="S925" s="369">
        <v>100.27433313300067</v>
      </c>
      <c r="T925" s="369">
        <v>123.51799999999999</v>
      </c>
      <c r="U925" s="369">
        <v>1.2322333333333333</v>
      </c>
      <c r="V925" s="706">
        <v>5872501.5791305415</v>
      </c>
      <c r="W925" s="706">
        <v>2149408.3308694595</v>
      </c>
    </row>
    <row r="926" spans="2:23" ht="24" customHeight="1">
      <c r="J926" s="345"/>
      <c r="K926" s="703"/>
      <c r="L926" s="342"/>
      <c r="M926" s="342"/>
      <c r="N926" s="340"/>
      <c r="O926" s="703"/>
      <c r="P926" s="342"/>
      <c r="Q926" s="363"/>
      <c r="R926" s="340"/>
      <c r="S926" s="342"/>
      <c r="T926" s="342"/>
      <c r="U926" s="342"/>
      <c r="V926" s="340"/>
      <c r="W926" s="340"/>
    </row>
    <row r="927" spans="2:23" ht="24" customHeight="1">
      <c r="B927" s="67"/>
      <c r="E927" s="1" t="s">
        <v>897</v>
      </c>
      <c r="J927" s="345"/>
      <c r="K927" s="703"/>
      <c r="L927" s="342"/>
      <c r="M927" s="342"/>
      <c r="N927" s="340"/>
      <c r="O927" s="703"/>
      <c r="P927" s="342"/>
      <c r="Q927" s="363"/>
      <c r="R927" s="340"/>
      <c r="S927" s="342"/>
      <c r="T927" s="342"/>
      <c r="U927" s="342"/>
      <c r="V927" s="340"/>
      <c r="W927" s="340"/>
    </row>
    <row r="928" spans="2:23" ht="24" customHeight="1">
      <c r="B928" s="67"/>
      <c r="F928" s="346">
        <v>44685</v>
      </c>
      <c r="G928" s="346"/>
      <c r="H928" s="346"/>
      <c r="I928" s="346"/>
      <c r="J928" s="345"/>
      <c r="K928" s="703"/>
      <c r="L928" s="342"/>
      <c r="M928" s="342"/>
      <c r="N928" s="340"/>
      <c r="O928" s="703"/>
      <c r="P928" s="342"/>
      <c r="Q928" s="363"/>
      <c r="R928" s="340"/>
      <c r="S928" s="342"/>
      <c r="T928" s="342"/>
      <c r="U928" s="342"/>
      <c r="V928" s="340"/>
      <c r="W928" s="340"/>
    </row>
    <row r="929" spans="2:23" ht="24" customHeight="1">
      <c r="B929" s="67"/>
      <c r="G929" s="3" t="s">
        <v>60</v>
      </c>
      <c r="H929" s="3"/>
      <c r="I929" s="3"/>
      <c r="J929" s="345"/>
      <c r="K929" s="703"/>
      <c r="L929" s="342"/>
      <c r="M929" s="342"/>
      <c r="N929" s="340"/>
      <c r="O929" s="703"/>
      <c r="P929" s="342"/>
      <c r="Q929" s="363"/>
      <c r="R929" s="340"/>
      <c r="S929" s="342"/>
      <c r="T929" s="342"/>
      <c r="U929" s="342"/>
      <c r="V929" s="340"/>
      <c r="W929" s="340"/>
    </row>
    <row r="930" spans="2:23" ht="24" customHeight="1">
      <c r="B930" s="67"/>
      <c r="H930" s="347">
        <v>44217</v>
      </c>
      <c r="I930" s="347"/>
      <c r="J930" s="345"/>
      <c r="K930" s="703"/>
      <c r="L930" s="342"/>
      <c r="M930" s="342"/>
      <c r="N930" s="340"/>
      <c r="O930" s="703"/>
      <c r="P930" s="342"/>
      <c r="Q930" s="363"/>
      <c r="R930" s="340"/>
      <c r="S930" s="342"/>
      <c r="T930" s="342"/>
      <c r="U930" s="342"/>
      <c r="V930" s="340"/>
      <c r="W930" s="340"/>
    </row>
    <row r="931" spans="2:23" ht="24" customHeight="1">
      <c r="B931" s="67"/>
      <c r="I931" s="3" t="s">
        <v>60</v>
      </c>
      <c r="J931" s="345">
        <v>1433</v>
      </c>
      <c r="K931" s="703">
        <v>4182376.2300000004</v>
      </c>
      <c r="L931" s="342">
        <v>4.9001592551757935E-2</v>
      </c>
      <c r="M931" s="342">
        <v>20.407499999999999</v>
      </c>
      <c r="N931" s="340">
        <v>4182376.2300000004</v>
      </c>
      <c r="O931" s="703">
        <v>4885645.1357849203</v>
      </c>
      <c r="P931" s="342">
        <v>5.081610667317113E-2</v>
      </c>
      <c r="Q931" s="363">
        <v>19.678799999999999</v>
      </c>
      <c r="R931" s="340">
        <v>4885645.1357849203</v>
      </c>
      <c r="S931" s="342">
        <v>110.21</v>
      </c>
      <c r="T931" s="342">
        <v>120.809</v>
      </c>
      <c r="U931" s="342">
        <v>1.0961000000000001</v>
      </c>
      <c r="V931" s="340">
        <v>5355155.6333338516</v>
      </c>
      <c r="W931" s="340">
        <v>-1172779.4033338511</v>
      </c>
    </row>
    <row r="932" spans="2:23" ht="24" customHeight="1">
      <c r="J932" s="345"/>
      <c r="K932" s="703"/>
      <c r="L932" s="342"/>
      <c r="M932" s="342"/>
      <c r="N932" s="340"/>
      <c r="O932" s="703"/>
      <c r="P932" s="342"/>
      <c r="Q932" s="363"/>
      <c r="R932" s="340"/>
      <c r="S932" s="342"/>
      <c r="T932" s="342"/>
      <c r="U932" s="342"/>
      <c r="V932" s="340"/>
      <c r="W932" s="340"/>
    </row>
    <row r="933" spans="2:23" ht="24" customHeight="1">
      <c r="B933" s="67"/>
      <c r="F933" s="346">
        <v>44831</v>
      </c>
      <c r="G933" s="346"/>
      <c r="H933" s="346"/>
      <c r="I933" s="346"/>
      <c r="J933" s="345"/>
      <c r="K933" s="703"/>
      <c r="L933" s="342"/>
      <c r="M933" s="342"/>
      <c r="N933" s="340"/>
      <c r="O933" s="703"/>
      <c r="P933" s="342"/>
      <c r="Q933" s="363"/>
      <c r="R933" s="340"/>
      <c r="S933" s="342"/>
      <c r="T933" s="342"/>
      <c r="U933" s="342"/>
      <c r="V933" s="340"/>
      <c r="W933" s="340"/>
    </row>
    <row r="934" spans="2:23" ht="24" customHeight="1">
      <c r="B934" s="67"/>
      <c r="G934" s="3" t="s">
        <v>60</v>
      </c>
      <c r="H934" s="3"/>
      <c r="I934" s="3"/>
      <c r="J934" s="345"/>
      <c r="K934" s="703"/>
      <c r="L934" s="342"/>
      <c r="M934" s="342"/>
      <c r="N934" s="340"/>
      <c r="O934" s="703"/>
      <c r="P934" s="342"/>
      <c r="Q934" s="363"/>
      <c r="R934" s="340"/>
      <c r="S934" s="342"/>
      <c r="T934" s="342"/>
      <c r="U934" s="342"/>
      <c r="V934" s="340"/>
      <c r="W934" s="340"/>
    </row>
    <row r="935" spans="2:23" ht="24" customHeight="1">
      <c r="B935" s="67"/>
      <c r="H935" s="347">
        <v>44490</v>
      </c>
      <c r="I935" s="347"/>
      <c r="J935" s="345"/>
      <c r="K935" s="703"/>
      <c r="L935" s="342"/>
      <c r="M935" s="342"/>
      <c r="N935" s="340"/>
      <c r="O935" s="703"/>
      <c r="P935" s="342"/>
      <c r="Q935" s="363"/>
      <c r="R935" s="340"/>
      <c r="S935" s="342"/>
      <c r="T935" s="342"/>
      <c r="U935" s="342"/>
      <c r="V935" s="340"/>
      <c r="W935" s="340"/>
    </row>
    <row r="936" spans="2:23" ht="24" customHeight="1">
      <c r="B936" s="67"/>
      <c r="I936" s="3" t="s">
        <v>60</v>
      </c>
      <c r="J936" s="345">
        <v>140</v>
      </c>
      <c r="K936" s="703">
        <v>355337.97</v>
      </c>
      <c r="L936" s="342">
        <v>4.9596532210467843E-2</v>
      </c>
      <c r="M936" s="342">
        <v>20.162700000000001</v>
      </c>
      <c r="N936" s="340">
        <v>355337.97</v>
      </c>
      <c r="O936" s="703">
        <v>553839.50234688038</v>
      </c>
      <c r="P936" s="342">
        <v>4.9346893859765997E-2</v>
      </c>
      <c r="Q936" s="363">
        <v>20.264700000000001</v>
      </c>
      <c r="R936" s="340">
        <v>553839.5023468805</v>
      </c>
      <c r="S936" s="342">
        <v>115.56100000000001</v>
      </c>
      <c r="T936" s="342">
        <v>123.803</v>
      </c>
      <c r="U936" s="342">
        <v>1.0712999999999999</v>
      </c>
      <c r="V936" s="340">
        <v>593328.25886421301</v>
      </c>
      <c r="W936" s="340">
        <v>-237990.28886421304</v>
      </c>
    </row>
    <row r="937" spans="2:23" ht="24" customHeight="1">
      <c r="J937" s="345"/>
      <c r="K937" s="703"/>
      <c r="L937" s="342"/>
      <c r="M937" s="342"/>
      <c r="N937" s="340"/>
      <c r="O937" s="703"/>
      <c r="P937" s="342"/>
      <c r="Q937" s="363"/>
      <c r="R937" s="340"/>
      <c r="S937" s="342"/>
      <c r="T937" s="342"/>
      <c r="U937" s="342"/>
      <c r="V937" s="340"/>
      <c r="W937" s="340"/>
    </row>
    <row r="938" spans="2:23" ht="24" customHeight="1">
      <c r="B938" s="67"/>
      <c r="F938" s="346">
        <v>44792</v>
      </c>
      <c r="G938" s="346"/>
      <c r="H938" s="346"/>
      <c r="I938" s="346"/>
      <c r="J938" s="345"/>
      <c r="K938" s="703"/>
      <c r="L938" s="342"/>
      <c r="M938" s="342"/>
      <c r="N938" s="340"/>
      <c r="O938" s="703"/>
      <c r="P938" s="342"/>
      <c r="Q938" s="363"/>
      <c r="R938" s="340"/>
      <c r="S938" s="342"/>
      <c r="T938" s="342"/>
      <c r="U938" s="342"/>
      <c r="V938" s="340"/>
      <c r="W938" s="340"/>
    </row>
    <row r="939" spans="2:23" ht="24" customHeight="1">
      <c r="B939" s="67"/>
      <c r="G939" s="3" t="s">
        <v>60</v>
      </c>
      <c r="H939" s="3"/>
      <c r="I939" s="3"/>
      <c r="J939" s="345"/>
      <c r="K939" s="703"/>
      <c r="L939" s="342"/>
      <c r="M939" s="342"/>
      <c r="N939" s="340"/>
      <c r="O939" s="703"/>
      <c r="P939" s="342"/>
      <c r="Q939" s="363"/>
      <c r="R939" s="340"/>
      <c r="S939" s="342"/>
      <c r="T939" s="342"/>
      <c r="U939" s="342"/>
      <c r="V939" s="340"/>
      <c r="W939" s="340"/>
    </row>
    <row r="940" spans="2:23" ht="24" customHeight="1">
      <c r="B940" s="67"/>
      <c r="H940" s="347">
        <v>44217</v>
      </c>
      <c r="I940" s="347"/>
      <c r="J940" s="345"/>
      <c r="K940" s="703"/>
      <c r="L940" s="342"/>
      <c r="M940" s="342"/>
      <c r="N940" s="340"/>
      <c r="O940" s="703"/>
      <c r="P940" s="342"/>
      <c r="Q940" s="363"/>
      <c r="R940" s="340"/>
      <c r="S940" s="342"/>
      <c r="T940" s="342"/>
      <c r="U940" s="342"/>
      <c r="V940" s="340"/>
      <c r="W940" s="340"/>
    </row>
    <row r="941" spans="2:23" ht="24" customHeight="1">
      <c r="B941" s="67"/>
      <c r="I941" s="3" t="s">
        <v>60</v>
      </c>
      <c r="J941" s="345">
        <v>185</v>
      </c>
      <c r="K941" s="703">
        <v>552153.65394295298</v>
      </c>
      <c r="L941" s="342">
        <v>4.9903436849695844E-2</v>
      </c>
      <c r="M941" s="342">
        <v>20.038699999999999</v>
      </c>
      <c r="N941" s="340">
        <v>552153.65394295298</v>
      </c>
      <c r="O941" s="703">
        <v>630735.76421508042</v>
      </c>
      <c r="P941" s="342">
        <v>5.081610667317113E-2</v>
      </c>
      <c r="Q941" s="363">
        <v>19.678799999999999</v>
      </c>
      <c r="R941" s="340">
        <v>630735.76421508042</v>
      </c>
      <c r="S941" s="342">
        <v>110.21</v>
      </c>
      <c r="T941" s="342">
        <v>122.94799999999999</v>
      </c>
      <c r="U941" s="342">
        <v>1.1154999999999999</v>
      </c>
      <c r="V941" s="340">
        <v>703585.74498192221</v>
      </c>
      <c r="W941" s="340">
        <v>-151432.09103896923</v>
      </c>
    </row>
    <row r="942" spans="2:23" ht="24" customHeight="1">
      <c r="J942" s="345"/>
      <c r="K942" s="703"/>
      <c r="L942" s="342"/>
      <c r="M942" s="342"/>
      <c r="N942" s="340"/>
      <c r="O942" s="703"/>
      <c r="P942" s="342"/>
      <c r="Q942" s="363"/>
      <c r="R942" s="340"/>
      <c r="S942" s="342"/>
      <c r="T942" s="342"/>
      <c r="U942" s="342"/>
      <c r="V942" s="340"/>
      <c r="W942" s="340"/>
    </row>
    <row r="943" spans="2:23" ht="24" customHeight="1">
      <c r="B943" s="67"/>
      <c r="H943" s="347">
        <v>44490</v>
      </c>
      <c r="I943" s="347"/>
      <c r="J943" s="345"/>
      <c r="K943" s="703"/>
      <c r="L943" s="342"/>
      <c r="M943" s="342"/>
      <c r="N943" s="340"/>
      <c r="O943" s="703"/>
      <c r="P943" s="342"/>
      <c r="Q943" s="363"/>
      <c r="R943" s="340"/>
      <c r="S943" s="342"/>
      <c r="T943" s="342"/>
      <c r="U943" s="342"/>
      <c r="V943" s="340"/>
      <c r="W943" s="340"/>
    </row>
    <row r="944" spans="2:23" ht="24" customHeight="1">
      <c r="B944" s="67"/>
      <c r="I944" s="3" t="s">
        <v>60</v>
      </c>
      <c r="J944" s="345">
        <v>411</v>
      </c>
      <c r="K944" s="703">
        <v>1226676.496057047</v>
      </c>
      <c r="L944" s="342">
        <v>4.9903436849695844E-2</v>
      </c>
      <c r="M944" s="342">
        <v>20.038699999999999</v>
      </c>
      <c r="N944" s="340">
        <v>1226676.496057047</v>
      </c>
      <c r="O944" s="703">
        <v>1625914.5390326274</v>
      </c>
      <c r="P944" s="342">
        <v>4.9346893859765997E-2</v>
      </c>
      <c r="Q944" s="363">
        <v>20.264700000000001</v>
      </c>
      <c r="R944" s="340">
        <v>1625914.5390326276</v>
      </c>
      <c r="S944" s="342">
        <v>115.56100000000001</v>
      </c>
      <c r="T944" s="342">
        <v>122.94799999999999</v>
      </c>
      <c r="U944" s="342">
        <v>1.0639000000000001</v>
      </c>
      <c r="V944" s="340">
        <v>1729810.4780768126</v>
      </c>
      <c r="W944" s="340">
        <v>-503133.98201976577</v>
      </c>
    </row>
    <row r="945" spans="2:23" ht="24" customHeight="1">
      <c r="J945" s="345"/>
      <c r="K945" s="703"/>
      <c r="L945" s="342"/>
      <c r="M945" s="342"/>
      <c r="N945" s="340"/>
      <c r="O945" s="703"/>
      <c r="P945" s="342"/>
      <c r="Q945" s="363"/>
      <c r="R945" s="340"/>
      <c r="S945" s="342"/>
      <c r="T945" s="342"/>
      <c r="U945" s="342"/>
      <c r="V945" s="340"/>
      <c r="W945" s="340"/>
    </row>
    <row r="946" spans="2:23" ht="24" customHeight="1">
      <c r="B946" s="67"/>
      <c r="E946" s="131" t="s">
        <v>1104</v>
      </c>
      <c r="F946" s="131"/>
      <c r="G946" s="131"/>
      <c r="H946" s="131"/>
      <c r="I946" s="131"/>
      <c r="J946" s="704">
        <v>2169</v>
      </c>
      <c r="K946" s="705">
        <v>6316544.3499999996</v>
      </c>
      <c r="L946" s="369">
        <v>4.9601249615404366E-2</v>
      </c>
      <c r="M946" s="377">
        <v>20.161899999999999</v>
      </c>
      <c r="N946" s="706">
        <v>6316544.3499999996</v>
      </c>
      <c r="O946" s="705">
        <v>7696134.941379508</v>
      </c>
      <c r="P946" s="369">
        <v>5.0081500266468557E-2</v>
      </c>
      <c r="Q946" s="377">
        <v>19.97175</v>
      </c>
      <c r="R946" s="706">
        <v>7696134.9413795089</v>
      </c>
      <c r="S946" s="369">
        <v>112.88550000000001</v>
      </c>
      <c r="T946" s="369">
        <v>122.627</v>
      </c>
      <c r="U946" s="369">
        <v>1.0867</v>
      </c>
      <c r="V946" s="706">
        <v>8381880.1152567994</v>
      </c>
      <c r="W946" s="706">
        <v>-2065335.7652567993</v>
      </c>
    </row>
    <row r="947" spans="2:23" ht="24" customHeight="1">
      <c r="J947" s="345"/>
      <c r="K947" s="703"/>
      <c r="L947" s="342"/>
      <c r="M947" s="342"/>
      <c r="N947" s="340"/>
      <c r="O947" s="703"/>
      <c r="P947" s="342"/>
      <c r="Q947" s="363"/>
      <c r="R947" s="340"/>
      <c r="S947" s="342"/>
      <c r="T947" s="342"/>
      <c r="U947" s="342"/>
      <c r="V947" s="340"/>
      <c r="W947" s="340"/>
    </row>
    <row r="948" spans="2:23" ht="24" customHeight="1">
      <c r="B948" s="67"/>
      <c r="E948" s="1" t="s">
        <v>1039</v>
      </c>
      <c r="J948" s="345"/>
      <c r="K948" s="703"/>
      <c r="L948" s="342"/>
      <c r="M948" s="342"/>
      <c r="N948" s="340"/>
      <c r="O948" s="703"/>
      <c r="P948" s="342"/>
      <c r="Q948" s="363"/>
      <c r="R948" s="340"/>
      <c r="S948" s="342"/>
      <c r="T948" s="342"/>
      <c r="U948" s="342"/>
      <c r="V948" s="340"/>
      <c r="W948" s="340"/>
    </row>
    <row r="949" spans="2:23" ht="24" customHeight="1">
      <c r="B949" s="67"/>
      <c r="F949" s="346">
        <v>44831</v>
      </c>
      <c r="G949" s="346"/>
      <c r="H949" s="346"/>
      <c r="I949" s="346"/>
      <c r="J949" s="345"/>
      <c r="K949" s="703"/>
      <c r="L949" s="342"/>
      <c r="M949" s="342"/>
      <c r="N949" s="340"/>
      <c r="O949" s="703"/>
      <c r="P949" s="342"/>
      <c r="Q949" s="363"/>
      <c r="R949" s="340"/>
      <c r="S949" s="342"/>
      <c r="T949" s="342"/>
      <c r="U949" s="342"/>
      <c r="V949" s="340"/>
      <c r="W949" s="340"/>
    </row>
    <row r="950" spans="2:23" ht="24" customHeight="1">
      <c r="B950" s="67"/>
      <c r="G950" s="3" t="s">
        <v>60</v>
      </c>
      <c r="H950" s="3"/>
      <c r="I950" s="3"/>
      <c r="J950" s="345"/>
      <c r="K950" s="703"/>
      <c r="L950" s="342"/>
      <c r="M950" s="342"/>
      <c r="N950" s="340"/>
      <c r="O950" s="703"/>
      <c r="P950" s="342"/>
      <c r="Q950" s="363"/>
      <c r="R950" s="340"/>
      <c r="S950" s="342"/>
      <c r="T950" s="342"/>
      <c r="U950" s="342"/>
      <c r="V950" s="340"/>
      <c r="W950" s="340"/>
    </row>
    <row r="951" spans="2:23" ht="24" customHeight="1">
      <c r="B951" s="67"/>
      <c r="H951" s="347">
        <v>44340</v>
      </c>
      <c r="I951" s="347"/>
      <c r="J951" s="345"/>
      <c r="K951" s="703"/>
      <c r="L951" s="342"/>
      <c r="M951" s="342"/>
      <c r="N951" s="340"/>
      <c r="O951" s="703"/>
      <c r="P951" s="342"/>
      <c r="Q951" s="363"/>
      <c r="R951" s="340"/>
      <c r="S951" s="342"/>
      <c r="T951" s="342"/>
      <c r="U951" s="342"/>
      <c r="V951" s="340"/>
      <c r="W951" s="340"/>
    </row>
    <row r="952" spans="2:23" ht="24" customHeight="1">
      <c r="B952" s="67"/>
      <c r="I952" s="3" t="s">
        <v>60</v>
      </c>
      <c r="J952" s="345">
        <v>328</v>
      </c>
      <c r="K952" s="703">
        <v>1027709.19</v>
      </c>
      <c r="L952" s="342">
        <v>4.9596532210467843E-2</v>
      </c>
      <c r="M952" s="342">
        <v>20.162700000000001</v>
      </c>
      <c r="N952" s="340">
        <v>1027709.19</v>
      </c>
      <c r="O952" s="703">
        <v>932163.6454816825</v>
      </c>
      <c r="P952" s="342">
        <v>5.0299280720285701E-2</v>
      </c>
      <c r="Q952" s="363">
        <v>19.881</v>
      </c>
      <c r="R952" s="340">
        <v>932163.6454816825</v>
      </c>
      <c r="S952" s="342">
        <v>112.419</v>
      </c>
      <c r="T952" s="342">
        <v>123.803</v>
      </c>
      <c r="U952" s="342">
        <v>1.1012</v>
      </c>
      <c r="V952" s="340">
        <v>1026498.6064044287</v>
      </c>
      <c r="W952" s="340">
        <v>1210.5835955712246</v>
      </c>
    </row>
    <row r="953" spans="2:23" ht="24" customHeight="1">
      <c r="J953" s="345"/>
      <c r="K953" s="703"/>
      <c r="L953" s="342"/>
      <c r="M953" s="342"/>
      <c r="N953" s="340"/>
      <c r="O953" s="703"/>
      <c r="P953" s="342"/>
      <c r="Q953" s="363"/>
      <c r="R953" s="340"/>
      <c r="S953" s="342"/>
      <c r="T953" s="342"/>
      <c r="U953" s="342"/>
      <c r="V953" s="340"/>
      <c r="W953" s="340"/>
    </row>
    <row r="954" spans="2:23" ht="24" customHeight="1">
      <c r="B954" s="67"/>
      <c r="F954" s="346">
        <v>44792</v>
      </c>
      <c r="G954" s="346"/>
      <c r="H954" s="346"/>
      <c r="I954" s="346"/>
      <c r="J954" s="345"/>
      <c r="K954" s="703"/>
      <c r="L954" s="342"/>
      <c r="M954" s="342"/>
      <c r="N954" s="340"/>
      <c r="O954" s="703"/>
      <c r="P954" s="342"/>
      <c r="Q954" s="363"/>
      <c r="R954" s="340"/>
      <c r="S954" s="342"/>
      <c r="T954" s="342"/>
      <c r="U954" s="342"/>
      <c r="V954" s="340"/>
      <c r="W954" s="340"/>
    </row>
    <row r="955" spans="2:23" ht="24" customHeight="1">
      <c r="B955" s="67"/>
      <c r="G955" s="3" t="s">
        <v>60</v>
      </c>
      <c r="H955" s="3"/>
      <c r="I955" s="3"/>
      <c r="J955" s="345"/>
      <c r="K955" s="703"/>
      <c r="L955" s="342"/>
      <c r="M955" s="342"/>
      <c r="N955" s="340"/>
      <c r="O955" s="703"/>
      <c r="P955" s="342"/>
      <c r="Q955" s="363"/>
      <c r="R955" s="340"/>
      <c r="S955" s="342"/>
      <c r="T955" s="342"/>
      <c r="U955" s="342"/>
      <c r="V955" s="340"/>
      <c r="W955" s="340"/>
    </row>
    <row r="956" spans="2:23" ht="24" customHeight="1">
      <c r="B956" s="67"/>
      <c r="H956" s="347">
        <v>44340</v>
      </c>
      <c r="I956" s="347"/>
      <c r="J956" s="345"/>
      <c r="K956" s="703"/>
      <c r="L956" s="342"/>
      <c r="M956" s="342"/>
      <c r="N956" s="340"/>
      <c r="O956" s="703"/>
      <c r="P956" s="342"/>
      <c r="Q956" s="363"/>
      <c r="R956" s="340"/>
      <c r="S956" s="342"/>
      <c r="T956" s="342"/>
      <c r="U956" s="342"/>
      <c r="V956" s="340"/>
      <c r="W956" s="340"/>
    </row>
    <row r="957" spans="2:23" ht="24" customHeight="1">
      <c r="B957" s="67"/>
      <c r="I957" s="3" t="s">
        <v>60</v>
      </c>
      <c r="J957" s="345">
        <v>816</v>
      </c>
      <c r="K957" s="703">
        <v>2874093.19</v>
      </c>
      <c r="L957" s="342">
        <v>4.9903436849695844E-2</v>
      </c>
      <c r="M957" s="342">
        <v>20.038699999999999</v>
      </c>
      <c r="N957" s="340">
        <v>2874093.19</v>
      </c>
      <c r="O957" s="703">
        <v>2319041.264369064</v>
      </c>
      <c r="P957" s="342">
        <v>5.0299280720285701E-2</v>
      </c>
      <c r="Q957" s="363">
        <v>19.881</v>
      </c>
      <c r="R957" s="340">
        <v>2319041.264369064</v>
      </c>
      <c r="S957" s="342">
        <v>112.419</v>
      </c>
      <c r="T957" s="342">
        <v>122.94799999999999</v>
      </c>
      <c r="U957" s="342">
        <v>1.0935999999999999</v>
      </c>
      <c r="V957" s="340">
        <v>2536103.5267140083</v>
      </c>
      <c r="W957" s="340">
        <v>337989.66328599164</v>
      </c>
    </row>
    <row r="958" spans="2:23" ht="24" customHeight="1">
      <c r="J958" s="345"/>
      <c r="K958" s="703"/>
      <c r="L958" s="342"/>
      <c r="M958" s="342"/>
      <c r="N958" s="340"/>
      <c r="O958" s="703"/>
      <c r="P958" s="342"/>
      <c r="Q958" s="363"/>
      <c r="R958" s="340"/>
      <c r="S958" s="342"/>
      <c r="T958" s="342"/>
      <c r="U958" s="342"/>
      <c r="V958" s="340"/>
      <c r="W958" s="340"/>
    </row>
    <row r="959" spans="2:23" ht="24" customHeight="1">
      <c r="B959" s="67"/>
      <c r="E959" s="131" t="s">
        <v>1105</v>
      </c>
      <c r="F959" s="131"/>
      <c r="G959" s="131"/>
      <c r="H959" s="131"/>
      <c r="I959" s="131"/>
      <c r="J959" s="704">
        <v>1144</v>
      </c>
      <c r="K959" s="705">
        <v>3901802.38</v>
      </c>
      <c r="L959" s="369">
        <v>4.9749984530081844E-2</v>
      </c>
      <c r="M959" s="377">
        <v>20.1007</v>
      </c>
      <c r="N959" s="706">
        <v>3901802.38</v>
      </c>
      <c r="O959" s="705">
        <v>3251204.9098507464</v>
      </c>
      <c r="P959" s="369">
        <v>5.0299280720285701E-2</v>
      </c>
      <c r="Q959" s="377">
        <v>19.881</v>
      </c>
      <c r="R959" s="706">
        <v>3251204.9098507464</v>
      </c>
      <c r="S959" s="369">
        <v>112.419</v>
      </c>
      <c r="T959" s="369">
        <v>123.37549999999999</v>
      </c>
      <c r="U959" s="369">
        <v>1.0973999999999999</v>
      </c>
      <c r="V959" s="706">
        <v>3562602.1331184371</v>
      </c>
      <c r="W959" s="706">
        <v>339200.24688156287</v>
      </c>
    </row>
    <row r="960" spans="2:23" ht="24" customHeight="1">
      <c r="J960" s="345"/>
      <c r="K960" s="703"/>
      <c r="L960" s="342"/>
      <c r="M960" s="342"/>
      <c r="N960" s="340"/>
      <c r="O960" s="703"/>
      <c r="P960" s="342"/>
      <c r="Q960" s="363"/>
      <c r="R960" s="340"/>
      <c r="S960" s="342"/>
      <c r="T960" s="342"/>
      <c r="U960" s="342"/>
      <c r="V960" s="340"/>
      <c r="W960" s="340"/>
    </row>
    <row r="961" spans="2:23" ht="24" customHeight="1">
      <c r="B961" s="67"/>
      <c r="E961" s="1" t="s">
        <v>1035</v>
      </c>
      <c r="J961" s="345"/>
      <c r="K961" s="703"/>
      <c r="L961" s="342"/>
      <c r="M961" s="342"/>
      <c r="N961" s="340"/>
      <c r="O961" s="703"/>
      <c r="P961" s="342"/>
      <c r="Q961" s="363"/>
      <c r="R961" s="340"/>
      <c r="S961" s="342"/>
      <c r="T961" s="342"/>
      <c r="U961" s="342"/>
      <c r="V961" s="340"/>
      <c r="W961" s="340"/>
    </row>
    <row r="962" spans="2:23" ht="24" customHeight="1">
      <c r="B962" s="67"/>
      <c r="F962" s="346">
        <v>44831</v>
      </c>
      <c r="G962" s="346"/>
      <c r="H962" s="346"/>
      <c r="I962" s="346"/>
      <c r="J962" s="345"/>
      <c r="K962" s="703"/>
      <c r="L962" s="342"/>
      <c r="M962" s="342"/>
      <c r="N962" s="340"/>
      <c r="O962" s="703"/>
      <c r="P962" s="342"/>
      <c r="Q962" s="363"/>
      <c r="R962" s="340"/>
      <c r="S962" s="342"/>
      <c r="T962" s="342"/>
      <c r="U962" s="342"/>
      <c r="V962" s="340"/>
      <c r="W962" s="340"/>
    </row>
    <row r="963" spans="2:23" ht="24" customHeight="1">
      <c r="B963" s="67"/>
      <c r="G963" s="3" t="s">
        <v>60</v>
      </c>
      <c r="H963" s="3"/>
      <c r="I963" s="3"/>
      <c r="J963" s="345"/>
      <c r="K963" s="703"/>
      <c r="L963" s="342"/>
      <c r="M963" s="342"/>
      <c r="N963" s="340"/>
      <c r="O963" s="703"/>
      <c r="P963" s="342"/>
      <c r="Q963" s="363"/>
      <c r="R963" s="340"/>
      <c r="S963" s="342"/>
      <c r="T963" s="342"/>
      <c r="U963" s="342"/>
      <c r="V963" s="340"/>
      <c r="W963" s="340"/>
    </row>
    <row r="964" spans="2:23" ht="24" customHeight="1">
      <c r="B964" s="67"/>
      <c r="H964" s="347">
        <v>43770</v>
      </c>
      <c r="I964" s="347"/>
      <c r="J964" s="345"/>
      <c r="K964" s="703"/>
      <c r="L964" s="342"/>
      <c r="M964" s="342"/>
      <c r="N964" s="340"/>
      <c r="O964" s="703"/>
      <c r="P964" s="342"/>
      <c r="Q964" s="363"/>
      <c r="R964" s="340"/>
      <c r="S964" s="342"/>
      <c r="T964" s="342"/>
      <c r="U964" s="342"/>
      <c r="V964" s="340"/>
      <c r="W964" s="340"/>
    </row>
    <row r="965" spans="2:23" ht="24" customHeight="1">
      <c r="B965" s="67"/>
      <c r="I965" s="3" t="s">
        <v>60</v>
      </c>
      <c r="J965" s="345">
        <v>238</v>
      </c>
      <c r="K965" s="703">
        <v>1000161.42</v>
      </c>
      <c r="L965" s="342">
        <v>4.9596532210467843E-2</v>
      </c>
      <c r="M965" s="342">
        <v>20.162700000000001</v>
      </c>
      <c r="N965" s="340">
        <v>1000161.4200000002</v>
      </c>
      <c r="O965" s="703">
        <v>993557.17999999993</v>
      </c>
      <c r="P965" s="342">
        <v>5.2180356183111301E-2</v>
      </c>
      <c r="Q965" s="363">
        <v>19.164300000000001</v>
      </c>
      <c r="R965" s="340">
        <v>993557.17999999982</v>
      </c>
      <c r="S965" s="342">
        <v>105.346</v>
      </c>
      <c r="T965" s="342">
        <v>123.803</v>
      </c>
      <c r="U965" s="342">
        <v>1.1752</v>
      </c>
      <c r="V965" s="340">
        <v>1167628.3979359998</v>
      </c>
      <c r="W965" s="340">
        <v>-167466.97793599963</v>
      </c>
    </row>
    <row r="966" spans="2:23" ht="24" customHeight="1">
      <c r="J966" s="345"/>
      <c r="K966" s="703"/>
      <c r="L966" s="342"/>
      <c r="M966" s="342"/>
      <c r="N966" s="340"/>
      <c r="O966" s="703"/>
      <c r="P966" s="342"/>
      <c r="Q966" s="363"/>
      <c r="R966" s="340"/>
      <c r="S966" s="342"/>
      <c r="T966" s="342"/>
      <c r="U966" s="342"/>
      <c r="V966" s="340"/>
      <c r="W966" s="340"/>
    </row>
    <row r="967" spans="2:23" ht="24" customHeight="1">
      <c r="B967" s="67"/>
      <c r="F967" s="346">
        <v>44792</v>
      </c>
      <c r="G967" s="346"/>
      <c r="H967" s="346"/>
      <c r="I967" s="346"/>
      <c r="J967" s="345"/>
      <c r="K967" s="703"/>
      <c r="L967" s="342"/>
      <c r="M967" s="342"/>
      <c r="N967" s="340"/>
      <c r="O967" s="703"/>
      <c r="P967" s="342"/>
      <c r="Q967" s="363"/>
      <c r="R967" s="340"/>
      <c r="S967" s="342"/>
      <c r="T967" s="342"/>
      <c r="U967" s="342"/>
      <c r="V967" s="340"/>
      <c r="W967" s="340"/>
    </row>
    <row r="968" spans="2:23" ht="24" customHeight="1">
      <c r="B968" s="67"/>
      <c r="G968" s="3" t="s">
        <v>60</v>
      </c>
      <c r="H968" s="3"/>
      <c r="I968" s="3"/>
      <c r="J968" s="345"/>
      <c r="K968" s="703"/>
      <c r="L968" s="342"/>
      <c r="M968" s="342"/>
      <c r="N968" s="340"/>
      <c r="O968" s="703"/>
      <c r="P968" s="342"/>
      <c r="Q968" s="363"/>
      <c r="R968" s="340"/>
      <c r="S968" s="342"/>
      <c r="T968" s="342"/>
      <c r="U968" s="342"/>
      <c r="V968" s="340"/>
      <c r="W968" s="340"/>
    </row>
    <row r="969" spans="2:23" ht="24" customHeight="1">
      <c r="B969" s="67"/>
      <c r="H969" s="347">
        <v>43770</v>
      </c>
      <c r="I969" s="347"/>
      <c r="J969" s="345"/>
      <c r="K969" s="703"/>
      <c r="L969" s="342"/>
      <c r="M969" s="342"/>
      <c r="N969" s="340"/>
      <c r="O969" s="703"/>
      <c r="P969" s="342"/>
      <c r="Q969" s="363"/>
      <c r="R969" s="340"/>
      <c r="S969" s="342"/>
      <c r="T969" s="342"/>
      <c r="U969" s="342"/>
      <c r="V969" s="340"/>
      <c r="W969" s="340"/>
    </row>
    <row r="970" spans="2:23" ht="24" customHeight="1">
      <c r="B970" s="67"/>
      <c r="I970" s="3" t="s">
        <v>60</v>
      </c>
      <c r="J970" s="345">
        <v>274</v>
      </c>
      <c r="K970" s="703">
        <v>1295773.6299999999</v>
      </c>
      <c r="L970" s="342">
        <v>4.9903436849695844E-2</v>
      </c>
      <c r="M970" s="342">
        <v>20.038699999999999</v>
      </c>
      <c r="N970" s="340">
        <v>1295773.6299999999</v>
      </c>
      <c r="O970" s="703">
        <v>1143843.1399999999</v>
      </c>
      <c r="P970" s="342">
        <v>5.2180356183111301E-2</v>
      </c>
      <c r="Q970" s="363">
        <v>19.164300000000001</v>
      </c>
      <c r="R970" s="340">
        <v>1143843.1399999999</v>
      </c>
      <c r="S970" s="342">
        <v>105.346</v>
      </c>
      <c r="T970" s="342">
        <v>122.94799999999999</v>
      </c>
      <c r="U970" s="342">
        <v>1.167</v>
      </c>
      <c r="V970" s="340">
        <v>1334864.94438</v>
      </c>
      <c r="W970" s="340">
        <v>-39091.314380000113</v>
      </c>
    </row>
    <row r="971" spans="2:23" ht="24" customHeight="1">
      <c r="J971" s="345"/>
      <c r="K971" s="703"/>
      <c r="L971" s="342"/>
      <c r="M971" s="342"/>
      <c r="N971" s="340"/>
      <c r="O971" s="703"/>
      <c r="P971" s="342"/>
      <c r="Q971" s="363"/>
      <c r="R971" s="340"/>
      <c r="S971" s="342"/>
      <c r="T971" s="342"/>
      <c r="U971" s="342"/>
      <c r="V971" s="340"/>
      <c r="W971" s="340"/>
    </row>
    <row r="972" spans="2:23" ht="24" customHeight="1">
      <c r="B972" s="67"/>
      <c r="E972" s="131" t="s">
        <v>1106</v>
      </c>
      <c r="F972" s="131"/>
      <c r="G972" s="131"/>
      <c r="H972" s="131"/>
      <c r="I972" s="131"/>
      <c r="J972" s="704">
        <v>512</v>
      </c>
      <c r="K972" s="705">
        <v>2295935.0499999998</v>
      </c>
      <c r="L972" s="369">
        <v>4.9749984530081844E-2</v>
      </c>
      <c r="M972" s="377">
        <v>20.1007</v>
      </c>
      <c r="N972" s="706">
        <v>2295935.0499999998</v>
      </c>
      <c r="O972" s="705">
        <v>2137400.3199999998</v>
      </c>
      <c r="P972" s="369">
        <v>5.2180356183111301E-2</v>
      </c>
      <c r="Q972" s="377">
        <v>19.164300000000001</v>
      </c>
      <c r="R972" s="706">
        <v>2137400.3199999998</v>
      </c>
      <c r="S972" s="369">
        <v>105.346</v>
      </c>
      <c r="T972" s="369">
        <v>123.37549999999999</v>
      </c>
      <c r="U972" s="369">
        <v>1.1711</v>
      </c>
      <c r="V972" s="706">
        <v>2502493.3423159998</v>
      </c>
      <c r="W972" s="706">
        <v>-206558.29231599974</v>
      </c>
    </row>
    <row r="973" spans="2:23" ht="24" customHeight="1">
      <c r="J973" s="345"/>
      <c r="K973" s="703"/>
      <c r="L973" s="342"/>
      <c r="M973" s="342"/>
      <c r="N973" s="340"/>
      <c r="O973" s="703"/>
      <c r="P973" s="342"/>
      <c r="Q973" s="363"/>
      <c r="R973" s="340"/>
      <c r="S973" s="342"/>
      <c r="T973" s="342"/>
      <c r="U973" s="342"/>
      <c r="V973" s="340"/>
      <c r="W973" s="340"/>
    </row>
    <row r="974" spans="2:23" ht="24" customHeight="1">
      <c r="B974" s="67"/>
      <c r="E974" s="1" t="s">
        <v>1036</v>
      </c>
      <c r="J974" s="345"/>
      <c r="K974" s="703"/>
      <c r="L974" s="342"/>
      <c r="M974" s="342"/>
      <c r="N974" s="340"/>
      <c r="O974" s="703"/>
      <c r="P974" s="342"/>
      <c r="Q974" s="363"/>
      <c r="R974" s="340"/>
      <c r="S974" s="342"/>
      <c r="T974" s="342"/>
      <c r="U974" s="342"/>
      <c r="V974" s="340"/>
      <c r="W974" s="340"/>
    </row>
    <row r="975" spans="2:23" ht="24" customHeight="1">
      <c r="B975" s="67"/>
      <c r="F975" s="346">
        <v>44831</v>
      </c>
      <c r="G975" s="346"/>
      <c r="H975" s="346"/>
      <c r="I975" s="346"/>
      <c r="J975" s="345"/>
      <c r="K975" s="703"/>
      <c r="L975" s="342"/>
      <c r="M975" s="342"/>
      <c r="N975" s="340"/>
      <c r="O975" s="703"/>
      <c r="P975" s="342"/>
      <c r="Q975" s="363"/>
      <c r="R975" s="340"/>
      <c r="S975" s="342"/>
      <c r="T975" s="342"/>
      <c r="U975" s="342"/>
      <c r="V975" s="340"/>
      <c r="W975" s="340"/>
    </row>
    <row r="976" spans="2:23" ht="24" customHeight="1">
      <c r="B976" s="67"/>
      <c r="G976" s="3" t="s">
        <v>60</v>
      </c>
      <c r="H976" s="3"/>
      <c r="I976" s="3"/>
      <c r="J976" s="345"/>
      <c r="K976" s="703"/>
      <c r="L976" s="342"/>
      <c r="M976" s="342"/>
      <c r="N976" s="340"/>
      <c r="O976" s="703"/>
      <c r="P976" s="342"/>
      <c r="Q976" s="363"/>
      <c r="R976" s="340"/>
      <c r="S976" s="342"/>
      <c r="T976" s="342"/>
      <c r="U976" s="342"/>
      <c r="V976" s="340"/>
      <c r="W976" s="340"/>
    </row>
    <row r="977" spans="2:23" ht="24" customHeight="1">
      <c r="B977" s="67"/>
      <c r="H977" s="347">
        <v>43602</v>
      </c>
      <c r="I977" s="347"/>
      <c r="J977" s="345"/>
      <c r="K977" s="703"/>
      <c r="L977" s="342"/>
      <c r="M977" s="342"/>
      <c r="N977" s="340"/>
      <c r="O977" s="703"/>
      <c r="P977" s="342"/>
      <c r="Q977" s="363"/>
      <c r="R977" s="340"/>
      <c r="S977" s="342"/>
      <c r="T977" s="342"/>
      <c r="U977" s="342"/>
      <c r="V977" s="340"/>
      <c r="W977" s="340"/>
    </row>
    <row r="978" spans="2:23" ht="24" customHeight="1">
      <c r="B978" s="67"/>
      <c r="I978" s="3" t="s">
        <v>60</v>
      </c>
      <c r="J978" s="345">
        <v>444</v>
      </c>
      <c r="K978" s="703">
        <v>1496705.53</v>
      </c>
      <c r="L978" s="342">
        <v>4.9596532210467843E-2</v>
      </c>
      <c r="M978" s="342">
        <v>20.162700000000001</v>
      </c>
      <c r="N978" s="340">
        <v>1496705.53</v>
      </c>
      <c r="O978" s="703">
        <v>1257629.7758506222</v>
      </c>
      <c r="P978" s="342">
        <v>5.2291409567236297E-2</v>
      </c>
      <c r="Q978" s="363">
        <v>19.1236</v>
      </c>
      <c r="R978" s="340">
        <v>1257629.7758506222</v>
      </c>
      <c r="S978" s="342">
        <v>103.233</v>
      </c>
      <c r="T978" s="342">
        <v>123.803</v>
      </c>
      <c r="U978" s="342">
        <v>1.1992</v>
      </c>
      <c r="V978" s="340">
        <v>1508149.6272000661</v>
      </c>
      <c r="W978" s="340">
        <v>-11444.097200066084</v>
      </c>
    </row>
    <row r="979" spans="2:23" ht="24" customHeight="1">
      <c r="J979" s="345"/>
      <c r="K979" s="703"/>
      <c r="L979" s="342"/>
      <c r="M979" s="342"/>
      <c r="N979" s="340"/>
      <c r="O979" s="703"/>
      <c r="P979" s="342"/>
      <c r="Q979" s="363"/>
      <c r="R979" s="340"/>
      <c r="S979" s="342"/>
      <c r="T979" s="342"/>
      <c r="U979" s="342"/>
      <c r="V979" s="340"/>
      <c r="W979" s="340"/>
    </row>
    <row r="980" spans="2:23" ht="24" customHeight="1">
      <c r="B980" s="67"/>
      <c r="F980" s="346">
        <v>44792</v>
      </c>
      <c r="G980" s="346"/>
      <c r="H980" s="346"/>
      <c r="I980" s="346"/>
      <c r="J980" s="345"/>
      <c r="K980" s="703"/>
      <c r="L980" s="342"/>
      <c r="M980" s="342"/>
      <c r="N980" s="340"/>
      <c r="O980" s="703"/>
      <c r="P980" s="342"/>
      <c r="Q980" s="363"/>
      <c r="R980" s="340"/>
      <c r="S980" s="342"/>
      <c r="T980" s="342"/>
      <c r="U980" s="342"/>
      <c r="V980" s="340"/>
      <c r="W980" s="340"/>
    </row>
    <row r="981" spans="2:23" ht="24" customHeight="1">
      <c r="B981" s="67"/>
      <c r="G981" s="3" t="s">
        <v>60</v>
      </c>
      <c r="H981" s="3"/>
      <c r="I981" s="3"/>
      <c r="J981" s="345"/>
      <c r="K981" s="703"/>
      <c r="L981" s="342"/>
      <c r="M981" s="342"/>
      <c r="N981" s="340"/>
      <c r="O981" s="703"/>
      <c r="P981" s="342"/>
      <c r="Q981" s="363"/>
      <c r="R981" s="340"/>
      <c r="S981" s="342"/>
      <c r="T981" s="342"/>
      <c r="U981" s="342"/>
      <c r="V981" s="340"/>
      <c r="W981" s="340"/>
    </row>
    <row r="982" spans="2:23" ht="24" customHeight="1">
      <c r="B982" s="67"/>
      <c r="H982" s="347">
        <v>43602</v>
      </c>
      <c r="I982" s="347"/>
      <c r="J982" s="345"/>
      <c r="K982" s="703"/>
      <c r="L982" s="342"/>
      <c r="M982" s="342"/>
      <c r="N982" s="340"/>
      <c r="O982" s="703"/>
      <c r="P982" s="342"/>
      <c r="Q982" s="363"/>
      <c r="R982" s="340"/>
      <c r="S982" s="342"/>
      <c r="T982" s="342"/>
      <c r="U982" s="342"/>
      <c r="V982" s="340"/>
      <c r="W982" s="340"/>
    </row>
    <row r="983" spans="2:23" ht="24" customHeight="1">
      <c r="B983" s="67"/>
      <c r="I983" s="3" t="s">
        <v>60</v>
      </c>
      <c r="J983" s="345">
        <v>486</v>
      </c>
      <c r="K983" s="703">
        <v>1868502.94</v>
      </c>
      <c r="L983" s="342">
        <v>4.9903436849695844E-2</v>
      </c>
      <c r="M983" s="342">
        <v>20.038699999999999</v>
      </c>
      <c r="N983" s="340">
        <v>1868502.94</v>
      </c>
      <c r="O983" s="703">
        <v>1376594.7546473029</v>
      </c>
      <c r="P983" s="342">
        <v>5.2291409567236297E-2</v>
      </c>
      <c r="Q983" s="363">
        <v>19.1236</v>
      </c>
      <c r="R983" s="340">
        <v>1376594.7546473031</v>
      </c>
      <c r="S983" s="342">
        <v>103.233</v>
      </c>
      <c r="T983" s="342">
        <v>122.94799999999999</v>
      </c>
      <c r="U983" s="342">
        <v>1.1909000000000001</v>
      </c>
      <c r="V983" s="340">
        <v>1639386.6933094733</v>
      </c>
      <c r="W983" s="340">
        <v>229116.2466905266</v>
      </c>
    </row>
    <row r="984" spans="2:23" ht="24" customHeight="1">
      <c r="J984" s="345"/>
      <c r="K984" s="703"/>
      <c r="L984" s="342"/>
      <c r="M984" s="342"/>
      <c r="N984" s="340"/>
      <c r="O984" s="703"/>
      <c r="P984" s="342"/>
      <c r="Q984" s="363"/>
      <c r="R984" s="340"/>
      <c r="S984" s="342"/>
      <c r="T984" s="342"/>
      <c r="U984" s="342"/>
      <c r="V984" s="340"/>
      <c r="W984" s="340"/>
    </row>
    <row r="985" spans="2:23" ht="24" customHeight="1">
      <c r="B985" s="67"/>
      <c r="E985" s="131" t="s">
        <v>1107</v>
      </c>
      <c r="F985" s="131"/>
      <c r="G985" s="131"/>
      <c r="H985" s="131"/>
      <c r="I985" s="131"/>
      <c r="J985" s="704">
        <v>930</v>
      </c>
      <c r="K985" s="705">
        <v>3365208.4699999997</v>
      </c>
      <c r="L985" s="369">
        <v>4.9749984530081844E-2</v>
      </c>
      <c r="M985" s="377">
        <v>20.1007</v>
      </c>
      <c r="N985" s="706">
        <v>3365208.4699999997</v>
      </c>
      <c r="O985" s="705">
        <v>2634224.5304979254</v>
      </c>
      <c r="P985" s="369">
        <v>5.2291409567236297E-2</v>
      </c>
      <c r="Q985" s="377">
        <v>19.1236</v>
      </c>
      <c r="R985" s="706">
        <v>2634224.5304979254</v>
      </c>
      <c r="S985" s="369">
        <v>103.233</v>
      </c>
      <c r="T985" s="369">
        <v>123.37549999999999</v>
      </c>
      <c r="U985" s="369">
        <v>1.1950500000000002</v>
      </c>
      <c r="V985" s="706">
        <v>3147536.3205095395</v>
      </c>
      <c r="W985" s="706">
        <v>217672.14949046052</v>
      </c>
    </row>
    <row r="986" spans="2:23" ht="24" customHeight="1">
      <c r="J986" s="345"/>
      <c r="K986" s="703"/>
      <c r="L986" s="342"/>
      <c r="M986" s="342"/>
      <c r="N986" s="340"/>
      <c r="O986" s="703"/>
      <c r="P986" s="342"/>
      <c r="Q986" s="363"/>
      <c r="R986" s="340"/>
      <c r="S986" s="342"/>
      <c r="T986" s="342"/>
      <c r="U986" s="342"/>
      <c r="V986" s="340"/>
      <c r="W986" s="340"/>
    </row>
    <row r="987" spans="2:23" ht="24" customHeight="1">
      <c r="B987" s="67"/>
      <c r="E987" s="1" t="s">
        <v>1041</v>
      </c>
      <c r="J987" s="345"/>
      <c r="K987" s="703"/>
      <c r="L987" s="342"/>
      <c r="M987" s="342"/>
      <c r="N987" s="340"/>
      <c r="O987" s="703"/>
      <c r="P987" s="342"/>
      <c r="Q987" s="363"/>
      <c r="R987" s="340"/>
      <c r="S987" s="342"/>
      <c r="T987" s="342"/>
      <c r="U987" s="342"/>
      <c r="V987" s="340"/>
      <c r="W987" s="340"/>
    </row>
    <row r="988" spans="2:23" ht="24" customHeight="1">
      <c r="B988" s="67"/>
      <c r="F988" s="346">
        <v>44831</v>
      </c>
      <c r="G988" s="346"/>
      <c r="H988" s="346"/>
      <c r="I988" s="346"/>
      <c r="J988" s="345"/>
      <c r="K988" s="703"/>
      <c r="L988" s="342"/>
      <c r="M988" s="342"/>
      <c r="N988" s="340"/>
      <c r="O988" s="703"/>
      <c r="P988" s="342"/>
      <c r="Q988" s="363"/>
      <c r="R988" s="340"/>
      <c r="S988" s="342"/>
      <c r="T988" s="342"/>
      <c r="U988" s="342"/>
      <c r="V988" s="340"/>
      <c r="W988" s="340"/>
    </row>
    <row r="989" spans="2:23" ht="24" customHeight="1">
      <c r="B989" s="67"/>
      <c r="G989" s="3" t="s">
        <v>60</v>
      </c>
      <c r="H989" s="3"/>
      <c r="I989" s="3"/>
      <c r="J989" s="345"/>
      <c r="K989" s="703"/>
      <c r="L989" s="342"/>
      <c r="M989" s="342"/>
      <c r="N989" s="340"/>
      <c r="O989" s="703"/>
      <c r="P989" s="342"/>
      <c r="Q989" s="363"/>
      <c r="R989" s="340"/>
      <c r="S989" s="342"/>
      <c r="T989" s="342"/>
      <c r="U989" s="342"/>
      <c r="V989" s="340"/>
      <c r="W989" s="340"/>
    </row>
    <row r="990" spans="2:23" ht="24" customHeight="1">
      <c r="B990" s="67"/>
      <c r="H990" s="347">
        <v>43767</v>
      </c>
      <c r="I990" s="347"/>
      <c r="J990" s="345"/>
      <c r="K990" s="703"/>
      <c r="L990" s="342"/>
      <c r="M990" s="342"/>
      <c r="N990" s="340"/>
      <c r="O990" s="703"/>
      <c r="P990" s="342"/>
      <c r="Q990" s="363"/>
      <c r="R990" s="340"/>
      <c r="S990" s="342"/>
      <c r="T990" s="342"/>
      <c r="U990" s="342"/>
      <c r="V990" s="340"/>
      <c r="W990" s="340"/>
    </row>
    <row r="991" spans="2:23" ht="24" customHeight="1">
      <c r="B991" s="67"/>
      <c r="I991" s="3" t="s">
        <v>60</v>
      </c>
      <c r="J991" s="345">
        <v>72</v>
      </c>
      <c r="K991" s="703">
        <v>272124.42</v>
      </c>
      <c r="L991" s="342">
        <v>4.9596532210467843E-2</v>
      </c>
      <c r="M991" s="342">
        <v>20.162700000000001</v>
      </c>
      <c r="N991" s="340">
        <v>272124.42</v>
      </c>
      <c r="O991" s="703">
        <v>284911.32793133048</v>
      </c>
      <c r="P991" s="342">
        <v>5.2405408238130176E-2</v>
      </c>
      <c r="Q991" s="363">
        <v>19.082000000000001</v>
      </c>
      <c r="R991" s="340">
        <v>284911.32793133048</v>
      </c>
      <c r="S991" s="342">
        <v>104.503</v>
      </c>
      <c r="T991" s="342">
        <v>123.803</v>
      </c>
      <c r="U991" s="342">
        <v>1.1846000000000001</v>
      </c>
      <c r="V991" s="340">
        <v>337505.9590674541</v>
      </c>
      <c r="W991" s="340">
        <v>-65381.539067454112</v>
      </c>
    </row>
    <row r="992" spans="2:23" ht="24" customHeight="1">
      <c r="J992" s="345"/>
      <c r="K992" s="703"/>
      <c r="L992" s="342"/>
      <c r="M992" s="342"/>
      <c r="N992" s="340"/>
      <c r="O992" s="703"/>
      <c r="P992" s="342"/>
      <c r="Q992" s="363"/>
      <c r="R992" s="340"/>
      <c r="S992" s="342"/>
      <c r="T992" s="342"/>
      <c r="U992" s="342"/>
      <c r="V992" s="340"/>
      <c r="W992" s="340"/>
    </row>
    <row r="993" spans="2:23" ht="24" customHeight="1">
      <c r="B993" s="67"/>
      <c r="F993" s="346">
        <v>44792</v>
      </c>
      <c r="G993" s="346"/>
      <c r="H993" s="346"/>
      <c r="I993" s="346"/>
      <c r="J993" s="345"/>
      <c r="K993" s="703"/>
      <c r="L993" s="342"/>
      <c r="M993" s="342"/>
      <c r="N993" s="340"/>
      <c r="O993" s="703"/>
      <c r="P993" s="342"/>
      <c r="Q993" s="363"/>
      <c r="R993" s="340"/>
      <c r="S993" s="342"/>
      <c r="T993" s="342"/>
      <c r="U993" s="342"/>
      <c r="V993" s="340"/>
      <c r="W993" s="340"/>
    </row>
    <row r="994" spans="2:23" ht="24" customHeight="1">
      <c r="B994" s="67"/>
      <c r="G994" s="3" t="s">
        <v>60</v>
      </c>
      <c r="H994" s="3"/>
      <c r="I994" s="3"/>
      <c r="J994" s="345"/>
      <c r="K994" s="703"/>
      <c r="L994" s="342"/>
      <c r="M994" s="342"/>
      <c r="N994" s="340"/>
      <c r="O994" s="703"/>
      <c r="P994" s="342"/>
      <c r="Q994" s="363"/>
      <c r="R994" s="340"/>
      <c r="S994" s="342"/>
      <c r="T994" s="342"/>
      <c r="U994" s="342"/>
      <c r="V994" s="340"/>
      <c r="W994" s="340"/>
    </row>
    <row r="995" spans="2:23" ht="24" customHeight="1">
      <c r="B995" s="67"/>
      <c r="H995" s="347">
        <v>43767</v>
      </c>
      <c r="I995" s="347"/>
      <c r="J995" s="345"/>
      <c r="K995" s="703"/>
      <c r="L995" s="342"/>
      <c r="M995" s="342"/>
      <c r="N995" s="340"/>
      <c r="O995" s="703"/>
      <c r="P995" s="342"/>
      <c r="Q995" s="363"/>
      <c r="R995" s="340"/>
      <c r="S995" s="342"/>
      <c r="T995" s="342"/>
      <c r="U995" s="342"/>
      <c r="V995" s="340"/>
      <c r="W995" s="340"/>
    </row>
    <row r="996" spans="2:23" ht="24" customHeight="1">
      <c r="B996" s="67"/>
      <c r="I996" s="3" t="s">
        <v>60</v>
      </c>
      <c r="J996" s="345">
        <v>110</v>
      </c>
      <c r="K996" s="703">
        <v>500565.39</v>
      </c>
      <c r="L996" s="342">
        <v>4.9903436849695844E-2</v>
      </c>
      <c r="M996" s="342">
        <v>20.038699999999999</v>
      </c>
      <c r="N996" s="340">
        <v>500565.39</v>
      </c>
      <c r="O996" s="703">
        <v>435281.19545064378</v>
      </c>
      <c r="P996" s="342">
        <v>5.2405408238130176E-2</v>
      </c>
      <c r="Q996" s="363">
        <v>19.082000000000001</v>
      </c>
      <c r="R996" s="340">
        <v>435281.19545064383</v>
      </c>
      <c r="S996" s="342">
        <v>104.503</v>
      </c>
      <c r="T996" s="342">
        <v>122.94799999999999</v>
      </c>
      <c r="U996" s="342">
        <v>1.1765000000000001</v>
      </c>
      <c r="V996" s="340">
        <v>512108.32644768251</v>
      </c>
      <c r="W996" s="340">
        <v>-11542.936447682441</v>
      </c>
    </row>
    <row r="997" spans="2:23" ht="24" customHeight="1">
      <c r="J997" s="345"/>
      <c r="K997" s="703"/>
      <c r="L997" s="342"/>
      <c r="M997" s="342"/>
      <c r="N997" s="340"/>
      <c r="O997" s="703"/>
      <c r="P997" s="342"/>
      <c r="Q997" s="363"/>
      <c r="R997" s="340"/>
      <c r="S997" s="342"/>
      <c r="T997" s="342"/>
      <c r="U997" s="342"/>
      <c r="V997" s="340"/>
      <c r="W997" s="340"/>
    </row>
    <row r="998" spans="2:23" ht="24" customHeight="1">
      <c r="B998" s="67"/>
      <c r="E998" s="131" t="s">
        <v>1108</v>
      </c>
      <c r="F998" s="131"/>
      <c r="G998" s="131"/>
      <c r="H998" s="131"/>
      <c r="I998" s="131"/>
      <c r="J998" s="704">
        <v>182</v>
      </c>
      <c r="K998" s="705">
        <v>772689.81</v>
      </c>
      <c r="L998" s="369">
        <v>4.9749984530081844E-2</v>
      </c>
      <c r="M998" s="377">
        <v>20.1007</v>
      </c>
      <c r="N998" s="706">
        <v>772689.81</v>
      </c>
      <c r="O998" s="705">
        <v>720192.52338197432</v>
      </c>
      <c r="P998" s="369">
        <v>5.2405408238130176E-2</v>
      </c>
      <c r="Q998" s="377">
        <v>19.082000000000001</v>
      </c>
      <c r="R998" s="706">
        <v>720192.52338197432</v>
      </c>
      <c r="S998" s="369">
        <v>104.503</v>
      </c>
      <c r="T998" s="369">
        <v>123.37549999999999</v>
      </c>
      <c r="U998" s="369">
        <v>1.1805500000000002</v>
      </c>
      <c r="V998" s="706">
        <v>849614.28551513655</v>
      </c>
      <c r="W998" s="706">
        <v>-76924.475515136553</v>
      </c>
    </row>
    <row r="999" spans="2:23" ht="24" customHeight="1">
      <c r="J999" s="345"/>
      <c r="K999" s="703"/>
      <c r="L999" s="342"/>
      <c r="M999" s="342"/>
      <c r="N999" s="340"/>
      <c r="O999" s="703"/>
      <c r="P999" s="342"/>
      <c r="Q999" s="363"/>
      <c r="R999" s="340"/>
      <c r="S999" s="342"/>
      <c r="T999" s="342"/>
      <c r="U999" s="342"/>
      <c r="V999" s="340"/>
      <c r="W999" s="340"/>
    </row>
    <row r="1000" spans="2:23" ht="24" customHeight="1">
      <c r="B1000" s="67"/>
      <c r="E1000" s="1" t="s">
        <v>899</v>
      </c>
      <c r="J1000" s="345"/>
      <c r="K1000" s="703"/>
      <c r="L1000" s="342"/>
      <c r="M1000" s="342"/>
      <c r="N1000" s="340"/>
      <c r="O1000" s="703"/>
      <c r="P1000" s="342"/>
      <c r="Q1000" s="363"/>
      <c r="R1000" s="340"/>
      <c r="S1000" s="342"/>
      <c r="T1000" s="342"/>
      <c r="U1000" s="342"/>
      <c r="V1000" s="340"/>
      <c r="W1000" s="340"/>
    </row>
    <row r="1001" spans="2:23" ht="24" customHeight="1">
      <c r="B1001" s="67"/>
      <c r="F1001" s="346">
        <v>44685</v>
      </c>
      <c r="G1001" s="346"/>
      <c r="H1001" s="346"/>
      <c r="I1001" s="346"/>
      <c r="J1001" s="345"/>
      <c r="K1001" s="703"/>
      <c r="L1001" s="342"/>
      <c r="M1001" s="342"/>
      <c r="N1001" s="340"/>
      <c r="O1001" s="703"/>
      <c r="P1001" s="342"/>
      <c r="Q1001" s="363"/>
      <c r="R1001" s="340"/>
      <c r="S1001" s="342"/>
      <c r="T1001" s="342"/>
      <c r="U1001" s="342"/>
      <c r="V1001" s="340"/>
      <c r="W1001" s="340"/>
    </row>
    <row r="1002" spans="2:23" ht="24" customHeight="1">
      <c r="B1002" s="67"/>
      <c r="G1002" s="3" t="s">
        <v>60</v>
      </c>
      <c r="H1002" s="3"/>
      <c r="I1002" s="3"/>
      <c r="J1002" s="345"/>
      <c r="K1002" s="703"/>
      <c r="L1002" s="342"/>
      <c r="M1002" s="342"/>
      <c r="N1002" s="340"/>
      <c r="O1002" s="703"/>
      <c r="P1002" s="342"/>
      <c r="Q1002" s="363"/>
      <c r="R1002" s="340"/>
      <c r="S1002" s="342"/>
      <c r="T1002" s="342"/>
      <c r="U1002" s="342"/>
      <c r="V1002" s="340"/>
      <c r="W1002" s="340"/>
    </row>
    <row r="1003" spans="2:23" ht="24" customHeight="1">
      <c r="B1003" s="67"/>
      <c r="H1003" s="347">
        <v>43929</v>
      </c>
      <c r="I1003" s="347"/>
      <c r="J1003" s="345"/>
      <c r="K1003" s="703"/>
      <c r="L1003" s="342"/>
      <c r="M1003" s="342"/>
      <c r="N1003" s="340"/>
      <c r="O1003" s="703"/>
      <c r="P1003" s="342"/>
      <c r="Q1003" s="363"/>
      <c r="R1003" s="340"/>
      <c r="S1003" s="342"/>
      <c r="T1003" s="342"/>
      <c r="U1003" s="342"/>
      <c r="V1003" s="340"/>
      <c r="W1003" s="340"/>
    </row>
    <row r="1004" spans="2:23" ht="24" customHeight="1">
      <c r="B1004" s="67"/>
      <c r="I1004" s="3" t="s">
        <v>60</v>
      </c>
      <c r="J1004" s="345">
        <v>2398</v>
      </c>
      <c r="K1004" s="703">
        <v>5083753.79</v>
      </c>
      <c r="L1004" s="342">
        <v>4.9001592551757935E-2</v>
      </c>
      <c r="M1004" s="342">
        <v>20.407499999999999</v>
      </c>
      <c r="N1004" s="340">
        <v>5083753.79</v>
      </c>
      <c r="O1004" s="703">
        <v>4454925.6586010763</v>
      </c>
      <c r="P1004" s="342">
        <v>4.0503047854351042E-2</v>
      </c>
      <c r="Q1004" s="363">
        <v>24.689499999999999</v>
      </c>
      <c r="R1004" s="340">
        <v>4454925.6586010763</v>
      </c>
      <c r="S1004" s="342">
        <v>105.755</v>
      </c>
      <c r="T1004" s="342">
        <v>120.809</v>
      </c>
      <c r="U1004" s="342">
        <v>1.1423000000000001</v>
      </c>
      <c r="V1004" s="340">
        <v>5088861.5798200099</v>
      </c>
      <c r="W1004" s="340">
        <v>-5107.7898200098425</v>
      </c>
    </row>
    <row r="1005" spans="2:23" ht="24" customHeight="1">
      <c r="J1005" s="345"/>
      <c r="K1005" s="703"/>
      <c r="L1005" s="342"/>
      <c r="M1005" s="342"/>
      <c r="N1005" s="340"/>
      <c r="O1005" s="703"/>
      <c r="P1005" s="342"/>
      <c r="Q1005" s="363"/>
      <c r="R1005" s="340"/>
      <c r="S1005" s="342"/>
      <c r="T1005" s="342"/>
      <c r="U1005" s="342"/>
      <c r="V1005" s="340"/>
      <c r="W1005" s="340"/>
    </row>
    <row r="1006" spans="2:23" ht="24" customHeight="1">
      <c r="B1006" s="67"/>
      <c r="F1006" s="346">
        <v>44792</v>
      </c>
      <c r="G1006" s="346"/>
      <c r="H1006" s="346"/>
      <c r="I1006" s="346"/>
      <c r="J1006" s="345"/>
      <c r="K1006" s="703"/>
      <c r="L1006" s="342"/>
      <c r="M1006" s="342"/>
      <c r="N1006" s="340"/>
      <c r="O1006" s="703"/>
      <c r="P1006" s="342"/>
      <c r="Q1006" s="363"/>
      <c r="R1006" s="340"/>
      <c r="S1006" s="342"/>
      <c r="T1006" s="342"/>
      <c r="U1006" s="342"/>
      <c r="V1006" s="340"/>
      <c r="W1006" s="340"/>
    </row>
    <row r="1007" spans="2:23" ht="24" customHeight="1">
      <c r="B1007" s="67"/>
      <c r="G1007" s="3" t="s">
        <v>60</v>
      </c>
      <c r="H1007" s="3"/>
      <c r="I1007" s="3"/>
      <c r="J1007" s="345"/>
      <c r="K1007" s="703"/>
      <c r="L1007" s="342"/>
      <c r="M1007" s="342"/>
      <c r="N1007" s="340"/>
      <c r="O1007" s="703"/>
      <c r="P1007" s="342"/>
      <c r="Q1007" s="363"/>
      <c r="R1007" s="340"/>
      <c r="S1007" s="342"/>
      <c r="T1007" s="342"/>
      <c r="U1007" s="342"/>
      <c r="V1007" s="340"/>
      <c r="W1007" s="340"/>
    </row>
    <row r="1008" spans="2:23" ht="24" customHeight="1">
      <c r="B1008" s="67"/>
      <c r="H1008" s="347">
        <v>43929</v>
      </c>
      <c r="I1008" s="347"/>
      <c r="J1008" s="345"/>
      <c r="K1008" s="703"/>
      <c r="L1008" s="342"/>
      <c r="M1008" s="342"/>
      <c r="N1008" s="340"/>
      <c r="O1008" s="703"/>
      <c r="P1008" s="342"/>
      <c r="Q1008" s="363"/>
      <c r="R1008" s="340"/>
      <c r="S1008" s="342"/>
      <c r="T1008" s="342"/>
      <c r="U1008" s="342"/>
      <c r="V1008" s="340"/>
      <c r="W1008" s="340"/>
    </row>
    <row r="1009" spans="2:23" ht="24" customHeight="1">
      <c r="B1009" s="67"/>
      <c r="I1009" s="3" t="s">
        <v>60</v>
      </c>
      <c r="J1009" s="345">
        <v>204</v>
      </c>
      <c r="K1009" s="703">
        <v>411730.00051282055</v>
      </c>
      <c r="L1009" s="342">
        <v>4.9903436849695844E-2</v>
      </c>
      <c r="M1009" s="342">
        <v>20.038699999999999</v>
      </c>
      <c r="N1009" s="340">
        <v>411730.00051282055</v>
      </c>
      <c r="O1009" s="703">
        <v>378984.50139892392</v>
      </c>
      <c r="P1009" s="342">
        <v>4.0503047854351042E-2</v>
      </c>
      <c r="Q1009" s="363">
        <v>24.689499999999999</v>
      </c>
      <c r="R1009" s="340">
        <v>378984.50139892392</v>
      </c>
      <c r="S1009" s="342">
        <v>105.755</v>
      </c>
      <c r="T1009" s="342">
        <v>122.94799999999999</v>
      </c>
      <c r="U1009" s="342">
        <v>1.1625000000000001</v>
      </c>
      <c r="V1009" s="340">
        <v>440569.48287624912</v>
      </c>
      <c r="W1009" s="340">
        <v>-28839.482363428513</v>
      </c>
    </row>
    <row r="1010" spans="2:23" ht="24" customHeight="1">
      <c r="J1010" s="345"/>
      <c r="K1010" s="703"/>
      <c r="L1010" s="342"/>
      <c r="M1010" s="342"/>
      <c r="N1010" s="340"/>
      <c r="O1010" s="703"/>
      <c r="P1010" s="342"/>
      <c r="Q1010" s="363"/>
      <c r="R1010" s="340"/>
      <c r="S1010" s="342"/>
      <c r="T1010" s="342"/>
      <c r="U1010" s="342"/>
      <c r="V1010" s="340"/>
      <c r="W1010" s="340"/>
    </row>
    <row r="1011" spans="2:23" ht="24" customHeight="1">
      <c r="B1011" s="67"/>
      <c r="H1011" s="347">
        <v>44593</v>
      </c>
      <c r="I1011" s="347"/>
      <c r="J1011" s="345"/>
      <c r="K1011" s="703"/>
      <c r="L1011" s="342"/>
      <c r="M1011" s="342"/>
      <c r="N1011" s="340"/>
      <c r="O1011" s="703"/>
      <c r="P1011" s="342"/>
      <c r="Q1011" s="363"/>
      <c r="R1011" s="340"/>
      <c r="S1011" s="342"/>
      <c r="T1011" s="342"/>
      <c r="U1011" s="342"/>
      <c r="V1011" s="340"/>
      <c r="W1011" s="340"/>
    </row>
    <row r="1012" spans="2:23" ht="24" customHeight="1">
      <c r="B1012" s="67"/>
      <c r="I1012" s="3" t="s">
        <v>60</v>
      </c>
      <c r="J1012" s="345">
        <v>30</v>
      </c>
      <c r="K1012" s="703">
        <v>60548.52948717949</v>
      </c>
      <c r="L1012" s="342">
        <v>4.9903436849695844E-2</v>
      </c>
      <c r="M1012" s="342">
        <v>20.038699999999999</v>
      </c>
      <c r="N1012" s="340">
        <v>60548.52948717949</v>
      </c>
      <c r="O1012" s="703">
        <v>77988.889689213902</v>
      </c>
      <c r="P1012" s="342">
        <v>4.7939327986500288E-2</v>
      </c>
      <c r="Q1012" s="363">
        <v>20.8597</v>
      </c>
      <c r="R1012" s="340">
        <v>77988.889689213902</v>
      </c>
      <c r="S1012" s="342">
        <v>118.98099999999999</v>
      </c>
      <c r="T1012" s="342">
        <v>122.94799999999999</v>
      </c>
      <c r="U1012" s="342">
        <v>1.0333000000000001</v>
      </c>
      <c r="V1012" s="340">
        <v>80585.919715864729</v>
      </c>
      <c r="W1012" s="340">
        <v>-20037.390228685239</v>
      </c>
    </row>
    <row r="1013" spans="2:23" ht="24" customHeight="1">
      <c r="J1013" s="345"/>
      <c r="K1013" s="703"/>
      <c r="L1013" s="342"/>
      <c r="M1013" s="342"/>
      <c r="N1013" s="340"/>
      <c r="O1013" s="703"/>
      <c r="P1013" s="342"/>
      <c r="Q1013" s="363"/>
      <c r="R1013" s="340"/>
      <c r="S1013" s="342"/>
      <c r="T1013" s="342"/>
      <c r="U1013" s="342"/>
      <c r="V1013" s="340"/>
      <c r="W1013" s="340"/>
    </row>
    <row r="1014" spans="2:23" ht="24" customHeight="1">
      <c r="B1014" s="67"/>
      <c r="E1014" s="131" t="s">
        <v>1109</v>
      </c>
      <c r="F1014" s="131"/>
      <c r="G1014" s="131"/>
      <c r="H1014" s="131"/>
      <c r="I1014" s="131"/>
      <c r="J1014" s="704">
        <v>2632</v>
      </c>
      <c r="K1014" s="705">
        <v>5556032.3200000003</v>
      </c>
      <c r="L1014" s="369">
        <v>4.9602822083716545E-2</v>
      </c>
      <c r="M1014" s="377">
        <v>20.161633333333331</v>
      </c>
      <c r="N1014" s="706">
        <v>5556032.3200000003</v>
      </c>
      <c r="O1014" s="705">
        <v>4911899.0496892137</v>
      </c>
      <c r="P1014" s="369">
        <v>4.2981807898400788E-2</v>
      </c>
      <c r="Q1014" s="377">
        <v>23.412899999999997</v>
      </c>
      <c r="R1014" s="706">
        <v>4911899.0496892137</v>
      </c>
      <c r="S1014" s="369">
        <v>110.16366666666666</v>
      </c>
      <c r="T1014" s="369">
        <v>122.235</v>
      </c>
      <c r="U1014" s="369">
        <v>1.1127</v>
      </c>
      <c r="V1014" s="706">
        <v>5610016.9824121241</v>
      </c>
      <c r="W1014" s="706">
        <v>-53984.662412123595</v>
      </c>
    </row>
    <row r="1015" spans="2:23" ht="24" customHeight="1">
      <c r="J1015" s="345"/>
      <c r="K1015" s="703"/>
      <c r="L1015" s="342"/>
      <c r="M1015" s="342"/>
      <c r="N1015" s="340"/>
      <c r="O1015" s="703"/>
      <c r="P1015" s="342"/>
      <c r="Q1015" s="363"/>
      <c r="R1015" s="340"/>
      <c r="S1015" s="342"/>
      <c r="T1015" s="342"/>
      <c r="U1015" s="342"/>
      <c r="V1015" s="340"/>
      <c r="W1015" s="340"/>
    </row>
    <row r="1016" spans="2:23" ht="24" customHeight="1">
      <c r="B1016" s="67"/>
      <c r="E1016" s="1" t="s">
        <v>898</v>
      </c>
      <c r="J1016" s="345"/>
      <c r="K1016" s="703"/>
      <c r="L1016" s="342"/>
      <c r="M1016" s="342"/>
      <c r="N1016" s="340"/>
      <c r="O1016" s="703"/>
      <c r="P1016" s="342"/>
      <c r="Q1016" s="363"/>
      <c r="R1016" s="340"/>
      <c r="S1016" s="342"/>
      <c r="T1016" s="342"/>
      <c r="U1016" s="342"/>
      <c r="V1016" s="340"/>
      <c r="W1016" s="340"/>
    </row>
    <row r="1017" spans="2:23" ht="24" customHeight="1">
      <c r="B1017" s="67"/>
      <c r="F1017" s="346">
        <v>44593</v>
      </c>
      <c r="G1017" s="346"/>
      <c r="H1017" s="346"/>
      <c r="I1017" s="346"/>
      <c r="J1017" s="345"/>
      <c r="K1017" s="703"/>
      <c r="L1017" s="342"/>
      <c r="M1017" s="342"/>
      <c r="N1017" s="340"/>
      <c r="O1017" s="703"/>
      <c r="P1017" s="342"/>
      <c r="Q1017" s="363"/>
      <c r="R1017" s="340"/>
      <c r="S1017" s="342"/>
      <c r="T1017" s="342"/>
      <c r="U1017" s="342"/>
      <c r="V1017" s="340"/>
      <c r="W1017" s="340"/>
    </row>
    <row r="1018" spans="2:23" ht="24" customHeight="1">
      <c r="B1018" s="67"/>
      <c r="G1018" s="3" t="s">
        <v>60</v>
      </c>
      <c r="H1018" s="3"/>
      <c r="I1018" s="3"/>
      <c r="J1018" s="345"/>
      <c r="K1018" s="703"/>
      <c r="L1018" s="342"/>
      <c r="M1018" s="342"/>
      <c r="N1018" s="340"/>
      <c r="O1018" s="703"/>
      <c r="P1018" s="342"/>
      <c r="Q1018" s="363"/>
      <c r="R1018" s="340"/>
      <c r="S1018" s="342"/>
      <c r="T1018" s="342"/>
      <c r="U1018" s="342"/>
      <c r="V1018" s="340"/>
      <c r="W1018" s="340"/>
    </row>
    <row r="1019" spans="2:23" ht="24" customHeight="1">
      <c r="B1019" s="67"/>
      <c r="H1019" s="347">
        <v>44176</v>
      </c>
      <c r="I1019" s="347"/>
      <c r="J1019" s="345"/>
      <c r="K1019" s="703"/>
      <c r="L1019" s="342"/>
      <c r="M1019" s="342"/>
      <c r="N1019" s="340"/>
      <c r="O1019" s="703"/>
      <c r="P1019" s="342"/>
      <c r="Q1019" s="363"/>
      <c r="R1019" s="340"/>
      <c r="S1019" s="342"/>
      <c r="T1019" s="342"/>
      <c r="U1019" s="342"/>
      <c r="V1019" s="340"/>
      <c r="W1019" s="340"/>
    </row>
    <row r="1020" spans="2:23" ht="24" customHeight="1">
      <c r="B1020" s="67"/>
      <c r="I1020" s="3" t="s">
        <v>60</v>
      </c>
      <c r="J1020" s="345">
        <v>525</v>
      </c>
      <c r="K1020" s="703">
        <v>796453.74242424243</v>
      </c>
      <c r="L1020" s="342">
        <v>4.7939327986500288E-2</v>
      </c>
      <c r="M1020" s="342">
        <v>20.8597</v>
      </c>
      <c r="N1020" s="340">
        <v>796453.74242424243</v>
      </c>
      <c r="O1020" s="703">
        <v>606430.87491124263</v>
      </c>
      <c r="P1020" s="342">
        <v>5.0411356670430715E-2</v>
      </c>
      <c r="Q1020" s="363">
        <v>19.8368</v>
      </c>
      <c r="R1020" s="340">
        <v>606430.87491124263</v>
      </c>
      <c r="S1020" s="342">
        <v>109.271</v>
      </c>
      <c r="T1020" s="342">
        <v>118.002</v>
      </c>
      <c r="U1020" s="342">
        <v>1.0799000000000001</v>
      </c>
      <c r="V1020" s="340">
        <v>654884.70181665092</v>
      </c>
      <c r="W1020" s="340">
        <v>141569.04060759151</v>
      </c>
    </row>
    <row r="1021" spans="2:23" ht="24" customHeight="1">
      <c r="J1021" s="345"/>
      <c r="K1021" s="703"/>
      <c r="L1021" s="342"/>
      <c r="M1021" s="342"/>
      <c r="N1021" s="340"/>
      <c r="O1021" s="703"/>
      <c r="P1021" s="342"/>
      <c r="Q1021" s="363"/>
      <c r="R1021" s="340"/>
      <c r="S1021" s="342"/>
      <c r="T1021" s="342"/>
      <c r="U1021" s="342"/>
      <c r="V1021" s="340"/>
      <c r="W1021" s="340"/>
    </row>
    <row r="1022" spans="2:23" ht="24" customHeight="1">
      <c r="B1022" s="67"/>
      <c r="H1022" s="347">
        <v>43868</v>
      </c>
      <c r="I1022" s="347"/>
      <c r="J1022" s="345"/>
      <c r="K1022" s="703"/>
      <c r="L1022" s="342"/>
      <c r="M1022" s="342"/>
      <c r="N1022" s="340"/>
      <c r="O1022" s="703"/>
      <c r="P1022" s="342"/>
      <c r="Q1022" s="363"/>
      <c r="R1022" s="340"/>
      <c r="S1022" s="342"/>
      <c r="T1022" s="342"/>
      <c r="U1022" s="342"/>
      <c r="V1022" s="340"/>
      <c r="W1022" s="340"/>
    </row>
    <row r="1023" spans="2:23" ht="24" customHeight="1">
      <c r="B1023" s="67"/>
      <c r="I1023" s="3" t="s">
        <v>60</v>
      </c>
      <c r="J1023" s="345">
        <v>604</v>
      </c>
      <c r="K1023" s="703">
        <v>916301.06747474754</v>
      </c>
      <c r="L1023" s="342">
        <v>4.7939327986500288E-2</v>
      </c>
      <c r="M1023" s="342">
        <v>20.8597</v>
      </c>
      <c r="N1023" s="340">
        <v>916301.06747474754</v>
      </c>
      <c r="O1023" s="703">
        <v>720679.41905280913</v>
      </c>
      <c r="P1023" s="342">
        <v>5.3692716582995514E-2</v>
      </c>
      <c r="Q1023" s="363">
        <v>18.624500000000001</v>
      </c>
      <c r="R1023" s="340">
        <v>720679.41905280913</v>
      </c>
      <c r="S1023" s="342">
        <v>106.889</v>
      </c>
      <c r="T1023" s="342">
        <v>118.002</v>
      </c>
      <c r="U1023" s="342">
        <v>1.1039000000000001</v>
      </c>
      <c r="V1023" s="340">
        <v>795558.01069239608</v>
      </c>
      <c r="W1023" s="340">
        <v>120743.05678235134</v>
      </c>
    </row>
    <row r="1024" spans="2:23" ht="24" customHeight="1">
      <c r="J1024" s="345"/>
      <c r="K1024" s="703"/>
      <c r="L1024" s="342"/>
      <c r="M1024" s="342"/>
      <c r="N1024" s="340"/>
      <c r="O1024" s="703"/>
      <c r="P1024" s="342"/>
      <c r="Q1024" s="363"/>
      <c r="R1024" s="340"/>
      <c r="S1024" s="342"/>
      <c r="T1024" s="342"/>
      <c r="U1024" s="342"/>
      <c r="V1024" s="340"/>
      <c r="W1024" s="340"/>
    </row>
    <row r="1025" spans="2:23" ht="24" customHeight="1">
      <c r="B1025" s="67"/>
      <c r="H1025" s="347">
        <v>43994</v>
      </c>
      <c r="I1025" s="347"/>
      <c r="J1025" s="345"/>
      <c r="K1025" s="703"/>
      <c r="L1025" s="342"/>
      <c r="M1025" s="342"/>
      <c r="N1025" s="340"/>
      <c r="O1025" s="703"/>
      <c r="P1025" s="342"/>
      <c r="Q1025" s="363"/>
      <c r="R1025" s="340"/>
      <c r="S1025" s="342"/>
      <c r="T1025" s="342"/>
      <c r="U1025" s="342"/>
      <c r="V1025" s="340"/>
      <c r="W1025" s="340"/>
    </row>
    <row r="1026" spans="2:23" ht="24" customHeight="1">
      <c r="B1026" s="67"/>
      <c r="I1026" s="3" t="s">
        <v>60</v>
      </c>
      <c r="J1026" s="345">
        <v>4415</v>
      </c>
      <c r="K1026" s="703">
        <v>6697796.7101010103</v>
      </c>
      <c r="L1026" s="342">
        <v>4.7939327986500288E-2</v>
      </c>
      <c r="M1026" s="342">
        <v>20.8597</v>
      </c>
      <c r="N1026" s="340">
        <v>6697796.7101010112</v>
      </c>
      <c r="O1026" s="703">
        <v>4732665.82</v>
      </c>
      <c r="P1026" s="342">
        <v>4.5614195137526799E-2</v>
      </c>
      <c r="Q1026" s="363">
        <v>21.922999999999998</v>
      </c>
      <c r="R1026" s="340">
        <v>4732665.82</v>
      </c>
      <c r="S1026" s="342">
        <v>106.74299999999999</v>
      </c>
      <c r="T1026" s="342">
        <v>118.002</v>
      </c>
      <c r="U1026" s="342">
        <v>1.1053999999999999</v>
      </c>
      <c r="V1026" s="340">
        <v>5231488.7974279998</v>
      </c>
      <c r="W1026" s="340">
        <v>1466307.9126730114</v>
      </c>
    </row>
    <row r="1027" spans="2:23" ht="24" customHeight="1">
      <c r="J1027" s="345"/>
      <c r="K1027" s="703"/>
      <c r="L1027" s="342"/>
      <c r="M1027" s="342"/>
      <c r="N1027" s="340"/>
      <c r="O1027" s="703"/>
      <c r="P1027" s="342"/>
      <c r="Q1027" s="363"/>
      <c r="R1027" s="340"/>
      <c r="S1027" s="342"/>
      <c r="T1027" s="342"/>
      <c r="U1027" s="342"/>
      <c r="V1027" s="340"/>
      <c r="W1027" s="340"/>
    </row>
    <row r="1028" spans="2:23" ht="24" customHeight="1">
      <c r="B1028" s="67"/>
      <c r="F1028" s="346">
        <v>44831</v>
      </c>
      <c r="G1028" s="346"/>
      <c r="H1028" s="346"/>
      <c r="I1028" s="346"/>
      <c r="J1028" s="345"/>
      <c r="K1028" s="703"/>
      <c r="L1028" s="342"/>
      <c r="M1028" s="342"/>
      <c r="N1028" s="340"/>
      <c r="O1028" s="703"/>
      <c r="P1028" s="342"/>
      <c r="Q1028" s="363"/>
      <c r="R1028" s="340"/>
      <c r="S1028" s="342"/>
      <c r="T1028" s="342"/>
      <c r="U1028" s="342"/>
      <c r="V1028" s="340"/>
      <c r="W1028" s="340"/>
    </row>
    <row r="1029" spans="2:23" ht="24" customHeight="1">
      <c r="B1029" s="67"/>
      <c r="G1029" s="3" t="s">
        <v>60</v>
      </c>
      <c r="H1029" s="3"/>
      <c r="I1029" s="3"/>
      <c r="J1029" s="345"/>
      <c r="K1029" s="703"/>
      <c r="L1029" s="342"/>
      <c r="M1029" s="342"/>
      <c r="N1029" s="340"/>
      <c r="O1029" s="703"/>
      <c r="P1029" s="342"/>
      <c r="Q1029" s="363"/>
      <c r="R1029" s="340"/>
      <c r="S1029" s="342"/>
      <c r="T1029" s="342"/>
      <c r="U1029" s="342"/>
      <c r="V1029" s="340"/>
      <c r="W1029" s="340"/>
    </row>
    <row r="1030" spans="2:23" ht="24" customHeight="1">
      <c r="B1030" s="67"/>
      <c r="H1030" s="347">
        <v>44176</v>
      </c>
      <c r="I1030" s="347"/>
      <c r="J1030" s="345"/>
      <c r="K1030" s="703"/>
      <c r="L1030" s="342"/>
      <c r="M1030" s="342"/>
      <c r="N1030" s="340"/>
      <c r="O1030" s="703"/>
      <c r="P1030" s="342"/>
      <c r="Q1030" s="363"/>
      <c r="R1030" s="340"/>
      <c r="S1030" s="342"/>
      <c r="T1030" s="342"/>
      <c r="U1030" s="342"/>
      <c r="V1030" s="340"/>
      <c r="W1030" s="340"/>
    </row>
    <row r="1031" spans="2:23" ht="24" customHeight="1">
      <c r="B1031" s="67"/>
      <c r="I1031" s="3" t="s">
        <v>60</v>
      </c>
      <c r="J1031" s="345">
        <v>1923</v>
      </c>
      <c r="K1031" s="703">
        <v>2034385.02</v>
      </c>
      <c r="L1031" s="342">
        <v>4.9596532210467843E-2</v>
      </c>
      <c r="M1031" s="342">
        <v>20.162700000000001</v>
      </c>
      <c r="N1031" s="340">
        <v>2034385.02</v>
      </c>
      <c r="O1031" s="703">
        <v>2221269.6618177514</v>
      </c>
      <c r="P1031" s="342">
        <v>5.0411356670430715E-2</v>
      </c>
      <c r="Q1031" s="363">
        <v>19.8368</v>
      </c>
      <c r="R1031" s="340">
        <v>2221269.6618177514</v>
      </c>
      <c r="S1031" s="342">
        <v>109.271</v>
      </c>
      <c r="T1031" s="342">
        <v>123.803</v>
      </c>
      <c r="U1031" s="342">
        <v>1.1329</v>
      </c>
      <c r="V1031" s="340">
        <v>2516476.3998733307</v>
      </c>
      <c r="W1031" s="340">
        <v>-482091.3798733307</v>
      </c>
    </row>
    <row r="1032" spans="2:23" ht="24" customHeight="1">
      <c r="J1032" s="345"/>
      <c r="K1032" s="703"/>
      <c r="L1032" s="342"/>
      <c r="M1032" s="342"/>
      <c r="N1032" s="340"/>
      <c r="O1032" s="703"/>
      <c r="P1032" s="342"/>
      <c r="Q1032" s="363"/>
      <c r="R1032" s="340"/>
      <c r="S1032" s="342"/>
      <c r="T1032" s="342"/>
      <c r="U1032" s="342"/>
      <c r="V1032" s="340"/>
      <c r="W1032" s="340"/>
    </row>
    <row r="1033" spans="2:23" ht="24" customHeight="1">
      <c r="B1033" s="67"/>
      <c r="E1033" s="131" t="s">
        <v>1110</v>
      </c>
      <c r="F1033" s="131"/>
      <c r="G1033" s="131"/>
      <c r="H1033" s="131"/>
      <c r="I1033" s="131"/>
      <c r="J1033" s="704">
        <v>7467</v>
      </c>
      <c r="K1033" s="705">
        <v>10444936.539999999</v>
      </c>
      <c r="L1033" s="369">
        <v>4.8353629042492172E-2</v>
      </c>
      <c r="M1033" s="377">
        <v>20.685449999999999</v>
      </c>
      <c r="N1033" s="706">
        <v>10444936.540000001</v>
      </c>
      <c r="O1033" s="705">
        <v>8281045.7757818028</v>
      </c>
      <c r="P1033" s="369">
        <v>5.0032406265345941E-2</v>
      </c>
      <c r="Q1033" s="377">
        <v>20.055274999999998</v>
      </c>
      <c r="R1033" s="706">
        <v>8281045.7757818028</v>
      </c>
      <c r="S1033" s="369">
        <v>108.04350000000001</v>
      </c>
      <c r="T1033" s="369">
        <v>119.45224999999999</v>
      </c>
      <c r="U1033" s="369">
        <v>1.1055250000000001</v>
      </c>
      <c r="V1033" s="706">
        <v>9198407.9098103773</v>
      </c>
      <c r="W1033" s="706">
        <v>1246528.6301896237</v>
      </c>
    </row>
    <row r="1034" spans="2:23" ht="24" customHeight="1">
      <c r="J1034" s="345"/>
      <c r="K1034" s="703"/>
      <c r="L1034" s="342"/>
      <c r="M1034" s="342"/>
      <c r="N1034" s="340"/>
      <c r="O1034" s="703"/>
      <c r="P1034" s="342"/>
      <c r="Q1034" s="363"/>
      <c r="R1034" s="340"/>
      <c r="S1034" s="342"/>
      <c r="T1034" s="342"/>
      <c r="U1034" s="342"/>
      <c r="V1034" s="340"/>
      <c r="W1034" s="340"/>
    </row>
    <row r="1035" spans="2:23" ht="24" customHeight="1">
      <c r="B1035" s="67"/>
      <c r="E1035" s="1" t="s">
        <v>1040</v>
      </c>
      <c r="J1035" s="345"/>
      <c r="K1035" s="703"/>
      <c r="L1035" s="342"/>
      <c r="M1035" s="342"/>
      <c r="N1035" s="340"/>
      <c r="O1035" s="703"/>
      <c r="P1035" s="342"/>
      <c r="Q1035" s="363"/>
      <c r="R1035" s="340"/>
      <c r="S1035" s="342"/>
      <c r="T1035" s="342"/>
      <c r="U1035" s="342"/>
      <c r="V1035" s="340"/>
      <c r="W1035" s="340"/>
    </row>
    <row r="1036" spans="2:23" ht="24" customHeight="1">
      <c r="B1036" s="67"/>
      <c r="F1036" s="346">
        <v>44831</v>
      </c>
      <c r="G1036" s="346"/>
      <c r="H1036" s="346"/>
      <c r="I1036" s="346"/>
      <c r="J1036" s="345"/>
      <c r="K1036" s="703"/>
      <c r="L1036" s="342"/>
      <c r="M1036" s="342"/>
      <c r="N1036" s="340"/>
      <c r="O1036" s="703"/>
      <c r="P1036" s="342"/>
      <c r="Q1036" s="363"/>
      <c r="R1036" s="340"/>
      <c r="S1036" s="342"/>
      <c r="T1036" s="342"/>
      <c r="U1036" s="342"/>
      <c r="V1036" s="340"/>
      <c r="W1036" s="340"/>
    </row>
    <row r="1037" spans="2:23" ht="24" customHeight="1">
      <c r="B1037" s="67"/>
      <c r="G1037" s="3" t="s">
        <v>60</v>
      </c>
      <c r="H1037" s="3"/>
      <c r="I1037" s="3"/>
      <c r="J1037" s="345"/>
      <c r="K1037" s="703"/>
      <c r="L1037" s="342"/>
      <c r="M1037" s="342"/>
      <c r="N1037" s="340"/>
      <c r="O1037" s="703"/>
      <c r="P1037" s="342"/>
      <c r="Q1037" s="363"/>
      <c r="R1037" s="340"/>
      <c r="S1037" s="342"/>
      <c r="T1037" s="342"/>
      <c r="U1037" s="342"/>
      <c r="V1037" s="340"/>
      <c r="W1037" s="340"/>
    </row>
    <row r="1038" spans="2:23" ht="24" customHeight="1">
      <c r="B1038" s="67"/>
      <c r="H1038" s="347">
        <v>43997</v>
      </c>
      <c r="I1038" s="347"/>
      <c r="J1038" s="345"/>
      <c r="K1038" s="703"/>
      <c r="L1038" s="342"/>
      <c r="M1038" s="342"/>
      <c r="N1038" s="340"/>
      <c r="O1038" s="703"/>
      <c r="P1038" s="342"/>
      <c r="Q1038" s="363"/>
      <c r="R1038" s="340"/>
      <c r="S1038" s="342"/>
      <c r="T1038" s="342"/>
      <c r="U1038" s="342"/>
      <c r="V1038" s="340"/>
      <c r="W1038" s="340"/>
    </row>
    <row r="1039" spans="2:23" ht="24" customHeight="1">
      <c r="B1039" s="67"/>
      <c r="I1039" s="3" t="s">
        <v>60</v>
      </c>
      <c r="J1039" s="345">
        <v>85</v>
      </c>
      <c r="K1039" s="703">
        <v>391474.97</v>
      </c>
      <c r="L1039" s="342">
        <v>4.9596532210467843E-2</v>
      </c>
      <c r="M1039" s="342">
        <v>20.162700000000001</v>
      </c>
      <c r="N1039" s="340">
        <v>391474.97</v>
      </c>
      <c r="O1039" s="703">
        <v>410077.13615090732</v>
      </c>
      <c r="P1039" s="342">
        <v>4.4592690366195176E-2</v>
      </c>
      <c r="Q1039" s="363">
        <v>22.4252</v>
      </c>
      <c r="R1039" s="340">
        <v>410077.13615090732</v>
      </c>
      <c r="S1039" s="342">
        <v>106.74299999999999</v>
      </c>
      <c r="T1039" s="342">
        <v>123.803</v>
      </c>
      <c r="U1039" s="342">
        <v>1.1597999999999999</v>
      </c>
      <c r="V1039" s="340">
        <v>475607.46250782226</v>
      </c>
      <c r="W1039" s="340">
        <v>-84132.492507822288</v>
      </c>
    </row>
    <row r="1040" spans="2:23" ht="24" customHeight="1">
      <c r="J1040" s="345"/>
      <c r="K1040" s="703"/>
      <c r="L1040" s="342"/>
      <c r="M1040" s="342"/>
      <c r="N1040" s="340"/>
      <c r="O1040" s="703"/>
      <c r="P1040" s="342"/>
      <c r="Q1040" s="363"/>
      <c r="R1040" s="340"/>
      <c r="S1040" s="342"/>
      <c r="T1040" s="342"/>
      <c r="U1040" s="342"/>
      <c r="V1040" s="340"/>
      <c r="W1040" s="340"/>
    </row>
    <row r="1041" spans="2:23" ht="24" customHeight="1">
      <c r="B1041" s="67"/>
      <c r="E1041" s="131" t="s">
        <v>1111</v>
      </c>
      <c r="F1041" s="131"/>
      <c r="G1041" s="131"/>
      <c r="H1041" s="131"/>
      <c r="I1041" s="131"/>
      <c r="J1041" s="704">
        <v>85</v>
      </c>
      <c r="K1041" s="705">
        <v>391474.97</v>
      </c>
      <c r="L1041" s="369">
        <v>4.9596532210467843E-2</v>
      </c>
      <c r="M1041" s="377">
        <v>20.162700000000001</v>
      </c>
      <c r="N1041" s="706">
        <v>391474.97</v>
      </c>
      <c r="O1041" s="705">
        <v>410077.13615090732</v>
      </c>
      <c r="P1041" s="369">
        <v>4.4592690366195176E-2</v>
      </c>
      <c r="Q1041" s="377">
        <v>22.4252</v>
      </c>
      <c r="R1041" s="706">
        <v>410077.13615090732</v>
      </c>
      <c r="S1041" s="369">
        <v>106.74299999999999</v>
      </c>
      <c r="T1041" s="369">
        <v>123.803</v>
      </c>
      <c r="U1041" s="369">
        <v>1.1597999999999999</v>
      </c>
      <c r="V1041" s="706">
        <v>475607.46250782226</v>
      </c>
      <c r="W1041" s="706">
        <v>-84132.492507822288</v>
      </c>
    </row>
    <row r="1042" spans="2:23" ht="24" customHeight="1">
      <c r="J1042" s="345"/>
      <c r="K1042" s="703"/>
      <c r="L1042" s="342"/>
      <c r="M1042" s="342"/>
      <c r="N1042" s="340"/>
      <c r="O1042" s="703"/>
      <c r="P1042" s="342"/>
      <c r="Q1042" s="363"/>
      <c r="R1042" s="340"/>
      <c r="S1042" s="342"/>
      <c r="T1042" s="342"/>
      <c r="U1042" s="342"/>
      <c r="V1042" s="340"/>
      <c r="W1042" s="340"/>
    </row>
    <row r="1043" spans="2:23" ht="24" customHeight="1">
      <c r="B1043" s="67"/>
      <c r="E1043" s="1" t="s">
        <v>1037</v>
      </c>
      <c r="J1043" s="345"/>
      <c r="K1043" s="703"/>
      <c r="L1043" s="342"/>
      <c r="M1043" s="342"/>
      <c r="N1043" s="340"/>
      <c r="O1043" s="703"/>
      <c r="P1043" s="342"/>
      <c r="Q1043" s="363"/>
      <c r="R1043" s="340"/>
      <c r="S1043" s="342"/>
      <c r="T1043" s="342"/>
      <c r="U1043" s="342"/>
      <c r="V1043" s="340"/>
      <c r="W1043" s="340"/>
    </row>
    <row r="1044" spans="2:23" ht="24" customHeight="1">
      <c r="B1044" s="67"/>
      <c r="F1044" s="346">
        <v>44831</v>
      </c>
      <c r="G1044" s="346"/>
      <c r="H1044" s="346"/>
      <c r="I1044" s="346"/>
      <c r="J1044" s="345"/>
      <c r="K1044" s="703"/>
      <c r="L1044" s="342"/>
      <c r="M1044" s="342"/>
      <c r="N1044" s="340"/>
      <c r="O1044" s="703"/>
      <c r="P1044" s="342"/>
      <c r="Q1044" s="363"/>
      <c r="R1044" s="340"/>
      <c r="S1044" s="342"/>
      <c r="T1044" s="342"/>
      <c r="U1044" s="342"/>
      <c r="V1044" s="340"/>
      <c r="W1044" s="340"/>
    </row>
    <row r="1045" spans="2:23" ht="24" customHeight="1">
      <c r="B1045" s="67"/>
      <c r="G1045" s="3" t="s">
        <v>60</v>
      </c>
      <c r="H1045" s="3"/>
      <c r="I1045" s="3"/>
      <c r="J1045" s="345"/>
      <c r="K1045" s="703"/>
      <c r="L1045" s="342"/>
      <c r="M1045" s="342"/>
      <c r="N1045" s="340"/>
      <c r="O1045" s="703"/>
      <c r="P1045" s="342"/>
      <c r="Q1045" s="363"/>
      <c r="R1045" s="340"/>
      <c r="S1045" s="342"/>
      <c r="T1045" s="342"/>
      <c r="U1045" s="342"/>
      <c r="V1045" s="340"/>
      <c r="W1045" s="340"/>
    </row>
    <row r="1046" spans="2:23" ht="24" customHeight="1">
      <c r="B1046" s="67"/>
      <c r="H1046" s="347">
        <v>43661</v>
      </c>
      <c r="I1046" s="347"/>
      <c r="J1046" s="345"/>
      <c r="K1046" s="703"/>
      <c r="L1046" s="342"/>
      <c r="M1046" s="342"/>
      <c r="N1046" s="340"/>
      <c r="O1046" s="703"/>
      <c r="P1046" s="342"/>
      <c r="Q1046" s="363"/>
      <c r="R1046" s="340"/>
      <c r="S1046" s="342"/>
      <c r="T1046" s="342"/>
      <c r="U1046" s="342"/>
      <c r="V1046" s="340"/>
      <c r="W1046" s="340"/>
    </row>
    <row r="1047" spans="2:23" ht="24" customHeight="1">
      <c r="B1047" s="67"/>
      <c r="I1047" s="3" t="s">
        <v>60</v>
      </c>
      <c r="J1047" s="345">
        <v>4728</v>
      </c>
      <c r="K1047" s="703">
        <v>1393348.99</v>
      </c>
      <c r="L1047" s="342">
        <v>4.9596532210467843E-2</v>
      </c>
      <c r="M1047" s="342">
        <v>20.162700000000001</v>
      </c>
      <c r="N1047" s="340">
        <v>1393348.99</v>
      </c>
      <c r="O1047" s="703">
        <v>1164855.7521275121</v>
      </c>
      <c r="P1047" s="342">
        <v>5.2293870635422825E-2</v>
      </c>
      <c r="Q1047" s="363">
        <v>19.122699999999998</v>
      </c>
      <c r="R1047" s="340">
        <v>1164855.7521275121</v>
      </c>
      <c r="S1047" s="342">
        <v>103.687</v>
      </c>
      <c r="T1047" s="342">
        <v>123.803</v>
      </c>
      <c r="U1047" s="342">
        <v>1.194</v>
      </c>
      <c r="V1047" s="340">
        <v>1390837.7680402494</v>
      </c>
      <c r="W1047" s="340">
        <v>2511.2219597506337</v>
      </c>
    </row>
    <row r="1048" spans="2:23" ht="24" customHeight="1">
      <c r="J1048" s="345"/>
      <c r="K1048" s="703"/>
      <c r="L1048" s="342"/>
      <c r="M1048" s="342"/>
      <c r="N1048" s="340"/>
      <c r="O1048" s="703"/>
      <c r="P1048" s="342"/>
      <c r="Q1048" s="363"/>
      <c r="R1048" s="340"/>
      <c r="S1048" s="342"/>
      <c r="T1048" s="342"/>
      <c r="U1048" s="342"/>
      <c r="V1048" s="340"/>
      <c r="W1048" s="340"/>
    </row>
    <row r="1049" spans="2:23" ht="24" customHeight="1">
      <c r="B1049" s="67"/>
      <c r="F1049" s="346">
        <v>44792</v>
      </c>
      <c r="G1049" s="346"/>
      <c r="H1049" s="346"/>
      <c r="I1049" s="346"/>
      <c r="J1049" s="345"/>
      <c r="K1049" s="703"/>
      <c r="L1049" s="342"/>
      <c r="M1049" s="342"/>
      <c r="N1049" s="340"/>
      <c r="O1049" s="703"/>
      <c r="P1049" s="342"/>
      <c r="Q1049" s="363"/>
      <c r="R1049" s="340"/>
      <c r="S1049" s="342"/>
      <c r="T1049" s="342"/>
      <c r="U1049" s="342"/>
      <c r="V1049" s="340"/>
      <c r="W1049" s="340"/>
    </row>
    <row r="1050" spans="2:23" ht="24" customHeight="1">
      <c r="B1050" s="67"/>
      <c r="G1050" s="3" t="s">
        <v>60</v>
      </c>
      <c r="H1050" s="3"/>
      <c r="I1050" s="3"/>
      <c r="J1050" s="345"/>
      <c r="K1050" s="703"/>
      <c r="L1050" s="342"/>
      <c r="M1050" s="342"/>
      <c r="N1050" s="340"/>
      <c r="O1050" s="703"/>
      <c r="P1050" s="342"/>
      <c r="Q1050" s="363"/>
      <c r="R1050" s="340"/>
      <c r="S1050" s="342"/>
      <c r="T1050" s="342"/>
      <c r="U1050" s="342"/>
      <c r="V1050" s="340"/>
      <c r="W1050" s="340"/>
    </row>
    <row r="1051" spans="2:23" ht="24" customHeight="1">
      <c r="B1051" s="67"/>
      <c r="H1051" s="347">
        <v>43661</v>
      </c>
      <c r="I1051" s="347"/>
      <c r="J1051" s="345"/>
      <c r="K1051" s="703"/>
      <c r="L1051" s="342"/>
      <c r="M1051" s="342"/>
      <c r="N1051" s="340"/>
      <c r="O1051" s="703"/>
      <c r="P1051" s="342"/>
      <c r="Q1051" s="363"/>
      <c r="R1051" s="340"/>
      <c r="S1051" s="342"/>
      <c r="T1051" s="342"/>
      <c r="U1051" s="342"/>
      <c r="V1051" s="340"/>
      <c r="W1051" s="340"/>
    </row>
    <row r="1052" spans="2:23" ht="24" customHeight="1">
      <c r="B1052" s="67"/>
      <c r="I1052" s="3" t="s">
        <v>60</v>
      </c>
      <c r="J1052" s="345">
        <v>6337</v>
      </c>
      <c r="K1052" s="703">
        <v>2123715.2000000002</v>
      </c>
      <c r="L1052" s="342">
        <v>4.9903436849695844E-2</v>
      </c>
      <c r="M1052" s="342">
        <v>20.038699999999999</v>
      </c>
      <c r="N1052" s="340">
        <v>2123715.2000000002</v>
      </c>
      <c r="O1052" s="703">
        <v>1561271.3412081313</v>
      </c>
      <c r="P1052" s="342">
        <v>5.2293870635422825E-2</v>
      </c>
      <c r="Q1052" s="363">
        <v>19.122699999999998</v>
      </c>
      <c r="R1052" s="340">
        <v>1561271.3412081313</v>
      </c>
      <c r="S1052" s="342">
        <v>103.687</v>
      </c>
      <c r="T1052" s="342">
        <v>122.94799999999999</v>
      </c>
      <c r="U1052" s="342">
        <v>1.1857</v>
      </c>
      <c r="V1052" s="340">
        <v>1851199.4292704812</v>
      </c>
      <c r="W1052" s="340">
        <v>272515.77072951873</v>
      </c>
    </row>
    <row r="1053" spans="2:23" ht="24" customHeight="1">
      <c r="J1053" s="345"/>
      <c r="K1053" s="703"/>
      <c r="L1053" s="342"/>
      <c r="M1053" s="342"/>
      <c r="N1053" s="340"/>
      <c r="O1053" s="703"/>
      <c r="P1053" s="342"/>
      <c r="Q1053" s="363"/>
      <c r="R1053" s="340"/>
      <c r="S1053" s="342"/>
      <c r="T1053" s="342"/>
      <c r="U1053" s="342"/>
      <c r="V1053" s="340"/>
      <c r="W1053" s="340"/>
    </row>
    <row r="1054" spans="2:23" ht="24" customHeight="1">
      <c r="B1054" s="67"/>
      <c r="E1054" s="131" t="s">
        <v>1112</v>
      </c>
      <c r="F1054" s="131"/>
      <c r="G1054" s="131"/>
      <c r="H1054" s="131"/>
      <c r="I1054" s="131"/>
      <c r="J1054" s="704">
        <v>11065</v>
      </c>
      <c r="K1054" s="705">
        <v>3517064.1900000004</v>
      </c>
      <c r="L1054" s="369">
        <v>4.9749984530081844E-2</v>
      </c>
      <c r="M1054" s="377">
        <v>20.1007</v>
      </c>
      <c r="N1054" s="706">
        <v>3517064.1900000004</v>
      </c>
      <c r="O1054" s="705">
        <v>2726127.0933356434</v>
      </c>
      <c r="P1054" s="369">
        <v>5.2293870635422825E-2</v>
      </c>
      <c r="Q1054" s="377">
        <v>19.122699999999998</v>
      </c>
      <c r="R1054" s="706">
        <v>2726127.0933356434</v>
      </c>
      <c r="S1054" s="369">
        <v>103.687</v>
      </c>
      <c r="T1054" s="369">
        <v>123.37549999999999</v>
      </c>
      <c r="U1054" s="369">
        <v>1.1898499999999999</v>
      </c>
      <c r="V1054" s="706">
        <v>3242037.1973107308</v>
      </c>
      <c r="W1054" s="706">
        <v>275026.99268926936</v>
      </c>
    </row>
    <row r="1055" spans="2:23" ht="24" customHeight="1">
      <c r="J1055" s="345"/>
      <c r="K1055" s="703"/>
      <c r="L1055" s="342"/>
      <c r="M1055" s="342"/>
      <c r="N1055" s="340"/>
      <c r="O1055" s="703"/>
      <c r="P1055" s="342"/>
      <c r="Q1055" s="363"/>
      <c r="R1055" s="340"/>
      <c r="S1055" s="342"/>
      <c r="T1055" s="342"/>
      <c r="U1055" s="342"/>
      <c r="V1055" s="340"/>
      <c r="W1055" s="340"/>
    </row>
    <row r="1056" spans="2:23" ht="24" customHeight="1">
      <c r="B1056" s="67"/>
      <c r="D1056" s="364" t="s">
        <v>1253</v>
      </c>
      <c r="E1056" s="364"/>
      <c r="F1056" s="364"/>
      <c r="G1056" s="364"/>
      <c r="H1056" s="364"/>
      <c r="I1056" s="364"/>
      <c r="J1056" s="707">
        <v>244437</v>
      </c>
      <c r="K1056" s="708">
        <v>163257199.04999998</v>
      </c>
      <c r="L1056" s="370">
        <v>4.9428720052212632E-2</v>
      </c>
      <c r="M1056" s="370">
        <v>20.234749999999991</v>
      </c>
      <c r="N1056" s="709">
        <v>163257199.04999998</v>
      </c>
      <c r="O1056" s="708">
        <v>120050385.86448739</v>
      </c>
      <c r="P1056" s="370">
        <v>4.8721043460758014E-2</v>
      </c>
      <c r="Q1056" s="376">
        <v>20.663270689655171</v>
      </c>
      <c r="R1056" s="709">
        <v>120050385.86448739</v>
      </c>
      <c r="S1056" s="370">
        <v>105.85979012125644</v>
      </c>
      <c r="T1056" s="370">
        <v>122.43841379310348</v>
      </c>
      <c r="U1056" s="370">
        <v>1.1587551724137932</v>
      </c>
      <c r="V1056" s="709">
        <v>141102780.99438342</v>
      </c>
      <c r="W1056" s="709">
        <v>22154418.055616546</v>
      </c>
    </row>
    <row r="1057" spans="2:23" ht="24" customHeight="1">
      <c r="J1057" s="345"/>
      <c r="K1057" s="703"/>
      <c r="L1057" s="342"/>
      <c r="M1057" s="342"/>
      <c r="N1057" s="340"/>
      <c r="O1057" s="703"/>
      <c r="P1057" s="342"/>
      <c r="Q1057" s="363"/>
      <c r="R1057" s="340"/>
      <c r="S1057" s="342"/>
      <c r="T1057" s="342"/>
      <c r="U1057" s="342"/>
      <c r="V1057" s="340"/>
      <c r="W1057" s="340"/>
    </row>
    <row r="1058" spans="2:23" ht="24" customHeight="1">
      <c r="B1058" s="67"/>
      <c r="D1058" s="1" t="s">
        <v>1254</v>
      </c>
      <c r="J1058" s="345"/>
      <c r="K1058" s="703"/>
      <c r="L1058" s="342"/>
      <c r="M1058" s="342"/>
      <c r="N1058" s="340"/>
      <c r="O1058" s="703"/>
      <c r="P1058" s="342"/>
      <c r="Q1058" s="363"/>
      <c r="R1058" s="340"/>
      <c r="S1058" s="342"/>
      <c r="T1058" s="342"/>
      <c r="U1058" s="342"/>
      <c r="V1058" s="340"/>
      <c r="W1058" s="340"/>
    </row>
    <row r="1059" spans="2:23" ht="24" customHeight="1">
      <c r="B1059" s="67"/>
      <c r="E1059" s="1" t="s">
        <v>838</v>
      </c>
      <c r="J1059" s="345"/>
      <c r="K1059" s="703"/>
      <c r="L1059" s="342"/>
      <c r="M1059" s="342"/>
      <c r="N1059" s="340"/>
      <c r="O1059" s="703"/>
      <c r="P1059" s="342"/>
      <c r="Q1059" s="363"/>
      <c r="R1059" s="340"/>
      <c r="S1059" s="342"/>
      <c r="T1059" s="342"/>
      <c r="U1059" s="342"/>
      <c r="V1059" s="340"/>
      <c r="W1059" s="340"/>
    </row>
    <row r="1060" spans="2:23" ht="24" customHeight="1">
      <c r="B1060" s="67"/>
      <c r="F1060" s="346">
        <v>44770</v>
      </c>
      <c r="G1060" s="346"/>
      <c r="H1060" s="346"/>
      <c r="I1060" s="346"/>
      <c r="J1060" s="345"/>
      <c r="K1060" s="703"/>
      <c r="L1060" s="342"/>
      <c r="M1060" s="342"/>
      <c r="N1060" s="340"/>
      <c r="O1060" s="703"/>
      <c r="P1060" s="342"/>
      <c r="Q1060" s="363"/>
      <c r="R1060" s="340"/>
      <c r="S1060" s="342"/>
      <c r="T1060" s="342"/>
      <c r="U1060" s="342"/>
      <c r="V1060" s="340"/>
      <c r="W1060" s="340"/>
    </row>
    <row r="1061" spans="2:23" ht="24" customHeight="1">
      <c r="B1061" s="67"/>
      <c r="G1061" s="3" t="s">
        <v>59</v>
      </c>
      <c r="H1061" s="3"/>
      <c r="I1061" s="3"/>
      <c r="J1061" s="345"/>
      <c r="K1061" s="703"/>
      <c r="L1061" s="342"/>
      <c r="M1061" s="342"/>
      <c r="N1061" s="340"/>
      <c r="O1061" s="703"/>
      <c r="P1061" s="342"/>
      <c r="Q1061" s="363"/>
      <c r="R1061" s="340"/>
      <c r="S1061" s="342"/>
      <c r="T1061" s="342"/>
      <c r="U1061" s="342"/>
      <c r="V1061" s="340"/>
      <c r="W1061" s="340"/>
    </row>
    <row r="1062" spans="2:23" ht="24" customHeight="1">
      <c r="B1062" s="67"/>
      <c r="H1062" s="347">
        <v>44260</v>
      </c>
      <c r="I1062" s="347"/>
      <c r="J1062" s="345"/>
      <c r="K1062" s="703"/>
      <c r="L1062" s="342"/>
      <c r="M1062" s="342"/>
      <c r="N1062" s="340"/>
      <c r="O1062" s="703"/>
      <c r="P1062" s="342"/>
      <c r="Q1062" s="363"/>
      <c r="R1062" s="340"/>
      <c r="S1062" s="342"/>
      <c r="T1062" s="342"/>
      <c r="U1062" s="342"/>
      <c r="V1062" s="340"/>
      <c r="W1062" s="340"/>
    </row>
    <row r="1063" spans="2:23" ht="24" customHeight="1">
      <c r="B1063" s="67"/>
      <c r="I1063" s="3" t="s">
        <v>59</v>
      </c>
      <c r="J1063" s="345">
        <v>182</v>
      </c>
      <c r="K1063" s="703">
        <v>20051.32</v>
      </c>
      <c r="L1063" s="342">
        <v>1</v>
      </c>
      <c r="M1063" s="342">
        <v>20.433</v>
      </c>
      <c r="N1063" s="340">
        <v>409708.62156</v>
      </c>
      <c r="O1063" s="703">
        <v>18790.614818181817</v>
      </c>
      <c r="P1063" s="342">
        <v>1</v>
      </c>
      <c r="Q1063" s="363">
        <v>20.895700000000001</v>
      </c>
      <c r="R1063" s="340">
        <v>392643.05005628185</v>
      </c>
      <c r="S1063" s="342">
        <v>111.824</v>
      </c>
      <c r="T1063" s="342">
        <v>122.044</v>
      </c>
      <c r="U1063" s="342">
        <v>1.0912999999999999</v>
      </c>
      <c r="V1063" s="340">
        <v>428491.36052642035</v>
      </c>
      <c r="W1063" s="340">
        <v>-18782.738966420409</v>
      </c>
    </row>
    <row r="1064" spans="2:23" ht="24" customHeight="1">
      <c r="J1064" s="345"/>
      <c r="K1064" s="703"/>
      <c r="L1064" s="342"/>
      <c r="M1064" s="342"/>
      <c r="N1064" s="340"/>
      <c r="O1064" s="703"/>
      <c r="P1064" s="342"/>
      <c r="Q1064" s="363"/>
      <c r="R1064" s="340"/>
      <c r="S1064" s="342"/>
      <c r="T1064" s="342"/>
      <c r="U1064" s="342"/>
      <c r="V1064" s="340"/>
      <c r="W1064" s="340"/>
    </row>
    <row r="1065" spans="2:23" ht="24" customHeight="1">
      <c r="B1065" s="67"/>
      <c r="F1065" s="346">
        <v>44769</v>
      </c>
      <c r="G1065" s="346"/>
      <c r="H1065" s="346"/>
      <c r="I1065" s="346"/>
      <c r="J1065" s="345"/>
      <c r="K1065" s="703"/>
      <c r="L1065" s="342"/>
      <c r="M1065" s="342"/>
      <c r="N1065" s="340"/>
      <c r="O1065" s="703"/>
      <c r="P1065" s="342"/>
      <c r="Q1065" s="363"/>
      <c r="R1065" s="340"/>
      <c r="S1065" s="342"/>
      <c r="T1065" s="342"/>
      <c r="U1065" s="342"/>
      <c r="V1065" s="340"/>
      <c r="W1065" s="340"/>
    </row>
    <row r="1066" spans="2:23" ht="24" customHeight="1">
      <c r="B1066" s="67"/>
      <c r="G1066" s="3" t="s">
        <v>59</v>
      </c>
      <c r="H1066" s="3"/>
      <c r="I1066" s="3"/>
      <c r="J1066" s="345"/>
      <c r="K1066" s="703"/>
      <c r="L1066" s="342"/>
      <c r="M1066" s="342"/>
      <c r="N1066" s="340"/>
      <c r="O1066" s="703"/>
      <c r="P1066" s="342"/>
      <c r="Q1066" s="363"/>
      <c r="R1066" s="340"/>
      <c r="S1066" s="342"/>
      <c r="T1066" s="342"/>
      <c r="U1066" s="342"/>
      <c r="V1066" s="340"/>
      <c r="W1066" s="340"/>
    </row>
    <row r="1067" spans="2:23" ht="24" customHeight="1">
      <c r="B1067" s="67"/>
      <c r="H1067" s="347">
        <v>44260</v>
      </c>
      <c r="I1067" s="347"/>
      <c r="J1067" s="345"/>
      <c r="K1067" s="703"/>
      <c r="L1067" s="342"/>
      <c r="M1067" s="342"/>
      <c r="N1067" s="340"/>
      <c r="O1067" s="703"/>
      <c r="P1067" s="342"/>
      <c r="Q1067" s="363"/>
      <c r="R1067" s="340"/>
      <c r="S1067" s="342"/>
      <c r="T1067" s="342"/>
      <c r="U1067" s="342"/>
      <c r="V1067" s="340"/>
      <c r="W1067" s="340"/>
    </row>
    <row r="1068" spans="2:23" ht="24" customHeight="1">
      <c r="B1068" s="67"/>
      <c r="I1068" s="3" t="s">
        <v>59</v>
      </c>
      <c r="J1068" s="345">
        <v>32</v>
      </c>
      <c r="K1068" s="703">
        <v>3531.87</v>
      </c>
      <c r="L1068" s="342">
        <v>1</v>
      </c>
      <c r="M1068" s="342">
        <v>20.465199999999999</v>
      </c>
      <c r="N1068" s="340">
        <v>72280.425923999996</v>
      </c>
      <c r="O1068" s="703">
        <v>3303.8443636363631</v>
      </c>
      <c r="P1068" s="342">
        <v>1</v>
      </c>
      <c r="Q1068" s="363">
        <v>20.895700000000001</v>
      </c>
      <c r="R1068" s="340">
        <v>69036.140669236353</v>
      </c>
      <c r="S1068" s="342">
        <v>111.824</v>
      </c>
      <c r="T1068" s="342">
        <v>122.044</v>
      </c>
      <c r="U1068" s="342">
        <v>1.0912999999999999</v>
      </c>
      <c r="V1068" s="340">
        <v>75339.140312337622</v>
      </c>
      <c r="W1068" s="340">
        <v>-3058.7143883376266</v>
      </c>
    </row>
    <row r="1069" spans="2:23" ht="24" customHeight="1">
      <c r="J1069" s="345"/>
      <c r="K1069" s="703"/>
      <c r="L1069" s="342"/>
      <c r="M1069" s="342"/>
      <c r="N1069" s="340"/>
      <c r="O1069" s="703"/>
      <c r="P1069" s="342"/>
      <c r="Q1069" s="363"/>
      <c r="R1069" s="340"/>
      <c r="S1069" s="342"/>
      <c r="T1069" s="342"/>
      <c r="U1069" s="342"/>
      <c r="V1069" s="340"/>
      <c r="W1069" s="340"/>
    </row>
    <row r="1070" spans="2:23" ht="24" customHeight="1">
      <c r="B1070" s="67"/>
      <c r="E1070" s="131" t="s">
        <v>1113</v>
      </c>
      <c r="F1070" s="131"/>
      <c r="G1070" s="131"/>
      <c r="H1070" s="131"/>
      <c r="I1070" s="131"/>
      <c r="J1070" s="704">
        <v>214</v>
      </c>
      <c r="K1070" s="705">
        <v>23583.19</v>
      </c>
      <c r="L1070" s="369">
        <v>1</v>
      </c>
      <c r="M1070" s="377">
        <v>20.449100000000001</v>
      </c>
      <c r="N1070" s="706">
        <v>481989.04748399998</v>
      </c>
      <c r="O1070" s="705">
        <v>22094.45918181818</v>
      </c>
      <c r="P1070" s="369">
        <v>1</v>
      </c>
      <c r="Q1070" s="377">
        <v>20.895700000000001</v>
      </c>
      <c r="R1070" s="706">
        <v>461679.19072551822</v>
      </c>
      <c r="S1070" s="369">
        <v>111.824</v>
      </c>
      <c r="T1070" s="369">
        <v>122.044</v>
      </c>
      <c r="U1070" s="369">
        <v>1.0912999999999999</v>
      </c>
      <c r="V1070" s="706">
        <v>503830.50083875796</v>
      </c>
      <c r="W1070" s="706">
        <v>-21841.453354758036</v>
      </c>
    </row>
    <row r="1071" spans="2:23" ht="24" customHeight="1">
      <c r="J1071" s="345"/>
      <c r="K1071" s="703"/>
      <c r="L1071" s="342"/>
      <c r="M1071" s="342"/>
      <c r="N1071" s="340"/>
      <c r="O1071" s="703"/>
      <c r="P1071" s="342"/>
      <c r="Q1071" s="363"/>
      <c r="R1071" s="340"/>
      <c r="S1071" s="342"/>
      <c r="T1071" s="342"/>
      <c r="U1071" s="342"/>
      <c r="V1071" s="340"/>
      <c r="W1071" s="340"/>
    </row>
    <row r="1072" spans="2:23" ht="24" customHeight="1">
      <c r="B1072" s="67"/>
      <c r="E1072" s="1" t="s">
        <v>839</v>
      </c>
      <c r="J1072" s="345"/>
      <c r="K1072" s="703"/>
      <c r="L1072" s="342"/>
      <c r="M1072" s="342"/>
      <c r="N1072" s="340"/>
      <c r="O1072" s="703"/>
      <c r="P1072" s="342"/>
      <c r="Q1072" s="363"/>
      <c r="R1072" s="340"/>
      <c r="S1072" s="342"/>
      <c r="T1072" s="342"/>
      <c r="U1072" s="342"/>
      <c r="V1072" s="340"/>
      <c r="W1072" s="340"/>
    </row>
    <row r="1073" spans="2:23" ht="24" customHeight="1">
      <c r="B1073" s="67"/>
      <c r="F1073" s="346">
        <v>44763</v>
      </c>
      <c r="G1073" s="346"/>
      <c r="H1073" s="346"/>
      <c r="I1073" s="346"/>
      <c r="J1073" s="345"/>
      <c r="K1073" s="703"/>
      <c r="L1073" s="342"/>
      <c r="M1073" s="342"/>
      <c r="N1073" s="340"/>
      <c r="O1073" s="703"/>
      <c r="P1073" s="342"/>
      <c r="Q1073" s="363"/>
      <c r="R1073" s="340"/>
      <c r="S1073" s="342"/>
      <c r="T1073" s="342"/>
      <c r="U1073" s="342"/>
      <c r="V1073" s="340"/>
      <c r="W1073" s="340"/>
    </row>
    <row r="1074" spans="2:23" ht="24" customHeight="1">
      <c r="B1074" s="67"/>
      <c r="G1074" s="3" t="s">
        <v>59</v>
      </c>
      <c r="H1074" s="3"/>
      <c r="I1074" s="3"/>
      <c r="J1074" s="345"/>
      <c r="K1074" s="703"/>
      <c r="L1074" s="342"/>
      <c r="M1074" s="342"/>
      <c r="N1074" s="340"/>
      <c r="O1074" s="703"/>
      <c r="P1074" s="342"/>
      <c r="Q1074" s="363"/>
      <c r="R1074" s="340"/>
      <c r="S1074" s="342"/>
      <c r="T1074" s="342"/>
      <c r="U1074" s="342"/>
      <c r="V1074" s="340"/>
      <c r="W1074" s="340"/>
    </row>
    <row r="1075" spans="2:23" ht="24" customHeight="1">
      <c r="B1075" s="67"/>
      <c r="H1075" s="347">
        <v>44259</v>
      </c>
      <c r="I1075" s="347"/>
      <c r="J1075" s="345"/>
      <c r="K1075" s="703"/>
      <c r="L1075" s="342"/>
      <c r="M1075" s="342"/>
      <c r="N1075" s="340"/>
      <c r="O1075" s="703"/>
      <c r="P1075" s="342"/>
      <c r="Q1075" s="363"/>
      <c r="R1075" s="340"/>
      <c r="S1075" s="342"/>
      <c r="T1075" s="342"/>
      <c r="U1075" s="342"/>
      <c r="V1075" s="340"/>
      <c r="W1075" s="340"/>
    </row>
    <row r="1076" spans="2:23" ht="24" customHeight="1">
      <c r="B1076" s="67"/>
      <c r="I1076" s="3" t="s">
        <v>59</v>
      </c>
      <c r="J1076" s="345">
        <v>57</v>
      </c>
      <c r="K1076" s="703">
        <v>7023.2096326530609</v>
      </c>
      <c r="L1076" s="342">
        <v>1</v>
      </c>
      <c r="M1076" s="342">
        <v>20.4407</v>
      </c>
      <c r="N1076" s="340">
        <v>143559.32113817142</v>
      </c>
      <c r="O1076" s="703">
        <v>33483.050000000003</v>
      </c>
      <c r="P1076" s="342">
        <v>1</v>
      </c>
      <c r="Q1076" s="363">
        <v>20.690300000000001</v>
      </c>
      <c r="R1076" s="340">
        <v>692774.34941500006</v>
      </c>
      <c r="S1076" s="342">
        <v>111.824</v>
      </c>
      <c r="T1076" s="342">
        <v>122.044</v>
      </c>
      <c r="U1076" s="342">
        <v>1.0912999999999999</v>
      </c>
      <c r="V1076" s="340">
        <v>756024.6475165895</v>
      </c>
      <c r="W1076" s="340">
        <v>-612465.32637841813</v>
      </c>
    </row>
    <row r="1077" spans="2:23" ht="24" customHeight="1">
      <c r="J1077" s="345"/>
      <c r="K1077" s="703"/>
      <c r="L1077" s="342"/>
      <c r="M1077" s="342"/>
      <c r="N1077" s="340"/>
      <c r="O1077" s="703"/>
      <c r="P1077" s="342"/>
      <c r="Q1077" s="363"/>
      <c r="R1077" s="340"/>
      <c r="S1077" s="342"/>
      <c r="T1077" s="342"/>
      <c r="U1077" s="342"/>
      <c r="V1077" s="340"/>
      <c r="W1077" s="340"/>
    </row>
    <row r="1078" spans="2:23" ht="24" customHeight="1">
      <c r="B1078" s="67"/>
      <c r="H1078" s="347">
        <v>44159</v>
      </c>
      <c r="I1078" s="347"/>
      <c r="J1078" s="345"/>
      <c r="K1078" s="703"/>
      <c r="L1078" s="342"/>
      <c r="M1078" s="342"/>
      <c r="N1078" s="340"/>
      <c r="O1078" s="703"/>
      <c r="P1078" s="342"/>
      <c r="Q1078" s="363"/>
      <c r="R1078" s="340"/>
      <c r="S1078" s="342"/>
      <c r="T1078" s="342"/>
      <c r="U1078" s="342"/>
      <c r="V1078" s="340"/>
      <c r="W1078" s="340"/>
    </row>
    <row r="1079" spans="2:23" ht="24" customHeight="1">
      <c r="B1079" s="67"/>
      <c r="I1079" s="3" t="s">
        <v>59</v>
      </c>
      <c r="J1079" s="345">
        <v>38</v>
      </c>
      <c r="K1079" s="703">
        <v>4682.1397551020409</v>
      </c>
      <c r="L1079" s="342">
        <v>1</v>
      </c>
      <c r="M1079" s="342">
        <v>20.4407</v>
      </c>
      <c r="N1079" s="340">
        <v>95706.214092114285</v>
      </c>
      <c r="O1079" s="703">
        <v>15484.8</v>
      </c>
      <c r="P1079" s="342">
        <v>1</v>
      </c>
      <c r="Q1079" s="363">
        <v>20.1172</v>
      </c>
      <c r="R1079" s="340">
        <v>311510.81855999999</v>
      </c>
      <c r="S1079" s="342">
        <v>108.85599999999999</v>
      </c>
      <c r="T1079" s="342">
        <v>122.044</v>
      </c>
      <c r="U1079" s="342">
        <v>1.1211</v>
      </c>
      <c r="V1079" s="340">
        <v>349234.778687616</v>
      </c>
      <c r="W1079" s="340">
        <v>-253528.5645955017</v>
      </c>
    </row>
    <row r="1080" spans="2:23" ht="24" customHeight="1">
      <c r="J1080" s="345"/>
      <c r="K1080" s="703"/>
      <c r="L1080" s="342"/>
      <c r="M1080" s="342"/>
      <c r="N1080" s="340"/>
      <c r="O1080" s="703"/>
      <c r="P1080" s="342"/>
      <c r="Q1080" s="363"/>
      <c r="R1080" s="340"/>
      <c r="S1080" s="342"/>
      <c r="T1080" s="342"/>
      <c r="U1080" s="342"/>
      <c r="V1080" s="340"/>
      <c r="W1080" s="340"/>
    </row>
    <row r="1081" spans="2:23" ht="24" customHeight="1">
      <c r="B1081" s="67"/>
      <c r="H1081" s="347">
        <v>44316</v>
      </c>
      <c r="I1081" s="347"/>
      <c r="J1081" s="345"/>
      <c r="K1081" s="703"/>
      <c r="L1081" s="342"/>
      <c r="M1081" s="342"/>
      <c r="N1081" s="340"/>
      <c r="O1081" s="703"/>
      <c r="P1081" s="342"/>
      <c r="Q1081" s="363"/>
      <c r="R1081" s="340"/>
      <c r="S1081" s="342"/>
      <c r="T1081" s="342"/>
      <c r="U1081" s="342"/>
      <c r="V1081" s="340"/>
      <c r="W1081" s="340"/>
    </row>
    <row r="1082" spans="2:23" ht="24" customHeight="1">
      <c r="B1082" s="67"/>
      <c r="I1082" s="3" t="s">
        <v>59</v>
      </c>
      <c r="J1082" s="345">
        <v>150</v>
      </c>
      <c r="K1082" s="703">
        <v>18482.130612244895</v>
      </c>
      <c r="L1082" s="342">
        <v>1</v>
      </c>
      <c r="M1082" s="342">
        <v>20.4407</v>
      </c>
      <c r="N1082" s="340">
        <v>377787.68720571423</v>
      </c>
      <c r="O1082" s="703">
        <v>27467.869565217388</v>
      </c>
      <c r="P1082" s="342">
        <v>1</v>
      </c>
      <c r="Q1082" s="363">
        <v>19.9712</v>
      </c>
      <c r="R1082" s="340">
        <v>548566.31666086952</v>
      </c>
      <c r="S1082" s="342">
        <v>112.19</v>
      </c>
      <c r="T1082" s="342">
        <v>122.044</v>
      </c>
      <c r="U1082" s="342">
        <v>1.0878000000000001</v>
      </c>
      <c r="V1082" s="340">
        <v>596730.43926369387</v>
      </c>
      <c r="W1082" s="340">
        <v>-218942.75205797964</v>
      </c>
    </row>
    <row r="1083" spans="2:23" ht="24" customHeight="1">
      <c r="J1083" s="345"/>
      <c r="K1083" s="703"/>
      <c r="L1083" s="342"/>
      <c r="M1083" s="342"/>
      <c r="N1083" s="340"/>
      <c r="O1083" s="703"/>
      <c r="P1083" s="342"/>
      <c r="Q1083" s="363"/>
      <c r="R1083" s="340"/>
      <c r="S1083" s="342"/>
      <c r="T1083" s="342"/>
      <c r="U1083" s="342"/>
      <c r="V1083" s="340"/>
      <c r="W1083" s="340"/>
    </row>
    <row r="1084" spans="2:23" ht="24" customHeight="1">
      <c r="B1084" s="67"/>
      <c r="E1084" s="131" t="s">
        <v>1114</v>
      </c>
      <c r="F1084" s="131"/>
      <c r="G1084" s="131"/>
      <c r="H1084" s="131"/>
      <c r="I1084" s="131"/>
      <c r="J1084" s="704">
        <v>245</v>
      </c>
      <c r="K1084" s="705">
        <v>30187.479999999996</v>
      </c>
      <c r="L1084" s="369">
        <v>1</v>
      </c>
      <c r="M1084" s="377">
        <v>20.4407</v>
      </c>
      <c r="N1084" s="706">
        <v>617053.22243599989</v>
      </c>
      <c r="O1084" s="705">
        <v>76435.719565217398</v>
      </c>
      <c r="P1084" s="369">
        <v>1</v>
      </c>
      <c r="Q1084" s="377">
        <v>20.259566666666668</v>
      </c>
      <c r="R1084" s="706">
        <v>1552851.4846358695</v>
      </c>
      <c r="S1084" s="369">
        <v>110.95666666666666</v>
      </c>
      <c r="T1084" s="369">
        <v>122.044</v>
      </c>
      <c r="U1084" s="369">
        <v>1.1000666666666665</v>
      </c>
      <c r="V1084" s="706">
        <v>1701989.8654678995</v>
      </c>
      <c r="W1084" s="706">
        <v>-1084936.6430318994</v>
      </c>
    </row>
    <row r="1085" spans="2:23" ht="24" customHeight="1">
      <c r="J1085" s="345"/>
      <c r="K1085" s="703"/>
      <c r="L1085" s="342"/>
      <c r="M1085" s="342"/>
      <c r="N1085" s="340"/>
      <c r="O1085" s="703"/>
      <c r="P1085" s="342"/>
      <c r="Q1085" s="363"/>
      <c r="R1085" s="340"/>
      <c r="S1085" s="342"/>
      <c r="T1085" s="342"/>
      <c r="U1085" s="342"/>
      <c r="V1085" s="340"/>
      <c r="W1085" s="340"/>
    </row>
    <row r="1086" spans="2:23" ht="24" customHeight="1">
      <c r="B1086" s="67"/>
      <c r="E1086" s="1" t="s">
        <v>716</v>
      </c>
      <c r="J1086" s="345"/>
      <c r="K1086" s="703"/>
      <c r="L1086" s="342"/>
      <c r="M1086" s="342"/>
      <c r="N1086" s="340"/>
      <c r="O1086" s="703"/>
      <c r="P1086" s="342"/>
      <c r="Q1086" s="363"/>
      <c r="R1086" s="340"/>
      <c r="S1086" s="342"/>
      <c r="T1086" s="342"/>
      <c r="U1086" s="342"/>
      <c r="V1086" s="340"/>
      <c r="W1086" s="340"/>
    </row>
    <row r="1087" spans="2:23" ht="24" customHeight="1">
      <c r="B1087" s="67"/>
      <c r="F1087" s="346">
        <v>44847</v>
      </c>
      <c r="G1087" s="346"/>
      <c r="H1087" s="346"/>
      <c r="I1087" s="346"/>
      <c r="J1087" s="345"/>
      <c r="K1087" s="703"/>
      <c r="L1087" s="342"/>
      <c r="M1087" s="342"/>
      <c r="N1087" s="340"/>
      <c r="O1087" s="703"/>
      <c r="P1087" s="342"/>
      <c r="Q1087" s="363"/>
      <c r="R1087" s="340"/>
      <c r="S1087" s="342"/>
      <c r="T1087" s="342"/>
      <c r="U1087" s="342"/>
      <c r="V1087" s="340"/>
      <c r="W1087" s="340"/>
    </row>
    <row r="1088" spans="2:23" ht="24" customHeight="1">
      <c r="B1088" s="67"/>
      <c r="G1088" s="3" t="s">
        <v>59</v>
      </c>
      <c r="H1088" s="3"/>
      <c r="I1088" s="3"/>
      <c r="J1088" s="345"/>
      <c r="K1088" s="703"/>
      <c r="L1088" s="342"/>
      <c r="M1088" s="342"/>
      <c r="N1088" s="340"/>
      <c r="O1088" s="703"/>
      <c r="P1088" s="342"/>
      <c r="Q1088" s="363"/>
      <c r="R1088" s="340"/>
      <c r="S1088" s="342"/>
      <c r="T1088" s="342"/>
      <c r="U1088" s="342"/>
      <c r="V1088" s="340"/>
      <c r="W1088" s="340"/>
    </row>
    <row r="1089" spans="2:23" ht="24" customHeight="1">
      <c r="B1089" s="67"/>
      <c r="H1089" s="347">
        <v>44159</v>
      </c>
      <c r="I1089" s="347"/>
      <c r="J1089" s="345"/>
      <c r="K1089" s="703"/>
      <c r="L1089" s="342"/>
      <c r="M1089" s="342"/>
      <c r="N1089" s="340"/>
      <c r="O1089" s="703"/>
      <c r="P1089" s="342"/>
      <c r="Q1089" s="363"/>
      <c r="R1089" s="340"/>
      <c r="S1089" s="342"/>
      <c r="T1089" s="342"/>
      <c r="U1089" s="342"/>
      <c r="V1089" s="340"/>
      <c r="W1089" s="340"/>
    </row>
    <row r="1090" spans="2:23" ht="24" customHeight="1">
      <c r="B1090" s="67"/>
      <c r="I1090" s="3" t="s">
        <v>59</v>
      </c>
      <c r="J1090" s="345">
        <v>105</v>
      </c>
      <c r="K1090" s="703">
        <v>14313.88</v>
      </c>
      <c r="L1090" s="342">
        <v>1</v>
      </c>
      <c r="M1090" s="342">
        <v>19.965199999999999</v>
      </c>
      <c r="N1090" s="340">
        <v>285779.47697599995</v>
      </c>
      <c r="O1090" s="703">
        <v>11851.568892508145</v>
      </c>
      <c r="P1090" s="342">
        <v>1</v>
      </c>
      <c r="Q1090" s="363">
        <v>20.1172</v>
      </c>
      <c r="R1090" s="340">
        <v>238420.38172436485</v>
      </c>
      <c r="S1090" s="342">
        <v>108.85599999999999</v>
      </c>
      <c r="T1090" s="342">
        <v>124.571</v>
      </c>
      <c r="U1090" s="342">
        <v>1.1443000000000001</v>
      </c>
      <c r="V1090" s="340">
        <v>272824.4428071907</v>
      </c>
      <c r="W1090" s="340">
        <v>12955.034168809245</v>
      </c>
    </row>
    <row r="1091" spans="2:23" ht="24" customHeight="1">
      <c r="J1091" s="345"/>
      <c r="K1091" s="703"/>
      <c r="L1091" s="342"/>
      <c r="M1091" s="342"/>
      <c r="N1091" s="340"/>
      <c r="O1091" s="703"/>
      <c r="P1091" s="342"/>
      <c r="Q1091" s="363"/>
      <c r="R1091" s="340"/>
      <c r="S1091" s="342"/>
      <c r="T1091" s="342"/>
      <c r="U1091" s="342"/>
      <c r="V1091" s="340"/>
      <c r="W1091" s="340"/>
    </row>
    <row r="1092" spans="2:23" ht="24" customHeight="1">
      <c r="B1092" s="67"/>
      <c r="E1092" s="131" t="s">
        <v>1115</v>
      </c>
      <c r="F1092" s="131"/>
      <c r="G1092" s="131"/>
      <c r="H1092" s="131"/>
      <c r="I1092" s="131"/>
      <c r="J1092" s="704">
        <v>105</v>
      </c>
      <c r="K1092" s="705">
        <v>14313.88</v>
      </c>
      <c r="L1092" s="369">
        <v>1</v>
      </c>
      <c r="M1092" s="377">
        <v>19.965199999999999</v>
      </c>
      <c r="N1092" s="706">
        <v>285779.47697599995</v>
      </c>
      <c r="O1092" s="705">
        <v>11851.568892508145</v>
      </c>
      <c r="P1092" s="369">
        <v>1</v>
      </c>
      <c r="Q1092" s="377">
        <v>20.1172</v>
      </c>
      <c r="R1092" s="706">
        <v>238420.38172436485</v>
      </c>
      <c r="S1092" s="369">
        <v>108.85599999999999</v>
      </c>
      <c r="T1092" s="369">
        <v>124.571</v>
      </c>
      <c r="U1092" s="369">
        <v>1.1443000000000001</v>
      </c>
      <c r="V1092" s="706">
        <v>272824.4428071907</v>
      </c>
      <c r="W1092" s="706">
        <v>12955.034168809245</v>
      </c>
    </row>
    <row r="1093" spans="2:23" ht="24" customHeight="1">
      <c r="J1093" s="345"/>
      <c r="K1093" s="703"/>
      <c r="L1093" s="342"/>
      <c r="M1093" s="342"/>
      <c r="N1093" s="340"/>
      <c r="O1093" s="703"/>
      <c r="P1093" s="342"/>
      <c r="Q1093" s="363"/>
      <c r="R1093" s="340"/>
      <c r="S1093" s="342"/>
      <c r="T1093" s="342"/>
      <c r="U1093" s="342"/>
      <c r="V1093" s="340"/>
      <c r="W1093" s="340"/>
    </row>
    <row r="1094" spans="2:23" ht="24" customHeight="1">
      <c r="B1094" s="67"/>
      <c r="E1094" s="1" t="s">
        <v>882</v>
      </c>
      <c r="J1094" s="345"/>
      <c r="K1094" s="703"/>
      <c r="L1094" s="342"/>
      <c r="M1094" s="342"/>
      <c r="N1094" s="340"/>
      <c r="O1094" s="703"/>
      <c r="P1094" s="342"/>
      <c r="Q1094" s="363"/>
      <c r="R1094" s="340"/>
      <c r="S1094" s="342"/>
      <c r="T1094" s="342"/>
      <c r="U1094" s="342"/>
      <c r="V1094" s="340"/>
      <c r="W1094" s="340"/>
    </row>
    <row r="1095" spans="2:23" ht="24" customHeight="1">
      <c r="B1095" s="67"/>
      <c r="F1095" s="346">
        <v>44614</v>
      </c>
      <c r="G1095" s="346"/>
      <c r="H1095" s="346"/>
      <c r="I1095" s="346"/>
      <c r="J1095" s="345"/>
      <c r="K1095" s="703"/>
      <c r="L1095" s="342"/>
      <c r="M1095" s="342"/>
      <c r="N1095" s="340"/>
      <c r="O1095" s="703"/>
      <c r="P1095" s="342"/>
      <c r="Q1095" s="363"/>
      <c r="R1095" s="340"/>
      <c r="S1095" s="342"/>
      <c r="T1095" s="342"/>
      <c r="U1095" s="342"/>
      <c r="V1095" s="340"/>
      <c r="W1095" s="340"/>
    </row>
    <row r="1096" spans="2:23" ht="24" customHeight="1">
      <c r="B1096" s="67"/>
      <c r="G1096" s="3" t="s">
        <v>59</v>
      </c>
      <c r="H1096" s="3"/>
      <c r="I1096" s="3"/>
      <c r="J1096" s="345"/>
      <c r="K1096" s="703"/>
      <c r="L1096" s="342"/>
      <c r="M1096" s="342"/>
      <c r="N1096" s="340"/>
      <c r="O1096" s="703"/>
      <c r="P1096" s="342"/>
      <c r="Q1096" s="363"/>
      <c r="R1096" s="340"/>
      <c r="S1096" s="342"/>
      <c r="T1096" s="342"/>
      <c r="U1096" s="342"/>
      <c r="V1096" s="340"/>
      <c r="W1096" s="340"/>
    </row>
    <row r="1097" spans="2:23" ht="24" customHeight="1">
      <c r="B1097" s="67"/>
      <c r="H1097" s="347">
        <v>44455</v>
      </c>
      <c r="I1097" s="347"/>
      <c r="J1097" s="345"/>
      <c r="K1097" s="703"/>
      <c r="L1097" s="342"/>
      <c r="M1097" s="342"/>
      <c r="N1097" s="340"/>
      <c r="O1097" s="703"/>
      <c r="P1097" s="342"/>
      <c r="Q1097" s="363"/>
      <c r="R1097" s="340"/>
      <c r="S1097" s="342"/>
      <c r="T1097" s="342"/>
      <c r="U1097" s="342"/>
      <c r="V1097" s="340"/>
      <c r="W1097" s="340"/>
    </row>
    <row r="1098" spans="2:23" ht="24" customHeight="1">
      <c r="B1098" s="67"/>
      <c r="I1098" s="3" t="s">
        <v>59</v>
      </c>
      <c r="J1098" s="345">
        <v>53</v>
      </c>
      <c r="K1098" s="703">
        <v>5041.2066117647055</v>
      </c>
      <c r="L1098" s="342">
        <v>1</v>
      </c>
      <c r="M1098" s="342">
        <v>20.3063</v>
      </c>
      <c r="N1098" s="340">
        <v>102368.25382047764</v>
      </c>
      <c r="O1098" s="703">
        <v>13471.96</v>
      </c>
      <c r="P1098" s="342">
        <v>1</v>
      </c>
      <c r="Q1098" s="363">
        <v>19.903500000000001</v>
      </c>
      <c r="R1098" s="340">
        <v>268139.15586</v>
      </c>
      <c r="S1098" s="342">
        <v>114.601</v>
      </c>
      <c r="T1098" s="342">
        <v>118.002</v>
      </c>
      <c r="U1098" s="342">
        <v>1.0296000000000001</v>
      </c>
      <c r="V1098" s="340">
        <v>276076.07487345603</v>
      </c>
      <c r="W1098" s="340">
        <v>-173707.8210529784</v>
      </c>
    </row>
    <row r="1099" spans="2:23" ht="24" customHeight="1">
      <c r="J1099" s="345"/>
      <c r="K1099" s="703"/>
      <c r="L1099" s="342"/>
      <c r="M1099" s="342"/>
      <c r="N1099" s="340"/>
      <c r="O1099" s="703"/>
      <c r="P1099" s="342"/>
      <c r="Q1099" s="363"/>
      <c r="R1099" s="340"/>
      <c r="S1099" s="342"/>
      <c r="T1099" s="342"/>
      <c r="U1099" s="342"/>
      <c r="V1099" s="340"/>
      <c r="W1099" s="340"/>
    </row>
    <row r="1100" spans="2:23" ht="24" customHeight="1">
      <c r="B1100" s="67"/>
      <c r="H1100" s="347">
        <v>44259</v>
      </c>
      <c r="I1100" s="347"/>
      <c r="J1100" s="345"/>
      <c r="K1100" s="703"/>
      <c r="L1100" s="342"/>
      <c r="M1100" s="342"/>
      <c r="N1100" s="340"/>
      <c r="O1100" s="703"/>
      <c r="P1100" s="342"/>
      <c r="Q1100" s="363"/>
      <c r="R1100" s="340"/>
      <c r="S1100" s="342"/>
      <c r="T1100" s="342"/>
      <c r="U1100" s="342"/>
      <c r="V1100" s="340"/>
      <c r="W1100" s="340"/>
    </row>
    <row r="1101" spans="2:23" ht="24" customHeight="1">
      <c r="B1101" s="67"/>
      <c r="I1101" s="3" t="s">
        <v>59</v>
      </c>
      <c r="J1101" s="345">
        <v>62</v>
      </c>
      <c r="K1101" s="703">
        <v>5897.2605647058817</v>
      </c>
      <c r="L1101" s="342">
        <v>1</v>
      </c>
      <c r="M1101" s="342">
        <v>20.3063</v>
      </c>
      <c r="N1101" s="340">
        <v>119751.54220508705</v>
      </c>
      <c r="O1101" s="703">
        <v>14214.74</v>
      </c>
      <c r="P1101" s="342">
        <v>1</v>
      </c>
      <c r="Q1101" s="363">
        <v>20.690300000000001</v>
      </c>
      <c r="R1101" s="340">
        <v>294107.23502199998</v>
      </c>
      <c r="S1101" s="342">
        <v>111.824</v>
      </c>
      <c r="T1101" s="342">
        <v>118.002</v>
      </c>
      <c r="U1101" s="342">
        <v>1.0551999999999999</v>
      </c>
      <c r="V1101" s="340">
        <v>310341.95439521433</v>
      </c>
      <c r="W1101" s="340">
        <v>-190590.41219012727</v>
      </c>
    </row>
    <row r="1102" spans="2:23" ht="24" customHeight="1">
      <c r="J1102" s="345"/>
      <c r="K1102" s="703"/>
      <c r="L1102" s="342"/>
      <c r="M1102" s="342"/>
      <c r="N1102" s="340"/>
      <c r="O1102" s="703"/>
      <c r="P1102" s="342"/>
      <c r="Q1102" s="363"/>
      <c r="R1102" s="340"/>
      <c r="S1102" s="342"/>
      <c r="T1102" s="342"/>
      <c r="U1102" s="342"/>
      <c r="V1102" s="340"/>
      <c r="W1102" s="340"/>
    </row>
    <row r="1103" spans="2:23" ht="24" customHeight="1">
      <c r="B1103" s="67"/>
      <c r="H1103" s="347">
        <v>44349</v>
      </c>
      <c r="I1103" s="347"/>
      <c r="J1103" s="345"/>
      <c r="K1103" s="703"/>
      <c r="L1103" s="342"/>
      <c r="M1103" s="342"/>
      <c r="N1103" s="340"/>
      <c r="O1103" s="703"/>
      <c r="P1103" s="342"/>
      <c r="Q1103" s="363"/>
      <c r="R1103" s="340"/>
      <c r="S1103" s="342"/>
      <c r="T1103" s="342"/>
      <c r="U1103" s="342"/>
      <c r="V1103" s="340"/>
      <c r="W1103" s="340"/>
    </row>
    <row r="1104" spans="2:23" ht="24" customHeight="1">
      <c r="B1104" s="67"/>
      <c r="I1104" s="3" t="s">
        <v>59</v>
      </c>
      <c r="J1104" s="345">
        <v>25</v>
      </c>
      <c r="K1104" s="703">
        <v>2377.9276470588234</v>
      </c>
      <c r="L1104" s="342">
        <v>1</v>
      </c>
      <c r="M1104" s="342">
        <v>20.3063</v>
      </c>
      <c r="N1104" s="340">
        <v>48286.912179470586</v>
      </c>
      <c r="O1104" s="703">
        <v>5641.95</v>
      </c>
      <c r="P1104" s="342">
        <v>1</v>
      </c>
      <c r="Q1104" s="363">
        <v>19.921299999999999</v>
      </c>
      <c r="R1104" s="340">
        <v>112394.97853499999</v>
      </c>
      <c r="S1104" s="342">
        <v>113.018</v>
      </c>
      <c r="T1104" s="342">
        <v>118.002</v>
      </c>
      <c r="U1104" s="342">
        <v>1.044</v>
      </c>
      <c r="V1104" s="340">
        <v>117340.35759053999</v>
      </c>
      <c r="W1104" s="340">
        <v>-69053.445411069406</v>
      </c>
    </row>
    <row r="1105" spans="2:23" ht="24" customHeight="1">
      <c r="J1105" s="345"/>
      <c r="K1105" s="703"/>
      <c r="L1105" s="342"/>
      <c r="M1105" s="342"/>
      <c r="N1105" s="340"/>
      <c r="O1105" s="703"/>
      <c r="P1105" s="342"/>
      <c r="Q1105" s="363"/>
      <c r="R1105" s="340"/>
      <c r="S1105" s="342"/>
      <c r="T1105" s="342"/>
      <c r="U1105" s="342"/>
      <c r="V1105" s="340"/>
      <c r="W1105" s="340"/>
    </row>
    <row r="1106" spans="2:23" ht="24" customHeight="1">
      <c r="B1106" s="67"/>
      <c r="H1106" s="347">
        <v>44159</v>
      </c>
      <c r="I1106" s="347"/>
      <c r="J1106" s="345"/>
      <c r="K1106" s="703"/>
      <c r="L1106" s="342"/>
      <c r="M1106" s="342"/>
      <c r="N1106" s="340"/>
      <c r="O1106" s="703"/>
      <c r="P1106" s="342"/>
      <c r="Q1106" s="363"/>
      <c r="R1106" s="340"/>
      <c r="S1106" s="342"/>
      <c r="T1106" s="342"/>
      <c r="U1106" s="342"/>
      <c r="V1106" s="340"/>
      <c r="W1106" s="340"/>
    </row>
    <row r="1107" spans="2:23" ht="24" customHeight="1">
      <c r="B1107" s="67"/>
      <c r="I1107" s="3" t="s">
        <v>59</v>
      </c>
      <c r="J1107" s="345">
        <v>12</v>
      </c>
      <c r="K1107" s="703">
        <v>1141.4052705882352</v>
      </c>
      <c r="L1107" s="342">
        <v>1</v>
      </c>
      <c r="M1107" s="342">
        <v>20.3063</v>
      </c>
      <c r="N1107" s="340">
        <v>23177.717846145883</v>
      </c>
      <c r="O1107" s="703">
        <v>2457.8999999999996</v>
      </c>
      <c r="P1107" s="342">
        <v>1</v>
      </c>
      <c r="Q1107" s="363">
        <v>20.1172</v>
      </c>
      <c r="R1107" s="340">
        <v>49446.065879999995</v>
      </c>
      <c r="S1107" s="342">
        <v>108.85599999999999</v>
      </c>
      <c r="T1107" s="342">
        <v>118.002</v>
      </c>
      <c r="U1107" s="342">
        <v>1.0840000000000001</v>
      </c>
      <c r="V1107" s="340">
        <v>53599.535413919999</v>
      </c>
      <c r="W1107" s="340">
        <v>-30421.817567774109</v>
      </c>
    </row>
    <row r="1108" spans="2:23" ht="24" customHeight="1">
      <c r="J1108" s="345"/>
      <c r="K1108" s="703"/>
      <c r="L1108" s="342"/>
      <c r="M1108" s="342"/>
      <c r="N1108" s="340"/>
      <c r="O1108" s="703"/>
      <c r="P1108" s="342"/>
      <c r="Q1108" s="363"/>
      <c r="R1108" s="340"/>
      <c r="S1108" s="342"/>
      <c r="T1108" s="342"/>
      <c r="U1108" s="342"/>
      <c r="V1108" s="340"/>
      <c r="W1108" s="340"/>
    </row>
    <row r="1109" spans="2:23" ht="24" customHeight="1">
      <c r="B1109" s="67"/>
      <c r="H1109" s="347">
        <v>44336</v>
      </c>
      <c r="I1109" s="347"/>
      <c r="J1109" s="345"/>
      <c r="K1109" s="703"/>
      <c r="L1109" s="342"/>
      <c r="M1109" s="342"/>
      <c r="N1109" s="340"/>
      <c r="O1109" s="703"/>
      <c r="P1109" s="342"/>
      <c r="Q1109" s="363"/>
      <c r="R1109" s="340"/>
      <c r="S1109" s="342"/>
      <c r="T1109" s="342"/>
      <c r="U1109" s="342"/>
      <c r="V1109" s="340"/>
      <c r="W1109" s="340"/>
    </row>
    <row r="1110" spans="2:23" ht="24" customHeight="1">
      <c r="B1110" s="67"/>
      <c r="I1110" s="3" t="s">
        <v>59</v>
      </c>
      <c r="J1110" s="345">
        <v>45</v>
      </c>
      <c r="K1110" s="703">
        <v>4280.2697647058822</v>
      </c>
      <c r="L1110" s="342">
        <v>1</v>
      </c>
      <c r="M1110" s="342">
        <v>20.3063</v>
      </c>
      <c r="N1110" s="340">
        <v>86916.441923047052</v>
      </c>
      <c r="O1110" s="703">
        <v>8868.06</v>
      </c>
      <c r="P1110" s="342">
        <v>1</v>
      </c>
      <c r="Q1110" s="363">
        <v>19.831299999999999</v>
      </c>
      <c r="R1110" s="340">
        <v>175865.15827799999</v>
      </c>
      <c r="S1110" s="342">
        <v>112.419</v>
      </c>
      <c r="T1110" s="342">
        <v>118.002</v>
      </c>
      <c r="U1110" s="342">
        <v>1.0496000000000001</v>
      </c>
      <c r="V1110" s="340">
        <v>184588.07012858879</v>
      </c>
      <c r="W1110" s="340">
        <v>-97671.62820554174</v>
      </c>
    </row>
    <row r="1111" spans="2:23" ht="24" customHeight="1">
      <c r="J1111" s="345"/>
      <c r="K1111" s="703"/>
      <c r="L1111" s="342"/>
      <c r="M1111" s="342"/>
      <c r="N1111" s="340"/>
      <c r="O1111" s="703"/>
      <c r="P1111" s="342"/>
      <c r="Q1111" s="363"/>
      <c r="R1111" s="340"/>
      <c r="S1111" s="342"/>
      <c r="T1111" s="342"/>
      <c r="U1111" s="342"/>
      <c r="V1111" s="340"/>
      <c r="W1111" s="340"/>
    </row>
    <row r="1112" spans="2:23" ht="24" customHeight="1">
      <c r="B1112" s="67"/>
      <c r="H1112" s="347">
        <v>44355</v>
      </c>
      <c r="I1112" s="347"/>
      <c r="J1112" s="345"/>
      <c r="K1112" s="703"/>
      <c r="L1112" s="342"/>
      <c r="M1112" s="342"/>
      <c r="N1112" s="340"/>
      <c r="O1112" s="703"/>
      <c r="P1112" s="342"/>
      <c r="Q1112" s="363"/>
      <c r="R1112" s="340"/>
      <c r="S1112" s="342"/>
      <c r="T1112" s="342"/>
      <c r="U1112" s="342"/>
      <c r="V1112" s="340"/>
      <c r="W1112" s="340"/>
    </row>
    <row r="1113" spans="2:23" ht="24" customHeight="1">
      <c r="B1113" s="67"/>
      <c r="I1113" s="3" t="s">
        <v>59</v>
      </c>
      <c r="J1113" s="345">
        <v>51</v>
      </c>
      <c r="K1113" s="703">
        <v>4850.9723999999997</v>
      </c>
      <c r="L1113" s="342">
        <v>1</v>
      </c>
      <c r="M1113" s="342">
        <v>20.3063</v>
      </c>
      <c r="N1113" s="340">
        <v>98505.300846119993</v>
      </c>
      <c r="O1113" s="703">
        <v>11028.3</v>
      </c>
      <c r="P1113" s="342">
        <v>1</v>
      </c>
      <c r="Q1113" s="363">
        <v>19.9328</v>
      </c>
      <c r="R1113" s="340">
        <v>219824.89823999998</v>
      </c>
      <c r="S1113" s="342">
        <v>113.018</v>
      </c>
      <c r="T1113" s="342">
        <v>118.002</v>
      </c>
      <c r="U1113" s="342">
        <v>1.044</v>
      </c>
      <c r="V1113" s="340">
        <v>229497.19376256</v>
      </c>
      <c r="W1113" s="340">
        <v>-130991.89291644003</v>
      </c>
    </row>
    <row r="1114" spans="2:23" ht="24" customHeight="1">
      <c r="J1114" s="345"/>
      <c r="K1114" s="703"/>
      <c r="L1114" s="342"/>
      <c r="M1114" s="342"/>
      <c r="N1114" s="340"/>
      <c r="O1114" s="703"/>
      <c r="P1114" s="342"/>
      <c r="Q1114" s="363"/>
      <c r="R1114" s="340"/>
      <c r="S1114" s="342"/>
      <c r="T1114" s="342"/>
      <c r="U1114" s="342"/>
      <c r="V1114" s="340"/>
      <c r="W1114" s="340"/>
    </row>
    <row r="1115" spans="2:23" ht="24" customHeight="1">
      <c r="B1115" s="67"/>
      <c r="H1115" s="347">
        <v>44404</v>
      </c>
      <c r="I1115" s="347"/>
      <c r="J1115" s="345"/>
      <c r="K1115" s="703"/>
      <c r="L1115" s="342"/>
      <c r="M1115" s="342"/>
      <c r="N1115" s="340"/>
      <c r="O1115" s="703"/>
      <c r="P1115" s="342"/>
      <c r="Q1115" s="363"/>
      <c r="R1115" s="340"/>
      <c r="S1115" s="342"/>
      <c r="T1115" s="342"/>
      <c r="U1115" s="342"/>
      <c r="V1115" s="340"/>
      <c r="W1115" s="340"/>
    </row>
    <row r="1116" spans="2:23" ht="24" customHeight="1">
      <c r="B1116" s="67"/>
      <c r="I1116" s="3" t="s">
        <v>59</v>
      </c>
      <c r="J1116" s="345">
        <v>48</v>
      </c>
      <c r="K1116" s="703">
        <v>4565.6210823529409</v>
      </c>
      <c r="L1116" s="342">
        <v>1</v>
      </c>
      <c r="M1116" s="342">
        <v>20.3063</v>
      </c>
      <c r="N1116" s="340">
        <v>92710.87138458353</v>
      </c>
      <c r="O1116" s="703">
        <v>11989.97</v>
      </c>
      <c r="P1116" s="342">
        <v>1</v>
      </c>
      <c r="Q1116" s="363">
        <v>20.023800000000001</v>
      </c>
      <c r="R1116" s="340">
        <v>240084.76128599999</v>
      </c>
      <c r="S1116" s="342">
        <v>113.682</v>
      </c>
      <c r="T1116" s="342">
        <v>118.002</v>
      </c>
      <c r="U1116" s="342">
        <v>1.038</v>
      </c>
      <c r="V1116" s="340">
        <v>249207.98221486801</v>
      </c>
      <c r="W1116" s="340">
        <v>-156497.11083028448</v>
      </c>
    </row>
    <row r="1117" spans="2:23" ht="24" customHeight="1">
      <c r="J1117" s="345"/>
      <c r="K1117" s="703"/>
      <c r="L1117" s="342"/>
      <c r="M1117" s="342"/>
      <c r="N1117" s="340"/>
      <c r="O1117" s="703"/>
      <c r="P1117" s="342"/>
      <c r="Q1117" s="363"/>
      <c r="R1117" s="340"/>
      <c r="S1117" s="342"/>
      <c r="T1117" s="342"/>
      <c r="U1117" s="342"/>
      <c r="V1117" s="340"/>
      <c r="W1117" s="340"/>
    </row>
    <row r="1118" spans="2:23" ht="24" customHeight="1">
      <c r="B1118" s="67"/>
      <c r="H1118" s="347">
        <v>44463</v>
      </c>
      <c r="I1118" s="347"/>
      <c r="J1118" s="345"/>
      <c r="K1118" s="703"/>
      <c r="L1118" s="342"/>
      <c r="M1118" s="342"/>
      <c r="N1118" s="340"/>
      <c r="O1118" s="703"/>
      <c r="P1118" s="342"/>
      <c r="Q1118" s="363"/>
      <c r="R1118" s="340"/>
      <c r="S1118" s="342"/>
      <c r="T1118" s="342"/>
      <c r="U1118" s="342"/>
      <c r="V1118" s="340"/>
      <c r="W1118" s="340"/>
    </row>
    <row r="1119" spans="2:23" ht="24" customHeight="1">
      <c r="B1119" s="67"/>
      <c r="I1119" s="3" t="s">
        <v>59</v>
      </c>
      <c r="J1119" s="345">
        <v>49</v>
      </c>
      <c r="K1119" s="703">
        <v>4660.7381882352938</v>
      </c>
      <c r="L1119" s="342">
        <v>1</v>
      </c>
      <c r="M1119" s="342">
        <v>20.3063</v>
      </c>
      <c r="N1119" s="340">
        <v>94642.347871762351</v>
      </c>
      <c r="O1119" s="703">
        <v>12833.430000000002</v>
      </c>
      <c r="P1119" s="342">
        <v>1</v>
      </c>
      <c r="Q1119" s="363">
        <v>20.032800000000002</v>
      </c>
      <c r="R1119" s="340">
        <v>257089.53650400008</v>
      </c>
      <c r="S1119" s="342">
        <v>114.601</v>
      </c>
      <c r="T1119" s="342">
        <v>118.002</v>
      </c>
      <c r="U1119" s="342">
        <v>1.0296000000000001</v>
      </c>
      <c r="V1119" s="340">
        <v>264699.38678451849</v>
      </c>
      <c r="W1119" s="340">
        <v>-170057.03891275614</v>
      </c>
    </row>
    <row r="1120" spans="2:23" ht="24" customHeight="1">
      <c r="J1120" s="345"/>
      <c r="K1120" s="703"/>
      <c r="L1120" s="342"/>
      <c r="M1120" s="342"/>
      <c r="N1120" s="340"/>
      <c r="O1120" s="703"/>
      <c r="P1120" s="342"/>
      <c r="Q1120" s="363"/>
      <c r="R1120" s="340"/>
      <c r="S1120" s="342"/>
      <c r="T1120" s="342"/>
      <c r="U1120" s="342"/>
      <c r="V1120" s="340"/>
      <c r="W1120" s="340"/>
    </row>
    <row r="1121" spans="2:23" ht="24" customHeight="1">
      <c r="B1121" s="67"/>
      <c r="H1121" s="347">
        <v>44602</v>
      </c>
      <c r="I1121" s="347"/>
      <c r="J1121" s="345"/>
      <c r="K1121" s="703"/>
      <c r="L1121" s="342"/>
      <c r="M1121" s="342"/>
      <c r="N1121" s="340"/>
      <c r="O1121" s="703"/>
      <c r="P1121" s="342"/>
      <c r="Q1121" s="363"/>
      <c r="R1121" s="340"/>
      <c r="S1121" s="342"/>
      <c r="T1121" s="342"/>
      <c r="U1121" s="342"/>
      <c r="V1121" s="340"/>
      <c r="W1121" s="340"/>
    </row>
    <row r="1122" spans="2:23" ht="24" customHeight="1">
      <c r="B1122" s="67"/>
      <c r="I1122" s="3" t="s">
        <v>59</v>
      </c>
      <c r="J1122" s="345">
        <v>80</v>
      </c>
      <c r="K1122" s="703">
        <v>7609.3684705882342</v>
      </c>
      <c r="L1122" s="342">
        <v>1</v>
      </c>
      <c r="M1122" s="342">
        <v>20.3063</v>
      </c>
      <c r="N1122" s="340">
        <v>154518.11897430586</v>
      </c>
      <c r="O1122" s="703">
        <v>9207.5499999999993</v>
      </c>
      <c r="P1122" s="342">
        <v>1</v>
      </c>
      <c r="Q1122" s="363">
        <v>20.641300000000001</v>
      </c>
      <c r="R1122" s="340">
        <v>190055.80181499998</v>
      </c>
      <c r="S1122" s="342">
        <v>118.98099999999999</v>
      </c>
      <c r="T1122" s="342">
        <v>118.002</v>
      </c>
      <c r="U1122" s="342">
        <v>1</v>
      </c>
      <c r="V1122" s="340">
        <v>190055.80181499998</v>
      </c>
      <c r="W1122" s="340">
        <v>-35537.68284069412</v>
      </c>
    </row>
    <row r="1123" spans="2:23" ht="24" customHeight="1">
      <c r="J1123" s="345"/>
      <c r="K1123" s="703"/>
      <c r="L1123" s="342"/>
      <c r="M1123" s="342"/>
      <c r="N1123" s="340"/>
      <c r="O1123" s="703"/>
      <c r="P1123" s="342"/>
      <c r="Q1123" s="363"/>
      <c r="R1123" s="340"/>
      <c r="S1123" s="342"/>
      <c r="T1123" s="342"/>
      <c r="U1123" s="342"/>
      <c r="V1123" s="340"/>
      <c r="W1123" s="340"/>
    </row>
    <row r="1124" spans="2:23" ht="24" customHeight="1">
      <c r="B1124" s="67"/>
      <c r="E1124" s="131" t="s">
        <v>1116</v>
      </c>
      <c r="F1124" s="131"/>
      <c r="G1124" s="131"/>
      <c r="H1124" s="131"/>
      <c r="I1124" s="131"/>
      <c r="J1124" s="704">
        <v>425</v>
      </c>
      <c r="K1124" s="705">
        <v>40424.769999999997</v>
      </c>
      <c r="L1124" s="369">
        <v>1</v>
      </c>
      <c r="M1124" s="377">
        <v>20.306299999999997</v>
      </c>
      <c r="N1124" s="706">
        <v>820877.50705099991</v>
      </c>
      <c r="O1124" s="705">
        <v>89713.86</v>
      </c>
      <c r="P1124" s="369">
        <v>1</v>
      </c>
      <c r="Q1124" s="377">
        <v>20.121588888888891</v>
      </c>
      <c r="R1124" s="706">
        <v>1807007.59142</v>
      </c>
      <c r="S1124" s="369">
        <v>113.44444444444444</v>
      </c>
      <c r="T1124" s="369">
        <v>118.00199999999998</v>
      </c>
      <c r="U1124" s="369">
        <v>1.0415555555555556</v>
      </c>
      <c r="V1124" s="706">
        <v>1875406.3569786656</v>
      </c>
      <c r="W1124" s="706">
        <v>-1054528.8499276659</v>
      </c>
    </row>
    <row r="1125" spans="2:23" ht="24" customHeight="1">
      <c r="J1125" s="345"/>
      <c r="K1125" s="703"/>
      <c r="L1125" s="342"/>
      <c r="M1125" s="342"/>
      <c r="N1125" s="340"/>
      <c r="O1125" s="703"/>
      <c r="P1125" s="342"/>
      <c r="Q1125" s="363"/>
      <c r="R1125" s="340"/>
      <c r="S1125" s="342"/>
      <c r="T1125" s="342"/>
      <c r="U1125" s="342"/>
      <c r="V1125" s="340"/>
      <c r="W1125" s="340"/>
    </row>
    <row r="1126" spans="2:23" ht="24" customHeight="1">
      <c r="B1126" s="67"/>
      <c r="E1126" s="1" t="s">
        <v>950</v>
      </c>
      <c r="J1126" s="345"/>
      <c r="K1126" s="703"/>
      <c r="L1126" s="342"/>
      <c r="M1126" s="342"/>
      <c r="N1126" s="340"/>
      <c r="O1126" s="703"/>
      <c r="P1126" s="342"/>
      <c r="Q1126" s="363"/>
      <c r="R1126" s="340"/>
      <c r="S1126" s="342"/>
      <c r="T1126" s="342"/>
      <c r="U1126" s="342"/>
      <c r="V1126" s="340"/>
      <c r="W1126" s="340"/>
    </row>
    <row r="1127" spans="2:23" ht="24" customHeight="1">
      <c r="B1127" s="67"/>
      <c r="F1127" s="346">
        <v>44764</v>
      </c>
      <c r="G1127" s="346"/>
      <c r="H1127" s="346"/>
      <c r="I1127" s="346"/>
      <c r="J1127" s="345"/>
      <c r="K1127" s="703"/>
      <c r="L1127" s="342"/>
      <c r="M1127" s="342"/>
      <c r="N1127" s="340"/>
      <c r="O1127" s="703"/>
      <c r="P1127" s="342"/>
      <c r="Q1127" s="363"/>
      <c r="R1127" s="340"/>
      <c r="S1127" s="342"/>
      <c r="T1127" s="342"/>
      <c r="U1127" s="342"/>
      <c r="V1127" s="340"/>
      <c r="W1127" s="340"/>
    </row>
    <row r="1128" spans="2:23" ht="24" customHeight="1">
      <c r="B1128" s="67"/>
      <c r="G1128" s="3" t="s">
        <v>59</v>
      </c>
      <c r="H1128" s="3"/>
      <c r="I1128" s="3"/>
      <c r="J1128" s="345"/>
      <c r="K1128" s="703"/>
      <c r="L1128" s="342"/>
      <c r="M1128" s="342"/>
      <c r="N1128" s="340"/>
      <c r="O1128" s="703"/>
      <c r="P1128" s="342"/>
      <c r="Q1128" s="363"/>
      <c r="R1128" s="340"/>
      <c r="S1128" s="342"/>
      <c r="T1128" s="342"/>
      <c r="U1128" s="342"/>
      <c r="V1128" s="340"/>
      <c r="W1128" s="340"/>
    </row>
    <row r="1129" spans="2:23" ht="24" customHeight="1">
      <c r="B1129" s="67"/>
      <c r="H1129" s="347">
        <v>44420</v>
      </c>
      <c r="I1129" s="347"/>
      <c r="J1129" s="345"/>
      <c r="K1129" s="703"/>
      <c r="L1129" s="342"/>
      <c r="M1129" s="342"/>
      <c r="N1129" s="340"/>
      <c r="O1129" s="703"/>
      <c r="P1129" s="342"/>
      <c r="Q1129" s="363"/>
      <c r="R1129" s="340"/>
      <c r="S1129" s="342"/>
      <c r="T1129" s="342"/>
      <c r="U1129" s="342"/>
      <c r="V1129" s="340"/>
      <c r="W1129" s="340"/>
    </row>
    <row r="1130" spans="2:23" ht="24" customHeight="1">
      <c r="B1130" s="67"/>
      <c r="I1130" s="3" t="s">
        <v>59</v>
      </c>
      <c r="J1130" s="345">
        <v>122</v>
      </c>
      <c r="K1130" s="703">
        <v>4177.3</v>
      </c>
      <c r="L1130" s="342">
        <v>1</v>
      </c>
      <c r="M1130" s="342">
        <v>20.491299999999999</v>
      </c>
      <c r="N1130" s="340">
        <v>85598.307490000007</v>
      </c>
      <c r="O1130" s="703">
        <v>5938.52603773585</v>
      </c>
      <c r="P1130" s="342">
        <v>1</v>
      </c>
      <c r="Q1130" s="363">
        <v>20.103800000000003</v>
      </c>
      <c r="R1130" s="340">
        <v>119386.93975743392</v>
      </c>
      <c r="S1130" s="342">
        <v>113.89899999999996</v>
      </c>
      <c r="T1130" s="342">
        <v>122.04400000000003</v>
      </c>
      <c r="U1130" s="342">
        <v>1.0715000000000001</v>
      </c>
      <c r="V1130" s="340">
        <v>127923.10595009047</v>
      </c>
      <c r="W1130" s="340">
        <v>-42324.798460090482</v>
      </c>
    </row>
    <row r="1131" spans="2:23" ht="24" customHeight="1">
      <c r="J1131" s="345"/>
      <c r="K1131" s="703"/>
      <c r="L1131" s="342"/>
      <c r="M1131" s="342"/>
      <c r="N1131" s="340"/>
      <c r="O1131" s="703"/>
      <c r="P1131" s="342"/>
      <c r="Q1131" s="363"/>
      <c r="R1131" s="340"/>
      <c r="S1131" s="342"/>
      <c r="T1131" s="342"/>
      <c r="U1131" s="342"/>
      <c r="V1131" s="340"/>
      <c r="W1131" s="340"/>
    </row>
    <row r="1132" spans="2:23" ht="24" customHeight="1">
      <c r="B1132" s="67"/>
      <c r="F1132" s="346">
        <v>44760</v>
      </c>
      <c r="G1132" s="346"/>
      <c r="H1132" s="346"/>
      <c r="I1132" s="346"/>
      <c r="J1132" s="345"/>
      <c r="K1132" s="703"/>
      <c r="L1132" s="342"/>
      <c r="M1132" s="342"/>
      <c r="N1132" s="340"/>
      <c r="O1132" s="703"/>
      <c r="P1132" s="342"/>
      <c r="Q1132" s="363"/>
      <c r="R1132" s="340"/>
      <c r="S1132" s="342"/>
      <c r="T1132" s="342"/>
      <c r="U1132" s="342"/>
      <c r="V1132" s="340"/>
      <c r="W1132" s="340"/>
    </row>
    <row r="1133" spans="2:23" ht="24" customHeight="1">
      <c r="B1133" s="67"/>
      <c r="G1133" s="3" t="s">
        <v>59</v>
      </c>
      <c r="H1133" s="3"/>
      <c r="I1133" s="3"/>
      <c r="J1133" s="345"/>
      <c r="K1133" s="703"/>
      <c r="L1133" s="342"/>
      <c r="M1133" s="342"/>
      <c r="N1133" s="340"/>
      <c r="O1133" s="703"/>
      <c r="P1133" s="342"/>
      <c r="Q1133" s="363"/>
      <c r="R1133" s="340"/>
      <c r="S1133" s="342"/>
      <c r="T1133" s="342"/>
      <c r="U1133" s="342"/>
      <c r="V1133" s="340"/>
      <c r="W1133" s="340"/>
    </row>
    <row r="1134" spans="2:23" ht="24" customHeight="1">
      <c r="B1134" s="67"/>
      <c r="H1134" s="347">
        <v>44356</v>
      </c>
      <c r="I1134" s="347"/>
      <c r="J1134" s="345"/>
      <c r="K1134" s="703"/>
      <c r="L1134" s="342"/>
      <c r="M1134" s="342"/>
      <c r="N1134" s="340"/>
      <c r="O1134" s="703"/>
      <c r="P1134" s="342"/>
      <c r="Q1134" s="363"/>
      <c r="R1134" s="340"/>
      <c r="S1134" s="342"/>
      <c r="T1134" s="342"/>
      <c r="U1134" s="342"/>
      <c r="V1134" s="340"/>
      <c r="W1134" s="340"/>
    </row>
    <row r="1135" spans="2:23" ht="24" customHeight="1">
      <c r="B1135" s="67"/>
      <c r="I1135" s="3" t="s">
        <v>59</v>
      </c>
      <c r="J1135" s="345">
        <v>82</v>
      </c>
      <c r="K1135" s="703">
        <v>2616.525575757576</v>
      </c>
      <c r="L1135" s="342">
        <v>1</v>
      </c>
      <c r="M1135" s="342">
        <v>20.941500000000001</v>
      </c>
      <c r="N1135" s="340">
        <v>54793.970344727277</v>
      </c>
      <c r="O1135" s="703">
        <v>3680.2748148148148</v>
      </c>
      <c r="P1135" s="342">
        <v>1</v>
      </c>
      <c r="Q1135" s="363">
        <v>19.797000000000001</v>
      </c>
      <c r="R1135" s="340">
        <v>72858.400508888895</v>
      </c>
      <c r="S1135" s="342">
        <v>113.018</v>
      </c>
      <c r="T1135" s="342">
        <v>122.044</v>
      </c>
      <c r="U1135" s="342">
        <v>1.0798000000000001</v>
      </c>
      <c r="V1135" s="340">
        <v>78672.500869498239</v>
      </c>
      <c r="W1135" s="340">
        <v>-23878.530524770958</v>
      </c>
    </row>
    <row r="1136" spans="2:23" ht="24" customHeight="1">
      <c r="J1136" s="345"/>
      <c r="K1136" s="703"/>
      <c r="L1136" s="342"/>
      <c r="M1136" s="342"/>
      <c r="N1136" s="340"/>
      <c r="O1136" s="703"/>
      <c r="P1136" s="342"/>
      <c r="Q1136" s="363"/>
      <c r="R1136" s="340"/>
      <c r="S1136" s="342"/>
      <c r="T1136" s="342"/>
      <c r="U1136" s="342"/>
      <c r="V1136" s="340"/>
      <c r="W1136" s="340"/>
    </row>
    <row r="1137" spans="2:23" ht="24" customHeight="1">
      <c r="B1137" s="67"/>
      <c r="H1137" s="347">
        <v>44358</v>
      </c>
      <c r="I1137" s="347"/>
      <c r="J1137" s="345"/>
      <c r="K1137" s="703"/>
      <c r="L1137" s="342"/>
      <c r="M1137" s="342"/>
      <c r="N1137" s="340"/>
      <c r="O1137" s="703"/>
      <c r="P1137" s="342"/>
      <c r="Q1137" s="363"/>
      <c r="R1137" s="340"/>
      <c r="S1137" s="342"/>
      <c r="T1137" s="342"/>
      <c r="U1137" s="342"/>
      <c r="V1137" s="340"/>
      <c r="W1137" s="340"/>
    </row>
    <row r="1138" spans="2:23" ht="24" customHeight="1">
      <c r="B1138" s="67"/>
      <c r="I1138" s="3" t="s">
        <v>59</v>
      </c>
      <c r="J1138" s="345">
        <v>90</v>
      </c>
      <c r="K1138" s="703">
        <v>2881.2099797979795</v>
      </c>
      <c r="L1138" s="342">
        <v>1</v>
      </c>
      <c r="M1138" s="342">
        <v>20.941500000000001</v>
      </c>
      <c r="N1138" s="340">
        <v>60336.858791939405</v>
      </c>
      <c r="O1138" s="703">
        <v>4257.3099999999995</v>
      </c>
      <c r="P1138" s="342">
        <v>1</v>
      </c>
      <c r="Q1138" s="363">
        <v>19.689699999999998</v>
      </c>
      <c r="R1138" s="340">
        <v>83825.156707000002</v>
      </c>
      <c r="S1138" s="342">
        <v>113.018</v>
      </c>
      <c r="T1138" s="342">
        <v>122.04400000000001</v>
      </c>
      <c r="U1138" s="342">
        <v>1.0798000000000001</v>
      </c>
      <c r="V1138" s="340">
        <v>90514.404212218607</v>
      </c>
      <c r="W1138" s="340">
        <v>-30177.545420279199</v>
      </c>
    </row>
    <row r="1139" spans="2:23" ht="24" customHeight="1">
      <c r="J1139" s="345"/>
      <c r="K1139" s="703"/>
      <c r="L1139" s="342"/>
      <c r="M1139" s="342"/>
      <c r="N1139" s="340"/>
      <c r="O1139" s="703"/>
      <c r="P1139" s="342"/>
      <c r="Q1139" s="363"/>
      <c r="R1139" s="340"/>
      <c r="S1139" s="342"/>
      <c r="T1139" s="342"/>
      <c r="U1139" s="342"/>
      <c r="V1139" s="340"/>
      <c r="W1139" s="340"/>
    </row>
    <row r="1140" spans="2:23" ht="24" customHeight="1">
      <c r="B1140" s="67"/>
      <c r="H1140" s="347">
        <v>44361</v>
      </c>
      <c r="I1140" s="347"/>
      <c r="J1140" s="345"/>
      <c r="K1140" s="703"/>
      <c r="L1140" s="342"/>
      <c r="M1140" s="342"/>
      <c r="N1140" s="340"/>
      <c r="O1140" s="703"/>
      <c r="P1140" s="342"/>
      <c r="Q1140" s="363"/>
      <c r="R1140" s="340"/>
      <c r="S1140" s="342"/>
      <c r="T1140" s="342"/>
      <c r="U1140" s="342"/>
      <c r="V1140" s="340"/>
      <c r="W1140" s="340"/>
    </row>
    <row r="1141" spans="2:23" ht="24" customHeight="1">
      <c r="B1141" s="67"/>
      <c r="I1141" s="3" t="s">
        <v>59</v>
      </c>
      <c r="J1141" s="345">
        <v>98</v>
      </c>
      <c r="K1141" s="703">
        <v>3194.1338562091505</v>
      </c>
      <c r="L1141" s="342">
        <v>1</v>
      </c>
      <c r="M1141" s="342">
        <v>20.941500000000001</v>
      </c>
      <c r="N1141" s="340">
        <v>66889.954149803933</v>
      </c>
      <c r="O1141" s="703">
        <v>4637.2199999999993</v>
      </c>
      <c r="P1141" s="342">
        <v>1</v>
      </c>
      <c r="Q1141" s="363">
        <v>19.700199999999999</v>
      </c>
      <c r="R1141" s="340">
        <v>91354.161443999983</v>
      </c>
      <c r="S1141" s="342">
        <v>113.018</v>
      </c>
      <c r="T1141" s="342">
        <v>122.04400000000001</v>
      </c>
      <c r="U1141" s="342">
        <v>1.0798000000000001</v>
      </c>
      <c r="V1141" s="340">
        <v>98644.223527231195</v>
      </c>
      <c r="W1141" s="340">
        <v>-31754.269377427252</v>
      </c>
    </row>
    <row r="1142" spans="2:23" ht="24" customHeight="1">
      <c r="J1142" s="345"/>
      <c r="K1142" s="703"/>
      <c r="L1142" s="342"/>
      <c r="M1142" s="342"/>
      <c r="N1142" s="340"/>
      <c r="O1142" s="703"/>
      <c r="P1142" s="342"/>
      <c r="Q1142" s="363"/>
      <c r="R1142" s="340"/>
      <c r="S1142" s="342"/>
      <c r="T1142" s="342"/>
      <c r="U1142" s="342"/>
      <c r="V1142" s="340"/>
      <c r="W1142" s="340"/>
    </row>
    <row r="1143" spans="2:23" ht="24" customHeight="1">
      <c r="B1143" s="67"/>
      <c r="H1143" s="347">
        <v>44362</v>
      </c>
      <c r="I1143" s="347"/>
      <c r="J1143" s="345"/>
      <c r="K1143" s="703"/>
      <c r="L1143" s="342"/>
      <c r="M1143" s="342"/>
      <c r="N1143" s="340"/>
      <c r="O1143" s="703"/>
      <c r="P1143" s="342"/>
      <c r="Q1143" s="363"/>
      <c r="R1143" s="340"/>
      <c r="S1143" s="342"/>
      <c r="T1143" s="342"/>
      <c r="U1143" s="342"/>
      <c r="V1143" s="340"/>
      <c r="W1143" s="340"/>
    </row>
    <row r="1144" spans="2:23" ht="24" customHeight="1">
      <c r="B1144" s="67"/>
      <c r="I1144" s="3" t="s">
        <v>59</v>
      </c>
      <c r="J1144" s="345">
        <v>16</v>
      </c>
      <c r="K1144" s="703">
        <v>508.47058823529414</v>
      </c>
      <c r="L1144" s="342">
        <v>1</v>
      </c>
      <c r="M1144" s="342">
        <v>20.941500000000001</v>
      </c>
      <c r="N1144" s="340">
        <v>10648.136823529412</v>
      </c>
      <c r="O1144" s="703">
        <v>814.80224299065412</v>
      </c>
      <c r="P1144" s="342">
        <v>1</v>
      </c>
      <c r="Q1144" s="363">
        <v>19.882300000000001</v>
      </c>
      <c r="R1144" s="340">
        <v>16200.142635813083</v>
      </c>
      <c r="S1144" s="342">
        <v>113.018</v>
      </c>
      <c r="T1144" s="342">
        <v>122.044</v>
      </c>
      <c r="U1144" s="342">
        <v>1.0798000000000001</v>
      </c>
      <c r="V1144" s="340">
        <v>17492.914018150968</v>
      </c>
      <c r="W1144" s="340">
        <v>-6844.7771946215562</v>
      </c>
    </row>
    <row r="1145" spans="2:23" ht="24" customHeight="1">
      <c r="J1145" s="345"/>
      <c r="K1145" s="703"/>
      <c r="L1145" s="342"/>
      <c r="M1145" s="342"/>
      <c r="N1145" s="340"/>
      <c r="O1145" s="703"/>
      <c r="P1145" s="342"/>
      <c r="Q1145" s="363"/>
      <c r="R1145" s="340"/>
      <c r="S1145" s="342"/>
      <c r="T1145" s="342"/>
      <c r="U1145" s="342"/>
      <c r="V1145" s="340"/>
      <c r="W1145" s="340"/>
    </row>
    <row r="1146" spans="2:23" ht="24" customHeight="1">
      <c r="B1146" s="67"/>
      <c r="F1146" s="346">
        <v>44761</v>
      </c>
      <c r="G1146" s="346"/>
      <c r="H1146" s="346"/>
      <c r="I1146" s="346"/>
      <c r="J1146" s="345"/>
      <c r="K1146" s="703"/>
      <c r="L1146" s="342"/>
      <c r="M1146" s="342"/>
      <c r="N1146" s="340"/>
      <c r="O1146" s="703"/>
      <c r="P1146" s="342"/>
      <c r="Q1146" s="363"/>
      <c r="R1146" s="340"/>
      <c r="S1146" s="342"/>
      <c r="T1146" s="342"/>
      <c r="U1146" s="342"/>
      <c r="V1146" s="340"/>
      <c r="W1146" s="340"/>
    </row>
    <row r="1147" spans="2:23" ht="24" customHeight="1">
      <c r="B1147" s="67"/>
      <c r="G1147" s="3" t="s">
        <v>59</v>
      </c>
      <c r="H1147" s="3"/>
      <c r="I1147" s="3"/>
      <c r="J1147" s="345"/>
      <c r="K1147" s="703"/>
      <c r="L1147" s="342"/>
      <c r="M1147" s="342"/>
      <c r="N1147" s="340"/>
      <c r="O1147" s="703"/>
      <c r="P1147" s="342"/>
      <c r="Q1147" s="363"/>
      <c r="R1147" s="340"/>
      <c r="S1147" s="342"/>
      <c r="T1147" s="342"/>
      <c r="U1147" s="342"/>
      <c r="V1147" s="340"/>
      <c r="W1147" s="340"/>
    </row>
    <row r="1148" spans="2:23" ht="24" customHeight="1">
      <c r="B1148" s="67"/>
      <c r="H1148" s="347">
        <v>44362</v>
      </c>
      <c r="I1148" s="347"/>
      <c r="J1148" s="345"/>
      <c r="K1148" s="703"/>
      <c r="L1148" s="342"/>
      <c r="M1148" s="342"/>
      <c r="N1148" s="340"/>
      <c r="O1148" s="703"/>
      <c r="P1148" s="342"/>
      <c r="Q1148" s="363"/>
      <c r="R1148" s="340"/>
      <c r="S1148" s="342"/>
      <c r="T1148" s="342"/>
      <c r="U1148" s="342"/>
      <c r="V1148" s="340"/>
      <c r="W1148" s="340"/>
    </row>
    <row r="1149" spans="2:23" ht="24" customHeight="1">
      <c r="B1149" s="67"/>
      <c r="I1149" s="3" t="s">
        <v>59</v>
      </c>
      <c r="J1149" s="345">
        <v>103</v>
      </c>
      <c r="K1149" s="703">
        <v>3363.9733548387098</v>
      </c>
      <c r="L1149" s="342">
        <v>1</v>
      </c>
      <c r="M1149" s="342">
        <v>20.611000000000001</v>
      </c>
      <c r="N1149" s="340">
        <v>69334.854816580642</v>
      </c>
      <c r="O1149" s="703">
        <v>5237.7277570093456</v>
      </c>
      <c r="P1149" s="342">
        <v>1</v>
      </c>
      <c r="Q1149" s="363">
        <v>19.882300000000001</v>
      </c>
      <c r="R1149" s="340">
        <v>104138.07458318693</v>
      </c>
      <c r="S1149" s="342">
        <v>113.018</v>
      </c>
      <c r="T1149" s="342">
        <v>122.044</v>
      </c>
      <c r="U1149" s="342">
        <v>1.0798000000000001</v>
      </c>
      <c r="V1149" s="340">
        <v>112448.29293492525</v>
      </c>
      <c r="W1149" s="340">
        <v>-43113.438118344602</v>
      </c>
    </row>
    <row r="1150" spans="2:23" ht="24" customHeight="1">
      <c r="J1150" s="345"/>
      <c r="K1150" s="703"/>
      <c r="L1150" s="342"/>
      <c r="M1150" s="342"/>
      <c r="N1150" s="340"/>
      <c r="O1150" s="703"/>
      <c r="P1150" s="342"/>
      <c r="Q1150" s="363"/>
      <c r="R1150" s="340"/>
      <c r="S1150" s="342"/>
      <c r="T1150" s="342"/>
      <c r="U1150" s="342"/>
      <c r="V1150" s="340"/>
      <c r="W1150" s="340"/>
    </row>
    <row r="1151" spans="2:23" ht="24" customHeight="1">
      <c r="B1151" s="67"/>
      <c r="H1151" s="347">
        <v>44369</v>
      </c>
      <c r="I1151" s="347"/>
      <c r="J1151" s="345"/>
      <c r="K1151" s="703"/>
      <c r="L1151" s="342"/>
      <c r="M1151" s="342"/>
      <c r="N1151" s="340"/>
      <c r="O1151" s="703"/>
      <c r="P1151" s="342"/>
      <c r="Q1151" s="363"/>
      <c r="R1151" s="340"/>
      <c r="S1151" s="342"/>
      <c r="T1151" s="342"/>
      <c r="U1151" s="342"/>
      <c r="V1151" s="340"/>
      <c r="W1151" s="340"/>
    </row>
    <row r="1152" spans="2:23" ht="24" customHeight="1">
      <c r="B1152" s="67"/>
      <c r="I1152" s="3" t="s">
        <v>59</v>
      </c>
      <c r="J1152" s="345">
        <v>104</v>
      </c>
      <c r="K1152" s="703">
        <v>3400.7866451612904</v>
      </c>
      <c r="L1152" s="342">
        <v>1</v>
      </c>
      <c r="M1152" s="342">
        <v>20.611000000000001</v>
      </c>
      <c r="N1152" s="340">
        <v>70093.613543419357</v>
      </c>
      <c r="O1152" s="703">
        <v>5508.8799999999992</v>
      </c>
      <c r="P1152" s="342">
        <v>1</v>
      </c>
      <c r="Q1152" s="363">
        <v>20.700199999999999</v>
      </c>
      <c r="R1152" s="340">
        <v>114034.917776</v>
      </c>
      <c r="S1152" s="342">
        <v>113.018</v>
      </c>
      <c r="T1152" s="342">
        <v>122.04400000000001</v>
      </c>
      <c r="U1152" s="342">
        <v>1.0798000000000001</v>
      </c>
      <c r="V1152" s="340">
        <v>123134.90421452481</v>
      </c>
      <c r="W1152" s="340">
        <v>-53041.290671105453</v>
      </c>
    </row>
    <row r="1153" spans="2:23" ht="24" customHeight="1">
      <c r="J1153" s="345"/>
      <c r="K1153" s="703"/>
      <c r="L1153" s="342"/>
      <c r="M1153" s="342"/>
      <c r="N1153" s="340"/>
      <c r="O1153" s="703"/>
      <c r="P1153" s="342"/>
      <c r="Q1153" s="363"/>
      <c r="R1153" s="340"/>
      <c r="S1153" s="342"/>
      <c r="T1153" s="342"/>
      <c r="U1153" s="342"/>
      <c r="V1153" s="340"/>
      <c r="W1153" s="340"/>
    </row>
    <row r="1154" spans="2:23" ht="24" customHeight="1">
      <c r="B1154" s="67"/>
      <c r="F1154" s="346">
        <v>44762</v>
      </c>
      <c r="G1154" s="346"/>
      <c r="H1154" s="346"/>
      <c r="I1154" s="346"/>
      <c r="J1154" s="345"/>
      <c r="K1154" s="703"/>
      <c r="L1154" s="342"/>
      <c r="M1154" s="342"/>
      <c r="N1154" s="340"/>
      <c r="O1154" s="703"/>
      <c r="P1154" s="342"/>
      <c r="Q1154" s="363"/>
      <c r="R1154" s="340"/>
      <c r="S1154" s="342"/>
      <c r="T1154" s="342"/>
      <c r="U1154" s="342"/>
      <c r="V1154" s="340"/>
      <c r="W1154" s="340"/>
    </row>
    <row r="1155" spans="2:23" ht="24" customHeight="1">
      <c r="B1155" s="67"/>
      <c r="G1155" s="3" t="s">
        <v>59</v>
      </c>
      <c r="H1155" s="3"/>
      <c r="I1155" s="3"/>
      <c r="J1155" s="345"/>
      <c r="K1155" s="703"/>
      <c r="L1155" s="342"/>
      <c r="M1155" s="342"/>
      <c r="N1155" s="340"/>
      <c r="O1155" s="703"/>
      <c r="P1155" s="342"/>
      <c r="Q1155" s="363"/>
      <c r="R1155" s="340"/>
      <c r="S1155" s="342"/>
      <c r="T1155" s="342"/>
      <c r="U1155" s="342"/>
      <c r="V1155" s="340"/>
      <c r="W1155" s="340"/>
    </row>
    <row r="1156" spans="2:23" ht="24" customHeight="1">
      <c r="B1156" s="67"/>
      <c r="H1156" s="347">
        <v>44369</v>
      </c>
      <c r="I1156" s="347"/>
      <c r="J1156" s="345"/>
      <c r="K1156" s="703"/>
      <c r="L1156" s="342"/>
      <c r="M1156" s="342"/>
      <c r="N1156" s="340"/>
      <c r="O1156" s="703"/>
      <c r="P1156" s="342"/>
      <c r="Q1156" s="363"/>
      <c r="R1156" s="340"/>
      <c r="S1156" s="342"/>
      <c r="T1156" s="342"/>
      <c r="U1156" s="342"/>
      <c r="V1156" s="340"/>
      <c r="W1156" s="340"/>
    </row>
    <row r="1157" spans="2:23" ht="24" customHeight="1">
      <c r="B1157" s="67"/>
      <c r="I1157" s="3" t="s">
        <v>59</v>
      </c>
      <c r="J1157" s="345">
        <v>100</v>
      </c>
      <c r="K1157" s="703">
        <v>3450.36</v>
      </c>
      <c r="L1157" s="342">
        <v>1</v>
      </c>
      <c r="M1157" s="342">
        <v>20.395700000000001</v>
      </c>
      <c r="N1157" s="340">
        <v>70372.507452000005</v>
      </c>
      <c r="O1157" s="703">
        <v>5297</v>
      </c>
      <c r="P1157" s="342">
        <v>1</v>
      </c>
      <c r="Q1157" s="363">
        <v>20.700199999999999</v>
      </c>
      <c r="R1157" s="340">
        <v>109648.95939999999</v>
      </c>
      <c r="S1157" s="342">
        <v>113.01800000000001</v>
      </c>
      <c r="T1157" s="342">
        <v>122.044</v>
      </c>
      <c r="U1157" s="342">
        <v>1.0798000000000003</v>
      </c>
      <c r="V1157" s="340">
        <v>118398.94636012003</v>
      </c>
      <c r="W1157" s="340">
        <v>-48026.438908119992</v>
      </c>
    </row>
    <row r="1158" spans="2:23" ht="24" customHeight="1">
      <c r="J1158" s="345"/>
      <c r="K1158" s="703"/>
      <c r="L1158" s="342"/>
      <c r="M1158" s="342"/>
      <c r="N1158" s="340"/>
      <c r="O1158" s="703"/>
      <c r="P1158" s="342"/>
      <c r="Q1158" s="363"/>
      <c r="R1158" s="340"/>
      <c r="S1158" s="342"/>
      <c r="T1158" s="342"/>
      <c r="U1158" s="342"/>
      <c r="V1158" s="340"/>
      <c r="W1158" s="340"/>
    </row>
    <row r="1159" spans="2:23" ht="24" customHeight="1">
      <c r="B1159" s="67"/>
      <c r="F1159" s="346">
        <v>44763</v>
      </c>
      <c r="G1159" s="346"/>
      <c r="H1159" s="346"/>
      <c r="I1159" s="346"/>
      <c r="J1159" s="345"/>
      <c r="K1159" s="703"/>
      <c r="L1159" s="342"/>
      <c r="M1159" s="342"/>
      <c r="N1159" s="340"/>
      <c r="O1159" s="703"/>
      <c r="P1159" s="342"/>
      <c r="Q1159" s="363"/>
      <c r="R1159" s="340"/>
      <c r="S1159" s="342"/>
      <c r="T1159" s="342"/>
      <c r="U1159" s="342"/>
      <c r="V1159" s="340"/>
      <c r="W1159" s="340"/>
    </row>
    <row r="1160" spans="2:23" ht="24" customHeight="1">
      <c r="B1160" s="67"/>
      <c r="G1160" s="3" t="s">
        <v>59</v>
      </c>
      <c r="H1160" s="3"/>
      <c r="I1160" s="3"/>
      <c r="J1160" s="345"/>
      <c r="K1160" s="703"/>
      <c r="L1160" s="342"/>
      <c r="M1160" s="342"/>
      <c r="N1160" s="340"/>
      <c r="O1160" s="703"/>
      <c r="P1160" s="342"/>
      <c r="Q1160" s="363"/>
      <c r="R1160" s="340"/>
      <c r="S1160" s="342"/>
      <c r="T1160" s="342"/>
      <c r="U1160" s="342"/>
      <c r="V1160" s="340"/>
      <c r="W1160" s="340"/>
    </row>
    <row r="1161" spans="2:23" ht="24" customHeight="1">
      <c r="B1161" s="67"/>
      <c r="H1161" s="347">
        <v>44369</v>
      </c>
      <c r="I1161" s="347"/>
      <c r="J1161" s="345"/>
      <c r="K1161" s="703"/>
      <c r="L1161" s="342"/>
      <c r="M1161" s="342"/>
      <c r="N1161" s="340"/>
      <c r="O1161" s="703"/>
      <c r="P1161" s="342"/>
      <c r="Q1161" s="363"/>
      <c r="R1161" s="340"/>
      <c r="S1161" s="342"/>
      <c r="T1161" s="342"/>
      <c r="U1161" s="342"/>
      <c r="V1161" s="340"/>
      <c r="W1161" s="340"/>
    </row>
    <row r="1162" spans="2:23" ht="24" customHeight="1">
      <c r="B1162" s="67"/>
      <c r="I1162" s="3" t="s">
        <v>59</v>
      </c>
      <c r="J1162" s="345">
        <v>22</v>
      </c>
      <c r="K1162" s="703">
        <v>780.6889655172414</v>
      </c>
      <c r="L1162" s="342">
        <v>1</v>
      </c>
      <c r="M1162" s="342">
        <v>20.4407</v>
      </c>
      <c r="N1162" s="340">
        <v>15957.828937448276</v>
      </c>
      <c r="O1162" s="703">
        <v>1165.3399999999999</v>
      </c>
      <c r="P1162" s="342">
        <v>1</v>
      </c>
      <c r="Q1162" s="363">
        <v>20.700199999999999</v>
      </c>
      <c r="R1162" s="340">
        <v>24122.771067999998</v>
      </c>
      <c r="S1162" s="342">
        <v>113.018</v>
      </c>
      <c r="T1162" s="342">
        <v>122.044</v>
      </c>
      <c r="U1162" s="342">
        <v>1.0798000000000001</v>
      </c>
      <c r="V1162" s="340">
        <v>26047.768199226401</v>
      </c>
      <c r="W1162" s="340">
        <v>-10089.939261778125</v>
      </c>
    </row>
    <row r="1163" spans="2:23" ht="24" customHeight="1">
      <c r="J1163" s="345"/>
      <c r="K1163" s="703"/>
      <c r="L1163" s="342"/>
      <c r="M1163" s="342"/>
      <c r="N1163" s="340"/>
      <c r="O1163" s="703"/>
      <c r="P1163" s="342"/>
      <c r="Q1163" s="363"/>
      <c r="R1163" s="340"/>
      <c r="S1163" s="342"/>
      <c r="T1163" s="342"/>
      <c r="U1163" s="342"/>
      <c r="V1163" s="340"/>
      <c r="W1163" s="340"/>
    </row>
    <row r="1164" spans="2:23" ht="24" customHeight="1">
      <c r="B1164" s="67"/>
      <c r="H1164" s="347">
        <v>44420</v>
      </c>
      <c r="I1164" s="347"/>
      <c r="J1164" s="345"/>
      <c r="K1164" s="703"/>
      <c r="L1164" s="342"/>
      <c r="M1164" s="342"/>
      <c r="N1164" s="340"/>
      <c r="O1164" s="703"/>
      <c r="P1164" s="342"/>
      <c r="Q1164" s="363"/>
      <c r="R1164" s="340"/>
      <c r="S1164" s="342"/>
      <c r="T1164" s="342"/>
      <c r="U1164" s="342"/>
      <c r="V1164" s="340"/>
      <c r="W1164" s="340"/>
    </row>
    <row r="1165" spans="2:23" ht="24" customHeight="1">
      <c r="B1165" s="67"/>
      <c r="I1165" s="3" t="s">
        <v>59</v>
      </c>
      <c r="J1165" s="345">
        <v>179</v>
      </c>
      <c r="K1165" s="703">
        <v>6352.8210344827594</v>
      </c>
      <c r="L1165" s="342">
        <v>1</v>
      </c>
      <c r="M1165" s="342">
        <v>20.440699999999996</v>
      </c>
      <c r="N1165" s="340">
        <v>129856.10891955173</v>
      </c>
      <c r="O1165" s="703">
        <v>8619.1539622641521</v>
      </c>
      <c r="P1165" s="342">
        <v>1</v>
      </c>
      <c r="Q1165" s="363">
        <v>20.103800000000003</v>
      </c>
      <c r="R1165" s="340">
        <v>173277.74742656606</v>
      </c>
      <c r="S1165" s="342">
        <v>113.899</v>
      </c>
      <c r="T1165" s="342">
        <v>122.044</v>
      </c>
      <c r="U1165" s="342">
        <v>1.0715000000000001</v>
      </c>
      <c r="V1165" s="340">
        <v>185667.10636756552</v>
      </c>
      <c r="W1165" s="340">
        <v>-55810.997448013775</v>
      </c>
    </row>
    <row r="1166" spans="2:23" ht="24" customHeight="1">
      <c r="J1166" s="345"/>
      <c r="K1166" s="703"/>
      <c r="L1166" s="342"/>
      <c r="M1166" s="342"/>
      <c r="N1166" s="340"/>
      <c r="O1166" s="703"/>
      <c r="P1166" s="342"/>
      <c r="Q1166" s="363"/>
      <c r="R1166" s="340"/>
      <c r="S1166" s="342"/>
      <c r="T1166" s="342"/>
      <c r="U1166" s="342"/>
      <c r="V1166" s="340"/>
      <c r="W1166" s="340"/>
    </row>
    <row r="1167" spans="2:23" ht="24" customHeight="1">
      <c r="B1167" s="67"/>
      <c r="E1167" s="131" t="s">
        <v>1117</v>
      </c>
      <c r="F1167" s="131"/>
      <c r="G1167" s="131"/>
      <c r="H1167" s="131"/>
      <c r="I1167" s="131"/>
      <c r="J1167" s="704">
        <v>916</v>
      </c>
      <c r="K1167" s="705">
        <v>30726.27</v>
      </c>
      <c r="L1167" s="369">
        <v>1</v>
      </c>
      <c r="M1167" s="377">
        <v>20.605381250000008</v>
      </c>
      <c r="N1167" s="706">
        <v>633882.14126900001</v>
      </c>
      <c r="O1167" s="705">
        <v>45156.234814814823</v>
      </c>
      <c r="P1167" s="369">
        <v>1</v>
      </c>
      <c r="Q1167" s="377">
        <v>20.178370833333332</v>
      </c>
      <c r="R1167" s="706">
        <v>908847.2713068889</v>
      </c>
      <c r="S1167" s="369">
        <v>113.34837500000005</v>
      </c>
      <c r="T1167" s="369">
        <v>122.04399999999993</v>
      </c>
      <c r="U1167" s="369">
        <v>1.0766874999999996</v>
      </c>
      <c r="V1167" s="706">
        <v>978944.16665355139</v>
      </c>
      <c r="W1167" s="706">
        <v>-345062.0253845515</v>
      </c>
    </row>
    <row r="1168" spans="2:23" ht="24" customHeight="1">
      <c r="J1168" s="345"/>
      <c r="K1168" s="703"/>
      <c r="L1168" s="342"/>
      <c r="M1168" s="342"/>
      <c r="N1168" s="340"/>
      <c r="O1168" s="703"/>
      <c r="P1168" s="342"/>
      <c r="Q1168" s="363"/>
      <c r="R1168" s="340"/>
      <c r="S1168" s="342"/>
      <c r="T1168" s="342"/>
      <c r="U1168" s="342"/>
      <c r="V1168" s="340"/>
      <c r="W1168" s="340"/>
    </row>
    <row r="1169" spans="2:23" ht="24" customHeight="1">
      <c r="B1169" s="67"/>
      <c r="E1169" s="1" t="s">
        <v>878</v>
      </c>
      <c r="J1169" s="345"/>
      <c r="K1169" s="703"/>
      <c r="L1169" s="342"/>
      <c r="M1169" s="342"/>
      <c r="N1169" s="340"/>
      <c r="O1169" s="703"/>
      <c r="P1169" s="342"/>
      <c r="Q1169" s="363"/>
      <c r="R1169" s="340"/>
      <c r="S1169" s="342"/>
      <c r="T1169" s="342"/>
      <c r="U1169" s="342"/>
      <c r="V1169" s="340"/>
      <c r="W1169" s="340"/>
    </row>
    <row r="1170" spans="2:23" ht="24" customHeight="1">
      <c r="B1170" s="67"/>
      <c r="F1170" s="346">
        <v>44725</v>
      </c>
      <c r="G1170" s="346"/>
      <c r="H1170" s="346"/>
      <c r="I1170" s="346"/>
      <c r="J1170" s="345"/>
      <c r="K1170" s="703"/>
      <c r="L1170" s="342"/>
      <c r="M1170" s="342"/>
      <c r="N1170" s="340"/>
      <c r="O1170" s="703"/>
      <c r="P1170" s="342"/>
      <c r="Q1170" s="363"/>
      <c r="R1170" s="340"/>
      <c r="S1170" s="342"/>
      <c r="T1170" s="342"/>
      <c r="U1170" s="342"/>
      <c r="V1170" s="340"/>
      <c r="W1170" s="340"/>
    </row>
    <row r="1171" spans="2:23" ht="24" customHeight="1">
      <c r="B1171" s="67"/>
      <c r="G1171" s="3" t="s">
        <v>59</v>
      </c>
      <c r="H1171" s="3"/>
      <c r="I1171" s="3"/>
      <c r="J1171" s="345"/>
      <c r="K1171" s="703"/>
      <c r="L1171" s="342"/>
      <c r="M1171" s="342"/>
      <c r="N1171" s="340"/>
      <c r="O1171" s="703"/>
      <c r="P1171" s="342"/>
      <c r="Q1171" s="363"/>
      <c r="R1171" s="340"/>
      <c r="S1171" s="342"/>
      <c r="T1171" s="342"/>
      <c r="U1171" s="342"/>
      <c r="V1171" s="340"/>
      <c r="W1171" s="340"/>
    </row>
    <row r="1172" spans="2:23" ht="24" customHeight="1">
      <c r="B1172" s="67"/>
      <c r="H1172" s="347">
        <v>44259</v>
      </c>
      <c r="I1172" s="347"/>
      <c r="J1172" s="345"/>
      <c r="K1172" s="703"/>
      <c r="L1172" s="342"/>
      <c r="M1172" s="342"/>
      <c r="N1172" s="340"/>
      <c r="O1172" s="703"/>
      <c r="P1172" s="342"/>
      <c r="Q1172" s="363"/>
      <c r="R1172" s="340"/>
      <c r="S1172" s="342"/>
      <c r="T1172" s="342"/>
      <c r="U1172" s="342"/>
      <c r="V1172" s="340"/>
      <c r="W1172" s="340"/>
    </row>
    <row r="1173" spans="2:23" ht="24" customHeight="1">
      <c r="B1173" s="67"/>
      <c r="I1173" s="3" t="s">
        <v>59</v>
      </c>
      <c r="J1173" s="345">
        <v>221</v>
      </c>
      <c r="K1173" s="703">
        <v>10643.483648648647</v>
      </c>
      <c r="L1173" s="342">
        <v>1</v>
      </c>
      <c r="M1173" s="342">
        <v>19.6128</v>
      </c>
      <c r="N1173" s="340">
        <v>208748.51610421622</v>
      </c>
      <c r="O1173" s="703">
        <v>18687.759999999998</v>
      </c>
      <c r="P1173" s="342">
        <v>1</v>
      </c>
      <c r="Q1173" s="363">
        <v>20.690300000000001</v>
      </c>
      <c r="R1173" s="340">
        <v>386655.36072799994</v>
      </c>
      <c r="S1173" s="342">
        <v>111.824</v>
      </c>
      <c r="T1173" s="342">
        <v>121.02200000000001</v>
      </c>
      <c r="U1173" s="342">
        <v>1.0822000000000001</v>
      </c>
      <c r="V1173" s="340">
        <v>418438.43137984152</v>
      </c>
      <c r="W1173" s="340">
        <v>-209689.9152756253</v>
      </c>
    </row>
    <row r="1174" spans="2:23" ht="24" customHeight="1">
      <c r="J1174" s="345"/>
      <c r="K1174" s="703"/>
      <c r="L1174" s="342"/>
      <c r="M1174" s="342"/>
      <c r="N1174" s="340"/>
      <c r="O1174" s="703"/>
      <c r="P1174" s="342"/>
      <c r="Q1174" s="363"/>
      <c r="R1174" s="340"/>
      <c r="S1174" s="342"/>
      <c r="T1174" s="342"/>
      <c r="U1174" s="342"/>
      <c r="V1174" s="340"/>
      <c r="W1174" s="340"/>
    </row>
    <row r="1175" spans="2:23" ht="24" customHeight="1">
      <c r="B1175" s="67"/>
      <c r="H1175" s="347">
        <v>44348</v>
      </c>
      <c r="I1175" s="347"/>
      <c r="J1175" s="345"/>
      <c r="K1175" s="703"/>
      <c r="L1175" s="342"/>
      <c r="M1175" s="342"/>
      <c r="N1175" s="340"/>
      <c r="O1175" s="703"/>
      <c r="P1175" s="342"/>
      <c r="Q1175" s="363"/>
      <c r="R1175" s="340"/>
      <c r="S1175" s="342"/>
      <c r="T1175" s="342"/>
      <c r="U1175" s="342"/>
      <c r="V1175" s="340"/>
      <c r="W1175" s="340"/>
    </row>
    <row r="1176" spans="2:23" ht="24" customHeight="1">
      <c r="B1176" s="67"/>
      <c r="I1176" s="3" t="s">
        <v>59</v>
      </c>
      <c r="J1176" s="345">
        <v>59</v>
      </c>
      <c r="K1176" s="703">
        <v>2804.1663513513513</v>
      </c>
      <c r="L1176" s="342">
        <v>1</v>
      </c>
      <c r="M1176" s="342">
        <v>19.6128</v>
      </c>
      <c r="N1176" s="340">
        <v>54997.55381578378</v>
      </c>
      <c r="O1176" s="703">
        <v>5244.6004032258061</v>
      </c>
      <c r="P1176" s="342">
        <v>1</v>
      </c>
      <c r="Q1176" s="363">
        <v>19.944199999999999</v>
      </c>
      <c r="R1176" s="340">
        <v>104599.35936201611</v>
      </c>
      <c r="S1176" s="342">
        <v>113.018</v>
      </c>
      <c r="T1176" s="342">
        <v>121.02200000000001</v>
      </c>
      <c r="U1176" s="342">
        <v>1.0708</v>
      </c>
      <c r="V1176" s="340">
        <v>112004.99400484686</v>
      </c>
      <c r="W1176" s="340">
        <v>-57007.440189063076</v>
      </c>
    </row>
    <row r="1177" spans="2:23" ht="24" customHeight="1">
      <c r="J1177" s="345"/>
      <c r="K1177" s="703"/>
      <c r="L1177" s="342"/>
      <c r="M1177" s="342"/>
      <c r="N1177" s="340"/>
      <c r="O1177" s="703"/>
      <c r="P1177" s="342"/>
      <c r="Q1177" s="363"/>
      <c r="R1177" s="340"/>
      <c r="S1177" s="342"/>
      <c r="T1177" s="342"/>
      <c r="U1177" s="342"/>
      <c r="V1177" s="340"/>
      <c r="W1177" s="340"/>
    </row>
    <row r="1178" spans="2:23" ht="24" customHeight="1">
      <c r="B1178" s="67"/>
      <c r="F1178" s="346">
        <v>44726</v>
      </c>
      <c r="G1178" s="346"/>
      <c r="H1178" s="346"/>
      <c r="I1178" s="346"/>
      <c r="J1178" s="345"/>
      <c r="K1178" s="703"/>
      <c r="L1178" s="342"/>
      <c r="M1178" s="342"/>
      <c r="N1178" s="340"/>
      <c r="O1178" s="703"/>
      <c r="P1178" s="342"/>
      <c r="Q1178" s="363"/>
      <c r="R1178" s="340"/>
      <c r="S1178" s="342"/>
      <c r="T1178" s="342"/>
      <c r="U1178" s="342"/>
      <c r="V1178" s="340"/>
      <c r="W1178" s="340"/>
    </row>
    <row r="1179" spans="2:23" ht="24" customHeight="1">
      <c r="B1179" s="67"/>
      <c r="G1179" s="3" t="s">
        <v>59</v>
      </c>
      <c r="H1179" s="3"/>
      <c r="I1179" s="3"/>
      <c r="J1179" s="345"/>
      <c r="K1179" s="703"/>
      <c r="L1179" s="342"/>
      <c r="M1179" s="342"/>
      <c r="N1179" s="340"/>
      <c r="O1179" s="703"/>
      <c r="P1179" s="342"/>
      <c r="Q1179" s="363"/>
      <c r="R1179" s="340"/>
      <c r="S1179" s="342"/>
      <c r="T1179" s="342"/>
      <c r="U1179" s="342"/>
      <c r="V1179" s="340"/>
      <c r="W1179" s="340"/>
    </row>
    <row r="1180" spans="2:23" ht="24" customHeight="1">
      <c r="B1180" s="67"/>
      <c r="H1180" s="347">
        <v>44348</v>
      </c>
      <c r="I1180" s="347"/>
      <c r="J1180" s="345"/>
      <c r="K1180" s="703"/>
      <c r="L1180" s="342"/>
      <c r="M1180" s="342"/>
      <c r="N1180" s="340"/>
      <c r="O1180" s="703"/>
      <c r="P1180" s="342"/>
      <c r="Q1180" s="363"/>
      <c r="R1180" s="340"/>
      <c r="S1180" s="342"/>
      <c r="T1180" s="342"/>
      <c r="U1180" s="342"/>
      <c r="V1180" s="340"/>
      <c r="W1180" s="340"/>
    </row>
    <row r="1181" spans="2:23" ht="24" customHeight="1">
      <c r="B1181" s="67"/>
      <c r="I1181" s="3" t="s">
        <v>59</v>
      </c>
      <c r="J1181" s="345">
        <v>65</v>
      </c>
      <c r="K1181" s="703">
        <v>2943.5247058823529</v>
      </c>
      <c r="L1181" s="342">
        <v>1</v>
      </c>
      <c r="M1181" s="342">
        <v>19.9297</v>
      </c>
      <c r="N1181" s="340">
        <v>58663.56433082353</v>
      </c>
      <c r="O1181" s="703">
        <v>5777.9495967741932</v>
      </c>
      <c r="P1181" s="342">
        <v>1</v>
      </c>
      <c r="Q1181" s="363">
        <v>19.944199999999999</v>
      </c>
      <c r="R1181" s="340">
        <v>115236.58234798386</v>
      </c>
      <c r="S1181" s="342">
        <v>113.018</v>
      </c>
      <c r="T1181" s="342">
        <v>121.02200000000001</v>
      </c>
      <c r="U1181" s="342">
        <v>1.0708</v>
      </c>
      <c r="V1181" s="340">
        <v>123395.33237822112</v>
      </c>
      <c r="W1181" s="340">
        <v>-64731.768047397578</v>
      </c>
    </row>
    <row r="1182" spans="2:23" ht="24" customHeight="1">
      <c r="J1182" s="345"/>
      <c r="K1182" s="703"/>
      <c r="L1182" s="342"/>
      <c r="M1182" s="342"/>
      <c r="N1182" s="340"/>
      <c r="O1182" s="703"/>
      <c r="P1182" s="342"/>
      <c r="Q1182" s="363"/>
      <c r="R1182" s="340"/>
      <c r="S1182" s="342"/>
      <c r="T1182" s="342"/>
      <c r="U1182" s="342"/>
      <c r="V1182" s="340"/>
      <c r="W1182" s="340"/>
    </row>
    <row r="1183" spans="2:23" ht="24" customHeight="1">
      <c r="B1183" s="67"/>
      <c r="H1183" s="347">
        <v>44547</v>
      </c>
      <c r="I1183" s="347"/>
      <c r="J1183" s="345"/>
      <c r="K1183" s="703"/>
      <c r="L1183" s="342"/>
      <c r="M1183" s="342"/>
      <c r="N1183" s="340"/>
      <c r="O1183" s="703"/>
      <c r="P1183" s="342"/>
      <c r="Q1183" s="363"/>
      <c r="R1183" s="340"/>
      <c r="S1183" s="342"/>
      <c r="T1183" s="342"/>
      <c r="U1183" s="342"/>
      <c r="V1183" s="340"/>
      <c r="W1183" s="340"/>
    </row>
    <row r="1184" spans="2:23" ht="24" customHeight="1">
      <c r="B1184" s="67"/>
      <c r="I1184" s="3" t="s">
        <v>59</v>
      </c>
      <c r="J1184" s="345">
        <v>82</v>
      </c>
      <c r="K1184" s="703">
        <v>3750.8641830065358</v>
      </c>
      <c r="L1184" s="342">
        <v>1</v>
      </c>
      <c r="M1184" s="342">
        <v>19.9297</v>
      </c>
      <c r="N1184" s="340">
        <v>74753.597908065363</v>
      </c>
      <c r="O1184" s="703">
        <v>8309.56</v>
      </c>
      <c r="P1184" s="342">
        <v>1</v>
      </c>
      <c r="Q1184" s="363">
        <v>21.2393</v>
      </c>
      <c r="R1184" s="340">
        <v>176489.237708</v>
      </c>
      <c r="S1184" s="342">
        <v>117.30800000000001</v>
      </c>
      <c r="T1184" s="342">
        <v>121.02200000000001</v>
      </c>
      <c r="U1184" s="342">
        <v>1.0316000000000001</v>
      </c>
      <c r="V1184" s="340">
        <v>182066.29761957281</v>
      </c>
      <c r="W1184" s="340">
        <v>-107312.69971150746</v>
      </c>
    </row>
    <row r="1185" spans="2:23" ht="24" customHeight="1">
      <c r="J1185" s="345"/>
      <c r="K1185" s="703"/>
      <c r="L1185" s="342"/>
      <c r="M1185" s="342"/>
      <c r="N1185" s="340"/>
      <c r="O1185" s="703"/>
      <c r="P1185" s="342"/>
      <c r="Q1185" s="363"/>
      <c r="R1185" s="340"/>
      <c r="S1185" s="342"/>
      <c r="T1185" s="342"/>
      <c r="U1185" s="342"/>
      <c r="V1185" s="340"/>
      <c r="W1185" s="340"/>
    </row>
    <row r="1186" spans="2:23" ht="24" customHeight="1">
      <c r="B1186" s="67"/>
      <c r="H1186" s="347">
        <v>44557</v>
      </c>
      <c r="I1186" s="347"/>
      <c r="J1186" s="345"/>
      <c r="K1186" s="703"/>
      <c r="L1186" s="342"/>
      <c r="M1186" s="342"/>
      <c r="N1186" s="340"/>
      <c r="O1186" s="703"/>
      <c r="P1186" s="342"/>
      <c r="Q1186" s="363"/>
      <c r="R1186" s="340"/>
      <c r="S1186" s="342"/>
      <c r="T1186" s="342"/>
      <c r="U1186" s="342"/>
      <c r="V1186" s="340"/>
      <c r="W1186" s="340"/>
    </row>
    <row r="1187" spans="2:23" ht="24" customHeight="1">
      <c r="B1187" s="67"/>
      <c r="I1187" s="3" t="s">
        <v>59</v>
      </c>
      <c r="J1187" s="345">
        <v>32</v>
      </c>
      <c r="K1187" s="703">
        <v>1467.2711111111109</v>
      </c>
      <c r="L1187" s="342">
        <v>1</v>
      </c>
      <c r="M1187" s="342">
        <v>19.9297</v>
      </c>
      <c r="N1187" s="340">
        <v>29242.273063111104</v>
      </c>
      <c r="O1187" s="703">
        <v>3388.3912</v>
      </c>
      <c r="P1187" s="342">
        <v>1</v>
      </c>
      <c r="Q1187" s="363">
        <v>20.658200000000001</v>
      </c>
      <c r="R1187" s="340">
        <v>69998.063087840012</v>
      </c>
      <c r="S1187" s="342">
        <v>117.30800000000001</v>
      </c>
      <c r="T1187" s="342">
        <v>121.02200000000001</v>
      </c>
      <c r="U1187" s="342">
        <v>1.0316000000000001</v>
      </c>
      <c r="V1187" s="340">
        <v>72210.001881415752</v>
      </c>
      <c r="W1187" s="340">
        <v>-42967.728818304648</v>
      </c>
    </row>
    <row r="1188" spans="2:23" ht="24" customHeight="1">
      <c r="J1188" s="345"/>
      <c r="K1188" s="703"/>
      <c r="L1188" s="342"/>
      <c r="M1188" s="342"/>
      <c r="N1188" s="340"/>
      <c r="O1188" s="703"/>
      <c r="P1188" s="342"/>
      <c r="Q1188" s="363"/>
      <c r="R1188" s="340"/>
      <c r="S1188" s="342"/>
      <c r="T1188" s="342"/>
      <c r="U1188" s="342"/>
      <c r="V1188" s="340"/>
      <c r="W1188" s="340"/>
    </row>
    <row r="1189" spans="2:23" ht="24" customHeight="1">
      <c r="B1189" s="67"/>
      <c r="F1189" s="346">
        <v>44727</v>
      </c>
      <c r="G1189" s="346"/>
      <c r="H1189" s="346"/>
      <c r="I1189" s="346"/>
      <c r="J1189" s="345"/>
      <c r="K1189" s="703"/>
      <c r="L1189" s="342"/>
      <c r="M1189" s="342"/>
      <c r="N1189" s="340"/>
      <c r="O1189" s="703"/>
      <c r="P1189" s="342"/>
      <c r="Q1189" s="363"/>
      <c r="R1189" s="340"/>
      <c r="S1189" s="342"/>
      <c r="T1189" s="342"/>
      <c r="U1189" s="342"/>
      <c r="V1189" s="340"/>
      <c r="W1189" s="340"/>
    </row>
    <row r="1190" spans="2:23" ht="24" customHeight="1">
      <c r="B1190" s="67"/>
      <c r="G1190" s="3" t="s">
        <v>59</v>
      </c>
      <c r="H1190" s="3"/>
      <c r="I1190" s="3"/>
      <c r="J1190" s="345"/>
      <c r="K1190" s="703"/>
      <c r="L1190" s="342"/>
      <c r="M1190" s="342"/>
      <c r="N1190" s="340"/>
      <c r="O1190" s="703"/>
      <c r="P1190" s="342"/>
      <c r="Q1190" s="363"/>
      <c r="R1190" s="340"/>
      <c r="S1190" s="342"/>
      <c r="T1190" s="342"/>
      <c r="U1190" s="342"/>
      <c r="V1190" s="340"/>
      <c r="W1190" s="340"/>
    </row>
    <row r="1191" spans="2:23" ht="24" customHeight="1">
      <c r="B1191" s="67"/>
      <c r="H1191" s="347">
        <v>44581</v>
      </c>
      <c r="I1191" s="347"/>
      <c r="J1191" s="345"/>
      <c r="K1191" s="703"/>
      <c r="L1191" s="342"/>
      <c r="M1191" s="342"/>
      <c r="N1191" s="340"/>
      <c r="O1191" s="703"/>
      <c r="P1191" s="342"/>
      <c r="Q1191" s="363"/>
      <c r="R1191" s="340"/>
      <c r="S1191" s="342"/>
      <c r="T1191" s="342"/>
      <c r="U1191" s="342"/>
      <c r="V1191" s="340"/>
      <c r="W1191" s="340"/>
    </row>
    <row r="1192" spans="2:23" ht="24" customHeight="1">
      <c r="B1192" s="67"/>
      <c r="I1192" s="3" t="s">
        <v>59</v>
      </c>
      <c r="J1192" s="345">
        <v>58</v>
      </c>
      <c r="K1192" s="703">
        <v>2739.3006779661018</v>
      </c>
      <c r="L1192" s="342">
        <v>1</v>
      </c>
      <c r="M1192" s="342">
        <v>20.4527</v>
      </c>
      <c r="N1192" s="340">
        <v>56026.094976237291</v>
      </c>
      <c r="O1192" s="703">
        <v>4684.58</v>
      </c>
      <c r="P1192" s="342">
        <v>1</v>
      </c>
      <c r="Q1192" s="363">
        <v>20.402999999999999</v>
      </c>
      <c r="R1192" s="340">
        <v>95579.485739999989</v>
      </c>
      <c r="S1192" s="342">
        <v>118.002</v>
      </c>
      <c r="T1192" s="342">
        <v>121.02200000000001</v>
      </c>
      <c r="U1192" s="342">
        <v>1.0255000000000001</v>
      </c>
      <c r="V1192" s="340">
        <v>98016.762626369993</v>
      </c>
      <c r="W1192" s="340">
        <v>-41990.667650132702</v>
      </c>
    </row>
    <row r="1193" spans="2:23" ht="24" customHeight="1">
      <c r="J1193" s="345"/>
      <c r="K1193" s="703"/>
      <c r="L1193" s="342"/>
      <c r="M1193" s="342"/>
      <c r="N1193" s="340"/>
      <c r="O1193" s="703"/>
      <c r="P1193" s="342"/>
      <c r="Q1193" s="363"/>
      <c r="R1193" s="340"/>
      <c r="S1193" s="342"/>
      <c r="T1193" s="342"/>
      <c r="U1193" s="342"/>
      <c r="V1193" s="340"/>
      <c r="W1193" s="340"/>
    </row>
    <row r="1194" spans="2:23" ht="24" customHeight="1">
      <c r="B1194" s="67"/>
      <c r="H1194" s="347">
        <v>44557</v>
      </c>
      <c r="I1194" s="347"/>
      <c r="J1194" s="345"/>
      <c r="K1194" s="703"/>
      <c r="L1194" s="342"/>
      <c r="M1194" s="342"/>
      <c r="N1194" s="340"/>
      <c r="O1194" s="703"/>
      <c r="P1194" s="342"/>
      <c r="Q1194" s="363"/>
      <c r="R1194" s="340"/>
      <c r="S1194" s="342"/>
      <c r="T1194" s="342"/>
      <c r="U1194" s="342"/>
      <c r="V1194" s="340"/>
      <c r="W1194" s="340"/>
    </row>
    <row r="1195" spans="2:23" ht="24" customHeight="1">
      <c r="B1195" s="67"/>
      <c r="I1195" s="3" t="s">
        <v>59</v>
      </c>
      <c r="J1195" s="345">
        <v>38</v>
      </c>
      <c r="K1195" s="703">
        <v>1782.1272881355931</v>
      </c>
      <c r="L1195" s="342">
        <v>1</v>
      </c>
      <c r="M1195" s="342">
        <v>20.4527</v>
      </c>
      <c r="N1195" s="340">
        <v>36449.314786050847</v>
      </c>
      <c r="O1195" s="703">
        <v>4018.2187999999996</v>
      </c>
      <c r="P1195" s="342">
        <v>1</v>
      </c>
      <c r="Q1195" s="363">
        <v>20.658200000000001</v>
      </c>
      <c r="R1195" s="340">
        <v>83009.167614159989</v>
      </c>
      <c r="S1195" s="342">
        <v>117.30800000000001</v>
      </c>
      <c r="T1195" s="342">
        <v>121.02200000000001</v>
      </c>
      <c r="U1195" s="342">
        <v>1.0316000000000001</v>
      </c>
      <c r="V1195" s="340">
        <v>85632.257310767454</v>
      </c>
      <c r="W1195" s="340">
        <v>-49182.942524716607</v>
      </c>
    </row>
    <row r="1196" spans="2:23" ht="24" customHeight="1">
      <c r="J1196" s="345"/>
      <c r="K1196" s="703"/>
      <c r="L1196" s="342"/>
      <c r="M1196" s="342"/>
      <c r="N1196" s="340"/>
      <c r="O1196" s="703"/>
      <c r="P1196" s="342"/>
      <c r="Q1196" s="363"/>
      <c r="R1196" s="340"/>
      <c r="S1196" s="342"/>
      <c r="T1196" s="342"/>
      <c r="U1196" s="342"/>
      <c r="V1196" s="340"/>
      <c r="W1196" s="340"/>
    </row>
    <row r="1197" spans="2:23" ht="24" customHeight="1">
      <c r="B1197" s="67"/>
      <c r="H1197" s="347">
        <v>44558</v>
      </c>
      <c r="I1197" s="347"/>
      <c r="J1197" s="345"/>
      <c r="K1197" s="703"/>
      <c r="L1197" s="342"/>
      <c r="M1197" s="342"/>
      <c r="N1197" s="340"/>
      <c r="O1197" s="703"/>
      <c r="P1197" s="342"/>
      <c r="Q1197" s="363"/>
      <c r="R1197" s="340"/>
      <c r="S1197" s="342"/>
      <c r="T1197" s="342"/>
      <c r="U1197" s="342"/>
      <c r="V1197" s="340"/>
      <c r="W1197" s="340"/>
    </row>
    <row r="1198" spans="2:23" ht="24" customHeight="1">
      <c r="B1198" s="67"/>
      <c r="I1198" s="3" t="s">
        <v>59</v>
      </c>
      <c r="J1198" s="345">
        <v>32</v>
      </c>
      <c r="K1198" s="703">
        <v>1504.2711864406779</v>
      </c>
      <c r="L1198" s="342">
        <v>1</v>
      </c>
      <c r="M1198" s="342">
        <v>20.4527</v>
      </c>
      <c r="N1198" s="340">
        <v>30766.407294915254</v>
      </c>
      <c r="O1198" s="703">
        <v>3370.46</v>
      </c>
      <c r="P1198" s="342">
        <v>1</v>
      </c>
      <c r="Q1198" s="363">
        <v>20.6112</v>
      </c>
      <c r="R1198" s="340">
        <v>69469.225151999999</v>
      </c>
      <c r="S1198" s="342">
        <v>117.30800000000001</v>
      </c>
      <c r="T1198" s="342">
        <v>121.02200000000001</v>
      </c>
      <c r="U1198" s="342">
        <v>1.0316000000000001</v>
      </c>
      <c r="V1198" s="340">
        <v>71664.452666803205</v>
      </c>
      <c r="W1198" s="340">
        <v>-40898.045371887951</v>
      </c>
    </row>
    <row r="1199" spans="2:23" ht="24" customHeight="1">
      <c r="J1199" s="345"/>
      <c r="K1199" s="703"/>
      <c r="L1199" s="342"/>
      <c r="M1199" s="342"/>
      <c r="N1199" s="340"/>
      <c r="O1199" s="703"/>
      <c r="P1199" s="342"/>
      <c r="Q1199" s="363"/>
      <c r="R1199" s="340"/>
      <c r="S1199" s="342"/>
      <c r="T1199" s="342"/>
      <c r="U1199" s="342"/>
      <c r="V1199" s="340"/>
      <c r="W1199" s="340"/>
    </row>
    <row r="1200" spans="2:23" ht="24" customHeight="1">
      <c r="B1200" s="67"/>
      <c r="H1200" s="347">
        <v>44559</v>
      </c>
      <c r="I1200" s="347"/>
      <c r="J1200" s="345"/>
      <c r="K1200" s="703"/>
      <c r="L1200" s="342"/>
      <c r="M1200" s="342"/>
      <c r="N1200" s="340"/>
      <c r="O1200" s="703"/>
      <c r="P1200" s="342"/>
      <c r="Q1200" s="363"/>
      <c r="R1200" s="340"/>
      <c r="S1200" s="342"/>
      <c r="T1200" s="342"/>
      <c r="U1200" s="342"/>
      <c r="V1200" s="340"/>
      <c r="W1200" s="340"/>
    </row>
    <row r="1201" spans="2:23" ht="24" customHeight="1">
      <c r="B1201" s="67"/>
      <c r="I1201" s="3" t="s">
        <v>59</v>
      </c>
      <c r="J1201" s="345">
        <v>59</v>
      </c>
      <c r="K1201" s="703">
        <v>2773.7208474576269</v>
      </c>
      <c r="L1201" s="342">
        <v>1</v>
      </c>
      <c r="M1201" s="342">
        <v>20.4527</v>
      </c>
      <c r="N1201" s="340">
        <v>56730.080376796614</v>
      </c>
      <c r="O1201" s="703">
        <v>6199.01</v>
      </c>
      <c r="P1201" s="342">
        <v>1</v>
      </c>
      <c r="Q1201" s="363">
        <v>20.6828</v>
      </c>
      <c r="R1201" s="340">
        <v>128212.88402800001</v>
      </c>
      <c r="S1201" s="342">
        <v>117.30800000000001</v>
      </c>
      <c r="T1201" s="342">
        <v>121.02200000000001</v>
      </c>
      <c r="U1201" s="342">
        <v>1.0316000000000001</v>
      </c>
      <c r="V1201" s="340">
        <v>132264.41116328482</v>
      </c>
      <c r="W1201" s="340">
        <v>-75534.330786488208</v>
      </c>
    </row>
    <row r="1202" spans="2:23" ht="24" customHeight="1">
      <c r="J1202" s="345"/>
      <c r="K1202" s="703"/>
      <c r="L1202" s="342"/>
      <c r="M1202" s="342"/>
      <c r="N1202" s="340"/>
      <c r="O1202" s="703"/>
      <c r="P1202" s="342"/>
      <c r="Q1202" s="363"/>
      <c r="R1202" s="340"/>
      <c r="S1202" s="342"/>
      <c r="T1202" s="342"/>
      <c r="U1202" s="342"/>
      <c r="V1202" s="340"/>
      <c r="W1202" s="340"/>
    </row>
    <row r="1203" spans="2:23" ht="24" customHeight="1">
      <c r="B1203" s="67"/>
      <c r="E1203" s="131" t="s">
        <v>1118</v>
      </c>
      <c r="F1203" s="131"/>
      <c r="G1203" s="131"/>
      <c r="H1203" s="131"/>
      <c r="I1203" s="131"/>
      <c r="J1203" s="704">
        <v>646</v>
      </c>
      <c r="K1203" s="705">
        <v>30408.729999999996</v>
      </c>
      <c r="L1203" s="369">
        <v>1</v>
      </c>
      <c r="M1203" s="377">
        <v>20.117514999999997</v>
      </c>
      <c r="N1203" s="706">
        <v>606377.40265599999</v>
      </c>
      <c r="O1203" s="705">
        <v>59680.530000000006</v>
      </c>
      <c r="P1203" s="369">
        <v>1</v>
      </c>
      <c r="Q1203" s="377">
        <v>20.596299999999996</v>
      </c>
      <c r="R1203" s="706">
        <v>1229249.3657679998</v>
      </c>
      <c r="S1203" s="369">
        <v>116.1508</v>
      </c>
      <c r="T1203" s="369">
        <v>121.02199999999998</v>
      </c>
      <c r="U1203" s="369">
        <v>1.0422350000000005</v>
      </c>
      <c r="V1203" s="706">
        <v>1295692.9410311237</v>
      </c>
      <c r="W1203" s="706">
        <v>-689315.53837512364</v>
      </c>
    </row>
    <row r="1204" spans="2:23" ht="24" customHeight="1">
      <c r="J1204" s="345"/>
      <c r="K1204" s="703"/>
      <c r="L1204" s="342"/>
      <c r="M1204" s="342"/>
      <c r="N1204" s="340"/>
      <c r="O1204" s="703"/>
      <c r="P1204" s="342"/>
      <c r="Q1204" s="363"/>
      <c r="R1204" s="340"/>
      <c r="S1204" s="342"/>
      <c r="T1204" s="342"/>
      <c r="U1204" s="342"/>
      <c r="V1204" s="340"/>
      <c r="W1204" s="340"/>
    </row>
    <row r="1205" spans="2:23" ht="24" customHeight="1">
      <c r="B1205" s="67"/>
      <c r="E1205" s="1" t="s">
        <v>889</v>
      </c>
      <c r="J1205" s="345"/>
      <c r="K1205" s="703"/>
      <c r="L1205" s="342"/>
      <c r="M1205" s="342"/>
      <c r="N1205" s="340"/>
      <c r="O1205" s="703"/>
      <c r="P1205" s="342"/>
      <c r="Q1205" s="363"/>
      <c r="R1205" s="340"/>
      <c r="S1205" s="342"/>
      <c r="T1205" s="342"/>
      <c r="U1205" s="342"/>
      <c r="V1205" s="340"/>
      <c r="W1205" s="340"/>
    </row>
    <row r="1206" spans="2:23" ht="24" customHeight="1">
      <c r="B1206" s="67"/>
      <c r="F1206" s="346">
        <v>44580</v>
      </c>
      <c r="G1206" s="346"/>
      <c r="H1206" s="346"/>
      <c r="I1206" s="346"/>
      <c r="J1206" s="345"/>
      <c r="K1206" s="703"/>
      <c r="L1206" s="342"/>
      <c r="M1206" s="342"/>
      <c r="N1206" s="340"/>
      <c r="O1206" s="703"/>
      <c r="P1206" s="342"/>
      <c r="Q1206" s="363"/>
      <c r="R1206" s="340"/>
      <c r="S1206" s="342"/>
      <c r="T1206" s="342"/>
      <c r="U1206" s="342"/>
      <c r="V1206" s="340"/>
      <c r="W1206" s="340"/>
    </row>
    <row r="1207" spans="2:23" ht="24" customHeight="1">
      <c r="B1207" s="67"/>
      <c r="G1207" s="3" t="s">
        <v>59</v>
      </c>
      <c r="H1207" s="3"/>
      <c r="I1207" s="3"/>
      <c r="J1207" s="345"/>
      <c r="K1207" s="703"/>
      <c r="L1207" s="342"/>
      <c r="M1207" s="342"/>
      <c r="N1207" s="340"/>
      <c r="O1207" s="703"/>
      <c r="P1207" s="342"/>
      <c r="Q1207" s="363"/>
      <c r="R1207" s="340"/>
      <c r="S1207" s="342"/>
      <c r="T1207" s="342"/>
      <c r="U1207" s="342"/>
      <c r="V1207" s="340"/>
      <c r="W1207" s="340"/>
    </row>
    <row r="1208" spans="2:23" ht="24" customHeight="1">
      <c r="B1208" s="67"/>
      <c r="H1208" s="347">
        <v>44495</v>
      </c>
      <c r="I1208" s="347"/>
      <c r="J1208" s="345"/>
      <c r="K1208" s="703"/>
      <c r="L1208" s="342"/>
      <c r="M1208" s="342"/>
      <c r="N1208" s="340"/>
      <c r="O1208" s="703"/>
      <c r="P1208" s="342"/>
      <c r="Q1208" s="363"/>
      <c r="R1208" s="340"/>
      <c r="S1208" s="342"/>
      <c r="T1208" s="342"/>
      <c r="U1208" s="342"/>
      <c r="V1208" s="340"/>
      <c r="W1208" s="340"/>
    </row>
    <row r="1209" spans="2:23" ht="24" customHeight="1">
      <c r="B1209" s="67"/>
      <c r="I1209" s="3" t="s">
        <v>59</v>
      </c>
      <c r="J1209" s="345">
        <v>150</v>
      </c>
      <c r="K1209" s="703">
        <v>6403.8161157024788</v>
      </c>
      <c r="L1209" s="342">
        <v>1</v>
      </c>
      <c r="M1209" s="342">
        <v>20.3002</v>
      </c>
      <c r="N1209" s="340">
        <v>129998.74791198346</v>
      </c>
      <c r="O1209" s="703">
        <v>10415.553370786516</v>
      </c>
      <c r="P1209" s="342">
        <v>1</v>
      </c>
      <c r="Q1209" s="363">
        <v>20.183700000000002</v>
      </c>
      <c r="R1209" s="340">
        <v>210224.40456994381</v>
      </c>
      <c r="S1209" s="342">
        <v>115.56100000000001</v>
      </c>
      <c r="T1209" s="342">
        <v>117.30800000000001</v>
      </c>
      <c r="U1209" s="342">
        <v>1.0150999999999999</v>
      </c>
      <c r="V1209" s="340">
        <v>213398.79307894994</v>
      </c>
      <c r="W1209" s="340">
        <v>-83400.045166966476</v>
      </c>
    </row>
    <row r="1210" spans="2:23" ht="24" customHeight="1">
      <c r="J1210" s="345"/>
      <c r="K1210" s="703"/>
      <c r="L1210" s="342"/>
      <c r="M1210" s="342"/>
      <c r="N1210" s="340"/>
      <c r="O1210" s="703"/>
      <c r="P1210" s="342"/>
      <c r="Q1210" s="363"/>
      <c r="R1210" s="340"/>
      <c r="S1210" s="342"/>
      <c r="T1210" s="342"/>
      <c r="U1210" s="342"/>
      <c r="V1210" s="340"/>
      <c r="W1210" s="340"/>
    </row>
    <row r="1211" spans="2:23" ht="24" customHeight="1">
      <c r="B1211" s="67"/>
      <c r="H1211" s="347">
        <v>44484</v>
      </c>
      <c r="I1211" s="347"/>
      <c r="J1211" s="345"/>
      <c r="K1211" s="703"/>
      <c r="L1211" s="342"/>
      <c r="M1211" s="342"/>
      <c r="N1211" s="340"/>
      <c r="O1211" s="703"/>
      <c r="P1211" s="342"/>
      <c r="Q1211" s="363"/>
      <c r="R1211" s="340"/>
      <c r="S1211" s="342"/>
      <c r="T1211" s="342"/>
      <c r="U1211" s="342"/>
      <c r="V1211" s="340"/>
      <c r="W1211" s="340"/>
    </row>
    <row r="1212" spans="2:23" ht="24" customHeight="1">
      <c r="B1212" s="67"/>
      <c r="I1212" s="3" t="s">
        <v>59</v>
      </c>
      <c r="J1212" s="345">
        <v>140</v>
      </c>
      <c r="K1212" s="703">
        <v>5963.0938842975211</v>
      </c>
      <c r="L1212" s="342">
        <v>1</v>
      </c>
      <c r="M1212" s="342">
        <v>20.3002</v>
      </c>
      <c r="N1212" s="340">
        <v>121051.99847001654</v>
      </c>
      <c r="O1212" s="703">
        <v>8890.2947368421064</v>
      </c>
      <c r="P1212" s="342">
        <v>1</v>
      </c>
      <c r="Q1212" s="363">
        <v>20.682700000000001</v>
      </c>
      <c r="R1212" s="340">
        <v>183875.29895368425</v>
      </c>
      <c r="S1212" s="342">
        <v>115.56099999999999</v>
      </c>
      <c r="T1212" s="342">
        <v>117.30800000000001</v>
      </c>
      <c r="U1212" s="342">
        <v>1.0150999999999999</v>
      </c>
      <c r="V1212" s="340">
        <v>186651.81596788485</v>
      </c>
      <c r="W1212" s="340">
        <v>-65599.817497868309</v>
      </c>
    </row>
    <row r="1213" spans="2:23" ht="24" customHeight="1">
      <c r="J1213" s="345"/>
      <c r="K1213" s="703"/>
      <c r="L1213" s="342"/>
      <c r="M1213" s="342"/>
      <c r="N1213" s="340"/>
      <c r="O1213" s="703"/>
      <c r="P1213" s="342"/>
      <c r="Q1213" s="363"/>
      <c r="R1213" s="340"/>
      <c r="S1213" s="342"/>
      <c r="T1213" s="342"/>
      <c r="U1213" s="342"/>
      <c r="V1213" s="340"/>
      <c r="W1213" s="340"/>
    </row>
    <row r="1214" spans="2:23" ht="24" customHeight="1">
      <c r="B1214" s="67"/>
      <c r="F1214" s="346">
        <v>44579</v>
      </c>
      <c r="G1214" s="346"/>
      <c r="H1214" s="346"/>
      <c r="I1214" s="346"/>
      <c r="J1214" s="345"/>
      <c r="K1214" s="703"/>
      <c r="L1214" s="342"/>
      <c r="M1214" s="342"/>
      <c r="N1214" s="340"/>
      <c r="O1214" s="703"/>
      <c r="P1214" s="342"/>
      <c r="Q1214" s="363"/>
      <c r="R1214" s="340"/>
      <c r="S1214" s="342"/>
      <c r="T1214" s="342"/>
      <c r="U1214" s="342"/>
      <c r="V1214" s="340"/>
      <c r="W1214" s="340"/>
    </row>
    <row r="1215" spans="2:23" ht="24" customHeight="1">
      <c r="B1215" s="67"/>
      <c r="G1215" s="3" t="s">
        <v>59</v>
      </c>
      <c r="H1215" s="3"/>
      <c r="I1215" s="3"/>
      <c r="J1215" s="345"/>
      <c r="K1215" s="703"/>
      <c r="L1215" s="342"/>
      <c r="M1215" s="342"/>
      <c r="N1215" s="340"/>
      <c r="O1215" s="703"/>
      <c r="P1215" s="342"/>
      <c r="Q1215" s="363"/>
      <c r="R1215" s="340"/>
      <c r="S1215" s="342"/>
      <c r="T1215" s="342"/>
      <c r="U1215" s="342"/>
      <c r="V1215" s="340"/>
      <c r="W1215" s="340"/>
    </row>
    <row r="1216" spans="2:23" ht="24" customHeight="1">
      <c r="B1216" s="67"/>
      <c r="H1216" s="347">
        <v>44481</v>
      </c>
      <c r="I1216" s="347"/>
      <c r="J1216" s="345"/>
      <c r="K1216" s="703"/>
      <c r="L1216" s="342"/>
      <c r="M1216" s="342"/>
      <c r="N1216" s="340"/>
      <c r="O1216" s="703"/>
      <c r="P1216" s="342"/>
      <c r="Q1216" s="363"/>
      <c r="R1216" s="340"/>
      <c r="S1216" s="342"/>
      <c r="T1216" s="342"/>
      <c r="U1216" s="342"/>
      <c r="V1216" s="340"/>
      <c r="W1216" s="340"/>
    </row>
    <row r="1217" spans="2:23" ht="24" customHeight="1">
      <c r="B1217" s="67"/>
      <c r="I1217" s="3" t="s">
        <v>59</v>
      </c>
      <c r="J1217" s="345">
        <v>42</v>
      </c>
      <c r="K1217" s="703">
        <v>1875.6295384615387</v>
      </c>
      <c r="L1217" s="342">
        <v>1</v>
      </c>
      <c r="M1217" s="342">
        <v>20.311800000000002</v>
      </c>
      <c r="N1217" s="340">
        <v>38097.412059323084</v>
      </c>
      <c r="O1217" s="703">
        <v>2643.4301249999999</v>
      </c>
      <c r="P1217" s="342">
        <v>1</v>
      </c>
      <c r="Q1217" s="363">
        <v>20.729299999999999</v>
      </c>
      <c r="R1217" s="340">
        <v>54796.456090162494</v>
      </c>
      <c r="S1217" s="342">
        <v>115.56100000000001</v>
      </c>
      <c r="T1217" s="342">
        <v>117.30800000000001</v>
      </c>
      <c r="U1217" s="342">
        <v>1.0150999999999999</v>
      </c>
      <c r="V1217" s="340">
        <v>55623.882577123943</v>
      </c>
      <c r="W1217" s="340">
        <v>-17526.470517800866</v>
      </c>
    </row>
    <row r="1218" spans="2:23" ht="24" customHeight="1">
      <c r="J1218" s="345"/>
      <c r="K1218" s="703"/>
      <c r="L1218" s="342"/>
      <c r="M1218" s="342"/>
      <c r="N1218" s="340"/>
      <c r="O1218" s="703"/>
      <c r="P1218" s="342"/>
      <c r="Q1218" s="363"/>
      <c r="R1218" s="340"/>
      <c r="S1218" s="342"/>
      <c r="T1218" s="342"/>
      <c r="U1218" s="342"/>
      <c r="V1218" s="340"/>
      <c r="W1218" s="340"/>
    </row>
    <row r="1219" spans="2:23" ht="24" customHeight="1">
      <c r="B1219" s="67"/>
      <c r="H1219" s="347">
        <v>44482</v>
      </c>
      <c r="I1219" s="347"/>
      <c r="J1219" s="345"/>
      <c r="K1219" s="703"/>
      <c r="L1219" s="342"/>
      <c r="M1219" s="342"/>
      <c r="N1219" s="340"/>
      <c r="O1219" s="703"/>
      <c r="P1219" s="342"/>
      <c r="Q1219" s="363"/>
      <c r="R1219" s="340"/>
      <c r="S1219" s="342"/>
      <c r="T1219" s="342"/>
      <c r="U1219" s="342"/>
      <c r="V1219" s="340"/>
      <c r="W1219" s="340"/>
    </row>
    <row r="1220" spans="2:23" ht="24" customHeight="1">
      <c r="B1220" s="67"/>
      <c r="I1220" s="3" t="s">
        <v>59</v>
      </c>
      <c r="J1220" s="345">
        <v>195</v>
      </c>
      <c r="K1220" s="703">
        <v>8584.8703403263407</v>
      </c>
      <c r="L1220" s="342">
        <v>1</v>
      </c>
      <c r="M1220" s="342">
        <v>20.311800000000002</v>
      </c>
      <c r="N1220" s="340">
        <v>174374.1693786406</v>
      </c>
      <c r="O1220" s="703">
        <v>12187.75</v>
      </c>
      <c r="P1220" s="342">
        <v>1</v>
      </c>
      <c r="Q1220" s="363">
        <v>20.8017</v>
      </c>
      <c r="R1220" s="340">
        <v>253525.91917500002</v>
      </c>
      <c r="S1220" s="342">
        <v>115.56100000000001</v>
      </c>
      <c r="T1220" s="342">
        <v>117.30800000000001</v>
      </c>
      <c r="U1220" s="342">
        <v>1.0150999999999999</v>
      </c>
      <c r="V1220" s="340">
        <v>257354.16055454247</v>
      </c>
      <c r="W1220" s="340">
        <v>-82979.991175901887</v>
      </c>
    </row>
    <row r="1221" spans="2:23" ht="24" customHeight="1">
      <c r="J1221" s="345"/>
      <c r="K1221" s="703"/>
      <c r="L1221" s="342"/>
      <c r="M1221" s="342"/>
      <c r="N1221" s="340"/>
      <c r="O1221" s="703"/>
      <c r="P1221" s="342"/>
      <c r="Q1221" s="363"/>
      <c r="R1221" s="340"/>
      <c r="S1221" s="342"/>
      <c r="T1221" s="342"/>
      <c r="U1221" s="342"/>
      <c r="V1221" s="340"/>
      <c r="W1221" s="340"/>
    </row>
    <row r="1222" spans="2:23" ht="24" customHeight="1">
      <c r="B1222" s="67"/>
      <c r="H1222" s="347">
        <v>44484</v>
      </c>
      <c r="I1222" s="347"/>
      <c r="J1222" s="345"/>
      <c r="K1222" s="703"/>
      <c r="L1222" s="342"/>
      <c r="M1222" s="342"/>
      <c r="N1222" s="340"/>
      <c r="O1222" s="703"/>
      <c r="P1222" s="342"/>
      <c r="Q1222" s="363"/>
      <c r="R1222" s="340"/>
      <c r="S1222" s="342"/>
      <c r="T1222" s="342"/>
      <c r="U1222" s="342"/>
      <c r="V1222" s="340"/>
      <c r="W1222" s="340"/>
    </row>
    <row r="1223" spans="2:23" ht="24" customHeight="1">
      <c r="B1223" s="67"/>
      <c r="I1223" s="3" t="s">
        <v>59</v>
      </c>
      <c r="J1223" s="345">
        <v>73</v>
      </c>
      <c r="K1223" s="703">
        <v>3192.6201212121214</v>
      </c>
      <c r="L1223" s="342">
        <v>1</v>
      </c>
      <c r="M1223" s="342">
        <v>20.311800000000002</v>
      </c>
      <c r="N1223" s="340">
        <v>64847.861378036367</v>
      </c>
      <c r="O1223" s="703">
        <v>4646.8352631578955</v>
      </c>
      <c r="P1223" s="342">
        <v>1</v>
      </c>
      <c r="Q1223" s="363">
        <v>20.682700000000001</v>
      </c>
      <c r="R1223" s="340">
        <v>96109.099697315803</v>
      </c>
      <c r="S1223" s="342">
        <v>115.56100000000001</v>
      </c>
      <c r="T1223" s="342">
        <v>117.30800000000002</v>
      </c>
      <c r="U1223" s="342">
        <v>1.0150999999999999</v>
      </c>
      <c r="V1223" s="340">
        <v>97560.347102745247</v>
      </c>
      <c r="W1223" s="340">
        <v>-32712.485724708884</v>
      </c>
    </row>
    <row r="1224" spans="2:23" ht="24" customHeight="1">
      <c r="J1224" s="345"/>
      <c r="K1224" s="703"/>
      <c r="L1224" s="342"/>
      <c r="M1224" s="342"/>
      <c r="N1224" s="340"/>
      <c r="O1224" s="703"/>
      <c r="P1224" s="342"/>
      <c r="Q1224" s="363"/>
      <c r="R1224" s="340"/>
      <c r="S1224" s="342"/>
      <c r="T1224" s="342"/>
      <c r="U1224" s="342"/>
      <c r="V1224" s="340"/>
      <c r="W1224" s="340"/>
    </row>
    <row r="1225" spans="2:23" ht="24" customHeight="1">
      <c r="B1225" s="67"/>
      <c r="F1225" s="346">
        <v>44581</v>
      </c>
      <c r="G1225" s="346"/>
      <c r="H1225" s="346"/>
      <c r="I1225" s="346"/>
      <c r="J1225" s="345"/>
      <c r="K1225" s="703"/>
      <c r="L1225" s="342"/>
      <c r="M1225" s="342"/>
      <c r="N1225" s="340"/>
      <c r="O1225" s="703"/>
      <c r="P1225" s="342"/>
      <c r="Q1225" s="363"/>
      <c r="R1225" s="340"/>
      <c r="S1225" s="342"/>
      <c r="T1225" s="342"/>
      <c r="U1225" s="342"/>
      <c r="V1225" s="340"/>
      <c r="W1225" s="340"/>
    </row>
    <row r="1226" spans="2:23" ht="24" customHeight="1">
      <c r="B1226" s="67"/>
      <c r="G1226" s="3" t="s">
        <v>59</v>
      </c>
      <c r="H1226" s="3"/>
      <c r="I1226" s="3"/>
      <c r="J1226" s="345"/>
      <c r="K1226" s="703"/>
      <c r="L1226" s="342"/>
      <c r="M1226" s="342"/>
      <c r="N1226" s="340"/>
      <c r="O1226" s="703"/>
      <c r="P1226" s="342"/>
      <c r="Q1226" s="363"/>
      <c r="R1226" s="340"/>
      <c r="S1226" s="342"/>
      <c r="T1226" s="342"/>
      <c r="U1226" s="342"/>
      <c r="V1226" s="340"/>
      <c r="W1226" s="340"/>
    </row>
    <row r="1227" spans="2:23" ht="24" customHeight="1">
      <c r="B1227" s="67"/>
      <c r="H1227" s="347">
        <v>44519</v>
      </c>
      <c r="I1227" s="347"/>
      <c r="J1227" s="345"/>
      <c r="K1227" s="703"/>
      <c r="L1227" s="342"/>
      <c r="M1227" s="342"/>
      <c r="N1227" s="340"/>
      <c r="O1227" s="703"/>
      <c r="P1227" s="342"/>
      <c r="Q1227" s="363"/>
      <c r="R1227" s="340"/>
      <c r="S1227" s="342"/>
      <c r="T1227" s="342"/>
      <c r="U1227" s="342"/>
      <c r="V1227" s="340"/>
      <c r="W1227" s="340"/>
    </row>
    <row r="1228" spans="2:23" ht="24" customHeight="1">
      <c r="B1228" s="67"/>
      <c r="I1228" s="3" t="s">
        <v>59</v>
      </c>
      <c r="J1228" s="345">
        <v>1</v>
      </c>
      <c r="K1228" s="703">
        <v>43.233103448275862</v>
      </c>
      <c r="L1228" s="342">
        <v>1</v>
      </c>
      <c r="M1228" s="342">
        <v>20.402999999999999</v>
      </c>
      <c r="N1228" s="340">
        <v>882.08500965517237</v>
      </c>
      <c r="O1228" s="703">
        <v>74.98</v>
      </c>
      <c r="P1228" s="342">
        <v>1</v>
      </c>
      <c r="Q1228" s="363">
        <v>20.691199999999998</v>
      </c>
      <c r="R1228" s="340">
        <v>1551.4261759999999</v>
      </c>
      <c r="S1228" s="342">
        <v>116.884</v>
      </c>
      <c r="T1228" s="342">
        <v>117.30800000000001</v>
      </c>
      <c r="U1228" s="342">
        <v>1.0036</v>
      </c>
      <c r="V1228" s="340">
        <v>1557.0113102335999</v>
      </c>
      <c r="W1228" s="340">
        <v>-674.92630057842757</v>
      </c>
    </row>
    <row r="1229" spans="2:23" ht="24" customHeight="1">
      <c r="J1229" s="345"/>
      <c r="K1229" s="703"/>
      <c r="L1229" s="342"/>
      <c r="M1229" s="342"/>
      <c r="N1229" s="340"/>
      <c r="O1229" s="703"/>
      <c r="P1229" s="342"/>
      <c r="Q1229" s="363"/>
      <c r="R1229" s="340"/>
      <c r="S1229" s="342"/>
      <c r="T1229" s="342"/>
      <c r="U1229" s="342"/>
      <c r="V1229" s="340"/>
      <c r="W1229" s="340"/>
    </row>
    <row r="1230" spans="2:23" ht="24" customHeight="1">
      <c r="B1230" s="67"/>
      <c r="H1230" s="347">
        <v>44495</v>
      </c>
      <c r="I1230" s="347"/>
      <c r="J1230" s="345"/>
      <c r="K1230" s="703"/>
      <c r="L1230" s="342"/>
      <c r="M1230" s="342"/>
      <c r="N1230" s="340"/>
      <c r="O1230" s="703"/>
      <c r="P1230" s="342"/>
      <c r="Q1230" s="363"/>
      <c r="R1230" s="340"/>
      <c r="S1230" s="342"/>
      <c r="T1230" s="342"/>
      <c r="U1230" s="342"/>
      <c r="V1230" s="340"/>
      <c r="W1230" s="340"/>
    </row>
    <row r="1231" spans="2:23" ht="24" customHeight="1">
      <c r="B1231" s="67"/>
      <c r="I1231" s="3" t="s">
        <v>59</v>
      </c>
      <c r="J1231" s="345">
        <v>28</v>
      </c>
      <c r="K1231" s="703">
        <v>1210.5268965517241</v>
      </c>
      <c r="L1231" s="342">
        <v>1</v>
      </c>
      <c r="M1231" s="342">
        <v>20.402999999999999</v>
      </c>
      <c r="N1231" s="340">
        <v>24698.380270344827</v>
      </c>
      <c r="O1231" s="703">
        <v>1944.2366292134832</v>
      </c>
      <c r="P1231" s="342">
        <v>1</v>
      </c>
      <c r="Q1231" s="363">
        <v>20.183700000000002</v>
      </c>
      <c r="R1231" s="340">
        <v>39241.888853056182</v>
      </c>
      <c r="S1231" s="342">
        <v>115.56100000000001</v>
      </c>
      <c r="T1231" s="342">
        <v>117.30800000000001</v>
      </c>
      <c r="U1231" s="342">
        <v>1.0150999999999999</v>
      </c>
      <c r="V1231" s="340">
        <v>39834.441374737326</v>
      </c>
      <c r="W1231" s="340">
        <v>-15136.061104392498</v>
      </c>
    </row>
    <row r="1232" spans="2:23" ht="24" customHeight="1">
      <c r="J1232" s="345"/>
      <c r="K1232" s="703"/>
      <c r="L1232" s="342"/>
      <c r="M1232" s="342"/>
      <c r="N1232" s="340"/>
      <c r="O1232" s="703"/>
      <c r="P1232" s="342"/>
      <c r="Q1232" s="363"/>
      <c r="R1232" s="340"/>
      <c r="S1232" s="342"/>
      <c r="T1232" s="342"/>
      <c r="U1232" s="342"/>
      <c r="V1232" s="340"/>
      <c r="W1232" s="340"/>
    </row>
    <row r="1233" spans="2:23" ht="24" customHeight="1">
      <c r="B1233" s="67"/>
      <c r="E1233" s="131" t="s">
        <v>1119</v>
      </c>
      <c r="F1233" s="131"/>
      <c r="G1233" s="131"/>
      <c r="H1233" s="131"/>
      <c r="I1233" s="131"/>
      <c r="J1233" s="704">
        <v>629</v>
      </c>
      <c r="K1233" s="705">
        <v>27273.79</v>
      </c>
      <c r="L1233" s="369">
        <v>1</v>
      </c>
      <c r="M1233" s="377">
        <v>20.320300000000003</v>
      </c>
      <c r="N1233" s="706">
        <v>553950.65447800013</v>
      </c>
      <c r="O1233" s="705">
        <v>40803.080125000008</v>
      </c>
      <c r="P1233" s="369">
        <v>1</v>
      </c>
      <c r="Q1233" s="377">
        <v>20.65351875</v>
      </c>
      <c r="R1233" s="706">
        <v>839324.4935151625</v>
      </c>
      <c r="S1233" s="369">
        <v>115.64368749999998</v>
      </c>
      <c r="T1233" s="369">
        <v>117.30800000000001</v>
      </c>
      <c r="U1233" s="369">
        <v>1.0143812500000002</v>
      </c>
      <c r="V1233" s="706">
        <v>851980.45196621737</v>
      </c>
      <c r="W1233" s="706">
        <v>-298029.79748821736</v>
      </c>
    </row>
    <row r="1234" spans="2:23" ht="24" customHeight="1">
      <c r="J1234" s="345"/>
      <c r="K1234" s="703"/>
      <c r="L1234" s="342"/>
      <c r="M1234" s="342"/>
      <c r="N1234" s="340"/>
      <c r="O1234" s="703"/>
      <c r="P1234" s="342"/>
      <c r="Q1234" s="363"/>
      <c r="R1234" s="340"/>
      <c r="S1234" s="342"/>
      <c r="T1234" s="342"/>
      <c r="U1234" s="342"/>
      <c r="V1234" s="340"/>
      <c r="W1234" s="340"/>
    </row>
    <row r="1235" spans="2:23" ht="24" customHeight="1">
      <c r="B1235" s="67"/>
      <c r="E1235" s="1" t="s">
        <v>949</v>
      </c>
      <c r="J1235" s="345"/>
      <c r="K1235" s="703"/>
      <c r="L1235" s="342"/>
      <c r="M1235" s="342"/>
      <c r="N1235" s="340"/>
      <c r="O1235" s="703"/>
      <c r="P1235" s="342"/>
      <c r="Q1235" s="363"/>
      <c r="R1235" s="340"/>
      <c r="S1235" s="342"/>
      <c r="T1235" s="342"/>
      <c r="U1235" s="342"/>
      <c r="V1235" s="340"/>
      <c r="W1235" s="340"/>
    </row>
    <row r="1236" spans="2:23" ht="24" customHeight="1">
      <c r="B1236" s="67"/>
      <c r="F1236" s="346">
        <v>44767</v>
      </c>
      <c r="G1236" s="346"/>
      <c r="H1236" s="346"/>
      <c r="I1236" s="346"/>
      <c r="J1236" s="345"/>
      <c r="K1236" s="703"/>
      <c r="L1236" s="342"/>
      <c r="M1236" s="342"/>
      <c r="N1236" s="340"/>
      <c r="O1236" s="703"/>
      <c r="P1236" s="342"/>
      <c r="Q1236" s="363"/>
      <c r="R1236" s="340"/>
      <c r="S1236" s="342"/>
      <c r="T1236" s="342"/>
      <c r="U1236" s="342"/>
      <c r="V1236" s="340"/>
      <c r="W1236" s="340"/>
    </row>
    <row r="1237" spans="2:23" ht="24" customHeight="1">
      <c r="B1237" s="67"/>
      <c r="G1237" s="3" t="s">
        <v>59</v>
      </c>
      <c r="H1237" s="3"/>
      <c r="I1237" s="3"/>
      <c r="J1237" s="345"/>
      <c r="K1237" s="703"/>
      <c r="L1237" s="342"/>
      <c r="M1237" s="342"/>
      <c r="N1237" s="340"/>
      <c r="O1237" s="703"/>
      <c r="P1237" s="342"/>
      <c r="Q1237" s="363"/>
      <c r="R1237" s="340"/>
      <c r="S1237" s="342"/>
      <c r="T1237" s="342"/>
      <c r="U1237" s="342"/>
      <c r="V1237" s="340"/>
      <c r="W1237" s="340"/>
    </row>
    <row r="1238" spans="2:23" ht="24" customHeight="1">
      <c r="B1238" s="67"/>
      <c r="H1238" s="347">
        <v>44348</v>
      </c>
      <c r="I1238" s="347"/>
      <c r="J1238" s="345"/>
      <c r="K1238" s="703"/>
      <c r="L1238" s="342"/>
      <c r="M1238" s="342"/>
      <c r="N1238" s="340"/>
      <c r="O1238" s="703"/>
      <c r="P1238" s="342"/>
      <c r="Q1238" s="363"/>
      <c r="R1238" s="340"/>
      <c r="S1238" s="342"/>
      <c r="T1238" s="342"/>
      <c r="U1238" s="342"/>
      <c r="V1238" s="340"/>
      <c r="W1238" s="340"/>
    </row>
    <row r="1239" spans="2:23" ht="24" customHeight="1">
      <c r="B1239" s="67"/>
      <c r="I1239" s="3" t="s">
        <v>59</v>
      </c>
      <c r="J1239" s="345">
        <v>2</v>
      </c>
      <c r="K1239" s="703">
        <v>2645.8024999999998</v>
      </c>
      <c r="L1239" s="342">
        <v>1</v>
      </c>
      <c r="M1239" s="342">
        <v>20.656199999999998</v>
      </c>
      <c r="N1239" s="340">
        <v>54652.225600499994</v>
      </c>
      <c r="O1239" s="703">
        <v>2744.14</v>
      </c>
      <c r="P1239" s="342">
        <v>1</v>
      </c>
      <c r="Q1239" s="363">
        <v>19.944199999999999</v>
      </c>
      <c r="R1239" s="340">
        <v>54729.676987999992</v>
      </c>
      <c r="S1239" s="342">
        <v>113.018</v>
      </c>
      <c r="T1239" s="342">
        <v>122.044</v>
      </c>
      <c r="U1239" s="342">
        <v>1.0798000000000001</v>
      </c>
      <c r="V1239" s="340">
        <v>59097.105211642396</v>
      </c>
      <c r="W1239" s="340">
        <v>-4444.8796111424017</v>
      </c>
    </row>
    <row r="1240" spans="2:23" ht="24" customHeight="1">
      <c r="J1240" s="345"/>
      <c r="K1240" s="703"/>
      <c r="L1240" s="342"/>
      <c r="M1240" s="342"/>
      <c r="N1240" s="340"/>
      <c r="O1240" s="703"/>
      <c r="P1240" s="342"/>
      <c r="Q1240" s="363"/>
      <c r="R1240" s="340"/>
      <c r="S1240" s="342"/>
      <c r="T1240" s="342"/>
      <c r="U1240" s="342"/>
      <c r="V1240" s="340"/>
      <c r="W1240" s="340"/>
    </row>
    <row r="1241" spans="2:23" ht="24" customHeight="1">
      <c r="B1241" s="67"/>
      <c r="H1241" s="347">
        <v>44537</v>
      </c>
      <c r="I1241" s="347"/>
      <c r="J1241" s="345"/>
      <c r="K1241" s="703"/>
      <c r="L1241" s="342"/>
      <c r="M1241" s="342"/>
      <c r="N1241" s="340"/>
      <c r="O1241" s="703"/>
      <c r="P1241" s="342"/>
      <c r="Q1241" s="363"/>
      <c r="R1241" s="340"/>
      <c r="S1241" s="342"/>
      <c r="T1241" s="342"/>
      <c r="U1241" s="342"/>
      <c r="V1241" s="340"/>
      <c r="W1241" s="340"/>
    </row>
    <row r="1242" spans="2:23" ht="24" customHeight="1">
      <c r="B1242" s="67"/>
      <c r="I1242" s="3" t="s">
        <v>59</v>
      </c>
      <c r="J1242" s="345">
        <v>1</v>
      </c>
      <c r="K1242" s="703">
        <v>1322.9012499999999</v>
      </c>
      <c r="L1242" s="342">
        <v>1</v>
      </c>
      <c r="M1242" s="342">
        <v>20.656199999999998</v>
      </c>
      <c r="N1242" s="340">
        <v>27326.112800249997</v>
      </c>
      <c r="O1242" s="703">
        <v>1708.5628571428572</v>
      </c>
      <c r="P1242" s="342">
        <v>1</v>
      </c>
      <c r="Q1242" s="363">
        <v>21.4177</v>
      </c>
      <c r="R1242" s="340">
        <v>36593.486705428571</v>
      </c>
      <c r="S1242" s="342">
        <v>117.30800000000001</v>
      </c>
      <c r="T1242" s="342">
        <v>122.044</v>
      </c>
      <c r="U1242" s="342">
        <v>1.0403</v>
      </c>
      <c r="V1242" s="340">
        <v>38068.204219657346</v>
      </c>
      <c r="W1242" s="340">
        <v>-10742.091419407348</v>
      </c>
    </row>
    <row r="1243" spans="2:23" ht="24" customHeight="1">
      <c r="J1243" s="345"/>
      <c r="K1243" s="703"/>
      <c r="L1243" s="342"/>
      <c r="M1243" s="342"/>
      <c r="N1243" s="340"/>
      <c r="O1243" s="703"/>
      <c r="P1243" s="342"/>
      <c r="Q1243" s="363"/>
      <c r="R1243" s="340"/>
      <c r="S1243" s="342"/>
      <c r="T1243" s="342"/>
      <c r="U1243" s="342"/>
      <c r="V1243" s="340"/>
      <c r="W1243" s="340"/>
    </row>
    <row r="1244" spans="2:23" ht="24" customHeight="1">
      <c r="B1244" s="67"/>
      <c r="H1244" s="347">
        <v>44284</v>
      </c>
      <c r="I1244" s="347"/>
      <c r="J1244" s="345"/>
      <c r="K1244" s="703"/>
      <c r="L1244" s="342"/>
      <c r="M1244" s="342"/>
      <c r="N1244" s="340"/>
      <c r="O1244" s="703"/>
      <c r="P1244" s="342"/>
      <c r="Q1244" s="363"/>
      <c r="R1244" s="340"/>
      <c r="S1244" s="342"/>
      <c r="T1244" s="342"/>
      <c r="U1244" s="342"/>
      <c r="V1244" s="340"/>
      <c r="W1244" s="340"/>
    </row>
    <row r="1245" spans="2:23" ht="24" customHeight="1">
      <c r="B1245" s="67"/>
      <c r="I1245" s="3" t="s">
        <v>59</v>
      </c>
      <c r="J1245" s="345">
        <v>3</v>
      </c>
      <c r="K1245" s="703">
        <v>3977.3861538461538</v>
      </c>
      <c r="L1245" s="342">
        <v>1</v>
      </c>
      <c r="M1245" s="342">
        <v>20.656199999999998</v>
      </c>
      <c r="N1245" s="340">
        <v>82157.683871076908</v>
      </c>
      <c r="O1245" s="703">
        <v>4282.8133333333335</v>
      </c>
      <c r="P1245" s="342">
        <v>1</v>
      </c>
      <c r="Q1245" s="363">
        <v>20.766200000000001</v>
      </c>
      <c r="R1245" s="340">
        <v>88937.758242666678</v>
      </c>
      <c r="S1245" s="342">
        <v>111.824</v>
      </c>
      <c r="T1245" s="342">
        <v>122.044</v>
      </c>
      <c r="U1245" s="342">
        <v>1.0912999999999999</v>
      </c>
      <c r="V1245" s="340">
        <v>97057.775570222133</v>
      </c>
      <c r="W1245" s="340">
        <v>-14900.091699145225</v>
      </c>
    </row>
    <row r="1246" spans="2:23" ht="24" customHeight="1">
      <c r="J1246" s="345"/>
      <c r="K1246" s="703"/>
      <c r="L1246" s="342"/>
      <c r="M1246" s="342"/>
      <c r="N1246" s="340"/>
      <c r="O1246" s="703"/>
      <c r="P1246" s="342"/>
      <c r="Q1246" s="363"/>
      <c r="R1246" s="340"/>
      <c r="S1246" s="342"/>
      <c r="T1246" s="342"/>
      <c r="U1246" s="342"/>
      <c r="V1246" s="340"/>
      <c r="W1246" s="340"/>
    </row>
    <row r="1247" spans="2:23" ht="24" customHeight="1">
      <c r="B1247" s="67"/>
      <c r="H1247" s="347">
        <v>44298</v>
      </c>
      <c r="I1247" s="347"/>
      <c r="J1247" s="345"/>
      <c r="K1247" s="703"/>
      <c r="L1247" s="342"/>
      <c r="M1247" s="342"/>
      <c r="N1247" s="340"/>
      <c r="O1247" s="703"/>
      <c r="P1247" s="342"/>
      <c r="Q1247" s="363"/>
      <c r="R1247" s="340"/>
      <c r="S1247" s="342"/>
      <c r="T1247" s="342"/>
      <c r="U1247" s="342"/>
      <c r="V1247" s="340"/>
      <c r="W1247" s="340"/>
    </row>
    <row r="1248" spans="2:23" ht="24" customHeight="1">
      <c r="B1248" s="67"/>
      <c r="I1248" s="3" t="s">
        <v>59</v>
      </c>
      <c r="J1248" s="345">
        <v>15</v>
      </c>
      <c r="K1248" s="703">
        <v>19872.460096153845</v>
      </c>
      <c r="L1248" s="342">
        <v>1</v>
      </c>
      <c r="M1248" s="342">
        <v>20.656199999999998</v>
      </c>
      <c r="N1248" s="340">
        <v>410489.51023817301</v>
      </c>
      <c r="O1248" s="703">
        <v>22915.61</v>
      </c>
      <c r="P1248" s="342">
        <v>1</v>
      </c>
      <c r="Q1248" s="363">
        <v>20.088999999999999</v>
      </c>
      <c r="R1248" s="340">
        <v>460351.68929000001</v>
      </c>
      <c r="S1248" s="342">
        <v>112.19</v>
      </c>
      <c r="T1248" s="342">
        <v>122.044</v>
      </c>
      <c r="U1248" s="342">
        <v>1.0878000000000001</v>
      </c>
      <c r="V1248" s="340">
        <v>500770.56760966207</v>
      </c>
      <c r="W1248" s="340">
        <v>-90281.057371489034</v>
      </c>
    </row>
    <row r="1249" spans="2:23" ht="24" customHeight="1">
      <c r="J1249" s="345"/>
      <c r="K1249" s="703"/>
      <c r="L1249" s="342"/>
      <c r="M1249" s="342"/>
      <c r="N1249" s="340"/>
      <c r="O1249" s="703"/>
      <c r="P1249" s="342"/>
      <c r="Q1249" s="363"/>
      <c r="R1249" s="340"/>
      <c r="S1249" s="342"/>
      <c r="T1249" s="342"/>
      <c r="U1249" s="342"/>
      <c r="V1249" s="340"/>
      <c r="W1249" s="340"/>
    </row>
    <row r="1250" spans="2:23" ht="24" customHeight="1">
      <c r="B1250" s="67"/>
      <c r="F1250" s="346">
        <v>44769</v>
      </c>
      <c r="G1250" s="346"/>
      <c r="H1250" s="346"/>
      <c r="I1250" s="346"/>
      <c r="J1250" s="345"/>
      <c r="K1250" s="703"/>
      <c r="L1250" s="342"/>
      <c r="M1250" s="342"/>
      <c r="N1250" s="340"/>
      <c r="O1250" s="703"/>
      <c r="P1250" s="342"/>
      <c r="Q1250" s="363"/>
      <c r="R1250" s="340"/>
      <c r="S1250" s="342"/>
      <c r="T1250" s="342"/>
      <c r="U1250" s="342"/>
      <c r="V1250" s="340"/>
      <c r="W1250" s="340"/>
    </row>
    <row r="1251" spans="2:23" ht="24" customHeight="1">
      <c r="B1251" s="67"/>
      <c r="G1251" s="3" t="s">
        <v>59</v>
      </c>
      <c r="H1251" s="3"/>
      <c r="I1251" s="3"/>
      <c r="J1251" s="345"/>
      <c r="K1251" s="703"/>
      <c r="L1251" s="342"/>
      <c r="M1251" s="342"/>
      <c r="N1251" s="340"/>
      <c r="O1251" s="703"/>
      <c r="P1251" s="342"/>
      <c r="Q1251" s="363"/>
      <c r="R1251" s="340"/>
      <c r="S1251" s="342"/>
      <c r="T1251" s="342"/>
      <c r="U1251" s="342"/>
      <c r="V1251" s="340"/>
      <c r="W1251" s="340"/>
    </row>
    <row r="1252" spans="2:23" ht="24" customHeight="1">
      <c r="B1252" s="67"/>
      <c r="H1252" s="347">
        <v>44537</v>
      </c>
      <c r="I1252" s="347"/>
      <c r="J1252" s="345"/>
      <c r="K1252" s="703"/>
      <c r="L1252" s="342"/>
      <c r="M1252" s="342"/>
      <c r="N1252" s="340"/>
      <c r="O1252" s="703"/>
      <c r="P1252" s="342"/>
      <c r="Q1252" s="363"/>
      <c r="R1252" s="340"/>
      <c r="S1252" s="342"/>
      <c r="T1252" s="342"/>
      <c r="U1252" s="342"/>
      <c r="V1252" s="340"/>
      <c r="W1252" s="340"/>
    </row>
    <row r="1253" spans="2:23" ht="24" customHeight="1">
      <c r="B1253" s="67"/>
      <c r="I1253" s="3" t="s">
        <v>59</v>
      </c>
      <c r="J1253" s="345">
        <v>20</v>
      </c>
      <c r="K1253" s="703">
        <v>29789.95</v>
      </c>
      <c r="L1253" s="342">
        <v>1</v>
      </c>
      <c r="M1253" s="342">
        <v>20.465199999999999</v>
      </c>
      <c r="N1253" s="340">
        <v>609657.28474000003</v>
      </c>
      <c r="O1253" s="703">
        <v>34171.257142857146</v>
      </c>
      <c r="P1253" s="342">
        <v>1</v>
      </c>
      <c r="Q1253" s="363">
        <v>21.4177</v>
      </c>
      <c r="R1253" s="340">
        <v>731869.73410857143</v>
      </c>
      <c r="S1253" s="342">
        <v>117.30800000000001</v>
      </c>
      <c r="T1253" s="342">
        <v>122.044</v>
      </c>
      <c r="U1253" s="342">
        <v>1.0403</v>
      </c>
      <c r="V1253" s="340">
        <v>761364.08439314691</v>
      </c>
      <c r="W1253" s="340">
        <v>-151706.79965314682</v>
      </c>
    </row>
    <row r="1254" spans="2:23" ht="24" customHeight="1">
      <c r="J1254" s="345"/>
      <c r="K1254" s="703"/>
      <c r="L1254" s="342"/>
      <c r="M1254" s="342"/>
      <c r="N1254" s="340"/>
      <c r="O1254" s="703"/>
      <c r="P1254" s="342"/>
      <c r="Q1254" s="363"/>
      <c r="R1254" s="340"/>
      <c r="S1254" s="342"/>
      <c r="T1254" s="342"/>
      <c r="U1254" s="342"/>
      <c r="V1254" s="340"/>
      <c r="W1254" s="340"/>
    </row>
    <row r="1255" spans="2:23" ht="24" customHeight="1">
      <c r="B1255" s="67"/>
      <c r="E1255" s="131" t="s">
        <v>1120</v>
      </c>
      <c r="F1255" s="131"/>
      <c r="G1255" s="131"/>
      <c r="H1255" s="131"/>
      <c r="I1255" s="131"/>
      <c r="J1255" s="704">
        <v>41</v>
      </c>
      <c r="K1255" s="705">
        <v>57608.5</v>
      </c>
      <c r="L1255" s="369">
        <v>1</v>
      </c>
      <c r="M1255" s="377">
        <v>20.608450000000001</v>
      </c>
      <c r="N1255" s="706">
        <v>1184282.8172499998</v>
      </c>
      <c r="O1255" s="705">
        <v>65822.383333333346</v>
      </c>
      <c r="P1255" s="369">
        <v>1</v>
      </c>
      <c r="Q1255" s="377">
        <v>20.653812500000001</v>
      </c>
      <c r="R1255" s="706">
        <v>1372482.3453346665</v>
      </c>
      <c r="S1255" s="369">
        <v>114.167</v>
      </c>
      <c r="T1255" s="369">
        <v>122.044</v>
      </c>
      <c r="U1255" s="369">
        <v>1.0694250000000001</v>
      </c>
      <c r="V1255" s="706">
        <v>1456357.7370043306</v>
      </c>
      <c r="W1255" s="706">
        <v>-272074.91975433083</v>
      </c>
    </row>
    <row r="1256" spans="2:23" ht="24" customHeight="1">
      <c r="J1256" s="345"/>
      <c r="K1256" s="703"/>
      <c r="L1256" s="342"/>
      <c r="M1256" s="342"/>
      <c r="N1256" s="340"/>
      <c r="O1256" s="703"/>
      <c r="P1256" s="342"/>
      <c r="Q1256" s="363"/>
      <c r="R1256" s="340"/>
      <c r="S1256" s="342"/>
      <c r="T1256" s="342"/>
      <c r="U1256" s="342"/>
      <c r="V1256" s="340"/>
      <c r="W1256" s="340"/>
    </row>
    <row r="1257" spans="2:23" ht="24" customHeight="1">
      <c r="B1257" s="67"/>
      <c r="E1257" s="1" t="s">
        <v>884</v>
      </c>
      <c r="J1257" s="345"/>
      <c r="K1257" s="703"/>
      <c r="L1257" s="342"/>
      <c r="M1257" s="342"/>
      <c r="N1257" s="340"/>
      <c r="O1257" s="703"/>
      <c r="P1257" s="342"/>
      <c r="Q1257" s="363"/>
      <c r="R1257" s="340"/>
      <c r="S1257" s="342"/>
      <c r="T1257" s="342"/>
      <c r="U1257" s="342"/>
      <c r="V1257" s="340"/>
      <c r="W1257" s="340"/>
    </row>
    <row r="1258" spans="2:23" ht="24" customHeight="1">
      <c r="B1258" s="67"/>
      <c r="F1258" s="346">
        <v>44656</v>
      </c>
      <c r="G1258" s="346"/>
      <c r="H1258" s="346"/>
      <c r="I1258" s="346"/>
      <c r="J1258" s="345"/>
      <c r="K1258" s="703"/>
      <c r="L1258" s="342"/>
      <c r="M1258" s="342"/>
      <c r="N1258" s="340"/>
      <c r="O1258" s="703"/>
      <c r="P1258" s="342"/>
      <c r="Q1258" s="363"/>
      <c r="R1258" s="340"/>
      <c r="S1258" s="342"/>
      <c r="T1258" s="342"/>
      <c r="U1258" s="342"/>
      <c r="V1258" s="340"/>
      <c r="W1258" s="340"/>
    </row>
    <row r="1259" spans="2:23" ht="24" customHeight="1">
      <c r="B1259" s="67"/>
      <c r="G1259" s="3" t="s">
        <v>59</v>
      </c>
      <c r="H1259" s="3"/>
      <c r="I1259" s="3"/>
      <c r="J1259" s="345"/>
      <c r="K1259" s="703"/>
      <c r="L1259" s="342"/>
      <c r="M1259" s="342"/>
      <c r="N1259" s="340"/>
      <c r="O1259" s="703"/>
      <c r="P1259" s="342"/>
      <c r="Q1259" s="363"/>
      <c r="R1259" s="340"/>
      <c r="S1259" s="342"/>
      <c r="T1259" s="342"/>
      <c r="U1259" s="342"/>
      <c r="V1259" s="340"/>
      <c r="W1259" s="340"/>
    </row>
    <row r="1260" spans="2:23" ht="24" customHeight="1">
      <c r="B1260" s="67"/>
      <c r="H1260" s="347">
        <v>44260</v>
      </c>
      <c r="I1260" s="347"/>
      <c r="J1260" s="345"/>
      <c r="K1260" s="703"/>
      <c r="L1260" s="342"/>
      <c r="M1260" s="342"/>
      <c r="N1260" s="340"/>
      <c r="O1260" s="703"/>
      <c r="P1260" s="342"/>
      <c r="Q1260" s="363"/>
      <c r="R1260" s="340"/>
      <c r="S1260" s="342"/>
      <c r="T1260" s="342"/>
      <c r="U1260" s="342"/>
      <c r="V1260" s="340"/>
      <c r="W1260" s="340"/>
    </row>
    <row r="1261" spans="2:23" ht="24" customHeight="1">
      <c r="B1261" s="67"/>
      <c r="I1261" s="3" t="s">
        <v>59</v>
      </c>
      <c r="J1261" s="345">
        <v>31</v>
      </c>
      <c r="K1261" s="703">
        <v>15912.67153846154</v>
      </c>
      <c r="L1261" s="342">
        <v>1</v>
      </c>
      <c r="M1261" s="342">
        <v>19.8432</v>
      </c>
      <c r="N1261" s="340">
        <v>315758.32387199998</v>
      </c>
      <c r="O1261" s="703">
        <v>11456.562173913044</v>
      </c>
      <c r="P1261" s="342">
        <v>1</v>
      </c>
      <c r="Q1261" s="363">
        <v>20.895700000000001</v>
      </c>
      <c r="R1261" s="340">
        <v>239392.8862174348</v>
      </c>
      <c r="S1261" s="342">
        <v>111.824</v>
      </c>
      <c r="T1261" s="342">
        <v>120.15900000000001</v>
      </c>
      <c r="U1261" s="342">
        <v>1.0745</v>
      </c>
      <c r="V1261" s="340">
        <v>257227.65624063369</v>
      </c>
      <c r="W1261" s="340">
        <v>58530.667631366283</v>
      </c>
    </row>
    <row r="1262" spans="2:23" ht="24" customHeight="1">
      <c r="J1262" s="345"/>
      <c r="K1262" s="703"/>
      <c r="L1262" s="342"/>
      <c r="M1262" s="342"/>
      <c r="N1262" s="340"/>
      <c r="O1262" s="703"/>
      <c r="P1262" s="342"/>
      <c r="Q1262" s="363"/>
      <c r="R1262" s="340"/>
      <c r="S1262" s="342"/>
      <c r="T1262" s="342"/>
      <c r="U1262" s="342"/>
      <c r="V1262" s="340"/>
      <c r="W1262" s="340"/>
    </row>
    <row r="1263" spans="2:23" ht="24" customHeight="1">
      <c r="B1263" s="67"/>
      <c r="H1263" s="347">
        <v>44176</v>
      </c>
      <c r="I1263" s="347"/>
      <c r="J1263" s="345"/>
      <c r="K1263" s="703"/>
      <c r="L1263" s="342"/>
      <c r="M1263" s="342"/>
      <c r="N1263" s="340"/>
      <c r="O1263" s="703"/>
      <c r="P1263" s="342"/>
      <c r="Q1263" s="363"/>
      <c r="R1263" s="340"/>
      <c r="S1263" s="342"/>
      <c r="T1263" s="342"/>
      <c r="U1263" s="342"/>
      <c r="V1263" s="340"/>
      <c r="W1263" s="340"/>
    </row>
    <row r="1264" spans="2:23" ht="24" customHeight="1">
      <c r="B1264" s="67"/>
      <c r="I1264" s="3" t="s">
        <v>59</v>
      </c>
      <c r="J1264" s="345">
        <v>9</v>
      </c>
      <c r="K1264" s="703">
        <v>4598.1584615384618</v>
      </c>
      <c r="L1264" s="342">
        <v>1</v>
      </c>
      <c r="M1264" s="342">
        <v>19.8432</v>
      </c>
      <c r="N1264" s="340">
        <v>91242.177983999994</v>
      </c>
      <c r="O1264" s="703">
        <v>3133.3303124999998</v>
      </c>
      <c r="P1264" s="342">
        <v>1</v>
      </c>
      <c r="Q1264" s="363">
        <v>19.8368</v>
      </c>
      <c r="R1264" s="340">
        <v>62155.246743000003</v>
      </c>
      <c r="S1264" s="342">
        <v>109.271</v>
      </c>
      <c r="T1264" s="342">
        <v>120.15900000000001</v>
      </c>
      <c r="U1264" s="342">
        <v>1.0995999999999999</v>
      </c>
      <c r="V1264" s="340">
        <v>68345.909318602804</v>
      </c>
      <c r="W1264" s="340">
        <v>22896.268665397198</v>
      </c>
    </row>
    <row r="1265" spans="2:23" ht="24" customHeight="1">
      <c r="J1265" s="345"/>
      <c r="K1265" s="703"/>
      <c r="L1265" s="342"/>
      <c r="M1265" s="342"/>
      <c r="N1265" s="340"/>
      <c r="O1265" s="703"/>
      <c r="P1265" s="342"/>
      <c r="Q1265" s="363"/>
      <c r="R1265" s="340"/>
      <c r="S1265" s="342"/>
      <c r="T1265" s="342"/>
      <c r="U1265" s="342"/>
      <c r="V1265" s="340"/>
      <c r="W1265" s="340"/>
    </row>
    <row r="1266" spans="2:23" ht="24" customHeight="1">
      <c r="B1266" s="67"/>
      <c r="F1266" s="346">
        <v>44707</v>
      </c>
      <c r="G1266" s="346"/>
      <c r="H1266" s="346"/>
      <c r="I1266" s="346"/>
      <c r="J1266" s="345"/>
      <c r="K1266" s="703"/>
      <c r="L1266" s="342"/>
      <c r="M1266" s="342"/>
      <c r="N1266" s="340"/>
      <c r="O1266" s="703"/>
      <c r="P1266" s="342"/>
      <c r="Q1266" s="363"/>
      <c r="R1266" s="340"/>
      <c r="S1266" s="342"/>
      <c r="T1266" s="342"/>
      <c r="U1266" s="342"/>
      <c r="V1266" s="340"/>
      <c r="W1266" s="340"/>
    </row>
    <row r="1267" spans="2:23" ht="24" customHeight="1">
      <c r="B1267" s="67"/>
      <c r="G1267" s="3" t="s">
        <v>59</v>
      </c>
      <c r="H1267" s="3"/>
      <c r="I1267" s="3"/>
      <c r="J1267" s="345"/>
      <c r="K1267" s="703"/>
      <c r="L1267" s="342"/>
      <c r="M1267" s="342"/>
      <c r="N1267" s="340"/>
      <c r="O1267" s="703"/>
      <c r="P1267" s="342"/>
      <c r="Q1267" s="363"/>
      <c r="R1267" s="340"/>
      <c r="S1267" s="342"/>
      <c r="T1267" s="342"/>
      <c r="U1267" s="342"/>
      <c r="V1267" s="340"/>
      <c r="W1267" s="340"/>
    </row>
    <row r="1268" spans="2:23" ht="24" customHeight="1">
      <c r="B1268" s="67"/>
      <c r="H1268" s="347">
        <v>44348</v>
      </c>
      <c r="I1268" s="347"/>
      <c r="J1268" s="345"/>
      <c r="K1268" s="703"/>
      <c r="L1268" s="342"/>
      <c r="M1268" s="342"/>
      <c r="N1268" s="340"/>
      <c r="O1268" s="703"/>
      <c r="P1268" s="342"/>
      <c r="Q1268" s="363"/>
      <c r="R1268" s="340"/>
      <c r="S1268" s="342"/>
      <c r="T1268" s="342"/>
      <c r="U1268" s="342"/>
      <c r="V1268" s="340"/>
      <c r="W1268" s="340"/>
    </row>
    <row r="1269" spans="2:23" ht="24" customHeight="1">
      <c r="B1269" s="67"/>
      <c r="I1269" s="3" t="s">
        <v>59</v>
      </c>
      <c r="J1269" s="345">
        <v>22</v>
      </c>
      <c r="K1269" s="703">
        <v>6154.9191578947375</v>
      </c>
      <c r="L1269" s="342">
        <v>1</v>
      </c>
      <c r="M1269" s="342">
        <v>19.887</v>
      </c>
      <c r="N1269" s="340">
        <v>122402.87729305265</v>
      </c>
      <c r="O1269" s="703">
        <v>8138.83</v>
      </c>
      <c r="P1269" s="342">
        <v>1</v>
      </c>
      <c r="Q1269" s="363">
        <v>19.944199999999999</v>
      </c>
      <c r="R1269" s="340">
        <v>162322.45328599997</v>
      </c>
      <c r="S1269" s="342">
        <v>113.018</v>
      </c>
      <c r="T1269" s="342">
        <v>120.809</v>
      </c>
      <c r="U1269" s="342">
        <v>1.0689</v>
      </c>
      <c r="V1269" s="340">
        <v>173506.47031740536</v>
      </c>
      <c r="W1269" s="340">
        <v>-51103.593024352711</v>
      </c>
    </row>
    <row r="1270" spans="2:23" ht="24" customHeight="1">
      <c r="J1270" s="345"/>
      <c r="K1270" s="703"/>
      <c r="L1270" s="342"/>
      <c r="M1270" s="342"/>
      <c r="N1270" s="340"/>
      <c r="O1270" s="703"/>
      <c r="P1270" s="342"/>
      <c r="Q1270" s="363"/>
      <c r="R1270" s="340"/>
      <c r="S1270" s="342"/>
      <c r="T1270" s="342"/>
      <c r="U1270" s="342"/>
      <c r="V1270" s="340"/>
      <c r="W1270" s="340"/>
    </row>
    <row r="1271" spans="2:23" ht="24" customHeight="1">
      <c r="B1271" s="67"/>
      <c r="H1271" s="347">
        <v>44573</v>
      </c>
      <c r="I1271" s="347"/>
      <c r="J1271" s="345"/>
      <c r="K1271" s="703"/>
      <c r="L1271" s="342"/>
      <c r="M1271" s="342"/>
      <c r="N1271" s="340"/>
      <c r="O1271" s="703"/>
      <c r="P1271" s="342"/>
      <c r="Q1271" s="363"/>
      <c r="R1271" s="340"/>
      <c r="S1271" s="342"/>
      <c r="T1271" s="342"/>
      <c r="U1271" s="342"/>
      <c r="V1271" s="340"/>
      <c r="W1271" s="340"/>
    </row>
    <row r="1272" spans="2:23" ht="24" customHeight="1">
      <c r="B1272" s="67"/>
      <c r="I1272" s="3" t="s">
        <v>59</v>
      </c>
      <c r="J1272" s="345">
        <v>21</v>
      </c>
      <c r="K1272" s="703">
        <v>5875.1501052631584</v>
      </c>
      <c r="L1272" s="342">
        <v>1</v>
      </c>
      <c r="M1272" s="342">
        <v>19.887</v>
      </c>
      <c r="N1272" s="340">
        <v>116839.11014336844</v>
      </c>
      <c r="O1272" s="703">
        <v>10422.92</v>
      </c>
      <c r="P1272" s="342">
        <v>1</v>
      </c>
      <c r="Q1272" s="363">
        <v>20.4453</v>
      </c>
      <c r="R1272" s="340">
        <v>213099.726276</v>
      </c>
      <c r="S1272" s="342">
        <v>118.002</v>
      </c>
      <c r="T1272" s="342">
        <v>120.809</v>
      </c>
      <c r="U1272" s="342">
        <v>1.0237000000000001</v>
      </c>
      <c r="V1272" s="340">
        <v>218150.18978874121</v>
      </c>
      <c r="W1272" s="340">
        <v>-101311.07964537277</v>
      </c>
    </row>
    <row r="1273" spans="2:23" ht="24" customHeight="1">
      <c r="J1273" s="345"/>
      <c r="K1273" s="703"/>
      <c r="L1273" s="342"/>
      <c r="M1273" s="342"/>
      <c r="N1273" s="340"/>
      <c r="O1273" s="703"/>
      <c r="P1273" s="342"/>
      <c r="Q1273" s="363"/>
      <c r="R1273" s="340"/>
      <c r="S1273" s="342"/>
      <c r="T1273" s="342"/>
      <c r="U1273" s="342"/>
      <c r="V1273" s="340"/>
      <c r="W1273" s="340"/>
    </row>
    <row r="1274" spans="2:23" ht="24" customHeight="1">
      <c r="B1274" s="67"/>
      <c r="H1274" s="347">
        <v>44260</v>
      </c>
      <c r="I1274" s="347"/>
      <c r="J1274" s="345"/>
      <c r="K1274" s="703"/>
      <c r="L1274" s="342"/>
      <c r="M1274" s="342"/>
      <c r="N1274" s="340"/>
      <c r="O1274" s="703"/>
      <c r="P1274" s="342"/>
      <c r="Q1274" s="363"/>
      <c r="R1274" s="340"/>
      <c r="S1274" s="342"/>
      <c r="T1274" s="342"/>
      <c r="U1274" s="342"/>
      <c r="V1274" s="340"/>
      <c r="W1274" s="340"/>
    </row>
    <row r="1275" spans="2:23" ht="24" customHeight="1">
      <c r="B1275" s="67"/>
      <c r="I1275" s="3" t="s">
        <v>59</v>
      </c>
      <c r="J1275" s="345">
        <v>15</v>
      </c>
      <c r="K1275" s="703">
        <v>4183.3124210526312</v>
      </c>
      <c r="L1275" s="342">
        <v>1</v>
      </c>
      <c r="M1275" s="342">
        <v>19.887</v>
      </c>
      <c r="N1275" s="340">
        <v>83193.534117473697</v>
      </c>
      <c r="O1275" s="703">
        <v>5543.4978260869566</v>
      </c>
      <c r="P1275" s="342">
        <v>1</v>
      </c>
      <c r="Q1275" s="363">
        <v>20.895700000000001</v>
      </c>
      <c r="R1275" s="340">
        <v>115835.26752456522</v>
      </c>
      <c r="S1275" s="342">
        <v>111.824</v>
      </c>
      <c r="T1275" s="342">
        <v>120.809</v>
      </c>
      <c r="U1275" s="342">
        <v>1.0803</v>
      </c>
      <c r="V1275" s="340">
        <v>125136.83950678783</v>
      </c>
      <c r="W1275" s="340">
        <v>-41943.305389314133</v>
      </c>
    </row>
    <row r="1276" spans="2:23" ht="24" customHeight="1">
      <c r="J1276" s="345"/>
      <c r="K1276" s="703"/>
      <c r="L1276" s="342"/>
      <c r="M1276" s="342"/>
      <c r="N1276" s="340"/>
      <c r="O1276" s="703"/>
      <c r="P1276" s="342"/>
      <c r="Q1276" s="363"/>
      <c r="R1276" s="340"/>
      <c r="S1276" s="342"/>
      <c r="T1276" s="342"/>
      <c r="U1276" s="342"/>
      <c r="V1276" s="340"/>
      <c r="W1276" s="340"/>
    </row>
    <row r="1277" spans="2:23" ht="24" customHeight="1">
      <c r="B1277" s="67"/>
      <c r="H1277" s="347">
        <v>44350</v>
      </c>
      <c r="I1277" s="347"/>
      <c r="J1277" s="345"/>
      <c r="K1277" s="703"/>
      <c r="L1277" s="342"/>
      <c r="M1277" s="342"/>
      <c r="N1277" s="340"/>
      <c r="O1277" s="703"/>
      <c r="P1277" s="342"/>
      <c r="Q1277" s="363"/>
      <c r="R1277" s="340"/>
      <c r="S1277" s="342"/>
      <c r="T1277" s="342"/>
      <c r="U1277" s="342"/>
      <c r="V1277" s="340"/>
      <c r="W1277" s="340"/>
    </row>
    <row r="1278" spans="2:23" ht="24" customHeight="1">
      <c r="B1278" s="67"/>
      <c r="I1278" s="3" t="s">
        <v>59</v>
      </c>
      <c r="J1278" s="345">
        <v>24</v>
      </c>
      <c r="K1278" s="703">
        <v>6714.4572631578958</v>
      </c>
      <c r="L1278" s="342">
        <v>1</v>
      </c>
      <c r="M1278" s="342">
        <v>19.887</v>
      </c>
      <c r="N1278" s="340">
        <v>133530.41159242106</v>
      </c>
      <c r="O1278" s="703">
        <v>8878.25</v>
      </c>
      <c r="P1278" s="342">
        <v>1</v>
      </c>
      <c r="Q1278" s="363">
        <v>19.892700000000001</v>
      </c>
      <c r="R1278" s="340">
        <v>176612.36377500003</v>
      </c>
      <c r="S1278" s="342">
        <v>113.018</v>
      </c>
      <c r="T1278" s="342">
        <v>120.809</v>
      </c>
      <c r="U1278" s="342">
        <v>1.0689</v>
      </c>
      <c r="V1278" s="340">
        <v>188780.95563909749</v>
      </c>
      <c r="W1278" s="340">
        <v>-55250.544046676441</v>
      </c>
    </row>
    <row r="1279" spans="2:23" ht="24" customHeight="1">
      <c r="J1279" s="345"/>
      <c r="K1279" s="703"/>
      <c r="L1279" s="342"/>
      <c r="M1279" s="342"/>
      <c r="N1279" s="340"/>
      <c r="O1279" s="703"/>
      <c r="P1279" s="342"/>
      <c r="Q1279" s="363"/>
      <c r="R1279" s="340"/>
      <c r="S1279" s="342"/>
      <c r="T1279" s="342"/>
      <c r="U1279" s="342"/>
      <c r="V1279" s="340"/>
      <c r="W1279" s="340"/>
    </row>
    <row r="1280" spans="2:23" ht="24" customHeight="1">
      <c r="B1280" s="67"/>
      <c r="H1280" s="347">
        <v>44574</v>
      </c>
      <c r="I1280" s="347"/>
      <c r="J1280" s="345"/>
      <c r="K1280" s="703"/>
      <c r="L1280" s="342"/>
      <c r="M1280" s="342"/>
      <c r="N1280" s="340"/>
      <c r="O1280" s="703"/>
      <c r="P1280" s="342"/>
      <c r="Q1280" s="363"/>
      <c r="R1280" s="340"/>
      <c r="S1280" s="342"/>
      <c r="T1280" s="342"/>
      <c r="U1280" s="342"/>
      <c r="V1280" s="340"/>
      <c r="W1280" s="340"/>
    </row>
    <row r="1281" spans="2:23" ht="24" customHeight="1">
      <c r="B1281" s="67"/>
      <c r="I1281" s="3" t="s">
        <v>59</v>
      </c>
      <c r="J1281" s="345">
        <v>20</v>
      </c>
      <c r="K1281" s="703">
        <v>5595.3810526315792</v>
      </c>
      <c r="L1281" s="342">
        <v>1</v>
      </c>
      <c r="M1281" s="342">
        <v>19.887</v>
      </c>
      <c r="N1281" s="340">
        <v>111275.34299368421</v>
      </c>
      <c r="O1281" s="703">
        <v>9268.69</v>
      </c>
      <c r="P1281" s="342">
        <v>1</v>
      </c>
      <c r="Q1281" s="363">
        <v>20.378499999999999</v>
      </c>
      <c r="R1281" s="340">
        <v>188881.99916499999</v>
      </c>
      <c r="S1281" s="342">
        <v>118.002</v>
      </c>
      <c r="T1281" s="342">
        <v>120.809</v>
      </c>
      <c r="U1281" s="342">
        <v>1.0237000000000001</v>
      </c>
      <c r="V1281" s="340">
        <v>193358.5025452105</v>
      </c>
      <c r="W1281" s="340">
        <v>-82083.159551526289</v>
      </c>
    </row>
    <row r="1282" spans="2:23" ht="24" customHeight="1">
      <c r="J1282" s="345"/>
      <c r="K1282" s="703"/>
      <c r="L1282" s="342"/>
      <c r="M1282" s="342"/>
      <c r="N1282" s="340"/>
      <c r="O1282" s="703"/>
      <c r="P1282" s="342"/>
      <c r="Q1282" s="363"/>
      <c r="R1282" s="340"/>
      <c r="S1282" s="342"/>
      <c r="T1282" s="342"/>
      <c r="U1282" s="342"/>
      <c r="V1282" s="340"/>
      <c r="W1282" s="340"/>
    </row>
    <row r="1283" spans="2:23" ht="24" customHeight="1">
      <c r="B1283" s="67"/>
      <c r="E1283" s="131" t="s">
        <v>1121</v>
      </c>
      <c r="F1283" s="131"/>
      <c r="G1283" s="131"/>
      <c r="H1283" s="131"/>
      <c r="I1283" s="131"/>
      <c r="J1283" s="704">
        <v>142</v>
      </c>
      <c r="K1283" s="705">
        <v>49034.049999999996</v>
      </c>
      <c r="L1283" s="369">
        <v>1</v>
      </c>
      <c r="M1283" s="377">
        <v>19.866784615384613</v>
      </c>
      <c r="N1283" s="706">
        <v>974241.77799600002</v>
      </c>
      <c r="O1283" s="705">
        <v>56842.080312500002</v>
      </c>
      <c r="P1283" s="369">
        <v>1</v>
      </c>
      <c r="Q1283" s="377">
        <v>20.430861538461539</v>
      </c>
      <c r="R1283" s="706">
        <v>1158299.9429870001</v>
      </c>
      <c r="S1283" s="369">
        <v>112.65723076923076</v>
      </c>
      <c r="T1283" s="369">
        <v>120.509</v>
      </c>
      <c r="U1283" s="369">
        <v>1.0701461538461536</v>
      </c>
      <c r="V1283" s="706">
        <v>1224506.5233564789</v>
      </c>
      <c r="W1283" s="706">
        <v>-250264.74536047888</v>
      </c>
    </row>
    <row r="1284" spans="2:23" ht="24" customHeight="1">
      <c r="J1284" s="345"/>
      <c r="K1284" s="703"/>
      <c r="L1284" s="342"/>
      <c r="M1284" s="342"/>
      <c r="N1284" s="340"/>
      <c r="O1284" s="703"/>
      <c r="P1284" s="342"/>
      <c r="Q1284" s="363"/>
      <c r="R1284" s="340"/>
      <c r="S1284" s="342"/>
      <c r="T1284" s="342"/>
      <c r="U1284" s="342"/>
      <c r="V1284" s="340"/>
      <c r="W1284" s="340"/>
    </row>
    <row r="1285" spans="2:23" ht="24" customHeight="1">
      <c r="B1285" s="67"/>
      <c r="E1285" s="1" t="s">
        <v>915</v>
      </c>
      <c r="J1285" s="345"/>
      <c r="K1285" s="703"/>
      <c r="L1285" s="342"/>
      <c r="M1285" s="342"/>
      <c r="N1285" s="340"/>
      <c r="O1285" s="703"/>
      <c r="P1285" s="342"/>
      <c r="Q1285" s="363"/>
      <c r="R1285" s="340"/>
      <c r="S1285" s="342"/>
      <c r="T1285" s="342"/>
      <c r="U1285" s="342"/>
      <c r="V1285" s="340"/>
      <c r="W1285" s="340"/>
    </row>
    <row r="1286" spans="2:23" ht="24" customHeight="1">
      <c r="B1286" s="67"/>
      <c r="F1286" s="346">
        <v>44861</v>
      </c>
      <c r="G1286" s="346"/>
      <c r="H1286" s="346"/>
      <c r="I1286" s="346"/>
      <c r="J1286" s="345"/>
      <c r="K1286" s="703"/>
      <c r="L1286" s="342"/>
      <c r="M1286" s="342"/>
      <c r="N1286" s="340"/>
      <c r="O1286" s="703"/>
      <c r="P1286" s="342"/>
      <c r="Q1286" s="363"/>
      <c r="R1286" s="340"/>
      <c r="S1286" s="342"/>
      <c r="T1286" s="342"/>
      <c r="U1286" s="342"/>
      <c r="V1286" s="340"/>
      <c r="W1286" s="340"/>
    </row>
    <row r="1287" spans="2:23" ht="24" customHeight="1">
      <c r="B1287" s="67"/>
      <c r="G1287" s="3" t="s">
        <v>59</v>
      </c>
      <c r="H1287" s="3"/>
      <c r="I1287" s="3"/>
      <c r="J1287" s="345"/>
      <c r="K1287" s="703"/>
      <c r="L1287" s="342"/>
      <c r="M1287" s="342"/>
      <c r="N1287" s="340"/>
      <c r="O1287" s="703"/>
      <c r="P1287" s="342"/>
      <c r="Q1287" s="363"/>
      <c r="R1287" s="340"/>
      <c r="S1287" s="342"/>
      <c r="T1287" s="342"/>
      <c r="U1287" s="342"/>
      <c r="V1287" s="340"/>
      <c r="W1287" s="340"/>
    </row>
    <row r="1288" spans="2:23" ht="24" customHeight="1">
      <c r="B1288" s="67"/>
      <c r="H1288" s="347">
        <v>44671</v>
      </c>
      <c r="I1288" s="347"/>
      <c r="J1288" s="345"/>
      <c r="K1288" s="703"/>
      <c r="L1288" s="342"/>
      <c r="M1288" s="342"/>
      <c r="N1288" s="340"/>
      <c r="O1288" s="703"/>
      <c r="P1288" s="342"/>
      <c r="Q1288" s="363"/>
      <c r="R1288" s="340"/>
      <c r="S1288" s="342"/>
      <c r="T1288" s="342"/>
      <c r="U1288" s="342"/>
      <c r="V1288" s="340"/>
      <c r="W1288" s="340"/>
    </row>
    <row r="1289" spans="2:23" ht="24" customHeight="1">
      <c r="B1289" s="67"/>
      <c r="I1289" s="3" t="s">
        <v>59</v>
      </c>
      <c r="J1289" s="345">
        <v>19</v>
      </c>
      <c r="K1289" s="703">
        <v>10115.959999999999</v>
      </c>
      <c r="L1289" s="342">
        <v>1</v>
      </c>
      <c r="M1289" s="342">
        <v>19.871200000000002</v>
      </c>
      <c r="N1289" s="340">
        <v>201016.264352</v>
      </c>
      <c r="O1289" s="703">
        <v>10037.037317073171</v>
      </c>
      <c r="P1289" s="342">
        <v>1</v>
      </c>
      <c r="Q1289" s="363">
        <v>19.9377</v>
      </c>
      <c r="R1289" s="340">
        <v>200115.43891660977</v>
      </c>
      <c r="S1289" s="342">
        <v>120.809</v>
      </c>
      <c r="T1289" s="342">
        <v>124.571</v>
      </c>
      <c r="U1289" s="342">
        <v>1.0310999999999999</v>
      </c>
      <c r="V1289" s="340">
        <v>206339.02906691632</v>
      </c>
      <c r="W1289" s="340">
        <v>-5322.764714916324</v>
      </c>
    </row>
    <row r="1290" spans="2:23" ht="24" customHeight="1">
      <c r="J1290" s="345"/>
      <c r="K1290" s="703"/>
      <c r="L1290" s="342"/>
      <c r="M1290" s="342"/>
      <c r="N1290" s="340"/>
      <c r="O1290" s="703"/>
      <c r="P1290" s="342"/>
      <c r="Q1290" s="363"/>
      <c r="R1290" s="340"/>
      <c r="S1290" s="342"/>
      <c r="T1290" s="342"/>
      <c r="U1290" s="342"/>
      <c r="V1290" s="340"/>
      <c r="W1290" s="340"/>
    </row>
    <row r="1291" spans="2:23" ht="24" customHeight="1">
      <c r="B1291" s="67"/>
      <c r="E1291" s="131" t="s">
        <v>1122</v>
      </c>
      <c r="F1291" s="131"/>
      <c r="G1291" s="131"/>
      <c r="H1291" s="131"/>
      <c r="I1291" s="131"/>
      <c r="J1291" s="704">
        <v>19</v>
      </c>
      <c r="K1291" s="705">
        <v>10115.959999999999</v>
      </c>
      <c r="L1291" s="369">
        <v>1</v>
      </c>
      <c r="M1291" s="377">
        <v>19.871200000000002</v>
      </c>
      <c r="N1291" s="706">
        <v>201016.264352</v>
      </c>
      <c r="O1291" s="705">
        <v>10037.037317073171</v>
      </c>
      <c r="P1291" s="369">
        <v>1</v>
      </c>
      <c r="Q1291" s="377">
        <v>19.9377</v>
      </c>
      <c r="R1291" s="706">
        <v>200115.43891660977</v>
      </c>
      <c r="S1291" s="369">
        <v>120.809</v>
      </c>
      <c r="T1291" s="369">
        <v>124.571</v>
      </c>
      <c r="U1291" s="369">
        <v>1.0310999999999999</v>
      </c>
      <c r="V1291" s="706">
        <v>206339.02906691632</v>
      </c>
      <c r="W1291" s="706">
        <v>-5322.764714916324</v>
      </c>
    </row>
    <row r="1292" spans="2:23" ht="24" customHeight="1">
      <c r="J1292" s="345"/>
      <c r="K1292" s="703"/>
      <c r="L1292" s="342"/>
      <c r="M1292" s="342"/>
      <c r="N1292" s="340"/>
      <c r="O1292" s="703"/>
      <c r="P1292" s="342"/>
      <c r="Q1292" s="363"/>
      <c r="R1292" s="340"/>
      <c r="S1292" s="342"/>
      <c r="T1292" s="342"/>
      <c r="U1292" s="342"/>
      <c r="V1292" s="340"/>
      <c r="W1292" s="340"/>
    </row>
    <row r="1293" spans="2:23" ht="24" customHeight="1">
      <c r="B1293" s="67"/>
      <c r="E1293" s="1" t="s">
        <v>729</v>
      </c>
      <c r="J1293" s="345"/>
      <c r="K1293" s="703"/>
      <c r="L1293" s="342"/>
      <c r="M1293" s="342"/>
      <c r="N1293" s="340"/>
      <c r="O1293" s="703"/>
      <c r="P1293" s="342"/>
      <c r="Q1293" s="363"/>
      <c r="R1293" s="340"/>
      <c r="S1293" s="342"/>
      <c r="T1293" s="342"/>
      <c r="U1293" s="342"/>
      <c r="V1293" s="340"/>
      <c r="W1293" s="340"/>
    </row>
    <row r="1294" spans="2:23" ht="24" customHeight="1">
      <c r="B1294" s="67"/>
      <c r="F1294" s="346">
        <v>44650</v>
      </c>
      <c r="G1294" s="346"/>
      <c r="H1294" s="346"/>
      <c r="I1294" s="346"/>
      <c r="J1294" s="345"/>
      <c r="K1294" s="703"/>
      <c r="L1294" s="342"/>
      <c r="M1294" s="342"/>
      <c r="N1294" s="340"/>
      <c r="O1294" s="703"/>
      <c r="P1294" s="342"/>
      <c r="Q1294" s="363"/>
      <c r="R1294" s="340"/>
      <c r="S1294" s="342"/>
      <c r="T1294" s="342"/>
      <c r="U1294" s="342"/>
      <c r="V1294" s="340"/>
      <c r="W1294" s="340"/>
    </row>
    <row r="1295" spans="2:23" ht="24" customHeight="1">
      <c r="B1295" s="67"/>
      <c r="G1295" s="3" t="s">
        <v>59</v>
      </c>
      <c r="H1295" s="3"/>
      <c r="I1295" s="3"/>
      <c r="J1295" s="345"/>
      <c r="K1295" s="703"/>
      <c r="L1295" s="342"/>
      <c r="M1295" s="342"/>
      <c r="N1295" s="340"/>
      <c r="O1295" s="703"/>
      <c r="P1295" s="342"/>
      <c r="Q1295" s="363"/>
      <c r="R1295" s="340"/>
      <c r="S1295" s="342"/>
      <c r="T1295" s="342"/>
      <c r="U1295" s="342"/>
      <c r="V1295" s="340"/>
      <c r="W1295" s="340"/>
    </row>
    <row r="1296" spans="2:23" ht="24" customHeight="1">
      <c r="B1296" s="67"/>
      <c r="H1296" s="347">
        <v>44469</v>
      </c>
      <c r="I1296" s="347"/>
      <c r="J1296" s="345"/>
      <c r="K1296" s="703"/>
      <c r="L1296" s="342"/>
      <c r="M1296" s="342"/>
      <c r="N1296" s="340"/>
      <c r="O1296" s="703"/>
      <c r="P1296" s="342"/>
      <c r="Q1296" s="363"/>
      <c r="R1296" s="340"/>
      <c r="S1296" s="342"/>
      <c r="T1296" s="342"/>
      <c r="U1296" s="342"/>
      <c r="V1296" s="340"/>
      <c r="W1296" s="340"/>
    </row>
    <row r="1297" spans="2:23" ht="24" customHeight="1">
      <c r="B1297" s="67"/>
      <c r="I1297" s="3" t="s">
        <v>59</v>
      </c>
      <c r="J1297" s="345">
        <v>12</v>
      </c>
      <c r="K1297" s="703">
        <v>3468.6942857142858</v>
      </c>
      <c r="L1297" s="342">
        <v>1</v>
      </c>
      <c r="M1297" s="342">
        <v>20.119499999999999</v>
      </c>
      <c r="N1297" s="340">
        <v>69788.394681428574</v>
      </c>
      <c r="O1297" s="703">
        <v>2827.4123076923079</v>
      </c>
      <c r="P1297" s="342">
        <v>1</v>
      </c>
      <c r="Q1297" s="363">
        <v>20.306000000000001</v>
      </c>
      <c r="R1297" s="340">
        <v>57413.434320000008</v>
      </c>
      <c r="S1297" s="342">
        <v>114.601</v>
      </c>
      <c r="T1297" s="342">
        <v>118.98099999999999</v>
      </c>
      <c r="U1297" s="342">
        <v>1.0382</v>
      </c>
      <c r="V1297" s="340">
        <v>59606.627511024009</v>
      </c>
      <c r="W1297" s="340">
        <v>10181.767170404564</v>
      </c>
    </row>
    <row r="1298" spans="2:23" ht="24" customHeight="1">
      <c r="J1298" s="345"/>
      <c r="K1298" s="703"/>
      <c r="L1298" s="342"/>
      <c r="M1298" s="342"/>
      <c r="N1298" s="340"/>
      <c r="O1298" s="703"/>
      <c r="P1298" s="342"/>
      <c r="Q1298" s="363"/>
      <c r="R1298" s="340"/>
      <c r="S1298" s="342"/>
      <c r="T1298" s="342"/>
      <c r="U1298" s="342"/>
      <c r="V1298" s="340"/>
      <c r="W1298" s="340"/>
    </row>
    <row r="1299" spans="2:23" ht="24" customHeight="1">
      <c r="B1299" s="67"/>
      <c r="H1299" s="347">
        <v>44474</v>
      </c>
      <c r="I1299" s="347"/>
      <c r="J1299" s="345"/>
      <c r="K1299" s="703"/>
      <c r="L1299" s="342"/>
      <c r="M1299" s="342"/>
      <c r="N1299" s="340"/>
      <c r="O1299" s="703"/>
      <c r="P1299" s="342"/>
      <c r="Q1299" s="363"/>
      <c r="R1299" s="340"/>
      <c r="S1299" s="342"/>
      <c r="T1299" s="342"/>
      <c r="U1299" s="342"/>
      <c r="V1299" s="340"/>
      <c r="W1299" s="340"/>
    </row>
    <row r="1300" spans="2:23" ht="24" customHeight="1">
      <c r="B1300" s="67"/>
      <c r="I1300" s="3" t="s">
        <v>59</v>
      </c>
      <c r="J1300" s="345">
        <v>27</v>
      </c>
      <c r="K1300" s="703">
        <v>7807.9257142857132</v>
      </c>
      <c r="L1300" s="342">
        <v>1</v>
      </c>
      <c r="M1300" s="342">
        <v>20.119499999999999</v>
      </c>
      <c r="N1300" s="340">
        <v>157091.56140857143</v>
      </c>
      <c r="O1300" s="703">
        <v>6239.1600000000008</v>
      </c>
      <c r="P1300" s="342">
        <v>1</v>
      </c>
      <c r="Q1300" s="363">
        <v>20.510300000000001</v>
      </c>
      <c r="R1300" s="340">
        <v>127967.04334800002</v>
      </c>
      <c r="S1300" s="342">
        <v>115.56099999999999</v>
      </c>
      <c r="T1300" s="342">
        <v>118.98099999999999</v>
      </c>
      <c r="U1300" s="342">
        <v>1.0295000000000001</v>
      </c>
      <c r="V1300" s="340">
        <v>131742.07112676604</v>
      </c>
      <c r="W1300" s="340">
        <v>25349.490281805392</v>
      </c>
    </row>
    <row r="1301" spans="2:23" ht="24" customHeight="1">
      <c r="J1301" s="345"/>
      <c r="K1301" s="703"/>
      <c r="L1301" s="342"/>
      <c r="M1301" s="342"/>
      <c r="N1301" s="340"/>
      <c r="O1301" s="703"/>
      <c r="P1301" s="342"/>
      <c r="Q1301" s="363"/>
      <c r="R1301" s="340"/>
      <c r="S1301" s="342"/>
      <c r="T1301" s="342"/>
      <c r="U1301" s="342"/>
      <c r="V1301" s="340"/>
      <c r="W1301" s="340"/>
    </row>
    <row r="1302" spans="2:23" ht="24" customHeight="1">
      <c r="B1302" s="67"/>
      <c r="F1302" s="346">
        <v>44643</v>
      </c>
      <c r="G1302" s="346"/>
      <c r="H1302" s="346"/>
      <c r="I1302" s="346"/>
      <c r="J1302" s="345"/>
      <c r="K1302" s="703"/>
      <c r="L1302" s="342"/>
      <c r="M1302" s="342"/>
      <c r="N1302" s="340"/>
      <c r="O1302" s="703"/>
      <c r="P1302" s="342"/>
      <c r="Q1302" s="363"/>
      <c r="R1302" s="340"/>
      <c r="S1302" s="342"/>
      <c r="T1302" s="342"/>
      <c r="U1302" s="342"/>
      <c r="V1302" s="340"/>
      <c r="W1302" s="340"/>
    </row>
    <row r="1303" spans="2:23" ht="24" customHeight="1">
      <c r="B1303" s="67"/>
      <c r="G1303" s="3" t="s">
        <v>59</v>
      </c>
      <c r="H1303" s="3"/>
      <c r="I1303" s="3"/>
      <c r="J1303" s="345"/>
      <c r="K1303" s="703"/>
      <c r="L1303" s="342"/>
      <c r="M1303" s="342"/>
      <c r="N1303" s="340"/>
      <c r="O1303" s="703"/>
      <c r="P1303" s="342"/>
      <c r="Q1303" s="363"/>
      <c r="R1303" s="340"/>
      <c r="S1303" s="342"/>
      <c r="T1303" s="342"/>
      <c r="U1303" s="342"/>
      <c r="V1303" s="340"/>
      <c r="W1303" s="340"/>
    </row>
    <row r="1304" spans="2:23" ht="24" customHeight="1">
      <c r="B1304" s="67"/>
      <c r="H1304" s="347">
        <v>44468</v>
      </c>
      <c r="I1304" s="347"/>
      <c r="J1304" s="345"/>
      <c r="K1304" s="703"/>
      <c r="L1304" s="342"/>
      <c r="M1304" s="342"/>
      <c r="N1304" s="340"/>
      <c r="O1304" s="703"/>
      <c r="P1304" s="342"/>
      <c r="Q1304" s="363"/>
      <c r="R1304" s="340"/>
      <c r="S1304" s="342"/>
      <c r="T1304" s="342"/>
      <c r="U1304" s="342"/>
      <c r="V1304" s="340"/>
      <c r="W1304" s="340"/>
    </row>
    <row r="1305" spans="2:23" ht="24" customHeight="1">
      <c r="B1305" s="67"/>
      <c r="I1305" s="3" t="s">
        <v>59</v>
      </c>
      <c r="J1305" s="345">
        <v>14</v>
      </c>
      <c r="K1305" s="703">
        <v>3992.5800000000004</v>
      </c>
      <c r="L1305" s="342">
        <v>1</v>
      </c>
      <c r="M1305" s="342">
        <v>20.4145</v>
      </c>
      <c r="N1305" s="340">
        <v>81506.524409999998</v>
      </c>
      <c r="O1305" s="703">
        <v>3226.7533333333331</v>
      </c>
      <c r="P1305" s="342">
        <v>1</v>
      </c>
      <c r="Q1305" s="363">
        <v>20.1052</v>
      </c>
      <c r="R1305" s="340">
        <v>64874.521117333337</v>
      </c>
      <c r="S1305" s="342">
        <v>114.601</v>
      </c>
      <c r="T1305" s="342">
        <v>118.98099999999999</v>
      </c>
      <c r="U1305" s="342">
        <v>1.0382</v>
      </c>
      <c r="V1305" s="340">
        <v>67352.72782401547</v>
      </c>
      <c r="W1305" s="340">
        <v>14153.796585984534</v>
      </c>
    </row>
    <row r="1306" spans="2:23" ht="24" customHeight="1">
      <c r="J1306" s="345"/>
      <c r="K1306" s="703"/>
      <c r="L1306" s="342"/>
      <c r="M1306" s="342"/>
      <c r="N1306" s="340"/>
      <c r="O1306" s="703"/>
      <c r="P1306" s="342"/>
      <c r="Q1306" s="363"/>
      <c r="R1306" s="340"/>
      <c r="S1306" s="342"/>
      <c r="T1306" s="342"/>
      <c r="U1306" s="342"/>
      <c r="V1306" s="340"/>
      <c r="W1306" s="340"/>
    </row>
    <row r="1307" spans="2:23" ht="24" customHeight="1">
      <c r="B1307" s="67"/>
      <c r="F1307" s="346">
        <v>44644</v>
      </c>
      <c r="G1307" s="346"/>
      <c r="H1307" s="346"/>
      <c r="I1307" s="346"/>
      <c r="J1307" s="345"/>
      <c r="K1307" s="703"/>
      <c r="L1307" s="342"/>
      <c r="M1307" s="342"/>
      <c r="N1307" s="340"/>
      <c r="O1307" s="703"/>
      <c r="P1307" s="342"/>
      <c r="Q1307" s="363"/>
      <c r="R1307" s="340"/>
      <c r="S1307" s="342"/>
      <c r="T1307" s="342"/>
      <c r="U1307" s="342"/>
      <c r="V1307" s="340"/>
      <c r="W1307" s="340"/>
    </row>
    <row r="1308" spans="2:23" ht="24" customHeight="1">
      <c r="B1308" s="67"/>
      <c r="G1308" s="3" t="s">
        <v>59</v>
      </c>
      <c r="H1308" s="3"/>
      <c r="I1308" s="3"/>
      <c r="J1308" s="345"/>
      <c r="K1308" s="703"/>
      <c r="L1308" s="342"/>
      <c r="M1308" s="342"/>
      <c r="N1308" s="340"/>
      <c r="O1308" s="703"/>
      <c r="P1308" s="342"/>
      <c r="Q1308" s="363"/>
      <c r="R1308" s="340"/>
      <c r="S1308" s="342"/>
      <c r="T1308" s="342"/>
      <c r="U1308" s="342"/>
      <c r="V1308" s="340"/>
      <c r="W1308" s="340"/>
    </row>
    <row r="1309" spans="2:23" ht="24" customHeight="1">
      <c r="B1309" s="67"/>
      <c r="H1309" s="347">
        <v>44468</v>
      </c>
      <c r="I1309" s="347"/>
      <c r="J1309" s="345"/>
      <c r="K1309" s="703"/>
      <c r="L1309" s="342"/>
      <c r="M1309" s="342"/>
      <c r="N1309" s="340"/>
      <c r="O1309" s="703"/>
      <c r="P1309" s="342"/>
      <c r="Q1309" s="363"/>
      <c r="R1309" s="340"/>
      <c r="S1309" s="342"/>
      <c r="T1309" s="342"/>
      <c r="U1309" s="342"/>
      <c r="V1309" s="340"/>
      <c r="W1309" s="340"/>
    </row>
    <row r="1310" spans="2:23" ht="24" customHeight="1">
      <c r="B1310" s="67"/>
      <c r="I1310" s="3" t="s">
        <v>59</v>
      </c>
      <c r="J1310" s="345">
        <v>7</v>
      </c>
      <c r="K1310" s="703">
        <v>2011.1175000000001</v>
      </c>
      <c r="L1310" s="342">
        <v>1</v>
      </c>
      <c r="M1310" s="342">
        <v>20.278199999999998</v>
      </c>
      <c r="N1310" s="340">
        <v>40781.842888499996</v>
      </c>
      <c r="O1310" s="703">
        <v>1612.5900000000001</v>
      </c>
      <c r="P1310" s="342">
        <v>1</v>
      </c>
      <c r="Q1310" s="363">
        <v>20.1052</v>
      </c>
      <c r="R1310" s="340">
        <v>32421.444468000002</v>
      </c>
      <c r="S1310" s="342">
        <v>114.601</v>
      </c>
      <c r="T1310" s="342">
        <v>118.98099999999999</v>
      </c>
      <c r="U1310" s="342">
        <v>1.0382</v>
      </c>
      <c r="V1310" s="340">
        <v>33659.943646677602</v>
      </c>
      <c r="W1310" s="340">
        <v>7121.8992418223934</v>
      </c>
    </row>
    <row r="1311" spans="2:23" ht="24" customHeight="1">
      <c r="J1311" s="345"/>
      <c r="K1311" s="703"/>
      <c r="L1311" s="342"/>
      <c r="M1311" s="342"/>
      <c r="N1311" s="340"/>
      <c r="O1311" s="703"/>
      <c r="P1311" s="342"/>
      <c r="Q1311" s="363"/>
      <c r="R1311" s="340"/>
      <c r="S1311" s="342"/>
      <c r="T1311" s="342"/>
      <c r="U1311" s="342"/>
      <c r="V1311" s="340"/>
      <c r="W1311" s="340"/>
    </row>
    <row r="1312" spans="2:23" ht="24" customHeight="1">
      <c r="B1312" s="67"/>
      <c r="H1312" s="347">
        <v>44469</v>
      </c>
      <c r="I1312" s="347"/>
      <c r="J1312" s="345"/>
      <c r="K1312" s="703"/>
      <c r="L1312" s="342"/>
      <c r="M1312" s="342"/>
      <c r="N1312" s="340"/>
      <c r="O1312" s="703"/>
      <c r="P1312" s="342"/>
      <c r="Q1312" s="363"/>
      <c r="R1312" s="340"/>
      <c r="S1312" s="342"/>
      <c r="T1312" s="342"/>
      <c r="U1312" s="342"/>
      <c r="V1312" s="340"/>
      <c r="W1312" s="340"/>
    </row>
    <row r="1313" spans="2:23" ht="24" customHeight="1">
      <c r="B1313" s="67"/>
      <c r="I1313" s="3" t="s">
        <v>59</v>
      </c>
      <c r="J1313" s="345">
        <v>1</v>
      </c>
      <c r="K1313" s="703">
        <v>287.30250000000001</v>
      </c>
      <c r="L1313" s="342">
        <v>1</v>
      </c>
      <c r="M1313" s="342">
        <v>20.278199999999998</v>
      </c>
      <c r="N1313" s="340">
        <v>5825.9775554999997</v>
      </c>
      <c r="O1313" s="703">
        <v>235.61769230769232</v>
      </c>
      <c r="P1313" s="342">
        <v>1</v>
      </c>
      <c r="Q1313" s="363">
        <v>20.306000000000001</v>
      </c>
      <c r="R1313" s="340">
        <v>4784.4528600000003</v>
      </c>
      <c r="S1313" s="342">
        <v>114.601</v>
      </c>
      <c r="T1313" s="342">
        <v>118.98099999999999</v>
      </c>
      <c r="U1313" s="342">
        <v>1.0382</v>
      </c>
      <c r="V1313" s="340">
        <v>4967.2189592520008</v>
      </c>
      <c r="W1313" s="340">
        <v>858.75859624799887</v>
      </c>
    </row>
    <row r="1314" spans="2:23" ht="24" customHeight="1">
      <c r="J1314" s="345"/>
      <c r="K1314" s="703"/>
      <c r="L1314" s="342"/>
      <c r="M1314" s="342"/>
      <c r="N1314" s="340"/>
      <c r="O1314" s="703"/>
      <c r="P1314" s="342"/>
      <c r="Q1314" s="363"/>
      <c r="R1314" s="340"/>
      <c r="S1314" s="342"/>
      <c r="T1314" s="342"/>
      <c r="U1314" s="342"/>
      <c r="V1314" s="340"/>
      <c r="W1314" s="340"/>
    </row>
    <row r="1315" spans="2:23" ht="24" customHeight="1">
      <c r="B1315" s="67"/>
      <c r="F1315" s="346">
        <v>44658</v>
      </c>
      <c r="G1315" s="346"/>
      <c r="H1315" s="346"/>
      <c r="I1315" s="346"/>
      <c r="J1315" s="345"/>
      <c r="K1315" s="703"/>
      <c r="L1315" s="342"/>
      <c r="M1315" s="342"/>
      <c r="N1315" s="340"/>
      <c r="O1315" s="703"/>
      <c r="P1315" s="342"/>
      <c r="Q1315" s="363"/>
      <c r="R1315" s="340"/>
      <c r="S1315" s="342"/>
      <c r="T1315" s="342"/>
      <c r="U1315" s="342"/>
      <c r="V1315" s="340"/>
      <c r="W1315" s="340"/>
    </row>
    <row r="1316" spans="2:23" ht="24" customHeight="1">
      <c r="B1316" s="67"/>
      <c r="G1316" s="3" t="s">
        <v>59</v>
      </c>
      <c r="H1316" s="3"/>
      <c r="I1316" s="3"/>
      <c r="J1316" s="345"/>
      <c r="K1316" s="703"/>
      <c r="L1316" s="342"/>
      <c r="M1316" s="342"/>
      <c r="N1316" s="340"/>
      <c r="O1316" s="703"/>
      <c r="P1316" s="342"/>
      <c r="Q1316" s="363"/>
      <c r="R1316" s="340"/>
      <c r="S1316" s="342"/>
      <c r="T1316" s="342"/>
      <c r="U1316" s="342"/>
      <c r="V1316" s="340"/>
      <c r="W1316" s="340"/>
    </row>
    <row r="1317" spans="2:23" ht="24" customHeight="1">
      <c r="B1317" s="67"/>
      <c r="H1317" s="347">
        <v>44474</v>
      </c>
      <c r="I1317" s="347"/>
      <c r="J1317" s="345"/>
      <c r="K1317" s="703"/>
      <c r="L1317" s="342"/>
      <c r="M1317" s="342"/>
      <c r="N1317" s="340"/>
      <c r="O1317" s="703"/>
      <c r="P1317" s="342"/>
      <c r="Q1317" s="363"/>
      <c r="R1317" s="340"/>
      <c r="S1317" s="342"/>
      <c r="T1317" s="342"/>
      <c r="U1317" s="342"/>
      <c r="V1317" s="340"/>
      <c r="W1317" s="340"/>
    </row>
    <row r="1318" spans="2:23" ht="24" customHeight="1">
      <c r="B1318" s="67"/>
      <c r="I1318" s="3" t="s">
        <v>59</v>
      </c>
      <c r="J1318" s="345">
        <v>22</v>
      </c>
      <c r="K1318" s="703">
        <v>6826.3853658536573</v>
      </c>
      <c r="L1318" s="342">
        <v>1</v>
      </c>
      <c r="M1318" s="342">
        <v>19.901199999999999</v>
      </c>
      <c r="N1318" s="340">
        <v>135853.26044292681</v>
      </c>
      <c r="O1318" s="703">
        <v>5083.76</v>
      </c>
      <c r="P1318" s="342">
        <v>1</v>
      </c>
      <c r="Q1318" s="363">
        <v>20.510300000000001</v>
      </c>
      <c r="R1318" s="340">
        <v>104269.44272800001</v>
      </c>
      <c r="S1318" s="342">
        <v>115.56100000000001</v>
      </c>
      <c r="T1318" s="342">
        <v>120.15900000000001</v>
      </c>
      <c r="U1318" s="342">
        <v>1.0397000000000001</v>
      </c>
      <c r="V1318" s="340">
        <v>108408.93960430162</v>
      </c>
      <c r="W1318" s="340">
        <v>27444.320838625194</v>
      </c>
    </row>
    <row r="1319" spans="2:23" ht="24" customHeight="1">
      <c r="J1319" s="345"/>
      <c r="K1319" s="703"/>
      <c r="L1319" s="342"/>
      <c r="M1319" s="342"/>
      <c r="N1319" s="340"/>
      <c r="O1319" s="703"/>
      <c r="P1319" s="342"/>
      <c r="Q1319" s="363"/>
      <c r="R1319" s="340"/>
      <c r="S1319" s="342"/>
      <c r="T1319" s="342"/>
      <c r="U1319" s="342"/>
      <c r="V1319" s="340"/>
      <c r="W1319" s="340"/>
    </row>
    <row r="1320" spans="2:23" ht="24" customHeight="1">
      <c r="B1320" s="67"/>
      <c r="H1320" s="347">
        <v>44476</v>
      </c>
      <c r="I1320" s="347"/>
      <c r="J1320" s="345"/>
      <c r="K1320" s="703"/>
      <c r="L1320" s="342"/>
      <c r="M1320" s="342"/>
      <c r="N1320" s="340"/>
      <c r="O1320" s="703"/>
      <c r="P1320" s="342"/>
      <c r="Q1320" s="363"/>
      <c r="R1320" s="340"/>
      <c r="S1320" s="342"/>
      <c r="T1320" s="342"/>
      <c r="U1320" s="342"/>
      <c r="V1320" s="340"/>
      <c r="W1320" s="340"/>
    </row>
    <row r="1321" spans="2:23" ht="24" customHeight="1">
      <c r="B1321" s="67"/>
      <c r="I1321" s="3" t="s">
        <v>59</v>
      </c>
      <c r="J1321" s="345">
        <v>19</v>
      </c>
      <c r="K1321" s="703">
        <v>5895.5146341463405</v>
      </c>
      <c r="L1321" s="342">
        <v>1</v>
      </c>
      <c r="M1321" s="342">
        <v>19.901199999999999</v>
      </c>
      <c r="N1321" s="340">
        <v>117327.81583707315</v>
      </c>
      <c r="O1321" s="703">
        <v>4429.6082222222221</v>
      </c>
      <c r="P1321" s="342">
        <v>1</v>
      </c>
      <c r="Q1321" s="363">
        <v>20.581800000000001</v>
      </c>
      <c r="R1321" s="340">
        <v>91169.310508133349</v>
      </c>
      <c r="S1321" s="342">
        <v>115.56100000000001</v>
      </c>
      <c r="T1321" s="342">
        <v>120.15900000000001</v>
      </c>
      <c r="U1321" s="342">
        <v>1.0397000000000001</v>
      </c>
      <c r="V1321" s="340">
        <v>94788.732135306243</v>
      </c>
      <c r="W1321" s="340">
        <v>22539.083701766904</v>
      </c>
    </row>
    <row r="1322" spans="2:23" ht="24" customHeight="1">
      <c r="J1322" s="345"/>
      <c r="K1322" s="703"/>
      <c r="L1322" s="342"/>
      <c r="M1322" s="342"/>
      <c r="N1322" s="340"/>
      <c r="O1322" s="703"/>
      <c r="P1322" s="342"/>
      <c r="Q1322" s="363"/>
      <c r="R1322" s="340"/>
      <c r="S1322" s="342"/>
      <c r="T1322" s="342"/>
      <c r="U1322" s="342"/>
      <c r="V1322" s="340"/>
      <c r="W1322" s="340"/>
    </row>
    <row r="1323" spans="2:23" ht="24" customHeight="1">
      <c r="B1323" s="67"/>
      <c r="F1323" s="346">
        <v>44664</v>
      </c>
      <c r="G1323" s="346"/>
      <c r="H1323" s="346"/>
      <c r="I1323" s="346"/>
      <c r="J1323" s="345"/>
      <c r="K1323" s="703"/>
      <c r="L1323" s="342"/>
      <c r="M1323" s="342"/>
      <c r="N1323" s="340"/>
      <c r="O1323" s="703"/>
      <c r="P1323" s="342"/>
      <c r="Q1323" s="363"/>
      <c r="R1323" s="340"/>
      <c r="S1323" s="342"/>
      <c r="T1323" s="342"/>
      <c r="U1323" s="342"/>
      <c r="V1323" s="340"/>
      <c r="W1323" s="340"/>
    </row>
    <row r="1324" spans="2:23" ht="24" customHeight="1">
      <c r="B1324" s="67"/>
      <c r="G1324" s="3" t="s">
        <v>59</v>
      </c>
      <c r="H1324" s="3"/>
      <c r="I1324" s="3"/>
      <c r="J1324" s="345"/>
      <c r="K1324" s="703"/>
      <c r="L1324" s="342"/>
      <c r="M1324" s="342"/>
      <c r="N1324" s="340"/>
      <c r="O1324" s="703"/>
      <c r="P1324" s="342"/>
      <c r="Q1324" s="363"/>
      <c r="R1324" s="340"/>
      <c r="S1324" s="342"/>
      <c r="T1324" s="342"/>
      <c r="U1324" s="342"/>
      <c r="V1324" s="340"/>
      <c r="W1324" s="340"/>
    </row>
    <row r="1325" spans="2:23" ht="24" customHeight="1">
      <c r="B1325" s="67"/>
      <c r="H1325" s="347">
        <v>44476</v>
      </c>
      <c r="I1325" s="347"/>
      <c r="J1325" s="345"/>
      <c r="K1325" s="703"/>
      <c r="L1325" s="342"/>
      <c r="M1325" s="342"/>
      <c r="N1325" s="340"/>
      <c r="O1325" s="703"/>
      <c r="P1325" s="342"/>
      <c r="Q1325" s="363"/>
      <c r="R1325" s="340"/>
      <c r="S1325" s="342"/>
      <c r="T1325" s="342"/>
      <c r="U1325" s="342"/>
      <c r="V1325" s="340"/>
      <c r="W1325" s="340"/>
    </row>
    <row r="1326" spans="2:23" ht="24" customHeight="1">
      <c r="B1326" s="67"/>
      <c r="I1326" s="3" t="s">
        <v>59</v>
      </c>
      <c r="J1326" s="345">
        <v>32</v>
      </c>
      <c r="K1326" s="703">
        <v>9693.3302857142862</v>
      </c>
      <c r="L1326" s="342">
        <v>1</v>
      </c>
      <c r="M1326" s="342">
        <v>20.0093</v>
      </c>
      <c r="N1326" s="340">
        <v>193956.75368594285</v>
      </c>
      <c r="O1326" s="703">
        <v>7460.0817777777775</v>
      </c>
      <c r="P1326" s="342">
        <v>1</v>
      </c>
      <c r="Q1326" s="363">
        <v>20.581800000000001</v>
      </c>
      <c r="R1326" s="340">
        <v>153541.91113386667</v>
      </c>
      <c r="S1326" s="342">
        <v>115.56100000000001</v>
      </c>
      <c r="T1326" s="342">
        <v>120.15900000000001</v>
      </c>
      <c r="U1326" s="342">
        <v>1.0397000000000001</v>
      </c>
      <c r="V1326" s="340">
        <v>159637.52500588118</v>
      </c>
      <c r="W1326" s="340">
        <v>34319.228680061671</v>
      </c>
    </row>
    <row r="1327" spans="2:23" ht="24" customHeight="1">
      <c r="J1327" s="345"/>
      <c r="K1327" s="703"/>
      <c r="L1327" s="342"/>
      <c r="M1327" s="342"/>
      <c r="N1327" s="340"/>
      <c r="O1327" s="703"/>
      <c r="P1327" s="342"/>
      <c r="Q1327" s="363"/>
      <c r="R1327" s="340"/>
      <c r="S1327" s="342"/>
      <c r="T1327" s="342"/>
      <c r="U1327" s="342"/>
      <c r="V1327" s="340"/>
      <c r="W1327" s="340"/>
    </row>
    <row r="1328" spans="2:23" ht="24" customHeight="1">
      <c r="B1328" s="67"/>
      <c r="H1328" s="347">
        <v>44480</v>
      </c>
      <c r="I1328" s="347"/>
      <c r="J1328" s="345"/>
      <c r="K1328" s="703"/>
      <c r="L1328" s="342"/>
      <c r="M1328" s="342"/>
      <c r="N1328" s="340"/>
      <c r="O1328" s="703"/>
      <c r="P1328" s="342"/>
      <c r="Q1328" s="363"/>
      <c r="R1328" s="340"/>
      <c r="S1328" s="342"/>
      <c r="T1328" s="342"/>
      <c r="U1328" s="342"/>
      <c r="V1328" s="340"/>
      <c r="W1328" s="340"/>
    </row>
    <row r="1329" spans="2:23" ht="24" customHeight="1">
      <c r="B1329" s="67"/>
      <c r="I1329" s="3" t="s">
        <v>59</v>
      </c>
      <c r="J1329" s="345">
        <v>9</v>
      </c>
      <c r="K1329" s="703">
        <v>2718.3797142857143</v>
      </c>
      <c r="L1329" s="342">
        <v>1</v>
      </c>
      <c r="M1329" s="342">
        <v>20.0093</v>
      </c>
      <c r="N1329" s="340">
        <v>54392.875217057146</v>
      </c>
      <c r="O1329" s="703">
        <v>2122.4499999999998</v>
      </c>
      <c r="P1329" s="342">
        <v>1</v>
      </c>
      <c r="Q1329" s="363">
        <v>20.603999999999999</v>
      </c>
      <c r="R1329" s="340">
        <v>43730.95979999999</v>
      </c>
      <c r="S1329" s="342">
        <v>115.56099999999999</v>
      </c>
      <c r="T1329" s="342">
        <v>120.15900000000001</v>
      </c>
      <c r="U1329" s="342">
        <v>1.0397000000000001</v>
      </c>
      <c r="V1329" s="340">
        <v>45467.078904059999</v>
      </c>
      <c r="W1329" s="340">
        <v>8925.7963129971504</v>
      </c>
    </row>
    <row r="1330" spans="2:23" ht="24" customHeight="1">
      <c r="J1330" s="345"/>
      <c r="K1330" s="703"/>
      <c r="L1330" s="342"/>
      <c r="M1330" s="342"/>
      <c r="N1330" s="340"/>
      <c r="O1330" s="703"/>
      <c r="P1330" s="342"/>
      <c r="Q1330" s="363"/>
      <c r="R1330" s="340"/>
      <c r="S1330" s="342"/>
      <c r="T1330" s="342"/>
      <c r="U1330" s="342"/>
      <c r="V1330" s="340"/>
      <c r="W1330" s="340"/>
    </row>
    <row r="1331" spans="2:23" ht="24" customHeight="1">
      <c r="B1331" s="67"/>
      <c r="F1331" s="346">
        <v>44757</v>
      </c>
      <c r="G1331" s="346"/>
      <c r="H1331" s="346"/>
      <c r="I1331" s="346"/>
      <c r="J1331" s="345"/>
      <c r="K1331" s="703"/>
      <c r="L1331" s="342"/>
      <c r="M1331" s="342"/>
      <c r="N1331" s="340"/>
      <c r="O1331" s="703"/>
      <c r="P1331" s="342"/>
      <c r="Q1331" s="363"/>
      <c r="R1331" s="340"/>
      <c r="S1331" s="342"/>
      <c r="T1331" s="342"/>
      <c r="U1331" s="342"/>
      <c r="V1331" s="340"/>
      <c r="W1331" s="340"/>
    </row>
    <row r="1332" spans="2:23" ht="24" customHeight="1">
      <c r="B1332" s="67"/>
      <c r="G1332" s="3" t="s">
        <v>59</v>
      </c>
      <c r="H1332" s="3"/>
      <c r="I1332" s="3"/>
      <c r="J1332" s="345"/>
      <c r="K1332" s="703"/>
      <c r="L1332" s="342"/>
      <c r="M1332" s="342"/>
      <c r="N1332" s="340"/>
      <c r="O1332" s="703"/>
      <c r="P1332" s="342"/>
      <c r="Q1332" s="363"/>
      <c r="R1332" s="340"/>
      <c r="S1332" s="342"/>
      <c r="T1332" s="342"/>
      <c r="U1332" s="342"/>
      <c r="V1332" s="340"/>
      <c r="W1332" s="340"/>
    </row>
    <row r="1333" spans="2:23" ht="24" customHeight="1">
      <c r="B1333" s="67"/>
      <c r="H1333" s="347">
        <v>44480</v>
      </c>
      <c r="I1333" s="347"/>
      <c r="J1333" s="345"/>
      <c r="K1333" s="703"/>
      <c r="L1333" s="342"/>
      <c r="M1333" s="342"/>
      <c r="N1333" s="340"/>
      <c r="O1333" s="703"/>
      <c r="P1333" s="342"/>
      <c r="Q1333" s="363"/>
      <c r="R1333" s="340"/>
      <c r="S1333" s="342"/>
      <c r="T1333" s="342"/>
      <c r="U1333" s="342"/>
      <c r="V1333" s="340"/>
      <c r="W1333" s="340"/>
    </row>
    <row r="1334" spans="2:23" ht="24" customHeight="1">
      <c r="B1334" s="67"/>
      <c r="I1334" s="3" t="s">
        <v>59</v>
      </c>
      <c r="J1334" s="345">
        <v>40</v>
      </c>
      <c r="K1334" s="703">
        <v>13199.090000000002</v>
      </c>
      <c r="L1334" s="342">
        <v>1</v>
      </c>
      <c r="M1334" s="342">
        <v>20.761299999999999</v>
      </c>
      <c r="N1334" s="340">
        <v>274030.26721700002</v>
      </c>
      <c r="O1334" s="703">
        <v>9439.1321428571428</v>
      </c>
      <c r="P1334" s="342">
        <v>1</v>
      </c>
      <c r="Q1334" s="363">
        <v>20.603999999999999</v>
      </c>
      <c r="R1334" s="340">
        <v>194483.87867142857</v>
      </c>
      <c r="S1334" s="342">
        <v>115.56100000000001</v>
      </c>
      <c r="T1334" s="342">
        <v>122.044</v>
      </c>
      <c r="U1334" s="342">
        <v>1.0561</v>
      </c>
      <c r="V1334" s="340">
        <v>205394.42426489573</v>
      </c>
      <c r="W1334" s="340">
        <v>68635.842952104285</v>
      </c>
    </row>
    <row r="1335" spans="2:23" ht="24" customHeight="1">
      <c r="J1335" s="345"/>
      <c r="K1335" s="703"/>
      <c r="L1335" s="342"/>
      <c r="M1335" s="342"/>
      <c r="N1335" s="340"/>
      <c r="O1335" s="703"/>
      <c r="P1335" s="342"/>
      <c r="Q1335" s="363"/>
      <c r="R1335" s="340"/>
      <c r="S1335" s="342"/>
      <c r="T1335" s="342"/>
      <c r="U1335" s="342"/>
      <c r="V1335" s="340"/>
      <c r="W1335" s="340"/>
    </row>
    <row r="1336" spans="2:23" ht="24" customHeight="1">
      <c r="B1336" s="67"/>
      <c r="E1336" s="131" t="s">
        <v>1123</v>
      </c>
      <c r="F1336" s="131"/>
      <c r="G1336" s="131"/>
      <c r="H1336" s="131"/>
      <c r="I1336" s="131"/>
      <c r="J1336" s="704">
        <v>183</v>
      </c>
      <c r="K1336" s="705">
        <v>55900.320000000007</v>
      </c>
      <c r="L1336" s="369">
        <v>1</v>
      </c>
      <c r="M1336" s="377">
        <v>20.208199999999998</v>
      </c>
      <c r="N1336" s="706">
        <v>1130555.2733439999</v>
      </c>
      <c r="O1336" s="705">
        <v>42676.565476190481</v>
      </c>
      <c r="P1336" s="369">
        <v>1</v>
      </c>
      <c r="Q1336" s="377">
        <v>20.418136842105259</v>
      </c>
      <c r="R1336" s="706">
        <v>874656.39895476191</v>
      </c>
      <c r="S1336" s="369">
        <v>115.20731578947365</v>
      </c>
      <c r="T1336" s="369">
        <v>119.7374210526316</v>
      </c>
      <c r="U1336" s="369">
        <v>1.0392631578947369</v>
      </c>
      <c r="V1336" s="706">
        <v>911025.28898217983</v>
      </c>
      <c r="W1336" s="706">
        <v>219529.9843618201</v>
      </c>
    </row>
    <row r="1337" spans="2:23" ht="24" customHeight="1">
      <c r="J1337" s="345"/>
      <c r="K1337" s="703"/>
      <c r="L1337" s="342"/>
      <c r="M1337" s="342"/>
      <c r="N1337" s="340"/>
      <c r="O1337" s="703"/>
      <c r="P1337" s="342"/>
      <c r="Q1337" s="363"/>
      <c r="R1337" s="340"/>
      <c r="S1337" s="342"/>
      <c r="T1337" s="342"/>
      <c r="U1337" s="342"/>
      <c r="V1337" s="340"/>
      <c r="W1337" s="340"/>
    </row>
    <row r="1338" spans="2:23" ht="24" customHeight="1">
      <c r="B1338" s="67"/>
      <c r="E1338" s="1" t="s">
        <v>730</v>
      </c>
      <c r="J1338" s="345"/>
      <c r="K1338" s="703"/>
      <c r="L1338" s="342"/>
      <c r="M1338" s="342"/>
      <c r="N1338" s="340"/>
      <c r="O1338" s="703"/>
      <c r="P1338" s="342"/>
      <c r="Q1338" s="363"/>
      <c r="R1338" s="340"/>
      <c r="S1338" s="342"/>
      <c r="T1338" s="342"/>
      <c r="U1338" s="342"/>
      <c r="V1338" s="340"/>
      <c r="W1338" s="340"/>
    </row>
    <row r="1339" spans="2:23" ht="24" customHeight="1">
      <c r="B1339" s="67"/>
      <c r="F1339" s="346">
        <v>44566</v>
      </c>
      <c r="G1339" s="346"/>
      <c r="H1339" s="346"/>
      <c r="I1339" s="346"/>
      <c r="J1339" s="345"/>
      <c r="K1339" s="703"/>
      <c r="L1339" s="342"/>
      <c r="M1339" s="342"/>
      <c r="N1339" s="340"/>
      <c r="O1339" s="703"/>
      <c r="P1339" s="342"/>
      <c r="Q1339" s="363"/>
      <c r="R1339" s="340"/>
      <c r="S1339" s="342"/>
      <c r="T1339" s="342"/>
      <c r="U1339" s="342"/>
      <c r="V1339" s="340"/>
      <c r="W1339" s="340"/>
    </row>
    <row r="1340" spans="2:23" ht="24" customHeight="1">
      <c r="B1340" s="67"/>
      <c r="G1340" s="3" t="s">
        <v>59</v>
      </c>
      <c r="H1340" s="3"/>
      <c r="I1340" s="3"/>
      <c r="J1340" s="345"/>
      <c r="K1340" s="703"/>
      <c r="L1340" s="342"/>
      <c r="M1340" s="342"/>
      <c r="N1340" s="340"/>
      <c r="O1340" s="703"/>
      <c r="P1340" s="342"/>
      <c r="Q1340" s="363"/>
      <c r="R1340" s="340"/>
      <c r="S1340" s="342"/>
      <c r="T1340" s="342"/>
      <c r="U1340" s="342"/>
      <c r="V1340" s="340"/>
      <c r="W1340" s="340"/>
    </row>
    <row r="1341" spans="2:23" ht="24" customHeight="1">
      <c r="B1341" s="67"/>
      <c r="H1341" s="347">
        <v>44259</v>
      </c>
      <c r="I1341" s="347"/>
      <c r="J1341" s="345"/>
      <c r="K1341" s="703"/>
      <c r="L1341" s="342"/>
      <c r="M1341" s="342"/>
      <c r="N1341" s="340"/>
      <c r="O1341" s="703"/>
      <c r="P1341" s="342"/>
      <c r="Q1341" s="363"/>
      <c r="R1341" s="340"/>
      <c r="S1341" s="342"/>
      <c r="T1341" s="342"/>
      <c r="U1341" s="342"/>
      <c r="V1341" s="340"/>
      <c r="W1341" s="340"/>
    </row>
    <row r="1342" spans="2:23" ht="24" customHeight="1">
      <c r="B1342" s="67"/>
      <c r="I1342" s="3" t="s">
        <v>59</v>
      </c>
      <c r="J1342" s="345">
        <v>45</v>
      </c>
      <c r="K1342" s="703">
        <v>16158.426666666666</v>
      </c>
      <c r="L1342" s="342">
        <v>1</v>
      </c>
      <c r="M1342" s="342">
        <v>20.588999999999999</v>
      </c>
      <c r="N1342" s="340">
        <v>332685.84664</v>
      </c>
      <c r="O1342" s="703">
        <v>13077.900000000001</v>
      </c>
      <c r="P1342" s="342">
        <v>1</v>
      </c>
      <c r="Q1342" s="363">
        <v>20.690300000000001</v>
      </c>
      <c r="R1342" s="340">
        <v>270585.67437000002</v>
      </c>
      <c r="S1342" s="342">
        <v>111.824</v>
      </c>
      <c r="T1342" s="342">
        <v>117.30800000000001</v>
      </c>
      <c r="U1342" s="342">
        <v>1.0489999999999999</v>
      </c>
      <c r="V1342" s="340">
        <v>283844.37241413002</v>
      </c>
      <c r="W1342" s="340">
        <v>48841.474225870028</v>
      </c>
    </row>
    <row r="1343" spans="2:23" ht="24" customHeight="1">
      <c r="J1343" s="345"/>
      <c r="K1343" s="703"/>
      <c r="L1343" s="342"/>
      <c r="M1343" s="342"/>
      <c r="N1343" s="340"/>
      <c r="O1343" s="703"/>
      <c r="P1343" s="342"/>
      <c r="Q1343" s="363"/>
      <c r="R1343" s="340"/>
      <c r="S1343" s="342"/>
      <c r="T1343" s="342"/>
      <c r="U1343" s="342"/>
      <c r="V1343" s="340"/>
      <c r="W1343" s="340"/>
    </row>
    <row r="1344" spans="2:23" ht="24" customHeight="1">
      <c r="B1344" s="67"/>
      <c r="H1344" s="347">
        <v>44225</v>
      </c>
      <c r="I1344" s="347"/>
      <c r="J1344" s="345"/>
      <c r="K1344" s="703"/>
      <c r="L1344" s="342"/>
      <c r="M1344" s="342"/>
      <c r="N1344" s="340"/>
      <c r="O1344" s="703"/>
      <c r="P1344" s="342"/>
      <c r="Q1344" s="363"/>
      <c r="R1344" s="340"/>
      <c r="S1344" s="342"/>
      <c r="T1344" s="342"/>
      <c r="U1344" s="342"/>
      <c r="V1344" s="340"/>
      <c r="W1344" s="340"/>
    </row>
    <row r="1345" spans="2:23" ht="24" customHeight="1">
      <c r="B1345" s="67"/>
      <c r="I1345" s="3" t="s">
        <v>59</v>
      </c>
      <c r="J1345" s="345">
        <v>31</v>
      </c>
      <c r="K1345" s="703">
        <v>11126.973333333333</v>
      </c>
      <c r="L1345" s="342">
        <v>1</v>
      </c>
      <c r="M1345" s="342">
        <v>20.588999999999999</v>
      </c>
      <c r="N1345" s="340">
        <v>229093.25396</v>
      </c>
      <c r="O1345" s="703">
        <v>7619.8354285714286</v>
      </c>
      <c r="P1345" s="342">
        <v>1</v>
      </c>
      <c r="Q1345" s="363">
        <v>20.216799999999999</v>
      </c>
      <c r="R1345" s="340">
        <v>154048.68889234285</v>
      </c>
      <c r="S1345" s="342">
        <v>110.21</v>
      </c>
      <c r="T1345" s="342">
        <v>117.30800000000001</v>
      </c>
      <c r="U1345" s="342">
        <v>1.0644</v>
      </c>
      <c r="V1345" s="340">
        <v>163969.42445700974</v>
      </c>
      <c r="W1345" s="340">
        <v>65123.829502990237</v>
      </c>
    </row>
    <row r="1346" spans="2:23" ht="24" customHeight="1">
      <c r="J1346" s="345"/>
      <c r="K1346" s="703"/>
      <c r="L1346" s="342"/>
      <c r="M1346" s="342"/>
      <c r="N1346" s="340"/>
      <c r="O1346" s="703"/>
      <c r="P1346" s="342"/>
      <c r="Q1346" s="363"/>
      <c r="R1346" s="340"/>
      <c r="S1346" s="342"/>
      <c r="T1346" s="342"/>
      <c r="U1346" s="342"/>
      <c r="V1346" s="340"/>
      <c r="W1346" s="340"/>
    </row>
    <row r="1347" spans="2:23" ht="24" customHeight="1">
      <c r="B1347" s="67"/>
      <c r="H1347" s="347">
        <v>44284</v>
      </c>
      <c r="I1347" s="347"/>
      <c r="J1347" s="345"/>
      <c r="K1347" s="703"/>
      <c r="L1347" s="342"/>
      <c r="M1347" s="342"/>
      <c r="N1347" s="340"/>
      <c r="O1347" s="703"/>
      <c r="P1347" s="342"/>
      <c r="Q1347" s="363"/>
      <c r="R1347" s="340"/>
      <c r="S1347" s="342"/>
      <c r="T1347" s="342"/>
      <c r="U1347" s="342"/>
      <c r="V1347" s="340"/>
      <c r="W1347" s="340"/>
    </row>
    <row r="1348" spans="2:23" ht="24" customHeight="1">
      <c r="B1348" s="67"/>
      <c r="I1348" s="3" t="s">
        <v>59</v>
      </c>
      <c r="J1348" s="345">
        <v>6</v>
      </c>
      <c r="K1348" s="703">
        <v>2157.14</v>
      </c>
      <c r="L1348" s="342">
        <v>1</v>
      </c>
      <c r="M1348" s="342">
        <v>20.588999999999999</v>
      </c>
      <c r="N1348" s="340">
        <v>44413.355459999992</v>
      </c>
      <c r="O1348" s="703">
        <v>1743.72</v>
      </c>
      <c r="P1348" s="342">
        <v>1</v>
      </c>
      <c r="Q1348" s="363">
        <v>20.766200000000001</v>
      </c>
      <c r="R1348" s="340">
        <v>36210.438264000004</v>
      </c>
      <c r="S1348" s="342">
        <v>111.824</v>
      </c>
      <c r="T1348" s="342">
        <v>117.30800000000001</v>
      </c>
      <c r="U1348" s="342">
        <v>1.0489999999999999</v>
      </c>
      <c r="V1348" s="340">
        <v>37984.749738936</v>
      </c>
      <c r="W1348" s="340">
        <v>6428.605721063992</v>
      </c>
    </row>
    <row r="1349" spans="2:23" ht="24" customHeight="1">
      <c r="J1349" s="345"/>
      <c r="K1349" s="703"/>
      <c r="L1349" s="342"/>
      <c r="M1349" s="342"/>
      <c r="N1349" s="340"/>
      <c r="O1349" s="703"/>
      <c r="P1349" s="342"/>
      <c r="Q1349" s="363"/>
      <c r="R1349" s="340"/>
      <c r="S1349" s="342"/>
      <c r="T1349" s="342"/>
      <c r="U1349" s="342"/>
      <c r="V1349" s="340"/>
      <c r="W1349" s="340"/>
    </row>
    <row r="1350" spans="2:23" ht="24" customHeight="1">
      <c r="B1350" s="67"/>
      <c r="F1350" s="346">
        <v>44855</v>
      </c>
      <c r="G1350" s="346"/>
      <c r="H1350" s="346"/>
      <c r="I1350" s="346"/>
      <c r="J1350" s="345"/>
      <c r="K1350" s="703"/>
      <c r="L1350" s="342"/>
      <c r="M1350" s="342"/>
      <c r="N1350" s="340"/>
      <c r="O1350" s="703"/>
      <c r="P1350" s="342"/>
      <c r="Q1350" s="363"/>
      <c r="R1350" s="340"/>
      <c r="S1350" s="342"/>
      <c r="T1350" s="342"/>
      <c r="U1350" s="342"/>
      <c r="V1350" s="340"/>
      <c r="W1350" s="340"/>
    </row>
    <row r="1351" spans="2:23" ht="24" customHeight="1">
      <c r="B1351" s="67"/>
      <c r="G1351" s="3" t="s">
        <v>59</v>
      </c>
      <c r="H1351" s="3"/>
      <c r="I1351" s="3"/>
      <c r="J1351" s="345"/>
      <c r="K1351" s="703"/>
      <c r="L1351" s="342"/>
      <c r="M1351" s="342"/>
      <c r="N1351" s="340"/>
      <c r="O1351" s="703"/>
      <c r="P1351" s="342"/>
      <c r="Q1351" s="363"/>
      <c r="R1351" s="340"/>
      <c r="S1351" s="342"/>
      <c r="T1351" s="342"/>
      <c r="U1351" s="342"/>
      <c r="V1351" s="340"/>
      <c r="W1351" s="340"/>
    </row>
    <row r="1352" spans="2:23" ht="24" customHeight="1">
      <c r="B1352" s="67"/>
      <c r="H1352" s="347">
        <v>44259</v>
      </c>
      <c r="I1352" s="347"/>
      <c r="J1352" s="345"/>
      <c r="K1352" s="703"/>
      <c r="L1352" s="342"/>
      <c r="M1352" s="342"/>
      <c r="N1352" s="340"/>
      <c r="O1352" s="703"/>
      <c r="P1352" s="342"/>
      <c r="Q1352" s="363"/>
      <c r="R1352" s="340"/>
      <c r="S1352" s="342"/>
      <c r="T1352" s="342"/>
      <c r="U1352" s="342"/>
      <c r="V1352" s="340"/>
      <c r="W1352" s="340"/>
    </row>
    <row r="1353" spans="2:23" ht="24" customHeight="1">
      <c r="B1353" s="67"/>
      <c r="I1353" s="3" t="s">
        <v>59</v>
      </c>
      <c r="J1353" s="345">
        <v>16</v>
      </c>
      <c r="K1353" s="703">
        <v>3180.0689230769231</v>
      </c>
      <c r="L1353" s="342">
        <v>1</v>
      </c>
      <c r="M1353" s="342">
        <v>20.127199999999998</v>
      </c>
      <c r="N1353" s="340">
        <v>64005.883228553837</v>
      </c>
      <c r="O1353" s="703">
        <v>4649.92</v>
      </c>
      <c r="P1353" s="342">
        <v>1</v>
      </c>
      <c r="Q1353" s="363">
        <v>20.690300000000001</v>
      </c>
      <c r="R1353" s="340">
        <v>96208.239776000002</v>
      </c>
      <c r="S1353" s="342">
        <v>111.824</v>
      </c>
      <c r="T1353" s="342">
        <v>124.571</v>
      </c>
      <c r="U1353" s="342">
        <v>1.1138999999999999</v>
      </c>
      <c r="V1353" s="340">
        <v>107166.35828648639</v>
      </c>
      <c r="W1353" s="340">
        <v>-43160.475057932548</v>
      </c>
    </row>
    <row r="1354" spans="2:23" ht="24" customHeight="1">
      <c r="J1354" s="345"/>
      <c r="K1354" s="703"/>
      <c r="L1354" s="342"/>
      <c r="M1354" s="342"/>
      <c r="N1354" s="340"/>
      <c r="O1354" s="703"/>
      <c r="P1354" s="342"/>
      <c r="Q1354" s="363"/>
      <c r="R1354" s="340"/>
      <c r="S1354" s="342"/>
      <c r="T1354" s="342"/>
      <c r="U1354" s="342"/>
      <c r="V1354" s="340"/>
      <c r="W1354" s="340"/>
    </row>
    <row r="1355" spans="2:23" ht="24" customHeight="1">
      <c r="B1355" s="67"/>
      <c r="H1355" s="347">
        <v>44348</v>
      </c>
      <c r="I1355" s="347"/>
      <c r="J1355" s="345"/>
      <c r="K1355" s="703"/>
      <c r="L1355" s="342"/>
      <c r="M1355" s="342"/>
      <c r="N1355" s="340"/>
      <c r="O1355" s="703"/>
      <c r="P1355" s="342"/>
      <c r="Q1355" s="363"/>
      <c r="R1355" s="340"/>
      <c r="S1355" s="342"/>
      <c r="T1355" s="342"/>
      <c r="U1355" s="342"/>
      <c r="V1355" s="340"/>
      <c r="W1355" s="340"/>
    </row>
    <row r="1356" spans="2:23" ht="24" customHeight="1">
      <c r="B1356" s="67"/>
      <c r="I1356" s="3" t="s">
        <v>59</v>
      </c>
      <c r="J1356" s="345">
        <v>25</v>
      </c>
      <c r="K1356" s="703">
        <v>4991.0875170940171</v>
      </c>
      <c r="L1356" s="342">
        <v>1</v>
      </c>
      <c r="M1356" s="342">
        <v>20.127199999999998</v>
      </c>
      <c r="N1356" s="340">
        <v>100456.61667405469</v>
      </c>
      <c r="O1356" s="703">
        <v>7715.75</v>
      </c>
      <c r="P1356" s="342">
        <v>1</v>
      </c>
      <c r="Q1356" s="363">
        <v>19.944199999999999</v>
      </c>
      <c r="R1356" s="340">
        <v>153884.46114999999</v>
      </c>
      <c r="S1356" s="342">
        <v>113.018</v>
      </c>
      <c r="T1356" s="342">
        <v>124.571</v>
      </c>
      <c r="U1356" s="342">
        <v>1.1022000000000001</v>
      </c>
      <c r="V1356" s="340">
        <v>169611.45307953001</v>
      </c>
      <c r="W1356" s="340">
        <v>-69154.836405475304</v>
      </c>
    </row>
    <row r="1357" spans="2:23" ht="24" customHeight="1">
      <c r="J1357" s="345"/>
      <c r="K1357" s="703"/>
      <c r="L1357" s="342"/>
      <c r="M1357" s="342"/>
      <c r="N1357" s="340"/>
      <c r="O1357" s="703"/>
      <c r="P1357" s="342"/>
      <c r="Q1357" s="363"/>
      <c r="R1357" s="340"/>
      <c r="S1357" s="342"/>
      <c r="T1357" s="342"/>
      <c r="U1357" s="342"/>
      <c r="V1357" s="340"/>
      <c r="W1357" s="340"/>
    </row>
    <row r="1358" spans="2:23" ht="24" customHeight="1">
      <c r="B1358" s="67"/>
      <c r="H1358" s="347">
        <v>44284</v>
      </c>
      <c r="I1358" s="347"/>
      <c r="J1358" s="345"/>
      <c r="K1358" s="703"/>
      <c r="L1358" s="342"/>
      <c r="M1358" s="342"/>
      <c r="N1358" s="340"/>
      <c r="O1358" s="703"/>
      <c r="P1358" s="342"/>
      <c r="Q1358" s="363"/>
      <c r="R1358" s="340"/>
      <c r="S1358" s="342"/>
      <c r="T1358" s="342"/>
      <c r="U1358" s="342"/>
      <c r="V1358" s="340"/>
      <c r="W1358" s="340"/>
    </row>
    <row r="1359" spans="2:23" ht="24" customHeight="1">
      <c r="B1359" s="67"/>
      <c r="I1359" s="3" t="s">
        <v>59</v>
      </c>
      <c r="J1359" s="345">
        <v>41</v>
      </c>
      <c r="K1359" s="703">
        <v>8148.9266153846156</v>
      </c>
      <c r="L1359" s="342">
        <v>1</v>
      </c>
      <c r="M1359" s="342">
        <v>20.127199999999998</v>
      </c>
      <c r="N1359" s="340">
        <v>164015.07577316923</v>
      </c>
      <c r="O1359" s="703">
        <v>11798.930000000002</v>
      </c>
      <c r="P1359" s="342">
        <v>1</v>
      </c>
      <c r="Q1359" s="363">
        <v>20.766200000000001</v>
      </c>
      <c r="R1359" s="340">
        <v>245018.94016600007</v>
      </c>
      <c r="S1359" s="342">
        <v>111.824</v>
      </c>
      <c r="T1359" s="342">
        <v>124.571</v>
      </c>
      <c r="U1359" s="342">
        <v>1.1138999999999999</v>
      </c>
      <c r="V1359" s="340">
        <v>272926.59745090746</v>
      </c>
      <c r="W1359" s="340">
        <v>-108911.52167773823</v>
      </c>
    </row>
    <row r="1360" spans="2:23" ht="24" customHeight="1">
      <c r="J1360" s="345"/>
      <c r="K1360" s="703"/>
      <c r="L1360" s="342"/>
      <c r="M1360" s="342"/>
      <c r="N1360" s="340"/>
      <c r="O1360" s="703"/>
      <c r="P1360" s="342"/>
      <c r="Q1360" s="363"/>
      <c r="R1360" s="340"/>
      <c r="S1360" s="342"/>
      <c r="T1360" s="342"/>
      <c r="U1360" s="342"/>
      <c r="V1360" s="340"/>
      <c r="W1360" s="340"/>
    </row>
    <row r="1361" spans="2:23" ht="24" customHeight="1">
      <c r="B1361" s="67"/>
      <c r="H1361" s="347">
        <v>44431</v>
      </c>
      <c r="I1361" s="347"/>
      <c r="J1361" s="345"/>
      <c r="K1361" s="703"/>
      <c r="L1361" s="342"/>
      <c r="M1361" s="342"/>
      <c r="N1361" s="340"/>
      <c r="O1361" s="703"/>
      <c r="P1361" s="342"/>
      <c r="Q1361" s="363"/>
      <c r="R1361" s="340"/>
      <c r="S1361" s="342"/>
      <c r="T1361" s="342"/>
      <c r="U1361" s="342"/>
      <c r="V1361" s="340"/>
      <c r="W1361" s="340"/>
    </row>
    <row r="1362" spans="2:23" ht="24" customHeight="1">
      <c r="B1362" s="67"/>
      <c r="I1362" s="3" t="s">
        <v>59</v>
      </c>
      <c r="J1362" s="345">
        <v>19</v>
      </c>
      <c r="K1362" s="703">
        <v>3801.1769444444444</v>
      </c>
      <c r="L1362" s="342">
        <v>1</v>
      </c>
      <c r="M1362" s="342">
        <v>20.127199999999998</v>
      </c>
      <c r="N1362" s="340">
        <v>76507.048596222216</v>
      </c>
      <c r="O1362" s="703">
        <v>6429.0870000000014</v>
      </c>
      <c r="P1362" s="342">
        <v>1</v>
      </c>
      <c r="Q1362" s="363">
        <v>20.1175</v>
      </c>
      <c r="R1362" s="340">
        <v>129337.15772250002</v>
      </c>
      <c r="S1362" s="342">
        <v>113.899</v>
      </c>
      <c r="T1362" s="342">
        <v>124.571</v>
      </c>
      <c r="U1362" s="342">
        <v>1.0935999999999999</v>
      </c>
      <c r="V1362" s="340">
        <v>141443.11568532602</v>
      </c>
      <c r="W1362" s="340">
        <v>-64936.067089103803</v>
      </c>
    </row>
    <row r="1363" spans="2:23" ht="24" customHeight="1">
      <c r="J1363" s="345"/>
      <c r="K1363" s="703"/>
      <c r="L1363" s="342"/>
      <c r="M1363" s="342"/>
      <c r="N1363" s="340"/>
      <c r="O1363" s="703"/>
      <c r="P1363" s="342"/>
      <c r="Q1363" s="363"/>
      <c r="R1363" s="340"/>
      <c r="S1363" s="342"/>
      <c r="T1363" s="342"/>
      <c r="U1363" s="342"/>
      <c r="V1363" s="340"/>
      <c r="W1363" s="340"/>
    </row>
    <row r="1364" spans="2:23" ht="24" customHeight="1">
      <c r="B1364" s="67"/>
      <c r="E1364" s="131" t="s">
        <v>1124</v>
      </c>
      <c r="F1364" s="131"/>
      <c r="G1364" s="131"/>
      <c r="H1364" s="131"/>
      <c r="I1364" s="131"/>
      <c r="J1364" s="704">
        <v>183</v>
      </c>
      <c r="K1364" s="705">
        <v>49563.8</v>
      </c>
      <c r="L1364" s="369">
        <v>1</v>
      </c>
      <c r="M1364" s="377">
        <v>20.358099999999997</v>
      </c>
      <c r="N1364" s="706">
        <v>1011177.080332</v>
      </c>
      <c r="O1364" s="705">
        <v>53035.142428571431</v>
      </c>
      <c r="P1364" s="369">
        <v>1</v>
      </c>
      <c r="Q1364" s="377">
        <v>20.40428</v>
      </c>
      <c r="R1364" s="706">
        <v>1085293.600340843</v>
      </c>
      <c r="S1364" s="369">
        <v>111.94749999999999</v>
      </c>
      <c r="T1364" s="369">
        <v>120.9395</v>
      </c>
      <c r="U1364" s="369">
        <v>1.08016</v>
      </c>
      <c r="V1364" s="706">
        <v>1176946.0711123256</v>
      </c>
      <c r="W1364" s="706">
        <v>-165768.99078032564</v>
      </c>
    </row>
    <row r="1365" spans="2:23" ht="24" customHeight="1">
      <c r="J1365" s="345"/>
      <c r="K1365" s="703"/>
      <c r="L1365" s="342"/>
      <c r="M1365" s="342"/>
      <c r="N1365" s="340"/>
      <c r="O1365" s="703"/>
      <c r="P1365" s="342"/>
      <c r="Q1365" s="363"/>
      <c r="R1365" s="340"/>
      <c r="S1365" s="342"/>
      <c r="T1365" s="342"/>
      <c r="U1365" s="342"/>
      <c r="V1365" s="340"/>
      <c r="W1365" s="340"/>
    </row>
    <row r="1366" spans="2:23" ht="24" customHeight="1">
      <c r="B1366" s="67"/>
      <c r="E1366" s="1" t="s">
        <v>768</v>
      </c>
      <c r="J1366" s="345"/>
      <c r="K1366" s="703"/>
      <c r="L1366" s="342"/>
      <c r="M1366" s="342"/>
      <c r="N1366" s="340"/>
      <c r="O1366" s="703"/>
      <c r="P1366" s="342"/>
      <c r="Q1366" s="363"/>
      <c r="R1366" s="340"/>
      <c r="S1366" s="342"/>
      <c r="T1366" s="342"/>
      <c r="U1366" s="342"/>
      <c r="V1366" s="340"/>
      <c r="W1366" s="340"/>
    </row>
    <row r="1367" spans="2:23" ht="24" customHeight="1">
      <c r="B1367" s="67"/>
      <c r="F1367" s="346">
        <v>44662</v>
      </c>
      <c r="G1367" s="346"/>
      <c r="H1367" s="346"/>
      <c r="I1367" s="346"/>
      <c r="J1367" s="345"/>
      <c r="K1367" s="703"/>
      <c r="L1367" s="342"/>
      <c r="M1367" s="342"/>
      <c r="N1367" s="340"/>
      <c r="O1367" s="703"/>
      <c r="P1367" s="342"/>
      <c r="Q1367" s="363"/>
      <c r="R1367" s="340"/>
      <c r="S1367" s="342"/>
      <c r="T1367" s="342"/>
      <c r="U1367" s="342"/>
      <c r="V1367" s="340"/>
      <c r="W1367" s="340"/>
    </row>
    <row r="1368" spans="2:23" ht="24" customHeight="1">
      <c r="B1368" s="67"/>
      <c r="G1368" s="3" t="s">
        <v>59</v>
      </c>
      <c r="H1368" s="3"/>
      <c r="I1368" s="3"/>
      <c r="J1368" s="345"/>
      <c r="K1368" s="703"/>
      <c r="L1368" s="342"/>
      <c r="M1368" s="342"/>
      <c r="N1368" s="340"/>
      <c r="O1368" s="703"/>
      <c r="P1368" s="342"/>
      <c r="Q1368" s="363"/>
      <c r="R1368" s="340"/>
      <c r="S1368" s="342"/>
      <c r="T1368" s="342"/>
      <c r="U1368" s="342"/>
      <c r="V1368" s="340"/>
      <c r="W1368" s="340"/>
    </row>
    <row r="1369" spans="2:23" ht="24" customHeight="1">
      <c r="B1369" s="67"/>
      <c r="H1369" s="347">
        <v>44141</v>
      </c>
      <c r="I1369" s="347"/>
      <c r="J1369" s="345"/>
      <c r="K1369" s="703"/>
      <c r="L1369" s="342"/>
      <c r="M1369" s="342"/>
      <c r="N1369" s="340"/>
      <c r="O1369" s="703"/>
      <c r="P1369" s="342"/>
      <c r="Q1369" s="363"/>
      <c r="R1369" s="340"/>
      <c r="S1369" s="342"/>
      <c r="T1369" s="342"/>
      <c r="U1369" s="342"/>
      <c r="V1369" s="340"/>
      <c r="W1369" s="340"/>
    </row>
    <row r="1370" spans="2:23" ht="24" customHeight="1">
      <c r="B1370" s="67"/>
      <c r="I1370" s="3" t="s">
        <v>59</v>
      </c>
      <c r="J1370" s="345">
        <v>82</v>
      </c>
      <c r="K1370" s="703">
        <v>15560.13</v>
      </c>
      <c r="L1370" s="342">
        <v>1</v>
      </c>
      <c r="M1370" s="342">
        <v>20.160499999999999</v>
      </c>
      <c r="N1370" s="340">
        <v>313700.00086499995</v>
      </c>
      <c r="O1370" s="703">
        <v>15094.725504587155</v>
      </c>
      <c r="P1370" s="342">
        <v>1</v>
      </c>
      <c r="Q1370" s="363">
        <v>21.034500000000001</v>
      </c>
      <c r="R1370" s="340">
        <v>317510.00362623855</v>
      </c>
      <c r="S1370" s="342">
        <v>108.85599999999999</v>
      </c>
      <c r="T1370" s="342">
        <v>120.15900000000001</v>
      </c>
      <c r="U1370" s="342">
        <v>1.1037999999999999</v>
      </c>
      <c r="V1370" s="340">
        <v>350467.54200264206</v>
      </c>
      <c r="W1370" s="340">
        <v>-36767.541137642111</v>
      </c>
    </row>
    <row r="1371" spans="2:23" ht="24" customHeight="1">
      <c r="J1371" s="345"/>
      <c r="K1371" s="703"/>
      <c r="L1371" s="342"/>
      <c r="M1371" s="342"/>
      <c r="N1371" s="340"/>
      <c r="O1371" s="703"/>
      <c r="P1371" s="342"/>
      <c r="Q1371" s="363"/>
      <c r="R1371" s="340"/>
      <c r="S1371" s="342"/>
      <c r="T1371" s="342"/>
      <c r="U1371" s="342"/>
      <c r="V1371" s="340"/>
      <c r="W1371" s="340"/>
    </row>
    <row r="1372" spans="2:23" ht="24" customHeight="1">
      <c r="B1372" s="67"/>
      <c r="E1372" s="131" t="s">
        <v>1125</v>
      </c>
      <c r="F1372" s="131"/>
      <c r="G1372" s="131"/>
      <c r="H1372" s="131"/>
      <c r="I1372" s="131"/>
      <c r="J1372" s="704">
        <v>82</v>
      </c>
      <c r="K1372" s="705">
        <v>15560.13</v>
      </c>
      <c r="L1372" s="369">
        <v>1</v>
      </c>
      <c r="M1372" s="377">
        <v>20.160499999999999</v>
      </c>
      <c r="N1372" s="706">
        <v>313700.00086499995</v>
      </c>
      <c r="O1372" s="705">
        <v>15094.725504587155</v>
      </c>
      <c r="P1372" s="369">
        <v>1</v>
      </c>
      <c r="Q1372" s="377">
        <v>21.034500000000001</v>
      </c>
      <c r="R1372" s="706">
        <v>317510.00362623855</v>
      </c>
      <c r="S1372" s="369">
        <v>108.85599999999999</v>
      </c>
      <c r="T1372" s="369">
        <v>120.15900000000001</v>
      </c>
      <c r="U1372" s="369">
        <v>1.1037999999999999</v>
      </c>
      <c r="V1372" s="706">
        <v>350467.54200264206</v>
      </c>
      <c r="W1372" s="706">
        <v>-36767.541137642111</v>
      </c>
    </row>
    <row r="1373" spans="2:23" ht="24" customHeight="1">
      <c r="J1373" s="345"/>
      <c r="K1373" s="703"/>
      <c r="L1373" s="342"/>
      <c r="M1373" s="342"/>
      <c r="N1373" s="340"/>
      <c r="O1373" s="703"/>
      <c r="P1373" s="342"/>
      <c r="Q1373" s="363"/>
      <c r="R1373" s="340"/>
      <c r="S1373" s="342"/>
      <c r="T1373" s="342"/>
      <c r="U1373" s="342"/>
      <c r="V1373" s="340"/>
      <c r="W1373" s="340"/>
    </row>
    <row r="1374" spans="2:23" ht="24" customHeight="1">
      <c r="B1374" s="67"/>
      <c r="E1374" s="1" t="s">
        <v>1043</v>
      </c>
      <c r="J1374" s="345"/>
      <c r="K1374" s="703"/>
      <c r="L1374" s="342"/>
      <c r="M1374" s="342"/>
      <c r="N1374" s="340"/>
      <c r="O1374" s="703"/>
      <c r="P1374" s="342"/>
      <c r="Q1374" s="363"/>
      <c r="R1374" s="340"/>
      <c r="S1374" s="342"/>
      <c r="T1374" s="342"/>
      <c r="U1374" s="342"/>
      <c r="V1374" s="340"/>
      <c r="W1374" s="340"/>
    </row>
    <row r="1375" spans="2:23" ht="24" customHeight="1">
      <c r="B1375" s="67"/>
      <c r="F1375" s="346">
        <v>44775</v>
      </c>
      <c r="G1375" s="346"/>
      <c r="H1375" s="346"/>
      <c r="I1375" s="346"/>
      <c r="J1375" s="345"/>
      <c r="K1375" s="703"/>
      <c r="L1375" s="342"/>
      <c r="M1375" s="342"/>
      <c r="N1375" s="340"/>
      <c r="O1375" s="703"/>
      <c r="P1375" s="342"/>
      <c r="Q1375" s="363"/>
      <c r="R1375" s="340"/>
      <c r="S1375" s="342"/>
      <c r="T1375" s="342"/>
      <c r="U1375" s="342"/>
      <c r="V1375" s="340"/>
      <c r="W1375" s="340"/>
    </row>
    <row r="1376" spans="2:23" ht="24" customHeight="1">
      <c r="B1376" s="67"/>
      <c r="G1376" s="3" t="s">
        <v>59</v>
      </c>
      <c r="H1376" s="3"/>
      <c r="I1376" s="3"/>
      <c r="J1376" s="345"/>
      <c r="K1376" s="703"/>
      <c r="L1376" s="342"/>
      <c r="M1376" s="342"/>
      <c r="N1376" s="340"/>
      <c r="O1376" s="703"/>
      <c r="P1376" s="342"/>
      <c r="Q1376" s="363"/>
      <c r="R1376" s="340"/>
      <c r="S1376" s="342"/>
      <c r="T1376" s="342"/>
      <c r="U1376" s="342"/>
      <c r="V1376" s="340"/>
      <c r="W1376" s="340"/>
    </row>
    <row r="1377" spans="2:23" ht="24" customHeight="1">
      <c r="B1377" s="67"/>
      <c r="H1377" s="347">
        <v>44141</v>
      </c>
      <c r="I1377" s="347"/>
      <c r="J1377" s="345"/>
      <c r="K1377" s="703"/>
      <c r="L1377" s="342"/>
      <c r="M1377" s="342"/>
      <c r="N1377" s="340"/>
      <c r="O1377" s="703"/>
      <c r="P1377" s="342"/>
      <c r="Q1377" s="363"/>
      <c r="R1377" s="340"/>
      <c r="S1377" s="342"/>
      <c r="T1377" s="342"/>
      <c r="U1377" s="342"/>
      <c r="V1377" s="340"/>
      <c r="W1377" s="340"/>
    </row>
    <row r="1378" spans="2:23" ht="24" customHeight="1">
      <c r="B1378" s="67"/>
      <c r="I1378" s="3" t="s">
        <v>59</v>
      </c>
      <c r="J1378" s="345">
        <v>124</v>
      </c>
      <c r="K1378" s="703">
        <v>10173.066369863014</v>
      </c>
      <c r="L1378" s="342">
        <v>1</v>
      </c>
      <c r="M1378" s="342">
        <v>20.348500000000001</v>
      </c>
      <c r="N1378" s="340">
        <v>207006.64102715754</v>
      </c>
      <c r="O1378" s="703">
        <v>9716.0199999999986</v>
      </c>
      <c r="P1378" s="342">
        <v>1</v>
      </c>
      <c r="Q1378" s="363">
        <v>21.034500000000001</v>
      </c>
      <c r="R1378" s="340">
        <v>204371.62268999999</v>
      </c>
      <c r="S1378" s="342">
        <v>108.85599999999999</v>
      </c>
      <c r="T1378" s="342">
        <v>122.94799999999999</v>
      </c>
      <c r="U1378" s="342">
        <v>1.1294</v>
      </c>
      <c r="V1378" s="340">
        <v>230817.31066608598</v>
      </c>
      <c r="W1378" s="340">
        <v>-23810.66963892843</v>
      </c>
    </row>
    <row r="1379" spans="2:23" ht="24" customHeight="1">
      <c r="J1379" s="345"/>
      <c r="K1379" s="703"/>
      <c r="L1379" s="342"/>
      <c r="M1379" s="342"/>
      <c r="N1379" s="340"/>
      <c r="O1379" s="703"/>
      <c r="P1379" s="342"/>
      <c r="Q1379" s="363"/>
      <c r="R1379" s="340"/>
      <c r="S1379" s="342"/>
      <c r="T1379" s="342"/>
      <c r="U1379" s="342"/>
      <c r="V1379" s="340"/>
      <c r="W1379" s="340"/>
    </row>
    <row r="1380" spans="2:23" ht="24" customHeight="1">
      <c r="B1380" s="67"/>
      <c r="H1380" s="347">
        <v>44104</v>
      </c>
      <c r="I1380" s="347"/>
      <c r="J1380" s="345"/>
      <c r="K1380" s="703"/>
      <c r="L1380" s="342"/>
      <c r="M1380" s="342"/>
      <c r="N1380" s="340"/>
      <c r="O1380" s="703"/>
      <c r="P1380" s="342"/>
      <c r="Q1380" s="363"/>
      <c r="R1380" s="340"/>
      <c r="S1380" s="342"/>
      <c r="T1380" s="342"/>
      <c r="U1380" s="342"/>
      <c r="V1380" s="340"/>
      <c r="W1380" s="340"/>
    </row>
    <row r="1381" spans="2:23" ht="24" customHeight="1">
      <c r="B1381" s="67"/>
      <c r="I1381" s="3" t="s">
        <v>59</v>
      </c>
      <c r="J1381" s="345">
        <v>63</v>
      </c>
      <c r="K1381" s="703">
        <v>5153.0936301369866</v>
      </c>
      <c r="L1381" s="342">
        <v>1</v>
      </c>
      <c r="M1381" s="342">
        <v>20.348500000000001</v>
      </c>
      <c r="N1381" s="340">
        <v>104857.72573284247</v>
      </c>
      <c r="O1381" s="703">
        <v>4920.6162962962962</v>
      </c>
      <c r="P1381" s="342">
        <v>1</v>
      </c>
      <c r="Q1381" s="363">
        <v>22.4573</v>
      </c>
      <c r="R1381" s="340">
        <v>110503.75635081482</v>
      </c>
      <c r="S1381" s="342">
        <v>108.114</v>
      </c>
      <c r="T1381" s="342">
        <v>122.94799999999999</v>
      </c>
      <c r="U1381" s="342">
        <v>1.1372</v>
      </c>
      <c r="V1381" s="340">
        <v>125664.87172214661</v>
      </c>
      <c r="W1381" s="340">
        <v>-20807.145989304132</v>
      </c>
    </row>
    <row r="1382" spans="2:23" ht="24" customHeight="1">
      <c r="J1382" s="345"/>
      <c r="K1382" s="703"/>
      <c r="L1382" s="342"/>
      <c r="M1382" s="342"/>
      <c r="N1382" s="340"/>
      <c r="O1382" s="703"/>
      <c r="P1382" s="342"/>
      <c r="Q1382" s="363"/>
      <c r="R1382" s="340"/>
      <c r="S1382" s="342"/>
      <c r="T1382" s="342"/>
      <c r="U1382" s="342"/>
      <c r="V1382" s="340"/>
      <c r="W1382" s="340"/>
    </row>
    <row r="1383" spans="2:23" ht="24" customHeight="1">
      <c r="B1383" s="67"/>
      <c r="E1383" s="131" t="s">
        <v>1126</v>
      </c>
      <c r="F1383" s="131"/>
      <c r="G1383" s="131"/>
      <c r="H1383" s="131"/>
      <c r="I1383" s="131"/>
      <c r="J1383" s="704">
        <v>187</v>
      </c>
      <c r="K1383" s="705">
        <v>15326.16</v>
      </c>
      <c r="L1383" s="369">
        <v>1</v>
      </c>
      <c r="M1383" s="377">
        <v>20.348500000000001</v>
      </c>
      <c r="N1383" s="706">
        <v>311864.36676</v>
      </c>
      <c r="O1383" s="705">
        <v>14636.636296296296</v>
      </c>
      <c r="P1383" s="369">
        <v>1</v>
      </c>
      <c r="Q1383" s="377">
        <v>21.31906</v>
      </c>
      <c r="R1383" s="706">
        <v>314875.37904081482</v>
      </c>
      <c r="S1383" s="369">
        <v>108.7076</v>
      </c>
      <c r="T1383" s="369">
        <v>122.94800000000001</v>
      </c>
      <c r="U1383" s="369">
        <v>1.13096</v>
      </c>
      <c r="V1383" s="706">
        <v>356482.18238823256</v>
      </c>
      <c r="W1383" s="706">
        <v>-44617.815628232565</v>
      </c>
    </row>
    <row r="1384" spans="2:23" ht="24" customHeight="1">
      <c r="J1384" s="345"/>
      <c r="K1384" s="703"/>
      <c r="L1384" s="342"/>
      <c r="M1384" s="342"/>
      <c r="N1384" s="340"/>
      <c r="O1384" s="703"/>
      <c r="P1384" s="342"/>
      <c r="Q1384" s="363"/>
      <c r="R1384" s="340"/>
      <c r="S1384" s="342"/>
      <c r="T1384" s="342"/>
      <c r="U1384" s="342"/>
      <c r="V1384" s="340"/>
      <c r="W1384" s="340"/>
    </row>
    <row r="1385" spans="2:23" ht="24" customHeight="1">
      <c r="B1385" s="67"/>
      <c r="E1385" s="1" t="s">
        <v>1042</v>
      </c>
      <c r="J1385" s="345"/>
      <c r="K1385" s="703"/>
      <c r="L1385" s="342"/>
      <c r="M1385" s="342"/>
      <c r="N1385" s="340"/>
      <c r="O1385" s="703"/>
      <c r="P1385" s="342"/>
      <c r="Q1385" s="363"/>
      <c r="R1385" s="340"/>
      <c r="S1385" s="342"/>
      <c r="T1385" s="342"/>
      <c r="U1385" s="342"/>
      <c r="V1385" s="340"/>
      <c r="W1385" s="340"/>
    </row>
    <row r="1386" spans="2:23" ht="24" customHeight="1">
      <c r="B1386" s="67"/>
      <c r="F1386" s="346">
        <v>44776</v>
      </c>
      <c r="G1386" s="346"/>
      <c r="H1386" s="346"/>
      <c r="I1386" s="346"/>
      <c r="J1386" s="345"/>
      <c r="K1386" s="703"/>
      <c r="L1386" s="342"/>
      <c r="M1386" s="342"/>
      <c r="N1386" s="340"/>
      <c r="O1386" s="703"/>
      <c r="P1386" s="342"/>
      <c r="Q1386" s="363"/>
      <c r="R1386" s="340"/>
      <c r="S1386" s="342"/>
      <c r="T1386" s="342"/>
      <c r="U1386" s="342"/>
      <c r="V1386" s="340"/>
      <c r="W1386" s="340"/>
    </row>
    <row r="1387" spans="2:23" ht="24" customHeight="1">
      <c r="B1387" s="67"/>
      <c r="G1387" s="3" t="s">
        <v>59</v>
      </c>
      <c r="H1387" s="3"/>
      <c r="I1387" s="3"/>
      <c r="J1387" s="345"/>
      <c r="K1387" s="703"/>
      <c r="L1387" s="342"/>
      <c r="M1387" s="342"/>
      <c r="N1387" s="340"/>
      <c r="O1387" s="703"/>
      <c r="P1387" s="342"/>
      <c r="Q1387" s="363"/>
      <c r="R1387" s="340"/>
      <c r="S1387" s="342"/>
      <c r="T1387" s="342"/>
      <c r="U1387" s="342"/>
      <c r="V1387" s="340"/>
      <c r="W1387" s="340"/>
    </row>
    <row r="1388" spans="2:23" ht="24" customHeight="1">
      <c r="B1388" s="67"/>
      <c r="H1388" s="347">
        <v>44273</v>
      </c>
      <c r="I1388" s="347"/>
      <c r="J1388" s="345"/>
      <c r="K1388" s="703"/>
      <c r="L1388" s="342"/>
      <c r="M1388" s="342"/>
      <c r="N1388" s="340"/>
      <c r="O1388" s="703"/>
      <c r="P1388" s="342"/>
      <c r="Q1388" s="363"/>
      <c r="R1388" s="340"/>
      <c r="S1388" s="342"/>
      <c r="T1388" s="342"/>
      <c r="U1388" s="342"/>
      <c r="V1388" s="340"/>
      <c r="W1388" s="340"/>
    </row>
    <row r="1389" spans="2:23" ht="24" customHeight="1">
      <c r="B1389" s="67"/>
      <c r="I1389" s="3" t="s">
        <v>59</v>
      </c>
      <c r="J1389" s="345">
        <v>1</v>
      </c>
      <c r="K1389" s="703">
        <v>350.76904761904763</v>
      </c>
      <c r="L1389" s="342">
        <v>1</v>
      </c>
      <c r="M1389" s="342">
        <v>20.263300000000001</v>
      </c>
      <c r="N1389" s="340">
        <v>7107.7384426190483</v>
      </c>
      <c r="O1389" s="703">
        <v>467.23199999999997</v>
      </c>
      <c r="P1389" s="342">
        <v>1</v>
      </c>
      <c r="Q1389" s="363">
        <v>20.575299999999999</v>
      </c>
      <c r="R1389" s="340">
        <v>9613.438569599999</v>
      </c>
      <c r="S1389" s="342">
        <v>111.824</v>
      </c>
      <c r="T1389" s="342">
        <v>122.94799999999999</v>
      </c>
      <c r="U1389" s="342">
        <v>1.0993999999999999</v>
      </c>
      <c r="V1389" s="340">
        <v>10569.014363418239</v>
      </c>
      <c r="W1389" s="340">
        <v>-3461.2759207991903</v>
      </c>
    </row>
    <row r="1390" spans="2:23" ht="24" customHeight="1">
      <c r="J1390" s="345"/>
      <c r="K1390" s="703"/>
      <c r="L1390" s="342"/>
      <c r="M1390" s="342"/>
      <c r="N1390" s="340"/>
      <c r="O1390" s="703"/>
      <c r="P1390" s="342"/>
      <c r="Q1390" s="363"/>
      <c r="R1390" s="340"/>
      <c r="S1390" s="342"/>
      <c r="T1390" s="342"/>
      <c r="U1390" s="342"/>
      <c r="V1390" s="340"/>
      <c r="W1390" s="340"/>
    </row>
    <row r="1391" spans="2:23" ht="24" customHeight="1">
      <c r="B1391" s="67"/>
      <c r="H1391" s="347">
        <v>44279</v>
      </c>
      <c r="I1391" s="347"/>
      <c r="J1391" s="345"/>
      <c r="K1391" s="703"/>
      <c r="L1391" s="342"/>
      <c r="M1391" s="342"/>
      <c r="N1391" s="340"/>
      <c r="O1391" s="703"/>
      <c r="P1391" s="342"/>
      <c r="Q1391" s="363"/>
      <c r="R1391" s="340"/>
      <c r="S1391" s="342"/>
      <c r="T1391" s="342"/>
      <c r="U1391" s="342"/>
      <c r="V1391" s="340"/>
      <c r="W1391" s="340"/>
    </row>
    <row r="1392" spans="2:23" ht="24" customHeight="1">
      <c r="B1392" s="67"/>
      <c r="I1392" s="3" t="s">
        <v>59</v>
      </c>
      <c r="J1392" s="345">
        <v>14</v>
      </c>
      <c r="K1392" s="703">
        <v>4910.7666666666664</v>
      </c>
      <c r="L1392" s="342">
        <v>1</v>
      </c>
      <c r="M1392" s="342">
        <v>20.263300000000001</v>
      </c>
      <c r="N1392" s="340">
        <v>99508.338196666664</v>
      </c>
      <c r="O1392" s="703">
        <v>6422.52</v>
      </c>
      <c r="P1392" s="342">
        <v>1</v>
      </c>
      <c r="Q1392" s="363">
        <v>20.578800000000001</v>
      </c>
      <c r="R1392" s="340">
        <v>132167.75457600001</v>
      </c>
      <c r="S1392" s="342">
        <v>111.824</v>
      </c>
      <c r="T1392" s="342">
        <v>122.94799999999999</v>
      </c>
      <c r="U1392" s="342">
        <v>1.0993999999999999</v>
      </c>
      <c r="V1392" s="340">
        <v>145305.22938085441</v>
      </c>
      <c r="W1392" s="340">
        <v>-45796.891184187742</v>
      </c>
    </row>
    <row r="1393" spans="2:23" ht="24" customHeight="1">
      <c r="J1393" s="345"/>
      <c r="K1393" s="703"/>
      <c r="L1393" s="342"/>
      <c r="M1393" s="342"/>
      <c r="N1393" s="340"/>
      <c r="O1393" s="703"/>
      <c r="P1393" s="342"/>
      <c r="Q1393" s="363"/>
      <c r="R1393" s="340"/>
      <c r="S1393" s="342"/>
      <c r="T1393" s="342"/>
      <c r="U1393" s="342"/>
      <c r="V1393" s="340"/>
      <c r="W1393" s="340"/>
    </row>
    <row r="1394" spans="2:23" ht="24" customHeight="1">
      <c r="B1394" s="67"/>
      <c r="H1394" s="347">
        <v>44280</v>
      </c>
      <c r="I1394" s="347"/>
      <c r="J1394" s="345"/>
      <c r="K1394" s="703"/>
      <c r="L1394" s="342"/>
      <c r="M1394" s="342"/>
      <c r="N1394" s="340"/>
      <c r="O1394" s="703"/>
      <c r="P1394" s="342"/>
      <c r="Q1394" s="363"/>
      <c r="R1394" s="340"/>
      <c r="S1394" s="342"/>
      <c r="T1394" s="342"/>
      <c r="U1394" s="342"/>
      <c r="V1394" s="340"/>
      <c r="W1394" s="340"/>
    </row>
    <row r="1395" spans="2:23" ht="24" customHeight="1">
      <c r="B1395" s="67"/>
      <c r="I1395" s="3" t="s">
        <v>59</v>
      </c>
      <c r="J1395" s="345">
        <v>6</v>
      </c>
      <c r="K1395" s="703">
        <v>2104.6142857142859</v>
      </c>
      <c r="L1395" s="342">
        <v>1</v>
      </c>
      <c r="M1395" s="342">
        <v>20.263300000000001</v>
      </c>
      <c r="N1395" s="340">
        <v>42646.430655714292</v>
      </c>
      <c r="O1395" s="703">
        <v>2707.17</v>
      </c>
      <c r="P1395" s="342">
        <v>1</v>
      </c>
      <c r="Q1395" s="363">
        <v>20.640799999999999</v>
      </c>
      <c r="R1395" s="340">
        <v>55878.154535999995</v>
      </c>
      <c r="S1395" s="342">
        <v>111.824</v>
      </c>
      <c r="T1395" s="342">
        <v>122.94799999999999</v>
      </c>
      <c r="U1395" s="342">
        <v>1.0993999999999999</v>
      </c>
      <c r="V1395" s="340">
        <v>61432.443096878393</v>
      </c>
      <c r="W1395" s="340">
        <v>-18786.012441164108</v>
      </c>
    </row>
    <row r="1396" spans="2:23" ht="24" customHeight="1">
      <c r="J1396" s="345"/>
      <c r="K1396" s="703"/>
      <c r="L1396" s="342"/>
      <c r="M1396" s="342"/>
      <c r="N1396" s="340"/>
      <c r="O1396" s="703"/>
      <c r="P1396" s="342"/>
      <c r="Q1396" s="363"/>
      <c r="R1396" s="340"/>
      <c r="S1396" s="342"/>
      <c r="T1396" s="342"/>
      <c r="U1396" s="342"/>
      <c r="V1396" s="340"/>
      <c r="W1396" s="340"/>
    </row>
    <row r="1397" spans="2:23" ht="24" customHeight="1">
      <c r="B1397" s="67"/>
      <c r="E1397" s="131" t="s">
        <v>1127</v>
      </c>
      <c r="F1397" s="131"/>
      <c r="G1397" s="131"/>
      <c r="H1397" s="131"/>
      <c r="I1397" s="131"/>
      <c r="J1397" s="704">
        <v>21</v>
      </c>
      <c r="K1397" s="705">
        <v>7366.15</v>
      </c>
      <c r="L1397" s="369">
        <v>1</v>
      </c>
      <c r="M1397" s="377">
        <v>20.263300000000001</v>
      </c>
      <c r="N1397" s="706">
        <v>149262.50729500002</v>
      </c>
      <c r="O1397" s="705">
        <v>9596.9220000000005</v>
      </c>
      <c r="P1397" s="369">
        <v>1</v>
      </c>
      <c r="Q1397" s="377">
        <v>20.598299999999998</v>
      </c>
      <c r="R1397" s="706">
        <v>197659.34768159999</v>
      </c>
      <c r="S1397" s="369">
        <v>111.824</v>
      </c>
      <c r="T1397" s="369">
        <v>122.94799999999999</v>
      </c>
      <c r="U1397" s="369">
        <v>1.0993999999999999</v>
      </c>
      <c r="V1397" s="706">
        <v>217306.68684115104</v>
      </c>
      <c r="W1397" s="706">
        <v>-68044.179546151048</v>
      </c>
    </row>
    <row r="1398" spans="2:23" ht="24" customHeight="1">
      <c r="J1398" s="345"/>
      <c r="K1398" s="703"/>
      <c r="L1398" s="342"/>
      <c r="M1398" s="342"/>
      <c r="N1398" s="340"/>
      <c r="O1398" s="703"/>
      <c r="P1398" s="342"/>
      <c r="Q1398" s="363"/>
      <c r="R1398" s="340"/>
      <c r="S1398" s="342"/>
      <c r="T1398" s="342"/>
      <c r="U1398" s="342"/>
      <c r="V1398" s="340"/>
      <c r="W1398" s="340"/>
    </row>
    <row r="1399" spans="2:23" ht="24" customHeight="1">
      <c r="B1399" s="67"/>
      <c r="E1399" s="1" t="s">
        <v>951</v>
      </c>
      <c r="J1399" s="345"/>
      <c r="K1399" s="703"/>
      <c r="L1399" s="342"/>
      <c r="M1399" s="342"/>
      <c r="N1399" s="340"/>
      <c r="O1399" s="703"/>
      <c r="P1399" s="342"/>
      <c r="Q1399" s="363"/>
      <c r="R1399" s="340"/>
      <c r="S1399" s="342"/>
      <c r="T1399" s="342"/>
      <c r="U1399" s="342"/>
      <c r="V1399" s="340"/>
      <c r="W1399" s="340"/>
    </row>
    <row r="1400" spans="2:23" ht="24" customHeight="1">
      <c r="B1400" s="67"/>
      <c r="F1400" s="346">
        <v>44764</v>
      </c>
      <c r="G1400" s="346"/>
      <c r="H1400" s="346"/>
      <c r="I1400" s="346"/>
      <c r="J1400" s="345"/>
      <c r="K1400" s="703"/>
      <c r="L1400" s="342"/>
      <c r="M1400" s="342"/>
      <c r="N1400" s="340"/>
      <c r="O1400" s="703"/>
      <c r="P1400" s="342"/>
      <c r="Q1400" s="363"/>
      <c r="R1400" s="340"/>
      <c r="S1400" s="342"/>
      <c r="T1400" s="342"/>
      <c r="U1400" s="342"/>
      <c r="V1400" s="340"/>
      <c r="W1400" s="340"/>
    </row>
    <row r="1401" spans="2:23" ht="24" customHeight="1">
      <c r="B1401" s="67"/>
      <c r="G1401" s="3" t="s">
        <v>59</v>
      </c>
      <c r="H1401" s="3"/>
      <c r="I1401" s="3"/>
      <c r="J1401" s="345"/>
      <c r="K1401" s="703"/>
      <c r="L1401" s="342"/>
      <c r="M1401" s="342"/>
      <c r="N1401" s="340"/>
      <c r="O1401" s="703"/>
      <c r="P1401" s="342"/>
      <c r="Q1401" s="363"/>
      <c r="R1401" s="340"/>
      <c r="S1401" s="342"/>
      <c r="T1401" s="342"/>
      <c r="U1401" s="342"/>
      <c r="V1401" s="340"/>
      <c r="W1401" s="340"/>
    </row>
    <row r="1402" spans="2:23" ht="24" customHeight="1">
      <c r="B1402" s="67"/>
      <c r="H1402" s="347">
        <v>44574</v>
      </c>
      <c r="I1402" s="347"/>
      <c r="J1402" s="345"/>
      <c r="K1402" s="703"/>
      <c r="L1402" s="342"/>
      <c r="M1402" s="342"/>
      <c r="N1402" s="340"/>
      <c r="O1402" s="703"/>
      <c r="P1402" s="342"/>
      <c r="Q1402" s="363"/>
      <c r="R1402" s="340"/>
      <c r="S1402" s="342"/>
      <c r="T1402" s="342"/>
      <c r="U1402" s="342"/>
      <c r="V1402" s="340"/>
      <c r="W1402" s="340"/>
    </row>
    <row r="1403" spans="2:23" ht="24" customHeight="1">
      <c r="B1403" s="67"/>
      <c r="I1403" s="3" t="s">
        <v>59</v>
      </c>
      <c r="J1403" s="345">
        <v>1</v>
      </c>
      <c r="K1403" s="703">
        <v>484.33</v>
      </c>
      <c r="L1403" s="342">
        <v>1</v>
      </c>
      <c r="M1403" s="342">
        <v>20.491299999999999</v>
      </c>
      <c r="N1403" s="340">
        <v>9924.5513289999999</v>
      </c>
      <c r="O1403" s="703">
        <v>395.70777777777778</v>
      </c>
      <c r="P1403" s="342">
        <v>1</v>
      </c>
      <c r="Q1403" s="363">
        <v>20.378499999999999</v>
      </c>
      <c r="R1403" s="340">
        <v>8063.9309494444442</v>
      </c>
      <c r="S1403" s="342">
        <v>118.002</v>
      </c>
      <c r="T1403" s="342">
        <v>122.044</v>
      </c>
      <c r="U1403" s="342">
        <v>1.0342</v>
      </c>
      <c r="V1403" s="340">
        <v>8339.7173879154434</v>
      </c>
      <c r="W1403" s="340">
        <v>1584.8339410845565</v>
      </c>
    </row>
    <row r="1404" spans="2:23" ht="24" customHeight="1">
      <c r="J1404" s="345"/>
      <c r="K1404" s="703"/>
      <c r="L1404" s="342"/>
      <c r="M1404" s="342"/>
      <c r="N1404" s="340"/>
      <c r="O1404" s="703"/>
      <c r="P1404" s="342"/>
      <c r="Q1404" s="363"/>
      <c r="R1404" s="340"/>
      <c r="S1404" s="342"/>
      <c r="T1404" s="342"/>
      <c r="U1404" s="342"/>
      <c r="V1404" s="340"/>
      <c r="W1404" s="340"/>
    </row>
    <row r="1405" spans="2:23" ht="24" customHeight="1">
      <c r="B1405" s="67"/>
      <c r="F1405" s="346">
        <v>44760</v>
      </c>
      <c r="G1405" s="346"/>
      <c r="H1405" s="346"/>
      <c r="I1405" s="346"/>
      <c r="J1405" s="345"/>
      <c r="K1405" s="703"/>
      <c r="L1405" s="342"/>
      <c r="M1405" s="342"/>
      <c r="N1405" s="340"/>
      <c r="O1405" s="703"/>
      <c r="P1405" s="342"/>
      <c r="Q1405" s="363"/>
      <c r="R1405" s="340"/>
      <c r="S1405" s="342"/>
      <c r="T1405" s="342"/>
      <c r="U1405" s="342"/>
      <c r="V1405" s="340"/>
      <c r="W1405" s="340"/>
    </row>
    <row r="1406" spans="2:23" ht="24" customHeight="1">
      <c r="B1406" s="67"/>
      <c r="G1406" s="3" t="s">
        <v>59</v>
      </c>
      <c r="H1406" s="3"/>
      <c r="I1406" s="3"/>
      <c r="J1406" s="345"/>
      <c r="K1406" s="703"/>
      <c r="L1406" s="342"/>
      <c r="M1406" s="342"/>
      <c r="N1406" s="340"/>
      <c r="O1406" s="703"/>
      <c r="P1406" s="342"/>
      <c r="Q1406" s="363"/>
      <c r="R1406" s="340"/>
      <c r="S1406" s="342"/>
      <c r="T1406" s="342"/>
      <c r="U1406" s="342"/>
      <c r="V1406" s="340"/>
      <c r="W1406" s="340"/>
    </row>
    <row r="1407" spans="2:23" ht="24" customHeight="1">
      <c r="B1407" s="67"/>
      <c r="H1407" s="347">
        <v>44573</v>
      </c>
      <c r="I1407" s="347"/>
      <c r="J1407" s="345"/>
      <c r="K1407" s="703"/>
      <c r="L1407" s="342"/>
      <c r="M1407" s="342"/>
      <c r="N1407" s="340"/>
      <c r="O1407" s="703"/>
      <c r="P1407" s="342"/>
      <c r="Q1407" s="363"/>
      <c r="R1407" s="340"/>
      <c r="S1407" s="342"/>
      <c r="T1407" s="342"/>
      <c r="U1407" s="342"/>
      <c r="V1407" s="340"/>
      <c r="W1407" s="340"/>
    </row>
    <row r="1408" spans="2:23" ht="24" customHeight="1">
      <c r="B1408" s="67"/>
      <c r="I1408" s="3" t="s">
        <v>59</v>
      </c>
      <c r="J1408" s="345">
        <v>1</v>
      </c>
      <c r="K1408" s="703">
        <v>485.625</v>
      </c>
      <c r="L1408" s="342">
        <v>1</v>
      </c>
      <c r="M1408" s="342">
        <v>20.941500000000001</v>
      </c>
      <c r="N1408" s="340">
        <v>10169.715937500001</v>
      </c>
      <c r="O1408" s="703">
        <v>392.89575000000002</v>
      </c>
      <c r="P1408" s="342">
        <v>1</v>
      </c>
      <c r="Q1408" s="363">
        <v>20.4453</v>
      </c>
      <c r="R1408" s="340">
        <v>8032.8714774750006</v>
      </c>
      <c r="S1408" s="342">
        <v>118.002</v>
      </c>
      <c r="T1408" s="342">
        <v>122.044</v>
      </c>
      <c r="U1408" s="342">
        <v>1.0342</v>
      </c>
      <c r="V1408" s="340">
        <v>8307.5956820046449</v>
      </c>
      <c r="W1408" s="340">
        <v>1862.1202554953561</v>
      </c>
    </row>
    <row r="1409" spans="2:23" ht="24" customHeight="1">
      <c r="J1409" s="345"/>
      <c r="K1409" s="703"/>
      <c r="L1409" s="342"/>
      <c r="M1409" s="342"/>
      <c r="N1409" s="340"/>
      <c r="O1409" s="703"/>
      <c r="P1409" s="342"/>
      <c r="Q1409" s="363"/>
      <c r="R1409" s="340"/>
      <c r="S1409" s="342"/>
      <c r="T1409" s="342"/>
      <c r="U1409" s="342"/>
      <c r="V1409" s="340"/>
      <c r="W1409" s="340"/>
    </row>
    <row r="1410" spans="2:23" ht="24" customHeight="1">
      <c r="B1410" s="67"/>
      <c r="H1410" s="347">
        <v>44572</v>
      </c>
      <c r="I1410" s="347"/>
      <c r="J1410" s="345"/>
      <c r="K1410" s="703"/>
      <c r="L1410" s="342"/>
      <c r="M1410" s="342"/>
      <c r="N1410" s="340"/>
      <c r="O1410" s="703"/>
      <c r="P1410" s="342"/>
      <c r="Q1410" s="363"/>
      <c r="R1410" s="340"/>
      <c r="S1410" s="342"/>
      <c r="T1410" s="342"/>
      <c r="U1410" s="342"/>
      <c r="V1410" s="340"/>
      <c r="W1410" s="340"/>
    </row>
    <row r="1411" spans="2:23" ht="24" customHeight="1">
      <c r="B1411" s="67"/>
      <c r="I1411" s="3" t="s">
        <v>59</v>
      </c>
      <c r="J1411" s="345">
        <v>40</v>
      </c>
      <c r="K1411" s="703">
        <v>19581.235000000001</v>
      </c>
      <c r="L1411" s="342">
        <v>1</v>
      </c>
      <c r="M1411" s="342">
        <v>20.941500000000001</v>
      </c>
      <c r="N1411" s="340">
        <v>410060.43275250006</v>
      </c>
      <c r="O1411" s="703">
        <v>15559.869999999999</v>
      </c>
      <c r="P1411" s="342">
        <v>1</v>
      </c>
      <c r="Q1411" s="363">
        <v>20.4237</v>
      </c>
      <c r="R1411" s="340">
        <v>317790.11691900005</v>
      </c>
      <c r="S1411" s="342">
        <v>118.002</v>
      </c>
      <c r="T1411" s="342">
        <v>122.04400000000001</v>
      </c>
      <c r="U1411" s="342">
        <v>1.0342</v>
      </c>
      <c r="V1411" s="340">
        <v>328658.53891762986</v>
      </c>
      <c r="W1411" s="340">
        <v>81401.893834870236</v>
      </c>
    </row>
    <row r="1412" spans="2:23" ht="24" customHeight="1">
      <c r="J1412" s="345"/>
      <c r="K1412" s="703"/>
      <c r="L1412" s="342"/>
      <c r="M1412" s="342"/>
      <c r="N1412" s="340"/>
      <c r="O1412" s="703"/>
      <c r="P1412" s="342"/>
      <c r="Q1412" s="363"/>
      <c r="R1412" s="340"/>
      <c r="S1412" s="342"/>
      <c r="T1412" s="342"/>
      <c r="U1412" s="342"/>
      <c r="V1412" s="340"/>
      <c r="W1412" s="340"/>
    </row>
    <row r="1413" spans="2:23" ht="24" customHeight="1">
      <c r="B1413" s="67"/>
      <c r="F1413" s="346">
        <v>44763</v>
      </c>
      <c r="G1413" s="346"/>
      <c r="H1413" s="346"/>
      <c r="I1413" s="346"/>
      <c r="J1413" s="345"/>
      <c r="K1413" s="703"/>
      <c r="L1413" s="342"/>
      <c r="M1413" s="342"/>
      <c r="N1413" s="340"/>
      <c r="O1413" s="703"/>
      <c r="P1413" s="342"/>
      <c r="Q1413" s="363"/>
      <c r="R1413" s="340"/>
      <c r="S1413" s="342"/>
      <c r="T1413" s="342"/>
      <c r="U1413" s="342"/>
      <c r="V1413" s="340"/>
      <c r="W1413" s="340"/>
    </row>
    <row r="1414" spans="2:23" ht="24" customHeight="1">
      <c r="B1414" s="67"/>
      <c r="G1414" s="3" t="s">
        <v>59</v>
      </c>
      <c r="H1414" s="3"/>
      <c r="I1414" s="3"/>
      <c r="J1414" s="345"/>
      <c r="K1414" s="703"/>
      <c r="L1414" s="342"/>
      <c r="M1414" s="342"/>
      <c r="N1414" s="340"/>
      <c r="O1414" s="703"/>
      <c r="P1414" s="342"/>
      <c r="Q1414" s="363"/>
      <c r="R1414" s="340"/>
      <c r="S1414" s="342"/>
      <c r="T1414" s="342"/>
      <c r="U1414" s="342"/>
      <c r="V1414" s="340"/>
      <c r="W1414" s="340"/>
    </row>
    <row r="1415" spans="2:23" ht="24" customHeight="1">
      <c r="B1415" s="67"/>
      <c r="H1415" s="347">
        <v>44573</v>
      </c>
      <c r="I1415" s="347"/>
      <c r="J1415" s="345"/>
      <c r="K1415" s="703"/>
      <c r="L1415" s="342"/>
      <c r="M1415" s="342"/>
      <c r="N1415" s="340"/>
      <c r="O1415" s="703"/>
      <c r="P1415" s="342"/>
      <c r="Q1415" s="363"/>
      <c r="R1415" s="340"/>
      <c r="S1415" s="342"/>
      <c r="T1415" s="342"/>
      <c r="U1415" s="342"/>
      <c r="V1415" s="340"/>
      <c r="W1415" s="340"/>
    </row>
    <row r="1416" spans="2:23" ht="24" customHeight="1">
      <c r="B1416" s="67"/>
      <c r="I1416" s="3" t="s">
        <v>59</v>
      </c>
      <c r="J1416" s="345">
        <v>39</v>
      </c>
      <c r="K1416" s="703">
        <v>18936.125</v>
      </c>
      <c r="L1416" s="342">
        <v>1</v>
      </c>
      <c r="M1416" s="342">
        <v>20.4407</v>
      </c>
      <c r="N1416" s="340">
        <v>387067.6502875</v>
      </c>
      <c r="O1416" s="703">
        <v>15322.93425</v>
      </c>
      <c r="P1416" s="342">
        <v>1</v>
      </c>
      <c r="Q1416" s="363">
        <v>20.4453</v>
      </c>
      <c r="R1416" s="340">
        <v>313281.98762152501</v>
      </c>
      <c r="S1416" s="342">
        <v>118.002</v>
      </c>
      <c r="T1416" s="342">
        <v>122.044</v>
      </c>
      <c r="U1416" s="342">
        <v>1.0342</v>
      </c>
      <c r="V1416" s="340">
        <v>323996.23159818118</v>
      </c>
      <c r="W1416" s="340">
        <v>63071.418689318874</v>
      </c>
    </row>
    <row r="1417" spans="2:23" ht="24" customHeight="1">
      <c r="J1417" s="345"/>
      <c r="K1417" s="703"/>
      <c r="L1417" s="342"/>
      <c r="M1417" s="342"/>
      <c r="N1417" s="340"/>
      <c r="O1417" s="703"/>
      <c r="P1417" s="342"/>
      <c r="Q1417" s="363"/>
      <c r="R1417" s="340"/>
      <c r="S1417" s="342"/>
      <c r="T1417" s="342"/>
      <c r="U1417" s="342"/>
      <c r="V1417" s="340"/>
      <c r="W1417" s="340"/>
    </row>
    <row r="1418" spans="2:23" ht="24" customHeight="1">
      <c r="B1418" s="67"/>
      <c r="H1418" s="347">
        <v>44574</v>
      </c>
      <c r="I1418" s="347"/>
      <c r="J1418" s="345"/>
      <c r="K1418" s="703"/>
      <c r="L1418" s="342"/>
      <c r="M1418" s="342"/>
      <c r="N1418" s="340"/>
      <c r="O1418" s="703"/>
      <c r="P1418" s="342"/>
      <c r="Q1418" s="363"/>
      <c r="R1418" s="340"/>
      <c r="S1418" s="342"/>
      <c r="T1418" s="342"/>
      <c r="U1418" s="342"/>
      <c r="V1418" s="340"/>
      <c r="W1418" s="340"/>
    </row>
    <row r="1419" spans="2:23" ht="24" customHeight="1">
      <c r="B1419" s="67"/>
      <c r="I1419" s="3" t="s">
        <v>59</v>
      </c>
      <c r="J1419" s="345">
        <v>21</v>
      </c>
      <c r="K1419" s="703">
        <v>10196.375</v>
      </c>
      <c r="L1419" s="342">
        <v>1</v>
      </c>
      <c r="M1419" s="342">
        <v>20.4407</v>
      </c>
      <c r="N1419" s="340">
        <v>208421.04246250002</v>
      </c>
      <c r="O1419" s="703">
        <v>8253.9922222222231</v>
      </c>
      <c r="P1419" s="342">
        <v>1</v>
      </c>
      <c r="Q1419" s="363">
        <v>20.378499999999999</v>
      </c>
      <c r="R1419" s="340">
        <v>168203.98050055554</v>
      </c>
      <c r="S1419" s="342">
        <v>118.002</v>
      </c>
      <c r="T1419" s="342">
        <v>122.044</v>
      </c>
      <c r="U1419" s="342">
        <v>1.0342</v>
      </c>
      <c r="V1419" s="340">
        <v>173956.55663367454</v>
      </c>
      <c r="W1419" s="340">
        <v>34464.485828825476</v>
      </c>
    </row>
    <row r="1420" spans="2:23" ht="24" customHeight="1">
      <c r="J1420" s="345"/>
      <c r="K1420" s="703"/>
      <c r="L1420" s="342"/>
      <c r="M1420" s="342"/>
      <c r="N1420" s="340"/>
      <c r="O1420" s="703"/>
      <c r="P1420" s="342"/>
      <c r="Q1420" s="363"/>
      <c r="R1420" s="340"/>
      <c r="S1420" s="342"/>
      <c r="T1420" s="342"/>
      <c r="U1420" s="342"/>
      <c r="V1420" s="340"/>
      <c r="W1420" s="340"/>
    </row>
    <row r="1421" spans="2:23" ht="24" customHeight="1">
      <c r="B1421" s="67"/>
      <c r="E1421" s="131" t="s">
        <v>1128</v>
      </c>
      <c r="F1421" s="131"/>
      <c r="G1421" s="131"/>
      <c r="H1421" s="131"/>
      <c r="I1421" s="131"/>
      <c r="J1421" s="704">
        <v>102</v>
      </c>
      <c r="K1421" s="705">
        <v>49683.69</v>
      </c>
      <c r="L1421" s="369">
        <v>1</v>
      </c>
      <c r="M1421" s="377">
        <v>20.74624</v>
      </c>
      <c r="N1421" s="706">
        <v>1025643.392769</v>
      </c>
      <c r="O1421" s="705">
        <v>39925.4</v>
      </c>
      <c r="P1421" s="369">
        <v>1</v>
      </c>
      <c r="Q1421" s="377">
        <v>20.414459999999998</v>
      </c>
      <c r="R1421" s="706">
        <v>815372.88746800018</v>
      </c>
      <c r="S1421" s="369">
        <v>118.00199999999998</v>
      </c>
      <c r="T1421" s="369">
        <v>122.04400000000001</v>
      </c>
      <c r="U1421" s="369">
        <v>1.0342</v>
      </c>
      <c r="V1421" s="706">
        <v>843258.64021940564</v>
      </c>
      <c r="W1421" s="706">
        <v>182384.75254959447</v>
      </c>
    </row>
    <row r="1422" spans="2:23" ht="24" customHeight="1">
      <c r="J1422" s="345"/>
      <c r="K1422" s="703"/>
      <c r="L1422" s="342"/>
      <c r="M1422" s="342"/>
      <c r="N1422" s="340"/>
      <c r="O1422" s="703"/>
      <c r="P1422" s="342"/>
      <c r="Q1422" s="363"/>
      <c r="R1422" s="340"/>
      <c r="S1422" s="342"/>
      <c r="T1422" s="342"/>
      <c r="U1422" s="342"/>
      <c r="V1422" s="340"/>
      <c r="W1422" s="340"/>
    </row>
    <row r="1423" spans="2:23" ht="24" customHeight="1">
      <c r="B1423" s="67"/>
      <c r="E1423" s="1" t="s">
        <v>886</v>
      </c>
      <c r="J1423" s="345"/>
      <c r="K1423" s="703"/>
      <c r="L1423" s="342"/>
      <c r="M1423" s="342"/>
      <c r="N1423" s="340"/>
      <c r="O1423" s="703"/>
      <c r="P1423" s="342"/>
      <c r="Q1423" s="363"/>
      <c r="R1423" s="340"/>
      <c r="S1423" s="342"/>
      <c r="T1423" s="342"/>
      <c r="U1423" s="342"/>
      <c r="V1423" s="340"/>
      <c r="W1423" s="340"/>
    </row>
    <row r="1424" spans="2:23" ht="24" customHeight="1">
      <c r="B1424" s="67"/>
      <c r="F1424" s="346">
        <v>44628</v>
      </c>
      <c r="G1424" s="346"/>
      <c r="H1424" s="346"/>
      <c r="I1424" s="346"/>
      <c r="J1424" s="345"/>
      <c r="K1424" s="703"/>
      <c r="L1424" s="342"/>
      <c r="M1424" s="342"/>
      <c r="N1424" s="340"/>
      <c r="O1424" s="703"/>
      <c r="P1424" s="342"/>
      <c r="Q1424" s="363"/>
      <c r="R1424" s="340"/>
      <c r="S1424" s="342"/>
      <c r="T1424" s="342"/>
      <c r="U1424" s="342"/>
      <c r="V1424" s="340"/>
      <c r="W1424" s="340"/>
    </row>
    <row r="1425" spans="2:23" ht="24" customHeight="1">
      <c r="B1425" s="67"/>
      <c r="G1425" s="3" t="s">
        <v>59</v>
      </c>
      <c r="H1425" s="3"/>
      <c r="I1425" s="3"/>
      <c r="J1425" s="345"/>
      <c r="K1425" s="703"/>
      <c r="L1425" s="342"/>
      <c r="M1425" s="342"/>
      <c r="N1425" s="340"/>
      <c r="O1425" s="703"/>
      <c r="P1425" s="342"/>
      <c r="Q1425" s="363"/>
      <c r="R1425" s="340"/>
      <c r="S1425" s="342"/>
      <c r="T1425" s="342"/>
      <c r="U1425" s="342"/>
      <c r="V1425" s="340"/>
      <c r="W1425" s="340"/>
    </row>
    <row r="1426" spans="2:23" ht="24" customHeight="1">
      <c r="B1426" s="67"/>
      <c r="H1426" s="347">
        <v>44376</v>
      </c>
      <c r="I1426" s="347"/>
      <c r="J1426" s="345"/>
      <c r="K1426" s="703"/>
      <c r="L1426" s="342"/>
      <c r="M1426" s="342"/>
      <c r="N1426" s="340"/>
      <c r="O1426" s="703"/>
      <c r="P1426" s="342"/>
      <c r="Q1426" s="363"/>
      <c r="R1426" s="340"/>
      <c r="S1426" s="342"/>
      <c r="T1426" s="342"/>
      <c r="U1426" s="342"/>
      <c r="V1426" s="340"/>
      <c r="W1426" s="340"/>
    </row>
    <row r="1427" spans="2:23" ht="24" customHeight="1">
      <c r="B1427" s="67"/>
      <c r="I1427" s="3" t="s">
        <v>59</v>
      </c>
      <c r="J1427" s="345">
        <v>24</v>
      </c>
      <c r="K1427" s="703">
        <v>1420.0757142857144</v>
      </c>
      <c r="L1427" s="342">
        <v>1</v>
      </c>
      <c r="M1427" s="342">
        <v>20.926200000000001</v>
      </c>
      <c r="N1427" s="340">
        <v>29716.788412285718</v>
      </c>
      <c r="O1427" s="703">
        <v>1882.893033707865</v>
      </c>
      <c r="P1427" s="342">
        <v>1</v>
      </c>
      <c r="Q1427" s="363">
        <v>19.792999999999999</v>
      </c>
      <c r="R1427" s="340">
        <v>37268.101816179769</v>
      </c>
      <c r="S1427" s="342">
        <v>113.018</v>
      </c>
      <c r="T1427" s="342">
        <v>118.98099999999999</v>
      </c>
      <c r="U1427" s="342">
        <v>1.0527</v>
      </c>
      <c r="V1427" s="340">
        <v>39232.13078189244</v>
      </c>
      <c r="W1427" s="340">
        <v>-9515.3423696067221</v>
      </c>
    </row>
    <row r="1428" spans="2:23" ht="24" customHeight="1">
      <c r="J1428" s="345"/>
      <c r="K1428" s="703"/>
      <c r="L1428" s="342"/>
      <c r="M1428" s="342"/>
      <c r="N1428" s="340"/>
      <c r="O1428" s="703"/>
      <c r="P1428" s="342"/>
      <c r="Q1428" s="363"/>
      <c r="R1428" s="340"/>
      <c r="S1428" s="342"/>
      <c r="T1428" s="342"/>
      <c r="U1428" s="342"/>
      <c r="V1428" s="340"/>
      <c r="W1428" s="340"/>
    </row>
    <row r="1429" spans="2:23" ht="24" customHeight="1">
      <c r="B1429" s="67"/>
      <c r="H1429" s="347">
        <v>44391</v>
      </c>
      <c r="I1429" s="347"/>
      <c r="J1429" s="345"/>
      <c r="K1429" s="703"/>
      <c r="L1429" s="342"/>
      <c r="M1429" s="342"/>
      <c r="N1429" s="340"/>
      <c r="O1429" s="703"/>
      <c r="P1429" s="342"/>
      <c r="Q1429" s="363"/>
      <c r="R1429" s="340"/>
      <c r="S1429" s="342"/>
      <c r="T1429" s="342"/>
      <c r="U1429" s="342"/>
      <c r="V1429" s="340"/>
      <c r="W1429" s="340"/>
    </row>
    <row r="1430" spans="2:23" ht="24" customHeight="1">
      <c r="B1430" s="67"/>
      <c r="I1430" s="3" t="s">
        <v>59</v>
      </c>
      <c r="J1430" s="345">
        <v>163</v>
      </c>
      <c r="K1430" s="703">
        <v>9623.4342857142856</v>
      </c>
      <c r="L1430" s="342">
        <v>1</v>
      </c>
      <c r="M1430" s="342">
        <v>20.926200000000001</v>
      </c>
      <c r="N1430" s="340">
        <v>201381.91054971432</v>
      </c>
      <c r="O1430" s="703">
        <v>12358.333999999999</v>
      </c>
      <c r="P1430" s="342">
        <v>1</v>
      </c>
      <c r="Q1430" s="363">
        <v>19.857700000000001</v>
      </c>
      <c r="R1430" s="340">
        <v>245408.0890718</v>
      </c>
      <c r="S1430" s="342">
        <v>113.682</v>
      </c>
      <c r="T1430" s="342">
        <v>118.98099999999999</v>
      </c>
      <c r="U1430" s="342">
        <v>1.0466</v>
      </c>
      <c r="V1430" s="340">
        <v>256844.10602254586</v>
      </c>
      <c r="W1430" s="340">
        <v>-55462.195472831569</v>
      </c>
    </row>
    <row r="1431" spans="2:23" ht="24" customHeight="1">
      <c r="J1431" s="345"/>
      <c r="K1431" s="703"/>
      <c r="L1431" s="342"/>
      <c r="M1431" s="342"/>
      <c r="N1431" s="340"/>
      <c r="O1431" s="703"/>
      <c r="P1431" s="342"/>
      <c r="Q1431" s="363"/>
      <c r="R1431" s="340"/>
      <c r="S1431" s="342"/>
      <c r="T1431" s="342"/>
      <c r="U1431" s="342"/>
      <c r="V1431" s="340"/>
      <c r="W1431" s="340"/>
    </row>
    <row r="1432" spans="2:23" ht="24" customHeight="1">
      <c r="B1432" s="67"/>
      <c r="F1432" s="346">
        <v>44634</v>
      </c>
      <c r="G1432" s="346"/>
      <c r="H1432" s="346"/>
      <c r="I1432" s="346"/>
      <c r="J1432" s="345"/>
      <c r="K1432" s="703"/>
      <c r="L1432" s="342"/>
      <c r="M1432" s="342"/>
      <c r="N1432" s="340"/>
      <c r="O1432" s="703"/>
      <c r="P1432" s="342"/>
      <c r="Q1432" s="363"/>
      <c r="R1432" s="340"/>
      <c r="S1432" s="342"/>
      <c r="T1432" s="342"/>
      <c r="U1432" s="342"/>
      <c r="V1432" s="340"/>
      <c r="W1432" s="340"/>
    </row>
    <row r="1433" spans="2:23" ht="24" customHeight="1">
      <c r="B1433" s="67"/>
      <c r="G1433" s="3" t="s">
        <v>59</v>
      </c>
      <c r="H1433" s="3"/>
      <c r="I1433" s="3"/>
      <c r="J1433" s="345"/>
      <c r="K1433" s="703"/>
      <c r="L1433" s="342"/>
      <c r="M1433" s="342"/>
      <c r="N1433" s="340"/>
      <c r="O1433" s="703"/>
      <c r="P1433" s="342"/>
      <c r="Q1433" s="363"/>
      <c r="R1433" s="340"/>
      <c r="S1433" s="342"/>
      <c r="T1433" s="342"/>
      <c r="U1433" s="342"/>
      <c r="V1433" s="340"/>
      <c r="W1433" s="340"/>
    </row>
    <row r="1434" spans="2:23" ht="24" customHeight="1">
      <c r="B1434" s="67"/>
      <c r="H1434" s="347">
        <v>44519</v>
      </c>
      <c r="I1434" s="347"/>
      <c r="J1434" s="345"/>
      <c r="K1434" s="703"/>
      <c r="L1434" s="342"/>
      <c r="M1434" s="342"/>
      <c r="N1434" s="340"/>
      <c r="O1434" s="703"/>
      <c r="P1434" s="342"/>
      <c r="Q1434" s="363"/>
      <c r="R1434" s="340"/>
      <c r="S1434" s="342"/>
      <c r="T1434" s="342"/>
      <c r="U1434" s="342"/>
      <c r="V1434" s="340"/>
      <c r="W1434" s="340"/>
    </row>
    <row r="1435" spans="2:23" ht="24" customHeight="1">
      <c r="B1435" s="67"/>
      <c r="I1435" s="3" t="s">
        <v>59</v>
      </c>
      <c r="J1435" s="345">
        <v>1</v>
      </c>
      <c r="K1435" s="703">
        <v>43.636680412371135</v>
      </c>
      <c r="L1435" s="342">
        <v>1</v>
      </c>
      <c r="M1435" s="342">
        <v>20.974299999999999</v>
      </c>
      <c r="N1435" s="340">
        <v>915.24882597319584</v>
      </c>
      <c r="O1435" s="703">
        <v>89.78</v>
      </c>
      <c r="P1435" s="342">
        <v>1</v>
      </c>
      <c r="Q1435" s="363">
        <v>20.691199999999998</v>
      </c>
      <c r="R1435" s="340">
        <v>1857.6559359999999</v>
      </c>
      <c r="S1435" s="342">
        <v>116.884</v>
      </c>
      <c r="T1435" s="342">
        <v>118.98099999999999</v>
      </c>
      <c r="U1435" s="342">
        <v>1.0179</v>
      </c>
      <c r="V1435" s="340">
        <v>1890.9079772543998</v>
      </c>
      <c r="W1435" s="340">
        <v>-975.659151281204</v>
      </c>
    </row>
    <row r="1436" spans="2:23" ht="24" customHeight="1">
      <c r="J1436" s="345"/>
      <c r="K1436" s="703"/>
      <c r="L1436" s="342"/>
      <c r="M1436" s="342"/>
      <c r="N1436" s="340"/>
      <c r="O1436" s="703"/>
      <c r="P1436" s="342"/>
      <c r="Q1436" s="363"/>
      <c r="R1436" s="340"/>
      <c r="S1436" s="342"/>
      <c r="T1436" s="342"/>
      <c r="U1436" s="342"/>
      <c r="V1436" s="340"/>
      <c r="W1436" s="340"/>
    </row>
    <row r="1437" spans="2:23" ht="24" customHeight="1">
      <c r="B1437" s="67"/>
      <c r="H1437" s="347">
        <v>44391</v>
      </c>
      <c r="I1437" s="347"/>
      <c r="J1437" s="345"/>
      <c r="K1437" s="703"/>
      <c r="L1437" s="342"/>
      <c r="M1437" s="342"/>
      <c r="N1437" s="340"/>
      <c r="O1437" s="703"/>
      <c r="P1437" s="342"/>
      <c r="Q1437" s="363"/>
      <c r="R1437" s="340"/>
      <c r="S1437" s="342"/>
      <c r="T1437" s="342"/>
      <c r="U1437" s="342"/>
      <c r="V1437" s="340"/>
      <c r="W1437" s="340"/>
    </row>
    <row r="1438" spans="2:23" ht="24" customHeight="1">
      <c r="B1438" s="67"/>
      <c r="I1438" s="3" t="s">
        <v>59</v>
      </c>
      <c r="J1438" s="345">
        <v>12</v>
      </c>
      <c r="K1438" s="703">
        <v>521.24250000000006</v>
      </c>
      <c r="L1438" s="342">
        <v>1</v>
      </c>
      <c r="M1438" s="342">
        <v>20.974299999999999</v>
      </c>
      <c r="N1438" s="340">
        <v>10932.696567750001</v>
      </c>
      <c r="O1438" s="703">
        <v>909.81600000000003</v>
      </c>
      <c r="P1438" s="342">
        <v>1</v>
      </c>
      <c r="Q1438" s="363">
        <v>19.857700000000001</v>
      </c>
      <c r="R1438" s="340">
        <v>18066.853183200001</v>
      </c>
      <c r="S1438" s="342">
        <v>113.682</v>
      </c>
      <c r="T1438" s="342">
        <v>118.98099999999999</v>
      </c>
      <c r="U1438" s="342">
        <v>1.0466</v>
      </c>
      <c r="V1438" s="340">
        <v>18908.76854153712</v>
      </c>
      <c r="W1438" s="340">
        <v>-7976.0719737871186</v>
      </c>
    </row>
    <row r="1439" spans="2:23" ht="24" customHeight="1">
      <c r="J1439" s="345"/>
      <c r="K1439" s="703"/>
      <c r="L1439" s="342"/>
      <c r="M1439" s="342"/>
      <c r="N1439" s="340"/>
      <c r="O1439" s="703"/>
      <c r="P1439" s="342"/>
      <c r="Q1439" s="363"/>
      <c r="R1439" s="340"/>
      <c r="S1439" s="342"/>
      <c r="T1439" s="342"/>
      <c r="U1439" s="342"/>
      <c r="V1439" s="340"/>
      <c r="W1439" s="340"/>
    </row>
    <row r="1440" spans="2:23" ht="24" customHeight="1">
      <c r="B1440" s="67"/>
      <c r="H1440" s="347">
        <v>44392</v>
      </c>
      <c r="I1440" s="347"/>
      <c r="J1440" s="345"/>
      <c r="K1440" s="703"/>
      <c r="L1440" s="342"/>
      <c r="M1440" s="342"/>
      <c r="N1440" s="340"/>
      <c r="O1440" s="703"/>
      <c r="P1440" s="342"/>
      <c r="Q1440" s="363"/>
      <c r="R1440" s="340"/>
      <c r="S1440" s="342"/>
      <c r="T1440" s="342"/>
      <c r="U1440" s="342"/>
      <c r="V1440" s="340"/>
      <c r="W1440" s="340"/>
    </row>
    <row r="1441" spans="2:23" ht="24" customHeight="1">
      <c r="B1441" s="67"/>
      <c r="I1441" s="3" t="s">
        <v>59</v>
      </c>
      <c r="J1441" s="345">
        <v>152</v>
      </c>
      <c r="K1441" s="703">
        <v>6602.4049999999997</v>
      </c>
      <c r="L1441" s="342">
        <v>1</v>
      </c>
      <c r="M1441" s="342">
        <v>20.974299999999999</v>
      </c>
      <c r="N1441" s="340">
        <v>138480.82319149998</v>
      </c>
      <c r="O1441" s="703">
        <v>11686.99</v>
      </c>
      <c r="P1441" s="342">
        <v>1</v>
      </c>
      <c r="Q1441" s="363">
        <v>19.998799999999999</v>
      </c>
      <c r="R1441" s="340">
        <v>233725.775612</v>
      </c>
      <c r="S1441" s="342">
        <v>113.682</v>
      </c>
      <c r="T1441" s="342">
        <v>118.98099999999999</v>
      </c>
      <c r="U1441" s="342">
        <v>1.0466</v>
      </c>
      <c r="V1441" s="340">
        <v>244617.39675551918</v>
      </c>
      <c r="W1441" s="340">
        <v>-106136.5735640192</v>
      </c>
    </row>
    <row r="1442" spans="2:23" ht="24" customHeight="1">
      <c r="J1442" s="345"/>
      <c r="K1442" s="703"/>
      <c r="L1442" s="342"/>
      <c r="M1442" s="342"/>
      <c r="N1442" s="340"/>
      <c r="O1442" s="703"/>
      <c r="P1442" s="342"/>
      <c r="Q1442" s="363"/>
      <c r="R1442" s="340"/>
      <c r="S1442" s="342"/>
      <c r="T1442" s="342"/>
      <c r="U1442" s="342"/>
      <c r="V1442" s="340"/>
      <c r="W1442" s="340"/>
    </row>
    <row r="1443" spans="2:23" ht="24" customHeight="1">
      <c r="B1443" s="67"/>
      <c r="H1443" s="347">
        <v>44407</v>
      </c>
      <c r="I1443" s="347"/>
      <c r="J1443" s="345"/>
      <c r="K1443" s="703"/>
      <c r="L1443" s="342"/>
      <c r="M1443" s="342"/>
      <c r="N1443" s="340"/>
      <c r="O1443" s="703"/>
      <c r="P1443" s="342"/>
      <c r="Q1443" s="363"/>
      <c r="R1443" s="340"/>
      <c r="S1443" s="342"/>
      <c r="T1443" s="342"/>
      <c r="U1443" s="342"/>
      <c r="V1443" s="340"/>
      <c r="W1443" s="340"/>
    </row>
    <row r="1444" spans="2:23" ht="24" customHeight="1">
      <c r="B1444" s="67"/>
      <c r="I1444" s="3" t="s">
        <v>59</v>
      </c>
      <c r="J1444" s="345">
        <v>351</v>
      </c>
      <c r="K1444" s="703">
        <v>15256.533201030928</v>
      </c>
      <c r="L1444" s="342">
        <v>1</v>
      </c>
      <c r="M1444" s="342">
        <v>20.974299999999999</v>
      </c>
      <c r="N1444" s="340">
        <v>319995.10431838303</v>
      </c>
      <c r="O1444" s="703">
        <v>24928.059999999998</v>
      </c>
      <c r="P1444" s="342">
        <v>1</v>
      </c>
      <c r="Q1444" s="363">
        <v>19.953499999999998</v>
      </c>
      <c r="R1444" s="340">
        <v>497402.04520999989</v>
      </c>
      <c r="S1444" s="342">
        <v>113.682</v>
      </c>
      <c r="T1444" s="342">
        <v>118.98099999999999</v>
      </c>
      <c r="U1444" s="342">
        <v>1.0466</v>
      </c>
      <c r="V1444" s="340">
        <v>520580.98051678593</v>
      </c>
      <c r="W1444" s="340">
        <v>-200585.87619840293</v>
      </c>
    </row>
    <row r="1445" spans="2:23" ht="24" customHeight="1">
      <c r="J1445" s="345"/>
      <c r="K1445" s="703"/>
      <c r="L1445" s="342"/>
      <c r="M1445" s="342"/>
      <c r="N1445" s="340"/>
      <c r="O1445" s="703"/>
      <c r="P1445" s="342"/>
      <c r="Q1445" s="363"/>
      <c r="R1445" s="340"/>
      <c r="S1445" s="342"/>
      <c r="T1445" s="342"/>
      <c r="U1445" s="342"/>
      <c r="V1445" s="340"/>
      <c r="W1445" s="340"/>
    </row>
    <row r="1446" spans="2:23" ht="24" customHeight="1">
      <c r="B1446" s="67"/>
      <c r="H1446" s="347">
        <v>44431</v>
      </c>
      <c r="I1446" s="347"/>
      <c r="J1446" s="345"/>
      <c r="K1446" s="703"/>
      <c r="L1446" s="342"/>
      <c r="M1446" s="342"/>
      <c r="N1446" s="340"/>
      <c r="O1446" s="703"/>
      <c r="P1446" s="342"/>
      <c r="Q1446" s="363"/>
      <c r="R1446" s="340"/>
      <c r="S1446" s="342"/>
      <c r="T1446" s="342"/>
      <c r="U1446" s="342"/>
      <c r="V1446" s="340"/>
      <c r="W1446" s="340"/>
    </row>
    <row r="1447" spans="2:23" ht="24" customHeight="1">
      <c r="B1447" s="67"/>
      <c r="I1447" s="3" t="s">
        <v>59</v>
      </c>
      <c r="J1447" s="345">
        <v>260</v>
      </c>
      <c r="K1447" s="703">
        <v>11345.536907216496</v>
      </c>
      <c r="L1447" s="342">
        <v>1</v>
      </c>
      <c r="M1447" s="342">
        <v>20.974299999999999</v>
      </c>
      <c r="N1447" s="340">
        <v>237964.69475303096</v>
      </c>
      <c r="O1447" s="703">
        <v>16387.57</v>
      </c>
      <c r="P1447" s="342">
        <v>1</v>
      </c>
      <c r="Q1447" s="363">
        <v>20.1175</v>
      </c>
      <c r="R1447" s="340">
        <v>329676.93947499996</v>
      </c>
      <c r="S1447" s="342">
        <v>113.899</v>
      </c>
      <c r="T1447" s="342">
        <v>118.98099999999999</v>
      </c>
      <c r="U1447" s="342">
        <v>1.0446</v>
      </c>
      <c r="V1447" s="340">
        <v>344380.53097558493</v>
      </c>
      <c r="W1447" s="340">
        <v>-106415.83622255397</v>
      </c>
    </row>
    <row r="1448" spans="2:23" ht="24" customHeight="1">
      <c r="J1448" s="345"/>
      <c r="K1448" s="703"/>
      <c r="L1448" s="342"/>
      <c r="M1448" s="342"/>
      <c r="N1448" s="340"/>
      <c r="O1448" s="703"/>
      <c r="P1448" s="342"/>
      <c r="Q1448" s="363"/>
      <c r="R1448" s="340"/>
      <c r="S1448" s="342"/>
      <c r="T1448" s="342"/>
      <c r="U1448" s="342"/>
      <c r="V1448" s="340"/>
      <c r="W1448" s="340"/>
    </row>
    <row r="1449" spans="2:23" ht="24" customHeight="1">
      <c r="B1449" s="67"/>
      <c r="H1449" s="347">
        <v>44446</v>
      </c>
      <c r="I1449" s="347"/>
      <c r="J1449" s="345"/>
      <c r="K1449" s="703"/>
      <c r="L1449" s="342"/>
      <c r="M1449" s="342"/>
      <c r="N1449" s="340"/>
      <c r="O1449" s="703"/>
      <c r="P1449" s="342"/>
      <c r="Q1449" s="363"/>
      <c r="R1449" s="340"/>
      <c r="S1449" s="342"/>
      <c r="T1449" s="342"/>
      <c r="U1449" s="342"/>
      <c r="V1449" s="340"/>
      <c r="W1449" s="340"/>
    </row>
    <row r="1450" spans="2:23" ht="24" customHeight="1">
      <c r="B1450" s="67"/>
      <c r="I1450" s="3" t="s">
        <v>59</v>
      </c>
      <c r="J1450" s="345">
        <v>173</v>
      </c>
      <c r="K1450" s="703">
        <v>7549.1457113402066</v>
      </c>
      <c r="L1450" s="342">
        <v>1</v>
      </c>
      <c r="M1450" s="342">
        <v>20.974299999999999</v>
      </c>
      <c r="N1450" s="340">
        <v>158338.04689336289</v>
      </c>
      <c r="O1450" s="703">
        <v>14269.25</v>
      </c>
      <c r="P1450" s="342">
        <v>1</v>
      </c>
      <c r="Q1450" s="363">
        <v>19.8992</v>
      </c>
      <c r="R1450" s="340">
        <v>283946.65960000001</v>
      </c>
      <c r="S1450" s="342">
        <v>114.601</v>
      </c>
      <c r="T1450" s="342">
        <v>118.98099999999999</v>
      </c>
      <c r="U1450" s="342">
        <v>1.0382</v>
      </c>
      <c r="V1450" s="340">
        <v>294793.42199672002</v>
      </c>
      <c r="W1450" s="340">
        <v>-136455.37510335713</v>
      </c>
    </row>
    <row r="1451" spans="2:23" ht="24" customHeight="1">
      <c r="J1451" s="345"/>
      <c r="K1451" s="703"/>
      <c r="L1451" s="342"/>
      <c r="M1451" s="342"/>
      <c r="N1451" s="340"/>
      <c r="O1451" s="703"/>
      <c r="P1451" s="342"/>
      <c r="Q1451" s="363"/>
      <c r="R1451" s="340"/>
      <c r="S1451" s="342"/>
      <c r="T1451" s="342"/>
      <c r="U1451" s="342"/>
      <c r="V1451" s="340"/>
      <c r="W1451" s="340"/>
    </row>
    <row r="1452" spans="2:23" ht="24" customHeight="1">
      <c r="B1452" s="67"/>
      <c r="F1452" s="346">
        <v>44627</v>
      </c>
      <c r="G1452" s="346"/>
      <c r="H1452" s="346"/>
      <c r="I1452" s="346"/>
      <c r="J1452" s="345"/>
      <c r="K1452" s="703"/>
      <c r="L1452" s="342"/>
      <c r="M1452" s="342"/>
      <c r="N1452" s="340"/>
      <c r="O1452" s="703"/>
      <c r="P1452" s="342"/>
      <c r="Q1452" s="363"/>
      <c r="R1452" s="340"/>
      <c r="S1452" s="342"/>
      <c r="T1452" s="342"/>
      <c r="U1452" s="342"/>
      <c r="V1452" s="340"/>
      <c r="W1452" s="340"/>
    </row>
    <row r="1453" spans="2:23" ht="24" customHeight="1">
      <c r="B1453" s="67"/>
      <c r="G1453" s="3" t="s">
        <v>59</v>
      </c>
      <c r="H1453" s="3"/>
      <c r="I1453" s="3"/>
      <c r="J1453" s="345"/>
      <c r="K1453" s="703"/>
      <c r="L1453" s="342"/>
      <c r="M1453" s="342"/>
      <c r="N1453" s="340"/>
      <c r="O1453" s="703"/>
      <c r="P1453" s="342"/>
      <c r="Q1453" s="363"/>
      <c r="R1453" s="340"/>
      <c r="S1453" s="342"/>
      <c r="T1453" s="342"/>
      <c r="U1453" s="342"/>
      <c r="V1453" s="340"/>
      <c r="W1453" s="340"/>
    </row>
    <row r="1454" spans="2:23" ht="24" customHeight="1">
      <c r="B1454" s="67"/>
      <c r="H1454" s="347">
        <v>44375</v>
      </c>
      <c r="I1454" s="347"/>
      <c r="J1454" s="345"/>
      <c r="K1454" s="703"/>
      <c r="L1454" s="342"/>
      <c r="M1454" s="342"/>
      <c r="N1454" s="340"/>
      <c r="O1454" s="703"/>
      <c r="P1454" s="342"/>
      <c r="Q1454" s="363"/>
      <c r="R1454" s="340"/>
      <c r="S1454" s="342"/>
      <c r="T1454" s="342"/>
      <c r="U1454" s="342"/>
      <c r="V1454" s="340"/>
      <c r="W1454" s="340"/>
    </row>
    <row r="1455" spans="2:23" ht="24" customHeight="1">
      <c r="B1455" s="67"/>
      <c r="I1455" s="3" t="s">
        <v>59</v>
      </c>
      <c r="J1455" s="345">
        <v>50</v>
      </c>
      <c r="K1455" s="703">
        <v>3060.8161764705878</v>
      </c>
      <c r="L1455" s="342">
        <v>1</v>
      </c>
      <c r="M1455" s="342">
        <v>20.703299999999999</v>
      </c>
      <c r="N1455" s="340">
        <v>63368.995546323516</v>
      </c>
      <c r="O1455" s="703">
        <v>3896.5461165048546</v>
      </c>
      <c r="P1455" s="342">
        <v>1</v>
      </c>
      <c r="Q1455" s="363">
        <v>20.048300000000001</v>
      </c>
      <c r="R1455" s="340">
        <v>78119.125507524281</v>
      </c>
      <c r="S1455" s="342">
        <v>113.018</v>
      </c>
      <c r="T1455" s="342">
        <v>118.98099999999999</v>
      </c>
      <c r="U1455" s="342">
        <v>1.0527</v>
      </c>
      <c r="V1455" s="340">
        <v>82236.003421770802</v>
      </c>
      <c r="W1455" s="340">
        <v>-18867.007875447285</v>
      </c>
    </row>
    <row r="1456" spans="2:23" ht="24" customHeight="1">
      <c r="J1456" s="345"/>
      <c r="K1456" s="703"/>
      <c r="L1456" s="342"/>
      <c r="M1456" s="342"/>
      <c r="N1456" s="340"/>
      <c r="O1456" s="703"/>
      <c r="P1456" s="342"/>
      <c r="Q1456" s="363"/>
      <c r="R1456" s="340"/>
      <c r="S1456" s="342"/>
      <c r="T1456" s="342"/>
      <c r="U1456" s="342"/>
      <c r="V1456" s="340"/>
      <c r="W1456" s="340"/>
    </row>
    <row r="1457" spans="2:23" ht="24" customHeight="1">
      <c r="B1457" s="67"/>
      <c r="H1457" s="347">
        <v>44376</v>
      </c>
      <c r="I1457" s="347"/>
      <c r="J1457" s="345"/>
      <c r="K1457" s="703"/>
      <c r="L1457" s="342"/>
      <c r="M1457" s="342"/>
      <c r="N1457" s="340"/>
      <c r="O1457" s="703"/>
      <c r="P1457" s="342"/>
      <c r="Q1457" s="363"/>
      <c r="R1457" s="340"/>
      <c r="S1457" s="342"/>
      <c r="T1457" s="342"/>
      <c r="U1457" s="342"/>
      <c r="V1457" s="340"/>
      <c r="W1457" s="340"/>
    </row>
    <row r="1458" spans="2:23" ht="24" customHeight="1">
      <c r="B1458" s="67"/>
      <c r="I1458" s="3" t="s">
        <v>59</v>
      </c>
      <c r="J1458" s="345">
        <v>154</v>
      </c>
      <c r="K1458" s="703">
        <v>9427.3138235294118</v>
      </c>
      <c r="L1458" s="342">
        <v>1</v>
      </c>
      <c r="M1458" s="342">
        <v>20.703299999999999</v>
      </c>
      <c r="N1458" s="340">
        <v>195176.50628267645</v>
      </c>
      <c r="O1458" s="703">
        <v>12081.896966292135</v>
      </c>
      <c r="P1458" s="342">
        <v>1</v>
      </c>
      <c r="Q1458" s="363">
        <v>19.792999999999999</v>
      </c>
      <c r="R1458" s="340">
        <v>239136.98665382023</v>
      </c>
      <c r="S1458" s="342">
        <v>113.018</v>
      </c>
      <c r="T1458" s="342">
        <v>118.98099999999999</v>
      </c>
      <c r="U1458" s="342">
        <v>1.0527</v>
      </c>
      <c r="V1458" s="340">
        <v>251739.50585047656</v>
      </c>
      <c r="W1458" s="340">
        <v>-56562.999567800114</v>
      </c>
    </row>
    <row r="1459" spans="2:23" ht="24" customHeight="1">
      <c r="J1459" s="345"/>
      <c r="K1459" s="703"/>
      <c r="L1459" s="342"/>
      <c r="M1459" s="342"/>
      <c r="N1459" s="340"/>
      <c r="O1459" s="703"/>
      <c r="P1459" s="342"/>
      <c r="Q1459" s="363"/>
      <c r="R1459" s="340"/>
      <c r="S1459" s="342"/>
      <c r="T1459" s="342"/>
      <c r="U1459" s="342"/>
      <c r="V1459" s="340"/>
      <c r="W1459" s="340"/>
    </row>
    <row r="1460" spans="2:23" ht="24" customHeight="1">
      <c r="B1460" s="67"/>
      <c r="E1460" s="131" t="s">
        <v>1129</v>
      </c>
      <c r="F1460" s="131"/>
      <c r="G1460" s="131"/>
      <c r="H1460" s="131"/>
      <c r="I1460" s="131"/>
      <c r="J1460" s="704">
        <v>1340</v>
      </c>
      <c r="K1460" s="705">
        <v>64850.14</v>
      </c>
      <c r="L1460" s="369">
        <v>1</v>
      </c>
      <c r="M1460" s="377">
        <v>20.918407142857145</v>
      </c>
      <c r="N1460" s="706">
        <v>1356270.815341</v>
      </c>
      <c r="O1460" s="705">
        <v>98491.136116504829</v>
      </c>
      <c r="P1460" s="369">
        <v>1</v>
      </c>
      <c r="Q1460" s="377">
        <v>19.966892857142856</v>
      </c>
      <c r="R1460" s="706">
        <v>1964608.232065524</v>
      </c>
      <c r="S1460" s="369">
        <v>113.84957142857145</v>
      </c>
      <c r="T1460" s="369">
        <v>118.98099999999999</v>
      </c>
      <c r="U1460" s="369">
        <v>1.0451142857142857</v>
      </c>
      <c r="V1460" s="706">
        <v>2055223.7528400873</v>
      </c>
      <c r="W1460" s="706">
        <v>-698952.93749908719</v>
      </c>
    </row>
    <row r="1461" spans="2:23" ht="24" customHeight="1">
      <c r="J1461" s="345"/>
      <c r="K1461" s="703"/>
      <c r="L1461" s="342"/>
      <c r="M1461" s="342"/>
      <c r="N1461" s="340"/>
      <c r="O1461" s="703"/>
      <c r="P1461" s="342"/>
      <c r="Q1461" s="363"/>
      <c r="R1461" s="340"/>
      <c r="S1461" s="342"/>
      <c r="T1461" s="342"/>
      <c r="U1461" s="342"/>
      <c r="V1461" s="340"/>
      <c r="W1461" s="340"/>
    </row>
    <row r="1462" spans="2:23" ht="24" customHeight="1">
      <c r="B1462" s="67"/>
      <c r="E1462" s="1" t="s">
        <v>717</v>
      </c>
      <c r="J1462" s="345"/>
      <c r="K1462" s="703"/>
      <c r="L1462" s="342"/>
      <c r="M1462" s="342"/>
      <c r="N1462" s="340"/>
      <c r="O1462" s="703"/>
      <c r="P1462" s="342"/>
      <c r="Q1462" s="363"/>
      <c r="R1462" s="340"/>
      <c r="S1462" s="342"/>
      <c r="T1462" s="342"/>
      <c r="U1462" s="342"/>
      <c r="V1462" s="340"/>
      <c r="W1462" s="340"/>
    </row>
    <row r="1463" spans="2:23" ht="24" customHeight="1">
      <c r="B1463" s="67"/>
      <c r="F1463" s="346">
        <v>44664</v>
      </c>
      <c r="G1463" s="346"/>
      <c r="H1463" s="346"/>
      <c r="I1463" s="346"/>
      <c r="J1463" s="345"/>
      <c r="K1463" s="703"/>
      <c r="L1463" s="342"/>
      <c r="M1463" s="342"/>
      <c r="N1463" s="340"/>
      <c r="O1463" s="703"/>
      <c r="P1463" s="342"/>
      <c r="Q1463" s="363"/>
      <c r="R1463" s="340"/>
      <c r="S1463" s="342"/>
      <c r="T1463" s="342"/>
      <c r="U1463" s="342"/>
      <c r="V1463" s="340"/>
      <c r="W1463" s="340"/>
    </row>
    <row r="1464" spans="2:23" ht="24" customHeight="1">
      <c r="B1464" s="67"/>
      <c r="G1464" s="3" t="s">
        <v>59</v>
      </c>
      <c r="H1464" s="3"/>
      <c r="I1464" s="3"/>
      <c r="J1464" s="345"/>
      <c r="K1464" s="703"/>
      <c r="L1464" s="342"/>
      <c r="M1464" s="342"/>
      <c r="N1464" s="340"/>
      <c r="O1464" s="703"/>
      <c r="P1464" s="342"/>
      <c r="Q1464" s="363"/>
      <c r="R1464" s="340"/>
      <c r="S1464" s="342"/>
      <c r="T1464" s="342"/>
      <c r="U1464" s="342"/>
      <c r="V1464" s="340"/>
      <c r="W1464" s="340"/>
    </row>
    <row r="1465" spans="2:23" ht="24" customHeight="1">
      <c r="B1465" s="67"/>
      <c r="H1465" s="347">
        <v>44141</v>
      </c>
      <c r="I1465" s="347"/>
      <c r="J1465" s="345"/>
      <c r="K1465" s="703"/>
      <c r="L1465" s="342"/>
      <c r="M1465" s="342"/>
      <c r="N1465" s="340"/>
      <c r="O1465" s="703"/>
      <c r="P1465" s="342"/>
      <c r="Q1465" s="363"/>
      <c r="R1465" s="340"/>
      <c r="S1465" s="342"/>
      <c r="T1465" s="342"/>
      <c r="U1465" s="342"/>
      <c r="V1465" s="340"/>
      <c r="W1465" s="340"/>
    </row>
    <row r="1466" spans="2:23" ht="24" customHeight="1">
      <c r="B1466" s="67"/>
      <c r="I1466" s="3" t="s">
        <v>59</v>
      </c>
      <c r="J1466" s="345">
        <v>15</v>
      </c>
      <c r="K1466" s="703">
        <v>4079.4781818181814</v>
      </c>
      <c r="L1466" s="342">
        <v>1</v>
      </c>
      <c r="M1466" s="342">
        <v>20.0093</v>
      </c>
      <c r="N1466" s="340">
        <v>81627.502783454533</v>
      </c>
      <c r="O1466" s="703">
        <v>8592.8312499999993</v>
      </c>
      <c r="P1466" s="342">
        <v>1</v>
      </c>
      <c r="Q1466" s="363">
        <v>21.034500000000001</v>
      </c>
      <c r="R1466" s="340">
        <v>180745.90892812499</v>
      </c>
      <c r="S1466" s="342">
        <v>108.85599999999999</v>
      </c>
      <c r="T1466" s="342">
        <v>120.15900000000001</v>
      </c>
      <c r="U1466" s="342">
        <v>1.1037999999999999</v>
      </c>
      <c r="V1466" s="340">
        <v>199507.33427486435</v>
      </c>
      <c r="W1466" s="340">
        <v>-117879.8314914098</v>
      </c>
    </row>
    <row r="1467" spans="2:23" ht="24" customHeight="1">
      <c r="J1467" s="345"/>
      <c r="K1467" s="703"/>
      <c r="L1467" s="342"/>
      <c r="M1467" s="342"/>
      <c r="N1467" s="340"/>
      <c r="O1467" s="703"/>
      <c r="P1467" s="342"/>
      <c r="Q1467" s="363"/>
      <c r="R1467" s="340"/>
      <c r="S1467" s="342"/>
      <c r="T1467" s="342"/>
      <c r="U1467" s="342"/>
      <c r="V1467" s="340"/>
      <c r="W1467" s="340"/>
    </row>
    <row r="1468" spans="2:23" ht="24" customHeight="1">
      <c r="B1468" s="67"/>
      <c r="H1468" s="347">
        <v>44169</v>
      </c>
      <c r="I1468" s="347"/>
      <c r="J1468" s="345"/>
      <c r="K1468" s="703"/>
      <c r="L1468" s="342"/>
      <c r="M1468" s="342"/>
      <c r="N1468" s="340"/>
      <c r="O1468" s="703"/>
      <c r="P1468" s="342"/>
      <c r="Q1468" s="363"/>
      <c r="R1468" s="340"/>
      <c r="S1468" s="342"/>
      <c r="T1468" s="342"/>
      <c r="U1468" s="342"/>
      <c r="V1468" s="340"/>
      <c r="W1468" s="340"/>
    </row>
    <row r="1469" spans="2:23" ht="24" customHeight="1">
      <c r="B1469" s="67"/>
      <c r="I1469" s="3" t="s">
        <v>59</v>
      </c>
      <c r="J1469" s="345">
        <v>21</v>
      </c>
      <c r="K1469" s="703">
        <v>5710.2818181818175</v>
      </c>
      <c r="L1469" s="342">
        <v>1</v>
      </c>
      <c r="M1469" s="342">
        <v>20.0093</v>
      </c>
      <c r="N1469" s="340">
        <v>114258.74198454544</v>
      </c>
      <c r="O1469" s="703">
        <v>11951.607499999998</v>
      </c>
      <c r="P1469" s="342">
        <v>1</v>
      </c>
      <c r="Q1469" s="363">
        <v>20.049700000000001</v>
      </c>
      <c r="R1469" s="340">
        <v>239626.14489274999</v>
      </c>
      <c r="S1469" s="342">
        <v>109.271</v>
      </c>
      <c r="T1469" s="342">
        <v>120.15900000000001</v>
      </c>
      <c r="U1469" s="342">
        <v>1.0995999999999999</v>
      </c>
      <c r="V1469" s="340">
        <v>263492.90892406786</v>
      </c>
      <c r="W1469" s="340">
        <v>-149234.16693952243</v>
      </c>
    </row>
    <row r="1470" spans="2:23" ht="24" customHeight="1">
      <c r="J1470" s="345"/>
      <c r="K1470" s="703"/>
      <c r="L1470" s="342"/>
      <c r="M1470" s="342"/>
      <c r="N1470" s="340"/>
      <c r="O1470" s="703"/>
      <c r="P1470" s="342"/>
      <c r="Q1470" s="363"/>
      <c r="R1470" s="340"/>
      <c r="S1470" s="342"/>
      <c r="T1470" s="342"/>
      <c r="U1470" s="342"/>
      <c r="V1470" s="340"/>
      <c r="W1470" s="340"/>
    </row>
    <row r="1471" spans="2:23" ht="24" customHeight="1">
      <c r="B1471" s="67"/>
      <c r="F1471" s="346">
        <v>44665</v>
      </c>
      <c r="G1471" s="346"/>
      <c r="H1471" s="346"/>
      <c r="I1471" s="346"/>
      <c r="J1471" s="345"/>
      <c r="K1471" s="703"/>
      <c r="L1471" s="342"/>
      <c r="M1471" s="342"/>
      <c r="N1471" s="340"/>
      <c r="O1471" s="703"/>
      <c r="P1471" s="342"/>
      <c r="Q1471" s="363"/>
      <c r="R1471" s="340"/>
      <c r="S1471" s="342"/>
      <c r="T1471" s="342"/>
      <c r="U1471" s="342"/>
      <c r="V1471" s="340"/>
      <c r="W1471" s="340"/>
    </row>
    <row r="1472" spans="2:23" ht="24" customHeight="1">
      <c r="B1472" s="67"/>
      <c r="G1472" s="3" t="s">
        <v>59</v>
      </c>
      <c r="H1472" s="3"/>
      <c r="I1472" s="3"/>
      <c r="J1472" s="345"/>
      <c r="K1472" s="703"/>
      <c r="L1472" s="342"/>
      <c r="M1472" s="342"/>
      <c r="N1472" s="340"/>
      <c r="O1472" s="703"/>
      <c r="P1472" s="342"/>
      <c r="Q1472" s="363"/>
      <c r="R1472" s="340"/>
      <c r="S1472" s="342"/>
      <c r="T1472" s="342"/>
      <c r="U1472" s="342"/>
      <c r="V1472" s="340"/>
      <c r="W1472" s="340"/>
    </row>
    <row r="1473" spans="2:23" ht="24" customHeight="1">
      <c r="B1473" s="67"/>
      <c r="H1473" s="347">
        <v>44343</v>
      </c>
      <c r="I1473" s="347"/>
      <c r="J1473" s="345"/>
      <c r="K1473" s="703"/>
      <c r="L1473" s="342"/>
      <c r="M1473" s="342"/>
      <c r="N1473" s="340"/>
      <c r="O1473" s="703"/>
      <c r="P1473" s="342"/>
      <c r="Q1473" s="363"/>
      <c r="R1473" s="340"/>
      <c r="S1473" s="342"/>
      <c r="T1473" s="342"/>
      <c r="U1473" s="342"/>
      <c r="V1473" s="340"/>
      <c r="W1473" s="340"/>
    </row>
    <row r="1474" spans="2:23" ht="24" customHeight="1">
      <c r="B1474" s="67"/>
      <c r="I1474" s="3" t="s">
        <v>59</v>
      </c>
      <c r="J1474" s="345">
        <v>6</v>
      </c>
      <c r="K1474" s="703">
        <v>1631.94</v>
      </c>
      <c r="L1474" s="342">
        <v>1</v>
      </c>
      <c r="M1474" s="342">
        <v>19.840699999999998</v>
      </c>
      <c r="N1474" s="340">
        <v>32378.831957999999</v>
      </c>
      <c r="O1474" s="703">
        <v>2785.8818181818183</v>
      </c>
      <c r="P1474" s="342">
        <v>1</v>
      </c>
      <c r="Q1474" s="363">
        <v>19.8903</v>
      </c>
      <c r="R1474" s="340">
        <v>55412.02512818182</v>
      </c>
      <c r="S1474" s="342">
        <v>112.419</v>
      </c>
      <c r="T1474" s="342">
        <v>120.15900000000001</v>
      </c>
      <c r="U1474" s="342">
        <v>1.0688</v>
      </c>
      <c r="V1474" s="340">
        <v>59224.372457000725</v>
      </c>
      <c r="W1474" s="340">
        <v>-26845.540499000734</v>
      </c>
    </row>
    <row r="1475" spans="2:23" ht="24" customHeight="1">
      <c r="J1475" s="345"/>
      <c r="K1475" s="703"/>
      <c r="L1475" s="342"/>
      <c r="M1475" s="342"/>
      <c r="N1475" s="340"/>
      <c r="O1475" s="703"/>
      <c r="P1475" s="342"/>
      <c r="Q1475" s="363"/>
      <c r="R1475" s="340"/>
      <c r="S1475" s="342"/>
      <c r="T1475" s="342"/>
      <c r="U1475" s="342"/>
      <c r="V1475" s="340"/>
      <c r="W1475" s="340"/>
    </row>
    <row r="1476" spans="2:23" ht="24" customHeight="1">
      <c r="B1476" s="67"/>
      <c r="H1476" s="347">
        <v>44334</v>
      </c>
      <c r="I1476" s="347"/>
      <c r="J1476" s="345"/>
      <c r="K1476" s="703"/>
      <c r="L1476" s="342"/>
      <c r="M1476" s="342"/>
      <c r="N1476" s="340"/>
      <c r="O1476" s="703"/>
      <c r="P1476" s="342"/>
      <c r="Q1476" s="363"/>
      <c r="R1476" s="340"/>
      <c r="S1476" s="342"/>
      <c r="T1476" s="342"/>
      <c r="U1476" s="342"/>
      <c r="V1476" s="340"/>
      <c r="W1476" s="340"/>
    </row>
    <row r="1477" spans="2:23" ht="24" customHeight="1">
      <c r="B1477" s="67"/>
      <c r="I1477" s="3" t="s">
        <v>59</v>
      </c>
      <c r="J1477" s="345">
        <v>6</v>
      </c>
      <c r="K1477" s="703">
        <v>1631.94</v>
      </c>
      <c r="L1477" s="342">
        <v>1</v>
      </c>
      <c r="M1477" s="342">
        <v>19.840699999999998</v>
      </c>
      <c r="N1477" s="340">
        <v>32378.831957999999</v>
      </c>
      <c r="O1477" s="703">
        <v>2728.89</v>
      </c>
      <c r="P1477" s="342">
        <v>1</v>
      </c>
      <c r="Q1477" s="363">
        <v>19.848700000000001</v>
      </c>
      <c r="R1477" s="340">
        <v>54164.918942999997</v>
      </c>
      <c r="S1477" s="342">
        <v>112.419</v>
      </c>
      <c r="T1477" s="342">
        <v>120.15900000000001</v>
      </c>
      <c r="U1477" s="342">
        <v>1.0688</v>
      </c>
      <c r="V1477" s="340">
        <v>57891.465366278397</v>
      </c>
      <c r="W1477" s="340">
        <v>-25512.633408278398</v>
      </c>
    </row>
    <row r="1478" spans="2:23" ht="24" customHeight="1">
      <c r="J1478" s="345"/>
      <c r="K1478" s="703"/>
      <c r="L1478" s="342"/>
      <c r="M1478" s="342"/>
      <c r="N1478" s="340"/>
      <c r="O1478" s="703"/>
      <c r="P1478" s="342"/>
      <c r="Q1478" s="363"/>
      <c r="R1478" s="340"/>
      <c r="S1478" s="342"/>
      <c r="T1478" s="342"/>
      <c r="U1478" s="342"/>
      <c r="V1478" s="340"/>
      <c r="W1478" s="340"/>
    </row>
    <row r="1479" spans="2:23" ht="24" customHeight="1">
      <c r="B1479" s="67"/>
      <c r="H1479" s="347">
        <v>44169</v>
      </c>
      <c r="I1479" s="347"/>
      <c r="J1479" s="345"/>
      <c r="K1479" s="703"/>
      <c r="L1479" s="342"/>
      <c r="M1479" s="342"/>
      <c r="N1479" s="340"/>
      <c r="O1479" s="703"/>
      <c r="P1479" s="342"/>
      <c r="Q1479" s="363"/>
      <c r="R1479" s="340"/>
      <c r="S1479" s="342"/>
      <c r="T1479" s="342"/>
      <c r="U1479" s="342"/>
      <c r="V1479" s="340"/>
      <c r="W1479" s="340"/>
    </row>
    <row r="1480" spans="2:23" ht="24" customHeight="1">
      <c r="B1480" s="67"/>
      <c r="I1480" s="3" t="s">
        <v>59</v>
      </c>
      <c r="J1480" s="345">
        <v>3</v>
      </c>
      <c r="K1480" s="703">
        <v>815.97</v>
      </c>
      <c r="L1480" s="342">
        <v>1</v>
      </c>
      <c r="M1480" s="342">
        <v>19.840699999999998</v>
      </c>
      <c r="N1480" s="340">
        <v>16189.415978999999</v>
      </c>
      <c r="O1480" s="703">
        <v>1707.3724999999999</v>
      </c>
      <c r="P1480" s="342">
        <v>1</v>
      </c>
      <c r="Q1480" s="363">
        <v>20.049700000000001</v>
      </c>
      <c r="R1480" s="340">
        <v>34232.30641325</v>
      </c>
      <c r="S1480" s="342">
        <v>109.271</v>
      </c>
      <c r="T1480" s="342">
        <v>120.15900000000001</v>
      </c>
      <c r="U1480" s="342">
        <v>1.0995999999999999</v>
      </c>
      <c r="V1480" s="340">
        <v>37641.844132009697</v>
      </c>
      <c r="W1480" s="340">
        <v>-21452.4281530097</v>
      </c>
    </row>
    <row r="1481" spans="2:23" ht="24" customHeight="1">
      <c r="J1481" s="345"/>
      <c r="K1481" s="703"/>
      <c r="L1481" s="342"/>
      <c r="M1481" s="342"/>
      <c r="N1481" s="340"/>
      <c r="O1481" s="703"/>
      <c r="P1481" s="342"/>
      <c r="Q1481" s="363"/>
      <c r="R1481" s="340"/>
      <c r="S1481" s="342"/>
      <c r="T1481" s="342"/>
      <c r="U1481" s="342"/>
      <c r="V1481" s="340"/>
      <c r="W1481" s="340"/>
    </row>
    <row r="1482" spans="2:23" ht="24" customHeight="1">
      <c r="B1482" s="67"/>
      <c r="F1482" s="346">
        <v>44669</v>
      </c>
      <c r="G1482" s="346"/>
      <c r="H1482" s="346"/>
      <c r="I1482" s="346"/>
      <c r="J1482" s="345"/>
      <c r="K1482" s="703"/>
      <c r="L1482" s="342"/>
      <c r="M1482" s="342"/>
      <c r="N1482" s="340"/>
      <c r="O1482" s="703"/>
      <c r="P1482" s="342"/>
      <c r="Q1482" s="363"/>
      <c r="R1482" s="340"/>
      <c r="S1482" s="342"/>
      <c r="T1482" s="342"/>
      <c r="U1482" s="342"/>
      <c r="V1482" s="340"/>
      <c r="W1482" s="340"/>
    </row>
    <row r="1483" spans="2:23" ht="24" customHeight="1">
      <c r="B1483" s="67"/>
      <c r="G1483" s="3" t="s">
        <v>59</v>
      </c>
      <c r="H1483" s="3"/>
      <c r="I1483" s="3"/>
      <c r="J1483" s="345"/>
      <c r="K1483" s="703"/>
      <c r="L1483" s="342"/>
      <c r="M1483" s="342"/>
      <c r="N1483" s="340"/>
      <c r="O1483" s="703"/>
      <c r="P1483" s="342"/>
      <c r="Q1483" s="363"/>
      <c r="R1483" s="340"/>
      <c r="S1483" s="342"/>
      <c r="T1483" s="342"/>
      <c r="U1483" s="342"/>
      <c r="V1483" s="340"/>
      <c r="W1483" s="340"/>
    </row>
    <row r="1484" spans="2:23" ht="24" customHeight="1">
      <c r="B1484" s="67"/>
      <c r="H1484" s="347">
        <v>44410</v>
      </c>
      <c r="I1484" s="347"/>
      <c r="J1484" s="345"/>
      <c r="K1484" s="703"/>
      <c r="L1484" s="342"/>
      <c r="M1484" s="342"/>
      <c r="N1484" s="340"/>
      <c r="O1484" s="703"/>
      <c r="P1484" s="342"/>
      <c r="Q1484" s="363"/>
      <c r="R1484" s="340"/>
      <c r="S1484" s="342"/>
      <c r="T1484" s="342"/>
      <c r="U1484" s="342"/>
      <c r="V1484" s="340"/>
      <c r="W1484" s="340"/>
    </row>
    <row r="1485" spans="2:23" ht="24" customHeight="1">
      <c r="B1485" s="67"/>
      <c r="I1485" s="3" t="s">
        <v>59</v>
      </c>
      <c r="J1485" s="345">
        <v>8</v>
      </c>
      <c r="K1485" s="703">
        <v>2058.7584375000001</v>
      </c>
      <c r="L1485" s="342">
        <v>1</v>
      </c>
      <c r="M1485" s="342">
        <v>19.840699999999998</v>
      </c>
      <c r="N1485" s="340">
        <v>40847.208530906246</v>
      </c>
      <c r="O1485" s="703">
        <v>3857.9083333333333</v>
      </c>
      <c r="P1485" s="342">
        <v>1</v>
      </c>
      <c r="Q1485" s="363">
        <v>19.844799999999999</v>
      </c>
      <c r="R1485" s="340">
        <v>76559.41929333334</v>
      </c>
      <c r="S1485" s="342">
        <v>113.899</v>
      </c>
      <c r="T1485" s="342">
        <v>120.15900000000001</v>
      </c>
      <c r="U1485" s="342">
        <v>1.0548999999999999</v>
      </c>
      <c r="V1485" s="340">
        <v>80762.531412537341</v>
      </c>
      <c r="W1485" s="340">
        <v>-39915.322881631088</v>
      </c>
    </row>
    <row r="1486" spans="2:23" ht="24" customHeight="1">
      <c r="J1486" s="345"/>
      <c r="K1486" s="703"/>
      <c r="L1486" s="342"/>
      <c r="M1486" s="342"/>
      <c r="N1486" s="340"/>
      <c r="O1486" s="703"/>
      <c r="P1486" s="342"/>
      <c r="Q1486" s="363"/>
      <c r="R1486" s="340"/>
      <c r="S1486" s="342"/>
      <c r="T1486" s="342"/>
      <c r="U1486" s="342"/>
      <c r="V1486" s="340"/>
      <c r="W1486" s="340"/>
    </row>
    <row r="1487" spans="2:23" ht="24" customHeight="1">
      <c r="B1487" s="67"/>
      <c r="H1487" s="347">
        <v>44343</v>
      </c>
      <c r="I1487" s="347"/>
      <c r="J1487" s="345"/>
      <c r="K1487" s="703"/>
      <c r="L1487" s="342"/>
      <c r="M1487" s="342"/>
      <c r="N1487" s="340"/>
      <c r="O1487" s="703"/>
      <c r="P1487" s="342"/>
      <c r="Q1487" s="363"/>
      <c r="R1487" s="340"/>
      <c r="S1487" s="342"/>
      <c r="T1487" s="342"/>
      <c r="U1487" s="342"/>
      <c r="V1487" s="340"/>
      <c r="W1487" s="340"/>
    </row>
    <row r="1488" spans="2:23" ht="24" customHeight="1">
      <c r="B1488" s="67"/>
      <c r="I1488" s="3" t="s">
        <v>59</v>
      </c>
      <c r="J1488" s="345">
        <v>17</v>
      </c>
      <c r="K1488" s="703">
        <v>4402.9734375000007</v>
      </c>
      <c r="L1488" s="342">
        <v>1</v>
      </c>
      <c r="M1488" s="342">
        <v>19.840699999999998</v>
      </c>
      <c r="N1488" s="340">
        <v>87358.075081406249</v>
      </c>
      <c r="O1488" s="703">
        <v>7873.3881818181817</v>
      </c>
      <c r="P1488" s="342">
        <v>1</v>
      </c>
      <c r="Q1488" s="363">
        <v>19.8903</v>
      </c>
      <c r="R1488" s="340">
        <v>156604.05295281817</v>
      </c>
      <c r="S1488" s="342">
        <v>112.419</v>
      </c>
      <c r="T1488" s="342">
        <v>120.15900000000001</v>
      </c>
      <c r="U1488" s="342">
        <v>1.0688</v>
      </c>
      <c r="V1488" s="340">
        <v>167378.41179597206</v>
      </c>
      <c r="W1488" s="340">
        <v>-80020.336714565827</v>
      </c>
    </row>
    <row r="1489" spans="2:23" ht="24" customHeight="1">
      <c r="J1489" s="345"/>
      <c r="K1489" s="703"/>
      <c r="L1489" s="342"/>
      <c r="M1489" s="342"/>
      <c r="N1489" s="340"/>
      <c r="O1489" s="703"/>
      <c r="P1489" s="342"/>
      <c r="Q1489" s="363"/>
      <c r="R1489" s="340"/>
      <c r="S1489" s="342"/>
      <c r="T1489" s="342"/>
      <c r="U1489" s="342"/>
      <c r="V1489" s="340"/>
      <c r="W1489" s="340"/>
    </row>
    <row r="1490" spans="2:23" ht="24" customHeight="1">
      <c r="B1490" s="67"/>
      <c r="H1490" s="347">
        <v>44348</v>
      </c>
      <c r="I1490" s="347"/>
      <c r="J1490" s="345"/>
      <c r="K1490" s="703"/>
      <c r="L1490" s="342"/>
      <c r="M1490" s="342"/>
      <c r="N1490" s="340"/>
      <c r="O1490" s="703"/>
      <c r="P1490" s="342"/>
      <c r="Q1490" s="363"/>
      <c r="R1490" s="340"/>
      <c r="S1490" s="342"/>
      <c r="T1490" s="342"/>
      <c r="U1490" s="342"/>
      <c r="V1490" s="340"/>
      <c r="W1490" s="340"/>
    </row>
    <row r="1491" spans="2:23" ht="24" customHeight="1">
      <c r="B1491" s="67"/>
      <c r="I1491" s="3" t="s">
        <v>59</v>
      </c>
      <c r="J1491" s="345">
        <v>14</v>
      </c>
      <c r="K1491" s="703">
        <v>3625.9781250000005</v>
      </c>
      <c r="L1491" s="342">
        <v>1</v>
      </c>
      <c r="M1491" s="342">
        <v>19.840699999999998</v>
      </c>
      <c r="N1491" s="340">
        <v>71941.944184687498</v>
      </c>
      <c r="O1491" s="703">
        <v>6522.74</v>
      </c>
      <c r="P1491" s="342">
        <v>1</v>
      </c>
      <c r="Q1491" s="363">
        <v>19.944199999999999</v>
      </c>
      <c r="R1491" s="340">
        <v>130090.83110799998</v>
      </c>
      <c r="S1491" s="342">
        <v>113.018</v>
      </c>
      <c r="T1491" s="342">
        <v>120.15900000000001</v>
      </c>
      <c r="U1491" s="342">
        <v>1.0630999999999999</v>
      </c>
      <c r="V1491" s="340">
        <v>138299.56255091476</v>
      </c>
      <c r="W1491" s="340">
        <v>-66357.618366227267</v>
      </c>
    </row>
    <row r="1492" spans="2:23" ht="24" customHeight="1">
      <c r="J1492" s="345"/>
      <c r="K1492" s="703"/>
      <c r="L1492" s="342"/>
      <c r="M1492" s="342"/>
      <c r="N1492" s="340"/>
      <c r="O1492" s="703"/>
      <c r="P1492" s="342"/>
      <c r="Q1492" s="363"/>
      <c r="R1492" s="340"/>
      <c r="S1492" s="342"/>
      <c r="T1492" s="342"/>
      <c r="U1492" s="342"/>
      <c r="V1492" s="340"/>
      <c r="W1492" s="340"/>
    </row>
    <row r="1493" spans="2:23" ht="24" customHeight="1">
      <c r="B1493" s="67"/>
      <c r="F1493" s="346">
        <v>44670</v>
      </c>
      <c r="G1493" s="346"/>
      <c r="H1493" s="346"/>
      <c r="I1493" s="346"/>
      <c r="J1493" s="345"/>
      <c r="K1493" s="703"/>
      <c r="L1493" s="342"/>
      <c r="M1493" s="342"/>
      <c r="N1493" s="340"/>
      <c r="O1493" s="703"/>
      <c r="P1493" s="342"/>
      <c r="Q1493" s="363"/>
      <c r="R1493" s="340"/>
      <c r="S1493" s="342"/>
      <c r="T1493" s="342"/>
      <c r="U1493" s="342"/>
      <c r="V1493" s="340"/>
      <c r="W1493" s="340"/>
    </row>
    <row r="1494" spans="2:23" ht="24" customHeight="1">
      <c r="B1494" s="67"/>
      <c r="G1494" s="3" t="s">
        <v>59</v>
      </c>
      <c r="H1494" s="3"/>
      <c r="I1494" s="3"/>
      <c r="J1494" s="345"/>
      <c r="K1494" s="703"/>
      <c r="L1494" s="342"/>
      <c r="M1494" s="342"/>
      <c r="N1494" s="340"/>
      <c r="O1494" s="703"/>
      <c r="P1494" s="342"/>
      <c r="Q1494" s="363"/>
      <c r="R1494" s="340"/>
      <c r="S1494" s="342"/>
      <c r="T1494" s="342"/>
      <c r="U1494" s="342"/>
      <c r="V1494" s="340"/>
      <c r="W1494" s="340"/>
    </row>
    <row r="1495" spans="2:23" ht="24" customHeight="1">
      <c r="B1495" s="67"/>
      <c r="H1495" s="347">
        <v>44410</v>
      </c>
      <c r="I1495" s="347"/>
      <c r="J1495" s="345"/>
      <c r="K1495" s="703"/>
      <c r="L1495" s="342"/>
      <c r="M1495" s="342"/>
      <c r="N1495" s="340"/>
      <c r="O1495" s="703"/>
      <c r="P1495" s="342"/>
      <c r="Q1495" s="363"/>
      <c r="R1495" s="340"/>
      <c r="S1495" s="342"/>
      <c r="T1495" s="342"/>
      <c r="U1495" s="342"/>
      <c r="V1495" s="340"/>
      <c r="W1495" s="340"/>
    </row>
    <row r="1496" spans="2:23" ht="24" customHeight="1">
      <c r="B1496" s="67"/>
      <c r="I1496" s="3" t="s">
        <v>59</v>
      </c>
      <c r="J1496" s="345">
        <v>11</v>
      </c>
      <c r="K1496" s="703">
        <v>2845.4196774193551</v>
      </c>
      <c r="L1496" s="342">
        <v>1</v>
      </c>
      <c r="M1496" s="342">
        <v>19.796700000000001</v>
      </c>
      <c r="N1496" s="340">
        <v>56329.919727967754</v>
      </c>
      <c r="O1496" s="703">
        <v>5313.0916666666662</v>
      </c>
      <c r="P1496" s="342">
        <v>1</v>
      </c>
      <c r="Q1496" s="363">
        <v>19.844799999999999</v>
      </c>
      <c r="R1496" s="340">
        <v>105437.24150666666</v>
      </c>
      <c r="S1496" s="342">
        <v>113.899</v>
      </c>
      <c r="T1496" s="342">
        <v>120.15900000000001</v>
      </c>
      <c r="U1496" s="342">
        <v>1.0548999999999999</v>
      </c>
      <c r="V1496" s="340">
        <v>111225.74606538266</v>
      </c>
      <c r="W1496" s="340">
        <v>-54895.826337414888</v>
      </c>
    </row>
    <row r="1497" spans="2:23" ht="24" customHeight="1">
      <c r="J1497" s="345"/>
      <c r="K1497" s="703"/>
      <c r="L1497" s="342"/>
      <c r="M1497" s="342"/>
      <c r="N1497" s="340"/>
      <c r="O1497" s="703"/>
      <c r="P1497" s="342"/>
      <c r="Q1497" s="363"/>
      <c r="R1497" s="340"/>
      <c r="S1497" s="342"/>
      <c r="T1497" s="342"/>
      <c r="U1497" s="342"/>
      <c r="V1497" s="340"/>
      <c r="W1497" s="340"/>
    </row>
    <row r="1498" spans="2:23" ht="24" customHeight="1">
      <c r="B1498" s="67"/>
      <c r="H1498" s="347">
        <v>44411</v>
      </c>
      <c r="I1498" s="347"/>
      <c r="J1498" s="345"/>
      <c r="K1498" s="703"/>
      <c r="L1498" s="342"/>
      <c r="M1498" s="342"/>
      <c r="N1498" s="340"/>
      <c r="O1498" s="703"/>
      <c r="P1498" s="342"/>
      <c r="Q1498" s="363"/>
      <c r="R1498" s="340"/>
      <c r="S1498" s="342"/>
      <c r="T1498" s="342"/>
      <c r="U1498" s="342"/>
      <c r="V1498" s="340"/>
      <c r="W1498" s="340"/>
    </row>
    <row r="1499" spans="2:23" ht="24" customHeight="1">
      <c r="B1499" s="67"/>
      <c r="I1499" s="3" t="s">
        <v>59</v>
      </c>
      <c r="J1499" s="345">
        <v>20</v>
      </c>
      <c r="K1499" s="703">
        <v>5173.4903225806456</v>
      </c>
      <c r="L1499" s="342">
        <v>1</v>
      </c>
      <c r="M1499" s="342">
        <v>19.796700000000001</v>
      </c>
      <c r="N1499" s="340">
        <v>102418.03586903228</v>
      </c>
      <c r="O1499" s="703">
        <v>9556.255172413792</v>
      </c>
      <c r="P1499" s="342">
        <v>1</v>
      </c>
      <c r="Q1499" s="363">
        <v>19.845500000000001</v>
      </c>
      <c r="R1499" s="340">
        <v>189648.66202413791</v>
      </c>
      <c r="S1499" s="342">
        <v>113.899</v>
      </c>
      <c r="T1499" s="342">
        <v>120.15900000000001</v>
      </c>
      <c r="U1499" s="342">
        <v>1.0548999999999999</v>
      </c>
      <c r="V1499" s="340">
        <v>200060.37356926309</v>
      </c>
      <c r="W1499" s="340">
        <v>-97642.337700230812</v>
      </c>
    </row>
    <row r="1500" spans="2:23" ht="24" customHeight="1">
      <c r="J1500" s="345"/>
      <c r="K1500" s="703"/>
      <c r="L1500" s="342"/>
      <c r="M1500" s="342"/>
      <c r="N1500" s="340"/>
      <c r="O1500" s="703"/>
      <c r="P1500" s="342"/>
      <c r="Q1500" s="363"/>
      <c r="R1500" s="340"/>
      <c r="S1500" s="342"/>
      <c r="T1500" s="342"/>
      <c r="U1500" s="342"/>
      <c r="V1500" s="340"/>
      <c r="W1500" s="340"/>
    </row>
    <row r="1501" spans="2:23" ht="24" customHeight="1">
      <c r="B1501" s="67"/>
      <c r="F1501" s="346">
        <v>44671</v>
      </c>
      <c r="G1501" s="346"/>
      <c r="H1501" s="346"/>
      <c r="I1501" s="346"/>
      <c r="J1501" s="345"/>
      <c r="K1501" s="703"/>
      <c r="L1501" s="342"/>
      <c r="M1501" s="342"/>
      <c r="N1501" s="340"/>
      <c r="O1501" s="703"/>
      <c r="P1501" s="342"/>
      <c r="Q1501" s="363"/>
      <c r="R1501" s="340"/>
      <c r="S1501" s="342"/>
      <c r="T1501" s="342"/>
      <c r="U1501" s="342"/>
      <c r="V1501" s="340"/>
      <c r="W1501" s="340"/>
    </row>
    <row r="1502" spans="2:23" ht="24" customHeight="1">
      <c r="B1502" s="67"/>
      <c r="G1502" s="3" t="s">
        <v>59</v>
      </c>
      <c r="H1502" s="3"/>
      <c r="I1502" s="3"/>
      <c r="J1502" s="345"/>
      <c r="K1502" s="703"/>
      <c r="L1502" s="342"/>
      <c r="M1502" s="342"/>
      <c r="N1502" s="340"/>
      <c r="O1502" s="703"/>
      <c r="P1502" s="342"/>
      <c r="Q1502" s="363"/>
      <c r="R1502" s="340"/>
      <c r="S1502" s="342"/>
      <c r="T1502" s="342"/>
      <c r="U1502" s="342"/>
      <c r="V1502" s="340"/>
      <c r="W1502" s="340"/>
    </row>
    <row r="1503" spans="2:23" ht="24" customHeight="1">
      <c r="B1503" s="67"/>
      <c r="H1503" s="347">
        <v>44426</v>
      </c>
      <c r="I1503" s="347"/>
      <c r="J1503" s="345"/>
      <c r="K1503" s="703"/>
      <c r="L1503" s="342"/>
      <c r="M1503" s="342"/>
      <c r="N1503" s="340"/>
      <c r="O1503" s="703"/>
      <c r="P1503" s="342"/>
      <c r="Q1503" s="363"/>
      <c r="R1503" s="340"/>
      <c r="S1503" s="342"/>
      <c r="T1503" s="342"/>
      <c r="U1503" s="342"/>
      <c r="V1503" s="340"/>
      <c r="W1503" s="340"/>
    </row>
    <row r="1504" spans="2:23" ht="24" customHeight="1">
      <c r="B1504" s="67"/>
      <c r="I1504" s="3" t="s">
        <v>59</v>
      </c>
      <c r="J1504" s="345">
        <v>5</v>
      </c>
      <c r="K1504" s="703">
        <v>1360.7704545454546</v>
      </c>
      <c r="L1504" s="342">
        <v>1</v>
      </c>
      <c r="M1504" s="342">
        <v>19.9377</v>
      </c>
      <c r="N1504" s="340">
        <v>27130.633091590909</v>
      </c>
      <c r="O1504" s="703">
        <v>2310.4</v>
      </c>
      <c r="P1504" s="342">
        <v>1</v>
      </c>
      <c r="Q1504" s="363">
        <v>19.886299999999999</v>
      </c>
      <c r="R1504" s="340">
        <v>45945.307519999995</v>
      </c>
      <c r="S1504" s="342">
        <v>113.899</v>
      </c>
      <c r="T1504" s="342">
        <v>120.15900000000001</v>
      </c>
      <c r="U1504" s="342">
        <v>1.0548999999999999</v>
      </c>
      <c r="V1504" s="340">
        <v>48467.704902847989</v>
      </c>
      <c r="W1504" s="340">
        <v>-21337.071811257079</v>
      </c>
    </row>
    <row r="1505" spans="2:23" ht="24" customHeight="1">
      <c r="J1505" s="345"/>
      <c r="K1505" s="703"/>
      <c r="L1505" s="342"/>
      <c r="M1505" s="342"/>
      <c r="N1505" s="340"/>
      <c r="O1505" s="703"/>
      <c r="P1505" s="342"/>
      <c r="Q1505" s="363"/>
      <c r="R1505" s="340"/>
      <c r="S1505" s="342"/>
      <c r="T1505" s="342"/>
      <c r="U1505" s="342"/>
      <c r="V1505" s="340"/>
      <c r="W1505" s="340"/>
    </row>
    <row r="1506" spans="2:23" ht="24" customHeight="1">
      <c r="B1506" s="67"/>
      <c r="H1506" s="347">
        <v>44427</v>
      </c>
      <c r="I1506" s="347"/>
      <c r="J1506" s="345"/>
      <c r="K1506" s="703"/>
      <c r="L1506" s="342"/>
      <c r="M1506" s="342"/>
      <c r="N1506" s="340"/>
      <c r="O1506" s="703"/>
      <c r="P1506" s="342"/>
      <c r="Q1506" s="363"/>
      <c r="R1506" s="340"/>
      <c r="S1506" s="342"/>
      <c r="T1506" s="342"/>
      <c r="U1506" s="342"/>
      <c r="V1506" s="340"/>
      <c r="W1506" s="340"/>
    </row>
    <row r="1507" spans="2:23" ht="24" customHeight="1">
      <c r="B1507" s="67"/>
      <c r="I1507" s="3" t="s">
        <v>59</v>
      </c>
      <c r="J1507" s="345">
        <v>19</v>
      </c>
      <c r="K1507" s="703">
        <v>5206.2140909090904</v>
      </c>
      <c r="L1507" s="342">
        <v>1</v>
      </c>
      <c r="M1507" s="342">
        <v>19.9377</v>
      </c>
      <c r="N1507" s="340">
        <v>103799.9346803182</v>
      </c>
      <c r="O1507" s="703">
        <v>8949.2599999999984</v>
      </c>
      <c r="P1507" s="342">
        <v>1</v>
      </c>
      <c r="Q1507" s="363">
        <v>19.991199999999999</v>
      </c>
      <c r="R1507" s="340">
        <v>178906.44651199999</v>
      </c>
      <c r="S1507" s="342">
        <v>113.899</v>
      </c>
      <c r="T1507" s="342">
        <v>120.15900000000002</v>
      </c>
      <c r="U1507" s="342">
        <v>1.0548999999999999</v>
      </c>
      <c r="V1507" s="340">
        <v>188728.4104255088</v>
      </c>
      <c r="W1507" s="340">
        <v>-84928.475745190604</v>
      </c>
    </row>
    <row r="1508" spans="2:23" ht="24" customHeight="1">
      <c r="J1508" s="345"/>
      <c r="K1508" s="703"/>
      <c r="L1508" s="342"/>
      <c r="M1508" s="342"/>
      <c r="N1508" s="340"/>
      <c r="O1508" s="703"/>
      <c r="P1508" s="342"/>
      <c r="Q1508" s="363"/>
      <c r="R1508" s="340"/>
      <c r="S1508" s="342"/>
      <c r="T1508" s="342"/>
      <c r="U1508" s="342"/>
      <c r="V1508" s="340"/>
      <c r="W1508" s="340"/>
    </row>
    <row r="1509" spans="2:23" ht="24" customHeight="1">
      <c r="B1509" s="67"/>
      <c r="H1509" s="347">
        <v>44537</v>
      </c>
      <c r="I1509" s="347"/>
      <c r="J1509" s="345"/>
      <c r="K1509" s="703"/>
      <c r="L1509" s="342"/>
      <c r="M1509" s="342"/>
      <c r="N1509" s="340"/>
      <c r="O1509" s="703"/>
      <c r="P1509" s="342"/>
      <c r="Q1509" s="363"/>
      <c r="R1509" s="340"/>
      <c r="S1509" s="342"/>
      <c r="T1509" s="342"/>
      <c r="U1509" s="342"/>
      <c r="V1509" s="340"/>
      <c r="W1509" s="340"/>
    </row>
    <row r="1510" spans="2:23" ht="24" customHeight="1">
      <c r="B1510" s="67"/>
      <c r="I1510" s="3" t="s">
        <v>59</v>
      </c>
      <c r="J1510" s="345">
        <v>41</v>
      </c>
      <c r="K1510" s="703">
        <v>11249.524925373133</v>
      </c>
      <c r="L1510" s="342">
        <v>1</v>
      </c>
      <c r="M1510" s="342">
        <v>19.9377</v>
      </c>
      <c r="N1510" s="340">
        <v>224289.65310461191</v>
      </c>
      <c r="O1510" s="703">
        <v>15574.82</v>
      </c>
      <c r="P1510" s="342">
        <v>1</v>
      </c>
      <c r="Q1510" s="363">
        <v>21.4177</v>
      </c>
      <c r="R1510" s="340">
        <v>333576.82231399999</v>
      </c>
      <c r="S1510" s="342">
        <v>117.30800000000001</v>
      </c>
      <c r="T1510" s="342">
        <v>120.15900000000001</v>
      </c>
      <c r="U1510" s="342">
        <v>1.0243</v>
      </c>
      <c r="V1510" s="340">
        <v>341682.73909623019</v>
      </c>
      <c r="W1510" s="340">
        <v>-117393.08599161825</v>
      </c>
    </row>
    <row r="1511" spans="2:23" ht="24" customHeight="1">
      <c r="J1511" s="345"/>
      <c r="K1511" s="703"/>
      <c r="L1511" s="342"/>
      <c r="M1511" s="342"/>
      <c r="N1511" s="340"/>
      <c r="O1511" s="703"/>
      <c r="P1511" s="342"/>
      <c r="Q1511" s="363"/>
      <c r="R1511" s="340"/>
      <c r="S1511" s="342"/>
      <c r="T1511" s="342"/>
      <c r="U1511" s="342"/>
      <c r="V1511" s="340"/>
      <c r="W1511" s="340"/>
    </row>
    <row r="1512" spans="2:23" ht="24" customHeight="1">
      <c r="B1512" s="67"/>
      <c r="H1512" s="347">
        <v>44476</v>
      </c>
      <c r="I1512" s="347"/>
      <c r="J1512" s="345"/>
      <c r="K1512" s="703"/>
      <c r="L1512" s="342"/>
      <c r="M1512" s="342"/>
      <c r="N1512" s="340"/>
      <c r="O1512" s="703"/>
      <c r="P1512" s="342"/>
      <c r="Q1512" s="363"/>
      <c r="R1512" s="340"/>
      <c r="S1512" s="342"/>
      <c r="T1512" s="342"/>
      <c r="U1512" s="342"/>
      <c r="V1512" s="340"/>
      <c r="W1512" s="340"/>
    </row>
    <row r="1513" spans="2:23" ht="24" customHeight="1">
      <c r="B1513" s="67"/>
      <c r="I1513" s="3" t="s">
        <v>59</v>
      </c>
      <c r="J1513" s="345">
        <v>25</v>
      </c>
      <c r="K1513" s="703">
        <v>6865.0883039348719</v>
      </c>
      <c r="L1513" s="342">
        <v>1</v>
      </c>
      <c r="M1513" s="342">
        <v>19.9377</v>
      </c>
      <c r="N1513" s="340">
        <v>136874.07107736228</v>
      </c>
      <c r="O1513" s="703">
        <v>10522.08</v>
      </c>
      <c r="P1513" s="342">
        <v>1</v>
      </c>
      <c r="Q1513" s="363">
        <v>20.581800000000001</v>
      </c>
      <c r="R1513" s="340">
        <v>216563.34614400001</v>
      </c>
      <c r="S1513" s="342">
        <v>115.56099999999999</v>
      </c>
      <c r="T1513" s="342">
        <v>120.15900000000001</v>
      </c>
      <c r="U1513" s="342">
        <v>1.0397000000000001</v>
      </c>
      <c r="V1513" s="340">
        <v>225160.91098591682</v>
      </c>
      <c r="W1513" s="340">
        <v>-88286.839908554553</v>
      </c>
    </row>
    <row r="1514" spans="2:23" ht="24" customHeight="1">
      <c r="J1514" s="345"/>
      <c r="K1514" s="703"/>
      <c r="L1514" s="342"/>
      <c r="M1514" s="342"/>
      <c r="N1514" s="340"/>
      <c r="O1514" s="703"/>
      <c r="P1514" s="342"/>
      <c r="Q1514" s="363"/>
      <c r="R1514" s="340"/>
      <c r="S1514" s="342"/>
      <c r="T1514" s="342"/>
      <c r="U1514" s="342"/>
      <c r="V1514" s="340"/>
      <c r="W1514" s="340"/>
    </row>
    <row r="1515" spans="2:23" ht="24" customHeight="1">
      <c r="B1515" s="67"/>
      <c r="H1515" s="347">
        <v>44411</v>
      </c>
      <c r="I1515" s="347"/>
      <c r="J1515" s="345"/>
      <c r="K1515" s="703"/>
      <c r="L1515" s="342"/>
      <c r="M1515" s="342"/>
      <c r="N1515" s="340"/>
      <c r="O1515" s="703"/>
      <c r="P1515" s="342"/>
      <c r="Q1515" s="363"/>
      <c r="R1515" s="340"/>
      <c r="S1515" s="342"/>
      <c r="T1515" s="342"/>
      <c r="U1515" s="342"/>
      <c r="V1515" s="340"/>
      <c r="W1515" s="340"/>
    </row>
    <row r="1516" spans="2:23" ht="24" customHeight="1">
      <c r="B1516" s="67"/>
      <c r="I1516" s="3" t="s">
        <v>59</v>
      </c>
      <c r="J1516" s="345">
        <v>12</v>
      </c>
      <c r="K1516" s="703">
        <v>3265.8490909090915</v>
      </c>
      <c r="L1516" s="342">
        <v>1</v>
      </c>
      <c r="M1516" s="342">
        <v>19.9377</v>
      </c>
      <c r="N1516" s="340">
        <v>65113.519419818185</v>
      </c>
      <c r="O1516" s="703">
        <v>5735.7948275862072</v>
      </c>
      <c r="P1516" s="342">
        <v>1</v>
      </c>
      <c r="Q1516" s="363">
        <v>19.845500000000001</v>
      </c>
      <c r="R1516" s="340">
        <v>113829.71625086207</v>
      </c>
      <c r="S1516" s="342">
        <v>113.899</v>
      </c>
      <c r="T1516" s="342">
        <v>120.15900000000001</v>
      </c>
      <c r="U1516" s="342">
        <v>1.0548999999999999</v>
      </c>
      <c r="V1516" s="340">
        <v>120078.96767303439</v>
      </c>
      <c r="W1516" s="340">
        <v>-54965.448253216207</v>
      </c>
    </row>
    <row r="1517" spans="2:23" ht="24" customHeight="1">
      <c r="J1517" s="345"/>
      <c r="K1517" s="703"/>
      <c r="L1517" s="342"/>
      <c r="M1517" s="342"/>
      <c r="N1517" s="340"/>
      <c r="O1517" s="703"/>
      <c r="P1517" s="342"/>
      <c r="Q1517" s="363"/>
      <c r="R1517" s="340"/>
      <c r="S1517" s="342"/>
      <c r="T1517" s="342"/>
      <c r="U1517" s="342"/>
      <c r="V1517" s="340"/>
      <c r="W1517" s="340"/>
    </row>
    <row r="1518" spans="2:23" ht="24" customHeight="1">
      <c r="B1518" s="67"/>
      <c r="H1518" s="347">
        <v>44599</v>
      </c>
      <c r="I1518" s="347"/>
      <c r="J1518" s="345"/>
      <c r="K1518" s="703"/>
      <c r="L1518" s="342"/>
      <c r="M1518" s="342"/>
      <c r="N1518" s="340"/>
      <c r="O1518" s="703"/>
      <c r="P1518" s="342"/>
      <c r="Q1518" s="363"/>
      <c r="R1518" s="340"/>
      <c r="S1518" s="342"/>
      <c r="T1518" s="342"/>
      <c r="U1518" s="342"/>
      <c r="V1518" s="340"/>
      <c r="W1518" s="340"/>
    </row>
    <row r="1519" spans="2:23" ht="24" customHeight="1">
      <c r="B1519" s="67"/>
      <c r="I1519" s="3" t="s">
        <v>59</v>
      </c>
      <c r="J1519" s="345">
        <v>20</v>
      </c>
      <c r="K1519" s="703">
        <v>5487.5731343283569</v>
      </c>
      <c r="L1519" s="342">
        <v>1</v>
      </c>
      <c r="M1519" s="342">
        <v>19.9377</v>
      </c>
      <c r="N1519" s="340">
        <v>109409.58688029849</v>
      </c>
      <c r="O1519" s="703">
        <v>7475</v>
      </c>
      <c r="P1519" s="342">
        <v>1</v>
      </c>
      <c r="Q1519" s="363">
        <v>20.5562</v>
      </c>
      <c r="R1519" s="340">
        <v>153657.595</v>
      </c>
      <c r="S1519" s="342">
        <v>118.98099999999999</v>
      </c>
      <c r="T1519" s="342">
        <v>120.15900000000001</v>
      </c>
      <c r="U1519" s="342">
        <v>1.0099</v>
      </c>
      <c r="V1519" s="340">
        <v>155178.80519049999</v>
      </c>
      <c r="W1519" s="340">
        <v>-45769.218310201511</v>
      </c>
    </row>
    <row r="1520" spans="2:23" ht="24" customHeight="1">
      <c r="J1520" s="345"/>
      <c r="K1520" s="703"/>
      <c r="L1520" s="342"/>
      <c r="M1520" s="342"/>
      <c r="N1520" s="340"/>
      <c r="O1520" s="703"/>
      <c r="P1520" s="342"/>
      <c r="Q1520" s="363"/>
      <c r="R1520" s="340"/>
      <c r="S1520" s="342"/>
      <c r="T1520" s="342"/>
      <c r="U1520" s="342"/>
      <c r="V1520" s="340"/>
      <c r="W1520" s="340"/>
    </row>
    <row r="1521" spans="2:23" ht="24" customHeight="1">
      <c r="B1521" s="67"/>
      <c r="E1521" s="131" t="s">
        <v>1130</v>
      </c>
      <c r="F1521" s="131"/>
      <c r="G1521" s="131"/>
      <c r="H1521" s="131"/>
      <c r="I1521" s="131"/>
      <c r="J1521" s="704">
        <v>243</v>
      </c>
      <c r="K1521" s="705">
        <v>65411.250000000007</v>
      </c>
      <c r="L1521" s="369">
        <v>1</v>
      </c>
      <c r="M1521" s="377">
        <v>19.909593333333326</v>
      </c>
      <c r="N1521" s="706">
        <v>1302345.906311</v>
      </c>
      <c r="O1521" s="705">
        <v>111457.32124999999</v>
      </c>
      <c r="P1521" s="369">
        <v>1</v>
      </c>
      <c r="Q1521" s="377">
        <v>20.27375</v>
      </c>
      <c r="R1521" s="706">
        <v>2265000.7449311246</v>
      </c>
      <c r="S1521" s="369">
        <v>114.04286666666664</v>
      </c>
      <c r="T1521" s="369">
        <v>120.15900000000008</v>
      </c>
      <c r="U1521" s="369">
        <v>1.0541866666666668</v>
      </c>
      <c r="V1521" s="706">
        <v>2394782.0888223294</v>
      </c>
      <c r="W1521" s="706">
        <v>-1092436.1825113287</v>
      </c>
    </row>
    <row r="1522" spans="2:23" ht="24" customHeight="1">
      <c r="J1522" s="345"/>
      <c r="K1522" s="703"/>
      <c r="L1522" s="342"/>
      <c r="M1522" s="342"/>
      <c r="N1522" s="340"/>
      <c r="O1522" s="703"/>
      <c r="P1522" s="342"/>
      <c r="Q1522" s="363"/>
      <c r="R1522" s="340"/>
      <c r="S1522" s="342"/>
      <c r="T1522" s="342"/>
      <c r="U1522" s="342"/>
      <c r="V1522" s="340"/>
      <c r="W1522" s="340"/>
    </row>
    <row r="1523" spans="2:23" ht="24" customHeight="1">
      <c r="B1523" s="67"/>
      <c r="E1523" s="1" t="s">
        <v>888</v>
      </c>
      <c r="J1523" s="345"/>
      <c r="K1523" s="703"/>
      <c r="L1523" s="342"/>
      <c r="M1523" s="342"/>
      <c r="N1523" s="340"/>
      <c r="O1523" s="703"/>
      <c r="P1523" s="342"/>
      <c r="Q1523" s="363"/>
      <c r="R1523" s="340"/>
      <c r="S1523" s="342"/>
      <c r="T1523" s="342"/>
      <c r="U1523" s="342"/>
      <c r="V1523" s="340"/>
      <c r="W1523" s="340"/>
    </row>
    <row r="1524" spans="2:23" ht="24" customHeight="1">
      <c r="B1524" s="67"/>
      <c r="F1524" s="346">
        <v>44606</v>
      </c>
      <c r="G1524" s="346"/>
      <c r="H1524" s="346"/>
      <c r="I1524" s="346"/>
      <c r="J1524" s="345"/>
      <c r="K1524" s="703"/>
      <c r="L1524" s="342"/>
      <c r="M1524" s="342"/>
      <c r="N1524" s="340"/>
      <c r="O1524" s="703"/>
      <c r="P1524" s="342"/>
      <c r="Q1524" s="363"/>
      <c r="R1524" s="340"/>
      <c r="S1524" s="342"/>
      <c r="T1524" s="342"/>
      <c r="U1524" s="342"/>
      <c r="V1524" s="340"/>
      <c r="W1524" s="340"/>
    </row>
    <row r="1525" spans="2:23" ht="24" customHeight="1">
      <c r="B1525" s="67"/>
      <c r="G1525" s="3" t="s">
        <v>59</v>
      </c>
      <c r="H1525" s="3"/>
      <c r="I1525" s="3"/>
      <c r="J1525" s="345"/>
      <c r="K1525" s="703"/>
      <c r="L1525" s="342"/>
      <c r="M1525" s="342"/>
      <c r="N1525" s="340"/>
      <c r="O1525" s="703"/>
      <c r="P1525" s="342"/>
      <c r="Q1525" s="363"/>
      <c r="R1525" s="340"/>
      <c r="S1525" s="342"/>
      <c r="T1525" s="342"/>
      <c r="U1525" s="342"/>
      <c r="V1525" s="340"/>
      <c r="W1525" s="340"/>
    </row>
    <row r="1526" spans="2:23" ht="24" customHeight="1">
      <c r="B1526" s="67"/>
      <c r="H1526" s="347">
        <v>44467</v>
      </c>
      <c r="I1526" s="347"/>
      <c r="J1526" s="345"/>
      <c r="K1526" s="703"/>
      <c r="L1526" s="342"/>
      <c r="M1526" s="342"/>
      <c r="N1526" s="340"/>
      <c r="O1526" s="703"/>
      <c r="P1526" s="342"/>
      <c r="Q1526" s="363"/>
      <c r="R1526" s="340"/>
      <c r="S1526" s="342"/>
      <c r="T1526" s="342"/>
      <c r="U1526" s="342"/>
      <c r="V1526" s="340"/>
      <c r="W1526" s="340"/>
    </row>
    <row r="1527" spans="2:23" ht="24" customHeight="1">
      <c r="B1527" s="67"/>
      <c r="I1527" s="3" t="s">
        <v>59</v>
      </c>
      <c r="J1527" s="345">
        <v>62</v>
      </c>
      <c r="K1527" s="703">
        <v>10637.88</v>
      </c>
      <c r="L1527" s="342">
        <v>1</v>
      </c>
      <c r="M1527" s="342">
        <v>20.4148</v>
      </c>
      <c r="N1527" s="340">
        <v>217170.19262400002</v>
      </c>
      <c r="O1527" s="703">
        <v>9555.6627586206905</v>
      </c>
      <c r="P1527" s="342">
        <v>1</v>
      </c>
      <c r="Q1527" s="363">
        <v>20.111799999999999</v>
      </c>
      <c r="R1527" s="340">
        <v>192181.57826882758</v>
      </c>
      <c r="S1527" s="342">
        <v>114.601</v>
      </c>
      <c r="T1527" s="342">
        <v>118.002</v>
      </c>
      <c r="U1527" s="342">
        <v>1.0296000000000001</v>
      </c>
      <c r="V1527" s="340">
        <v>197870.15298558489</v>
      </c>
      <c r="W1527" s="340">
        <v>19300.039638415106</v>
      </c>
    </row>
    <row r="1528" spans="2:23" ht="24" customHeight="1">
      <c r="J1528" s="345"/>
      <c r="K1528" s="703"/>
      <c r="L1528" s="342"/>
      <c r="M1528" s="342"/>
      <c r="N1528" s="340"/>
      <c r="O1528" s="703"/>
      <c r="P1528" s="342"/>
      <c r="Q1528" s="363"/>
      <c r="R1528" s="340"/>
      <c r="S1528" s="342"/>
      <c r="T1528" s="342"/>
      <c r="U1528" s="342"/>
      <c r="V1528" s="340"/>
      <c r="W1528" s="340"/>
    </row>
    <row r="1529" spans="2:23" ht="24" customHeight="1">
      <c r="B1529" s="67"/>
      <c r="F1529" s="346">
        <v>44610</v>
      </c>
      <c r="G1529" s="346"/>
      <c r="H1529" s="346"/>
      <c r="I1529" s="346"/>
      <c r="J1529" s="345"/>
      <c r="K1529" s="703"/>
      <c r="L1529" s="342"/>
      <c r="M1529" s="342"/>
      <c r="N1529" s="340"/>
      <c r="O1529" s="703"/>
      <c r="P1529" s="342"/>
      <c r="Q1529" s="363"/>
      <c r="R1529" s="340"/>
      <c r="S1529" s="342"/>
      <c r="T1529" s="342"/>
      <c r="U1529" s="342"/>
      <c r="V1529" s="340"/>
      <c r="W1529" s="340"/>
    </row>
    <row r="1530" spans="2:23" ht="24" customHeight="1">
      <c r="B1530" s="67"/>
      <c r="G1530" s="3" t="s">
        <v>59</v>
      </c>
      <c r="H1530" s="3"/>
      <c r="I1530" s="3"/>
      <c r="J1530" s="345"/>
      <c r="K1530" s="703"/>
      <c r="L1530" s="342"/>
      <c r="M1530" s="342"/>
      <c r="N1530" s="340"/>
      <c r="O1530" s="703"/>
      <c r="P1530" s="342"/>
      <c r="Q1530" s="363"/>
      <c r="R1530" s="340"/>
      <c r="S1530" s="342"/>
      <c r="T1530" s="342"/>
      <c r="U1530" s="342"/>
      <c r="V1530" s="340"/>
      <c r="W1530" s="340"/>
    </row>
    <row r="1531" spans="2:23" ht="24" customHeight="1">
      <c r="B1531" s="67"/>
      <c r="H1531" s="347">
        <v>44467</v>
      </c>
      <c r="I1531" s="347"/>
      <c r="J1531" s="345"/>
      <c r="K1531" s="703"/>
      <c r="L1531" s="342"/>
      <c r="M1531" s="342"/>
      <c r="N1531" s="340"/>
      <c r="O1531" s="703"/>
      <c r="P1531" s="342"/>
      <c r="Q1531" s="363"/>
      <c r="R1531" s="340"/>
      <c r="S1531" s="342"/>
      <c r="T1531" s="342"/>
      <c r="U1531" s="342"/>
      <c r="V1531" s="340"/>
      <c r="W1531" s="340"/>
    </row>
    <row r="1532" spans="2:23" ht="24" customHeight="1">
      <c r="B1532" s="67"/>
      <c r="I1532" s="3" t="s">
        <v>59</v>
      </c>
      <c r="J1532" s="345">
        <v>40</v>
      </c>
      <c r="K1532" s="703">
        <v>7079.89</v>
      </c>
      <c r="L1532" s="342">
        <v>1</v>
      </c>
      <c r="M1532" s="342">
        <v>20.333500000000001</v>
      </c>
      <c r="N1532" s="340">
        <v>143958.94331500001</v>
      </c>
      <c r="O1532" s="703">
        <v>6161.7478260869566</v>
      </c>
      <c r="P1532" s="342">
        <v>1</v>
      </c>
      <c r="Q1532" s="363">
        <v>20.111799999999999</v>
      </c>
      <c r="R1532" s="340">
        <v>123923.83992869564</v>
      </c>
      <c r="S1532" s="342">
        <v>114.601</v>
      </c>
      <c r="T1532" s="342">
        <v>118.002</v>
      </c>
      <c r="U1532" s="342">
        <v>1.0296000000000001</v>
      </c>
      <c r="V1532" s="340">
        <v>127591.98559058504</v>
      </c>
      <c r="W1532" s="340">
        <v>16366.95772441497</v>
      </c>
    </row>
    <row r="1533" spans="2:23" ht="24" customHeight="1">
      <c r="J1533" s="345"/>
      <c r="K1533" s="703"/>
      <c r="L1533" s="342"/>
      <c r="M1533" s="342"/>
      <c r="N1533" s="340"/>
      <c r="O1533" s="703"/>
      <c r="P1533" s="342"/>
      <c r="Q1533" s="363"/>
      <c r="R1533" s="340"/>
      <c r="S1533" s="342"/>
      <c r="T1533" s="342"/>
      <c r="U1533" s="342"/>
      <c r="V1533" s="340"/>
      <c r="W1533" s="340"/>
    </row>
    <row r="1534" spans="2:23" ht="24" customHeight="1">
      <c r="B1534" s="67"/>
      <c r="E1534" s="131" t="s">
        <v>1131</v>
      </c>
      <c r="F1534" s="131"/>
      <c r="G1534" s="131"/>
      <c r="H1534" s="131"/>
      <c r="I1534" s="131"/>
      <c r="J1534" s="704">
        <v>102</v>
      </c>
      <c r="K1534" s="705">
        <v>17717.77</v>
      </c>
      <c r="L1534" s="369">
        <v>1</v>
      </c>
      <c r="M1534" s="377">
        <v>20.394475</v>
      </c>
      <c r="N1534" s="706">
        <v>361129.13593900006</v>
      </c>
      <c r="O1534" s="705">
        <v>15717.410584707646</v>
      </c>
      <c r="P1534" s="369">
        <v>1</v>
      </c>
      <c r="Q1534" s="377">
        <v>20.111799999999999</v>
      </c>
      <c r="R1534" s="706">
        <v>316105.41819752322</v>
      </c>
      <c r="S1534" s="369">
        <v>114.601</v>
      </c>
      <c r="T1534" s="369">
        <v>118.002</v>
      </c>
      <c r="U1534" s="369">
        <v>1.0296000000000001</v>
      </c>
      <c r="V1534" s="706">
        <v>325462.13857616996</v>
      </c>
      <c r="W1534" s="706">
        <v>35666.99736283008</v>
      </c>
    </row>
    <row r="1535" spans="2:23" ht="24" customHeight="1">
      <c r="J1535" s="345"/>
      <c r="K1535" s="703"/>
      <c r="L1535" s="342"/>
      <c r="M1535" s="342"/>
      <c r="N1535" s="340"/>
      <c r="O1535" s="703"/>
      <c r="P1535" s="342"/>
      <c r="Q1535" s="363"/>
      <c r="R1535" s="340"/>
      <c r="S1535" s="342"/>
      <c r="T1535" s="342"/>
      <c r="U1535" s="342"/>
      <c r="V1535" s="340"/>
      <c r="W1535" s="340"/>
    </row>
    <row r="1536" spans="2:23" ht="24" customHeight="1">
      <c r="B1536" s="67"/>
      <c r="E1536" s="1" t="s">
        <v>713</v>
      </c>
      <c r="J1536" s="345"/>
      <c r="K1536" s="703"/>
      <c r="L1536" s="342"/>
      <c r="M1536" s="342"/>
      <c r="N1536" s="340"/>
      <c r="O1536" s="703"/>
      <c r="P1536" s="342"/>
      <c r="Q1536" s="363"/>
      <c r="R1536" s="340"/>
      <c r="S1536" s="342"/>
      <c r="T1536" s="342"/>
      <c r="U1536" s="342"/>
      <c r="V1536" s="340"/>
      <c r="W1536" s="340"/>
    </row>
    <row r="1537" spans="2:23" ht="24" customHeight="1">
      <c r="B1537" s="67"/>
      <c r="F1537" s="346">
        <v>44855</v>
      </c>
      <c r="G1537" s="346"/>
      <c r="H1537" s="346"/>
      <c r="I1537" s="346"/>
      <c r="J1537" s="345"/>
      <c r="K1537" s="703"/>
      <c r="L1537" s="342"/>
      <c r="M1537" s="342"/>
      <c r="N1537" s="340"/>
      <c r="O1537" s="703"/>
      <c r="P1537" s="342"/>
      <c r="Q1537" s="363"/>
      <c r="R1537" s="340"/>
      <c r="S1537" s="342"/>
      <c r="T1537" s="342"/>
      <c r="U1537" s="342"/>
      <c r="V1537" s="340"/>
      <c r="W1537" s="340"/>
    </row>
    <row r="1538" spans="2:23" ht="24" customHeight="1">
      <c r="B1538" s="67"/>
      <c r="G1538" s="3" t="s">
        <v>59</v>
      </c>
      <c r="H1538" s="3"/>
      <c r="I1538" s="3"/>
      <c r="J1538" s="345"/>
      <c r="K1538" s="703"/>
      <c r="L1538" s="342"/>
      <c r="M1538" s="342"/>
      <c r="N1538" s="340"/>
      <c r="O1538" s="703"/>
      <c r="P1538" s="342"/>
      <c r="Q1538" s="363"/>
      <c r="R1538" s="340"/>
      <c r="S1538" s="342"/>
      <c r="T1538" s="342"/>
      <c r="U1538" s="342"/>
      <c r="V1538" s="340"/>
      <c r="W1538" s="340"/>
    </row>
    <row r="1539" spans="2:23" ht="24" customHeight="1">
      <c r="B1539" s="67"/>
      <c r="H1539" s="347">
        <v>44510</v>
      </c>
      <c r="I1539" s="347"/>
      <c r="J1539" s="345"/>
      <c r="K1539" s="703"/>
      <c r="L1539" s="342"/>
      <c r="M1539" s="342"/>
      <c r="N1539" s="340"/>
      <c r="O1539" s="703"/>
      <c r="P1539" s="342"/>
      <c r="Q1539" s="363"/>
      <c r="R1539" s="340"/>
      <c r="S1539" s="342"/>
      <c r="T1539" s="342"/>
      <c r="U1539" s="342"/>
      <c r="V1539" s="340"/>
      <c r="W1539" s="340"/>
    </row>
    <row r="1540" spans="2:23" ht="24" customHeight="1">
      <c r="B1540" s="67"/>
      <c r="I1540" s="3" t="s">
        <v>59</v>
      </c>
      <c r="J1540" s="345">
        <v>183</v>
      </c>
      <c r="K1540" s="703">
        <v>7031.1174874371854</v>
      </c>
      <c r="L1540" s="342">
        <v>1</v>
      </c>
      <c r="M1540" s="342">
        <v>20.127199999999998</v>
      </c>
      <c r="N1540" s="340">
        <v>141516.70789314571</v>
      </c>
      <c r="O1540" s="703">
        <v>13294.545473684211</v>
      </c>
      <c r="P1540" s="342">
        <v>1</v>
      </c>
      <c r="Q1540" s="363">
        <v>20.326499999999999</v>
      </c>
      <c r="R1540" s="340">
        <v>270231.5785708421</v>
      </c>
      <c r="S1540" s="342">
        <v>116.884</v>
      </c>
      <c r="T1540" s="342">
        <v>124.571</v>
      </c>
      <c r="U1540" s="342">
        <v>1.0657000000000001</v>
      </c>
      <c r="V1540" s="340">
        <v>287985.79328294646</v>
      </c>
      <c r="W1540" s="340">
        <v>-146469.08538980075</v>
      </c>
    </row>
    <row r="1541" spans="2:23" ht="24" customHeight="1">
      <c r="J1541" s="345"/>
      <c r="K1541" s="703"/>
      <c r="L1541" s="342"/>
      <c r="M1541" s="342"/>
      <c r="N1541" s="340"/>
      <c r="O1541" s="703"/>
      <c r="P1541" s="342"/>
      <c r="Q1541" s="363"/>
      <c r="R1541" s="340"/>
      <c r="S1541" s="342"/>
      <c r="T1541" s="342"/>
      <c r="U1541" s="342"/>
      <c r="V1541" s="340"/>
      <c r="W1541" s="340"/>
    </row>
    <row r="1542" spans="2:23" ht="24" customHeight="1">
      <c r="B1542" s="67"/>
      <c r="H1542" s="347">
        <v>44512</v>
      </c>
      <c r="I1542" s="347"/>
      <c r="J1542" s="345"/>
      <c r="K1542" s="703"/>
      <c r="L1542" s="342"/>
      <c r="M1542" s="342"/>
      <c r="N1542" s="340"/>
      <c r="O1542" s="703"/>
      <c r="P1542" s="342"/>
      <c r="Q1542" s="363"/>
      <c r="R1542" s="340"/>
      <c r="S1542" s="342"/>
      <c r="T1542" s="342"/>
      <c r="U1542" s="342"/>
      <c r="V1542" s="340"/>
      <c r="W1542" s="340"/>
    </row>
    <row r="1543" spans="2:23" ht="24" customHeight="1">
      <c r="B1543" s="67"/>
      <c r="I1543" s="3" t="s">
        <v>59</v>
      </c>
      <c r="J1543" s="345">
        <v>16</v>
      </c>
      <c r="K1543" s="703">
        <v>614.742512562814</v>
      </c>
      <c r="L1543" s="342">
        <v>1</v>
      </c>
      <c r="M1543" s="342">
        <v>20.127199999999998</v>
      </c>
      <c r="N1543" s="340">
        <v>12373.04549885427</v>
      </c>
      <c r="O1543" s="703">
        <v>1181.0018461538461</v>
      </c>
      <c r="P1543" s="342">
        <v>1</v>
      </c>
      <c r="Q1543" s="363">
        <v>20.470199999999998</v>
      </c>
      <c r="R1543" s="340">
        <v>24175.343991138459</v>
      </c>
      <c r="S1543" s="342">
        <v>116.884</v>
      </c>
      <c r="T1543" s="342">
        <v>124.571</v>
      </c>
      <c r="U1543" s="342">
        <v>1.0657000000000001</v>
      </c>
      <c r="V1543" s="340">
        <v>25763.664091356259</v>
      </c>
      <c r="W1543" s="340">
        <v>-13390.618592501989</v>
      </c>
    </row>
    <row r="1544" spans="2:23" ht="24" customHeight="1">
      <c r="J1544" s="345"/>
      <c r="K1544" s="703"/>
      <c r="L1544" s="342"/>
      <c r="M1544" s="342"/>
      <c r="N1544" s="340"/>
      <c r="O1544" s="703"/>
      <c r="P1544" s="342"/>
      <c r="Q1544" s="363"/>
      <c r="R1544" s="340"/>
      <c r="S1544" s="342"/>
      <c r="T1544" s="342"/>
      <c r="U1544" s="342"/>
      <c r="V1544" s="340"/>
      <c r="W1544" s="340"/>
    </row>
    <row r="1545" spans="2:23" ht="24" customHeight="1">
      <c r="B1545" s="67"/>
      <c r="F1545" s="346">
        <v>44846</v>
      </c>
      <c r="G1545" s="346"/>
      <c r="H1545" s="346"/>
      <c r="I1545" s="346"/>
      <c r="J1545" s="345"/>
      <c r="K1545" s="703"/>
      <c r="L1545" s="342"/>
      <c r="M1545" s="342"/>
      <c r="N1545" s="340"/>
      <c r="O1545" s="703"/>
      <c r="P1545" s="342"/>
      <c r="Q1545" s="363"/>
      <c r="R1545" s="340"/>
      <c r="S1545" s="342"/>
      <c r="T1545" s="342"/>
      <c r="U1545" s="342"/>
      <c r="V1545" s="340"/>
      <c r="W1545" s="340"/>
    </row>
    <row r="1546" spans="2:23" ht="24" customHeight="1">
      <c r="B1546" s="67"/>
      <c r="G1546" s="3" t="s">
        <v>59</v>
      </c>
      <c r="H1546" s="3"/>
      <c r="I1546" s="3"/>
      <c r="J1546" s="345"/>
      <c r="K1546" s="703"/>
      <c r="L1546" s="342"/>
      <c r="M1546" s="342"/>
      <c r="N1546" s="340"/>
      <c r="O1546" s="703"/>
      <c r="P1546" s="342"/>
      <c r="Q1546" s="363"/>
      <c r="R1546" s="340"/>
      <c r="S1546" s="342"/>
      <c r="T1546" s="342"/>
      <c r="U1546" s="342"/>
      <c r="V1546" s="340"/>
      <c r="W1546" s="340"/>
    </row>
    <row r="1547" spans="2:23" ht="24" customHeight="1">
      <c r="B1547" s="67"/>
      <c r="H1547" s="347">
        <v>44508</v>
      </c>
      <c r="I1547" s="347"/>
      <c r="J1547" s="345"/>
      <c r="K1547" s="703"/>
      <c r="L1547" s="342"/>
      <c r="M1547" s="342"/>
      <c r="N1547" s="340"/>
      <c r="O1547" s="703"/>
      <c r="P1547" s="342"/>
      <c r="Q1547" s="363"/>
      <c r="R1547" s="340"/>
      <c r="S1547" s="342"/>
      <c r="T1547" s="342"/>
      <c r="U1547" s="342"/>
      <c r="V1547" s="340"/>
      <c r="W1547" s="340"/>
    </row>
    <row r="1548" spans="2:23" ht="24" customHeight="1">
      <c r="B1548" s="67"/>
      <c r="I1548" s="3" t="s">
        <v>59</v>
      </c>
      <c r="J1548" s="345">
        <v>206</v>
      </c>
      <c r="K1548" s="703">
        <v>7787.2788596491228</v>
      </c>
      <c r="L1548" s="342">
        <v>1</v>
      </c>
      <c r="M1548" s="342">
        <v>19.975200000000001</v>
      </c>
      <c r="N1548" s="340">
        <v>155552.45267726315</v>
      </c>
      <c r="O1548" s="703">
        <v>15088.900621468927</v>
      </c>
      <c r="P1548" s="342">
        <v>1</v>
      </c>
      <c r="Q1548" s="363">
        <v>20.624199999999998</v>
      </c>
      <c r="R1548" s="340">
        <v>311196.50419729942</v>
      </c>
      <c r="S1548" s="342">
        <v>116.884</v>
      </c>
      <c r="T1548" s="342">
        <v>124.571</v>
      </c>
      <c r="U1548" s="342">
        <v>1.0657000000000001</v>
      </c>
      <c r="V1548" s="340">
        <v>331642.11452306202</v>
      </c>
      <c r="W1548" s="340">
        <v>-176089.66184579887</v>
      </c>
    </row>
    <row r="1549" spans="2:23" ht="24" customHeight="1">
      <c r="J1549" s="345"/>
      <c r="K1549" s="703"/>
      <c r="L1549" s="342"/>
      <c r="M1549" s="342"/>
      <c r="N1549" s="340"/>
      <c r="O1549" s="703"/>
      <c r="P1549" s="342"/>
      <c r="Q1549" s="363"/>
      <c r="R1549" s="340"/>
      <c r="S1549" s="342"/>
      <c r="T1549" s="342"/>
      <c r="U1549" s="342"/>
      <c r="V1549" s="340"/>
      <c r="W1549" s="340"/>
    </row>
    <row r="1550" spans="2:23" ht="24" customHeight="1">
      <c r="B1550" s="67"/>
      <c r="H1550" s="347">
        <v>44510</v>
      </c>
      <c r="I1550" s="347"/>
      <c r="J1550" s="345"/>
      <c r="K1550" s="703"/>
      <c r="L1550" s="342"/>
      <c r="M1550" s="342"/>
      <c r="N1550" s="340"/>
      <c r="O1550" s="703"/>
      <c r="P1550" s="342"/>
      <c r="Q1550" s="363"/>
      <c r="R1550" s="340"/>
      <c r="S1550" s="342"/>
      <c r="T1550" s="342"/>
      <c r="U1550" s="342"/>
      <c r="V1550" s="340"/>
      <c r="W1550" s="340"/>
    </row>
    <row r="1551" spans="2:23" ht="24" customHeight="1">
      <c r="B1551" s="67"/>
      <c r="I1551" s="3" t="s">
        <v>59</v>
      </c>
      <c r="J1551" s="345">
        <v>22</v>
      </c>
      <c r="K1551" s="703">
        <v>831.65114035087709</v>
      </c>
      <c r="L1551" s="342">
        <v>1</v>
      </c>
      <c r="M1551" s="342">
        <v>19.975200000000001</v>
      </c>
      <c r="N1551" s="340">
        <v>16612.39785873684</v>
      </c>
      <c r="O1551" s="703">
        <v>1589.5545263157894</v>
      </c>
      <c r="P1551" s="342">
        <v>1</v>
      </c>
      <c r="Q1551" s="363">
        <v>20.326499999999999</v>
      </c>
      <c r="R1551" s="340">
        <v>32310.080079157895</v>
      </c>
      <c r="S1551" s="342">
        <v>116.884</v>
      </c>
      <c r="T1551" s="342">
        <v>124.571</v>
      </c>
      <c r="U1551" s="342">
        <v>1.0657000000000001</v>
      </c>
      <c r="V1551" s="340">
        <v>34432.852340358571</v>
      </c>
      <c r="W1551" s="340">
        <v>-17820.454481621728</v>
      </c>
    </row>
    <row r="1552" spans="2:23" ht="24" customHeight="1">
      <c r="J1552" s="345"/>
      <c r="K1552" s="703"/>
      <c r="L1552" s="342"/>
      <c r="M1552" s="342"/>
      <c r="N1552" s="340"/>
      <c r="O1552" s="703"/>
      <c r="P1552" s="342"/>
      <c r="Q1552" s="363"/>
      <c r="R1552" s="340"/>
      <c r="S1552" s="342"/>
      <c r="T1552" s="342"/>
      <c r="U1552" s="342"/>
      <c r="V1552" s="340"/>
      <c r="W1552" s="340"/>
    </row>
    <row r="1553" spans="2:23" ht="24" customHeight="1">
      <c r="B1553" s="67"/>
      <c r="E1553" s="131" t="s">
        <v>1132</v>
      </c>
      <c r="F1553" s="131"/>
      <c r="G1553" s="131"/>
      <c r="H1553" s="131"/>
      <c r="I1553" s="131"/>
      <c r="J1553" s="704">
        <v>427</v>
      </c>
      <c r="K1553" s="705">
        <v>16264.79</v>
      </c>
      <c r="L1553" s="369">
        <v>1</v>
      </c>
      <c r="M1553" s="377">
        <v>20.036000000000001</v>
      </c>
      <c r="N1553" s="706">
        <v>326054.60392799997</v>
      </c>
      <c r="O1553" s="705">
        <v>31154.002467622777</v>
      </c>
      <c r="P1553" s="369">
        <v>1</v>
      </c>
      <c r="Q1553" s="377">
        <v>20.41478</v>
      </c>
      <c r="R1553" s="706">
        <v>637913.50683843787</v>
      </c>
      <c r="S1553" s="369">
        <v>116.88399999999999</v>
      </c>
      <c r="T1553" s="369">
        <v>124.571</v>
      </c>
      <c r="U1553" s="369">
        <v>1.0657000000000001</v>
      </c>
      <c r="V1553" s="706">
        <v>679824.42423772323</v>
      </c>
      <c r="W1553" s="706">
        <v>-353769.82030972338</v>
      </c>
    </row>
    <row r="1554" spans="2:23" ht="24" customHeight="1">
      <c r="J1554" s="345"/>
      <c r="K1554" s="703"/>
      <c r="L1554" s="342"/>
      <c r="M1554" s="342"/>
      <c r="N1554" s="340"/>
      <c r="O1554" s="703"/>
      <c r="P1554" s="342"/>
      <c r="Q1554" s="363"/>
      <c r="R1554" s="340"/>
      <c r="S1554" s="342"/>
      <c r="T1554" s="342"/>
      <c r="U1554" s="342"/>
      <c r="V1554" s="340"/>
      <c r="W1554" s="340"/>
    </row>
    <row r="1555" spans="2:23" ht="24" customHeight="1">
      <c r="B1555" s="67"/>
      <c r="E1555" s="1" t="s">
        <v>880</v>
      </c>
      <c r="J1555" s="345"/>
      <c r="K1555" s="703"/>
      <c r="L1555" s="342"/>
      <c r="M1555" s="342"/>
      <c r="N1555" s="340"/>
      <c r="O1555" s="703"/>
      <c r="P1555" s="342"/>
      <c r="Q1555" s="363"/>
      <c r="R1555" s="340"/>
      <c r="S1555" s="342"/>
      <c r="T1555" s="342"/>
      <c r="U1555" s="342"/>
      <c r="V1555" s="340"/>
      <c r="W1555" s="340"/>
    </row>
    <row r="1556" spans="2:23" ht="24" customHeight="1">
      <c r="B1556" s="67"/>
      <c r="F1556" s="346">
        <v>44581</v>
      </c>
      <c r="G1556" s="346"/>
      <c r="H1556" s="346"/>
      <c r="I1556" s="346"/>
      <c r="J1556" s="345"/>
      <c r="K1556" s="703"/>
      <c r="L1556" s="342"/>
      <c r="M1556" s="342"/>
      <c r="N1556" s="340"/>
      <c r="O1556" s="703"/>
      <c r="P1556" s="342"/>
      <c r="Q1556" s="363"/>
      <c r="R1556" s="340"/>
      <c r="S1556" s="342"/>
      <c r="T1556" s="342"/>
      <c r="U1556" s="342"/>
      <c r="V1556" s="340"/>
      <c r="W1556" s="340"/>
    </row>
    <row r="1557" spans="2:23" ht="24" customHeight="1">
      <c r="B1557" s="67"/>
      <c r="G1557" s="3" t="s">
        <v>59</v>
      </c>
      <c r="H1557" s="3"/>
      <c r="I1557" s="3"/>
      <c r="J1557" s="345"/>
      <c r="K1557" s="703"/>
      <c r="L1557" s="342"/>
      <c r="M1557" s="342"/>
      <c r="N1557" s="340"/>
      <c r="O1557" s="703"/>
      <c r="P1557" s="342"/>
      <c r="Q1557" s="363"/>
      <c r="R1557" s="340"/>
      <c r="S1557" s="342"/>
      <c r="T1557" s="342"/>
      <c r="U1557" s="342"/>
      <c r="V1557" s="340"/>
      <c r="W1557" s="340"/>
    </row>
    <row r="1558" spans="2:23" ht="24" customHeight="1">
      <c r="B1558" s="67"/>
      <c r="H1558" s="347">
        <v>44141</v>
      </c>
      <c r="I1558" s="347"/>
      <c r="J1558" s="345"/>
      <c r="K1558" s="703"/>
      <c r="L1558" s="342"/>
      <c r="M1558" s="342"/>
      <c r="N1558" s="340"/>
      <c r="O1558" s="703"/>
      <c r="P1558" s="342"/>
      <c r="Q1558" s="363"/>
      <c r="R1558" s="340"/>
      <c r="S1558" s="342"/>
      <c r="T1558" s="342"/>
      <c r="U1558" s="342"/>
      <c r="V1558" s="340"/>
      <c r="W1558" s="340"/>
    </row>
    <row r="1559" spans="2:23" ht="24" customHeight="1">
      <c r="B1559" s="67"/>
      <c r="I1559" s="3" t="s">
        <v>59</v>
      </c>
      <c r="J1559" s="345">
        <v>39</v>
      </c>
      <c r="K1559" s="703">
        <v>14425.139268292683</v>
      </c>
      <c r="L1559" s="342">
        <v>1</v>
      </c>
      <c r="M1559" s="342">
        <v>20.402999999999999</v>
      </c>
      <c r="N1559" s="340">
        <v>294316.1164909756</v>
      </c>
      <c r="O1559" s="703">
        <v>12183.561</v>
      </c>
      <c r="P1559" s="342">
        <v>1</v>
      </c>
      <c r="Q1559" s="363">
        <v>21.034500000000001</v>
      </c>
      <c r="R1559" s="340">
        <v>256275.1138545</v>
      </c>
      <c r="S1559" s="342">
        <v>108.85599999999999</v>
      </c>
      <c r="T1559" s="342">
        <v>117.30800000000001</v>
      </c>
      <c r="U1559" s="342">
        <v>1.0775999999999999</v>
      </c>
      <c r="V1559" s="340">
        <v>276162.06268960919</v>
      </c>
      <c r="W1559" s="340">
        <v>18154.053801366419</v>
      </c>
    </row>
    <row r="1560" spans="2:23" ht="24" customHeight="1">
      <c r="J1560" s="345"/>
      <c r="K1560" s="703"/>
      <c r="L1560" s="342"/>
      <c r="M1560" s="342"/>
      <c r="N1560" s="340"/>
      <c r="O1560" s="703"/>
      <c r="P1560" s="342"/>
      <c r="Q1560" s="363"/>
      <c r="R1560" s="340"/>
      <c r="S1560" s="342"/>
      <c r="T1560" s="342"/>
      <c r="U1560" s="342"/>
      <c r="V1560" s="340"/>
      <c r="W1560" s="340"/>
    </row>
    <row r="1561" spans="2:23" ht="24" customHeight="1">
      <c r="B1561" s="67"/>
      <c r="H1561" s="347">
        <v>44144</v>
      </c>
      <c r="I1561" s="347"/>
      <c r="J1561" s="345"/>
      <c r="K1561" s="703"/>
      <c r="L1561" s="342"/>
      <c r="M1561" s="342"/>
      <c r="N1561" s="340"/>
      <c r="O1561" s="703"/>
      <c r="P1561" s="342"/>
      <c r="Q1561" s="363"/>
      <c r="R1561" s="340"/>
      <c r="S1561" s="342"/>
      <c r="T1561" s="342"/>
      <c r="U1561" s="342"/>
      <c r="V1561" s="340"/>
      <c r="W1561" s="340"/>
    </row>
    <row r="1562" spans="2:23" ht="24" customHeight="1">
      <c r="B1562" s="67"/>
      <c r="I1562" s="3" t="s">
        <v>59</v>
      </c>
      <c r="J1562" s="345">
        <v>2</v>
      </c>
      <c r="K1562" s="703">
        <v>739.75073170731707</v>
      </c>
      <c r="L1562" s="342">
        <v>1</v>
      </c>
      <c r="M1562" s="342">
        <v>20.402999999999999</v>
      </c>
      <c r="N1562" s="340">
        <v>15093.13417902439</v>
      </c>
      <c r="O1562" s="703">
        <v>689.39032258064515</v>
      </c>
      <c r="P1562" s="342">
        <v>1</v>
      </c>
      <c r="Q1562" s="363">
        <v>20.761199999999999</v>
      </c>
      <c r="R1562" s="340">
        <v>14312.570365161289</v>
      </c>
      <c r="S1562" s="342">
        <v>108.85599999999999</v>
      </c>
      <c r="T1562" s="342">
        <v>117.30800000000001</v>
      </c>
      <c r="U1562" s="342">
        <v>1.0775999999999999</v>
      </c>
      <c r="V1562" s="340">
        <v>15423.225825497804</v>
      </c>
      <c r="W1562" s="340">
        <v>-330.09164647341458</v>
      </c>
    </row>
    <row r="1563" spans="2:23" ht="24" customHeight="1">
      <c r="J1563" s="345"/>
      <c r="K1563" s="703"/>
      <c r="L1563" s="342"/>
      <c r="M1563" s="342"/>
      <c r="N1563" s="340"/>
      <c r="O1563" s="703"/>
      <c r="P1563" s="342"/>
      <c r="Q1563" s="363"/>
      <c r="R1563" s="340"/>
      <c r="S1563" s="342"/>
      <c r="T1563" s="342"/>
      <c r="U1563" s="342"/>
      <c r="V1563" s="340"/>
      <c r="W1563" s="340"/>
    </row>
    <row r="1564" spans="2:23" ht="24" customHeight="1">
      <c r="B1564" s="67"/>
      <c r="F1564" s="346">
        <v>44736</v>
      </c>
      <c r="G1564" s="346"/>
      <c r="H1564" s="346"/>
      <c r="I1564" s="346"/>
      <c r="J1564" s="345"/>
      <c r="K1564" s="703"/>
      <c r="L1564" s="342"/>
      <c r="M1564" s="342"/>
      <c r="N1564" s="340"/>
      <c r="O1564" s="703"/>
      <c r="P1564" s="342"/>
      <c r="Q1564" s="363"/>
      <c r="R1564" s="340"/>
      <c r="S1564" s="342"/>
      <c r="T1564" s="342"/>
      <c r="U1564" s="342"/>
      <c r="V1564" s="340"/>
      <c r="W1564" s="340"/>
    </row>
    <row r="1565" spans="2:23" ht="24" customHeight="1">
      <c r="B1565" s="67"/>
      <c r="G1565" s="3" t="s">
        <v>59</v>
      </c>
      <c r="H1565" s="3"/>
      <c r="I1565" s="3"/>
      <c r="J1565" s="345"/>
      <c r="K1565" s="703"/>
      <c r="L1565" s="342"/>
      <c r="M1565" s="342"/>
      <c r="N1565" s="340"/>
      <c r="O1565" s="703"/>
      <c r="P1565" s="342"/>
      <c r="Q1565" s="363"/>
      <c r="R1565" s="340"/>
      <c r="S1565" s="342"/>
      <c r="T1565" s="342"/>
      <c r="U1565" s="342"/>
      <c r="V1565" s="340"/>
      <c r="W1565" s="340"/>
    </row>
    <row r="1566" spans="2:23" ht="24" customHeight="1">
      <c r="B1566" s="67"/>
      <c r="H1566" s="347">
        <v>44159</v>
      </c>
      <c r="I1566" s="347"/>
      <c r="J1566" s="345"/>
      <c r="K1566" s="703"/>
      <c r="L1566" s="342"/>
      <c r="M1566" s="342"/>
      <c r="N1566" s="340"/>
      <c r="O1566" s="703"/>
      <c r="P1566" s="342"/>
      <c r="Q1566" s="363"/>
      <c r="R1566" s="340"/>
      <c r="S1566" s="342"/>
      <c r="T1566" s="342"/>
      <c r="U1566" s="342"/>
      <c r="V1566" s="340"/>
      <c r="W1566" s="340"/>
    </row>
    <row r="1567" spans="2:23" ht="24" customHeight="1">
      <c r="B1567" s="67"/>
      <c r="I1567" s="3" t="s">
        <v>59</v>
      </c>
      <c r="J1567" s="345">
        <v>13</v>
      </c>
      <c r="K1567" s="703">
        <v>4259.945238095238</v>
      </c>
      <c r="L1567" s="342">
        <v>1</v>
      </c>
      <c r="M1567" s="342">
        <v>20.046500000000002</v>
      </c>
      <c r="N1567" s="340">
        <v>85396.992215476203</v>
      </c>
      <c r="O1567" s="703">
        <v>4363.9015789473688</v>
      </c>
      <c r="P1567" s="342">
        <v>1</v>
      </c>
      <c r="Q1567" s="363">
        <v>20.1172</v>
      </c>
      <c r="R1567" s="340">
        <v>87789.480844000005</v>
      </c>
      <c r="S1567" s="342">
        <v>108.85599999999999</v>
      </c>
      <c r="T1567" s="342">
        <v>121.02200000000001</v>
      </c>
      <c r="U1567" s="342">
        <v>1.1116999999999999</v>
      </c>
      <c r="V1567" s="340">
        <v>97595.565854274799</v>
      </c>
      <c r="W1567" s="340">
        <v>-12198.573638798596</v>
      </c>
    </row>
    <row r="1568" spans="2:23" ht="24" customHeight="1">
      <c r="J1568" s="345"/>
      <c r="K1568" s="703"/>
      <c r="L1568" s="342"/>
      <c r="M1568" s="342"/>
      <c r="N1568" s="340"/>
      <c r="O1568" s="703"/>
      <c r="P1568" s="342"/>
      <c r="Q1568" s="363"/>
      <c r="R1568" s="340"/>
      <c r="S1568" s="342"/>
      <c r="T1568" s="342"/>
      <c r="U1568" s="342"/>
      <c r="V1568" s="340"/>
      <c r="W1568" s="340"/>
    </row>
    <row r="1569" spans="2:23" ht="24" customHeight="1">
      <c r="B1569" s="67"/>
      <c r="H1569" s="347">
        <v>44144</v>
      </c>
      <c r="I1569" s="347"/>
      <c r="J1569" s="345"/>
      <c r="K1569" s="703"/>
      <c r="L1569" s="342"/>
      <c r="M1569" s="342"/>
      <c r="N1569" s="340"/>
      <c r="O1569" s="703"/>
      <c r="P1569" s="342"/>
      <c r="Q1569" s="363"/>
      <c r="R1569" s="340"/>
      <c r="S1569" s="342"/>
      <c r="T1569" s="342"/>
      <c r="U1569" s="342"/>
      <c r="V1569" s="340"/>
      <c r="W1569" s="340"/>
    </row>
    <row r="1570" spans="2:23" ht="24" customHeight="1">
      <c r="B1570" s="67"/>
      <c r="I1570" s="3" t="s">
        <v>59</v>
      </c>
      <c r="J1570" s="345">
        <v>29</v>
      </c>
      <c r="K1570" s="703">
        <v>9502.9547619047626</v>
      </c>
      <c r="L1570" s="342">
        <v>1</v>
      </c>
      <c r="M1570" s="342">
        <v>20.046500000000002</v>
      </c>
      <c r="N1570" s="340">
        <v>190500.98263452383</v>
      </c>
      <c r="O1570" s="703">
        <v>9996.1596774193549</v>
      </c>
      <c r="P1570" s="342">
        <v>1</v>
      </c>
      <c r="Q1570" s="363">
        <v>20.761199999999999</v>
      </c>
      <c r="R1570" s="340">
        <v>207532.2702948387</v>
      </c>
      <c r="S1570" s="342">
        <v>108.85599999999999</v>
      </c>
      <c r="T1570" s="342">
        <v>121.02200000000001</v>
      </c>
      <c r="U1570" s="342">
        <v>1.1116999999999999</v>
      </c>
      <c r="V1570" s="340">
        <v>230713.62488677216</v>
      </c>
      <c r="W1570" s="340">
        <v>-40212.642252248334</v>
      </c>
    </row>
    <row r="1571" spans="2:23" ht="24" customHeight="1">
      <c r="J1571" s="345"/>
      <c r="K1571" s="703"/>
      <c r="L1571" s="342"/>
      <c r="M1571" s="342"/>
      <c r="N1571" s="340"/>
      <c r="O1571" s="703"/>
      <c r="P1571" s="342"/>
      <c r="Q1571" s="363"/>
      <c r="R1571" s="340"/>
      <c r="S1571" s="342"/>
      <c r="T1571" s="342"/>
      <c r="U1571" s="342"/>
      <c r="V1571" s="340"/>
      <c r="W1571" s="340"/>
    </row>
    <row r="1572" spans="2:23" ht="24" customHeight="1">
      <c r="B1572" s="67"/>
      <c r="F1572" s="346">
        <v>44754</v>
      </c>
      <c r="G1572" s="346"/>
      <c r="H1572" s="346"/>
      <c r="I1572" s="346"/>
      <c r="J1572" s="345"/>
      <c r="K1572" s="703"/>
      <c r="L1572" s="342"/>
      <c r="M1572" s="342"/>
      <c r="N1572" s="340"/>
      <c r="O1572" s="703"/>
      <c r="P1572" s="342"/>
      <c r="Q1572" s="363"/>
      <c r="R1572" s="340"/>
      <c r="S1572" s="342"/>
      <c r="T1572" s="342"/>
      <c r="U1572" s="342"/>
      <c r="V1572" s="340"/>
      <c r="W1572" s="340"/>
    </row>
    <row r="1573" spans="2:23" ht="24" customHeight="1">
      <c r="B1573" s="67"/>
      <c r="G1573" s="3" t="s">
        <v>59</v>
      </c>
      <c r="H1573" s="3"/>
      <c r="I1573" s="3"/>
      <c r="J1573" s="345"/>
      <c r="K1573" s="703"/>
      <c r="L1573" s="342"/>
      <c r="M1573" s="342"/>
      <c r="N1573" s="340"/>
      <c r="O1573" s="703"/>
      <c r="P1573" s="342"/>
      <c r="Q1573" s="363"/>
      <c r="R1573" s="340"/>
      <c r="S1573" s="342"/>
      <c r="T1573" s="342"/>
      <c r="U1573" s="342"/>
      <c r="V1573" s="340"/>
      <c r="W1573" s="340"/>
    </row>
    <row r="1574" spans="2:23" ht="24" customHeight="1">
      <c r="B1574" s="67"/>
      <c r="H1574" s="347">
        <v>44159</v>
      </c>
      <c r="I1574" s="347"/>
      <c r="J1574" s="345"/>
      <c r="K1574" s="703"/>
      <c r="L1574" s="342"/>
      <c r="M1574" s="342"/>
      <c r="N1574" s="340"/>
      <c r="O1574" s="703"/>
      <c r="P1574" s="342"/>
      <c r="Q1574" s="363"/>
      <c r="R1574" s="340"/>
      <c r="S1574" s="342"/>
      <c r="T1574" s="342"/>
      <c r="U1574" s="342"/>
      <c r="V1574" s="340"/>
      <c r="W1574" s="340"/>
    </row>
    <row r="1575" spans="2:23" ht="24" customHeight="1">
      <c r="B1575" s="67"/>
      <c r="I1575" s="3" t="s">
        <v>59</v>
      </c>
      <c r="J1575" s="345">
        <v>40</v>
      </c>
      <c r="K1575" s="703">
        <v>12936.42</v>
      </c>
      <c r="L1575" s="342">
        <v>1</v>
      </c>
      <c r="M1575" s="342">
        <v>20.442299999999999</v>
      </c>
      <c r="N1575" s="340">
        <v>264450.17856600002</v>
      </c>
      <c r="O1575" s="703">
        <v>13427.389473684212</v>
      </c>
      <c r="P1575" s="342">
        <v>1</v>
      </c>
      <c r="Q1575" s="363">
        <v>20.1172</v>
      </c>
      <c r="R1575" s="340">
        <v>270121.47952000005</v>
      </c>
      <c r="S1575" s="342">
        <v>108.85599999999999</v>
      </c>
      <c r="T1575" s="342">
        <v>122.044</v>
      </c>
      <c r="U1575" s="342">
        <v>1.1211</v>
      </c>
      <c r="V1575" s="340">
        <v>302833.19068987202</v>
      </c>
      <c r="W1575" s="340">
        <v>-38383.012123872031</v>
      </c>
    </row>
    <row r="1576" spans="2:23" ht="24" customHeight="1">
      <c r="J1576" s="345"/>
      <c r="K1576" s="703"/>
      <c r="L1576" s="342"/>
      <c r="M1576" s="342"/>
      <c r="N1576" s="340"/>
      <c r="O1576" s="703"/>
      <c r="P1576" s="342"/>
      <c r="Q1576" s="363"/>
      <c r="R1576" s="340"/>
      <c r="S1576" s="342"/>
      <c r="T1576" s="342"/>
      <c r="U1576" s="342"/>
      <c r="V1576" s="340"/>
      <c r="W1576" s="340"/>
    </row>
    <row r="1577" spans="2:23" ht="24" customHeight="1">
      <c r="B1577" s="67"/>
      <c r="F1577" s="346">
        <v>44861</v>
      </c>
      <c r="G1577" s="346"/>
      <c r="H1577" s="346"/>
      <c r="I1577" s="346"/>
      <c r="J1577" s="345"/>
      <c r="K1577" s="703"/>
      <c r="L1577" s="342"/>
      <c r="M1577" s="342"/>
      <c r="N1577" s="340"/>
      <c r="O1577" s="703"/>
      <c r="P1577" s="342"/>
      <c r="Q1577" s="363"/>
      <c r="R1577" s="340"/>
      <c r="S1577" s="342"/>
      <c r="T1577" s="342"/>
      <c r="U1577" s="342"/>
      <c r="V1577" s="340"/>
      <c r="W1577" s="340"/>
    </row>
    <row r="1578" spans="2:23" ht="24" customHeight="1">
      <c r="B1578" s="67"/>
      <c r="G1578" s="3" t="s">
        <v>59</v>
      </c>
      <c r="H1578" s="3"/>
      <c r="I1578" s="3"/>
      <c r="J1578" s="345"/>
      <c r="K1578" s="703"/>
      <c r="L1578" s="342"/>
      <c r="M1578" s="342"/>
      <c r="N1578" s="340"/>
      <c r="O1578" s="703"/>
      <c r="P1578" s="342"/>
      <c r="Q1578" s="363"/>
      <c r="R1578" s="340"/>
      <c r="S1578" s="342"/>
      <c r="T1578" s="342"/>
      <c r="U1578" s="342"/>
      <c r="V1578" s="340"/>
      <c r="W1578" s="340"/>
    </row>
    <row r="1579" spans="2:23" ht="24" customHeight="1">
      <c r="B1579" s="67"/>
      <c r="H1579" s="347">
        <v>44349</v>
      </c>
      <c r="I1579" s="347"/>
      <c r="J1579" s="345"/>
      <c r="K1579" s="703"/>
      <c r="L1579" s="342"/>
      <c r="M1579" s="342"/>
      <c r="N1579" s="340"/>
      <c r="O1579" s="703"/>
      <c r="P1579" s="342"/>
      <c r="Q1579" s="363"/>
      <c r="R1579" s="340"/>
      <c r="S1579" s="342"/>
      <c r="T1579" s="342"/>
      <c r="U1579" s="342"/>
      <c r="V1579" s="340"/>
      <c r="W1579" s="340"/>
    </row>
    <row r="1580" spans="2:23" ht="24" customHeight="1">
      <c r="B1580" s="67"/>
      <c r="I1580" s="3" t="s">
        <v>59</v>
      </c>
      <c r="J1580" s="345">
        <v>32</v>
      </c>
      <c r="K1580" s="703">
        <v>10085.880000000001</v>
      </c>
      <c r="L1580" s="342">
        <v>1</v>
      </c>
      <c r="M1580" s="342">
        <v>19.871200000000002</v>
      </c>
      <c r="N1580" s="340">
        <v>200418.53865600005</v>
      </c>
      <c r="O1580" s="703">
        <v>11652.643555555554</v>
      </c>
      <c r="P1580" s="342">
        <v>1</v>
      </c>
      <c r="Q1580" s="363">
        <v>19.921299999999999</v>
      </c>
      <c r="R1580" s="340">
        <v>232135.80806328886</v>
      </c>
      <c r="S1580" s="342">
        <v>113.018</v>
      </c>
      <c r="T1580" s="342">
        <v>124.571</v>
      </c>
      <c r="U1580" s="342">
        <v>1.1022000000000001</v>
      </c>
      <c r="V1580" s="340">
        <v>255860.087647357</v>
      </c>
      <c r="W1580" s="340">
        <v>-55441.548991356947</v>
      </c>
    </row>
    <row r="1581" spans="2:23" ht="24" customHeight="1">
      <c r="J1581" s="345"/>
      <c r="K1581" s="703"/>
      <c r="L1581" s="342"/>
      <c r="M1581" s="342"/>
      <c r="N1581" s="340"/>
      <c r="O1581" s="703"/>
      <c r="P1581" s="342"/>
      <c r="Q1581" s="363"/>
      <c r="R1581" s="340"/>
      <c r="S1581" s="342"/>
      <c r="T1581" s="342"/>
      <c r="U1581" s="342"/>
      <c r="V1581" s="340"/>
      <c r="W1581" s="340"/>
    </row>
    <row r="1582" spans="2:23" ht="24" customHeight="1">
      <c r="B1582" s="67"/>
      <c r="H1582" s="347">
        <v>44446</v>
      </c>
      <c r="I1582" s="347"/>
      <c r="J1582" s="345"/>
      <c r="K1582" s="703"/>
      <c r="L1582" s="342"/>
      <c r="M1582" s="342"/>
      <c r="N1582" s="340"/>
      <c r="O1582" s="703"/>
      <c r="P1582" s="342"/>
      <c r="Q1582" s="363"/>
      <c r="R1582" s="340"/>
      <c r="S1582" s="342"/>
      <c r="T1582" s="342"/>
      <c r="U1582" s="342"/>
      <c r="V1582" s="340"/>
      <c r="W1582" s="340"/>
    </row>
    <row r="1583" spans="2:23" ht="24" customHeight="1">
      <c r="B1583" s="67"/>
      <c r="I1583" s="3" t="s">
        <v>59</v>
      </c>
      <c r="J1583" s="345">
        <v>8</v>
      </c>
      <c r="K1583" s="703">
        <v>2521.4700000000003</v>
      </c>
      <c r="L1583" s="342">
        <v>1</v>
      </c>
      <c r="M1583" s="342">
        <v>19.871200000000002</v>
      </c>
      <c r="N1583" s="340">
        <v>50104.634664000005</v>
      </c>
      <c r="O1583" s="703">
        <v>2769.511428571429</v>
      </c>
      <c r="P1583" s="342">
        <v>1</v>
      </c>
      <c r="Q1583" s="363">
        <v>19.8992</v>
      </c>
      <c r="R1583" s="340">
        <v>55111.061819428585</v>
      </c>
      <c r="S1583" s="342">
        <v>114.601</v>
      </c>
      <c r="T1583" s="342">
        <v>124.571</v>
      </c>
      <c r="U1583" s="342">
        <v>1.0869</v>
      </c>
      <c r="V1583" s="340">
        <v>59900.213091536927</v>
      </c>
      <c r="W1583" s="340">
        <v>-9795.5784275369224</v>
      </c>
    </row>
    <row r="1584" spans="2:23" ht="24" customHeight="1">
      <c r="J1584" s="345"/>
      <c r="K1584" s="703"/>
      <c r="L1584" s="342"/>
      <c r="M1584" s="342"/>
      <c r="N1584" s="340"/>
      <c r="O1584" s="703"/>
      <c r="P1584" s="342"/>
      <c r="Q1584" s="363"/>
      <c r="R1584" s="340"/>
      <c r="S1584" s="342"/>
      <c r="T1584" s="342"/>
      <c r="U1584" s="342"/>
      <c r="V1584" s="340"/>
      <c r="W1584" s="340"/>
    </row>
    <row r="1585" spans="2:23" ht="24" customHeight="1">
      <c r="B1585" s="67"/>
      <c r="F1585" s="346">
        <v>44782</v>
      </c>
      <c r="G1585" s="346"/>
      <c r="H1585" s="346"/>
      <c r="I1585" s="346"/>
      <c r="J1585" s="345"/>
      <c r="K1585" s="703"/>
      <c r="L1585" s="342"/>
      <c r="M1585" s="342"/>
      <c r="N1585" s="340"/>
      <c r="O1585" s="703"/>
      <c r="P1585" s="342"/>
      <c r="Q1585" s="363"/>
      <c r="R1585" s="340"/>
      <c r="S1585" s="342"/>
      <c r="T1585" s="342"/>
      <c r="U1585" s="342"/>
      <c r="V1585" s="340"/>
      <c r="W1585" s="340"/>
    </row>
    <row r="1586" spans="2:23" ht="24" customHeight="1">
      <c r="B1586" s="67"/>
      <c r="G1586" s="3" t="s">
        <v>59</v>
      </c>
      <c r="H1586" s="3"/>
      <c r="I1586" s="3"/>
      <c r="J1586" s="345"/>
      <c r="K1586" s="703"/>
      <c r="L1586" s="342"/>
      <c r="M1586" s="342"/>
      <c r="N1586" s="340"/>
      <c r="O1586" s="703"/>
      <c r="P1586" s="342"/>
      <c r="Q1586" s="363"/>
      <c r="R1586" s="340"/>
      <c r="S1586" s="342"/>
      <c r="T1586" s="342"/>
      <c r="U1586" s="342"/>
      <c r="V1586" s="340"/>
      <c r="W1586" s="340"/>
    </row>
    <row r="1587" spans="2:23" ht="24" customHeight="1">
      <c r="B1587" s="67"/>
      <c r="H1587" s="347">
        <v>44349</v>
      </c>
      <c r="I1587" s="347"/>
      <c r="J1587" s="345"/>
      <c r="K1587" s="703"/>
      <c r="L1587" s="342"/>
      <c r="M1587" s="342"/>
      <c r="N1587" s="340"/>
      <c r="O1587" s="703"/>
      <c r="P1587" s="342"/>
      <c r="Q1587" s="363"/>
      <c r="R1587" s="340"/>
      <c r="S1587" s="342"/>
      <c r="T1587" s="342"/>
      <c r="U1587" s="342"/>
      <c r="V1587" s="340"/>
      <c r="W1587" s="340"/>
    </row>
    <row r="1588" spans="2:23" ht="24" customHeight="1">
      <c r="B1588" s="67"/>
      <c r="I1588" s="3" t="s">
        <v>59</v>
      </c>
      <c r="J1588" s="345">
        <v>13</v>
      </c>
      <c r="K1588" s="703">
        <v>4503.3778947368419</v>
      </c>
      <c r="L1588" s="342">
        <v>1</v>
      </c>
      <c r="M1588" s="342">
        <v>20.401</v>
      </c>
      <c r="N1588" s="340">
        <v>91873.41243052631</v>
      </c>
      <c r="O1588" s="703">
        <v>4733.8864444444444</v>
      </c>
      <c r="P1588" s="342">
        <v>1</v>
      </c>
      <c r="Q1588" s="363">
        <v>19.921299999999999</v>
      </c>
      <c r="R1588" s="340">
        <v>94305.172025711101</v>
      </c>
      <c r="S1588" s="342">
        <v>113.018</v>
      </c>
      <c r="T1588" s="342">
        <v>122.94799999999999</v>
      </c>
      <c r="U1588" s="342">
        <v>1.0878000000000001</v>
      </c>
      <c r="V1588" s="340">
        <v>102585.16612956855</v>
      </c>
      <c r="W1588" s="340">
        <v>-10711.753699042238</v>
      </c>
    </row>
    <row r="1589" spans="2:23" ht="24" customHeight="1">
      <c r="J1589" s="345"/>
      <c r="K1589" s="703"/>
      <c r="L1589" s="342"/>
      <c r="M1589" s="342"/>
      <c r="N1589" s="340"/>
      <c r="O1589" s="703"/>
      <c r="P1589" s="342"/>
      <c r="Q1589" s="363"/>
      <c r="R1589" s="340"/>
      <c r="S1589" s="342"/>
      <c r="T1589" s="342"/>
      <c r="U1589" s="342"/>
      <c r="V1589" s="340"/>
      <c r="W1589" s="340"/>
    </row>
    <row r="1590" spans="2:23" ht="24" customHeight="1">
      <c r="B1590" s="67"/>
      <c r="H1590" s="347">
        <v>44159</v>
      </c>
      <c r="I1590" s="347"/>
      <c r="J1590" s="345"/>
      <c r="K1590" s="703"/>
      <c r="L1590" s="342"/>
      <c r="M1590" s="342"/>
      <c r="N1590" s="340"/>
      <c r="O1590" s="703"/>
      <c r="P1590" s="342"/>
      <c r="Q1590" s="363"/>
      <c r="R1590" s="340"/>
      <c r="S1590" s="342"/>
      <c r="T1590" s="342"/>
      <c r="U1590" s="342"/>
      <c r="V1590" s="340"/>
      <c r="W1590" s="340"/>
    </row>
    <row r="1591" spans="2:23" ht="24" customHeight="1">
      <c r="B1591" s="67"/>
      <c r="I1591" s="3" t="s">
        <v>59</v>
      </c>
      <c r="J1591" s="345">
        <v>23</v>
      </c>
      <c r="K1591" s="703">
        <v>7986.5536842105266</v>
      </c>
      <c r="L1591" s="342">
        <v>1</v>
      </c>
      <c r="M1591" s="342">
        <v>20.401</v>
      </c>
      <c r="N1591" s="340">
        <v>162933.68171157895</v>
      </c>
      <c r="O1591" s="703">
        <v>7720.7489473684209</v>
      </c>
      <c r="P1591" s="342">
        <v>1</v>
      </c>
      <c r="Q1591" s="363">
        <v>20.1172</v>
      </c>
      <c r="R1591" s="340">
        <v>155319.85072400002</v>
      </c>
      <c r="S1591" s="342">
        <v>108.85599999999999</v>
      </c>
      <c r="T1591" s="342">
        <v>122.94799999999999</v>
      </c>
      <c r="U1591" s="342">
        <v>1.1294</v>
      </c>
      <c r="V1591" s="340">
        <v>175418.23940768559</v>
      </c>
      <c r="W1591" s="340">
        <v>-12484.557696106647</v>
      </c>
    </row>
    <row r="1592" spans="2:23" ht="24" customHeight="1">
      <c r="J1592" s="345"/>
      <c r="K1592" s="703"/>
      <c r="L1592" s="342"/>
      <c r="M1592" s="342"/>
      <c r="N1592" s="340"/>
      <c r="O1592" s="703"/>
      <c r="P1592" s="342"/>
      <c r="Q1592" s="363"/>
      <c r="R1592" s="340"/>
      <c r="S1592" s="342"/>
      <c r="T1592" s="342"/>
      <c r="U1592" s="342"/>
      <c r="V1592" s="340"/>
      <c r="W1592" s="340"/>
    </row>
    <row r="1593" spans="2:23" ht="24" customHeight="1">
      <c r="B1593" s="67"/>
      <c r="H1593" s="347">
        <v>44260</v>
      </c>
      <c r="I1593" s="347"/>
      <c r="J1593" s="345"/>
      <c r="K1593" s="703"/>
      <c r="L1593" s="342"/>
      <c r="M1593" s="342"/>
      <c r="N1593" s="340"/>
      <c r="O1593" s="703"/>
      <c r="P1593" s="342"/>
      <c r="Q1593" s="363"/>
      <c r="R1593" s="340"/>
      <c r="S1593" s="342"/>
      <c r="T1593" s="342"/>
      <c r="U1593" s="342"/>
      <c r="V1593" s="340"/>
      <c r="W1593" s="340"/>
    </row>
    <row r="1594" spans="2:23" ht="24" customHeight="1">
      <c r="B1594" s="67"/>
      <c r="I1594" s="3" t="s">
        <v>59</v>
      </c>
      <c r="J1594" s="345">
        <v>5</v>
      </c>
      <c r="K1594" s="703">
        <v>1732.0684210526315</v>
      </c>
      <c r="L1594" s="342">
        <v>1</v>
      </c>
      <c r="M1594" s="342">
        <v>20.401</v>
      </c>
      <c r="N1594" s="340">
        <v>35335.927857894734</v>
      </c>
      <c r="O1594" s="703">
        <v>1793</v>
      </c>
      <c r="P1594" s="342">
        <v>1</v>
      </c>
      <c r="Q1594" s="363">
        <v>20.895700000000001</v>
      </c>
      <c r="R1594" s="340">
        <v>37465.990100000003</v>
      </c>
      <c r="S1594" s="342">
        <v>111.824</v>
      </c>
      <c r="T1594" s="342">
        <v>122.94799999999999</v>
      </c>
      <c r="U1594" s="342">
        <v>1.0993999999999999</v>
      </c>
      <c r="V1594" s="340">
        <v>41190.109515939999</v>
      </c>
      <c r="W1594" s="340">
        <v>-5854.1816580452651</v>
      </c>
    </row>
    <row r="1595" spans="2:23" ht="24" customHeight="1">
      <c r="J1595" s="345"/>
      <c r="K1595" s="703"/>
      <c r="L1595" s="342"/>
      <c r="M1595" s="342"/>
      <c r="N1595" s="340"/>
      <c r="O1595" s="703"/>
      <c r="P1595" s="342"/>
      <c r="Q1595" s="363"/>
      <c r="R1595" s="340"/>
      <c r="S1595" s="342"/>
      <c r="T1595" s="342"/>
      <c r="U1595" s="342"/>
      <c r="V1595" s="340"/>
      <c r="W1595" s="340"/>
    </row>
    <row r="1596" spans="2:23" ht="24" customHeight="1">
      <c r="B1596" s="67"/>
      <c r="E1596" s="131" t="s">
        <v>1133</v>
      </c>
      <c r="F1596" s="131"/>
      <c r="G1596" s="131"/>
      <c r="H1596" s="131"/>
      <c r="I1596" s="131"/>
      <c r="J1596" s="704">
        <v>204</v>
      </c>
      <c r="K1596" s="705">
        <v>68693.56</v>
      </c>
      <c r="L1596" s="369">
        <v>1</v>
      </c>
      <c r="M1596" s="377">
        <v>20.230861538461543</v>
      </c>
      <c r="N1596" s="706">
        <v>1390423.599406</v>
      </c>
      <c r="O1596" s="705">
        <v>69330.192428571419</v>
      </c>
      <c r="P1596" s="369">
        <v>1</v>
      </c>
      <c r="Q1596" s="377">
        <v>20.283046153846154</v>
      </c>
      <c r="R1596" s="706">
        <v>1410368.7976109285</v>
      </c>
      <c r="S1596" s="369">
        <v>110.60846153846154</v>
      </c>
      <c r="T1596" s="369">
        <v>122.01946153846157</v>
      </c>
      <c r="U1596" s="369">
        <v>1.1032923076923076</v>
      </c>
      <c r="V1596" s="706">
        <v>1557681.4857381142</v>
      </c>
      <c r="W1596" s="706">
        <v>-167257.88633211397</v>
      </c>
    </row>
    <row r="1597" spans="2:23" ht="24" customHeight="1">
      <c r="J1597" s="345"/>
      <c r="K1597" s="703"/>
      <c r="L1597" s="342"/>
      <c r="M1597" s="342"/>
      <c r="N1597" s="340"/>
      <c r="O1597" s="703"/>
      <c r="P1597" s="342"/>
      <c r="Q1597" s="363"/>
      <c r="R1597" s="340"/>
      <c r="S1597" s="342"/>
      <c r="T1597" s="342"/>
      <c r="U1597" s="342"/>
      <c r="V1597" s="340"/>
      <c r="W1597" s="340"/>
    </row>
    <row r="1598" spans="2:23" ht="24" customHeight="1">
      <c r="B1598" s="67"/>
      <c r="E1598" s="1" t="s">
        <v>875</v>
      </c>
      <c r="J1598" s="345"/>
      <c r="K1598" s="703"/>
      <c r="L1598" s="342"/>
      <c r="M1598" s="342"/>
      <c r="N1598" s="340"/>
      <c r="O1598" s="703"/>
      <c r="P1598" s="342"/>
      <c r="Q1598" s="363"/>
      <c r="R1598" s="340"/>
      <c r="S1598" s="342"/>
      <c r="T1598" s="342"/>
      <c r="U1598" s="342"/>
      <c r="V1598" s="340"/>
      <c r="W1598" s="340"/>
    </row>
    <row r="1599" spans="2:23" ht="24" customHeight="1">
      <c r="B1599" s="67"/>
      <c r="F1599" s="346">
        <v>44595</v>
      </c>
      <c r="G1599" s="346"/>
      <c r="H1599" s="346"/>
      <c r="I1599" s="346"/>
      <c r="J1599" s="345"/>
      <c r="K1599" s="703"/>
      <c r="L1599" s="342"/>
      <c r="M1599" s="342"/>
      <c r="N1599" s="340"/>
      <c r="O1599" s="703"/>
      <c r="P1599" s="342"/>
      <c r="Q1599" s="363"/>
      <c r="R1599" s="340"/>
      <c r="S1599" s="342"/>
      <c r="T1599" s="342"/>
      <c r="U1599" s="342"/>
      <c r="V1599" s="340"/>
      <c r="W1599" s="340"/>
    </row>
    <row r="1600" spans="2:23" ht="24" customHeight="1">
      <c r="B1600" s="67"/>
      <c r="G1600" s="3" t="s">
        <v>59</v>
      </c>
      <c r="H1600" s="3"/>
      <c r="I1600" s="3"/>
      <c r="J1600" s="345"/>
      <c r="K1600" s="703"/>
      <c r="L1600" s="342"/>
      <c r="M1600" s="342"/>
      <c r="N1600" s="340"/>
      <c r="O1600" s="703"/>
      <c r="P1600" s="342"/>
      <c r="Q1600" s="363"/>
      <c r="R1600" s="340"/>
      <c r="S1600" s="342"/>
      <c r="T1600" s="342"/>
      <c r="U1600" s="342"/>
      <c r="V1600" s="340"/>
      <c r="W1600" s="340"/>
    </row>
    <row r="1601" spans="2:23" ht="24" customHeight="1">
      <c r="B1601" s="67"/>
      <c r="H1601" s="347">
        <v>44265</v>
      </c>
      <c r="I1601" s="347"/>
      <c r="J1601" s="345"/>
      <c r="K1601" s="703"/>
      <c r="L1601" s="342"/>
      <c r="M1601" s="342"/>
      <c r="N1601" s="340"/>
      <c r="O1601" s="703"/>
      <c r="P1601" s="342"/>
      <c r="Q1601" s="363"/>
      <c r="R1601" s="340"/>
      <c r="S1601" s="342"/>
      <c r="T1601" s="342"/>
      <c r="U1601" s="342"/>
      <c r="V1601" s="340"/>
      <c r="W1601" s="340"/>
    </row>
    <row r="1602" spans="2:23" ht="24" customHeight="1">
      <c r="B1602" s="67"/>
      <c r="I1602" s="3" t="s">
        <v>59</v>
      </c>
      <c r="J1602" s="345">
        <v>42</v>
      </c>
      <c r="K1602" s="703">
        <v>10212.819814814815</v>
      </c>
      <c r="L1602" s="342">
        <v>1</v>
      </c>
      <c r="M1602" s="342">
        <v>20.58</v>
      </c>
      <c r="N1602" s="340">
        <v>210179.83178888887</v>
      </c>
      <c r="O1602" s="703">
        <v>11190.83</v>
      </c>
      <c r="P1602" s="342">
        <v>1</v>
      </c>
      <c r="Q1602" s="363">
        <v>21.4177</v>
      </c>
      <c r="R1602" s="340">
        <v>239681.839691</v>
      </c>
      <c r="S1602" s="342">
        <v>111.824</v>
      </c>
      <c r="T1602" s="342">
        <v>118.002</v>
      </c>
      <c r="U1602" s="342">
        <v>1.0551999999999999</v>
      </c>
      <c r="V1602" s="340">
        <v>252912.27724194317</v>
      </c>
      <c r="W1602" s="340">
        <v>-42732.445453054301</v>
      </c>
    </row>
    <row r="1603" spans="2:23" ht="24" customHeight="1">
      <c r="J1603" s="345"/>
      <c r="K1603" s="703"/>
      <c r="L1603" s="342"/>
      <c r="M1603" s="342"/>
      <c r="N1603" s="340"/>
      <c r="O1603" s="703"/>
      <c r="P1603" s="342"/>
      <c r="Q1603" s="363"/>
      <c r="R1603" s="340"/>
      <c r="S1603" s="342"/>
      <c r="T1603" s="342"/>
      <c r="U1603" s="342"/>
      <c r="V1603" s="340"/>
      <c r="W1603" s="340"/>
    </row>
    <row r="1604" spans="2:23" ht="24" customHeight="1">
      <c r="B1604" s="67"/>
      <c r="H1604" s="347">
        <v>44348</v>
      </c>
      <c r="I1604" s="347"/>
      <c r="J1604" s="345"/>
      <c r="K1604" s="703"/>
      <c r="L1604" s="342"/>
      <c r="M1604" s="342"/>
      <c r="N1604" s="340"/>
      <c r="O1604" s="703"/>
      <c r="P1604" s="342"/>
      <c r="Q1604" s="363"/>
      <c r="R1604" s="340"/>
      <c r="S1604" s="342"/>
      <c r="T1604" s="342"/>
      <c r="U1604" s="342"/>
      <c r="V1604" s="340"/>
      <c r="W1604" s="340"/>
    </row>
    <row r="1605" spans="2:23" ht="24" customHeight="1">
      <c r="B1605" s="67"/>
      <c r="I1605" s="3" t="s">
        <v>59</v>
      </c>
      <c r="J1605" s="345">
        <v>42</v>
      </c>
      <c r="K1605" s="703">
        <v>10212.819814814815</v>
      </c>
      <c r="L1605" s="342">
        <v>1</v>
      </c>
      <c r="M1605" s="342">
        <v>20.58</v>
      </c>
      <c r="N1605" s="340">
        <v>210179.83178888887</v>
      </c>
      <c r="O1605" s="703">
        <v>13889.527826086958</v>
      </c>
      <c r="P1605" s="342">
        <v>1</v>
      </c>
      <c r="Q1605" s="363">
        <v>19.944199999999999</v>
      </c>
      <c r="R1605" s="340">
        <v>277015.52086904348</v>
      </c>
      <c r="S1605" s="342">
        <v>113.018</v>
      </c>
      <c r="T1605" s="342">
        <v>118.002</v>
      </c>
      <c r="U1605" s="342">
        <v>1.044</v>
      </c>
      <c r="V1605" s="340">
        <v>289204.20378728141</v>
      </c>
      <c r="W1605" s="340">
        <v>-79024.37199839254</v>
      </c>
    </row>
    <row r="1606" spans="2:23" ht="24" customHeight="1">
      <c r="J1606" s="345"/>
      <c r="K1606" s="703"/>
      <c r="L1606" s="342"/>
      <c r="M1606" s="342"/>
      <c r="N1606" s="340"/>
      <c r="O1606" s="703"/>
      <c r="P1606" s="342"/>
      <c r="Q1606" s="363"/>
      <c r="R1606" s="340"/>
      <c r="S1606" s="342"/>
      <c r="T1606" s="342"/>
      <c r="U1606" s="342"/>
      <c r="V1606" s="340"/>
      <c r="W1606" s="340"/>
    </row>
    <row r="1607" spans="2:23" ht="24" customHeight="1">
      <c r="B1607" s="67"/>
      <c r="H1607" s="347">
        <v>44267</v>
      </c>
      <c r="I1607" s="347"/>
      <c r="J1607" s="345"/>
      <c r="K1607" s="703"/>
      <c r="L1607" s="342"/>
      <c r="M1607" s="342"/>
      <c r="N1607" s="340"/>
      <c r="O1607" s="703"/>
      <c r="P1607" s="342"/>
      <c r="Q1607" s="363"/>
      <c r="R1607" s="340"/>
      <c r="S1607" s="342"/>
      <c r="T1607" s="342"/>
      <c r="U1607" s="342"/>
      <c r="V1607" s="340"/>
      <c r="W1607" s="340"/>
    </row>
    <row r="1608" spans="2:23" ht="24" customHeight="1">
      <c r="B1608" s="67"/>
      <c r="I1608" s="3" t="s">
        <v>59</v>
      </c>
      <c r="J1608" s="345">
        <v>64</v>
      </c>
      <c r="K1608" s="703">
        <v>15562.392098765433</v>
      </c>
      <c r="L1608" s="342">
        <v>1</v>
      </c>
      <c r="M1608" s="342">
        <v>20.58</v>
      </c>
      <c r="N1608" s="340">
        <v>320274.02939259261</v>
      </c>
      <c r="O1608" s="703">
        <v>17611.29</v>
      </c>
      <c r="P1608" s="342">
        <v>1</v>
      </c>
      <c r="Q1608" s="363">
        <v>20.985299999999999</v>
      </c>
      <c r="R1608" s="340">
        <v>369578.20403700002</v>
      </c>
      <c r="S1608" s="342">
        <v>111.824</v>
      </c>
      <c r="T1608" s="342">
        <v>118.002</v>
      </c>
      <c r="U1608" s="342">
        <v>1.0551999999999999</v>
      </c>
      <c r="V1608" s="340">
        <v>389978.9208998424</v>
      </c>
      <c r="W1608" s="340">
        <v>-69704.891507249791</v>
      </c>
    </row>
    <row r="1609" spans="2:23" ht="24" customHeight="1">
      <c r="J1609" s="345"/>
      <c r="K1609" s="703"/>
      <c r="L1609" s="342"/>
      <c r="M1609" s="342"/>
      <c r="N1609" s="340"/>
      <c r="O1609" s="703"/>
      <c r="P1609" s="342"/>
      <c r="Q1609" s="363"/>
      <c r="R1609" s="340"/>
      <c r="S1609" s="342"/>
      <c r="T1609" s="342"/>
      <c r="U1609" s="342"/>
      <c r="V1609" s="340"/>
      <c r="W1609" s="340"/>
    </row>
    <row r="1610" spans="2:23" ht="24" customHeight="1">
      <c r="B1610" s="67"/>
      <c r="H1610" s="347">
        <v>44278</v>
      </c>
      <c r="I1610" s="347"/>
      <c r="J1610" s="345"/>
      <c r="K1610" s="703"/>
      <c r="L1610" s="342"/>
      <c r="M1610" s="342"/>
      <c r="N1610" s="340"/>
      <c r="O1610" s="703"/>
      <c r="P1610" s="342"/>
      <c r="Q1610" s="363"/>
      <c r="R1610" s="340"/>
      <c r="S1610" s="342"/>
      <c r="T1610" s="342"/>
      <c r="U1610" s="342"/>
      <c r="V1610" s="340"/>
      <c r="W1610" s="340"/>
    </row>
    <row r="1611" spans="2:23" ht="24" customHeight="1">
      <c r="B1611" s="67"/>
      <c r="I1611" s="3" t="s">
        <v>59</v>
      </c>
      <c r="J1611" s="345">
        <v>128</v>
      </c>
      <c r="K1611" s="703">
        <v>31124.784197530866</v>
      </c>
      <c r="L1611" s="342">
        <v>1</v>
      </c>
      <c r="M1611" s="342">
        <v>20.58</v>
      </c>
      <c r="N1611" s="340">
        <v>640548.05878518522</v>
      </c>
      <c r="O1611" s="703">
        <v>37663.56</v>
      </c>
      <c r="P1611" s="342">
        <v>1</v>
      </c>
      <c r="Q1611" s="363">
        <v>20.482299999999999</v>
      </c>
      <c r="R1611" s="340">
        <v>771436.33498799987</v>
      </c>
      <c r="S1611" s="342">
        <v>111.824</v>
      </c>
      <c r="T1611" s="342">
        <v>118.002</v>
      </c>
      <c r="U1611" s="342">
        <v>1.0551999999999999</v>
      </c>
      <c r="V1611" s="340">
        <v>814019.62067933741</v>
      </c>
      <c r="W1611" s="340">
        <v>-173471.5618941522</v>
      </c>
    </row>
    <row r="1612" spans="2:23" ht="24" customHeight="1">
      <c r="J1612" s="345"/>
      <c r="K1612" s="703"/>
      <c r="L1612" s="342"/>
      <c r="M1612" s="342"/>
      <c r="N1612" s="340"/>
      <c r="O1612" s="703"/>
      <c r="P1612" s="342"/>
      <c r="Q1612" s="363"/>
      <c r="R1612" s="340"/>
      <c r="S1612" s="342"/>
      <c r="T1612" s="342"/>
      <c r="U1612" s="342"/>
      <c r="V1612" s="340"/>
      <c r="W1612" s="340"/>
    </row>
    <row r="1613" spans="2:23" ht="24" customHeight="1">
      <c r="B1613" s="67"/>
      <c r="H1613" s="347">
        <v>44302</v>
      </c>
      <c r="I1613" s="347"/>
      <c r="J1613" s="345"/>
      <c r="K1613" s="703"/>
      <c r="L1613" s="342"/>
      <c r="M1613" s="342"/>
      <c r="N1613" s="340"/>
      <c r="O1613" s="703"/>
      <c r="P1613" s="342"/>
      <c r="Q1613" s="363"/>
      <c r="R1613" s="340"/>
      <c r="S1613" s="342"/>
      <c r="T1613" s="342"/>
      <c r="U1613" s="342"/>
      <c r="V1613" s="340"/>
      <c r="W1613" s="340"/>
    </row>
    <row r="1614" spans="2:23" ht="24" customHeight="1">
      <c r="B1614" s="67"/>
      <c r="I1614" s="3" t="s">
        <v>59</v>
      </c>
      <c r="J1614" s="345">
        <v>48</v>
      </c>
      <c r="K1614" s="703">
        <v>11671.794074074074</v>
      </c>
      <c r="L1614" s="342">
        <v>1</v>
      </c>
      <c r="M1614" s="342">
        <v>20.58</v>
      </c>
      <c r="N1614" s="340">
        <v>240205.52204444443</v>
      </c>
      <c r="O1614" s="703">
        <v>14789.43</v>
      </c>
      <c r="P1614" s="342">
        <v>1</v>
      </c>
      <c r="Q1614" s="363">
        <v>20.058299999999999</v>
      </c>
      <c r="R1614" s="340">
        <v>296650.82376900001</v>
      </c>
      <c r="S1614" s="342">
        <v>112.19</v>
      </c>
      <c r="T1614" s="342">
        <v>118.002</v>
      </c>
      <c r="U1614" s="342">
        <v>1.0518000000000001</v>
      </c>
      <c r="V1614" s="340">
        <v>312017.33644023421</v>
      </c>
      <c r="W1614" s="340">
        <v>-71811.814395789785</v>
      </c>
    </row>
    <row r="1615" spans="2:23" ht="24" customHeight="1">
      <c r="J1615" s="345"/>
      <c r="K1615" s="703"/>
      <c r="L1615" s="342"/>
      <c r="M1615" s="342"/>
      <c r="N1615" s="340"/>
      <c r="O1615" s="703"/>
      <c r="P1615" s="342"/>
      <c r="Q1615" s="363"/>
      <c r="R1615" s="340"/>
      <c r="S1615" s="342"/>
      <c r="T1615" s="342"/>
      <c r="U1615" s="342"/>
      <c r="V1615" s="340"/>
      <c r="W1615" s="340"/>
    </row>
    <row r="1616" spans="2:23" ht="24" customHeight="1">
      <c r="B1616" s="67"/>
      <c r="F1616" s="346">
        <v>44596</v>
      </c>
      <c r="G1616" s="346"/>
      <c r="H1616" s="346"/>
      <c r="I1616" s="346"/>
      <c r="J1616" s="345"/>
      <c r="K1616" s="703"/>
      <c r="L1616" s="342"/>
      <c r="M1616" s="342"/>
      <c r="N1616" s="340"/>
      <c r="O1616" s="703"/>
      <c r="P1616" s="342"/>
      <c r="Q1616" s="363"/>
      <c r="R1616" s="340"/>
      <c r="S1616" s="342"/>
      <c r="T1616" s="342"/>
      <c r="U1616" s="342"/>
      <c r="V1616" s="340"/>
      <c r="W1616" s="340"/>
    </row>
    <row r="1617" spans="2:23" ht="24" customHeight="1">
      <c r="B1617" s="67"/>
      <c r="G1617" s="3" t="s">
        <v>59</v>
      </c>
      <c r="H1617" s="3"/>
      <c r="I1617" s="3"/>
      <c r="J1617" s="345"/>
      <c r="K1617" s="703"/>
      <c r="L1617" s="342"/>
      <c r="M1617" s="342"/>
      <c r="N1617" s="340"/>
      <c r="O1617" s="703"/>
      <c r="P1617" s="342"/>
      <c r="Q1617" s="363"/>
      <c r="R1617" s="340"/>
      <c r="S1617" s="342"/>
      <c r="T1617" s="342"/>
      <c r="U1617" s="342"/>
      <c r="V1617" s="340"/>
      <c r="W1617" s="340"/>
    </row>
    <row r="1618" spans="2:23" ht="24" customHeight="1">
      <c r="B1618" s="67"/>
      <c r="H1618" s="347">
        <v>44348</v>
      </c>
      <c r="I1618" s="347"/>
      <c r="J1618" s="345"/>
      <c r="K1618" s="703"/>
      <c r="L1618" s="342"/>
      <c r="M1618" s="342"/>
      <c r="N1618" s="340"/>
      <c r="O1618" s="703"/>
      <c r="P1618" s="342"/>
      <c r="Q1618" s="363"/>
      <c r="R1618" s="340"/>
      <c r="S1618" s="342"/>
      <c r="T1618" s="342"/>
      <c r="U1618" s="342"/>
      <c r="V1618" s="340"/>
      <c r="W1618" s="340"/>
    </row>
    <row r="1619" spans="2:23" ht="24" customHeight="1">
      <c r="B1619" s="67"/>
      <c r="I1619" s="3" t="s">
        <v>59</v>
      </c>
      <c r="J1619" s="345">
        <v>4</v>
      </c>
      <c r="K1619" s="703">
        <v>929.66765432098771</v>
      </c>
      <c r="L1619" s="342">
        <v>1</v>
      </c>
      <c r="M1619" s="342">
        <v>20.600300000000001</v>
      </c>
      <c r="N1619" s="340">
        <v>19151.432579308643</v>
      </c>
      <c r="O1619" s="703">
        <v>1322.8121739130436</v>
      </c>
      <c r="P1619" s="342">
        <v>1</v>
      </c>
      <c r="Q1619" s="363">
        <v>19.944199999999999</v>
      </c>
      <c r="R1619" s="340">
        <v>26382.430558956523</v>
      </c>
      <c r="S1619" s="342">
        <v>113.018</v>
      </c>
      <c r="T1619" s="342">
        <v>118.002</v>
      </c>
      <c r="U1619" s="342">
        <v>1.044</v>
      </c>
      <c r="V1619" s="340">
        <v>27543.257503550612</v>
      </c>
      <c r="W1619" s="340">
        <v>-8391.8249242419697</v>
      </c>
    </row>
    <row r="1620" spans="2:23" ht="24" customHeight="1">
      <c r="J1620" s="345"/>
      <c r="K1620" s="703"/>
      <c r="L1620" s="342"/>
      <c r="M1620" s="342"/>
      <c r="N1620" s="340"/>
      <c r="O1620" s="703"/>
      <c r="P1620" s="342"/>
      <c r="Q1620" s="363"/>
      <c r="R1620" s="340"/>
      <c r="S1620" s="342"/>
      <c r="T1620" s="342"/>
      <c r="U1620" s="342"/>
      <c r="V1620" s="340"/>
      <c r="W1620" s="340"/>
    </row>
    <row r="1621" spans="2:23" ht="24" customHeight="1">
      <c r="B1621" s="67"/>
      <c r="H1621" s="347">
        <v>44390</v>
      </c>
      <c r="I1621" s="347"/>
      <c r="J1621" s="345"/>
      <c r="K1621" s="703"/>
      <c r="L1621" s="342"/>
      <c r="M1621" s="342"/>
      <c r="N1621" s="340"/>
      <c r="O1621" s="703"/>
      <c r="P1621" s="342"/>
      <c r="Q1621" s="363"/>
      <c r="R1621" s="340"/>
      <c r="S1621" s="342"/>
      <c r="T1621" s="342"/>
      <c r="U1621" s="342"/>
      <c r="V1621" s="340"/>
      <c r="W1621" s="340"/>
    </row>
    <row r="1622" spans="2:23" ht="24" customHeight="1">
      <c r="B1622" s="67"/>
      <c r="I1622" s="3" t="s">
        <v>59</v>
      </c>
      <c r="J1622" s="345">
        <v>77</v>
      </c>
      <c r="K1622" s="703">
        <v>17896.102345679014</v>
      </c>
      <c r="L1622" s="342">
        <v>1</v>
      </c>
      <c r="M1622" s="342">
        <v>20.600300000000001</v>
      </c>
      <c r="N1622" s="340">
        <v>368665.07715169137</v>
      </c>
      <c r="O1622" s="703">
        <v>27119.71</v>
      </c>
      <c r="P1622" s="342">
        <v>1</v>
      </c>
      <c r="Q1622" s="363">
        <v>19.88</v>
      </c>
      <c r="R1622" s="340">
        <v>539139.83479999995</v>
      </c>
      <c r="S1622" s="342">
        <v>113.682</v>
      </c>
      <c r="T1622" s="342">
        <v>118.002</v>
      </c>
      <c r="U1622" s="342">
        <v>1.038</v>
      </c>
      <c r="V1622" s="340">
        <v>559627.14852239995</v>
      </c>
      <c r="W1622" s="340">
        <v>-190962.07137070858</v>
      </c>
    </row>
    <row r="1623" spans="2:23" ht="24" customHeight="1">
      <c r="J1623" s="345"/>
      <c r="K1623" s="703"/>
      <c r="L1623" s="342"/>
      <c r="M1623" s="342"/>
      <c r="N1623" s="340"/>
      <c r="O1623" s="703"/>
      <c r="P1623" s="342"/>
      <c r="Q1623" s="363"/>
      <c r="R1623" s="340"/>
      <c r="S1623" s="342"/>
      <c r="T1623" s="342"/>
      <c r="U1623" s="342"/>
      <c r="V1623" s="340"/>
      <c r="W1623" s="340"/>
    </row>
    <row r="1624" spans="2:23" ht="24" customHeight="1">
      <c r="B1624" s="67"/>
      <c r="F1624" s="346">
        <v>44861</v>
      </c>
      <c r="G1624" s="346"/>
      <c r="H1624" s="346"/>
      <c r="I1624" s="346"/>
      <c r="J1624" s="345"/>
      <c r="K1624" s="703"/>
      <c r="L1624" s="342"/>
      <c r="M1624" s="342"/>
      <c r="N1624" s="340"/>
      <c r="O1624" s="703"/>
      <c r="P1624" s="342"/>
      <c r="Q1624" s="363"/>
      <c r="R1624" s="340"/>
      <c r="S1624" s="342"/>
      <c r="T1624" s="342"/>
      <c r="U1624" s="342"/>
      <c r="V1624" s="340"/>
      <c r="W1624" s="340"/>
    </row>
    <row r="1625" spans="2:23" ht="24" customHeight="1">
      <c r="B1625" s="67"/>
      <c r="G1625" s="3" t="s">
        <v>59</v>
      </c>
      <c r="H1625" s="3"/>
      <c r="I1625" s="3"/>
      <c r="J1625" s="345"/>
      <c r="K1625" s="703"/>
      <c r="L1625" s="342"/>
      <c r="M1625" s="342"/>
      <c r="N1625" s="340"/>
      <c r="O1625" s="703"/>
      <c r="P1625" s="342"/>
      <c r="Q1625" s="363"/>
      <c r="R1625" s="340"/>
      <c r="S1625" s="342"/>
      <c r="T1625" s="342"/>
      <c r="U1625" s="342"/>
      <c r="V1625" s="340"/>
      <c r="W1625" s="340"/>
    </row>
    <row r="1626" spans="2:23" ht="24" customHeight="1">
      <c r="B1626" s="67"/>
      <c r="H1626" s="347">
        <v>44769</v>
      </c>
      <c r="I1626" s="347"/>
      <c r="J1626" s="345"/>
      <c r="K1626" s="703"/>
      <c r="L1626" s="342"/>
      <c r="M1626" s="342"/>
      <c r="N1626" s="340"/>
      <c r="O1626" s="703"/>
      <c r="P1626" s="342"/>
      <c r="Q1626" s="363"/>
      <c r="R1626" s="340"/>
      <c r="S1626" s="342"/>
      <c r="T1626" s="342"/>
      <c r="U1626" s="342"/>
      <c r="V1626" s="340"/>
      <c r="W1626" s="340"/>
    </row>
    <row r="1627" spans="2:23" ht="24" customHeight="1">
      <c r="B1627" s="67"/>
      <c r="I1627" s="3" t="s">
        <v>59</v>
      </c>
      <c r="J1627" s="345">
        <v>182</v>
      </c>
      <c r="K1627" s="703">
        <v>18212.469353448279</v>
      </c>
      <c r="L1627" s="342">
        <v>1</v>
      </c>
      <c r="M1627" s="342">
        <v>19.871200000000002</v>
      </c>
      <c r="N1627" s="340">
        <v>361903.62101624149</v>
      </c>
      <c r="O1627" s="703">
        <v>30597.510000000002</v>
      </c>
      <c r="P1627" s="342">
        <v>1</v>
      </c>
      <c r="Q1627" s="363">
        <v>20.465199999999999</v>
      </c>
      <c r="R1627" s="340">
        <v>626184.16165199992</v>
      </c>
      <c r="S1627" s="342">
        <v>122.94799999999999</v>
      </c>
      <c r="T1627" s="342">
        <v>124.57099999999998</v>
      </c>
      <c r="U1627" s="342">
        <v>1.0132000000000001</v>
      </c>
      <c r="V1627" s="340">
        <v>634449.79258580646</v>
      </c>
      <c r="W1627" s="340">
        <v>-272546.17156956502</v>
      </c>
    </row>
    <row r="1628" spans="2:23" ht="24" customHeight="1">
      <c r="J1628" s="345"/>
      <c r="K1628" s="703"/>
      <c r="L1628" s="342"/>
      <c r="M1628" s="342"/>
      <c r="N1628" s="340"/>
      <c r="O1628" s="703"/>
      <c r="P1628" s="342"/>
      <c r="Q1628" s="363"/>
      <c r="R1628" s="340"/>
      <c r="S1628" s="342"/>
      <c r="T1628" s="342"/>
      <c r="U1628" s="342"/>
      <c r="V1628" s="340"/>
      <c r="W1628" s="340"/>
    </row>
    <row r="1629" spans="2:23" ht="24" customHeight="1">
      <c r="B1629" s="67"/>
      <c r="H1629" s="347">
        <v>44774</v>
      </c>
      <c r="I1629" s="347"/>
      <c r="J1629" s="345"/>
      <c r="K1629" s="703"/>
      <c r="L1629" s="342"/>
      <c r="M1629" s="342"/>
      <c r="N1629" s="340"/>
      <c r="O1629" s="703"/>
      <c r="P1629" s="342"/>
      <c r="Q1629" s="363"/>
      <c r="R1629" s="340"/>
      <c r="S1629" s="342"/>
      <c r="T1629" s="342"/>
      <c r="U1629" s="342"/>
      <c r="V1629" s="340"/>
      <c r="W1629" s="340"/>
    </row>
    <row r="1630" spans="2:23" ht="24" customHeight="1">
      <c r="B1630" s="67"/>
      <c r="I1630" s="3" t="s">
        <v>59</v>
      </c>
      <c r="J1630" s="345">
        <v>100</v>
      </c>
      <c r="K1630" s="703">
        <v>10006.851293103449</v>
      </c>
      <c r="L1630" s="342">
        <v>1</v>
      </c>
      <c r="M1630" s="342">
        <v>19.871200000000002</v>
      </c>
      <c r="N1630" s="340">
        <v>198848.14341551729</v>
      </c>
      <c r="O1630" s="703">
        <v>16383.67</v>
      </c>
      <c r="P1630" s="342">
        <v>1</v>
      </c>
      <c r="Q1630" s="363">
        <v>20.377800000000001</v>
      </c>
      <c r="R1630" s="340">
        <v>333863.15052600001</v>
      </c>
      <c r="S1630" s="342">
        <v>123.803</v>
      </c>
      <c r="T1630" s="342">
        <v>124.571</v>
      </c>
      <c r="U1630" s="342">
        <v>1.0062</v>
      </c>
      <c r="V1630" s="340">
        <v>335933.10205926123</v>
      </c>
      <c r="W1630" s="340">
        <v>-137084.95864374394</v>
      </c>
    </row>
    <row r="1631" spans="2:23" ht="24" customHeight="1">
      <c r="J1631" s="345"/>
      <c r="K1631" s="703"/>
      <c r="L1631" s="342"/>
      <c r="M1631" s="342"/>
      <c r="N1631" s="340"/>
      <c r="O1631" s="703"/>
      <c r="P1631" s="342"/>
      <c r="Q1631" s="363"/>
      <c r="R1631" s="340"/>
      <c r="S1631" s="342"/>
      <c r="T1631" s="342"/>
      <c r="U1631" s="342"/>
      <c r="V1631" s="340"/>
      <c r="W1631" s="340"/>
    </row>
    <row r="1632" spans="2:23" ht="24" customHeight="1">
      <c r="B1632" s="67"/>
      <c r="H1632" s="347">
        <v>44776</v>
      </c>
      <c r="I1632" s="347"/>
      <c r="J1632" s="345"/>
      <c r="K1632" s="703"/>
      <c r="L1632" s="342"/>
      <c r="M1632" s="342"/>
      <c r="N1632" s="340"/>
      <c r="O1632" s="703"/>
      <c r="P1632" s="342"/>
      <c r="Q1632" s="363"/>
      <c r="R1632" s="340"/>
      <c r="S1632" s="342"/>
      <c r="T1632" s="342"/>
      <c r="U1632" s="342"/>
      <c r="V1632" s="340"/>
      <c r="W1632" s="340"/>
    </row>
    <row r="1633" spans="2:23" ht="24" customHeight="1">
      <c r="B1633" s="67"/>
      <c r="I1633" s="3" t="s">
        <v>59</v>
      </c>
      <c r="J1633" s="345">
        <v>82</v>
      </c>
      <c r="K1633" s="703">
        <v>8205.6180603448283</v>
      </c>
      <c r="L1633" s="342">
        <v>1</v>
      </c>
      <c r="M1633" s="342">
        <v>19.871200000000002</v>
      </c>
      <c r="N1633" s="340">
        <v>163055.47760072417</v>
      </c>
      <c r="O1633" s="703">
        <v>13866.64</v>
      </c>
      <c r="P1633" s="342">
        <v>1</v>
      </c>
      <c r="Q1633" s="363">
        <v>20.263300000000001</v>
      </c>
      <c r="R1633" s="340">
        <v>280983.88631199999</v>
      </c>
      <c r="S1633" s="342">
        <v>123.803</v>
      </c>
      <c r="T1633" s="342">
        <v>124.571</v>
      </c>
      <c r="U1633" s="342">
        <v>1.0062</v>
      </c>
      <c r="V1633" s="340">
        <v>282725.98640713439</v>
      </c>
      <c r="W1633" s="340">
        <v>-119670.50880641022</v>
      </c>
    </row>
    <row r="1634" spans="2:23" ht="24" customHeight="1">
      <c r="J1634" s="345"/>
      <c r="K1634" s="703"/>
      <c r="L1634" s="342"/>
      <c r="M1634" s="342"/>
      <c r="N1634" s="340"/>
      <c r="O1634" s="703"/>
      <c r="P1634" s="342"/>
      <c r="Q1634" s="363"/>
      <c r="R1634" s="340"/>
      <c r="S1634" s="342"/>
      <c r="T1634" s="342"/>
      <c r="U1634" s="342"/>
      <c r="V1634" s="340"/>
      <c r="W1634" s="340"/>
    </row>
    <row r="1635" spans="2:23" ht="24" customHeight="1">
      <c r="B1635" s="67"/>
      <c r="H1635" s="347">
        <v>44781</v>
      </c>
      <c r="I1635" s="347"/>
      <c r="J1635" s="345"/>
      <c r="K1635" s="703"/>
      <c r="L1635" s="342"/>
      <c r="M1635" s="342"/>
      <c r="N1635" s="340"/>
      <c r="O1635" s="703"/>
      <c r="P1635" s="342"/>
      <c r="Q1635" s="363"/>
      <c r="R1635" s="340"/>
      <c r="S1635" s="342"/>
      <c r="T1635" s="342"/>
      <c r="U1635" s="342"/>
      <c r="V1635" s="340"/>
      <c r="W1635" s="340"/>
    </row>
    <row r="1636" spans="2:23" ht="24" customHeight="1">
      <c r="B1636" s="67"/>
      <c r="I1636" s="3" t="s">
        <v>59</v>
      </c>
      <c r="J1636" s="345">
        <v>100</v>
      </c>
      <c r="K1636" s="703">
        <v>10006.851293103449</v>
      </c>
      <c r="L1636" s="342">
        <v>1</v>
      </c>
      <c r="M1636" s="342">
        <v>19.871200000000002</v>
      </c>
      <c r="N1636" s="340">
        <v>198848.14341551729</v>
      </c>
      <c r="O1636" s="703">
        <v>17207.39</v>
      </c>
      <c r="P1636" s="342">
        <v>1</v>
      </c>
      <c r="Q1636" s="363">
        <v>20.335799999999999</v>
      </c>
      <c r="R1636" s="340">
        <v>349926.041562</v>
      </c>
      <c r="S1636" s="342">
        <v>123.803</v>
      </c>
      <c r="T1636" s="342">
        <v>124.571</v>
      </c>
      <c r="U1636" s="342">
        <v>1.0062</v>
      </c>
      <c r="V1636" s="340">
        <v>352095.58301968442</v>
      </c>
      <c r="W1636" s="340">
        <v>-153247.43960416713</v>
      </c>
    </row>
    <row r="1637" spans="2:23" ht="24" customHeight="1">
      <c r="J1637" s="345"/>
      <c r="K1637" s="703"/>
      <c r="L1637" s="342"/>
      <c r="M1637" s="342"/>
      <c r="N1637" s="340"/>
      <c r="O1637" s="703"/>
      <c r="P1637" s="342"/>
      <c r="Q1637" s="363"/>
      <c r="R1637" s="340"/>
      <c r="S1637" s="342"/>
      <c r="T1637" s="342"/>
      <c r="U1637" s="342"/>
      <c r="V1637" s="340"/>
      <c r="W1637" s="340"/>
    </row>
    <row r="1638" spans="2:23" ht="24" customHeight="1">
      <c r="B1638" s="67"/>
      <c r="E1638" s="131" t="s">
        <v>1134</v>
      </c>
      <c r="F1638" s="131"/>
      <c r="G1638" s="131"/>
      <c r="H1638" s="131"/>
      <c r="I1638" s="131"/>
      <c r="J1638" s="704">
        <v>869</v>
      </c>
      <c r="K1638" s="705">
        <v>144042.17000000001</v>
      </c>
      <c r="L1638" s="369">
        <v>1</v>
      </c>
      <c r="M1638" s="377">
        <v>20.255984615384609</v>
      </c>
      <c r="N1638" s="706">
        <v>2931859.1689789998</v>
      </c>
      <c r="O1638" s="705">
        <v>201642.37000000005</v>
      </c>
      <c r="P1638" s="369">
        <v>1</v>
      </c>
      <c r="Q1638" s="377">
        <v>20.391115384615389</v>
      </c>
      <c r="R1638" s="706">
        <v>4110842.2287649997</v>
      </c>
      <c r="S1638" s="369">
        <v>117.51023076923076</v>
      </c>
      <c r="T1638" s="369">
        <v>121.03384615384613</v>
      </c>
      <c r="U1638" s="369">
        <v>1.0308923076923076</v>
      </c>
      <c r="V1638" s="706">
        <v>4250507.2291464759</v>
      </c>
      <c r="W1638" s="706">
        <v>-1318648.0601674754</v>
      </c>
    </row>
    <row r="1639" spans="2:23" ht="24" customHeight="1">
      <c r="J1639" s="345"/>
      <c r="K1639" s="703"/>
      <c r="L1639" s="342"/>
      <c r="M1639" s="342"/>
      <c r="N1639" s="340"/>
      <c r="O1639" s="703"/>
      <c r="P1639" s="342"/>
      <c r="Q1639" s="363"/>
      <c r="R1639" s="340"/>
      <c r="S1639" s="342"/>
      <c r="T1639" s="342"/>
      <c r="U1639" s="342"/>
      <c r="V1639" s="340"/>
      <c r="W1639" s="340"/>
    </row>
    <row r="1640" spans="2:23" ht="24" customHeight="1">
      <c r="B1640" s="67"/>
      <c r="E1640" s="1" t="s">
        <v>885</v>
      </c>
      <c r="J1640" s="345"/>
      <c r="K1640" s="703"/>
      <c r="L1640" s="342"/>
      <c r="M1640" s="342"/>
      <c r="N1640" s="340"/>
      <c r="O1640" s="703"/>
      <c r="P1640" s="342"/>
      <c r="Q1640" s="363"/>
      <c r="R1640" s="340"/>
      <c r="S1640" s="342"/>
      <c r="T1640" s="342"/>
      <c r="U1640" s="342"/>
      <c r="V1640" s="340"/>
      <c r="W1640" s="340"/>
    </row>
    <row r="1641" spans="2:23" ht="24" customHeight="1">
      <c r="B1641" s="67"/>
      <c r="F1641" s="346">
        <v>44628</v>
      </c>
      <c r="G1641" s="346"/>
      <c r="H1641" s="346"/>
      <c r="I1641" s="346"/>
      <c r="J1641" s="345"/>
      <c r="K1641" s="703"/>
      <c r="L1641" s="342"/>
      <c r="M1641" s="342"/>
      <c r="N1641" s="340"/>
      <c r="O1641" s="703"/>
      <c r="P1641" s="342"/>
      <c r="Q1641" s="363"/>
      <c r="R1641" s="340"/>
      <c r="S1641" s="342"/>
      <c r="T1641" s="342"/>
      <c r="U1641" s="342"/>
      <c r="V1641" s="340"/>
      <c r="W1641" s="340"/>
    </row>
    <row r="1642" spans="2:23" ht="24" customHeight="1">
      <c r="B1642" s="67"/>
      <c r="G1642" s="3" t="s">
        <v>59</v>
      </c>
      <c r="H1642" s="3"/>
      <c r="I1642" s="3"/>
      <c r="J1642" s="345"/>
      <c r="K1642" s="703"/>
      <c r="L1642" s="342"/>
      <c r="M1642" s="342"/>
      <c r="N1642" s="340"/>
      <c r="O1642" s="703"/>
      <c r="P1642" s="342"/>
      <c r="Q1642" s="363"/>
      <c r="R1642" s="340"/>
      <c r="S1642" s="342"/>
      <c r="T1642" s="342"/>
      <c r="U1642" s="342"/>
      <c r="V1642" s="340"/>
      <c r="W1642" s="340"/>
    </row>
    <row r="1643" spans="2:23" ht="24" customHeight="1">
      <c r="B1643" s="67"/>
      <c r="H1643" s="347">
        <v>44371</v>
      </c>
      <c r="I1643" s="347"/>
      <c r="J1643" s="345"/>
      <c r="K1643" s="703"/>
      <c r="L1643" s="342"/>
      <c r="M1643" s="342"/>
      <c r="N1643" s="340"/>
      <c r="O1643" s="703"/>
      <c r="P1643" s="342"/>
      <c r="Q1643" s="363"/>
      <c r="R1643" s="340"/>
      <c r="S1643" s="342"/>
      <c r="T1643" s="342"/>
      <c r="U1643" s="342"/>
      <c r="V1643" s="340"/>
      <c r="W1643" s="340"/>
    </row>
    <row r="1644" spans="2:23" ht="24" customHeight="1">
      <c r="B1644" s="67"/>
      <c r="I1644" s="3" t="s">
        <v>59</v>
      </c>
      <c r="J1644" s="345">
        <v>74</v>
      </c>
      <c r="K1644" s="703">
        <v>3486.449090909091</v>
      </c>
      <c r="L1644" s="342">
        <v>1</v>
      </c>
      <c r="M1644" s="342">
        <v>20.926199999999998</v>
      </c>
      <c r="N1644" s="340">
        <v>72958.130966181823</v>
      </c>
      <c r="O1644" s="703">
        <v>4742.6829426964578</v>
      </c>
      <c r="P1644" s="342">
        <v>1</v>
      </c>
      <c r="Q1644" s="363">
        <v>20.571200000000001</v>
      </c>
      <c r="R1644" s="340">
        <v>97562.679350797378</v>
      </c>
      <c r="S1644" s="342">
        <v>113.01800000000001</v>
      </c>
      <c r="T1644" s="342">
        <v>118.98099999999999</v>
      </c>
      <c r="U1644" s="342">
        <v>1.0527</v>
      </c>
      <c r="V1644" s="340">
        <v>102704.23255258441</v>
      </c>
      <c r="W1644" s="340">
        <v>-29746.101586402583</v>
      </c>
    </row>
    <row r="1645" spans="2:23" ht="24" customHeight="1">
      <c r="J1645" s="345"/>
      <c r="K1645" s="703"/>
      <c r="L1645" s="342"/>
      <c r="M1645" s="342"/>
      <c r="N1645" s="340"/>
      <c r="O1645" s="703"/>
      <c r="P1645" s="342"/>
      <c r="Q1645" s="363"/>
      <c r="R1645" s="340"/>
      <c r="S1645" s="342"/>
      <c r="T1645" s="342"/>
      <c r="U1645" s="342"/>
      <c r="V1645" s="340"/>
      <c r="W1645" s="340"/>
    </row>
    <row r="1646" spans="2:23" ht="24" customHeight="1">
      <c r="B1646" s="67"/>
      <c r="H1646" s="347">
        <v>44435</v>
      </c>
      <c r="I1646" s="347"/>
      <c r="J1646" s="345"/>
      <c r="K1646" s="703"/>
      <c r="L1646" s="342"/>
      <c r="M1646" s="342"/>
      <c r="N1646" s="340"/>
      <c r="O1646" s="703"/>
      <c r="P1646" s="342"/>
      <c r="Q1646" s="363"/>
      <c r="R1646" s="340"/>
      <c r="S1646" s="342"/>
      <c r="T1646" s="342"/>
      <c r="U1646" s="342"/>
      <c r="V1646" s="340"/>
      <c r="W1646" s="340"/>
    </row>
    <row r="1647" spans="2:23" ht="24" customHeight="1">
      <c r="B1647" s="67"/>
      <c r="I1647" s="3" t="s">
        <v>59</v>
      </c>
      <c r="J1647" s="345">
        <v>84</v>
      </c>
      <c r="K1647" s="703">
        <v>3983.8899999999994</v>
      </c>
      <c r="L1647" s="342">
        <v>1</v>
      </c>
      <c r="M1647" s="342">
        <v>20.926200000000001</v>
      </c>
      <c r="N1647" s="340">
        <v>83367.678917999991</v>
      </c>
      <c r="O1647" s="703">
        <v>5274.8156862745109</v>
      </c>
      <c r="P1647" s="342">
        <v>1</v>
      </c>
      <c r="Q1647" s="363">
        <v>20.293299999999999</v>
      </c>
      <c r="R1647" s="340">
        <v>107043.41716627451</v>
      </c>
      <c r="S1647" s="342">
        <v>113.899</v>
      </c>
      <c r="T1647" s="342">
        <v>118.98099999999999</v>
      </c>
      <c r="U1647" s="342">
        <v>1.0446</v>
      </c>
      <c r="V1647" s="340">
        <v>111817.55357189036</v>
      </c>
      <c r="W1647" s="340">
        <v>-28449.874653890351</v>
      </c>
    </row>
    <row r="1648" spans="2:23" ht="24" customHeight="1">
      <c r="J1648" s="345"/>
      <c r="K1648" s="703"/>
      <c r="L1648" s="342"/>
      <c r="M1648" s="342"/>
      <c r="N1648" s="340"/>
      <c r="O1648" s="703"/>
      <c r="P1648" s="342"/>
      <c r="Q1648" s="363"/>
      <c r="R1648" s="340"/>
      <c r="S1648" s="342"/>
      <c r="T1648" s="342"/>
      <c r="U1648" s="342"/>
      <c r="V1648" s="340"/>
      <c r="W1648" s="340"/>
    </row>
    <row r="1649" spans="2:23" ht="24" customHeight="1">
      <c r="B1649" s="67"/>
      <c r="H1649" s="347">
        <v>44355</v>
      </c>
      <c r="I1649" s="347"/>
      <c r="J1649" s="345"/>
      <c r="K1649" s="703"/>
      <c r="L1649" s="342"/>
      <c r="M1649" s="342"/>
      <c r="N1649" s="340"/>
      <c r="O1649" s="703"/>
      <c r="P1649" s="342"/>
      <c r="Q1649" s="363"/>
      <c r="R1649" s="340"/>
      <c r="S1649" s="342"/>
      <c r="T1649" s="342"/>
      <c r="U1649" s="342"/>
      <c r="V1649" s="340"/>
      <c r="W1649" s="340"/>
    </row>
    <row r="1650" spans="2:23" ht="24" customHeight="1">
      <c r="B1650" s="67"/>
      <c r="I1650" s="3" t="s">
        <v>59</v>
      </c>
      <c r="J1650" s="345">
        <v>18</v>
      </c>
      <c r="K1650" s="703">
        <v>854.89090909090908</v>
      </c>
      <c r="L1650" s="342">
        <v>1</v>
      </c>
      <c r="M1650" s="342">
        <v>20.926200000000001</v>
      </c>
      <c r="N1650" s="340">
        <v>17889.618141818184</v>
      </c>
      <c r="O1650" s="703">
        <v>1130.3176470588237</v>
      </c>
      <c r="P1650" s="342">
        <v>1</v>
      </c>
      <c r="Q1650" s="363">
        <v>19.9328</v>
      </c>
      <c r="R1650" s="340">
        <v>22530.395595294121</v>
      </c>
      <c r="S1650" s="342">
        <v>113.018</v>
      </c>
      <c r="T1650" s="342">
        <v>118.98099999999999</v>
      </c>
      <c r="U1650" s="342">
        <v>1.0527</v>
      </c>
      <c r="V1650" s="340">
        <v>23717.747443166121</v>
      </c>
      <c r="W1650" s="340">
        <v>-5828.1293013479371</v>
      </c>
    </row>
    <row r="1651" spans="2:23" ht="24" customHeight="1">
      <c r="J1651" s="345"/>
      <c r="K1651" s="703"/>
      <c r="L1651" s="342"/>
      <c r="M1651" s="342"/>
      <c r="N1651" s="340"/>
      <c r="O1651" s="703"/>
      <c r="P1651" s="342"/>
      <c r="Q1651" s="363"/>
      <c r="R1651" s="340"/>
      <c r="S1651" s="342"/>
      <c r="T1651" s="342"/>
      <c r="U1651" s="342"/>
      <c r="V1651" s="340"/>
      <c r="W1651" s="340"/>
    </row>
    <row r="1652" spans="2:23" ht="24" customHeight="1">
      <c r="B1652" s="67"/>
      <c r="F1652" s="346">
        <v>44634</v>
      </c>
      <c r="G1652" s="346"/>
      <c r="H1652" s="346"/>
      <c r="I1652" s="346"/>
      <c r="J1652" s="345"/>
      <c r="K1652" s="703"/>
      <c r="L1652" s="342"/>
      <c r="M1652" s="342"/>
      <c r="N1652" s="340"/>
      <c r="O1652" s="703"/>
      <c r="P1652" s="342"/>
      <c r="Q1652" s="363"/>
      <c r="R1652" s="340"/>
      <c r="S1652" s="342"/>
      <c r="T1652" s="342"/>
      <c r="U1652" s="342"/>
      <c r="V1652" s="340"/>
      <c r="W1652" s="340"/>
    </row>
    <row r="1653" spans="2:23" ht="24" customHeight="1">
      <c r="B1653" s="67"/>
      <c r="G1653" s="3" t="s">
        <v>59</v>
      </c>
      <c r="H1653" s="3"/>
      <c r="I1653" s="3"/>
      <c r="J1653" s="345"/>
      <c r="K1653" s="703"/>
      <c r="L1653" s="342"/>
      <c r="M1653" s="342"/>
      <c r="N1653" s="340"/>
      <c r="O1653" s="703"/>
      <c r="P1653" s="342"/>
      <c r="Q1653" s="363"/>
      <c r="R1653" s="340"/>
      <c r="S1653" s="342"/>
      <c r="T1653" s="342"/>
      <c r="U1653" s="342"/>
      <c r="V1653" s="340"/>
      <c r="W1653" s="340"/>
    </row>
    <row r="1654" spans="2:23" ht="24" customHeight="1">
      <c r="B1654" s="67"/>
      <c r="H1654" s="347">
        <v>44371</v>
      </c>
      <c r="I1654" s="347"/>
      <c r="J1654" s="345"/>
      <c r="K1654" s="703"/>
      <c r="L1654" s="342"/>
      <c r="M1654" s="342"/>
      <c r="N1654" s="340"/>
      <c r="O1654" s="703"/>
      <c r="P1654" s="342"/>
      <c r="Q1654" s="363"/>
      <c r="R1654" s="340"/>
      <c r="S1654" s="342"/>
      <c r="T1654" s="342"/>
      <c r="U1654" s="342"/>
      <c r="V1654" s="340"/>
      <c r="W1654" s="340"/>
    </row>
    <row r="1655" spans="2:23" ht="24" customHeight="1">
      <c r="B1655" s="67"/>
      <c r="I1655" s="3" t="s">
        <v>59</v>
      </c>
      <c r="J1655" s="345">
        <v>86</v>
      </c>
      <c r="K1655" s="703">
        <v>3391.105586592179</v>
      </c>
      <c r="L1655" s="342">
        <v>1</v>
      </c>
      <c r="M1655" s="342">
        <v>20.974299999999999</v>
      </c>
      <c r="N1655" s="340">
        <v>71126.065904860341</v>
      </c>
      <c r="O1655" s="703">
        <v>5536.2179069767444</v>
      </c>
      <c r="P1655" s="342">
        <v>1</v>
      </c>
      <c r="Q1655" s="363">
        <v>20.571200000000001</v>
      </c>
      <c r="R1655" s="340">
        <v>113886.645808</v>
      </c>
      <c r="S1655" s="342">
        <v>113.018</v>
      </c>
      <c r="T1655" s="342">
        <v>118.98099999999999</v>
      </c>
      <c r="U1655" s="342">
        <v>1.0527</v>
      </c>
      <c r="V1655" s="340">
        <v>119888.47204208159</v>
      </c>
      <c r="W1655" s="340">
        <v>-48762.40613722126</v>
      </c>
    </row>
    <row r="1656" spans="2:23" ht="24" customHeight="1">
      <c r="J1656" s="345"/>
      <c r="K1656" s="703"/>
      <c r="L1656" s="342"/>
      <c r="M1656" s="342"/>
      <c r="N1656" s="340"/>
      <c r="O1656" s="703"/>
      <c r="P1656" s="342"/>
      <c r="Q1656" s="363"/>
      <c r="R1656" s="340"/>
      <c r="S1656" s="342"/>
      <c r="T1656" s="342"/>
      <c r="U1656" s="342"/>
      <c r="V1656" s="340"/>
      <c r="W1656" s="340"/>
    </row>
    <row r="1657" spans="2:23" ht="24" customHeight="1">
      <c r="B1657" s="67"/>
      <c r="H1657" s="347">
        <v>44435</v>
      </c>
      <c r="I1657" s="347"/>
      <c r="J1657" s="345"/>
      <c r="K1657" s="703"/>
      <c r="L1657" s="342"/>
      <c r="M1657" s="342"/>
      <c r="N1657" s="340"/>
      <c r="O1657" s="703"/>
      <c r="P1657" s="342"/>
      <c r="Q1657" s="363"/>
      <c r="R1657" s="340"/>
      <c r="S1657" s="342"/>
      <c r="T1657" s="342"/>
      <c r="U1657" s="342"/>
      <c r="V1657" s="340"/>
      <c r="W1657" s="340"/>
    </row>
    <row r="1658" spans="2:23" ht="24" customHeight="1">
      <c r="B1658" s="67"/>
      <c r="I1658" s="3" t="s">
        <v>59</v>
      </c>
      <c r="J1658" s="345">
        <v>81</v>
      </c>
      <c r="K1658" s="703">
        <v>3226.7775418994411</v>
      </c>
      <c r="L1658" s="342">
        <v>1</v>
      </c>
      <c r="M1658" s="342">
        <v>20.974299999999999</v>
      </c>
      <c r="N1658" s="340">
        <v>67679.400197061448</v>
      </c>
      <c r="O1658" s="703">
        <v>5019.95</v>
      </c>
      <c r="P1658" s="342">
        <v>1</v>
      </c>
      <c r="Q1658" s="363">
        <v>20.293299999999999</v>
      </c>
      <c r="R1658" s="340">
        <v>101871.35133499998</v>
      </c>
      <c r="S1658" s="342">
        <v>113.899</v>
      </c>
      <c r="T1658" s="342">
        <v>118.98099999999999</v>
      </c>
      <c r="U1658" s="342">
        <v>1.0446</v>
      </c>
      <c r="V1658" s="340">
        <v>106414.81360454098</v>
      </c>
      <c r="W1658" s="340">
        <v>-38735.413407479537</v>
      </c>
    </row>
    <row r="1659" spans="2:23" ht="24" customHeight="1">
      <c r="J1659" s="345"/>
      <c r="K1659" s="703"/>
      <c r="L1659" s="342"/>
      <c r="M1659" s="342"/>
      <c r="N1659" s="340"/>
      <c r="O1659" s="703"/>
      <c r="P1659" s="342"/>
      <c r="Q1659" s="363"/>
      <c r="R1659" s="340"/>
      <c r="S1659" s="342"/>
      <c r="T1659" s="342"/>
      <c r="U1659" s="342"/>
      <c r="V1659" s="340"/>
      <c r="W1659" s="340"/>
    </row>
    <row r="1660" spans="2:23" ht="24" customHeight="1">
      <c r="B1660" s="67"/>
      <c r="H1660" s="347">
        <v>44495</v>
      </c>
      <c r="I1660" s="347"/>
      <c r="J1660" s="345"/>
      <c r="K1660" s="703"/>
      <c r="L1660" s="342"/>
      <c r="M1660" s="342"/>
      <c r="N1660" s="340"/>
      <c r="O1660" s="703"/>
      <c r="P1660" s="342"/>
      <c r="Q1660" s="363"/>
      <c r="R1660" s="340"/>
      <c r="S1660" s="342"/>
      <c r="T1660" s="342"/>
      <c r="U1660" s="342"/>
      <c r="V1660" s="340"/>
      <c r="W1660" s="340"/>
    </row>
    <row r="1661" spans="2:23" ht="24" customHeight="1">
      <c r="B1661" s="67"/>
      <c r="I1661" s="3" t="s">
        <v>59</v>
      </c>
      <c r="J1661" s="345">
        <v>7</v>
      </c>
      <c r="K1661" s="703">
        <v>273.77675977653632</v>
      </c>
      <c r="L1661" s="342">
        <v>1</v>
      </c>
      <c r="M1661" s="342">
        <v>20.974299999999999</v>
      </c>
      <c r="N1661" s="340">
        <v>5742.2758925810058</v>
      </c>
      <c r="O1661" s="703">
        <v>496.68888888888893</v>
      </c>
      <c r="P1661" s="342">
        <v>1</v>
      </c>
      <c r="Q1661" s="363">
        <v>20.183700000000002</v>
      </c>
      <c r="R1661" s="340">
        <v>10025.019526666667</v>
      </c>
      <c r="S1661" s="342">
        <v>115.56100000000001</v>
      </c>
      <c r="T1661" s="342">
        <v>118.98099999999999</v>
      </c>
      <c r="U1661" s="342">
        <v>1.0295000000000001</v>
      </c>
      <c r="V1661" s="340">
        <v>10320.757602703336</v>
      </c>
      <c r="W1661" s="340">
        <v>-4578.4817101223289</v>
      </c>
    </row>
    <row r="1662" spans="2:23" ht="24" customHeight="1">
      <c r="J1662" s="345"/>
      <c r="K1662" s="703"/>
      <c r="L1662" s="342"/>
      <c r="M1662" s="342"/>
      <c r="N1662" s="340"/>
      <c r="O1662" s="703"/>
      <c r="P1662" s="342"/>
      <c r="Q1662" s="363"/>
      <c r="R1662" s="340"/>
      <c r="S1662" s="342"/>
      <c r="T1662" s="342"/>
      <c r="U1662" s="342"/>
      <c r="V1662" s="340"/>
      <c r="W1662" s="340"/>
    </row>
    <row r="1663" spans="2:23" ht="24" customHeight="1">
      <c r="B1663" s="67"/>
      <c r="H1663" s="347">
        <v>44438</v>
      </c>
      <c r="I1663" s="347"/>
      <c r="J1663" s="345"/>
      <c r="K1663" s="703"/>
      <c r="L1663" s="342"/>
      <c r="M1663" s="342"/>
      <c r="N1663" s="340"/>
      <c r="O1663" s="703"/>
      <c r="P1663" s="342"/>
      <c r="Q1663" s="363"/>
      <c r="R1663" s="340"/>
      <c r="S1663" s="342"/>
      <c r="T1663" s="342"/>
      <c r="U1663" s="342"/>
      <c r="V1663" s="340"/>
      <c r="W1663" s="340"/>
    </row>
    <row r="1664" spans="2:23" ht="24" customHeight="1">
      <c r="B1664" s="67"/>
      <c r="I1664" s="3" t="s">
        <v>59</v>
      </c>
      <c r="J1664" s="345">
        <v>37</v>
      </c>
      <c r="K1664" s="703">
        <v>1473.9601117318434</v>
      </c>
      <c r="L1664" s="342">
        <v>1</v>
      </c>
      <c r="M1664" s="342">
        <v>20.974299999999999</v>
      </c>
      <c r="N1664" s="340">
        <v>30915.281571497202</v>
      </c>
      <c r="O1664" s="703">
        <v>2312.94</v>
      </c>
      <c r="P1664" s="342">
        <v>1</v>
      </c>
      <c r="Q1664" s="363">
        <v>20.3522</v>
      </c>
      <c r="R1664" s="340">
        <v>47073.417468</v>
      </c>
      <c r="S1664" s="342">
        <v>113.899</v>
      </c>
      <c r="T1664" s="342">
        <v>118.98099999999999</v>
      </c>
      <c r="U1664" s="342">
        <v>1.0446</v>
      </c>
      <c r="V1664" s="340">
        <v>49172.891887072801</v>
      </c>
      <c r="W1664" s="340">
        <v>-18257.610315575599</v>
      </c>
    </row>
    <row r="1665" spans="2:23" ht="24" customHeight="1">
      <c r="J1665" s="345"/>
      <c r="K1665" s="703"/>
      <c r="L1665" s="342"/>
      <c r="M1665" s="342"/>
      <c r="N1665" s="340"/>
      <c r="O1665" s="703"/>
      <c r="P1665" s="342"/>
      <c r="Q1665" s="363"/>
      <c r="R1665" s="340"/>
      <c r="S1665" s="342"/>
      <c r="T1665" s="342"/>
      <c r="U1665" s="342"/>
      <c r="V1665" s="340"/>
      <c r="W1665" s="340"/>
    </row>
    <row r="1666" spans="2:23" ht="24" customHeight="1">
      <c r="B1666" s="67"/>
      <c r="F1666" s="346">
        <v>44627</v>
      </c>
      <c r="G1666" s="346"/>
      <c r="H1666" s="346"/>
      <c r="I1666" s="346"/>
      <c r="J1666" s="345"/>
      <c r="K1666" s="703"/>
      <c r="L1666" s="342"/>
      <c r="M1666" s="342"/>
      <c r="N1666" s="340"/>
      <c r="O1666" s="703"/>
      <c r="P1666" s="342"/>
      <c r="Q1666" s="363"/>
      <c r="R1666" s="340"/>
      <c r="S1666" s="342"/>
      <c r="T1666" s="342"/>
      <c r="U1666" s="342"/>
      <c r="V1666" s="340"/>
      <c r="W1666" s="340"/>
    </row>
    <row r="1667" spans="2:23" ht="24" customHeight="1">
      <c r="B1667" s="67"/>
      <c r="G1667" s="3" t="s">
        <v>59</v>
      </c>
      <c r="H1667" s="3"/>
      <c r="I1667" s="3"/>
      <c r="J1667" s="345"/>
      <c r="K1667" s="703"/>
      <c r="L1667" s="342"/>
      <c r="M1667" s="342"/>
      <c r="N1667" s="340"/>
      <c r="O1667" s="703"/>
      <c r="P1667" s="342"/>
      <c r="Q1667" s="363"/>
      <c r="R1667" s="340"/>
      <c r="S1667" s="342"/>
      <c r="T1667" s="342"/>
      <c r="U1667" s="342"/>
      <c r="V1667" s="340"/>
      <c r="W1667" s="340"/>
    </row>
    <row r="1668" spans="2:23" ht="24" customHeight="1">
      <c r="B1668" s="67"/>
      <c r="H1668" s="347">
        <v>44355</v>
      </c>
      <c r="I1668" s="347"/>
      <c r="J1668" s="345"/>
      <c r="K1668" s="703"/>
      <c r="L1668" s="342"/>
      <c r="M1668" s="342"/>
      <c r="N1668" s="340"/>
      <c r="O1668" s="703"/>
      <c r="P1668" s="342"/>
      <c r="Q1668" s="363"/>
      <c r="R1668" s="340"/>
      <c r="S1668" s="342"/>
      <c r="T1668" s="342"/>
      <c r="U1668" s="342"/>
      <c r="V1668" s="340"/>
      <c r="W1668" s="340"/>
    </row>
    <row r="1669" spans="2:23" ht="24" customHeight="1">
      <c r="B1669" s="67"/>
      <c r="I1669" s="3" t="s">
        <v>59</v>
      </c>
      <c r="J1669" s="345">
        <v>119</v>
      </c>
      <c r="K1669" s="703">
        <v>5611.7082608695655</v>
      </c>
      <c r="L1669" s="342">
        <v>1</v>
      </c>
      <c r="M1669" s="342">
        <v>20.703299999999999</v>
      </c>
      <c r="N1669" s="340">
        <v>116180.87963726085</v>
      </c>
      <c r="O1669" s="703">
        <v>7399.0158169934648</v>
      </c>
      <c r="P1669" s="342">
        <v>1</v>
      </c>
      <c r="Q1669" s="363">
        <v>19.9328</v>
      </c>
      <c r="R1669" s="340">
        <v>147483.10247696735</v>
      </c>
      <c r="S1669" s="342">
        <v>113.018</v>
      </c>
      <c r="T1669" s="342">
        <v>118.98099999999999</v>
      </c>
      <c r="U1669" s="342">
        <v>1.0527</v>
      </c>
      <c r="V1669" s="340">
        <v>155255.4619775035</v>
      </c>
      <c r="W1669" s="340">
        <v>-39074.582340242654</v>
      </c>
    </row>
    <row r="1670" spans="2:23" ht="24" customHeight="1">
      <c r="J1670" s="345"/>
      <c r="K1670" s="703"/>
      <c r="L1670" s="342"/>
      <c r="M1670" s="342"/>
      <c r="N1670" s="340"/>
      <c r="O1670" s="703"/>
      <c r="P1670" s="342"/>
      <c r="Q1670" s="363"/>
      <c r="R1670" s="340"/>
      <c r="S1670" s="342"/>
      <c r="T1670" s="342"/>
      <c r="U1670" s="342"/>
      <c r="V1670" s="340"/>
      <c r="W1670" s="340"/>
    </row>
    <row r="1671" spans="2:23" ht="24" customHeight="1">
      <c r="B1671" s="67"/>
      <c r="H1671" s="347">
        <v>44350</v>
      </c>
      <c r="I1671" s="347"/>
      <c r="J1671" s="345"/>
      <c r="K1671" s="703"/>
      <c r="L1671" s="342"/>
      <c r="M1671" s="342"/>
      <c r="N1671" s="340"/>
      <c r="O1671" s="703"/>
      <c r="P1671" s="342"/>
      <c r="Q1671" s="363"/>
      <c r="R1671" s="340"/>
      <c r="S1671" s="342"/>
      <c r="T1671" s="342"/>
      <c r="U1671" s="342"/>
      <c r="V1671" s="340"/>
      <c r="W1671" s="340"/>
    </row>
    <row r="1672" spans="2:23" ht="24" customHeight="1">
      <c r="B1672" s="67"/>
      <c r="I1672" s="3" t="s">
        <v>59</v>
      </c>
      <c r="J1672" s="345">
        <v>73</v>
      </c>
      <c r="K1672" s="703">
        <v>3462.8217391304343</v>
      </c>
      <c r="L1672" s="342">
        <v>1</v>
      </c>
      <c r="M1672" s="342">
        <v>20.703299999999995</v>
      </c>
      <c r="N1672" s="340">
        <v>71691.837311739131</v>
      </c>
      <c r="O1672" s="703">
        <v>4503.9244444444448</v>
      </c>
      <c r="P1672" s="342">
        <v>1</v>
      </c>
      <c r="Q1672" s="363">
        <v>19.892700000000001</v>
      </c>
      <c r="R1672" s="340">
        <v>89595.217796000012</v>
      </c>
      <c r="S1672" s="342">
        <v>113.01800000000001</v>
      </c>
      <c r="T1672" s="342">
        <v>118.98099999999999</v>
      </c>
      <c r="U1672" s="342">
        <v>1.0527</v>
      </c>
      <c r="V1672" s="340">
        <v>94316.885773849208</v>
      </c>
      <c r="W1672" s="340">
        <v>-22625.048462110091</v>
      </c>
    </row>
    <row r="1673" spans="2:23" ht="24" customHeight="1">
      <c r="J1673" s="345"/>
      <c r="K1673" s="703"/>
      <c r="L1673" s="342"/>
      <c r="M1673" s="342"/>
      <c r="N1673" s="340"/>
      <c r="O1673" s="703"/>
      <c r="P1673" s="342"/>
      <c r="Q1673" s="363"/>
      <c r="R1673" s="340"/>
      <c r="S1673" s="342"/>
      <c r="T1673" s="342"/>
      <c r="U1673" s="342"/>
      <c r="V1673" s="340"/>
      <c r="W1673" s="340"/>
    </row>
    <row r="1674" spans="2:23" ht="24" customHeight="1">
      <c r="B1674" s="67"/>
      <c r="F1674" s="346">
        <v>44635</v>
      </c>
      <c r="G1674" s="346"/>
      <c r="H1674" s="346"/>
      <c r="I1674" s="346"/>
      <c r="J1674" s="345"/>
      <c r="K1674" s="703"/>
      <c r="L1674" s="342"/>
      <c r="M1674" s="342"/>
      <c r="N1674" s="340"/>
      <c r="O1674" s="703"/>
      <c r="P1674" s="342"/>
      <c r="Q1674" s="363"/>
      <c r="R1674" s="340"/>
      <c r="S1674" s="342"/>
      <c r="T1674" s="342"/>
      <c r="U1674" s="342"/>
      <c r="V1674" s="340"/>
      <c r="W1674" s="340"/>
    </row>
    <row r="1675" spans="2:23" ht="24" customHeight="1">
      <c r="B1675" s="67"/>
      <c r="G1675" s="3" t="s">
        <v>59</v>
      </c>
      <c r="H1675" s="3"/>
      <c r="I1675" s="3"/>
      <c r="J1675" s="345"/>
      <c r="K1675" s="703"/>
      <c r="L1675" s="342"/>
      <c r="M1675" s="342"/>
      <c r="N1675" s="340"/>
      <c r="O1675" s="703"/>
      <c r="P1675" s="342"/>
      <c r="Q1675" s="363"/>
      <c r="R1675" s="340"/>
      <c r="S1675" s="342"/>
      <c r="T1675" s="342"/>
      <c r="U1675" s="342"/>
      <c r="V1675" s="340"/>
      <c r="W1675" s="340"/>
    </row>
    <row r="1676" spans="2:23" ht="24" customHeight="1">
      <c r="B1676" s="67"/>
      <c r="H1676" s="347">
        <v>44495</v>
      </c>
      <c r="I1676" s="347"/>
      <c r="J1676" s="345"/>
      <c r="K1676" s="703"/>
      <c r="L1676" s="342"/>
      <c r="M1676" s="342"/>
      <c r="N1676" s="340"/>
      <c r="O1676" s="703"/>
      <c r="P1676" s="342"/>
      <c r="Q1676" s="363"/>
      <c r="R1676" s="340"/>
      <c r="S1676" s="342"/>
      <c r="T1676" s="342"/>
      <c r="U1676" s="342"/>
      <c r="V1676" s="340"/>
      <c r="W1676" s="340"/>
    </row>
    <row r="1677" spans="2:23" ht="24" customHeight="1">
      <c r="B1677" s="67"/>
      <c r="I1677" s="3" t="s">
        <v>59</v>
      </c>
      <c r="J1677" s="345">
        <v>147</v>
      </c>
      <c r="K1677" s="703">
        <v>5690.3238709677426</v>
      </c>
      <c r="L1677" s="342">
        <v>1</v>
      </c>
      <c r="M1677" s="342">
        <v>20.9695</v>
      </c>
      <c r="N1677" s="340">
        <v>119323.24641225807</v>
      </c>
      <c r="O1677" s="703">
        <v>10426.581111111111</v>
      </c>
      <c r="P1677" s="342">
        <v>1</v>
      </c>
      <c r="Q1677" s="363">
        <v>20.183700000000005</v>
      </c>
      <c r="R1677" s="340">
        <v>210446.9851723334</v>
      </c>
      <c r="S1677" s="342">
        <v>115.56100000000002</v>
      </c>
      <c r="T1677" s="342">
        <v>118.98099999999999</v>
      </c>
      <c r="U1677" s="342">
        <v>1.0295000000000003</v>
      </c>
      <c r="V1677" s="340">
        <v>216655.17123491724</v>
      </c>
      <c r="W1677" s="340">
        <v>-97331.924822659174</v>
      </c>
    </row>
    <row r="1678" spans="2:23" ht="24" customHeight="1">
      <c r="J1678" s="345"/>
      <c r="K1678" s="703"/>
      <c r="L1678" s="342"/>
      <c r="M1678" s="342"/>
      <c r="N1678" s="340"/>
      <c r="O1678" s="703"/>
      <c r="P1678" s="342"/>
      <c r="Q1678" s="363"/>
      <c r="R1678" s="340"/>
      <c r="S1678" s="342"/>
      <c r="T1678" s="342"/>
      <c r="U1678" s="342"/>
      <c r="V1678" s="340"/>
      <c r="W1678" s="340"/>
    </row>
    <row r="1679" spans="2:23" ht="24" customHeight="1">
      <c r="B1679" s="67"/>
      <c r="H1679" s="347">
        <v>44496</v>
      </c>
      <c r="I1679" s="347"/>
      <c r="J1679" s="345"/>
      <c r="K1679" s="703"/>
      <c r="L1679" s="342"/>
      <c r="M1679" s="342"/>
      <c r="N1679" s="340"/>
      <c r="O1679" s="703"/>
      <c r="P1679" s="342"/>
      <c r="Q1679" s="363"/>
      <c r="R1679" s="340"/>
      <c r="S1679" s="342"/>
      <c r="T1679" s="342"/>
      <c r="U1679" s="342"/>
      <c r="V1679" s="340"/>
      <c r="W1679" s="340"/>
    </row>
    <row r="1680" spans="2:23" ht="24" customHeight="1">
      <c r="B1680" s="67"/>
      <c r="I1680" s="3" t="s">
        <v>59</v>
      </c>
      <c r="J1680" s="345">
        <v>53</v>
      </c>
      <c r="K1680" s="703">
        <v>2095.3761290322577</v>
      </c>
      <c r="L1680" s="342">
        <v>1</v>
      </c>
      <c r="M1680" s="342">
        <v>20.9695</v>
      </c>
      <c r="N1680" s="340">
        <v>43938.98973774194</v>
      </c>
      <c r="O1680" s="703">
        <v>3630.9003174603172</v>
      </c>
      <c r="P1680" s="342">
        <v>1</v>
      </c>
      <c r="Q1680" s="363">
        <v>20.189699999999998</v>
      </c>
      <c r="R1680" s="340">
        <v>73306.788139428565</v>
      </c>
      <c r="S1680" s="342">
        <v>115.56100000000002</v>
      </c>
      <c r="T1680" s="342">
        <v>118.98099999999999</v>
      </c>
      <c r="U1680" s="342">
        <v>1.0295000000000003</v>
      </c>
      <c r="V1680" s="340">
        <v>75469.338389541721</v>
      </c>
      <c r="W1680" s="340">
        <v>-31530.348651799784</v>
      </c>
    </row>
    <row r="1681" spans="2:23" ht="24" customHeight="1">
      <c r="J1681" s="345"/>
      <c r="K1681" s="703"/>
      <c r="L1681" s="342"/>
      <c r="M1681" s="342"/>
      <c r="N1681" s="340"/>
      <c r="O1681" s="703"/>
      <c r="P1681" s="342"/>
      <c r="Q1681" s="363"/>
      <c r="R1681" s="340"/>
      <c r="S1681" s="342"/>
      <c r="T1681" s="342"/>
      <c r="U1681" s="342"/>
      <c r="V1681" s="340"/>
      <c r="W1681" s="340"/>
    </row>
    <row r="1682" spans="2:23" ht="24" customHeight="1">
      <c r="B1682" s="67"/>
      <c r="F1682" s="346">
        <v>44636</v>
      </c>
      <c r="G1682" s="346"/>
      <c r="H1682" s="346"/>
      <c r="I1682" s="346"/>
      <c r="J1682" s="345"/>
      <c r="K1682" s="703"/>
      <c r="L1682" s="342"/>
      <c r="M1682" s="342"/>
      <c r="N1682" s="340"/>
      <c r="O1682" s="703"/>
      <c r="P1682" s="342"/>
      <c r="Q1682" s="363"/>
      <c r="R1682" s="340"/>
      <c r="S1682" s="342"/>
      <c r="T1682" s="342"/>
      <c r="U1682" s="342"/>
      <c r="V1682" s="340"/>
      <c r="W1682" s="340"/>
    </row>
    <row r="1683" spans="2:23" ht="24" customHeight="1">
      <c r="B1683" s="67"/>
      <c r="G1683" s="3" t="s">
        <v>59</v>
      </c>
      <c r="H1683" s="3"/>
      <c r="I1683" s="3"/>
      <c r="J1683" s="345"/>
      <c r="K1683" s="703"/>
      <c r="L1683" s="342"/>
      <c r="M1683" s="342"/>
      <c r="N1683" s="340"/>
      <c r="O1683" s="703"/>
      <c r="P1683" s="342"/>
      <c r="Q1683" s="363"/>
      <c r="R1683" s="340"/>
      <c r="S1683" s="342"/>
      <c r="T1683" s="342"/>
      <c r="U1683" s="342"/>
      <c r="V1683" s="340"/>
      <c r="W1683" s="340"/>
    </row>
    <row r="1684" spans="2:23" ht="24" customHeight="1">
      <c r="B1684" s="67"/>
      <c r="H1684" s="347">
        <v>44496</v>
      </c>
      <c r="I1684" s="347"/>
      <c r="J1684" s="345"/>
      <c r="K1684" s="703"/>
      <c r="L1684" s="342"/>
      <c r="M1684" s="342"/>
      <c r="N1684" s="340"/>
      <c r="O1684" s="703"/>
      <c r="P1684" s="342"/>
      <c r="Q1684" s="363"/>
      <c r="R1684" s="340"/>
      <c r="S1684" s="342"/>
      <c r="T1684" s="342"/>
      <c r="U1684" s="342"/>
      <c r="V1684" s="340"/>
      <c r="W1684" s="340"/>
    </row>
    <row r="1685" spans="2:23" ht="24" customHeight="1">
      <c r="B1685" s="67"/>
      <c r="I1685" s="3" t="s">
        <v>59</v>
      </c>
      <c r="J1685" s="345">
        <v>61</v>
      </c>
      <c r="K1685" s="703">
        <v>2500.6032258064515</v>
      </c>
      <c r="L1685" s="342">
        <v>1</v>
      </c>
      <c r="M1685" s="342">
        <v>20.890799999999999</v>
      </c>
      <c r="N1685" s="340">
        <v>52239.601869677419</v>
      </c>
      <c r="O1685" s="703">
        <v>4246.8296825396819</v>
      </c>
      <c r="P1685" s="342">
        <v>1</v>
      </c>
      <c r="Q1685" s="363">
        <v>20.189699999999998</v>
      </c>
      <c r="R1685" s="340">
        <v>85742.217241571401</v>
      </c>
      <c r="S1685" s="342">
        <v>115.56100000000001</v>
      </c>
      <c r="T1685" s="342">
        <v>118.98099999999999</v>
      </c>
      <c r="U1685" s="342">
        <v>1.0295000000000001</v>
      </c>
      <c r="V1685" s="340">
        <v>88271.612650197771</v>
      </c>
      <c r="W1685" s="340">
        <v>-36032.010780520352</v>
      </c>
    </row>
    <row r="1686" spans="2:23" ht="24" customHeight="1">
      <c r="J1686" s="345"/>
      <c r="K1686" s="703"/>
      <c r="L1686" s="342"/>
      <c r="M1686" s="342"/>
      <c r="N1686" s="340"/>
      <c r="O1686" s="703"/>
      <c r="P1686" s="342"/>
      <c r="Q1686" s="363"/>
      <c r="R1686" s="340"/>
      <c r="S1686" s="342"/>
      <c r="T1686" s="342"/>
      <c r="U1686" s="342"/>
      <c r="V1686" s="340"/>
      <c r="W1686" s="340"/>
    </row>
    <row r="1687" spans="2:23" ht="24" customHeight="1">
      <c r="B1687" s="67"/>
      <c r="H1687" s="347">
        <v>44497</v>
      </c>
      <c r="I1687" s="347"/>
      <c r="J1687" s="345"/>
      <c r="K1687" s="703"/>
      <c r="L1687" s="342"/>
      <c r="M1687" s="342"/>
      <c r="N1687" s="340"/>
      <c r="O1687" s="703"/>
      <c r="P1687" s="342"/>
      <c r="Q1687" s="363"/>
      <c r="R1687" s="340"/>
      <c r="S1687" s="342"/>
      <c r="T1687" s="342"/>
      <c r="U1687" s="342"/>
      <c r="V1687" s="340"/>
      <c r="W1687" s="340"/>
    </row>
    <row r="1688" spans="2:23" ht="24" customHeight="1">
      <c r="B1688" s="67"/>
      <c r="I1688" s="3" t="s">
        <v>59</v>
      </c>
      <c r="J1688" s="345">
        <v>53</v>
      </c>
      <c r="K1688" s="703">
        <v>2152.9103741935487</v>
      </c>
      <c r="L1688" s="342">
        <v>1</v>
      </c>
      <c r="M1688" s="342">
        <v>20.890799999999999</v>
      </c>
      <c r="N1688" s="340">
        <v>44976.020045202582</v>
      </c>
      <c r="O1688" s="703">
        <v>3734.55</v>
      </c>
      <c r="P1688" s="342">
        <v>1</v>
      </c>
      <c r="Q1688" s="363">
        <v>20.188800000000001</v>
      </c>
      <c r="R1688" s="340">
        <v>75396.083039999998</v>
      </c>
      <c r="S1688" s="342">
        <v>115.56099999999999</v>
      </c>
      <c r="T1688" s="342">
        <v>118.98099999999999</v>
      </c>
      <c r="U1688" s="342">
        <v>1.0295000000000001</v>
      </c>
      <c r="V1688" s="340">
        <v>77620.267489680002</v>
      </c>
      <c r="W1688" s="340">
        <v>-32644.247444477427</v>
      </c>
    </row>
    <row r="1689" spans="2:23" ht="24" customHeight="1">
      <c r="J1689" s="345"/>
      <c r="K1689" s="703"/>
      <c r="L1689" s="342"/>
      <c r="M1689" s="342"/>
      <c r="N1689" s="340"/>
      <c r="O1689" s="703"/>
      <c r="P1689" s="342"/>
      <c r="Q1689" s="363"/>
      <c r="R1689" s="340"/>
      <c r="S1689" s="342"/>
      <c r="T1689" s="342"/>
      <c r="U1689" s="342"/>
      <c r="V1689" s="340"/>
      <c r="W1689" s="340"/>
    </row>
    <row r="1690" spans="2:23" ht="24" customHeight="1">
      <c r="B1690" s="67"/>
      <c r="H1690" s="347">
        <v>44532</v>
      </c>
      <c r="I1690" s="347"/>
      <c r="J1690" s="345"/>
      <c r="K1690" s="703"/>
      <c r="L1690" s="342"/>
      <c r="M1690" s="342"/>
      <c r="N1690" s="340"/>
      <c r="O1690" s="703"/>
      <c r="P1690" s="342"/>
      <c r="Q1690" s="363"/>
      <c r="R1690" s="340"/>
      <c r="S1690" s="342"/>
      <c r="T1690" s="342"/>
      <c r="U1690" s="342"/>
      <c r="V1690" s="340"/>
      <c r="W1690" s="340"/>
    </row>
    <row r="1691" spans="2:23" ht="24" customHeight="1">
      <c r="B1691" s="67"/>
      <c r="I1691" s="3" t="s">
        <v>59</v>
      </c>
      <c r="J1691" s="345">
        <v>57</v>
      </c>
      <c r="K1691" s="703">
        <v>2313.9263999999998</v>
      </c>
      <c r="L1691" s="342">
        <v>1</v>
      </c>
      <c r="M1691" s="342">
        <v>20.890799999999999</v>
      </c>
      <c r="N1691" s="340">
        <v>48339.773637119994</v>
      </c>
      <c r="O1691" s="703">
        <v>2897.0333009708738</v>
      </c>
      <c r="P1691" s="342">
        <v>1</v>
      </c>
      <c r="Q1691" s="363">
        <v>21.4453</v>
      </c>
      <c r="R1691" s="340">
        <v>62127.74824931068</v>
      </c>
      <c r="S1691" s="342">
        <v>117.30800000000001</v>
      </c>
      <c r="T1691" s="342">
        <v>118.98099999999999</v>
      </c>
      <c r="U1691" s="342">
        <v>1.0142</v>
      </c>
      <c r="V1691" s="340">
        <v>63009.962274450889</v>
      </c>
      <c r="W1691" s="340">
        <v>-14670.188637330888</v>
      </c>
    </row>
    <row r="1692" spans="2:23" ht="24" customHeight="1">
      <c r="J1692" s="345"/>
      <c r="K1692" s="703"/>
      <c r="L1692" s="342"/>
      <c r="M1692" s="342"/>
      <c r="N1692" s="340"/>
      <c r="O1692" s="703"/>
      <c r="P1692" s="342"/>
      <c r="Q1692" s="363"/>
      <c r="R1692" s="340"/>
      <c r="S1692" s="342"/>
      <c r="T1692" s="342"/>
      <c r="U1692" s="342"/>
      <c r="V1692" s="340"/>
      <c r="W1692" s="340"/>
    </row>
    <row r="1693" spans="2:23" ht="24" customHeight="1">
      <c r="B1693" s="67"/>
      <c r="F1693" s="346">
        <v>44637</v>
      </c>
      <c r="G1693" s="346"/>
      <c r="H1693" s="346"/>
      <c r="I1693" s="346"/>
      <c r="J1693" s="345"/>
      <c r="K1693" s="703"/>
      <c r="L1693" s="342"/>
      <c r="M1693" s="342"/>
      <c r="N1693" s="340"/>
      <c r="O1693" s="703"/>
      <c r="P1693" s="342"/>
      <c r="Q1693" s="363"/>
      <c r="R1693" s="340"/>
      <c r="S1693" s="342"/>
      <c r="T1693" s="342"/>
      <c r="U1693" s="342"/>
      <c r="V1693" s="340"/>
      <c r="W1693" s="340"/>
    </row>
    <row r="1694" spans="2:23" ht="24" customHeight="1">
      <c r="B1694" s="67"/>
      <c r="G1694" s="3" t="s">
        <v>59</v>
      </c>
      <c r="H1694" s="3"/>
      <c r="I1694" s="3"/>
      <c r="J1694" s="345"/>
      <c r="K1694" s="703"/>
      <c r="L1694" s="342"/>
      <c r="M1694" s="342"/>
      <c r="N1694" s="340"/>
      <c r="O1694" s="703"/>
      <c r="P1694" s="342"/>
      <c r="Q1694" s="363"/>
      <c r="R1694" s="340"/>
      <c r="S1694" s="342"/>
      <c r="T1694" s="342"/>
      <c r="U1694" s="342"/>
      <c r="V1694" s="340"/>
      <c r="W1694" s="340"/>
    </row>
    <row r="1695" spans="2:23" ht="24" customHeight="1">
      <c r="B1695" s="67"/>
      <c r="H1695" s="347">
        <v>44532</v>
      </c>
      <c r="I1695" s="347"/>
      <c r="J1695" s="345"/>
      <c r="K1695" s="703"/>
      <c r="L1695" s="342"/>
      <c r="M1695" s="342"/>
      <c r="N1695" s="340"/>
      <c r="O1695" s="703"/>
      <c r="P1695" s="342"/>
      <c r="Q1695" s="363"/>
      <c r="R1695" s="340"/>
      <c r="S1695" s="342"/>
      <c r="T1695" s="342"/>
      <c r="U1695" s="342"/>
      <c r="V1695" s="340"/>
      <c r="W1695" s="340"/>
    </row>
    <row r="1696" spans="2:23" ht="24" customHeight="1">
      <c r="B1696" s="67"/>
      <c r="I1696" s="3" t="s">
        <v>59</v>
      </c>
      <c r="J1696" s="345">
        <v>46</v>
      </c>
      <c r="K1696" s="703">
        <v>1966.85</v>
      </c>
      <c r="L1696" s="342">
        <v>1</v>
      </c>
      <c r="M1696" s="342">
        <v>20.874300000000002</v>
      </c>
      <c r="N1696" s="340">
        <v>41056.616954999998</v>
      </c>
      <c r="O1696" s="703">
        <v>2337.9566990291264</v>
      </c>
      <c r="P1696" s="342">
        <v>1</v>
      </c>
      <c r="Q1696" s="363">
        <v>21.4453</v>
      </c>
      <c r="R1696" s="340">
        <v>50138.182797689326</v>
      </c>
      <c r="S1696" s="342">
        <v>117.30800000000001</v>
      </c>
      <c r="T1696" s="342">
        <v>118.98099999999999</v>
      </c>
      <c r="U1696" s="342">
        <v>1.0142</v>
      </c>
      <c r="V1696" s="340">
        <v>50850.144993416514</v>
      </c>
      <c r="W1696" s="340">
        <v>-9793.5280384165162</v>
      </c>
    </row>
    <row r="1697" spans="2:23" ht="24" customHeight="1">
      <c r="J1697" s="345"/>
      <c r="K1697" s="703"/>
      <c r="L1697" s="342"/>
      <c r="M1697" s="342"/>
      <c r="N1697" s="340"/>
      <c r="O1697" s="703"/>
      <c r="P1697" s="342"/>
      <c r="Q1697" s="363"/>
      <c r="R1697" s="340"/>
      <c r="S1697" s="342"/>
      <c r="T1697" s="342"/>
      <c r="U1697" s="342"/>
      <c r="V1697" s="340"/>
      <c r="W1697" s="340"/>
    </row>
    <row r="1698" spans="2:23" ht="24" customHeight="1">
      <c r="B1698" s="67"/>
      <c r="E1698" s="131" t="s">
        <v>1135</v>
      </c>
      <c r="F1698" s="131"/>
      <c r="G1698" s="131"/>
      <c r="H1698" s="131"/>
      <c r="I1698" s="131"/>
      <c r="J1698" s="704">
        <v>996</v>
      </c>
      <c r="K1698" s="705">
        <v>42485.369999999988</v>
      </c>
      <c r="L1698" s="369">
        <v>1</v>
      </c>
      <c r="M1698" s="377">
        <v>20.891994444444443</v>
      </c>
      <c r="N1698" s="706">
        <v>887425.41719799989</v>
      </c>
      <c r="O1698" s="705">
        <v>63690.404444444437</v>
      </c>
      <c r="P1698" s="369">
        <v>1</v>
      </c>
      <c r="Q1698" s="377">
        <v>20.25711481481482</v>
      </c>
      <c r="R1698" s="706">
        <v>1294229.2511633332</v>
      </c>
      <c r="S1698" s="369">
        <v>114.265574074074</v>
      </c>
      <c r="T1698" s="369">
        <v>118.98099999999985</v>
      </c>
      <c r="U1698" s="369">
        <v>1.0413314814814814</v>
      </c>
      <c r="V1698" s="706">
        <v>1345485.3134875959</v>
      </c>
      <c r="W1698" s="706">
        <v>-458059.89628959645</v>
      </c>
    </row>
    <row r="1699" spans="2:23" ht="24" customHeight="1">
      <c r="J1699" s="345"/>
      <c r="K1699" s="703"/>
      <c r="L1699" s="342"/>
      <c r="M1699" s="342"/>
      <c r="N1699" s="340"/>
      <c r="O1699" s="703"/>
      <c r="P1699" s="342"/>
      <c r="Q1699" s="363"/>
      <c r="R1699" s="340"/>
      <c r="S1699" s="342"/>
      <c r="T1699" s="342"/>
      <c r="U1699" s="342"/>
      <c r="V1699" s="340"/>
      <c r="W1699" s="340"/>
    </row>
    <row r="1700" spans="2:23" ht="24" customHeight="1">
      <c r="B1700" s="67"/>
      <c r="E1700" s="1" t="s">
        <v>892</v>
      </c>
      <c r="J1700" s="345"/>
      <c r="K1700" s="703"/>
      <c r="L1700" s="342"/>
      <c r="M1700" s="342"/>
      <c r="N1700" s="340"/>
      <c r="O1700" s="703"/>
      <c r="P1700" s="342"/>
      <c r="Q1700" s="363"/>
      <c r="R1700" s="340"/>
      <c r="S1700" s="342"/>
      <c r="T1700" s="342"/>
      <c r="U1700" s="342"/>
      <c r="V1700" s="340"/>
      <c r="W1700" s="340"/>
    </row>
    <row r="1701" spans="2:23" ht="24" customHeight="1">
      <c r="B1701" s="67"/>
      <c r="F1701" s="346">
        <v>44671</v>
      </c>
      <c r="G1701" s="346"/>
      <c r="H1701" s="346"/>
      <c r="I1701" s="346"/>
      <c r="J1701" s="345"/>
      <c r="K1701" s="703"/>
      <c r="L1701" s="342"/>
      <c r="M1701" s="342"/>
      <c r="N1701" s="340"/>
      <c r="O1701" s="703"/>
      <c r="P1701" s="342"/>
      <c r="Q1701" s="363"/>
      <c r="R1701" s="340"/>
      <c r="S1701" s="342"/>
      <c r="T1701" s="342"/>
      <c r="U1701" s="342"/>
      <c r="V1701" s="340"/>
      <c r="W1701" s="340"/>
    </row>
    <row r="1702" spans="2:23" ht="24" customHeight="1">
      <c r="B1702" s="67"/>
      <c r="G1702" s="3" t="s">
        <v>59</v>
      </c>
      <c r="H1702" s="3"/>
      <c r="I1702" s="3"/>
      <c r="J1702" s="345"/>
      <c r="K1702" s="703"/>
      <c r="L1702" s="342"/>
      <c r="M1702" s="342"/>
      <c r="N1702" s="340"/>
      <c r="O1702" s="703"/>
      <c r="P1702" s="342"/>
      <c r="Q1702" s="363"/>
      <c r="R1702" s="340"/>
      <c r="S1702" s="342"/>
      <c r="T1702" s="342"/>
      <c r="U1702" s="342"/>
      <c r="V1702" s="340"/>
      <c r="W1702" s="340"/>
    </row>
    <row r="1703" spans="2:23" ht="24" customHeight="1">
      <c r="B1703" s="67"/>
      <c r="H1703" s="347">
        <v>44592</v>
      </c>
      <c r="I1703" s="347"/>
      <c r="J1703" s="345"/>
      <c r="K1703" s="703"/>
      <c r="L1703" s="342"/>
      <c r="M1703" s="342"/>
      <c r="N1703" s="340"/>
      <c r="O1703" s="703"/>
      <c r="P1703" s="342"/>
      <c r="Q1703" s="363"/>
      <c r="R1703" s="340"/>
      <c r="S1703" s="342"/>
      <c r="T1703" s="342"/>
      <c r="U1703" s="342"/>
      <c r="V1703" s="340"/>
      <c r="W1703" s="340"/>
    </row>
    <row r="1704" spans="2:23" ht="24" customHeight="1">
      <c r="B1704" s="67"/>
      <c r="I1704" s="3" t="s">
        <v>59</v>
      </c>
      <c r="J1704" s="345">
        <v>81</v>
      </c>
      <c r="K1704" s="703">
        <v>17559.741386138612</v>
      </c>
      <c r="L1704" s="342">
        <v>1</v>
      </c>
      <c r="M1704" s="342">
        <v>19.9377</v>
      </c>
      <c r="N1704" s="340">
        <v>350100.85583441588</v>
      </c>
      <c r="O1704" s="703">
        <v>34100.370000000003</v>
      </c>
      <c r="P1704" s="342">
        <v>1</v>
      </c>
      <c r="Q1704" s="363">
        <v>20.738299999999999</v>
      </c>
      <c r="R1704" s="340">
        <v>707183.703171</v>
      </c>
      <c r="S1704" s="342">
        <v>118.002</v>
      </c>
      <c r="T1704" s="342">
        <v>120.15900000000001</v>
      </c>
      <c r="U1704" s="342">
        <v>1.0182</v>
      </c>
      <c r="V1704" s="340">
        <v>720054.44656871213</v>
      </c>
      <c r="W1704" s="340">
        <v>-369953.5907342963</v>
      </c>
    </row>
    <row r="1705" spans="2:23" ht="24" customHeight="1">
      <c r="J1705" s="345"/>
      <c r="K1705" s="703"/>
      <c r="L1705" s="342"/>
      <c r="M1705" s="342"/>
      <c r="N1705" s="340"/>
      <c r="O1705" s="703"/>
      <c r="P1705" s="342"/>
      <c r="Q1705" s="363"/>
      <c r="R1705" s="340"/>
      <c r="S1705" s="342"/>
      <c r="T1705" s="342"/>
      <c r="U1705" s="342"/>
      <c r="V1705" s="340"/>
      <c r="W1705" s="340"/>
    </row>
    <row r="1706" spans="2:23" ht="24" customHeight="1">
      <c r="B1706" s="67"/>
      <c r="H1706" s="347">
        <v>44594</v>
      </c>
      <c r="I1706" s="347"/>
      <c r="J1706" s="345"/>
      <c r="K1706" s="703"/>
      <c r="L1706" s="342"/>
      <c r="M1706" s="342"/>
      <c r="N1706" s="340"/>
      <c r="O1706" s="703"/>
      <c r="P1706" s="342"/>
      <c r="Q1706" s="363"/>
      <c r="R1706" s="340"/>
      <c r="S1706" s="342"/>
      <c r="T1706" s="342"/>
      <c r="U1706" s="342"/>
      <c r="V1706" s="340"/>
      <c r="W1706" s="340"/>
    </row>
    <row r="1707" spans="2:23" ht="24" customHeight="1">
      <c r="B1707" s="67"/>
      <c r="I1707" s="3" t="s">
        <v>59</v>
      </c>
      <c r="J1707" s="345">
        <v>20</v>
      </c>
      <c r="K1707" s="703">
        <v>4335.7386138613865</v>
      </c>
      <c r="L1707" s="342">
        <v>1</v>
      </c>
      <c r="M1707" s="342">
        <v>19.9377</v>
      </c>
      <c r="N1707" s="340">
        <v>86444.655761584159</v>
      </c>
      <c r="O1707" s="703">
        <v>8656.68</v>
      </c>
      <c r="P1707" s="342">
        <v>1</v>
      </c>
      <c r="Q1707" s="363">
        <v>20.635200000000001</v>
      </c>
      <c r="R1707" s="340">
        <v>178632.32313600002</v>
      </c>
      <c r="S1707" s="342">
        <v>118.98099999999999</v>
      </c>
      <c r="T1707" s="342">
        <v>120.15900000000001</v>
      </c>
      <c r="U1707" s="342">
        <v>1.0099</v>
      </c>
      <c r="V1707" s="340">
        <v>180400.78313504643</v>
      </c>
      <c r="W1707" s="340">
        <v>-93956.127373462266</v>
      </c>
    </row>
    <row r="1708" spans="2:23" ht="24" customHeight="1">
      <c r="J1708" s="345"/>
      <c r="K1708" s="703"/>
      <c r="L1708" s="342"/>
      <c r="M1708" s="342"/>
      <c r="N1708" s="340"/>
      <c r="O1708" s="703"/>
      <c r="P1708" s="342"/>
      <c r="Q1708" s="363"/>
      <c r="R1708" s="340"/>
      <c r="S1708" s="342"/>
      <c r="T1708" s="342"/>
      <c r="U1708" s="342"/>
      <c r="V1708" s="340"/>
      <c r="W1708" s="340"/>
    </row>
    <row r="1709" spans="2:23" ht="24" customHeight="1">
      <c r="B1709" s="67"/>
      <c r="E1709" s="131" t="s">
        <v>1136</v>
      </c>
      <c r="F1709" s="131"/>
      <c r="G1709" s="131"/>
      <c r="H1709" s="131"/>
      <c r="I1709" s="131"/>
      <c r="J1709" s="704">
        <v>101</v>
      </c>
      <c r="K1709" s="705">
        <v>21895.48</v>
      </c>
      <c r="L1709" s="369">
        <v>1</v>
      </c>
      <c r="M1709" s="377">
        <v>19.9377</v>
      </c>
      <c r="N1709" s="706">
        <v>436545.51159600005</v>
      </c>
      <c r="O1709" s="705">
        <v>42757.05</v>
      </c>
      <c r="P1709" s="369">
        <v>1</v>
      </c>
      <c r="Q1709" s="377">
        <v>20.712524999999999</v>
      </c>
      <c r="R1709" s="706">
        <v>885816.02630700008</v>
      </c>
      <c r="S1709" s="369">
        <v>118.24674999999999</v>
      </c>
      <c r="T1709" s="369">
        <v>120.15900000000001</v>
      </c>
      <c r="U1709" s="369">
        <v>1.0161249999999999</v>
      </c>
      <c r="V1709" s="706">
        <v>900455.22970375861</v>
      </c>
      <c r="W1709" s="706">
        <v>-463909.71810775856</v>
      </c>
    </row>
    <row r="1710" spans="2:23" ht="24" customHeight="1">
      <c r="J1710" s="345"/>
      <c r="K1710" s="703"/>
      <c r="L1710" s="342"/>
      <c r="M1710" s="342"/>
      <c r="N1710" s="340"/>
      <c r="O1710" s="703"/>
      <c r="P1710" s="342"/>
      <c r="Q1710" s="363"/>
      <c r="R1710" s="340"/>
      <c r="S1710" s="342"/>
      <c r="T1710" s="342"/>
      <c r="U1710" s="342"/>
      <c r="V1710" s="340"/>
      <c r="W1710" s="340"/>
    </row>
    <row r="1711" spans="2:23" ht="24" customHeight="1">
      <c r="B1711" s="67"/>
      <c r="E1711" s="1" t="s">
        <v>731</v>
      </c>
      <c r="J1711" s="345"/>
      <c r="K1711" s="703"/>
      <c r="L1711" s="342"/>
      <c r="M1711" s="342"/>
      <c r="N1711" s="340"/>
      <c r="O1711" s="703"/>
      <c r="P1711" s="342"/>
      <c r="Q1711" s="363"/>
      <c r="R1711" s="340"/>
      <c r="S1711" s="342"/>
      <c r="T1711" s="342"/>
      <c r="U1711" s="342"/>
      <c r="V1711" s="340"/>
      <c r="W1711" s="340"/>
    </row>
    <row r="1712" spans="2:23" ht="24" customHeight="1">
      <c r="B1712" s="67"/>
      <c r="F1712" s="346">
        <v>44783</v>
      </c>
      <c r="G1712" s="346"/>
      <c r="H1712" s="346"/>
      <c r="I1712" s="346"/>
      <c r="J1712" s="345"/>
      <c r="K1712" s="703"/>
      <c r="L1712" s="342"/>
      <c r="M1712" s="342"/>
      <c r="N1712" s="340"/>
      <c r="O1712" s="703"/>
      <c r="P1712" s="342"/>
      <c r="Q1712" s="363"/>
      <c r="R1712" s="340"/>
      <c r="S1712" s="342"/>
      <c r="T1712" s="342"/>
      <c r="U1712" s="342"/>
      <c r="V1712" s="340"/>
      <c r="W1712" s="340"/>
    </row>
    <row r="1713" spans="2:23" ht="24" customHeight="1">
      <c r="B1713" s="67"/>
      <c r="G1713" s="3" t="s">
        <v>59</v>
      </c>
      <c r="H1713" s="3"/>
      <c r="I1713" s="3"/>
      <c r="J1713" s="345"/>
      <c r="K1713" s="703"/>
      <c r="L1713" s="342"/>
      <c r="M1713" s="342"/>
      <c r="N1713" s="340"/>
      <c r="O1713" s="703"/>
      <c r="P1713" s="342"/>
      <c r="Q1713" s="363"/>
      <c r="R1713" s="340"/>
      <c r="S1713" s="342"/>
      <c r="T1713" s="342"/>
      <c r="U1713" s="342"/>
      <c r="V1713" s="340"/>
      <c r="W1713" s="340"/>
    </row>
    <row r="1714" spans="2:23" ht="24" customHeight="1">
      <c r="B1714" s="67"/>
      <c r="H1714" s="347">
        <v>44174</v>
      </c>
      <c r="I1714" s="347"/>
      <c r="J1714" s="345"/>
      <c r="K1714" s="703"/>
      <c r="L1714" s="342"/>
      <c r="M1714" s="342"/>
      <c r="N1714" s="340"/>
      <c r="O1714" s="703"/>
      <c r="P1714" s="342"/>
      <c r="Q1714" s="363"/>
      <c r="R1714" s="340"/>
      <c r="S1714" s="342"/>
      <c r="T1714" s="342"/>
      <c r="U1714" s="342"/>
      <c r="V1714" s="340"/>
      <c r="W1714" s="340"/>
    </row>
    <row r="1715" spans="2:23" ht="24" customHeight="1">
      <c r="B1715" s="67"/>
      <c r="I1715" s="3" t="s">
        <v>59</v>
      </c>
      <c r="J1715" s="345">
        <v>15</v>
      </c>
      <c r="K1715" s="703">
        <v>1337.7583333333332</v>
      </c>
      <c r="L1715" s="342">
        <v>1</v>
      </c>
      <c r="M1715" s="342">
        <v>20.2789</v>
      </c>
      <c r="N1715" s="340">
        <v>27128.267465833331</v>
      </c>
      <c r="O1715" s="703">
        <v>1095.245789473684</v>
      </c>
      <c r="P1715" s="342">
        <v>1</v>
      </c>
      <c r="Q1715" s="363">
        <v>19.821300000000001</v>
      </c>
      <c r="R1715" s="340">
        <v>21709.195366894735</v>
      </c>
      <c r="S1715" s="342">
        <v>109.271</v>
      </c>
      <c r="T1715" s="342">
        <v>122.94799999999999</v>
      </c>
      <c r="U1715" s="342">
        <v>1.1251</v>
      </c>
      <c r="V1715" s="340">
        <v>24425.015707293267</v>
      </c>
      <c r="W1715" s="340">
        <v>2703.2517585400637</v>
      </c>
    </row>
    <row r="1716" spans="2:23" ht="24" customHeight="1">
      <c r="J1716" s="345"/>
      <c r="K1716" s="703"/>
      <c r="L1716" s="342"/>
      <c r="M1716" s="342"/>
      <c r="N1716" s="340"/>
      <c r="O1716" s="703"/>
      <c r="P1716" s="342"/>
      <c r="Q1716" s="363"/>
      <c r="R1716" s="340"/>
      <c r="S1716" s="342"/>
      <c r="T1716" s="342"/>
      <c r="U1716" s="342"/>
      <c r="V1716" s="340"/>
      <c r="W1716" s="340"/>
    </row>
    <row r="1717" spans="2:23" ht="24" customHeight="1">
      <c r="B1717" s="67"/>
      <c r="H1717" s="347">
        <v>44179</v>
      </c>
      <c r="I1717" s="347"/>
      <c r="J1717" s="345"/>
      <c r="K1717" s="703"/>
      <c r="L1717" s="342"/>
      <c r="M1717" s="342"/>
      <c r="N1717" s="340"/>
      <c r="O1717" s="703"/>
      <c r="P1717" s="342"/>
      <c r="Q1717" s="363"/>
      <c r="R1717" s="340"/>
      <c r="S1717" s="342"/>
      <c r="T1717" s="342"/>
      <c r="U1717" s="342"/>
      <c r="V1717" s="340"/>
      <c r="W1717" s="340"/>
    </row>
    <row r="1718" spans="2:23" ht="24" customHeight="1">
      <c r="B1718" s="67"/>
      <c r="I1718" s="3" t="s">
        <v>59</v>
      </c>
      <c r="J1718" s="345">
        <v>113</v>
      </c>
      <c r="K1718" s="703">
        <v>10077.779444444444</v>
      </c>
      <c r="L1718" s="342">
        <v>1</v>
      </c>
      <c r="M1718" s="342">
        <v>20.2789</v>
      </c>
      <c r="N1718" s="340">
        <v>204366.28157594445</v>
      </c>
      <c r="O1718" s="703">
        <v>8463.98</v>
      </c>
      <c r="P1718" s="342">
        <v>1</v>
      </c>
      <c r="Q1718" s="363">
        <v>19.9572</v>
      </c>
      <c r="R1718" s="340">
        <v>168917.341656</v>
      </c>
      <c r="S1718" s="342">
        <v>109.271</v>
      </c>
      <c r="T1718" s="342">
        <v>122.94799999999999</v>
      </c>
      <c r="U1718" s="342">
        <v>1.1251</v>
      </c>
      <c r="V1718" s="340">
        <v>190048.9010971656</v>
      </c>
      <c r="W1718" s="340">
        <v>14317.380478778854</v>
      </c>
    </row>
    <row r="1719" spans="2:23" ht="24" customHeight="1">
      <c r="J1719" s="345"/>
      <c r="K1719" s="703"/>
      <c r="L1719" s="342"/>
      <c r="M1719" s="342"/>
      <c r="N1719" s="340"/>
      <c r="O1719" s="703"/>
      <c r="P1719" s="342"/>
      <c r="Q1719" s="363"/>
      <c r="R1719" s="340"/>
      <c r="S1719" s="342"/>
      <c r="T1719" s="342"/>
      <c r="U1719" s="342"/>
      <c r="V1719" s="340"/>
      <c r="W1719" s="340"/>
    </row>
    <row r="1720" spans="2:23" ht="24" customHeight="1">
      <c r="B1720" s="67"/>
      <c r="H1720" s="347">
        <v>44180</v>
      </c>
      <c r="I1720" s="347"/>
      <c r="J1720" s="345"/>
      <c r="K1720" s="703"/>
      <c r="L1720" s="342"/>
      <c r="M1720" s="342"/>
      <c r="N1720" s="340"/>
      <c r="O1720" s="703"/>
      <c r="P1720" s="342"/>
      <c r="Q1720" s="363"/>
      <c r="R1720" s="340"/>
      <c r="S1720" s="342"/>
      <c r="T1720" s="342"/>
      <c r="U1720" s="342"/>
      <c r="V1720" s="340"/>
      <c r="W1720" s="340"/>
    </row>
    <row r="1721" spans="2:23" ht="24" customHeight="1">
      <c r="B1721" s="67"/>
      <c r="I1721" s="3" t="s">
        <v>59</v>
      </c>
      <c r="J1721" s="345">
        <v>55</v>
      </c>
      <c r="K1721" s="703">
        <v>4903.6822222222227</v>
      </c>
      <c r="L1721" s="342">
        <v>1</v>
      </c>
      <c r="M1721" s="342">
        <v>20.2789</v>
      </c>
      <c r="N1721" s="340">
        <v>99441.28141622222</v>
      </c>
      <c r="O1721" s="703">
        <v>4102.440833333334</v>
      </c>
      <c r="P1721" s="342">
        <v>1</v>
      </c>
      <c r="Q1721" s="363">
        <v>20.107500000000002</v>
      </c>
      <c r="R1721" s="340">
        <v>82489.829056250019</v>
      </c>
      <c r="S1721" s="342">
        <v>109.271</v>
      </c>
      <c r="T1721" s="342">
        <v>122.94799999999999</v>
      </c>
      <c r="U1721" s="342">
        <v>1.1251</v>
      </c>
      <c r="V1721" s="340">
        <v>92809.306671186903</v>
      </c>
      <c r="W1721" s="340">
        <v>6631.9747450353316</v>
      </c>
    </row>
    <row r="1722" spans="2:23" ht="24" customHeight="1">
      <c r="J1722" s="345"/>
      <c r="K1722" s="703"/>
      <c r="L1722" s="342"/>
      <c r="M1722" s="342"/>
      <c r="N1722" s="340"/>
      <c r="O1722" s="703"/>
      <c r="P1722" s="342"/>
      <c r="Q1722" s="363"/>
      <c r="R1722" s="340"/>
      <c r="S1722" s="342"/>
      <c r="T1722" s="342"/>
      <c r="U1722" s="342"/>
      <c r="V1722" s="340"/>
      <c r="W1722" s="340"/>
    </row>
    <row r="1723" spans="2:23" ht="24" customHeight="1">
      <c r="B1723" s="67"/>
      <c r="F1723" s="346">
        <v>44847</v>
      </c>
      <c r="G1723" s="346"/>
      <c r="H1723" s="346"/>
      <c r="I1723" s="346"/>
      <c r="J1723" s="345"/>
      <c r="K1723" s="703"/>
      <c r="L1723" s="342"/>
      <c r="M1723" s="342"/>
      <c r="N1723" s="340"/>
      <c r="O1723" s="703"/>
      <c r="P1723" s="342"/>
      <c r="Q1723" s="363"/>
      <c r="R1723" s="340"/>
      <c r="S1723" s="342"/>
      <c r="T1723" s="342"/>
      <c r="U1723" s="342"/>
      <c r="V1723" s="340"/>
      <c r="W1723" s="340"/>
    </row>
    <row r="1724" spans="2:23" ht="24" customHeight="1">
      <c r="B1724" s="67"/>
      <c r="G1724" s="3" t="s">
        <v>59</v>
      </c>
      <c r="H1724" s="3"/>
      <c r="I1724" s="3"/>
      <c r="J1724" s="345"/>
      <c r="K1724" s="703"/>
      <c r="L1724" s="342"/>
      <c r="M1724" s="342"/>
      <c r="N1724" s="340"/>
      <c r="O1724" s="703"/>
      <c r="P1724" s="342"/>
      <c r="Q1724" s="363"/>
      <c r="R1724" s="340"/>
      <c r="S1724" s="342"/>
      <c r="T1724" s="342"/>
      <c r="U1724" s="342"/>
      <c r="V1724" s="340"/>
      <c r="W1724" s="340"/>
    </row>
    <row r="1725" spans="2:23" ht="24" customHeight="1">
      <c r="B1725" s="67"/>
      <c r="H1725" s="347">
        <v>44259</v>
      </c>
      <c r="I1725" s="347"/>
      <c r="J1725" s="345"/>
      <c r="K1725" s="703"/>
      <c r="L1725" s="342"/>
      <c r="M1725" s="342"/>
      <c r="N1725" s="340"/>
      <c r="O1725" s="703"/>
      <c r="P1725" s="342"/>
      <c r="Q1725" s="363"/>
      <c r="R1725" s="340"/>
      <c r="S1725" s="342"/>
      <c r="T1725" s="342"/>
      <c r="U1725" s="342"/>
      <c r="V1725" s="340"/>
      <c r="W1725" s="340"/>
    </row>
    <row r="1726" spans="2:23" ht="24" customHeight="1">
      <c r="B1726" s="67"/>
      <c r="I1726" s="3" t="s">
        <v>59</v>
      </c>
      <c r="J1726" s="345">
        <v>217</v>
      </c>
      <c r="K1726" s="703">
        <v>15472.953394495413</v>
      </c>
      <c r="L1726" s="342">
        <v>1</v>
      </c>
      <c r="M1726" s="342">
        <v>19.965199999999999</v>
      </c>
      <c r="N1726" s="340">
        <v>308920.60911177984</v>
      </c>
      <c r="O1726" s="703">
        <v>15794.539090909093</v>
      </c>
      <c r="P1726" s="342">
        <v>1</v>
      </c>
      <c r="Q1726" s="363">
        <v>20.690300000000001</v>
      </c>
      <c r="R1726" s="340">
        <v>326793.75215263641</v>
      </c>
      <c r="S1726" s="342">
        <v>111.824</v>
      </c>
      <c r="T1726" s="342">
        <v>124.571</v>
      </c>
      <c r="U1726" s="342">
        <v>1.1138999999999999</v>
      </c>
      <c r="V1726" s="340">
        <v>364015.56052282167</v>
      </c>
      <c r="W1726" s="340">
        <v>-55094.951411041839</v>
      </c>
    </row>
    <row r="1727" spans="2:23" ht="24" customHeight="1">
      <c r="J1727" s="345"/>
      <c r="K1727" s="703"/>
      <c r="L1727" s="342"/>
      <c r="M1727" s="342"/>
      <c r="N1727" s="340"/>
      <c r="O1727" s="703"/>
      <c r="P1727" s="342"/>
      <c r="Q1727" s="363"/>
      <c r="R1727" s="340"/>
      <c r="S1727" s="342"/>
      <c r="T1727" s="342"/>
      <c r="U1727" s="342"/>
      <c r="V1727" s="340"/>
      <c r="W1727" s="340"/>
    </row>
    <row r="1728" spans="2:23" ht="24" customHeight="1">
      <c r="B1728" s="67"/>
      <c r="H1728" s="347">
        <v>44180</v>
      </c>
      <c r="I1728" s="347"/>
      <c r="J1728" s="345"/>
      <c r="K1728" s="703"/>
      <c r="L1728" s="342"/>
      <c r="M1728" s="342"/>
      <c r="N1728" s="340"/>
      <c r="O1728" s="703"/>
      <c r="P1728" s="342"/>
      <c r="Q1728" s="363"/>
      <c r="R1728" s="340"/>
      <c r="S1728" s="342"/>
      <c r="T1728" s="342"/>
      <c r="U1728" s="342"/>
      <c r="V1728" s="340"/>
      <c r="W1728" s="340"/>
    </row>
    <row r="1729" spans="2:23" ht="24" customHeight="1">
      <c r="B1729" s="67"/>
      <c r="I1729" s="3" t="s">
        <v>59</v>
      </c>
      <c r="J1729" s="345">
        <v>65</v>
      </c>
      <c r="K1729" s="703">
        <v>4635.4854357798167</v>
      </c>
      <c r="L1729" s="342">
        <v>1</v>
      </c>
      <c r="M1729" s="342">
        <v>19.965199999999999</v>
      </c>
      <c r="N1729" s="340">
        <v>92548.393822431201</v>
      </c>
      <c r="O1729" s="703">
        <v>4848.3391666666676</v>
      </c>
      <c r="P1729" s="342">
        <v>1</v>
      </c>
      <c r="Q1729" s="363">
        <v>20.107500000000002</v>
      </c>
      <c r="R1729" s="340">
        <v>97487.979793750026</v>
      </c>
      <c r="S1729" s="342">
        <v>109.271</v>
      </c>
      <c r="T1729" s="342">
        <v>124.571</v>
      </c>
      <c r="U1729" s="342">
        <v>1.1399999999999999</v>
      </c>
      <c r="V1729" s="340">
        <v>111136.29696487501</v>
      </c>
      <c r="W1729" s="340">
        <v>-18587.903142443814</v>
      </c>
    </row>
    <row r="1730" spans="2:23" ht="24" customHeight="1">
      <c r="J1730" s="345"/>
      <c r="K1730" s="703"/>
      <c r="L1730" s="342"/>
      <c r="M1730" s="342"/>
      <c r="N1730" s="340"/>
      <c r="O1730" s="703"/>
      <c r="P1730" s="342"/>
      <c r="Q1730" s="363"/>
      <c r="R1730" s="340"/>
      <c r="S1730" s="342"/>
      <c r="T1730" s="342"/>
      <c r="U1730" s="342"/>
      <c r="V1730" s="340"/>
      <c r="W1730" s="340"/>
    </row>
    <row r="1731" spans="2:23" ht="24" customHeight="1">
      <c r="B1731" s="67"/>
      <c r="H1731" s="347">
        <v>44194</v>
      </c>
      <c r="I1731" s="347"/>
      <c r="J1731" s="345"/>
      <c r="K1731" s="703"/>
      <c r="L1731" s="342"/>
      <c r="M1731" s="342"/>
      <c r="N1731" s="340"/>
      <c r="O1731" s="703"/>
      <c r="P1731" s="342"/>
      <c r="Q1731" s="363"/>
      <c r="R1731" s="340"/>
      <c r="S1731" s="342"/>
      <c r="T1731" s="342"/>
      <c r="U1731" s="342"/>
      <c r="V1731" s="340"/>
      <c r="W1731" s="340"/>
    </row>
    <row r="1732" spans="2:23" ht="24" customHeight="1">
      <c r="B1732" s="67"/>
      <c r="I1732" s="3" t="s">
        <v>59</v>
      </c>
      <c r="J1732" s="345">
        <v>120</v>
      </c>
      <c r="K1732" s="703">
        <v>8557.8192660550449</v>
      </c>
      <c r="L1732" s="342">
        <v>1</v>
      </c>
      <c r="M1732" s="342">
        <v>19.965199999999999</v>
      </c>
      <c r="N1732" s="340">
        <v>170858.57321064218</v>
      </c>
      <c r="O1732" s="703">
        <v>9052.5400000000009</v>
      </c>
      <c r="P1732" s="342">
        <v>1</v>
      </c>
      <c r="Q1732" s="363">
        <v>19.851700000000001</v>
      </c>
      <c r="R1732" s="340">
        <v>179708.30831800002</v>
      </c>
      <c r="S1732" s="342">
        <v>109.271</v>
      </c>
      <c r="T1732" s="342">
        <v>124.571</v>
      </c>
      <c r="U1732" s="342">
        <v>1.1399999999999999</v>
      </c>
      <c r="V1732" s="340">
        <v>204867.47148252002</v>
      </c>
      <c r="W1732" s="340">
        <v>-34008.898271877842</v>
      </c>
    </row>
    <row r="1733" spans="2:23" ht="24" customHeight="1">
      <c r="J1733" s="345"/>
      <c r="K1733" s="703"/>
      <c r="L1733" s="342"/>
      <c r="M1733" s="342"/>
      <c r="N1733" s="340"/>
      <c r="O1733" s="703"/>
      <c r="P1733" s="342"/>
      <c r="Q1733" s="363"/>
      <c r="R1733" s="340"/>
      <c r="S1733" s="342"/>
      <c r="T1733" s="342"/>
      <c r="U1733" s="342"/>
      <c r="V1733" s="340"/>
      <c r="W1733" s="340"/>
    </row>
    <row r="1734" spans="2:23" ht="24" customHeight="1">
      <c r="B1734" s="67"/>
      <c r="H1734" s="347">
        <v>44257</v>
      </c>
      <c r="I1734" s="347"/>
      <c r="J1734" s="345"/>
      <c r="K1734" s="703"/>
      <c r="L1734" s="342"/>
      <c r="M1734" s="342"/>
      <c r="N1734" s="340"/>
      <c r="O1734" s="703"/>
      <c r="P1734" s="342"/>
      <c r="Q1734" s="363"/>
      <c r="R1734" s="340"/>
      <c r="S1734" s="342"/>
      <c r="T1734" s="342"/>
      <c r="U1734" s="342"/>
      <c r="V1734" s="340"/>
      <c r="W1734" s="340"/>
    </row>
    <row r="1735" spans="2:23" ht="24" customHeight="1">
      <c r="B1735" s="67"/>
      <c r="I1735" s="3" t="s">
        <v>59</v>
      </c>
      <c r="J1735" s="345">
        <v>43</v>
      </c>
      <c r="K1735" s="703">
        <v>3066.5519036697247</v>
      </c>
      <c r="L1735" s="342">
        <v>1</v>
      </c>
      <c r="M1735" s="342">
        <v>19.965199999999999</v>
      </c>
      <c r="N1735" s="340">
        <v>61224.322067146786</v>
      </c>
      <c r="O1735" s="703">
        <v>3282.2708547008542</v>
      </c>
      <c r="P1735" s="342">
        <v>1</v>
      </c>
      <c r="Q1735" s="363">
        <v>20.939</v>
      </c>
      <c r="R1735" s="340">
        <v>68727.469426581185</v>
      </c>
      <c r="S1735" s="342">
        <v>111.824</v>
      </c>
      <c r="T1735" s="342">
        <v>124.571</v>
      </c>
      <c r="U1735" s="342">
        <v>1.1138999999999999</v>
      </c>
      <c r="V1735" s="340">
        <v>76555.528194268772</v>
      </c>
      <c r="W1735" s="340">
        <v>-15331.206127121986</v>
      </c>
    </row>
    <row r="1736" spans="2:23" ht="24" customHeight="1">
      <c r="J1736" s="345"/>
      <c r="K1736" s="703"/>
      <c r="L1736" s="342"/>
      <c r="M1736" s="342"/>
      <c r="N1736" s="340"/>
      <c r="O1736" s="703"/>
      <c r="P1736" s="342"/>
      <c r="Q1736" s="363"/>
      <c r="R1736" s="340"/>
      <c r="S1736" s="342"/>
      <c r="T1736" s="342"/>
      <c r="U1736" s="342"/>
      <c r="V1736" s="340"/>
      <c r="W1736" s="340"/>
    </row>
    <row r="1737" spans="2:23" ht="24" customHeight="1">
      <c r="B1737" s="67"/>
      <c r="E1737" s="131" t="s">
        <v>1137</v>
      </c>
      <c r="F1737" s="131"/>
      <c r="G1737" s="131"/>
      <c r="H1737" s="131"/>
      <c r="I1737" s="131"/>
      <c r="J1737" s="704">
        <v>628</v>
      </c>
      <c r="K1737" s="705">
        <v>48052.03</v>
      </c>
      <c r="L1737" s="369">
        <v>1</v>
      </c>
      <c r="M1737" s="377">
        <v>20.104622222222226</v>
      </c>
      <c r="N1737" s="706">
        <v>964487.72866999998</v>
      </c>
      <c r="O1737" s="705">
        <v>46639.355735083627</v>
      </c>
      <c r="P1737" s="369">
        <v>1</v>
      </c>
      <c r="Q1737" s="377">
        <v>20.252477777777777</v>
      </c>
      <c r="R1737" s="706">
        <v>945833.87577011238</v>
      </c>
      <c r="S1737" s="369">
        <v>110.12199999999999</v>
      </c>
      <c r="T1737" s="369">
        <v>123.84966666666666</v>
      </c>
      <c r="U1737" s="369">
        <v>1.1246777777777777</v>
      </c>
      <c r="V1737" s="706">
        <v>1063858.0806401311</v>
      </c>
      <c r="W1737" s="706">
        <v>-99370.351970131233</v>
      </c>
    </row>
    <row r="1738" spans="2:23" ht="24" customHeight="1">
      <c r="J1738" s="345"/>
      <c r="K1738" s="703"/>
      <c r="L1738" s="342"/>
      <c r="M1738" s="342"/>
      <c r="N1738" s="340"/>
      <c r="O1738" s="703"/>
      <c r="P1738" s="342"/>
      <c r="Q1738" s="363"/>
      <c r="R1738" s="340"/>
      <c r="S1738" s="342"/>
      <c r="T1738" s="342"/>
      <c r="U1738" s="342"/>
      <c r="V1738" s="340"/>
      <c r="W1738" s="340"/>
    </row>
    <row r="1739" spans="2:23" ht="24" customHeight="1">
      <c r="B1739" s="67"/>
      <c r="E1739" s="1" t="s">
        <v>879</v>
      </c>
      <c r="J1739" s="345"/>
      <c r="K1739" s="703"/>
      <c r="L1739" s="342"/>
      <c r="M1739" s="342"/>
      <c r="N1739" s="340"/>
      <c r="O1739" s="703"/>
      <c r="P1739" s="342"/>
      <c r="Q1739" s="363"/>
      <c r="R1739" s="340"/>
      <c r="S1739" s="342"/>
      <c r="T1739" s="342"/>
      <c r="U1739" s="342"/>
      <c r="V1739" s="340"/>
      <c r="W1739" s="340"/>
    </row>
    <row r="1740" spans="2:23" ht="24" customHeight="1">
      <c r="B1740" s="67"/>
      <c r="F1740" s="346">
        <v>44634</v>
      </c>
      <c r="G1740" s="346"/>
      <c r="H1740" s="346"/>
      <c r="I1740" s="346"/>
      <c r="J1740" s="345"/>
      <c r="K1740" s="703"/>
      <c r="L1740" s="342"/>
      <c r="M1740" s="342"/>
      <c r="N1740" s="340"/>
      <c r="O1740" s="703"/>
      <c r="P1740" s="342"/>
      <c r="Q1740" s="363"/>
      <c r="R1740" s="340"/>
      <c r="S1740" s="342"/>
      <c r="T1740" s="342"/>
      <c r="U1740" s="342"/>
      <c r="V1740" s="340"/>
      <c r="W1740" s="340"/>
    </row>
    <row r="1741" spans="2:23" ht="24" customHeight="1">
      <c r="B1741" s="67"/>
      <c r="G1741" s="3" t="s">
        <v>59</v>
      </c>
      <c r="H1741" s="3"/>
      <c r="I1741" s="3"/>
      <c r="J1741" s="345"/>
      <c r="K1741" s="703"/>
      <c r="L1741" s="342"/>
      <c r="M1741" s="342"/>
      <c r="N1741" s="340"/>
      <c r="O1741" s="703"/>
      <c r="P1741" s="342"/>
      <c r="Q1741" s="363"/>
      <c r="R1741" s="340"/>
      <c r="S1741" s="342"/>
      <c r="T1741" s="342"/>
      <c r="U1741" s="342"/>
      <c r="V1741" s="340"/>
      <c r="W1741" s="340"/>
    </row>
    <row r="1742" spans="2:23" ht="24" customHeight="1">
      <c r="B1742" s="67"/>
      <c r="H1742" s="347">
        <v>44141</v>
      </c>
      <c r="I1742" s="347"/>
      <c r="J1742" s="345"/>
      <c r="K1742" s="703"/>
      <c r="L1742" s="342"/>
      <c r="M1742" s="342"/>
      <c r="N1742" s="340"/>
      <c r="O1742" s="703"/>
      <c r="P1742" s="342"/>
      <c r="Q1742" s="363"/>
      <c r="R1742" s="340"/>
      <c r="S1742" s="342"/>
      <c r="T1742" s="342"/>
      <c r="U1742" s="342"/>
      <c r="V1742" s="340"/>
      <c r="W1742" s="340"/>
    </row>
    <row r="1743" spans="2:23" ht="24" customHeight="1">
      <c r="B1743" s="67"/>
      <c r="I1743" s="3" t="s">
        <v>59</v>
      </c>
      <c r="J1743" s="345">
        <v>138</v>
      </c>
      <c r="K1743" s="703">
        <v>16246.350902255639</v>
      </c>
      <c r="L1743" s="342">
        <v>1</v>
      </c>
      <c r="M1743" s="342">
        <v>20.974299999999999</v>
      </c>
      <c r="N1743" s="340">
        <v>340755.83772918046</v>
      </c>
      <c r="O1743" s="703">
        <v>17842.02</v>
      </c>
      <c r="P1743" s="342">
        <v>1</v>
      </c>
      <c r="Q1743" s="363">
        <v>21.034500000000001</v>
      </c>
      <c r="R1743" s="340">
        <v>375297.96969000006</v>
      </c>
      <c r="S1743" s="342">
        <v>108.85599999999999</v>
      </c>
      <c r="T1743" s="342">
        <v>118.98099999999999</v>
      </c>
      <c r="U1743" s="342">
        <v>1.093</v>
      </c>
      <c r="V1743" s="340">
        <v>410200.68087117007</v>
      </c>
      <c r="W1743" s="340">
        <v>-69444.843141989608</v>
      </c>
    </row>
    <row r="1744" spans="2:23" ht="24" customHeight="1">
      <c r="J1744" s="345"/>
      <c r="K1744" s="703"/>
      <c r="L1744" s="342"/>
      <c r="M1744" s="342"/>
      <c r="N1744" s="340"/>
      <c r="O1744" s="703"/>
      <c r="P1744" s="342"/>
      <c r="Q1744" s="363"/>
      <c r="R1744" s="340"/>
      <c r="S1744" s="342"/>
      <c r="T1744" s="342"/>
      <c r="U1744" s="342"/>
      <c r="V1744" s="340"/>
      <c r="W1744" s="340"/>
    </row>
    <row r="1745" spans="2:23" ht="24" customHeight="1">
      <c r="B1745" s="67"/>
      <c r="H1745" s="347">
        <v>44104</v>
      </c>
      <c r="I1745" s="347"/>
      <c r="J1745" s="345"/>
      <c r="K1745" s="703"/>
      <c r="L1745" s="342"/>
      <c r="M1745" s="342"/>
      <c r="N1745" s="340"/>
      <c r="O1745" s="703"/>
      <c r="P1745" s="342"/>
      <c r="Q1745" s="363"/>
      <c r="R1745" s="340"/>
      <c r="S1745" s="342"/>
      <c r="T1745" s="342"/>
      <c r="U1745" s="342"/>
      <c r="V1745" s="340"/>
      <c r="W1745" s="340"/>
    </row>
    <row r="1746" spans="2:23" ht="24" customHeight="1">
      <c r="B1746" s="67"/>
      <c r="I1746" s="3" t="s">
        <v>59</v>
      </c>
      <c r="J1746" s="345">
        <v>38</v>
      </c>
      <c r="K1746" s="703">
        <v>4473.6328571428576</v>
      </c>
      <c r="L1746" s="342">
        <v>1</v>
      </c>
      <c r="M1746" s="342">
        <v>20.974299999999999</v>
      </c>
      <c r="N1746" s="340">
        <v>93831.317635571439</v>
      </c>
      <c r="O1746" s="703">
        <v>4793.2781999999997</v>
      </c>
      <c r="P1746" s="342">
        <v>1</v>
      </c>
      <c r="Q1746" s="363">
        <v>22.4573</v>
      </c>
      <c r="R1746" s="340">
        <v>107644.08652086</v>
      </c>
      <c r="S1746" s="342">
        <v>108.114</v>
      </c>
      <c r="T1746" s="342">
        <v>118.98099999999999</v>
      </c>
      <c r="U1746" s="342">
        <v>1.1005</v>
      </c>
      <c r="V1746" s="340">
        <v>118462.31721620643</v>
      </c>
      <c r="W1746" s="340">
        <v>-24630.999580634991</v>
      </c>
    </row>
    <row r="1747" spans="2:23" ht="24" customHeight="1">
      <c r="J1747" s="345"/>
      <c r="K1747" s="703"/>
      <c r="L1747" s="342"/>
      <c r="M1747" s="342"/>
      <c r="N1747" s="340"/>
      <c r="O1747" s="703"/>
      <c r="P1747" s="342"/>
      <c r="Q1747" s="363"/>
      <c r="R1747" s="340"/>
      <c r="S1747" s="342"/>
      <c r="T1747" s="342"/>
      <c r="U1747" s="342"/>
      <c r="V1747" s="340"/>
      <c r="W1747" s="340"/>
    </row>
    <row r="1748" spans="2:23" ht="24" customHeight="1">
      <c r="B1748" s="67"/>
      <c r="H1748" s="347">
        <v>44159</v>
      </c>
      <c r="I1748" s="347"/>
      <c r="J1748" s="345"/>
      <c r="K1748" s="703"/>
      <c r="L1748" s="342"/>
      <c r="M1748" s="342"/>
      <c r="N1748" s="340"/>
      <c r="O1748" s="703"/>
      <c r="P1748" s="342"/>
      <c r="Q1748" s="363"/>
      <c r="R1748" s="340"/>
      <c r="S1748" s="342"/>
      <c r="T1748" s="342"/>
      <c r="U1748" s="342"/>
      <c r="V1748" s="340"/>
      <c r="W1748" s="340"/>
    </row>
    <row r="1749" spans="2:23" ht="24" customHeight="1">
      <c r="B1749" s="67"/>
      <c r="I1749" s="3" t="s">
        <v>59</v>
      </c>
      <c r="J1749" s="345">
        <v>90</v>
      </c>
      <c r="K1749" s="703">
        <v>10595.446240601505</v>
      </c>
      <c r="L1749" s="342">
        <v>1</v>
      </c>
      <c r="M1749" s="342">
        <v>20.974299999999999</v>
      </c>
      <c r="N1749" s="340">
        <v>222232.06808424814</v>
      </c>
      <c r="O1749" s="703">
        <v>12140.566666666666</v>
      </c>
      <c r="P1749" s="342">
        <v>1</v>
      </c>
      <c r="Q1749" s="363">
        <v>20.1172</v>
      </c>
      <c r="R1749" s="340">
        <v>244234.20774666665</v>
      </c>
      <c r="S1749" s="342">
        <v>108.85599999999999</v>
      </c>
      <c r="T1749" s="342">
        <v>118.98099999999999</v>
      </c>
      <c r="U1749" s="342">
        <v>1.093</v>
      </c>
      <c r="V1749" s="340">
        <v>266947.98906710662</v>
      </c>
      <c r="W1749" s="340">
        <v>-44715.920982858486</v>
      </c>
    </row>
    <row r="1750" spans="2:23" ht="24" customHeight="1">
      <c r="J1750" s="345"/>
      <c r="K1750" s="703"/>
      <c r="L1750" s="342"/>
      <c r="M1750" s="342"/>
      <c r="N1750" s="340"/>
      <c r="O1750" s="703"/>
      <c r="P1750" s="342"/>
      <c r="Q1750" s="363"/>
      <c r="R1750" s="340"/>
      <c r="S1750" s="342"/>
      <c r="T1750" s="342"/>
      <c r="U1750" s="342"/>
      <c r="V1750" s="340"/>
      <c r="W1750" s="340"/>
    </row>
    <row r="1751" spans="2:23" ht="24" customHeight="1">
      <c r="B1751" s="67"/>
      <c r="F1751" s="346">
        <v>44834</v>
      </c>
      <c r="G1751" s="346"/>
      <c r="H1751" s="346"/>
      <c r="I1751" s="346"/>
      <c r="J1751" s="345"/>
      <c r="K1751" s="703"/>
      <c r="L1751" s="342"/>
      <c r="M1751" s="342"/>
      <c r="N1751" s="340"/>
      <c r="O1751" s="703"/>
      <c r="P1751" s="342"/>
      <c r="Q1751" s="363"/>
      <c r="R1751" s="340"/>
      <c r="S1751" s="342"/>
      <c r="T1751" s="342"/>
      <c r="U1751" s="342"/>
      <c r="V1751" s="340"/>
      <c r="W1751" s="340"/>
    </row>
    <row r="1752" spans="2:23" ht="24" customHeight="1">
      <c r="B1752" s="67"/>
      <c r="G1752" s="3" t="s">
        <v>59</v>
      </c>
      <c r="H1752" s="3"/>
      <c r="I1752" s="3"/>
      <c r="J1752" s="345"/>
      <c r="K1752" s="703"/>
      <c r="L1752" s="342"/>
      <c r="M1752" s="342"/>
      <c r="N1752" s="340"/>
      <c r="O1752" s="703"/>
      <c r="P1752" s="342"/>
      <c r="Q1752" s="363"/>
      <c r="R1752" s="340"/>
      <c r="S1752" s="342"/>
      <c r="T1752" s="342"/>
      <c r="U1752" s="342"/>
      <c r="V1752" s="340"/>
      <c r="W1752" s="340"/>
    </row>
    <row r="1753" spans="2:23" ht="24" customHeight="1">
      <c r="B1753" s="67"/>
      <c r="H1753" s="347">
        <v>44519</v>
      </c>
      <c r="I1753" s="347"/>
      <c r="J1753" s="345"/>
      <c r="K1753" s="703"/>
      <c r="L1753" s="342"/>
      <c r="M1753" s="342"/>
      <c r="N1753" s="340"/>
      <c r="O1753" s="703"/>
      <c r="P1753" s="342"/>
      <c r="Q1753" s="363"/>
      <c r="R1753" s="340"/>
      <c r="S1753" s="342"/>
      <c r="T1753" s="342"/>
      <c r="U1753" s="342"/>
      <c r="V1753" s="340"/>
      <c r="W1753" s="340"/>
    </row>
    <row r="1754" spans="2:23" ht="24" customHeight="1">
      <c r="B1754" s="67"/>
      <c r="I1754" s="3" t="s">
        <v>59</v>
      </c>
      <c r="J1754" s="345">
        <v>1</v>
      </c>
      <c r="K1754" s="703">
        <v>85.258244274809158</v>
      </c>
      <c r="L1754" s="342">
        <v>1</v>
      </c>
      <c r="M1754" s="342">
        <v>20.305800000000001</v>
      </c>
      <c r="N1754" s="340">
        <v>1731.23685659542</v>
      </c>
      <c r="O1754" s="703">
        <v>171.7</v>
      </c>
      <c r="P1754" s="342">
        <v>1</v>
      </c>
      <c r="Q1754" s="363">
        <v>20.691199999999998</v>
      </c>
      <c r="R1754" s="340">
        <v>3552.6790399999995</v>
      </c>
      <c r="S1754" s="342">
        <v>116.884</v>
      </c>
      <c r="T1754" s="342">
        <v>123.803</v>
      </c>
      <c r="U1754" s="342">
        <v>1.0590999999999999</v>
      </c>
      <c r="V1754" s="340">
        <v>3762.6423712639994</v>
      </c>
      <c r="W1754" s="340">
        <v>-2031.4055146685794</v>
      </c>
    </row>
    <row r="1755" spans="2:23" ht="24" customHeight="1">
      <c r="J1755" s="345"/>
      <c r="K1755" s="703"/>
      <c r="L1755" s="342"/>
      <c r="M1755" s="342"/>
      <c r="N1755" s="340"/>
      <c r="O1755" s="703"/>
      <c r="P1755" s="342"/>
      <c r="Q1755" s="363"/>
      <c r="R1755" s="340"/>
      <c r="S1755" s="342"/>
      <c r="T1755" s="342"/>
      <c r="U1755" s="342"/>
      <c r="V1755" s="340"/>
      <c r="W1755" s="340"/>
    </row>
    <row r="1756" spans="2:23" ht="24" customHeight="1">
      <c r="B1756" s="67"/>
      <c r="H1756" s="347">
        <v>44349</v>
      </c>
      <c r="I1756" s="347"/>
      <c r="J1756" s="345"/>
      <c r="K1756" s="703"/>
      <c r="L1756" s="342"/>
      <c r="M1756" s="342"/>
      <c r="N1756" s="340"/>
      <c r="O1756" s="703"/>
      <c r="P1756" s="342"/>
      <c r="Q1756" s="363"/>
      <c r="R1756" s="340"/>
      <c r="S1756" s="342"/>
      <c r="T1756" s="342"/>
      <c r="U1756" s="342"/>
      <c r="V1756" s="340"/>
      <c r="W1756" s="340"/>
    </row>
    <row r="1757" spans="2:23" ht="24" customHeight="1">
      <c r="B1757" s="67"/>
      <c r="I1757" s="3" t="s">
        <v>59</v>
      </c>
      <c r="J1757" s="345">
        <v>31</v>
      </c>
      <c r="K1757" s="703">
        <v>2643.0055725190841</v>
      </c>
      <c r="L1757" s="342">
        <v>1</v>
      </c>
      <c r="M1757" s="342">
        <v>20.305800000000001</v>
      </c>
      <c r="N1757" s="340">
        <v>53668.342554458024</v>
      </c>
      <c r="O1757" s="703">
        <v>4236.7925454545457</v>
      </c>
      <c r="P1757" s="342">
        <v>1</v>
      </c>
      <c r="Q1757" s="363">
        <v>19.921299999999999</v>
      </c>
      <c r="R1757" s="340">
        <v>84402.415335763639</v>
      </c>
      <c r="S1757" s="342">
        <v>113.018</v>
      </c>
      <c r="T1757" s="342">
        <v>123.803</v>
      </c>
      <c r="U1757" s="342">
        <v>1.0953999999999999</v>
      </c>
      <c r="V1757" s="340">
        <v>92454.405758795489</v>
      </c>
      <c r="W1757" s="340">
        <v>-38786.063204337464</v>
      </c>
    </row>
    <row r="1758" spans="2:23" ht="24" customHeight="1">
      <c r="J1758" s="345"/>
      <c r="K1758" s="703"/>
      <c r="L1758" s="342"/>
      <c r="M1758" s="342"/>
      <c r="N1758" s="340"/>
      <c r="O1758" s="703"/>
      <c r="P1758" s="342"/>
      <c r="Q1758" s="363"/>
      <c r="R1758" s="340"/>
      <c r="S1758" s="342"/>
      <c r="T1758" s="342"/>
      <c r="U1758" s="342"/>
      <c r="V1758" s="340"/>
      <c r="W1758" s="340"/>
    </row>
    <row r="1759" spans="2:23" ht="24" customHeight="1">
      <c r="B1759" s="67"/>
      <c r="H1759" s="347">
        <v>44159</v>
      </c>
      <c r="I1759" s="347"/>
      <c r="J1759" s="345"/>
      <c r="K1759" s="703"/>
      <c r="L1759" s="342"/>
      <c r="M1759" s="342"/>
      <c r="N1759" s="340"/>
      <c r="O1759" s="703"/>
      <c r="P1759" s="342"/>
      <c r="Q1759" s="363"/>
      <c r="R1759" s="340"/>
      <c r="S1759" s="342"/>
      <c r="T1759" s="342"/>
      <c r="U1759" s="342"/>
      <c r="V1759" s="340"/>
      <c r="W1759" s="340"/>
    </row>
    <row r="1760" spans="2:23" ht="24" customHeight="1">
      <c r="B1760" s="67"/>
      <c r="I1760" s="3" t="s">
        <v>59</v>
      </c>
      <c r="J1760" s="345">
        <v>45</v>
      </c>
      <c r="K1760" s="703">
        <v>3836.6209923664119</v>
      </c>
      <c r="L1760" s="342">
        <v>1</v>
      </c>
      <c r="M1760" s="342">
        <v>20.305800000000001</v>
      </c>
      <c r="N1760" s="340">
        <v>77905.658546793886</v>
      </c>
      <c r="O1760" s="703">
        <v>6070.2833333333328</v>
      </c>
      <c r="P1760" s="342">
        <v>1</v>
      </c>
      <c r="Q1760" s="363">
        <v>20.1172</v>
      </c>
      <c r="R1760" s="340">
        <v>122117.10387333333</v>
      </c>
      <c r="S1760" s="342">
        <v>108.85599999999999</v>
      </c>
      <c r="T1760" s="342">
        <v>123.803</v>
      </c>
      <c r="U1760" s="342">
        <v>1.1373</v>
      </c>
      <c r="V1760" s="340">
        <v>138883.78223514199</v>
      </c>
      <c r="W1760" s="340">
        <v>-60978.123688348103</v>
      </c>
    </row>
    <row r="1761" spans="2:23" ht="24" customHeight="1">
      <c r="J1761" s="345"/>
      <c r="K1761" s="703"/>
      <c r="L1761" s="342"/>
      <c r="M1761" s="342"/>
      <c r="N1761" s="340"/>
      <c r="O1761" s="703"/>
      <c r="P1761" s="342"/>
      <c r="Q1761" s="363"/>
      <c r="R1761" s="340"/>
      <c r="S1761" s="342"/>
      <c r="T1761" s="342"/>
      <c r="U1761" s="342"/>
      <c r="V1761" s="340"/>
      <c r="W1761" s="340"/>
    </row>
    <row r="1762" spans="2:23" ht="24" customHeight="1">
      <c r="B1762" s="67"/>
      <c r="H1762" s="347">
        <v>44400</v>
      </c>
      <c r="I1762" s="347"/>
      <c r="J1762" s="345"/>
      <c r="K1762" s="703"/>
      <c r="L1762" s="342"/>
      <c r="M1762" s="342"/>
      <c r="N1762" s="340"/>
      <c r="O1762" s="703"/>
      <c r="P1762" s="342"/>
      <c r="Q1762" s="363"/>
      <c r="R1762" s="340"/>
      <c r="S1762" s="342"/>
      <c r="T1762" s="342"/>
      <c r="U1762" s="342"/>
      <c r="V1762" s="340"/>
      <c r="W1762" s="340"/>
    </row>
    <row r="1763" spans="2:23" ht="24" customHeight="1">
      <c r="B1763" s="67"/>
      <c r="I1763" s="3" t="s">
        <v>59</v>
      </c>
      <c r="J1763" s="345">
        <v>127</v>
      </c>
      <c r="K1763" s="703">
        <v>10827.797022900762</v>
      </c>
      <c r="L1763" s="342">
        <v>1</v>
      </c>
      <c r="M1763" s="342">
        <v>20.305800000000001</v>
      </c>
      <c r="N1763" s="340">
        <v>219867.08078761832</v>
      </c>
      <c r="O1763" s="703">
        <v>21045.72</v>
      </c>
      <c r="P1763" s="342">
        <v>1</v>
      </c>
      <c r="Q1763" s="363">
        <v>20.1907</v>
      </c>
      <c r="R1763" s="340">
        <v>424927.81880400004</v>
      </c>
      <c r="S1763" s="342">
        <v>113.682</v>
      </c>
      <c r="T1763" s="342">
        <v>123.803</v>
      </c>
      <c r="U1763" s="342">
        <v>1.089</v>
      </c>
      <c r="V1763" s="340">
        <v>462746.394677556</v>
      </c>
      <c r="W1763" s="340">
        <v>-242879.31388993768</v>
      </c>
    </row>
    <row r="1764" spans="2:23" ht="24" customHeight="1">
      <c r="J1764" s="345"/>
      <c r="K1764" s="703"/>
      <c r="L1764" s="342"/>
      <c r="M1764" s="342"/>
      <c r="N1764" s="340"/>
      <c r="O1764" s="703"/>
      <c r="P1764" s="342"/>
      <c r="Q1764" s="363"/>
      <c r="R1764" s="340"/>
      <c r="S1764" s="342"/>
      <c r="T1764" s="342"/>
      <c r="U1764" s="342"/>
      <c r="V1764" s="340"/>
      <c r="W1764" s="340"/>
    </row>
    <row r="1765" spans="2:23" ht="24" customHeight="1">
      <c r="B1765" s="67"/>
      <c r="H1765" s="347">
        <v>44405</v>
      </c>
      <c r="I1765" s="347"/>
      <c r="J1765" s="345"/>
      <c r="K1765" s="703"/>
      <c r="L1765" s="342"/>
      <c r="M1765" s="342"/>
      <c r="N1765" s="340"/>
      <c r="O1765" s="703"/>
      <c r="P1765" s="342"/>
      <c r="Q1765" s="363"/>
      <c r="R1765" s="340"/>
      <c r="S1765" s="342"/>
      <c r="T1765" s="342"/>
      <c r="U1765" s="342"/>
      <c r="V1765" s="340"/>
      <c r="W1765" s="340"/>
    </row>
    <row r="1766" spans="2:23" ht="24" customHeight="1">
      <c r="B1766" s="67"/>
      <c r="I1766" s="3" t="s">
        <v>59</v>
      </c>
      <c r="J1766" s="345">
        <v>76</v>
      </c>
      <c r="K1766" s="703">
        <v>6479.626564885496</v>
      </c>
      <c r="L1766" s="342">
        <v>1</v>
      </c>
      <c r="M1766" s="342">
        <v>20.305800000000001</v>
      </c>
      <c r="N1766" s="340">
        <v>131574.00110125192</v>
      </c>
      <c r="O1766" s="703">
        <v>12565.69</v>
      </c>
      <c r="P1766" s="342">
        <v>1</v>
      </c>
      <c r="Q1766" s="363">
        <v>20.0245</v>
      </c>
      <c r="R1766" s="340">
        <v>251621.65940500001</v>
      </c>
      <c r="S1766" s="342">
        <v>113.682</v>
      </c>
      <c r="T1766" s="342">
        <v>123.803</v>
      </c>
      <c r="U1766" s="342">
        <v>1.089</v>
      </c>
      <c r="V1766" s="340">
        <v>274015.98709204502</v>
      </c>
      <c r="W1766" s="340">
        <v>-142441.98599079309</v>
      </c>
    </row>
    <row r="1767" spans="2:23" ht="24" customHeight="1">
      <c r="J1767" s="345"/>
      <c r="K1767" s="703"/>
      <c r="L1767" s="342"/>
      <c r="M1767" s="342"/>
      <c r="N1767" s="340"/>
      <c r="O1767" s="703"/>
      <c r="P1767" s="342"/>
      <c r="Q1767" s="363"/>
      <c r="R1767" s="340"/>
      <c r="S1767" s="342"/>
      <c r="T1767" s="342"/>
      <c r="U1767" s="342"/>
      <c r="V1767" s="340"/>
      <c r="W1767" s="340"/>
    </row>
    <row r="1768" spans="2:23" ht="24" customHeight="1">
      <c r="B1768" s="67"/>
      <c r="H1768" s="347">
        <v>44466</v>
      </c>
      <c r="I1768" s="347"/>
      <c r="J1768" s="345"/>
      <c r="K1768" s="703"/>
      <c r="L1768" s="342"/>
      <c r="M1768" s="342"/>
      <c r="N1768" s="340"/>
      <c r="O1768" s="703"/>
      <c r="P1768" s="342"/>
      <c r="Q1768" s="363"/>
      <c r="R1768" s="340"/>
      <c r="S1768" s="342"/>
      <c r="T1768" s="342"/>
      <c r="U1768" s="342"/>
      <c r="V1768" s="340"/>
      <c r="W1768" s="340"/>
    </row>
    <row r="1769" spans="2:23" ht="24" customHeight="1">
      <c r="B1769" s="67"/>
      <c r="I1769" s="3" t="s">
        <v>59</v>
      </c>
      <c r="J1769" s="345">
        <v>104</v>
      </c>
      <c r="K1769" s="703">
        <v>8866.8574045801524</v>
      </c>
      <c r="L1769" s="342">
        <v>1</v>
      </c>
      <c r="M1769" s="342">
        <v>20.305800000000001</v>
      </c>
      <c r="N1769" s="340">
        <v>180048.63308592368</v>
      </c>
      <c r="O1769" s="703">
        <v>15504.240000000002</v>
      </c>
      <c r="P1769" s="342">
        <v>1</v>
      </c>
      <c r="Q1769" s="363">
        <v>20.027999999999999</v>
      </c>
      <c r="R1769" s="340">
        <v>310518.91872000002</v>
      </c>
      <c r="S1769" s="342">
        <v>114.601</v>
      </c>
      <c r="T1769" s="342">
        <v>123.803</v>
      </c>
      <c r="U1769" s="342">
        <v>1.0802</v>
      </c>
      <c r="V1769" s="340">
        <v>335422.53600134404</v>
      </c>
      <c r="W1769" s="340">
        <v>-155373.90291542036</v>
      </c>
    </row>
    <row r="1770" spans="2:23" ht="24" customHeight="1">
      <c r="J1770" s="345"/>
      <c r="K1770" s="703"/>
      <c r="L1770" s="342"/>
      <c r="M1770" s="342"/>
      <c r="N1770" s="340"/>
      <c r="O1770" s="703"/>
      <c r="P1770" s="342"/>
      <c r="Q1770" s="363"/>
      <c r="R1770" s="340"/>
      <c r="S1770" s="342"/>
      <c r="T1770" s="342"/>
      <c r="U1770" s="342"/>
      <c r="V1770" s="340"/>
      <c r="W1770" s="340"/>
    </row>
    <row r="1771" spans="2:23" ht="24" customHeight="1">
      <c r="B1771" s="67"/>
      <c r="H1771" s="347">
        <v>44740</v>
      </c>
      <c r="I1771" s="347"/>
      <c r="J1771" s="345"/>
      <c r="K1771" s="703"/>
      <c r="L1771" s="342"/>
      <c r="M1771" s="342"/>
      <c r="N1771" s="340"/>
      <c r="O1771" s="703"/>
      <c r="P1771" s="342"/>
      <c r="Q1771" s="363"/>
      <c r="R1771" s="340"/>
      <c r="S1771" s="342"/>
      <c r="T1771" s="342"/>
      <c r="U1771" s="342"/>
      <c r="V1771" s="340"/>
      <c r="W1771" s="340"/>
    </row>
    <row r="1772" spans="2:23" ht="24" customHeight="1">
      <c r="B1772" s="67"/>
      <c r="I1772" s="3" t="s">
        <v>59</v>
      </c>
      <c r="J1772" s="345">
        <v>81</v>
      </c>
      <c r="K1772" s="703">
        <v>6905.9177862595416</v>
      </c>
      <c r="L1772" s="342">
        <v>1</v>
      </c>
      <c r="M1772" s="342">
        <v>20.305800000000001</v>
      </c>
      <c r="N1772" s="340">
        <v>140230.185384229</v>
      </c>
      <c r="O1772" s="703">
        <v>8455</v>
      </c>
      <c r="P1772" s="342">
        <v>1</v>
      </c>
      <c r="Q1772" s="363">
        <v>19.870699999999999</v>
      </c>
      <c r="R1772" s="340">
        <v>168006.76850000001</v>
      </c>
      <c r="S1772" s="342">
        <v>122.044</v>
      </c>
      <c r="T1772" s="342">
        <v>123.803</v>
      </c>
      <c r="U1772" s="342">
        <v>1.0144</v>
      </c>
      <c r="V1772" s="340">
        <v>170426.0659664</v>
      </c>
      <c r="W1772" s="340">
        <v>-30195.880582170998</v>
      </c>
    </row>
    <row r="1773" spans="2:23" ht="24" customHeight="1">
      <c r="J1773" s="345"/>
      <c r="K1773" s="703"/>
      <c r="L1773" s="342"/>
      <c r="M1773" s="342"/>
      <c r="N1773" s="340"/>
      <c r="O1773" s="703"/>
      <c r="P1773" s="342"/>
      <c r="Q1773" s="363"/>
      <c r="R1773" s="340"/>
      <c r="S1773" s="342"/>
      <c r="T1773" s="342"/>
      <c r="U1773" s="342"/>
      <c r="V1773" s="340"/>
      <c r="W1773" s="340"/>
    </row>
    <row r="1774" spans="2:23" ht="24" customHeight="1">
      <c r="B1774" s="67"/>
      <c r="H1774" s="347">
        <v>44806</v>
      </c>
      <c r="I1774" s="347"/>
      <c r="J1774" s="345"/>
      <c r="K1774" s="703"/>
      <c r="L1774" s="342"/>
      <c r="M1774" s="342"/>
      <c r="N1774" s="340"/>
      <c r="O1774" s="703"/>
      <c r="P1774" s="342"/>
      <c r="Q1774" s="363"/>
      <c r="R1774" s="340"/>
      <c r="S1774" s="342"/>
      <c r="T1774" s="342"/>
      <c r="U1774" s="342"/>
      <c r="V1774" s="340"/>
      <c r="W1774" s="340"/>
    </row>
    <row r="1775" spans="2:23" ht="24" customHeight="1">
      <c r="B1775" s="67"/>
      <c r="I1775" s="3" t="s">
        <v>59</v>
      </c>
      <c r="J1775" s="345">
        <v>59</v>
      </c>
      <c r="K1775" s="703">
        <v>5030.2364122137406</v>
      </c>
      <c r="L1775" s="342">
        <v>1</v>
      </c>
      <c r="M1775" s="342">
        <v>20.305800000000001</v>
      </c>
      <c r="N1775" s="340">
        <v>102142.97453912978</v>
      </c>
      <c r="O1775" s="703">
        <v>6364.25</v>
      </c>
      <c r="P1775" s="342">
        <v>1</v>
      </c>
      <c r="Q1775" s="363">
        <v>20.0962</v>
      </c>
      <c r="R1775" s="340">
        <v>127897.24085</v>
      </c>
      <c r="S1775" s="342">
        <v>124.571</v>
      </c>
      <c r="T1775" s="342">
        <v>123.803</v>
      </c>
      <c r="U1775" s="342">
        <v>1</v>
      </c>
      <c r="V1775" s="340">
        <v>127897.24085</v>
      </c>
      <c r="W1775" s="340">
        <v>-25754.26631087024</v>
      </c>
    </row>
    <row r="1776" spans="2:23" ht="24" customHeight="1">
      <c r="J1776" s="345"/>
      <c r="K1776" s="703"/>
      <c r="L1776" s="342"/>
      <c r="M1776" s="342"/>
      <c r="N1776" s="340"/>
      <c r="O1776" s="703"/>
      <c r="P1776" s="342"/>
      <c r="Q1776" s="363"/>
      <c r="R1776" s="340"/>
      <c r="S1776" s="342"/>
      <c r="T1776" s="342"/>
      <c r="U1776" s="342"/>
      <c r="V1776" s="340"/>
      <c r="W1776" s="340"/>
    </row>
    <row r="1777" spans="2:23" ht="24" customHeight="1">
      <c r="B1777" s="67"/>
      <c r="E1777" s="131" t="s">
        <v>1138</v>
      </c>
      <c r="F1777" s="131"/>
      <c r="G1777" s="131"/>
      <c r="H1777" s="131"/>
      <c r="I1777" s="131"/>
      <c r="J1777" s="704">
        <v>790</v>
      </c>
      <c r="K1777" s="705">
        <v>75990.75</v>
      </c>
      <c r="L1777" s="369">
        <v>1</v>
      </c>
      <c r="M1777" s="377">
        <v>20.488118181818184</v>
      </c>
      <c r="N1777" s="706">
        <v>1563987.3363050001</v>
      </c>
      <c r="O1777" s="705">
        <v>109189.54074545456</v>
      </c>
      <c r="P1777" s="369">
        <v>1</v>
      </c>
      <c r="Q1777" s="377">
        <v>20.413527272727269</v>
      </c>
      <c r="R1777" s="706">
        <v>2220220.8684856235</v>
      </c>
      <c r="S1777" s="369">
        <v>113.92399999999999</v>
      </c>
      <c r="T1777" s="369">
        <v>122.48790909090907</v>
      </c>
      <c r="U1777" s="369">
        <v>1.0773545454545455</v>
      </c>
      <c r="V1777" s="706">
        <v>2401220.0421070298</v>
      </c>
      <c r="W1777" s="706">
        <v>-837232.7058020297</v>
      </c>
    </row>
    <row r="1778" spans="2:23" ht="24" customHeight="1">
      <c r="J1778" s="345"/>
      <c r="K1778" s="703"/>
      <c r="L1778" s="342"/>
      <c r="M1778" s="342"/>
      <c r="N1778" s="340"/>
      <c r="O1778" s="703"/>
      <c r="P1778" s="342"/>
      <c r="Q1778" s="363"/>
      <c r="R1778" s="340"/>
      <c r="S1778" s="342"/>
      <c r="T1778" s="342"/>
      <c r="U1778" s="342"/>
      <c r="V1778" s="340"/>
      <c r="W1778" s="340"/>
    </row>
    <row r="1779" spans="2:23" ht="24" customHeight="1">
      <c r="B1779" s="67"/>
      <c r="E1779" s="1" t="s">
        <v>918</v>
      </c>
      <c r="J1779" s="345"/>
      <c r="K1779" s="703"/>
      <c r="L1779" s="342"/>
      <c r="M1779" s="342"/>
      <c r="N1779" s="340"/>
      <c r="O1779" s="703"/>
      <c r="P1779" s="342"/>
      <c r="Q1779" s="363"/>
      <c r="R1779" s="340"/>
      <c r="S1779" s="342"/>
      <c r="T1779" s="342"/>
      <c r="U1779" s="342"/>
      <c r="V1779" s="340"/>
      <c r="W1779" s="340"/>
    </row>
    <row r="1780" spans="2:23" ht="24" customHeight="1">
      <c r="B1780" s="67"/>
      <c r="F1780" s="346">
        <v>44832</v>
      </c>
      <c r="G1780" s="346"/>
      <c r="H1780" s="346"/>
      <c r="I1780" s="346"/>
      <c r="J1780" s="345"/>
      <c r="K1780" s="703"/>
      <c r="L1780" s="342"/>
      <c r="M1780" s="342"/>
      <c r="N1780" s="340"/>
      <c r="O1780" s="703"/>
      <c r="P1780" s="342"/>
      <c r="Q1780" s="363"/>
      <c r="R1780" s="340"/>
      <c r="S1780" s="342"/>
      <c r="T1780" s="342"/>
      <c r="U1780" s="342"/>
      <c r="V1780" s="340"/>
      <c r="W1780" s="340"/>
    </row>
    <row r="1781" spans="2:23" ht="24" customHeight="1">
      <c r="B1781" s="67"/>
      <c r="G1781" s="3" t="s">
        <v>59</v>
      </c>
      <c r="H1781" s="3"/>
      <c r="I1781" s="3"/>
      <c r="J1781" s="345"/>
      <c r="K1781" s="703"/>
      <c r="L1781" s="342"/>
      <c r="M1781" s="342"/>
      <c r="N1781" s="340"/>
      <c r="O1781" s="703"/>
      <c r="P1781" s="342"/>
      <c r="Q1781" s="363"/>
      <c r="R1781" s="340"/>
      <c r="S1781" s="342"/>
      <c r="T1781" s="342"/>
      <c r="U1781" s="342"/>
      <c r="V1781" s="340"/>
      <c r="W1781" s="340"/>
    </row>
    <row r="1782" spans="2:23" ht="24" customHeight="1">
      <c r="B1782" s="67"/>
      <c r="H1782" s="347">
        <v>44781</v>
      </c>
      <c r="I1782" s="347"/>
      <c r="J1782" s="345"/>
      <c r="K1782" s="703"/>
      <c r="L1782" s="342"/>
      <c r="M1782" s="342"/>
      <c r="N1782" s="340"/>
      <c r="O1782" s="703"/>
      <c r="P1782" s="342"/>
      <c r="Q1782" s="363"/>
      <c r="R1782" s="340"/>
      <c r="S1782" s="342"/>
      <c r="T1782" s="342"/>
      <c r="U1782" s="342"/>
      <c r="V1782" s="340"/>
      <c r="W1782" s="340"/>
    </row>
    <row r="1783" spans="2:23" ht="24" customHeight="1">
      <c r="B1783" s="67"/>
      <c r="I1783" s="3" t="s">
        <v>59</v>
      </c>
      <c r="J1783" s="345">
        <v>61</v>
      </c>
      <c r="K1783" s="703">
        <v>7696.4319531249994</v>
      </c>
      <c r="L1783" s="342">
        <v>1</v>
      </c>
      <c r="M1783" s="342">
        <v>20.351700000000001</v>
      </c>
      <c r="N1783" s="340">
        <v>156635.47418041405</v>
      </c>
      <c r="O1783" s="703">
        <v>10695.54</v>
      </c>
      <c r="P1783" s="342">
        <v>1</v>
      </c>
      <c r="Q1783" s="363">
        <v>20.335799999999999</v>
      </c>
      <c r="R1783" s="340">
        <v>217502.36233200002</v>
      </c>
      <c r="S1783" s="342">
        <v>123.803</v>
      </c>
      <c r="T1783" s="342">
        <v>123.803</v>
      </c>
      <c r="U1783" s="342">
        <v>1</v>
      </c>
      <c r="V1783" s="340">
        <v>217502.36233200002</v>
      </c>
      <c r="W1783" s="340">
        <v>-60866.888151585968</v>
      </c>
    </row>
    <row r="1784" spans="2:23" ht="24" customHeight="1">
      <c r="J1784" s="345"/>
      <c r="K1784" s="703"/>
      <c r="L1784" s="342"/>
      <c r="M1784" s="342"/>
      <c r="N1784" s="340"/>
      <c r="O1784" s="703"/>
      <c r="P1784" s="342"/>
      <c r="Q1784" s="363"/>
      <c r="R1784" s="340"/>
      <c r="S1784" s="342"/>
      <c r="T1784" s="342"/>
      <c r="U1784" s="342"/>
      <c r="V1784" s="340"/>
      <c r="W1784" s="340"/>
    </row>
    <row r="1785" spans="2:23" ht="24" customHeight="1">
      <c r="B1785" s="67"/>
      <c r="H1785" s="347">
        <v>44707</v>
      </c>
      <c r="I1785" s="347"/>
      <c r="J1785" s="345"/>
      <c r="K1785" s="703"/>
      <c r="L1785" s="342"/>
      <c r="M1785" s="342"/>
      <c r="N1785" s="340"/>
      <c r="O1785" s="703"/>
      <c r="P1785" s="342"/>
      <c r="Q1785" s="363"/>
      <c r="R1785" s="340"/>
      <c r="S1785" s="342"/>
      <c r="T1785" s="342"/>
      <c r="U1785" s="342"/>
      <c r="V1785" s="340"/>
      <c r="W1785" s="340"/>
    </row>
    <row r="1786" spans="2:23" ht="24" customHeight="1">
      <c r="B1786" s="67"/>
      <c r="I1786" s="3" t="s">
        <v>59</v>
      </c>
      <c r="J1786" s="345">
        <v>162</v>
      </c>
      <c r="K1786" s="703">
        <v>20439.704531249998</v>
      </c>
      <c r="L1786" s="342">
        <v>1</v>
      </c>
      <c r="M1786" s="342">
        <v>20.351700000000001</v>
      </c>
      <c r="N1786" s="340">
        <v>415982.73470864061</v>
      </c>
      <c r="O1786" s="703">
        <v>28557.469999999998</v>
      </c>
      <c r="P1786" s="342">
        <v>1</v>
      </c>
      <c r="Q1786" s="363">
        <v>19.887</v>
      </c>
      <c r="R1786" s="340">
        <v>567922.40588999994</v>
      </c>
      <c r="S1786" s="342">
        <v>121.02200000000001</v>
      </c>
      <c r="T1786" s="342">
        <v>123.803</v>
      </c>
      <c r="U1786" s="342">
        <v>1.0228999999999999</v>
      </c>
      <c r="V1786" s="340">
        <v>580927.82898488094</v>
      </c>
      <c r="W1786" s="340">
        <v>-164945.09427624033</v>
      </c>
    </row>
    <row r="1787" spans="2:23" ht="24" customHeight="1">
      <c r="J1787" s="345"/>
      <c r="K1787" s="703"/>
      <c r="L1787" s="342"/>
      <c r="M1787" s="342"/>
      <c r="N1787" s="340"/>
      <c r="O1787" s="703"/>
      <c r="P1787" s="342"/>
      <c r="Q1787" s="363"/>
      <c r="R1787" s="340"/>
      <c r="S1787" s="342"/>
      <c r="T1787" s="342"/>
      <c r="U1787" s="342"/>
      <c r="V1787" s="340"/>
      <c r="W1787" s="340"/>
    </row>
    <row r="1788" spans="2:23" ht="24" customHeight="1">
      <c r="B1788" s="67"/>
      <c r="H1788" s="347">
        <v>44708</v>
      </c>
      <c r="I1788" s="347"/>
      <c r="J1788" s="345"/>
      <c r="K1788" s="703"/>
      <c r="L1788" s="342"/>
      <c r="M1788" s="342"/>
      <c r="N1788" s="340"/>
      <c r="O1788" s="703"/>
      <c r="P1788" s="342"/>
      <c r="Q1788" s="363"/>
      <c r="R1788" s="340"/>
      <c r="S1788" s="342"/>
      <c r="T1788" s="342"/>
      <c r="U1788" s="342"/>
      <c r="V1788" s="340"/>
      <c r="W1788" s="340"/>
    </row>
    <row r="1789" spans="2:23" ht="24" customHeight="1">
      <c r="B1789" s="67"/>
      <c r="I1789" s="3" t="s">
        <v>59</v>
      </c>
      <c r="J1789" s="345">
        <v>80</v>
      </c>
      <c r="K1789" s="703">
        <v>10093.68125</v>
      </c>
      <c r="L1789" s="342">
        <v>1</v>
      </c>
      <c r="M1789" s="342">
        <v>20.351700000000001</v>
      </c>
      <c r="N1789" s="340">
        <v>205423.57269562501</v>
      </c>
      <c r="O1789" s="703">
        <v>14772.379999999997</v>
      </c>
      <c r="P1789" s="342">
        <v>1</v>
      </c>
      <c r="Q1789" s="363">
        <v>19.837700000000002</v>
      </c>
      <c r="R1789" s="340">
        <v>293050.04272599996</v>
      </c>
      <c r="S1789" s="342">
        <v>121.02200000000001</v>
      </c>
      <c r="T1789" s="342">
        <v>123.803</v>
      </c>
      <c r="U1789" s="342">
        <v>1.0228999999999999</v>
      </c>
      <c r="V1789" s="340">
        <v>299760.88870442531</v>
      </c>
      <c r="W1789" s="340">
        <v>-94337.316008800291</v>
      </c>
    </row>
    <row r="1790" spans="2:23" ht="24" customHeight="1">
      <c r="J1790" s="345"/>
      <c r="K1790" s="703"/>
      <c r="L1790" s="342"/>
      <c r="M1790" s="342"/>
      <c r="N1790" s="340"/>
      <c r="O1790" s="703"/>
      <c r="P1790" s="342"/>
      <c r="Q1790" s="363"/>
      <c r="R1790" s="340"/>
      <c r="S1790" s="342"/>
      <c r="T1790" s="342"/>
      <c r="U1790" s="342"/>
      <c r="V1790" s="340"/>
      <c r="W1790" s="340"/>
    </row>
    <row r="1791" spans="2:23" ht="24" customHeight="1">
      <c r="B1791" s="67"/>
      <c r="H1791" s="347">
        <v>44775</v>
      </c>
      <c r="I1791" s="347"/>
      <c r="J1791" s="345"/>
      <c r="K1791" s="703"/>
      <c r="L1791" s="342"/>
      <c r="M1791" s="342"/>
      <c r="N1791" s="340"/>
      <c r="O1791" s="703"/>
      <c r="P1791" s="342"/>
      <c r="Q1791" s="363"/>
      <c r="R1791" s="340"/>
      <c r="S1791" s="342"/>
      <c r="T1791" s="342"/>
      <c r="U1791" s="342"/>
      <c r="V1791" s="340"/>
      <c r="W1791" s="340"/>
    </row>
    <row r="1792" spans="2:23" ht="24" customHeight="1">
      <c r="B1792" s="67"/>
      <c r="I1792" s="3" t="s">
        <v>59</v>
      </c>
      <c r="J1792" s="345">
        <v>81</v>
      </c>
      <c r="K1792" s="703">
        <v>10219.852265624999</v>
      </c>
      <c r="L1792" s="342">
        <v>1</v>
      </c>
      <c r="M1792" s="342">
        <v>20.351700000000001</v>
      </c>
      <c r="N1792" s="340">
        <v>207991.3673543203</v>
      </c>
      <c r="O1792" s="703">
        <v>15289.010000000002</v>
      </c>
      <c r="P1792" s="342">
        <v>1</v>
      </c>
      <c r="Q1792" s="363">
        <v>20.348500000000001</v>
      </c>
      <c r="R1792" s="340">
        <v>311108.41998500004</v>
      </c>
      <c r="S1792" s="342">
        <v>123.803</v>
      </c>
      <c r="T1792" s="342">
        <v>123.803</v>
      </c>
      <c r="U1792" s="342">
        <v>1</v>
      </c>
      <c r="V1792" s="340">
        <v>311108.41998500004</v>
      </c>
      <c r="W1792" s="340">
        <v>-103117.05263067974</v>
      </c>
    </row>
    <row r="1793" spans="2:23" ht="24" customHeight="1">
      <c r="J1793" s="345"/>
      <c r="K1793" s="703"/>
      <c r="L1793" s="342"/>
      <c r="M1793" s="342"/>
      <c r="N1793" s="340"/>
      <c r="O1793" s="703"/>
      <c r="P1793" s="342"/>
      <c r="Q1793" s="363"/>
      <c r="R1793" s="340"/>
      <c r="S1793" s="342"/>
      <c r="T1793" s="342"/>
      <c r="U1793" s="342"/>
      <c r="V1793" s="340"/>
      <c r="W1793" s="340"/>
    </row>
    <row r="1794" spans="2:23" ht="24" customHeight="1">
      <c r="B1794" s="67"/>
      <c r="E1794" s="131" t="s">
        <v>1139</v>
      </c>
      <c r="F1794" s="131"/>
      <c r="G1794" s="131"/>
      <c r="H1794" s="131"/>
      <c r="I1794" s="131"/>
      <c r="J1794" s="704">
        <v>384</v>
      </c>
      <c r="K1794" s="705">
        <v>48449.67</v>
      </c>
      <c r="L1794" s="369">
        <v>1</v>
      </c>
      <c r="M1794" s="377">
        <v>20.351700000000001</v>
      </c>
      <c r="N1794" s="706">
        <v>986033.14893899998</v>
      </c>
      <c r="O1794" s="705">
        <v>69314.399999999994</v>
      </c>
      <c r="P1794" s="369">
        <v>1</v>
      </c>
      <c r="Q1794" s="377">
        <v>20.102250000000002</v>
      </c>
      <c r="R1794" s="706">
        <v>1389583.2309329999</v>
      </c>
      <c r="S1794" s="369">
        <v>122.41249999999999</v>
      </c>
      <c r="T1794" s="369">
        <v>123.803</v>
      </c>
      <c r="U1794" s="369">
        <v>1.01145</v>
      </c>
      <c r="V1794" s="706">
        <v>1409299.5000063065</v>
      </c>
      <c r="W1794" s="706">
        <v>-423266.3510673063</v>
      </c>
    </row>
    <row r="1795" spans="2:23" ht="24" customHeight="1">
      <c r="J1795" s="345"/>
      <c r="K1795" s="703"/>
      <c r="L1795" s="342"/>
      <c r="M1795" s="342"/>
      <c r="N1795" s="340"/>
      <c r="O1795" s="703"/>
      <c r="P1795" s="342"/>
      <c r="Q1795" s="363"/>
      <c r="R1795" s="340"/>
      <c r="S1795" s="342"/>
      <c r="T1795" s="342"/>
      <c r="U1795" s="342"/>
      <c r="V1795" s="340"/>
      <c r="W1795" s="340"/>
    </row>
    <row r="1796" spans="2:23" ht="24" customHeight="1">
      <c r="B1796" s="67"/>
      <c r="E1796" s="1" t="s">
        <v>712</v>
      </c>
      <c r="J1796" s="345"/>
      <c r="K1796" s="703"/>
      <c r="L1796" s="342"/>
      <c r="M1796" s="342"/>
      <c r="N1796" s="340"/>
      <c r="O1796" s="703"/>
      <c r="P1796" s="342"/>
      <c r="Q1796" s="363"/>
      <c r="R1796" s="340"/>
      <c r="S1796" s="342"/>
      <c r="T1796" s="342"/>
      <c r="U1796" s="342"/>
      <c r="V1796" s="340"/>
      <c r="W1796" s="340"/>
    </row>
    <row r="1797" spans="2:23" ht="24" customHeight="1">
      <c r="B1797" s="67"/>
      <c r="F1797" s="346">
        <v>44628</v>
      </c>
      <c r="G1797" s="346"/>
      <c r="H1797" s="346"/>
      <c r="I1797" s="346"/>
      <c r="J1797" s="345"/>
      <c r="K1797" s="703"/>
      <c r="L1797" s="342"/>
      <c r="M1797" s="342"/>
      <c r="N1797" s="340"/>
      <c r="O1797" s="703"/>
      <c r="P1797" s="342"/>
      <c r="Q1797" s="363"/>
      <c r="R1797" s="340"/>
      <c r="S1797" s="342"/>
      <c r="T1797" s="342"/>
      <c r="U1797" s="342"/>
      <c r="V1797" s="340"/>
      <c r="W1797" s="340"/>
    </row>
    <row r="1798" spans="2:23" ht="24" customHeight="1">
      <c r="B1798" s="67"/>
      <c r="G1798" s="3" t="s">
        <v>59</v>
      </c>
      <c r="H1798" s="3"/>
      <c r="I1798" s="3"/>
      <c r="J1798" s="345"/>
      <c r="K1798" s="703"/>
      <c r="L1798" s="342"/>
      <c r="M1798" s="342"/>
      <c r="N1798" s="340"/>
      <c r="O1798" s="703"/>
      <c r="P1798" s="342"/>
      <c r="Q1798" s="363"/>
      <c r="R1798" s="340"/>
      <c r="S1798" s="342"/>
      <c r="T1798" s="342"/>
      <c r="U1798" s="342"/>
      <c r="V1798" s="340"/>
      <c r="W1798" s="340"/>
    </row>
    <row r="1799" spans="2:23" ht="24" customHeight="1">
      <c r="B1799" s="67"/>
      <c r="H1799" s="347">
        <v>44523</v>
      </c>
      <c r="I1799" s="347"/>
      <c r="J1799" s="345"/>
      <c r="K1799" s="703"/>
      <c r="L1799" s="342"/>
      <c r="M1799" s="342"/>
      <c r="N1799" s="340"/>
      <c r="O1799" s="703"/>
      <c r="P1799" s="342"/>
      <c r="Q1799" s="363"/>
      <c r="R1799" s="340"/>
      <c r="S1799" s="342"/>
      <c r="T1799" s="342"/>
      <c r="U1799" s="342"/>
      <c r="V1799" s="340"/>
      <c r="W1799" s="340"/>
    </row>
    <row r="1800" spans="2:23" ht="24" customHeight="1">
      <c r="B1800" s="67"/>
      <c r="I1800" s="3" t="s">
        <v>59</v>
      </c>
      <c r="J1800" s="345">
        <v>224</v>
      </c>
      <c r="K1800" s="703">
        <v>12365.64</v>
      </c>
      <c r="L1800" s="342">
        <v>1</v>
      </c>
      <c r="M1800" s="342">
        <v>20.926200000000001</v>
      </c>
      <c r="N1800" s="340">
        <v>258765.85576800001</v>
      </c>
      <c r="O1800" s="703">
        <v>7062.88</v>
      </c>
      <c r="P1800" s="342">
        <v>1</v>
      </c>
      <c r="Q1800" s="363">
        <v>20.828299999999999</v>
      </c>
      <c r="R1800" s="340">
        <v>147107.78350399999</v>
      </c>
      <c r="S1800" s="342">
        <v>116.884</v>
      </c>
      <c r="T1800" s="342">
        <v>118.98099999999999</v>
      </c>
      <c r="U1800" s="342">
        <v>1.0179</v>
      </c>
      <c r="V1800" s="340">
        <v>149741.01282872161</v>
      </c>
      <c r="W1800" s="340">
        <v>109024.8429392784</v>
      </c>
    </row>
    <row r="1801" spans="2:23" ht="24" customHeight="1">
      <c r="J1801" s="345"/>
      <c r="K1801" s="703"/>
      <c r="L1801" s="342"/>
      <c r="M1801" s="342"/>
      <c r="N1801" s="340"/>
      <c r="O1801" s="703"/>
      <c r="P1801" s="342"/>
      <c r="Q1801" s="363"/>
      <c r="R1801" s="340"/>
      <c r="S1801" s="342"/>
      <c r="T1801" s="342"/>
      <c r="U1801" s="342"/>
      <c r="V1801" s="340"/>
      <c r="W1801" s="340"/>
    </row>
    <row r="1802" spans="2:23" ht="24" customHeight="1">
      <c r="B1802" s="67"/>
      <c r="F1802" s="346">
        <v>44629</v>
      </c>
      <c r="G1802" s="346"/>
      <c r="H1802" s="346"/>
      <c r="I1802" s="346"/>
      <c r="J1802" s="345"/>
      <c r="K1802" s="703"/>
      <c r="L1802" s="342"/>
      <c r="M1802" s="342"/>
      <c r="N1802" s="340"/>
      <c r="O1802" s="703"/>
      <c r="P1802" s="342"/>
      <c r="Q1802" s="363"/>
      <c r="R1802" s="340"/>
      <c r="S1802" s="342"/>
      <c r="T1802" s="342"/>
      <c r="U1802" s="342"/>
      <c r="V1802" s="340"/>
      <c r="W1802" s="340"/>
    </row>
    <row r="1803" spans="2:23" ht="24" customHeight="1">
      <c r="B1803" s="67"/>
      <c r="G1803" s="3" t="s">
        <v>59</v>
      </c>
      <c r="H1803" s="3"/>
      <c r="I1803" s="3"/>
      <c r="J1803" s="345"/>
      <c r="K1803" s="703"/>
      <c r="L1803" s="342"/>
      <c r="M1803" s="342"/>
      <c r="N1803" s="340"/>
      <c r="O1803" s="703"/>
      <c r="P1803" s="342"/>
      <c r="Q1803" s="363"/>
      <c r="R1803" s="340"/>
      <c r="S1803" s="342"/>
      <c r="T1803" s="342"/>
      <c r="U1803" s="342"/>
      <c r="V1803" s="340"/>
      <c r="W1803" s="340"/>
    </row>
    <row r="1804" spans="2:23" ht="24" customHeight="1">
      <c r="B1804" s="67"/>
      <c r="H1804" s="347">
        <v>44530</v>
      </c>
      <c r="I1804" s="347"/>
      <c r="J1804" s="345"/>
      <c r="K1804" s="703"/>
      <c r="L1804" s="342"/>
      <c r="M1804" s="342"/>
      <c r="N1804" s="340"/>
      <c r="O1804" s="703"/>
      <c r="P1804" s="342"/>
      <c r="Q1804" s="363"/>
      <c r="R1804" s="340"/>
      <c r="S1804" s="342"/>
      <c r="T1804" s="342"/>
      <c r="U1804" s="342"/>
      <c r="V1804" s="340"/>
      <c r="W1804" s="340"/>
    </row>
    <row r="1805" spans="2:23" ht="24" customHeight="1">
      <c r="B1805" s="67"/>
      <c r="I1805" s="3" t="s">
        <v>59</v>
      </c>
      <c r="J1805" s="345">
        <v>329</v>
      </c>
      <c r="K1805" s="703">
        <v>18119.974869791669</v>
      </c>
      <c r="L1805" s="342">
        <v>1</v>
      </c>
      <c r="M1805" s="342">
        <v>21.194700000000001</v>
      </c>
      <c r="N1805" s="340">
        <v>384047.43137277348</v>
      </c>
      <c r="O1805" s="703">
        <v>9693.1299999999992</v>
      </c>
      <c r="P1805" s="342">
        <v>1</v>
      </c>
      <c r="Q1805" s="363">
        <v>21.8185</v>
      </c>
      <c r="R1805" s="340">
        <v>211489.55690499998</v>
      </c>
      <c r="S1805" s="342">
        <v>116.884</v>
      </c>
      <c r="T1805" s="342">
        <v>118.98099999999999</v>
      </c>
      <c r="U1805" s="342">
        <v>1.0179</v>
      </c>
      <c r="V1805" s="340">
        <v>215275.21997359948</v>
      </c>
      <c r="W1805" s="340">
        <v>168772.21139917403</v>
      </c>
    </row>
    <row r="1806" spans="2:23" ht="24" customHeight="1">
      <c r="J1806" s="345"/>
      <c r="K1806" s="703"/>
      <c r="L1806" s="342"/>
      <c r="M1806" s="342"/>
      <c r="N1806" s="340"/>
      <c r="O1806" s="703"/>
      <c r="P1806" s="342"/>
      <c r="Q1806" s="363"/>
      <c r="R1806" s="340"/>
      <c r="S1806" s="342"/>
      <c r="T1806" s="342"/>
      <c r="U1806" s="342"/>
      <c r="V1806" s="340"/>
      <c r="W1806" s="340"/>
    </row>
    <row r="1807" spans="2:23" ht="24" customHeight="1">
      <c r="B1807" s="67"/>
      <c r="H1807" s="347">
        <v>44523</v>
      </c>
      <c r="I1807" s="347"/>
      <c r="J1807" s="345"/>
      <c r="K1807" s="703"/>
      <c r="L1807" s="342"/>
      <c r="M1807" s="342"/>
      <c r="N1807" s="340"/>
      <c r="O1807" s="703"/>
      <c r="P1807" s="342"/>
      <c r="Q1807" s="363"/>
      <c r="R1807" s="340"/>
      <c r="S1807" s="342"/>
      <c r="T1807" s="342"/>
      <c r="U1807" s="342"/>
      <c r="V1807" s="340"/>
      <c r="W1807" s="340"/>
    </row>
    <row r="1808" spans="2:23" ht="24" customHeight="1">
      <c r="B1808" s="67"/>
      <c r="I1808" s="3" t="s">
        <v>59</v>
      </c>
      <c r="J1808" s="345">
        <v>55</v>
      </c>
      <c r="K1808" s="703">
        <v>3029.1751302083335</v>
      </c>
      <c r="L1808" s="342">
        <v>1</v>
      </c>
      <c r="M1808" s="342">
        <v>21.194700000000001</v>
      </c>
      <c r="N1808" s="340">
        <v>64202.458132226566</v>
      </c>
      <c r="O1808" s="703">
        <v>1734.1892857142857</v>
      </c>
      <c r="P1808" s="342">
        <v>1</v>
      </c>
      <c r="Q1808" s="363">
        <v>20.828299999999999</v>
      </c>
      <c r="R1808" s="340">
        <v>36120.214699642856</v>
      </c>
      <c r="S1808" s="342">
        <v>116.884</v>
      </c>
      <c r="T1808" s="342">
        <v>118.98099999999999</v>
      </c>
      <c r="U1808" s="342">
        <v>1.0179</v>
      </c>
      <c r="V1808" s="340">
        <v>36766.766542766461</v>
      </c>
      <c r="W1808" s="340">
        <v>27435.691589460104</v>
      </c>
    </row>
    <row r="1809" spans="2:23" ht="24" customHeight="1">
      <c r="J1809" s="345"/>
      <c r="K1809" s="703"/>
      <c r="L1809" s="342"/>
      <c r="M1809" s="342"/>
      <c r="N1809" s="340"/>
      <c r="O1809" s="703"/>
      <c r="P1809" s="342"/>
      <c r="Q1809" s="363"/>
      <c r="R1809" s="340"/>
      <c r="S1809" s="342"/>
      <c r="T1809" s="342"/>
      <c r="U1809" s="342"/>
      <c r="V1809" s="340"/>
      <c r="W1809" s="340"/>
    </row>
    <row r="1810" spans="2:23" ht="24" customHeight="1">
      <c r="B1810" s="67"/>
      <c r="F1810" s="346">
        <v>44574</v>
      </c>
      <c r="G1810" s="346"/>
      <c r="H1810" s="346"/>
      <c r="I1810" s="346"/>
      <c r="J1810" s="345"/>
      <c r="K1810" s="703"/>
      <c r="L1810" s="342"/>
      <c r="M1810" s="342"/>
      <c r="N1810" s="340"/>
      <c r="O1810" s="703"/>
      <c r="P1810" s="342"/>
      <c r="Q1810" s="363"/>
      <c r="R1810" s="340"/>
      <c r="S1810" s="342"/>
      <c r="T1810" s="342"/>
      <c r="U1810" s="342"/>
      <c r="V1810" s="340"/>
      <c r="W1810" s="340"/>
    </row>
    <row r="1811" spans="2:23" ht="24" customHeight="1">
      <c r="B1811" s="67"/>
      <c r="G1811" s="3" t="s">
        <v>59</v>
      </c>
      <c r="H1811" s="3"/>
      <c r="I1811" s="3"/>
      <c r="J1811" s="345"/>
      <c r="K1811" s="703"/>
      <c r="L1811" s="342"/>
      <c r="M1811" s="342"/>
      <c r="N1811" s="340"/>
      <c r="O1811" s="703"/>
      <c r="P1811" s="342"/>
      <c r="Q1811" s="363"/>
      <c r="R1811" s="340"/>
      <c r="S1811" s="342"/>
      <c r="T1811" s="342"/>
      <c r="U1811" s="342"/>
      <c r="V1811" s="340"/>
      <c r="W1811" s="340"/>
    </row>
    <row r="1812" spans="2:23" ht="24" customHeight="1">
      <c r="B1812" s="67"/>
      <c r="H1812" s="347">
        <v>44308</v>
      </c>
      <c r="I1812" s="347"/>
      <c r="J1812" s="345"/>
      <c r="K1812" s="703"/>
      <c r="L1812" s="342"/>
      <c r="M1812" s="342"/>
      <c r="N1812" s="340"/>
      <c r="O1812" s="703"/>
      <c r="P1812" s="342"/>
      <c r="Q1812" s="363"/>
      <c r="R1812" s="340"/>
      <c r="S1812" s="342"/>
      <c r="T1812" s="342"/>
      <c r="U1812" s="342"/>
      <c r="V1812" s="340"/>
      <c r="W1812" s="340"/>
    </row>
    <row r="1813" spans="2:23" ht="24" customHeight="1">
      <c r="B1813" s="67"/>
      <c r="I1813" s="3" t="s">
        <v>59</v>
      </c>
      <c r="J1813" s="345">
        <v>396</v>
      </c>
      <c r="K1813" s="703">
        <v>13782.67</v>
      </c>
      <c r="L1813" s="342">
        <v>1</v>
      </c>
      <c r="M1813" s="342">
        <v>20.378499999999999</v>
      </c>
      <c r="N1813" s="340">
        <v>280870.140595</v>
      </c>
      <c r="O1813" s="703">
        <v>9592.1080550098231</v>
      </c>
      <c r="P1813" s="342">
        <v>1</v>
      </c>
      <c r="Q1813" s="363">
        <v>19.887699999999999</v>
      </c>
      <c r="R1813" s="340">
        <v>190764.96736561885</v>
      </c>
      <c r="S1813" s="342">
        <v>112.19</v>
      </c>
      <c r="T1813" s="342">
        <v>117.30800000000001</v>
      </c>
      <c r="U1813" s="342">
        <v>1.0456000000000001</v>
      </c>
      <c r="V1813" s="340">
        <v>199463.8498774911</v>
      </c>
      <c r="W1813" s="340">
        <v>81406.290717508906</v>
      </c>
    </row>
    <row r="1814" spans="2:23" ht="24" customHeight="1">
      <c r="J1814" s="345"/>
      <c r="K1814" s="703"/>
      <c r="L1814" s="342"/>
      <c r="M1814" s="342"/>
      <c r="N1814" s="340"/>
      <c r="O1814" s="703"/>
      <c r="P1814" s="342"/>
      <c r="Q1814" s="363"/>
      <c r="R1814" s="340"/>
      <c r="S1814" s="342"/>
      <c r="T1814" s="342"/>
      <c r="U1814" s="342"/>
      <c r="V1814" s="340"/>
      <c r="W1814" s="340"/>
    </row>
    <row r="1815" spans="2:23" ht="24" customHeight="1">
      <c r="B1815" s="67"/>
      <c r="F1815" s="346">
        <v>44600</v>
      </c>
      <c r="G1815" s="346"/>
      <c r="H1815" s="346"/>
      <c r="I1815" s="346"/>
      <c r="J1815" s="345"/>
      <c r="K1815" s="703"/>
      <c r="L1815" s="342"/>
      <c r="M1815" s="342"/>
      <c r="N1815" s="340"/>
      <c r="O1815" s="703"/>
      <c r="P1815" s="342"/>
      <c r="Q1815" s="363"/>
      <c r="R1815" s="340"/>
      <c r="S1815" s="342"/>
      <c r="T1815" s="342"/>
      <c r="U1815" s="342"/>
      <c r="V1815" s="340"/>
      <c r="W1815" s="340"/>
    </row>
    <row r="1816" spans="2:23" ht="24" customHeight="1">
      <c r="B1816" s="67"/>
      <c r="G1816" s="3" t="s">
        <v>59</v>
      </c>
      <c r="H1816" s="3"/>
      <c r="I1816" s="3"/>
      <c r="J1816" s="345"/>
      <c r="K1816" s="703"/>
      <c r="L1816" s="342"/>
      <c r="M1816" s="342"/>
      <c r="N1816" s="340"/>
      <c r="O1816" s="703"/>
      <c r="P1816" s="342"/>
      <c r="Q1816" s="363"/>
      <c r="R1816" s="340"/>
      <c r="S1816" s="342"/>
      <c r="T1816" s="342"/>
      <c r="U1816" s="342"/>
      <c r="V1816" s="340"/>
      <c r="W1816" s="340"/>
    </row>
    <row r="1817" spans="2:23" ht="24" customHeight="1">
      <c r="B1817" s="67"/>
      <c r="H1817" s="347">
        <v>44426</v>
      </c>
      <c r="I1817" s="347"/>
      <c r="J1817" s="345"/>
      <c r="K1817" s="703"/>
      <c r="L1817" s="342"/>
      <c r="M1817" s="342"/>
      <c r="N1817" s="340"/>
      <c r="O1817" s="703"/>
      <c r="P1817" s="342"/>
      <c r="Q1817" s="363"/>
      <c r="R1817" s="340"/>
      <c r="S1817" s="342"/>
      <c r="T1817" s="342"/>
      <c r="U1817" s="342"/>
      <c r="V1817" s="340"/>
      <c r="W1817" s="340"/>
    </row>
    <row r="1818" spans="2:23" ht="24" customHeight="1">
      <c r="B1818" s="67"/>
      <c r="I1818" s="3" t="s">
        <v>59</v>
      </c>
      <c r="J1818" s="345">
        <v>213</v>
      </c>
      <c r="K1818" s="703">
        <v>8367.6447169811327</v>
      </c>
      <c r="L1818" s="342">
        <v>1</v>
      </c>
      <c r="M1818" s="342">
        <v>20.5562</v>
      </c>
      <c r="N1818" s="340">
        <v>172006.97833120756</v>
      </c>
      <c r="O1818" s="703">
        <v>5128.8967015706803</v>
      </c>
      <c r="P1818" s="342">
        <v>1</v>
      </c>
      <c r="Q1818" s="363">
        <v>19.886299999999999</v>
      </c>
      <c r="R1818" s="340">
        <v>101994.778476445</v>
      </c>
      <c r="S1818" s="342">
        <v>113.899</v>
      </c>
      <c r="T1818" s="342">
        <v>118.002</v>
      </c>
      <c r="U1818" s="342">
        <v>1.036</v>
      </c>
      <c r="V1818" s="340">
        <v>105666.59050159703</v>
      </c>
      <c r="W1818" s="340">
        <v>66340.387829610525</v>
      </c>
    </row>
    <row r="1819" spans="2:23" ht="24" customHeight="1">
      <c r="J1819" s="345"/>
      <c r="K1819" s="703"/>
      <c r="L1819" s="342"/>
      <c r="M1819" s="342"/>
      <c r="N1819" s="340"/>
      <c r="O1819" s="703"/>
      <c r="P1819" s="342"/>
      <c r="Q1819" s="363"/>
      <c r="R1819" s="340"/>
      <c r="S1819" s="342"/>
      <c r="T1819" s="342"/>
      <c r="U1819" s="342"/>
      <c r="V1819" s="340"/>
      <c r="W1819" s="340"/>
    </row>
    <row r="1820" spans="2:23" ht="24" customHeight="1">
      <c r="B1820" s="67"/>
      <c r="H1820" s="347">
        <v>44461</v>
      </c>
      <c r="I1820" s="347"/>
      <c r="J1820" s="345"/>
      <c r="K1820" s="703"/>
      <c r="L1820" s="342"/>
      <c r="M1820" s="342"/>
      <c r="N1820" s="340"/>
      <c r="O1820" s="703"/>
      <c r="P1820" s="342"/>
      <c r="Q1820" s="363"/>
      <c r="R1820" s="340"/>
      <c r="S1820" s="342"/>
      <c r="T1820" s="342"/>
      <c r="U1820" s="342"/>
      <c r="V1820" s="340"/>
      <c r="W1820" s="340"/>
    </row>
    <row r="1821" spans="2:23" ht="24" customHeight="1">
      <c r="B1821" s="67"/>
      <c r="I1821" s="3" t="s">
        <v>59</v>
      </c>
      <c r="J1821" s="345">
        <v>52</v>
      </c>
      <c r="K1821" s="703">
        <v>2042.8052830188681</v>
      </c>
      <c r="L1821" s="342">
        <v>1</v>
      </c>
      <c r="M1821" s="342">
        <v>20.5562</v>
      </c>
      <c r="N1821" s="340">
        <v>41992.31395879246</v>
      </c>
      <c r="O1821" s="703">
        <v>1391.52</v>
      </c>
      <c r="P1821" s="342">
        <v>1</v>
      </c>
      <c r="Q1821" s="363">
        <v>20.173500000000001</v>
      </c>
      <c r="R1821" s="340">
        <v>28071.828720000001</v>
      </c>
      <c r="S1821" s="342">
        <v>114.601</v>
      </c>
      <c r="T1821" s="342">
        <v>118.002</v>
      </c>
      <c r="U1821" s="342">
        <v>1.0296000000000001</v>
      </c>
      <c r="V1821" s="340">
        <v>28902.754850112004</v>
      </c>
      <c r="W1821" s="340">
        <v>13089.559108680456</v>
      </c>
    </row>
    <row r="1822" spans="2:23" ht="24" customHeight="1">
      <c r="J1822" s="345"/>
      <c r="K1822" s="703"/>
      <c r="L1822" s="342"/>
      <c r="M1822" s="342"/>
      <c r="N1822" s="340"/>
      <c r="O1822" s="703"/>
      <c r="P1822" s="342"/>
      <c r="Q1822" s="363"/>
      <c r="R1822" s="340"/>
      <c r="S1822" s="342"/>
      <c r="T1822" s="342"/>
      <c r="U1822" s="342"/>
      <c r="V1822" s="340"/>
      <c r="W1822" s="340"/>
    </row>
    <row r="1823" spans="2:23" ht="24" customHeight="1">
      <c r="B1823" s="67"/>
      <c r="F1823" s="346">
        <v>44581</v>
      </c>
      <c r="G1823" s="346"/>
      <c r="H1823" s="346"/>
      <c r="I1823" s="346"/>
      <c r="J1823" s="345"/>
      <c r="K1823" s="703"/>
      <c r="L1823" s="342"/>
      <c r="M1823" s="342"/>
      <c r="N1823" s="340"/>
      <c r="O1823" s="703"/>
      <c r="P1823" s="342"/>
      <c r="Q1823" s="363"/>
      <c r="R1823" s="340"/>
      <c r="S1823" s="342"/>
      <c r="T1823" s="342"/>
      <c r="U1823" s="342"/>
      <c r="V1823" s="340"/>
      <c r="W1823" s="340"/>
    </row>
    <row r="1824" spans="2:23" ht="24" customHeight="1">
      <c r="B1824" s="67"/>
      <c r="G1824" s="3" t="s">
        <v>59</v>
      </c>
      <c r="H1824" s="3"/>
      <c r="I1824" s="3"/>
      <c r="J1824" s="345"/>
      <c r="K1824" s="703"/>
      <c r="L1824" s="342"/>
      <c r="M1824" s="342"/>
      <c r="N1824" s="340"/>
      <c r="O1824" s="703"/>
      <c r="P1824" s="342"/>
      <c r="Q1824" s="363"/>
      <c r="R1824" s="340"/>
      <c r="S1824" s="342"/>
      <c r="T1824" s="342"/>
      <c r="U1824" s="342"/>
      <c r="V1824" s="340"/>
      <c r="W1824" s="340"/>
    </row>
    <row r="1825" spans="2:23" ht="24" customHeight="1">
      <c r="B1825" s="67"/>
      <c r="H1825" s="347">
        <v>44349</v>
      </c>
      <c r="I1825" s="347"/>
      <c r="J1825" s="345"/>
      <c r="K1825" s="703"/>
      <c r="L1825" s="342"/>
      <c r="M1825" s="342"/>
      <c r="N1825" s="340"/>
      <c r="O1825" s="703"/>
      <c r="P1825" s="342"/>
      <c r="Q1825" s="363"/>
      <c r="R1825" s="340"/>
      <c r="S1825" s="342"/>
      <c r="T1825" s="342"/>
      <c r="U1825" s="342"/>
      <c r="V1825" s="340"/>
      <c r="W1825" s="340"/>
    </row>
    <row r="1826" spans="2:23" ht="24" customHeight="1">
      <c r="B1826" s="67"/>
      <c r="I1826" s="3" t="s">
        <v>59</v>
      </c>
      <c r="J1826" s="345">
        <v>243</v>
      </c>
      <c r="K1826" s="703">
        <v>8753.0346107784426</v>
      </c>
      <c r="L1826" s="342">
        <v>1</v>
      </c>
      <c r="M1826" s="342">
        <v>20.402999999999999</v>
      </c>
      <c r="N1826" s="340">
        <v>178588.16516371255</v>
      </c>
      <c r="O1826" s="703">
        <v>6752.6313934426225</v>
      </c>
      <c r="P1826" s="342">
        <v>1</v>
      </c>
      <c r="Q1826" s="363">
        <v>19.921299999999999</v>
      </c>
      <c r="R1826" s="340">
        <v>134521.1957781885</v>
      </c>
      <c r="S1826" s="342">
        <v>113.018</v>
      </c>
      <c r="T1826" s="342">
        <v>117.30800000000001</v>
      </c>
      <c r="U1826" s="342">
        <v>1.0379</v>
      </c>
      <c r="V1826" s="340">
        <v>139619.54909818186</v>
      </c>
      <c r="W1826" s="340">
        <v>38968.616065530689</v>
      </c>
    </row>
    <row r="1827" spans="2:23" ht="24" customHeight="1">
      <c r="J1827" s="345"/>
      <c r="K1827" s="703"/>
      <c r="L1827" s="342"/>
      <c r="M1827" s="342"/>
      <c r="N1827" s="340"/>
      <c r="O1827" s="703"/>
      <c r="P1827" s="342"/>
      <c r="Q1827" s="363"/>
      <c r="R1827" s="340"/>
      <c r="S1827" s="342"/>
      <c r="T1827" s="342"/>
      <c r="U1827" s="342"/>
      <c r="V1827" s="340"/>
      <c r="W1827" s="340"/>
    </row>
    <row r="1828" spans="2:23" ht="24" customHeight="1">
      <c r="B1828" s="67"/>
      <c r="H1828" s="347">
        <v>44308</v>
      </c>
      <c r="I1828" s="347"/>
      <c r="J1828" s="345"/>
      <c r="K1828" s="703"/>
      <c r="L1828" s="342"/>
      <c r="M1828" s="342"/>
      <c r="N1828" s="340"/>
      <c r="O1828" s="703"/>
      <c r="P1828" s="342"/>
      <c r="Q1828" s="363"/>
      <c r="R1828" s="340"/>
      <c r="S1828" s="342"/>
      <c r="T1828" s="342"/>
      <c r="U1828" s="342"/>
      <c r="V1828" s="340"/>
      <c r="W1828" s="340"/>
    </row>
    <row r="1829" spans="2:23" ht="24" customHeight="1">
      <c r="B1829" s="67"/>
      <c r="I1829" s="3" t="s">
        <v>59</v>
      </c>
      <c r="J1829" s="345">
        <v>91</v>
      </c>
      <c r="K1829" s="703">
        <v>3277.885389221557</v>
      </c>
      <c r="L1829" s="342">
        <v>1</v>
      </c>
      <c r="M1829" s="342">
        <v>20.402999999999999</v>
      </c>
      <c r="N1829" s="340">
        <v>66878.69559628742</v>
      </c>
      <c r="O1829" s="703">
        <v>2204.2470530451869</v>
      </c>
      <c r="P1829" s="342">
        <v>1</v>
      </c>
      <c r="Q1829" s="363">
        <v>19.887699999999999</v>
      </c>
      <c r="R1829" s="340">
        <v>43837.404116846759</v>
      </c>
      <c r="S1829" s="342">
        <v>112.19</v>
      </c>
      <c r="T1829" s="342">
        <v>117.30800000000001</v>
      </c>
      <c r="U1829" s="342">
        <v>1.0456000000000001</v>
      </c>
      <c r="V1829" s="340">
        <v>45836.389744574975</v>
      </c>
      <c r="W1829" s="340">
        <v>21042.305851712445</v>
      </c>
    </row>
    <row r="1830" spans="2:23" ht="24" customHeight="1">
      <c r="J1830" s="345"/>
      <c r="K1830" s="703"/>
      <c r="L1830" s="342"/>
      <c r="M1830" s="342"/>
      <c r="N1830" s="340"/>
      <c r="O1830" s="703"/>
      <c r="P1830" s="342"/>
      <c r="Q1830" s="363"/>
      <c r="R1830" s="340"/>
      <c r="S1830" s="342"/>
      <c r="T1830" s="342"/>
      <c r="U1830" s="342"/>
      <c r="V1830" s="340"/>
      <c r="W1830" s="340"/>
    </row>
    <row r="1831" spans="2:23" ht="24" customHeight="1">
      <c r="B1831" s="67"/>
      <c r="F1831" s="346">
        <v>44585</v>
      </c>
      <c r="G1831" s="346"/>
      <c r="H1831" s="346"/>
      <c r="I1831" s="346"/>
      <c r="J1831" s="345"/>
      <c r="K1831" s="703"/>
      <c r="L1831" s="342"/>
      <c r="M1831" s="342"/>
      <c r="N1831" s="340"/>
      <c r="O1831" s="703"/>
      <c r="P1831" s="342"/>
      <c r="Q1831" s="363"/>
      <c r="R1831" s="340"/>
      <c r="S1831" s="342"/>
      <c r="T1831" s="342"/>
      <c r="U1831" s="342"/>
      <c r="V1831" s="340"/>
      <c r="W1831" s="340"/>
    </row>
    <row r="1832" spans="2:23" ht="24" customHeight="1">
      <c r="B1832" s="67"/>
      <c r="G1832" s="3" t="s">
        <v>59</v>
      </c>
      <c r="H1832" s="3"/>
      <c r="I1832" s="3"/>
      <c r="J1832" s="345"/>
      <c r="K1832" s="703"/>
      <c r="L1832" s="342"/>
      <c r="M1832" s="342"/>
      <c r="N1832" s="340"/>
      <c r="O1832" s="703"/>
      <c r="P1832" s="342"/>
      <c r="Q1832" s="363"/>
      <c r="R1832" s="340"/>
      <c r="S1832" s="342"/>
      <c r="T1832" s="342"/>
      <c r="U1832" s="342"/>
      <c r="V1832" s="340"/>
      <c r="W1832" s="340"/>
    </row>
    <row r="1833" spans="2:23" ht="24" customHeight="1">
      <c r="B1833" s="67"/>
      <c r="H1833" s="347">
        <v>44349</v>
      </c>
      <c r="I1833" s="347"/>
      <c r="J1833" s="345"/>
      <c r="K1833" s="703"/>
      <c r="L1833" s="342"/>
      <c r="M1833" s="342"/>
      <c r="N1833" s="340"/>
      <c r="O1833" s="703"/>
      <c r="P1833" s="342"/>
      <c r="Q1833" s="363"/>
      <c r="R1833" s="340"/>
      <c r="S1833" s="342"/>
      <c r="T1833" s="342"/>
      <c r="U1833" s="342"/>
      <c r="V1833" s="340"/>
      <c r="W1833" s="340"/>
    </row>
    <row r="1834" spans="2:23" ht="24" customHeight="1">
      <c r="B1834" s="67"/>
      <c r="I1834" s="3" t="s">
        <v>59</v>
      </c>
      <c r="J1834" s="345">
        <v>416</v>
      </c>
      <c r="K1834" s="703">
        <v>13281.1</v>
      </c>
      <c r="L1834" s="342">
        <v>1</v>
      </c>
      <c r="M1834" s="342">
        <v>20.450700000000001</v>
      </c>
      <c r="N1834" s="340">
        <v>271607.79177000001</v>
      </c>
      <c r="O1834" s="703">
        <v>10541.351904986695</v>
      </c>
      <c r="P1834" s="342">
        <v>1</v>
      </c>
      <c r="Q1834" s="363">
        <v>19.921299999999999</v>
      </c>
      <c r="R1834" s="340">
        <v>209997.43370481147</v>
      </c>
      <c r="S1834" s="342">
        <v>113.018</v>
      </c>
      <c r="T1834" s="342">
        <v>117.30800000000001</v>
      </c>
      <c r="U1834" s="342">
        <v>1.0379</v>
      </c>
      <c r="V1834" s="340">
        <v>217956.33644222381</v>
      </c>
      <c r="W1834" s="340">
        <v>53651.455327776224</v>
      </c>
    </row>
    <row r="1835" spans="2:23" ht="24" customHeight="1">
      <c r="J1835" s="345"/>
      <c r="K1835" s="703"/>
      <c r="L1835" s="342"/>
      <c r="M1835" s="342"/>
      <c r="N1835" s="340"/>
      <c r="O1835" s="703"/>
      <c r="P1835" s="342"/>
      <c r="Q1835" s="363"/>
      <c r="R1835" s="340"/>
      <c r="S1835" s="342"/>
      <c r="T1835" s="342"/>
      <c r="U1835" s="342"/>
      <c r="V1835" s="340"/>
      <c r="W1835" s="340"/>
    </row>
    <row r="1836" spans="2:23" ht="24" customHeight="1">
      <c r="B1836" s="67"/>
      <c r="F1836" s="346">
        <v>44607</v>
      </c>
      <c r="G1836" s="346"/>
      <c r="H1836" s="346"/>
      <c r="I1836" s="346"/>
      <c r="J1836" s="345"/>
      <c r="K1836" s="703"/>
      <c r="L1836" s="342"/>
      <c r="M1836" s="342"/>
      <c r="N1836" s="340"/>
      <c r="O1836" s="703"/>
      <c r="P1836" s="342"/>
      <c r="Q1836" s="363"/>
      <c r="R1836" s="340"/>
      <c r="S1836" s="342"/>
      <c r="T1836" s="342"/>
      <c r="U1836" s="342"/>
      <c r="V1836" s="340"/>
      <c r="W1836" s="340"/>
    </row>
    <row r="1837" spans="2:23" ht="24" customHeight="1">
      <c r="B1837" s="67"/>
      <c r="G1837" s="3" t="s">
        <v>59</v>
      </c>
      <c r="H1837" s="3"/>
      <c r="I1837" s="3"/>
      <c r="J1837" s="345"/>
      <c r="K1837" s="703"/>
      <c r="L1837" s="342"/>
      <c r="M1837" s="342"/>
      <c r="N1837" s="340"/>
      <c r="O1837" s="703"/>
      <c r="P1837" s="342"/>
      <c r="Q1837" s="363"/>
      <c r="R1837" s="340"/>
      <c r="S1837" s="342"/>
      <c r="T1837" s="342"/>
      <c r="U1837" s="342"/>
      <c r="V1837" s="340"/>
      <c r="W1837" s="340"/>
    </row>
    <row r="1838" spans="2:23" ht="24" customHeight="1">
      <c r="B1838" s="67"/>
      <c r="H1838" s="347">
        <v>44461</v>
      </c>
      <c r="I1838" s="347"/>
      <c r="J1838" s="345"/>
      <c r="K1838" s="703"/>
      <c r="L1838" s="342"/>
      <c r="M1838" s="342"/>
      <c r="N1838" s="340"/>
      <c r="O1838" s="703"/>
      <c r="P1838" s="342"/>
      <c r="Q1838" s="363"/>
      <c r="R1838" s="340"/>
      <c r="S1838" s="342"/>
      <c r="T1838" s="342"/>
      <c r="U1838" s="342"/>
      <c r="V1838" s="340"/>
      <c r="W1838" s="340"/>
    </row>
    <row r="1839" spans="2:23" ht="24" customHeight="1">
      <c r="B1839" s="67"/>
      <c r="I1839" s="3" t="s">
        <v>59</v>
      </c>
      <c r="J1839" s="345">
        <v>350</v>
      </c>
      <c r="K1839" s="703">
        <v>13892.45</v>
      </c>
      <c r="L1839" s="342">
        <v>1</v>
      </c>
      <c r="M1839" s="342">
        <v>20.418800000000001</v>
      </c>
      <c r="N1839" s="340">
        <v>283667.15806000005</v>
      </c>
      <c r="O1839" s="703">
        <v>9409.5232907348254</v>
      </c>
      <c r="P1839" s="342">
        <v>1</v>
      </c>
      <c r="Q1839" s="363">
        <v>20.173500000000001</v>
      </c>
      <c r="R1839" s="340">
        <v>189823.018105639</v>
      </c>
      <c r="S1839" s="342">
        <v>114.601</v>
      </c>
      <c r="T1839" s="342">
        <v>118.002</v>
      </c>
      <c r="U1839" s="342">
        <v>1.0296000000000001</v>
      </c>
      <c r="V1839" s="340">
        <v>195441.77944156594</v>
      </c>
      <c r="W1839" s="340">
        <v>88225.378618434101</v>
      </c>
    </row>
    <row r="1840" spans="2:23" ht="24" customHeight="1">
      <c r="J1840" s="345"/>
      <c r="K1840" s="703"/>
      <c r="L1840" s="342"/>
      <c r="M1840" s="342"/>
      <c r="N1840" s="340"/>
      <c r="O1840" s="703"/>
      <c r="P1840" s="342"/>
      <c r="Q1840" s="363"/>
      <c r="R1840" s="340"/>
      <c r="S1840" s="342"/>
      <c r="T1840" s="342"/>
      <c r="U1840" s="342"/>
      <c r="V1840" s="340"/>
      <c r="W1840" s="340"/>
    </row>
    <row r="1841" spans="2:23" ht="24" customHeight="1">
      <c r="B1841" s="67"/>
      <c r="F1841" s="346">
        <v>44627</v>
      </c>
      <c r="G1841" s="346"/>
      <c r="H1841" s="346"/>
      <c r="I1841" s="346"/>
      <c r="J1841" s="345"/>
      <c r="K1841" s="703"/>
      <c r="L1841" s="342"/>
      <c r="M1841" s="342"/>
      <c r="N1841" s="340"/>
      <c r="O1841" s="703"/>
      <c r="P1841" s="342"/>
      <c r="Q1841" s="363"/>
      <c r="R1841" s="340"/>
      <c r="S1841" s="342"/>
      <c r="T1841" s="342"/>
      <c r="U1841" s="342"/>
      <c r="V1841" s="340"/>
      <c r="W1841" s="340"/>
    </row>
    <row r="1842" spans="2:23" ht="24" customHeight="1">
      <c r="B1842" s="67"/>
      <c r="G1842" s="3" t="s">
        <v>59</v>
      </c>
      <c r="H1842" s="3"/>
      <c r="I1842" s="3"/>
      <c r="J1842" s="345"/>
      <c r="K1842" s="703"/>
      <c r="L1842" s="342"/>
      <c r="M1842" s="342"/>
      <c r="N1842" s="340"/>
      <c r="O1842" s="703"/>
      <c r="P1842" s="342"/>
      <c r="Q1842" s="363"/>
      <c r="R1842" s="340"/>
      <c r="S1842" s="342"/>
      <c r="T1842" s="342"/>
      <c r="U1842" s="342"/>
      <c r="V1842" s="340"/>
      <c r="W1842" s="340"/>
    </row>
    <row r="1843" spans="2:23" ht="24" customHeight="1">
      <c r="B1843" s="67"/>
      <c r="H1843" s="347">
        <v>44519</v>
      </c>
      <c r="I1843" s="347"/>
      <c r="J1843" s="345"/>
      <c r="K1843" s="703"/>
      <c r="L1843" s="342"/>
      <c r="M1843" s="342"/>
      <c r="N1843" s="340"/>
      <c r="O1843" s="703"/>
      <c r="P1843" s="342"/>
      <c r="Q1843" s="363"/>
      <c r="R1843" s="340"/>
      <c r="S1843" s="342"/>
      <c r="T1843" s="342"/>
      <c r="U1843" s="342"/>
      <c r="V1843" s="340"/>
      <c r="W1843" s="340"/>
    </row>
    <row r="1844" spans="2:23" ht="24" customHeight="1">
      <c r="B1844" s="67"/>
      <c r="I1844" s="3" t="s">
        <v>59</v>
      </c>
      <c r="J1844" s="345">
        <v>1</v>
      </c>
      <c r="K1844" s="703">
        <v>55.027794117647055</v>
      </c>
      <c r="L1844" s="342">
        <v>1</v>
      </c>
      <c r="M1844" s="342">
        <v>20.703299999999999</v>
      </c>
      <c r="N1844" s="340">
        <v>1139.2569299558822</v>
      </c>
      <c r="O1844" s="703">
        <v>29.75</v>
      </c>
      <c r="P1844" s="342">
        <v>1</v>
      </c>
      <c r="Q1844" s="363">
        <v>20.691199999999998</v>
      </c>
      <c r="R1844" s="340">
        <v>615.56319999999994</v>
      </c>
      <c r="S1844" s="342">
        <v>116.884</v>
      </c>
      <c r="T1844" s="342">
        <v>118.98099999999999</v>
      </c>
      <c r="U1844" s="342">
        <v>1.0179</v>
      </c>
      <c r="V1844" s="340">
        <v>626.58178127999997</v>
      </c>
      <c r="W1844" s="340">
        <v>512.67514867588227</v>
      </c>
    </row>
    <row r="1845" spans="2:23" ht="24" customHeight="1">
      <c r="J1845" s="345"/>
      <c r="K1845" s="703"/>
      <c r="L1845" s="342"/>
      <c r="M1845" s="342"/>
      <c r="N1845" s="340"/>
      <c r="O1845" s="703"/>
      <c r="P1845" s="342"/>
      <c r="Q1845" s="363"/>
      <c r="R1845" s="340"/>
      <c r="S1845" s="342"/>
      <c r="T1845" s="342"/>
      <c r="U1845" s="342"/>
      <c r="V1845" s="340"/>
      <c r="W1845" s="340"/>
    </row>
    <row r="1846" spans="2:23" ht="24" customHeight="1">
      <c r="B1846" s="67"/>
      <c r="H1846" s="347">
        <v>44523</v>
      </c>
      <c r="I1846" s="347"/>
      <c r="J1846" s="345"/>
      <c r="K1846" s="703"/>
      <c r="L1846" s="342"/>
      <c r="M1846" s="342"/>
      <c r="N1846" s="340"/>
      <c r="O1846" s="703"/>
      <c r="P1846" s="342"/>
      <c r="Q1846" s="363"/>
      <c r="R1846" s="340"/>
      <c r="S1846" s="342"/>
      <c r="T1846" s="342"/>
      <c r="U1846" s="342"/>
      <c r="V1846" s="340"/>
      <c r="W1846" s="340"/>
    </row>
    <row r="1847" spans="2:23" ht="24" customHeight="1">
      <c r="B1847" s="67"/>
      <c r="I1847" s="3" t="s">
        <v>59</v>
      </c>
      <c r="J1847" s="345">
        <v>71</v>
      </c>
      <c r="K1847" s="703">
        <v>3906.9733823529409</v>
      </c>
      <c r="L1847" s="342">
        <v>1</v>
      </c>
      <c r="M1847" s="342">
        <v>20.703299999999999</v>
      </c>
      <c r="N1847" s="340">
        <v>80887.242026867636</v>
      </c>
      <c r="O1847" s="703">
        <v>2238.6807142857142</v>
      </c>
      <c r="P1847" s="342">
        <v>1</v>
      </c>
      <c r="Q1847" s="363">
        <v>20.828299999999999</v>
      </c>
      <c r="R1847" s="340">
        <v>46627.913521357135</v>
      </c>
      <c r="S1847" s="342">
        <v>116.884</v>
      </c>
      <c r="T1847" s="342">
        <v>118.98099999999999</v>
      </c>
      <c r="U1847" s="342">
        <v>1.0179</v>
      </c>
      <c r="V1847" s="340">
        <v>47462.553173389431</v>
      </c>
      <c r="W1847" s="340">
        <v>33424.688853478205</v>
      </c>
    </row>
    <row r="1848" spans="2:23" ht="24" customHeight="1">
      <c r="J1848" s="345"/>
      <c r="K1848" s="703"/>
      <c r="L1848" s="342"/>
      <c r="M1848" s="342"/>
      <c r="N1848" s="340"/>
      <c r="O1848" s="703"/>
      <c r="P1848" s="342"/>
      <c r="Q1848" s="363"/>
      <c r="R1848" s="340"/>
      <c r="S1848" s="342"/>
      <c r="T1848" s="342"/>
      <c r="U1848" s="342"/>
      <c r="V1848" s="340"/>
      <c r="W1848" s="340"/>
    </row>
    <row r="1849" spans="2:23" ht="24" customHeight="1">
      <c r="B1849" s="67"/>
      <c r="H1849" s="347">
        <v>44461</v>
      </c>
      <c r="I1849" s="347"/>
      <c r="J1849" s="345"/>
      <c r="K1849" s="703"/>
      <c r="L1849" s="342"/>
      <c r="M1849" s="342"/>
      <c r="N1849" s="340"/>
      <c r="O1849" s="703"/>
      <c r="P1849" s="342"/>
      <c r="Q1849" s="363"/>
      <c r="R1849" s="340"/>
      <c r="S1849" s="342"/>
      <c r="T1849" s="342"/>
      <c r="U1849" s="342"/>
      <c r="V1849" s="340"/>
      <c r="W1849" s="340"/>
    </row>
    <row r="1850" spans="2:23" ht="24" customHeight="1">
      <c r="B1850" s="67"/>
      <c r="I1850" s="3" t="s">
        <v>59</v>
      </c>
      <c r="J1850" s="345">
        <v>64</v>
      </c>
      <c r="K1850" s="703">
        <v>3521.7788235294115</v>
      </c>
      <c r="L1850" s="342">
        <v>1</v>
      </c>
      <c r="M1850" s="342">
        <v>20.703299999999999</v>
      </c>
      <c r="N1850" s="340">
        <v>72912.443517176464</v>
      </c>
      <c r="O1850" s="703">
        <v>1723.8267092651759</v>
      </c>
      <c r="P1850" s="342">
        <v>1</v>
      </c>
      <c r="Q1850" s="363">
        <v>20.173500000000001</v>
      </c>
      <c r="R1850" s="340">
        <v>34775.618119361025</v>
      </c>
      <c r="S1850" s="342">
        <v>114.601</v>
      </c>
      <c r="T1850" s="342">
        <v>118.98099999999999</v>
      </c>
      <c r="U1850" s="342">
        <v>1.0382</v>
      </c>
      <c r="V1850" s="340">
        <v>36104.046731520619</v>
      </c>
      <c r="W1850" s="340">
        <v>36808.396785655845</v>
      </c>
    </row>
    <row r="1851" spans="2:23" ht="24" customHeight="1">
      <c r="J1851" s="345"/>
      <c r="K1851" s="703"/>
      <c r="L1851" s="342"/>
      <c r="M1851" s="342"/>
      <c r="N1851" s="340"/>
      <c r="O1851" s="703"/>
      <c r="P1851" s="342"/>
      <c r="Q1851" s="363"/>
      <c r="R1851" s="340"/>
      <c r="S1851" s="342"/>
      <c r="T1851" s="342"/>
      <c r="U1851" s="342"/>
      <c r="V1851" s="340"/>
      <c r="W1851" s="340"/>
    </row>
    <row r="1852" spans="2:23" ht="24" customHeight="1">
      <c r="B1852" s="67"/>
      <c r="E1852" s="131" t="s">
        <v>1140</v>
      </c>
      <c r="F1852" s="131"/>
      <c r="G1852" s="131"/>
      <c r="H1852" s="131"/>
      <c r="I1852" s="131"/>
      <c r="J1852" s="704">
        <v>2505</v>
      </c>
      <c r="K1852" s="705">
        <v>104396.16</v>
      </c>
      <c r="L1852" s="369">
        <v>1</v>
      </c>
      <c r="M1852" s="377">
        <v>20.606611111111114</v>
      </c>
      <c r="N1852" s="706">
        <v>2157565.9312220002</v>
      </c>
      <c r="O1852" s="705">
        <v>67502.735108055014</v>
      </c>
      <c r="P1852" s="369">
        <v>1</v>
      </c>
      <c r="Q1852" s="377">
        <v>20.269061111111107</v>
      </c>
      <c r="R1852" s="706">
        <v>1375747.2762169109</v>
      </c>
      <c r="S1852" s="369">
        <v>114.44955555555559</v>
      </c>
      <c r="T1852" s="369">
        <v>118.05844444444443</v>
      </c>
      <c r="U1852" s="369">
        <v>1.0316222222222224</v>
      </c>
      <c r="V1852" s="706">
        <v>1418863.4309870247</v>
      </c>
      <c r="W1852" s="706">
        <v>738702.50023497571</v>
      </c>
    </row>
    <row r="1853" spans="2:23" ht="24" customHeight="1">
      <c r="J1853" s="345"/>
      <c r="K1853" s="703"/>
      <c r="L1853" s="342"/>
      <c r="M1853" s="342"/>
      <c r="N1853" s="340"/>
      <c r="O1853" s="703"/>
      <c r="P1853" s="342"/>
      <c r="Q1853" s="363"/>
      <c r="R1853" s="340"/>
      <c r="S1853" s="342"/>
      <c r="T1853" s="342"/>
      <c r="U1853" s="342"/>
      <c r="V1853" s="340"/>
      <c r="W1853" s="340"/>
    </row>
    <row r="1854" spans="2:23" ht="24" customHeight="1">
      <c r="B1854" s="67"/>
      <c r="E1854" s="1" t="s">
        <v>874</v>
      </c>
      <c r="J1854" s="345"/>
      <c r="K1854" s="703"/>
      <c r="L1854" s="342"/>
      <c r="M1854" s="342"/>
      <c r="N1854" s="340"/>
      <c r="O1854" s="703"/>
      <c r="P1854" s="342"/>
      <c r="Q1854" s="363"/>
      <c r="R1854" s="340"/>
      <c r="S1854" s="342"/>
      <c r="T1854" s="342"/>
      <c r="U1854" s="342"/>
      <c r="V1854" s="340"/>
      <c r="W1854" s="340"/>
    </row>
    <row r="1855" spans="2:23" ht="24" customHeight="1">
      <c r="B1855" s="67"/>
      <c r="F1855" s="346">
        <v>44693</v>
      </c>
      <c r="G1855" s="346"/>
      <c r="H1855" s="346"/>
      <c r="I1855" s="346"/>
      <c r="J1855" s="345"/>
      <c r="K1855" s="703"/>
      <c r="L1855" s="342"/>
      <c r="M1855" s="342"/>
      <c r="N1855" s="340"/>
      <c r="O1855" s="703"/>
      <c r="P1855" s="342"/>
      <c r="Q1855" s="363"/>
      <c r="R1855" s="340"/>
      <c r="S1855" s="342"/>
      <c r="T1855" s="342"/>
      <c r="U1855" s="342"/>
      <c r="V1855" s="340"/>
      <c r="W1855" s="340"/>
    </row>
    <row r="1856" spans="2:23" ht="24" customHeight="1">
      <c r="B1856" s="67"/>
      <c r="G1856" s="3" t="s">
        <v>59</v>
      </c>
      <c r="H1856" s="3"/>
      <c r="I1856" s="3"/>
      <c r="J1856" s="345"/>
      <c r="K1856" s="703"/>
      <c r="L1856" s="342"/>
      <c r="M1856" s="342"/>
      <c r="N1856" s="340"/>
      <c r="O1856" s="703"/>
      <c r="P1856" s="342"/>
      <c r="Q1856" s="363"/>
      <c r="R1856" s="340"/>
      <c r="S1856" s="342"/>
      <c r="T1856" s="342"/>
      <c r="U1856" s="342"/>
      <c r="V1856" s="340"/>
      <c r="W1856" s="340"/>
    </row>
    <row r="1857" spans="2:23" ht="24" customHeight="1">
      <c r="B1857" s="67"/>
      <c r="H1857" s="347">
        <v>44519</v>
      </c>
      <c r="I1857" s="347"/>
      <c r="J1857" s="345"/>
      <c r="K1857" s="703"/>
      <c r="L1857" s="342"/>
      <c r="M1857" s="342"/>
      <c r="N1857" s="340"/>
      <c r="O1857" s="703"/>
      <c r="P1857" s="342"/>
      <c r="Q1857" s="363"/>
      <c r="R1857" s="340"/>
      <c r="S1857" s="342"/>
      <c r="T1857" s="342"/>
      <c r="U1857" s="342"/>
      <c r="V1857" s="340"/>
      <c r="W1857" s="340"/>
    </row>
    <row r="1858" spans="2:23" ht="24" customHeight="1">
      <c r="B1858" s="67"/>
      <c r="I1858" s="3" t="s">
        <v>59</v>
      </c>
      <c r="J1858" s="345">
        <v>5</v>
      </c>
      <c r="K1858" s="703">
        <v>69.733907563025198</v>
      </c>
      <c r="L1858" s="342">
        <v>1</v>
      </c>
      <c r="M1858" s="342">
        <v>20.372</v>
      </c>
      <c r="N1858" s="340">
        <v>1420.6191648739493</v>
      </c>
      <c r="O1858" s="703">
        <v>213.61</v>
      </c>
      <c r="P1858" s="342">
        <v>1</v>
      </c>
      <c r="Q1858" s="363">
        <v>20.691199999999998</v>
      </c>
      <c r="R1858" s="340">
        <v>4419.8472320000001</v>
      </c>
      <c r="S1858" s="342">
        <v>116.884</v>
      </c>
      <c r="T1858" s="342">
        <v>120.809</v>
      </c>
      <c r="U1858" s="342">
        <v>1.0335000000000001</v>
      </c>
      <c r="V1858" s="340">
        <v>4567.9121142720005</v>
      </c>
      <c r="W1858" s="340">
        <v>-3147.292949398051</v>
      </c>
    </row>
    <row r="1859" spans="2:23" ht="24" customHeight="1">
      <c r="J1859" s="345"/>
      <c r="K1859" s="703"/>
      <c r="L1859" s="342"/>
      <c r="M1859" s="342"/>
      <c r="N1859" s="340"/>
      <c r="O1859" s="703"/>
      <c r="P1859" s="342"/>
      <c r="Q1859" s="363"/>
      <c r="R1859" s="340"/>
      <c r="S1859" s="342"/>
      <c r="T1859" s="342"/>
      <c r="U1859" s="342"/>
      <c r="V1859" s="340"/>
      <c r="W1859" s="340"/>
    </row>
    <row r="1860" spans="2:23" ht="24" customHeight="1">
      <c r="B1860" s="67"/>
      <c r="H1860" s="347">
        <v>44435</v>
      </c>
      <c r="I1860" s="347"/>
      <c r="J1860" s="345"/>
      <c r="K1860" s="703"/>
      <c r="L1860" s="342"/>
      <c r="M1860" s="342"/>
      <c r="N1860" s="340"/>
      <c r="O1860" s="703"/>
      <c r="P1860" s="342"/>
      <c r="Q1860" s="363"/>
      <c r="R1860" s="340"/>
      <c r="S1860" s="342"/>
      <c r="T1860" s="342"/>
      <c r="U1860" s="342"/>
      <c r="V1860" s="340"/>
      <c r="W1860" s="340"/>
    </row>
    <row r="1861" spans="2:23" ht="24" customHeight="1">
      <c r="B1861" s="67"/>
      <c r="I1861" s="3" t="s">
        <v>59</v>
      </c>
      <c r="J1861" s="345">
        <v>227</v>
      </c>
      <c r="K1861" s="703">
        <v>3165.9194033613439</v>
      </c>
      <c r="L1861" s="342">
        <v>1</v>
      </c>
      <c r="M1861" s="342">
        <v>20.372</v>
      </c>
      <c r="N1861" s="340">
        <v>64496.110085277302</v>
      </c>
      <c r="O1861" s="703">
        <v>6058.9514070351761</v>
      </c>
      <c r="P1861" s="342">
        <v>1</v>
      </c>
      <c r="Q1861" s="363">
        <v>20.293299999999999</v>
      </c>
      <c r="R1861" s="340">
        <v>122956.11858838692</v>
      </c>
      <c r="S1861" s="342">
        <v>113.899</v>
      </c>
      <c r="T1861" s="342">
        <v>120.809</v>
      </c>
      <c r="U1861" s="342">
        <v>1.0606</v>
      </c>
      <c r="V1861" s="340">
        <v>130407.25937484317</v>
      </c>
      <c r="W1861" s="340">
        <v>-65911.149289565859</v>
      </c>
    </row>
    <row r="1862" spans="2:23" ht="24" customHeight="1">
      <c r="J1862" s="345"/>
      <c r="K1862" s="703"/>
      <c r="L1862" s="342"/>
      <c r="M1862" s="342"/>
      <c r="N1862" s="340"/>
      <c r="O1862" s="703"/>
      <c r="P1862" s="342"/>
      <c r="Q1862" s="363"/>
      <c r="R1862" s="340"/>
      <c r="S1862" s="342"/>
      <c r="T1862" s="342"/>
      <c r="U1862" s="342"/>
      <c r="V1862" s="340"/>
      <c r="W1862" s="340"/>
    </row>
    <row r="1863" spans="2:23" ht="24" customHeight="1">
      <c r="B1863" s="67"/>
      <c r="H1863" s="347">
        <v>44537</v>
      </c>
      <c r="I1863" s="347"/>
      <c r="J1863" s="345"/>
      <c r="K1863" s="703"/>
      <c r="L1863" s="342"/>
      <c r="M1863" s="342"/>
      <c r="N1863" s="340"/>
      <c r="O1863" s="703"/>
      <c r="P1863" s="342"/>
      <c r="Q1863" s="363"/>
      <c r="R1863" s="340"/>
      <c r="S1863" s="342"/>
      <c r="T1863" s="342"/>
      <c r="U1863" s="342"/>
      <c r="V1863" s="340"/>
      <c r="W1863" s="340"/>
    </row>
    <row r="1864" spans="2:23" ht="24" customHeight="1">
      <c r="B1864" s="67"/>
      <c r="I1864" s="3" t="s">
        <v>59</v>
      </c>
      <c r="J1864" s="345">
        <v>355</v>
      </c>
      <c r="K1864" s="703">
        <v>4951.1074369747894</v>
      </c>
      <c r="L1864" s="342">
        <v>1</v>
      </c>
      <c r="M1864" s="342">
        <v>20.372</v>
      </c>
      <c r="N1864" s="340">
        <v>100863.96070605041</v>
      </c>
      <c r="O1864" s="703">
        <v>12810.319999999998</v>
      </c>
      <c r="P1864" s="342">
        <v>1</v>
      </c>
      <c r="Q1864" s="363">
        <v>21.4177</v>
      </c>
      <c r="R1864" s="340">
        <v>274367.59066399996</v>
      </c>
      <c r="S1864" s="342">
        <v>117.30800000000001</v>
      </c>
      <c r="T1864" s="342">
        <v>120.809</v>
      </c>
      <c r="U1864" s="342">
        <v>1.0298</v>
      </c>
      <c r="V1864" s="340">
        <v>282543.74486578716</v>
      </c>
      <c r="W1864" s="340">
        <v>-181679.78415973677</v>
      </c>
    </row>
    <row r="1865" spans="2:23" ht="24" customHeight="1">
      <c r="J1865" s="345"/>
      <c r="K1865" s="703"/>
      <c r="L1865" s="342"/>
      <c r="M1865" s="342"/>
      <c r="N1865" s="340"/>
      <c r="O1865" s="703"/>
      <c r="P1865" s="342"/>
      <c r="Q1865" s="363"/>
      <c r="R1865" s="340"/>
      <c r="S1865" s="342"/>
      <c r="T1865" s="342"/>
      <c r="U1865" s="342"/>
      <c r="V1865" s="340"/>
      <c r="W1865" s="340"/>
    </row>
    <row r="1866" spans="2:23" ht="24" customHeight="1">
      <c r="B1866" s="67"/>
      <c r="H1866" s="347">
        <v>44550</v>
      </c>
      <c r="I1866" s="347"/>
      <c r="J1866" s="345"/>
      <c r="K1866" s="703"/>
      <c r="L1866" s="342"/>
      <c r="M1866" s="342"/>
      <c r="N1866" s="340"/>
      <c r="O1866" s="703"/>
      <c r="P1866" s="342"/>
      <c r="Q1866" s="363"/>
      <c r="R1866" s="340"/>
      <c r="S1866" s="342"/>
      <c r="T1866" s="342"/>
      <c r="U1866" s="342"/>
      <c r="V1866" s="340"/>
      <c r="W1866" s="340"/>
    </row>
    <row r="1867" spans="2:23" ht="24" customHeight="1">
      <c r="B1867" s="67"/>
      <c r="I1867" s="3" t="s">
        <v>59</v>
      </c>
      <c r="J1867" s="345">
        <v>174</v>
      </c>
      <c r="K1867" s="703">
        <v>2426.7399831932771</v>
      </c>
      <c r="L1867" s="342">
        <v>1</v>
      </c>
      <c r="M1867" s="342">
        <v>20.372</v>
      </c>
      <c r="N1867" s="340">
        <v>49437.546937613442</v>
      </c>
      <c r="O1867" s="703">
        <v>4791.12</v>
      </c>
      <c r="P1867" s="342">
        <v>1</v>
      </c>
      <c r="Q1867" s="363">
        <v>20.9238</v>
      </c>
      <c r="R1867" s="340">
        <v>100248.43665599999</v>
      </c>
      <c r="S1867" s="342">
        <v>117.30800000000001</v>
      </c>
      <c r="T1867" s="342">
        <v>120.809</v>
      </c>
      <c r="U1867" s="342">
        <v>1.0298</v>
      </c>
      <c r="V1867" s="340">
        <v>103235.8400683488</v>
      </c>
      <c r="W1867" s="340">
        <v>-53798.293130735372</v>
      </c>
    </row>
    <row r="1868" spans="2:23" ht="24" customHeight="1">
      <c r="J1868" s="345"/>
      <c r="K1868" s="703"/>
      <c r="L1868" s="342"/>
      <c r="M1868" s="342"/>
      <c r="N1868" s="340"/>
      <c r="O1868" s="703"/>
      <c r="P1868" s="342"/>
      <c r="Q1868" s="363"/>
      <c r="R1868" s="340"/>
      <c r="S1868" s="342"/>
      <c r="T1868" s="342"/>
      <c r="U1868" s="342"/>
      <c r="V1868" s="340"/>
      <c r="W1868" s="340"/>
    </row>
    <row r="1869" spans="2:23" ht="24" customHeight="1">
      <c r="B1869" s="67"/>
      <c r="H1869" s="347">
        <v>44581</v>
      </c>
      <c r="I1869" s="347"/>
      <c r="J1869" s="345"/>
      <c r="K1869" s="703"/>
      <c r="L1869" s="342"/>
      <c r="M1869" s="342"/>
      <c r="N1869" s="340"/>
      <c r="O1869" s="703"/>
      <c r="P1869" s="342"/>
      <c r="Q1869" s="363"/>
      <c r="R1869" s="340"/>
      <c r="S1869" s="342"/>
      <c r="T1869" s="342"/>
      <c r="U1869" s="342"/>
      <c r="V1869" s="340"/>
      <c r="W1869" s="340"/>
    </row>
    <row r="1870" spans="2:23" ht="24" customHeight="1">
      <c r="B1870" s="67"/>
      <c r="I1870" s="3" t="s">
        <v>59</v>
      </c>
      <c r="J1870" s="345">
        <v>429</v>
      </c>
      <c r="K1870" s="703">
        <v>5983.1692689075626</v>
      </c>
      <c r="L1870" s="342">
        <v>1</v>
      </c>
      <c r="M1870" s="342">
        <v>20.372</v>
      </c>
      <c r="N1870" s="340">
        <v>121889.12434618486</v>
      </c>
      <c r="O1870" s="703">
        <v>9866.5400000000009</v>
      </c>
      <c r="P1870" s="342">
        <v>1</v>
      </c>
      <c r="Q1870" s="363">
        <v>20.402999999999999</v>
      </c>
      <c r="R1870" s="340">
        <v>201307.01561999999</v>
      </c>
      <c r="S1870" s="342">
        <v>118.002</v>
      </c>
      <c r="T1870" s="342">
        <v>120.809</v>
      </c>
      <c r="U1870" s="342">
        <v>1.0237000000000001</v>
      </c>
      <c r="V1870" s="340">
        <v>206077.99189019401</v>
      </c>
      <c r="W1870" s="340">
        <v>-84188.867544009147</v>
      </c>
    </row>
    <row r="1871" spans="2:23" ht="24" customHeight="1">
      <c r="J1871" s="345"/>
      <c r="K1871" s="703"/>
      <c r="L1871" s="342"/>
      <c r="M1871" s="342"/>
      <c r="N1871" s="340"/>
      <c r="O1871" s="703"/>
      <c r="P1871" s="342"/>
      <c r="Q1871" s="363"/>
      <c r="R1871" s="340"/>
      <c r="S1871" s="342"/>
      <c r="T1871" s="342"/>
      <c r="U1871" s="342"/>
      <c r="V1871" s="340"/>
      <c r="W1871" s="340"/>
    </row>
    <row r="1872" spans="2:23" ht="24" customHeight="1">
      <c r="B1872" s="67"/>
      <c r="F1872" s="346">
        <v>44621</v>
      </c>
      <c r="G1872" s="346"/>
      <c r="H1872" s="346"/>
      <c r="I1872" s="346"/>
      <c r="J1872" s="345"/>
      <c r="K1872" s="703"/>
      <c r="L1872" s="342"/>
      <c r="M1872" s="342"/>
      <c r="N1872" s="340"/>
      <c r="O1872" s="703"/>
      <c r="P1872" s="342"/>
      <c r="Q1872" s="363"/>
      <c r="R1872" s="340"/>
      <c r="S1872" s="342"/>
      <c r="T1872" s="342"/>
      <c r="U1872" s="342"/>
      <c r="V1872" s="340"/>
      <c r="W1872" s="340"/>
    </row>
    <row r="1873" spans="2:23" ht="24" customHeight="1">
      <c r="B1873" s="67"/>
      <c r="G1873" s="3" t="s">
        <v>59</v>
      </c>
      <c r="H1873" s="3"/>
      <c r="I1873" s="3"/>
      <c r="J1873" s="345"/>
      <c r="K1873" s="703"/>
      <c r="L1873" s="342"/>
      <c r="M1873" s="342"/>
      <c r="N1873" s="340"/>
      <c r="O1873" s="703"/>
      <c r="P1873" s="342"/>
      <c r="Q1873" s="363"/>
      <c r="R1873" s="340"/>
      <c r="S1873" s="342"/>
      <c r="T1873" s="342"/>
      <c r="U1873" s="342"/>
      <c r="V1873" s="340"/>
      <c r="W1873" s="340"/>
    </row>
    <row r="1874" spans="2:23" ht="24" customHeight="1">
      <c r="B1874" s="67"/>
      <c r="H1874" s="347">
        <v>44348</v>
      </c>
      <c r="I1874" s="347"/>
      <c r="J1874" s="345"/>
      <c r="K1874" s="703"/>
      <c r="L1874" s="342"/>
      <c r="M1874" s="342"/>
      <c r="N1874" s="340"/>
      <c r="O1874" s="703"/>
      <c r="P1874" s="342"/>
      <c r="Q1874" s="363"/>
      <c r="R1874" s="340"/>
      <c r="S1874" s="342"/>
      <c r="T1874" s="342"/>
      <c r="U1874" s="342"/>
      <c r="V1874" s="340"/>
      <c r="W1874" s="340"/>
    </row>
    <row r="1875" spans="2:23" ht="24" customHeight="1">
      <c r="B1875" s="67"/>
      <c r="I1875" s="3" t="s">
        <v>59</v>
      </c>
      <c r="J1875" s="345">
        <v>168</v>
      </c>
      <c r="K1875" s="703">
        <v>4180.3588235294119</v>
      </c>
      <c r="L1875" s="342">
        <v>1</v>
      </c>
      <c r="M1875" s="342">
        <v>20.4465</v>
      </c>
      <c r="N1875" s="340">
        <v>85473.706685294121</v>
      </c>
      <c r="O1875" s="703">
        <v>5268.48</v>
      </c>
      <c r="P1875" s="342">
        <v>1</v>
      </c>
      <c r="Q1875" s="363">
        <v>19.944199999999999</v>
      </c>
      <c r="R1875" s="340">
        <v>105075.61881599999</v>
      </c>
      <c r="S1875" s="342">
        <v>113.018</v>
      </c>
      <c r="T1875" s="342">
        <v>118.98099999999999</v>
      </c>
      <c r="U1875" s="342">
        <v>1.0527</v>
      </c>
      <c r="V1875" s="340">
        <v>110613.10392760318</v>
      </c>
      <c r="W1875" s="340">
        <v>-25139.39724230906</v>
      </c>
    </row>
    <row r="1876" spans="2:23" ht="24" customHeight="1">
      <c r="J1876" s="345"/>
      <c r="K1876" s="703"/>
      <c r="L1876" s="342"/>
      <c r="M1876" s="342"/>
      <c r="N1876" s="340"/>
      <c r="O1876" s="703"/>
      <c r="P1876" s="342"/>
      <c r="Q1876" s="363"/>
      <c r="R1876" s="340"/>
      <c r="S1876" s="342"/>
      <c r="T1876" s="342"/>
      <c r="U1876" s="342"/>
      <c r="V1876" s="340"/>
      <c r="W1876" s="340"/>
    </row>
    <row r="1877" spans="2:23" ht="24" customHeight="1">
      <c r="B1877" s="67"/>
      <c r="H1877" s="347">
        <v>44337</v>
      </c>
      <c r="I1877" s="347"/>
      <c r="J1877" s="345"/>
      <c r="K1877" s="703"/>
      <c r="L1877" s="342"/>
      <c r="M1877" s="342"/>
      <c r="N1877" s="340"/>
      <c r="O1877" s="703"/>
      <c r="P1877" s="342"/>
      <c r="Q1877" s="363"/>
      <c r="R1877" s="340"/>
      <c r="S1877" s="342"/>
      <c r="T1877" s="342"/>
      <c r="U1877" s="342"/>
      <c r="V1877" s="340"/>
      <c r="W1877" s="340"/>
    </row>
    <row r="1878" spans="2:23" ht="24" customHeight="1">
      <c r="B1878" s="67"/>
      <c r="I1878" s="3" t="s">
        <v>59</v>
      </c>
      <c r="J1878" s="345">
        <v>42</v>
      </c>
      <c r="K1878" s="703">
        <v>1045.089705882353</v>
      </c>
      <c r="L1878" s="342">
        <v>1</v>
      </c>
      <c r="M1878" s="342">
        <v>20.4465</v>
      </c>
      <c r="N1878" s="340">
        <v>21368.42667132353</v>
      </c>
      <c r="O1878" s="703">
        <v>1146.7802362204725</v>
      </c>
      <c r="P1878" s="342">
        <v>1</v>
      </c>
      <c r="Q1878" s="363">
        <v>19.814299999999999</v>
      </c>
      <c r="R1878" s="340">
        <v>22722.647634543308</v>
      </c>
      <c r="S1878" s="342">
        <v>112.419</v>
      </c>
      <c r="T1878" s="342">
        <v>118.98099999999999</v>
      </c>
      <c r="U1878" s="342">
        <v>1.0583</v>
      </c>
      <c r="V1878" s="340">
        <v>24047.377991637182</v>
      </c>
      <c r="W1878" s="340">
        <v>-2678.9513203136485</v>
      </c>
    </row>
    <row r="1879" spans="2:23" ht="24" customHeight="1">
      <c r="J1879" s="345"/>
      <c r="K1879" s="703"/>
      <c r="L1879" s="342"/>
      <c r="M1879" s="342"/>
      <c r="N1879" s="340"/>
      <c r="O1879" s="703"/>
      <c r="P1879" s="342"/>
      <c r="Q1879" s="363"/>
      <c r="R1879" s="340"/>
      <c r="S1879" s="342"/>
      <c r="T1879" s="342"/>
      <c r="U1879" s="342"/>
      <c r="V1879" s="340"/>
      <c r="W1879" s="340"/>
    </row>
    <row r="1880" spans="2:23" ht="24" customHeight="1">
      <c r="B1880" s="67"/>
      <c r="H1880" s="347">
        <v>44371</v>
      </c>
      <c r="I1880" s="347"/>
      <c r="J1880" s="345"/>
      <c r="K1880" s="703"/>
      <c r="L1880" s="342"/>
      <c r="M1880" s="342"/>
      <c r="N1880" s="340"/>
      <c r="O1880" s="703"/>
      <c r="P1880" s="342"/>
      <c r="Q1880" s="363"/>
      <c r="R1880" s="340"/>
      <c r="S1880" s="342"/>
      <c r="T1880" s="342"/>
      <c r="U1880" s="342"/>
      <c r="V1880" s="340"/>
      <c r="W1880" s="340"/>
    </row>
    <row r="1881" spans="2:23" ht="24" customHeight="1">
      <c r="B1881" s="67"/>
      <c r="I1881" s="3" t="s">
        <v>59</v>
      </c>
      <c r="J1881" s="345">
        <v>198</v>
      </c>
      <c r="K1881" s="703">
        <v>4926.8514705882353</v>
      </c>
      <c r="L1881" s="342">
        <v>1</v>
      </c>
      <c r="M1881" s="342">
        <v>20.4465</v>
      </c>
      <c r="N1881" s="340">
        <v>100736.86859338236</v>
      </c>
      <c r="O1881" s="703">
        <v>6508.0804945054942</v>
      </c>
      <c r="P1881" s="342">
        <v>1</v>
      </c>
      <c r="Q1881" s="363">
        <v>20.571200000000001</v>
      </c>
      <c r="R1881" s="340">
        <v>133879.02546857143</v>
      </c>
      <c r="S1881" s="342">
        <v>113.018</v>
      </c>
      <c r="T1881" s="342">
        <v>118.98099999999999</v>
      </c>
      <c r="U1881" s="342">
        <v>1.0527</v>
      </c>
      <c r="V1881" s="340">
        <v>140934.45011076514</v>
      </c>
      <c r="W1881" s="340">
        <v>-40197.581517382787</v>
      </c>
    </row>
    <row r="1882" spans="2:23" ht="24" customHeight="1">
      <c r="J1882" s="345"/>
      <c r="K1882" s="703"/>
      <c r="L1882" s="342"/>
      <c r="M1882" s="342"/>
      <c r="N1882" s="340"/>
      <c r="O1882" s="703"/>
      <c r="P1882" s="342"/>
      <c r="Q1882" s="363"/>
      <c r="R1882" s="340"/>
      <c r="S1882" s="342"/>
      <c r="T1882" s="342"/>
      <c r="U1882" s="342"/>
      <c r="V1882" s="340"/>
      <c r="W1882" s="340"/>
    </row>
    <row r="1883" spans="2:23" ht="24" customHeight="1">
      <c r="B1883" s="67"/>
      <c r="F1883" s="346">
        <v>44650</v>
      </c>
      <c r="G1883" s="346"/>
      <c r="H1883" s="346"/>
      <c r="I1883" s="346"/>
      <c r="J1883" s="345"/>
      <c r="K1883" s="703"/>
      <c r="L1883" s="342"/>
      <c r="M1883" s="342"/>
      <c r="N1883" s="340"/>
      <c r="O1883" s="703"/>
      <c r="P1883" s="342"/>
      <c r="Q1883" s="363"/>
      <c r="R1883" s="340"/>
      <c r="S1883" s="342"/>
      <c r="T1883" s="342"/>
      <c r="U1883" s="342"/>
      <c r="V1883" s="340"/>
      <c r="W1883" s="340"/>
    </row>
    <row r="1884" spans="2:23" ht="24" customHeight="1">
      <c r="B1884" s="67"/>
      <c r="G1884" s="3" t="s">
        <v>59</v>
      </c>
      <c r="H1884" s="3"/>
      <c r="I1884" s="3"/>
      <c r="J1884" s="345"/>
      <c r="K1884" s="703"/>
      <c r="L1884" s="342"/>
      <c r="M1884" s="342"/>
      <c r="N1884" s="340"/>
      <c r="O1884" s="703"/>
      <c r="P1884" s="342"/>
      <c r="Q1884" s="363"/>
      <c r="R1884" s="340"/>
      <c r="S1884" s="342"/>
      <c r="T1884" s="342"/>
      <c r="U1884" s="342"/>
      <c r="V1884" s="340"/>
      <c r="W1884" s="340"/>
    </row>
    <row r="1885" spans="2:23" ht="24" customHeight="1">
      <c r="B1885" s="67"/>
      <c r="H1885" s="347">
        <v>44371</v>
      </c>
      <c r="I1885" s="347"/>
      <c r="J1885" s="345"/>
      <c r="K1885" s="703"/>
      <c r="L1885" s="342"/>
      <c r="M1885" s="342"/>
      <c r="N1885" s="340"/>
      <c r="O1885" s="703"/>
      <c r="P1885" s="342"/>
      <c r="Q1885" s="363"/>
      <c r="R1885" s="340"/>
      <c r="S1885" s="342"/>
      <c r="T1885" s="342"/>
      <c r="U1885" s="342"/>
      <c r="V1885" s="340"/>
      <c r="W1885" s="340"/>
    </row>
    <row r="1886" spans="2:23" ht="24" customHeight="1">
      <c r="B1886" s="67"/>
      <c r="I1886" s="3" t="s">
        <v>59</v>
      </c>
      <c r="J1886" s="345">
        <v>166</v>
      </c>
      <c r="K1886" s="703">
        <v>4807.7693766937664</v>
      </c>
      <c r="L1886" s="342">
        <v>1</v>
      </c>
      <c r="M1886" s="342">
        <v>20.119499999999999</v>
      </c>
      <c r="N1886" s="340">
        <v>96729.915974390227</v>
      </c>
      <c r="O1886" s="703">
        <v>5456.2695054945052</v>
      </c>
      <c r="P1886" s="342">
        <v>1</v>
      </c>
      <c r="Q1886" s="363">
        <v>20.571200000000001</v>
      </c>
      <c r="R1886" s="340">
        <v>112242.01125142857</v>
      </c>
      <c r="S1886" s="342">
        <v>113.018</v>
      </c>
      <c r="T1886" s="342">
        <v>118.98099999999999</v>
      </c>
      <c r="U1886" s="342">
        <v>1.0527</v>
      </c>
      <c r="V1886" s="340">
        <v>118157.16524437885</v>
      </c>
      <c r="W1886" s="340">
        <v>-21427.249269988606</v>
      </c>
    </row>
    <row r="1887" spans="2:23" ht="24" customHeight="1">
      <c r="J1887" s="345"/>
      <c r="K1887" s="703"/>
      <c r="L1887" s="342"/>
      <c r="M1887" s="342"/>
      <c r="N1887" s="340"/>
      <c r="O1887" s="703"/>
      <c r="P1887" s="342"/>
      <c r="Q1887" s="363"/>
      <c r="R1887" s="340"/>
      <c r="S1887" s="342"/>
      <c r="T1887" s="342"/>
      <c r="U1887" s="342"/>
      <c r="V1887" s="340"/>
      <c r="W1887" s="340"/>
    </row>
    <row r="1888" spans="2:23" ht="24" customHeight="1">
      <c r="B1888" s="67"/>
      <c r="H1888" s="347">
        <v>44396</v>
      </c>
      <c r="I1888" s="347"/>
      <c r="J1888" s="345"/>
      <c r="K1888" s="703"/>
      <c r="L1888" s="342"/>
      <c r="M1888" s="342"/>
      <c r="N1888" s="340"/>
      <c r="O1888" s="703"/>
      <c r="P1888" s="342"/>
      <c r="Q1888" s="363"/>
      <c r="R1888" s="340"/>
      <c r="S1888" s="342"/>
      <c r="T1888" s="342"/>
      <c r="U1888" s="342"/>
      <c r="V1888" s="340"/>
      <c r="W1888" s="340"/>
    </row>
    <row r="1889" spans="2:23" ht="24" customHeight="1">
      <c r="B1889" s="67"/>
      <c r="I1889" s="3" t="s">
        <v>59</v>
      </c>
      <c r="J1889" s="345">
        <v>203</v>
      </c>
      <c r="K1889" s="703">
        <v>5879.3806233062323</v>
      </c>
      <c r="L1889" s="342">
        <v>1</v>
      </c>
      <c r="M1889" s="342">
        <v>20.119499999999999</v>
      </c>
      <c r="N1889" s="340">
        <v>118290.19845060974</v>
      </c>
      <c r="O1889" s="703">
        <v>5131.8219287833826</v>
      </c>
      <c r="P1889" s="342">
        <v>1</v>
      </c>
      <c r="Q1889" s="363">
        <v>19.941199999999998</v>
      </c>
      <c r="R1889" s="340">
        <v>102334.68744625518</v>
      </c>
      <c r="S1889" s="342">
        <v>113.682</v>
      </c>
      <c r="T1889" s="342">
        <v>118.98099999999999</v>
      </c>
      <c r="U1889" s="342">
        <v>1.0466</v>
      </c>
      <c r="V1889" s="340">
        <v>107103.48388125066</v>
      </c>
      <c r="W1889" s="340">
        <v>11186.714569359072</v>
      </c>
    </row>
    <row r="1890" spans="2:23" ht="24" customHeight="1">
      <c r="J1890" s="345"/>
      <c r="K1890" s="703"/>
      <c r="L1890" s="342"/>
      <c r="M1890" s="342"/>
      <c r="N1890" s="340"/>
      <c r="O1890" s="703"/>
      <c r="P1890" s="342"/>
      <c r="Q1890" s="363"/>
      <c r="R1890" s="340"/>
      <c r="S1890" s="342"/>
      <c r="T1890" s="342"/>
      <c r="U1890" s="342"/>
      <c r="V1890" s="340"/>
      <c r="W1890" s="340"/>
    </row>
    <row r="1891" spans="2:23" ht="24" customHeight="1">
      <c r="B1891" s="67"/>
      <c r="F1891" s="346">
        <v>44662</v>
      </c>
      <c r="G1891" s="346"/>
      <c r="H1891" s="346"/>
      <c r="I1891" s="346"/>
      <c r="J1891" s="345"/>
      <c r="K1891" s="703"/>
      <c r="L1891" s="342"/>
      <c r="M1891" s="342"/>
      <c r="N1891" s="340"/>
      <c r="O1891" s="703"/>
      <c r="P1891" s="342"/>
      <c r="Q1891" s="363"/>
      <c r="R1891" s="340"/>
      <c r="S1891" s="342"/>
      <c r="T1891" s="342"/>
      <c r="U1891" s="342"/>
      <c r="V1891" s="340"/>
      <c r="W1891" s="340"/>
    </row>
    <row r="1892" spans="2:23" ht="24" customHeight="1">
      <c r="B1892" s="67"/>
      <c r="G1892" s="3" t="s">
        <v>59</v>
      </c>
      <c r="H1892" s="3"/>
      <c r="I1892" s="3"/>
      <c r="J1892" s="345"/>
      <c r="K1892" s="703"/>
      <c r="L1892" s="342"/>
      <c r="M1892" s="342"/>
      <c r="N1892" s="340"/>
      <c r="O1892" s="703"/>
      <c r="P1892" s="342"/>
      <c r="Q1892" s="363"/>
      <c r="R1892" s="340"/>
      <c r="S1892" s="342"/>
      <c r="T1892" s="342"/>
      <c r="U1892" s="342"/>
      <c r="V1892" s="340"/>
      <c r="W1892" s="340"/>
    </row>
    <row r="1893" spans="2:23" ht="24" customHeight="1">
      <c r="B1893" s="67"/>
      <c r="H1893" s="347">
        <v>44396</v>
      </c>
      <c r="I1893" s="347"/>
      <c r="J1893" s="345"/>
      <c r="K1893" s="703"/>
      <c r="L1893" s="342"/>
      <c r="M1893" s="342"/>
      <c r="N1893" s="340"/>
      <c r="O1893" s="703"/>
      <c r="P1893" s="342"/>
      <c r="Q1893" s="363"/>
      <c r="R1893" s="340"/>
      <c r="S1893" s="342"/>
      <c r="T1893" s="342"/>
      <c r="U1893" s="342"/>
      <c r="V1893" s="340"/>
      <c r="W1893" s="340"/>
    </row>
    <row r="1894" spans="2:23" ht="24" customHeight="1">
      <c r="B1894" s="67"/>
      <c r="I1894" s="3" t="s">
        <v>59</v>
      </c>
      <c r="J1894" s="345">
        <v>134</v>
      </c>
      <c r="K1894" s="703">
        <v>3449.9052040816327</v>
      </c>
      <c r="L1894" s="342">
        <v>1</v>
      </c>
      <c r="M1894" s="342">
        <v>20.160499999999999</v>
      </c>
      <c r="N1894" s="340">
        <v>69551.813866887751</v>
      </c>
      <c r="O1894" s="703">
        <v>3387.5080712166173</v>
      </c>
      <c r="P1894" s="342">
        <v>1</v>
      </c>
      <c r="Q1894" s="363">
        <v>19.941199999999998</v>
      </c>
      <c r="R1894" s="340">
        <v>67550.97594974481</v>
      </c>
      <c r="S1894" s="342">
        <v>113.682</v>
      </c>
      <c r="T1894" s="342">
        <v>120.15900000000001</v>
      </c>
      <c r="U1894" s="342">
        <v>1.0569</v>
      </c>
      <c r="V1894" s="340">
        <v>71394.62648128529</v>
      </c>
      <c r="W1894" s="340">
        <v>-1842.8126143975387</v>
      </c>
    </row>
    <row r="1895" spans="2:23" ht="24" customHeight="1">
      <c r="J1895" s="345"/>
      <c r="K1895" s="703"/>
      <c r="L1895" s="342"/>
      <c r="M1895" s="342"/>
      <c r="N1895" s="340"/>
      <c r="O1895" s="703"/>
      <c r="P1895" s="342"/>
      <c r="Q1895" s="363"/>
      <c r="R1895" s="340"/>
      <c r="S1895" s="342"/>
      <c r="T1895" s="342"/>
      <c r="U1895" s="342"/>
      <c r="V1895" s="340"/>
      <c r="W1895" s="340"/>
    </row>
    <row r="1896" spans="2:23" ht="24" customHeight="1">
      <c r="B1896" s="67"/>
      <c r="H1896" s="347">
        <v>44435</v>
      </c>
      <c r="I1896" s="347"/>
      <c r="J1896" s="345"/>
      <c r="K1896" s="703"/>
      <c r="L1896" s="342"/>
      <c r="M1896" s="342"/>
      <c r="N1896" s="340"/>
      <c r="O1896" s="703"/>
      <c r="P1896" s="342"/>
      <c r="Q1896" s="363"/>
      <c r="R1896" s="340"/>
      <c r="S1896" s="342"/>
      <c r="T1896" s="342"/>
      <c r="U1896" s="342"/>
      <c r="V1896" s="340"/>
      <c r="W1896" s="340"/>
    </row>
    <row r="1897" spans="2:23" ht="24" customHeight="1">
      <c r="B1897" s="67"/>
      <c r="I1897" s="3" t="s">
        <v>59</v>
      </c>
      <c r="J1897" s="345">
        <v>258</v>
      </c>
      <c r="K1897" s="703">
        <v>6642.3547959183679</v>
      </c>
      <c r="L1897" s="342">
        <v>1</v>
      </c>
      <c r="M1897" s="342">
        <v>20.160499999999999</v>
      </c>
      <c r="N1897" s="340">
        <v>133913.19386311225</v>
      </c>
      <c r="O1897" s="703">
        <v>6899.4385929648242</v>
      </c>
      <c r="P1897" s="342">
        <v>1</v>
      </c>
      <c r="Q1897" s="363">
        <v>20.293299999999999</v>
      </c>
      <c r="R1897" s="340">
        <v>140012.37719861305</v>
      </c>
      <c r="S1897" s="342">
        <v>113.899</v>
      </c>
      <c r="T1897" s="342">
        <v>120.15900000000001</v>
      </c>
      <c r="U1897" s="342">
        <v>1.0548999999999999</v>
      </c>
      <c r="V1897" s="340">
        <v>147699.05670681689</v>
      </c>
      <c r="W1897" s="340">
        <v>-13785.862843704643</v>
      </c>
    </row>
    <row r="1898" spans="2:23" ht="24" customHeight="1">
      <c r="J1898" s="345"/>
      <c r="K1898" s="703"/>
      <c r="L1898" s="342"/>
      <c r="M1898" s="342"/>
      <c r="N1898" s="340"/>
      <c r="O1898" s="703"/>
      <c r="P1898" s="342"/>
      <c r="Q1898" s="363"/>
      <c r="R1898" s="340"/>
      <c r="S1898" s="342"/>
      <c r="T1898" s="342"/>
      <c r="U1898" s="342"/>
      <c r="V1898" s="340"/>
      <c r="W1898" s="340"/>
    </row>
    <row r="1899" spans="2:23" ht="24" customHeight="1">
      <c r="B1899" s="67"/>
      <c r="E1899" s="131" t="s">
        <v>1141</v>
      </c>
      <c r="F1899" s="131"/>
      <c r="G1899" s="131"/>
      <c r="H1899" s="131"/>
      <c r="I1899" s="131"/>
      <c r="J1899" s="704">
        <v>2359</v>
      </c>
      <c r="K1899" s="705">
        <v>47528.380000000005</v>
      </c>
      <c r="L1899" s="369">
        <v>1</v>
      </c>
      <c r="M1899" s="377">
        <v>20.325033333333337</v>
      </c>
      <c r="N1899" s="706">
        <v>964171.48534499982</v>
      </c>
      <c r="O1899" s="705">
        <v>67538.920236220467</v>
      </c>
      <c r="P1899" s="369">
        <v>1</v>
      </c>
      <c r="Q1899" s="377">
        <v>20.428379999999997</v>
      </c>
      <c r="R1899" s="706">
        <v>1387116.3525255432</v>
      </c>
      <c r="S1899" s="369">
        <v>115.02306666666667</v>
      </c>
      <c r="T1899" s="369">
        <v>120.11300000000001</v>
      </c>
      <c r="U1899" s="369">
        <v>1.0444199999999999</v>
      </c>
      <c r="V1899" s="706">
        <v>1446782.0126571825</v>
      </c>
      <c r="W1899" s="706">
        <v>-482610.52731218241</v>
      </c>
    </row>
    <row r="1900" spans="2:23" ht="24" customHeight="1">
      <c r="J1900" s="345"/>
      <c r="K1900" s="703"/>
      <c r="L1900" s="342"/>
      <c r="M1900" s="342"/>
      <c r="N1900" s="340"/>
      <c r="O1900" s="703"/>
      <c r="P1900" s="342"/>
      <c r="Q1900" s="363"/>
      <c r="R1900" s="340"/>
      <c r="S1900" s="342"/>
      <c r="T1900" s="342"/>
      <c r="U1900" s="342"/>
      <c r="V1900" s="340"/>
      <c r="W1900" s="340"/>
    </row>
    <row r="1901" spans="2:23" ht="24" customHeight="1">
      <c r="B1901" s="67"/>
      <c r="E1901" s="1" t="s">
        <v>728</v>
      </c>
      <c r="J1901" s="345"/>
      <c r="K1901" s="703"/>
      <c r="L1901" s="342"/>
      <c r="M1901" s="342"/>
      <c r="N1901" s="340"/>
      <c r="O1901" s="703"/>
      <c r="P1901" s="342"/>
      <c r="Q1901" s="363"/>
      <c r="R1901" s="340"/>
      <c r="S1901" s="342"/>
      <c r="T1901" s="342"/>
      <c r="U1901" s="342"/>
      <c r="V1901" s="340"/>
      <c r="W1901" s="340"/>
    </row>
    <row r="1902" spans="2:23" ht="24" customHeight="1">
      <c r="B1902" s="67"/>
      <c r="F1902" s="346">
        <v>44573</v>
      </c>
      <c r="G1902" s="346"/>
      <c r="H1902" s="346"/>
      <c r="I1902" s="346"/>
      <c r="J1902" s="345"/>
      <c r="K1902" s="703"/>
      <c r="L1902" s="342"/>
      <c r="M1902" s="342"/>
      <c r="N1902" s="340"/>
      <c r="O1902" s="703"/>
      <c r="P1902" s="342"/>
      <c r="Q1902" s="363"/>
      <c r="R1902" s="340"/>
      <c r="S1902" s="342"/>
      <c r="T1902" s="342"/>
      <c r="U1902" s="342"/>
      <c r="V1902" s="340"/>
      <c r="W1902" s="340"/>
    </row>
    <row r="1903" spans="2:23" ht="24" customHeight="1">
      <c r="B1903" s="67"/>
      <c r="G1903" s="3" t="s">
        <v>59</v>
      </c>
      <c r="H1903" s="3"/>
      <c r="I1903" s="3"/>
      <c r="J1903" s="345"/>
      <c r="K1903" s="703"/>
      <c r="L1903" s="342"/>
      <c r="M1903" s="342"/>
      <c r="N1903" s="340"/>
      <c r="O1903" s="703"/>
      <c r="P1903" s="342"/>
      <c r="Q1903" s="363"/>
      <c r="R1903" s="340"/>
      <c r="S1903" s="342"/>
      <c r="T1903" s="342"/>
      <c r="U1903" s="342"/>
      <c r="V1903" s="340"/>
      <c r="W1903" s="340"/>
    </row>
    <row r="1904" spans="2:23" ht="24" customHeight="1">
      <c r="B1904" s="67"/>
      <c r="H1904" s="347">
        <v>44334</v>
      </c>
      <c r="I1904" s="347"/>
      <c r="J1904" s="345"/>
      <c r="K1904" s="703"/>
      <c r="L1904" s="342"/>
      <c r="M1904" s="342"/>
      <c r="N1904" s="340"/>
      <c r="O1904" s="703"/>
      <c r="P1904" s="342"/>
      <c r="Q1904" s="363"/>
      <c r="R1904" s="340"/>
      <c r="S1904" s="342"/>
      <c r="T1904" s="342"/>
      <c r="U1904" s="342"/>
      <c r="V1904" s="340"/>
      <c r="W1904" s="340"/>
    </row>
    <row r="1905" spans="2:23" ht="24" customHeight="1">
      <c r="B1905" s="67"/>
      <c r="I1905" s="3" t="s">
        <v>59</v>
      </c>
      <c r="J1905" s="345">
        <v>82</v>
      </c>
      <c r="K1905" s="703">
        <v>13742.65</v>
      </c>
      <c r="L1905" s="342">
        <v>1</v>
      </c>
      <c r="M1905" s="342">
        <v>20.4453</v>
      </c>
      <c r="N1905" s="340">
        <v>280972.60204500001</v>
      </c>
      <c r="O1905" s="703">
        <v>14686.597692307692</v>
      </c>
      <c r="P1905" s="342">
        <v>1</v>
      </c>
      <c r="Q1905" s="363">
        <v>19.848700000000001</v>
      </c>
      <c r="R1905" s="340">
        <v>291509.87161530775</v>
      </c>
      <c r="S1905" s="342">
        <v>112.419</v>
      </c>
      <c r="T1905" s="342">
        <v>117.30800000000001</v>
      </c>
      <c r="U1905" s="342">
        <v>1.0434000000000001</v>
      </c>
      <c r="V1905" s="340">
        <v>304161.40004341211</v>
      </c>
      <c r="W1905" s="340">
        <v>-23188.797998412068</v>
      </c>
    </row>
    <row r="1906" spans="2:23" ht="24" customHeight="1">
      <c r="J1906" s="345"/>
      <c r="K1906" s="703"/>
      <c r="L1906" s="342"/>
      <c r="M1906" s="342"/>
      <c r="N1906" s="340"/>
      <c r="O1906" s="703"/>
      <c r="P1906" s="342"/>
      <c r="Q1906" s="363"/>
      <c r="R1906" s="340"/>
      <c r="S1906" s="342"/>
      <c r="T1906" s="342"/>
      <c r="U1906" s="342"/>
      <c r="V1906" s="340"/>
      <c r="W1906" s="340"/>
    </row>
    <row r="1907" spans="2:23" ht="24" customHeight="1">
      <c r="B1907" s="67"/>
      <c r="F1907" s="346">
        <v>44760</v>
      </c>
      <c r="G1907" s="346"/>
      <c r="H1907" s="346"/>
      <c r="I1907" s="346"/>
      <c r="J1907" s="345"/>
      <c r="K1907" s="703"/>
      <c r="L1907" s="342"/>
      <c r="M1907" s="342"/>
      <c r="N1907" s="340"/>
      <c r="O1907" s="703"/>
      <c r="P1907" s="342"/>
      <c r="Q1907" s="363"/>
      <c r="R1907" s="340"/>
      <c r="S1907" s="342"/>
      <c r="T1907" s="342"/>
      <c r="U1907" s="342"/>
      <c r="V1907" s="340"/>
      <c r="W1907" s="340"/>
    </row>
    <row r="1908" spans="2:23" ht="24" customHeight="1">
      <c r="B1908" s="67"/>
      <c r="G1908" s="3" t="s">
        <v>59</v>
      </c>
      <c r="H1908" s="3"/>
      <c r="I1908" s="3"/>
      <c r="J1908" s="345"/>
      <c r="K1908" s="703"/>
      <c r="L1908" s="342"/>
      <c r="M1908" s="342"/>
      <c r="N1908" s="340"/>
      <c r="O1908" s="703"/>
      <c r="P1908" s="342"/>
      <c r="Q1908" s="363"/>
      <c r="R1908" s="340"/>
      <c r="S1908" s="342"/>
      <c r="T1908" s="342"/>
      <c r="U1908" s="342"/>
      <c r="V1908" s="340"/>
      <c r="W1908" s="340"/>
    </row>
    <row r="1909" spans="2:23" ht="24" customHeight="1">
      <c r="B1909" s="67"/>
      <c r="H1909" s="347">
        <v>44348</v>
      </c>
      <c r="I1909" s="347"/>
      <c r="J1909" s="345"/>
      <c r="K1909" s="703"/>
      <c r="L1909" s="342"/>
      <c r="M1909" s="342"/>
      <c r="N1909" s="340"/>
      <c r="O1909" s="703"/>
      <c r="P1909" s="342"/>
      <c r="Q1909" s="363"/>
      <c r="R1909" s="340"/>
      <c r="S1909" s="342"/>
      <c r="T1909" s="342"/>
      <c r="U1909" s="342"/>
      <c r="V1909" s="340"/>
      <c r="W1909" s="340"/>
    </row>
    <row r="1910" spans="2:23" ht="24" customHeight="1">
      <c r="B1910" s="67"/>
      <c r="I1910" s="3" t="s">
        <v>59</v>
      </c>
      <c r="J1910" s="345">
        <v>25</v>
      </c>
      <c r="K1910" s="703">
        <v>2875.4041666666672</v>
      </c>
      <c r="L1910" s="342">
        <v>1</v>
      </c>
      <c r="M1910" s="342">
        <v>20.941500000000001</v>
      </c>
      <c r="N1910" s="340">
        <v>60215.276356250011</v>
      </c>
      <c r="O1910" s="703">
        <v>4542.46</v>
      </c>
      <c r="P1910" s="342">
        <v>1</v>
      </c>
      <c r="Q1910" s="363">
        <v>19.944199999999999</v>
      </c>
      <c r="R1910" s="340">
        <v>90595.730731999996</v>
      </c>
      <c r="S1910" s="342">
        <v>113.018</v>
      </c>
      <c r="T1910" s="342">
        <v>122.044</v>
      </c>
      <c r="U1910" s="342">
        <v>1.0798000000000001</v>
      </c>
      <c r="V1910" s="340">
        <v>97825.270044413599</v>
      </c>
      <c r="W1910" s="340">
        <v>-37609.993688163588</v>
      </c>
    </row>
    <row r="1911" spans="2:23" ht="24" customHeight="1">
      <c r="J1911" s="345"/>
      <c r="K1911" s="703"/>
      <c r="L1911" s="342"/>
      <c r="M1911" s="342"/>
      <c r="N1911" s="340"/>
      <c r="O1911" s="703"/>
      <c r="P1911" s="342"/>
      <c r="Q1911" s="363"/>
      <c r="R1911" s="340"/>
      <c r="S1911" s="342"/>
      <c r="T1911" s="342"/>
      <c r="U1911" s="342"/>
      <c r="V1911" s="340"/>
      <c r="W1911" s="340"/>
    </row>
    <row r="1912" spans="2:23" ht="24" customHeight="1">
      <c r="B1912" s="67"/>
      <c r="H1912" s="347">
        <v>44334</v>
      </c>
      <c r="I1912" s="347"/>
      <c r="J1912" s="345"/>
      <c r="K1912" s="703"/>
      <c r="L1912" s="342"/>
      <c r="M1912" s="342"/>
      <c r="N1912" s="340"/>
      <c r="O1912" s="703"/>
      <c r="P1912" s="342"/>
      <c r="Q1912" s="363"/>
      <c r="R1912" s="340"/>
      <c r="S1912" s="342"/>
      <c r="T1912" s="342"/>
      <c r="U1912" s="342"/>
      <c r="V1912" s="340"/>
      <c r="W1912" s="340"/>
    </row>
    <row r="1913" spans="2:23" ht="24" customHeight="1">
      <c r="B1913" s="67"/>
      <c r="I1913" s="3" t="s">
        <v>59</v>
      </c>
      <c r="J1913" s="345">
        <v>7</v>
      </c>
      <c r="K1913" s="703">
        <v>805.11316666666676</v>
      </c>
      <c r="L1913" s="342">
        <v>1</v>
      </c>
      <c r="M1913" s="342">
        <v>20.941500000000001</v>
      </c>
      <c r="N1913" s="340">
        <v>16860.277379750001</v>
      </c>
      <c r="O1913" s="703">
        <v>1259.79</v>
      </c>
      <c r="P1913" s="342">
        <v>1</v>
      </c>
      <c r="Q1913" s="363">
        <v>19.848700000000001</v>
      </c>
      <c r="R1913" s="340">
        <v>25005.193772999999</v>
      </c>
      <c r="S1913" s="342">
        <v>112.419</v>
      </c>
      <c r="T1913" s="342">
        <v>122.044</v>
      </c>
      <c r="U1913" s="342">
        <v>1.0855999999999999</v>
      </c>
      <c r="V1913" s="340">
        <v>27145.638359968798</v>
      </c>
      <c r="W1913" s="340">
        <v>-10285.360980218797</v>
      </c>
    </row>
    <row r="1914" spans="2:23" ht="24" customHeight="1">
      <c r="J1914" s="345"/>
      <c r="K1914" s="703"/>
      <c r="L1914" s="342"/>
      <c r="M1914" s="342"/>
      <c r="N1914" s="340"/>
      <c r="O1914" s="703"/>
      <c r="P1914" s="342"/>
      <c r="Q1914" s="363"/>
      <c r="R1914" s="340"/>
      <c r="S1914" s="342"/>
      <c r="T1914" s="342"/>
      <c r="U1914" s="342"/>
      <c r="V1914" s="340"/>
      <c r="W1914" s="340"/>
    </row>
    <row r="1915" spans="2:23" ht="24" customHeight="1">
      <c r="B1915" s="67"/>
      <c r="H1915" s="347">
        <v>44403</v>
      </c>
      <c r="I1915" s="347"/>
      <c r="J1915" s="345"/>
      <c r="K1915" s="703"/>
      <c r="L1915" s="342"/>
      <c r="M1915" s="342"/>
      <c r="N1915" s="340"/>
      <c r="O1915" s="703"/>
      <c r="P1915" s="342"/>
      <c r="Q1915" s="363"/>
      <c r="R1915" s="340"/>
      <c r="S1915" s="342"/>
      <c r="T1915" s="342"/>
      <c r="U1915" s="342"/>
      <c r="V1915" s="340"/>
      <c r="W1915" s="340"/>
    </row>
    <row r="1916" spans="2:23" ht="24" customHeight="1">
      <c r="B1916" s="67"/>
      <c r="I1916" s="3" t="s">
        <v>59</v>
      </c>
      <c r="J1916" s="345">
        <v>99</v>
      </c>
      <c r="K1916" s="703">
        <v>11536.603466666666</v>
      </c>
      <c r="L1916" s="342">
        <v>1</v>
      </c>
      <c r="M1916" s="342">
        <v>20.941500000000001</v>
      </c>
      <c r="N1916" s="340">
        <v>241593.78149720002</v>
      </c>
      <c r="O1916" s="703">
        <v>16259.700000000003</v>
      </c>
      <c r="P1916" s="342">
        <v>1</v>
      </c>
      <c r="Q1916" s="363">
        <v>20.1812</v>
      </c>
      <c r="R1916" s="340">
        <v>328140.25764000008</v>
      </c>
      <c r="S1916" s="342">
        <v>113.682</v>
      </c>
      <c r="T1916" s="342">
        <v>122.044</v>
      </c>
      <c r="U1916" s="342">
        <v>1.0734999999999999</v>
      </c>
      <c r="V1916" s="340">
        <v>352258.56657654</v>
      </c>
      <c r="W1916" s="340">
        <v>-110664.78507934</v>
      </c>
    </row>
    <row r="1917" spans="2:23" ht="24" customHeight="1">
      <c r="J1917" s="345"/>
      <c r="K1917" s="703"/>
      <c r="L1917" s="342"/>
      <c r="M1917" s="342"/>
      <c r="N1917" s="340"/>
      <c r="O1917" s="703"/>
      <c r="P1917" s="342"/>
      <c r="Q1917" s="363"/>
      <c r="R1917" s="340"/>
      <c r="S1917" s="342"/>
      <c r="T1917" s="342"/>
      <c r="U1917" s="342"/>
      <c r="V1917" s="340"/>
      <c r="W1917" s="340"/>
    </row>
    <row r="1918" spans="2:23" ht="24" customHeight="1">
      <c r="B1918" s="67"/>
      <c r="H1918" s="347">
        <v>44418</v>
      </c>
      <c r="I1918" s="347"/>
      <c r="J1918" s="345"/>
      <c r="K1918" s="703"/>
      <c r="L1918" s="342"/>
      <c r="M1918" s="342"/>
      <c r="N1918" s="340"/>
      <c r="O1918" s="703"/>
      <c r="P1918" s="342"/>
      <c r="Q1918" s="363"/>
      <c r="R1918" s="340"/>
      <c r="S1918" s="342"/>
      <c r="T1918" s="342"/>
      <c r="U1918" s="342"/>
      <c r="V1918" s="340"/>
      <c r="W1918" s="340"/>
    </row>
    <row r="1919" spans="2:23" ht="24" customHeight="1">
      <c r="B1919" s="67"/>
      <c r="I1919" s="3" t="s">
        <v>59</v>
      </c>
      <c r="J1919" s="345">
        <v>30</v>
      </c>
      <c r="K1919" s="703">
        <v>3528.0291999999999</v>
      </c>
      <c r="L1919" s="342">
        <v>1</v>
      </c>
      <c r="M1919" s="342">
        <v>20.941500000000001</v>
      </c>
      <c r="N1919" s="340">
        <v>73882.223491800003</v>
      </c>
      <c r="O1919" s="703">
        <v>5011.1284615384611</v>
      </c>
      <c r="P1919" s="342">
        <v>1</v>
      </c>
      <c r="Q1919" s="363">
        <v>20.003699999999998</v>
      </c>
      <c r="R1919" s="340">
        <v>100241.11040607691</v>
      </c>
      <c r="S1919" s="342">
        <v>113.899</v>
      </c>
      <c r="T1919" s="342">
        <v>122.044</v>
      </c>
      <c r="U1919" s="342">
        <v>1.0714999999999999</v>
      </c>
      <c r="V1919" s="340">
        <v>107408.34980011139</v>
      </c>
      <c r="W1919" s="340">
        <v>-33526.126308311388</v>
      </c>
    </row>
    <row r="1920" spans="2:23" ht="24" customHeight="1">
      <c r="J1920" s="345"/>
      <c r="K1920" s="703"/>
      <c r="L1920" s="342"/>
      <c r="M1920" s="342"/>
      <c r="N1920" s="340"/>
      <c r="O1920" s="703"/>
      <c r="P1920" s="342"/>
      <c r="Q1920" s="363"/>
      <c r="R1920" s="340"/>
      <c r="S1920" s="342"/>
      <c r="T1920" s="342"/>
      <c r="U1920" s="342"/>
      <c r="V1920" s="340"/>
      <c r="W1920" s="340"/>
    </row>
    <row r="1921" spans="2:23" ht="24" customHeight="1">
      <c r="B1921" s="67"/>
      <c r="E1921" s="131" t="s">
        <v>1142</v>
      </c>
      <c r="F1921" s="131"/>
      <c r="G1921" s="131"/>
      <c r="H1921" s="131"/>
      <c r="I1921" s="131"/>
      <c r="J1921" s="704">
        <v>243</v>
      </c>
      <c r="K1921" s="705">
        <v>32487.800000000007</v>
      </c>
      <c r="L1921" s="369">
        <v>1</v>
      </c>
      <c r="M1921" s="377">
        <v>20.806172727272724</v>
      </c>
      <c r="N1921" s="706">
        <v>673524.16076999996</v>
      </c>
      <c r="O1921" s="705">
        <v>41759.676153846158</v>
      </c>
      <c r="P1921" s="369">
        <v>1</v>
      </c>
      <c r="Q1921" s="377">
        <v>19.990336363636366</v>
      </c>
      <c r="R1921" s="706">
        <v>835492.16416638473</v>
      </c>
      <c r="S1921" s="369">
        <v>113.22154545454545</v>
      </c>
      <c r="T1921" s="369">
        <v>120.75236363636367</v>
      </c>
      <c r="U1921" s="369">
        <v>1.0664181818181819</v>
      </c>
      <c r="V1921" s="706">
        <v>888799.2248244459</v>
      </c>
      <c r="W1921" s="706">
        <v>-215275.06405444583</v>
      </c>
    </row>
    <row r="1922" spans="2:23" ht="24" customHeight="1">
      <c r="J1922" s="345"/>
      <c r="K1922" s="703"/>
      <c r="L1922" s="342"/>
      <c r="M1922" s="342"/>
      <c r="N1922" s="340"/>
      <c r="O1922" s="703"/>
      <c r="P1922" s="342"/>
      <c r="Q1922" s="363"/>
      <c r="R1922" s="340"/>
      <c r="S1922" s="342"/>
      <c r="T1922" s="342"/>
      <c r="U1922" s="342"/>
      <c r="V1922" s="340"/>
      <c r="W1922" s="340"/>
    </row>
    <row r="1923" spans="2:23" ht="24" customHeight="1">
      <c r="B1923" s="67"/>
      <c r="E1923" s="1" t="s">
        <v>711</v>
      </c>
      <c r="J1923" s="345"/>
      <c r="K1923" s="703"/>
      <c r="L1923" s="342"/>
      <c r="M1923" s="342"/>
      <c r="N1923" s="340"/>
      <c r="O1923" s="703"/>
      <c r="P1923" s="342"/>
      <c r="Q1923" s="363"/>
      <c r="R1923" s="340"/>
      <c r="S1923" s="342"/>
      <c r="T1923" s="342"/>
      <c r="U1923" s="342"/>
      <c r="V1923" s="340"/>
      <c r="W1923" s="340"/>
    </row>
    <row r="1924" spans="2:23" ht="24" customHeight="1">
      <c r="B1924" s="67"/>
      <c r="F1924" s="346">
        <v>44580</v>
      </c>
      <c r="G1924" s="346"/>
      <c r="H1924" s="346"/>
      <c r="I1924" s="346"/>
      <c r="J1924" s="345"/>
      <c r="K1924" s="703"/>
      <c r="L1924" s="342"/>
      <c r="M1924" s="342"/>
      <c r="N1924" s="340"/>
      <c r="O1924" s="703"/>
      <c r="P1924" s="342"/>
      <c r="Q1924" s="363"/>
      <c r="R1924" s="340"/>
      <c r="S1924" s="342"/>
      <c r="T1924" s="342"/>
      <c r="U1924" s="342"/>
      <c r="V1924" s="340"/>
      <c r="W1924" s="340"/>
    </row>
    <row r="1925" spans="2:23" ht="24" customHeight="1">
      <c r="B1925" s="67"/>
      <c r="G1925" s="3" t="s">
        <v>59</v>
      </c>
      <c r="H1925" s="3"/>
      <c r="I1925" s="3"/>
      <c r="J1925" s="345"/>
      <c r="K1925" s="703"/>
      <c r="L1925" s="342"/>
      <c r="M1925" s="342"/>
      <c r="N1925" s="340"/>
      <c r="O1925" s="703"/>
      <c r="P1925" s="342"/>
      <c r="Q1925" s="363"/>
      <c r="R1925" s="340"/>
      <c r="S1925" s="342"/>
      <c r="T1925" s="342"/>
      <c r="U1925" s="342"/>
      <c r="V1925" s="340"/>
      <c r="W1925" s="340"/>
    </row>
    <row r="1926" spans="2:23" ht="24" customHeight="1">
      <c r="B1926" s="67"/>
      <c r="H1926" s="347">
        <v>44159</v>
      </c>
      <c r="I1926" s="347"/>
      <c r="J1926" s="345"/>
      <c r="K1926" s="703"/>
      <c r="L1926" s="342"/>
      <c r="M1926" s="342"/>
      <c r="N1926" s="340"/>
      <c r="O1926" s="703"/>
      <c r="P1926" s="342"/>
      <c r="Q1926" s="363"/>
      <c r="R1926" s="340"/>
      <c r="S1926" s="342"/>
      <c r="T1926" s="342"/>
      <c r="U1926" s="342"/>
      <c r="V1926" s="340"/>
      <c r="W1926" s="340"/>
    </row>
    <row r="1927" spans="2:23" ht="24" customHeight="1">
      <c r="B1927" s="67"/>
      <c r="I1927" s="3" t="s">
        <v>59</v>
      </c>
      <c r="J1927" s="345">
        <v>106</v>
      </c>
      <c r="K1927" s="703">
        <v>11506.622222222222</v>
      </c>
      <c r="L1927" s="342">
        <v>1</v>
      </c>
      <c r="M1927" s="342">
        <v>20.3002</v>
      </c>
      <c r="N1927" s="340">
        <v>233586.73243555555</v>
      </c>
      <c r="O1927" s="703">
        <v>9446.9238461538462</v>
      </c>
      <c r="P1927" s="342">
        <v>1</v>
      </c>
      <c r="Q1927" s="363">
        <v>20.1172</v>
      </c>
      <c r="R1927" s="340">
        <v>190045.65639784618</v>
      </c>
      <c r="S1927" s="342">
        <v>108.85599999999999</v>
      </c>
      <c r="T1927" s="342">
        <v>117.30800000000001</v>
      </c>
      <c r="U1927" s="342">
        <v>1.0776000000000001</v>
      </c>
      <c r="V1927" s="340">
        <v>204793.19933431901</v>
      </c>
      <c r="W1927" s="340">
        <v>28793.533101236553</v>
      </c>
    </row>
    <row r="1928" spans="2:23" ht="24" customHeight="1">
      <c r="J1928" s="345"/>
      <c r="K1928" s="703"/>
      <c r="L1928" s="342"/>
      <c r="M1928" s="342"/>
      <c r="N1928" s="340"/>
      <c r="O1928" s="703"/>
      <c r="P1928" s="342"/>
      <c r="Q1928" s="363"/>
      <c r="R1928" s="340"/>
      <c r="S1928" s="342"/>
      <c r="T1928" s="342"/>
      <c r="U1928" s="342"/>
      <c r="V1928" s="340"/>
      <c r="W1928" s="340"/>
    </row>
    <row r="1929" spans="2:23" ht="24" customHeight="1">
      <c r="B1929" s="67"/>
      <c r="H1929" s="347">
        <v>44260</v>
      </c>
      <c r="I1929" s="347"/>
      <c r="J1929" s="345"/>
      <c r="K1929" s="703"/>
      <c r="L1929" s="342"/>
      <c r="M1929" s="342"/>
      <c r="N1929" s="340"/>
      <c r="O1929" s="703"/>
      <c r="P1929" s="342"/>
      <c r="Q1929" s="363"/>
      <c r="R1929" s="340"/>
      <c r="S1929" s="342"/>
      <c r="T1929" s="342"/>
      <c r="U1929" s="342"/>
      <c r="V1929" s="340"/>
      <c r="W1929" s="340"/>
    </row>
    <row r="1930" spans="2:23" ht="24" customHeight="1">
      <c r="B1930" s="67"/>
      <c r="I1930" s="3" t="s">
        <v>59</v>
      </c>
      <c r="J1930" s="345">
        <v>2</v>
      </c>
      <c r="K1930" s="703">
        <v>217.27777777777777</v>
      </c>
      <c r="L1930" s="342">
        <v>1</v>
      </c>
      <c r="M1930" s="342">
        <v>20.3002</v>
      </c>
      <c r="N1930" s="340">
        <v>4410.7823444444448</v>
      </c>
      <c r="O1930" s="703">
        <v>175.79357894736842</v>
      </c>
      <c r="P1930" s="342">
        <v>1</v>
      </c>
      <c r="Q1930" s="363">
        <v>20.895700000000001</v>
      </c>
      <c r="R1930" s="340">
        <v>3673.3298876105264</v>
      </c>
      <c r="S1930" s="342">
        <v>111.824</v>
      </c>
      <c r="T1930" s="342">
        <v>117.30800000000001</v>
      </c>
      <c r="U1930" s="342">
        <v>1.0489999999999999</v>
      </c>
      <c r="V1930" s="340">
        <v>3853.323052103442</v>
      </c>
      <c r="W1930" s="340">
        <v>557.45929234100277</v>
      </c>
    </row>
    <row r="1931" spans="2:23" ht="24" customHeight="1">
      <c r="J1931" s="345"/>
      <c r="K1931" s="703"/>
      <c r="L1931" s="342"/>
      <c r="M1931" s="342"/>
      <c r="N1931" s="340"/>
      <c r="O1931" s="703"/>
      <c r="P1931" s="342"/>
      <c r="Q1931" s="363"/>
      <c r="R1931" s="340"/>
      <c r="S1931" s="342"/>
      <c r="T1931" s="342"/>
      <c r="U1931" s="342"/>
      <c r="V1931" s="340"/>
      <c r="W1931" s="340"/>
    </row>
    <row r="1932" spans="2:23" ht="24" customHeight="1">
      <c r="B1932" s="67"/>
      <c r="F1932" s="346">
        <v>44573</v>
      </c>
      <c r="G1932" s="346"/>
      <c r="H1932" s="346"/>
      <c r="I1932" s="346"/>
      <c r="J1932" s="345"/>
      <c r="K1932" s="703"/>
      <c r="L1932" s="342"/>
      <c r="M1932" s="342"/>
      <c r="N1932" s="340"/>
      <c r="O1932" s="703"/>
      <c r="P1932" s="342"/>
      <c r="Q1932" s="363"/>
      <c r="R1932" s="340"/>
      <c r="S1932" s="342"/>
      <c r="T1932" s="342"/>
      <c r="U1932" s="342"/>
      <c r="V1932" s="340"/>
      <c r="W1932" s="340"/>
    </row>
    <row r="1933" spans="2:23" ht="24" customHeight="1">
      <c r="B1933" s="67"/>
      <c r="G1933" s="3" t="s">
        <v>59</v>
      </c>
      <c r="H1933" s="3"/>
      <c r="I1933" s="3"/>
      <c r="J1933" s="345"/>
      <c r="K1933" s="703"/>
      <c r="L1933" s="342"/>
      <c r="M1933" s="342"/>
      <c r="N1933" s="340"/>
      <c r="O1933" s="703"/>
      <c r="P1933" s="342"/>
      <c r="Q1933" s="363"/>
      <c r="R1933" s="340"/>
      <c r="S1933" s="342"/>
      <c r="T1933" s="342"/>
      <c r="U1933" s="342"/>
      <c r="V1933" s="340"/>
      <c r="W1933" s="340"/>
    </row>
    <row r="1934" spans="2:23" ht="24" customHeight="1">
      <c r="B1934" s="67"/>
      <c r="H1934" s="347">
        <v>44141</v>
      </c>
      <c r="I1934" s="347"/>
      <c r="J1934" s="345"/>
      <c r="K1934" s="703"/>
      <c r="L1934" s="342"/>
      <c r="M1934" s="342"/>
      <c r="N1934" s="340"/>
      <c r="O1934" s="703"/>
      <c r="P1934" s="342"/>
      <c r="Q1934" s="363"/>
      <c r="R1934" s="340"/>
      <c r="S1934" s="342"/>
      <c r="T1934" s="342"/>
      <c r="U1934" s="342"/>
      <c r="V1934" s="340"/>
      <c r="W1934" s="340"/>
    </row>
    <row r="1935" spans="2:23" ht="24" customHeight="1">
      <c r="B1935" s="67"/>
      <c r="I1935" s="3" t="s">
        <v>59</v>
      </c>
      <c r="J1935" s="345">
        <v>133</v>
      </c>
      <c r="K1935" s="703">
        <v>14556.424274905423</v>
      </c>
      <c r="L1935" s="342">
        <v>1</v>
      </c>
      <c r="M1935" s="342">
        <v>20.4453</v>
      </c>
      <c r="N1935" s="340">
        <v>297610.4612277238</v>
      </c>
      <c r="O1935" s="703">
        <v>12970.009999999998</v>
      </c>
      <c r="P1935" s="342">
        <v>1</v>
      </c>
      <c r="Q1935" s="363">
        <v>21.034500000000001</v>
      </c>
      <c r="R1935" s="340">
        <v>272817.675345</v>
      </c>
      <c r="S1935" s="342">
        <v>108.85599999999999</v>
      </c>
      <c r="T1935" s="342">
        <v>117.30800000000001</v>
      </c>
      <c r="U1935" s="342">
        <v>1.0775999999999999</v>
      </c>
      <c r="V1935" s="340">
        <v>293988.32695177197</v>
      </c>
      <c r="W1935" s="340">
        <v>3622.1342759518593</v>
      </c>
    </row>
    <row r="1936" spans="2:23" ht="24" customHeight="1">
      <c r="J1936" s="345"/>
      <c r="K1936" s="703"/>
      <c r="L1936" s="342"/>
      <c r="M1936" s="342"/>
      <c r="N1936" s="340"/>
      <c r="O1936" s="703"/>
      <c r="P1936" s="342"/>
      <c r="Q1936" s="363"/>
      <c r="R1936" s="340"/>
      <c r="S1936" s="342"/>
      <c r="T1936" s="342"/>
      <c r="U1936" s="342"/>
      <c r="V1936" s="340"/>
      <c r="W1936" s="340"/>
    </row>
    <row r="1937" spans="2:23" ht="24" customHeight="1">
      <c r="B1937" s="67"/>
      <c r="H1937" s="347">
        <v>44104</v>
      </c>
      <c r="I1937" s="347"/>
      <c r="J1937" s="345"/>
      <c r="K1937" s="703"/>
      <c r="L1937" s="342"/>
      <c r="M1937" s="342"/>
      <c r="N1937" s="340"/>
      <c r="O1937" s="703"/>
      <c r="P1937" s="342"/>
      <c r="Q1937" s="363"/>
      <c r="R1937" s="340"/>
      <c r="S1937" s="342"/>
      <c r="T1937" s="342"/>
      <c r="U1937" s="342"/>
      <c r="V1937" s="340"/>
      <c r="W1937" s="340"/>
    </row>
    <row r="1938" spans="2:23" ht="24" customHeight="1">
      <c r="B1938" s="67"/>
      <c r="I1938" s="3" t="s">
        <v>59</v>
      </c>
      <c r="J1938" s="345">
        <v>4</v>
      </c>
      <c r="K1938" s="703">
        <v>437.91803278688525</v>
      </c>
      <c r="L1938" s="342">
        <v>1</v>
      </c>
      <c r="M1938" s="342">
        <v>20.4453</v>
      </c>
      <c r="N1938" s="340">
        <v>8953.3655557377042</v>
      </c>
      <c r="O1938" s="703">
        <v>377.44393782383418</v>
      </c>
      <c r="P1938" s="342">
        <v>1</v>
      </c>
      <c r="Q1938" s="363">
        <v>22.4573</v>
      </c>
      <c r="R1938" s="340">
        <v>8476.3717448911921</v>
      </c>
      <c r="S1938" s="342">
        <v>108.114</v>
      </c>
      <c r="T1938" s="342">
        <v>117.30800000000001</v>
      </c>
      <c r="U1938" s="342">
        <v>1.085</v>
      </c>
      <c r="V1938" s="340">
        <v>9196.8633432069437</v>
      </c>
      <c r="W1938" s="340">
        <v>-243.49778746923948</v>
      </c>
    </row>
    <row r="1939" spans="2:23" ht="24" customHeight="1">
      <c r="J1939" s="345"/>
      <c r="K1939" s="703"/>
      <c r="L1939" s="342"/>
      <c r="M1939" s="342"/>
      <c r="N1939" s="340"/>
      <c r="O1939" s="703"/>
      <c r="P1939" s="342"/>
      <c r="Q1939" s="363"/>
      <c r="R1939" s="340"/>
      <c r="S1939" s="342"/>
      <c r="T1939" s="342"/>
      <c r="U1939" s="342"/>
      <c r="V1939" s="340"/>
      <c r="W1939" s="340"/>
    </row>
    <row r="1940" spans="2:23" ht="24" customHeight="1">
      <c r="B1940" s="67"/>
      <c r="H1940" s="347">
        <v>44159</v>
      </c>
      <c r="I1940" s="347"/>
      <c r="J1940" s="345"/>
      <c r="K1940" s="703"/>
      <c r="L1940" s="342"/>
      <c r="M1940" s="342"/>
      <c r="N1940" s="340"/>
      <c r="O1940" s="703"/>
      <c r="P1940" s="342"/>
      <c r="Q1940" s="363"/>
      <c r="R1940" s="340"/>
      <c r="S1940" s="342"/>
      <c r="T1940" s="342"/>
      <c r="U1940" s="342"/>
      <c r="V1940" s="340"/>
      <c r="W1940" s="340"/>
    </row>
    <row r="1941" spans="2:23" ht="24" customHeight="1">
      <c r="B1941" s="67"/>
      <c r="I1941" s="3" t="s">
        <v>59</v>
      </c>
      <c r="J1941" s="345">
        <v>24</v>
      </c>
      <c r="K1941" s="703">
        <v>2620.5476923076926</v>
      </c>
      <c r="L1941" s="342">
        <v>1</v>
      </c>
      <c r="M1941" s="342">
        <v>20.4453</v>
      </c>
      <c r="N1941" s="340">
        <v>53577.883733538467</v>
      </c>
      <c r="O1941" s="703">
        <v>2138.9261538461542</v>
      </c>
      <c r="P1941" s="342">
        <v>1</v>
      </c>
      <c r="Q1941" s="363">
        <v>20.1172</v>
      </c>
      <c r="R1941" s="340">
        <v>43029.205222153854</v>
      </c>
      <c r="S1941" s="342">
        <v>108.85599999999999</v>
      </c>
      <c r="T1941" s="342">
        <v>117.30800000000001</v>
      </c>
      <c r="U1941" s="342">
        <v>1.0775999999999999</v>
      </c>
      <c r="V1941" s="340">
        <v>46368.271547392986</v>
      </c>
      <c r="W1941" s="340">
        <v>7209.6121861454812</v>
      </c>
    </row>
    <row r="1942" spans="2:23" ht="24" customHeight="1">
      <c r="J1942" s="345"/>
      <c r="K1942" s="703"/>
      <c r="L1942" s="342"/>
      <c r="M1942" s="342"/>
      <c r="N1942" s="340"/>
      <c r="O1942" s="703"/>
      <c r="P1942" s="342"/>
      <c r="Q1942" s="363"/>
      <c r="R1942" s="340"/>
      <c r="S1942" s="342"/>
      <c r="T1942" s="342"/>
      <c r="U1942" s="342"/>
      <c r="V1942" s="340"/>
      <c r="W1942" s="340"/>
    </row>
    <row r="1943" spans="2:23" ht="24" customHeight="1">
      <c r="B1943" s="67"/>
      <c r="F1943" s="346">
        <v>44587</v>
      </c>
      <c r="G1943" s="346"/>
      <c r="H1943" s="346"/>
      <c r="I1943" s="346"/>
      <c r="J1943" s="345"/>
      <c r="K1943" s="703"/>
      <c r="L1943" s="342"/>
      <c r="M1943" s="342"/>
      <c r="N1943" s="340"/>
      <c r="O1943" s="703"/>
      <c r="P1943" s="342"/>
      <c r="Q1943" s="363"/>
      <c r="R1943" s="340"/>
      <c r="S1943" s="342"/>
      <c r="T1943" s="342"/>
      <c r="U1943" s="342"/>
      <c r="V1943" s="340"/>
      <c r="W1943" s="340"/>
    </row>
    <row r="1944" spans="2:23" ht="24" customHeight="1">
      <c r="B1944" s="67"/>
      <c r="G1944" s="3" t="s">
        <v>59</v>
      </c>
      <c r="H1944" s="3"/>
      <c r="I1944" s="3"/>
      <c r="J1944" s="345"/>
      <c r="K1944" s="703"/>
      <c r="L1944" s="342"/>
      <c r="M1944" s="342"/>
      <c r="N1944" s="340"/>
      <c r="O1944" s="703"/>
      <c r="P1944" s="342"/>
      <c r="Q1944" s="363"/>
      <c r="R1944" s="340"/>
      <c r="S1944" s="342"/>
      <c r="T1944" s="342"/>
      <c r="U1944" s="342"/>
      <c r="V1944" s="340"/>
      <c r="W1944" s="340"/>
    </row>
    <row r="1945" spans="2:23" ht="24" customHeight="1">
      <c r="B1945" s="67"/>
      <c r="H1945" s="347">
        <v>44267</v>
      </c>
      <c r="I1945" s="347"/>
      <c r="J1945" s="345"/>
      <c r="K1945" s="703"/>
      <c r="L1945" s="342"/>
      <c r="M1945" s="342"/>
      <c r="N1945" s="340"/>
      <c r="O1945" s="703"/>
      <c r="P1945" s="342"/>
      <c r="Q1945" s="363"/>
      <c r="R1945" s="340"/>
      <c r="S1945" s="342"/>
      <c r="T1945" s="342"/>
      <c r="U1945" s="342"/>
      <c r="V1945" s="340"/>
      <c r="W1945" s="340"/>
    </row>
    <row r="1946" spans="2:23" ht="24" customHeight="1">
      <c r="B1946" s="67"/>
      <c r="I1946" s="3" t="s">
        <v>59</v>
      </c>
      <c r="J1946" s="345">
        <v>23</v>
      </c>
      <c r="K1946" s="703">
        <v>2455.2455769230769</v>
      </c>
      <c r="L1946" s="342">
        <v>1</v>
      </c>
      <c r="M1946" s="342">
        <v>20.630800000000001</v>
      </c>
      <c r="N1946" s="340">
        <v>50653.680448384614</v>
      </c>
      <c r="O1946" s="703">
        <v>2140.7437209302325</v>
      </c>
      <c r="P1946" s="342">
        <v>1</v>
      </c>
      <c r="Q1946" s="363">
        <v>20.985299999999999</v>
      </c>
      <c r="R1946" s="340">
        <v>44924.149206837203</v>
      </c>
      <c r="S1946" s="342">
        <v>111.824</v>
      </c>
      <c r="T1946" s="342">
        <v>117.30800000000001</v>
      </c>
      <c r="U1946" s="342">
        <v>1.0489999999999999</v>
      </c>
      <c r="V1946" s="340">
        <v>47125.432517972222</v>
      </c>
      <c r="W1946" s="340">
        <v>3528.2479304123917</v>
      </c>
    </row>
    <row r="1947" spans="2:23" ht="24" customHeight="1">
      <c r="J1947" s="345"/>
      <c r="K1947" s="703"/>
      <c r="L1947" s="342"/>
      <c r="M1947" s="342"/>
      <c r="N1947" s="340"/>
      <c r="O1947" s="703"/>
      <c r="P1947" s="342"/>
      <c r="Q1947" s="363"/>
      <c r="R1947" s="340"/>
      <c r="S1947" s="342"/>
      <c r="T1947" s="342"/>
      <c r="U1947" s="342"/>
      <c r="V1947" s="340"/>
      <c r="W1947" s="340"/>
    </row>
    <row r="1948" spans="2:23" ht="24" customHeight="1">
      <c r="B1948" s="67"/>
      <c r="H1948" s="347">
        <v>44260</v>
      </c>
      <c r="I1948" s="347"/>
      <c r="J1948" s="345"/>
      <c r="K1948" s="703"/>
      <c r="L1948" s="342"/>
      <c r="M1948" s="342"/>
      <c r="N1948" s="340"/>
      <c r="O1948" s="703"/>
      <c r="P1948" s="342"/>
      <c r="Q1948" s="363"/>
      <c r="R1948" s="340"/>
      <c r="S1948" s="342"/>
      <c r="T1948" s="342"/>
      <c r="U1948" s="342"/>
      <c r="V1948" s="340"/>
      <c r="W1948" s="340"/>
    </row>
    <row r="1949" spans="2:23" ht="24" customHeight="1">
      <c r="B1949" s="67"/>
      <c r="I1949" s="3" t="s">
        <v>59</v>
      </c>
      <c r="J1949" s="345">
        <v>81</v>
      </c>
      <c r="K1949" s="703">
        <v>8646.7344230769231</v>
      </c>
      <c r="L1949" s="342">
        <v>1</v>
      </c>
      <c r="M1949" s="342">
        <v>20.630800000000001</v>
      </c>
      <c r="N1949" s="340">
        <v>178389.04853561538</v>
      </c>
      <c r="O1949" s="703">
        <v>7119.6399473684205</v>
      </c>
      <c r="P1949" s="342">
        <v>1</v>
      </c>
      <c r="Q1949" s="363">
        <v>20.895700000000001</v>
      </c>
      <c r="R1949" s="340">
        <v>148769.8604482263</v>
      </c>
      <c r="S1949" s="342">
        <v>111.824</v>
      </c>
      <c r="T1949" s="342">
        <v>117.30800000000001</v>
      </c>
      <c r="U1949" s="342">
        <v>1.0489999999999999</v>
      </c>
      <c r="V1949" s="340">
        <v>156059.58361018938</v>
      </c>
      <c r="W1949" s="340">
        <v>22329.464925426</v>
      </c>
    </row>
    <row r="1950" spans="2:23" ht="24" customHeight="1">
      <c r="J1950" s="345"/>
      <c r="K1950" s="703"/>
      <c r="L1950" s="342"/>
      <c r="M1950" s="342"/>
      <c r="N1950" s="340"/>
      <c r="O1950" s="703"/>
      <c r="P1950" s="342"/>
      <c r="Q1950" s="363"/>
      <c r="R1950" s="340"/>
      <c r="S1950" s="342"/>
      <c r="T1950" s="342"/>
      <c r="U1950" s="342"/>
      <c r="V1950" s="340"/>
      <c r="W1950" s="340"/>
    </row>
    <row r="1951" spans="2:23" ht="24" customHeight="1">
      <c r="B1951" s="67"/>
      <c r="F1951" s="346">
        <v>44581</v>
      </c>
      <c r="G1951" s="346"/>
      <c r="H1951" s="346"/>
      <c r="I1951" s="346"/>
      <c r="J1951" s="345"/>
      <c r="K1951" s="703"/>
      <c r="L1951" s="342"/>
      <c r="M1951" s="342"/>
      <c r="N1951" s="340"/>
      <c r="O1951" s="703"/>
      <c r="P1951" s="342"/>
      <c r="Q1951" s="363"/>
      <c r="R1951" s="340"/>
      <c r="S1951" s="342"/>
      <c r="T1951" s="342"/>
      <c r="U1951" s="342"/>
      <c r="V1951" s="340"/>
      <c r="W1951" s="340"/>
    </row>
    <row r="1952" spans="2:23" ht="24" customHeight="1">
      <c r="B1952" s="67"/>
      <c r="G1952" s="3" t="s">
        <v>59</v>
      </c>
      <c r="H1952" s="3"/>
      <c r="I1952" s="3"/>
      <c r="J1952" s="345"/>
      <c r="K1952" s="703"/>
      <c r="L1952" s="342"/>
      <c r="M1952" s="342"/>
      <c r="N1952" s="340"/>
      <c r="O1952" s="703"/>
      <c r="P1952" s="342"/>
      <c r="Q1952" s="363"/>
      <c r="R1952" s="340"/>
      <c r="S1952" s="342"/>
      <c r="T1952" s="342"/>
      <c r="U1952" s="342"/>
      <c r="V1952" s="340"/>
      <c r="W1952" s="340"/>
    </row>
    <row r="1953" spans="2:23" ht="24" customHeight="1">
      <c r="B1953" s="67"/>
      <c r="H1953" s="347">
        <v>44260</v>
      </c>
      <c r="I1953" s="347"/>
      <c r="J1953" s="345"/>
      <c r="K1953" s="703"/>
      <c r="L1953" s="342"/>
      <c r="M1953" s="342"/>
      <c r="N1953" s="340"/>
      <c r="O1953" s="703"/>
      <c r="P1953" s="342"/>
      <c r="Q1953" s="363"/>
      <c r="R1953" s="340"/>
      <c r="S1953" s="342"/>
      <c r="T1953" s="342"/>
      <c r="U1953" s="342"/>
      <c r="V1953" s="340"/>
      <c r="W1953" s="340"/>
    </row>
    <row r="1954" spans="2:23" ht="24" customHeight="1">
      <c r="B1954" s="67"/>
      <c r="I1954" s="3" t="s">
        <v>59</v>
      </c>
      <c r="J1954" s="345">
        <v>54</v>
      </c>
      <c r="K1954" s="703">
        <v>5837.7499999999991</v>
      </c>
      <c r="L1954" s="342">
        <v>1</v>
      </c>
      <c r="M1954" s="342">
        <v>20.402999999999999</v>
      </c>
      <c r="N1954" s="340">
        <v>119107.61324999999</v>
      </c>
      <c r="O1954" s="703">
        <v>4746.4266315789482</v>
      </c>
      <c r="P1954" s="342">
        <v>1</v>
      </c>
      <c r="Q1954" s="363">
        <v>20.895700000000001</v>
      </c>
      <c r="R1954" s="340">
        <v>99179.906965484217</v>
      </c>
      <c r="S1954" s="342">
        <v>111.824</v>
      </c>
      <c r="T1954" s="342">
        <v>117.30800000000001</v>
      </c>
      <c r="U1954" s="342">
        <v>1.0489999999999999</v>
      </c>
      <c r="V1954" s="340">
        <v>104039.72240679295</v>
      </c>
      <c r="W1954" s="340">
        <v>15067.890843207049</v>
      </c>
    </row>
    <row r="1955" spans="2:23" ht="24" customHeight="1">
      <c r="J1955" s="345"/>
      <c r="K1955" s="703"/>
      <c r="L1955" s="342"/>
      <c r="M1955" s="342"/>
      <c r="N1955" s="340"/>
      <c r="O1955" s="703"/>
      <c r="P1955" s="342"/>
      <c r="Q1955" s="363"/>
      <c r="R1955" s="340"/>
      <c r="S1955" s="342"/>
      <c r="T1955" s="342"/>
      <c r="U1955" s="342"/>
      <c r="V1955" s="340"/>
      <c r="W1955" s="340"/>
    </row>
    <row r="1956" spans="2:23" ht="24" customHeight="1">
      <c r="B1956" s="67"/>
      <c r="E1956" s="131" t="s">
        <v>1143</v>
      </c>
      <c r="F1956" s="131"/>
      <c r="G1956" s="131"/>
      <c r="H1956" s="131"/>
      <c r="I1956" s="131"/>
      <c r="J1956" s="704">
        <v>427</v>
      </c>
      <c r="K1956" s="705">
        <v>46278.520000000004</v>
      </c>
      <c r="L1956" s="369">
        <v>1</v>
      </c>
      <c r="M1956" s="377">
        <v>20.397423529411771</v>
      </c>
      <c r="N1956" s="706">
        <v>946289.56753100012</v>
      </c>
      <c r="O1956" s="705">
        <v>39115.907816648796</v>
      </c>
      <c r="P1956" s="369">
        <v>1</v>
      </c>
      <c r="Q1956" s="377">
        <v>20.688599999999994</v>
      </c>
      <c r="R1956" s="706">
        <v>810916.15521804942</v>
      </c>
      <c r="S1956" s="369">
        <v>110.03447058823531</v>
      </c>
      <c r="T1956" s="369">
        <v>117.30800000000001</v>
      </c>
      <c r="U1956" s="369">
        <v>1.0662588235294115</v>
      </c>
      <c r="V1956" s="706">
        <v>865424.72276374896</v>
      </c>
      <c r="W1956" s="706">
        <v>80864.84476725111</v>
      </c>
    </row>
    <row r="1957" spans="2:23" ht="24" customHeight="1">
      <c r="J1957" s="345"/>
      <c r="K1957" s="703"/>
      <c r="L1957" s="342"/>
      <c r="M1957" s="342"/>
      <c r="N1957" s="340"/>
      <c r="O1957" s="703"/>
      <c r="P1957" s="342"/>
      <c r="Q1957" s="363"/>
      <c r="R1957" s="340"/>
      <c r="S1957" s="342"/>
      <c r="T1957" s="342"/>
      <c r="U1957" s="342"/>
      <c r="V1957" s="340"/>
      <c r="W1957" s="340"/>
    </row>
    <row r="1958" spans="2:23" ht="24" customHeight="1">
      <c r="B1958" s="67"/>
      <c r="E1958" s="1" t="s">
        <v>877</v>
      </c>
      <c r="J1958" s="345"/>
      <c r="K1958" s="703"/>
      <c r="L1958" s="342"/>
      <c r="M1958" s="342"/>
      <c r="N1958" s="340"/>
      <c r="O1958" s="703"/>
      <c r="P1958" s="342"/>
      <c r="Q1958" s="363"/>
      <c r="R1958" s="340"/>
      <c r="S1958" s="342"/>
      <c r="T1958" s="342"/>
      <c r="U1958" s="342"/>
      <c r="V1958" s="340"/>
      <c r="W1958" s="340"/>
    </row>
    <row r="1959" spans="2:23" ht="24" customHeight="1">
      <c r="B1959" s="67"/>
      <c r="F1959" s="346">
        <v>44663</v>
      </c>
      <c r="G1959" s="346"/>
      <c r="H1959" s="346"/>
      <c r="I1959" s="346"/>
      <c r="J1959" s="345"/>
      <c r="K1959" s="703"/>
      <c r="L1959" s="342"/>
      <c r="M1959" s="342"/>
      <c r="N1959" s="340"/>
      <c r="O1959" s="703"/>
      <c r="P1959" s="342"/>
      <c r="Q1959" s="363"/>
      <c r="R1959" s="340"/>
      <c r="S1959" s="342"/>
      <c r="T1959" s="342"/>
      <c r="U1959" s="342"/>
      <c r="V1959" s="340"/>
      <c r="W1959" s="340"/>
    </row>
    <row r="1960" spans="2:23" ht="24" customHeight="1">
      <c r="B1960" s="67"/>
      <c r="G1960" s="3" t="s">
        <v>59</v>
      </c>
      <c r="H1960" s="3"/>
      <c r="I1960" s="3"/>
      <c r="J1960" s="345"/>
      <c r="K1960" s="703"/>
      <c r="L1960" s="342"/>
      <c r="M1960" s="342"/>
      <c r="N1960" s="340"/>
      <c r="O1960" s="703"/>
      <c r="P1960" s="342"/>
      <c r="Q1960" s="363"/>
      <c r="R1960" s="340"/>
      <c r="S1960" s="342"/>
      <c r="T1960" s="342"/>
      <c r="U1960" s="342"/>
      <c r="V1960" s="340"/>
      <c r="W1960" s="340"/>
    </row>
    <row r="1961" spans="2:23" ht="24" customHeight="1">
      <c r="B1961" s="67"/>
      <c r="H1961" s="347">
        <v>44503</v>
      </c>
      <c r="I1961" s="347"/>
      <c r="J1961" s="345"/>
      <c r="K1961" s="703"/>
      <c r="L1961" s="342"/>
      <c r="M1961" s="342"/>
      <c r="N1961" s="340"/>
      <c r="O1961" s="703"/>
      <c r="P1961" s="342"/>
      <c r="Q1961" s="363"/>
      <c r="R1961" s="340"/>
      <c r="S1961" s="342"/>
      <c r="T1961" s="342"/>
      <c r="U1961" s="342"/>
      <c r="V1961" s="340"/>
      <c r="W1961" s="340"/>
    </row>
    <row r="1962" spans="2:23" ht="24" customHeight="1">
      <c r="B1962" s="67"/>
      <c r="I1962" s="3" t="s">
        <v>59</v>
      </c>
      <c r="J1962" s="345">
        <v>72</v>
      </c>
      <c r="K1962" s="703">
        <v>7639.62</v>
      </c>
      <c r="L1962" s="342">
        <v>1</v>
      </c>
      <c r="M1962" s="342">
        <v>20.12</v>
      </c>
      <c r="N1962" s="340">
        <v>153709.1544</v>
      </c>
      <c r="O1962" s="703">
        <v>8829.2604878048787</v>
      </c>
      <c r="P1962" s="342">
        <v>1</v>
      </c>
      <c r="Q1962" s="363">
        <v>20.529699999999998</v>
      </c>
      <c r="R1962" s="340">
        <v>181262.06903648778</v>
      </c>
      <c r="S1962" s="342">
        <v>116.884</v>
      </c>
      <c r="T1962" s="342">
        <v>120.15900000000001</v>
      </c>
      <c r="U1962" s="342">
        <v>1.028</v>
      </c>
      <c r="V1962" s="340">
        <v>186337.40696950944</v>
      </c>
      <c r="W1962" s="340">
        <v>-32628.252569509452</v>
      </c>
    </row>
    <row r="1963" spans="2:23" ht="24" customHeight="1">
      <c r="J1963" s="345"/>
      <c r="K1963" s="703"/>
      <c r="L1963" s="342"/>
      <c r="M1963" s="342"/>
      <c r="N1963" s="340"/>
      <c r="O1963" s="703"/>
      <c r="P1963" s="342"/>
      <c r="Q1963" s="363"/>
      <c r="R1963" s="340"/>
      <c r="S1963" s="342"/>
      <c r="T1963" s="342"/>
      <c r="U1963" s="342"/>
      <c r="V1963" s="340"/>
      <c r="W1963" s="340"/>
    </row>
    <row r="1964" spans="2:23" ht="24" customHeight="1">
      <c r="B1964" s="67"/>
      <c r="F1964" s="346">
        <v>44662</v>
      </c>
      <c r="G1964" s="346"/>
      <c r="H1964" s="346"/>
      <c r="I1964" s="346"/>
      <c r="J1964" s="345"/>
      <c r="K1964" s="703"/>
      <c r="L1964" s="342"/>
      <c r="M1964" s="342"/>
      <c r="N1964" s="340"/>
      <c r="O1964" s="703"/>
      <c r="P1964" s="342"/>
      <c r="Q1964" s="363"/>
      <c r="R1964" s="340"/>
      <c r="S1964" s="342"/>
      <c r="T1964" s="342"/>
      <c r="U1964" s="342"/>
      <c r="V1964" s="340"/>
      <c r="W1964" s="340"/>
    </row>
    <row r="1965" spans="2:23" ht="24" customHeight="1">
      <c r="B1965" s="67"/>
      <c r="G1965" s="3" t="s">
        <v>59</v>
      </c>
      <c r="H1965" s="3"/>
      <c r="I1965" s="3"/>
      <c r="J1965" s="345"/>
      <c r="K1965" s="703"/>
      <c r="L1965" s="342"/>
      <c r="M1965" s="342"/>
      <c r="N1965" s="340"/>
      <c r="O1965" s="703"/>
      <c r="P1965" s="342"/>
      <c r="Q1965" s="363"/>
      <c r="R1965" s="340"/>
      <c r="S1965" s="342"/>
      <c r="T1965" s="342"/>
      <c r="U1965" s="342"/>
      <c r="V1965" s="340"/>
      <c r="W1965" s="340"/>
    </row>
    <row r="1966" spans="2:23" ht="24" customHeight="1">
      <c r="B1966" s="67"/>
      <c r="H1966" s="347">
        <v>44293</v>
      </c>
      <c r="I1966" s="347"/>
      <c r="J1966" s="345"/>
      <c r="K1966" s="703"/>
      <c r="L1966" s="342"/>
      <c r="M1966" s="342"/>
      <c r="N1966" s="340"/>
      <c r="O1966" s="703"/>
      <c r="P1966" s="342"/>
      <c r="Q1966" s="363"/>
      <c r="R1966" s="340"/>
      <c r="S1966" s="342"/>
      <c r="T1966" s="342"/>
      <c r="U1966" s="342"/>
      <c r="V1966" s="340"/>
      <c r="W1966" s="340"/>
    </row>
    <row r="1967" spans="2:23" ht="24" customHeight="1">
      <c r="B1967" s="67"/>
      <c r="I1967" s="3" t="s">
        <v>59</v>
      </c>
      <c r="J1967" s="345">
        <v>3</v>
      </c>
      <c r="K1967" s="703">
        <v>323.62384615384616</v>
      </c>
      <c r="L1967" s="342">
        <v>1</v>
      </c>
      <c r="M1967" s="342">
        <v>20.160499999999999</v>
      </c>
      <c r="N1967" s="340">
        <v>6524.4185503846147</v>
      </c>
      <c r="O1967" s="703">
        <v>370.95081081081082</v>
      </c>
      <c r="P1967" s="342">
        <v>1</v>
      </c>
      <c r="Q1967" s="363">
        <v>20.2483</v>
      </c>
      <c r="R1967" s="340">
        <v>7511.1233025405409</v>
      </c>
      <c r="S1967" s="342">
        <v>112.19</v>
      </c>
      <c r="T1967" s="342">
        <v>120.15900000000001</v>
      </c>
      <c r="U1967" s="342">
        <v>1.071</v>
      </c>
      <c r="V1967" s="340">
        <v>8044.413057020919</v>
      </c>
      <c r="W1967" s="340">
        <v>-1519.9945066363052</v>
      </c>
    </row>
    <row r="1968" spans="2:23" ht="24" customHeight="1">
      <c r="J1968" s="345"/>
      <c r="K1968" s="703"/>
      <c r="L1968" s="342"/>
      <c r="M1968" s="342"/>
      <c r="N1968" s="340"/>
      <c r="O1968" s="703"/>
      <c r="P1968" s="342"/>
      <c r="Q1968" s="363"/>
      <c r="R1968" s="340"/>
      <c r="S1968" s="342"/>
      <c r="T1968" s="342"/>
      <c r="U1968" s="342"/>
      <c r="V1968" s="340"/>
      <c r="W1968" s="340"/>
    </row>
    <row r="1969" spans="2:23" ht="24" customHeight="1">
      <c r="B1969" s="67"/>
      <c r="H1969" s="347">
        <v>44348</v>
      </c>
      <c r="I1969" s="347"/>
      <c r="J1969" s="345"/>
      <c r="K1969" s="703"/>
      <c r="L1969" s="342"/>
      <c r="M1969" s="342"/>
      <c r="N1969" s="340"/>
      <c r="O1969" s="703"/>
      <c r="P1969" s="342"/>
      <c r="Q1969" s="363"/>
      <c r="R1969" s="340"/>
      <c r="S1969" s="342"/>
      <c r="T1969" s="342"/>
      <c r="U1969" s="342"/>
      <c r="V1969" s="340"/>
      <c r="W1969" s="340"/>
    </row>
    <row r="1970" spans="2:23" ht="24" customHeight="1">
      <c r="B1970" s="67"/>
      <c r="I1970" s="3" t="s">
        <v>59</v>
      </c>
      <c r="J1970" s="345">
        <v>58</v>
      </c>
      <c r="K1970" s="703">
        <v>6153.5489773755653</v>
      </c>
      <c r="L1970" s="342">
        <v>1</v>
      </c>
      <c r="M1970" s="342">
        <v>20.160499999999999</v>
      </c>
      <c r="N1970" s="340">
        <v>124058.62415838009</v>
      </c>
      <c r="O1970" s="703">
        <v>7237.65</v>
      </c>
      <c r="P1970" s="342">
        <v>1</v>
      </c>
      <c r="Q1970" s="363">
        <v>19.944199999999999</v>
      </c>
      <c r="R1970" s="340">
        <v>144349.13913</v>
      </c>
      <c r="S1970" s="342">
        <v>113.018</v>
      </c>
      <c r="T1970" s="342">
        <v>120.15900000000001</v>
      </c>
      <c r="U1970" s="342">
        <v>1.0630999999999999</v>
      </c>
      <c r="V1970" s="340">
        <v>153457.56980910298</v>
      </c>
      <c r="W1970" s="340">
        <v>-29398.945650722897</v>
      </c>
    </row>
    <row r="1971" spans="2:23" ht="24" customHeight="1">
      <c r="J1971" s="345"/>
      <c r="K1971" s="703"/>
      <c r="L1971" s="342"/>
      <c r="M1971" s="342"/>
      <c r="N1971" s="340"/>
      <c r="O1971" s="703"/>
      <c r="P1971" s="342"/>
      <c r="Q1971" s="363"/>
      <c r="R1971" s="340"/>
      <c r="S1971" s="342"/>
      <c r="T1971" s="342"/>
      <c r="U1971" s="342"/>
      <c r="V1971" s="340"/>
      <c r="W1971" s="340"/>
    </row>
    <row r="1972" spans="2:23" ht="24" customHeight="1">
      <c r="B1972" s="67"/>
      <c r="H1972" s="347">
        <v>44371</v>
      </c>
      <c r="I1972" s="347"/>
      <c r="J1972" s="345"/>
      <c r="K1972" s="703"/>
      <c r="L1972" s="342"/>
      <c r="M1972" s="342"/>
      <c r="N1972" s="340"/>
      <c r="O1972" s="703"/>
      <c r="P1972" s="342"/>
      <c r="Q1972" s="363"/>
      <c r="R1972" s="340"/>
      <c r="S1972" s="342"/>
      <c r="T1972" s="342"/>
      <c r="U1972" s="342"/>
      <c r="V1972" s="340"/>
      <c r="W1972" s="340"/>
    </row>
    <row r="1973" spans="2:23" ht="24" customHeight="1">
      <c r="B1973" s="67"/>
      <c r="I1973" s="3" t="s">
        <v>59</v>
      </c>
      <c r="J1973" s="345">
        <v>126</v>
      </c>
      <c r="K1973" s="703">
        <v>13324.156123839008</v>
      </c>
      <c r="L1973" s="342">
        <v>1</v>
      </c>
      <c r="M1973" s="342">
        <v>20.160499999999999</v>
      </c>
      <c r="N1973" s="340">
        <v>268621.64953465632</v>
      </c>
      <c r="O1973" s="703">
        <v>15149.439999999999</v>
      </c>
      <c r="P1973" s="342">
        <v>1</v>
      </c>
      <c r="Q1973" s="363">
        <v>20.571200000000001</v>
      </c>
      <c r="R1973" s="340">
        <v>311642.16012800002</v>
      </c>
      <c r="S1973" s="342">
        <v>113.01799999999999</v>
      </c>
      <c r="T1973" s="342">
        <v>120.15900000000001</v>
      </c>
      <c r="U1973" s="342">
        <v>1.0630999999999999</v>
      </c>
      <c r="V1973" s="340">
        <v>331306.78043207678</v>
      </c>
      <c r="W1973" s="340">
        <v>-62685.130897420444</v>
      </c>
    </row>
    <row r="1974" spans="2:23" ht="24" customHeight="1">
      <c r="J1974" s="345"/>
      <c r="K1974" s="703"/>
      <c r="L1974" s="342"/>
      <c r="M1974" s="342"/>
      <c r="N1974" s="340"/>
      <c r="O1974" s="703"/>
      <c r="P1974" s="342"/>
      <c r="Q1974" s="363"/>
      <c r="R1974" s="340"/>
      <c r="S1974" s="342"/>
      <c r="T1974" s="342"/>
      <c r="U1974" s="342"/>
      <c r="V1974" s="340"/>
      <c r="W1974" s="340"/>
    </row>
    <row r="1975" spans="2:23" ht="24" customHeight="1">
      <c r="B1975" s="67"/>
      <c r="H1975" s="347">
        <v>44396</v>
      </c>
      <c r="I1975" s="347"/>
      <c r="J1975" s="345"/>
      <c r="K1975" s="703"/>
      <c r="L1975" s="342"/>
      <c r="M1975" s="342"/>
      <c r="N1975" s="340"/>
      <c r="O1975" s="703"/>
      <c r="P1975" s="342"/>
      <c r="Q1975" s="363"/>
      <c r="R1975" s="340"/>
      <c r="S1975" s="342"/>
      <c r="T1975" s="342"/>
      <c r="U1975" s="342"/>
      <c r="V1975" s="340"/>
      <c r="W1975" s="340"/>
    </row>
    <row r="1976" spans="2:23" ht="24" customHeight="1">
      <c r="B1976" s="67"/>
      <c r="I1976" s="3" t="s">
        <v>59</v>
      </c>
      <c r="J1976" s="345">
        <v>77</v>
      </c>
      <c r="K1976" s="703">
        <v>8216.771252631579</v>
      </c>
      <c r="L1976" s="342">
        <v>1</v>
      </c>
      <c r="M1976" s="342">
        <v>20.160499999999999</v>
      </c>
      <c r="N1976" s="340">
        <v>165654.21683867893</v>
      </c>
      <c r="O1976" s="703">
        <v>8047.02</v>
      </c>
      <c r="P1976" s="342">
        <v>1</v>
      </c>
      <c r="Q1976" s="363">
        <v>19.941199999999998</v>
      </c>
      <c r="R1976" s="340">
        <v>160467.235224</v>
      </c>
      <c r="S1976" s="342">
        <v>113.682</v>
      </c>
      <c r="T1976" s="342">
        <v>120.15900000000001</v>
      </c>
      <c r="U1976" s="342">
        <v>1.0569</v>
      </c>
      <c r="V1976" s="340">
        <v>169597.82090824557</v>
      </c>
      <c r="W1976" s="340">
        <v>-3943.6040695666379</v>
      </c>
    </row>
    <row r="1977" spans="2:23" ht="24" customHeight="1">
      <c r="J1977" s="345"/>
      <c r="K1977" s="703"/>
      <c r="L1977" s="342"/>
      <c r="M1977" s="342"/>
      <c r="N1977" s="340"/>
      <c r="O1977" s="703"/>
      <c r="P1977" s="342"/>
      <c r="Q1977" s="363"/>
      <c r="R1977" s="340"/>
      <c r="S1977" s="342"/>
      <c r="T1977" s="342"/>
      <c r="U1977" s="342"/>
      <c r="V1977" s="340"/>
      <c r="W1977" s="340"/>
    </row>
    <row r="1978" spans="2:23" ht="24" customHeight="1">
      <c r="B1978" s="67"/>
      <c r="H1978" s="347">
        <v>44503</v>
      </c>
      <c r="I1978" s="347"/>
      <c r="J1978" s="345"/>
      <c r="K1978" s="703"/>
      <c r="L1978" s="342"/>
      <c r="M1978" s="342"/>
      <c r="N1978" s="340"/>
      <c r="O1978" s="703"/>
      <c r="P1978" s="342"/>
      <c r="Q1978" s="363"/>
      <c r="R1978" s="340"/>
      <c r="S1978" s="342"/>
      <c r="T1978" s="342"/>
      <c r="U1978" s="342"/>
      <c r="V1978" s="340"/>
      <c r="W1978" s="340"/>
    </row>
    <row r="1979" spans="2:23" ht="24" customHeight="1">
      <c r="B1979" s="67"/>
      <c r="I1979" s="3" t="s">
        <v>59</v>
      </c>
      <c r="J1979" s="345">
        <v>13</v>
      </c>
      <c r="K1979" s="703">
        <v>1383.1297999999999</v>
      </c>
      <c r="L1979" s="342">
        <v>1</v>
      </c>
      <c r="M1979" s="342">
        <v>20.160499999999999</v>
      </c>
      <c r="N1979" s="340">
        <v>27884.588332899999</v>
      </c>
      <c r="O1979" s="703">
        <v>1594.172032520325</v>
      </c>
      <c r="P1979" s="342">
        <v>1</v>
      </c>
      <c r="Q1979" s="363">
        <v>20.529699999999998</v>
      </c>
      <c r="R1979" s="340">
        <v>32727.873576032514</v>
      </c>
      <c r="S1979" s="342">
        <v>116.884</v>
      </c>
      <c r="T1979" s="342">
        <v>120.15900000000001</v>
      </c>
      <c r="U1979" s="342">
        <v>1.028</v>
      </c>
      <c r="V1979" s="340">
        <v>33644.254036161423</v>
      </c>
      <c r="W1979" s="340">
        <v>-5759.6657032614239</v>
      </c>
    </row>
    <row r="1980" spans="2:23" ht="24" customHeight="1">
      <c r="J1980" s="345"/>
      <c r="K1980" s="703"/>
      <c r="L1980" s="342"/>
      <c r="M1980" s="342"/>
      <c r="N1980" s="340"/>
      <c r="O1980" s="703"/>
      <c r="P1980" s="342"/>
      <c r="Q1980" s="363"/>
      <c r="R1980" s="340"/>
      <c r="S1980" s="342"/>
      <c r="T1980" s="342"/>
      <c r="U1980" s="342"/>
      <c r="V1980" s="340"/>
      <c r="W1980" s="340"/>
    </row>
    <row r="1981" spans="2:23" ht="24" customHeight="1">
      <c r="B1981" s="67"/>
      <c r="F1981" s="346">
        <v>44664</v>
      </c>
      <c r="G1981" s="346"/>
      <c r="H1981" s="346"/>
      <c r="I1981" s="346"/>
      <c r="J1981" s="345"/>
      <c r="K1981" s="703"/>
      <c r="L1981" s="342"/>
      <c r="M1981" s="342"/>
      <c r="N1981" s="340"/>
      <c r="O1981" s="703"/>
      <c r="P1981" s="342"/>
      <c r="Q1981" s="363"/>
      <c r="R1981" s="340"/>
      <c r="S1981" s="342"/>
      <c r="T1981" s="342"/>
      <c r="U1981" s="342"/>
      <c r="V1981" s="340"/>
      <c r="W1981" s="340"/>
    </row>
    <row r="1982" spans="2:23" ht="24" customHeight="1">
      <c r="B1982" s="67"/>
      <c r="G1982" s="3" t="s">
        <v>59</v>
      </c>
      <c r="H1982" s="3"/>
      <c r="I1982" s="3"/>
      <c r="J1982" s="345"/>
      <c r="K1982" s="703"/>
      <c r="L1982" s="342"/>
      <c r="M1982" s="342"/>
      <c r="N1982" s="340"/>
      <c r="O1982" s="703"/>
      <c r="P1982" s="342"/>
      <c r="Q1982" s="363"/>
      <c r="R1982" s="340"/>
      <c r="S1982" s="342"/>
      <c r="T1982" s="342"/>
      <c r="U1982" s="342"/>
      <c r="V1982" s="340"/>
      <c r="W1982" s="340"/>
    </row>
    <row r="1983" spans="2:23" ht="24" customHeight="1">
      <c r="B1983" s="67"/>
      <c r="H1983" s="347">
        <v>44503</v>
      </c>
      <c r="I1983" s="347"/>
      <c r="J1983" s="345"/>
      <c r="K1983" s="703"/>
      <c r="L1983" s="342"/>
      <c r="M1983" s="342"/>
      <c r="N1983" s="340"/>
      <c r="O1983" s="703"/>
      <c r="P1983" s="342"/>
      <c r="Q1983" s="363"/>
      <c r="R1983" s="340"/>
      <c r="S1983" s="342"/>
      <c r="T1983" s="342"/>
      <c r="U1983" s="342"/>
      <c r="V1983" s="340"/>
      <c r="W1983" s="340"/>
    </row>
    <row r="1984" spans="2:23" ht="24" customHeight="1">
      <c r="B1984" s="67"/>
      <c r="I1984" s="3" t="s">
        <v>59</v>
      </c>
      <c r="J1984" s="345">
        <v>38</v>
      </c>
      <c r="K1984" s="703">
        <v>4090.24</v>
      </c>
      <c r="L1984" s="342">
        <v>1</v>
      </c>
      <c r="M1984" s="342">
        <v>20.0093</v>
      </c>
      <c r="N1984" s="340">
        <v>81842.839231999998</v>
      </c>
      <c r="O1984" s="703">
        <v>4659.8874796747969</v>
      </c>
      <c r="P1984" s="342">
        <v>1</v>
      </c>
      <c r="Q1984" s="363">
        <v>20.529699999999998</v>
      </c>
      <c r="R1984" s="340">
        <v>95666.091991479669</v>
      </c>
      <c r="S1984" s="342">
        <v>116.884</v>
      </c>
      <c r="T1984" s="342">
        <v>120.15900000000001</v>
      </c>
      <c r="U1984" s="342">
        <v>1.028</v>
      </c>
      <c r="V1984" s="340">
        <v>98344.742567241105</v>
      </c>
      <c r="W1984" s="340">
        <v>-16501.903335241099</v>
      </c>
    </row>
    <row r="1985" spans="2:23" ht="24" customHeight="1">
      <c r="J1985" s="345"/>
      <c r="K1985" s="703"/>
      <c r="L1985" s="342"/>
      <c r="M1985" s="342"/>
      <c r="N1985" s="340"/>
      <c r="O1985" s="703"/>
      <c r="P1985" s="342"/>
      <c r="Q1985" s="363"/>
      <c r="R1985" s="340"/>
      <c r="S1985" s="342"/>
      <c r="T1985" s="342"/>
      <c r="U1985" s="342"/>
      <c r="V1985" s="340"/>
      <c r="W1985" s="340"/>
    </row>
    <row r="1986" spans="2:23" ht="24" customHeight="1">
      <c r="B1986" s="67"/>
      <c r="F1986" s="346">
        <v>44573</v>
      </c>
      <c r="G1986" s="346"/>
      <c r="H1986" s="346"/>
      <c r="I1986" s="346"/>
      <c r="J1986" s="345"/>
      <c r="K1986" s="703"/>
      <c r="L1986" s="342"/>
      <c r="M1986" s="342"/>
      <c r="N1986" s="340"/>
      <c r="O1986" s="703"/>
      <c r="P1986" s="342"/>
      <c r="Q1986" s="363"/>
      <c r="R1986" s="340"/>
      <c r="S1986" s="342"/>
      <c r="T1986" s="342"/>
      <c r="U1986" s="342"/>
      <c r="V1986" s="340"/>
      <c r="W1986" s="340"/>
    </row>
    <row r="1987" spans="2:23" ht="24" customHeight="1">
      <c r="B1987" s="67"/>
      <c r="G1987" s="3" t="s">
        <v>59</v>
      </c>
      <c r="H1987" s="3"/>
      <c r="I1987" s="3"/>
      <c r="J1987" s="345"/>
      <c r="K1987" s="703"/>
      <c r="L1987" s="342"/>
      <c r="M1987" s="342"/>
      <c r="N1987" s="340"/>
      <c r="O1987" s="703"/>
      <c r="P1987" s="342"/>
      <c r="Q1987" s="363"/>
      <c r="R1987" s="340"/>
      <c r="S1987" s="342"/>
      <c r="T1987" s="342"/>
      <c r="U1987" s="342"/>
      <c r="V1987" s="340"/>
      <c r="W1987" s="340"/>
    </row>
    <row r="1988" spans="2:23" ht="24" customHeight="1">
      <c r="B1988" s="67"/>
      <c r="H1988" s="347">
        <v>44259</v>
      </c>
      <c r="I1988" s="347"/>
      <c r="J1988" s="345"/>
      <c r="K1988" s="703"/>
      <c r="L1988" s="342"/>
      <c r="M1988" s="342"/>
      <c r="N1988" s="340"/>
      <c r="O1988" s="703"/>
      <c r="P1988" s="342"/>
      <c r="Q1988" s="363"/>
      <c r="R1988" s="340"/>
      <c r="S1988" s="342"/>
      <c r="T1988" s="342"/>
      <c r="U1988" s="342"/>
      <c r="V1988" s="340"/>
      <c r="W1988" s="340"/>
    </row>
    <row r="1989" spans="2:23" ht="24" customHeight="1">
      <c r="B1989" s="67"/>
      <c r="I1989" s="3" t="s">
        <v>59</v>
      </c>
      <c r="J1989" s="345">
        <v>18</v>
      </c>
      <c r="K1989" s="703">
        <v>2076.060759493671</v>
      </c>
      <c r="L1989" s="342">
        <v>1</v>
      </c>
      <c r="M1989" s="342">
        <v>20.4453</v>
      </c>
      <c r="N1989" s="340">
        <v>42445.685046075952</v>
      </c>
      <c r="O1989" s="703">
        <v>2188.0009756097561</v>
      </c>
      <c r="P1989" s="342">
        <v>1</v>
      </c>
      <c r="Q1989" s="363">
        <v>20.690300000000001</v>
      </c>
      <c r="R1989" s="340">
        <v>45270.396585658535</v>
      </c>
      <c r="S1989" s="342">
        <v>111.824</v>
      </c>
      <c r="T1989" s="342">
        <v>117.30800000000001</v>
      </c>
      <c r="U1989" s="342">
        <v>1.0489999999999999</v>
      </c>
      <c r="V1989" s="340">
        <v>47488.646018355801</v>
      </c>
      <c r="W1989" s="340">
        <v>-5042.9609722798414</v>
      </c>
    </row>
    <row r="1990" spans="2:23" ht="24" customHeight="1">
      <c r="J1990" s="345"/>
      <c r="K1990" s="703"/>
      <c r="L1990" s="342"/>
      <c r="M1990" s="342"/>
      <c r="N1990" s="340"/>
      <c r="O1990" s="703"/>
      <c r="P1990" s="342"/>
      <c r="Q1990" s="363"/>
      <c r="R1990" s="340"/>
      <c r="S1990" s="342"/>
      <c r="T1990" s="342"/>
      <c r="U1990" s="342"/>
      <c r="V1990" s="340"/>
      <c r="W1990" s="340"/>
    </row>
    <row r="1991" spans="2:23" ht="24" customHeight="1">
      <c r="B1991" s="67"/>
      <c r="H1991" s="347">
        <v>44204</v>
      </c>
      <c r="I1991" s="347"/>
      <c r="J1991" s="345"/>
      <c r="K1991" s="703"/>
      <c r="L1991" s="342"/>
      <c r="M1991" s="342"/>
      <c r="N1991" s="340"/>
      <c r="O1991" s="703"/>
      <c r="P1991" s="342"/>
      <c r="Q1991" s="363"/>
      <c r="R1991" s="340"/>
      <c r="S1991" s="342"/>
      <c r="T1991" s="342"/>
      <c r="U1991" s="342"/>
      <c r="V1991" s="340"/>
      <c r="W1991" s="340"/>
    </row>
    <row r="1992" spans="2:23" ht="24" customHeight="1">
      <c r="B1992" s="67"/>
      <c r="I1992" s="3" t="s">
        <v>59</v>
      </c>
      <c r="J1992" s="345">
        <v>7</v>
      </c>
      <c r="K1992" s="703">
        <v>811.73</v>
      </c>
      <c r="L1992" s="342">
        <v>1</v>
      </c>
      <c r="M1992" s="342">
        <v>20.4453</v>
      </c>
      <c r="N1992" s="340">
        <v>16596.063369</v>
      </c>
      <c r="O1992" s="703">
        <v>780.69297297297305</v>
      </c>
      <c r="P1992" s="342">
        <v>1</v>
      </c>
      <c r="Q1992" s="363">
        <v>19.725000000000001</v>
      </c>
      <c r="R1992" s="340">
        <v>15399.168891891895</v>
      </c>
      <c r="S1992" s="342">
        <v>110.21</v>
      </c>
      <c r="T1992" s="342">
        <v>117.30800000000001</v>
      </c>
      <c r="U1992" s="342">
        <v>1.0644</v>
      </c>
      <c r="V1992" s="340">
        <v>16390.875368529734</v>
      </c>
      <c r="W1992" s="340">
        <v>205.18800047026525</v>
      </c>
    </row>
    <row r="1993" spans="2:23" ht="24" customHeight="1">
      <c r="J1993" s="345"/>
      <c r="K1993" s="703"/>
      <c r="L1993" s="342"/>
      <c r="M1993" s="342"/>
      <c r="N1993" s="340"/>
      <c r="O1993" s="703"/>
      <c r="P1993" s="342"/>
      <c r="Q1993" s="363"/>
      <c r="R1993" s="340"/>
      <c r="S1993" s="342"/>
      <c r="T1993" s="342"/>
      <c r="U1993" s="342"/>
      <c r="V1993" s="340"/>
      <c r="W1993" s="340"/>
    </row>
    <row r="1994" spans="2:23" ht="24" customHeight="1">
      <c r="B1994" s="67"/>
      <c r="H1994" s="347">
        <v>44211</v>
      </c>
      <c r="I1994" s="347"/>
      <c r="J1994" s="345"/>
      <c r="K1994" s="703"/>
      <c r="L1994" s="342"/>
      <c r="M1994" s="342"/>
      <c r="N1994" s="340"/>
      <c r="O1994" s="703"/>
      <c r="P1994" s="342"/>
      <c r="Q1994" s="363"/>
      <c r="R1994" s="340"/>
      <c r="S1994" s="342"/>
      <c r="T1994" s="342"/>
      <c r="U1994" s="342"/>
      <c r="V1994" s="340"/>
      <c r="W1994" s="340"/>
    </row>
    <row r="1995" spans="2:23" ht="24" customHeight="1">
      <c r="B1995" s="67"/>
      <c r="I1995" s="3" t="s">
        <v>59</v>
      </c>
      <c r="J1995" s="345">
        <v>82</v>
      </c>
      <c r="K1995" s="703">
        <v>9465.18924050633</v>
      </c>
      <c r="L1995" s="342">
        <v>1</v>
      </c>
      <c r="M1995" s="342">
        <v>20.4453</v>
      </c>
      <c r="N1995" s="340">
        <v>193518.63357892405</v>
      </c>
      <c r="O1995" s="703">
        <v>9340.5</v>
      </c>
      <c r="P1995" s="342">
        <v>1</v>
      </c>
      <c r="Q1995" s="363">
        <v>19.793500000000002</v>
      </c>
      <c r="R1995" s="340">
        <v>184881.18675000002</v>
      </c>
      <c r="S1995" s="342">
        <v>110.21</v>
      </c>
      <c r="T1995" s="342">
        <v>117.30800000000001</v>
      </c>
      <c r="U1995" s="342">
        <v>1.0644</v>
      </c>
      <c r="V1995" s="340">
        <v>196787.53517670004</v>
      </c>
      <c r="W1995" s="340">
        <v>-3268.9015977759864</v>
      </c>
    </row>
    <row r="1996" spans="2:23" ht="24" customHeight="1">
      <c r="J1996" s="345"/>
      <c r="K1996" s="703"/>
      <c r="L1996" s="342"/>
      <c r="M1996" s="342"/>
      <c r="N1996" s="340"/>
      <c r="O1996" s="703"/>
      <c r="P1996" s="342"/>
      <c r="Q1996" s="363"/>
      <c r="R1996" s="340"/>
      <c r="S1996" s="342"/>
      <c r="T1996" s="342"/>
      <c r="U1996" s="342"/>
      <c r="V1996" s="340"/>
      <c r="W1996" s="340"/>
    </row>
    <row r="1997" spans="2:23" ht="24" customHeight="1">
      <c r="B1997" s="67"/>
      <c r="F1997" s="346">
        <v>44574</v>
      </c>
      <c r="G1997" s="346"/>
      <c r="H1997" s="346"/>
      <c r="I1997" s="346"/>
      <c r="J1997" s="345"/>
      <c r="K1997" s="703"/>
      <c r="L1997" s="342"/>
      <c r="M1997" s="342"/>
      <c r="N1997" s="340"/>
      <c r="O1997" s="703"/>
      <c r="P1997" s="342"/>
      <c r="Q1997" s="363"/>
      <c r="R1997" s="340"/>
      <c r="S1997" s="342"/>
      <c r="T1997" s="342"/>
      <c r="U1997" s="342"/>
      <c r="V1997" s="340"/>
      <c r="W1997" s="340"/>
    </row>
    <row r="1998" spans="2:23" ht="24" customHeight="1">
      <c r="B1998" s="67"/>
      <c r="G1998" s="3" t="s">
        <v>59</v>
      </c>
      <c r="H1998" s="3"/>
      <c r="I1998" s="3"/>
      <c r="J1998" s="345"/>
      <c r="K1998" s="703"/>
      <c r="L1998" s="342"/>
      <c r="M1998" s="342"/>
      <c r="N1998" s="340"/>
      <c r="O1998" s="703"/>
      <c r="P1998" s="342"/>
      <c r="Q1998" s="363"/>
      <c r="R1998" s="340"/>
      <c r="S1998" s="342"/>
      <c r="T1998" s="342"/>
      <c r="U1998" s="342"/>
      <c r="V1998" s="340"/>
      <c r="W1998" s="340"/>
    </row>
    <row r="1999" spans="2:23" ht="24" customHeight="1">
      <c r="B1999" s="67"/>
      <c r="H1999" s="347">
        <v>44259</v>
      </c>
      <c r="I1999" s="347"/>
      <c r="J1999" s="345"/>
      <c r="K1999" s="703"/>
      <c r="L1999" s="342"/>
      <c r="M1999" s="342"/>
      <c r="N1999" s="340"/>
      <c r="O1999" s="703"/>
      <c r="P1999" s="342"/>
      <c r="Q1999" s="363"/>
      <c r="R1999" s="340"/>
      <c r="S1999" s="342"/>
      <c r="T1999" s="342"/>
      <c r="U1999" s="342"/>
      <c r="V1999" s="340"/>
      <c r="W1999" s="340"/>
    </row>
    <row r="2000" spans="2:23" ht="24" customHeight="1">
      <c r="B2000" s="67"/>
      <c r="I2000" s="3" t="s">
        <v>59</v>
      </c>
      <c r="J2000" s="345">
        <v>55</v>
      </c>
      <c r="K2000" s="703">
        <v>6459.55</v>
      </c>
      <c r="L2000" s="342">
        <v>1</v>
      </c>
      <c r="M2000" s="342">
        <v>20.378499999999999</v>
      </c>
      <c r="N2000" s="340">
        <v>131635.939675</v>
      </c>
      <c r="O2000" s="703">
        <v>6685.5585365853658</v>
      </c>
      <c r="P2000" s="342">
        <v>1</v>
      </c>
      <c r="Q2000" s="363">
        <v>20.690300000000001</v>
      </c>
      <c r="R2000" s="340">
        <v>138326.21178951219</v>
      </c>
      <c r="S2000" s="342">
        <v>111.824</v>
      </c>
      <c r="T2000" s="342">
        <v>117.30800000000001</v>
      </c>
      <c r="U2000" s="342">
        <v>1.0489999999999999</v>
      </c>
      <c r="V2000" s="340">
        <v>145104.1961671983</v>
      </c>
      <c r="W2000" s="340">
        <v>-13468.256492198303</v>
      </c>
    </row>
    <row r="2001" spans="2:23" ht="24" customHeight="1">
      <c r="J2001" s="345"/>
      <c r="K2001" s="703"/>
      <c r="L2001" s="342"/>
      <c r="M2001" s="342"/>
      <c r="N2001" s="340"/>
      <c r="O2001" s="703"/>
      <c r="P2001" s="342"/>
      <c r="Q2001" s="363"/>
      <c r="R2001" s="340"/>
      <c r="S2001" s="342"/>
      <c r="T2001" s="342"/>
      <c r="U2001" s="342"/>
      <c r="V2001" s="340"/>
      <c r="W2001" s="340"/>
    </row>
    <row r="2002" spans="2:23" ht="24" customHeight="1">
      <c r="B2002" s="67"/>
      <c r="F2002" s="346">
        <v>44610</v>
      </c>
      <c r="G2002" s="346"/>
      <c r="H2002" s="346"/>
      <c r="I2002" s="346"/>
      <c r="J2002" s="345"/>
      <c r="K2002" s="703"/>
      <c r="L2002" s="342"/>
      <c r="M2002" s="342"/>
      <c r="N2002" s="340"/>
      <c r="O2002" s="703"/>
      <c r="P2002" s="342"/>
      <c r="Q2002" s="363"/>
      <c r="R2002" s="340"/>
      <c r="S2002" s="342"/>
      <c r="T2002" s="342"/>
      <c r="U2002" s="342"/>
      <c r="V2002" s="340"/>
      <c r="W2002" s="340"/>
    </row>
    <row r="2003" spans="2:23" ht="24" customHeight="1">
      <c r="B2003" s="67"/>
      <c r="G2003" s="3" t="s">
        <v>59</v>
      </c>
      <c r="H2003" s="3"/>
      <c r="I2003" s="3"/>
      <c r="J2003" s="345"/>
      <c r="K2003" s="703"/>
      <c r="L2003" s="342"/>
      <c r="M2003" s="342"/>
      <c r="N2003" s="340"/>
      <c r="O2003" s="703"/>
      <c r="P2003" s="342"/>
      <c r="Q2003" s="363"/>
      <c r="R2003" s="340"/>
      <c r="S2003" s="342"/>
      <c r="T2003" s="342"/>
      <c r="U2003" s="342"/>
      <c r="V2003" s="340"/>
      <c r="W2003" s="340"/>
    </row>
    <row r="2004" spans="2:23" ht="24" customHeight="1">
      <c r="B2004" s="67"/>
      <c r="H2004" s="347">
        <v>44293</v>
      </c>
      <c r="I2004" s="347"/>
      <c r="J2004" s="345"/>
      <c r="K2004" s="703"/>
      <c r="L2004" s="342"/>
      <c r="M2004" s="342"/>
      <c r="N2004" s="340"/>
      <c r="O2004" s="703"/>
      <c r="P2004" s="342"/>
      <c r="Q2004" s="363"/>
      <c r="R2004" s="340"/>
      <c r="S2004" s="342"/>
      <c r="T2004" s="342"/>
      <c r="U2004" s="342"/>
      <c r="V2004" s="340"/>
      <c r="W2004" s="340"/>
    </row>
    <row r="2005" spans="2:23" ht="24" customHeight="1">
      <c r="B2005" s="67"/>
      <c r="I2005" s="3" t="s">
        <v>59</v>
      </c>
      <c r="J2005" s="345">
        <v>31</v>
      </c>
      <c r="K2005" s="703">
        <v>3934.32</v>
      </c>
      <c r="L2005" s="342">
        <v>1</v>
      </c>
      <c r="M2005" s="342">
        <v>20.333499999999997</v>
      </c>
      <c r="N2005" s="340">
        <v>79998.495720000006</v>
      </c>
      <c r="O2005" s="703">
        <v>3834.3614285714284</v>
      </c>
      <c r="P2005" s="342">
        <v>1</v>
      </c>
      <c r="Q2005" s="363">
        <v>20.2483</v>
      </c>
      <c r="R2005" s="340">
        <v>77639.300514142844</v>
      </c>
      <c r="S2005" s="342">
        <v>112.19000000000003</v>
      </c>
      <c r="T2005" s="342">
        <v>118.00199999999998</v>
      </c>
      <c r="U2005" s="342">
        <v>1.0518000000000001</v>
      </c>
      <c r="V2005" s="340">
        <v>81661.016280775453</v>
      </c>
      <c r="W2005" s="340">
        <v>-1662.520560775446</v>
      </c>
    </row>
    <row r="2006" spans="2:23" ht="24" customHeight="1">
      <c r="J2006" s="345"/>
      <c r="K2006" s="703"/>
      <c r="L2006" s="342"/>
      <c r="M2006" s="342"/>
      <c r="N2006" s="340"/>
      <c r="O2006" s="703"/>
      <c r="P2006" s="342"/>
      <c r="Q2006" s="363"/>
      <c r="R2006" s="340"/>
      <c r="S2006" s="342"/>
      <c r="T2006" s="342"/>
      <c r="U2006" s="342"/>
      <c r="V2006" s="340"/>
      <c r="W2006" s="340"/>
    </row>
    <row r="2007" spans="2:23" ht="24" customHeight="1">
      <c r="B2007" s="67"/>
      <c r="H2007" s="347">
        <v>44259</v>
      </c>
      <c r="I2007" s="347"/>
      <c r="J2007" s="345"/>
      <c r="K2007" s="703"/>
      <c r="L2007" s="342"/>
      <c r="M2007" s="342"/>
      <c r="N2007" s="340"/>
      <c r="O2007" s="703"/>
      <c r="P2007" s="342"/>
      <c r="Q2007" s="363"/>
      <c r="R2007" s="340"/>
      <c r="S2007" s="342"/>
      <c r="T2007" s="342"/>
      <c r="U2007" s="342"/>
      <c r="V2007" s="340"/>
      <c r="W2007" s="340"/>
    </row>
    <row r="2008" spans="2:23" ht="24" customHeight="1">
      <c r="B2008" s="67"/>
      <c r="I2008" s="3" t="s">
        <v>59</v>
      </c>
      <c r="J2008" s="345">
        <v>50</v>
      </c>
      <c r="K2008" s="703">
        <v>6333.93</v>
      </c>
      <c r="L2008" s="342">
        <v>1</v>
      </c>
      <c r="M2008" s="342">
        <v>20.333500000000001</v>
      </c>
      <c r="N2008" s="340">
        <v>128790.96565500001</v>
      </c>
      <c r="O2008" s="703">
        <v>6077.7804878048792</v>
      </c>
      <c r="P2008" s="342">
        <v>1</v>
      </c>
      <c r="Q2008" s="363">
        <v>20.690300000000001</v>
      </c>
      <c r="R2008" s="340">
        <v>125751.10162682929</v>
      </c>
      <c r="S2008" s="342">
        <v>111.824</v>
      </c>
      <c r="T2008" s="342">
        <v>118.002</v>
      </c>
      <c r="U2008" s="342">
        <v>1.0551999999999999</v>
      </c>
      <c r="V2008" s="340">
        <v>132692.56243663025</v>
      </c>
      <c r="W2008" s="340">
        <v>-3901.5967816302364</v>
      </c>
    </row>
    <row r="2009" spans="2:23" ht="24" customHeight="1">
      <c r="J2009" s="345"/>
      <c r="K2009" s="703"/>
      <c r="L2009" s="342"/>
      <c r="M2009" s="342"/>
      <c r="N2009" s="340"/>
      <c r="O2009" s="703"/>
      <c r="P2009" s="342"/>
      <c r="Q2009" s="363"/>
      <c r="R2009" s="340"/>
      <c r="S2009" s="342"/>
      <c r="T2009" s="342"/>
      <c r="U2009" s="342"/>
      <c r="V2009" s="340"/>
      <c r="W2009" s="340"/>
    </row>
    <row r="2010" spans="2:23" ht="24" customHeight="1">
      <c r="B2010" s="67"/>
      <c r="F2010" s="346">
        <v>44614</v>
      </c>
      <c r="G2010" s="346"/>
      <c r="H2010" s="346"/>
      <c r="I2010" s="346"/>
      <c r="J2010" s="345"/>
      <c r="K2010" s="703"/>
      <c r="L2010" s="342"/>
      <c r="M2010" s="342"/>
      <c r="N2010" s="340"/>
      <c r="O2010" s="703"/>
      <c r="P2010" s="342"/>
      <c r="Q2010" s="363"/>
      <c r="R2010" s="340"/>
      <c r="S2010" s="342"/>
      <c r="T2010" s="342"/>
      <c r="U2010" s="342"/>
      <c r="V2010" s="340"/>
      <c r="W2010" s="340"/>
    </row>
    <row r="2011" spans="2:23" ht="24" customHeight="1">
      <c r="B2011" s="67"/>
      <c r="G2011" s="3" t="s">
        <v>59</v>
      </c>
      <c r="H2011" s="3"/>
      <c r="I2011" s="3"/>
      <c r="J2011" s="345"/>
      <c r="K2011" s="703"/>
      <c r="L2011" s="342"/>
      <c r="M2011" s="342"/>
      <c r="N2011" s="340"/>
      <c r="O2011" s="703"/>
      <c r="P2011" s="342"/>
      <c r="Q2011" s="363"/>
      <c r="R2011" s="340"/>
      <c r="S2011" s="342"/>
      <c r="T2011" s="342"/>
      <c r="U2011" s="342"/>
      <c r="V2011" s="340"/>
      <c r="W2011" s="340"/>
    </row>
    <row r="2012" spans="2:23" ht="24" customHeight="1">
      <c r="B2012" s="67"/>
      <c r="H2012" s="347">
        <v>44293</v>
      </c>
      <c r="I2012" s="347"/>
      <c r="J2012" s="345"/>
      <c r="K2012" s="703"/>
      <c r="L2012" s="342"/>
      <c r="M2012" s="342"/>
      <c r="N2012" s="340"/>
      <c r="O2012" s="703"/>
      <c r="P2012" s="342"/>
      <c r="Q2012" s="363"/>
      <c r="R2012" s="340"/>
      <c r="S2012" s="342"/>
      <c r="T2012" s="342"/>
      <c r="U2012" s="342"/>
      <c r="V2012" s="340"/>
      <c r="W2012" s="340"/>
    </row>
    <row r="2013" spans="2:23" ht="24" customHeight="1">
      <c r="B2013" s="67"/>
      <c r="I2013" s="3" t="s">
        <v>59</v>
      </c>
      <c r="J2013" s="345">
        <v>60</v>
      </c>
      <c r="K2013" s="703">
        <v>7780.07</v>
      </c>
      <c r="L2013" s="342">
        <v>1</v>
      </c>
      <c r="M2013" s="342">
        <v>20.3063</v>
      </c>
      <c r="N2013" s="340">
        <v>157984.43544099998</v>
      </c>
      <c r="O2013" s="703">
        <v>7413.9577606177609</v>
      </c>
      <c r="P2013" s="342">
        <v>1</v>
      </c>
      <c r="Q2013" s="363">
        <v>20.2483</v>
      </c>
      <c r="R2013" s="340">
        <v>150120.04092431659</v>
      </c>
      <c r="S2013" s="342">
        <v>112.19</v>
      </c>
      <c r="T2013" s="342">
        <v>118.002</v>
      </c>
      <c r="U2013" s="342">
        <v>1.0518000000000001</v>
      </c>
      <c r="V2013" s="340">
        <v>157896.25904419622</v>
      </c>
      <c r="W2013" s="340">
        <v>88.176396803783518</v>
      </c>
    </row>
    <row r="2014" spans="2:23" ht="24" customHeight="1">
      <c r="J2014" s="345"/>
      <c r="K2014" s="703"/>
      <c r="L2014" s="342"/>
      <c r="M2014" s="342"/>
      <c r="N2014" s="340"/>
      <c r="O2014" s="703"/>
      <c r="P2014" s="342"/>
      <c r="Q2014" s="363"/>
      <c r="R2014" s="340"/>
      <c r="S2014" s="342"/>
      <c r="T2014" s="342"/>
      <c r="U2014" s="342"/>
      <c r="V2014" s="340"/>
      <c r="W2014" s="340"/>
    </row>
    <row r="2015" spans="2:23" ht="24" customHeight="1">
      <c r="B2015" s="67"/>
      <c r="E2015" s="131" t="s">
        <v>1144</v>
      </c>
      <c r="F2015" s="131"/>
      <c r="G2015" s="131"/>
      <c r="H2015" s="131"/>
      <c r="I2015" s="131"/>
      <c r="J2015" s="704">
        <v>690</v>
      </c>
      <c r="K2015" s="705">
        <v>77991.940000000031</v>
      </c>
      <c r="L2015" s="369">
        <v>1</v>
      </c>
      <c r="M2015" s="377">
        <v>20.270964705882339</v>
      </c>
      <c r="N2015" s="706">
        <v>1579265.7095319997</v>
      </c>
      <c r="O2015" s="705">
        <v>82209.232972972983</v>
      </c>
      <c r="P2015" s="369">
        <v>1</v>
      </c>
      <c r="Q2015" s="377">
        <v>20.269291176470578</v>
      </c>
      <c r="R2015" s="706">
        <v>1671013.0994708922</v>
      </c>
      <c r="S2015" s="369">
        <v>112.78870588235297</v>
      </c>
      <c r="T2015" s="369">
        <v>118.72688235294117</v>
      </c>
      <c r="U2015" s="369">
        <v>1.0527823529411766</v>
      </c>
      <c r="V2015" s="706">
        <v>1758754.0782717436</v>
      </c>
      <c r="W2015" s="706">
        <v>-179488.36873974412</v>
      </c>
    </row>
    <row r="2016" spans="2:23" ht="24" customHeight="1">
      <c r="J2016" s="345"/>
      <c r="K2016" s="703"/>
      <c r="L2016" s="342"/>
      <c r="M2016" s="342"/>
      <c r="N2016" s="340"/>
      <c r="O2016" s="703"/>
      <c r="P2016" s="342"/>
      <c r="Q2016" s="363"/>
      <c r="R2016" s="340"/>
      <c r="S2016" s="342"/>
      <c r="T2016" s="342"/>
      <c r="U2016" s="342"/>
      <c r="V2016" s="340"/>
      <c r="W2016" s="340"/>
    </row>
    <row r="2017" spans="2:23" ht="24" customHeight="1">
      <c r="B2017" s="67"/>
      <c r="E2017" s="1" t="s">
        <v>881</v>
      </c>
      <c r="J2017" s="345"/>
      <c r="K2017" s="703"/>
      <c r="L2017" s="342"/>
      <c r="M2017" s="342"/>
      <c r="N2017" s="340"/>
      <c r="O2017" s="703"/>
      <c r="P2017" s="342"/>
      <c r="Q2017" s="363"/>
      <c r="R2017" s="340"/>
      <c r="S2017" s="342"/>
      <c r="T2017" s="342"/>
      <c r="U2017" s="342"/>
      <c r="V2017" s="340"/>
      <c r="W2017" s="340"/>
    </row>
    <row r="2018" spans="2:23" ht="24" customHeight="1">
      <c r="B2018" s="67"/>
      <c r="F2018" s="346">
        <v>44705</v>
      </c>
      <c r="G2018" s="346"/>
      <c r="H2018" s="346"/>
      <c r="I2018" s="346"/>
      <c r="J2018" s="345"/>
      <c r="K2018" s="703"/>
      <c r="L2018" s="342"/>
      <c r="M2018" s="342"/>
      <c r="N2018" s="340"/>
      <c r="O2018" s="703"/>
      <c r="P2018" s="342"/>
      <c r="Q2018" s="363"/>
      <c r="R2018" s="340"/>
      <c r="S2018" s="342"/>
      <c r="T2018" s="342"/>
      <c r="U2018" s="342"/>
      <c r="V2018" s="340"/>
      <c r="W2018" s="340"/>
    </row>
    <row r="2019" spans="2:23" ht="24" customHeight="1">
      <c r="B2019" s="67"/>
      <c r="G2019" s="3" t="s">
        <v>59</v>
      </c>
      <c r="H2019" s="3"/>
      <c r="I2019" s="3"/>
      <c r="J2019" s="345"/>
      <c r="K2019" s="703"/>
      <c r="L2019" s="342"/>
      <c r="M2019" s="342"/>
      <c r="N2019" s="340"/>
      <c r="O2019" s="703"/>
      <c r="P2019" s="342"/>
      <c r="Q2019" s="363"/>
      <c r="R2019" s="340"/>
      <c r="S2019" s="342"/>
      <c r="T2019" s="342"/>
      <c r="U2019" s="342"/>
      <c r="V2019" s="340"/>
      <c r="W2019" s="340"/>
    </row>
    <row r="2020" spans="2:23" ht="24" customHeight="1">
      <c r="B2020" s="67"/>
      <c r="H2020" s="347">
        <v>44523</v>
      </c>
      <c r="I2020" s="347"/>
      <c r="J2020" s="345"/>
      <c r="K2020" s="703"/>
      <c r="L2020" s="342"/>
      <c r="M2020" s="342"/>
      <c r="N2020" s="340"/>
      <c r="O2020" s="703"/>
      <c r="P2020" s="342"/>
      <c r="Q2020" s="363"/>
      <c r="R2020" s="340"/>
      <c r="S2020" s="342"/>
      <c r="T2020" s="342"/>
      <c r="U2020" s="342"/>
      <c r="V2020" s="340"/>
      <c r="W2020" s="340"/>
    </row>
    <row r="2021" spans="2:23" ht="24" customHeight="1">
      <c r="B2021" s="67"/>
      <c r="I2021" s="3" t="s">
        <v>59</v>
      </c>
      <c r="J2021" s="345">
        <v>255</v>
      </c>
      <c r="K2021" s="703">
        <v>3459.3514942528741</v>
      </c>
      <c r="L2021" s="342">
        <v>1</v>
      </c>
      <c r="M2021" s="342">
        <v>19.8657</v>
      </c>
      <c r="N2021" s="340">
        <v>68722.438979379309</v>
      </c>
      <c r="O2021" s="703">
        <v>13114.029999999999</v>
      </c>
      <c r="P2021" s="342">
        <v>1</v>
      </c>
      <c r="Q2021" s="363">
        <v>20.828299999999999</v>
      </c>
      <c r="R2021" s="340">
        <v>273142.95104900002</v>
      </c>
      <c r="S2021" s="342">
        <v>116.884</v>
      </c>
      <c r="T2021" s="342">
        <v>120.809</v>
      </c>
      <c r="U2021" s="342">
        <v>1.0335000000000001</v>
      </c>
      <c r="V2021" s="340">
        <v>282293.2399091415</v>
      </c>
      <c r="W2021" s="340">
        <v>-213570.80092976219</v>
      </c>
    </row>
    <row r="2022" spans="2:23" ht="24" customHeight="1">
      <c r="J2022" s="345"/>
      <c r="K2022" s="703"/>
      <c r="L2022" s="342"/>
      <c r="M2022" s="342"/>
      <c r="N2022" s="340"/>
      <c r="O2022" s="703"/>
      <c r="P2022" s="342"/>
      <c r="Q2022" s="363"/>
      <c r="R2022" s="340"/>
      <c r="S2022" s="342"/>
      <c r="T2022" s="342"/>
      <c r="U2022" s="342"/>
      <c r="V2022" s="340"/>
      <c r="W2022" s="340"/>
    </row>
    <row r="2023" spans="2:23" ht="24" customHeight="1">
      <c r="B2023" s="67"/>
      <c r="H2023" s="347">
        <v>44491</v>
      </c>
      <c r="I2023" s="347"/>
      <c r="J2023" s="345"/>
      <c r="K2023" s="703"/>
      <c r="L2023" s="342"/>
      <c r="M2023" s="342"/>
      <c r="N2023" s="340"/>
      <c r="O2023" s="703"/>
      <c r="P2023" s="342"/>
      <c r="Q2023" s="363"/>
      <c r="R2023" s="340"/>
      <c r="S2023" s="342"/>
      <c r="T2023" s="342"/>
      <c r="U2023" s="342"/>
      <c r="V2023" s="340"/>
      <c r="W2023" s="340"/>
    </row>
    <row r="2024" spans="2:23" ht="24" customHeight="1">
      <c r="B2024" s="67"/>
      <c r="I2024" s="3" t="s">
        <v>59</v>
      </c>
      <c r="J2024" s="345">
        <v>238</v>
      </c>
      <c r="K2024" s="703">
        <v>3228.7280613026824</v>
      </c>
      <c r="L2024" s="342">
        <v>1</v>
      </c>
      <c r="M2024" s="342">
        <v>19.8657</v>
      </c>
      <c r="N2024" s="340">
        <v>64140.943047420697</v>
      </c>
      <c r="O2024" s="703">
        <v>13550.794114713217</v>
      </c>
      <c r="P2024" s="342">
        <v>1</v>
      </c>
      <c r="Q2024" s="363">
        <v>20.184999999999999</v>
      </c>
      <c r="R2024" s="340">
        <v>273522.77920548629</v>
      </c>
      <c r="S2024" s="342">
        <v>115.56100000000001</v>
      </c>
      <c r="T2024" s="342">
        <v>120.809</v>
      </c>
      <c r="U2024" s="342">
        <v>1.0454000000000001</v>
      </c>
      <c r="V2024" s="340">
        <v>285940.71338141541</v>
      </c>
      <c r="W2024" s="340">
        <v>-221799.7703339947</v>
      </c>
    </row>
    <row r="2025" spans="2:23" ht="24" customHeight="1">
      <c r="J2025" s="345"/>
      <c r="K2025" s="703"/>
      <c r="L2025" s="342"/>
      <c r="M2025" s="342"/>
      <c r="N2025" s="340"/>
      <c r="O2025" s="703"/>
      <c r="P2025" s="342"/>
      <c r="Q2025" s="363"/>
      <c r="R2025" s="340"/>
      <c r="S2025" s="342"/>
      <c r="T2025" s="342"/>
      <c r="U2025" s="342"/>
      <c r="V2025" s="340"/>
      <c r="W2025" s="340"/>
    </row>
    <row r="2026" spans="2:23" ht="24" customHeight="1">
      <c r="B2026" s="67"/>
      <c r="H2026" s="347">
        <v>44495</v>
      </c>
      <c r="I2026" s="347"/>
      <c r="J2026" s="345"/>
      <c r="K2026" s="703"/>
      <c r="L2026" s="342"/>
      <c r="M2026" s="342"/>
      <c r="N2026" s="340"/>
      <c r="O2026" s="703"/>
      <c r="P2026" s="342"/>
      <c r="Q2026" s="363"/>
      <c r="R2026" s="340"/>
      <c r="S2026" s="342"/>
      <c r="T2026" s="342"/>
      <c r="U2026" s="342"/>
      <c r="V2026" s="340"/>
      <c r="W2026" s="340"/>
    </row>
    <row r="2027" spans="2:23" ht="24" customHeight="1">
      <c r="B2027" s="67"/>
      <c r="I2027" s="3" t="s">
        <v>59</v>
      </c>
      <c r="J2027" s="345">
        <v>284</v>
      </c>
      <c r="K2027" s="703">
        <v>3852.7679386973182</v>
      </c>
      <c r="L2027" s="342">
        <v>1</v>
      </c>
      <c r="M2027" s="342">
        <v>19.8657</v>
      </c>
      <c r="N2027" s="340">
        <v>76537.93203977932</v>
      </c>
      <c r="O2027" s="703">
        <v>15847.96</v>
      </c>
      <c r="P2027" s="342">
        <v>1</v>
      </c>
      <c r="Q2027" s="363">
        <v>20.183700000000002</v>
      </c>
      <c r="R2027" s="340">
        <v>319870.47025200003</v>
      </c>
      <c r="S2027" s="342">
        <v>115.56100000000002</v>
      </c>
      <c r="T2027" s="342">
        <v>120.80899999999998</v>
      </c>
      <c r="U2027" s="342">
        <v>1.0454000000000001</v>
      </c>
      <c r="V2027" s="340">
        <v>334392.58960144082</v>
      </c>
      <c r="W2027" s="340">
        <v>-257854.65756166156</v>
      </c>
    </row>
    <row r="2028" spans="2:23" ht="24" customHeight="1">
      <c r="J2028" s="345"/>
      <c r="K2028" s="703"/>
      <c r="L2028" s="342"/>
      <c r="M2028" s="342"/>
      <c r="N2028" s="340"/>
      <c r="O2028" s="703"/>
      <c r="P2028" s="342"/>
      <c r="Q2028" s="363"/>
      <c r="R2028" s="340"/>
      <c r="S2028" s="342"/>
      <c r="T2028" s="342"/>
      <c r="U2028" s="342"/>
      <c r="V2028" s="340"/>
      <c r="W2028" s="340"/>
    </row>
    <row r="2029" spans="2:23" ht="24" customHeight="1">
      <c r="B2029" s="67"/>
      <c r="H2029" s="347">
        <v>44586</v>
      </c>
      <c r="I2029" s="347"/>
      <c r="J2029" s="345"/>
      <c r="K2029" s="703"/>
      <c r="L2029" s="342"/>
      <c r="M2029" s="342"/>
      <c r="N2029" s="340"/>
      <c r="O2029" s="703"/>
      <c r="P2029" s="342"/>
      <c r="Q2029" s="363"/>
      <c r="R2029" s="340"/>
      <c r="S2029" s="342"/>
      <c r="T2029" s="342"/>
      <c r="U2029" s="342"/>
      <c r="V2029" s="340"/>
      <c r="W2029" s="340"/>
    </row>
    <row r="2030" spans="2:23" ht="24" customHeight="1">
      <c r="B2030" s="67"/>
      <c r="I2030" s="3" t="s">
        <v>59</v>
      </c>
      <c r="J2030" s="345">
        <v>115</v>
      </c>
      <c r="K2030" s="703">
        <v>1560.0996934865902</v>
      </c>
      <c r="L2030" s="342">
        <v>1</v>
      </c>
      <c r="M2030" s="342">
        <v>19.8657</v>
      </c>
      <c r="N2030" s="340">
        <v>30992.472480896555</v>
      </c>
      <c r="O2030" s="703">
        <v>5645.13</v>
      </c>
      <c r="P2030" s="342">
        <v>1</v>
      </c>
      <c r="Q2030" s="363">
        <v>20.459800000000001</v>
      </c>
      <c r="R2030" s="340">
        <v>115498.23077400001</v>
      </c>
      <c r="S2030" s="342">
        <v>118.002</v>
      </c>
      <c r="T2030" s="342">
        <v>120.809</v>
      </c>
      <c r="U2030" s="342">
        <v>1.0237000000000001</v>
      </c>
      <c r="V2030" s="340">
        <v>118235.53884334382</v>
      </c>
      <c r="W2030" s="340">
        <v>-87243.066362447251</v>
      </c>
    </row>
    <row r="2031" spans="2:23" ht="24" customHeight="1">
      <c r="J2031" s="345"/>
      <c r="K2031" s="703"/>
      <c r="L2031" s="342"/>
      <c r="M2031" s="342"/>
      <c r="N2031" s="340"/>
      <c r="O2031" s="703"/>
      <c r="P2031" s="342"/>
      <c r="Q2031" s="363"/>
      <c r="R2031" s="340"/>
      <c r="S2031" s="342"/>
      <c r="T2031" s="342"/>
      <c r="U2031" s="342"/>
      <c r="V2031" s="340"/>
      <c r="W2031" s="340"/>
    </row>
    <row r="2032" spans="2:23" ht="24" customHeight="1">
      <c r="B2032" s="67"/>
      <c r="H2032" s="347">
        <v>44600</v>
      </c>
      <c r="I2032" s="347"/>
      <c r="J2032" s="345"/>
      <c r="K2032" s="703"/>
      <c r="L2032" s="342"/>
      <c r="M2032" s="342"/>
      <c r="N2032" s="340"/>
      <c r="O2032" s="703"/>
      <c r="P2032" s="342"/>
      <c r="Q2032" s="363"/>
      <c r="R2032" s="340"/>
      <c r="S2032" s="342"/>
      <c r="T2032" s="342"/>
      <c r="U2032" s="342"/>
      <c r="V2032" s="340"/>
      <c r="W2032" s="340"/>
    </row>
    <row r="2033" spans="2:23" ht="24" customHeight="1">
      <c r="B2033" s="67"/>
      <c r="I2033" s="3" t="s">
        <v>59</v>
      </c>
      <c r="J2033" s="345">
        <v>224</v>
      </c>
      <c r="K2033" s="703">
        <v>3038.8028812260541</v>
      </c>
      <c r="L2033" s="342">
        <v>1</v>
      </c>
      <c r="M2033" s="342">
        <v>19.8657</v>
      </c>
      <c r="N2033" s="340">
        <v>60367.946397572421</v>
      </c>
      <c r="O2033" s="703">
        <v>6887.89</v>
      </c>
      <c r="P2033" s="342">
        <v>1</v>
      </c>
      <c r="Q2033" s="363">
        <v>20.5562</v>
      </c>
      <c r="R2033" s="340">
        <v>141588.84441800002</v>
      </c>
      <c r="S2033" s="342">
        <v>118.98099999999999</v>
      </c>
      <c r="T2033" s="342">
        <v>120.809</v>
      </c>
      <c r="U2033" s="342">
        <v>1.0153000000000001</v>
      </c>
      <c r="V2033" s="340">
        <v>143755.15373759542</v>
      </c>
      <c r="W2033" s="340">
        <v>-83387.207340023</v>
      </c>
    </row>
    <row r="2034" spans="2:23" ht="24" customHeight="1">
      <c r="J2034" s="345"/>
      <c r="K2034" s="703"/>
      <c r="L2034" s="342"/>
      <c r="M2034" s="342"/>
      <c r="N2034" s="340"/>
      <c r="O2034" s="703"/>
      <c r="P2034" s="342"/>
      <c r="Q2034" s="363"/>
      <c r="R2034" s="340"/>
      <c r="S2034" s="342"/>
      <c r="T2034" s="342"/>
      <c r="U2034" s="342"/>
      <c r="V2034" s="340"/>
      <c r="W2034" s="340"/>
    </row>
    <row r="2035" spans="2:23" ht="24" customHeight="1">
      <c r="B2035" s="67"/>
      <c r="H2035" s="347">
        <v>44705</v>
      </c>
      <c r="I2035" s="347"/>
      <c r="J2035" s="345"/>
      <c r="K2035" s="703"/>
      <c r="L2035" s="342"/>
      <c r="M2035" s="342"/>
      <c r="N2035" s="340"/>
      <c r="O2035" s="703"/>
      <c r="P2035" s="342"/>
      <c r="Q2035" s="363"/>
      <c r="R2035" s="340"/>
      <c r="S2035" s="342"/>
      <c r="T2035" s="342"/>
      <c r="U2035" s="342"/>
      <c r="V2035" s="340"/>
      <c r="W2035" s="340"/>
    </row>
    <row r="2036" spans="2:23" ht="24" customHeight="1">
      <c r="B2036" s="67"/>
      <c r="I2036" s="3" t="s">
        <v>59</v>
      </c>
      <c r="J2036" s="345">
        <v>189</v>
      </c>
      <c r="K2036" s="703">
        <v>2563.9899310344831</v>
      </c>
      <c r="L2036" s="342">
        <v>1</v>
      </c>
      <c r="M2036" s="342">
        <v>19.8657</v>
      </c>
      <c r="N2036" s="340">
        <v>50935.454772951729</v>
      </c>
      <c r="O2036" s="703">
        <v>6936.8100000000013</v>
      </c>
      <c r="P2036" s="342">
        <v>1</v>
      </c>
      <c r="Q2036" s="363">
        <v>19.8657</v>
      </c>
      <c r="R2036" s="340">
        <v>137804.58641700004</v>
      </c>
      <c r="S2036" s="342">
        <v>121.02200000000001</v>
      </c>
      <c r="T2036" s="342">
        <v>120.809</v>
      </c>
      <c r="U2036" s="342">
        <v>1</v>
      </c>
      <c r="V2036" s="340">
        <v>137804.58641700004</v>
      </c>
      <c r="W2036" s="340">
        <v>-86869.131644048321</v>
      </c>
    </row>
    <row r="2037" spans="2:23" ht="24" customHeight="1">
      <c r="J2037" s="345"/>
      <c r="K2037" s="703"/>
      <c r="L2037" s="342"/>
      <c r="M2037" s="342"/>
      <c r="N2037" s="340"/>
      <c r="O2037" s="703"/>
      <c r="P2037" s="342"/>
      <c r="Q2037" s="363"/>
      <c r="R2037" s="340"/>
      <c r="S2037" s="342"/>
      <c r="T2037" s="342"/>
      <c r="U2037" s="342"/>
      <c r="V2037" s="340"/>
      <c r="W2037" s="340"/>
    </row>
    <row r="2038" spans="2:23" ht="24" customHeight="1">
      <c r="B2038" s="67"/>
      <c r="E2038" s="131" t="s">
        <v>1145</v>
      </c>
      <c r="F2038" s="131"/>
      <c r="G2038" s="131"/>
      <c r="H2038" s="131"/>
      <c r="I2038" s="131"/>
      <c r="J2038" s="704">
        <v>1305</v>
      </c>
      <c r="K2038" s="705">
        <v>17703.740000000005</v>
      </c>
      <c r="L2038" s="369">
        <v>1</v>
      </c>
      <c r="M2038" s="377">
        <v>19.8657</v>
      </c>
      <c r="N2038" s="706">
        <v>351697.18771799997</v>
      </c>
      <c r="O2038" s="705">
        <v>61982.614114713215</v>
      </c>
      <c r="P2038" s="369">
        <v>1</v>
      </c>
      <c r="Q2038" s="377">
        <v>20.391578571428571</v>
      </c>
      <c r="R2038" s="706">
        <v>1261427.8621154865</v>
      </c>
      <c r="S2038" s="369">
        <v>116.74771428571428</v>
      </c>
      <c r="T2038" s="369">
        <v>120.80899999999998</v>
      </c>
      <c r="U2038" s="369">
        <v>1.0350571428571429</v>
      </c>
      <c r="V2038" s="706">
        <v>1302421.8218899372</v>
      </c>
      <c r="W2038" s="706">
        <v>-950724.63417193689</v>
      </c>
    </row>
    <row r="2039" spans="2:23" ht="24" customHeight="1">
      <c r="J2039" s="345"/>
      <c r="K2039" s="703"/>
      <c r="L2039" s="342"/>
      <c r="M2039" s="342"/>
      <c r="N2039" s="340"/>
      <c r="O2039" s="703"/>
      <c r="P2039" s="342"/>
      <c r="Q2039" s="363"/>
      <c r="R2039" s="340"/>
      <c r="S2039" s="342"/>
      <c r="T2039" s="342"/>
      <c r="U2039" s="342"/>
      <c r="V2039" s="340"/>
      <c r="W2039" s="340"/>
    </row>
    <row r="2040" spans="2:23" ht="24" customHeight="1">
      <c r="B2040" s="67"/>
      <c r="E2040" s="1" t="s">
        <v>1044</v>
      </c>
      <c r="J2040" s="345"/>
      <c r="K2040" s="703"/>
      <c r="L2040" s="342"/>
      <c r="M2040" s="342"/>
      <c r="N2040" s="340"/>
      <c r="O2040" s="703"/>
      <c r="P2040" s="342"/>
      <c r="Q2040" s="363"/>
      <c r="R2040" s="340"/>
      <c r="S2040" s="342"/>
      <c r="T2040" s="342"/>
      <c r="U2040" s="342"/>
      <c r="V2040" s="340"/>
      <c r="W2040" s="340"/>
    </row>
    <row r="2041" spans="2:23" ht="24" customHeight="1">
      <c r="B2041" s="67"/>
      <c r="F2041" s="346">
        <v>44855</v>
      </c>
      <c r="G2041" s="346"/>
      <c r="H2041" s="346"/>
      <c r="I2041" s="346"/>
      <c r="J2041" s="345"/>
      <c r="K2041" s="703"/>
      <c r="L2041" s="342"/>
      <c r="M2041" s="342"/>
      <c r="N2041" s="340"/>
      <c r="O2041" s="703"/>
      <c r="P2041" s="342"/>
      <c r="Q2041" s="363"/>
      <c r="R2041" s="340"/>
      <c r="S2041" s="342"/>
      <c r="T2041" s="342"/>
      <c r="U2041" s="342"/>
      <c r="V2041" s="340"/>
      <c r="W2041" s="340"/>
    </row>
    <row r="2042" spans="2:23" ht="24" customHeight="1">
      <c r="B2042" s="67"/>
      <c r="G2042" s="3" t="s">
        <v>59</v>
      </c>
      <c r="H2042" s="3"/>
      <c r="I2042" s="3"/>
      <c r="J2042" s="345"/>
      <c r="K2042" s="703"/>
      <c r="L2042" s="342"/>
      <c r="M2042" s="342"/>
      <c r="N2042" s="340"/>
      <c r="O2042" s="703"/>
      <c r="P2042" s="342"/>
      <c r="Q2042" s="363"/>
      <c r="R2042" s="340"/>
      <c r="S2042" s="342"/>
      <c r="T2042" s="342"/>
      <c r="U2042" s="342"/>
      <c r="V2042" s="340"/>
      <c r="W2042" s="340"/>
    </row>
    <row r="2043" spans="2:23" ht="24" customHeight="1">
      <c r="B2043" s="67"/>
      <c r="H2043" s="347">
        <v>44777</v>
      </c>
      <c r="I2043" s="347"/>
      <c r="J2043" s="345"/>
      <c r="K2043" s="703"/>
      <c r="L2043" s="342"/>
      <c r="M2043" s="342"/>
      <c r="N2043" s="340"/>
      <c r="O2043" s="703"/>
      <c r="P2043" s="342"/>
      <c r="Q2043" s="363"/>
      <c r="R2043" s="340"/>
      <c r="S2043" s="342"/>
      <c r="T2043" s="342"/>
      <c r="U2043" s="342"/>
      <c r="V2043" s="340"/>
      <c r="W2043" s="340"/>
    </row>
    <row r="2044" spans="2:23" ht="24" customHeight="1">
      <c r="B2044" s="67"/>
      <c r="I2044" s="3" t="s">
        <v>59</v>
      </c>
      <c r="J2044" s="345">
        <v>40</v>
      </c>
      <c r="K2044" s="703">
        <v>9935.8622950819681</v>
      </c>
      <c r="L2044" s="342">
        <v>1</v>
      </c>
      <c r="M2044" s="342">
        <v>20.127199999999998</v>
      </c>
      <c r="N2044" s="340">
        <v>199981.08758557378</v>
      </c>
      <c r="O2044" s="703">
        <v>16628.89</v>
      </c>
      <c r="P2044" s="342">
        <v>1</v>
      </c>
      <c r="Q2044" s="363">
        <v>20.5152</v>
      </c>
      <c r="R2044" s="340">
        <v>341145.004128</v>
      </c>
      <c r="S2044" s="342">
        <v>123.803</v>
      </c>
      <c r="T2044" s="342">
        <v>124.571</v>
      </c>
      <c r="U2044" s="342">
        <v>1.0062</v>
      </c>
      <c r="V2044" s="340">
        <v>343260.10315359361</v>
      </c>
      <c r="W2044" s="340">
        <v>-143279.01556801979</v>
      </c>
    </row>
    <row r="2045" spans="2:23" ht="24" customHeight="1">
      <c r="J2045" s="345"/>
      <c r="K2045" s="703"/>
      <c r="L2045" s="342"/>
      <c r="M2045" s="342"/>
      <c r="N2045" s="340"/>
      <c r="O2045" s="703"/>
      <c r="P2045" s="342"/>
      <c r="Q2045" s="363"/>
      <c r="R2045" s="340"/>
      <c r="S2045" s="342"/>
      <c r="T2045" s="342"/>
      <c r="U2045" s="342"/>
      <c r="V2045" s="340"/>
      <c r="W2045" s="340"/>
    </row>
    <row r="2046" spans="2:23" ht="24" customHeight="1">
      <c r="B2046" s="67"/>
      <c r="H2046" s="347">
        <v>44819</v>
      </c>
      <c r="I2046" s="347"/>
      <c r="J2046" s="345"/>
      <c r="K2046" s="703"/>
      <c r="L2046" s="342"/>
      <c r="M2046" s="342"/>
      <c r="N2046" s="340"/>
      <c r="O2046" s="703"/>
      <c r="P2046" s="342"/>
      <c r="Q2046" s="363"/>
      <c r="R2046" s="340"/>
      <c r="S2046" s="342"/>
      <c r="T2046" s="342"/>
      <c r="U2046" s="342"/>
      <c r="V2046" s="340"/>
      <c r="W2046" s="340"/>
    </row>
    <row r="2047" spans="2:23" ht="24" customHeight="1">
      <c r="B2047" s="67"/>
      <c r="I2047" s="3" t="s">
        <v>59</v>
      </c>
      <c r="J2047" s="345">
        <v>21</v>
      </c>
      <c r="K2047" s="703">
        <v>5216.3277049180333</v>
      </c>
      <c r="L2047" s="342">
        <v>1</v>
      </c>
      <c r="M2047" s="342">
        <v>20.127199999999998</v>
      </c>
      <c r="N2047" s="340">
        <v>104990.07098242623</v>
      </c>
      <c r="O2047" s="703">
        <v>8133.9800000000005</v>
      </c>
      <c r="P2047" s="342">
        <v>1</v>
      </c>
      <c r="Q2047" s="363">
        <v>20.055</v>
      </c>
      <c r="R2047" s="340">
        <v>163126.96890000001</v>
      </c>
      <c r="S2047" s="342">
        <v>124.571</v>
      </c>
      <c r="T2047" s="342">
        <v>124.571</v>
      </c>
      <c r="U2047" s="342">
        <v>1</v>
      </c>
      <c r="V2047" s="340">
        <v>163126.96890000001</v>
      </c>
      <c r="W2047" s="340">
        <v>-58136.897917573762</v>
      </c>
    </row>
    <row r="2048" spans="2:23" ht="24" customHeight="1">
      <c r="J2048" s="345"/>
      <c r="K2048" s="703"/>
      <c r="L2048" s="342"/>
      <c r="M2048" s="342"/>
      <c r="N2048" s="340"/>
      <c r="O2048" s="703"/>
      <c r="P2048" s="342"/>
      <c r="Q2048" s="363"/>
      <c r="R2048" s="340"/>
      <c r="S2048" s="342"/>
      <c r="T2048" s="342"/>
      <c r="U2048" s="342"/>
      <c r="V2048" s="340"/>
      <c r="W2048" s="340"/>
    </row>
    <row r="2049" spans="2:23" ht="24" customHeight="1">
      <c r="B2049" s="67"/>
      <c r="E2049" s="131" t="s">
        <v>1146</v>
      </c>
      <c r="F2049" s="131"/>
      <c r="G2049" s="131"/>
      <c r="H2049" s="131"/>
      <c r="I2049" s="131"/>
      <c r="J2049" s="704">
        <v>61</v>
      </c>
      <c r="K2049" s="705">
        <v>15152.19</v>
      </c>
      <c r="L2049" s="369">
        <v>1</v>
      </c>
      <c r="M2049" s="377">
        <v>20.127199999999998</v>
      </c>
      <c r="N2049" s="706">
        <v>304971.15856800001</v>
      </c>
      <c r="O2049" s="705">
        <v>24762.87</v>
      </c>
      <c r="P2049" s="369">
        <v>1</v>
      </c>
      <c r="Q2049" s="377">
        <v>20.361800000000002</v>
      </c>
      <c r="R2049" s="706">
        <v>504271.97302799998</v>
      </c>
      <c r="S2049" s="369">
        <v>124.05900000000001</v>
      </c>
      <c r="T2049" s="369">
        <v>124.57100000000001</v>
      </c>
      <c r="U2049" s="369">
        <v>1.0041333333333333</v>
      </c>
      <c r="V2049" s="706">
        <v>506387.07205359358</v>
      </c>
      <c r="W2049" s="706">
        <v>-201415.91348559354</v>
      </c>
    </row>
    <row r="2050" spans="2:23" ht="24" customHeight="1">
      <c r="J2050" s="345"/>
      <c r="K2050" s="703"/>
      <c r="L2050" s="342"/>
      <c r="M2050" s="342"/>
      <c r="N2050" s="340"/>
      <c r="O2050" s="703"/>
      <c r="P2050" s="342"/>
      <c r="Q2050" s="363"/>
      <c r="R2050" s="340"/>
      <c r="S2050" s="342"/>
      <c r="T2050" s="342"/>
      <c r="U2050" s="342"/>
      <c r="V2050" s="340"/>
      <c r="W2050" s="340"/>
    </row>
    <row r="2051" spans="2:23" ht="24" customHeight="1">
      <c r="B2051" s="67"/>
      <c r="E2051" s="1" t="s">
        <v>724</v>
      </c>
      <c r="J2051" s="345"/>
      <c r="K2051" s="703"/>
      <c r="L2051" s="342"/>
      <c r="M2051" s="342"/>
      <c r="N2051" s="340"/>
      <c r="O2051" s="703"/>
      <c r="P2051" s="342"/>
      <c r="Q2051" s="363"/>
      <c r="R2051" s="340"/>
      <c r="S2051" s="342"/>
      <c r="T2051" s="342"/>
      <c r="U2051" s="342"/>
      <c r="V2051" s="340"/>
      <c r="W2051" s="340"/>
    </row>
    <row r="2052" spans="2:23" ht="24" customHeight="1">
      <c r="B2052" s="67"/>
      <c r="F2052" s="346">
        <v>44589</v>
      </c>
      <c r="G2052" s="346"/>
      <c r="H2052" s="346"/>
      <c r="I2052" s="346"/>
      <c r="J2052" s="345"/>
      <c r="K2052" s="703"/>
      <c r="L2052" s="342"/>
      <c r="M2052" s="342"/>
      <c r="N2052" s="340"/>
      <c r="O2052" s="703"/>
      <c r="P2052" s="342"/>
      <c r="Q2052" s="363"/>
      <c r="R2052" s="340"/>
      <c r="S2052" s="342"/>
      <c r="T2052" s="342"/>
      <c r="U2052" s="342"/>
      <c r="V2052" s="340"/>
      <c r="W2052" s="340"/>
    </row>
    <row r="2053" spans="2:23" ht="24" customHeight="1">
      <c r="B2053" s="67"/>
      <c r="G2053" s="3" t="s">
        <v>59</v>
      </c>
      <c r="H2053" s="3"/>
      <c r="I2053" s="3"/>
      <c r="J2053" s="345"/>
      <c r="K2053" s="703"/>
      <c r="L2053" s="342"/>
      <c r="M2053" s="342"/>
      <c r="N2053" s="340"/>
      <c r="O2053" s="703"/>
      <c r="P2053" s="342"/>
      <c r="Q2053" s="363"/>
      <c r="R2053" s="340"/>
      <c r="S2053" s="342"/>
      <c r="T2053" s="342"/>
      <c r="U2053" s="342"/>
      <c r="V2053" s="340"/>
      <c r="W2053" s="340"/>
    </row>
    <row r="2054" spans="2:23" ht="24" customHeight="1">
      <c r="B2054" s="67"/>
      <c r="H2054" s="347">
        <v>44259</v>
      </c>
      <c r="I2054" s="347"/>
      <c r="J2054" s="345"/>
      <c r="K2054" s="703"/>
      <c r="L2054" s="342"/>
      <c r="M2054" s="342"/>
      <c r="N2054" s="340"/>
      <c r="O2054" s="703"/>
      <c r="P2054" s="342"/>
      <c r="Q2054" s="363"/>
      <c r="R2054" s="340"/>
      <c r="S2054" s="342"/>
      <c r="T2054" s="342"/>
      <c r="U2054" s="342"/>
      <c r="V2054" s="340"/>
      <c r="W2054" s="340"/>
    </row>
    <row r="2055" spans="2:23" ht="24" customHeight="1">
      <c r="B2055" s="67"/>
      <c r="I2055" s="3" t="s">
        <v>59</v>
      </c>
      <c r="J2055" s="345">
        <v>129</v>
      </c>
      <c r="K2055" s="703">
        <v>5303.9379687500004</v>
      </c>
      <c r="L2055" s="342">
        <v>1</v>
      </c>
      <c r="M2055" s="342">
        <v>20.641500000000001</v>
      </c>
      <c r="N2055" s="340">
        <v>109481.23558195314</v>
      </c>
      <c r="O2055" s="703">
        <v>5065.2242395437261</v>
      </c>
      <c r="P2055" s="342">
        <v>1</v>
      </c>
      <c r="Q2055" s="363">
        <v>20.690300000000001</v>
      </c>
      <c r="R2055" s="340">
        <v>104801.00908343155</v>
      </c>
      <c r="S2055" s="342">
        <v>111.824</v>
      </c>
      <c r="T2055" s="342">
        <v>117.30800000000001</v>
      </c>
      <c r="U2055" s="342">
        <v>1.0489999999999999</v>
      </c>
      <c r="V2055" s="340">
        <v>109936.2585285197</v>
      </c>
      <c r="W2055" s="340">
        <v>-455.02294656656886</v>
      </c>
    </row>
    <row r="2056" spans="2:23" ht="24" customHeight="1">
      <c r="J2056" s="345"/>
      <c r="K2056" s="703"/>
      <c r="L2056" s="342"/>
      <c r="M2056" s="342"/>
      <c r="N2056" s="340"/>
      <c r="O2056" s="703"/>
      <c r="P2056" s="342"/>
      <c r="Q2056" s="363"/>
      <c r="R2056" s="340"/>
      <c r="S2056" s="342"/>
      <c r="T2056" s="342"/>
      <c r="U2056" s="342"/>
      <c r="V2056" s="340"/>
      <c r="W2056" s="340"/>
    </row>
    <row r="2057" spans="2:23" ht="24" customHeight="1">
      <c r="B2057" s="67"/>
      <c r="H2057" s="347">
        <v>44348</v>
      </c>
      <c r="I2057" s="347"/>
      <c r="J2057" s="345"/>
      <c r="K2057" s="703"/>
      <c r="L2057" s="342"/>
      <c r="M2057" s="342"/>
      <c r="N2057" s="340"/>
      <c r="O2057" s="703"/>
      <c r="P2057" s="342"/>
      <c r="Q2057" s="363"/>
      <c r="R2057" s="340"/>
      <c r="S2057" s="342"/>
      <c r="T2057" s="342"/>
      <c r="U2057" s="342"/>
      <c r="V2057" s="340"/>
      <c r="W2057" s="340"/>
    </row>
    <row r="2058" spans="2:23" ht="24" customHeight="1">
      <c r="B2058" s="67"/>
      <c r="I2058" s="3" t="s">
        <v>59</v>
      </c>
      <c r="J2058" s="345">
        <v>180</v>
      </c>
      <c r="K2058" s="703">
        <v>7399.0406249999996</v>
      </c>
      <c r="L2058" s="342">
        <v>1</v>
      </c>
      <c r="M2058" s="342">
        <v>20.641500000000001</v>
      </c>
      <c r="N2058" s="340">
        <v>152727.2970609375</v>
      </c>
      <c r="O2058" s="703">
        <v>8741.66</v>
      </c>
      <c r="P2058" s="342">
        <v>1</v>
      </c>
      <c r="Q2058" s="363">
        <v>19.944199999999999</v>
      </c>
      <c r="R2058" s="340">
        <v>174345.41537199999</v>
      </c>
      <c r="S2058" s="342">
        <v>113.018</v>
      </c>
      <c r="T2058" s="342">
        <v>117.30800000000001</v>
      </c>
      <c r="U2058" s="342">
        <v>1.0379</v>
      </c>
      <c r="V2058" s="340">
        <v>180953.1066145988</v>
      </c>
      <c r="W2058" s="340">
        <v>-28225.809553661296</v>
      </c>
    </row>
    <row r="2059" spans="2:23" ht="24" customHeight="1">
      <c r="J2059" s="345"/>
      <c r="K2059" s="703"/>
      <c r="L2059" s="342"/>
      <c r="M2059" s="342"/>
      <c r="N2059" s="340"/>
      <c r="O2059" s="703"/>
      <c r="P2059" s="342"/>
      <c r="Q2059" s="363"/>
      <c r="R2059" s="340"/>
      <c r="S2059" s="342"/>
      <c r="T2059" s="342"/>
      <c r="U2059" s="342"/>
      <c r="V2059" s="340"/>
      <c r="W2059" s="340"/>
    </row>
    <row r="2060" spans="2:23" ht="24" customHeight="1">
      <c r="B2060" s="67"/>
      <c r="H2060" s="347">
        <v>44426</v>
      </c>
      <c r="I2060" s="347"/>
      <c r="J2060" s="345"/>
      <c r="K2060" s="703"/>
      <c r="L2060" s="342"/>
      <c r="M2060" s="342"/>
      <c r="N2060" s="340"/>
      <c r="O2060" s="703"/>
      <c r="P2060" s="342"/>
      <c r="Q2060" s="363"/>
      <c r="R2060" s="340"/>
      <c r="S2060" s="342"/>
      <c r="T2060" s="342"/>
      <c r="U2060" s="342"/>
      <c r="V2060" s="340"/>
      <c r="W2060" s="340"/>
    </row>
    <row r="2061" spans="2:23" ht="24" customHeight="1">
      <c r="B2061" s="67"/>
      <c r="I2061" s="3" t="s">
        <v>59</v>
      </c>
      <c r="J2061" s="345">
        <v>12</v>
      </c>
      <c r="K2061" s="703">
        <v>493.26937499999997</v>
      </c>
      <c r="L2061" s="342">
        <v>1</v>
      </c>
      <c r="M2061" s="342">
        <v>20.641500000000001</v>
      </c>
      <c r="N2061" s="340">
        <v>10181.819804062499</v>
      </c>
      <c r="O2061" s="703">
        <v>599.52</v>
      </c>
      <c r="P2061" s="342">
        <v>1</v>
      </c>
      <c r="Q2061" s="363">
        <v>19.886299999999999</v>
      </c>
      <c r="R2061" s="340">
        <v>11922.234575999999</v>
      </c>
      <c r="S2061" s="342">
        <v>113.899</v>
      </c>
      <c r="T2061" s="342">
        <v>117.30800000000001</v>
      </c>
      <c r="U2061" s="342">
        <v>1.0299</v>
      </c>
      <c r="V2061" s="340">
        <v>12278.709389822399</v>
      </c>
      <c r="W2061" s="340">
        <v>-2096.8895857599</v>
      </c>
    </row>
    <row r="2062" spans="2:23" ht="24" customHeight="1">
      <c r="J2062" s="345"/>
      <c r="K2062" s="703"/>
      <c r="L2062" s="342"/>
      <c r="M2062" s="342"/>
      <c r="N2062" s="340"/>
      <c r="O2062" s="703"/>
      <c r="P2062" s="342"/>
      <c r="Q2062" s="363"/>
      <c r="R2062" s="340"/>
      <c r="S2062" s="342"/>
      <c r="T2062" s="342"/>
      <c r="U2062" s="342"/>
      <c r="V2062" s="340"/>
      <c r="W2062" s="340"/>
    </row>
    <row r="2063" spans="2:23" ht="24" customHeight="1">
      <c r="B2063" s="67"/>
      <c r="H2063" s="347">
        <v>44427</v>
      </c>
      <c r="I2063" s="347"/>
      <c r="J2063" s="345"/>
      <c r="K2063" s="703"/>
      <c r="L2063" s="342"/>
      <c r="M2063" s="342"/>
      <c r="N2063" s="340"/>
      <c r="O2063" s="703"/>
      <c r="P2063" s="342"/>
      <c r="Q2063" s="363"/>
      <c r="R2063" s="340"/>
      <c r="S2063" s="342"/>
      <c r="T2063" s="342"/>
      <c r="U2063" s="342"/>
      <c r="V2063" s="340"/>
      <c r="W2063" s="340"/>
    </row>
    <row r="2064" spans="2:23" ht="24" customHeight="1">
      <c r="B2064" s="67"/>
      <c r="I2064" s="3" t="s">
        <v>59</v>
      </c>
      <c r="J2064" s="345">
        <v>208</v>
      </c>
      <c r="K2064" s="703">
        <v>8497.292530116214</v>
      </c>
      <c r="L2064" s="342">
        <v>1</v>
      </c>
      <c r="M2064" s="342">
        <v>20.641500000000001</v>
      </c>
      <c r="N2064" s="340">
        <v>175396.86376039381</v>
      </c>
      <c r="O2064" s="703">
        <v>10543.97</v>
      </c>
      <c r="P2064" s="342">
        <v>1</v>
      </c>
      <c r="Q2064" s="363">
        <v>19.991199999999999</v>
      </c>
      <c r="R2064" s="340">
        <v>210786.61306399998</v>
      </c>
      <c r="S2064" s="342">
        <v>113.899</v>
      </c>
      <c r="T2064" s="342">
        <v>117.30800000000001</v>
      </c>
      <c r="U2064" s="342">
        <v>1.0299</v>
      </c>
      <c r="V2064" s="340">
        <v>217089.13279461354</v>
      </c>
      <c r="W2064" s="340">
        <v>-41692.269034219731</v>
      </c>
    </row>
    <row r="2065" spans="2:23" ht="24" customHeight="1">
      <c r="J2065" s="345"/>
      <c r="K2065" s="703"/>
      <c r="L2065" s="342"/>
      <c r="M2065" s="342"/>
      <c r="N2065" s="340"/>
      <c r="O2065" s="703"/>
      <c r="P2065" s="342"/>
      <c r="Q2065" s="363"/>
      <c r="R2065" s="340"/>
      <c r="S2065" s="342"/>
      <c r="T2065" s="342"/>
      <c r="U2065" s="342"/>
      <c r="V2065" s="340"/>
      <c r="W2065" s="340"/>
    </row>
    <row r="2066" spans="2:23" ht="24" customHeight="1">
      <c r="B2066" s="67"/>
      <c r="H2066" s="347">
        <v>44449</v>
      </c>
      <c r="I2066" s="347"/>
      <c r="J2066" s="345"/>
      <c r="K2066" s="703"/>
      <c r="L2066" s="342"/>
      <c r="M2066" s="342"/>
      <c r="N2066" s="340"/>
      <c r="O2066" s="703"/>
      <c r="P2066" s="342"/>
      <c r="Q2066" s="363"/>
      <c r="R2066" s="340"/>
      <c r="S2066" s="342"/>
      <c r="T2066" s="342"/>
      <c r="U2066" s="342"/>
      <c r="V2066" s="340"/>
      <c r="W2066" s="340"/>
    </row>
    <row r="2067" spans="2:23" ht="24" customHeight="1">
      <c r="B2067" s="67"/>
      <c r="I2067" s="3" t="s">
        <v>59</v>
      </c>
      <c r="J2067" s="345">
        <v>248</v>
      </c>
      <c r="K2067" s="703">
        <v>10125.569501133787</v>
      </c>
      <c r="L2067" s="342">
        <v>1</v>
      </c>
      <c r="M2067" s="342">
        <v>20.641500000000001</v>
      </c>
      <c r="N2067" s="340">
        <v>209006.94285765305</v>
      </c>
      <c r="O2067" s="703">
        <v>11847.658983050846</v>
      </c>
      <c r="P2067" s="342">
        <v>1</v>
      </c>
      <c r="Q2067" s="363">
        <v>19.938300000000002</v>
      </c>
      <c r="R2067" s="340">
        <v>236222.17910176268</v>
      </c>
      <c r="S2067" s="342">
        <v>114.601</v>
      </c>
      <c r="T2067" s="342">
        <v>117.30800000000001</v>
      </c>
      <c r="U2067" s="342">
        <v>1.0236000000000001</v>
      </c>
      <c r="V2067" s="340">
        <v>241797.0225285643</v>
      </c>
      <c r="W2067" s="340">
        <v>-32790.079670911233</v>
      </c>
    </row>
    <row r="2068" spans="2:23" ht="24" customHeight="1">
      <c r="J2068" s="345"/>
      <c r="K2068" s="703"/>
      <c r="L2068" s="342"/>
      <c r="M2068" s="342"/>
      <c r="N2068" s="340"/>
      <c r="O2068" s="703"/>
      <c r="P2068" s="342"/>
      <c r="Q2068" s="363"/>
      <c r="R2068" s="340"/>
      <c r="S2068" s="342"/>
      <c r="T2068" s="342"/>
      <c r="U2068" s="342"/>
      <c r="V2068" s="340"/>
      <c r="W2068" s="340"/>
    </row>
    <row r="2069" spans="2:23" ht="24" customHeight="1">
      <c r="B2069" s="67"/>
      <c r="F2069" s="346">
        <v>44592</v>
      </c>
      <c r="G2069" s="346"/>
      <c r="H2069" s="346"/>
      <c r="I2069" s="346"/>
      <c r="J2069" s="345"/>
      <c r="K2069" s="703"/>
      <c r="L2069" s="342"/>
      <c r="M2069" s="342"/>
      <c r="N2069" s="340"/>
      <c r="O2069" s="703"/>
      <c r="P2069" s="342"/>
      <c r="Q2069" s="363"/>
      <c r="R2069" s="340"/>
      <c r="S2069" s="342"/>
      <c r="T2069" s="342"/>
      <c r="U2069" s="342"/>
      <c r="V2069" s="340"/>
      <c r="W2069" s="340"/>
    </row>
    <row r="2070" spans="2:23" ht="24" customHeight="1">
      <c r="B2070" s="67"/>
      <c r="G2070" s="3" t="s">
        <v>59</v>
      </c>
      <c r="H2070" s="3"/>
      <c r="I2070" s="3"/>
      <c r="J2070" s="345"/>
      <c r="K2070" s="703"/>
      <c r="L2070" s="342"/>
      <c r="M2070" s="342"/>
      <c r="N2070" s="340"/>
      <c r="O2070" s="703"/>
      <c r="P2070" s="342"/>
      <c r="Q2070" s="363"/>
      <c r="R2070" s="340"/>
      <c r="S2070" s="342"/>
      <c r="T2070" s="342"/>
      <c r="U2070" s="342"/>
      <c r="V2070" s="340"/>
      <c r="W2070" s="340"/>
    </row>
    <row r="2071" spans="2:23" ht="24" customHeight="1">
      <c r="B2071" s="67"/>
      <c r="H2071" s="347">
        <v>44449</v>
      </c>
      <c r="I2071" s="347"/>
      <c r="J2071" s="345"/>
      <c r="K2071" s="703"/>
      <c r="L2071" s="342"/>
      <c r="M2071" s="342"/>
      <c r="N2071" s="340"/>
      <c r="O2071" s="703"/>
      <c r="P2071" s="342"/>
      <c r="Q2071" s="363"/>
      <c r="R2071" s="340"/>
      <c r="S2071" s="342"/>
      <c r="T2071" s="342"/>
      <c r="U2071" s="342"/>
      <c r="V2071" s="340"/>
      <c r="W2071" s="340"/>
    </row>
    <row r="2072" spans="2:23" ht="24" customHeight="1">
      <c r="B2072" s="67"/>
      <c r="I2072" s="3" t="s">
        <v>59</v>
      </c>
      <c r="J2072" s="345">
        <v>12</v>
      </c>
      <c r="K2072" s="703">
        <v>496.81600000000003</v>
      </c>
      <c r="L2072" s="342">
        <v>1</v>
      </c>
      <c r="M2072" s="342">
        <v>20.738299999999999</v>
      </c>
      <c r="N2072" s="340">
        <v>10303.119252799999</v>
      </c>
      <c r="O2072" s="703">
        <v>573.18101694915254</v>
      </c>
      <c r="P2072" s="342">
        <v>1</v>
      </c>
      <c r="Q2072" s="363">
        <v>19.938300000000002</v>
      </c>
      <c r="R2072" s="340">
        <v>11428.255070237288</v>
      </c>
      <c r="S2072" s="342">
        <v>114.601</v>
      </c>
      <c r="T2072" s="342">
        <v>117.30800000000001</v>
      </c>
      <c r="U2072" s="342">
        <v>1.0236000000000001</v>
      </c>
      <c r="V2072" s="340">
        <v>11697.961889894888</v>
      </c>
      <c r="W2072" s="340">
        <v>-1394.8426370948891</v>
      </c>
    </row>
    <row r="2073" spans="2:23" ht="24" customHeight="1">
      <c r="J2073" s="345"/>
      <c r="K2073" s="703"/>
      <c r="L2073" s="342"/>
      <c r="M2073" s="342"/>
      <c r="N2073" s="340"/>
      <c r="O2073" s="703"/>
      <c r="P2073" s="342"/>
      <c r="Q2073" s="363"/>
      <c r="R2073" s="340"/>
      <c r="S2073" s="342"/>
      <c r="T2073" s="342"/>
      <c r="U2073" s="342"/>
      <c r="V2073" s="340"/>
      <c r="W2073" s="340"/>
    </row>
    <row r="2074" spans="2:23" ht="24" customHeight="1">
      <c r="B2074" s="67"/>
      <c r="H2074" s="347">
        <v>44519</v>
      </c>
      <c r="I2074" s="347"/>
      <c r="J2074" s="345"/>
      <c r="K2074" s="703"/>
      <c r="L2074" s="342"/>
      <c r="M2074" s="342"/>
      <c r="N2074" s="340"/>
      <c r="O2074" s="703"/>
      <c r="P2074" s="342"/>
      <c r="Q2074" s="363"/>
      <c r="R2074" s="340"/>
      <c r="S2074" s="342"/>
      <c r="T2074" s="342"/>
      <c r="U2074" s="342"/>
      <c r="V2074" s="340"/>
      <c r="W2074" s="340"/>
    </row>
    <row r="2075" spans="2:23" ht="24" customHeight="1">
      <c r="B2075" s="67"/>
      <c r="I2075" s="3" t="s">
        <v>59</v>
      </c>
      <c r="J2075" s="345">
        <v>3</v>
      </c>
      <c r="K2075" s="703">
        <v>124.20400000000001</v>
      </c>
      <c r="L2075" s="342">
        <v>1</v>
      </c>
      <c r="M2075" s="342">
        <v>20.738299999999999</v>
      </c>
      <c r="N2075" s="340">
        <v>2575.7798131999998</v>
      </c>
      <c r="O2075" s="703">
        <v>143.97</v>
      </c>
      <c r="P2075" s="342">
        <v>1</v>
      </c>
      <c r="Q2075" s="363">
        <v>20.691199999999998</v>
      </c>
      <c r="R2075" s="340">
        <v>2978.9120639999996</v>
      </c>
      <c r="S2075" s="342">
        <v>116.884</v>
      </c>
      <c r="T2075" s="342">
        <v>117.30800000000001</v>
      </c>
      <c r="U2075" s="342">
        <v>1.0036</v>
      </c>
      <c r="V2075" s="340">
        <v>2989.6361474303999</v>
      </c>
      <c r="W2075" s="340">
        <v>-413.85633423040008</v>
      </c>
    </row>
    <row r="2076" spans="2:23" ht="24" customHeight="1">
      <c r="J2076" s="345"/>
      <c r="K2076" s="703"/>
      <c r="L2076" s="342"/>
      <c r="M2076" s="342"/>
      <c r="N2076" s="340"/>
      <c r="O2076" s="703"/>
      <c r="P2076" s="342"/>
      <c r="Q2076" s="363"/>
      <c r="R2076" s="340"/>
      <c r="S2076" s="342"/>
      <c r="T2076" s="342"/>
      <c r="U2076" s="342"/>
      <c r="V2076" s="340"/>
      <c r="W2076" s="340"/>
    </row>
    <row r="2077" spans="2:23" ht="24" customHeight="1">
      <c r="B2077" s="67"/>
      <c r="E2077" s="131" t="s">
        <v>1147</v>
      </c>
      <c r="F2077" s="131"/>
      <c r="G2077" s="131"/>
      <c r="H2077" s="131"/>
      <c r="I2077" s="131"/>
      <c r="J2077" s="704">
        <v>792</v>
      </c>
      <c r="K2077" s="705">
        <v>32440.13</v>
      </c>
      <c r="L2077" s="369">
        <v>1</v>
      </c>
      <c r="M2077" s="377">
        <v>20.65763333333334</v>
      </c>
      <c r="N2077" s="706">
        <v>669673.05813100003</v>
      </c>
      <c r="O2077" s="705">
        <v>37515.184239543727</v>
      </c>
      <c r="P2077" s="369">
        <v>1</v>
      </c>
      <c r="Q2077" s="377">
        <v>20.135758333333332</v>
      </c>
      <c r="R2077" s="706">
        <v>752484.61833143153</v>
      </c>
      <c r="S2077" s="369">
        <v>113.96250000000002</v>
      </c>
      <c r="T2077" s="369">
        <v>117.30800000000001</v>
      </c>
      <c r="U2077" s="369">
        <v>1.0294583333333334</v>
      </c>
      <c r="V2077" s="706">
        <v>776741.8278934441</v>
      </c>
      <c r="W2077" s="706">
        <v>-107068.76976244402</v>
      </c>
    </row>
    <row r="2078" spans="2:23" ht="24" customHeight="1">
      <c r="J2078" s="345"/>
      <c r="K2078" s="703"/>
      <c r="L2078" s="342"/>
      <c r="M2078" s="342"/>
      <c r="N2078" s="340"/>
      <c r="O2078" s="703"/>
      <c r="P2078" s="342"/>
      <c r="Q2078" s="363"/>
      <c r="R2078" s="340"/>
      <c r="S2078" s="342"/>
      <c r="T2078" s="342"/>
      <c r="U2078" s="342"/>
      <c r="V2078" s="340"/>
      <c r="W2078" s="340"/>
    </row>
    <row r="2079" spans="2:23" ht="24" customHeight="1">
      <c r="B2079" s="67"/>
      <c r="E2079" s="1" t="s">
        <v>883</v>
      </c>
      <c r="J2079" s="345"/>
      <c r="K2079" s="703"/>
      <c r="L2079" s="342"/>
      <c r="M2079" s="342"/>
      <c r="N2079" s="340"/>
      <c r="O2079" s="703"/>
      <c r="P2079" s="342"/>
      <c r="Q2079" s="363"/>
      <c r="R2079" s="340"/>
      <c r="S2079" s="342"/>
      <c r="T2079" s="342"/>
      <c r="U2079" s="342"/>
      <c r="V2079" s="340"/>
      <c r="W2079" s="340"/>
    </row>
    <row r="2080" spans="2:23" ht="24" customHeight="1">
      <c r="B2080" s="67"/>
      <c r="F2080" s="346">
        <v>44658</v>
      </c>
      <c r="G2080" s="346"/>
      <c r="H2080" s="346"/>
      <c r="I2080" s="346"/>
      <c r="J2080" s="345"/>
      <c r="K2080" s="703"/>
      <c r="L2080" s="342"/>
      <c r="M2080" s="342"/>
      <c r="N2080" s="340"/>
      <c r="O2080" s="703"/>
      <c r="P2080" s="342"/>
      <c r="Q2080" s="363"/>
      <c r="R2080" s="340"/>
      <c r="S2080" s="342"/>
      <c r="T2080" s="342"/>
      <c r="U2080" s="342"/>
      <c r="V2080" s="340"/>
      <c r="W2080" s="340"/>
    </row>
    <row r="2081" spans="2:23" ht="24" customHeight="1">
      <c r="B2081" s="67"/>
      <c r="G2081" s="3" t="s">
        <v>59</v>
      </c>
      <c r="H2081" s="3"/>
      <c r="I2081" s="3"/>
      <c r="J2081" s="345"/>
      <c r="K2081" s="703"/>
      <c r="L2081" s="342"/>
      <c r="M2081" s="342"/>
      <c r="N2081" s="340"/>
      <c r="O2081" s="703"/>
      <c r="P2081" s="342"/>
      <c r="Q2081" s="363"/>
      <c r="R2081" s="340"/>
      <c r="S2081" s="342"/>
      <c r="T2081" s="342"/>
      <c r="U2081" s="342"/>
      <c r="V2081" s="340"/>
      <c r="W2081" s="340"/>
    </row>
    <row r="2082" spans="2:23" ht="24" customHeight="1">
      <c r="B2082" s="67"/>
      <c r="H2082" s="347">
        <v>44259</v>
      </c>
      <c r="I2082" s="347"/>
      <c r="J2082" s="345"/>
      <c r="K2082" s="703"/>
      <c r="L2082" s="342"/>
      <c r="M2082" s="342"/>
      <c r="N2082" s="340"/>
      <c r="O2082" s="703"/>
      <c r="P2082" s="342"/>
      <c r="Q2082" s="363"/>
      <c r="R2082" s="340"/>
      <c r="S2082" s="342"/>
      <c r="T2082" s="342"/>
      <c r="U2082" s="342"/>
      <c r="V2082" s="340"/>
      <c r="W2082" s="340"/>
    </row>
    <row r="2083" spans="2:23" ht="24" customHeight="1">
      <c r="B2083" s="67"/>
      <c r="I2083" s="3" t="s">
        <v>59</v>
      </c>
      <c r="J2083" s="345">
        <v>32</v>
      </c>
      <c r="K2083" s="703">
        <v>32890.119344262297</v>
      </c>
      <c r="L2083" s="342">
        <v>1</v>
      </c>
      <c r="M2083" s="342">
        <v>19.901199999999999</v>
      </c>
      <c r="N2083" s="340">
        <v>654552.84309403284</v>
      </c>
      <c r="O2083" s="703">
        <v>20471.36</v>
      </c>
      <c r="P2083" s="342">
        <v>1</v>
      </c>
      <c r="Q2083" s="363">
        <v>20.690300000000001</v>
      </c>
      <c r="R2083" s="340">
        <v>423558.57980800001</v>
      </c>
      <c r="S2083" s="342">
        <v>111.824</v>
      </c>
      <c r="T2083" s="342">
        <v>120.15900000000001</v>
      </c>
      <c r="U2083" s="342">
        <v>1.0745</v>
      </c>
      <c r="V2083" s="340">
        <v>455113.69400369603</v>
      </c>
      <c r="W2083" s="340">
        <v>199439.14909033681</v>
      </c>
    </row>
    <row r="2084" spans="2:23" ht="24" customHeight="1">
      <c r="J2084" s="345"/>
      <c r="K2084" s="703"/>
      <c r="L2084" s="342"/>
      <c r="M2084" s="342"/>
      <c r="N2084" s="340"/>
      <c r="O2084" s="703"/>
      <c r="P2084" s="342"/>
      <c r="Q2084" s="363"/>
      <c r="R2084" s="340"/>
      <c r="S2084" s="342"/>
      <c r="T2084" s="342"/>
      <c r="U2084" s="342"/>
      <c r="V2084" s="340"/>
      <c r="W2084" s="340"/>
    </row>
    <row r="2085" spans="2:23" ht="24" customHeight="1">
      <c r="B2085" s="67"/>
      <c r="H2085" s="347">
        <v>44159</v>
      </c>
      <c r="I2085" s="347"/>
      <c r="J2085" s="345"/>
      <c r="K2085" s="703"/>
      <c r="L2085" s="342"/>
      <c r="M2085" s="342"/>
      <c r="N2085" s="340"/>
      <c r="O2085" s="703"/>
      <c r="P2085" s="342"/>
      <c r="Q2085" s="363"/>
      <c r="R2085" s="340"/>
      <c r="S2085" s="342"/>
      <c r="T2085" s="342"/>
      <c r="U2085" s="342"/>
      <c r="V2085" s="340"/>
      <c r="W2085" s="340"/>
    </row>
    <row r="2086" spans="2:23" ht="24" customHeight="1">
      <c r="B2086" s="67"/>
      <c r="I2086" s="3" t="s">
        <v>59</v>
      </c>
      <c r="J2086" s="345">
        <v>29</v>
      </c>
      <c r="K2086" s="703">
        <v>29806.670655737707</v>
      </c>
      <c r="L2086" s="342">
        <v>1</v>
      </c>
      <c r="M2086" s="342">
        <v>19.901199999999999</v>
      </c>
      <c r="N2086" s="340">
        <v>593188.5140539672</v>
      </c>
      <c r="O2086" s="703">
        <v>15548.208372093026</v>
      </c>
      <c r="P2086" s="342">
        <v>1</v>
      </c>
      <c r="Q2086" s="363">
        <v>20.1172</v>
      </c>
      <c r="R2086" s="340">
        <v>312786.41746306984</v>
      </c>
      <c r="S2086" s="342">
        <v>108.85599999999999</v>
      </c>
      <c r="T2086" s="342">
        <v>120.15900000000001</v>
      </c>
      <c r="U2086" s="342">
        <v>1.1037999999999999</v>
      </c>
      <c r="V2086" s="340">
        <v>345253.64759573643</v>
      </c>
      <c r="W2086" s="340">
        <v>247934.86645823077</v>
      </c>
    </row>
    <row r="2087" spans="2:23" ht="24" customHeight="1">
      <c r="J2087" s="345"/>
      <c r="K2087" s="703"/>
      <c r="L2087" s="342"/>
      <c r="M2087" s="342"/>
      <c r="N2087" s="340"/>
      <c r="O2087" s="703"/>
      <c r="P2087" s="342"/>
      <c r="Q2087" s="363"/>
      <c r="R2087" s="340"/>
      <c r="S2087" s="342"/>
      <c r="T2087" s="342"/>
      <c r="U2087" s="342"/>
      <c r="V2087" s="340"/>
      <c r="W2087" s="340"/>
    </row>
    <row r="2088" spans="2:23" ht="24" customHeight="1">
      <c r="B2088" s="67"/>
      <c r="E2088" s="131" t="s">
        <v>1148</v>
      </c>
      <c r="F2088" s="131"/>
      <c r="G2088" s="131"/>
      <c r="H2088" s="131"/>
      <c r="I2088" s="131"/>
      <c r="J2088" s="704">
        <v>61</v>
      </c>
      <c r="K2088" s="705">
        <v>62696.790000000008</v>
      </c>
      <c r="L2088" s="369">
        <v>1</v>
      </c>
      <c r="M2088" s="377">
        <v>19.901199999999999</v>
      </c>
      <c r="N2088" s="706">
        <v>1247741.357148</v>
      </c>
      <c r="O2088" s="705">
        <v>36019.568372093025</v>
      </c>
      <c r="P2088" s="369">
        <v>1</v>
      </c>
      <c r="Q2088" s="377">
        <v>20.403750000000002</v>
      </c>
      <c r="R2088" s="706">
        <v>736344.99727106979</v>
      </c>
      <c r="S2088" s="369">
        <v>110.34</v>
      </c>
      <c r="T2088" s="369">
        <v>120.15900000000001</v>
      </c>
      <c r="U2088" s="369">
        <v>1.0891500000000001</v>
      </c>
      <c r="V2088" s="706">
        <v>800367.34159943252</v>
      </c>
      <c r="W2088" s="706">
        <v>447374.01554856758</v>
      </c>
    </row>
    <row r="2089" spans="2:23" ht="24" customHeight="1">
      <c r="J2089" s="345"/>
      <c r="K2089" s="703"/>
      <c r="L2089" s="342"/>
      <c r="M2089" s="342"/>
      <c r="N2089" s="340"/>
      <c r="O2089" s="703"/>
      <c r="P2089" s="342"/>
      <c r="Q2089" s="363"/>
      <c r="R2089" s="340"/>
      <c r="S2089" s="342"/>
      <c r="T2089" s="342"/>
      <c r="U2089" s="342"/>
      <c r="V2089" s="340"/>
      <c r="W2089" s="340"/>
    </row>
    <row r="2090" spans="2:23" ht="24" customHeight="1">
      <c r="B2090" s="67"/>
      <c r="E2090" s="1" t="s">
        <v>707</v>
      </c>
      <c r="J2090" s="345"/>
      <c r="K2090" s="703"/>
      <c r="L2090" s="342"/>
      <c r="M2090" s="342"/>
      <c r="N2090" s="340"/>
      <c r="O2090" s="703"/>
      <c r="P2090" s="342"/>
      <c r="Q2090" s="363"/>
      <c r="R2090" s="340"/>
      <c r="S2090" s="342"/>
      <c r="T2090" s="342"/>
      <c r="U2090" s="342"/>
      <c r="V2090" s="340"/>
      <c r="W2090" s="340"/>
    </row>
    <row r="2091" spans="2:23" ht="24" customHeight="1">
      <c r="B2091" s="67"/>
      <c r="F2091" s="346">
        <v>44824</v>
      </c>
      <c r="G2091" s="346"/>
      <c r="H2091" s="346"/>
      <c r="I2091" s="346"/>
      <c r="J2091" s="345"/>
      <c r="K2091" s="703"/>
      <c r="L2091" s="342"/>
      <c r="M2091" s="342"/>
      <c r="N2091" s="340"/>
      <c r="O2091" s="703"/>
      <c r="P2091" s="342"/>
      <c r="Q2091" s="363"/>
      <c r="R2091" s="340"/>
      <c r="S2091" s="342"/>
      <c r="T2091" s="342"/>
      <c r="U2091" s="342"/>
      <c r="V2091" s="340"/>
      <c r="W2091" s="340"/>
    </row>
    <row r="2092" spans="2:23" ht="24" customHeight="1">
      <c r="B2092" s="67"/>
      <c r="G2092" s="3" t="s">
        <v>59</v>
      </c>
      <c r="H2092" s="3"/>
      <c r="I2092" s="3"/>
      <c r="J2092" s="345"/>
      <c r="K2092" s="703"/>
      <c r="L2092" s="342"/>
      <c r="M2092" s="342"/>
      <c r="N2092" s="340"/>
      <c r="O2092" s="703"/>
      <c r="P2092" s="342"/>
      <c r="Q2092" s="363"/>
      <c r="R2092" s="340"/>
      <c r="S2092" s="342"/>
      <c r="T2092" s="342"/>
      <c r="U2092" s="342"/>
      <c r="V2092" s="340"/>
      <c r="W2092" s="340"/>
    </row>
    <row r="2093" spans="2:23" ht="24" customHeight="1">
      <c r="B2093" s="67"/>
      <c r="H2093" s="347">
        <v>44259</v>
      </c>
      <c r="I2093" s="347"/>
      <c r="J2093" s="345"/>
      <c r="K2093" s="703"/>
      <c r="L2093" s="342"/>
      <c r="M2093" s="342"/>
      <c r="N2093" s="340"/>
      <c r="O2093" s="703"/>
      <c r="P2093" s="342"/>
      <c r="Q2093" s="363"/>
      <c r="R2093" s="340"/>
      <c r="S2093" s="342"/>
      <c r="T2093" s="342"/>
      <c r="U2093" s="342"/>
      <c r="V2093" s="340"/>
      <c r="W2093" s="340"/>
    </row>
    <row r="2094" spans="2:23" ht="24" customHeight="1">
      <c r="B2094" s="67"/>
      <c r="I2094" s="3" t="s">
        <v>59</v>
      </c>
      <c r="J2094" s="345">
        <v>61</v>
      </c>
      <c r="K2094" s="703">
        <v>9435.6296226415088</v>
      </c>
      <c r="L2094" s="342">
        <v>1</v>
      </c>
      <c r="M2094" s="342">
        <v>20.052499999999998</v>
      </c>
      <c r="N2094" s="340">
        <v>189207.96300801888</v>
      </c>
      <c r="O2094" s="703">
        <v>9536.8979464285694</v>
      </c>
      <c r="P2094" s="342">
        <v>1</v>
      </c>
      <c r="Q2094" s="363">
        <v>20.690300000000001</v>
      </c>
      <c r="R2094" s="340">
        <v>197321.27958099105</v>
      </c>
      <c r="S2094" s="342">
        <v>111.824</v>
      </c>
      <c r="T2094" s="342">
        <v>123.803</v>
      </c>
      <c r="U2094" s="342">
        <v>1.1071</v>
      </c>
      <c r="V2094" s="340">
        <v>218454.38862411515</v>
      </c>
      <c r="W2094" s="340">
        <v>-29246.425616096294</v>
      </c>
    </row>
    <row r="2095" spans="2:23" ht="24" customHeight="1">
      <c r="J2095" s="345"/>
      <c r="K2095" s="703"/>
      <c r="L2095" s="342"/>
      <c r="M2095" s="342"/>
      <c r="N2095" s="340"/>
      <c r="O2095" s="703"/>
      <c r="P2095" s="342"/>
      <c r="Q2095" s="363"/>
      <c r="R2095" s="340"/>
      <c r="S2095" s="342"/>
      <c r="T2095" s="342"/>
      <c r="U2095" s="342"/>
      <c r="V2095" s="340"/>
      <c r="W2095" s="340"/>
    </row>
    <row r="2096" spans="2:23" ht="24" customHeight="1">
      <c r="B2096" s="67"/>
      <c r="H2096" s="347">
        <v>44236</v>
      </c>
      <c r="I2096" s="347"/>
      <c r="J2096" s="345"/>
      <c r="K2096" s="703"/>
      <c r="L2096" s="342"/>
      <c r="M2096" s="342"/>
      <c r="N2096" s="340"/>
      <c r="O2096" s="703"/>
      <c r="P2096" s="342"/>
      <c r="Q2096" s="363"/>
      <c r="R2096" s="340"/>
      <c r="S2096" s="342"/>
      <c r="T2096" s="342"/>
      <c r="U2096" s="342"/>
      <c r="V2096" s="340"/>
      <c r="W2096" s="340"/>
    </row>
    <row r="2097" spans="2:23" ht="24" customHeight="1">
      <c r="B2097" s="67"/>
      <c r="I2097" s="3" t="s">
        <v>59</v>
      </c>
      <c r="J2097" s="345">
        <v>1</v>
      </c>
      <c r="K2097" s="703">
        <v>154.57037735849056</v>
      </c>
      <c r="L2097" s="342">
        <v>1</v>
      </c>
      <c r="M2097" s="342">
        <v>20.052499999999998</v>
      </c>
      <c r="N2097" s="340">
        <v>3099.5224919811317</v>
      </c>
      <c r="O2097" s="703">
        <v>148.28272727272727</v>
      </c>
      <c r="P2097" s="342">
        <v>1</v>
      </c>
      <c r="Q2097" s="363">
        <v>20.1388</v>
      </c>
      <c r="R2097" s="340">
        <v>2986.2361879999999</v>
      </c>
      <c r="S2097" s="342">
        <v>110.907</v>
      </c>
      <c r="T2097" s="342">
        <v>123.803</v>
      </c>
      <c r="U2097" s="342">
        <v>1.1162000000000001</v>
      </c>
      <c r="V2097" s="340">
        <v>3333.2368330456002</v>
      </c>
      <c r="W2097" s="340">
        <v>-233.7143410644685</v>
      </c>
    </row>
    <row r="2098" spans="2:23" ht="24" customHeight="1">
      <c r="J2098" s="345"/>
      <c r="K2098" s="703"/>
      <c r="L2098" s="342"/>
      <c r="M2098" s="342"/>
      <c r="N2098" s="340"/>
      <c r="O2098" s="703"/>
      <c r="P2098" s="342"/>
      <c r="Q2098" s="363"/>
      <c r="R2098" s="340"/>
      <c r="S2098" s="342"/>
      <c r="T2098" s="342"/>
      <c r="U2098" s="342"/>
      <c r="V2098" s="340"/>
      <c r="W2098" s="340"/>
    </row>
    <row r="2099" spans="2:23" ht="24" customHeight="1">
      <c r="B2099" s="67"/>
      <c r="F2099" s="346">
        <v>44825</v>
      </c>
      <c r="G2099" s="346"/>
      <c r="H2099" s="346"/>
      <c r="I2099" s="346"/>
      <c r="J2099" s="345"/>
      <c r="K2099" s="703"/>
      <c r="L2099" s="342"/>
      <c r="M2099" s="342"/>
      <c r="N2099" s="340"/>
      <c r="O2099" s="703"/>
      <c r="P2099" s="342"/>
      <c r="Q2099" s="363"/>
      <c r="R2099" s="340"/>
      <c r="S2099" s="342"/>
      <c r="T2099" s="342"/>
      <c r="U2099" s="342"/>
      <c r="V2099" s="340"/>
      <c r="W2099" s="340"/>
    </row>
    <row r="2100" spans="2:23" ht="24" customHeight="1">
      <c r="B2100" s="67"/>
      <c r="G2100" s="3" t="s">
        <v>59</v>
      </c>
      <c r="H2100" s="3"/>
      <c r="I2100" s="3"/>
      <c r="J2100" s="345"/>
      <c r="K2100" s="703"/>
      <c r="L2100" s="342"/>
      <c r="M2100" s="342"/>
      <c r="N2100" s="340"/>
      <c r="O2100" s="703"/>
      <c r="P2100" s="342"/>
      <c r="Q2100" s="363"/>
      <c r="R2100" s="340"/>
      <c r="S2100" s="342"/>
      <c r="T2100" s="342"/>
      <c r="U2100" s="342"/>
      <c r="V2100" s="340"/>
      <c r="W2100" s="340"/>
    </row>
    <row r="2101" spans="2:23" ht="24" customHeight="1">
      <c r="B2101" s="67"/>
      <c r="H2101" s="347">
        <v>44259</v>
      </c>
      <c r="I2101" s="347"/>
      <c r="J2101" s="345"/>
      <c r="K2101" s="703"/>
      <c r="L2101" s="342"/>
      <c r="M2101" s="342"/>
      <c r="N2101" s="340"/>
      <c r="O2101" s="703"/>
      <c r="P2101" s="342"/>
      <c r="Q2101" s="363"/>
      <c r="R2101" s="340"/>
      <c r="S2101" s="342"/>
      <c r="T2101" s="342"/>
      <c r="U2101" s="342"/>
      <c r="V2101" s="340"/>
      <c r="W2101" s="340"/>
    </row>
    <row r="2102" spans="2:23" ht="24" customHeight="1">
      <c r="B2102" s="67"/>
      <c r="I2102" s="3" t="s">
        <v>59</v>
      </c>
      <c r="J2102" s="345">
        <v>51</v>
      </c>
      <c r="K2102" s="703">
        <v>7925.901206896553</v>
      </c>
      <c r="L2102" s="342">
        <v>1</v>
      </c>
      <c r="M2102" s="342">
        <v>19.994299999999999</v>
      </c>
      <c r="N2102" s="340">
        <v>158472.84650105174</v>
      </c>
      <c r="O2102" s="703">
        <v>7973.4720535714278</v>
      </c>
      <c r="P2102" s="342">
        <v>1</v>
      </c>
      <c r="Q2102" s="363">
        <v>20.690300000000001</v>
      </c>
      <c r="R2102" s="340">
        <v>164973.52883000893</v>
      </c>
      <c r="S2102" s="342">
        <v>111.824</v>
      </c>
      <c r="T2102" s="342">
        <v>123.803</v>
      </c>
      <c r="U2102" s="342">
        <v>1.1071</v>
      </c>
      <c r="V2102" s="340">
        <v>182642.19376770288</v>
      </c>
      <c r="W2102" s="340">
        <v>-24169.347266651137</v>
      </c>
    </row>
    <row r="2103" spans="2:23" ht="24" customHeight="1">
      <c r="J2103" s="345"/>
      <c r="K2103" s="703"/>
      <c r="L2103" s="342"/>
      <c r="M2103" s="342"/>
      <c r="N2103" s="340"/>
      <c r="O2103" s="703"/>
      <c r="P2103" s="342"/>
      <c r="Q2103" s="363"/>
      <c r="R2103" s="340"/>
      <c r="S2103" s="342"/>
      <c r="T2103" s="342"/>
      <c r="U2103" s="342"/>
      <c r="V2103" s="340"/>
      <c r="W2103" s="340"/>
    </row>
    <row r="2104" spans="2:23" ht="24" customHeight="1">
      <c r="B2104" s="67"/>
      <c r="H2104" s="347">
        <v>44263</v>
      </c>
      <c r="I2104" s="347"/>
      <c r="J2104" s="345"/>
      <c r="K2104" s="703"/>
      <c r="L2104" s="342"/>
      <c r="M2104" s="342"/>
      <c r="N2104" s="340"/>
      <c r="O2104" s="703"/>
      <c r="P2104" s="342"/>
      <c r="Q2104" s="363"/>
      <c r="R2104" s="340"/>
      <c r="S2104" s="342"/>
      <c r="T2104" s="342"/>
      <c r="U2104" s="342"/>
      <c r="V2104" s="340"/>
      <c r="W2104" s="340"/>
    </row>
    <row r="2105" spans="2:23" ht="24" customHeight="1">
      <c r="B2105" s="67"/>
      <c r="I2105" s="3" t="s">
        <v>59</v>
      </c>
      <c r="J2105" s="345">
        <v>9</v>
      </c>
      <c r="K2105" s="703">
        <v>1401.2987931034484</v>
      </c>
      <c r="L2105" s="342">
        <v>1</v>
      </c>
      <c r="M2105" s="342">
        <v>19.994299999999999</v>
      </c>
      <c r="N2105" s="340">
        <v>28017.988458948275</v>
      </c>
      <c r="O2105" s="703">
        <v>1413.4985393258428</v>
      </c>
      <c r="P2105" s="342">
        <v>1</v>
      </c>
      <c r="Q2105" s="363">
        <v>20.849799999999998</v>
      </c>
      <c r="R2105" s="340">
        <v>29471.161845235954</v>
      </c>
      <c r="S2105" s="342">
        <v>111.824</v>
      </c>
      <c r="T2105" s="342">
        <v>123.803</v>
      </c>
      <c r="U2105" s="342">
        <v>1.1071</v>
      </c>
      <c r="V2105" s="340">
        <v>32627.523278860721</v>
      </c>
      <c r="W2105" s="340">
        <v>-4609.5348199124473</v>
      </c>
    </row>
    <row r="2106" spans="2:23" ht="24" customHeight="1">
      <c r="J2106" s="345"/>
      <c r="K2106" s="703"/>
      <c r="L2106" s="342"/>
      <c r="M2106" s="342"/>
      <c r="N2106" s="340"/>
      <c r="O2106" s="703"/>
      <c r="P2106" s="342"/>
      <c r="Q2106" s="363"/>
      <c r="R2106" s="340"/>
      <c r="S2106" s="342"/>
      <c r="T2106" s="342"/>
      <c r="U2106" s="342"/>
      <c r="V2106" s="340"/>
      <c r="W2106" s="340"/>
    </row>
    <row r="2107" spans="2:23" ht="24" customHeight="1">
      <c r="B2107" s="67"/>
      <c r="F2107" s="346">
        <v>44851</v>
      </c>
      <c r="G2107" s="346"/>
      <c r="H2107" s="346"/>
      <c r="I2107" s="346"/>
      <c r="J2107" s="345"/>
      <c r="K2107" s="703"/>
      <c r="L2107" s="342"/>
      <c r="M2107" s="342"/>
      <c r="N2107" s="340"/>
      <c r="O2107" s="703"/>
      <c r="P2107" s="342"/>
      <c r="Q2107" s="363"/>
      <c r="R2107" s="340"/>
      <c r="S2107" s="342"/>
      <c r="T2107" s="342"/>
      <c r="U2107" s="342"/>
      <c r="V2107" s="340"/>
      <c r="W2107" s="340"/>
    </row>
    <row r="2108" spans="2:23" ht="24" customHeight="1">
      <c r="B2108" s="67"/>
      <c r="G2108" s="3" t="s">
        <v>59</v>
      </c>
      <c r="H2108" s="3"/>
      <c r="I2108" s="3"/>
      <c r="J2108" s="345"/>
      <c r="K2108" s="703"/>
      <c r="L2108" s="342"/>
      <c r="M2108" s="342"/>
      <c r="N2108" s="340"/>
      <c r="O2108" s="703"/>
      <c r="P2108" s="342"/>
      <c r="Q2108" s="363"/>
      <c r="R2108" s="340"/>
      <c r="S2108" s="342"/>
      <c r="T2108" s="342"/>
      <c r="U2108" s="342"/>
      <c r="V2108" s="340"/>
      <c r="W2108" s="340"/>
    </row>
    <row r="2109" spans="2:23" ht="24" customHeight="1">
      <c r="B2109" s="67"/>
      <c r="H2109" s="347">
        <v>44263</v>
      </c>
      <c r="I2109" s="347"/>
      <c r="J2109" s="345"/>
      <c r="K2109" s="703"/>
      <c r="L2109" s="342"/>
      <c r="M2109" s="342"/>
      <c r="N2109" s="340"/>
      <c r="O2109" s="703"/>
      <c r="P2109" s="342"/>
      <c r="Q2109" s="363"/>
      <c r="R2109" s="340"/>
      <c r="S2109" s="342"/>
      <c r="T2109" s="342"/>
      <c r="U2109" s="342"/>
      <c r="V2109" s="340"/>
      <c r="W2109" s="340"/>
    </row>
    <row r="2110" spans="2:23" ht="24" customHeight="1">
      <c r="B2110" s="67"/>
      <c r="I2110" s="3" t="s">
        <v>59</v>
      </c>
      <c r="J2110" s="345">
        <v>61</v>
      </c>
      <c r="K2110" s="703">
        <v>8896.34</v>
      </c>
      <c r="L2110" s="342">
        <v>1</v>
      </c>
      <c r="M2110" s="342">
        <v>20.0398</v>
      </c>
      <c r="N2110" s="340">
        <v>178280.87433200001</v>
      </c>
      <c r="O2110" s="703">
        <v>9580.3789887640451</v>
      </c>
      <c r="P2110" s="342">
        <v>1</v>
      </c>
      <c r="Q2110" s="363">
        <v>20.849799999999998</v>
      </c>
      <c r="R2110" s="340">
        <v>199748.98583993257</v>
      </c>
      <c r="S2110" s="342">
        <v>111.824</v>
      </c>
      <c r="T2110" s="342">
        <v>124.571</v>
      </c>
      <c r="U2110" s="342">
        <v>1.1138999999999999</v>
      </c>
      <c r="V2110" s="340">
        <v>222500.39532710085</v>
      </c>
      <c r="W2110" s="340">
        <v>-44219.520995100851</v>
      </c>
    </row>
    <row r="2111" spans="2:23" ht="24" customHeight="1">
      <c r="J2111" s="345"/>
      <c r="K2111" s="703"/>
      <c r="L2111" s="342"/>
      <c r="M2111" s="342"/>
      <c r="N2111" s="340"/>
      <c r="O2111" s="703"/>
      <c r="P2111" s="342"/>
      <c r="Q2111" s="363"/>
      <c r="R2111" s="340"/>
      <c r="S2111" s="342"/>
      <c r="T2111" s="342"/>
      <c r="U2111" s="342"/>
      <c r="V2111" s="340"/>
      <c r="W2111" s="340"/>
    </row>
    <row r="2112" spans="2:23" ht="24" customHeight="1">
      <c r="B2112" s="67"/>
      <c r="E2112" s="131" t="s">
        <v>1149</v>
      </c>
      <c r="F2112" s="131"/>
      <c r="G2112" s="131"/>
      <c r="H2112" s="131"/>
      <c r="I2112" s="131"/>
      <c r="J2112" s="704">
        <v>183</v>
      </c>
      <c r="K2112" s="705">
        <v>27813.739999999998</v>
      </c>
      <c r="L2112" s="369">
        <v>1</v>
      </c>
      <c r="M2112" s="377">
        <v>20.027499999999996</v>
      </c>
      <c r="N2112" s="706">
        <v>557079.19479199999</v>
      </c>
      <c r="O2112" s="705">
        <v>28652.530255362606</v>
      </c>
      <c r="P2112" s="369">
        <v>1</v>
      </c>
      <c r="Q2112" s="377">
        <v>20.701112499999997</v>
      </c>
      <c r="R2112" s="706">
        <v>594501.19228416856</v>
      </c>
      <c r="S2112" s="369">
        <v>111.70937499999998</v>
      </c>
      <c r="T2112" s="369">
        <v>123.995</v>
      </c>
      <c r="U2112" s="369">
        <v>1.1099375</v>
      </c>
      <c r="V2112" s="706">
        <v>659557.73783082515</v>
      </c>
      <c r="W2112" s="706">
        <v>-102478.54303882521</v>
      </c>
    </row>
    <row r="2113" spans="2:23" ht="24" customHeight="1">
      <c r="J2113" s="345"/>
      <c r="K2113" s="703"/>
      <c r="L2113" s="342"/>
      <c r="M2113" s="342"/>
      <c r="N2113" s="340"/>
      <c r="O2113" s="703"/>
      <c r="P2113" s="342"/>
      <c r="Q2113" s="363"/>
      <c r="R2113" s="340"/>
      <c r="S2113" s="342"/>
      <c r="T2113" s="342"/>
      <c r="U2113" s="342"/>
      <c r="V2113" s="340"/>
      <c r="W2113" s="340"/>
    </row>
    <row r="2114" spans="2:23" ht="24" customHeight="1">
      <c r="B2114" s="67"/>
      <c r="E2114" s="1" t="s">
        <v>720</v>
      </c>
      <c r="J2114" s="345"/>
      <c r="K2114" s="703"/>
      <c r="L2114" s="342"/>
      <c r="M2114" s="342"/>
      <c r="N2114" s="340"/>
      <c r="O2114" s="703"/>
      <c r="P2114" s="342"/>
      <c r="Q2114" s="363"/>
      <c r="R2114" s="340"/>
      <c r="S2114" s="342"/>
      <c r="T2114" s="342"/>
      <c r="U2114" s="342"/>
      <c r="V2114" s="340"/>
      <c r="W2114" s="340"/>
    </row>
    <row r="2115" spans="2:23" ht="24" customHeight="1">
      <c r="B2115" s="67"/>
      <c r="F2115" s="346">
        <v>44608</v>
      </c>
      <c r="G2115" s="346"/>
      <c r="H2115" s="346"/>
      <c r="I2115" s="346"/>
      <c r="J2115" s="345"/>
      <c r="K2115" s="703"/>
      <c r="L2115" s="342"/>
      <c r="M2115" s="342"/>
      <c r="N2115" s="340"/>
      <c r="O2115" s="703"/>
      <c r="P2115" s="342"/>
      <c r="Q2115" s="363"/>
      <c r="R2115" s="340"/>
      <c r="S2115" s="342"/>
      <c r="T2115" s="342"/>
      <c r="U2115" s="342"/>
      <c r="V2115" s="340"/>
      <c r="W2115" s="340"/>
    </row>
    <row r="2116" spans="2:23" ht="24" customHeight="1">
      <c r="B2116" s="67"/>
      <c r="G2116" s="3" t="s">
        <v>59</v>
      </c>
      <c r="H2116" s="3"/>
      <c r="I2116" s="3"/>
      <c r="J2116" s="345"/>
      <c r="K2116" s="703"/>
      <c r="L2116" s="342"/>
      <c r="M2116" s="342"/>
      <c r="N2116" s="340"/>
      <c r="O2116" s="703"/>
      <c r="P2116" s="342"/>
      <c r="Q2116" s="363"/>
      <c r="R2116" s="340"/>
      <c r="S2116" s="342"/>
      <c r="T2116" s="342"/>
      <c r="U2116" s="342"/>
      <c r="V2116" s="340"/>
      <c r="W2116" s="340"/>
    </row>
    <row r="2117" spans="2:23" ht="24" customHeight="1">
      <c r="B2117" s="67"/>
      <c r="H2117" s="347">
        <v>44218</v>
      </c>
      <c r="I2117" s="347"/>
      <c r="J2117" s="345"/>
      <c r="K2117" s="703"/>
      <c r="L2117" s="342"/>
      <c r="M2117" s="342"/>
      <c r="N2117" s="340"/>
      <c r="O2117" s="703"/>
      <c r="P2117" s="342"/>
      <c r="Q2117" s="363"/>
      <c r="R2117" s="340"/>
      <c r="S2117" s="342"/>
      <c r="T2117" s="342"/>
      <c r="U2117" s="342"/>
      <c r="V2117" s="340"/>
      <c r="W2117" s="340"/>
    </row>
    <row r="2118" spans="2:23" ht="24" customHeight="1">
      <c r="B2118" s="67"/>
      <c r="I2118" s="3" t="s">
        <v>59</v>
      </c>
      <c r="J2118" s="345">
        <v>92</v>
      </c>
      <c r="K2118" s="703">
        <v>5715.76</v>
      </c>
      <c r="L2118" s="342">
        <v>1</v>
      </c>
      <c r="M2118" s="342">
        <v>20.411000000000001</v>
      </c>
      <c r="N2118" s="340">
        <v>116664.37736000003</v>
      </c>
      <c r="O2118" s="703">
        <v>4559.4864705882346</v>
      </c>
      <c r="P2118" s="342">
        <v>1</v>
      </c>
      <c r="Q2118" s="363">
        <v>19.5793</v>
      </c>
      <c r="R2118" s="340">
        <v>89271.553453588233</v>
      </c>
      <c r="S2118" s="342">
        <v>110.21</v>
      </c>
      <c r="T2118" s="342">
        <v>118.002</v>
      </c>
      <c r="U2118" s="342">
        <v>1.0707</v>
      </c>
      <c r="V2118" s="340">
        <v>95583.052282756922</v>
      </c>
      <c r="W2118" s="340">
        <v>21081.325077243091</v>
      </c>
    </row>
    <row r="2119" spans="2:23" ht="24" customHeight="1">
      <c r="J2119" s="345"/>
      <c r="K2119" s="703"/>
      <c r="L2119" s="342"/>
      <c r="M2119" s="342"/>
      <c r="N2119" s="340"/>
      <c r="O2119" s="703"/>
      <c r="P2119" s="342"/>
      <c r="Q2119" s="363"/>
      <c r="R2119" s="340"/>
      <c r="S2119" s="342"/>
      <c r="T2119" s="342"/>
      <c r="U2119" s="342"/>
      <c r="V2119" s="340"/>
      <c r="W2119" s="340"/>
    </row>
    <row r="2120" spans="2:23" ht="24" customHeight="1">
      <c r="B2120" s="67"/>
      <c r="F2120" s="346">
        <v>44610</v>
      </c>
      <c r="G2120" s="346"/>
      <c r="H2120" s="346"/>
      <c r="I2120" s="346"/>
      <c r="J2120" s="345"/>
      <c r="K2120" s="703"/>
      <c r="L2120" s="342"/>
      <c r="M2120" s="342"/>
      <c r="N2120" s="340"/>
      <c r="O2120" s="703"/>
      <c r="P2120" s="342"/>
      <c r="Q2120" s="363"/>
      <c r="R2120" s="340"/>
      <c r="S2120" s="342"/>
      <c r="T2120" s="342"/>
      <c r="U2120" s="342"/>
      <c r="V2120" s="340"/>
      <c r="W2120" s="340"/>
    </row>
    <row r="2121" spans="2:23" ht="24" customHeight="1">
      <c r="B2121" s="67"/>
      <c r="G2121" s="3" t="s">
        <v>59</v>
      </c>
      <c r="H2121" s="3"/>
      <c r="I2121" s="3"/>
      <c r="J2121" s="345"/>
      <c r="K2121" s="703"/>
      <c r="L2121" s="342"/>
      <c r="M2121" s="342"/>
      <c r="N2121" s="340"/>
      <c r="O2121" s="703"/>
      <c r="P2121" s="342"/>
      <c r="Q2121" s="363"/>
      <c r="R2121" s="340"/>
      <c r="S2121" s="342"/>
      <c r="T2121" s="342"/>
      <c r="U2121" s="342"/>
      <c r="V2121" s="340"/>
      <c r="W2121" s="340"/>
    </row>
    <row r="2122" spans="2:23" ht="24" customHeight="1">
      <c r="B2122" s="67"/>
      <c r="H2122" s="347">
        <v>44221</v>
      </c>
      <c r="I2122" s="347"/>
      <c r="J2122" s="345"/>
      <c r="K2122" s="703"/>
      <c r="L2122" s="342"/>
      <c r="M2122" s="342"/>
      <c r="N2122" s="340"/>
      <c r="O2122" s="703"/>
      <c r="P2122" s="342"/>
      <c r="Q2122" s="363"/>
      <c r="R2122" s="340"/>
      <c r="S2122" s="342"/>
      <c r="T2122" s="342"/>
      <c r="U2122" s="342"/>
      <c r="V2122" s="340"/>
      <c r="W2122" s="340"/>
    </row>
    <row r="2123" spans="2:23" ht="24" customHeight="1">
      <c r="B2123" s="67"/>
      <c r="I2123" s="3" t="s">
        <v>59</v>
      </c>
      <c r="J2123" s="345">
        <v>29</v>
      </c>
      <c r="K2123" s="703">
        <v>1715.4099999999999</v>
      </c>
      <c r="L2123" s="342">
        <v>1</v>
      </c>
      <c r="M2123" s="342">
        <v>20.333500000000001</v>
      </c>
      <c r="N2123" s="340">
        <v>34880.289235000004</v>
      </c>
      <c r="O2123" s="703">
        <v>1396.2500689655171</v>
      </c>
      <c r="P2123" s="342">
        <v>1</v>
      </c>
      <c r="Q2123" s="363">
        <v>19.7393</v>
      </c>
      <c r="R2123" s="340">
        <v>27560.998986331033</v>
      </c>
      <c r="S2123" s="342">
        <v>110.21</v>
      </c>
      <c r="T2123" s="342">
        <v>118.002</v>
      </c>
      <c r="U2123" s="342">
        <v>1.0707000000000002</v>
      </c>
      <c r="V2123" s="340">
        <v>29509.561614664639</v>
      </c>
      <c r="W2123" s="340">
        <v>5370.7276203353649</v>
      </c>
    </row>
    <row r="2124" spans="2:23" ht="24" customHeight="1">
      <c r="J2124" s="345"/>
      <c r="K2124" s="703"/>
      <c r="L2124" s="342"/>
      <c r="M2124" s="342"/>
      <c r="N2124" s="340"/>
      <c r="O2124" s="703"/>
      <c r="P2124" s="342"/>
      <c r="Q2124" s="363"/>
      <c r="R2124" s="340"/>
      <c r="S2124" s="342"/>
      <c r="T2124" s="342"/>
      <c r="U2124" s="342"/>
      <c r="V2124" s="340"/>
      <c r="W2124" s="340"/>
    </row>
    <row r="2125" spans="2:23" ht="24" customHeight="1">
      <c r="B2125" s="67"/>
      <c r="F2125" s="346">
        <v>44614</v>
      </c>
      <c r="G2125" s="346"/>
      <c r="H2125" s="346"/>
      <c r="I2125" s="346"/>
      <c r="J2125" s="345"/>
      <c r="K2125" s="703"/>
      <c r="L2125" s="342"/>
      <c r="M2125" s="342"/>
      <c r="N2125" s="340"/>
      <c r="O2125" s="703"/>
      <c r="P2125" s="342"/>
      <c r="Q2125" s="363"/>
      <c r="R2125" s="340"/>
      <c r="S2125" s="342"/>
      <c r="T2125" s="342"/>
      <c r="U2125" s="342"/>
      <c r="V2125" s="340"/>
      <c r="W2125" s="340"/>
    </row>
    <row r="2126" spans="2:23" ht="24" customHeight="1">
      <c r="B2126" s="67"/>
      <c r="G2126" s="3" t="s">
        <v>59</v>
      </c>
      <c r="H2126" s="3"/>
      <c r="I2126" s="3"/>
      <c r="J2126" s="345"/>
      <c r="K2126" s="703"/>
      <c r="L2126" s="342"/>
      <c r="M2126" s="342"/>
      <c r="N2126" s="340"/>
      <c r="O2126" s="703"/>
      <c r="P2126" s="342"/>
      <c r="Q2126" s="363"/>
      <c r="R2126" s="340"/>
      <c r="S2126" s="342"/>
      <c r="T2126" s="342"/>
      <c r="U2126" s="342"/>
      <c r="V2126" s="340"/>
      <c r="W2126" s="340"/>
    </row>
    <row r="2127" spans="2:23" ht="24" customHeight="1">
      <c r="B2127" s="67"/>
      <c r="H2127" s="347">
        <v>44221</v>
      </c>
      <c r="I2127" s="347"/>
      <c r="J2127" s="345"/>
      <c r="K2127" s="703"/>
      <c r="L2127" s="342"/>
      <c r="M2127" s="342"/>
      <c r="N2127" s="340"/>
      <c r="O2127" s="703"/>
      <c r="P2127" s="342"/>
      <c r="Q2127" s="363"/>
      <c r="R2127" s="340"/>
      <c r="S2127" s="342"/>
      <c r="T2127" s="342"/>
      <c r="U2127" s="342"/>
      <c r="V2127" s="340"/>
      <c r="W2127" s="340"/>
    </row>
    <row r="2128" spans="2:23" ht="24" customHeight="1">
      <c r="B2128" s="67"/>
      <c r="I2128" s="3" t="s">
        <v>59</v>
      </c>
      <c r="J2128" s="345">
        <v>45</v>
      </c>
      <c r="K2128" s="703">
        <v>2643.6176744186046</v>
      </c>
      <c r="L2128" s="342">
        <v>1</v>
      </c>
      <c r="M2128" s="342">
        <v>20.3063</v>
      </c>
      <c r="N2128" s="340">
        <v>53682.093582046509</v>
      </c>
      <c r="O2128" s="703">
        <v>2167.1979310344827</v>
      </c>
      <c r="P2128" s="342">
        <v>1</v>
      </c>
      <c r="Q2128" s="363">
        <v>19.7393</v>
      </c>
      <c r="R2128" s="340">
        <v>42778.970120068967</v>
      </c>
      <c r="S2128" s="342">
        <v>110.21</v>
      </c>
      <c r="T2128" s="342">
        <v>118.002</v>
      </c>
      <c r="U2128" s="342">
        <v>1.0707</v>
      </c>
      <c r="V2128" s="340">
        <v>45803.443307557834</v>
      </c>
      <c r="W2128" s="340">
        <v>7878.6502744886693</v>
      </c>
    </row>
    <row r="2129" spans="2:23" ht="24" customHeight="1">
      <c r="J2129" s="345"/>
      <c r="K2129" s="703"/>
      <c r="L2129" s="342"/>
      <c r="M2129" s="342"/>
      <c r="N2129" s="340"/>
      <c r="O2129" s="703"/>
      <c r="P2129" s="342"/>
      <c r="Q2129" s="363"/>
      <c r="R2129" s="340"/>
      <c r="S2129" s="342"/>
      <c r="T2129" s="342"/>
      <c r="U2129" s="342"/>
      <c r="V2129" s="340"/>
      <c r="W2129" s="340"/>
    </row>
    <row r="2130" spans="2:23" ht="24" customHeight="1">
      <c r="B2130" s="67"/>
      <c r="H2130" s="347">
        <v>44222</v>
      </c>
      <c r="I2130" s="347"/>
      <c r="J2130" s="345"/>
      <c r="K2130" s="703"/>
      <c r="L2130" s="342"/>
      <c r="M2130" s="342"/>
      <c r="N2130" s="340"/>
      <c r="O2130" s="703"/>
      <c r="P2130" s="342"/>
      <c r="Q2130" s="363"/>
      <c r="R2130" s="340"/>
      <c r="S2130" s="342"/>
      <c r="T2130" s="342"/>
      <c r="U2130" s="342"/>
      <c r="V2130" s="340"/>
      <c r="W2130" s="340"/>
    </row>
    <row r="2131" spans="2:23" ht="24" customHeight="1">
      <c r="B2131" s="67"/>
      <c r="I2131" s="3" t="s">
        <v>59</v>
      </c>
      <c r="J2131" s="345">
        <v>26</v>
      </c>
      <c r="K2131" s="703">
        <v>1527.4023255813954</v>
      </c>
      <c r="L2131" s="342">
        <v>1</v>
      </c>
      <c r="M2131" s="342">
        <v>20.3063</v>
      </c>
      <c r="N2131" s="340">
        <v>31015.889843953486</v>
      </c>
      <c r="O2131" s="703">
        <v>1225.6755555555555</v>
      </c>
      <c r="P2131" s="342">
        <v>1</v>
      </c>
      <c r="Q2131" s="363">
        <v>19.9833</v>
      </c>
      <c r="R2131" s="340">
        <v>24493.042329333333</v>
      </c>
      <c r="S2131" s="342">
        <v>110.21</v>
      </c>
      <c r="T2131" s="342">
        <v>118.002</v>
      </c>
      <c r="U2131" s="342">
        <v>1.0707</v>
      </c>
      <c r="V2131" s="340">
        <v>26224.700422017198</v>
      </c>
      <c r="W2131" s="340">
        <v>4791.1894219362903</v>
      </c>
    </row>
    <row r="2132" spans="2:23" ht="24" customHeight="1">
      <c r="J2132" s="345"/>
      <c r="K2132" s="703"/>
      <c r="L2132" s="342"/>
      <c r="M2132" s="342"/>
      <c r="N2132" s="340"/>
      <c r="O2132" s="703"/>
      <c r="P2132" s="342"/>
      <c r="Q2132" s="363"/>
      <c r="R2132" s="340"/>
      <c r="S2132" s="342"/>
      <c r="T2132" s="342"/>
      <c r="U2132" s="342"/>
      <c r="V2132" s="340"/>
      <c r="W2132" s="340"/>
    </row>
    <row r="2133" spans="2:23" ht="24" customHeight="1">
      <c r="B2133" s="67"/>
      <c r="F2133" s="346">
        <v>44600</v>
      </c>
      <c r="G2133" s="346"/>
      <c r="H2133" s="346"/>
      <c r="I2133" s="346"/>
      <c r="J2133" s="345"/>
      <c r="K2133" s="703"/>
      <c r="L2133" s="342"/>
      <c r="M2133" s="342"/>
      <c r="N2133" s="340"/>
      <c r="O2133" s="703"/>
      <c r="P2133" s="342"/>
      <c r="Q2133" s="363"/>
      <c r="R2133" s="340"/>
      <c r="S2133" s="342"/>
      <c r="T2133" s="342"/>
      <c r="U2133" s="342"/>
      <c r="V2133" s="340"/>
      <c r="W2133" s="340"/>
    </row>
    <row r="2134" spans="2:23" ht="24" customHeight="1">
      <c r="B2134" s="67"/>
      <c r="G2134" s="3" t="s">
        <v>59</v>
      </c>
      <c r="H2134" s="3"/>
      <c r="I2134" s="3"/>
      <c r="J2134" s="345"/>
      <c r="K2134" s="703"/>
      <c r="L2134" s="342"/>
      <c r="M2134" s="342"/>
      <c r="N2134" s="340"/>
      <c r="O2134" s="703"/>
      <c r="P2134" s="342"/>
      <c r="Q2134" s="363"/>
      <c r="R2134" s="340"/>
      <c r="S2134" s="342"/>
      <c r="T2134" s="342"/>
      <c r="U2134" s="342"/>
      <c r="V2134" s="340"/>
      <c r="W2134" s="340"/>
    </row>
    <row r="2135" spans="2:23" ht="24" customHeight="1">
      <c r="B2135" s="67"/>
      <c r="H2135" s="347">
        <v>44214</v>
      </c>
      <c r="I2135" s="347"/>
      <c r="J2135" s="345"/>
      <c r="K2135" s="703"/>
      <c r="L2135" s="342"/>
      <c r="M2135" s="342"/>
      <c r="N2135" s="340"/>
      <c r="O2135" s="703"/>
      <c r="P2135" s="342"/>
      <c r="Q2135" s="363"/>
      <c r="R2135" s="340"/>
      <c r="S2135" s="342"/>
      <c r="T2135" s="342"/>
      <c r="U2135" s="342"/>
      <c r="V2135" s="340"/>
      <c r="W2135" s="340"/>
    </row>
    <row r="2136" spans="2:23" ht="24" customHeight="1">
      <c r="B2136" s="67"/>
      <c r="I2136" s="3" t="s">
        <v>59</v>
      </c>
      <c r="J2136" s="345">
        <v>5</v>
      </c>
      <c r="K2136" s="703">
        <v>296.20416666666665</v>
      </c>
      <c r="L2136" s="342">
        <v>1</v>
      </c>
      <c r="M2136" s="342">
        <v>20.5562</v>
      </c>
      <c r="N2136" s="340">
        <v>6088.8320908333335</v>
      </c>
      <c r="O2136" s="703">
        <v>236.84385964912281</v>
      </c>
      <c r="P2136" s="342">
        <v>1</v>
      </c>
      <c r="Q2136" s="363">
        <v>19.779299999999999</v>
      </c>
      <c r="R2136" s="340">
        <v>4684.6057531578945</v>
      </c>
      <c r="S2136" s="342">
        <v>110.21</v>
      </c>
      <c r="T2136" s="342">
        <v>118.002</v>
      </c>
      <c r="U2136" s="342">
        <v>1.0707</v>
      </c>
      <c r="V2136" s="340">
        <v>5015.8073799061576</v>
      </c>
      <c r="W2136" s="340">
        <v>1073.0247109271759</v>
      </c>
    </row>
    <row r="2137" spans="2:23" ht="24" customHeight="1">
      <c r="J2137" s="345"/>
      <c r="K2137" s="703"/>
      <c r="L2137" s="342"/>
      <c r="M2137" s="342"/>
      <c r="N2137" s="340"/>
      <c r="O2137" s="703"/>
      <c r="P2137" s="342"/>
      <c r="Q2137" s="363"/>
      <c r="R2137" s="340"/>
      <c r="S2137" s="342"/>
      <c r="T2137" s="342"/>
      <c r="U2137" s="342"/>
      <c r="V2137" s="340"/>
      <c r="W2137" s="340"/>
    </row>
    <row r="2138" spans="2:23" ht="24" customHeight="1">
      <c r="B2138" s="67"/>
      <c r="H2138" s="347">
        <v>44216</v>
      </c>
      <c r="I2138" s="347"/>
      <c r="J2138" s="345"/>
      <c r="K2138" s="703"/>
      <c r="L2138" s="342"/>
      <c r="M2138" s="342"/>
      <c r="N2138" s="340"/>
      <c r="O2138" s="703"/>
      <c r="P2138" s="342"/>
      <c r="Q2138" s="363"/>
      <c r="R2138" s="340"/>
      <c r="S2138" s="342"/>
      <c r="T2138" s="342"/>
      <c r="U2138" s="342"/>
      <c r="V2138" s="340"/>
      <c r="W2138" s="340"/>
    </row>
    <row r="2139" spans="2:23" ht="24" customHeight="1">
      <c r="B2139" s="67"/>
      <c r="I2139" s="3" t="s">
        <v>59</v>
      </c>
      <c r="J2139" s="345">
        <v>95</v>
      </c>
      <c r="K2139" s="703">
        <v>5620.0858333333335</v>
      </c>
      <c r="L2139" s="342">
        <v>1</v>
      </c>
      <c r="M2139" s="342">
        <v>20.5562</v>
      </c>
      <c r="N2139" s="340">
        <v>115527.60840716667</v>
      </c>
      <c r="O2139" s="703">
        <v>4601.6828109356957</v>
      </c>
      <c r="P2139" s="342">
        <v>1</v>
      </c>
      <c r="Q2139" s="363">
        <v>19.757000000000001</v>
      </c>
      <c r="R2139" s="340">
        <v>90915.447295656544</v>
      </c>
      <c r="S2139" s="342">
        <v>110.21000000000001</v>
      </c>
      <c r="T2139" s="342">
        <v>118.00199999999998</v>
      </c>
      <c r="U2139" s="342">
        <v>1.0707000000000002</v>
      </c>
      <c r="V2139" s="340">
        <v>97343.169419459446</v>
      </c>
      <c r="W2139" s="340">
        <v>18184.438987707224</v>
      </c>
    </row>
    <row r="2140" spans="2:23" ht="24" customHeight="1">
      <c r="J2140" s="345"/>
      <c r="K2140" s="703"/>
      <c r="L2140" s="342"/>
      <c r="M2140" s="342"/>
      <c r="N2140" s="340"/>
      <c r="O2140" s="703"/>
      <c r="P2140" s="342"/>
      <c r="Q2140" s="363"/>
      <c r="R2140" s="340"/>
      <c r="S2140" s="342"/>
      <c r="T2140" s="342"/>
      <c r="U2140" s="342"/>
      <c r="V2140" s="340"/>
      <c r="W2140" s="340"/>
    </row>
    <row r="2141" spans="2:23" ht="24" customHeight="1">
      <c r="B2141" s="67"/>
      <c r="F2141" s="346">
        <v>44601</v>
      </c>
      <c r="G2141" s="346"/>
      <c r="H2141" s="346"/>
      <c r="I2141" s="346"/>
      <c r="J2141" s="345"/>
      <c r="K2141" s="703"/>
      <c r="L2141" s="342"/>
      <c r="M2141" s="342"/>
      <c r="N2141" s="340"/>
      <c r="O2141" s="703"/>
      <c r="P2141" s="342"/>
      <c r="Q2141" s="363"/>
      <c r="R2141" s="340"/>
      <c r="S2141" s="342"/>
      <c r="T2141" s="342"/>
      <c r="U2141" s="342"/>
      <c r="V2141" s="340"/>
      <c r="W2141" s="340"/>
    </row>
    <row r="2142" spans="2:23" ht="24" customHeight="1">
      <c r="B2142" s="67"/>
      <c r="G2142" s="3" t="s">
        <v>59</v>
      </c>
      <c r="H2142" s="3"/>
      <c r="I2142" s="3"/>
      <c r="J2142" s="345"/>
      <c r="K2142" s="703"/>
      <c r="L2142" s="342"/>
      <c r="M2142" s="342"/>
      <c r="N2142" s="340"/>
      <c r="O2142" s="703"/>
      <c r="P2142" s="342"/>
      <c r="Q2142" s="363"/>
      <c r="R2142" s="340"/>
      <c r="S2142" s="342"/>
      <c r="T2142" s="342"/>
      <c r="U2142" s="342"/>
      <c r="V2142" s="340"/>
      <c r="W2142" s="340"/>
    </row>
    <row r="2143" spans="2:23" ht="24" customHeight="1">
      <c r="B2143" s="67"/>
      <c r="H2143" s="347">
        <v>44216</v>
      </c>
      <c r="I2143" s="347"/>
      <c r="J2143" s="345"/>
      <c r="K2143" s="703"/>
      <c r="L2143" s="342"/>
      <c r="M2143" s="342"/>
      <c r="N2143" s="340"/>
      <c r="O2143" s="703"/>
      <c r="P2143" s="342"/>
      <c r="Q2143" s="363"/>
      <c r="R2143" s="340"/>
      <c r="S2143" s="342"/>
      <c r="T2143" s="342"/>
      <c r="U2143" s="342"/>
      <c r="V2143" s="340"/>
      <c r="W2143" s="340"/>
    </row>
    <row r="2144" spans="2:23" ht="24" customHeight="1">
      <c r="B2144" s="67"/>
      <c r="I2144" s="3" t="s">
        <v>59</v>
      </c>
      <c r="J2144" s="345">
        <v>23</v>
      </c>
      <c r="K2144" s="703">
        <v>1392.4758333333332</v>
      </c>
      <c r="L2144" s="342">
        <v>1</v>
      </c>
      <c r="M2144" s="342">
        <v>20.732500000000002</v>
      </c>
      <c r="N2144" s="340">
        <v>28869.505214583332</v>
      </c>
      <c r="O2144" s="703">
        <v>1112.5107508663846</v>
      </c>
      <c r="P2144" s="342">
        <v>1</v>
      </c>
      <c r="Q2144" s="363">
        <v>19.757000000000001</v>
      </c>
      <c r="R2144" s="340">
        <v>21979.874904867156</v>
      </c>
      <c r="S2144" s="342">
        <v>110.21</v>
      </c>
      <c r="T2144" s="342">
        <v>118.002</v>
      </c>
      <c r="U2144" s="342">
        <v>1.0707</v>
      </c>
      <c r="V2144" s="340">
        <v>23533.85206064126</v>
      </c>
      <c r="W2144" s="340">
        <v>5335.6531539420685</v>
      </c>
    </row>
    <row r="2145" spans="2:23" ht="24" customHeight="1">
      <c r="J2145" s="345"/>
      <c r="K2145" s="703"/>
      <c r="L2145" s="342"/>
      <c r="M2145" s="342"/>
      <c r="N2145" s="340"/>
      <c r="O2145" s="703"/>
      <c r="P2145" s="342"/>
      <c r="Q2145" s="363"/>
      <c r="R2145" s="340"/>
      <c r="S2145" s="342"/>
      <c r="T2145" s="342"/>
      <c r="U2145" s="342"/>
      <c r="V2145" s="340"/>
      <c r="W2145" s="340"/>
    </row>
    <row r="2146" spans="2:23" ht="24" customHeight="1">
      <c r="B2146" s="67"/>
      <c r="H2146" s="347">
        <v>44217</v>
      </c>
      <c r="I2146" s="347"/>
      <c r="J2146" s="345"/>
      <c r="K2146" s="703"/>
      <c r="L2146" s="342"/>
      <c r="M2146" s="342"/>
      <c r="N2146" s="340"/>
      <c r="O2146" s="703"/>
      <c r="P2146" s="342"/>
      <c r="Q2146" s="363"/>
      <c r="R2146" s="340"/>
      <c r="S2146" s="342"/>
      <c r="T2146" s="342"/>
      <c r="U2146" s="342"/>
      <c r="V2146" s="340"/>
      <c r="W2146" s="340"/>
    </row>
    <row r="2147" spans="2:23" ht="24" customHeight="1">
      <c r="B2147" s="67"/>
      <c r="I2147" s="3" t="s">
        <v>59</v>
      </c>
      <c r="J2147" s="345">
        <v>68</v>
      </c>
      <c r="K2147" s="703">
        <v>4113.2991666666658</v>
      </c>
      <c r="L2147" s="342">
        <v>1</v>
      </c>
      <c r="M2147" s="342">
        <v>20.732500000000002</v>
      </c>
      <c r="N2147" s="340">
        <v>85278.97497291668</v>
      </c>
      <c r="O2147" s="703">
        <v>3363.9419444444438</v>
      </c>
      <c r="P2147" s="342">
        <v>1</v>
      </c>
      <c r="Q2147" s="363">
        <v>19.678799999999999</v>
      </c>
      <c r="R2147" s="340">
        <v>66198.340736333324</v>
      </c>
      <c r="S2147" s="342">
        <v>110.21</v>
      </c>
      <c r="T2147" s="342">
        <v>118.002</v>
      </c>
      <c r="U2147" s="342">
        <v>1.0707</v>
      </c>
      <c r="V2147" s="340">
        <v>70878.563426392095</v>
      </c>
      <c r="W2147" s="340">
        <v>14400.411546524574</v>
      </c>
    </row>
    <row r="2148" spans="2:23" ht="24" customHeight="1">
      <c r="J2148" s="345"/>
      <c r="K2148" s="703"/>
      <c r="L2148" s="342"/>
      <c r="M2148" s="342"/>
      <c r="N2148" s="340"/>
      <c r="O2148" s="703"/>
      <c r="P2148" s="342"/>
      <c r="Q2148" s="363"/>
      <c r="R2148" s="340"/>
      <c r="S2148" s="342"/>
      <c r="T2148" s="342"/>
      <c r="U2148" s="342"/>
      <c r="V2148" s="340"/>
      <c r="W2148" s="340"/>
    </row>
    <row r="2149" spans="2:23" ht="24" customHeight="1">
      <c r="B2149" s="67"/>
      <c r="H2149" s="347">
        <v>44218</v>
      </c>
      <c r="I2149" s="347"/>
      <c r="J2149" s="345"/>
      <c r="K2149" s="703"/>
      <c r="L2149" s="342"/>
      <c r="M2149" s="342"/>
      <c r="N2149" s="340"/>
      <c r="O2149" s="703"/>
      <c r="P2149" s="342"/>
      <c r="Q2149" s="363"/>
      <c r="R2149" s="340"/>
      <c r="S2149" s="342"/>
      <c r="T2149" s="342"/>
      <c r="U2149" s="342"/>
      <c r="V2149" s="340"/>
      <c r="W2149" s="340"/>
    </row>
    <row r="2150" spans="2:23" ht="24" customHeight="1">
      <c r="B2150" s="67"/>
      <c r="I2150" s="3" t="s">
        <v>59</v>
      </c>
      <c r="J2150" s="345">
        <v>34</v>
      </c>
      <c r="K2150" s="703">
        <v>2058.855</v>
      </c>
      <c r="L2150" s="342">
        <v>1</v>
      </c>
      <c r="M2150" s="342">
        <v>20.732500000000002</v>
      </c>
      <c r="N2150" s="340">
        <v>42685.211287500002</v>
      </c>
      <c r="O2150" s="703">
        <v>1684.7825716845878</v>
      </c>
      <c r="P2150" s="342">
        <v>1</v>
      </c>
      <c r="Q2150" s="363">
        <v>19.5793</v>
      </c>
      <c r="R2150" s="340">
        <v>32986.863405784046</v>
      </c>
      <c r="S2150" s="342">
        <v>110.21</v>
      </c>
      <c r="T2150" s="342">
        <v>118.002</v>
      </c>
      <c r="U2150" s="342">
        <v>1.0707</v>
      </c>
      <c r="V2150" s="340">
        <v>35319.034648572975</v>
      </c>
      <c r="W2150" s="340">
        <v>7366.1766389270233</v>
      </c>
    </row>
    <row r="2151" spans="2:23" ht="24" customHeight="1">
      <c r="J2151" s="345"/>
      <c r="K2151" s="703"/>
      <c r="L2151" s="342"/>
      <c r="M2151" s="342"/>
      <c r="N2151" s="340"/>
      <c r="O2151" s="703"/>
      <c r="P2151" s="342"/>
      <c r="Q2151" s="363"/>
      <c r="R2151" s="340"/>
      <c r="S2151" s="342"/>
      <c r="T2151" s="342"/>
      <c r="U2151" s="342"/>
      <c r="V2151" s="340"/>
      <c r="W2151" s="340"/>
    </row>
    <row r="2152" spans="2:23" ht="24" customHeight="1">
      <c r="B2152" s="67"/>
      <c r="F2152" s="346">
        <v>44602</v>
      </c>
      <c r="G2152" s="346"/>
      <c r="H2152" s="346"/>
      <c r="I2152" s="346"/>
      <c r="J2152" s="345"/>
      <c r="K2152" s="703"/>
      <c r="L2152" s="342"/>
      <c r="M2152" s="342"/>
      <c r="N2152" s="340"/>
      <c r="O2152" s="703"/>
      <c r="P2152" s="342"/>
      <c r="Q2152" s="363"/>
      <c r="R2152" s="340"/>
      <c r="S2152" s="342"/>
      <c r="T2152" s="342"/>
      <c r="U2152" s="342"/>
      <c r="V2152" s="340"/>
      <c r="W2152" s="340"/>
    </row>
    <row r="2153" spans="2:23" ht="24" customHeight="1">
      <c r="B2153" s="67"/>
      <c r="G2153" s="3" t="s">
        <v>59</v>
      </c>
      <c r="H2153" s="3"/>
      <c r="I2153" s="3"/>
      <c r="J2153" s="345"/>
      <c r="K2153" s="703"/>
      <c r="L2153" s="342"/>
      <c r="M2153" s="342"/>
      <c r="N2153" s="340"/>
      <c r="O2153" s="703"/>
      <c r="P2153" s="342"/>
      <c r="Q2153" s="363"/>
      <c r="R2153" s="340"/>
      <c r="S2153" s="342"/>
      <c r="T2153" s="342"/>
      <c r="U2153" s="342"/>
      <c r="V2153" s="340"/>
      <c r="W2153" s="340"/>
    </row>
    <row r="2154" spans="2:23" ht="24" customHeight="1">
      <c r="B2154" s="67"/>
      <c r="H2154" s="347">
        <v>44218</v>
      </c>
      <c r="I2154" s="347"/>
      <c r="J2154" s="345"/>
      <c r="K2154" s="703"/>
      <c r="L2154" s="342"/>
      <c r="M2154" s="342"/>
      <c r="N2154" s="340"/>
      <c r="O2154" s="703"/>
      <c r="P2154" s="342"/>
      <c r="Q2154" s="363"/>
      <c r="R2154" s="340"/>
      <c r="S2154" s="342"/>
      <c r="T2154" s="342"/>
      <c r="U2154" s="342"/>
      <c r="V2154" s="340"/>
      <c r="W2154" s="340"/>
    </row>
    <row r="2155" spans="2:23" ht="24" customHeight="1">
      <c r="B2155" s="67"/>
      <c r="I2155" s="3" t="s">
        <v>59</v>
      </c>
      <c r="J2155" s="345">
        <v>43</v>
      </c>
      <c r="K2155" s="703">
        <v>2635.58</v>
      </c>
      <c r="L2155" s="342">
        <v>1</v>
      </c>
      <c r="M2155" s="342">
        <v>20.641300000000001</v>
      </c>
      <c r="N2155" s="340">
        <v>54401.797454</v>
      </c>
      <c r="O2155" s="703">
        <v>2125.9390132827325</v>
      </c>
      <c r="P2155" s="342">
        <v>1</v>
      </c>
      <c r="Q2155" s="363">
        <v>19.5793</v>
      </c>
      <c r="R2155" s="340">
        <v>41624.397722766596</v>
      </c>
      <c r="S2155" s="342">
        <v>110.21000000000001</v>
      </c>
      <c r="T2155" s="342">
        <v>118.00199999999998</v>
      </c>
      <c r="U2155" s="342">
        <v>1.0707000000000002</v>
      </c>
      <c r="V2155" s="340">
        <v>44567.242641766199</v>
      </c>
      <c r="W2155" s="340">
        <v>9834.5548122338023</v>
      </c>
    </row>
    <row r="2156" spans="2:23" ht="24" customHeight="1">
      <c r="J2156" s="345"/>
      <c r="K2156" s="703"/>
      <c r="L2156" s="342"/>
      <c r="M2156" s="342"/>
      <c r="N2156" s="340"/>
      <c r="O2156" s="703"/>
      <c r="P2156" s="342"/>
      <c r="Q2156" s="363"/>
      <c r="R2156" s="340"/>
      <c r="S2156" s="342"/>
      <c r="T2156" s="342"/>
      <c r="U2156" s="342"/>
      <c r="V2156" s="340"/>
      <c r="W2156" s="340"/>
    </row>
    <row r="2157" spans="2:23" ht="24" customHeight="1">
      <c r="B2157" s="67"/>
      <c r="F2157" s="346">
        <v>44609</v>
      </c>
      <c r="G2157" s="346"/>
      <c r="H2157" s="346"/>
      <c r="I2157" s="346"/>
      <c r="J2157" s="345"/>
      <c r="K2157" s="703"/>
      <c r="L2157" s="342"/>
      <c r="M2157" s="342"/>
      <c r="N2157" s="340"/>
      <c r="O2157" s="703"/>
      <c r="P2157" s="342"/>
      <c r="Q2157" s="363"/>
      <c r="R2157" s="340"/>
      <c r="S2157" s="342"/>
      <c r="T2157" s="342"/>
      <c r="U2157" s="342"/>
      <c r="V2157" s="340"/>
      <c r="W2157" s="340"/>
    </row>
    <row r="2158" spans="2:23" ht="24" customHeight="1">
      <c r="B2158" s="67"/>
      <c r="G2158" s="3" t="s">
        <v>59</v>
      </c>
      <c r="H2158" s="3"/>
      <c r="I2158" s="3"/>
      <c r="J2158" s="345"/>
      <c r="K2158" s="703"/>
      <c r="L2158" s="342"/>
      <c r="M2158" s="342"/>
      <c r="N2158" s="340"/>
      <c r="O2158" s="703"/>
      <c r="P2158" s="342"/>
      <c r="Q2158" s="363"/>
      <c r="R2158" s="340"/>
      <c r="S2158" s="342"/>
      <c r="T2158" s="342"/>
      <c r="U2158" s="342"/>
      <c r="V2158" s="340"/>
      <c r="W2158" s="340"/>
    </row>
    <row r="2159" spans="2:23" ht="24" customHeight="1">
      <c r="B2159" s="67"/>
      <c r="H2159" s="347">
        <v>44221</v>
      </c>
      <c r="I2159" s="347"/>
      <c r="J2159" s="345"/>
      <c r="K2159" s="703"/>
      <c r="L2159" s="342"/>
      <c r="M2159" s="342"/>
      <c r="N2159" s="340"/>
      <c r="O2159" s="703"/>
      <c r="P2159" s="342"/>
      <c r="Q2159" s="363"/>
      <c r="R2159" s="340"/>
      <c r="S2159" s="342"/>
      <c r="T2159" s="342"/>
      <c r="U2159" s="342"/>
      <c r="V2159" s="340"/>
      <c r="W2159" s="340"/>
    </row>
    <row r="2160" spans="2:23" ht="24" customHeight="1">
      <c r="B2160" s="67"/>
      <c r="I2160" s="3" t="s">
        <v>59</v>
      </c>
      <c r="J2160" s="345">
        <v>13</v>
      </c>
      <c r="K2160" s="703">
        <v>786.43239999999992</v>
      </c>
      <c r="L2160" s="342">
        <v>1</v>
      </c>
      <c r="M2160" s="342">
        <v>20.3992</v>
      </c>
      <c r="N2160" s="340">
        <v>16042.59181408</v>
      </c>
      <c r="O2160" s="703">
        <v>626.99199999999996</v>
      </c>
      <c r="P2160" s="342">
        <v>1</v>
      </c>
      <c r="Q2160" s="363">
        <v>19.7393</v>
      </c>
      <c r="R2160" s="340">
        <v>12376.3831856</v>
      </c>
      <c r="S2160" s="342">
        <v>110.21</v>
      </c>
      <c r="T2160" s="342">
        <v>118.002</v>
      </c>
      <c r="U2160" s="342">
        <v>1.0707</v>
      </c>
      <c r="V2160" s="340">
        <v>13251.393476821919</v>
      </c>
      <c r="W2160" s="340">
        <v>2791.1983372580808</v>
      </c>
    </row>
    <row r="2161" spans="2:23" ht="24" customHeight="1">
      <c r="J2161" s="345"/>
      <c r="K2161" s="703"/>
      <c r="L2161" s="342"/>
      <c r="M2161" s="342"/>
      <c r="N2161" s="340"/>
      <c r="O2161" s="703"/>
      <c r="P2161" s="342"/>
      <c r="Q2161" s="363"/>
      <c r="R2161" s="340"/>
      <c r="S2161" s="342"/>
      <c r="T2161" s="342"/>
      <c r="U2161" s="342"/>
      <c r="V2161" s="340"/>
      <c r="W2161" s="340"/>
    </row>
    <row r="2162" spans="2:23" ht="24" customHeight="1">
      <c r="B2162" s="67"/>
      <c r="H2162" s="347">
        <v>44218</v>
      </c>
      <c r="I2162" s="347"/>
      <c r="J2162" s="345"/>
      <c r="K2162" s="703"/>
      <c r="L2162" s="342"/>
      <c r="M2162" s="342"/>
      <c r="N2162" s="340"/>
      <c r="O2162" s="703"/>
      <c r="P2162" s="342"/>
      <c r="Q2162" s="363"/>
      <c r="R2162" s="340"/>
      <c r="S2162" s="342"/>
      <c r="T2162" s="342"/>
      <c r="U2162" s="342"/>
      <c r="V2162" s="340"/>
      <c r="W2162" s="340"/>
    </row>
    <row r="2163" spans="2:23" ht="24" customHeight="1">
      <c r="B2163" s="67"/>
      <c r="I2163" s="3" t="s">
        <v>59</v>
      </c>
      <c r="J2163" s="345">
        <v>28</v>
      </c>
      <c r="K2163" s="703">
        <v>1685.5875999999998</v>
      </c>
      <c r="L2163" s="342">
        <v>1</v>
      </c>
      <c r="M2163" s="342">
        <v>20.399200000000004</v>
      </c>
      <c r="N2163" s="340">
        <v>34384.638569919996</v>
      </c>
      <c r="O2163" s="703">
        <v>1380.88</v>
      </c>
      <c r="P2163" s="342">
        <v>1</v>
      </c>
      <c r="Q2163" s="363">
        <v>19.5793</v>
      </c>
      <c r="R2163" s="340">
        <v>27036.663783999997</v>
      </c>
      <c r="S2163" s="342">
        <v>110.21</v>
      </c>
      <c r="T2163" s="342">
        <v>118.002</v>
      </c>
      <c r="U2163" s="342">
        <v>1.0707000000000002</v>
      </c>
      <c r="V2163" s="340">
        <v>28948.155913528797</v>
      </c>
      <c r="W2163" s="340">
        <v>5436.4826563912011</v>
      </c>
    </row>
    <row r="2164" spans="2:23" ht="24" customHeight="1">
      <c r="J2164" s="345"/>
      <c r="K2164" s="703"/>
      <c r="L2164" s="342"/>
      <c r="M2164" s="342"/>
      <c r="N2164" s="340"/>
      <c r="O2164" s="703"/>
      <c r="P2164" s="342"/>
      <c r="Q2164" s="363"/>
      <c r="R2164" s="340"/>
      <c r="S2164" s="342"/>
      <c r="T2164" s="342"/>
      <c r="U2164" s="342"/>
      <c r="V2164" s="340"/>
      <c r="W2164" s="340"/>
    </row>
    <row r="2165" spans="2:23" ht="24" customHeight="1">
      <c r="B2165" s="67"/>
      <c r="F2165" s="346">
        <v>44615</v>
      </c>
      <c r="G2165" s="346"/>
      <c r="H2165" s="346"/>
      <c r="I2165" s="346"/>
      <c r="J2165" s="345"/>
      <c r="K2165" s="703"/>
      <c r="L2165" s="342"/>
      <c r="M2165" s="342"/>
      <c r="N2165" s="340"/>
      <c r="O2165" s="703"/>
      <c r="P2165" s="342"/>
      <c r="Q2165" s="363"/>
      <c r="R2165" s="340"/>
      <c r="S2165" s="342"/>
      <c r="T2165" s="342"/>
      <c r="U2165" s="342"/>
      <c r="V2165" s="340"/>
      <c r="W2165" s="340"/>
    </row>
    <row r="2166" spans="2:23" ht="24" customHeight="1">
      <c r="B2166" s="67"/>
      <c r="G2166" s="3" t="s">
        <v>59</v>
      </c>
      <c r="H2166" s="3"/>
      <c r="I2166" s="3"/>
      <c r="J2166" s="345"/>
      <c r="K2166" s="703"/>
      <c r="L2166" s="342"/>
      <c r="M2166" s="342"/>
      <c r="N2166" s="340"/>
      <c r="O2166" s="703"/>
      <c r="P2166" s="342"/>
      <c r="Q2166" s="363"/>
      <c r="R2166" s="340"/>
      <c r="S2166" s="342"/>
      <c r="T2166" s="342"/>
      <c r="U2166" s="342"/>
      <c r="V2166" s="340"/>
      <c r="W2166" s="340"/>
    </row>
    <row r="2167" spans="2:23" ht="24" customHeight="1">
      <c r="B2167" s="67"/>
      <c r="H2167" s="347">
        <v>44222</v>
      </c>
      <c r="I2167" s="347"/>
      <c r="J2167" s="345"/>
      <c r="K2167" s="703"/>
      <c r="L2167" s="342"/>
      <c r="M2167" s="342"/>
      <c r="N2167" s="340"/>
      <c r="O2167" s="703"/>
      <c r="P2167" s="342"/>
      <c r="Q2167" s="363"/>
      <c r="R2167" s="340"/>
      <c r="S2167" s="342"/>
      <c r="T2167" s="342"/>
      <c r="U2167" s="342"/>
      <c r="V2167" s="340"/>
      <c r="W2167" s="340"/>
    </row>
    <row r="2168" spans="2:23" ht="24" customHeight="1">
      <c r="B2168" s="67"/>
      <c r="I2168" s="3" t="s">
        <v>59</v>
      </c>
      <c r="J2168" s="345">
        <v>44</v>
      </c>
      <c r="K2168" s="703">
        <v>2534.98</v>
      </c>
      <c r="L2168" s="342">
        <v>1</v>
      </c>
      <c r="M2168" s="342">
        <v>20.282499999999999</v>
      </c>
      <c r="N2168" s="340">
        <v>51415.731850000004</v>
      </c>
      <c r="O2168" s="703">
        <v>2074.4337777777778</v>
      </c>
      <c r="P2168" s="342">
        <v>1</v>
      </c>
      <c r="Q2168" s="363">
        <v>19.9833</v>
      </c>
      <c r="R2168" s="340">
        <v>41454.032511466663</v>
      </c>
      <c r="S2168" s="342">
        <v>110.21</v>
      </c>
      <c r="T2168" s="342">
        <v>118.002</v>
      </c>
      <c r="U2168" s="342">
        <v>1.0707</v>
      </c>
      <c r="V2168" s="340">
        <v>44384.832610027363</v>
      </c>
      <c r="W2168" s="340">
        <v>7030.899239972643</v>
      </c>
    </row>
    <row r="2169" spans="2:23" ht="24" customHeight="1">
      <c r="J2169" s="345"/>
      <c r="K2169" s="703"/>
      <c r="L2169" s="342"/>
      <c r="M2169" s="342"/>
      <c r="N2169" s="340"/>
      <c r="O2169" s="703"/>
      <c r="P2169" s="342"/>
      <c r="Q2169" s="363"/>
      <c r="R2169" s="340"/>
      <c r="S2169" s="342"/>
      <c r="T2169" s="342"/>
      <c r="U2169" s="342"/>
      <c r="V2169" s="340"/>
      <c r="W2169" s="340"/>
    </row>
    <row r="2170" spans="2:23" ht="24" customHeight="1">
      <c r="B2170" s="67"/>
      <c r="F2170" s="346">
        <v>44832</v>
      </c>
      <c r="G2170" s="346"/>
      <c r="H2170" s="346"/>
      <c r="I2170" s="346"/>
      <c r="J2170" s="345"/>
      <c r="K2170" s="703"/>
      <c r="L2170" s="342"/>
      <c r="M2170" s="342"/>
      <c r="N2170" s="340"/>
      <c r="O2170" s="703"/>
      <c r="P2170" s="342"/>
      <c r="Q2170" s="363"/>
      <c r="R2170" s="340"/>
      <c r="S2170" s="342"/>
      <c r="T2170" s="342"/>
      <c r="U2170" s="342"/>
      <c r="V2170" s="340"/>
      <c r="W2170" s="340"/>
    </row>
    <row r="2171" spans="2:23" ht="24" customHeight="1">
      <c r="B2171" s="67"/>
      <c r="G2171" s="3" t="s">
        <v>59</v>
      </c>
      <c r="H2171" s="3"/>
      <c r="I2171" s="3"/>
      <c r="J2171" s="345"/>
      <c r="K2171" s="703"/>
      <c r="L2171" s="342"/>
      <c r="M2171" s="342"/>
      <c r="N2171" s="340"/>
      <c r="O2171" s="703"/>
      <c r="P2171" s="342"/>
      <c r="Q2171" s="363"/>
      <c r="R2171" s="340"/>
      <c r="S2171" s="342"/>
      <c r="T2171" s="342"/>
      <c r="U2171" s="342"/>
      <c r="V2171" s="340"/>
      <c r="W2171" s="340"/>
    </row>
    <row r="2172" spans="2:23" ht="24" customHeight="1">
      <c r="B2172" s="67"/>
      <c r="H2172" s="347">
        <v>44259</v>
      </c>
      <c r="I2172" s="347"/>
      <c r="J2172" s="345"/>
      <c r="K2172" s="703"/>
      <c r="L2172" s="342"/>
      <c r="M2172" s="342"/>
      <c r="N2172" s="340"/>
      <c r="O2172" s="703"/>
      <c r="P2172" s="342"/>
      <c r="Q2172" s="363"/>
      <c r="R2172" s="340"/>
      <c r="S2172" s="342"/>
      <c r="T2172" s="342"/>
      <c r="U2172" s="342"/>
      <c r="V2172" s="340"/>
      <c r="W2172" s="340"/>
    </row>
    <row r="2173" spans="2:23" ht="24" customHeight="1">
      <c r="B2173" s="67"/>
      <c r="I2173" s="3" t="s">
        <v>59</v>
      </c>
      <c r="J2173" s="345">
        <v>126</v>
      </c>
      <c r="K2173" s="703">
        <v>4628.6759259259261</v>
      </c>
      <c r="L2173" s="342">
        <v>1</v>
      </c>
      <c r="M2173" s="342">
        <v>20.351700000000001</v>
      </c>
      <c r="N2173" s="340">
        <v>94201.423841666692</v>
      </c>
      <c r="O2173" s="703">
        <v>7308.4797864768689</v>
      </c>
      <c r="P2173" s="342">
        <v>1</v>
      </c>
      <c r="Q2173" s="363">
        <v>20.690300000000001</v>
      </c>
      <c r="R2173" s="340">
        <v>151214.63932614235</v>
      </c>
      <c r="S2173" s="342">
        <v>111.824</v>
      </c>
      <c r="T2173" s="342">
        <v>123.803</v>
      </c>
      <c r="U2173" s="342">
        <v>1.1071</v>
      </c>
      <c r="V2173" s="340">
        <v>167409.72719797221</v>
      </c>
      <c r="W2173" s="340">
        <v>-73208.303356305521</v>
      </c>
    </row>
    <row r="2174" spans="2:23" ht="24" customHeight="1">
      <c r="J2174" s="345"/>
      <c r="K2174" s="703"/>
      <c r="L2174" s="342"/>
      <c r="M2174" s="342"/>
      <c r="N2174" s="340"/>
      <c r="O2174" s="703"/>
      <c r="P2174" s="342"/>
      <c r="Q2174" s="363"/>
      <c r="R2174" s="340"/>
      <c r="S2174" s="342"/>
      <c r="T2174" s="342"/>
      <c r="U2174" s="342"/>
      <c r="V2174" s="340"/>
      <c r="W2174" s="340"/>
    </row>
    <row r="2175" spans="2:23" ht="24" customHeight="1">
      <c r="B2175" s="67"/>
      <c r="H2175" s="347">
        <v>44348</v>
      </c>
      <c r="I2175" s="347"/>
      <c r="J2175" s="345"/>
      <c r="K2175" s="703"/>
      <c r="L2175" s="342"/>
      <c r="M2175" s="342"/>
      <c r="N2175" s="340"/>
      <c r="O2175" s="703"/>
      <c r="P2175" s="342"/>
      <c r="Q2175" s="363"/>
      <c r="R2175" s="340"/>
      <c r="S2175" s="342"/>
      <c r="T2175" s="342"/>
      <c r="U2175" s="342"/>
      <c r="V2175" s="340"/>
      <c r="W2175" s="340"/>
    </row>
    <row r="2176" spans="2:23" ht="24" customHeight="1">
      <c r="B2176" s="67"/>
      <c r="I2176" s="3" t="s">
        <v>59</v>
      </c>
      <c r="J2176" s="345">
        <v>26</v>
      </c>
      <c r="K2176" s="703">
        <v>954.21</v>
      </c>
      <c r="L2176" s="342">
        <v>1</v>
      </c>
      <c r="M2176" s="342">
        <v>20.351700000000001</v>
      </c>
      <c r="N2176" s="340">
        <v>19419.795657000002</v>
      </c>
      <c r="O2176" s="703">
        <v>1709.3898305084745</v>
      </c>
      <c r="P2176" s="342">
        <v>1</v>
      </c>
      <c r="Q2176" s="363">
        <v>19.944199999999999</v>
      </c>
      <c r="R2176" s="340">
        <v>34092.412657627116</v>
      </c>
      <c r="S2176" s="342">
        <v>113.018</v>
      </c>
      <c r="T2176" s="342">
        <v>123.803</v>
      </c>
      <c r="U2176" s="342">
        <v>1.0953999999999999</v>
      </c>
      <c r="V2176" s="340">
        <v>37344.828825164739</v>
      </c>
      <c r="W2176" s="340">
        <v>-17925.033168164737</v>
      </c>
    </row>
    <row r="2177" spans="2:23" ht="24" customHeight="1">
      <c r="J2177" s="345"/>
      <c r="K2177" s="703"/>
      <c r="L2177" s="342"/>
      <c r="M2177" s="342"/>
      <c r="N2177" s="340"/>
      <c r="O2177" s="703"/>
      <c r="P2177" s="342"/>
      <c r="Q2177" s="363"/>
      <c r="R2177" s="340"/>
      <c r="S2177" s="342"/>
      <c r="T2177" s="342"/>
      <c r="U2177" s="342"/>
      <c r="V2177" s="340"/>
      <c r="W2177" s="340"/>
    </row>
    <row r="2178" spans="2:23" ht="24" customHeight="1">
      <c r="B2178" s="67"/>
      <c r="H2178" s="347">
        <v>44222</v>
      </c>
      <c r="I2178" s="347"/>
      <c r="J2178" s="345"/>
      <c r="K2178" s="703"/>
      <c r="L2178" s="342"/>
      <c r="M2178" s="342"/>
      <c r="N2178" s="340"/>
      <c r="O2178" s="703"/>
      <c r="P2178" s="342"/>
      <c r="Q2178" s="363"/>
      <c r="R2178" s="340"/>
      <c r="S2178" s="342"/>
      <c r="T2178" s="342"/>
      <c r="U2178" s="342"/>
      <c r="V2178" s="340"/>
      <c r="W2178" s="340"/>
    </row>
    <row r="2179" spans="2:23" ht="24" customHeight="1">
      <c r="B2179" s="67"/>
      <c r="I2179" s="3" t="s">
        <v>59</v>
      </c>
      <c r="J2179" s="345">
        <v>28</v>
      </c>
      <c r="K2179" s="703">
        <v>1026.9639506172841</v>
      </c>
      <c r="L2179" s="342">
        <v>1</v>
      </c>
      <c r="M2179" s="342">
        <v>20.351700000000001</v>
      </c>
      <c r="N2179" s="340">
        <v>20900.462233777784</v>
      </c>
      <c r="O2179" s="703">
        <v>1318.7506666666668</v>
      </c>
      <c r="P2179" s="342">
        <v>1</v>
      </c>
      <c r="Q2179" s="363">
        <v>19.9833</v>
      </c>
      <c r="R2179" s="340">
        <v>26352.990197200001</v>
      </c>
      <c r="S2179" s="342">
        <v>110.21</v>
      </c>
      <c r="T2179" s="342">
        <v>123.803</v>
      </c>
      <c r="U2179" s="342">
        <v>1.1233</v>
      </c>
      <c r="V2179" s="340">
        <v>29602.313888514756</v>
      </c>
      <c r="W2179" s="340">
        <v>-8701.8516547369763</v>
      </c>
    </row>
    <row r="2180" spans="2:23" ht="24" customHeight="1">
      <c r="J2180" s="345"/>
      <c r="K2180" s="703"/>
      <c r="L2180" s="342"/>
      <c r="M2180" s="342"/>
      <c r="N2180" s="340"/>
      <c r="O2180" s="703"/>
      <c r="P2180" s="342"/>
      <c r="Q2180" s="363"/>
      <c r="R2180" s="340"/>
      <c r="S2180" s="342"/>
      <c r="T2180" s="342"/>
      <c r="U2180" s="342"/>
      <c r="V2180" s="340"/>
      <c r="W2180" s="340"/>
    </row>
    <row r="2181" spans="2:23" ht="24" customHeight="1">
      <c r="B2181" s="67"/>
      <c r="H2181" s="347">
        <v>44223</v>
      </c>
      <c r="I2181" s="347"/>
      <c r="J2181" s="345"/>
      <c r="K2181" s="703"/>
      <c r="L2181" s="342"/>
      <c r="M2181" s="342"/>
      <c r="N2181" s="340"/>
      <c r="O2181" s="703"/>
      <c r="P2181" s="342"/>
      <c r="Q2181" s="363"/>
      <c r="R2181" s="340"/>
      <c r="S2181" s="342"/>
      <c r="T2181" s="342"/>
      <c r="U2181" s="342"/>
      <c r="V2181" s="340"/>
      <c r="W2181" s="340"/>
    </row>
    <row r="2182" spans="2:23" ht="24" customHeight="1">
      <c r="B2182" s="67"/>
      <c r="I2182" s="3" t="s">
        <v>59</v>
      </c>
      <c r="J2182" s="345">
        <v>11</v>
      </c>
      <c r="K2182" s="703">
        <v>403.45012345679015</v>
      </c>
      <c r="L2182" s="342">
        <v>1</v>
      </c>
      <c r="M2182" s="342">
        <v>20.351700000000001</v>
      </c>
      <c r="N2182" s="340">
        <v>8210.8958775555566</v>
      </c>
      <c r="O2182" s="703">
        <v>525.53</v>
      </c>
      <c r="P2182" s="342">
        <v>1</v>
      </c>
      <c r="Q2182" s="363">
        <v>20.159800000000001</v>
      </c>
      <c r="R2182" s="340">
        <v>10594.579694</v>
      </c>
      <c r="S2182" s="342">
        <v>110.21</v>
      </c>
      <c r="T2182" s="342">
        <v>123.803</v>
      </c>
      <c r="U2182" s="342">
        <v>1.1233</v>
      </c>
      <c r="V2182" s="340">
        <v>11900.891370270201</v>
      </c>
      <c r="W2182" s="340">
        <v>-3689.9954927146441</v>
      </c>
    </row>
    <row r="2183" spans="2:23" ht="24" customHeight="1">
      <c r="J2183" s="345"/>
      <c r="K2183" s="703"/>
      <c r="L2183" s="342"/>
      <c r="M2183" s="342"/>
      <c r="N2183" s="340"/>
      <c r="O2183" s="703"/>
      <c r="P2183" s="342"/>
      <c r="Q2183" s="363"/>
      <c r="R2183" s="340"/>
      <c r="S2183" s="342"/>
      <c r="T2183" s="342"/>
      <c r="U2183" s="342"/>
      <c r="V2183" s="340"/>
      <c r="W2183" s="340"/>
    </row>
    <row r="2184" spans="2:23" ht="24" customHeight="1">
      <c r="B2184" s="67"/>
      <c r="F2184" s="346">
        <v>44833</v>
      </c>
      <c r="G2184" s="346"/>
      <c r="H2184" s="346"/>
      <c r="I2184" s="346"/>
      <c r="J2184" s="345"/>
      <c r="K2184" s="703"/>
      <c r="L2184" s="342"/>
      <c r="M2184" s="342"/>
      <c r="N2184" s="340"/>
      <c r="O2184" s="703"/>
      <c r="P2184" s="342"/>
      <c r="Q2184" s="363"/>
      <c r="R2184" s="340"/>
      <c r="S2184" s="342"/>
      <c r="T2184" s="342"/>
      <c r="U2184" s="342"/>
      <c r="V2184" s="340"/>
      <c r="W2184" s="340"/>
    </row>
    <row r="2185" spans="2:23" ht="24" customHeight="1">
      <c r="B2185" s="67"/>
      <c r="G2185" s="3" t="s">
        <v>59</v>
      </c>
      <c r="H2185" s="3"/>
      <c r="I2185" s="3"/>
      <c r="J2185" s="345"/>
      <c r="K2185" s="703"/>
      <c r="L2185" s="342"/>
      <c r="M2185" s="342"/>
      <c r="N2185" s="340"/>
      <c r="O2185" s="703"/>
      <c r="P2185" s="342"/>
      <c r="Q2185" s="363"/>
      <c r="R2185" s="340"/>
      <c r="S2185" s="342"/>
      <c r="T2185" s="342"/>
      <c r="U2185" s="342"/>
      <c r="V2185" s="340"/>
      <c r="W2185" s="340"/>
    </row>
    <row r="2186" spans="2:23" ht="24" customHeight="1">
      <c r="B2186" s="67"/>
      <c r="H2186" s="347">
        <v>44348</v>
      </c>
      <c r="I2186" s="347"/>
      <c r="J2186" s="345"/>
      <c r="K2186" s="703"/>
      <c r="L2186" s="342"/>
      <c r="M2186" s="342"/>
      <c r="N2186" s="340"/>
      <c r="O2186" s="703"/>
      <c r="P2186" s="342"/>
      <c r="Q2186" s="363"/>
      <c r="R2186" s="340"/>
      <c r="S2186" s="342"/>
      <c r="T2186" s="342"/>
      <c r="U2186" s="342"/>
      <c r="V2186" s="340"/>
      <c r="W2186" s="340"/>
    </row>
    <row r="2187" spans="2:23" ht="24" customHeight="1">
      <c r="B2187" s="67"/>
      <c r="I2187" s="3" t="s">
        <v>59</v>
      </c>
      <c r="J2187" s="345">
        <v>37</v>
      </c>
      <c r="K2187" s="703">
        <v>1312.93</v>
      </c>
      <c r="L2187" s="342">
        <v>1</v>
      </c>
      <c r="M2187" s="342">
        <v>20.356999999999999</v>
      </c>
      <c r="N2187" s="340">
        <v>26727.316009999999</v>
      </c>
      <c r="O2187" s="703">
        <v>2432.593220338983</v>
      </c>
      <c r="P2187" s="342">
        <v>1</v>
      </c>
      <c r="Q2187" s="363">
        <v>19.944199999999999</v>
      </c>
      <c r="R2187" s="340">
        <v>48516.125705084742</v>
      </c>
      <c r="S2187" s="342">
        <v>113.018</v>
      </c>
      <c r="T2187" s="342">
        <v>123.803</v>
      </c>
      <c r="U2187" s="342">
        <v>1.0953999999999999</v>
      </c>
      <c r="V2187" s="340">
        <v>53144.564097349823</v>
      </c>
      <c r="W2187" s="340">
        <v>-26417.248087349832</v>
      </c>
    </row>
    <row r="2188" spans="2:23" ht="24" customHeight="1">
      <c r="J2188" s="345"/>
      <c r="K2188" s="703"/>
      <c r="L2188" s="342"/>
      <c r="M2188" s="342"/>
      <c r="N2188" s="340"/>
      <c r="O2188" s="703"/>
      <c r="P2188" s="342"/>
      <c r="Q2188" s="363"/>
      <c r="R2188" s="340"/>
      <c r="S2188" s="342"/>
      <c r="T2188" s="342"/>
      <c r="U2188" s="342"/>
      <c r="V2188" s="340"/>
      <c r="W2188" s="340"/>
    </row>
    <row r="2189" spans="2:23" ht="24" customHeight="1">
      <c r="B2189" s="67"/>
      <c r="F2189" s="346">
        <v>44834</v>
      </c>
      <c r="G2189" s="346"/>
      <c r="H2189" s="346"/>
      <c r="I2189" s="346"/>
      <c r="J2189" s="345"/>
      <c r="K2189" s="703"/>
      <c r="L2189" s="342"/>
      <c r="M2189" s="342"/>
      <c r="N2189" s="340"/>
      <c r="O2189" s="703"/>
      <c r="P2189" s="342"/>
      <c r="Q2189" s="363"/>
      <c r="R2189" s="340"/>
      <c r="S2189" s="342"/>
      <c r="T2189" s="342"/>
      <c r="U2189" s="342"/>
      <c r="V2189" s="340"/>
      <c r="W2189" s="340"/>
    </row>
    <row r="2190" spans="2:23" ht="24" customHeight="1">
      <c r="B2190" s="67"/>
      <c r="G2190" s="3" t="s">
        <v>59</v>
      </c>
      <c r="H2190" s="3"/>
      <c r="I2190" s="3"/>
      <c r="J2190" s="345"/>
      <c r="K2190" s="703"/>
      <c r="L2190" s="342"/>
      <c r="M2190" s="342"/>
      <c r="N2190" s="340"/>
      <c r="O2190" s="703"/>
      <c r="P2190" s="342"/>
      <c r="Q2190" s="363"/>
      <c r="R2190" s="340"/>
      <c r="S2190" s="342"/>
      <c r="T2190" s="342"/>
      <c r="U2190" s="342"/>
      <c r="V2190" s="340"/>
      <c r="W2190" s="340"/>
    </row>
    <row r="2191" spans="2:23" ht="24" customHeight="1">
      <c r="B2191" s="67"/>
      <c r="H2191" s="347">
        <v>44348</v>
      </c>
      <c r="I2191" s="347"/>
      <c r="J2191" s="345"/>
      <c r="K2191" s="703"/>
      <c r="L2191" s="342"/>
      <c r="M2191" s="342"/>
      <c r="N2191" s="340"/>
      <c r="O2191" s="703"/>
      <c r="P2191" s="342"/>
      <c r="Q2191" s="363"/>
      <c r="R2191" s="340"/>
      <c r="S2191" s="342"/>
      <c r="T2191" s="342"/>
      <c r="U2191" s="342"/>
      <c r="V2191" s="340"/>
      <c r="W2191" s="340"/>
    </row>
    <row r="2192" spans="2:23" ht="24" customHeight="1">
      <c r="B2192" s="67"/>
      <c r="I2192" s="3" t="s">
        <v>59</v>
      </c>
      <c r="J2192" s="345">
        <v>55</v>
      </c>
      <c r="K2192" s="703">
        <v>1906.4469465648856</v>
      </c>
      <c r="L2192" s="342">
        <v>1</v>
      </c>
      <c r="M2192" s="342">
        <v>20.305800000000001</v>
      </c>
      <c r="N2192" s="340">
        <v>38711.930407557258</v>
      </c>
      <c r="O2192" s="703">
        <v>3616.0169491525421</v>
      </c>
      <c r="P2192" s="342">
        <v>1</v>
      </c>
      <c r="Q2192" s="363">
        <v>19.944199999999999</v>
      </c>
      <c r="R2192" s="340">
        <v>72118.56523728813</v>
      </c>
      <c r="S2192" s="342">
        <v>113.018</v>
      </c>
      <c r="T2192" s="342">
        <v>123.803</v>
      </c>
      <c r="U2192" s="342">
        <v>1.0953999999999999</v>
      </c>
      <c r="V2192" s="340">
        <v>78998.676360925412</v>
      </c>
      <c r="W2192" s="340">
        <v>-40286.745953368154</v>
      </c>
    </row>
    <row r="2193" spans="2:23" ht="24" customHeight="1">
      <c r="J2193" s="345"/>
      <c r="K2193" s="703"/>
      <c r="L2193" s="342"/>
      <c r="M2193" s="342"/>
      <c r="N2193" s="340"/>
      <c r="O2193" s="703"/>
      <c r="P2193" s="342"/>
      <c r="Q2193" s="363"/>
      <c r="R2193" s="340"/>
      <c r="S2193" s="342"/>
      <c r="T2193" s="342"/>
      <c r="U2193" s="342"/>
      <c r="V2193" s="340"/>
      <c r="W2193" s="340"/>
    </row>
    <row r="2194" spans="2:23" ht="24" customHeight="1">
      <c r="B2194" s="67"/>
      <c r="H2194" s="347">
        <v>44397</v>
      </c>
      <c r="I2194" s="347"/>
      <c r="J2194" s="345"/>
      <c r="K2194" s="703"/>
      <c r="L2194" s="342"/>
      <c r="M2194" s="342"/>
      <c r="N2194" s="340"/>
      <c r="O2194" s="703"/>
      <c r="P2194" s="342"/>
      <c r="Q2194" s="363"/>
      <c r="R2194" s="340"/>
      <c r="S2194" s="342"/>
      <c r="T2194" s="342"/>
      <c r="U2194" s="342"/>
      <c r="V2194" s="340"/>
      <c r="W2194" s="340"/>
    </row>
    <row r="2195" spans="2:23" ht="24" customHeight="1">
      <c r="B2195" s="67"/>
      <c r="I2195" s="3" t="s">
        <v>59</v>
      </c>
      <c r="J2195" s="345">
        <v>104</v>
      </c>
      <c r="K2195" s="703">
        <v>3604.5130534351147</v>
      </c>
      <c r="L2195" s="342">
        <v>1</v>
      </c>
      <c r="M2195" s="342">
        <v>20.305800000000001</v>
      </c>
      <c r="N2195" s="340">
        <v>73192.521160442746</v>
      </c>
      <c r="O2195" s="703">
        <v>5772.1779365079365</v>
      </c>
      <c r="P2195" s="342">
        <v>1</v>
      </c>
      <c r="Q2195" s="363">
        <v>19.8537</v>
      </c>
      <c r="R2195" s="340">
        <v>114599.08909804761</v>
      </c>
      <c r="S2195" s="342">
        <v>113.682</v>
      </c>
      <c r="T2195" s="342">
        <v>123.803</v>
      </c>
      <c r="U2195" s="342">
        <v>1.089</v>
      </c>
      <c r="V2195" s="340">
        <v>124798.40802777384</v>
      </c>
      <c r="W2195" s="340">
        <v>-51605.886867331094</v>
      </c>
    </row>
    <row r="2196" spans="2:23" ht="24" customHeight="1">
      <c r="J2196" s="345"/>
      <c r="K2196" s="703"/>
      <c r="L2196" s="342"/>
      <c r="M2196" s="342"/>
      <c r="N2196" s="340"/>
      <c r="O2196" s="703"/>
      <c r="P2196" s="342"/>
      <c r="Q2196" s="363"/>
      <c r="R2196" s="340"/>
      <c r="S2196" s="342"/>
      <c r="T2196" s="342"/>
      <c r="U2196" s="342"/>
      <c r="V2196" s="340"/>
      <c r="W2196" s="340"/>
    </row>
    <row r="2197" spans="2:23" ht="24" customHeight="1">
      <c r="B2197" s="67"/>
      <c r="F2197" s="346">
        <v>44837</v>
      </c>
      <c r="G2197" s="346"/>
      <c r="H2197" s="346"/>
      <c r="I2197" s="346"/>
      <c r="J2197" s="345"/>
      <c r="K2197" s="703"/>
      <c r="L2197" s="342"/>
      <c r="M2197" s="342"/>
      <c r="N2197" s="340"/>
      <c r="O2197" s="703"/>
      <c r="P2197" s="342"/>
      <c r="Q2197" s="363"/>
      <c r="R2197" s="340"/>
      <c r="S2197" s="342"/>
      <c r="T2197" s="342"/>
      <c r="U2197" s="342"/>
      <c r="V2197" s="340"/>
      <c r="W2197" s="340"/>
    </row>
    <row r="2198" spans="2:23" ht="24" customHeight="1">
      <c r="B2198" s="67"/>
      <c r="G2198" s="3" t="s">
        <v>59</v>
      </c>
      <c r="H2198" s="3"/>
      <c r="I2198" s="3"/>
      <c r="J2198" s="345"/>
      <c r="K2198" s="703"/>
      <c r="L2198" s="342"/>
      <c r="M2198" s="342"/>
      <c r="N2198" s="340"/>
      <c r="O2198" s="703"/>
      <c r="P2198" s="342"/>
      <c r="Q2198" s="363"/>
      <c r="R2198" s="340"/>
      <c r="S2198" s="342"/>
      <c r="T2198" s="342"/>
      <c r="U2198" s="342"/>
      <c r="V2198" s="340"/>
      <c r="W2198" s="340"/>
    </row>
    <row r="2199" spans="2:23" ht="24" customHeight="1">
      <c r="B2199" s="67"/>
      <c r="H2199" s="347">
        <v>44398</v>
      </c>
      <c r="I2199" s="347"/>
      <c r="J2199" s="345"/>
      <c r="K2199" s="703"/>
      <c r="L2199" s="342"/>
      <c r="M2199" s="342"/>
      <c r="N2199" s="340"/>
      <c r="O2199" s="703"/>
      <c r="P2199" s="342"/>
      <c r="Q2199" s="363"/>
      <c r="R2199" s="340"/>
      <c r="S2199" s="342"/>
      <c r="T2199" s="342"/>
      <c r="U2199" s="342"/>
      <c r="V2199" s="340"/>
      <c r="W2199" s="340"/>
    </row>
    <row r="2200" spans="2:23" ht="24" customHeight="1">
      <c r="B2200" s="67"/>
      <c r="I2200" s="3" t="s">
        <v>59</v>
      </c>
      <c r="J2200" s="345">
        <v>60</v>
      </c>
      <c r="K2200" s="703">
        <v>2134.6330434782608</v>
      </c>
      <c r="L2200" s="342">
        <v>1</v>
      </c>
      <c r="M2200" s="342">
        <v>20.192699999999999</v>
      </c>
      <c r="N2200" s="340">
        <v>43104.004657043479</v>
      </c>
      <c r="O2200" s="703">
        <v>3468.46</v>
      </c>
      <c r="P2200" s="342">
        <v>1</v>
      </c>
      <c r="Q2200" s="363">
        <v>20</v>
      </c>
      <c r="R2200" s="340">
        <v>69369.200000000012</v>
      </c>
      <c r="S2200" s="342">
        <v>113.682</v>
      </c>
      <c r="T2200" s="342">
        <v>124.57100000000001</v>
      </c>
      <c r="U2200" s="342">
        <v>1.0956999999999999</v>
      </c>
      <c r="V2200" s="340">
        <v>76007.832439999998</v>
      </c>
      <c r="W2200" s="340">
        <v>-32903.827782956527</v>
      </c>
    </row>
    <row r="2201" spans="2:23" ht="24" customHeight="1">
      <c r="J2201" s="345"/>
      <c r="K2201" s="703"/>
      <c r="L2201" s="342"/>
      <c r="M2201" s="342"/>
      <c r="N2201" s="340"/>
      <c r="O2201" s="703"/>
      <c r="P2201" s="342"/>
      <c r="Q2201" s="363"/>
      <c r="R2201" s="340"/>
      <c r="S2201" s="342"/>
      <c r="T2201" s="342"/>
      <c r="U2201" s="342"/>
      <c r="V2201" s="340"/>
      <c r="W2201" s="340"/>
    </row>
    <row r="2202" spans="2:23" ht="24" customHeight="1">
      <c r="B2202" s="67"/>
      <c r="H2202" s="347">
        <v>44397</v>
      </c>
      <c r="I2202" s="347"/>
      <c r="J2202" s="345"/>
      <c r="K2202" s="703"/>
      <c r="L2202" s="342"/>
      <c r="M2202" s="342"/>
      <c r="N2202" s="340"/>
      <c r="O2202" s="703"/>
      <c r="P2202" s="342"/>
      <c r="Q2202" s="363"/>
      <c r="R2202" s="340"/>
      <c r="S2202" s="342"/>
      <c r="T2202" s="342"/>
      <c r="U2202" s="342"/>
      <c r="V2202" s="340"/>
      <c r="W2202" s="340"/>
    </row>
    <row r="2203" spans="2:23" ht="24" customHeight="1">
      <c r="B2203" s="67"/>
      <c r="I2203" s="3" t="s">
        <v>59</v>
      </c>
      <c r="J2203" s="345">
        <v>44</v>
      </c>
      <c r="K2203" s="703">
        <v>1557.6669565217392</v>
      </c>
      <c r="L2203" s="342">
        <v>1</v>
      </c>
      <c r="M2203" s="342">
        <v>20.192699999999999</v>
      </c>
      <c r="N2203" s="340">
        <v>31453.501552956521</v>
      </c>
      <c r="O2203" s="703">
        <v>2441.9720634920632</v>
      </c>
      <c r="P2203" s="342">
        <v>1</v>
      </c>
      <c r="Q2203" s="363">
        <v>19.8537</v>
      </c>
      <c r="R2203" s="340">
        <v>48482.180756952373</v>
      </c>
      <c r="S2203" s="342">
        <v>113.682</v>
      </c>
      <c r="T2203" s="342">
        <v>124.571</v>
      </c>
      <c r="U2203" s="342">
        <v>1.0956999999999999</v>
      </c>
      <c r="V2203" s="340">
        <v>53121.925455392709</v>
      </c>
      <c r="W2203" s="340">
        <v>-21668.423902436196</v>
      </c>
    </row>
    <row r="2204" spans="2:23" ht="24" customHeight="1">
      <c r="J2204" s="345"/>
      <c r="K2204" s="703"/>
      <c r="L2204" s="342"/>
      <c r="M2204" s="342"/>
      <c r="N2204" s="340"/>
      <c r="O2204" s="703"/>
      <c r="P2204" s="342"/>
      <c r="Q2204" s="363"/>
      <c r="R2204" s="340"/>
      <c r="S2204" s="342"/>
      <c r="T2204" s="342"/>
      <c r="U2204" s="342"/>
      <c r="V2204" s="340"/>
      <c r="W2204" s="340"/>
    </row>
    <row r="2205" spans="2:23" ht="24" customHeight="1">
      <c r="B2205" s="67"/>
      <c r="H2205" s="347">
        <v>44399</v>
      </c>
      <c r="I2205" s="347"/>
      <c r="J2205" s="345"/>
      <c r="K2205" s="703"/>
      <c r="L2205" s="342"/>
      <c r="M2205" s="342"/>
      <c r="N2205" s="340"/>
      <c r="O2205" s="703"/>
      <c r="P2205" s="342"/>
      <c r="Q2205" s="363"/>
      <c r="R2205" s="340"/>
      <c r="S2205" s="342"/>
      <c r="T2205" s="342"/>
      <c r="U2205" s="342"/>
      <c r="V2205" s="340"/>
      <c r="W2205" s="340"/>
    </row>
    <row r="2206" spans="2:23" ht="24" customHeight="1">
      <c r="B2206" s="67"/>
      <c r="I2206" s="3" t="s">
        <v>59</v>
      </c>
      <c r="J2206" s="345">
        <v>1</v>
      </c>
      <c r="K2206" s="703">
        <v>35.94</v>
      </c>
      <c r="L2206" s="342">
        <v>1</v>
      </c>
      <c r="M2206" s="342">
        <v>20.192699999999999</v>
      </c>
      <c r="N2206" s="340">
        <v>725.72563799999989</v>
      </c>
      <c r="O2206" s="703">
        <v>57.2</v>
      </c>
      <c r="P2206" s="342">
        <v>1</v>
      </c>
      <c r="Q2206" s="363">
        <v>20.134799999999998</v>
      </c>
      <c r="R2206" s="340">
        <v>1151.71056</v>
      </c>
      <c r="S2206" s="342">
        <v>113.682</v>
      </c>
      <c r="T2206" s="342">
        <v>124.571</v>
      </c>
      <c r="U2206" s="342">
        <v>1.0956999999999999</v>
      </c>
      <c r="V2206" s="340">
        <v>1261.9292605919998</v>
      </c>
      <c r="W2206" s="340">
        <v>-536.20362259199987</v>
      </c>
    </row>
    <row r="2207" spans="2:23" ht="24" customHeight="1">
      <c r="J2207" s="345"/>
      <c r="K2207" s="703"/>
      <c r="L2207" s="342"/>
      <c r="M2207" s="342"/>
      <c r="N2207" s="340"/>
      <c r="O2207" s="703"/>
      <c r="P2207" s="342"/>
      <c r="Q2207" s="363"/>
      <c r="R2207" s="340"/>
      <c r="S2207" s="342"/>
      <c r="T2207" s="342"/>
      <c r="U2207" s="342"/>
      <c r="V2207" s="340"/>
      <c r="W2207" s="340"/>
    </row>
    <row r="2208" spans="2:23" ht="24" customHeight="1">
      <c r="B2208" s="67"/>
      <c r="F2208" s="346">
        <v>44838</v>
      </c>
      <c r="G2208" s="346"/>
      <c r="H2208" s="346"/>
      <c r="I2208" s="346"/>
      <c r="J2208" s="345"/>
      <c r="K2208" s="703"/>
      <c r="L2208" s="342"/>
      <c r="M2208" s="342"/>
      <c r="N2208" s="340"/>
      <c r="O2208" s="703"/>
      <c r="P2208" s="342"/>
      <c r="Q2208" s="363"/>
      <c r="R2208" s="340"/>
      <c r="S2208" s="342"/>
      <c r="T2208" s="342"/>
      <c r="U2208" s="342"/>
      <c r="V2208" s="340"/>
      <c r="W2208" s="340"/>
    </row>
    <row r="2209" spans="2:23" ht="24" customHeight="1">
      <c r="B2209" s="67"/>
      <c r="G2209" s="3" t="s">
        <v>59</v>
      </c>
      <c r="H2209" s="3"/>
      <c r="I2209" s="3"/>
      <c r="J2209" s="345"/>
      <c r="K2209" s="703"/>
      <c r="L2209" s="342"/>
      <c r="M2209" s="342"/>
      <c r="N2209" s="340"/>
      <c r="O2209" s="703"/>
      <c r="P2209" s="342"/>
      <c r="Q2209" s="363"/>
      <c r="R2209" s="340"/>
      <c r="S2209" s="342"/>
      <c r="T2209" s="342"/>
      <c r="U2209" s="342"/>
      <c r="V2209" s="340"/>
      <c r="W2209" s="340"/>
    </row>
    <row r="2210" spans="2:23" ht="24" customHeight="1">
      <c r="B2210" s="67"/>
      <c r="H2210" s="347">
        <v>44399</v>
      </c>
      <c r="I2210" s="347"/>
      <c r="J2210" s="345"/>
      <c r="K2210" s="703"/>
      <c r="L2210" s="342"/>
      <c r="M2210" s="342"/>
      <c r="N2210" s="340"/>
      <c r="O2210" s="703"/>
      <c r="P2210" s="342"/>
      <c r="Q2210" s="363"/>
      <c r="R2210" s="340"/>
      <c r="S2210" s="342"/>
      <c r="T2210" s="342"/>
      <c r="U2210" s="342"/>
      <c r="V2210" s="340"/>
      <c r="W2210" s="340"/>
    </row>
    <row r="2211" spans="2:23" ht="24" customHeight="1">
      <c r="B2211" s="67"/>
      <c r="I2211" s="3" t="s">
        <v>59</v>
      </c>
      <c r="J2211" s="345">
        <v>18</v>
      </c>
      <c r="K2211" s="703">
        <v>674.46375</v>
      </c>
      <c r="L2211" s="342">
        <v>1</v>
      </c>
      <c r="M2211" s="342">
        <v>20.092500000000001</v>
      </c>
      <c r="N2211" s="340">
        <v>13551.662896875001</v>
      </c>
      <c r="O2211" s="703">
        <v>1024.31</v>
      </c>
      <c r="P2211" s="342">
        <v>1</v>
      </c>
      <c r="Q2211" s="363">
        <v>20.134799999999998</v>
      </c>
      <c r="R2211" s="340">
        <v>20624.276987999998</v>
      </c>
      <c r="S2211" s="342">
        <v>113.682</v>
      </c>
      <c r="T2211" s="342">
        <v>124.571</v>
      </c>
      <c r="U2211" s="342">
        <v>1.0956999999999999</v>
      </c>
      <c r="V2211" s="340">
        <v>22598.020295751594</v>
      </c>
      <c r="W2211" s="340">
        <v>-9046.3573988765929</v>
      </c>
    </row>
    <row r="2212" spans="2:23" ht="24" customHeight="1">
      <c r="J2212" s="345"/>
      <c r="K2212" s="703"/>
      <c r="L2212" s="342"/>
      <c r="M2212" s="342"/>
      <c r="N2212" s="340"/>
      <c r="O2212" s="703"/>
      <c r="P2212" s="342"/>
      <c r="Q2212" s="363"/>
      <c r="R2212" s="340"/>
      <c r="S2212" s="342"/>
      <c r="T2212" s="342"/>
      <c r="U2212" s="342"/>
      <c r="V2212" s="340"/>
      <c r="W2212" s="340"/>
    </row>
    <row r="2213" spans="2:23" ht="24" customHeight="1">
      <c r="B2213" s="67"/>
      <c r="H2213" s="347">
        <v>44662</v>
      </c>
      <c r="I2213" s="347"/>
      <c r="J2213" s="345"/>
      <c r="K2213" s="703"/>
      <c r="L2213" s="342"/>
      <c r="M2213" s="342"/>
      <c r="N2213" s="340"/>
      <c r="O2213" s="703"/>
      <c r="P2213" s="342"/>
      <c r="Q2213" s="363"/>
      <c r="R2213" s="340"/>
      <c r="S2213" s="342"/>
      <c r="T2213" s="342"/>
      <c r="U2213" s="342"/>
      <c r="V2213" s="340"/>
      <c r="W2213" s="340"/>
    </row>
    <row r="2214" spans="2:23" ht="24" customHeight="1">
      <c r="B2214" s="67"/>
      <c r="I2214" s="3" t="s">
        <v>59</v>
      </c>
      <c r="J2214" s="345">
        <v>98</v>
      </c>
      <c r="K2214" s="703">
        <v>3661.0062499999995</v>
      </c>
      <c r="L2214" s="342">
        <v>1</v>
      </c>
      <c r="M2214" s="342">
        <v>20.092500000000001</v>
      </c>
      <c r="N2214" s="340">
        <v>73558.76807812498</v>
      </c>
      <c r="O2214" s="703">
        <v>4951.3499999999995</v>
      </c>
      <c r="P2214" s="342">
        <v>1</v>
      </c>
      <c r="Q2214" s="363">
        <v>20.160500000000003</v>
      </c>
      <c r="R2214" s="340">
        <v>99821.691674999995</v>
      </c>
      <c r="S2214" s="342">
        <v>120.809</v>
      </c>
      <c r="T2214" s="342">
        <v>124.571</v>
      </c>
      <c r="U2214" s="342">
        <v>1.0311000000000001</v>
      </c>
      <c r="V2214" s="340">
        <v>102926.14628609247</v>
      </c>
      <c r="W2214" s="340">
        <v>-29367.378207967493</v>
      </c>
    </row>
    <row r="2215" spans="2:23" ht="24" customHeight="1">
      <c r="J2215" s="345"/>
      <c r="K2215" s="703"/>
      <c r="L2215" s="342"/>
      <c r="M2215" s="342"/>
      <c r="N2215" s="340"/>
      <c r="O2215" s="703"/>
      <c r="P2215" s="342"/>
      <c r="Q2215" s="363"/>
      <c r="R2215" s="340"/>
      <c r="S2215" s="342"/>
      <c r="T2215" s="342"/>
      <c r="U2215" s="342"/>
      <c r="V2215" s="340"/>
      <c r="W2215" s="340"/>
    </row>
    <row r="2216" spans="2:23" ht="24" customHeight="1">
      <c r="B2216" s="67"/>
      <c r="F2216" s="346">
        <v>44839</v>
      </c>
      <c r="G2216" s="346"/>
      <c r="H2216" s="346"/>
      <c r="I2216" s="346"/>
      <c r="J2216" s="345"/>
      <c r="K2216" s="703"/>
      <c r="L2216" s="342"/>
      <c r="M2216" s="342"/>
      <c r="N2216" s="340"/>
      <c r="O2216" s="703"/>
      <c r="P2216" s="342"/>
      <c r="Q2216" s="363"/>
      <c r="R2216" s="340"/>
      <c r="S2216" s="342"/>
      <c r="T2216" s="342"/>
      <c r="U2216" s="342"/>
      <c r="V2216" s="340"/>
      <c r="W2216" s="340"/>
    </row>
    <row r="2217" spans="2:23" ht="24" customHeight="1">
      <c r="B2217" s="67"/>
      <c r="G2217" s="3" t="s">
        <v>59</v>
      </c>
      <c r="H2217" s="3"/>
      <c r="I2217" s="3"/>
      <c r="J2217" s="345"/>
      <c r="K2217" s="703"/>
      <c r="L2217" s="342"/>
      <c r="M2217" s="342"/>
      <c r="N2217" s="340"/>
      <c r="O2217" s="703"/>
      <c r="P2217" s="342"/>
      <c r="Q2217" s="363"/>
      <c r="R2217" s="340"/>
      <c r="S2217" s="342"/>
      <c r="T2217" s="342"/>
      <c r="U2217" s="342"/>
      <c r="V2217" s="340"/>
      <c r="W2217" s="340"/>
    </row>
    <row r="2218" spans="2:23" ht="24" customHeight="1">
      <c r="B2218" s="67"/>
      <c r="H2218" s="347">
        <v>44662</v>
      </c>
      <c r="I2218" s="347"/>
      <c r="J2218" s="345"/>
      <c r="K2218" s="703"/>
      <c r="L2218" s="342"/>
      <c r="M2218" s="342"/>
      <c r="N2218" s="340"/>
      <c r="O2218" s="703"/>
      <c r="P2218" s="342"/>
      <c r="Q2218" s="363"/>
      <c r="R2218" s="340"/>
      <c r="S2218" s="342"/>
      <c r="T2218" s="342"/>
      <c r="U2218" s="342"/>
      <c r="V2218" s="340"/>
      <c r="W2218" s="340"/>
    </row>
    <row r="2219" spans="2:23" ht="24" customHeight="1">
      <c r="B2219" s="67"/>
      <c r="I2219" s="3" t="s">
        <v>59</v>
      </c>
      <c r="J2219" s="345">
        <v>63</v>
      </c>
      <c r="K2219" s="703">
        <v>2361.9699999999998</v>
      </c>
      <c r="L2219" s="342">
        <v>1</v>
      </c>
      <c r="M2219" s="342">
        <v>20.000800000000002</v>
      </c>
      <c r="N2219" s="340">
        <v>47241.289576000003</v>
      </c>
      <c r="O2219" s="703">
        <v>3174.92</v>
      </c>
      <c r="P2219" s="342">
        <v>1</v>
      </c>
      <c r="Q2219" s="363">
        <v>20.160499999999999</v>
      </c>
      <c r="R2219" s="340">
        <v>64007.974659999993</v>
      </c>
      <c r="S2219" s="342">
        <v>120.809</v>
      </c>
      <c r="T2219" s="342">
        <v>124.571</v>
      </c>
      <c r="U2219" s="342">
        <v>1.0310999999999999</v>
      </c>
      <c r="V2219" s="340">
        <v>65998.622671925987</v>
      </c>
      <c r="W2219" s="340">
        <v>-18757.333095925984</v>
      </c>
    </row>
    <row r="2220" spans="2:23" ht="24" customHeight="1">
      <c r="J2220" s="345"/>
      <c r="K2220" s="703"/>
      <c r="L2220" s="342"/>
      <c r="M2220" s="342"/>
      <c r="N2220" s="340"/>
      <c r="O2220" s="703"/>
      <c r="P2220" s="342"/>
      <c r="Q2220" s="363"/>
      <c r="R2220" s="340"/>
      <c r="S2220" s="342"/>
      <c r="T2220" s="342"/>
      <c r="U2220" s="342"/>
      <c r="V2220" s="340"/>
      <c r="W2220" s="340"/>
    </row>
    <row r="2221" spans="2:23" ht="24" customHeight="1">
      <c r="B2221" s="67"/>
      <c r="E2221" s="131" t="s">
        <v>1150</v>
      </c>
      <c r="F2221" s="131"/>
      <c r="G2221" s="131"/>
      <c r="H2221" s="131"/>
      <c r="I2221" s="131"/>
      <c r="J2221" s="704">
        <v>1216</v>
      </c>
      <c r="K2221" s="705">
        <v>56988.560000000019</v>
      </c>
      <c r="L2221" s="369">
        <v>1</v>
      </c>
      <c r="M2221" s="377">
        <v>20.389059</v>
      </c>
      <c r="N2221" s="706">
        <v>1161936.8392689999</v>
      </c>
      <c r="O2221" s="705">
        <v>64357.767207928067</v>
      </c>
      <c r="P2221" s="369">
        <v>1</v>
      </c>
      <c r="Q2221" s="377">
        <v>19.871545999999991</v>
      </c>
      <c r="R2221" s="706">
        <v>1284306.6107442961</v>
      </c>
      <c r="S2221" s="369">
        <v>112.11012000000001</v>
      </c>
      <c r="T2221" s="369">
        <v>120.42567000000007</v>
      </c>
      <c r="U2221" s="369">
        <v>1.0745299999999993</v>
      </c>
      <c r="V2221" s="706">
        <v>1385476.6953818388</v>
      </c>
      <c r="W2221" s="706">
        <v>-223539.85611283849</v>
      </c>
    </row>
    <row r="2222" spans="2:23" ht="24" customHeight="1">
      <c r="J2222" s="345"/>
      <c r="K2222" s="703"/>
      <c r="L2222" s="342"/>
      <c r="M2222" s="342"/>
      <c r="N2222" s="340"/>
      <c r="O2222" s="703"/>
      <c r="P2222" s="342"/>
      <c r="Q2222" s="363"/>
      <c r="R2222" s="340"/>
      <c r="S2222" s="342"/>
      <c r="T2222" s="342"/>
      <c r="U2222" s="342"/>
      <c r="V2222" s="340"/>
      <c r="W2222" s="340"/>
    </row>
    <row r="2223" spans="2:23" ht="24" customHeight="1">
      <c r="B2223" s="67"/>
      <c r="E2223" s="1" t="s">
        <v>718</v>
      </c>
      <c r="J2223" s="345"/>
      <c r="K2223" s="703"/>
      <c r="L2223" s="342"/>
      <c r="M2223" s="342"/>
      <c r="N2223" s="340"/>
      <c r="O2223" s="703"/>
      <c r="P2223" s="342"/>
      <c r="Q2223" s="363"/>
      <c r="R2223" s="340"/>
      <c r="S2223" s="342"/>
      <c r="T2223" s="342"/>
      <c r="U2223" s="342"/>
      <c r="V2223" s="340"/>
      <c r="W2223" s="340"/>
    </row>
    <row r="2224" spans="2:23" ht="24" customHeight="1">
      <c r="B2224" s="67"/>
      <c r="F2224" s="346">
        <v>44855</v>
      </c>
      <c r="G2224" s="346"/>
      <c r="H2224" s="346"/>
      <c r="I2224" s="346"/>
      <c r="J2224" s="345"/>
      <c r="K2224" s="703"/>
      <c r="L2224" s="342"/>
      <c r="M2224" s="342"/>
      <c r="N2224" s="340"/>
      <c r="O2224" s="703"/>
      <c r="P2224" s="342"/>
      <c r="Q2224" s="363"/>
      <c r="R2224" s="340"/>
      <c r="S2224" s="342"/>
      <c r="T2224" s="342"/>
      <c r="U2224" s="342"/>
      <c r="V2224" s="340"/>
      <c r="W2224" s="340"/>
    </row>
    <row r="2225" spans="2:23" ht="24" customHeight="1">
      <c r="B2225" s="67"/>
      <c r="G2225" s="3" t="s">
        <v>59</v>
      </c>
      <c r="H2225" s="3"/>
      <c r="I2225" s="3"/>
      <c r="J2225" s="345"/>
      <c r="K2225" s="703"/>
      <c r="L2225" s="342"/>
      <c r="M2225" s="342"/>
      <c r="N2225" s="340"/>
      <c r="O2225" s="703"/>
      <c r="P2225" s="342"/>
      <c r="Q2225" s="363"/>
      <c r="R2225" s="340"/>
      <c r="S2225" s="342"/>
      <c r="T2225" s="342"/>
      <c r="U2225" s="342"/>
      <c r="V2225" s="340"/>
      <c r="W2225" s="340"/>
    </row>
    <row r="2226" spans="2:23" ht="24" customHeight="1">
      <c r="B2226" s="67"/>
      <c r="H2226" s="347">
        <v>44260</v>
      </c>
      <c r="I2226" s="347"/>
      <c r="J2226" s="345"/>
      <c r="K2226" s="703"/>
      <c r="L2226" s="342"/>
      <c r="M2226" s="342"/>
      <c r="N2226" s="340"/>
      <c r="O2226" s="703"/>
      <c r="P2226" s="342"/>
      <c r="Q2226" s="363"/>
      <c r="R2226" s="340"/>
      <c r="S2226" s="342"/>
      <c r="T2226" s="342"/>
      <c r="U2226" s="342"/>
      <c r="V2226" s="340"/>
      <c r="W2226" s="340"/>
    </row>
    <row r="2227" spans="2:23" ht="24" customHeight="1">
      <c r="B2227" s="67"/>
      <c r="I2227" s="3" t="s">
        <v>59</v>
      </c>
      <c r="J2227" s="345">
        <v>200</v>
      </c>
      <c r="K2227" s="703">
        <v>8181.9704433497545</v>
      </c>
      <c r="L2227" s="342">
        <v>1</v>
      </c>
      <c r="M2227" s="342">
        <v>20.127199999999998</v>
      </c>
      <c r="N2227" s="340">
        <v>164680.15550738916</v>
      </c>
      <c r="O2227" s="703">
        <v>11543.05806451613</v>
      </c>
      <c r="P2227" s="342">
        <v>1</v>
      </c>
      <c r="Q2227" s="363">
        <v>20.895700000000001</v>
      </c>
      <c r="R2227" s="340">
        <v>241200.27839870972</v>
      </c>
      <c r="S2227" s="342">
        <v>111.824</v>
      </c>
      <c r="T2227" s="342">
        <v>124.571</v>
      </c>
      <c r="U2227" s="342">
        <v>1.1138999999999999</v>
      </c>
      <c r="V2227" s="340">
        <v>268672.99010832276</v>
      </c>
      <c r="W2227" s="340">
        <v>-103992.83460093359</v>
      </c>
    </row>
    <row r="2228" spans="2:23" ht="24" customHeight="1">
      <c r="J2228" s="345"/>
      <c r="K2228" s="703"/>
      <c r="L2228" s="342"/>
      <c r="M2228" s="342"/>
      <c r="N2228" s="340"/>
      <c r="O2228" s="703"/>
      <c r="P2228" s="342"/>
      <c r="Q2228" s="363"/>
      <c r="R2228" s="340"/>
      <c r="S2228" s="342"/>
      <c r="T2228" s="342"/>
      <c r="U2228" s="342"/>
      <c r="V2228" s="340"/>
      <c r="W2228" s="340"/>
    </row>
    <row r="2229" spans="2:23" ht="24" customHeight="1">
      <c r="B2229" s="67"/>
      <c r="H2229" s="347">
        <v>44277</v>
      </c>
      <c r="I2229" s="347"/>
      <c r="J2229" s="345"/>
      <c r="K2229" s="703"/>
      <c r="L2229" s="342"/>
      <c r="M2229" s="342"/>
      <c r="N2229" s="340"/>
      <c r="O2229" s="703"/>
      <c r="P2229" s="342"/>
      <c r="Q2229" s="363"/>
      <c r="R2229" s="340"/>
      <c r="S2229" s="342"/>
      <c r="T2229" s="342"/>
      <c r="U2229" s="342"/>
      <c r="V2229" s="340"/>
      <c r="W2229" s="340"/>
    </row>
    <row r="2230" spans="2:23" ht="24" customHeight="1">
      <c r="B2230" s="67"/>
      <c r="I2230" s="3" t="s">
        <v>59</v>
      </c>
      <c r="J2230" s="345">
        <v>185</v>
      </c>
      <c r="K2230" s="703">
        <v>7568.3295566502466</v>
      </c>
      <c r="L2230" s="342">
        <v>1</v>
      </c>
      <c r="M2230" s="342">
        <v>20.127199999999998</v>
      </c>
      <c r="N2230" s="340">
        <v>152329.28265261085</v>
      </c>
      <c r="O2230" s="703">
        <v>10865.3732</v>
      </c>
      <c r="P2230" s="342">
        <v>1</v>
      </c>
      <c r="Q2230" s="363">
        <v>20.441500000000001</v>
      </c>
      <c r="R2230" s="340">
        <v>222104.52626780001</v>
      </c>
      <c r="S2230" s="342">
        <v>111.824</v>
      </c>
      <c r="T2230" s="342">
        <v>124.57099999999998</v>
      </c>
      <c r="U2230" s="342">
        <v>1.1138999999999999</v>
      </c>
      <c r="V2230" s="340">
        <v>247402.23180970241</v>
      </c>
      <c r="W2230" s="340">
        <v>-95072.949157091556</v>
      </c>
    </row>
    <row r="2231" spans="2:23" ht="24" customHeight="1">
      <c r="J2231" s="345"/>
      <c r="K2231" s="703"/>
      <c r="L2231" s="342"/>
      <c r="M2231" s="342"/>
      <c r="N2231" s="340"/>
      <c r="O2231" s="703"/>
      <c r="P2231" s="342"/>
      <c r="Q2231" s="363"/>
      <c r="R2231" s="340"/>
      <c r="S2231" s="342"/>
      <c r="T2231" s="342"/>
      <c r="U2231" s="342"/>
      <c r="V2231" s="340"/>
      <c r="W2231" s="340"/>
    </row>
    <row r="2232" spans="2:23" ht="24" customHeight="1">
      <c r="B2232" s="67"/>
      <c r="E2232" s="131" t="s">
        <v>1151</v>
      </c>
      <c r="F2232" s="131"/>
      <c r="G2232" s="131"/>
      <c r="H2232" s="131"/>
      <c r="I2232" s="131"/>
      <c r="J2232" s="704">
        <v>385</v>
      </c>
      <c r="K2232" s="705">
        <v>15750.300000000003</v>
      </c>
      <c r="L2232" s="369">
        <v>1</v>
      </c>
      <c r="M2232" s="377">
        <v>20.127199999999998</v>
      </c>
      <c r="N2232" s="706">
        <v>317009.43816000002</v>
      </c>
      <c r="O2232" s="705">
        <v>22408.43126451613</v>
      </c>
      <c r="P2232" s="369">
        <v>1</v>
      </c>
      <c r="Q2232" s="377">
        <v>20.555050000000001</v>
      </c>
      <c r="R2232" s="706">
        <v>463304.80466650974</v>
      </c>
      <c r="S2232" s="369">
        <v>111.824</v>
      </c>
      <c r="T2232" s="369">
        <v>124.571</v>
      </c>
      <c r="U2232" s="369">
        <v>1.1138999999999999</v>
      </c>
      <c r="V2232" s="706">
        <v>516075.22191802517</v>
      </c>
      <c r="W2232" s="706">
        <v>-199065.78375802515</v>
      </c>
    </row>
    <row r="2233" spans="2:23" ht="24" customHeight="1">
      <c r="J2233" s="345"/>
      <c r="K2233" s="703"/>
      <c r="L2233" s="342"/>
      <c r="M2233" s="342"/>
      <c r="N2233" s="340"/>
      <c r="O2233" s="703"/>
      <c r="P2233" s="342"/>
      <c r="Q2233" s="363"/>
      <c r="R2233" s="340"/>
      <c r="S2233" s="342"/>
      <c r="T2233" s="342"/>
      <c r="U2233" s="342"/>
      <c r="V2233" s="340"/>
      <c r="W2233" s="340"/>
    </row>
    <row r="2234" spans="2:23" ht="24" customHeight="1">
      <c r="B2234" s="67"/>
      <c r="E2234" s="1" t="s">
        <v>887</v>
      </c>
      <c r="J2234" s="345"/>
      <c r="K2234" s="703"/>
      <c r="L2234" s="342"/>
      <c r="M2234" s="342"/>
      <c r="N2234" s="340"/>
      <c r="O2234" s="703"/>
      <c r="P2234" s="342"/>
      <c r="Q2234" s="363"/>
      <c r="R2234" s="340"/>
      <c r="S2234" s="342"/>
      <c r="T2234" s="342"/>
      <c r="U2234" s="342"/>
      <c r="V2234" s="340"/>
      <c r="W2234" s="340"/>
    </row>
    <row r="2235" spans="2:23" ht="24" customHeight="1">
      <c r="B2235" s="67"/>
      <c r="F2235" s="346">
        <v>44693</v>
      </c>
      <c r="G2235" s="346"/>
      <c r="H2235" s="346"/>
      <c r="I2235" s="346"/>
      <c r="J2235" s="345"/>
      <c r="K2235" s="703"/>
      <c r="L2235" s="342"/>
      <c r="M2235" s="342"/>
      <c r="N2235" s="340"/>
      <c r="O2235" s="703"/>
      <c r="P2235" s="342"/>
      <c r="Q2235" s="363"/>
      <c r="R2235" s="340"/>
      <c r="S2235" s="342"/>
      <c r="T2235" s="342"/>
      <c r="U2235" s="342"/>
      <c r="V2235" s="340"/>
      <c r="W2235" s="340"/>
    </row>
    <row r="2236" spans="2:23" ht="24" customHeight="1">
      <c r="B2236" s="67"/>
      <c r="G2236" s="3" t="s">
        <v>59</v>
      </c>
      <c r="H2236" s="3"/>
      <c r="I2236" s="3"/>
      <c r="J2236" s="345"/>
      <c r="K2236" s="703"/>
      <c r="L2236" s="342"/>
      <c r="M2236" s="342"/>
      <c r="N2236" s="340"/>
      <c r="O2236" s="703"/>
      <c r="P2236" s="342"/>
      <c r="Q2236" s="363"/>
      <c r="R2236" s="340"/>
      <c r="S2236" s="342"/>
      <c r="T2236" s="342"/>
      <c r="U2236" s="342"/>
      <c r="V2236" s="340"/>
      <c r="W2236" s="340"/>
    </row>
    <row r="2237" spans="2:23" ht="24" customHeight="1">
      <c r="B2237" s="67"/>
      <c r="H2237" s="347">
        <v>44638</v>
      </c>
      <c r="I2237" s="347"/>
      <c r="J2237" s="345"/>
      <c r="K2237" s="703"/>
      <c r="L2237" s="342"/>
      <c r="M2237" s="342"/>
      <c r="N2237" s="340"/>
      <c r="O2237" s="703"/>
      <c r="P2237" s="342"/>
      <c r="Q2237" s="363"/>
      <c r="R2237" s="340"/>
      <c r="S2237" s="342"/>
      <c r="T2237" s="342"/>
      <c r="U2237" s="342"/>
      <c r="V2237" s="340"/>
      <c r="W2237" s="340"/>
    </row>
    <row r="2238" spans="2:23" ht="24" customHeight="1">
      <c r="B2238" s="67"/>
      <c r="I2238" s="3" t="s">
        <v>59</v>
      </c>
      <c r="J2238" s="345">
        <v>463</v>
      </c>
      <c r="K2238" s="703">
        <v>6984.9346849757658</v>
      </c>
      <c r="L2238" s="342">
        <v>1</v>
      </c>
      <c r="M2238" s="342">
        <v>20.372</v>
      </c>
      <c r="N2238" s="340">
        <v>142297.0894023263</v>
      </c>
      <c r="O2238" s="703">
        <v>13752.880000000001</v>
      </c>
      <c r="P2238" s="342">
        <v>1</v>
      </c>
      <c r="Q2238" s="363">
        <v>20.703499999999995</v>
      </c>
      <c r="R2238" s="340">
        <v>284732.75107999996</v>
      </c>
      <c r="S2238" s="342">
        <v>120.15900000000001</v>
      </c>
      <c r="T2238" s="342">
        <v>120.80899999999998</v>
      </c>
      <c r="U2238" s="342">
        <v>1.0054000000000001</v>
      </c>
      <c r="V2238" s="340">
        <v>286270.30793583195</v>
      </c>
      <c r="W2238" s="340">
        <v>-143973.21853350566</v>
      </c>
    </row>
    <row r="2239" spans="2:23" ht="24" customHeight="1">
      <c r="J2239" s="345"/>
      <c r="K2239" s="703"/>
      <c r="L2239" s="342"/>
      <c r="M2239" s="342"/>
      <c r="N2239" s="340"/>
      <c r="O2239" s="703"/>
      <c r="P2239" s="342"/>
      <c r="Q2239" s="363"/>
      <c r="R2239" s="340"/>
      <c r="S2239" s="342"/>
      <c r="T2239" s="342"/>
      <c r="U2239" s="342"/>
      <c r="V2239" s="340"/>
      <c r="W2239" s="340"/>
    </row>
    <row r="2240" spans="2:23" ht="24" customHeight="1">
      <c r="B2240" s="67"/>
      <c r="H2240" s="347">
        <v>44641</v>
      </c>
      <c r="I2240" s="347"/>
      <c r="J2240" s="345"/>
      <c r="K2240" s="703"/>
      <c r="L2240" s="342"/>
      <c r="M2240" s="342"/>
      <c r="N2240" s="340"/>
      <c r="O2240" s="703"/>
      <c r="P2240" s="342"/>
      <c r="Q2240" s="363"/>
      <c r="R2240" s="340"/>
      <c r="S2240" s="342"/>
      <c r="T2240" s="342"/>
      <c r="U2240" s="342"/>
      <c r="V2240" s="340"/>
      <c r="W2240" s="340"/>
    </row>
    <row r="2241" spans="2:23" ht="24" customHeight="1">
      <c r="B2241" s="67"/>
      <c r="I2241" s="3" t="s">
        <v>59</v>
      </c>
      <c r="J2241" s="345">
        <v>293</v>
      </c>
      <c r="K2241" s="703">
        <v>4420.271841680129</v>
      </c>
      <c r="L2241" s="342">
        <v>1</v>
      </c>
      <c r="M2241" s="342">
        <v>20.372</v>
      </c>
      <c r="N2241" s="340">
        <v>90049.777958707593</v>
      </c>
      <c r="O2241" s="703">
        <v>8610.8599999999988</v>
      </c>
      <c r="P2241" s="342">
        <v>1</v>
      </c>
      <c r="Q2241" s="363">
        <v>20.558499999999999</v>
      </c>
      <c r="R2241" s="340">
        <v>177026.36530999996</v>
      </c>
      <c r="S2241" s="342">
        <v>120.15900000000001</v>
      </c>
      <c r="T2241" s="342">
        <v>120.80900000000001</v>
      </c>
      <c r="U2241" s="342">
        <v>1.0054000000000001</v>
      </c>
      <c r="V2241" s="340">
        <v>177982.307682674</v>
      </c>
      <c r="W2241" s="340">
        <v>-87932.529723966407</v>
      </c>
    </row>
    <row r="2242" spans="2:23" ht="24" customHeight="1">
      <c r="J2242" s="345"/>
      <c r="K2242" s="703"/>
      <c r="L2242" s="342"/>
      <c r="M2242" s="342"/>
      <c r="N2242" s="340"/>
      <c r="O2242" s="703"/>
      <c r="P2242" s="342"/>
      <c r="Q2242" s="363"/>
      <c r="R2242" s="340"/>
      <c r="S2242" s="342"/>
      <c r="T2242" s="342"/>
      <c r="U2242" s="342"/>
      <c r="V2242" s="340"/>
      <c r="W2242" s="340"/>
    </row>
    <row r="2243" spans="2:23" ht="24" customHeight="1">
      <c r="B2243" s="67"/>
      <c r="H2243" s="347">
        <v>44642</v>
      </c>
      <c r="I2243" s="347"/>
      <c r="J2243" s="345"/>
      <c r="K2243" s="703"/>
      <c r="L2243" s="342"/>
      <c r="M2243" s="342"/>
      <c r="N2243" s="340"/>
      <c r="O2243" s="703"/>
      <c r="P2243" s="342"/>
      <c r="Q2243" s="363"/>
      <c r="R2243" s="340"/>
      <c r="S2243" s="342"/>
      <c r="T2243" s="342"/>
      <c r="U2243" s="342"/>
      <c r="V2243" s="340"/>
      <c r="W2243" s="340"/>
    </row>
    <row r="2244" spans="2:23" ht="24" customHeight="1">
      <c r="B2244" s="67"/>
      <c r="I2244" s="3" t="s">
        <v>59</v>
      </c>
      <c r="J2244" s="345">
        <v>121</v>
      </c>
      <c r="K2244" s="703">
        <v>1825.4364943457188</v>
      </c>
      <c r="L2244" s="342">
        <v>1</v>
      </c>
      <c r="M2244" s="342">
        <v>20.372</v>
      </c>
      <c r="N2244" s="340">
        <v>37187.792262810981</v>
      </c>
      <c r="O2244" s="703">
        <v>3740.1000000000004</v>
      </c>
      <c r="P2244" s="342">
        <v>1</v>
      </c>
      <c r="Q2244" s="363">
        <v>20.558499999999999</v>
      </c>
      <c r="R2244" s="340">
        <v>76890.845850000012</v>
      </c>
      <c r="S2244" s="342">
        <v>120.15900000000001</v>
      </c>
      <c r="T2244" s="342">
        <v>120.809</v>
      </c>
      <c r="U2244" s="342">
        <v>1.0054000000000001</v>
      </c>
      <c r="V2244" s="340">
        <v>77306.056417590022</v>
      </c>
      <c r="W2244" s="340">
        <v>-40118.264154779034</v>
      </c>
    </row>
    <row r="2245" spans="2:23" ht="24" customHeight="1">
      <c r="J2245" s="345"/>
      <c r="K2245" s="703"/>
      <c r="L2245" s="342"/>
      <c r="M2245" s="342"/>
      <c r="N2245" s="340"/>
      <c r="O2245" s="703"/>
      <c r="P2245" s="342"/>
      <c r="Q2245" s="363"/>
      <c r="R2245" s="340"/>
      <c r="S2245" s="342"/>
      <c r="T2245" s="342"/>
      <c r="U2245" s="342"/>
      <c r="V2245" s="340"/>
      <c r="W2245" s="340"/>
    </row>
    <row r="2246" spans="2:23" ht="24" customHeight="1">
      <c r="B2246" s="67"/>
      <c r="H2246" s="347">
        <v>44643</v>
      </c>
      <c r="I2246" s="347"/>
      <c r="J2246" s="345"/>
      <c r="K2246" s="703"/>
      <c r="L2246" s="342"/>
      <c r="M2246" s="342"/>
      <c r="N2246" s="340"/>
      <c r="O2246" s="703"/>
      <c r="P2246" s="342"/>
      <c r="Q2246" s="363"/>
      <c r="R2246" s="340"/>
      <c r="S2246" s="342"/>
      <c r="T2246" s="342"/>
      <c r="U2246" s="342"/>
      <c r="V2246" s="340"/>
      <c r="W2246" s="340"/>
    </row>
    <row r="2247" spans="2:23" ht="24" customHeight="1">
      <c r="B2247" s="67"/>
      <c r="I2247" s="3" t="s">
        <v>59</v>
      </c>
      <c r="J2247" s="345">
        <v>225</v>
      </c>
      <c r="K2247" s="703">
        <v>3394.4067043618734</v>
      </c>
      <c r="L2247" s="342">
        <v>1</v>
      </c>
      <c r="M2247" s="342">
        <v>20.372</v>
      </c>
      <c r="N2247" s="340">
        <v>69150.85338126008</v>
      </c>
      <c r="O2247" s="703">
        <v>6995.39</v>
      </c>
      <c r="P2247" s="342">
        <v>1</v>
      </c>
      <c r="Q2247" s="363">
        <v>20.4145</v>
      </c>
      <c r="R2247" s="340">
        <v>142807.38915500001</v>
      </c>
      <c r="S2247" s="342">
        <v>120.15900000000001</v>
      </c>
      <c r="T2247" s="342">
        <v>120.80900000000001</v>
      </c>
      <c r="U2247" s="342">
        <v>1.0054000000000001</v>
      </c>
      <c r="V2247" s="340">
        <v>143578.54905643701</v>
      </c>
      <c r="W2247" s="340">
        <v>-74427.695675176918</v>
      </c>
    </row>
    <row r="2248" spans="2:23" ht="24" customHeight="1">
      <c r="J2248" s="345"/>
      <c r="K2248" s="703"/>
      <c r="L2248" s="342"/>
      <c r="M2248" s="342"/>
      <c r="N2248" s="340"/>
      <c r="O2248" s="703"/>
      <c r="P2248" s="342"/>
      <c r="Q2248" s="363"/>
      <c r="R2248" s="340"/>
      <c r="S2248" s="342"/>
      <c r="T2248" s="342"/>
      <c r="U2248" s="342"/>
      <c r="V2248" s="340"/>
      <c r="W2248" s="340"/>
    </row>
    <row r="2249" spans="2:23" ht="24" customHeight="1">
      <c r="B2249" s="67"/>
      <c r="H2249" s="347">
        <v>44644</v>
      </c>
      <c r="I2249" s="347"/>
      <c r="J2249" s="345"/>
      <c r="K2249" s="703"/>
      <c r="L2249" s="342"/>
      <c r="M2249" s="342"/>
      <c r="N2249" s="340"/>
      <c r="O2249" s="703"/>
      <c r="P2249" s="342"/>
      <c r="Q2249" s="363"/>
      <c r="R2249" s="340"/>
      <c r="S2249" s="342"/>
      <c r="T2249" s="342"/>
      <c r="U2249" s="342"/>
      <c r="V2249" s="340"/>
      <c r="W2249" s="340"/>
    </row>
    <row r="2250" spans="2:23" ht="24" customHeight="1">
      <c r="B2250" s="67"/>
      <c r="I2250" s="3" t="s">
        <v>59</v>
      </c>
      <c r="J2250" s="345">
        <v>219</v>
      </c>
      <c r="K2250" s="703">
        <v>3304.0585099306277</v>
      </c>
      <c r="L2250" s="342">
        <v>1</v>
      </c>
      <c r="M2250" s="342">
        <v>20.372</v>
      </c>
      <c r="N2250" s="340">
        <v>67310.279964306756</v>
      </c>
      <c r="O2250" s="703">
        <v>6576.77</v>
      </c>
      <c r="P2250" s="342">
        <v>1</v>
      </c>
      <c r="Q2250" s="363">
        <v>20.278199999999998</v>
      </c>
      <c r="R2250" s="340">
        <v>133365.05741399998</v>
      </c>
      <c r="S2250" s="342">
        <v>120.15900000000001</v>
      </c>
      <c r="T2250" s="342">
        <v>120.809</v>
      </c>
      <c r="U2250" s="342">
        <v>1.0054000000000001</v>
      </c>
      <c r="V2250" s="340">
        <v>134085.22872403558</v>
      </c>
      <c r="W2250" s="340">
        <v>-66774.948759728853</v>
      </c>
    </row>
    <row r="2251" spans="2:23" ht="24" customHeight="1">
      <c r="J2251" s="345"/>
      <c r="K2251" s="703"/>
      <c r="L2251" s="342"/>
      <c r="M2251" s="342"/>
      <c r="N2251" s="340"/>
      <c r="O2251" s="703"/>
      <c r="P2251" s="342"/>
      <c r="Q2251" s="363"/>
      <c r="R2251" s="340"/>
      <c r="S2251" s="342"/>
      <c r="T2251" s="342"/>
      <c r="U2251" s="342"/>
      <c r="V2251" s="340"/>
      <c r="W2251" s="340"/>
    </row>
    <row r="2252" spans="2:23" ht="24" customHeight="1">
      <c r="B2252" s="67"/>
      <c r="H2252" s="347">
        <v>44645</v>
      </c>
      <c r="I2252" s="347"/>
      <c r="J2252" s="345"/>
      <c r="K2252" s="703"/>
      <c r="L2252" s="342"/>
      <c r="M2252" s="342"/>
      <c r="N2252" s="340"/>
      <c r="O2252" s="703"/>
      <c r="P2252" s="342"/>
      <c r="Q2252" s="363"/>
      <c r="R2252" s="340"/>
      <c r="S2252" s="342"/>
      <c r="T2252" s="342"/>
      <c r="U2252" s="342"/>
      <c r="V2252" s="340"/>
      <c r="W2252" s="340"/>
    </row>
    <row r="2253" spans="2:23" ht="24" customHeight="1">
      <c r="B2253" s="67"/>
      <c r="I2253" s="3" t="s">
        <v>59</v>
      </c>
      <c r="J2253" s="345">
        <v>114</v>
      </c>
      <c r="K2253" s="703">
        <v>1747.6517647058824</v>
      </c>
      <c r="L2253" s="342">
        <v>1</v>
      </c>
      <c r="M2253" s="342">
        <v>20.372</v>
      </c>
      <c r="N2253" s="340">
        <v>35603.161750588239</v>
      </c>
      <c r="O2253" s="703">
        <v>3248.4539495798317</v>
      </c>
      <c r="P2253" s="342">
        <v>1</v>
      </c>
      <c r="Q2253" s="363">
        <v>20.18</v>
      </c>
      <c r="R2253" s="340">
        <v>65553.800702520995</v>
      </c>
      <c r="S2253" s="342">
        <v>120.15900000000001</v>
      </c>
      <c r="T2253" s="342">
        <v>120.809</v>
      </c>
      <c r="U2253" s="342">
        <v>1.0054000000000001</v>
      </c>
      <c r="V2253" s="340">
        <v>65907.791226314614</v>
      </c>
      <c r="W2253" s="340">
        <v>-30304.629475726386</v>
      </c>
    </row>
    <row r="2254" spans="2:23" ht="24" customHeight="1">
      <c r="J2254" s="345"/>
      <c r="K2254" s="703"/>
      <c r="L2254" s="342"/>
      <c r="M2254" s="342"/>
      <c r="N2254" s="340"/>
      <c r="O2254" s="703"/>
      <c r="P2254" s="342"/>
      <c r="Q2254" s="363"/>
      <c r="R2254" s="340"/>
      <c r="S2254" s="342"/>
      <c r="T2254" s="342"/>
      <c r="U2254" s="342"/>
      <c r="V2254" s="340"/>
      <c r="W2254" s="340"/>
    </row>
    <row r="2255" spans="2:23" ht="24" customHeight="1">
      <c r="B2255" s="67"/>
      <c r="F2255" s="346">
        <v>44694</v>
      </c>
      <c r="G2255" s="346"/>
      <c r="H2255" s="346"/>
      <c r="I2255" s="346"/>
      <c r="J2255" s="345"/>
      <c r="K2255" s="703"/>
      <c r="L2255" s="342"/>
      <c r="M2255" s="342"/>
      <c r="N2255" s="340"/>
      <c r="O2255" s="703"/>
      <c r="P2255" s="342"/>
      <c r="Q2255" s="363"/>
      <c r="R2255" s="340"/>
      <c r="S2255" s="342"/>
      <c r="T2255" s="342"/>
      <c r="U2255" s="342"/>
      <c r="V2255" s="340"/>
      <c r="W2255" s="340"/>
    </row>
    <row r="2256" spans="2:23" ht="24" customHeight="1">
      <c r="B2256" s="67"/>
      <c r="G2256" s="3" t="s">
        <v>59</v>
      </c>
      <c r="H2256" s="3"/>
      <c r="I2256" s="3"/>
      <c r="J2256" s="345"/>
      <c r="K2256" s="703"/>
      <c r="L2256" s="342"/>
      <c r="M2256" s="342"/>
      <c r="N2256" s="340"/>
      <c r="O2256" s="703"/>
      <c r="P2256" s="342"/>
      <c r="Q2256" s="363"/>
      <c r="R2256" s="340"/>
      <c r="S2256" s="342"/>
      <c r="T2256" s="342"/>
      <c r="U2256" s="342"/>
      <c r="V2256" s="340"/>
      <c r="W2256" s="340"/>
    </row>
    <row r="2257" spans="2:23" ht="24" customHeight="1">
      <c r="B2257" s="67"/>
      <c r="H2257" s="347">
        <v>44645</v>
      </c>
      <c r="I2257" s="347"/>
      <c r="J2257" s="345"/>
      <c r="K2257" s="703"/>
      <c r="L2257" s="342"/>
      <c r="M2257" s="342"/>
      <c r="N2257" s="340"/>
      <c r="O2257" s="703"/>
      <c r="P2257" s="342"/>
      <c r="Q2257" s="363"/>
      <c r="R2257" s="340"/>
      <c r="S2257" s="342"/>
      <c r="T2257" s="342"/>
      <c r="U2257" s="342"/>
      <c r="V2257" s="340"/>
      <c r="W2257" s="340"/>
    </row>
    <row r="2258" spans="2:23" ht="24" customHeight="1">
      <c r="B2258" s="67"/>
      <c r="I2258" s="3" t="s">
        <v>59</v>
      </c>
      <c r="J2258" s="345">
        <v>73</v>
      </c>
      <c r="K2258" s="703">
        <v>1255.7491160220993</v>
      </c>
      <c r="L2258" s="342">
        <v>1</v>
      </c>
      <c r="M2258" s="342">
        <v>20.2592</v>
      </c>
      <c r="N2258" s="340">
        <v>25440.472491314918</v>
      </c>
      <c r="O2258" s="703">
        <v>2091.1660504201682</v>
      </c>
      <c r="P2258" s="342">
        <v>1</v>
      </c>
      <c r="Q2258" s="363">
        <v>20.18</v>
      </c>
      <c r="R2258" s="340">
        <v>42199.730897478992</v>
      </c>
      <c r="S2258" s="342">
        <v>120.15900000000001</v>
      </c>
      <c r="T2258" s="342">
        <v>120.809</v>
      </c>
      <c r="U2258" s="342">
        <v>1.0054000000000001</v>
      </c>
      <c r="V2258" s="340">
        <v>42427.609444325382</v>
      </c>
      <c r="W2258" s="340">
        <v>-16987.136953010464</v>
      </c>
    </row>
    <row r="2259" spans="2:23" ht="24" customHeight="1">
      <c r="J2259" s="345"/>
      <c r="K2259" s="703"/>
      <c r="L2259" s="342"/>
      <c r="M2259" s="342"/>
      <c r="N2259" s="340"/>
      <c r="O2259" s="703"/>
      <c r="P2259" s="342"/>
      <c r="Q2259" s="363"/>
      <c r="R2259" s="340"/>
      <c r="S2259" s="342"/>
      <c r="T2259" s="342"/>
      <c r="U2259" s="342"/>
      <c r="V2259" s="340"/>
      <c r="W2259" s="340"/>
    </row>
    <row r="2260" spans="2:23" ht="24" customHeight="1">
      <c r="B2260" s="67"/>
      <c r="H2260" s="347">
        <v>44656</v>
      </c>
      <c r="I2260" s="347"/>
      <c r="J2260" s="345"/>
      <c r="K2260" s="703"/>
      <c r="L2260" s="342"/>
      <c r="M2260" s="342"/>
      <c r="N2260" s="340"/>
      <c r="O2260" s="703"/>
      <c r="P2260" s="342"/>
      <c r="Q2260" s="363"/>
      <c r="R2260" s="340"/>
      <c r="S2260" s="342"/>
      <c r="T2260" s="342"/>
      <c r="U2260" s="342"/>
      <c r="V2260" s="340"/>
      <c r="W2260" s="340"/>
    </row>
    <row r="2261" spans="2:23" ht="24" customHeight="1">
      <c r="B2261" s="67"/>
      <c r="I2261" s="3" t="s">
        <v>59</v>
      </c>
      <c r="J2261" s="345">
        <v>290</v>
      </c>
      <c r="K2261" s="703">
        <v>4988.6408839779006</v>
      </c>
      <c r="L2261" s="342">
        <v>1</v>
      </c>
      <c r="M2261" s="342">
        <v>20.2592</v>
      </c>
      <c r="N2261" s="340">
        <v>101065.87339668509</v>
      </c>
      <c r="O2261" s="703">
        <v>6535.93</v>
      </c>
      <c r="P2261" s="342">
        <v>1</v>
      </c>
      <c r="Q2261" s="363">
        <v>19.8432</v>
      </c>
      <c r="R2261" s="340">
        <v>129693.766176</v>
      </c>
      <c r="S2261" s="342">
        <v>120.809</v>
      </c>
      <c r="T2261" s="342">
        <v>120.809</v>
      </c>
      <c r="U2261" s="342">
        <v>1</v>
      </c>
      <c r="V2261" s="340">
        <v>129693.766176</v>
      </c>
      <c r="W2261" s="340">
        <v>-28627.89277931492</v>
      </c>
    </row>
    <row r="2262" spans="2:23" ht="24" customHeight="1">
      <c r="J2262" s="345"/>
      <c r="K2262" s="703"/>
      <c r="L2262" s="342"/>
      <c r="M2262" s="342"/>
      <c r="N2262" s="340"/>
      <c r="O2262" s="703"/>
      <c r="P2262" s="342"/>
      <c r="Q2262" s="363"/>
      <c r="R2262" s="340"/>
      <c r="S2262" s="342"/>
      <c r="T2262" s="342"/>
      <c r="U2262" s="342"/>
      <c r="V2262" s="340"/>
      <c r="W2262" s="340"/>
    </row>
    <row r="2263" spans="2:23" ht="24" customHeight="1">
      <c r="B2263" s="67"/>
      <c r="E2263" s="131" t="s">
        <v>1152</v>
      </c>
      <c r="F2263" s="131"/>
      <c r="G2263" s="131"/>
      <c r="H2263" s="131"/>
      <c r="I2263" s="131"/>
      <c r="J2263" s="704">
        <v>1798</v>
      </c>
      <c r="K2263" s="705">
        <v>27921.149999999991</v>
      </c>
      <c r="L2263" s="369">
        <v>1</v>
      </c>
      <c r="M2263" s="377">
        <v>20.349440000000012</v>
      </c>
      <c r="N2263" s="706">
        <v>568105.3006079999</v>
      </c>
      <c r="O2263" s="705">
        <v>51551.55</v>
      </c>
      <c r="P2263" s="369">
        <v>1</v>
      </c>
      <c r="Q2263" s="377">
        <v>20.411719999999999</v>
      </c>
      <c r="R2263" s="706">
        <v>1052269.7065849998</v>
      </c>
      <c r="S2263" s="369">
        <v>120.18500000000007</v>
      </c>
      <c r="T2263" s="369">
        <v>120.80900000000005</v>
      </c>
      <c r="U2263" s="369">
        <v>1.0051840000000005</v>
      </c>
      <c r="V2263" s="706">
        <v>1057251.6166632085</v>
      </c>
      <c r="W2263" s="706">
        <v>-489146.31605520856</v>
      </c>
    </row>
    <row r="2264" spans="2:23" ht="24" customHeight="1">
      <c r="J2264" s="345"/>
      <c r="K2264" s="703"/>
      <c r="L2264" s="342"/>
      <c r="M2264" s="342"/>
      <c r="N2264" s="340"/>
      <c r="O2264" s="703"/>
      <c r="P2264" s="342"/>
      <c r="Q2264" s="363"/>
      <c r="R2264" s="340"/>
      <c r="S2264" s="342"/>
      <c r="T2264" s="342"/>
      <c r="U2264" s="342"/>
      <c r="V2264" s="340"/>
      <c r="W2264" s="340"/>
    </row>
    <row r="2265" spans="2:23" ht="24" customHeight="1">
      <c r="B2265" s="67"/>
      <c r="E2265" s="1" t="s">
        <v>891</v>
      </c>
      <c r="J2265" s="345"/>
      <c r="K2265" s="703"/>
      <c r="L2265" s="342"/>
      <c r="M2265" s="342"/>
      <c r="N2265" s="340"/>
      <c r="O2265" s="703"/>
      <c r="P2265" s="342"/>
      <c r="Q2265" s="363"/>
      <c r="R2265" s="340"/>
      <c r="S2265" s="342"/>
      <c r="T2265" s="342"/>
      <c r="U2265" s="342"/>
      <c r="V2265" s="340"/>
      <c r="W2265" s="340"/>
    </row>
    <row r="2266" spans="2:23" ht="24" customHeight="1">
      <c r="B2266" s="67"/>
      <c r="F2266" s="346">
        <v>44589</v>
      </c>
      <c r="G2266" s="346"/>
      <c r="H2266" s="346"/>
      <c r="I2266" s="346"/>
      <c r="J2266" s="345"/>
      <c r="K2266" s="703"/>
      <c r="L2266" s="342"/>
      <c r="M2266" s="342"/>
      <c r="N2266" s="340"/>
      <c r="O2266" s="703"/>
      <c r="P2266" s="342"/>
      <c r="Q2266" s="363"/>
      <c r="R2266" s="340"/>
      <c r="S2266" s="342"/>
      <c r="T2266" s="342"/>
      <c r="U2266" s="342"/>
      <c r="V2266" s="340"/>
      <c r="W2266" s="340"/>
    </row>
    <row r="2267" spans="2:23" ht="24" customHeight="1">
      <c r="B2267" s="67"/>
      <c r="G2267" s="3" t="s">
        <v>59</v>
      </c>
      <c r="H2267" s="3"/>
      <c r="I2267" s="3"/>
      <c r="J2267" s="345"/>
      <c r="K2267" s="703"/>
      <c r="L2267" s="342"/>
      <c r="M2267" s="342"/>
      <c r="N2267" s="340"/>
      <c r="O2267" s="703"/>
      <c r="P2267" s="342"/>
      <c r="Q2267" s="363"/>
      <c r="R2267" s="340"/>
      <c r="S2267" s="342"/>
      <c r="T2267" s="342"/>
      <c r="U2267" s="342"/>
      <c r="V2267" s="340"/>
      <c r="W2267" s="340"/>
    </row>
    <row r="2268" spans="2:23" ht="24" customHeight="1">
      <c r="B2268" s="67"/>
      <c r="H2268" s="347">
        <v>44550</v>
      </c>
      <c r="I2268" s="347"/>
      <c r="J2268" s="345"/>
      <c r="K2268" s="703"/>
      <c r="L2268" s="342"/>
      <c r="M2268" s="342"/>
      <c r="N2268" s="340"/>
      <c r="O2268" s="703"/>
      <c r="P2268" s="342"/>
      <c r="Q2268" s="363"/>
      <c r="R2268" s="340"/>
      <c r="S2268" s="342"/>
      <c r="T2268" s="342"/>
      <c r="U2268" s="342"/>
      <c r="V2268" s="340"/>
      <c r="W2268" s="340"/>
    </row>
    <row r="2269" spans="2:23" ht="24" customHeight="1">
      <c r="B2269" s="67"/>
      <c r="I2269" s="3" t="s">
        <v>59</v>
      </c>
      <c r="J2269" s="345">
        <v>81</v>
      </c>
      <c r="K2269" s="703">
        <v>7630.1126946107779</v>
      </c>
      <c r="L2269" s="342">
        <v>1</v>
      </c>
      <c r="M2269" s="342">
        <v>20.641500000000001</v>
      </c>
      <c r="N2269" s="340">
        <v>157496.97118580836</v>
      </c>
      <c r="O2269" s="703">
        <v>11157.1</v>
      </c>
      <c r="P2269" s="342">
        <v>1</v>
      </c>
      <c r="Q2269" s="363">
        <v>20.9238</v>
      </c>
      <c r="R2269" s="340">
        <v>233448.92898</v>
      </c>
      <c r="S2269" s="342">
        <v>117.30800000000001</v>
      </c>
      <c r="T2269" s="342">
        <v>117.30800000000001</v>
      </c>
      <c r="U2269" s="342">
        <v>1</v>
      </c>
      <c r="V2269" s="340">
        <v>233448.92898</v>
      </c>
      <c r="W2269" s="340">
        <v>-75951.957794191636</v>
      </c>
    </row>
    <row r="2270" spans="2:23" ht="24" customHeight="1">
      <c r="J2270" s="345"/>
      <c r="K2270" s="703"/>
      <c r="L2270" s="342"/>
      <c r="M2270" s="342"/>
      <c r="N2270" s="340"/>
      <c r="O2270" s="703"/>
      <c r="P2270" s="342"/>
      <c r="Q2270" s="363"/>
      <c r="R2270" s="340"/>
      <c r="S2270" s="342"/>
      <c r="T2270" s="342"/>
      <c r="U2270" s="342"/>
      <c r="V2270" s="340"/>
      <c r="W2270" s="340"/>
    </row>
    <row r="2271" spans="2:23" ht="24" customHeight="1">
      <c r="B2271" s="67"/>
      <c r="H2271" s="347">
        <v>44581</v>
      </c>
      <c r="I2271" s="347"/>
      <c r="J2271" s="345"/>
      <c r="K2271" s="703"/>
      <c r="L2271" s="342"/>
      <c r="M2271" s="342"/>
      <c r="N2271" s="340"/>
      <c r="O2271" s="703"/>
      <c r="P2271" s="342"/>
      <c r="Q2271" s="363"/>
      <c r="R2271" s="340"/>
      <c r="S2271" s="342"/>
      <c r="T2271" s="342"/>
      <c r="U2271" s="342"/>
      <c r="V2271" s="340"/>
      <c r="W2271" s="340"/>
    </row>
    <row r="2272" spans="2:23" ht="24" customHeight="1">
      <c r="B2272" s="67"/>
      <c r="I2272" s="3" t="s">
        <v>59</v>
      </c>
      <c r="J2272" s="345">
        <v>40</v>
      </c>
      <c r="K2272" s="703">
        <v>3761.5280898876404</v>
      </c>
      <c r="L2272" s="342">
        <v>1</v>
      </c>
      <c r="M2272" s="342">
        <v>20.641500000000001</v>
      </c>
      <c r="N2272" s="340">
        <v>77643.582067415729</v>
      </c>
      <c r="O2272" s="703">
        <v>4718.1000000000004</v>
      </c>
      <c r="P2272" s="342">
        <v>1</v>
      </c>
      <c r="Q2272" s="363">
        <v>20.402999999999999</v>
      </c>
      <c r="R2272" s="340">
        <v>96263.3943</v>
      </c>
      <c r="S2272" s="342">
        <v>118.002</v>
      </c>
      <c r="T2272" s="342">
        <v>117.30800000000001</v>
      </c>
      <c r="U2272" s="342">
        <v>1</v>
      </c>
      <c r="V2272" s="340">
        <v>96263.3943</v>
      </c>
      <c r="W2272" s="340">
        <v>-18619.812232584271</v>
      </c>
    </row>
    <row r="2273" spans="2:23" ht="24" customHeight="1">
      <c r="J2273" s="345"/>
      <c r="K2273" s="703"/>
      <c r="L2273" s="342"/>
      <c r="M2273" s="342"/>
      <c r="N2273" s="340"/>
      <c r="O2273" s="703"/>
      <c r="P2273" s="342"/>
      <c r="Q2273" s="363"/>
      <c r="R2273" s="340"/>
      <c r="S2273" s="342"/>
      <c r="T2273" s="342"/>
      <c r="U2273" s="342"/>
      <c r="V2273" s="340"/>
      <c r="W2273" s="340"/>
    </row>
    <row r="2274" spans="2:23" ht="24" customHeight="1">
      <c r="B2274" s="67"/>
      <c r="H2274" s="347">
        <v>44573</v>
      </c>
      <c r="I2274" s="347"/>
      <c r="J2274" s="345"/>
      <c r="K2274" s="703"/>
      <c r="L2274" s="342"/>
      <c r="M2274" s="342"/>
      <c r="N2274" s="340"/>
      <c r="O2274" s="703"/>
      <c r="P2274" s="342"/>
      <c r="Q2274" s="363"/>
      <c r="R2274" s="340"/>
      <c r="S2274" s="342"/>
      <c r="T2274" s="342"/>
      <c r="U2274" s="342"/>
      <c r="V2274" s="340"/>
      <c r="W2274" s="340"/>
    </row>
    <row r="2275" spans="2:23" ht="24" customHeight="1">
      <c r="B2275" s="67"/>
      <c r="I2275" s="3" t="s">
        <v>59</v>
      </c>
      <c r="J2275" s="345">
        <v>39</v>
      </c>
      <c r="K2275" s="703">
        <v>3667.4898876404495</v>
      </c>
      <c r="L2275" s="342">
        <v>1</v>
      </c>
      <c r="M2275" s="342">
        <v>20.641500000000001</v>
      </c>
      <c r="N2275" s="340">
        <v>75702.492515730337</v>
      </c>
      <c r="O2275" s="703">
        <v>5018.2299999999996</v>
      </c>
      <c r="P2275" s="342">
        <v>1</v>
      </c>
      <c r="Q2275" s="363">
        <v>20.4453</v>
      </c>
      <c r="R2275" s="340">
        <v>102599.21781899998</v>
      </c>
      <c r="S2275" s="342">
        <v>118.002</v>
      </c>
      <c r="T2275" s="342">
        <v>117.30800000000001</v>
      </c>
      <c r="U2275" s="342">
        <v>1</v>
      </c>
      <c r="V2275" s="340">
        <v>102599.21781899998</v>
      </c>
      <c r="W2275" s="340">
        <v>-26896.725303269646</v>
      </c>
    </row>
    <row r="2276" spans="2:23" ht="24" customHeight="1">
      <c r="J2276" s="345"/>
      <c r="K2276" s="703"/>
      <c r="L2276" s="342"/>
      <c r="M2276" s="342"/>
      <c r="N2276" s="340"/>
      <c r="O2276" s="703"/>
      <c r="P2276" s="342"/>
      <c r="Q2276" s="363"/>
      <c r="R2276" s="340"/>
      <c r="S2276" s="342"/>
      <c r="T2276" s="342"/>
      <c r="U2276" s="342"/>
      <c r="V2276" s="340"/>
      <c r="W2276" s="340"/>
    </row>
    <row r="2277" spans="2:23" ht="24" customHeight="1">
      <c r="B2277" s="67"/>
      <c r="H2277" s="347">
        <v>44557</v>
      </c>
      <c r="I2277" s="347"/>
      <c r="J2277" s="345"/>
      <c r="K2277" s="703"/>
      <c r="L2277" s="342"/>
      <c r="M2277" s="342"/>
      <c r="N2277" s="340"/>
      <c r="O2277" s="703"/>
      <c r="P2277" s="342"/>
      <c r="Q2277" s="363"/>
      <c r="R2277" s="340"/>
      <c r="S2277" s="342"/>
      <c r="T2277" s="342"/>
      <c r="U2277" s="342"/>
      <c r="V2277" s="340"/>
      <c r="W2277" s="340"/>
    </row>
    <row r="2278" spans="2:23" ht="24" customHeight="1">
      <c r="B2278" s="67"/>
      <c r="I2278" s="3" t="s">
        <v>59</v>
      </c>
      <c r="J2278" s="345">
        <v>41</v>
      </c>
      <c r="K2278" s="703">
        <v>3862.1558083832333</v>
      </c>
      <c r="L2278" s="342">
        <v>1</v>
      </c>
      <c r="M2278" s="342">
        <v>20.641500000000001</v>
      </c>
      <c r="N2278" s="340">
        <v>79720.689118742506</v>
      </c>
      <c r="O2278" s="703">
        <v>6035.93</v>
      </c>
      <c r="P2278" s="342">
        <v>1</v>
      </c>
      <c r="Q2278" s="363">
        <v>20.658200000000001</v>
      </c>
      <c r="R2278" s="340">
        <v>124691.44912600001</v>
      </c>
      <c r="S2278" s="342">
        <v>117.30800000000001</v>
      </c>
      <c r="T2278" s="342">
        <v>117.30800000000001</v>
      </c>
      <c r="U2278" s="342">
        <v>1</v>
      </c>
      <c r="V2278" s="340">
        <v>124691.44912600001</v>
      </c>
      <c r="W2278" s="340">
        <v>-44970.760007257501</v>
      </c>
    </row>
    <row r="2279" spans="2:23" ht="24" customHeight="1">
      <c r="J2279" s="345"/>
      <c r="K2279" s="703"/>
      <c r="L2279" s="342"/>
      <c r="M2279" s="342"/>
      <c r="N2279" s="340"/>
      <c r="O2279" s="703"/>
      <c r="P2279" s="342"/>
      <c r="Q2279" s="363"/>
      <c r="R2279" s="340"/>
      <c r="S2279" s="342"/>
      <c r="T2279" s="342"/>
      <c r="U2279" s="342"/>
      <c r="V2279" s="340"/>
      <c r="W2279" s="340"/>
    </row>
    <row r="2280" spans="2:23" ht="24" customHeight="1">
      <c r="B2280" s="67"/>
      <c r="H2280" s="347">
        <v>44559</v>
      </c>
      <c r="I2280" s="347"/>
      <c r="J2280" s="345"/>
      <c r="K2280" s="703"/>
      <c r="L2280" s="342"/>
      <c r="M2280" s="342"/>
      <c r="N2280" s="340"/>
      <c r="O2280" s="703"/>
      <c r="P2280" s="342"/>
      <c r="Q2280" s="363"/>
      <c r="R2280" s="340"/>
      <c r="S2280" s="342"/>
      <c r="T2280" s="342"/>
      <c r="U2280" s="342"/>
      <c r="V2280" s="340"/>
      <c r="W2280" s="340"/>
    </row>
    <row r="2281" spans="2:23" ht="24" customHeight="1">
      <c r="B2281" s="67"/>
      <c r="I2281" s="3" t="s">
        <v>59</v>
      </c>
      <c r="J2281" s="345">
        <v>60</v>
      </c>
      <c r="K2281" s="703">
        <v>5643.0957343739483</v>
      </c>
      <c r="L2281" s="342">
        <v>1</v>
      </c>
      <c r="M2281" s="342">
        <v>20.641500000000001</v>
      </c>
      <c r="N2281" s="340">
        <v>116481.96060107986</v>
      </c>
      <c r="O2281" s="703">
        <v>8631.08</v>
      </c>
      <c r="P2281" s="342">
        <v>1</v>
      </c>
      <c r="Q2281" s="363">
        <v>20.6828</v>
      </c>
      <c r="R2281" s="340">
        <v>178514.90142400001</v>
      </c>
      <c r="S2281" s="342">
        <v>117.30800000000001</v>
      </c>
      <c r="T2281" s="342">
        <v>117.30800000000001</v>
      </c>
      <c r="U2281" s="342">
        <v>1</v>
      </c>
      <c r="V2281" s="340">
        <v>178514.90142400001</v>
      </c>
      <c r="W2281" s="340">
        <v>-62032.940822920136</v>
      </c>
    </row>
    <row r="2282" spans="2:23" ht="24" customHeight="1">
      <c r="J2282" s="345"/>
      <c r="K2282" s="703"/>
      <c r="L2282" s="342"/>
      <c r="M2282" s="342"/>
      <c r="N2282" s="340"/>
      <c r="O2282" s="703"/>
      <c r="P2282" s="342"/>
      <c r="Q2282" s="363"/>
      <c r="R2282" s="340"/>
      <c r="S2282" s="342"/>
      <c r="T2282" s="342"/>
      <c r="U2282" s="342"/>
      <c r="V2282" s="340"/>
      <c r="W2282" s="340"/>
    </row>
    <row r="2283" spans="2:23" ht="24" customHeight="1">
      <c r="B2283" s="67"/>
      <c r="H2283" s="347">
        <v>44553</v>
      </c>
      <c r="I2283" s="347"/>
      <c r="J2283" s="345"/>
      <c r="K2283" s="703"/>
      <c r="L2283" s="342"/>
      <c r="M2283" s="342"/>
      <c r="N2283" s="340"/>
      <c r="O2283" s="703"/>
      <c r="P2283" s="342"/>
      <c r="Q2283" s="363"/>
      <c r="R2283" s="340"/>
      <c r="S2283" s="342"/>
      <c r="T2283" s="342"/>
      <c r="U2283" s="342"/>
      <c r="V2283" s="340"/>
      <c r="W2283" s="340"/>
    </row>
    <row r="2284" spans="2:23" ht="24" customHeight="1">
      <c r="B2284" s="67"/>
      <c r="I2284" s="3" t="s">
        <v>59</v>
      </c>
      <c r="J2284" s="345">
        <v>40</v>
      </c>
      <c r="K2284" s="703">
        <v>3767.9568862275446</v>
      </c>
      <c r="L2284" s="342">
        <v>1</v>
      </c>
      <c r="M2284" s="342">
        <v>20.641500000000001</v>
      </c>
      <c r="N2284" s="340">
        <v>77776.282067065869</v>
      </c>
      <c r="O2284" s="703">
        <v>5825.08</v>
      </c>
      <c r="P2284" s="342">
        <v>1</v>
      </c>
      <c r="Q2284" s="363">
        <v>20.782299999999999</v>
      </c>
      <c r="R2284" s="340">
        <v>121058.560084</v>
      </c>
      <c r="S2284" s="342">
        <v>117.30800000000001</v>
      </c>
      <c r="T2284" s="342">
        <v>117.30800000000001</v>
      </c>
      <c r="U2284" s="342">
        <v>1</v>
      </c>
      <c r="V2284" s="340">
        <v>121058.560084</v>
      </c>
      <c r="W2284" s="340">
        <v>-43282.278016934128</v>
      </c>
    </row>
    <row r="2285" spans="2:23" ht="24" customHeight="1">
      <c r="J2285" s="345"/>
      <c r="K2285" s="703"/>
      <c r="L2285" s="342"/>
      <c r="M2285" s="342"/>
      <c r="N2285" s="340"/>
      <c r="O2285" s="703"/>
      <c r="P2285" s="342"/>
      <c r="Q2285" s="363"/>
      <c r="R2285" s="340"/>
      <c r="S2285" s="342"/>
      <c r="T2285" s="342"/>
      <c r="U2285" s="342"/>
      <c r="V2285" s="340"/>
      <c r="W2285" s="340"/>
    </row>
    <row r="2286" spans="2:23" ht="24" customHeight="1">
      <c r="B2286" s="67"/>
      <c r="H2286" s="347">
        <v>44564</v>
      </c>
      <c r="I2286" s="347"/>
      <c r="J2286" s="345"/>
      <c r="K2286" s="703"/>
      <c r="L2286" s="342"/>
      <c r="M2286" s="342"/>
      <c r="N2286" s="340"/>
      <c r="O2286" s="703"/>
      <c r="P2286" s="342"/>
      <c r="Q2286" s="363"/>
      <c r="R2286" s="340"/>
      <c r="S2286" s="342"/>
      <c r="T2286" s="342"/>
      <c r="U2286" s="342"/>
      <c r="V2286" s="340"/>
      <c r="W2286" s="340"/>
    </row>
    <row r="2287" spans="2:23" ht="24" customHeight="1">
      <c r="B2287" s="67"/>
      <c r="I2287" s="3" t="s">
        <v>59</v>
      </c>
      <c r="J2287" s="345">
        <v>44</v>
      </c>
      <c r="K2287" s="703">
        <v>4137.6808988764042</v>
      </c>
      <c r="L2287" s="342">
        <v>1</v>
      </c>
      <c r="M2287" s="342">
        <v>20.641500000000001</v>
      </c>
      <c r="N2287" s="340">
        <v>85407.940274157299</v>
      </c>
      <c r="O2287" s="703">
        <v>6098.5099999999993</v>
      </c>
      <c r="P2287" s="342">
        <v>1</v>
      </c>
      <c r="Q2287" s="363">
        <v>20.515699999999999</v>
      </c>
      <c r="R2287" s="340">
        <v>125115.20160699998</v>
      </c>
      <c r="S2287" s="342">
        <v>118.002</v>
      </c>
      <c r="T2287" s="342">
        <v>117.30800000000001</v>
      </c>
      <c r="U2287" s="342">
        <v>1</v>
      </c>
      <c r="V2287" s="340">
        <v>125115.20160699998</v>
      </c>
      <c r="W2287" s="340">
        <v>-39707.261332842681</v>
      </c>
    </row>
    <row r="2288" spans="2:23" ht="24" customHeight="1">
      <c r="J2288" s="345"/>
      <c r="K2288" s="703"/>
      <c r="L2288" s="342"/>
      <c r="M2288" s="342"/>
      <c r="N2288" s="340"/>
      <c r="O2288" s="703"/>
      <c r="P2288" s="342"/>
      <c r="Q2288" s="363"/>
      <c r="R2288" s="340"/>
      <c r="S2288" s="342"/>
      <c r="T2288" s="342"/>
      <c r="U2288" s="342"/>
      <c r="V2288" s="340"/>
      <c r="W2288" s="340"/>
    </row>
    <row r="2289" spans="2:23" ht="24" customHeight="1">
      <c r="B2289" s="67"/>
      <c r="E2289" s="131" t="s">
        <v>1153</v>
      </c>
      <c r="F2289" s="131"/>
      <c r="G2289" s="131"/>
      <c r="H2289" s="131"/>
      <c r="I2289" s="131"/>
      <c r="J2289" s="704">
        <v>345</v>
      </c>
      <c r="K2289" s="705">
        <v>32470.019999999997</v>
      </c>
      <c r="L2289" s="369">
        <v>1</v>
      </c>
      <c r="M2289" s="377">
        <v>20.641500000000004</v>
      </c>
      <c r="N2289" s="706">
        <v>670229.91782999993</v>
      </c>
      <c r="O2289" s="705">
        <v>47484.030000000006</v>
      </c>
      <c r="P2289" s="369">
        <v>1</v>
      </c>
      <c r="Q2289" s="377">
        <v>20.668633333333332</v>
      </c>
      <c r="R2289" s="706">
        <v>981691.65334000008</v>
      </c>
      <c r="S2289" s="369">
        <v>117.53933333333333</v>
      </c>
      <c r="T2289" s="369">
        <v>117.30800000000002</v>
      </c>
      <c r="U2289" s="369">
        <v>1</v>
      </c>
      <c r="V2289" s="706">
        <v>981691.65334000008</v>
      </c>
      <c r="W2289" s="706">
        <v>-311461.73550999997</v>
      </c>
    </row>
    <row r="2290" spans="2:23" ht="24" customHeight="1">
      <c r="J2290" s="345"/>
      <c r="K2290" s="703"/>
      <c r="L2290" s="342"/>
      <c r="M2290" s="342"/>
      <c r="N2290" s="340"/>
      <c r="O2290" s="703"/>
      <c r="P2290" s="342"/>
      <c r="Q2290" s="363"/>
      <c r="R2290" s="340"/>
      <c r="S2290" s="342"/>
      <c r="T2290" s="342"/>
      <c r="U2290" s="342"/>
      <c r="V2290" s="340"/>
      <c r="W2290" s="340"/>
    </row>
    <row r="2291" spans="2:23" ht="24" customHeight="1">
      <c r="B2291" s="67"/>
      <c r="E2291" s="1" t="s">
        <v>714</v>
      </c>
      <c r="J2291" s="345"/>
      <c r="K2291" s="703"/>
      <c r="L2291" s="342"/>
      <c r="M2291" s="342"/>
      <c r="N2291" s="340"/>
      <c r="O2291" s="703"/>
      <c r="P2291" s="342"/>
      <c r="Q2291" s="363"/>
      <c r="R2291" s="340"/>
      <c r="S2291" s="342"/>
      <c r="T2291" s="342"/>
      <c r="U2291" s="342"/>
      <c r="V2291" s="340"/>
      <c r="W2291" s="340"/>
    </row>
    <row r="2292" spans="2:23" ht="24" customHeight="1">
      <c r="B2292" s="67"/>
      <c r="F2292" s="346">
        <v>44672</v>
      </c>
      <c r="G2292" s="346"/>
      <c r="H2292" s="346"/>
      <c r="I2292" s="346"/>
      <c r="J2292" s="345"/>
      <c r="K2292" s="703"/>
      <c r="L2292" s="342"/>
      <c r="M2292" s="342"/>
      <c r="N2292" s="340"/>
      <c r="O2292" s="703"/>
      <c r="P2292" s="342"/>
      <c r="Q2292" s="363"/>
      <c r="R2292" s="340"/>
      <c r="S2292" s="342"/>
      <c r="T2292" s="342"/>
      <c r="U2292" s="342"/>
      <c r="V2292" s="340"/>
      <c r="W2292" s="340"/>
    </row>
    <row r="2293" spans="2:23" ht="24" customHeight="1">
      <c r="B2293" s="67"/>
      <c r="G2293" s="3" t="s">
        <v>59</v>
      </c>
      <c r="H2293" s="3"/>
      <c r="I2293" s="3"/>
      <c r="J2293" s="345"/>
      <c r="K2293" s="703"/>
      <c r="L2293" s="342"/>
      <c r="M2293" s="342"/>
      <c r="N2293" s="340"/>
      <c r="O2293" s="703"/>
      <c r="P2293" s="342"/>
      <c r="Q2293" s="363"/>
      <c r="R2293" s="340"/>
      <c r="S2293" s="342"/>
      <c r="T2293" s="342"/>
      <c r="U2293" s="342"/>
      <c r="V2293" s="340"/>
      <c r="W2293" s="340"/>
    </row>
    <row r="2294" spans="2:23" ht="24" customHeight="1">
      <c r="B2294" s="67"/>
      <c r="H2294" s="347">
        <v>44251</v>
      </c>
      <c r="I2294" s="347"/>
      <c r="J2294" s="345"/>
      <c r="K2294" s="703"/>
      <c r="L2294" s="342"/>
      <c r="M2294" s="342"/>
      <c r="N2294" s="340"/>
      <c r="O2294" s="703"/>
      <c r="P2294" s="342"/>
      <c r="Q2294" s="363"/>
      <c r="R2294" s="340"/>
      <c r="S2294" s="342"/>
      <c r="T2294" s="342"/>
      <c r="U2294" s="342"/>
      <c r="V2294" s="340"/>
      <c r="W2294" s="340"/>
    </row>
    <row r="2295" spans="2:23" ht="24" customHeight="1">
      <c r="B2295" s="67"/>
      <c r="I2295" s="3" t="s">
        <v>59</v>
      </c>
      <c r="J2295" s="345">
        <v>27</v>
      </c>
      <c r="K2295" s="703">
        <v>3592.251666666667</v>
      </c>
      <c r="L2295" s="342">
        <v>1</v>
      </c>
      <c r="M2295" s="342">
        <v>20.044699999999999</v>
      </c>
      <c r="N2295" s="340">
        <v>72005.606982833327</v>
      </c>
      <c r="O2295" s="703">
        <v>5653.4563636363646</v>
      </c>
      <c r="P2295" s="342">
        <v>1</v>
      </c>
      <c r="Q2295" s="363">
        <v>20.6783</v>
      </c>
      <c r="R2295" s="340">
        <v>116903.86672418183</v>
      </c>
      <c r="S2295" s="342">
        <v>110.907</v>
      </c>
      <c r="T2295" s="342">
        <v>120.15900000000001</v>
      </c>
      <c r="U2295" s="342">
        <v>1.0833999999999999</v>
      </c>
      <c r="V2295" s="340">
        <v>126653.64920897858</v>
      </c>
      <c r="W2295" s="340">
        <v>-54648.042226145255</v>
      </c>
    </row>
    <row r="2296" spans="2:23" ht="24" customHeight="1">
      <c r="J2296" s="345"/>
      <c r="K2296" s="703"/>
      <c r="L2296" s="342"/>
      <c r="M2296" s="342"/>
      <c r="N2296" s="340"/>
      <c r="O2296" s="703"/>
      <c r="P2296" s="342"/>
      <c r="Q2296" s="363"/>
      <c r="R2296" s="340"/>
      <c r="S2296" s="342"/>
      <c r="T2296" s="342"/>
      <c r="U2296" s="342"/>
      <c r="V2296" s="340"/>
      <c r="W2296" s="340"/>
    </row>
    <row r="2297" spans="2:23" ht="24" customHeight="1">
      <c r="B2297" s="67"/>
      <c r="H2297" s="347">
        <v>44253</v>
      </c>
      <c r="I2297" s="347"/>
      <c r="J2297" s="345"/>
      <c r="K2297" s="703"/>
      <c r="L2297" s="342"/>
      <c r="M2297" s="342"/>
      <c r="N2297" s="340"/>
      <c r="O2297" s="703"/>
      <c r="P2297" s="342"/>
      <c r="Q2297" s="363"/>
      <c r="R2297" s="340"/>
      <c r="S2297" s="342"/>
      <c r="T2297" s="342"/>
      <c r="U2297" s="342"/>
      <c r="V2297" s="340"/>
      <c r="W2297" s="340"/>
    </row>
    <row r="2298" spans="2:23" ht="24" customHeight="1">
      <c r="B2298" s="67"/>
      <c r="I2298" s="3" t="s">
        <v>59</v>
      </c>
      <c r="J2298" s="345">
        <v>65</v>
      </c>
      <c r="K2298" s="703">
        <v>8615.8183333333327</v>
      </c>
      <c r="L2298" s="342">
        <v>1</v>
      </c>
      <c r="M2298" s="342">
        <v>20.044699999999999</v>
      </c>
      <c r="N2298" s="340">
        <v>172701.49374616664</v>
      </c>
      <c r="O2298" s="703">
        <v>10636.414285714287</v>
      </c>
      <c r="P2298" s="342">
        <v>1</v>
      </c>
      <c r="Q2298" s="363">
        <v>20.475200000000001</v>
      </c>
      <c r="R2298" s="340">
        <v>217782.70978285716</v>
      </c>
      <c r="S2298" s="342">
        <v>110.907</v>
      </c>
      <c r="T2298" s="342">
        <v>120.15900000000001</v>
      </c>
      <c r="U2298" s="342">
        <v>1.0833999999999999</v>
      </c>
      <c r="V2298" s="340">
        <v>235945.78777874741</v>
      </c>
      <c r="W2298" s="340">
        <v>-63244.294032580765</v>
      </c>
    </row>
    <row r="2299" spans="2:23" ht="24" customHeight="1">
      <c r="J2299" s="345"/>
      <c r="K2299" s="703"/>
      <c r="L2299" s="342"/>
      <c r="M2299" s="342"/>
      <c r="N2299" s="340"/>
      <c r="O2299" s="703"/>
      <c r="P2299" s="342"/>
      <c r="Q2299" s="363"/>
      <c r="R2299" s="340"/>
      <c r="S2299" s="342"/>
      <c r="T2299" s="342"/>
      <c r="U2299" s="342"/>
      <c r="V2299" s="340"/>
      <c r="W2299" s="340"/>
    </row>
    <row r="2300" spans="2:23" ht="24" customHeight="1">
      <c r="B2300" s="67"/>
      <c r="F2300" s="346">
        <v>44673</v>
      </c>
      <c r="G2300" s="346"/>
      <c r="H2300" s="346"/>
      <c r="I2300" s="346"/>
      <c r="J2300" s="345"/>
      <c r="K2300" s="703"/>
      <c r="L2300" s="342"/>
      <c r="M2300" s="342"/>
      <c r="N2300" s="340"/>
      <c r="O2300" s="703"/>
      <c r="P2300" s="342"/>
      <c r="Q2300" s="363"/>
      <c r="R2300" s="340"/>
      <c r="S2300" s="342"/>
      <c r="T2300" s="342"/>
      <c r="U2300" s="342"/>
      <c r="V2300" s="340"/>
      <c r="W2300" s="340"/>
    </row>
    <row r="2301" spans="2:23" ht="24" customHeight="1">
      <c r="B2301" s="67"/>
      <c r="G2301" s="3" t="s">
        <v>59</v>
      </c>
      <c r="H2301" s="3"/>
      <c r="I2301" s="3"/>
      <c r="J2301" s="345"/>
      <c r="K2301" s="703"/>
      <c r="L2301" s="342"/>
      <c r="M2301" s="342"/>
      <c r="N2301" s="340"/>
      <c r="O2301" s="703"/>
      <c r="P2301" s="342"/>
      <c r="Q2301" s="363"/>
      <c r="R2301" s="340"/>
      <c r="S2301" s="342"/>
      <c r="T2301" s="342"/>
      <c r="U2301" s="342"/>
      <c r="V2301" s="340"/>
      <c r="W2301" s="340"/>
    </row>
    <row r="2302" spans="2:23" ht="24" customHeight="1">
      <c r="B2302" s="67"/>
      <c r="H2302" s="347">
        <v>44259</v>
      </c>
      <c r="I2302" s="347"/>
      <c r="J2302" s="345"/>
      <c r="K2302" s="703"/>
      <c r="L2302" s="342"/>
      <c r="M2302" s="342"/>
      <c r="N2302" s="340"/>
      <c r="O2302" s="703"/>
      <c r="P2302" s="342"/>
      <c r="Q2302" s="363"/>
      <c r="R2302" s="340"/>
      <c r="S2302" s="342"/>
      <c r="T2302" s="342"/>
      <c r="U2302" s="342"/>
      <c r="V2302" s="340"/>
      <c r="W2302" s="340"/>
    </row>
    <row r="2303" spans="2:23" ht="24" customHeight="1">
      <c r="B2303" s="67"/>
      <c r="I2303" s="3" t="s">
        <v>59</v>
      </c>
      <c r="J2303" s="345">
        <v>8</v>
      </c>
      <c r="K2303" s="703">
        <v>1009.5644444444445</v>
      </c>
      <c r="L2303" s="342">
        <v>1</v>
      </c>
      <c r="M2303" s="342">
        <v>20.0383</v>
      </c>
      <c r="N2303" s="340">
        <v>20229.95520711111</v>
      </c>
      <c r="O2303" s="703">
        <v>1271.3343749999999</v>
      </c>
      <c r="P2303" s="342">
        <v>1</v>
      </c>
      <c r="Q2303" s="363">
        <v>20.690300000000001</v>
      </c>
      <c r="R2303" s="340">
        <v>26304.2896190625</v>
      </c>
      <c r="S2303" s="342">
        <v>111.824</v>
      </c>
      <c r="T2303" s="342">
        <v>120.15900000000001</v>
      </c>
      <c r="U2303" s="342">
        <v>1.0745</v>
      </c>
      <c r="V2303" s="340">
        <v>28263.959195682655</v>
      </c>
      <c r="W2303" s="340">
        <v>-8034.0039885715451</v>
      </c>
    </row>
    <row r="2304" spans="2:23" ht="24" customHeight="1">
      <c r="J2304" s="345"/>
      <c r="K2304" s="703"/>
      <c r="L2304" s="342"/>
      <c r="M2304" s="342"/>
      <c r="N2304" s="340"/>
      <c r="O2304" s="703"/>
      <c r="P2304" s="342"/>
      <c r="Q2304" s="363"/>
      <c r="R2304" s="340"/>
      <c r="S2304" s="342"/>
      <c r="T2304" s="342"/>
      <c r="U2304" s="342"/>
      <c r="V2304" s="340"/>
      <c r="W2304" s="340"/>
    </row>
    <row r="2305" spans="2:23" ht="24" customHeight="1">
      <c r="B2305" s="67"/>
      <c r="H2305" s="347">
        <v>44253</v>
      </c>
      <c r="I2305" s="347"/>
      <c r="J2305" s="345"/>
      <c r="K2305" s="703"/>
      <c r="L2305" s="342"/>
      <c r="M2305" s="342"/>
      <c r="N2305" s="340"/>
      <c r="O2305" s="703"/>
      <c r="P2305" s="342"/>
      <c r="Q2305" s="363"/>
      <c r="R2305" s="340"/>
      <c r="S2305" s="342"/>
      <c r="T2305" s="342"/>
      <c r="U2305" s="342"/>
      <c r="V2305" s="340"/>
      <c r="W2305" s="340"/>
    </row>
    <row r="2306" spans="2:23" ht="24" customHeight="1">
      <c r="B2306" s="67"/>
      <c r="I2306" s="3" t="s">
        <v>59</v>
      </c>
      <c r="J2306" s="345">
        <v>5</v>
      </c>
      <c r="K2306" s="703">
        <v>629.26555555555558</v>
      </c>
      <c r="L2306" s="342">
        <v>1</v>
      </c>
      <c r="M2306" s="342">
        <v>20.0383</v>
      </c>
      <c r="N2306" s="340">
        <v>12609.411981888888</v>
      </c>
      <c r="O2306" s="703">
        <v>818.18571428571431</v>
      </c>
      <c r="P2306" s="342">
        <v>1</v>
      </c>
      <c r="Q2306" s="363">
        <v>20.475200000000001</v>
      </c>
      <c r="R2306" s="340">
        <v>16752.516137142858</v>
      </c>
      <c r="S2306" s="342">
        <v>110.907</v>
      </c>
      <c r="T2306" s="342">
        <v>120.15900000000001</v>
      </c>
      <c r="U2306" s="342">
        <v>1.0833999999999999</v>
      </c>
      <c r="V2306" s="340">
        <v>18149.675982980574</v>
      </c>
      <c r="W2306" s="340">
        <v>-5540.2640010916839</v>
      </c>
    </row>
    <row r="2307" spans="2:23" ht="24" customHeight="1">
      <c r="J2307" s="345"/>
      <c r="K2307" s="703"/>
      <c r="L2307" s="342"/>
      <c r="M2307" s="342"/>
      <c r="N2307" s="340"/>
      <c r="O2307" s="703"/>
      <c r="P2307" s="342"/>
      <c r="Q2307" s="363"/>
      <c r="R2307" s="340"/>
      <c r="S2307" s="342"/>
      <c r="T2307" s="342"/>
      <c r="U2307" s="342"/>
      <c r="V2307" s="340"/>
      <c r="W2307" s="340"/>
    </row>
    <row r="2308" spans="2:23" ht="24" customHeight="1">
      <c r="B2308" s="67"/>
      <c r="F2308" s="346">
        <v>44770</v>
      </c>
      <c r="G2308" s="346"/>
      <c r="H2308" s="346"/>
      <c r="I2308" s="346"/>
      <c r="J2308" s="345"/>
      <c r="K2308" s="703"/>
      <c r="L2308" s="342"/>
      <c r="M2308" s="342"/>
      <c r="N2308" s="340"/>
      <c r="O2308" s="703"/>
      <c r="P2308" s="342"/>
      <c r="Q2308" s="363"/>
      <c r="R2308" s="340"/>
      <c r="S2308" s="342"/>
      <c r="T2308" s="342"/>
      <c r="U2308" s="342"/>
      <c r="V2308" s="340"/>
      <c r="W2308" s="340"/>
    </row>
    <row r="2309" spans="2:23" ht="24" customHeight="1">
      <c r="B2309" s="67"/>
      <c r="G2309" s="3" t="s">
        <v>59</v>
      </c>
      <c r="H2309" s="3"/>
      <c r="I2309" s="3"/>
      <c r="J2309" s="345"/>
      <c r="K2309" s="703"/>
      <c r="L2309" s="342"/>
      <c r="M2309" s="342"/>
      <c r="N2309" s="340"/>
      <c r="O2309" s="703"/>
      <c r="P2309" s="342"/>
      <c r="Q2309" s="363"/>
      <c r="R2309" s="340"/>
      <c r="S2309" s="342"/>
      <c r="T2309" s="342"/>
      <c r="U2309" s="342"/>
      <c r="V2309" s="340"/>
      <c r="W2309" s="340"/>
    </row>
    <row r="2310" spans="2:23" ht="24" customHeight="1">
      <c r="B2310" s="67"/>
      <c r="H2310" s="347">
        <v>44259</v>
      </c>
      <c r="I2310" s="347"/>
      <c r="J2310" s="345"/>
      <c r="K2310" s="703"/>
      <c r="L2310" s="342"/>
      <c r="M2310" s="342"/>
      <c r="N2310" s="340"/>
      <c r="O2310" s="703"/>
      <c r="P2310" s="342"/>
      <c r="Q2310" s="363"/>
      <c r="R2310" s="340"/>
      <c r="S2310" s="342"/>
      <c r="T2310" s="342"/>
      <c r="U2310" s="342"/>
      <c r="V2310" s="340"/>
      <c r="W2310" s="340"/>
    </row>
    <row r="2311" spans="2:23" ht="24" customHeight="1">
      <c r="B2311" s="67"/>
      <c r="I2311" s="3" t="s">
        <v>59</v>
      </c>
      <c r="J2311" s="345">
        <v>120</v>
      </c>
      <c r="K2311" s="703">
        <v>13187.633404255317</v>
      </c>
      <c r="L2311" s="342">
        <v>1</v>
      </c>
      <c r="M2311" s="342">
        <v>20.433</v>
      </c>
      <c r="N2311" s="340">
        <v>269462.91334914893</v>
      </c>
      <c r="O2311" s="703">
        <v>19070.015625</v>
      </c>
      <c r="P2311" s="342">
        <v>1</v>
      </c>
      <c r="Q2311" s="363">
        <v>20.690300000000001</v>
      </c>
      <c r="R2311" s="340">
        <v>394564.34428593749</v>
      </c>
      <c r="S2311" s="342">
        <v>111.824</v>
      </c>
      <c r="T2311" s="342">
        <v>122.044</v>
      </c>
      <c r="U2311" s="342">
        <v>1.0912999999999999</v>
      </c>
      <c r="V2311" s="340">
        <v>430588.06891924352</v>
      </c>
      <c r="W2311" s="340">
        <v>-161125.15557009465</v>
      </c>
    </row>
    <row r="2312" spans="2:23" ht="24" customHeight="1">
      <c r="J2312" s="345"/>
      <c r="K2312" s="703"/>
      <c r="L2312" s="342"/>
      <c r="M2312" s="342"/>
      <c r="N2312" s="340"/>
      <c r="O2312" s="703"/>
      <c r="P2312" s="342"/>
      <c r="Q2312" s="363"/>
      <c r="R2312" s="340"/>
      <c r="S2312" s="342"/>
      <c r="T2312" s="342"/>
      <c r="U2312" s="342"/>
      <c r="V2312" s="340"/>
      <c r="W2312" s="340"/>
    </row>
    <row r="2313" spans="2:23" ht="24" customHeight="1">
      <c r="B2313" s="67"/>
      <c r="H2313" s="347">
        <v>44341</v>
      </c>
      <c r="I2313" s="347"/>
      <c r="J2313" s="345"/>
      <c r="K2313" s="703"/>
      <c r="L2313" s="342"/>
      <c r="M2313" s="342"/>
      <c r="N2313" s="340"/>
      <c r="O2313" s="703"/>
      <c r="P2313" s="342"/>
      <c r="Q2313" s="363"/>
      <c r="R2313" s="340"/>
      <c r="S2313" s="342"/>
      <c r="T2313" s="342"/>
      <c r="U2313" s="342"/>
      <c r="V2313" s="340"/>
      <c r="W2313" s="340"/>
    </row>
    <row r="2314" spans="2:23" ht="24" customHeight="1">
      <c r="B2314" s="67"/>
      <c r="I2314" s="3" t="s">
        <v>59</v>
      </c>
      <c r="J2314" s="345">
        <v>21</v>
      </c>
      <c r="K2314" s="703">
        <v>2326.1565957446805</v>
      </c>
      <c r="L2314" s="342">
        <v>1</v>
      </c>
      <c r="M2314" s="342">
        <v>20.433</v>
      </c>
      <c r="N2314" s="340">
        <v>47530.357720851054</v>
      </c>
      <c r="O2314" s="703">
        <v>3527.0017391304345</v>
      </c>
      <c r="P2314" s="342">
        <v>1</v>
      </c>
      <c r="Q2314" s="363">
        <v>19.951000000000001</v>
      </c>
      <c r="R2314" s="340">
        <v>70367.211697391307</v>
      </c>
      <c r="S2314" s="342">
        <v>112.419</v>
      </c>
      <c r="T2314" s="342">
        <v>122.044</v>
      </c>
      <c r="U2314" s="342">
        <v>1.0855999999999999</v>
      </c>
      <c r="V2314" s="340">
        <v>76390.645018687996</v>
      </c>
      <c r="W2314" s="340">
        <v>-28860.287297836941</v>
      </c>
    </row>
    <row r="2315" spans="2:23" ht="24" customHeight="1">
      <c r="J2315" s="345"/>
      <c r="K2315" s="703"/>
      <c r="L2315" s="342"/>
      <c r="M2315" s="342"/>
      <c r="N2315" s="340"/>
      <c r="O2315" s="703"/>
      <c r="P2315" s="342"/>
      <c r="Q2315" s="363"/>
      <c r="R2315" s="340"/>
      <c r="S2315" s="342"/>
      <c r="T2315" s="342"/>
      <c r="U2315" s="342"/>
      <c r="V2315" s="340"/>
      <c r="W2315" s="340"/>
    </row>
    <row r="2316" spans="2:23" ht="24" customHeight="1">
      <c r="B2316" s="67"/>
      <c r="F2316" s="346">
        <v>44790</v>
      </c>
      <c r="G2316" s="346"/>
      <c r="H2316" s="346"/>
      <c r="I2316" s="346"/>
      <c r="J2316" s="345"/>
      <c r="K2316" s="703"/>
      <c r="L2316" s="342"/>
      <c r="M2316" s="342"/>
      <c r="N2316" s="340"/>
      <c r="O2316" s="703"/>
      <c r="P2316" s="342"/>
      <c r="Q2316" s="363"/>
      <c r="R2316" s="340"/>
      <c r="S2316" s="342"/>
      <c r="T2316" s="342"/>
      <c r="U2316" s="342"/>
      <c r="V2316" s="340"/>
      <c r="W2316" s="340"/>
    </row>
    <row r="2317" spans="2:23" ht="24" customHeight="1">
      <c r="B2317" s="67"/>
      <c r="G2317" s="3" t="s">
        <v>59</v>
      </c>
      <c r="H2317" s="3"/>
      <c r="I2317" s="3"/>
      <c r="J2317" s="345"/>
      <c r="K2317" s="703"/>
      <c r="L2317" s="342"/>
      <c r="M2317" s="342"/>
      <c r="N2317" s="340"/>
      <c r="O2317" s="703"/>
      <c r="P2317" s="342"/>
      <c r="Q2317" s="363"/>
      <c r="R2317" s="340"/>
      <c r="S2317" s="342"/>
      <c r="T2317" s="342"/>
      <c r="U2317" s="342"/>
      <c r="V2317" s="340"/>
      <c r="W2317" s="340"/>
    </row>
    <row r="2318" spans="2:23" ht="24" customHeight="1">
      <c r="B2318" s="67"/>
      <c r="H2318" s="347">
        <v>44519</v>
      </c>
      <c r="I2318" s="347"/>
      <c r="J2318" s="345"/>
      <c r="K2318" s="703"/>
      <c r="L2318" s="342"/>
      <c r="M2318" s="342"/>
      <c r="N2318" s="340"/>
      <c r="O2318" s="703"/>
      <c r="P2318" s="342"/>
      <c r="Q2318" s="363"/>
      <c r="R2318" s="340"/>
      <c r="S2318" s="342"/>
      <c r="T2318" s="342"/>
      <c r="U2318" s="342"/>
      <c r="V2318" s="340"/>
      <c r="W2318" s="340"/>
    </row>
    <row r="2319" spans="2:23" ht="24" customHeight="1">
      <c r="B2319" s="67"/>
      <c r="I2319" s="3" t="s">
        <v>59</v>
      </c>
      <c r="J2319" s="345">
        <v>2</v>
      </c>
      <c r="K2319" s="703">
        <v>231.80354838709678</v>
      </c>
      <c r="L2319" s="342">
        <v>1</v>
      </c>
      <c r="M2319" s="342">
        <v>19.861799999999999</v>
      </c>
      <c r="N2319" s="340">
        <v>4604.0357173548382</v>
      </c>
      <c r="O2319" s="703">
        <v>257.91000000000003</v>
      </c>
      <c r="P2319" s="342">
        <v>1</v>
      </c>
      <c r="Q2319" s="363">
        <v>20.691199999999998</v>
      </c>
      <c r="R2319" s="340">
        <v>5336.4673920000005</v>
      </c>
      <c r="S2319" s="342">
        <v>116.884</v>
      </c>
      <c r="T2319" s="342">
        <v>122.94799999999999</v>
      </c>
      <c r="U2319" s="342">
        <v>1.0518000000000001</v>
      </c>
      <c r="V2319" s="340">
        <v>5612.8964029056006</v>
      </c>
      <c r="W2319" s="340">
        <v>-1008.8606855507624</v>
      </c>
    </row>
    <row r="2320" spans="2:23" ht="24" customHeight="1">
      <c r="J2320" s="345"/>
      <c r="K2320" s="703"/>
      <c r="L2320" s="342"/>
      <c r="M2320" s="342"/>
      <c r="N2320" s="340"/>
      <c r="O2320" s="703"/>
      <c r="P2320" s="342"/>
      <c r="Q2320" s="363"/>
      <c r="R2320" s="340"/>
      <c r="S2320" s="342"/>
      <c r="T2320" s="342"/>
      <c r="U2320" s="342"/>
      <c r="V2320" s="340"/>
      <c r="W2320" s="340"/>
    </row>
    <row r="2321" spans="2:23" ht="24" customHeight="1">
      <c r="B2321" s="67"/>
      <c r="H2321" s="347">
        <v>44504</v>
      </c>
      <c r="I2321" s="347"/>
      <c r="J2321" s="345"/>
      <c r="K2321" s="703"/>
      <c r="L2321" s="342"/>
      <c r="M2321" s="342"/>
      <c r="N2321" s="340"/>
      <c r="O2321" s="703"/>
      <c r="P2321" s="342"/>
      <c r="Q2321" s="363"/>
      <c r="R2321" s="340"/>
      <c r="S2321" s="342"/>
      <c r="T2321" s="342"/>
      <c r="U2321" s="342"/>
      <c r="V2321" s="340"/>
      <c r="W2321" s="340"/>
    </row>
    <row r="2322" spans="2:23" ht="24" customHeight="1">
      <c r="B2322" s="67"/>
      <c r="I2322" s="3" t="s">
        <v>59</v>
      </c>
      <c r="J2322" s="345">
        <v>75</v>
      </c>
      <c r="K2322" s="703">
        <v>8692.9864516129037</v>
      </c>
      <c r="L2322" s="342">
        <v>1</v>
      </c>
      <c r="M2322" s="342">
        <v>19.861799999999999</v>
      </c>
      <c r="N2322" s="340">
        <v>172658.35830464517</v>
      </c>
      <c r="O2322" s="703">
        <v>10723.619999999999</v>
      </c>
      <c r="P2322" s="342">
        <v>1</v>
      </c>
      <c r="Q2322" s="363">
        <v>20.8598</v>
      </c>
      <c r="R2322" s="340">
        <v>223692.56847599999</v>
      </c>
      <c r="S2322" s="342">
        <v>116.88399999999999</v>
      </c>
      <c r="T2322" s="342">
        <v>122.94800000000001</v>
      </c>
      <c r="U2322" s="342">
        <v>1.0518000000000001</v>
      </c>
      <c r="V2322" s="340">
        <v>235279.84352305683</v>
      </c>
      <c r="W2322" s="340">
        <v>-62621.485218411661</v>
      </c>
    </row>
    <row r="2323" spans="2:23" ht="24" customHeight="1">
      <c r="J2323" s="345"/>
      <c r="K2323" s="703"/>
      <c r="L2323" s="342"/>
      <c r="M2323" s="342"/>
      <c r="N2323" s="340"/>
      <c r="O2323" s="703"/>
      <c r="P2323" s="342"/>
      <c r="Q2323" s="363"/>
      <c r="R2323" s="340"/>
      <c r="S2323" s="342"/>
      <c r="T2323" s="342"/>
      <c r="U2323" s="342"/>
      <c r="V2323" s="340"/>
      <c r="W2323" s="340"/>
    </row>
    <row r="2324" spans="2:23" ht="24" customHeight="1">
      <c r="B2324" s="67"/>
      <c r="H2324" s="347">
        <v>44370</v>
      </c>
      <c r="I2324" s="347"/>
      <c r="J2324" s="345"/>
      <c r="K2324" s="703"/>
      <c r="L2324" s="342"/>
      <c r="M2324" s="342"/>
      <c r="N2324" s="340"/>
      <c r="O2324" s="703"/>
      <c r="P2324" s="342"/>
      <c r="Q2324" s="363"/>
      <c r="R2324" s="340"/>
      <c r="S2324" s="342"/>
      <c r="T2324" s="342"/>
      <c r="U2324" s="342"/>
      <c r="V2324" s="340"/>
      <c r="W2324" s="340"/>
    </row>
    <row r="2325" spans="2:23" ht="24" customHeight="1">
      <c r="B2325" s="67"/>
      <c r="I2325" s="3" t="s">
        <v>59</v>
      </c>
      <c r="J2325" s="345">
        <v>45</v>
      </c>
      <c r="K2325" s="703">
        <v>5216.6399999999994</v>
      </c>
      <c r="L2325" s="342">
        <v>1</v>
      </c>
      <c r="M2325" s="342">
        <v>19.861799999999999</v>
      </c>
      <c r="N2325" s="340">
        <v>103611.86035199999</v>
      </c>
      <c r="O2325" s="703">
        <v>7482.3997260273973</v>
      </c>
      <c r="P2325" s="342">
        <v>1</v>
      </c>
      <c r="Q2325" s="363">
        <v>20.6</v>
      </c>
      <c r="R2325" s="340">
        <v>154137.43435616442</v>
      </c>
      <c r="S2325" s="342">
        <v>113.018</v>
      </c>
      <c r="T2325" s="342">
        <v>122.94799999999999</v>
      </c>
      <c r="U2325" s="342">
        <v>1.0878000000000001</v>
      </c>
      <c r="V2325" s="340">
        <v>167670.70109263566</v>
      </c>
      <c r="W2325" s="340">
        <v>-64058.840740635686</v>
      </c>
    </row>
    <row r="2326" spans="2:23" ht="24" customHeight="1">
      <c r="J2326" s="345"/>
      <c r="K2326" s="703"/>
      <c r="L2326" s="342"/>
      <c r="M2326" s="342"/>
      <c r="N2326" s="340"/>
      <c r="O2326" s="703"/>
      <c r="P2326" s="342"/>
      <c r="Q2326" s="363"/>
      <c r="R2326" s="340"/>
      <c r="S2326" s="342"/>
      <c r="T2326" s="342"/>
      <c r="U2326" s="342"/>
      <c r="V2326" s="340"/>
      <c r="W2326" s="340"/>
    </row>
    <row r="2327" spans="2:23" ht="24" customHeight="1">
      <c r="B2327" s="67"/>
      <c r="F2327" s="346">
        <v>44774</v>
      </c>
      <c r="G2327" s="346"/>
      <c r="H2327" s="346"/>
      <c r="I2327" s="346"/>
      <c r="J2327" s="345"/>
      <c r="K2327" s="703"/>
      <c r="L2327" s="342"/>
      <c r="M2327" s="342"/>
      <c r="N2327" s="340"/>
      <c r="O2327" s="703"/>
      <c r="P2327" s="342"/>
      <c r="Q2327" s="363"/>
      <c r="R2327" s="340"/>
      <c r="S2327" s="342"/>
      <c r="T2327" s="342"/>
      <c r="U2327" s="342"/>
      <c r="V2327" s="340"/>
      <c r="W2327" s="340"/>
    </row>
    <row r="2328" spans="2:23" ht="24" customHeight="1">
      <c r="B2328" s="67"/>
      <c r="G2328" s="3" t="s">
        <v>59</v>
      </c>
      <c r="H2328" s="3"/>
      <c r="I2328" s="3"/>
      <c r="J2328" s="345"/>
      <c r="K2328" s="703"/>
      <c r="L2328" s="342"/>
      <c r="M2328" s="342"/>
      <c r="N2328" s="340"/>
      <c r="O2328" s="703"/>
      <c r="P2328" s="342"/>
      <c r="Q2328" s="363"/>
      <c r="R2328" s="340"/>
      <c r="S2328" s="342"/>
      <c r="T2328" s="342"/>
      <c r="U2328" s="342"/>
      <c r="V2328" s="340"/>
      <c r="W2328" s="340"/>
    </row>
    <row r="2329" spans="2:23" ht="24" customHeight="1">
      <c r="B2329" s="67"/>
      <c r="H2329" s="347">
        <v>44348</v>
      </c>
      <c r="I2329" s="347"/>
      <c r="J2329" s="345"/>
      <c r="K2329" s="703"/>
      <c r="L2329" s="342"/>
      <c r="M2329" s="342"/>
      <c r="N2329" s="340"/>
      <c r="O2329" s="703"/>
      <c r="P2329" s="342"/>
      <c r="Q2329" s="363"/>
      <c r="R2329" s="340"/>
      <c r="S2329" s="342"/>
      <c r="T2329" s="342"/>
      <c r="U2329" s="342"/>
      <c r="V2329" s="340"/>
      <c r="W2329" s="340"/>
    </row>
    <row r="2330" spans="2:23" ht="24" customHeight="1">
      <c r="B2330" s="67"/>
      <c r="I2330" s="3" t="s">
        <v>59</v>
      </c>
      <c r="J2330" s="345">
        <v>53</v>
      </c>
      <c r="K2330" s="703">
        <v>5814.2642016806722</v>
      </c>
      <c r="L2330" s="342">
        <v>1</v>
      </c>
      <c r="M2330" s="342">
        <v>20.377800000000001</v>
      </c>
      <c r="N2330" s="340">
        <v>118481.91304900841</v>
      </c>
      <c r="O2330" s="703">
        <v>8980.69</v>
      </c>
      <c r="P2330" s="342">
        <v>1</v>
      </c>
      <c r="Q2330" s="363">
        <v>19.944199999999999</v>
      </c>
      <c r="R2330" s="340">
        <v>179112.677498</v>
      </c>
      <c r="S2330" s="342">
        <v>113.01799999999999</v>
      </c>
      <c r="T2330" s="342">
        <v>122.94799999999999</v>
      </c>
      <c r="U2330" s="342">
        <v>1.0878000000000001</v>
      </c>
      <c r="V2330" s="340">
        <v>194838.77058232442</v>
      </c>
      <c r="W2330" s="340">
        <v>-76356.857533316026</v>
      </c>
    </row>
    <row r="2331" spans="2:23" ht="24" customHeight="1">
      <c r="J2331" s="345"/>
      <c r="K2331" s="703"/>
      <c r="L2331" s="342"/>
      <c r="M2331" s="342"/>
      <c r="N2331" s="340"/>
      <c r="O2331" s="703"/>
      <c r="P2331" s="342"/>
      <c r="Q2331" s="363"/>
      <c r="R2331" s="340"/>
      <c r="S2331" s="342"/>
      <c r="T2331" s="342"/>
      <c r="U2331" s="342"/>
      <c r="V2331" s="340"/>
      <c r="W2331" s="340"/>
    </row>
    <row r="2332" spans="2:23" ht="24" customHeight="1">
      <c r="B2332" s="67"/>
      <c r="H2332" s="347">
        <v>44355</v>
      </c>
      <c r="I2332" s="347"/>
      <c r="J2332" s="345"/>
      <c r="K2332" s="703"/>
      <c r="L2332" s="342"/>
      <c r="M2332" s="342"/>
      <c r="N2332" s="340"/>
      <c r="O2332" s="703"/>
      <c r="P2332" s="342"/>
      <c r="Q2332" s="363"/>
      <c r="R2332" s="340"/>
      <c r="S2332" s="342"/>
      <c r="T2332" s="342"/>
      <c r="U2332" s="342"/>
      <c r="V2332" s="340"/>
      <c r="W2332" s="340"/>
    </row>
    <row r="2333" spans="2:23" ht="24" customHeight="1">
      <c r="B2333" s="67"/>
      <c r="I2333" s="3" t="s">
        <v>59</v>
      </c>
      <c r="J2333" s="345">
        <v>42</v>
      </c>
      <c r="K2333" s="703">
        <v>4602.5328571428563</v>
      </c>
      <c r="L2333" s="342">
        <v>1</v>
      </c>
      <c r="M2333" s="342">
        <v>20.377800000000001</v>
      </c>
      <c r="N2333" s="340">
        <v>93789.494056285723</v>
      </c>
      <c r="O2333" s="703">
        <v>6657.9853846153837</v>
      </c>
      <c r="P2333" s="342">
        <v>1</v>
      </c>
      <c r="Q2333" s="363">
        <v>19.9328</v>
      </c>
      <c r="R2333" s="340">
        <v>132712.29107446154</v>
      </c>
      <c r="S2333" s="342">
        <v>113.018</v>
      </c>
      <c r="T2333" s="342">
        <v>122.94799999999999</v>
      </c>
      <c r="U2333" s="342">
        <v>1.0878000000000001</v>
      </c>
      <c r="V2333" s="340">
        <v>144364.43023079925</v>
      </c>
      <c r="W2333" s="340">
        <v>-50574.936174513539</v>
      </c>
    </row>
    <row r="2334" spans="2:23" ht="24" customHeight="1">
      <c r="J2334" s="345"/>
      <c r="K2334" s="703"/>
      <c r="L2334" s="342"/>
      <c r="M2334" s="342"/>
      <c r="N2334" s="340"/>
      <c r="O2334" s="703"/>
      <c r="P2334" s="342"/>
      <c r="Q2334" s="363"/>
      <c r="R2334" s="340"/>
      <c r="S2334" s="342"/>
      <c r="T2334" s="342"/>
      <c r="U2334" s="342"/>
      <c r="V2334" s="340"/>
      <c r="W2334" s="340"/>
    </row>
    <row r="2335" spans="2:23" ht="24" customHeight="1">
      <c r="B2335" s="67"/>
      <c r="H2335" s="347">
        <v>44341</v>
      </c>
      <c r="I2335" s="347"/>
      <c r="J2335" s="345"/>
      <c r="K2335" s="703"/>
      <c r="L2335" s="342"/>
      <c r="M2335" s="342"/>
      <c r="N2335" s="340"/>
      <c r="O2335" s="703"/>
      <c r="P2335" s="342"/>
      <c r="Q2335" s="363"/>
      <c r="R2335" s="340"/>
      <c r="S2335" s="342"/>
      <c r="T2335" s="342"/>
      <c r="U2335" s="342"/>
      <c r="V2335" s="340"/>
      <c r="W2335" s="340"/>
    </row>
    <row r="2336" spans="2:23" ht="24" customHeight="1">
      <c r="B2336" s="67"/>
      <c r="I2336" s="3" t="s">
        <v>59</v>
      </c>
      <c r="J2336" s="345">
        <v>48</v>
      </c>
      <c r="K2336" s="703">
        <v>5258.512941176471</v>
      </c>
      <c r="L2336" s="342">
        <v>1</v>
      </c>
      <c r="M2336" s="342">
        <v>20.377800000000001</v>
      </c>
      <c r="N2336" s="340">
        <v>107156.92501270589</v>
      </c>
      <c r="O2336" s="703">
        <v>8061.7182608695648</v>
      </c>
      <c r="P2336" s="342">
        <v>1</v>
      </c>
      <c r="Q2336" s="363">
        <v>19.951000000000001</v>
      </c>
      <c r="R2336" s="340">
        <v>160839.34102260869</v>
      </c>
      <c r="S2336" s="342">
        <v>112.419</v>
      </c>
      <c r="T2336" s="342">
        <v>122.94799999999999</v>
      </c>
      <c r="U2336" s="342">
        <v>1.0935999999999999</v>
      </c>
      <c r="V2336" s="340">
        <v>175893.90334232483</v>
      </c>
      <c r="W2336" s="340">
        <v>-68736.978329618942</v>
      </c>
    </row>
    <row r="2337" spans="2:23" ht="24" customHeight="1">
      <c r="J2337" s="345"/>
      <c r="K2337" s="703"/>
      <c r="L2337" s="342"/>
      <c r="M2337" s="342"/>
      <c r="N2337" s="340"/>
      <c r="O2337" s="703"/>
      <c r="P2337" s="342"/>
      <c r="Q2337" s="363"/>
      <c r="R2337" s="340"/>
      <c r="S2337" s="342"/>
      <c r="T2337" s="342"/>
      <c r="U2337" s="342"/>
      <c r="V2337" s="340"/>
      <c r="W2337" s="340"/>
    </row>
    <row r="2338" spans="2:23" ht="24" customHeight="1">
      <c r="B2338" s="67"/>
      <c r="F2338" s="346">
        <v>44788</v>
      </c>
      <c r="G2338" s="346"/>
      <c r="H2338" s="346"/>
      <c r="I2338" s="346"/>
      <c r="J2338" s="345"/>
      <c r="K2338" s="703"/>
      <c r="L2338" s="342"/>
      <c r="M2338" s="342"/>
      <c r="N2338" s="340"/>
      <c r="O2338" s="703"/>
      <c r="P2338" s="342"/>
      <c r="Q2338" s="363"/>
      <c r="R2338" s="340"/>
      <c r="S2338" s="342"/>
      <c r="T2338" s="342"/>
      <c r="U2338" s="342"/>
      <c r="V2338" s="340"/>
      <c r="W2338" s="340"/>
    </row>
    <row r="2339" spans="2:23" ht="24" customHeight="1">
      <c r="B2339" s="67"/>
      <c r="G2339" s="3" t="s">
        <v>59</v>
      </c>
      <c r="H2339" s="3"/>
      <c r="I2339" s="3"/>
      <c r="J2339" s="345"/>
      <c r="K2339" s="703"/>
      <c r="L2339" s="342"/>
      <c r="M2339" s="342"/>
      <c r="N2339" s="340"/>
      <c r="O2339" s="703"/>
      <c r="P2339" s="342"/>
      <c r="Q2339" s="363"/>
      <c r="R2339" s="340"/>
      <c r="S2339" s="342"/>
      <c r="T2339" s="342"/>
      <c r="U2339" s="342"/>
      <c r="V2339" s="340"/>
      <c r="W2339" s="340"/>
    </row>
    <row r="2340" spans="2:23" ht="24" customHeight="1">
      <c r="B2340" s="67"/>
      <c r="H2340" s="347">
        <v>44355</v>
      </c>
      <c r="I2340" s="347"/>
      <c r="J2340" s="345"/>
      <c r="K2340" s="703"/>
      <c r="L2340" s="342"/>
      <c r="M2340" s="342"/>
      <c r="N2340" s="340"/>
      <c r="O2340" s="703"/>
      <c r="P2340" s="342"/>
      <c r="Q2340" s="363"/>
      <c r="R2340" s="340"/>
      <c r="S2340" s="342"/>
      <c r="T2340" s="342"/>
      <c r="U2340" s="342"/>
      <c r="V2340" s="340"/>
      <c r="W2340" s="340"/>
    </row>
    <row r="2341" spans="2:23" ht="24" customHeight="1">
      <c r="B2341" s="67"/>
      <c r="I2341" s="3" t="s">
        <v>59</v>
      </c>
      <c r="J2341" s="345">
        <v>36</v>
      </c>
      <c r="K2341" s="703">
        <v>4226.2134210526319</v>
      </c>
      <c r="L2341" s="342">
        <v>1</v>
      </c>
      <c r="M2341" s="342">
        <v>19.959499999999998</v>
      </c>
      <c r="N2341" s="340">
        <v>84353.106777499983</v>
      </c>
      <c r="O2341" s="703">
        <v>5706.8446153846153</v>
      </c>
      <c r="P2341" s="342">
        <v>1</v>
      </c>
      <c r="Q2341" s="363">
        <v>19.9328</v>
      </c>
      <c r="R2341" s="340">
        <v>113753.39234953845</v>
      </c>
      <c r="S2341" s="342">
        <v>113.018</v>
      </c>
      <c r="T2341" s="342">
        <v>122.94799999999999</v>
      </c>
      <c r="U2341" s="342">
        <v>1.0878000000000001</v>
      </c>
      <c r="V2341" s="340">
        <v>123740.94019782795</v>
      </c>
      <c r="W2341" s="340">
        <v>-39387.833420327959</v>
      </c>
    </row>
    <row r="2342" spans="2:23" ht="24" customHeight="1">
      <c r="J2342" s="345"/>
      <c r="K2342" s="703"/>
      <c r="L2342" s="342"/>
      <c r="M2342" s="342"/>
      <c r="N2342" s="340"/>
      <c r="O2342" s="703"/>
      <c r="P2342" s="342"/>
      <c r="Q2342" s="363"/>
      <c r="R2342" s="340"/>
      <c r="S2342" s="342"/>
      <c r="T2342" s="342"/>
      <c r="U2342" s="342"/>
      <c r="V2342" s="340"/>
      <c r="W2342" s="340"/>
    </row>
    <row r="2343" spans="2:23" ht="24" customHeight="1">
      <c r="B2343" s="67"/>
      <c r="H2343" s="347">
        <v>44370</v>
      </c>
      <c r="I2343" s="347"/>
      <c r="J2343" s="345"/>
      <c r="K2343" s="703"/>
      <c r="L2343" s="342"/>
      <c r="M2343" s="342"/>
      <c r="N2343" s="340"/>
      <c r="O2343" s="703"/>
      <c r="P2343" s="342"/>
      <c r="Q2343" s="363"/>
      <c r="R2343" s="340"/>
      <c r="S2343" s="342"/>
      <c r="T2343" s="342"/>
      <c r="U2343" s="342"/>
      <c r="V2343" s="340"/>
      <c r="W2343" s="340"/>
    </row>
    <row r="2344" spans="2:23" ht="24" customHeight="1">
      <c r="B2344" s="67"/>
      <c r="I2344" s="3" t="s">
        <v>59</v>
      </c>
      <c r="J2344" s="345">
        <v>103</v>
      </c>
      <c r="K2344" s="703">
        <v>12079.556578947368</v>
      </c>
      <c r="L2344" s="342">
        <v>1</v>
      </c>
      <c r="M2344" s="342">
        <v>19.959499999999998</v>
      </c>
      <c r="N2344" s="340">
        <v>241101.90953749995</v>
      </c>
      <c r="O2344" s="703">
        <v>17115.890273972604</v>
      </c>
      <c r="P2344" s="342">
        <v>1</v>
      </c>
      <c r="Q2344" s="363">
        <v>20.6</v>
      </c>
      <c r="R2344" s="340">
        <v>352587.33964383561</v>
      </c>
      <c r="S2344" s="342">
        <v>113.018</v>
      </c>
      <c r="T2344" s="342">
        <v>122.94799999999999</v>
      </c>
      <c r="U2344" s="342">
        <v>1.0878000000000001</v>
      </c>
      <c r="V2344" s="340">
        <v>383544.50806456449</v>
      </c>
      <c r="W2344" s="340">
        <v>-142442.59852706449</v>
      </c>
    </row>
    <row r="2345" spans="2:23" ht="24" customHeight="1">
      <c r="J2345" s="345"/>
      <c r="K2345" s="703"/>
      <c r="L2345" s="342"/>
      <c r="M2345" s="342"/>
      <c r="N2345" s="340"/>
      <c r="O2345" s="703"/>
      <c r="P2345" s="342"/>
      <c r="Q2345" s="363"/>
      <c r="R2345" s="340"/>
      <c r="S2345" s="342"/>
      <c r="T2345" s="342"/>
      <c r="U2345" s="342"/>
      <c r="V2345" s="340"/>
      <c r="W2345" s="340"/>
    </row>
    <row r="2346" spans="2:23" ht="24" customHeight="1">
      <c r="B2346" s="67"/>
      <c r="E2346" s="131" t="s">
        <v>1154</v>
      </c>
      <c r="F2346" s="131"/>
      <c r="G2346" s="131"/>
      <c r="H2346" s="131"/>
      <c r="I2346" s="131"/>
      <c r="J2346" s="704">
        <v>650</v>
      </c>
      <c r="K2346" s="705">
        <v>75483.199999999997</v>
      </c>
      <c r="L2346" s="369">
        <v>1</v>
      </c>
      <c r="M2346" s="377">
        <v>20.1003393939394</v>
      </c>
      <c r="N2346" s="706">
        <v>1520297.3417949998</v>
      </c>
      <c r="O2346" s="705">
        <v>105963.46636363633</v>
      </c>
      <c r="P2346" s="369">
        <v>1</v>
      </c>
      <c r="Q2346" s="377">
        <v>20.422066666666677</v>
      </c>
      <c r="R2346" s="706">
        <v>2164846.4500591815</v>
      </c>
      <c r="S2346" s="369">
        <v>113.12827272727273</v>
      </c>
      <c r="T2346" s="369">
        <v>122.18969696969693</v>
      </c>
      <c r="U2346" s="369">
        <v>1.0802393939393946</v>
      </c>
      <c r="V2346" s="706">
        <v>2346937.7795407604</v>
      </c>
      <c r="W2346" s="706">
        <v>-826640.43774575985</v>
      </c>
    </row>
    <row r="2347" spans="2:23" ht="24" customHeight="1">
      <c r="J2347" s="345"/>
      <c r="K2347" s="703"/>
      <c r="L2347" s="342"/>
      <c r="M2347" s="342"/>
      <c r="N2347" s="340"/>
      <c r="O2347" s="703"/>
      <c r="P2347" s="342"/>
      <c r="Q2347" s="363"/>
      <c r="R2347" s="340"/>
      <c r="S2347" s="342"/>
      <c r="T2347" s="342"/>
      <c r="U2347" s="342"/>
      <c r="V2347" s="340"/>
      <c r="W2347" s="340"/>
    </row>
    <row r="2348" spans="2:23" ht="24" customHeight="1">
      <c r="B2348" s="67"/>
      <c r="E2348" s="1" t="s">
        <v>1045</v>
      </c>
      <c r="J2348" s="345"/>
      <c r="K2348" s="703"/>
      <c r="L2348" s="342"/>
      <c r="M2348" s="342"/>
      <c r="N2348" s="340"/>
      <c r="O2348" s="703"/>
      <c r="P2348" s="342"/>
      <c r="Q2348" s="363"/>
      <c r="R2348" s="340"/>
      <c r="S2348" s="342"/>
      <c r="T2348" s="342"/>
      <c r="U2348" s="342"/>
      <c r="V2348" s="340"/>
      <c r="W2348" s="340"/>
    </row>
    <row r="2349" spans="2:23" ht="24" customHeight="1">
      <c r="B2349" s="67"/>
      <c r="F2349" s="346">
        <v>44628</v>
      </c>
      <c r="G2349" s="346"/>
      <c r="H2349" s="346"/>
      <c r="I2349" s="346"/>
      <c r="J2349" s="345"/>
      <c r="K2349" s="703"/>
      <c r="L2349" s="342"/>
      <c r="M2349" s="342"/>
      <c r="N2349" s="340"/>
      <c r="O2349" s="703"/>
      <c r="P2349" s="342"/>
      <c r="Q2349" s="363"/>
      <c r="R2349" s="340"/>
      <c r="S2349" s="342"/>
      <c r="T2349" s="342"/>
      <c r="U2349" s="342"/>
      <c r="V2349" s="340"/>
      <c r="W2349" s="340"/>
    </row>
    <row r="2350" spans="2:23" ht="24" customHeight="1">
      <c r="B2350" s="67"/>
      <c r="G2350" s="3" t="s">
        <v>59</v>
      </c>
      <c r="H2350" s="3"/>
      <c r="I2350" s="3"/>
      <c r="J2350" s="345"/>
      <c r="K2350" s="703"/>
      <c r="L2350" s="342"/>
      <c r="M2350" s="342"/>
      <c r="N2350" s="340"/>
      <c r="O2350" s="703"/>
      <c r="P2350" s="342"/>
      <c r="Q2350" s="363"/>
      <c r="R2350" s="340"/>
      <c r="S2350" s="342"/>
      <c r="T2350" s="342"/>
      <c r="U2350" s="342"/>
      <c r="V2350" s="340"/>
      <c r="W2350" s="340"/>
    </row>
    <row r="2351" spans="2:23" ht="24" customHeight="1">
      <c r="B2351" s="67"/>
      <c r="H2351" s="347">
        <v>44622</v>
      </c>
      <c r="I2351" s="347"/>
      <c r="J2351" s="345"/>
      <c r="K2351" s="703"/>
      <c r="L2351" s="342"/>
      <c r="M2351" s="342"/>
      <c r="N2351" s="340"/>
      <c r="O2351" s="703"/>
      <c r="P2351" s="342"/>
      <c r="Q2351" s="363"/>
      <c r="R2351" s="340"/>
      <c r="S2351" s="342"/>
      <c r="T2351" s="342"/>
      <c r="U2351" s="342"/>
      <c r="V2351" s="340"/>
      <c r="W2351" s="340"/>
    </row>
    <row r="2352" spans="2:23" ht="24" customHeight="1">
      <c r="B2352" s="67"/>
      <c r="I2352" s="3" t="s">
        <v>59</v>
      </c>
      <c r="J2352" s="345">
        <v>5</v>
      </c>
      <c r="K2352" s="703">
        <v>111.48</v>
      </c>
      <c r="L2352" s="342">
        <v>1</v>
      </c>
      <c r="M2352" s="342">
        <v>20.926200000000001</v>
      </c>
      <c r="N2352" s="340">
        <v>2332.8527760000002</v>
      </c>
      <c r="O2352" s="703">
        <v>198.97624999999999</v>
      </c>
      <c r="P2352" s="342">
        <v>1</v>
      </c>
      <c r="Q2352" s="363">
        <v>20.425699999999999</v>
      </c>
      <c r="R2352" s="340">
        <v>4064.2291896249994</v>
      </c>
      <c r="S2352" s="342">
        <v>120.15900000000001</v>
      </c>
      <c r="T2352" s="342">
        <v>118.98099999999999</v>
      </c>
      <c r="U2352" s="342">
        <v>1</v>
      </c>
      <c r="V2352" s="340">
        <v>4064.2291896249994</v>
      </c>
      <c r="W2352" s="340">
        <v>-1731.3764136249993</v>
      </c>
    </row>
    <row r="2353" spans="2:23" ht="24" customHeight="1">
      <c r="J2353" s="345"/>
      <c r="K2353" s="703"/>
      <c r="L2353" s="342"/>
      <c r="M2353" s="342"/>
      <c r="N2353" s="340"/>
      <c r="O2353" s="703"/>
      <c r="P2353" s="342"/>
      <c r="Q2353" s="363"/>
      <c r="R2353" s="340"/>
      <c r="S2353" s="342"/>
      <c r="T2353" s="342"/>
      <c r="U2353" s="342"/>
      <c r="V2353" s="340"/>
      <c r="W2353" s="340"/>
    </row>
    <row r="2354" spans="2:23" ht="24" customHeight="1">
      <c r="B2354" s="67"/>
      <c r="F2354" s="346">
        <v>44629</v>
      </c>
      <c r="G2354" s="346"/>
      <c r="H2354" s="346"/>
      <c r="I2354" s="346"/>
      <c r="J2354" s="345"/>
      <c r="K2354" s="703"/>
      <c r="L2354" s="342"/>
      <c r="M2354" s="342"/>
      <c r="N2354" s="340"/>
      <c r="O2354" s="703"/>
      <c r="P2354" s="342"/>
      <c r="Q2354" s="363"/>
      <c r="R2354" s="340"/>
      <c r="S2354" s="342"/>
      <c r="T2354" s="342"/>
      <c r="U2354" s="342"/>
      <c r="V2354" s="340"/>
      <c r="W2354" s="340"/>
    </row>
    <row r="2355" spans="2:23" ht="24" customHeight="1">
      <c r="B2355" s="67"/>
      <c r="G2355" s="3" t="s">
        <v>59</v>
      </c>
      <c r="H2355" s="3"/>
      <c r="I2355" s="3"/>
      <c r="J2355" s="345"/>
      <c r="K2355" s="703"/>
      <c r="L2355" s="342"/>
      <c r="M2355" s="342"/>
      <c r="N2355" s="340"/>
      <c r="O2355" s="703"/>
      <c r="P2355" s="342"/>
      <c r="Q2355" s="363"/>
      <c r="R2355" s="340"/>
      <c r="S2355" s="342"/>
      <c r="T2355" s="342"/>
      <c r="U2355" s="342"/>
      <c r="V2355" s="340"/>
      <c r="W2355" s="340"/>
    </row>
    <row r="2356" spans="2:23" ht="24" customHeight="1">
      <c r="B2356" s="67"/>
      <c r="H2356" s="347">
        <v>44622</v>
      </c>
      <c r="I2356" s="347"/>
      <c r="J2356" s="345"/>
      <c r="K2356" s="703"/>
      <c r="L2356" s="342"/>
      <c r="M2356" s="342"/>
      <c r="N2356" s="340"/>
      <c r="O2356" s="703"/>
      <c r="P2356" s="342"/>
      <c r="Q2356" s="363"/>
      <c r="R2356" s="340"/>
      <c r="S2356" s="342"/>
      <c r="T2356" s="342"/>
      <c r="U2356" s="342"/>
      <c r="V2356" s="340"/>
      <c r="W2356" s="340"/>
    </row>
    <row r="2357" spans="2:23" ht="24" customHeight="1">
      <c r="B2357" s="67"/>
      <c r="I2357" s="3" t="s">
        <v>59</v>
      </c>
      <c r="J2357" s="345">
        <v>2</v>
      </c>
      <c r="K2357" s="703">
        <v>44.81</v>
      </c>
      <c r="L2357" s="342">
        <v>1</v>
      </c>
      <c r="M2357" s="342">
        <v>21.194700000000001</v>
      </c>
      <c r="N2357" s="340">
        <v>949.73450700000012</v>
      </c>
      <c r="O2357" s="703">
        <v>79.590499999999992</v>
      </c>
      <c r="P2357" s="342">
        <v>1</v>
      </c>
      <c r="Q2357" s="363">
        <v>20.425699999999999</v>
      </c>
      <c r="R2357" s="340">
        <v>1625.6916758499997</v>
      </c>
      <c r="S2357" s="342">
        <v>120.15900000000001</v>
      </c>
      <c r="T2357" s="342">
        <v>118.98099999999999</v>
      </c>
      <c r="U2357" s="342">
        <v>1</v>
      </c>
      <c r="V2357" s="340">
        <v>1625.6916758499997</v>
      </c>
      <c r="W2357" s="340">
        <v>-675.95716884999956</v>
      </c>
    </row>
    <row r="2358" spans="2:23" ht="24" customHeight="1">
      <c r="J2358" s="345"/>
      <c r="K2358" s="703"/>
      <c r="L2358" s="342"/>
      <c r="M2358" s="342"/>
      <c r="N2358" s="340"/>
      <c r="O2358" s="703"/>
      <c r="P2358" s="342"/>
      <c r="Q2358" s="363"/>
      <c r="R2358" s="340"/>
      <c r="S2358" s="342"/>
      <c r="T2358" s="342"/>
      <c r="U2358" s="342"/>
      <c r="V2358" s="340"/>
      <c r="W2358" s="340"/>
    </row>
    <row r="2359" spans="2:23" ht="24" customHeight="1">
      <c r="B2359" s="67"/>
      <c r="F2359" s="346">
        <v>44627</v>
      </c>
      <c r="G2359" s="346"/>
      <c r="H2359" s="346"/>
      <c r="I2359" s="346"/>
      <c r="J2359" s="345"/>
      <c r="K2359" s="703"/>
      <c r="L2359" s="342"/>
      <c r="M2359" s="342"/>
      <c r="N2359" s="340"/>
      <c r="O2359" s="703"/>
      <c r="P2359" s="342"/>
      <c r="Q2359" s="363"/>
      <c r="R2359" s="340"/>
      <c r="S2359" s="342"/>
      <c r="T2359" s="342"/>
      <c r="U2359" s="342"/>
      <c r="V2359" s="340"/>
      <c r="W2359" s="340"/>
    </row>
    <row r="2360" spans="2:23" ht="24" customHeight="1">
      <c r="B2360" s="67"/>
      <c r="G2360" s="3" t="s">
        <v>59</v>
      </c>
      <c r="H2360" s="3"/>
      <c r="I2360" s="3"/>
      <c r="J2360" s="345"/>
      <c r="K2360" s="703"/>
      <c r="L2360" s="342"/>
      <c r="M2360" s="342"/>
      <c r="N2360" s="340"/>
      <c r="O2360" s="703"/>
      <c r="P2360" s="342"/>
      <c r="Q2360" s="363"/>
      <c r="R2360" s="340"/>
      <c r="S2360" s="342"/>
      <c r="T2360" s="342"/>
      <c r="U2360" s="342"/>
      <c r="V2360" s="340"/>
      <c r="W2360" s="340"/>
    </row>
    <row r="2361" spans="2:23" ht="24" customHeight="1">
      <c r="B2361" s="67"/>
      <c r="H2361" s="347">
        <v>44622</v>
      </c>
      <c r="I2361" s="347"/>
      <c r="J2361" s="345"/>
      <c r="K2361" s="703"/>
      <c r="L2361" s="342"/>
      <c r="M2361" s="342"/>
      <c r="N2361" s="340"/>
      <c r="O2361" s="703"/>
      <c r="P2361" s="342"/>
      <c r="Q2361" s="363"/>
      <c r="R2361" s="340"/>
      <c r="S2361" s="342"/>
      <c r="T2361" s="342"/>
      <c r="U2361" s="342"/>
      <c r="V2361" s="340"/>
      <c r="W2361" s="340"/>
    </row>
    <row r="2362" spans="2:23" ht="24" customHeight="1">
      <c r="B2362" s="67"/>
      <c r="I2362" s="3" t="s">
        <v>59</v>
      </c>
      <c r="J2362" s="345">
        <v>18</v>
      </c>
      <c r="K2362" s="703">
        <v>421.97</v>
      </c>
      <c r="L2362" s="342">
        <v>1</v>
      </c>
      <c r="M2362" s="342">
        <v>20.703299999999999</v>
      </c>
      <c r="N2362" s="340">
        <v>8736.1715010000007</v>
      </c>
      <c r="O2362" s="703">
        <v>716.31449999999995</v>
      </c>
      <c r="P2362" s="342">
        <v>1</v>
      </c>
      <c r="Q2362" s="363">
        <v>20.425699999999999</v>
      </c>
      <c r="R2362" s="340">
        <v>14631.225082649999</v>
      </c>
      <c r="S2362" s="342">
        <v>120.15900000000001</v>
      </c>
      <c r="T2362" s="342">
        <v>118.98099999999999</v>
      </c>
      <c r="U2362" s="342">
        <v>1</v>
      </c>
      <c r="V2362" s="340">
        <v>14631.225082649999</v>
      </c>
      <c r="W2362" s="340">
        <v>-5895.0535816499987</v>
      </c>
    </row>
    <row r="2363" spans="2:23" ht="24" customHeight="1">
      <c r="J2363" s="345"/>
      <c r="K2363" s="703"/>
      <c r="L2363" s="342"/>
      <c r="M2363" s="342"/>
      <c r="N2363" s="340"/>
      <c r="O2363" s="703"/>
      <c r="P2363" s="342"/>
      <c r="Q2363" s="363"/>
      <c r="R2363" s="340"/>
      <c r="S2363" s="342"/>
      <c r="T2363" s="342"/>
      <c r="U2363" s="342"/>
      <c r="V2363" s="340"/>
      <c r="W2363" s="340"/>
    </row>
    <row r="2364" spans="2:23" ht="24" customHeight="1">
      <c r="B2364" s="67"/>
      <c r="F2364" s="346">
        <v>44624</v>
      </c>
      <c r="G2364" s="346"/>
      <c r="H2364" s="346"/>
      <c r="I2364" s="346"/>
      <c r="J2364" s="345"/>
      <c r="K2364" s="703"/>
      <c r="L2364" s="342"/>
      <c r="M2364" s="342"/>
      <c r="N2364" s="340"/>
      <c r="O2364" s="703"/>
      <c r="P2364" s="342"/>
      <c r="Q2364" s="363"/>
      <c r="R2364" s="340"/>
      <c r="S2364" s="342"/>
      <c r="T2364" s="342"/>
      <c r="U2364" s="342"/>
      <c r="V2364" s="340"/>
      <c r="W2364" s="340"/>
    </row>
    <row r="2365" spans="2:23" ht="24" customHeight="1">
      <c r="B2365" s="67"/>
      <c r="G2365" s="3" t="s">
        <v>59</v>
      </c>
      <c r="H2365" s="3"/>
      <c r="I2365" s="3"/>
      <c r="J2365" s="345"/>
      <c r="K2365" s="703"/>
      <c r="L2365" s="342"/>
      <c r="M2365" s="342"/>
      <c r="N2365" s="340"/>
      <c r="O2365" s="703"/>
      <c r="P2365" s="342"/>
      <c r="Q2365" s="363"/>
      <c r="R2365" s="340"/>
      <c r="S2365" s="342"/>
      <c r="T2365" s="342"/>
      <c r="U2365" s="342"/>
      <c r="V2365" s="340"/>
      <c r="W2365" s="340"/>
    </row>
    <row r="2366" spans="2:23" ht="24" customHeight="1">
      <c r="B2366" s="67"/>
      <c r="H2366" s="347">
        <v>44622</v>
      </c>
      <c r="I2366" s="347"/>
      <c r="J2366" s="345"/>
      <c r="K2366" s="703"/>
      <c r="L2366" s="342"/>
      <c r="M2366" s="342"/>
      <c r="N2366" s="340"/>
      <c r="O2366" s="703"/>
      <c r="P2366" s="342"/>
      <c r="Q2366" s="363"/>
      <c r="R2366" s="340"/>
      <c r="S2366" s="342"/>
      <c r="T2366" s="342"/>
      <c r="U2366" s="342"/>
      <c r="V2366" s="340"/>
      <c r="W2366" s="340"/>
    </row>
    <row r="2367" spans="2:23" ht="24" customHeight="1">
      <c r="B2367" s="67"/>
      <c r="I2367" s="3" t="s">
        <v>59</v>
      </c>
      <c r="J2367" s="345">
        <v>40</v>
      </c>
      <c r="K2367" s="703">
        <v>921.15</v>
      </c>
      <c r="L2367" s="342">
        <v>1</v>
      </c>
      <c r="M2367" s="342">
        <v>20.7193</v>
      </c>
      <c r="N2367" s="340">
        <v>19085.583194999999</v>
      </c>
      <c r="O2367" s="703">
        <v>1591.81</v>
      </c>
      <c r="P2367" s="342">
        <v>1</v>
      </c>
      <c r="Q2367" s="363">
        <v>20.425699999999999</v>
      </c>
      <c r="R2367" s="340">
        <v>32513.833516999999</v>
      </c>
      <c r="S2367" s="342">
        <v>120.15900000000001</v>
      </c>
      <c r="T2367" s="342">
        <v>118.98099999999999</v>
      </c>
      <c r="U2367" s="342">
        <v>1</v>
      </c>
      <c r="V2367" s="340">
        <v>32513.833516999999</v>
      </c>
      <c r="W2367" s="340">
        <v>-13428.250322</v>
      </c>
    </row>
    <row r="2368" spans="2:23" ht="24" customHeight="1">
      <c r="J2368" s="345"/>
      <c r="K2368" s="703"/>
      <c r="L2368" s="342"/>
      <c r="M2368" s="342"/>
      <c r="N2368" s="340"/>
      <c r="O2368" s="703"/>
      <c r="P2368" s="342"/>
      <c r="Q2368" s="363"/>
      <c r="R2368" s="340"/>
      <c r="S2368" s="342"/>
      <c r="T2368" s="342"/>
      <c r="U2368" s="342"/>
      <c r="V2368" s="340"/>
      <c r="W2368" s="340"/>
    </row>
    <row r="2369" spans="2:23" ht="24" customHeight="1">
      <c r="B2369" s="67"/>
      <c r="E2369" s="131" t="s">
        <v>1155</v>
      </c>
      <c r="F2369" s="131"/>
      <c r="G2369" s="131"/>
      <c r="H2369" s="131"/>
      <c r="I2369" s="131"/>
      <c r="J2369" s="704">
        <v>65</v>
      </c>
      <c r="K2369" s="705">
        <v>1499.4099999999999</v>
      </c>
      <c r="L2369" s="369">
        <v>1</v>
      </c>
      <c r="M2369" s="377">
        <v>20.862166666666667</v>
      </c>
      <c r="N2369" s="706">
        <v>31104.341978999997</v>
      </c>
      <c r="O2369" s="705">
        <v>2586.6912499999999</v>
      </c>
      <c r="P2369" s="369">
        <v>1</v>
      </c>
      <c r="Q2369" s="377">
        <v>20.425700000000003</v>
      </c>
      <c r="R2369" s="706">
        <v>52834.979465124998</v>
      </c>
      <c r="S2369" s="369">
        <v>120.15900000000001</v>
      </c>
      <c r="T2369" s="369">
        <v>118.98099999999999</v>
      </c>
      <c r="U2369" s="369">
        <v>1</v>
      </c>
      <c r="V2369" s="706">
        <v>52834.979465124998</v>
      </c>
      <c r="W2369" s="706">
        <v>-21730.637486124997</v>
      </c>
    </row>
    <row r="2370" spans="2:23" ht="24" customHeight="1">
      <c r="J2370" s="345"/>
      <c r="K2370" s="703"/>
      <c r="L2370" s="342"/>
      <c r="M2370" s="342"/>
      <c r="N2370" s="340"/>
      <c r="O2370" s="703"/>
      <c r="P2370" s="342"/>
      <c r="Q2370" s="363"/>
      <c r="R2370" s="340"/>
      <c r="S2370" s="342"/>
      <c r="T2370" s="342"/>
      <c r="U2370" s="342"/>
      <c r="V2370" s="340"/>
      <c r="W2370" s="340"/>
    </row>
    <row r="2371" spans="2:23" ht="24" customHeight="1">
      <c r="B2371" s="67"/>
      <c r="E2371" s="1" t="s">
        <v>719</v>
      </c>
      <c r="J2371" s="345"/>
      <c r="K2371" s="703"/>
      <c r="L2371" s="342"/>
      <c r="M2371" s="342"/>
      <c r="N2371" s="340"/>
      <c r="O2371" s="703"/>
      <c r="P2371" s="342"/>
      <c r="Q2371" s="363"/>
      <c r="R2371" s="340"/>
      <c r="S2371" s="342"/>
      <c r="T2371" s="342"/>
      <c r="U2371" s="342"/>
      <c r="V2371" s="340"/>
      <c r="W2371" s="340"/>
    </row>
    <row r="2372" spans="2:23" ht="24" customHeight="1">
      <c r="B2372" s="67"/>
      <c r="F2372" s="346">
        <v>44861</v>
      </c>
      <c r="G2372" s="346"/>
      <c r="H2372" s="346"/>
      <c r="I2372" s="346"/>
      <c r="J2372" s="345"/>
      <c r="K2372" s="703"/>
      <c r="L2372" s="342"/>
      <c r="M2372" s="342"/>
      <c r="N2372" s="340"/>
      <c r="O2372" s="703"/>
      <c r="P2372" s="342"/>
      <c r="Q2372" s="363"/>
      <c r="R2372" s="340"/>
      <c r="S2372" s="342"/>
      <c r="T2372" s="342"/>
      <c r="U2372" s="342"/>
      <c r="V2372" s="340"/>
      <c r="W2372" s="340"/>
    </row>
    <row r="2373" spans="2:23" ht="24" customHeight="1">
      <c r="B2373" s="67"/>
      <c r="G2373" s="3" t="s">
        <v>59</v>
      </c>
      <c r="H2373" s="3"/>
      <c r="I2373" s="3"/>
      <c r="J2373" s="345"/>
      <c r="K2373" s="703"/>
      <c r="L2373" s="342"/>
      <c r="M2373" s="342"/>
      <c r="N2373" s="340"/>
      <c r="O2373" s="703"/>
      <c r="P2373" s="342"/>
      <c r="Q2373" s="363"/>
      <c r="R2373" s="340"/>
      <c r="S2373" s="342"/>
      <c r="T2373" s="342"/>
      <c r="U2373" s="342"/>
      <c r="V2373" s="340"/>
      <c r="W2373" s="340"/>
    </row>
    <row r="2374" spans="2:23" ht="24" customHeight="1">
      <c r="B2374" s="67"/>
      <c r="H2374" s="347">
        <v>44348</v>
      </c>
      <c r="I2374" s="347"/>
      <c r="J2374" s="345"/>
      <c r="K2374" s="703"/>
      <c r="L2374" s="342"/>
      <c r="M2374" s="342"/>
      <c r="N2374" s="340"/>
      <c r="O2374" s="703"/>
      <c r="P2374" s="342"/>
      <c r="Q2374" s="363"/>
      <c r="R2374" s="340"/>
      <c r="S2374" s="342"/>
      <c r="T2374" s="342"/>
      <c r="U2374" s="342"/>
      <c r="V2374" s="340"/>
      <c r="W2374" s="340"/>
    </row>
    <row r="2375" spans="2:23" ht="24" customHeight="1">
      <c r="B2375" s="67"/>
      <c r="I2375" s="3" t="s">
        <v>59</v>
      </c>
      <c r="J2375" s="345">
        <v>41</v>
      </c>
      <c r="K2375" s="703">
        <v>6214.4892727272727</v>
      </c>
      <c r="L2375" s="342">
        <v>1</v>
      </c>
      <c r="M2375" s="342">
        <v>19.871200000000002</v>
      </c>
      <c r="N2375" s="340">
        <v>123489.3592362182</v>
      </c>
      <c r="O2375" s="703">
        <v>7239.74</v>
      </c>
      <c r="P2375" s="342">
        <v>1</v>
      </c>
      <c r="Q2375" s="363">
        <v>19.944199999999999</v>
      </c>
      <c r="R2375" s="340">
        <v>144390.82250799998</v>
      </c>
      <c r="S2375" s="342">
        <v>113.018</v>
      </c>
      <c r="T2375" s="342">
        <v>124.571</v>
      </c>
      <c r="U2375" s="342">
        <v>1.1022000000000001</v>
      </c>
      <c r="V2375" s="340">
        <v>159147.56456831758</v>
      </c>
      <c r="W2375" s="340">
        <v>-35658.205332099387</v>
      </c>
    </row>
    <row r="2376" spans="2:23" ht="24" customHeight="1">
      <c r="J2376" s="345"/>
      <c r="K2376" s="703"/>
      <c r="L2376" s="342"/>
      <c r="M2376" s="342"/>
      <c r="N2376" s="340"/>
      <c r="O2376" s="703"/>
      <c r="P2376" s="342"/>
      <c r="Q2376" s="363"/>
      <c r="R2376" s="340"/>
      <c r="S2376" s="342"/>
      <c r="T2376" s="342"/>
      <c r="U2376" s="342"/>
      <c r="V2376" s="340"/>
      <c r="W2376" s="340"/>
    </row>
    <row r="2377" spans="2:23" ht="24" customHeight="1">
      <c r="B2377" s="67"/>
      <c r="H2377" s="347">
        <v>44316</v>
      </c>
      <c r="I2377" s="347"/>
      <c r="J2377" s="345"/>
      <c r="K2377" s="703"/>
      <c r="L2377" s="342"/>
      <c r="M2377" s="342"/>
      <c r="N2377" s="340"/>
      <c r="O2377" s="703"/>
      <c r="P2377" s="342"/>
      <c r="Q2377" s="363"/>
      <c r="R2377" s="340"/>
      <c r="S2377" s="342"/>
      <c r="T2377" s="342"/>
      <c r="U2377" s="342"/>
      <c r="V2377" s="340"/>
      <c r="W2377" s="340"/>
    </row>
    <row r="2378" spans="2:23" ht="24" customHeight="1">
      <c r="B2378" s="67"/>
      <c r="I2378" s="3" t="s">
        <v>59</v>
      </c>
      <c r="J2378" s="345">
        <v>112</v>
      </c>
      <c r="K2378" s="703">
        <v>16929.299616161617</v>
      </c>
      <c r="L2378" s="342">
        <v>1</v>
      </c>
      <c r="M2378" s="342">
        <v>19.871200000000002</v>
      </c>
      <c r="N2378" s="340">
        <v>336405.49853267072</v>
      </c>
      <c r="O2378" s="703">
        <v>19514.91</v>
      </c>
      <c r="P2378" s="342">
        <v>1</v>
      </c>
      <c r="Q2378" s="363">
        <v>19.9712</v>
      </c>
      <c r="R2378" s="340">
        <v>389736.17059200001</v>
      </c>
      <c r="S2378" s="342">
        <v>112.19</v>
      </c>
      <c r="T2378" s="342">
        <v>124.571</v>
      </c>
      <c r="U2378" s="342">
        <v>1.1103000000000001</v>
      </c>
      <c r="V2378" s="340">
        <v>432724.07020829758</v>
      </c>
      <c r="W2378" s="340">
        <v>-96318.571675626881</v>
      </c>
    </row>
    <row r="2379" spans="2:23" ht="24" customHeight="1">
      <c r="J2379" s="345"/>
      <c r="K2379" s="703"/>
      <c r="L2379" s="342"/>
      <c r="M2379" s="342"/>
      <c r="N2379" s="340"/>
      <c r="O2379" s="703"/>
      <c r="P2379" s="342"/>
      <c r="Q2379" s="363"/>
      <c r="R2379" s="340"/>
      <c r="S2379" s="342"/>
      <c r="T2379" s="342"/>
      <c r="U2379" s="342"/>
      <c r="V2379" s="340"/>
      <c r="W2379" s="340"/>
    </row>
    <row r="2380" spans="2:23" ht="24" customHeight="1">
      <c r="B2380" s="67"/>
      <c r="H2380" s="347">
        <v>44315</v>
      </c>
      <c r="I2380" s="347"/>
      <c r="J2380" s="345"/>
      <c r="K2380" s="703"/>
      <c r="L2380" s="342"/>
      <c r="M2380" s="342"/>
      <c r="N2380" s="340"/>
      <c r="O2380" s="703"/>
      <c r="P2380" s="342"/>
      <c r="Q2380" s="363"/>
      <c r="R2380" s="340"/>
      <c r="S2380" s="342"/>
      <c r="T2380" s="342"/>
      <c r="U2380" s="342"/>
      <c r="V2380" s="340"/>
      <c r="W2380" s="340"/>
    </row>
    <row r="2381" spans="2:23" ht="24" customHeight="1">
      <c r="B2381" s="67"/>
      <c r="I2381" s="3" t="s">
        <v>59</v>
      </c>
      <c r="J2381" s="345">
        <v>28</v>
      </c>
      <c r="K2381" s="703">
        <v>4230.6511111111113</v>
      </c>
      <c r="L2381" s="342">
        <v>1</v>
      </c>
      <c r="M2381" s="342">
        <v>19.871200000000002</v>
      </c>
      <c r="N2381" s="340">
        <v>84068.114359111118</v>
      </c>
      <c r="O2381" s="703">
        <v>4801.8973333333342</v>
      </c>
      <c r="P2381" s="342">
        <v>1</v>
      </c>
      <c r="Q2381" s="363">
        <v>19.9785</v>
      </c>
      <c r="R2381" s="340">
        <v>95934.705874000021</v>
      </c>
      <c r="S2381" s="342">
        <v>112.19</v>
      </c>
      <c r="T2381" s="342">
        <v>124.571</v>
      </c>
      <c r="U2381" s="342">
        <v>1.1103000000000001</v>
      </c>
      <c r="V2381" s="340">
        <v>106516.30393190224</v>
      </c>
      <c r="W2381" s="340">
        <v>-22448.189572791118</v>
      </c>
    </row>
    <row r="2382" spans="2:23" ht="24" customHeight="1">
      <c r="J2382" s="345"/>
      <c r="K2382" s="703"/>
      <c r="L2382" s="342"/>
      <c r="M2382" s="342"/>
      <c r="N2382" s="340"/>
      <c r="O2382" s="703"/>
      <c r="P2382" s="342"/>
      <c r="Q2382" s="363"/>
      <c r="R2382" s="340"/>
      <c r="S2382" s="342"/>
      <c r="T2382" s="342"/>
      <c r="U2382" s="342"/>
      <c r="V2382" s="340"/>
      <c r="W2382" s="340"/>
    </row>
    <row r="2383" spans="2:23" ht="24" customHeight="1">
      <c r="B2383" s="67"/>
      <c r="F2383" s="346">
        <v>44834</v>
      </c>
      <c r="G2383" s="346"/>
      <c r="H2383" s="346"/>
      <c r="I2383" s="346"/>
      <c r="J2383" s="345"/>
      <c r="K2383" s="703"/>
      <c r="L2383" s="342"/>
      <c r="M2383" s="342"/>
      <c r="N2383" s="340"/>
      <c r="O2383" s="703"/>
      <c r="P2383" s="342"/>
      <c r="Q2383" s="363"/>
      <c r="R2383" s="340"/>
      <c r="S2383" s="342"/>
      <c r="T2383" s="342"/>
      <c r="U2383" s="342"/>
      <c r="V2383" s="340"/>
      <c r="W2383" s="340"/>
    </row>
    <row r="2384" spans="2:23" ht="24" customHeight="1">
      <c r="B2384" s="67"/>
      <c r="G2384" s="3" t="s">
        <v>59</v>
      </c>
      <c r="H2384" s="3"/>
      <c r="I2384" s="3"/>
      <c r="J2384" s="345"/>
      <c r="K2384" s="703"/>
      <c r="L2384" s="342"/>
      <c r="M2384" s="342"/>
      <c r="N2384" s="340"/>
      <c r="O2384" s="703"/>
      <c r="P2384" s="342"/>
      <c r="Q2384" s="363"/>
      <c r="R2384" s="340"/>
      <c r="S2384" s="342"/>
      <c r="T2384" s="342"/>
      <c r="U2384" s="342"/>
      <c r="V2384" s="340"/>
      <c r="W2384" s="340"/>
    </row>
    <row r="2385" spans="2:23" ht="24" customHeight="1">
      <c r="B2385" s="67"/>
      <c r="H2385" s="347">
        <v>44314</v>
      </c>
      <c r="I2385" s="347"/>
      <c r="J2385" s="345"/>
      <c r="K2385" s="703"/>
      <c r="L2385" s="342"/>
      <c r="M2385" s="342"/>
      <c r="N2385" s="340"/>
      <c r="O2385" s="703"/>
      <c r="P2385" s="342"/>
      <c r="Q2385" s="363"/>
      <c r="R2385" s="340"/>
      <c r="S2385" s="342"/>
      <c r="T2385" s="342"/>
      <c r="U2385" s="342"/>
      <c r="V2385" s="340"/>
      <c r="W2385" s="340"/>
    </row>
    <row r="2386" spans="2:23" ht="24" customHeight="1">
      <c r="B2386" s="67"/>
      <c r="I2386" s="3" t="s">
        <v>59</v>
      </c>
      <c r="J2386" s="345">
        <v>62</v>
      </c>
      <c r="K2386" s="703">
        <v>9328.0565048543685</v>
      </c>
      <c r="L2386" s="342">
        <v>1</v>
      </c>
      <c r="M2386" s="342">
        <v>20.305800000000001</v>
      </c>
      <c r="N2386" s="340">
        <v>189413.64977627184</v>
      </c>
      <c r="O2386" s="703">
        <v>10538.559692307692</v>
      </c>
      <c r="P2386" s="342">
        <v>1</v>
      </c>
      <c r="Q2386" s="363">
        <v>19.836200000000002</v>
      </c>
      <c r="R2386" s="340">
        <v>209044.97776855386</v>
      </c>
      <c r="S2386" s="342">
        <v>112.19</v>
      </c>
      <c r="T2386" s="342">
        <v>123.803</v>
      </c>
      <c r="U2386" s="342">
        <v>1.1034999999999999</v>
      </c>
      <c r="V2386" s="340">
        <v>230681.13296759917</v>
      </c>
      <c r="W2386" s="340">
        <v>-41267.483191327337</v>
      </c>
    </row>
    <row r="2387" spans="2:23" ht="24" customHeight="1">
      <c r="J2387" s="345"/>
      <c r="K2387" s="703"/>
      <c r="L2387" s="342"/>
      <c r="M2387" s="342"/>
      <c r="N2387" s="340"/>
      <c r="O2387" s="703"/>
      <c r="P2387" s="342"/>
      <c r="Q2387" s="363"/>
      <c r="R2387" s="340"/>
      <c r="S2387" s="342"/>
      <c r="T2387" s="342"/>
      <c r="U2387" s="342"/>
      <c r="V2387" s="340"/>
      <c r="W2387" s="340"/>
    </row>
    <row r="2388" spans="2:23" ht="24" customHeight="1">
      <c r="B2388" s="67"/>
      <c r="H2388" s="347">
        <v>44315</v>
      </c>
      <c r="I2388" s="347"/>
      <c r="J2388" s="345"/>
      <c r="K2388" s="703"/>
      <c r="L2388" s="342"/>
      <c r="M2388" s="342"/>
      <c r="N2388" s="340"/>
      <c r="O2388" s="703"/>
      <c r="P2388" s="342"/>
      <c r="Q2388" s="363"/>
      <c r="R2388" s="340"/>
      <c r="S2388" s="342"/>
      <c r="T2388" s="342"/>
      <c r="U2388" s="342"/>
      <c r="V2388" s="340"/>
      <c r="W2388" s="340"/>
    </row>
    <row r="2389" spans="2:23" ht="24" customHeight="1">
      <c r="B2389" s="67"/>
      <c r="I2389" s="3" t="s">
        <v>59</v>
      </c>
      <c r="J2389" s="345">
        <v>41</v>
      </c>
      <c r="K2389" s="703">
        <v>6168.5534951456302</v>
      </c>
      <c r="L2389" s="342">
        <v>1</v>
      </c>
      <c r="M2389" s="342">
        <v>20.305800000000001</v>
      </c>
      <c r="N2389" s="340">
        <v>125257.41356172816</v>
      </c>
      <c r="O2389" s="703">
        <v>7044.0426666666672</v>
      </c>
      <c r="P2389" s="342">
        <v>1</v>
      </c>
      <c r="Q2389" s="363">
        <v>19.9785</v>
      </c>
      <c r="R2389" s="340">
        <v>140729.40641600001</v>
      </c>
      <c r="S2389" s="342">
        <v>112.19</v>
      </c>
      <c r="T2389" s="342">
        <v>123.803</v>
      </c>
      <c r="U2389" s="342">
        <v>1.1034999999999999</v>
      </c>
      <c r="V2389" s="340">
        <v>155294.89998005601</v>
      </c>
      <c r="W2389" s="340">
        <v>-30037.486418327851</v>
      </c>
    </row>
    <row r="2390" spans="2:23" ht="24" customHeight="1">
      <c r="J2390" s="345"/>
      <c r="K2390" s="703"/>
      <c r="L2390" s="342"/>
      <c r="M2390" s="342"/>
      <c r="N2390" s="340"/>
      <c r="O2390" s="703"/>
      <c r="P2390" s="342"/>
      <c r="Q2390" s="363"/>
      <c r="R2390" s="340"/>
      <c r="S2390" s="342"/>
      <c r="T2390" s="342"/>
      <c r="U2390" s="342"/>
      <c r="V2390" s="340"/>
      <c r="W2390" s="340"/>
    </row>
    <row r="2391" spans="2:23" ht="24" customHeight="1">
      <c r="B2391" s="67"/>
      <c r="E2391" s="131" t="s">
        <v>1156</v>
      </c>
      <c r="F2391" s="131"/>
      <c r="G2391" s="131"/>
      <c r="H2391" s="131"/>
      <c r="I2391" s="131"/>
      <c r="J2391" s="704">
        <v>284</v>
      </c>
      <c r="K2391" s="705">
        <v>42871.049999999996</v>
      </c>
      <c r="L2391" s="369">
        <v>1</v>
      </c>
      <c r="M2391" s="377">
        <v>20.057457142857146</v>
      </c>
      <c r="N2391" s="706">
        <v>858634.03546600009</v>
      </c>
      <c r="O2391" s="705">
        <v>49139.149692307692</v>
      </c>
      <c r="P2391" s="369">
        <v>1</v>
      </c>
      <c r="Q2391" s="377">
        <v>19.951185714285714</v>
      </c>
      <c r="R2391" s="706">
        <v>979836.08315855393</v>
      </c>
      <c r="S2391" s="369">
        <v>112.30828571428573</v>
      </c>
      <c r="T2391" s="369">
        <v>124.24185714285714</v>
      </c>
      <c r="U2391" s="369">
        <v>1.1062285714285716</v>
      </c>
      <c r="V2391" s="706">
        <v>1084363.9716561725</v>
      </c>
      <c r="W2391" s="706">
        <v>-225729.93619017254</v>
      </c>
    </row>
    <row r="2392" spans="2:23" ht="24" customHeight="1">
      <c r="J2392" s="345"/>
      <c r="K2392" s="703"/>
      <c r="L2392" s="342"/>
      <c r="M2392" s="342"/>
      <c r="N2392" s="340"/>
      <c r="O2392" s="703"/>
      <c r="P2392" s="342"/>
      <c r="Q2392" s="363"/>
      <c r="R2392" s="340"/>
      <c r="S2392" s="342"/>
      <c r="T2392" s="342"/>
      <c r="U2392" s="342"/>
      <c r="V2392" s="340"/>
      <c r="W2392" s="340"/>
    </row>
    <row r="2393" spans="2:23" ht="24" customHeight="1">
      <c r="B2393" s="67"/>
      <c r="E2393" s="1" t="s">
        <v>948</v>
      </c>
      <c r="J2393" s="345"/>
      <c r="K2393" s="703"/>
      <c r="L2393" s="342"/>
      <c r="M2393" s="342"/>
      <c r="N2393" s="340"/>
      <c r="O2393" s="703"/>
      <c r="P2393" s="342"/>
      <c r="Q2393" s="363"/>
      <c r="R2393" s="340"/>
      <c r="S2393" s="342"/>
      <c r="T2393" s="342"/>
      <c r="U2393" s="342"/>
      <c r="V2393" s="340"/>
      <c r="W2393" s="340"/>
    </row>
    <row r="2394" spans="2:23" ht="24" customHeight="1">
      <c r="B2394" s="67"/>
      <c r="F2394" s="346">
        <v>44754</v>
      </c>
      <c r="G2394" s="346"/>
      <c r="H2394" s="346"/>
      <c r="I2394" s="346"/>
      <c r="J2394" s="345"/>
      <c r="K2394" s="703"/>
      <c r="L2394" s="342"/>
      <c r="M2394" s="342"/>
      <c r="N2394" s="340"/>
      <c r="O2394" s="703"/>
      <c r="P2394" s="342"/>
      <c r="Q2394" s="363"/>
      <c r="R2394" s="340"/>
      <c r="S2394" s="342"/>
      <c r="T2394" s="342"/>
      <c r="U2394" s="342"/>
      <c r="V2394" s="340"/>
      <c r="W2394" s="340"/>
    </row>
    <row r="2395" spans="2:23" ht="24" customHeight="1">
      <c r="B2395" s="67"/>
      <c r="G2395" s="3" t="s">
        <v>59</v>
      </c>
      <c r="H2395" s="3"/>
      <c r="I2395" s="3"/>
      <c r="J2395" s="345"/>
      <c r="K2395" s="703"/>
      <c r="L2395" s="342"/>
      <c r="M2395" s="342"/>
      <c r="N2395" s="340"/>
      <c r="O2395" s="703"/>
      <c r="P2395" s="342"/>
      <c r="Q2395" s="363"/>
      <c r="R2395" s="340"/>
      <c r="S2395" s="342"/>
      <c r="T2395" s="342"/>
      <c r="U2395" s="342"/>
      <c r="V2395" s="340"/>
      <c r="W2395" s="340"/>
    </row>
    <row r="2396" spans="2:23" ht="24" customHeight="1">
      <c r="B2396" s="67"/>
      <c r="H2396" s="347">
        <v>44599</v>
      </c>
      <c r="I2396" s="347"/>
      <c r="J2396" s="345"/>
      <c r="K2396" s="703"/>
      <c r="L2396" s="342"/>
      <c r="M2396" s="342"/>
      <c r="N2396" s="340"/>
      <c r="O2396" s="703"/>
      <c r="P2396" s="342"/>
      <c r="Q2396" s="363"/>
      <c r="R2396" s="340"/>
      <c r="S2396" s="342"/>
      <c r="T2396" s="342"/>
      <c r="U2396" s="342"/>
      <c r="V2396" s="340"/>
      <c r="W2396" s="340"/>
    </row>
    <row r="2397" spans="2:23" ht="24" customHeight="1">
      <c r="B2397" s="67"/>
      <c r="I2397" s="3" t="s">
        <v>59</v>
      </c>
      <c r="J2397" s="345">
        <v>41</v>
      </c>
      <c r="K2397" s="703">
        <v>6249.938136645962</v>
      </c>
      <c r="L2397" s="342">
        <v>1</v>
      </c>
      <c r="M2397" s="342">
        <v>20.442299999999999</v>
      </c>
      <c r="N2397" s="340">
        <v>127763.11037075774</v>
      </c>
      <c r="O2397" s="703">
        <v>10993.23</v>
      </c>
      <c r="P2397" s="342">
        <v>1</v>
      </c>
      <c r="Q2397" s="363">
        <v>20.5562</v>
      </c>
      <c r="R2397" s="340">
        <v>225979.034526</v>
      </c>
      <c r="S2397" s="342">
        <v>118.98099999999999</v>
      </c>
      <c r="T2397" s="342">
        <v>122.044</v>
      </c>
      <c r="U2397" s="342">
        <v>1.0257000000000001</v>
      </c>
      <c r="V2397" s="340">
        <v>231786.69571331821</v>
      </c>
      <c r="W2397" s="340">
        <v>-104023.58534256047</v>
      </c>
    </row>
    <row r="2398" spans="2:23" ht="24" customHeight="1">
      <c r="J2398" s="345"/>
      <c r="K2398" s="703"/>
      <c r="L2398" s="342"/>
      <c r="M2398" s="342"/>
      <c r="N2398" s="340"/>
      <c r="O2398" s="703"/>
      <c r="P2398" s="342"/>
      <c r="Q2398" s="363"/>
      <c r="R2398" s="340"/>
      <c r="S2398" s="342"/>
      <c r="T2398" s="342"/>
      <c r="U2398" s="342"/>
      <c r="V2398" s="340"/>
      <c r="W2398" s="340"/>
    </row>
    <row r="2399" spans="2:23" ht="24" customHeight="1">
      <c r="B2399" s="67"/>
      <c r="H2399" s="347">
        <v>44592</v>
      </c>
      <c r="I2399" s="347"/>
      <c r="J2399" s="345"/>
      <c r="K2399" s="703"/>
      <c r="L2399" s="342"/>
      <c r="M2399" s="342"/>
      <c r="N2399" s="340"/>
      <c r="O2399" s="703"/>
      <c r="P2399" s="342"/>
      <c r="Q2399" s="363"/>
      <c r="R2399" s="340"/>
      <c r="S2399" s="342"/>
      <c r="T2399" s="342"/>
      <c r="U2399" s="342"/>
      <c r="V2399" s="340"/>
      <c r="W2399" s="340"/>
    </row>
    <row r="2400" spans="2:23" ht="24" customHeight="1">
      <c r="B2400" s="67"/>
      <c r="I2400" s="3" t="s">
        <v>59</v>
      </c>
      <c r="J2400" s="345">
        <v>61</v>
      </c>
      <c r="K2400" s="703">
        <v>9298.6884472049678</v>
      </c>
      <c r="L2400" s="342">
        <v>1</v>
      </c>
      <c r="M2400" s="342">
        <v>20.442299999999999</v>
      </c>
      <c r="N2400" s="340">
        <v>190086.57884429811</v>
      </c>
      <c r="O2400" s="703">
        <v>15479.220000000001</v>
      </c>
      <c r="P2400" s="342">
        <v>1</v>
      </c>
      <c r="Q2400" s="363">
        <v>20.738299999999999</v>
      </c>
      <c r="R2400" s="340">
        <v>321012.70812600001</v>
      </c>
      <c r="S2400" s="342">
        <v>118.002</v>
      </c>
      <c r="T2400" s="342">
        <v>122.044</v>
      </c>
      <c r="U2400" s="342">
        <v>1.0342</v>
      </c>
      <c r="V2400" s="340">
        <v>331991.34274390922</v>
      </c>
      <c r="W2400" s="340">
        <v>-141904.76389961108</v>
      </c>
    </row>
    <row r="2401" spans="2:23" ht="24" customHeight="1">
      <c r="J2401" s="345"/>
      <c r="K2401" s="703"/>
      <c r="L2401" s="342"/>
      <c r="M2401" s="342"/>
      <c r="N2401" s="340"/>
      <c r="O2401" s="703"/>
      <c r="P2401" s="342"/>
      <c r="Q2401" s="363"/>
      <c r="R2401" s="340"/>
      <c r="S2401" s="342"/>
      <c r="T2401" s="342"/>
      <c r="U2401" s="342"/>
      <c r="V2401" s="340"/>
      <c r="W2401" s="340"/>
    </row>
    <row r="2402" spans="2:23" ht="24" customHeight="1">
      <c r="B2402" s="67"/>
      <c r="H2402" s="347">
        <v>44593</v>
      </c>
      <c r="I2402" s="347"/>
      <c r="J2402" s="345"/>
      <c r="K2402" s="703"/>
      <c r="L2402" s="342"/>
      <c r="M2402" s="342"/>
      <c r="N2402" s="340"/>
      <c r="O2402" s="703"/>
      <c r="P2402" s="342"/>
      <c r="Q2402" s="363"/>
      <c r="R2402" s="340"/>
      <c r="S2402" s="342"/>
      <c r="T2402" s="342"/>
      <c r="U2402" s="342"/>
      <c r="V2402" s="340"/>
      <c r="W2402" s="340"/>
    </row>
    <row r="2403" spans="2:23" ht="24" customHeight="1">
      <c r="B2403" s="67"/>
      <c r="I2403" s="3" t="s">
        <v>59</v>
      </c>
      <c r="J2403" s="345">
        <v>40</v>
      </c>
      <c r="K2403" s="703">
        <v>6097.5006211180116</v>
      </c>
      <c r="L2403" s="342">
        <v>1</v>
      </c>
      <c r="M2403" s="342">
        <v>20.442299999999999</v>
      </c>
      <c r="N2403" s="340">
        <v>124646.93694708073</v>
      </c>
      <c r="O2403" s="703">
        <v>10482.539999999999</v>
      </c>
      <c r="P2403" s="342">
        <v>1</v>
      </c>
      <c r="Q2403" s="363">
        <v>20.8597</v>
      </c>
      <c r="R2403" s="340">
        <v>218662.63963799999</v>
      </c>
      <c r="S2403" s="342">
        <v>118.98099999999999</v>
      </c>
      <c r="T2403" s="342">
        <v>122.044</v>
      </c>
      <c r="U2403" s="342">
        <v>1.0257000000000001</v>
      </c>
      <c r="V2403" s="340">
        <v>224282.26947669662</v>
      </c>
      <c r="W2403" s="340">
        <v>-99635.332529615887</v>
      </c>
    </row>
    <row r="2404" spans="2:23" ht="24" customHeight="1">
      <c r="J2404" s="345"/>
      <c r="K2404" s="703"/>
      <c r="L2404" s="342"/>
      <c r="M2404" s="342"/>
      <c r="N2404" s="340"/>
      <c r="O2404" s="703"/>
      <c r="P2404" s="342"/>
      <c r="Q2404" s="363"/>
      <c r="R2404" s="340"/>
      <c r="S2404" s="342"/>
      <c r="T2404" s="342"/>
      <c r="U2404" s="342"/>
      <c r="V2404" s="340"/>
      <c r="W2404" s="340"/>
    </row>
    <row r="2405" spans="2:23" ht="24" customHeight="1">
      <c r="B2405" s="67"/>
      <c r="H2405" s="347">
        <v>44679</v>
      </c>
      <c r="I2405" s="347"/>
      <c r="J2405" s="345"/>
      <c r="K2405" s="703"/>
      <c r="L2405" s="342"/>
      <c r="M2405" s="342"/>
      <c r="N2405" s="340"/>
      <c r="O2405" s="703"/>
      <c r="P2405" s="342"/>
      <c r="Q2405" s="363"/>
      <c r="R2405" s="340"/>
      <c r="S2405" s="342"/>
      <c r="T2405" s="342"/>
      <c r="U2405" s="342"/>
      <c r="V2405" s="340"/>
      <c r="W2405" s="340"/>
    </row>
    <row r="2406" spans="2:23" ht="24" customHeight="1">
      <c r="B2406" s="67"/>
      <c r="I2406" s="3" t="s">
        <v>59</v>
      </c>
      <c r="J2406" s="345">
        <v>19</v>
      </c>
      <c r="K2406" s="703">
        <v>2896.3127950310554</v>
      </c>
      <c r="L2406" s="342">
        <v>1</v>
      </c>
      <c r="M2406" s="342">
        <v>20.442299999999999</v>
      </c>
      <c r="N2406" s="340">
        <v>59207.295049863344</v>
      </c>
      <c r="O2406" s="703">
        <v>3934.58</v>
      </c>
      <c r="P2406" s="342">
        <v>1</v>
      </c>
      <c r="Q2406" s="363">
        <v>20.356000000000002</v>
      </c>
      <c r="R2406" s="340">
        <v>80092.31048</v>
      </c>
      <c r="S2406" s="342">
        <v>120.809</v>
      </c>
      <c r="T2406" s="342">
        <v>122.044</v>
      </c>
      <c r="U2406" s="342">
        <v>1.0102</v>
      </c>
      <c r="V2406" s="340">
        <v>80909.252046895999</v>
      </c>
      <c r="W2406" s="340">
        <v>-21701.956997032656</v>
      </c>
    </row>
    <row r="2407" spans="2:23" ht="24" customHeight="1">
      <c r="J2407" s="345"/>
      <c r="K2407" s="703"/>
      <c r="L2407" s="342"/>
      <c r="M2407" s="342"/>
      <c r="N2407" s="340"/>
      <c r="O2407" s="703"/>
      <c r="P2407" s="342"/>
      <c r="Q2407" s="363"/>
      <c r="R2407" s="340"/>
      <c r="S2407" s="342"/>
      <c r="T2407" s="342"/>
      <c r="U2407" s="342"/>
      <c r="V2407" s="340"/>
      <c r="W2407" s="340"/>
    </row>
    <row r="2408" spans="2:23" ht="24" customHeight="1">
      <c r="B2408" s="67"/>
      <c r="E2408" s="131" t="s">
        <v>1157</v>
      </c>
      <c r="F2408" s="131"/>
      <c r="G2408" s="131"/>
      <c r="H2408" s="131"/>
      <c r="I2408" s="131"/>
      <c r="J2408" s="704">
        <v>161</v>
      </c>
      <c r="K2408" s="705">
        <v>24542.439999999995</v>
      </c>
      <c r="L2408" s="369">
        <v>1</v>
      </c>
      <c r="M2408" s="377">
        <v>20.442299999999999</v>
      </c>
      <c r="N2408" s="706">
        <v>501703.9212119999</v>
      </c>
      <c r="O2408" s="705">
        <v>40889.57</v>
      </c>
      <c r="P2408" s="369">
        <v>1</v>
      </c>
      <c r="Q2408" s="377">
        <v>20.684700000000003</v>
      </c>
      <c r="R2408" s="706">
        <v>845746.69276999985</v>
      </c>
      <c r="S2408" s="369">
        <v>118.95933333333333</v>
      </c>
      <c r="T2408" s="369">
        <v>122.044</v>
      </c>
      <c r="U2408" s="369">
        <v>1.0259500000000001</v>
      </c>
      <c r="V2408" s="706">
        <v>868969.55998082005</v>
      </c>
      <c r="W2408" s="706">
        <v>-367265.63876882009</v>
      </c>
    </row>
    <row r="2409" spans="2:23" ht="24" customHeight="1">
      <c r="J2409" s="345"/>
      <c r="K2409" s="703"/>
      <c r="L2409" s="342"/>
      <c r="M2409" s="342"/>
      <c r="N2409" s="340"/>
      <c r="O2409" s="703"/>
      <c r="P2409" s="342"/>
      <c r="Q2409" s="363"/>
      <c r="R2409" s="340"/>
      <c r="S2409" s="342"/>
      <c r="T2409" s="342"/>
      <c r="U2409" s="342"/>
      <c r="V2409" s="340"/>
      <c r="W2409" s="340"/>
    </row>
    <row r="2410" spans="2:23" ht="24" customHeight="1">
      <c r="B2410" s="67"/>
      <c r="D2410" s="364" t="s">
        <v>1255</v>
      </c>
      <c r="E2410" s="364"/>
      <c r="F2410" s="364"/>
      <c r="G2410" s="364"/>
      <c r="H2410" s="364"/>
      <c r="I2410" s="364"/>
      <c r="J2410" s="707">
        <v>23754</v>
      </c>
      <c r="K2410" s="708">
        <v>1862945.3699999985</v>
      </c>
      <c r="L2410" s="370">
        <v>1</v>
      </c>
      <c r="M2410" s="370">
        <v>20.378898173516021</v>
      </c>
      <c r="N2410" s="709">
        <v>37889215.253001012</v>
      </c>
      <c r="O2410" s="708">
        <v>2384225.4240681441</v>
      </c>
      <c r="P2410" s="370">
        <v>1</v>
      </c>
      <c r="Q2410" s="376">
        <v>20.285704414002986</v>
      </c>
      <c r="R2410" s="709">
        <v>48568319.975930624</v>
      </c>
      <c r="S2410" s="370">
        <v>114.07622374429219</v>
      </c>
      <c r="T2410" s="370">
        <v>120.46569863013667</v>
      </c>
      <c r="U2410" s="370">
        <v>1.0568718417047187</v>
      </c>
      <c r="V2410" s="709">
        <v>51324858.460740142</v>
      </c>
      <c r="W2410" s="709">
        <v>-13435643.20773913</v>
      </c>
    </row>
    <row r="2411" spans="2:23" ht="24" customHeight="1">
      <c r="J2411" s="345"/>
      <c r="K2411" s="703"/>
      <c r="L2411" s="342"/>
      <c r="M2411" s="342"/>
      <c r="N2411" s="340"/>
      <c r="O2411" s="703"/>
      <c r="P2411" s="342"/>
      <c r="Q2411" s="363"/>
      <c r="R2411" s="340"/>
      <c r="S2411" s="342"/>
      <c r="T2411" s="342"/>
      <c r="U2411" s="342"/>
      <c r="V2411" s="340"/>
      <c r="W2411" s="340"/>
    </row>
    <row r="2412" spans="2:23" ht="24" customHeight="1">
      <c r="B2412" s="67"/>
      <c r="D2412" s="1" t="s">
        <v>1266</v>
      </c>
      <c r="J2412" s="345"/>
      <c r="K2412" s="703"/>
      <c r="L2412" s="342"/>
      <c r="M2412" s="342"/>
      <c r="N2412" s="340"/>
      <c r="O2412" s="703"/>
      <c r="P2412" s="342"/>
      <c r="Q2412" s="363"/>
      <c r="R2412" s="340"/>
      <c r="S2412" s="342"/>
      <c r="T2412" s="342"/>
      <c r="U2412" s="342"/>
      <c r="V2412" s="340"/>
      <c r="W2412" s="340"/>
    </row>
    <row r="2413" spans="2:23" ht="24" customHeight="1">
      <c r="B2413" s="67"/>
      <c r="E2413" s="1" t="s">
        <v>751</v>
      </c>
      <c r="J2413" s="345"/>
      <c r="K2413" s="703"/>
      <c r="L2413" s="342"/>
      <c r="M2413" s="342"/>
      <c r="N2413" s="340"/>
      <c r="O2413" s="703"/>
      <c r="P2413" s="342"/>
      <c r="Q2413" s="363"/>
      <c r="R2413" s="340"/>
      <c r="S2413" s="342"/>
      <c r="T2413" s="342"/>
      <c r="U2413" s="342"/>
      <c r="V2413" s="340"/>
      <c r="W2413" s="340"/>
    </row>
    <row r="2414" spans="2:23" ht="24" customHeight="1">
      <c r="B2414" s="67"/>
      <c r="F2414" s="346">
        <v>44790</v>
      </c>
      <c r="G2414" s="346"/>
      <c r="H2414" s="346"/>
      <c r="I2414" s="346"/>
      <c r="J2414" s="345"/>
      <c r="K2414" s="703"/>
      <c r="L2414" s="342"/>
      <c r="M2414" s="342"/>
      <c r="N2414" s="340"/>
      <c r="O2414" s="703"/>
      <c r="P2414" s="342"/>
      <c r="Q2414" s="363"/>
      <c r="R2414" s="340"/>
      <c r="S2414" s="342"/>
      <c r="T2414" s="342"/>
      <c r="U2414" s="342"/>
      <c r="V2414" s="340"/>
      <c r="W2414" s="340"/>
    </row>
    <row r="2415" spans="2:23" ht="24" customHeight="1">
      <c r="B2415" s="67"/>
      <c r="G2415" s="3" t="s">
        <v>59</v>
      </c>
      <c r="H2415" s="3"/>
      <c r="I2415" s="3"/>
      <c r="J2415" s="345"/>
      <c r="K2415" s="703"/>
      <c r="L2415" s="342"/>
      <c r="M2415" s="342"/>
      <c r="N2415" s="340"/>
      <c r="O2415" s="703"/>
      <c r="P2415" s="342"/>
      <c r="Q2415" s="363"/>
      <c r="R2415" s="340"/>
      <c r="S2415" s="342"/>
      <c r="T2415" s="342"/>
      <c r="U2415" s="342"/>
      <c r="V2415" s="340"/>
      <c r="W2415" s="340"/>
    </row>
    <row r="2416" spans="2:23" ht="24" customHeight="1">
      <c r="B2416" s="67"/>
      <c r="H2416" s="347">
        <v>44217</v>
      </c>
      <c r="I2416" s="347"/>
      <c r="J2416" s="345"/>
      <c r="K2416" s="703"/>
      <c r="L2416" s="342"/>
      <c r="M2416" s="342"/>
      <c r="N2416" s="340"/>
      <c r="O2416" s="703"/>
      <c r="P2416" s="342"/>
      <c r="Q2416" s="363"/>
      <c r="R2416" s="340"/>
      <c r="S2416" s="342"/>
      <c r="T2416" s="342"/>
      <c r="U2416" s="342"/>
      <c r="V2416" s="340"/>
      <c r="W2416" s="340"/>
    </row>
    <row r="2417" spans="2:23" ht="24" customHeight="1">
      <c r="B2417" s="67"/>
      <c r="I2417" s="3" t="s">
        <v>59</v>
      </c>
      <c r="J2417" s="345">
        <v>70</v>
      </c>
      <c r="K2417" s="703">
        <v>7743.22</v>
      </c>
      <c r="L2417" s="342">
        <v>1</v>
      </c>
      <c r="M2417" s="342">
        <v>19.861799999999999</v>
      </c>
      <c r="N2417" s="340">
        <v>153794.28699600001</v>
      </c>
      <c r="O2417" s="703">
        <v>8100.11</v>
      </c>
      <c r="P2417" s="342">
        <v>1</v>
      </c>
      <c r="Q2417" s="363">
        <v>19.678799999999999</v>
      </c>
      <c r="R2417" s="340">
        <v>159400.44466799998</v>
      </c>
      <c r="S2417" s="342">
        <v>110.21</v>
      </c>
      <c r="T2417" s="342">
        <v>122.94799999999999</v>
      </c>
      <c r="U2417" s="342">
        <v>1.1154999999999999</v>
      </c>
      <c r="V2417" s="340">
        <v>177811.19602715396</v>
      </c>
      <c r="W2417" s="340">
        <v>-24016.909031153948</v>
      </c>
    </row>
    <row r="2418" spans="2:23" ht="24" customHeight="1">
      <c r="J2418" s="345"/>
      <c r="K2418" s="703"/>
      <c r="L2418" s="342"/>
      <c r="M2418" s="342"/>
      <c r="N2418" s="340"/>
      <c r="O2418" s="703"/>
      <c r="P2418" s="342"/>
      <c r="Q2418" s="363"/>
      <c r="R2418" s="340"/>
      <c r="S2418" s="342"/>
      <c r="T2418" s="342"/>
      <c r="U2418" s="342"/>
      <c r="V2418" s="340"/>
      <c r="W2418" s="340"/>
    </row>
    <row r="2419" spans="2:23" ht="24" customHeight="1">
      <c r="B2419" s="67"/>
      <c r="E2419" s="131" t="s">
        <v>1158</v>
      </c>
      <c r="F2419" s="131"/>
      <c r="G2419" s="131"/>
      <c r="H2419" s="131"/>
      <c r="I2419" s="131"/>
      <c r="J2419" s="704">
        <v>70</v>
      </c>
      <c r="K2419" s="705">
        <v>7743.22</v>
      </c>
      <c r="L2419" s="369">
        <v>1</v>
      </c>
      <c r="M2419" s="377">
        <v>19.861799999999999</v>
      </c>
      <c r="N2419" s="706">
        <v>153794.28699600001</v>
      </c>
      <c r="O2419" s="705">
        <v>8100.11</v>
      </c>
      <c r="P2419" s="369">
        <v>1</v>
      </c>
      <c r="Q2419" s="377">
        <v>19.678799999999999</v>
      </c>
      <c r="R2419" s="706">
        <v>159400.44466799998</v>
      </c>
      <c r="S2419" s="369">
        <v>110.21</v>
      </c>
      <c r="T2419" s="369">
        <v>122.94799999999999</v>
      </c>
      <c r="U2419" s="369">
        <v>1.1154999999999999</v>
      </c>
      <c r="V2419" s="706">
        <v>177811.19602715396</v>
      </c>
      <c r="W2419" s="706">
        <v>-24016.909031153948</v>
      </c>
    </row>
    <row r="2420" spans="2:23" ht="24" customHeight="1">
      <c r="J2420" s="345"/>
      <c r="K2420" s="703"/>
      <c r="L2420" s="342"/>
      <c r="M2420" s="342"/>
      <c r="N2420" s="340"/>
      <c r="O2420" s="703"/>
      <c r="P2420" s="342"/>
      <c r="Q2420" s="363"/>
      <c r="R2420" s="340"/>
      <c r="S2420" s="342"/>
      <c r="T2420" s="342"/>
      <c r="U2420" s="342"/>
      <c r="V2420" s="340"/>
      <c r="W2420" s="340"/>
    </row>
    <row r="2421" spans="2:23" ht="24" customHeight="1">
      <c r="B2421" s="67"/>
      <c r="E2421" s="1" t="s">
        <v>832</v>
      </c>
      <c r="J2421" s="345"/>
      <c r="K2421" s="703"/>
      <c r="L2421" s="342"/>
      <c r="M2421" s="342"/>
      <c r="N2421" s="340"/>
      <c r="O2421" s="703"/>
      <c r="P2421" s="342"/>
      <c r="Q2421" s="363"/>
      <c r="R2421" s="340"/>
      <c r="S2421" s="342"/>
      <c r="T2421" s="342"/>
      <c r="U2421" s="342"/>
      <c r="V2421" s="340"/>
      <c r="W2421" s="340"/>
    </row>
    <row r="2422" spans="2:23" ht="24" customHeight="1">
      <c r="B2422" s="67"/>
      <c r="F2422" s="346">
        <v>44642</v>
      </c>
      <c r="G2422" s="346"/>
      <c r="H2422" s="346"/>
      <c r="I2422" s="346"/>
      <c r="J2422" s="345"/>
      <c r="K2422" s="703"/>
      <c r="L2422" s="342"/>
      <c r="M2422" s="342"/>
      <c r="N2422" s="340"/>
      <c r="O2422" s="703"/>
      <c r="P2422" s="342"/>
      <c r="Q2422" s="363"/>
      <c r="R2422" s="340"/>
      <c r="S2422" s="342"/>
      <c r="T2422" s="342"/>
      <c r="U2422" s="342"/>
      <c r="V2422" s="340"/>
      <c r="W2422" s="340"/>
    </row>
    <row r="2423" spans="2:23" ht="24" customHeight="1">
      <c r="B2423" s="67"/>
      <c r="G2423" s="3" t="s">
        <v>59</v>
      </c>
      <c r="H2423" s="3"/>
      <c r="I2423" s="3"/>
      <c r="J2423" s="345"/>
      <c r="K2423" s="703"/>
      <c r="L2423" s="342"/>
      <c r="M2423" s="342"/>
      <c r="N2423" s="340"/>
      <c r="O2423" s="703"/>
      <c r="P2423" s="342"/>
      <c r="Q2423" s="363"/>
      <c r="R2423" s="340"/>
      <c r="S2423" s="342"/>
      <c r="T2423" s="342"/>
      <c r="U2423" s="342"/>
      <c r="V2423" s="340"/>
      <c r="W2423" s="340"/>
    </row>
    <row r="2424" spans="2:23" ht="24" customHeight="1">
      <c r="B2424" s="67"/>
      <c r="H2424" s="347">
        <v>43965</v>
      </c>
      <c r="I2424" s="347"/>
      <c r="J2424" s="345"/>
      <c r="K2424" s="703"/>
      <c r="L2424" s="342"/>
      <c r="M2424" s="342"/>
      <c r="N2424" s="340"/>
      <c r="O2424" s="703"/>
      <c r="P2424" s="342"/>
      <c r="Q2424" s="363"/>
      <c r="R2424" s="340"/>
      <c r="S2424" s="342"/>
      <c r="T2424" s="342"/>
      <c r="U2424" s="342"/>
      <c r="V2424" s="340"/>
      <c r="W2424" s="340"/>
    </row>
    <row r="2425" spans="2:23" ht="24" customHeight="1">
      <c r="B2425" s="67"/>
      <c r="I2425" s="3" t="s">
        <v>59</v>
      </c>
      <c r="J2425" s="345">
        <v>79</v>
      </c>
      <c r="K2425" s="703">
        <v>12580.14</v>
      </c>
      <c r="L2425" s="342">
        <v>1</v>
      </c>
      <c r="M2425" s="342">
        <v>20.558499999999999</v>
      </c>
      <c r="N2425" s="340">
        <v>258628.80818999998</v>
      </c>
      <c r="O2425" s="703">
        <v>7080.41</v>
      </c>
      <c r="P2425" s="342">
        <v>1</v>
      </c>
      <c r="Q2425" s="363">
        <v>24.0487</v>
      </c>
      <c r="R2425" s="340">
        <v>170274.655967</v>
      </c>
      <c r="S2425" s="342">
        <v>106.16200000000001</v>
      </c>
      <c r="T2425" s="342">
        <v>118.98099999999999</v>
      </c>
      <c r="U2425" s="342">
        <v>1.1207</v>
      </c>
      <c r="V2425" s="340">
        <v>190826.80694221691</v>
      </c>
      <c r="W2425" s="340">
        <v>67802.001247783046</v>
      </c>
    </row>
    <row r="2426" spans="2:23" ht="24" customHeight="1">
      <c r="J2426" s="345"/>
      <c r="K2426" s="703"/>
      <c r="L2426" s="342"/>
      <c r="M2426" s="342"/>
      <c r="N2426" s="340"/>
      <c r="O2426" s="703"/>
      <c r="P2426" s="342"/>
      <c r="Q2426" s="363"/>
      <c r="R2426" s="340"/>
      <c r="S2426" s="342"/>
      <c r="T2426" s="342"/>
      <c r="U2426" s="342"/>
      <c r="V2426" s="340"/>
      <c r="W2426" s="340"/>
    </row>
    <row r="2427" spans="2:23" ht="24" customHeight="1">
      <c r="B2427" s="67"/>
      <c r="E2427" s="131" t="s">
        <v>1159</v>
      </c>
      <c r="F2427" s="131"/>
      <c r="G2427" s="131"/>
      <c r="H2427" s="131"/>
      <c r="I2427" s="131"/>
      <c r="J2427" s="704">
        <v>79</v>
      </c>
      <c r="K2427" s="705">
        <v>12580.14</v>
      </c>
      <c r="L2427" s="369">
        <v>1</v>
      </c>
      <c r="M2427" s="377">
        <v>20.558499999999999</v>
      </c>
      <c r="N2427" s="706">
        <v>258628.80818999998</v>
      </c>
      <c r="O2427" s="705">
        <v>7080.41</v>
      </c>
      <c r="P2427" s="369">
        <v>1</v>
      </c>
      <c r="Q2427" s="377">
        <v>24.0487</v>
      </c>
      <c r="R2427" s="706">
        <v>170274.655967</v>
      </c>
      <c r="S2427" s="369">
        <v>106.16200000000001</v>
      </c>
      <c r="T2427" s="369">
        <v>118.98099999999999</v>
      </c>
      <c r="U2427" s="369">
        <v>1.1207</v>
      </c>
      <c r="V2427" s="706">
        <v>190826.80694221691</v>
      </c>
      <c r="W2427" s="706">
        <v>67802.001247783046</v>
      </c>
    </row>
    <row r="2428" spans="2:23" ht="24" customHeight="1">
      <c r="J2428" s="345"/>
      <c r="K2428" s="703"/>
      <c r="L2428" s="342"/>
      <c r="M2428" s="342"/>
      <c r="N2428" s="340"/>
      <c r="O2428" s="703"/>
      <c r="P2428" s="342"/>
      <c r="Q2428" s="363"/>
      <c r="R2428" s="340"/>
      <c r="S2428" s="342"/>
      <c r="T2428" s="342"/>
      <c r="U2428" s="342"/>
      <c r="V2428" s="340"/>
      <c r="W2428" s="340"/>
    </row>
    <row r="2429" spans="2:23" ht="24" customHeight="1">
      <c r="B2429" s="67"/>
      <c r="E2429" s="1" t="s">
        <v>1008</v>
      </c>
      <c r="J2429" s="345"/>
      <c r="K2429" s="703"/>
      <c r="L2429" s="342"/>
      <c r="M2429" s="342"/>
      <c r="N2429" s="340"/>
      <c r="O2429" s="703"/>
      <c r="P2429" s="342"/>
      <c r="Q2429" s="363"/>
      <c r="R2429" s="340"/>
      <c r="S2429" s="342"/>
      <c r="T2429" s="342"/>
      <c r="U2429" s="342"/>
      <c r="V2429" s="340"/>
      <c r="W2429" s="340"/>
    </row>
    <row r="2430" spans="2:23" ht="24" customHeight="1">
      <c r="B2430" s="67"/>
      <c r="F2430" s="346">
        <v>44790</v>
      </c>
      <c r="G2430" s="346"/>
      <c r="H2430" s="346"/>
      <c r="I2430" s="346"/>
      <c r="J2430" s="345"/>
      <c r="K2430" s="703"/>
      <c r="L2430" s="342"/>
      <c r="M2430" s="342"/>
      <c r="N2430" s="340"/>
      <c r="O2430" s="703"/>
      <c r="P2430" s="342"/>
      <c r="Q2430" s="363"/>
      <c r="R2430" s="340"/>
      <c r="S2430" s="342"/>
      <c r="T2430" s="342"/>
      <c r="U2430" s="342"/>
      <c r="V2430" s="340"/>
      <c r="W2430" s="340"/>
    </row>
    <row r="2431" spans="2:23" ht="24" customHeight="1">
      <c r="B2431" s="67"/>
      <c r="G2431" s="3" t="s">
        <v>59</v>
      </c>
      <c r="H2431" s="3"/>
      <c r="I2431" s="3"/>
      <c r="J2431" s="345"/>
      <c r="K2431" s="703"/>
      <c r="L2431" s="342"/>
      <c r="M2431" s="342"/>
      <c r="N2431" s="340"/>
      <c r="O2431" s="703"/>
      <c r="P2431" s="342"/>
      <c r="Q2431" s="363"/>
      <c r="R2431" s="340"/>
      <c r="S2431" s="342"/>
      <c r="T2431" s="342"/>
      <c r="U2431" s="342"/>
      <c r="V2431" s="340"/>
      <c r="W2431" s="340"/>
    </row>
    <row r="2432" spans="2:23" ht="24" customHeight="1">
      <c r="B2432" s="67"/>
      <c r="H2432" s="347">
        <v>43315</v>
      </c>
      <c r="I2432" s="347"/>
      <c r="J2432" s="345"/>
      <c r="K2432" s="703"/>
      <c r="L2432" s="342"/>
      <c r="M2432" s="342"/>
      <c r="N2432" s="340"/>
      <c r="O2432" s="703"/>
      <c r="P2432" s="342"/>
      <c r="Q2432" s="363"/>
      <c r="R2432" s="340"/>
      <c r="S2432" s="342"/>
      <c r="T2432" s="342"/>
      <c r="U2432" s="342"/>
      <c r="V2432" s="340"/>
      <c r="W2432" s="340"/>
    </row>
    <row r="2433" spans="2:23" ht="24" customHeight="1">
      <c r="B2433" s="67"/>
      <c r="I2433" s="3" t="s">
        <v>59</v>
      </c>
      <c r="J2433" s="345">
        <v>24</v>
      </c>
      <c r="K2433" s="703">
        <v>10539.12</v>
      </c>
      <c r="L2433" s="342">
        <v>1</v>
      </c>
      <c r="M2433" s="342">
        <v>19.861799999999999</v>
      </c>
      <c r="N2433" s="340">
        <v>209325.89361600002</v>
      </c>
      <c r="O2433" s="703">
        <v>6042.72</v>
      </c>
      <c r="P2433" s="342">
        <v>1</v>
      </c>
      <c r="Q2433" s="363">
        <v>18.5899</v>
      </c>
      <c r="R2433" s="340">
        <v>112333.560528</v>
      </c>
      <c r="S2433" s="342">
        <v>100.492</v>
      </c>
      <c r="T2433" s="342">
        <v>122.94799999999999</v>
      </c>
      <c r="U2433" s="342">
        <v>1.2234</v>
      </c>
      <c r="V2433" s="340">
        <v>137428.8779499552</v>
      </c>
      <c r="W2433" s="340">
        <v>71897.015666044812</v>
      </c>
    </row>
    <row r="2434" spans="2:23" ht="24" customHeight="1">
      <c r="J2434" s="345"/>
      <c r="K2434" s="703"/>
      <c r="L2434" s="342"/>
      <c r="M2434" s="342"/>
      <c r="N2434" s="340"/>
      <c r="O2434" s="703"/>
      <c r="P2434" s="342"/>
      <c r="Q2434" s="363"/>
      <c r="R2434" s="340"/>
      <c r="S2434" s="342"/>
      <c r="T2434" s="342"/>
      <c r="U2434" s="342"/>
      <c r="V2434" s="340"/>
      <c r="W2434" s="340"/>
    </row>
    <row r="2435" spans="2:23" ht="24" customHeight="1">
      <c r="B2435" s="67"/>
      <c r="F2435" s="346">
        <v>44830</v>
      </c>
      <c r="G2435" s="346"/>
      <c r="H2435" s="346"/>
      <c r="I2435" s="346"/>
      <c r="J2435" s="345"/>
      <c r="K2435" s="703"/>
      <c r="L2435" s="342"/>
      <c r="M2435" s="342"/>
      <c r="N2435" s="340"/>
      <c r="O2435" s="703"/>
      <c r="P2435" s="342"/>
      <c r="Q2435" s="363"/>
      <c r="R2435" s="340"/>
      <c r="S2435" s="342"/>
      <c r="T2435" s="342"/>
      <c r="U2435" s="342"/>
      <c r="V2435" s="340"/>
      <c r="W2435" s="340"/>
    </row>
    <row r="2436" spans="2:23" ht="24" customHeight="1">
      <c r="B2436" s="67"/>
      <c r="G2436" s="3" t="s">
        <v>59</v>
      </c>
      <c r="H2436" s="3"/>
      <c r="I2436" s="3"/>
      <c r="J2436" s="345"/>
      <c r="K2436" s="703"/>
      <c r="L2436" s="342"/>
      <c r="M2436" s="342"/>
      <c r="N2436" s="340"/>
      <c r="O2436" s="703"/>
      <c r="P2436" s="342"/>
      <c r="Q2436" s="363"/>
      <c r="R2436" s="340"/>
      <c r="S2436" s="342"/>
      <c r="T2436" s="342"/>
      <c r="U2436" s="342"/>
      <c r="V2436" s="340"/>
      <c r="W2436" s="340"/>
    </row>
    <row r="2437" spans="2:23" ht="24" customHeight="1">
      <c r="B2437" s="67"/>
      <c r="H2437" s="347">
        <v>43315</v>
      </c>
      <c r="I2437" s="347"/>
      <c r="J2437" s="345"/>
      <c r="K2437" s="703"/>
      <c r="L2437" s="342"/>
      <c r="M2437" s="342"/>
      <c r="N2437" s="340"/>
      <c r="O2437" s="703"/>
      <c r="P2437" s="342"/>
      <c r="Q2437" s="363"/>
      <c r="R2437" s="340"/>
      <c r="S2437" s="342"/>
      <c r="T2437" s="342"/>
      <c r="U2437" s="342"/>
      <c r="V2437" s="340"/>
      <c r="W2437" s="340"/>
    </row>
    <row r="2438" spans="2:23" ht="24" customHeight="1">
      <c r="B2438" s="67"/>
      <c r="I2438" s="3" t="s">
        <v>59</v>
      </c>
      <c r="J2438" s="345">
        <v>121</v>
      </c>
      <c r="K2438" s="703">
        <v>34101.85</v>
      </c>
      <c r="L2438" s="342">
        <v>1</v>
      </c>
      <c r="M2438" s="342">
        <v>19.960799999999999</v>
      </c>
      <c r="N2438" s="340">
        <v>680700.20747999998</v>
      </c>
      <c r="O2438" s="703">
        <v>30465.38</v>
      </c>
      <c r="P2438" s="342">
        <v>1</v>
      </c>
      <c r="Q2438" s="363">
        <v>18.5899</v>
      </c>
      <c r="R2438" s="340">
        <v>566348.367662</v>
      </c>
      <c r="S2438" s="342">
        <v>100.492</v>
      </c>
      <c r="T2438" s="342">
        <v>123.803</v>
      </c>
      <c r="U2438" s="342">
        <v>1.2319</v>
      </c>
      <c r="V2438" s="340">
        <v>697684.55412281782</v>
      </c>
      <c r="W2438" s="340">
        <v>-16984.346642817836</v>
      </c>
    </row>
    <row r="2439" spans="2:23" ht="24" customHeight="1">
      <c r="J2439" s="345"/>
      <c r="K2439" s="703"/>
      <c r="L2439" s="342"/>
      <c r="M2439" s="342"/>
      <c r="N2439" s="340"/>
      <c r="O2439" s="703"/>
      <c r="P2439" s="342"/>
      <c r="Q2439" s="363"/>
      <c r="R2439" s="340"/>
      <c r="S2439" s="342"/>
      <c r="T2439" s="342"/>
      <c r="U2439" s="342"/>
      <c r="V2439" s="340"/>
      <c r="W2439" s="340"/>
    </row>
    <row r="2440" spans="2:23" ht="24" customHeight="1">
      <c r="B2440" s="67"/>
      <c r="F2440" s="346">
        <v>44831</v>
      </c>
      <c r="G2440" s="346"/>
      <c r="H2440" s="346"/>
      <c r="I2440" s="346"/>
      <c r="J2440" s="345"/>
      <c r="K2440" s="703"/>
      <c r="L2440" s="342"/>
      <c r="M2440" s="342"/>
      <c r="N2440" s="340"/>
      <c r="O2440" s="703"/>
      <c r="P2440" s="342"/>
      <c r="Q2440" s="363"/>
      <c r="R2440" s="340"/>
      <c r="S2440" s="342"/>
      <c r="T2440" s="342"/>
      <c r="U2440" s="342"/>
      <c r="V2440" s="340"/>
      <c r="W2440" s="340"/>
    </row>
    <row r="2441" spans="2:23" ht="24" customHeight="1">
      <c r="B2441" s="67"/>
      <c r="G2441" s="3" t="s">
        <v>59</v>
      </c>
      <c r="H2441" s="3"/>
      <c r="I2441" s="3"/>
      <c r="J2441" s="345"/>
      <c r="K2441" s="703"/>
      <c r="L2441" s="342"/>
      <c r="M2441" s="342"/>
      <c r="N2441" s="340"/>
      <c r="O2441" s="703"/>
      <c r="P2441" s="342"/>
      <c r="Q2441" s="363"/>
      <c r="R2441" s="340"/>
      <c r="S2441" s="342"/>
      <c r="T2441" s="342"/>
      <c r="U2441" s="342"/>
      <c r="V2441" s="340"/>
      <c r="W2441" s="340"/>
    </row>
    <row r="2442" spans="2:23" ht="24" customHeight="1">
      <c r="B2442" s="67"/>
      <c r="H2442" s="347">
        <v>43315</v>
      </c>
      <c r="I2442" s="347"/>
      <c r="J2442" s="345"/>
      <c r="K2442" s="703"/>
      <c r="L2442" s="342"/>
      <c r="M2442" s="342"/>
      <c r="N2442" s="340"/>
      <c r="O2442" s="703"/>
      <c r="P2442" s="342"/>
      <c r="Q2442" s="363"/>
      <c r="R2442" s="340"/>
      <c r="S2442" s="342"/>
      <c r="T2442" s="342"/>
      <c r="U2442" s="342"/>
      <c r="V2442" s="340"/>
      <c r="W2442" s="340"/>
    </row>
    <row r="2443" spans="2:23" ht="24" customHeight="1">
      <c r="B2443" s="67"/>
      <c r="I2443" s="3" t="s">
        <v>59</v>
      </c>
      <c r="J2443" s="345">
        <v>55</v>
      </c>
      <c r="K2443" s="703">
        <v>15309.13</v>
      </c>
      <c r="L2443" s="342">
        <v>1</v>
      </c>
      <c r="M2443" s="342">
        <v>20.162700000000001</v>
      </c>
      <c r="N2443" s="340">
        <v>308673.39545100002</v>
      </c>
      <c r="O2443" s="703">
        <v>13847.9</v>
      </c>
      <c r="P2443" s="342">
        <v>1</v>
      </c>
      <c r="Q2443" s="363">
        <v>18.5899</v>
      </c>
      <c r="R2443" s="340">
        <v>257431.07621</v>
      </c>
      <c r="S2443" s="342">
        <v>100.492</v>
      </c>
      <c r="T2443" s="342">
        <v>123.803</v>
      </c>
      <c r="U2443" s="342">
        <v>1.2319</v>
      </c>
      <c r="V2443" s="340">
        <v>317129.34278309898</v>
      </c>
      <c r="W2443" s="340">
        <v>-8455.9473320989637</v>
      </c>
    </row>
    <row r="2444" spans="2:23" ht="24" customHeight="1">
      <c r="J2444" s="345"/>
      <c r="K2444" s="703"/>
      <c r="L2444" s="342"/>
      <c r="M2444" s="342"/>
      <c r="N2444" s="340"/>
      <c r="O2444" s="703"/>
      <c r="P2444" s="342"/>
      <c r="Q2444" s="363"/>
      <c r="R2444" s="340"/>
      <c r="S2444" s="342"/>
      <c r="T2444" s="342"/>
      <c r="U2444" s="342"/>
      <c r="V2444" s="340"/>
      <c r="W2444" s="340"/>
    </row>
    <row r="2445" spans="2:23" ht="24" customHeight="1">
      <c r="B2445" s="67"/>
      <c r="H2445" s="347">
        <v>43964</v>
      </c>
      <c r="I2445" s="347"/>
      <c r="J2445" s="345"/>
      <c r="K2445" s="703"/>
      <c r="L2445" s="342"/>
      <c r="M2445" s="342"/>
      <c r="N2445" s="340"/>
      <c r="O2445" s="703"/>
      <c r="P2445" s="342"/>
      <c r="Q2445" s="363"/>
      <c r="R2445" s="340"/>
      <c r="S2445" s="342"/>
      <c r="T2445" s="342"/>
      <c r="U2445" s="342"/>
      <c r="V2445" s="340"/>
      <c r="W2445" s="340"/>
    </row>
    <row r="2446" spans="2:23" ht="24" customHeight="1">
      <c r="B2446" s="67"/>
      <c r="I2446" s="3" t="s">
        <v>59</v>
      </c>
      <c r="J2446" s="345">
        <v>24</v>
      </c>
      <c r="K2446" s="703">
        <v>6680.35</v>
      </c>
      <c r="L2446" s="342">
        <v>1</v>
      </c>
      <c r="M2446" s="342">
        <v>20.162700000000001</v>
      </c>
      <c r="N2446" s="340">
        <v>134693.892945</v>
      </c>
      <c r="O2446" s="703">
        <v>8497.4</v>
      </c>
      <c r="P2446" s="342">
        <v>1</v>
      </c>
      <c r="Q2446" s="363">
        <v>23.869299999999999</v>
      </c>
      <c r="R2446" s="340">
        <v>202826.98981999999</v>
      </c>
      <c r="S2446" s="342">
        <v>106.16200000000001</v>
      </c>
      <c r="T2446" s="342">
        <v>123.803</v>
      </c>
      <c r="U2446" s="342">
        <v>1.1660999999999999</v>
      </c>
      <c r="V2446" s="340">
        <v>236516.55282910197</v>
      </c>
      <c r="W2446" s="340">
        <v>-101822.65988410197</v>
      </c>
    </row>
    <row r="2447" spans="2:23" ht="24" customHeight="1">
      <c r="J2447" s="345"/>
      <c r="K2447" s="703"/>
      <c r="L2447" s="342"/>
      <c r="M2447" s="342"/>
      <c r="N2447" s="340"/>
      <c r="O2447" s="703"/>
      <c r="P2447" s="342"/>
      <c r="Q2447" s="363"/>
      <c r="R2447" s="340"/>
      <c r="S2447" s="342"/>
      <c r="T2447" s="342"/>
      <c r="U2447" s="342"/>
      <c r="V2447" s="340"/>
      <c r="W2447" s="340"/>
    </row>
    <row r="2448" spans="2:23" ht="24" customHeight="1">
      <c r="B2448" s="67"/>
      <c r="H2448" s="347">
        <v>44606</v>
      </c>
      <c r="I2448" s="347"/>
      <c r="J2448" s="345"/>
      <c r="K2448" s="703"/>
      <c r="L2448" s="342"/>
      <c r="M2448" s="342"/>
      <c r="N2448" s="340"/>
      <c r="O2448" s="703"/>
      <c r="P2448" s="342"/>
      <c r="Q2448" s="363"/>
      <c r="R2448" s="340"/>
      <c r="S2448" s="342"/>
      <c r="T2448" s="342"/>
      <c r="U2448" s="342"/>
      <c r="V2448" s="340"/>
      <c r="W2448" s="340"/>
    </row>
    <row r="2449" spans="2:23" ht="24" customHeight="1">
      <c r="B2449" s="67"/>
      <c r="I2449" s="3" t="s">
        <v>59</v>
      </c>
      <c r="J2449" s="345">
        <v>54</v>
      </c>
      <c r="K2449" s="703">
        <v>15030.79</v>
      </c>
      <c r="L2449" s="342">
        <v>1</v>
      </c>
      <c r="M2449" s="342">
        <v>20.162700000000001</v>
      </c>
      <c r="N2449" s="340">
        <v>303061.30953300005</v>
      </c>
      <c r="O2449" s="703">
        <v>25592.720000000001</v>
      </c>
      <c r="P2449" s="342">
        <v>1</v>
      </c>
      <c r="Q2449" s="363">
        <v>20.4148</v>
      </c>
      <c r="R2449" s="340">
        <v>522470.26025600004</v>
      </c>
      <c r="S2449" s="342">
        <v>118.98099999999999</v>
      </c>
      <c r="T2449" s="342">
        <v>123.803</v>
      </c>
      <c r="U2449" s="342">
        <v>1.0405</v>
      </c>
      <c r="V2449" s="340">
        <v>543630.30579636805</v>
      </c>
      <c r="W2449" s="340">
        <v>-240568.996263368</v>
      </c>
    </row>
    <row r="2450" spans="2:23" ht="24" customHeight="1">
      <c r="J2450" s="345"/>
      <c r="K2450" s="703"/>
      <c r="L2450" s="342"/>
      <c r="M2450" s="342"/>
      <c r="N2450" s="340"/>
      <c r="O2450" s="703"/>
      <c r="P2450" s="342"/>
      <c r="Q2450" s="363"/>
      <c r="R2450" s="340"/>
      <c r="S2450" s="342"/>
      <c r="T2450" s="342"/>
      <c r="U2450" s="342"/>
      <c r="V2450" s="340"/>
      <c r="W2450" s="340"/>
    </row>
    <row r="2451" spans="2:23" ht="24" customHeight="1">
      <c r="B2451" s="67"/>
      <c r="H2451" s="347">
        <v>44701</v>
      </c>
      <c r="I2451" s="347"/>
      <c r="J2451" s="345"/>
      <c r="K2451" s="703"/>
      <c r="L2451" s="342"/>
      <c r="M2451" s="342"/>
      <c r="N2451" s="340"/>
      <c r="O2451" s="703"/>
      <c r="P2451" s="342"/>
      <c r="Q2451" s="363"/>
      <c r="R2451" s="340"/>
      <c r="S2451" s="342"/>
      <c r="T2451" s="342"/>
      <c r="U2451" s="342"/>
      <c r="V2451" s="340"/>
      <c r="W2451" s="340"/>
    </row>
    <row r="2452" spans="2:23" ht="24" customHeight="1">
      <c r="B2452" s="67"/>
      <c r="I2452" s="3" t="s">
        <v>59</v>
      </c>
      <c r="J2452" s="345">
        <v>10</v>
      </c>
      <c r="K2452" s="703">
        <v>2783.48</v>
      </c>
      <c r="L2452" s="342">
        <v>1</v>
      </c>
      <c r="M2452" s="342">
        <v>20.162700000000001</v>
      </c>
      <c r="N2452" s="340">
        <v>56122.472196000002</v>
      </c>
      <c r="O2452" s="703">
        <v>3943.18</v>
      </c>
      <c r="P2452" s="342">
        <v>1</v>
      </c>
      <c r="Q2452" s="363">
        <v>19.9663</v>
      </c>
      <c r="R2452" s="340">
        <v>78730.714833999999</v>
      </c>
      <c r="S2452" s="342">
        <v>121.02200000000001</v>
      </c>
      <c r="T2452" s="342">
        <v>123.803</v>
      </c>
      <c r="U2452" s="342">
        <v>1.0228999999999999</v>
      </c>
      <c r="V2452" s="340">
        <v>80533.648203698598</v>
      </c>
      <c r="W2452" s="340">
        <v>-24411.176007698596</v>
      </c>
    </row>
    <row r="2453" spans="2:23" ht="24" customHeight="1">
      <c r="J2453" s="345"/>
      <c r="K2453" s="703"/>
      <c r="L2453" s="342"/>
      <c r="M2453" s="342"/>
      <c r="N2453" s="340"/>
      <c r="O2453" s="703"/>
      <c r="P2453" s="342"/>
      <c r="Q2453" s="363"/>
      <c r="R2453" s="340"/>
      <c r="S2453" s="342"/>
      <c r="T2453" s="342"/>
      <c r="U2453" s="342"/>
      <c r="V2453" s="340"/>
      <c r="W2453" s="340"/>
    </row>
    <row r="2454" spans="2:23" ht="24" customHeight="1">
      <c r="B2454" s="67"/>
      <c r="F2454" s="346">
        <v>44832</v>
      </c>
      <c r="G2454" s="346"/>
      <c r="H2454" s="346"/>
      <c r="I2454" s="346"/>
      <c r="J2454" s="345"/>
      <c r="K2454" s="703"/>
      <c r="L2454" s="342"/>
      <c r="M2454" s="342"/>
      <c r="N2454" s="340"/>
      <c r="O2454" s="703"/>
      <c r="P2454" s="342"/>
      <c r="Q2454" s="363"/>
      <c r="R2454" s="340"/>
      <c r="S2454" s="342"/>
      <c r="T2454" s="342"/>
      <c r="U2454" s="342"/>
      <c r="V2454" s="340"/>
      <c r="W2454" s="340"/>
    </row>
    <row r="2455" spans="2:23" ht="24" customHeight="1">
      <c r="B2455" s="67"/>
      <c r="G2455" s="3" t="s">
        <v>59</v>
      </c>
      <c r="H2455" s="3"/>
      <c r="I2455" s="3"/>
      <c r="J2455" s="345"/>
      <c r="K2455" s="703"/>
      <c r="L2455" s="342"/>
      <c r="M2455" s="342"/>
      <c r="N2455" s="340"/>
      <c r="O2455" s="703"/>
      <c r="P2455" s="342"/>
      <c r="Q2455" s="363"/>
      <c r="R2455" s="340"/>
      <c r="S2455" s="342"/>
      <c r="T2455" s="342"/>
      <c r="U2455" s="342"/>
      <c r="V2455" s="340"/>
      <c r="W2455" s="340"/>
    </row>
    <row r="2456" spans="2:23" ht="24" customHeight="1">
      <c r="B2456" s="67"/>
      <c r="H2456" s="347">
        <v>44728</v>
      </c>
      <c r="I2456" s="347"/>
      <c r="J2456" s="345"/>
      <c r="K2456" s="703"/>
      <c r="L2456" s="342"/>
      <c r="M2456" s="342"/>
      <c r="N2456" s="340"/>
      <c r="O2456" s="703"/>
      <c r="P2456" s="342"/>
      <c r="Q2456" s="363"/>
      <c r="R2456" s="340"/>
      <c r="S2456" s="342"/>
      <c r="T2456" s="342"/>
      <c r="U2456" s="342"/>
      <c r="V2456" s="340"/>
      <c r="W2456" s="340"/>
    </row>
    <row r="2457" spans="2:23" ht="24" customHeight="1">
      <c r="B2457" s="67"/>
      <c r="I2457" s="3" t="s">
        <v>59</v>
      </c>
      <c r="J2457" s="345">
        <v>11</v>
      </c>
      <c r="K2457" s="703">
        <v>3076.73</v>
      </c>
      <c r="L2457" s="342">
        <v>1</v>
      </c>
      <c r="M2457" s="342">
        <v>20.351700000000001</v>
      </c>
      <c r="N2457" s="340">
        <v>62616.685941000003</v>
      </c>
      <c r="O2457" s="703">
        <v>4029.19</v>
      </c>
      <c r="P2457" s="342">
        <v>1</v>
      </c>
      <c r="Q2457" s="363">
        <v>20.658300000000001</v>
      </c>
      <c r="R2457" s="340">
        <v>83236.215777000005</v>
      </c>
      <c r="S2457" s="342">
        <v>122.044</v>
      </c>
      <c r="T2457" s="342">
        <v>123.803</v>
      </c>
      <c r="U2457" s="342">
        <v>1.0144</v>
      </c>
      <c r="V2457" s="340">
        <v>84434.817284188801</v>
      </c>
      <c r="W2457" s="340">
        <v>-21818.131343188797</v>
      </c>
    </row>
    <row r="2458" spans="2:23" ht="24" customHeight="1">
      <c r="J2458" s="345"/>
      <c r="K2458" s="703"/>
      <c r="L2458" s="342"/>
      <c r="M2458" s="342"/>
      <c r="N2458" s="340"/>
      <c r="O2458" s="703"/>
      <c r="P2458" s="342"/>
      <c r="Q2458" s="363"/>
      <c r="R2458" s="340"/>
      <c r="S2458" s="342"/>
      <c r="T2458" s="342"/>
      <c r="U2458" s="342"/>
      <c r="V2458" s="340"/>
      <c r="W2458" s="340"/>
    </row>
    <row r="2459" spans="2:23" ht="24" customHeight="1">
      <c r="B2459" s="67"/>
      <c r="H2459" s="347">
        <v>44701</v>
      </c>
      <c r="I2459" s="347"/>
      <c r="J2459" s="345"/>
      <c r="K2459" s="703"/>
      <c r="L2459" s="342"/>
      <c r="M2459" s="342"/>
      <c r="N2459" s="340"/>
      <c r="O2459" s="703"/>
      <c r="P2459" s="342"/>
      <c r="Q2459" s="363"/>
      <c r="R2459" s="340"/>
      <c r="S2459" s="342"/>
      <c r="T2459" s="342"/>
      <c r="U2459" s="342"/>
      <c r="V2459" s="340"/>
      <c r="W2459" s="340"/>
    </row>
    <row r="2460" spans="2:23" ht="24" customHeight="1">
      <c r="B2460" s="67"/>
      <c r="I2460" s="3" t="s">
        <v>59</v>
      </c>
      <c r="J2460" s="345">
        <v>44</v>
      </c>
      <c r="K2460" s="703">
        <v>12306.94</v>
      </c>
      <c r="L2460" s="342">
        <v>1</v>
      </c>
      <c r="M2460" s="342">
        <v>20.351700000000001</v>
      </c>
      <c r="N2460" s="340">
        <v>250467.15079800002</v>
      </c>
      <c r="O2460" s="703">
        <v>17350.009999999998</v>
      </c>
      <c r="P2460" s="342">
        <v>1</v>
      </c>
      <c r="Q2460" s="363">
        <v>19.9663</v>
      </c>
      <c r="R2460" s="340">
        <v>346415.504663</v>
      </c>
      <c r="S2460" s="342">
        <v>121.02200000000001</v>
      </c>
      <c r="T2460" s="342">
        <v>123.803</v>
      </c>
      <c r="U2460" s="342">
        <v>1.0228999999999999</v>
      </c>
      <c r="V2460" s="340">
        <v>354348.41971978266</v>
      </c>
      <c r="W2460" s="340">
        <v>-103881.26892178264</v>
      </c>
    </row>
    <row r="2461" spans="2:23" ht="24" customHeight="1">
      <c r="J2461" s="345"/>
      <c r="K2461" s="703"/>
      <c r="L2461" s="342"/>
      <c r="M2461" s="342"/>
      <c r="N2461" s="340"/>
      <c r="O2461" s="703"/>
      <c r="P2461" s="342"/>
      <c r="Q2461" s="363"/>
      <c r="R2461" s="340"/>
      <c r="S2461" s="342"/>
      <c r="T2461" s="342"/>
      <c r="U2461" s="342"/>
      <c r="V2461" s="340"/>
      <c r="W2461" s="340"/>
    </row>
    <row r="2462" spans="2:23" ht="24" customHeight="1">
      <c r="B2462" s="67"/>
      <c r="E2462" s="131" t="s">
        <v>1160</v>
      </c>
      <c r="F2462" s="131"/>
      <c r="G2462" s="131"/>
      <c r="H2462" s="131"/>
      <c r="I2462" s="131"/>
      <c r="J2462" s="704">
        <v>343</v>
      </c>
      <c r="K2462" s="705">
        <v>99828.389999999985</v>
      </c>
      <c r="L2462" s="369">
        <v>1</v>
      </c>
      <c r="M2462" s="377">
        <v>20.147099999999998</v>
      </c>
      <c r="N2462" s="706">
        <v>2005661.0079599998</v>
      </c>
      <c r="O2462" s="705">
        <v>109768.49999999999</v>
      </c>
      <c r="P2462" s="369">
        <v>1</v>
      </c>
      <c r="Q2462" s="377">
        <v>20.0805875</v>
      </c>
      <c r="R2462" s="706">
        <v>2169792.6897499999</v>
      </c>
      <c r="S2462" s="369">
        <v>111.33837500000001</v>
      </c>
      <c r="T2462" s="369">
        <v>123.69612499999999</v>
      </c>
      <c r="U2462" s="369">
        <v>1.1192500000000001</v>
      </c>
      <c r="V2462" s="706">
        <v>2451706.5186890122</v>
      </c>
      <c r="W2462" s="706">
        <v>-446045.51072901196</v>
      </c>
    </row>
    <row r="2463" spans="2:23" ht="24" customHeight="1">
      <c r="J2463" s="345"/>
      <c r="K2463" s="703"/>
      <c r="L2463" s="342"/>
      <c r="M2463" s="342"/>
      <c r="N2463" s="340"/>
      <c r="O2463" s="703"/>
      <c r="P2463" s="342"/>
      <c r="Q2463" s="363"/>
      <c r="R2463" s="340"/>
      <c r="S2463" s="342"/>
      <c r="T2463" s="342"/>
      <c r="U2463" s="342"/>
      <c r="V2463" s="340"/>
      <c r="W2463" s="340"/>
    </row>
    <row r="2464" spans="2:23" ht="24" customHeight="1">
      <c r="B2464" s="67"/>
      <c r="E2464" s="1" t="s">
        <v>838</v>
      </c>
      <c r="J2464" s="345"/>
      <c r="K2464" s="703"/>
      <c r="L2464" s="342"/>
      <c r="M2464" s="342"/>
      <c r="N2464" s="340"/>
      <c r="O2464" s="703"/>
      <c r="P2464" s="342"/>
      <c r="Q2464" s="363"/>
      <c r="R2464" s="340"/>
      <c r="S2464" s="342"/>
      <c r="T2464" s="342"/>
      <c r="U2464" s="342"/>
      <c r="V2464" s="340"/>
      <c r="W2464" s="340"/>
    </row>
    <row r="2465" spans="2:23" ht="24" customHeight="1">
      <c r="B2465" s="67"/>
      <c r="F2465" s="346">
        <v>44722</v>
      </c>
      <c r="G2465" s="346"/>
      <c r="H2465" s="346"/>
      <c r="I2465" s="346"/>
      <c r="J2465" s="345"/>
      <c r="K2465" s="703"/>
      <c r="L2465" s="342"/>
      <c r="M2465" s="342"/>
      <c r="N2465" s="340"/>
      <c r="O2465" s="703"/>
      <c r="P2465" s="342"/>
      <c r="Q2465" s="363"/>
      <c r="R2465" s="340"/>
      <c r="S2465" s="342"/>
      <c r="T2465" s="342"/>
      <c r="U2465" s="342"/>
      <c r="V2465" s="340"/>
      <c r="W2465" s="340"/>
    </row>
    <row r="2466" spans="2:23" ht="24" customHeight="1">
      <c r="B2466" s="67"/>
      <c r="G2466" s="3" t="s">
        <v>59</v>
      </c>
      <c r="H2466" s="3"/>
      <c r="I2466" s="3"/>
      <c r="J2466" s="345"/>
      <c r="K2466" s="703"/>
      <c r="L2466" s="342"/>
      <c r="M2466" s="342"/>
      <c r="N2466" s="340"/>
      <c r="O2466" s="703"/>
      <c r="P2466" s="342"/>
      <c r="Q2466" s="363"/>
      <c r="R2466" s="340"/>
      <c r="S2466" s="342"/>
      <c r="T2466" s="342"/>
      <c r="U2466" s="342"/>
      <c r="V2466" s="340"/>
      <c r="W2466" s="340"/>
    </row>
    <row r="2467" spans="2:23" ht="24" customHeight="1">
      <c r="B2467" s="67"/>
      <c r="H2467" s="347">
        <v>43315</v>
      </c>
      <c r="I2467" s="347"/>
      <c r="J2467" s="345"/>
      <c r="K2467" s="703"/>
      <c r="L2467" s="342"/>
      <c r="M2467" s="342"/>
      <c r="N2467" s="340"/>
      <c r="O2467" s="703"/>
      <c r="P2467" s="342"/>
      <c r="Q2467" s="363"/>
      <c r="R2467" s="340"/>
      <c r="S2467" s="342"/>
      <c r="T2467" s="342"/>
      <c r="U2467" s="342"/>
      <c r="V2467" s="340"/>
      <c r="W2467" s="340"/>
    </row>
    <row r="2468" spans="2:23" ht="24" customHeight="1">
      <c r="B2468" s="67"/>
      <c r="I2468" s="3" t="s">
        <v>59</v>
      </c>
      <c r="J2468" s="345">
        <v>2</v>
      </c>
      <c r="K2468" s="703">
        <v>4494.8</v>
      </c>
      <c r="L2468" s="342">
        <v>1</v>
      </c>
      <c r="M2468" s="342">
        <v>19.59</v>
      </c>
      <c r="N2468" s="340">
        <v>88053.131999999998</v>
      </c>
      <c r="O2468" s="703">
        <v>2480.67</v>
      </c>
      <c r="P2468" s="342">
        <v>1</v>
      </c>
      <c r="Q2468" s="363">
        <v>18.5899</v>
      </c>
      <c r="R2468" s="340">
        <v>46115.407232999998</v>
      </c>
      <c r="S2468" s="342">
        <v>100.492</v>
      </c>
      <c r="T2468" s="342">
        <v>121.02200000000001</v>
      </c>
      <c r="U2468" s="342">
        <v>1.2041999999999999</v>
      </c>
      <c r="V2468" s="340">
        <v>55532.173389978598</v>
      </c>
      <c r="W2468" s="340">
        <v>32520.9586100214</v>
      </c>
    </row>
    <row r="2469" spans="2:23" ht="24" customHeight="1">
      <c r="J2469" s="345"/>
      <c r="K2469" s="703"/>
      <c r="L2469" s="342"/>
      <c r="M2469" s="342"/>
      <c r="N2469" s="340"/>
      <c r="O2469" s="703"/>
      <c r="P2469" s="342"/>
      <c r="Q2469" s="363"/>
      <c r="R2469" s="340"/>
      <c r="S2469" s="342"/>
      <c r="T2469" s="342"/>
      <c r="U2469" s="342"/>
      <c r="V2469" s="340"/>
      <c r="W2469" s="340"/>
    </row>
    <row r="2470" spans="2:23" ht="24" customHeight="1">
      <c r="B2470" s="67"/>
      <c r="F2470" s="346">
        <v>44790</v>
      </c>
      <c r="G2470" s="346"/>
      <c r="H2470" s="346"/>
      <c r="I2470" s="346"/>
      <c r="J2470" s="345"/>
      <c r="K2470" s="703"/>
      <c r="L2470" s="342"/>
      <c r="M2470" s="342"/>
      <c r="N2470" s="340"/>
      <c r="O2470" s="703"/>
      <c r="P2470" s="342"/>
      <c r="Q2470" s="363"/>
      <c r="R2470" s="340"/>
      <c r="S2470" s="342"/>
      <c r="T2470" s="342"/>
      <c r="U2470" s="342"/>
      <c r="V2470" s="340"/>
      <c r="W2470" s="340"/>
    </row>
    <row r="2471" spans="2:23" ht="24" customHeight="1">
      <c r="B2471" s="67"/>
      <c r="G2471" s="3" t="s">
        <v>59</v>
      </c>
      <c r="H2471" s="3"/>
      <c r="I2471" s="3"/>
      <c r="J2471" s="345"/>
      <c r="K2471" s="703"/>
      <c r="L2471" s="342"/>
      <c r="M2471" s="342"/>
      <c r="N2471" s="340"/>
      <c r="O2471" s="703"/>
      <c r="P2471" s="342"/>
      <c r="Q2471" s="363"/>
      <c r="R2471" s="340"/>
      <c r="S2471" s="342"/>
      <c r="T2471" s="342"/>
      <c r="U2471" s="342"/>
      <c r="V2471" s="340"/>
      <c r="W2471" s="340"/>
    </row>
    <row r="2472" spans="2:23" ht="24" customHeight="1">
      <c r="B2472" s="67"/>
      <c r="H2472" s="347">
        <v>43315</v>
      </c>
      <c r="I2472" s="347"/>
      <c r="J2472" s="345"/>
      <c r="K2472" s="703"/>
      <c r="L2472" s="342"/>
      <c r="M2472" s="342"/>
      <c r="N2472" s="340"/>
      <c r="O2472" s="703"/>
      <c r="P2472" s="342"/>
      <c r="Q2472" s="363"/>
      <c r="R2472" s="340"/>
      <c r="S2472" s="342"/>
      <c r="T2472" s="342"/>
      <c r="U2472" s="342"/>
      <c r="V2472" s="340"/>
      <c r="W2472" s="340"/>
    </row>
    <row r="2473" spans="2:23" ht="24" customHeight="1">
      <c r="B2473" s="67"/>
      <c r="I2473" s="3" t="s">
        <v>59</v>
      </c>
      <c r="J2473" s="345">
        <v>255</v>
      </c>
      <c r="K2473" s="703">
        <v>30569.98</v>
      </c>
      <c r="L2473" s="342">
        <v>1</v>
      </c>
      <c r="M2473" s="342">
        <v>19.861799999999999</v>
      </c>
      <c r="N2473" s="340">
        <v>607174.82876399998</v>
      </c>
      <c r="O2473" s="703">
        <v>15814.34</v>
      </c>
      <c r="P2473" s="342">
        <v>1</v>
      </c>
      <c r="Q2473" s="363">
        <v>18.5899</v>
      </c>
      <c r="R2473" s="340">
        <v>293986.99916599999</v>
      </c>
      <c r="S2473" s="342">
        <v>100.492</v>
      </c>
      <c r="T2473" s="342">
        <v>122.94799999999999</v>
      </c>
      <c r="U2473" s="342">
        <v>1.2234</v>
      </c>
      <c r="V2473" s="340">
        <v>359663.69477968442</v>
      </c>
      <c r="W2473" s="340">
        <v>247511.13398431556</v>
      </c>
    </row>
    <row r="2474" spans="2:23" ht="24" customHeight="1">
      <c r="J2474" s="345"/>
      <c r="K2474" s="703"/>
      <c r="L2474" s="342"/>
      <c r="M2474" s="342"/>
      <c r="N2474" s="340"/>
      <c r="O2474" s="703"/>
      <c r="P2474" s="342"/>
      <c r="Q2474" s="363"/>
      <c r="R2474" s="340"/>
      <c r="S2474" s="342"/>
      <c r="T2474" s="342"/>
      <c r="U2474" s="342"/>
      <c r="V2474" s="340"/>
      <c r="W2474" s="340"/>
    </row>
    <row r="2475" spans="2:23" ht="24" customHeight="1">
      <c r="B2475" s="67"/>
      <c r="E2475" s="131" t="s">
        <v>1113</v>
      </c>
      <c r="F2475" s="131"/>
      <c r="G2475" s="131"/>
      <c r="H2475" s="131"/>
      <c r="I2475" s="131"/>
      <c r="J2475" s="704">
        <v>257</v>
      </c>
      <c r="K2475" s="705">
        <v>35064.78</v>
      </c>
      <c r="L2475" s="369">
        <v>1</v>
      </c>
      <c r="M2475" s="377">
        <v>19.725899999999999</v>
      </c>
      <c r="N2475" s="706">
        <v>695227.96076399996</v>
      </c>
      <c r="O2475" s="705">
        <v>18295.010000000002</v>
      </c>
      <c r="P2475" s="369">
        <v>1</v>
      </c>
      <c r="Q2475" s="377">
        <v>18.5899</v>
      </c>
      <c r="R2475" s="706">
        <v>340102.40639899997</v>
      </c>
      <c r="S2475" s="369">
        <v>100.492</v>
      </c>
      <c r="T2475" s="369">
        <v>121.985</v>
      </c>
      <c r="U2475" s="369">
        <v>1.2138</v>
      </c>
      <c r="V2475" s="706">
        <v>415195.86816966301</v>
      </c>
      <c r="W2475" s="706">
        <v>280032.09259433695</v>
      </c>
    </row>
    <row r="2476" spans="2:23" ht="24" customHeight="1">
      <c r="J2476" s="345"/>
      <c r="K2476" s="703"/>
      <c r="L2476" s="342"/>
      <c r="M2476" s="342"/>
      <c r="N2476" s="340"/>
      <c r="O2476" s="703"/>
      <c r="P2476" s="342"/>
      <c r="Q2476" s="363"/>
      <c r="R2476" s="340"/>
      <c r="S2476" s="342"/>
      <c r="T2476" s="342"/>
      <c r="U2476" s="342"/>
      <c r="V2476" s="340"/>
      <c r="W2476" s="340"/>
    </row>
    <row r="2477" spans="2:23" ht="24" customHeight="1">
      <c r="B2477" s="67"/>
      <c r="E2477" s="1" t="s">
        <v>839</v>
      </c>
      <c r="J2477" s="345"/>
      <c r="K2477" s="703"/>
      <c r="L2477" s="342"/>
      <c r="M2477" s="342"/>
      <c r="N2477" s="340"/>
      <c r="O2477" s="703"/>
      <c r="P2477" s="342"/>
      <c r="Q2477" s="363"/>
      <c r="R2477" s="340"/>
      <c r="S2477" s="342"/>
      <c r="T2477" s="342"/>
      <c r="U2477" s="342"/>
      <c r="V2477" s="340"/>
      <c r="W2477" s="340"/>
    </row>
    <row r="2478" spans="2:23" ht="24" customHeight="1">
      <c r="B2478" s="67"/>
      <c r="F2478" s="346">
        <v>44722</v>
      </c>
      <c r="G2478" s="346"/>
      <c r="H2478" s="346"/>
      <c r="I2478" s="346"/>
      <c r="J2478" s="345"/>
      <c r="K2478" s="703"/>
      <c r="L2478" s="342"/>
      <c r="M2478" s="342"/>
      <c r="N2478" s="340"/>
      <c r="O2478" s="703"/>
      <c r="P2478" s="342"/>
      <c r="Q2478" s="363"/>
      <c r="R2478" s="340"/>
      <c r="S2478" s="342"/>
      <c r="T2478" s="342"/>
      <c r="U2478" s="342"/>
      <c r="V2478" s="340"/>
      <c r="W2478" s="340"/>
    </row>
    <row r="2479" spans="2:23" ht="24" customHeight="1">
      <c r="B2479" s="67"/>
      <c r="G2479" s="3" t="s">
        <v>59</v>
      </c>
      <c r="H2479" s="3"/>
      <c r="I2479" s="3"/>
      <c r="J2479" s="345"/>
      <c r="K2479" s="703"/>
      <c r="L2479" s="342"/>
      <c r="M2479" s="342"/>
      <c r="N2479" s="340"/>
      <c r="O2479" s="703"/>
      <c r="P2479" s="342"/>
      <c r="Q2479" s="363"/>
      <c r="R2479" s="340"/>
      <c r="S2479" s="342"/>
      <c r="T2479" s="342"/>
      <c r="U2479" s="342"/>
      <c r="V2479" s="340"/>
      <c r="W2479" s="340"/>
    </row>
    <row r="2480" spans="2:23" ht="24" customHeight="1">
      <c r="B2480" s="67"/>
      <c r="H2480" s="347">
        <v>43578</v>
      </c>
      <c r="I2480" s="347"/>
      <c r="J2480" s="345"/>
      <c r="K2480" s="703"/>
      <c r="L2480" s="342"/>
      <c r="M2480" s="342"/>
      <c r="N2480" s="340"/>
      <c r="O2480" s="703"/>
      <c r="P2480" s="342"/>
      <c r="Q2480" s="363"/>
      <c r="R2480" s="340"/>
      <c r="S2480" s="342"/>
      <c r="T2480" s="342"/>
      <c r="U2480" s="342"/>
      <c r="V2480" s="340"/>
      <c r="W2480" s="340"/>
    </row>
    <row r="2481" spans="2:23" ht="24" customHeight="1">
      <c r="B2481" s="67"/>
      <c r="I2481" s="3" t="s">
        <v>59</v>
      </c>
      <c r="J2481" s="345">
        <v>46</v>
      </c>
      <c r="K2481" s="703">
        <v>5083.34</v>
      </c>
      <c r="L2481" s="342">
        <v>1</v>
      </c>
      <c r="M2481" s="342">
        <v>19.59</v>
      </c>
      <c r="N2481" s="340">
        <v>99582.630600000004</v>
      </c>
      <c r="O2481" s="703">
        <v>4429.75</v>
      </c>
      <c r="P2481" s="342">
        <v>1</v>
      </c>
      <c r="Q2481" s="363">
        <v>18.847999999999999</v>
      </c>
      <c r="R2481" s="340">
        <v>83491.928</v>
      </c>
      <c r="S2481" s="342">
        <v>103.53100000000001</v>
      </c>
      <c r="T2481" s="342">
        <v>121.02200000000001</v>
      </c>
      <c r="U2481" s="342">
        <v>1.1689000000000001</v>
      </c>
      <c r="V2481" s="340">
        <v>97593.7146392</v>
      </c>
      <c r="W2481" s="340">
        <v>1988.9159608000045</v>
      </c>
    </row>
    <row r="2482" spans="2:23" ht="24" customHeight="1">
      <c r="J2482" s="345"/>
      <c r="K2482" s="703"/>
      <c r="L2482" s="342"/>
      <c r="M2482" s="342"/>
      <c r="N2482" s="340"/>
      <c r="O2482" s="703"/>
      <c r="P2482" s="342"/>
      <c r="Q2482" s="363"/>
      <c r="R2482" s="340"/>
      <c r="S2482" s="342"/>
      <c r="T2482" s="342"/>
      <c r="U2482" s="342"/>
      <c r="V2482" s="340"/>
      <c r="W2482" s="340"/>
    </row>
    <row r="2483" spans="2:23" ht="24" customHeight="1">
      <c r="B2483" s="67"/>
      <c r="F2483" s="346">
        <v>44790</v>
      </c>
      <c r="G2483" s="346"/>
      <c r="H2483" s="346"/>
      <c r="I2483" s="346"/>
      <c r="J2483" s="345"/>
      <c r="K2483" s="703"/>
      <c r="L2483" s="342"/>
      <c r="M2483" s="342"/>
      <c r="N2483" s="340"/>
      <c r="O2483" s="703"/>
      <c r="P2483" s="342"/>
      <c r="Q2483" s="363"/>
      <c r="R2483" s="340"/>
      <c r="S2483" s="342"/>
      <c r="T2483" s="342"/>
      <c r="U2483" s="342"/>
      <c r="V2483" s="340"/>
      <c r="W2483" s="340"/>
    </row>
    <row r="2484" spans="2:23" ht="24" customHeight="1">
      <c r="B2484" s="67"/>
      <c r="G2484" s="3" t="s">
        <v>59</v>
      </c>
      <c r="H2484" s="3"/>
      <c r="I2484" s="3"/>
      <c r="J2484" s="345"/>
      <c r="K2484" s="703"/>
      <c r="L2484" s="342"/>
      <c r="M2484" s="342"/>
      <c r="N2484" s="340"/>
      <c r="O2484" s="703"/>
      <c r="P2484" s="342"/>
      <c r="Q2484" s="363"/>
      <c r="R2484" s="340"/>
      <c r="S2484" s="342"/>
      <c r="T2484" s="342"/>
      <c r="U2484" s="342"/>
      <c r="V2484" s="340"/>
      <c r="W2484" s="340"/>
    </row>
    <row r="2485" spans="2:23" ht="24" customHeight="1">
      <c r="B2485" s="67"/>
      <c r="H2485" s="347">
        <v>43578</v>
      </c>
      <c r="I2485" s="347"/>
      <c r="J2485" s="345"/>
      <c r="K2485" s="703"/>
      <c r="L2485" s="342"/>
      <c r="M2485" s="342"/>
      <c r="N2485" s="340"/>
      <c r="O2485" s="703"/>
      <c r="P2485" s="342"/>
      <c r="Q2485" s="363"/>
      <c r="R2485" s="340"/>
      <c r="S2485" s="342"/>
      <c r="T2485" s="342"/>
      <c r="U2485" s="342"/>
      <c r="V2485" s="340"/>
      <c r="W2485" s="340"/>
    </row>
    <row r="2486" spans="2:23" ht="24" customHeight="1">
      <c r="B2486" s="67"/>
      <c r="I2486" s="3" t="s">
        <v>59</v>
      </c>
      <c r="J2486" s="345">
        <v>207</v>
      </c>
      <c r="K2486" s="703">
        <v>29414.03</v>
      </c>
      <c r="L2486" s="342">
        <v>1</v>
      </c>
      <c r="M2486" s="342">
        <v>19.861799999999999</v>
      </c>
      <c r="N2486" s="340">
        <v>584215.58105399995</v>
      </c>
      <c r="O2486" s="703">
        <v>19933.89</v>
      </c>
      <c r="P2486" s="342">
        <v>1</v>
      </c>
      <c r="Q2486" s="363">
        <v>18.847999999999999</v>
      </c>
      <c r="R2486" s="340">
        <v>375713.95872</v>
      </c>
      <c r="S2486" s="342">
        <v>103.53100000000001</v>
      </c>
      <c r="T2486" s="342">
        <v>122.94799999999999</v>
      </c>
      <c r="U2486" s="342">
        <v>1.1875</v>
      </c>
      <c r="V2486" s="340">
        <v>446160.32597999997</v>
      </c>
      <c r="W2486" s="340">
        <v>138055.25507399999</v>
      </c>
    </row>
    <row r="2487" spans="2:23" ht="24" customHeight="1">
      <c r="J2487" s="345"/>
      <c r="K2487" s="703"/>
      <c r="L2487" s="342"/>
      <c r="M2487" s="342"/>
      <c r="N2487" s="340"/>
      <c r="O2487" s="703"/>
      <c r="P2487" s="342"/>
      <c r="Q2487" s="363"/>
      <c r="R2487" s="340"/>
      <c r="S2487" s="342"/>
      <c r="T2487" s="342"/>
      <c r="U2487" s="342"/>
      <c r="V2487" s="340"/>
      <c r="W2487" s="340"/>
    </row>
    <row r="2488" spans="2:23" ht="24" customHeight="1">
      <c r="B2488" s="67"/>
      <c r="E2488" s="131" t="s">
        <v>1114</v>
      </c>
      <c r="F2488" s="131"/>
      <c r="G2488" s="131"/>
      <c r="H2488" s="131"/>
      <c r="I2488" s="131"/>
      <c r="J2488" s="704">
        <v>253</v>
      </c>
      <c r="K2488" s="705">
        <v>34497.369999999995</v>
      </c>
      <c r="L2488" s="369">
        <v>1</v>
      </c>
      <c r="M2488" s="377">
        <v>19.725899999999999</v>
      </c>
      <c r="N2488" s="706">
        <v>683798.21165399998</v>
      </c>
      <c r="O2488" s="705">
        <v>24363.64</v>
      </c>
      <c r="P2488" s="369">
        <v>1</v>
      </c>
      <c r="Q2488" s="377">
        <v>18.847999999999999</v>
      </c>
      <c r="R2488" s="706">
        <v>459205.88672000001</v>
      </c>
      <c r="S2488" s="369">
        <v>103.53100000000001</v>
      </c>
      <c r="T2488" s="369">
        <v>121.985</v>
      </c>
      <c r="U2488" s="369">
        <v>1.1781999999999999</v>
      </c>
      <c r="V2488" s="706">
        <v>543754.04061919998</v>
      </c>
      <c r="W2488" s="706">
        <v>140044.17103480001</v>
      </c>
    </row>
    <row r="2489" spans="2:23" ht="24" customHeight="1">
      <c r="J2489" s="345"/>
      <c r="K2489" s="703"/>
      <c r="L2489" s="342"/>
      <c r="M2489" s="342"/>
      <c r="N2489" s="340"/>
      <c r="O2489" s="703"/>
      <c r="P2489" s="342"/>
      <c r="Q2489" s="363"/>
      <c r="R2489" s="340"/>
      <c r="S2489" s="342"/>
      <c r="T2489" s="342"/>
      <c r="U2489" s="342"/>
      <c r="V2489" s="340"/>
      <c r="W2489" s="340"/>
    </row>
    <row r="2490" spans="2:23" ht="24" customHeight="1">
      <c r="B2490" s="67"/>
      <c r="E2490" s="1" t="s">
        <v>939</v>
      </c>
      <c r="J2490" s="345"/>
      <c r="K2490" s="703"/>
      <c r="L2490" s="342"/>
      <c r="M2490" s="342"/>
      <c r="N2490" s="340"/>
      <c r="O2490" s="703"/>
      <c r="P2490" s="342"/>
      <c r="Q2490" s="363"/>
      <c r="R2490" s="340"/>
      <c r="S2490" s="342"/>
      <c r="T2490" s="342"/>
      <c r="U2490" s="342"/>
      <c r="V2490" s="340"/>
      <c r="W2490" s="340"/>
    </row>
    <row r="2491" spans="2:23" ht="24" customHeight="1">
      <c r="B2491" s="67"/>
      <c r="F2491" s="346">
        <v>44755</v>
      </c>
      <c r="G2491" s="346"/>
      <c r="H2491" s="346"/>
      <c r="I2491" s="346"/>
      <c r="J2491" s="345"/>
      <c r="K2491" s="703"/>
      <c r="L2491" s="342"/>
      <c r="M2491" s="342"/>
      <c r="N2491" s="340"/>
      <c r="O2491" s="703"/>
      <c r="P2491" s="342"/>
      <c r="Q2491" s="363"/>
      <c r="R2491" s="340"/>
      <c r="S2491" s="342"/>
      <c r="T2491" s="342"/>
      <c r="U2491" s="342"/>
      <c r="V2491" s="340"/>
      <c r="W2491" s="340"/>
    </row>
    <row r="2492" spans="2:23" ht="24" customHeight="1">
      <c r="B2492" s="67"/>
      <c r="G2492" s="3" t="s">
        <v>59</v>
      </c>
      <c r="H2492" s="3"/>
      <c r="I2492" s="3"/>
      <c r="J2492" s="345"/>
      <c r="K2492" s="703"/>
      <c r="L2492" s="342"/>
      <c r="M2492" s="342"/>
      <c r="N2492" s="340"/>
      <c r="O2492" s="703"/>
      <c r="P2492" s="342"/>
      <c r="Q2492" s="363"/>
      <c r="R2492" s="340"/>
      <c r="S2492" s="342"/>
      <c r="T2492" s="342"/>
      <c r="U2492" s="342"/>
      <c r="V2492" s="340"/>
      <c r="W2492" s="340"/>
    </row>
    <row r="2493" spans="2:23" ht="24" customHeight="1">
      <c r="B2493" s="67"/>
      <c r="H2493" s="347">
        <v>44720</v>
      </c>
      <c r="I2493" s="347"/>
      <c r="J2493" s="345"/>
      <c r="K2493" s="703"/>
      <c r="L2493" s="342"/>
      <c r="M2493" s="342"/>
      <c r="N2493" s="340"/>
      <c r="O2493" s="703"/>
      <c r="P2493" s="342"/>
      <c r="Q2493" s="363"/>
      <c r="R2493" s="340"/>
      <c r="S2493" s="342"/>
      <c r="T2493" s="342"/>
      <c r="U2493" s="342"/>
      <c r="V2493" s="340"/>
      <c r="W2493" s="340"/>
    </row>
    <row r="2494" spans="2:23" ht="24" customHeight="1">
      <c r="B2494" s="67"/>
      <c r="I2494" s="3" t="s">
        <v>59</v>
      </c>
      <c r="J2494" s="345">
        <v>329</v>
      </c>
      <c r="K2494" s="703">
        <v>4069.28</v>
      </c>
      <c r="L2494" s="342">
        <v>1</v>
      </c>
      <c r="M2494" s="342">
        <v>20.747299999999999</v>
      </c>
      <c r="N2494" s="340">
        <v>84426.572944</v>
      </c>
      <c r="O2494" s="703">
        <v>4393.8</v>
      </c>
      <c r="P2494" s="342">
        <v>1</v>
      </c>
      <c r="Q2494" s="363">
        <v>19.5547</v>
      </c>
      <c r="R2494" s="340">
        <v>85919.440860000002</v>
      </c>
      <c r="S2494" s="342">
        <v>122.044</v>
      </c>
      <c r="T2494" s="342">
        <v>122.044</v>
      </c>
      <c r="U2494" s="342">
        <v>1</v>
      </c>
      <c r="V2494" s="340">
        <v>85919.440860000002</v>
      </c>
      <c r="W2494" s="340">
        <v>-1492.8679160000029</v>
      </c>
    </row>
    <row r="2495" spans="2:23" ht="24" customHeight="1">
      <c r="J2495" s="345"/>
      <c r="K2495" s="703"/>
      <c r="L2495" s="342"/>
      <c r="M2495" s="342"/>
      <c r="N2495" s="340"/>
      <c r="O2495" s="703"/>
      <c r="P2495" s="342"/>
      <c r="Q2495" s="363"/>
      <c r="R2495" s="340"/>
      <c r="S2495" s="342"/>
      <c r="T2495" s="342"/>
      <c r="U2495" s="342"/>
      <c r="V2495" s="340"/>
      <c r="W2495" s="340"/>
    </row>
    <row r="2496" spans="2:23" ht="24" customHeight="1">
      <c r="B2496" s="67"/>
      <c r="E2496" s="131" t="s">
        <v>1161</v>
      </c>
      <c r="F2496" s="131"/>
      <c r="G2496" s="131"/>
      <c r="H2496" s="131"/>
      <c r="I2496" s="131"/>
      <c r="J2496" s="704">
        <v>329</v>
      </c>
      <c r="K2496" s="705">
        <v>4069.28</v>
      </c>
      <c r="L2496" s="369">
        <v>1</v>
      </c>
      <c r="M2496" s="377">
        <v>20.747299999999999</v>
      </c>
      <c r="N2496" s="706">
        <v>84426.572944</v>
      </c>
      <c r="O2496" s="705">
        <v>4393.8</v>
      </c>
      <c r="P2496" s="369">
        <v>1</v>
      </c>
      <c r="Q2496" s="377">
        <v>19.5547</v>
      </c>
      <c r="R2496" s="706">
        <v>85919.440860000002</v>
      </c>
      <c r="S2496" s="369">
        <v>122.044</v>
      </c>
      <c r="T2496" s="369">
        <v>122.044</v>
      </c>
      <c r="U2496" s="369">
        <v>1</v>
      </c>
      <c r="V2496" s="706">
        <v>85919.440860000002</v>
      </c>
      <c r="W2496" s="706">
        <v>-1492.8679160000029</v>
      </c>
    </row>
    <row r="2497" spans="2:23" ht="24" customHeight="1">
      <c r="J2497" s="345"/>
      <c r="K2497" s="703"/>
      <c r="L2497" s="342"/>
      <c r="M2497" s="342"/>
      <c r="N2497" s="340"/>
      <c r="O2497" s="703"/>
      <c r="P2497" s="342"/>
      <c r="Q2497" s="363"/>
      <c r="R2497" s="340"/>
      <c r="S2497" s="342"/>
      <c r="T2497" s="342"/>
      <c r="U2497" s="342"/>
      <c r="V2497" s="340"/>
      <c r="W2497" s="340"/>
    </row>
    <row r="2498" spans="2:23" ht="24" customHeight="1">
      <c r="B2498" s="67"/>
      <c r="E2498" s="1" t="s">
        <v>750</v>
      </c>
      <c r="J2498" s="345"/>
      <c r="K2498" s="703"/>
      <c r="L2498" s="342"/>
      <c r="M2498" s="342"/>
      <c r="N2498" s="340"/>
      <c r="O2498" s="703"/>
      <c r="P2498" s="342"/>
      <c r="Q2498" s="363"/>
      <c r="R2498" s="340"/>
      <c r="S2498" s="342"/>
      <c r="T2498" s="342"/>
      <c r="U2498" s="342"/>
      <c r="V2498" s="340"/>
      <c r="W2498" s="340"/>
    </row>
    <row r="2499" spans="2:23" ht="24" customHeight="1">
      <c r="B2499" s="67"/>
      <c r="F2499" s="346">
        <v>44701</v>
      </c>
      <c r="G2499" s="346"/>
      <c r="H2499" s="346"/>
      <c r="I2499" s="346"/>
      <c r="J2499" s="345"/>
      <c r="K2499" s="703"/>
      <c r="L2499" s="342"/>
      <c r="M2499" s="342"/>
      <c r="N2499" s="340"/>
      <c r="O2499" s="703"/>
      <c r="P2499" s="342"/>
      <c r="Q2499" s="363"/>
      <c r="R2499" s="340"/>
      <c r="S2499" s="342"/>
      <c r="T2499" s="342"/>
      <c r="U2499" s="342"/>
      <c r="V2499" s="340"/>
      <c r="W2499" s="340"/>
    </row>
    <row r="2500" spans="2:23" ht="24" customHeight="1">
      <c r="B2500" s="67"/>
      <c r="G2500" s="3" t="s">
        <v>59</v>
      </c>
      <c r="H2500" s="3"/>
      <c r="I2500" s="3"/>
      <c r="J2500" s="345"/>
      <c r="K2500" s="703"/>
      <c r="L2500" s="342"/>
      <c r="M2500" s="342"/>
      <c r="N2500" s="340"/>
      <c r="O2500" s="703"/>
      <c r="P2500" s="342"/>
      <c r="Q2500" s="363"/>
      <c r="R2500" s="340"/>
      <c r="S2500" s="342"/>
      <c r="T2500" s="342"/>
      <c r="U2500" s="342"/>
      <c r="V2500" s="340"/>
      <c r="W2500" s="340"/>
    </row>
    <row r="2501" spans="2:23" ht="24" customHeight="1">
      <c r="B2501" s="67"/>
      <c r="H2501" s="347">
        <v>43965</v>
      </c>
      <c r="I2501" s="347"/>
      <c r="J2501" s="345"/>
      <c r="K2501" s="703"/>
      <c r="L2501" s="342"/>
      <c r="M2501" s="342"/>
      <c r="N2501" s="340"/>
      <c r="O2501" s="703"/>
      <c r="P2501" s="342"/>
      <c r="Q2501" s="363"/>
      <c r="R2501" s="340"/>
      <c r="S2501" s="342"/>
      <c r="T2501" s="342"/>
      <c r="U2501" s="342"/>
      <c r="V2501" s="340"/>
      <c r="W2501" s="340"/>
    </row>
    <row r="2502" spans="2:23" ht="24" customHeight="1">
      <c r="B2502" s="67"/>
      <c r="I2502" s="3" t="s">
        <v>59</v>
      </c>
      <c r="J2502" s="345">
        <v>38</v>
      </c>
      <c r="K2502" s="703">
        <v>5852.54</v>
      </c>
      <c r="L2502" s="342">
        <v>1</v>
      </c>
      <c r="M2502" s="342">
        <v>19.9663</v>
      </c>
      <c r="N2502" s="340">
        <v>116853.56940200001</v>
      </c>
      <c r="O2502" s="703">
        <v>3117.14</v>
      </c>
      <c r="P2502" s="342">
        <v>1</v>
      </c>
      <c r="Q2502" s="363">
        <v>24.0487</v>
      </c>
      <c r="R2502" s="340">
        <v>74963.164718</v>
      </c>
      <c r="S2502" s="342">
        <v>106.16200000000001</v>
      </c>
      <c r="T2502" s="342">
        <v>120.809</v>
      </c>
      <c r="U2502" s="342">
        <v>1.1378999999999999</v>
      </c>
      <c r="V2502" s="340">
        <v>85300.585132612192</v>
      </c>
      <c r="W2502" s="340">
        <v>31552.984269387816</v>
      </c>
    </row>
    <row r="2503" spans="2:23" ht="24" customHeight="1">
      <c r="J2503" s="345"/>
      <c r="K2503" s="703"/>
      <c r="L2503" s="342"/>
      <c r="M2503" s="342"/>
      <c r="N2503" s="340"/>
      <c r="O2503" s="703"/>
      <c r="P2503" s="342"/>
      <c r="Q2503" s="363"/>
      <c r="R2503" s="340"/>
      <c r="S2503" s="342"/>
      <c r="T2503" s="342"/>
      <c r="U2503" s="342"/>
      <c r="V2503" s="340"/>
      <c r="W2503" s="340"/>
    </row>
    <row r="2504" spans="2:23" ht="24" customHeight="1">
      <c r="B2504" s="67"/>
      <c r="H2504" s="347">
        <v>43990</v>
      </c>
      <c r="I2504" s="347"/>
      <c r="J2504" s="345"/>
      <c r="K2504" s="703"/>
      <c r="L2504" s="342"/>
      <c r="M2504" s="342"/>
      <c r="N2504" s="340"/>
      <c r="O2504" s="703"/>
      <c r="P2504" s="342"/>
      <c r="Q2504" s="363"/>
      <c r="R2504" s="340"/>
      <c r="S2504" s="342"/>
      <c r="T2504" s="342"/>
      <c r="U2504" s="342"/>
      <c r="V2504" s="340"/>
      <c r="W2504" s="340"/>
    </row>
    <row r="2505" spans="2:23" ht="24" customHeight="1">
      <c r="B2505" s="67"/>
      <c r="I2505" s="3" t="s">
        <v>59</v>
      </c>
      <c r="J2505" s="345">
        <v>7</v>
      </c>
      <c r="K2505" s="703">
        <v>1078.0999999999999</v>
      </c>
      <c r="L2505" s="342">
        <v>1</v>
      </c>
      <c r="M2505" s="342">
        <v>19.9663</v>
      </c>
      <c r="N2505" s="340">
        <v>21525.668029999997</v>
      </c>
      <c r="O2505" s="703">
        <v>790.04</v>
      </c>
      <c r="P2505" s="342">
        <v>1</v>
      </c>
      <c r="Q2505" s="363">
        <v>21.838799999999999</v>
      </c>
      <c r="R2505" s="340">
        <v>17253.525551999999</v>
      </c>
      <c r="S2505" s="342">
        <v>106.74299999999999</v>
      </c>
      <c r="T2505" s="342">
        <v>120.809</v>
      </c>
      <c r="U2505" s="342">
        <v>1.1316999999999999</v>
      </c>
      <c r="V2505" s="340">
        <v>19525.814867198398</v>
      </c>
      <c r="W2505" s="340">
        <v>1999.853162801599</v>
      </c>
    </row>
    <row r="2506" spans="2:23" ht="24" customHeight="1">
      <c r="J2506" s="345"/>
      <c r="K2506" s="703"/>
      <c r="L2506" s="342"/>
      <c r="M2506" s="342"/>
      <c r="N2506" s="340"/>
      <c r="O2506" s="703"/>
      <c r="P2506" s="342"/>
      <c r="Q2506" s="363"/>
      <c r="R2506" s="340"/>
      <c r="S2506" s="342"/>
      <c r="T2506" s="342"/>
      <c r="U2506" s="342"/>
      <c r="V2506" s="340"/>
      <c r="W2506" s="340"/>
    </row>
    <row r="2507" spans="2:23" ht="24" customHeight="1">
      <c r="B2507" s="67"/>
      <c r="H2507" s="347">
        <v>43991</v>
      </c>
      <c r="I2507" s="347"/>
      <c r="J2507" s="345"/>
      <c r="K2507" s="703"/>
      <c r="L2507" s="342"/>
      <c r="M2507" s="342"/>
      <c r="N2507" s="340"/>
      <c r="O2507" s="703"/>
      <c r="P2507" s="342"/>
      <c r="Q2507" s="363"/>
      <c r="R2507" s="340"/>
      <c r="S2507" s="342"/>
      <c r="T2507" s="342"/>
      <c r="U2507" s="342"/>
      <c r="V2507" s="340"/>
      <c r="W2507" s="340"/>
    </row>
    <row r="2508" spans="2:23" ht="24" customHeight="1">
      <c r="B2508" s="67"/>
      <c r="I2508" s="3" t="s">
        <v>59</v>
      </c>
      <c r="J2508" s="345">
        <v>7</v>
      </c>
      <c r="K2508" s="703">
        <v>1078.0999999999999</v>
      </c>
      <c r="L2508" s="342">
        <v>1</v>
      </c>
      <c r="M2508" s="342">
        <v>19.9663</v>
      </c>
      <c r="N2508" s="340">
        <v>21525.668029999997</v>
      </c>
      <c r="O2508" s="703">
        <v>780.35</v>
      </c>
      <c r="P2508" s="342">
        <v>1</v>
      </c>
      <c r="Q2508" s="363">
        <v>21.5837</v>
      </c>
      <c r="R2508" s="340">
        <v>16842.840295000002</v>
      </c>
      <c r="S2508" s="342">
        <v>106.74299999999999</v>
      </c>
      <c r="T2508" s="342">
        <v>120.809</v>
      </c>
      <c r="U2508" s="342">
        <v>1.1316999999999999</v>
      </c>
      <c r="V2508" s="340">
        <v>19061.042361851501</v>
      </c>
      <c r="W2508" s="340">
        <v>2464.6256681484956</v>
      </c>
    </row>
    <row r="2509" spans="2:23" ht="24" customHeight="1">
      <c r="J2509" s="345"/>
      <c r="K2509" s="703"/>
      <c r="L2509" s="342"/>
      <c r="M2509" s="342"/>
      <c r="N2509" s="340"/>
      <c r="O2509" s="703"/>
      <c r="P2509" s="342"/>
      <c r="Q2509" s="363"/>
      <c r="R2509" s="340"/>
      <c r="S2509" s="342"/>
      <c r="T2509" s="342"/>
      <c r="U2509" s="342"/>
      <c r="V2509" s="340"/>
      <c r="W2509" s="340"/>
    </row>
    <row r="2510" spans="2:23" ht="24" customHeight="1">
      <c r="B2510" s="67"/>
      <c r="H2510" s="347">
        <v>44102</v>
      </c>
      <c r="I2510" s="347"/>
      <c r="J2510" s="345"/>
      <c r="K2510" s="703"/>
      <c r="L2510" s="342"/>
      <c r="M2510" s="342"/>
      <c r="N2510" s="340"/>
      <c r="O2510" s="703"/>
      <c r="P2510" s="342"/>
      <c r="Q2510" s="363"/>
      <c r="R2510" s="340"/>
      <c r="S2510" s="342"/>
      <c r="T2510" s="342"/>
      <c r="U2510" s="342"/>
      <c r="V2510" s="340"/>
      <c r="W2510" s="340"/>
    </row>
    <row r="2511" spans="2:23" ht="24" customHeight="1">
      <c r="B2511" s="67"/>
      <c r="I2511" s="3" t="s">
        <v>59</v>
      </c>
      <c r="J2511" s="345">
        <v>14</v>
      </c>
      <c r="K2511" s="703">
        <v>2156.1999999999998</v>
      </c>
      <c r="L2511" s="342">
        <v>1</v>
      </c>
      <c r="M2511" s="342">
        <v>19.9663</v>
      </c>
      <c r="N2511" s="340">
        <v>43051.336059999994</v>
      </c>
      <c r="O2511" s="703">
        <v>1386.14</v>
      </c>
      <c r="P2511" s="342">
        <v>1</v>
      </c>
      <c r="Q2511" s="363">
        <v>22.367799999999999</v>
      </c>
      <c r="R2511" s="340">
        <v>31004.902292000002</v>
      </c>
      <c r="S2511" s="342">
        <v>108.114</v>
      </c>
      <c r="T2511" s="342">
        <v>120.809</v>
      </c>
      <c r="U2511" s="342">
        <v>1.1173999999999999</v>
      </c>
      <c r="V2511" s="340">
        <v>34644.877821080801</v>
      </c>
      <c r="W2511" s="340">
        <v>8406.4582389191928</v>
      </c>
    </row>
    <row r="2512" spans="2:23" ht="24" customHeight="1">
      <c r="J2512" s="345"/>
      <c r="K2512" s="703"/>
      <c r="L2512" s="342"/>
      <c r="M2512" s="342"/>
      <c r="N2512" s="340"/>
      <c r="O2512" s="703"/>
      <c r="P2512" s="342"/>
      <c r="Q2512" s="363"/>
      <c r="R2512" s="340"/>
      <c r="S2512" s="342"/>
      <c r="T2512" s="342"/>
      <c r="U2512" s="342"/>
      <c r="V2512" s="340"/>
      <c r="W2512" s="340"/>
    </row>
    <row r="2513" spans="2:23" ht="24" customHeight="1">
      <c r="B2513" s="67"/>
      <c r="F2513" s="346">
        <v>44678</v>
      </c>
      <c r="G2513" s="346"/>
      <c r="H2513" s="346"/>
      <c r="I2513" s="346"/>
      <c r="J2513" s="345"/>
      <c r="K2513" s="703"/>
      <c r="L2513" s="342"/>
      <c r="M2513" s="342"/>
      <c r="N2513" s="340"/>
      <c r="O2513" s="703"/>
      <c r="P2513" s="342"/>
      <c r="Q2513" s="363"/>
      <c r="R2513" s="340"/>
      <c r="S2513" s="342"/>
      <c r="T2513" s="342"/>
      <c r="U2513" s="342"/>
      <c r="V2513" s="340"/>
      <c r="W2513" s="340"/>
    </row>
    <row r="2514" spans="2:23" ht="24" customHeight="1">
      <c r="B2514" s="67"/>
      <c r="G2514" s="3" t="s">
        <v>59</v>
      </c>
      <c r="H2514" s="3"/>
      <c r="I2514" s="3"/>
      <c r="J2514" s="345"/>
      <c r="K2514" s="703"/>
      <c r="L2514" s="342"/>
      <c r="M2514" s="342"/>
      <c r="N2514" s="340"/>
      <c r="O2514" s="703"/>
      <c r="P2514" s="342"/>
      <c r="Q2514" s="363"/>
      <c r="R2514" s="340"/>
      <c r="S2514" s="342"/>
      <c r="T2514" s="342"/>
      <c r="U2514" s="342"/>
      <c r="V2514" s="340"/>
      <c r="W2514" s="340"/>
    </row>
    <row r="2515" spans="2:23" ht="24" customHeight="1">
      <c r="B2515" s="67"/>
      <c r="H2515" s="347">
        <v>43965</v>
      </c>
      <c r="I2515" s="347"/>
      <c r="J2515" s="345"/>
      <c r="K2515" s="703"/>
      <c r="L2515" s="342"/>
      <c r="M2515" s="342"/>
      <c r="N2515" s="340"/>
      <c r="O2515" s="703"/>
      <c r="P2515" s="342"/>
      <c r="Q2515" s="363"/>
      <c r="R2515" s="340"/>
      <c r="S2515" s="342"/>
      <c r="T2515" s="342"/>
      <c r="U2515" s="342"/>
      <c r="V2515" s="340"/>
      <c r="W2515" s="340"/>
    </row>
    <row r="2516" spans="2:23" ht="24" customHeight="1">
      <c r="B2516" s="67"/>
      <c r="I2516" s="3" t="s">
        <v>59</v>
      </c>
      <c r="J2516" s="345">
        <v>66</v>
      </c>
      <c r="K2516" s="703">
        <v>11775.21</v>
      </c>
      <c r="L2516" s="342">
        <v>1</v>
      </c>
      <c r="M2516" s="342">
        <v>20.299199999999999</v>
      </c>
      <c r="N2516" s="340">
        <v>239027.34283199997</v>
      </c>
      <c r="O2516" s="703">
        <v>5413.98</v>
      </c>
      <c r="P2516" s="342">
        <v>1</v>
      </c>
      <c r="Q2516" s="363">
        <v>24.0487</v>
      </c>
      <c r="R2516" s="340">
        <v>130199.180826</v>
      </c>
      <c r="S2516" s="342">
        <v>106.16200000000001</v>
      </c>
      <c r="T2516" s="342">
        <v>120.15900000000001</v>
      </c>
      <c r="U2516" s="342">
        <v>1.1317999999999999</v>
      </c>
      <c r="V2516" s="340">
        <v>147359.43285886678</v>
      </c>
      <c r="W2516" s="340">
        <v>91667.909973133181</v>
      </c>
    </row>
    <row r="2517" spans="2:23" ht="24" customHeight="1">
      <c r="J2517" s="345"/>
      <c r="K2517" s="703"/>
      <c r="L2517" s="342"/>
      <c r="M2517" s="342"/>
      <c r="N2517" s="340"/>
      <c r="O2517" s="703"/>
      <c r="P2517" s="342"/>
      <c r="Q2517" s="363"/>
      <c r="R2517" s="340"/>
      <c r="S2517" s="342"/>
      <c r="T2517" s="342"/>
      <c r="U2517" s="342"/>
      <c r="V2517" s="340"/>
      <c r="W2517" s="340"/>
    </row>
    <row r="2518" spans="2:23" ht="24" customHeight="1">
      <c r="B2518" s="67"/>
      <c r="E2518" s="131" t="s">
        <v>1162</v>
      </c>
      <c r="F2518" s="131"/>
      <c r="G2518" s="131"/>
      <c r="H2518" s="131"/>
      <c r="I2518" s="131"/>
      <c r="J2518" s="704">
        <v>132</v>
      </c>
      <c r="K2518" s="705">
        <v>21940.149999999998</v>
      </c>
      <c r="L2518" s="369">
        <v>1</v>
      </c>
      <c r="M2518" s="377">
        <v>20.032879999999999</v>
      </c>
      <c r="N2518" s="706">
        <v>441983.58435399993</v>
      </c>
      <c r="O2518" s="705">
        <v>11487.65</v>
      </c>
      <c r="P2518" s="369">
        <v>1</v>
      </c>
      <c r="Q2518" s="377">
        <v>22.777540000000002</v>
      </c>
      <c r="R2518" s="706">
        <v>270263.61368299997</v>
      </c>
      <c r="S2518" s="369">
        <v>106.78480000000002</v>
      </c>
      <c r="T2518" s="369">
        <v>120.679</v>
      </c>
      <c r="U2518" s="369">
        <v>1.1300999999999999</v>
      </c>
      <c r="V2518" s="706">
        <v>305891.75304160966</v>
      </c>
      <c r="W2518" s="706">
        <v>136091.83131239028</v>
      </c>
    </row>
    <row r="2519" spans="2:23" ht="24" customHeight="1">
      <c r="J2519" s="345"/>
      <c r="K2519" s="703"/>
      <c r="L2519" s="342"/>
      <c r="M2519" s="342"/>
      <c r="N2519" s="340"/>
      <c r="O2519" s="703"/>
      <c r="P2519" s="342"/>
      <c r="Q2519" s="363"/>
      <c r="R2519" s="340"/>
      <c r="S2519" s="342"/>
      <c r="T2519" s="342"/>
      <c r="U2519" s="342"/>
      <c r="V2519" s="340"/>
      <c r="W2519" s="340"/>
    </row>
    <row r="2520" spans="2:23" ht="24" customHeight="1">
      <c r="B2520" s="67"/>
      <c r="E2520" s="1" t="s">
        <v>971</v>
      </c>
      <c r="J2520" s="345"/>
      <c r="K2520" s="703"/>
      <c r="L2520" s="342"/>
      <c r="M2520" s="342"/>
      <c r="N2520" s="340"/>
      <c r="O2520" s="703"/>
      <c r="P2520" s="342"/>
      <c r="Q2520" s="363"/>
      <c r="R2520" s="340"/>
      <c r="S2520" s="342"/>
      <c r="T2520" s="342"/>
      <c r="U2520" s="342"/>
      <c r="V2520" s="340"/>
      <c r="W2520" s="340"/>
    </row>
    <row r="2521" spans="2:23" ht="24" customHeight="1">
      <c r="B2521" s="67"/>
      <c r="F2521" s="346">
        <v>44790</v>
      </c>
      <c r="G2521" s="346"/>
      <c r="H2521" s="346"/>
      <c r="I2521" s="346"/>
      <c r="J2521" s="345"/>
      <c r="K2521" s="703"/>
      <c r="L2521" s="342"/>
      <c r="M2521" s="342"/>
      <c r="N2521" s="340"/>
      <c r="O2521" s="703"/>
      <c r="P2521" s="342"/>
      <c r="Q2521" s="363"/>
      <c r="R2521" s="340"/>
      <c r="S2521" s="342"/>
      <c r="T2521" s="342"/>
      <c r="U2521" s="342"/>
      <c r="V2521" s="340"/>
      <c r="W2521" s="340"/>
    </row>
    <row r="2522" spans="2:23" ht="24" customHeight="1">
      <c r="B2522" s="67"/>
      <c r="G2522" s="3" t="s">
        <v>59</v>
      </c>
      <c r="H2522" s="3"/>
      <c r="I2522" s="3"/>
      <c r="J2522" s="345"/>
      <c r="K2522" s="703"/>
      <c r="L2522" s="342"/>
      <c r="M2522" s="342"/>
      <c r="N2522" s="340"/>
      <c r="O2522" s="703"/>
      <c r="P2522" s="342"/>
      <c r="Q2522" s="363"/>
      <c r="R2522" s="340"/>
      <c r="S2522" s="342"/>
      <c r="T2522" s="342"/>
      <c r="U2522" s="342"/>
      <c r="V2522" s="340"/>
      <c r="W2522" s="340"/>
    </row>
    <row r="2523" spans="2:23" ht="24" customHeight="1">
      <c r="B2523" s="67"/>
      <c r="H2523" s="347">
        <v>43894</v>
      </c>
      <c r="I2523" s="347"/>
      <c r="J2523" s="345"/>
      <c r="K2523" s="703"/>
      <c r="L2523" s="342"/>
      <c r="M2523" s="342"/>
      <c r="N2523" s="340"/>
      <c r="O2523" s="703"/>
      <c r="P2523" s="342"/>
      <c r="Q2523" s="363"/>
      <c r="R2523" s="340"/>
      <c r="S2523" s="342"/>
      <c r="T2523" s="342"/>
      <c r="U2523" s="342"/>
      <c r="V2523" s="340"/>
      <c r="W2523" s="340"/>
    </row>
    <row r="2524" spans="2:23" ht="24" customHeight="1">
      <c r="B2524" s="67"/>
      <c r="I2524" s="3" t="s">
        <v>59</v>
      </c>
      <c r="J2524" s="345">
        <v>24</v>
      </c>
      <c r="K2524" s="703">
        <v>6666.09</v>
      </c>
      <c r="L2524" s="342">
        <v>1</v>
      </c>
      <c r="M2524" s="342">
        <v>19.861799999999999</v>
      </c>
      <c r="N2524" s="340">
        <v>132400.54636199999</v>
      </c>
      <c r="O2524" s="703">
        <v>5916.6</v>
      </c>
      <c r="P2524" s="342">
        <v>1</v>
      </c>
      <c r="Q2524" s="363">
        <v>19.698499999999999</v>
      </c>
      <c r="R2524" s="340">
        <v>116548.14510000001</v>
      </c>
      <c r="S2524" s="342">
        <v>106.83799999999999</v>
      </c>
      <c r="T2524" s="342">
        <v>122.94799999999999</v>
      </c>
      <c r="U2524" s="342">
        <v>1.1507000000000001</v>
      </c>
      <c r="V2524" s="340">
        <v>134111.95056657001</v>
      </c>
      <c r="W2524" s="340">
        <v>-1711.4042045700189</v>
      </c>
    </row>
    <row r="2525" spans="2:23" ht="24" customHeight="1">
      <c r="J2525" s="345"/>
      <c r="K2525" s="703"/>
      <c r="L2525" s="342"/>
      <c r="M2525" s="342"/>
      <c r="N2525" s="340"/>
      <c r="O2525" s="703"/>
      <c r="P2525" s="342"/>
      <c r="Q2525" s="363"/>
      <c r="R2525" s="340"/>
      <c r="S2525" s="342"/>
      <c r="T2525" s="342"/>
      <c r="U2525" s="342"/>
      <c r="V2525" s="340"/>
      <c r="W2525" s="340"/>
    </row>
    <row r="2526" spans="2:23" ht="24" customHeight="1">
      <c r="B2526" s="67"/>
      <c r="H2526" s="347">
        <v>43817</v>
      </c>
      <c r="I2526" s="347"/>
      <c r="J2526" s="345"/>
      <c r="K2526" s="703"/>
      <c r="L2526" s="342"/>
      <c r="M2526" s="342"/>
      <c r="N2526" s="340"/>
      <c r="O2526" s="703"/>
      <c r="P2526" s="342"/>
      <c r="Q2526" s="363"/>
      <c r="R2526" s="340"/>
      <c r="S2526" s="342"/>
      <c r="T2526" s="342"/>
      <c r="U2526" s="342"/>
      <c r="V2526" s="340"/>
      <c r="W2526" s="340"/>
    </row>
    <row r="2527" spans="2:23" ht="24" customHeight="1">
      <c r="B2527" s="67"/>
      <c r="I2527" s="3" t="s">
        <v>59</v>
      </c>
      <c r="J2527" s="345">
        <v>4</v>
      </c>
      <c r="K2527" s="703">
        <v>1111.01</v>
      </c>
      <c r="L2527" s="342">
        <v>1</v>
      </c>
      <c r="M2527" s="342">
        <v>19.861799999999999</v>
      </c>
      <c r="N2527" s="340">
        <v>22066.658417999999</v>
      </c>
      <c r="O2527" s="703">
        <v>856.8</v>
      </c>
      <c r="P2527" s="342">
        <v>1</v>
      </c>
      <c r="Q2527" s="363">
        <v>18.970199999999998</v>
      </c>
      <c r="R2527" s="340">
        <v>16253.667359999998</v>
      </c>
      <c r="S2527" s="342">
        <v>105.934</v>
      </c>
      <c r="T2527" s="342">
        <v>122.94799999999999</v>
      </c>
      <c r="U2527" s="342">
        <v>1.1606000000000001</v>
      </c>
      <c r="V2527" s="340">
        <v>18864.006338015999</v>
      </c>
      <c r="W2527" s="340">
        <v>3202.652079984</v>
      </c>
    </row>
    <row r="2528" spans="2:23" ht="24" customHeight="1">
      <c r="J2528" s="345"/>
      <c r="K2528" s="703"/>
      <c r="L2528" s="342"/>
      <c r="M2528" s="342"/>
      <c r="N2528" s="340"/>
      <c r="O2528" s="703"/>
      <c r="P2528" s="342"/>
      <c r="Q2528" s="363"/>
      <c r="R2528" s="340"/>
      <c r="S2528" s="342"/>
      <c r="T2528" s="342"/>
      <c r="U2528" s="342"/>
      <c r="V2528" s="340"/>
      <c r="W2528" s="340"/>
    </row>
    <row r="2529" spans="2:23" ht="24" customHeight="1">
      <c r="B2529" s="67"/>
      <c r="E2529" s="131" t="s">
        <v>1163</v>
      </c>
      <c r="F2529" s="131"/>
      <c r="G2529" s="131"/>
      <c r="H2529" s="131"/>
      <c r="I2529" s="131"/>
      <c r="J2529" s="704">
        <v>28</v>
      </c>
      <c r="K2529" s="705">
        <v>7777.1</v>
      </c>
      <c r="L2529" s="369">
        <v>1</v>
      </c>
      <c r="M2529" s="377">
        <v>19.861799999999999</v>
      </c>
      <c r="N2529" s="706">
        <v>154467.20478</v>
      </c>
      <c r="O2529" s="705">
        <v>6773.4000000000005</v>
      </c>
      <c r="P2529" s="369">
        <v>1</v>
      </c>
      <c r="Q2529" s="377">
        <v>19.334350000000001</v>
      </c>
      <c r="R2529" s="706">
        <v>132801.81246000002</v>
      </c>
      <c r="S2529" s="369">
        <v>106.386</v>
      </c>
      <c r="T2529" s="369">
        <v>122.94799999999999</v>
      </c>
      <c r="U2529" s="369">
        <v>1.1556500000000001</v>
      </c>
      <c r="V2529" s="706">
        <v>152975.956904586</v>
      </c>
      <c r="W2529" s="706">
        <v>1491.2478754139811</v>
      </c>
    </row>
    <row r="2530" spans="2:23" ht="24" customHeight="1">
      <c r="J2530" s="345"/>
      <c r="K2530" s="703"/>
      <c r="L2530" s="342"/>
      <c r="M2530" s="342"/>
      <c r="N2530" s="340"/>
      <c r="O2530" s="703"/>
      <c r="P2530" s="342"/>
      <c r="Q2530" s="363"/>
      <c r="R2530" s="340"/>
      <c r="S2530" s="342"/>
      <c r="T2530" s="342"/>
      <c r="U2530" s="342"/>
      <c r="V2530" s="340"/>
      <c r="W2530" s="340"/>
    </row>
    <row r="2531" spans="2:23" ht="24" customHeight="1">
      <c r="B2531" s="67"/>
      <c r="E2531" s="1" t="s">
        <v>757</v>
      </c>
      <c r="J2531" s="345"/>
      <c r="K2531" s="703"/>
      <c r="L2531" s="342"/>
      <c r="M2531" s="342"/>
      <c r="N2531" s="340"/>
      <c r="O2531" s="703"/>
      <c r="P2531" s="342"/>
      <c r="Q2531" s="363"/>
      <c r="R2531" s="340"/>
      <c r="S2531" s="342"/>
      <c r="T2531" s="342"/>
      <c r="U2531" s="342"/>
      <c r="V2531" s="340"/>
      <c r="W2531" s="340"/>
    </row>
    <row r="2532" spans="2:23" ht="24" customHeight="1">
      <c r="B2532" s="67"/>
      <c r="F2532" s="346">
        <v>44649</v>
      </c>
      <c r="G2532" s="346"/>
      <c r="H2532" s="346"/>
      <c r="I2532" s="346"/>
      <c r="J2532" s="345"/>
      <c r="K2532" s="703"/>
      <c r="L2532" s="342"/>
      <c r="M2532" s="342"/>
      <c r="N2532" s="340"/>
      <c r="O2532" s="703"/>
      <c r="P2532" s="342"/>
      <c r="Q2532" s="363"/>
      <c r="R2532" s="340"/>
      <c r="S2532" s="342"/>
      <c r="T2532" s="342"/>
      <c r="U2532" s="342"/>
      <c r="V2532" s="340"/>
      <c r="W2532" s="340"/>
    </row>
    <row r="2533" spans="2:23" ht="24" customHeight="1">
      <c r="B2533" s="67"/>
      <c r="G2533" s="3" t="s">
        <v>59</v>
      </c>
      <c r="H2533" s="3"/>
      <c r="I2533" s="3"/>
      <c r="J2533" s="345"/>
      <c r="K2533" s="703"/>
      <c r="L2533" s="342"/>
      <c r="M2533" s="342"/>
      <c r="N2533" s="340"/>
      <c r="O2533" s="703"/>
      <c r="P2533" s="342"/>
      <c r="Q2533" s="363"/>
      <c r="R2533" s="340"/>
      <c r="S2533" s="342"/>
      <c r="T2533" s="342"/>
      <c r="U2533" s="342"/>
      <c r="V2533" s="340"/>
      <c r="W2533" s="340"/>
    </row>
    <row r="2534" spans="2:23" ht="24" customHeight="1">
      <c r="B2534" s="67"/>
      <c r="H2534" s="347">
        <v>43476</v>
      </c>
      <c r="I2534" s="347"/>
      <c r="J2534" s="345"/>
      <c r="K2534" s="703"/>
      <c r="L2534" s="342"/>
      <c r="M2534" s="342"/>
      <c r="N2534" s="340"/>
      <c r="O2534" s="703"/>
      <c r="P2534" s="342"/>
      <c r="Q2534" s="363"/>
      <c r="R2534" s="340"/>
      <c r="S2534" s="342"/>
      <c r="T2534" s="342"/>
      <c r="U2534" s="342"/>
      <c r="V2534" s="340"/>
      <c r="W2534" s="340"/>
    </row>
    <row r="2535" spans="2:23" ht="24" customHeight="1">
      <c r="B2535" s="67"/>
      <c r="I2535" s="3" t="s">
        <v>59</v>
      </c>
      <c r="J2535" s="345">
        <v>24</v>
      </c>
      <c r="K2535" s="703">
        <v>7507.73</v>
      </c>
      <c r="L2535" s="342">
        <v>1</v>
      </c>
      <c r="M2535" s="342">
        <v>19.957699999999999</v>
      </c>
      <c r="N2535" s="340">
        <v>149837.02302099997</v>
      </c>
      <c r="O2535" s="703">
        <v>2726.47</v>
      </c>
      <c r="P2535" s="342">
        <v>1</v>
      </c>
      <c r="Q2535" s="363">
        <v>19.2456</v>
      </c>
      <c r="R2535" s="340">
        <v>52472.551031999996</v>
      </c>
      <c r="S2535" s="342">
        <v>103.108</v>
      </c>
      <c r="T2535" s="342">
        <v>118.98099999999999</v>
      </c>
      <c r="U2535" s="342">
        <v>1.1538999999999999</v>
      </c>
      <c r="V2535" s="340">
        <v>60548.076635824793</v>
      </c>
      <c r="W2535" s="340">
        <v>89288.946385175179</v>
      </c>
    </row>
    <row r="2536" spans="2:23" ht="24" customHeight="1">
      <c r="J2536" s="345"/>
      <c r="K2536" s="703"/>
      <c r="L2536" s="342"/>
      <c r="M2536" s="342"/>
      <c r="N2536" s="340"/>
      <c r="O2536" s="703"/>
      <c r="P2536" s="342"/>
      <c r="Q2536" s="363"/>
      <c r="R2536" s="340"/>
      <c r="S2536" s="342"/>
      <c r="T2536" s="342"/>
      <c r="U2536" s="342"/>
      <c r="V2536" s="340"/>
      <c r="W2536" s="340"/>
    </row>
    <row r="2537" spans="2:23" ht="24" customHeight="1">
      <c r="B2537" s="67"/>
      <c r="F2537" s="346">
        <v>44648</v>
      </c>
      <c r="G2537" s="346"/>
      <c r="H2537" s="346"/>
      <c r="I2537" s="346"/>
      <c r="J2537" s="345"/>
      <c r="K2537" s="703"/>
      <c r="L2537" s="342"/>
      <c r="M2537" s="342"/>
      <c r="N2537" s="340"/>
      <c r="O2537" s="703"/>
      <c r="P2537" s="342"/>
      <c r="Q2537" s="363"/>
      <c r="R2537" s="340"/>
      <c r="S2537" s="342"/>
      <c r="T2537" s="342"/>
      <c r="U2537" s="342"/>
      <c r="V2537" s="340"/>
      <c r="W2537" s="340"/>
    </row>
    <row r="2538" spans="2:23" ht="24" customHeight="1">
      <c r="B2538" s="67"/>
      <c r="G2538" s="3" t="s">
        <v>59</v>
      </c>
      <c r="H2538" s="3"/>
      <c r="I2538" s="3"/>
      <c r="J2538" s="345"/>
      <c r="K2538" s="703"/>
      <c r="L2538" s="342"/>
      <c r="M2538" s="342"/>
      <c r="N2538" s="340"/>
      <c r="O2538" s="703"/>
      <c r="P2538" s="342"/>
      <c r="Q2538" s="363"/>
      <c r="R2538" s="340"/>
      <c r="S2538" s="342"/>
      <c r="T2538" s="342"/>
      <c r="U2538" s="342"/>
      <c r="V2538" s="340"/>
      <c r="W2538" s="340"/>
    </row>
    <row r="2539" spans="2:23" ht="24" customHeight="1">
      <c r="B2539" s="67"/>
      <c r="H2539" s="347">
        <v>43476</v>
      </c>
      <c r="I2539" s="347"/>
      <c r="J2539" s="345"/>
      <c r="K2539" s="703"/>
      <c r="L2539" s="342"/>
      <c r="M2539" s="342"/>
      <c r="N2539" s="340"/>
      <c r="O2539" s="703"/>
      <c r="P2539" s="342"/>
      <c r="Q2539" s="363"/>
      <c r="R2539" s="340"/>
      <c r="S2539" s="342"/>
      <c r="T2539" s="342"/>
      <c r="U2539" s="342"/>
      <c r="V2539" s="340"/>
      <c r="W2539" s="340"/>
    </row>
    <row r="2540" spans="2:23" ht="24" customHeight="1">
      <c r="B2540" s="67"/>
      <c r="I2540" s="3" t="s">
        <v>59</v>
      </c>
      <c r="J2540" s="345">
        <v>18</v>
      </c>
      <c r="K2540" s="703">
        <v>5611.96</v>
      </c>
      <c r="L2540" s="342">
        <v>1</v>
      </c>
      <c r="M2540" s="342">
        <v>20.1313</v>
      </c>
      <c r="N2540" s="340">
        <v>112976.050348</v>
      </c>
      <c r="O2540" s="703">
        <v>2044.85</v>
      </c>
      <c r="P2540" s="342">
        <v>1</v>
      </c>
      <c r="Q2540" s="363">
        <v>19.2456</v>
      </c>
      <c r="R2540" s="340">
        <v>39354.365159999994</v>
      </c>
      <c r="S2540" s="342">
        <v>103.108</v>
      </c>
      <c r="T2540" s="342">
        <v>118.98099999999999</v>
      </c>
      <c r="U2540" s="342">
        <v>1.1538999999999999</v>
      </c>
      <c r="V2540" s="340">
        <v>45411.00195812399</v>
      </c>
      <c r="W2540" s="340">
        <v>67565.048389876014</v>
      </c>
    </row>
    <row r="2541" spans="2:23" ht="24" customHeight="1">
      <c r="J2541" s="345"/>
      <c r="K2541" s="703"/>
      <c r="L2541" s="342"/>
      <c r="M2541" s="342"/>
      <c r="N2541" s="340"/>
      <c r="O2541" s="703"/>
      <c r="P2541" s="342"/>
      <c r="Q2541" s="363"/>
      <c r="R2541" s="340"/>
      <c r="S2541" s="342"/>
      <c r="T2541" s="342"/>
      <c r="U2541" s="342"/>
      <c r="V2541" s="340"/>
      <c r="W2541" s="340"/>
    </row>
    <row r="2542" spans="2:23" ht="24" customHeight="1">
      <c r="B2542" s="67"/>
      <c r="F2542" s="346">
        <v>44628</v>
      </c>
      <c r="G2542" s="346"/>
      <c r="H2542" s="346"/>
      <c r="I2542" s="346"/>
      <c r="J2542" s="345"/>
      <c r="K2542" s="703"/>
      <c r="L2542" s="342"/>
      <c r="M2542" s="342"/>
      <c r="N2542" s="340"/>
      <c r="O2542" s="703"/>
      <c r="P2542" s="342"/>
      <c r="Q2542" s="363"/>
      <c r="R2542" s="340"/>
      <c r="S2542" s="342"/>
      <c r="T2542" s="342"/>
      <c r="U2542" s="342"/>
      <c r="V2542" s="340"/>
      <c r="W2542" s="340"/>
    </row>
    <row r="2543" spans="2:23" ht="24" customHeight="1">
      <c r="B2543" s="67"/>
      <c r="G2543" s="3" t="s">
        <v>59</v>
      </c>
      <c r="H2543" s="3"/>
      <c r="I2543" s="3"/>
      <c r="J2543" s="345"/>
      <c r="K2543" s="703"/>
      <c r="L2543" s="342"/>
      <c r="M2543" s="342"/>
      <c r="N2543" s="340"/>
      <c r="O2543" s="703"/>
      <c r="P2543" s="342"/>
      <c r="Q2543" s="363"/>
      <c r="R2543" s="340"/>
      <c r="S2543" s="342"/>
      <c r="T2543" s="342"/>
      <c r="U2543" s="342"/>
      <c r="V2543" s="340"/>
      <c r="W2543" s="340"/>
    </row>
    <row r="2544" spans="2:23" ht="24" customHeight="1">
      <c r="B2544" s="67"/>
      <c r="H2544" s="347">
        <v>43476</v>
      </c>
      <c r="I2544" s="347"/>
      <c r="J2544" s="345"/>
      <c r="K2544" s="703"/>
      <c r="L2544" s="342"/>
      <c r="M2544" s="342"/>
      <c r="N2544" s="340"/>
      <c r="O2544" s="703"/>
      <c r="P2544" s="342"/>
      <c r="Q2544" s="363"/>
      <c r="R2544" s="340"/>
      <c r="S2544" s="342"/>
      <c r="T2544" s="342"/>
      <c r="U2544" s="342"/>
      <c r="V2544" s="340"/>
      <c r="W2544" s="340"/>
    </row>
    <row r="2545" spans="2:23" ht="24" customHeight="1">
      <c r="B2545" s="67"/>
      <c r="I2545" s="3" t="s">
        <v>59</v>
      </c>
      <c r="J2545" s="345">
        <v>59</v>
      </c>
      <c r="K2545" s="703">
        <v>15630.38</v>
      </c>
      <c r="L2545" s="342">
        <v>1</v>
      </c>
      <c r="M2545" s="342">
        <v>20.926200000000001</v>
      </c>
      <c r="N2545" s="340">
        <v>327084.457956</v>
      </c>
      <c r="O2545" s="703">
        <v>6702.57</v>
      </c>
      <c r="P2545" s="342">
        <v>1</v>
      </c>
      <c r="Q2545" s="363">
        <v>19.2456</v>
      </c>
      <c r="R2545" s="340">
        <v>128994.98119199999</v>
      </c>
      <c r="S2545" s="342">
        <v>103.108</v>
      </c>
      <c r="T2545" s="342">
        <v>118.98099999999999</v>
      </c>
      <c r="U2545" s="342">
        <v>1.1538999999999999</v>
      </c>
      <c r="V2545" s="340">
        <v>148847.30879744879</v>
      </c>
      <c r="W2545" s="340">
        <v>178237.14915855121</v>
      </c>
    </row>
    <row r="2546" spans="2:23" ht="24" customHeight="1">
      <c r="J2546" s="345"/>
      <c r="K2546" s="703"/>
      <c r="L2546" s="342"/>
      <c r="M2546" s="342"/>
      <c r="N2546" s="340"/>
      <c r="O2546" s="703"/>
      <c r="P2546" s="342"/>
      <c r="Q2546" s="363"/>
      <c r="R2546" s="340"/>
      <c r="S2546" s="342"/>
      <c r="T2546" s="342"/>
      <c r="U2546" s="342"/>
      <c r="V2546" s="340"/>
      <c r="W2546" s="340"/>
    </row>
    <row r="2547" spans="2:23" ht="24" customHeight="1">
      <c r="B2547" s="67"/>
      <c r="F2547" s="346">
        <v>44790</v>
      </c>
      <c r="G2547" s="346"/>
      <c r="H2547" s="346"/>
      <c r="I2547" s="346"/>
      <c r="J2547" s="345"/>
      <c r="K2547" s="703"/>
      <c r="L2547" s="342"/>
      <c r="M2547" s="342"/>
      <c r="N2547" s="340"/>
      <c r="O2547" s="703"/>
      <c r="P2547" s="342"/>
      <c r="Q2547" s="363"/>
      <c r="R2547" s="340"/>
      <c r="S2547" s="342"/>
      <c r="T2547" s="342"/>
      <c r="U2547" s="342"/>
      <c r="V2547" s="340"/>
      <c r="W2547" s="340"/>
    </row>
    <row r="2548" spans="2:23" ht="24" customHeight="1">
      <c r="B2548" s="67"/>
      <c r="G2548" s="3" t="s">
        <v>59</v>
      </c>
      <c r="H2548" s="3"/>
      <c r="I2548" s="3"/>
      <c r="J2548" s="345"/>
      <c r="K2548" s="703"/>
      <c r="L2548" s="342"/>
      <c r="M2548" s="342"/>
      <c r="N2548" s="340"/>
      <c r="O2548" s="703"/>
      <c r="P2548" s="342"/>
      <c r="Q2548" s="363"/>
      <c r="R2548" s="340"/>
      <c r="S2548" s="342"/>
      <c r="T2548" s="342"/>
      <c r="U2548" s="342"/>
      <c r="V2548" s="340"/>
      <c r="W2548" s="340"/>
    </row>
    <row r="2549" spans="2:23" ht="24" customHeight="1">
      <c r="B2549" s="67"/>
      <c r="H2549" s="347">
        <v>43476</v>
      </c>
      <c r="I2549" s="347"/>
      <c r="J2549" s="345"/>
      <c r="K2549" s="703"/>
      <c r="L2549" s="342"/>
      <c r="M2549" s="342"/>
      <c r="N2549" s="340"/>
      <c r="O2549" s="703"/>
      <c r="P2549" s="342"/>
      <c r="Q2549" s="363"/>
      <c r="R2549" s="340"/>
      <c r="S2549" s="342"/>
      <c r="T2549" s="342"/>
      <c r="U2549" s="342"/>
      <c r="V2549" s="340"/>
      <c r="W2549" s="340"/>
    </row>
    <row r="2550" spans="2:23" ht="24" customHeight="1">
      <c r="B2550" s="67"/>
      <c r="I2550" s="3" t="s">
        <v>59</v>
      </c>
      <c r="J2550" s="345">
        <v>25</v>
      </c>
      <c r="K2550" s="703">
        <v>7206.08</v>
      </c>
      <c r="L2550" s="342">
        <v>1</v>
      </c>
      <c r="M2550" s="342">
        <v>19.861799999999999</v>
      </c>
      <c r="N2550" s="340">
        <v>143125.719744</v>
      </c>
      <c r="O2550" s="703">
        <v>2840.07</v>
      </c>
      <c r="P2550" s="342">
        <v>1</v>
      </c>
      <c r="Q2550" s="363">
        <v>19.2456</v>
      </c>
      <c r="R2550" s="340">
        <v>54658.851192000002</v>
      </c>
      <c r="S2550" s="342">
        <v>103.108</v>
      </c>
      <c r="T2550" s="342">
        <v>122.94799999999999</v>
      </c>
      <c r="U2550" s="342">
        <v>1.1923999999999999</v>
      </c>
      <c r="V2550" s="340">
        <v>65175.214161340795</v>
      </c>
      <c r="W2550" s="340">
        <v>77950.505582659214</v>
      </c>
    </row>
    <row r="2551" spans="2:23" ht="24" customHeight="1">
      <c r="J2551" s="345"/>
      <c r="K2551" s="703"/>
      <c r="L2551" s="342"/>
      <c r="M2551" s="342"/>
      <c r="N2551" s="340"/>
      <c r="O2551" s="703"/>
      <c r="P2551" s="342"/>
      <c r="Q2551" s="363"/>
      <c r="R2551" s="340"/>
      <c r="S2551" s="342"/>
      <c r="T2551" s="342"/>
      <c r="U2551" s="342"/>
      <c r="V2551" s="340"/>
      <c r="W2551" s="340"/>
    </row>
    <row r="2552" spans="2:23" ht="24" customHeight="1">
      <c r="B2552" s="67"/>
      <c r="F2552" s="346">
        <v>44802</v>
      </c>
      <c r="G2552" s="346"/>
      <c r="H2552" s="346"/>
      <c r="I2552" s="346"/>
      <c r="J2552" s="345"/>
      <c r="K2552" s="703"/>
      <c r="L2552" s="342"/>
      <c r="M2552" s="342"/>
      <c r="N2552" s="340"/>
      <c r="O2552" s="703"/>
      <c r="P2552" s="342"/>
      <c r="Q2552" s="363"/>
      <c r="R2552" s="340"/>
      <c r="S2552" s="342"/>
      <c r="T2552" s="342"/>
      <c r="U2552" s="342"/>
      <c r="V2552" s="340"/>
      <c r="W2552" s="340"/>
    </row>
    <row r="2553" spans="2:23" ht="24" customHeight="1">
      <c r="B2553" s="67"/>
      <c r="G2553" s="3" t="s">
        <v>59</v>
      </c>
      <c r="H2553" s="3"/>
      <c r="I2553" s="3"/>
      <c r="J2553" s="345"/>
      <c r="K2553" s="703"/>
      <c r="L2553" s="342"/>
      <c r="M2553" s="342"/>
      <c r="N2553" s="340"/>
      <c r="O2553" s="703"/>
      <c r="P2553" s="342"/>
      <c r="Q2553" s="363"/>
      <c r="R2553" s="340"/>
      <c r="S2553" s="342"/>
      <c r="T2553" s="342"/>
      <c r="U2553" s="342"/>
      <c r="V2553" s="340"/>
      <c r="W2553" s="340"/>
    </row>
    <row r="2554" spans="2:23" ht="24" customHeight="1">
      <c r="B2554" s="67"/>
      <c r="H2554" s="347">
        <v>43476</v>
      </c>
      <c r="I2554" s="347"/>
      <c r="J2554" s="345"/>
      <c r="K2554" s="703"/>
      <c r="L2554" s="342"/>
      <c r="M2554" s="342"/>
      <c r="N2554" s="340"/>
      <c r="O2554" s="703"/>
      <c r="P2554" s="342"/>
      <c r="Q2554" s="363"/>
      <c r="R2554" s="340"/>
      <c r="S2554" s="342"/>
      <c r="T2554" s="342"/>
      <c r="U2554" s="342"/>
      <c r="V2554" s="340"/>
      <c r="W2554" s="340"/>
    </row>
    <row r="2555" spans="2:23" ht="24" customHeight="1">
      <c r="B2555" s="67"/>
      <c r="I2555" s="3" t="s">
        <v>59</v>
      </c>
      <c r="J2555" s="345">
        <v>13</v>
      </c>
      <c r="K2555" s="703">
        <v>3536.75</v>
      </c>
      <c r="L2555" s="342">
        <v>1</v>
      </c>
      <c r="M2555" s="342">
        <v>19.9437</v>
      </c>
      <c r="N2555" s="340">
        <v>70535.880974999993</v>
      </c>
      <c r="O2555" s="703">
        <v>1476.84</v>
      </c>
      <c r="P2555" s="342">
        <v>1</v>
      </c>
      <c r="Q2555" s="363">
        <v>19.2456</v>
      </c>
      <c r="R2555" s="340">
        <v>28422.671903999999</v>
      </c>
      <c r="S2555" s="342">
        <v>103.108</v>
      </c>
      <c r="T2555" s="342">
        <v>122.94799999999999</v>
      </c>
      <c r="U2555" s="342">
        <v>1.1923999999999999</v>
      </c>
      <c r="V2555" s="340">
        <v>33891.193978329597</v>
      </c>
      <c r="W2555" s="340">
        <v>36644.686996670396</v>
      </c>
    </row>
    <row r="2556" spans="2:23" ht="24" customHeight="1">
      <c r="J2556" s="345"/>
      <c r="K2556" s="703"/>
      <c r="L2556" s="342"/>
      <c r="M2556" s="342"/>
      <c r="N2556" s="340"/>
      <c r="O2556" s="703"/>
      <c r="P2556" s="342"/>
      <c r="Q2556" s="363"/>
      <c r="R2556" s="340"/>
      <c r="S2556" s="342"/>
      <c r="T2556" s="342"/>
      <c r="U2556" s="342"/>
      <c r="V2556" s="340"/>
      <c r="W2556" s="340"/>
    </row>
    <row r="2557" spans="2:23" ht="24" customHeight="1">
      <c r="B2557" s="67"/>
      <c r="F2557" s="346">
        <v>44803</v>
      </c>
      <c r="G2557" s="346"/>
      <c r="H2557" s="346"/>
      <c r="I2557" s="346"/>
      <c r="J2557" s="345"/>
      <c r="K2557" s="703"/>
      <c r="L2557" s="342"/>
      <c r="M2557" s="342"/>
      <c r="N2557" s="340"/>
      <c r="O2557" s="703"/>
      <c r="P2557" s="342"/>
      <c r="Q2557" s="363"/>
      <c r="R2557" s="340"/>
      <c r="S2557" s="342"/>
      <c r="T2557" s="342"/>
      <c r="U2557" s="342"/>
      <c r="V2557" s="340"/>
      <c r="W2557" s="340"/>
    </row>
    <row r="2558" spans="2:23" ht="24" customHeight="1">
      <c r="B2558" s="67"/>
      <c r="G2558" s="3" t="s">
        <v>59</v>
      </c>
      <c r="H2558" s="3"/>
      <c r="I2558" s="3"/>
      <c r="J2558" s="345"/>
      <c r="K2558" s="703"/>
      <c r="L2558" s="342"/>
      <c r="M2558" s="342"/>
      <c r="N2558" s="340"/>
      <c r="O2558" s="703"/>
      <c r="P2558" s="342"/>
      <c r="Q2558" s="363"/>
      <c r="R2558" s="340"/>
      <c r="S2558" s="342"/>
      <c r="T2558" s="342"/>
      <c r="U2558" s="342"/>
      <c r="V2558" s="340"/>
      <c r="W2558" s="340"/>
    </row>
    <row r="2559" spans="2:23" ht="24" customHeight="1">
      <c r="B2559" s="67"/>
      <c r="H2559" s="347">
        <v>43476</v>
      </c>
      <c r="I2559" s="347"/>
      <c r="J2559" s="345"/>
      <c r="K2559" s="703"/>
      <c r="L2559" s="342"/>
      <c r="M2559" s="342"/>
      <c r="N2559" s="340"/>
      <c r="O2559" s="703"/>
      <c r="P2559" s="342"/>
      <c r="Q2559" s="363"/>
      <c r="R2559" s="340"/>
      <c r="S2559" s="342"/>
      <c r="T2559" s="342"/>
      <c r="U2559" s="342"/>
      <c r="V2559" s="340"/>
      <c r="W2559" s="340"/>
    </row>
    <row r="2560" spans="2:23" ht="24" customHeight="1">
      <c r="B2560" s="67"/>
      <c r="I2560" s="3" t="s">
        <v>59</v>
      </c>
      <c r="J2560" s="345">
        <v>11</v>
      </c>
      <c r="K2560" s="703">
        <v>2959.89</v>
      </c>
      <c r="L2560" s="342">
        <v>1</v>
      </c>
      <c r="M2560" s="342">
        <v>19.9268</v>
      </c>
      <c r="N2560" s="340">
        <v>58981.136051999994</v>
      </c>
      <c r="O2560" s="703">
        <v>1249.6300000000001</v>
      </c>
      <c r="P2560" s="342">
        <v>1</v>
      </c>
      <c r="Q2560" s="363">
        <v>19.2456</v>
      </c>
      <c r="R2560" s="340">
        <v>24049.879128</v>
      </c>
      <c r="S2560" s="342">
        <v>103.108</v>
      </c>
      <c r="T2560" s="342">
        <v>122.94799999999999</v>
      </c>
      <c r="U2560" s="342">
        <v>1.1923999999999999</v>
      </c>
      <c r="V2560" s="340">
        <v>28677.075872227197</v>
      </c>
      <c r="W2560" s="340">
        <v>30304.060179772798</v>
      </c>
    </row>
    <row r="2561" spans="2:23" ht="24" customHeight="1">
      <c r="J2561" s="345"/>
      <c r="K2561" s="703"/>
      <c r="L2561" s="342"/>
      <c r="M2561" s="342"/>
      <c r="N2561" s="340"/>
      <c r="O2561" s="703"/>
      <c r="P2561" s="342"/>
      <c r="Q2561" s="363"/>
      <c r="R2561" s="340"/>
      <c r="S2561" s="342"/>
      <c r="T2561" s="342"/>
      <c r="U2561" s="342"/>
      <c r="V2561" s="340"/>
      <c r="W2561" s="340"/>
    </row>
    <row r="2562" spans="2:23" ht="24" customHeight="1">
      <c r="B2562" s="67"/>
      <c r="F2562" s="346">
        <v>44830</v>
      </c>
      <c r="G2562" s="346"/>
      <c r="H2562" s="346"/>
      <c r="I2562" s="346"/>
      <c r="J2562" s="345"/>
      <c r="K2562" s="703"/>
      <c r="L2562" s="342"/>
      <c r="M2562" s="342"/>
      <c r="N2562" s="340"/>
      <c r="O2562" s="703"/>
      <c r="P2562" s="342"/>
      <c r="Q2562" s="363"/>
      <c r="R2562" s="340"/>
      <c r="S2562" s="342"/>
      <c r="T2562" s="342"/>
      <c r="U2562" s="342"/>
      <c r="V2562" s="340"/>
      <c r="W2562" s="340"/>
    </row>
    <row r="2563" spans="2:23" ht="24" customHeight="1">
      <c r="B2563" s="67"/>
      <c r="G2563" s="3" t="s">
        <v>59</v>
      </c>
      <c r="H2563" s="3"/>
      <c r="I2563" s="3"/>
      <c r="J2563" s="345"/>
      <c r="K2563" s="703"/>
      <c r="L2563" s="342"/>
      <c r="M2563" s="342"/>
      <c r="N2563" s="340"/>
      <c r="O2563" s="703"/>
      <c r="P2563" s="342"/>
      <c r="Q2563" s="363"/>
      <c r="R2563" s="340"/>
      <c r="S2563" s="342"/>
      <c r="T2563" s="342"/>
      <c r="U2563" s="342"/>
      <c r="V2563" s="340"/>
      <c r="W2563" s="340"/>
    </row>
    <row r="2564" spans="2:23" ht="24" customHeight="1">
      <c r="B2564" s="67"/>
      <c r="H2564" s="347">
        <v>43476</v>
      </c>
      <c r="I2564" s="347"/>
      <c r="J2564" s="345"/>
      <c r="K2564" s="703"/>
      <c r="L2564" s="342"/>
      <c r="M2564" s="342"/>
      <c r="N2564" s="340"/>
      <c r="O2564" s="703"/>
      <c r="P2564" s="342"/>
      <c r="Q2564" s="363"/>
      <c r="R2564" s="340"/>
      <c r="S2564" s="342"/>
      <c r="T2564" s="342"/>
      <c r="U2564" s="342"/>
      <c r="V2564" s="340"/>
      <c r="W2564" s="340"/>
    </row>
    <row r="2565" spans="2:23" ht="24" customHeight="1">
      <c r="B2565" s="67"/>
      <c r="I2565" s="3" t="s">
        <v>59</v>
      </c>
      <c r="J2565" s="345">
        <v>28</v>
      </c>
      <c r="K2565" s="703">
        <v>7131.37</v>
      </c>
      <c r="L2565" s="342">
        <v>1</v>
      </c>
      <c r="M2565" s="342">
        <v>19.960799999999999</v>
      </c>
      <c r="N2565" s="340">
        <v>142347.85029599999</v>
      </c>
      <c r="O2565" s="703">
        <v>3180.88</v>
      </c>
      <c r="P2565" s="342">
        <v>1</v>
      </c>
      <c r="Q2565" s="363">
        <v>19.2456</v>
      </c>
      <c r="R2565" s="340">
        <v>61217.944128000003</v>
      </c>
      <c r="S2565" s="342">
        <v>103.108</v>
      </c>
      <c r="T2565" s="342">
        <v>123.803</v>
      </c>
      <c r="U2565" s="342">
        <v>1.2007000000000001</v>
      </c>
      <c r="V2565" s="340">
        <v>73504.385514489608</v>
      </c>
      <c r="W2565" s="340">
        <v>68843.464781510382</v>
      </c>
    </row>
    <row r="2566" spans="2:23" ht="24" customHeight="1">
      <c r="J2566" s="345"/>
      <c r="K2566" s="703"/>
      <c r="L2566" s="342"/>
      <c r="M2566" s="342"/>
      <c r="N2566" s="340"/>
      <c r="O2566" s="703"/>
      <c r="P2566" s="342"/>
      <c r="Q2566" s="363"/>
      <c r="R2566" s="340"/>
      <c r="S2566" s="342"/>
      <c r="T2566" s="342"/>
      <c r="U2566" s="342"/>
      <c r="V2566" s="340"/>
      <c r="W2566" s="340"/>
    </row>
    <row r="2567" spans="2:23" ht="24" customHeight="1">
      <c r="B2567" s="67"/>
      <c r="F2567" s="346">
        <v>44831</v>
      </c>
      <c r="G2567" s="346"/>
      <c r="H2567" s="346"/>
      <c r="I2567" s="346"/>
      <c r="J2567" s="345"/>
      <c r="K2567" s="703"/>
      <c r="L2567" s="342"/>
      <c r="M2567" s="342"/>
      <c r="N2567" s="340"/>
      <c r="O2567" s="703"/>
      <c r="P2567" s="342"/>
      <c r="Q2567" s="363"/>
      <c r="R2567" s="340"/>
      <c r="S2567" s="342"/>
      <c r="T2567" s="342"/>
      <c r="U2567" s="342"/>
      <c r="V2567" s="340"/>
      <c r="W2567" s="340"/>
    </row>
    <row r="2568" spans="2:23" ht="24" customHeight="1">
      <c r="B2568" s="67"/>
      <c r="G2568" s="3" t="s">
        <v>59</v>
      </c>
      <c r="H2568" s="3"/>
      <c r="I2568" s="3"/>
      <c r="J2568" s="345"/>
      <c r="K2568" s="703"/>
      <c r="L2568" s="342"/>
      <c r="M2568" s="342"/>
      <c r="N2568" s="340"/>
      <c r="O2568" s="703"/>
      <c r="P2568" s="342"/>
      <c r="Q2568" s="363"/>
      <c r="R2568" s="340"/>
      <c r="S2568" s="342"/>
      <c r="T2568" s="342"/>
      <c r="U2568" s="342"/>
      <c r="V2568" s="340"/>
      <c r="W2568" s="340"/>
    </row>
    <row r="2569" spans="2:23" ht="24" customHeight="1">
      <c r="B2569" s="67"/>
      <c r="H2569" s="347">
        <v>43476</v>
      </c>
      <c r="I2569" s="347"/>
      <c r="J2569" s="345"/>
      <c r="K2569" s="703"/>
      <c r="L2569" s="342"/>
      <c r="M2569" s="342"/>
      <c r="N2569" s="340"/>
      <c r="O2569" s="703"/>
      <c r="P2569" s="342"/>
      <c r="Q2569" s="363"/>
      <c r="R2569" s="340"/>
      <c r="S2569" s="342"/>
      <c r="T2569" s="342"/>
      <c r="U2569" s="342"/>
      <c r="V2569" s="340"/>
      <c r="W2569" s="340"/>
    </row>
    <row r="2570" spans="2:23" ht="24" customHeight="1">
      <c r="B2570" s="67"/>
      <c r="I2570" s="3" t="s">
        <v>59</v>
      </c>
      <c r="J2570" s="345">
        <v>2</v>
      </c>
      <c r="K2570" s="703">
        <v>505.91</v>
      </c>
      <c r="L2570" s="342">
        <v>1</v>
      </c>
      <c r="M2570" s="342">
        <v>20.162700000000001</v>
      </c>
      <c r="N2570" s="340">
        <v>10200.511557000002</v>
      </c>
      <c r="O2570" s="703">
        <v>227.21</v>
      </c>
      <c r="P2570" s="342">
        <v>1</v>
      </c>
      <c r="Q2570" s="363">
        <v>19.2456</v>
      </c>
      <c r="R2570" s="340">
        <v>4372.7927760000002</v>
      </c>
      <c r="S2570" s="342">
        <v>103.108</v>
      </c>
      <c r="T2570" s="342">
        <v>123.803</v>
      </c>
      <c r="U2570" s="342">
        <v>1.2007000000000001</v>
      </c>
      <c r="V2570" s="340">
        <v>5250.4122861432006</v>
      </c>
      <c r="W2570" s="340">
        <v>4950.099270856801</v>
      </c>
    </row>
    <row r="2571" spans="2:23" ht="24" customHeight="1">
      <c r="J2571" s="345"/>
      <c r="K2571" s="703"/>
      <c r="L2571" s="342"/>
      <c r="M2571" s="342"/>
      <c r="N2571" s="340"/>
      <c r="O2571" s="703"/>
      <c r="P2571" s="342"/>
      <c r="Q2571" s="363"/>
      <c r="R2571" s="340"/>
      <c r="S2571" s="342"/>
      <c r="T2571" s="342"/>
      <c r="U2571" s="342"/>
      <c r="V2571" s="340"/>
      <c r="W2571" s="340"/>
    </row>
    <row r="2572" spans="2:23" ht="24" customHeight="1">
      <c r="B2572" s="67"/>
      <c r="H2572" s="347">
        <v>43964</v>
      </c>
      <c r="I2572" s="347"/>
      <c r="J2572" s="345"/>
      <c r="K2572" s="703"/>
      <c r="L2572" s="342"/>
      <c r="M2572" s="342"/>
      <c r="N2572" s="340"/>
      <c r="O2572" s="703"/>
      <c r="P2572" s="342"/>
      <c r="Q2572" s="363"/>
      <c r="R2572" s="340"/>
      <c r="S2572" s="342"/>
      <c r="T2572" s="342"/>
      <c r="U2572" s="342"/>
      <c r="V2572" s="340"/>
      <c r="W2572" s="340"/>
    </row>
    <row r="2573" spans="2:23" ht="24" customHeight="1">
      <c r="B2573" s="67"/>
      <c r="I2573" s="3" t="s">
        <v>59</v>
      </c>
      <c r="J2573" s="345">
        <v>25</v>
      </c>
      <c r="K2573" s="703">
        <v>6323.89</v>
      </c>
      <c r="L2573" s="342">
        <v>1</v>
      </c>
      <c r="M2573" s="342">
        <v>20.162700000000001</v>
      </c>
      <c r="N2573" s="340">
        <v>127506.69690300002</v>
      </c>
      <c r="O2573" s="703">
        <v>2892.48</v>
      </c>
      <c r="P2573" s="342">
        <v>1</v>
      </c>
      <c r="Q2573" s="363">
        <v>23.869299999999999</v>
      </c>
      <c r="R2573" s="340">
        <v>69041.472863999996</v>
      </c>
      <c r="S2573" s="342">
        <v>106.16200000000001</v>
      </c>
      <c r="T2573" s="342">
        <v>123.803</v>
      </c>
      <c r="U2573" s="342">
        <v>1.1660999999999999</v>
      </c>
      <c r="V2573" s="340">
        <v>80509.261506710391</v>
      </c>
      <c r="W2573" s="340">
        <v>46997.435396289628</v>
      </c>
    </row>
    <row r="2574" spans="2:23" ht="24" customHeight="1">
      <c r="J2574" s="345"/>
      <c r="K2574" s="703"/>
      <c r="L2574" s="342"/>
      <c r="M2574" s="342"/>
      <c r="N2574" s="340"/>
      <c r="O2574" s="703"/>
      <c r="P2574" s="342"/>
      <c r="Q2574" s="363"/>
      <c r="R2574" s="340"/>
      <c r="S2574" s="342"/>
      <c r="T2574" s="342"/>
      <c r="U2574" s="342"/>
      <c r="V2574" s="340"/>
      <c r="W2574" s="340"/>
    </row>
    <row r="2575" spans="2:23" ht="24" customHeight="1">
      <c r="B2575" s="67"/>
      <c r="E2575" s="131" t="s">
        <v>1164</v>
      </c>
      <c r="F2575" s="131"/>
      <c r="G2575" s="131"/>
      <c r="H2575" s="131"/>
      <c r="I2575" s="131"/>
      <c r="J2575" s="704">
        <v>205</v>
      </c>
      <c r="K2575" s="705">
        <v>56413.960000000006</v>
      </c>
      <c r="L2575" s="369">
        <v>1</v>
      </c>
      <c r="M2575" s="377">
        <v>20.114855555555554</v>
      </c>
      <c r="N2575" s="706">
        <v>1142595.3268520001</v>
      </c>
      <c r="O2575" s="705">
        <v>23341</v>
      </c>
      <c r="P2575" s="369">
        <v>1</v>
      </c>
      <c r="Q2575" s="377">
        <v>19.759344444444444</v>
      </c>
      <c r="R2575" s="706">
        <v>462585.50937599997</v>
      </c>
      <c r="S2575" s="369">
        <v>103.44733333333332</v>
      </c>
      <c r="T2575" s="369">
        <v>121.91066666666666</v>
      </c>
      <c r="U2575" s="369">
        <v>1.1784888888888887</v>
      </c>
      <c r="V2575" s="706">
        <v>541813.93071063841</v>
      </c>
      <c r="W2575" s="706">
        <v>600781.39614136168</v>
      </c>
    </row>
    <row r="2576" spans="2:23" ht="24" customHeight="1">
      <c r="J2576" s="345"/>
      <c r="K2576" s="703"/>
      <c r="L2576" s="342"/>
      <c r="M2576" s="342"/>
      <c r="N2576" s="340"/>
      <c r="O2576" s="703"/>
      <c r="P2576" s="342"/>
      <c r="Q2576" s="363"/>
      <c r="R2576" s="340"/>
      <c r="S2576" s="342"/>
      <c r="T2576" s="342"/>
      <c r="U2576" s="342"/>
      <c r="V2576" s="340"/>
      <c r="W2576" s="340"/>
    </row>
    <row r="2577" spans="2:23" ht="24" customHeight="1">
      <c r="B2577" s="67"/>
      <c r="E2577" s="1" t="s">
        <v>716</v>
      </c>
      <c r="J2577" s="345"/>
      <c r="K2577" s="703"/>
      <c r="L2577" s="342"/>
      <c r="M2577" s="342"/>
      <c r="N2577" s="340"/>
      <c r="O2577" s="703"/>
      <c r="P2577" s="342"/>
      <c r="Q2577" s="363"/>
      <c r="R2577" s="340"/>
      <c r="S2577" s="342"/>
      <c r="T2577" s="342"/>
      <c r="U2577" s="342"/>
      <c r="V2577" s="340"/>
      <c r="W2577" s="340"/>
    </row>
    <row r="2578" spans="2:23" ht="24" customHeight="1">
      <c r="B2578" s="67"/>
      <c r="F2578" s="346">
        <v>44722</v>
      </c>
      <c r="G2578" s="346"/>
      <c r="H2578" s="346"/>
      <c r="I2578" s="346"/>
      <c r="J2578" s="345"/>
      <c r="K2578" s="703"/>
      <c r="L2578" s="342"/>
      <c r="M2578" s="342"/>
      <c r="N2578" s="340"/>
      <c r="O2578" s="703"/>
      <c r="P2578" s="342"/>
      <c r="Q2578" s="363"/>
      <c r="R2578" s="340"/>
      <c r="S2578" s="342"/>
      <c r="T2578" s="342"/>
      <c r="U2578" s="342"/>
      <c r="V2578" s="340"/>
      <c r="W2578" s="340"/>
    </row>
    <row r="2579" spans="2:23" ht="24" customHeight="1">
      <c r="B2579" s="67"/>
      <c r="G2579" s="3" t="s">
        <v>59</v>
      </c>
      <c r="H2579" s="3"/>
      <c r="I2579" s="3"/>
      <c r="J2579" s="345"/>
      <c r="K2579" s="703"/>
      <c r="L2579" s="342"/>
      <c r="M2579" s="342"/>
      <c r="N2579" s="340"/>
      <c r="O2579" s="703"/>
      <c r="P2579" s="342"/>
      <c r="Q2579" s="363"/>
      <c r="R2579" s="340"/>
      <c r="S2579" s="342"/>
      <c r="T2579" s="342"/>
      <c r="U2579" s="342"/>
      <c r="V2579" s="340"/>
      <c r="W2579" s="340"/>
    </row>
    <row r="2580" spans="2:23" ht="24" customHeight="1">
      <c r="B2580" s="67"/>
      <c r="H2580" s="347">
        <v>43990</v>
      </c>
      <c r="I2580" s="347"/>
      <c r="J2580" s="345"/>
      <c r="K2580" s="703"/>
      <c r="L2580" s="342"/>
      <c r="M2580" s="342"/>
      <c r="N2580" s="340"/>
      <c r="O2580" s="703"/>
      <c r="P2580" s="342"/>
      <c r="Q2580" s="363"/>
      <c r="R2580" s="340"/>
      <c r="S2580" s="342"/>
      <c r="T2580" s="342"/>
      <c r="U2580" s="342"/>
      <c r="V2580" s="340"/>
      <c r="W2580" s="340"/>
    </row>
    <row r="2581" spans="2:23" ht="24" customHeight="1">
      <c r="B2581" s="67"/>
      <c r="I2581" s="3" t="s">
        <v>59</v>
      </c>
      <c r="J2581" s="345">
        <v>71</v>
      </c>
      <c r="K2581" s="703">
        <v>9865.43</v>
      </c>
      <c r="L2581" s="342">
        <v>1</v>
      </c>
      <c r="M2581" s="342">
        <v>19.59</v>
      </c>
      <c r="N2581" s="340">
        <v>193263.77369999999</v>
      </c>
      <c r="O2581" s="703">
        <v>5909.84</v>
      </c>
      <c r="P2581" s="342">
        <v>1</v>
      </c>
      <c r="Q2581" s="363">
        <v>21.838799999999999</v>
      </c>
      <c r="R2581" s="340">
        <v>129063.813792</v>
      </c>
      <c r="S2581" s="342">
        <v>106.74299999999999</v>
      </c>
      <c r="T2581" s="342">
        <v>121.02200000000001</v>
      </c>
      <c r="U2581" s="342">
        <v>1.1336999999999999</v>
      </c>
      <c r="V2581" s="340">
        <v>146319.64569599039</v>
      </c>
      <c r="W2581" s="340">
        <v>46944.128004009603</v>
      </c>
    </row>
    <row r="2582" spans="2:23" ht="24" customHeight="1">
      <c r="J2582" s="345"/>
      <c r="K2582" s="703"/>
      <c r="L2582" s="342"/>
      <c r="M2582" s="342"/>
      <c r="N2582" s="340"/>
      <c r="O2582" s="703"/>
      <c r="P2582" s="342"/>
      <c r="Q2582" s="363"/>
      <c r="R2582" s="340"/>
      <c r="S2582" s="342"/>
      <c r="T2582" s="342"/>
      <c r="U2582" s="342"/>
      <c r="V2582" s="340"/>
      <c r="W2582" s="340"/>
    </row>
    <row r="2583" spans="2:23" ht="24" customHeight="1">
      <c r="B2583" s="67"/>
      <c r="F2583" s="346">
        <v>44790</v>
      </c>
      <c r="G2583" s="346"/>
      <c r="H2583" s="346"/>
      <c r="I2583" s="346"/>
      <c r="J2583" s="345"/>
      <c r="K2583" s="703"/>
      <c r="L2583" s="342"/>
      <c r="M2583" s="342"/>
      <c r="N2583" s="340"/>
      <c r="O2583" s="703"/>
      <c r="P2583" s="342"/>
      <c r="Q2583" s="363"/>
      <c r="R2583" s="340"/>
      <c r="S2583" s="342"/>
      <c r="T2583" s="342"/>
      <c r="U2583" s="342"/>
      <c r="V2583" s="340"/>
      <c r="W2583" s="340"/>
    </row>
    <row r="2584" spans="2:23" ht="24" customHeight="1">
      <c r="B2584" s="67"/>
      <c r="G2584" s="3" t="s">
        <v>59</v>
      </c>
      <c r="H2584" s="3"/>
      <c r="I2584" s="3"/>
      <c r="J2584" s="345"/>
      <c r="K2584" s="703"/>
      <c r="L2584" s="342"/>
      <c r="M2584" s="342"/>
      <c r="N2584" s="340"/>
      <c r="O2584" s="703"/>
      <c r="P2584" s="342"/>
      <c r="Q2584" s="363"/>
      <c r="R2584" s="340"/>
      <c r="S2584" s="342"/>
      <c r="T2584" s="342"/>
      <c r="U2584" s="342"/>
      <c r="V2584" s="340"/>
      <c r="W2584" s="340"/>
    </row>
    <row r="2585" spans="2:23" ht="24" customHeight="1">
      <c r="B2585" s="67"/>
      <c r="H2585" s="347">
        <v>43990</v>
      </c>
      <c r="I2585" s="347"/>
      <c r="J2585" s="345"/>
      <c r="K2585" s="703"/>
      <c r="L2585" s="342"/>
      <c r="M2585" s="342"/>
      <c r="N2585" s="340"/>
      <c r="O2585" s="703"/>
      <c r="P2585" s="342"/>
      <c r="Q2585" s="363"/>
      <c r="R2585" s="340"/>
      <c r="S2585" s="342"/>
      <c r="T2585" s="342"/>
      <c r="U2585" s="342"/>
      <c r="V2585" s="340"/>
      <c r="W2585" s="340"/>
    </row>
    <row r="2586" spans="2:23" ht="24" customHeight="1">
      <c r="B2586" s="67"/>
      <c r="I2586" s="3" t="s">
        <v>59</v>
      </c>
      <c r="J2586" s="345">
        <v>149</v>
      </c>
      <c r="K2586" s="703">
        <v>26050.560000000001</v>
      </c>
      <c r="L2586" s="342">
        <v>1</v>
      </c>
      <c r="M2586" s="342">
        <v>19.861799999999999</v>
      </c>
      <c r="N2586" s="340">
        <v>517411.01260800002</v>
      </c>
      <c r="O2586" s="703">
        <v>12402.35</v>
      </c>
      <c r="P2586" s="342">
        <v>1</v>
      </c>
      <c r="Q2586" s="363">
        <v>21.838799999999999</v>
      </c>
      <c r="R2586" s="340">
        <v>270852.44118000002</v>
      </c>
      <c r="S2586" s="342">
        <v>106.74299999999999</v>
      </c>
      <c r="T2586" s="342">
        <v>122.94799999999999</v>
      </c>
      <c r="U2586" s="342">
        <v>1.1517999999999999</v>
      </c>
      <c r="V2586" s="340">
        <v>311967.84175112401</v>
      </c>
      <c r="W2586" s="340">
        <v>205443.17085687601</v>
      </c>
    </row>
    <row r="2587" spans="2:23" ht="24" customHeight="1">
      <c r="J2587" s="345"/>
      <c r="K2587" s="703"/>
      <c r="L2587" s="342"/>
      <c r="M2587" s="342"/>
      <c r="N2587" s="340"/>
      <c r="O2587" s="703"/>
      <c r="P2587" s="342"/>
      <c r="Q2587" s="363"/>
      <c r="R2587" s="340"/>
      <c r="S2587" s="342"/>
      <c r="T2587" s="342"/>
      <c r="U2587" s="342"/>
      <c r="V2587" s="340"/>
      <c r="W2587" s="340"/>
    </row>
    <row r="2588" spans="2:23" ht="24" customHeight="1">
      <c r="B2588" s="67"/>
      <c r="E2588" s="131" t="s">
        <v>1115</v>
      </c>
      <c r="F2588" s="131"/>
      <c r="G2588" s="131"/>
      <c r="H2588" s="131"/>
      <c r="I2588" s="131"/>
      <c r="J2588" s="704">
        <v>220</v>
      </c>
      <c r="K2588" s="705">
        <v>35915.990000000005</v>
      </c>
      <c r="L2588" s="369">
        <v>1</v>
      </c>
      <c r="M2588" s="377">
        <v>19.725899999999999</v>
      </c>
      <c r="N2588" s="706">
        <v>710674.78630799998</v>
      </c>
      <c r="O2588" s="705">
        <v>18312.190000000002</v>
      </c>
      <c r="P2588" s="369">
        <v>1</v>
      </c>
      <c r="Q2588" s="377">
        <v>21.838799999999999</v>
      </c>
      <c r="R2588" s="706">
        <v>399916.25497200002</v>
      </c>
      <c r="S2588" s="369">
        <v>106.74299999999999</v>
      </c>
      <c r="T2588" s="369">
        <v>121.985</v>
      </c>
      <c r="U2588" s="369">
        <v>1.1427499999999999</v>
      </c>
      <c r="V2588" s="706">
        <v>458287.48744711443</v>
      </c>
      <c r="W2588" s="706">
        <v>252387.29886088561</v>
      </c>
    </row>
    <row r="2589" spans="2:23" ht="24" customHeight="1">
      <c r="J2589" s="345"/>
      <c r="K2589" s="703"/>
      <c r="L2589" s="342"/>
      <c r="M2589" s="342"/>
      <c r="N2589" s="340"/>
      <c r="O2589" s="703"/>
      <c r="P2589" s="342"/>
      <c r="Q2589" s="363"/>
      <c r="R2589" s="340"/>
      <c r="S2589" s="342"/>
      <c r="T2589" s="342"/>
      <c r="U2589" s="342"/>
      <c r="V2589" s="340"/>
      <c r="W2589" s="340"/>
    </row>
    <row r="2590" spans="2:23" ht="24" customHeight="1">
      <c r="B2590" s="67"/>
      <c r="E2590" s="1" t="s">
        <v>772</v>
      </c>
      <c r="J2590" s="345"/>
      <c r="K2590" s="703"/>
      <c r="L2590" s="342"/>
      <c r="M2590" s="342"/>
      <c r="N2590" s="340"/>
      <c r="O2590" s="703"/>
      <c r="P2590" s="342"/>
      <c r="Q2590" s="363"/>
      <c r="R2590" s="340"/>
      <c r="S2590" s="342"/>
      <c r="T2590" s="342"/>
      <c r="U2590" s="342"/>
      <c r="V2590" s="340"/>
      <c r="W2590" s="340"/>
    </row>
    <row r="2591" spans="2:23" ht="24" customHeight="1">
      <c r="B2591" s="67"/>
      <c r="F2591" s="346">
        <v>44790</v>
      </c>
      <c r="G2591" s="346"/>
      <c r="H2591" s="346"/>
      <c r="I2591" s="346"/>
      <c r="J2591" s="345"/>
      <c r="K2591" s="703"/>
      <c r="L2591" s="342"/>
      <c r="M2591" s="342"/>
      <c r="N2591" s="340"/>
      <c r="O2591" s="703"/>
      <c r="P2591" s="342"/>
      <c r="Q2591" s="363"/>
      <c r="R2591" s="340"/>
      <c r="S2591" s="342"/>
      <c r="T2591" s="342"/>
      <c r="U2591" s="342"/>
      <c r="V2591" s="340"/>
      <c r="W2591" s="340"/>
    </row>
    <row r="2592" spans="2:23" ht="24" customHeight="1">
      <c r="B2592" s="67"/>
      <c r="G2592" s="3" t="s">
        <v>59</v>
      </c>
      <c r="H2592" s="3"/>
      <c r="I2592" s="3"/>
      <c r="J2592" s="345"/>
      <c r="K2592" s="703"/>
      <c r="L2592" s="342"/>
      <c r="M2592" s="342"/>
      <c r="N2592" s="340"/>
      <c r="O2592" s="703"/>
      <c r="P2592" s="342"/>
      <c r="Q2592" s="363"/>
      <c r="R2592" s="340"/>
      <c r="S2592" s="342"/>
      <c r="T2592" s="342"/>
      <c r="U2592" s="342"/>
      <c r="V2592" s="340"/>
      <c r="W2592" s="340"/>
    </row>
    <row r="2593" spans="2:23" ht="24" customHeight="1">
      <c r="B2593" s="67"/>
      <c r="H2593" s="347">
        <v>44264</v>
      </c>
      <c r="I2593" s="347"/>
      <c r="J2593" s="345"/>
      <c r="K2593" s="703"/>
      <c r="L2593" s="342"/>
      <c r="M2593" s="342"/>
      <c r="N2593" s="340"/>
      <c r="O2593" s="703"/>
      <c r="P2593" s="342"/>
      <c r="Q2593" s="363"/>
      <c r="R2593" s="340"/>
      <c r="S2593" s="342"/>
      <c r="T2593" s="342"/>
      <c r="U2593" s="342"/>
      <c r="V2593" s="340"/>
      <c r="W2593" s="340"/>
    </row>
    <row r="2594" spans="2:23" ht="24" customHeight="1">
      <c r="B2594" s="67"/>
      <c r="I2594" s="3" t="s">
        <v>59</v>
      </c>
      <c r="J2594" s="345">
        <v>77</v>
      </c>
      <c r="K2594" s="703">
        <v>8189.55</v>
      </c>
      <c r="L2594" s="342">
        <v>1</v>
      </c>
      <c r="M2594" s="342">
        <v>19.861799999999999</v>
      </c>
      <c r="N2594" s="340">
        <v>162659.20418999999</v>
      </c>
      <c r="O2594" s="703">
        <v>8707.91</v>
      </c>
      <c r="P2594" s="342">
        <v>1</v>
      </c>
      <c r="Q2594" s="363">
        <v>21.263500000000001</v>
      </c>
      <c r="R2594" s="340">
        <v>185160.64428499999</v>
      </c>
      <c r="S2594" s="342">
        <v>111.824</v>
      </c>
      <c r="T2594" s="342">
        <v>122.94799999999999</v>
      </c>
      <c r="U2594" s="342">
        <v>1.0993999999999999</v>
      </c>
      <c r="V2594" s="340">
        <v>203565.61232692897</v>
      </c>
      <c r="W2594" s="340">
        <v>-40906.408136928978</v>
      </c>
    </row>
    <row r="2595" spans="2:23" ht="24" customHeight="1">
      <c r="J2595" s="345"/>
      <c r="K2595" s="703"/>
      <c r="L2595" s="342"/>
      <c r="M2595" s="342"/>
      <c r="N2595" s="340"/>
      <c r="O2595" s="703"/>
      <c r="P2595" s="342"/>
      <c r="Q2595" s="363"/>
      <c r="R2595" s="340"/>
      <c r="S2595" s="342"/>
      <c r="T2595" s="342"/>
      <c r="U2595" s="342"/>
      <c r="V2595" s="340"/>
      <c r="W2595" s="340"/>
    </row>
    <row r="2596" spans="2:23" ht="24" customHeight="1">
      <c r="B2596" s="67"/>
      <c r="E2596" s="131" t="s">
        <v>1165</v>
      </c>
      <c r="F2596" s="131"/>
      <c r="G2596" s="131"/>
      <c r="H2596" s="131"/>
      <c r="I2596" s="131"/>
      <c r="J2596" s="704">
        <v>77</v>
      </c>
      <c r="K2596" s="705">
        <v>8189.55</v>
      </c>
      <c r="L2596" s="369">
        <v>1</v>
      </c>
      <c r="M2596" s="377">
        <v>19.861799999999999</v>
      </c>
      <c r="N2596" s="706">
        <v>162659.20418999999</v>
      </c>
      <c r="O2596" s="705">
        <v>8707.91</v>
      </c>
      <c r="P2596" s="369">
        <v>1</v>
      </c>
      <c r="Q2596" s="377">
        <v>21.263500000000001</v>
      </c>
      <c r="R2596" s="706">
        <v>185160.64428499999</v>
      </c>
      <c r="S2596" s="369">
        <v>111.824</v>
      </c>
      <c r="T2596" s="369">
        <v>122.94799999999999</v>
      </c>
      <c r="U2596" s="369">
        <v>1.0993999999999999</v>
      </c>
      <c r="V2596" s="706">
        <v>203565.61232692897</v>
      </c>
      <c r="W2596" s="706">
        <v>-40906.408136928978</v>
      </c>
    </row>
    <row r="2597" spans="2:23" ht="24" customHeight="1">
      <c r="J2597" s="345"/>
      <c r="K2597" s="703"/>
      <c r="L2597" s="342"/>
      <c r="M2597" s="342"/>
      <c r="N2597" s="340"/>
      <c r="O2597" s="703"/>
      <c r="P2597" s="342"/>
      <c r="Q2597" s="363"/>
      <c r="R2597" s="340"/>
      <c r="S2597" s="342"/>
      <c r="T2597" s="342"/>
      <c r="U2597" s="342"/>
      <c r="V2597" s="340"/>
      <c r="W2597" s="340"/>
    </row>
    <row r="2598" spans="2:23" ht="24" customHeight="1">
      <c r="B2598" s="67"/>
      <c r="E2598" s="1" t="s">
        <v>960</v>
      </c>
      <c r="J2598" s="345"/>
      <c r="K2598" s="703"/>
      <c r="L2598" s="342"/>
      <c r="M2598" s="342"/>
      <c r="N2598" s="340"/>
      <c r="O2598" s="703"/>
      <c r="P2598" s="342"/>
      <c r="Q2598" s="363"/>
      <c r="R2598" s="340"/>
      <c r="S2598" s="342"/>
      <c r="T2598" s="342"/>
      <c r="U2598" s="342"/>
      <c r="V2598" s="340"/>
      <c r="W2598" s="340"/>
    </row>
    <row r="2599" spans="2:23" ht="24" customHeight="1">
      <c r="B2599" s="67"/>
      <c r="F2599" s="346">
        <v>44790</v>
      </c>
      <c r="G2599" s="346"/>
      <c r="H2599" s="346"/>
      <c r="I2599" s="346"/>
      <c r="J2599" s="345"/>
      <c r="K2599" s="703"/>
      <c r="L2599" s="342"/>
      <c r="M2599" s="342"/>
      <c r="N2599" s="340"/>
      <c r="O2599" s="703"/>
      <c r="P2599" s="342"/>
      <c r="Q2599" s="363"/>
      <c r="R2599" s="340"/>
      <c r="S2599" s="342"/>
      <c r="T2599" s="342"/>
      <c r="U2599" s="342"/>
      <c r="V2599" s="340"/>
      <c r="W2599" s="340"/>
    </row>
    <row r="2600" spans="2:23" ht="24" customHeight="1">
      <c r="B2600" s="67"/>
      <c r="G2600" s="3" t="s">
        <v>59</v>
      </c>
      <c r="H2600" s="3"/>
      <c r="I2600" s="3"/>
      <c r="J2600" s="345"/>
      <c r="K2600" s="703"/>
      <c r="L2600" s="342"/>
      <c r="M2600" s="342"/>
      <c r="N2600" s="340"/>
      <c r="O2600" s="703"/>
      <c r="P2600" s="342"/>
      <c r="Q2600" s="363"/>
      <c r="R2600" s="340"/>
      <c r="S2600" s="342"/>
      <c r="T2600" s="342"/>
      <c r="U2600" s="342"/>
      <c r="V2600" s="340"/>
      <c r="W2600" s="340"/>
    </row>
    <row r="2601" spans="2:23" ht="24" customHeight="1">
      <c r="B2601" s="67"/>
      <c r="H2601" s="347">
        <v>44720</v>
      </c>
      <c r="I2601" s="347"/>
      <c r="J2601" s="345"/>
      <c r="K2601" s="703"/>
      <c r="L2601" s="342"/>
      <c r="M2601" s="342"/>
      <c r="N2601" s="340"/>
      <c r="O2601" s="703"/>
      <c r="P2601" s="342"/>
      <c r="Q2601" s="363"/>
      <c r="R2601" s="340"/>
      <c r="S2601" s="342"/>
      <c r="T2601" s="342"/>
      <c r="U2601" s="342"/>
      <c r="V2601" s="340"/>
      <c r="W2601" s="340"/>
    </row>
    <row r="2602" spans="2:23" ht="24" customHeight="1">
      <c r="B2602" s="67"/>
      <c r="I2602" s="3" t="s">
        <v>59</v>
      </c>
      <c r="J2602" s="345">
        <v>78</v>
      </c>
      <c r="K2602" s="703">
        <v>1446.85</v>
      </c>
      <c r="L2602" s="342">
        <v>1</v>
      </c>
      <c r="M2602" s="342">
        <v>19.861799999999999</v>
      </c>
      <c r="N2602" s="340">
        <v>28737.045329999997</v>
      </c>
      <c r="O2602" s="703">
        <v>1640.73</v>
      </c>
      <c r="P2602" s="342">
        <v>1</v>
      </c>
      <c r="Q2602" s="363">
        <v>19.5547</v>
      </c>
      <c r="R2602" s="340">
        <v>32083.982931000002</v>
      </c>
      <c r="S2602" s="342">
        <v>122.044</v>
      </c>
      <c r="T2602" s="342">
        <v>122.94799999999999</v>
      </c>
      <c r="U2602" s="342">
        <v>1.0074000000000001</v>
      </c>
      <c r="V2602" s="340">
        <v>32321.404404689405</v>
      </c>
      <c r="W2602" s="340">
        <v>-3584.3590746894042</v>
      </c>
    </row>
    <row r="2603" spans="2:23" ht="24" customHeight="1">
      <c r="J2603" s="345"/>
      <c r="K2603" s="703"/>
      <c r="L2603" s="342"/>
      <c r="M2603" s="342"/>
      <c r="N2603" s="340"/>
      <c r="O2603" s="703"/>
      <c r="P2603" s="342"/>
      <c r="Q2603" s="363"/>
      <c r="R2603" s="340"/>
      <c r="S2603" s="342"/>
      <c r="T2603" s="342"/>
      <c r="U2603" s="342"/>
      <c r="V2603" s="340"/>
      <c r="W2603" s="340"/>
    </row>
    <row r="2604" spans="2:23" ht="24" customHeight="1">
      <c r="B2604" s="67"/>
      <c r="F2604" s="346">
        <v>44854</v>
      </c>
      <c r="G2604" s="346"/>
      <c r="H2604" s="346"/>
      <c r="I2604" s="346"/>
      <c r="J2604" s="345"/>
      <c r="K2604" s="703"/>
      <c r="L2604" s="342"/>
      <c r="M2604" s="342"/>
      <c r="N2604" s="340"/>
      <c r="O2604" s="703"/>
      <c r="P2604" s="342"/>
      <c r="Q2604" s="363"/>
      <c r="R2604" s="340"/>
      <c r="S2604" s="342"/>
      <c r="T2604" s="342"/>
      <c r="U2604" s="342"/>
      <c r="V2604" s="340"/>
      <c r="W2604" s="340"/>
    </row>
    <row r="2605" spans="2:23" ht="24" customHeight="1">
      <c r="B2605" s="67"/>
      <c r="G2605" s="3" t="s">
        <v>59</v>
      </c>
      <c r="H2605" s="3"/>
      <c r="I2605" s="3"/>
      <c r="J2605" s="345"/>
      <c r="K2605" s="703"/>
      <c r="L2605" s="342"/>
      <c r="M2605" s="342"/>
      <c r="N2605" s="340"/>
      <c r="O2605" s="703"/>
      <c r="P2605" s="342"/>
      <c r="Q2605" s="363"/>
      <c r="R2605" s="340"/>
      <c r="S2605" s="342"/>
      <c r="T2605" s="342"/>
      <c r="U2605" s="342"/>
      <c r="V2605" s="340"/>
      <c r="W2605" s="340"/>
    </row>
    <row r="2606" spans="2:23" ht="24" customHeight="1">
      <c r="B2606" s="67"/>
      <c r="H2606" s="347">
        <v>44720</v>
      </c>
      <c r="I2606" s="347"/>
      <c r="J2606" s="345"/>
      <c r="K2606" s="703"/>
      <c r="L2606" s="342"/>
      <c r="M2606" s="342"/>
      <c r="N2606" s="340"/>
      <c r="O2606" s="703"/>
      <c r="P2606" s="342"/>
      <c r="Q2606" s="363"/>
      <c r="R2606" s="340"/>
      <c r="S2606" s="342"/>
      <c r="T2606" s="342"/>
      <c r="U2606" s="342"/>
      <c r="V2606" s="340"/>
      <c r="W2606" s="340"/>
    </row>
    <row r="2607" spans="2:23" ht="24" customHeight="1">
      <c r="B2607" s="67"/>
      <c r="I2607" s="3" t="s">
        <v>59</v>
      </c>
      <c r="J2607" s="345">
        <v>296</v>
      </c>
      <c r="K2607" s="703">
        <v>4952.8599999999997</v>
      </c>
      <c r="L2607" s="342">
        <v>1</v>
      </c>
      <c r="M2607" s="342">
        <v>20.020700000000001</v>
      </c>
      <c r="N2607" s="340">
        <v>99159.724201999998</v>
      </c>
      <c r="O2607" s="703">
        <v>6226.36</v>
      </c>
      <c r="P2607" s="342">
        <v>1</v>
      </c>
      <c r="Q2607" s="363">
        <v>19.5547</v>
      </c>
      <c r="R2607" s="340">
        <v>121754.60189199999</v>
      </c>
      <c r="S2607" s="342">
        <v>122.044</v>
      </c>
      <c r="T2607" s="342">
        <v>124.571</v>
      </c>
      <c r="U2607" s="342">
        <v>1.0206999999999999</v>
      </c>
      <c r="V2607" s="340">
        <v>124274.92215116438</v>
      </c>
      <c r="W2607" s="340">
        <v>-25115.197949164387</v>
      </c>
    </row>
    <row r="2608" spans="2:23" ht="24" customHeight="1">
      <c r="J2608" s="345"/>
      <c r="K2608" s="703"/>
      <c r="L2608" s="342"/>
      <c r="M2608" s="342"/>
      <c r="N2608" s="340"/>
      <c r="O2608" s="703"/>
      <c r="P2608" s="342"/>
      <c r="Q2608" s="363"/>
      <c r="R2608" s="340"/>
      <c r="S2608" s="342"/>
      <c r="T2608" s="342"/>
      <c r="U2608" s="342"/>
      <c r="V2608" s="340"/>
      <c r="W2608" s="340"/>
    </row>
    <row r="2609" spans="2:23" ht="24" customHeight="1">
      <c r="B2609" s="67"/>
      <c r="E2609" s="131" t="s">
        <v>1166</v>
      </c>
      <c r="F2609" s="131"/>
      <c r="G2609" s="131"/>
      <c r="H2609" s="131"/>
      <c r="I2609" s="131"/>
      <c r="J2609" s="704">
        <v>374</v>
      </c>
      <c r="K2609" s="705">
        <v>6399.7099999999991</v>
      </c>
      <c r="L2609" s="369">
        <v>1</v>
      </c>
      <c r="M2609" s="377">
        <v>19.94125</v>
      </c>
      <c r="N2609" s="706">
        <v>127896.76953199999</v>
      </c>
      <c r="O2609" s="705">
        <v>7867.09</v>
      </c>
      <c r="P2609" s="369">
        <v>1</v>
      </c>
      <c r="Q2609" s="377">
        <v>19.5547</v>
      </c>
      <c r="R2609" s="706">
        <v>153838.58482299998</v>
      </c>
      <c r="S2609" s="369">
        <v>122.044</v>
      </c>
      <c r="T2609" s="369">
        <v>123.7595</v>
      </c>
      <c r="U2609" s="369">
        <v>1.0140500000000001</v>
      </c>
      <c r="V2609" s="706">
        <v>156596.3265558538</v>
      </c>
      <c r="W2609" s="706">
        <v>-28699.557023853791</v>
      </c>
    </row>
    <row r="2610" spans="2:23" ht="24" customHeight="1">
      <c r="J2610" s="345"/>
      <c r="K2610" s="703"/>
      <c r="L2610" s="342"/>
      <c r="M2610" s="342"/>
      <c r="N2610" s="340"/>
      <c r="O2610" s="703"/>
      <c r="P2610" s="342"/>
      <c r="Q2610" s="363"/>
      <c r="R2610" s="340"/>
      <c r="S2610" s="342"/>
      <c r="T2610" s="342"/>
      <c r="U2610" s="342"/>
      <c r="V2610" s="340"/>
      <c r="W2610" s="340"/>
    </row>
    <row r="2611" spans="2:23" ht="24" customHeight="1">
      <c r="B2611" s="67"/>
      <c r="E2611" s="1" t="s">
        <v>1017</v>
      </c>
      <c r="J2611" s="345"/>
      <c r="K2611" s="703"/>
      <c r="L2611" s="342"/>
      <c r="M2611" s="342"/>
      <c r="N2611" s="340"/>
      <c r="O2611" s="703"/>
      <c r="P2611" s="342"/>
      <c r="Q2611" s="363"/>
      <c r="R2611" s="340"/>
      <c r="S2611" s="342"/>
      <c r="T2611" s="342"/>
      <c r="U2611" s="342"/>
      <c r="V2611" s="340"/>
      <c r="W2611" s="340"/>
    </row>
    <row r="2612" spans="2:23" ht="24" customHeight="1">
      <c r="B2612" s="67"/>
      <c r="F2612" s="346">
        <v>44854</v>
      </c>
      <c r="G2612" s="346"/>
      <c r="H2612" s="346"/>
      <c r="I2612" s="346"/>
      <c r="J2612" s="345"/>
      <c r="K2612" s="703"/>
      <c r="L2612" s="342"/>
      <c r="M2612" s="342"/>
      <c r="N2612" s="340"/>
      <c r="O2612" s="703"/>
      <c r="P2612" s="342"/>
      <c r="Q2612" s="363"/>
      <c r="R2612" s="340"/>
      <c r="S2612" s="342"/>
      <c r="T2612" s="342"/>
      <c r="U2612" s="342"/>
      <c r="V2612" s="340"/>
      <c r="W2612" s="340"/>
    </row>
    <row r="2613" spans="2:23" ht="24" customHeight="1">
      <c r="B2613" s="67"/>
      <c r="G2613" s="3" t="s">
        <v>59</v>
      </c>
      <c r="H2613" s="3"/>
      <c r="I2613" s="3"/>
      <c r="J2613" s="345"/>
      <c r="K2613" s="703"/>
      <c r="L2613" s="342"/>
      <c r="M2613" s="342"/>
      <c r="N2613" s="340"/>
      <c r="O2613" s="703"/>
      <c r="P2613" s="342"/>
      <c r="Q2613" s="363"/>
      <c r="R2613" s="340"/>
      <c r="S2613" s="342"/>
      <c r="T2613" s="342"/>
      <c r="U2613" s="342"/>
      <c r="V2613" s="340"/>
      <c r="W2613" s="340"/>
    </row>
    <row r="2614" spans="2:23" ht="24" customHeight="1">
      <c r="B2614" s="67"/>
      <c r="H2614" s="347">
        <v>44791</v>
      </c>
      <c r="I2614" s="347"/>
      <c r="J2614" s="345"/>
      <c r="K2614" s="703"/>
      <c r="L2614" s="342"/>
      <c r="M2614" s="342"/>
      <c r="N2614" s="340"/>
      <c r="O2614" s="703"/>
      <c r="P2614" s="342"/>
      <c r="Q2614" s="363"/>
      <c r="R2614" s="340"/>
      <c r="S2614" s="342"/>
      <c r="T2614" s="342"/>
      <c r="U2614" s="342"/>
      <c r="V2614" s="340"/>
      <c r="W2614" s="340"/>
    </row>
    <row r="2615" spans="2:23" ht="24" customHeight="1">
      <c r="B2615" s="67"/>
      <c r="I2615" s="3" t="s">
        <v>59</v>
      </c>
      <c r="J2615" s="345">
        <v>1</v>
      </c>
      <c r="K2615" s="703">
        <v>2262.6799999999998</v>
      </c>
      <c r="L2615" s="342">
        <v>1</v>
      </c>
      <c r="M2615" s="342">
        <v>20.020700000000001</v>
      </c>
      <c r="N2615" s="340">
        <v>45300.437475999999</v>
      </c>
      <c r="O2615" s="703">
        <v>2326.25</v>
      </c>
      <c r="P2615" s="342">
        <v>1</v>
      </c>
      <c r="Q2615" s="363">
        <v>19.930299999999999</v>
      </c>
      <c r="R2615" s="340">
        <v>46362.860374999997</v>
      </c>
      <c r="S2615" s="342">
        <v>123.803</v>
      </c>
      <c r="T2615" s="342">
        <v>124.571</v>
      </c>
      <c r="U2615" s="342">
        <v>1.0062</v>
      </c>
      <c r="V2615" s="340">
        <v>46650.310109324993</v>
      </c>
      <c r="W2615" s="340">
        <v>-1349.8726333249942</v>
      </c>
    </row>
    <row r="2616" spans="2:23" ht="24" customHeight="1">
      <c r="J2616" s="345"/>
      <c r="K2616" s="703"/>
      <c r="L2616" s="342"/>
      <c r="M2616" s="342"/>
      <c r="N2616" s="340"/>
      <c r="O2616" s="703"/>
      <c r="P2616" s="342"/>
      <c r="Q2616" s="363"/>
      <c r="R2616" s="340"/>
      <c r="S2616" s="342"/>
      <c r="T2616" s="342"/>
      <c r="U2616" s="342"/>
      <c r="V2616" s="340"/>
      <c r="W2616" s="340"/>
    </row>
    <row r="2617" spans="2:23" ht="24" customHeight="1">
      <c r="B2617" s="67"/>
      <c r="E2617" s="131" t="s">
        <v>1167</v>
      </c>
      <c r="F2617" s="131"/>
      <c r="G2617" s="131"/>
      <c r="H2617" s="131"/>
      <c r="I2617" s="131"/>
      <c r="J2617" s="704">
        <v>1</v>
      </c>
      <c r="K2617" s="705">
        <v>2262.6799999999998</v>
      </c>
      <c r="L2617" s="369">
        <v>1</v>
      </c>
      <c r="M2617" s="377">
        <v>20.020700000000001</v>
      </c>
      <c r="N2617" s="706">
        <v>45300.437475999999</v>
      </c>
      <c r="O2617" s="705">
        <v>2326.25</v>
      </c>
      <c r="P2617" s="369">
        <v>1</v>
      </c>
      <c r="Q2617" s="377">
        <v>19.930299999999999</v>
      </c>
      <c r="R2617" s="706">
        <v>46362.860374999997</v>
      </c>
      <c r="S2617" s="369">
        <v>123.803</v>
      </c>
      <c r="T2617" s="369">
        <v>124.571</v>
      </c>
      <c r="U2617" s="369">
        <v>1.0062</v>
      </c>
      <c r="V2617" s="706">
        <v>46650.310109324993</v>
      </c>
      <c r="W2617" s="706">
        <v>-1349.8726333249942</v>
      </c>
    </row>
    <row r="2618" spans="2:23" ht="24" customHeight="1">
      <c r="J2618" s="345"/>
      <c r="K2618" s="703"/>
      <c r="L2618" s="342"/>
      <c r="M2618" s="342"/>
      <c r="N2618" s="340"/>
      <c r="O2618" s="703"/>
      <c r="P2618" s="342"/>
      <c r="Q2618" s="363"/>
      <c r="R2618" s="340"/>
      <c r="S2618" s="342"/>
      <c r="T2618" s="342"/>
      <c r="U2618" s="342"/>
      <c r="V2618" s="340"/>
      <c r="W2618" s="340"/>
    </row>
    <row r="2619" spans="2:23" ht="24" customHeight="1">
      <c r="B2619" s="67"/>
      <c r="E2619" s="1" t="s">
        <v>1018</v>
      </c>
      <c r="J2619" s="345"/>
      <c r="K2619" s="703"/>
      <c r="L2619" s="342"/>
      <c r="M2619" s="342"/>
      <c r="N2619" s="340"/>
      <c r="O2619" s="703"/>
      <c r="P2619" s="342"/>
      <c r="Q2619" s="363"/>
      <c r="R2619" s="340"/>
      <c r="S2619" s="342"/>
      <c r="T2619" s="342"/>
      <c r="U2619" s="342"/>
      <c r="V2619" s="340"/>
      <c r="W2619" s="340"/>
    </row>
    <row r="2620" spans="2:23" ht="24" customHeight="1">
      <c r="B2620" s="67"/>
      <c r="F2620" s="346">
        <v>44854</v>
      </c>
      <c r="G2620" s="346"/>
      <c r="H2620" s="346"/>
      <c r="I2620" s="346"/>
      <c r="J2620" s="345"/>
      <c r="K2620" s="703"/>
      <c r="L2620" s="342"/>
      <c r="M2620" s="342"/>
      <c r="N2620" s="340"/>
      <c r="O2620" s="703"/>
      <c r="P2620" s="342"/>
      <c r="Q2620" s="363"/>
      <c r="R2620" s="340"/>
      <c r="S2620" s="342"/>
      <c r="T2620" s="342"/>
      <c r="U2620" s="342"/>
      <c r="V2620" s="340"/>
      <c r="W2620" s="340"/>
    </row>
    <row r="2621" spans="2:23" ht="24" customHeight="1">
      <c r="B2621" s="67"/>
      <c r="G2621" s="3" t="s">
        <v>59</v>
      </c>
      <c r="H2621" s="3"/>
      <c r="I2621" s="3"/>
      <c r="J2621" s="345"/>
      <c r="K2621" s="703"/>
      <c r="L2621" s="342"/>
      <c r="M2621" s="342"/>
      <c r="N2621" s="340"/>
      <c r="O2621" s="703"/>
      <c r="P2621" s="342"/>
      <c r="Q2621" s="363"/>
      <c r="R2621" s="340"/>
      <c r="S2621" s="342"/>
      <c r="T2621" s="342"/>
      <c r="U2621" s="342"/>
      <c r="V2621" s="340"/>
      <c r="W2621" s="340"/>
    </row>
    <row r="2622" spans="2:23" ht="24" customHeight="1">
      <c r="B2622" s="67"/>
      <c r="H2622" s="347">
        <v>44720</v>
      </c>
      <c r="I2622" s="347"/>
      <c r="J2622" s="345"/>
      <c r="K2622" s="703"/>
      <c r="L2622" s="342"/>
      <c r="M2622" s="342"/>
      <c r="N2622" s="340"/>
      <c r="O2622" s="703"/>
      <c r="P2622" s="342"/>
      <c r="Q2622" s="363"/>
      <c r="R2622" s="340"/>
      <c r="S2622" s="342"/>
      <c r="T2622" s="342"/>
      <c r="U2622" s="342"/>
      <c r="V2622" s="340"/>
      <c r="W2622" s="340"/>
    </row>
    <row r="2623" spans="2:23" ht="24" customHeight="1">
      <c r="B2623" s="67"/>
      <c r="I2623" s="3" t="s">
        <v>59</v>
      </c>
      <c r="J2623" s="345">
        <v>29</v>
      </c>
      <c r="K2623" s="703">
        <v>7577.26</v>
      </c>
      <c r="L2623" s="342">
        <v>1</v>
      </c>
      <c r="M2623" s="342">
        <v>20.020700000000001</v>
      </c>
      <c r="N2623" s="340">
        <v>151702.04928200002</v>
      </c>
      <c r="O2623" s="703">
        <v>5982.99</v>
      </c>
      <c r="P2623" s="342">
        <v>1</v>
      </c>
      <c r="Q2623" s="363">
        <v>19.5547</v>
      </c>
      <c r="R2623" s="340">
        <v>116995.574553</v>
      </c>
      <c r="S2623" s="342">
        <v>122.044</v>
      </c>
      <c r="T2623" s="342">
        <v>124.571</v>
      </c>
      <c r="U2623" s="342">
        <v>1.0206999999999999</v>
      </c>
      <c r="V2623" s="340">
        <v>119417.38294624709</v>
      </c>
      <c r="W2623" s="340">
        <v>32284.666335752932</v>
      </c>
    </row>
    <row r="2624" spans="2:23" ht="24" customHeight="1">
      <c r="J2624" s="345"/>
      <c r="K2624" s="703"/>
      <c r="L2624" s="342"/>
      <c r="M2624" s="342"/>
      <c r="N2624" s="340"/>
      <c r="O2624" s="703"/>
      <c r="P2624" s="342"/>
      <c r="Q2624" s="363"/>
      <c r="R2624" s="340"/>
      <c r="S2624" s="342"/>
      <c r="T2624" s="342"/>
      <c r="U2624" s="342"/>
      <c r="V2624" s="340"/>
      <c r="W2624" s="340"/>
    </row>
    <row r="2625" spans="2:23" ht="24" customHeight="1">
      <c r="B2625" s="67"/>
      <c r="E2625" s="131" t="s">
        <v>1168</v>
      </c>
      <c r="F2625" s="131"/>
      <c r="G2625" s="131"/>
      <c r="H2625" s="131"/>
      <c r="I2625" s="131"/>
      <c r="J2625" s="704">
        <v>29</v>
      </c>
      <c r="K2625" s="705">
        <v>7577.26</v>
      </c>
      <c r="L2625" s="369">
        <v>1</v>
      </c>
      <c r="M2625" s="377">
        <v>20.020700000000001</v>
      </c>
      <c r="N2625" s="706">
        <v>151702.04928200002</v>
      </c>
      <c r="O2625" s="705">
        <v>5982.99</v>
      </c>
      <c r="P2625" s="369">
        <v>1</v>
      </c>
      <c r="Q2625" s="377">
        <v>19.5547</v>
      </c>
      <c r="R2625" s="706">
        <v>116995.574553</v>
      </c>
      <c r="S2625" s="369">
        <v>122.044</v>
      </c>
      <c r="T2625" s="369">
        <v>124.571</v>
      </c>
      <c r="U2625" s="369">
        <v>1.0206999999999999</v>
      </c>
      <c r="V2625" s="706">
        <v>119417.38294624709</v>
      </c>
      <c r="W2625" s="706">
        <v>32284.666335752932</v>
      </c>
    </row>
    <row r="2626" spans="2:23" ht="24" customHeight="1">
      <c r="J2626" s="345"/>
      <c r="K2626" s="703"/>
      <c r="L2626" s="342"/>
      <c r="M2626" s="342"/>
      <c r="N2626" s="340"/>
      <c r="O2626" s="703"/>
      <c r="P2626" s="342"/>
      <c r="Q2626" s="363"/>
      <c r="R2626" s="340"/>
      <c r="S2626" s="342"/>
      <c r="T2626" s="342"/>
      <c r="U2626" s="342"/>
      <c r="V2626" s="340"/>
      <c r="W2626" s="340"/>
    </row>
    <row r="2627" spans="2:23" ht="24" customHeight="1">
      <c r="B2627" s="67"/>
      <c r="E2627" s="1" t="s">
        <v>972</v>
      </c>
      <c r="J2627" s="345"/>
      <c r="K2627" s="703"/>
      <c r="L2627" s="342"/>
      <c r="M2627" s="342"/>
      <c r="N2627" s="340"/>
      <c r="O2627" s="703"/>
      <c r="P2627" s="342"/>
      <c r="Q2627" s="363"/>
      <c r="R2627" s="340"/>
      <c r="S2627" s="342"/>
      <c r="T2627" s="342"/>
      <c r="U2627" s="342"/>
      <c r="V2627" s="340"/>
      <c r="W2627" s="340"/>
    </row>
    <row r="2628" spans="2:23" ht="24" customHeight="1">
      <c r="B2628" s="67"/>
      <c r="F2628" s="346">
        <v>44790</v>
      </c>
      <c r="G2628" s="346"/>
      <c r="H2628" s="346"/>
      <c r="I2628" s="346"/>
      <c r="J2628" s="345"/>
      <c r="K2628" s="703"/>
      <c r="L2628" s="342"/>
      <c r="M2628" s="342"/>
      <c r="N2628" s="340"/>
      <c r="O2628" s="703"/>
      <c r="P2628" s="342"/>
      <c r="Q2628" s="363"/>
      <c r="R2628" s="340"/>
      <c r="S2628" s="342"/>
      <c r="T2628" s="342"/>
      <c r="U2628" s="342"/>
      <c r="V2628" s="340"/>
      <c r="W2628" s="340"/>
    </row>
    <row r="2629" spans="2:23" ht="24" customHeight="1">
      <c r="B2629" s="67"/>
      <c r="G2629" s="3" t="s">
        <v>59</v>
      </c>
      <c r="H2629" s="3"/>
      <c r="I2629" s="3"/>
      <c r="J2629" s="345"/>
      <c r="K2629" s="703"/>
      <c r="L2629" s="342"/>
      <c r="M2629" s="342"/>
      <c r="N2629" s="340"/>
      <c r="O2629" s="703"/>
      <c r="P2629" s="342"/>
      <c r="Q2629" s="363"/>
      <c r="R2629" s="340"/>
      <c r="S2629" s="342"/>
      <c r="T2629" s="342"/>
      <c r="U2629" s="342"/>
      <c r="V2629" s="340"/>
      <c r="W2629" s="340"/>
    </row>
    <row r="2630" spans="2:23" ht="24" customHeight="1">
      <c r="B2630" s="67"/>
      <c r="H2630" s="347">
        <v>44431</v>
      </c>
      <c r="I2630" s="347"/>
      <c r="J2630" s="345"/>
      <c r="K2630" s="703"/>
      <c r="L2630" s="342"/>
      <c r="M2630" s="342"/>
      <c r="N2630" s="340"/>
      <c r="O2630" s="703"/>
      <c r="P2630" s="342"/>
      <c r="Q2630" s="363"/>
      <c r="R2630" s="340"/>
      <c r="S2630" s="342"/>
      <c r="T2630" s="342"/>
      <c r="U2630" s="342"/>
      <c r="V2630" s="340"/>
      <c r="W2630" s="340"/>
    </row>
    <row r="2631" spans="2:23" ht="24" customHeight="1">
      <c r="B2631" s="67"/>
      <c r="I2631" s="3" t="s">
        <v>59</v>
      </c>
      <c r="J2631" s="345">
        <v>4</v>
      </c>
      <c r="K2631" s="703">
        <v>8513.75</v>
      </c>
      <c r="L2631" s="342">
        <v>1</v>
      </c>
      <c r="M2631" s="342">
        <v>19.861799999999999</v>
      </c>
      <c r="N2631" s="340">
        <v>169098.39974999998</v>
      </c>
      <c r="O2631" s="703">
        <v>8489.27</v>
      </c>
      <c r="P2631" s="342">
        <v>1</v>
      </c>
      <c r="Q2631" s="363">
        <v>20.1175</v>
      </c>
      <c r="R2631" s="340">
        <v>170782.88922500002</v>
      </c>
      <c r="S2631" s="342">
        <v>113.899</v>
      </c>
      <c r="T2631" s="342">
        <v>122.94799999999999</v>
      </c>
      <c r="U2631" s="342">
        <v>1.0793999999999999</v>
      </c>
      <c r="V2631" s="340">
        <v>184343.050629465</v>
      </c>
      <c r="W2631" s="340">
        <v>-15244.650879465014</v>
      </c>
    </row>
    <row r="2632" spans="2:23" ht="24" customHeight="1">
      <c r="J2632" s="345"/>
      <c r="K2632" s="703"/>
      <c r="L2632" s="342"/>
      <c r="M2632" s="342"/>
      <c r="N2632" s="340"/>
      <c r="O2632" s="703"/>
      <c r="P2632" s="342"/>
      <c r="Q2632" s="363"/>
      <c r="R2632" s="340"/>
      <c r="S2632" s="342"/>
      <c r="T2632" s="342"/>
      <c r="U2632" s="342"/>
      <c r="V2632" s="340"/>
      <c r="W2632" s="340"/>
    </row>
    <row r="2633" spans="2:23" ht="24" customHeight="1">
      <c r="B2633" s="67"/>
      <c r="E2633" s="131" t="s">
        <v>1169</v>
      </c>
      <c r="F2633" s="131"/>
      <c r="G2633" s="131"/>
      <c r="H2633" s="131"/>
      <c r="I2633" s="131"/>
      <c r="J2633" s="704">
        <v>4</v>
      </c>
      <c r="K2633" s="705">
        <v>8513.75</v>
      </c>
      <c r="L2633" s="369">
        <v>1</v>
      </c>
      <c r="M2633" s="377">
        <v>19.861799999999999</v>
      </c>
      <c r="N2633" s="706">
        <v>169098.39974999998</v>
      </c>
      <c r="O2633" s="705">
        <v>8489.27</v>
      </c>
      <c r="P2633" s="369">
        <v>1</v>
      </c>
      <c r="Q2633" s="377">
        <v>20.1175</v>
      </c>
      <c r="R2633" s="706">
        <v>170782.88922500002</v>
      </c>
      <c r="S2633" s="369">
        <v>113.899</v>
      </c>
      <c r="T2633" s="369">
        <v>122.94799999999999</v>
      </c>
      <c r="U2633" s="369">
        <v>1.0793999999999999</v>
      </c>
      <c r="V2633" s="706">
        <v>184343.050629465</v>
      </c>
      <c r="W2633" s="706">
        <v>-15244.650879465014</v>
      </c>
    </row>
    <row r="2634" spans="2:23" ht="24" customHeight="1">
      <c r="J2634" s="345"/>
      <c r="K2634" s="703"/>
      <c r="L2634" s="342"/>
      <c r="M2634" s="342"/>
      <c r="N2634" s="340"/>
      <c r="O2634" s="703"/>
      <c r="P2634" s="342"/>
      <c r="Q2634" s="363"/>
      <c r="R2634" s="340"/>
      <c r="S2634" s="342"/>
      <c r="T2634" s="342"/>
      <c r="U2634" s="342"/>
      <c r="V2634" s="340"/>
      <c r="W2634" s="340"/>
    </row>
    <row r="2635" spans="2:23" ht="24" customHeight="1">
      <c r="B2635" s="67"/>
      <c r="E2635" s="1" t="s">
        <v>973</v>
      </c>
      <c r="J2635" s="345"/>
      <c r="K2635" s="703"/>
      <c r="L2635" s="342"/>
      <c r="M2635" s="342"/>
      <c r="N2635" s="340"/>
      <c r="O2635" s="703"/>
      <c r="P2635" s="342"/>
      <c r="Q2635" s="363"/>
      <c r="R2635" s="340"/>
      <c r="S2635" s="342"/>
      <c r="T2635" s="342"/>
      <c r="U2635" s="342"/>
      <c r="V2635" s="340"/>
      <c r="W2635" s="340"/>
    </row>
    <row r="2636" spans="2:23" ht="24" customHeight="1">
      <c r="B2636" s="67"/>
      <c r="F2636" s="346">
        <v>44790</v>
      </c>
      <c r="G2636" s="346"/>
      <c r="H2636" s="346"/>
      <c r="I2636" s="346"/>
      <c r="J2636" s="345"/>
      <c r="K2636" s="703"/>
      <c r="L2636" s="342"/>
      <c r="M2636" s="342"/>
      <c r="N2636" s="340"/>
      <c r="O2636" s="703"/>
      <c r="P2636" s="342"/>
      <c r="Q2636" s="363"/>
      <c r="R2636" s="340"/>
      <c r="S2636" s="342"/>
      <c r="T2636" s="342"/>
      <c r="U2636" s="342"/>
      <c r="V2636" s="340"/>
      <c r="W2636" s="340"/>
    </row>
    <row r="2637" spans="2:23" ht="24" customHeight="1">
      <c r="B2637" s="67"/>
      <c r="G2637" s="3" t="s">
        <v>59</v>
      </c>
      <c r="H2637" s="3"/>
      <c r="I2637" s="3"/>
      <c r="J2637" s="345"/>
      <c r="K2637" s="703"/>
      <c r="L2637" s="342"/>
      <c r="M2637" s="342"/>
      <c r="N2637" s="340"/>
      <c r="O2637" s="703"/>
      <c r="P2637" s="342"/>
      <c r="Q2637" s="363"/>
      <c r="R2637" s="340"/>
      <c r="S2637" s="342"/>
      <c r="T2637" s="342"/>
      <c r="U2637" s="342"/>
      <c r="V2637" s="340"/>
      <c r="W2637" s="340"/>
    </row>
    <row r="2638" spans="2:23" ht="24" customHeight="1">
      <c r="B2638" s="67"/>
      <c r="H2638" s="347">
        <v>44251</v>
      </c>
      <c r="I2638" s="347"/>
      <c r="J2638" s="345"/>
      <c r="K2638" s="703"/>
      <c r="L2638" s="342"/>
      <c r="M2638" s="342"/>
      <c r="N2638" s="340"/>
      <c r="O2638" s="703"/>
      <c r="P2638" s="342"/>
      <c r="Q2638" s="363"/>
      <c r="R2638" s="340"/>
      <c r="S2638" s="342"/>
      <c r="T2638" s="342"/>
      <c r="U2638" s="342"/>
      <c r="V2638" s="340"/>
      <c r="W2638" s="340"/>
    </row>
    <row r="2639" spans="2:23" ht="24" customHeight="1">
      <c r="B2639" s="67"/>
      <c r="I2639" s="3" t="s">
        <v>59</v>
      </c>
      <c r="J2639" s="345">
        <v>187</v>
      </c>
      <c r="K2639" s="703">
        <v>7922.08</v>
      </c>
      <c r="L2639" s="342">
        <v>1</v>
      </c>
      <c r="M2639" s="342">
        <v>19.861799999999999</v>
      </c>
      <c r="N2639" s="340">
        <v>157346.76854399999</v>
      </c>
      <c r="O2639" s="703">
        <v>7353.94</v>
      </c>
      <c r="P2639" s="342">
        <v>1</v>
      </c>
      <c r="Q2639" s="363">
        <v>20.6783</v>
      </c>
      <c r="R2639" s="340">
        <v>152066.97750199999</v>
      </c>
      <c r="S2639" s="342">
        <v>110.907</v>
      </c>
      <c r="T2639" s="342">
        <v>122.94799999999999</v>
      </c>
      <c r="U2639" s="342">
        <v>1.1085</v>
      </c>
      <c r="V2639" s="340">
        <v>168566.244560967</v>
      </c>
      <c r="W2639" s="340">
        <v>-11219.476016967004</v>
      </c>
    </row>
    <row r="2640" spans="2:23" ht="24" customHeight="1">
      <c r="J2640" s="345"/>
      <c r="K2640" s="703"/>
      <c r="L2640" s="342"/>
      <c r="M2640" s="342"/>
      <c r="N2640" s="340"/>
      <c r="O2640" s="703"/>
      <c r="P2640" s="342"/>
      <c r="Q2640" s="363"/>
      <c r="R2640" s="340"/>
      <c r="S2640" s="342"/>
      <c r="T2640" s="342"/>
      <c r="U2640" s="342"/>
      <c r="V2640" s="340"/>
      <c r="W2640" s="340"/>
    </row>
    <row r="2641" spans="2:23" ht="24" customHeight="1">
      <c r="B2641" s="67"/>
      <c r="E2641" s="131" t="s">
        <v>1170</v>
      </c>
      <c r="F2641" s="131"/>
      <c r="G2641" s="131"/>
      <c r="H2641" s="131"/>
      <c r="I2641" s="131"/>
      <c r="J2641" s="704">
        <v>187</v>
      </c>
      <c r="K2641" s="705">
        <v>7922.08</v>
      </c>
      <c r="L2641" s="369">
        <v>1</v>
      </c>
      <c r="M2641" s="377">
        <v>19.861799999999999</v>
      </c>
      <c r="N2641" s="706">
        <v>157346.76854399999</v>
      </c>
      <c r="O2641" s="705">
        <v>7353.94</v>
      </c>
      <c r="P2641" s="369">
        <v>1</v>
      </c>
      <c r="Q2641" s="377">
        <v>20.6783</v>
      </c>
      <c r="R2641" s="706">
        <v>152066.97750199999</v>
      </c>
      <c r="S2641" s="369">
        <v>110.907</v>
      </c>
      <c r="T2641" s="369">
        <v>122.94799999999999</v>
      </c>
      <c r="U2641" s="369">
        <v>1.1085</v>
      </c>
      <c r="V2641" s="706">
        <v>168566.244560967</v>
      </c>
      <c r="W2641" s="706">
        <v>-11219.476016967004</v>
      </c>
    </row>
    <row r="2642" spans="2:23" ht="24" customHeight="1">
      <c r="J2642" s="345"/>
      <c r="K2642" s="703"/>
      <c r="L2642" s="342"/>
      <c r="M2642" s="342"/>
      <c r="N2642" s="340"/>
      <c r="O2642" s="703"/>
      <c r="P2642" s="342"/>
      <c r="Q2642" s="363"/>
      <c r="R2642" s="340"/>
      <c r="S2642" s="342"/>
      <c r="T2642" s="342"/>
      <c r="U2642" s="342"/>
      <c r="V2642" s="340"/>
      <c r="W2642" s="340"/>
    </row>
    <row r="2643" spans="2:23" ht="24" customHeight="1">
      <c r="B2643" s="67"/>
      <c r="E2643" s="1" t="s">
        <v>782</v>
      </c>
      <c r="J2643" s="345"/>
      <c r="K2643" s="703"/>
      <c r="L2643" s="342"/>
      <c r="M2643" s="342"/>
      <c r="N2643" s="340"/>
      <c r="O2643" s="703"/>
      <c r="P2643" s="342"/>
      <c r="Q2643" s="363"/>
      <c r="R2643" s="340"/>
      <c r="S2643" s="342"/>
      <c r="T2643" s="342"/>
      <c r="U2643" s="342"/>
      <c r="V2643" s="340"/>
      <c r="W2643" s="340"/>
    </row>
    <row r="2644" spans="2:23" ht="24" customHeight="1">
      <c r="B2644" s="67"/>
      <c r="F2644" s="346">
        <v>44608</v>
      </c>
      <c r="G2644" s="346"/>
      <c r="H2644" s="346"/>
      <c r="I2644" s="346"/>
      <c r="J2644" s="345"/>
      <c r="K2644" s="703"/>
      <c r="L2644" s="342"/>
      <c r="M2644" s="342"/>
      <c r="N2644" s="340"/>
      <c r="O2644" s="703"/>
      <c r="P2644" s="342"/>
      <c r="Q2644" s="363"/>
      <c r="R2644" s="340"/>
      <c r="S2644" s="342"/>
      <c r="T2644" s="342"/>
      <c r="U2644" s="342"/>
      <c r="V2644" s="340"/>
      <c r="W2644" s="340"/>
    </row>
    <row r="2645" spans="2:23" ht="24" customHeight="1">
      <c r="B2645" s="67"/>
      <c r="G2645" s="3" t="s">
        <v>59</v>
      </c>
      <c r="H2645" s="3"/>
      <c r="I2645" s="3"/>
      <c r="J2645" s="345"/>
      <c r="K2645" s="703"/>
      <c r="L2645" s="342"/>
      <c r="M2645" s="342"/>
      <c r="N2645" s="340"/>
      <c r="O2645" s="703"/>
      <c r="P2645" s="342"/>
      <c r="Q2645" s="363"/>
      <c r="R2645" s="340"/>
      <c r="S2645" s="342"/>
      <c r="T2645" s="342"/>
      <c r="U2645" s="342"/>
      <c r="V2645" s="340"/>
      <c r="W2645" s="340"/>
    </row>
    <row r="2646" spans="2:23" ht="24" customHeight="1">
      <c r="B2646" s="67"/>
      <c r="H2646" s="347">
        <v>43965</v>
      </c>
      <c r="I2646" s="347"/>
      <c r="J2646" s="345"/>
      <c r="K2646" s="703"/>
      <c r="L2646" s="342"/>
      <c r="M2646" s="342"/>
      <c r="N2646" s="340"/>
      <c r="O2646" s="703"/>
      <c r="P2646" s="342"/>
      <c r="Q2646" s="363"/>
      <c r="R2646" s="340"/>
      <c r="S2646" s="342"/>
      <c r="T2646" s="342"/>
      <c r="U2646" s="342"/>
      <c r="V2646" s="340"/>
      <c r="W2646" s="340"/>
    </row>
    <row r="2647" spans="2:23" ht="24" customHeight="1">
      <c r="B2647" s="67"/>
      <c r="I2647" s="3" t="s">
        <v>59</v>
      </c>
      <c r="J2647" s="345">
        <v>18</v>
      </c>
      <c r="K2647" s="703">
        <v>10681.18</v>
      </c>
      <c r="L2647" s="342">
        <v>1</v>
      </c>
      <c r="M2647" s="342">
        <v>20.411000000000001</v>
      </c>
      <c r="N2647" s="340">
        <v>218013.56498000002</v>
      </c>
      <c r="O2647" s="703">
        <v>4684.7700000000004</v>
      </c>
      <c r="P2647" s="342">
        <v>1</v>
      </c>
      <c r="Q2647" s="363">
        <v>24.0487</v>
      </c>
      <c r="R2647" s="340">
        <v>112662.62829900002</v>
      </c>
      <c r="S2647" s="342">
        <v>106.16200000000001</v>
      </c>
      <c r="T2647" s="342">
        <v>118.002</v>
      </c>
      <c r="U2647" s="342">
        <v>1.1114999999999999</v>
      </c>
      <c r="V2647" s="340">
        <v>125224.51135433851</v>
      </c>
      <c r="W2647" s="340">
        <v>92789.053625661516</v>
      </c>
    </row>
    <row r="2648" spans="2:23" ht="24" customHeight="1">
      <c r="J2648" s="345"/>
      <c r="K2648" s="703"/>
      <c r="L2648" s="342"/>
      <c r="M2648" s="342"/>
      <c r="N2648" s="340"/>
      <c r="O2648" s="703"/>
      <c r="P2648" s="342"/>
      <c r="Q2648" s="363"/>
      <c r="R2648" s="340"/>
      <c r="S2648" s="342"/>
      <c r="T2648" s="342"/>
      <c r="U2648" s="342"/>
      <c r="V2648" s="340"/>
      <c r="W2648" s="340"/>
    </row>
    <row r="2649" spans="2:23" ht="24" customHeight="1">
      <c r="B2649" s="67"/>
      <c r="E2649" s="131" t="s">
        <v>1171</v>
      </c>
      <c r="F2649" s="131"/>
      <c r="G2649" s="131"/>
      <c r="H2649" s="131"/>
      <c r="I2649" s="131"/>
      <c r="J2649" s="704">
        <v>18</v>
      </c>
      <c r="K2649" s="705">
        <v>10681.18</v>
      </c>
      <c r="L2649" s="369">
        <v>1</v>
      </c>
      <c r="M2649" s="377">
        <v>20.411000000000001</v>
      </c>
      <c r="N2649" s="706">
        <v>218013.56498000002</v>
      </c>
      <c r="O2649" s="705">
        <v>4684.7700000000004</v>
      </c>
      <c r="P2649" s="369">
        <v>1</v>
      </c>
      <c r="Q2649" s="377">
        <v>24.0487</v>
      </c>
      <c r="R2649" s="706">
        <v>112662.62829900002</v>
      </c>
      <c r="S2649" s="369">
        <v>106.16200000000001</v>
      </c>
      <c r="T2649" s="369">
        <v>118.002</v>
      </c>
      <c r="U2649" s="369">
        <v>1.1114999999999999</v>
      </c>
      <c r="V2649" s="706">
        <v>125224.51135433851</v>
      </c>
      <c r="W2649" s="706">
        <v>92789.053625661516</v>
      </c>
    </row>
    <row r="2650" spans="2:23" ht="24" customHeight="1">
      <c r="J2650" s="345"/>
      <c r="K2650" s="703"/>
      <c r="L2650" s="342"/>
      <c r="M2650" s="342"/>
      <c r="N2650" s="340"/>
      <c r="O2650" s="703"/>
      <c r="P2650" s="342"/>
      <c r="Q2650" s="363"/>
      <c r="R2650" s="340"/>
      <c r="S2650" s="342"/>
      <c r="T2650" s="342"/>
      <c r="U2650" s="342"/>
      <c r="V2650" s="340"/>
      <c r="W2650" s="340"/>
    </row>
    <row r="2651" spans="2:23" ht="24" customHeight="1">
      <c r="B2651" s="67"/>
      <c r="E2651" s="1" t="s">
        <v>743</v>
      </c>
      <c r="J2651" s="345"/>
      <c r="K2651" s="703"/>
      <c r="L2651" s="342"/>
      <c r="M2651" s="342"/>
      <c r="N2651" s="340"/>
      <c r="O2651" s="703"/>
      <c r="P2651" s="342"/>
      <c r="Q2651" s="363"/>
      <c r="R2651" s="340"/>
      <c r="S2651" s="342"/>
      <c r="T2651" s="342"/>
      <c r="U2651" s="342"/>
      <c r="V2651" s="340"/>
      <c r="W2651" s="340"/>
    </row>
    <row r="2652" spans="2:23" ht="24" customHeight="1">
      <c r="B2652" s="67"/>
      <c r="F2652" s="346">
        <v>44734</v>
      </c>
      <c r="G2652" s="346"/>
      <c r="H2652" s="346"/>
      <c r="I2652" s="346"/>
      <c r="J2652" s="345"/>
      <c r="K2652" s="703"/>
      <c r="L2652" s="342"/>
      <c r="M2652" s="342"/>
      <c r="N2652" s="340"/>
      <c r="O2652" s="703"/>
      <c r="P2652" s="342"/>
      <c r="Q2652" s="363"/>
      <c r="R2652" s="340"/>
      <c r="S2652" s="342"/>
      <c r="T2652" s="342"/>
      <c r="U2652" s="342"/>
      <c r="V2652" s="340"/>
      <c r="W2652" s="340"/>
    </row>
    <row r="2653" spans="2:23" ht="24" customHeight="1">
      <c r="B2653" s="67"/>
      <c r="G2653" s="3" t="s">
        <v>59</v>
      </c>
      <c r="H2653" s="3"/>
      <c r="I2653" s="3"/>
      <c r="J2653" s="345"/>
      <c r="K2653" s="703"/>
      <c r="L2653" s="342"/>
      <c r="M2653" s="342"/>
      <c r="N2653" s="340"/>
      <c r="O2653" s="703"/>
      <c r="P2653" s="342"/>
      <c r="Q2653" s="363"/>
      <c r="R2653" s="340"/>
      <c r="S2653" s="342"/>
      <c r="T2653" s="342"/>
      <c r="U2653" s="342"/>
      <c r="V2653" s="340"/>
      <c r="W2653" s="340"/>
    </row>
    <row r="2654" spans="2:23" ht="24" customHeight="1">
      <c r="B2654" s="67"/>
      <c r="H2654" s="347">
        <v>43965</v>
      </c>
      <c r="I2654" s="347"/>
      <c r="J2654" s="345"/>
      <c r="K2654" s="703"/>
      <c r="L2654" s="342"/>
      <c r="M2654" s="342"/>
      <c r="N2654" s="340"/>
      <c r="O2654" s="703"/>
      <c r="P2654" s="342"/>
      <c r="Q2654" s="363"/>
      <c r="R2654" s="340"/>
      <c r="S2654" s="342"/>
      <c r="T2654" s="342"/>
      <c r="U2654" s="342"/>
      <c r="V2654" s="340"/>
      <c r="W2654" s="340"/>
    </row>
    <row r="2655" spans="2:23" ht="24" customHeight="1">
      <c r="B2655" s="67"/>
      <c r="I2655" s="3" t="s">
        <v>59</v>
      </c>
      <c r="J2655" s="345">
        <v>222</v>
      </c>
      <c r="K2655" s="703">
        <v>9631.89</v>
      </c>
      <c r="L2655" s="342">
        <v>1</v>
      </c>
      <c r="M2655" s="342">
        <v>20.244199999999999</v>
      </c>
      <c r="N2655" s="340">
        <v>194989.90753799997</v>
      </c>
      <c r="O2655" s="703">
        <v>9684.5300000000007</v>
      </c>
      <c r="P2655" s="342">
        <v>1</v>
      </c>
      <c r="Q2655" s="363">
        <v>24.0487</v>
      </c>
      <c r="R2655" s="340">
        <v>232900.35661100002</v>
      </c>
      <c r="S2655" s="342">
        <v>106.16200000000001</v>
      </c>
      <c r="T2655" s="342">
        <v>121.02200000000001</v>
      </c>
      <c r="U2655" s="342">
        <v>1.1398999999999999</v>
      </c>
      <c r="V2655" s="340">
        <v>265483.11650087888</v>
      </c>
      <c r="W2655" s="340">
        <v>-70493.208962878911</v>
      </c>
    </row>
    <row r="2656" spans="2:23" ht="24" customHeight="1">
      <c r="J2656" s="345"/>
      <c r="K2656" s="703"/>
      <c r="L2656" s="342"/>
      <c r="M2656" s="342"/>
      <c r="N2656" s="340"/>
      <c r="O2656" s="703"/>
      <c r="P2656" s="342"/>
      <c r="Q2656" s="363"/>
      <c r="R2656" s="340"/>
      <c r="S2656" s="342"/>
      <c r="T2656" s="342"/>
      <c r="U2656" s="342"/>
      <c r="V2656" s="340"/>
      <c r="W2656" s="340"/>
    </row>
    <row r="2657" spans="2:23" ht="24" customHeight="1">
      <c r="B2657" s="67"/>
      <c r="H2657" s="347">
        <v>44049</v>
      </c>
      <c r="I2657" s="347"/>
      <c r="J2657" s="345"/>
      <c r="K2657" s="703"/>
      <c r="L2657" s="342"/>
      <c r="M2657" s="342"/>
      <c r="N2657" s="340"/>
      <c r="O2657" s="703"/>
      <c r="P2657" s="342"/>
      <c r="Q2657" s="363"/>
      <c r="R2657" s="340"/>
      <c r="S2657" s="342"/>
      <c r="T2657" s="342"/>
      <c r="U2657" s="342"/>
      <c r="V2657" s="340"/>
      <c r="W2657" s="340"/>
    </row>
    <row r="2658" spans="2:23" ht="24" customHeight="1">
      <c r="B2658" s="67"/>
      <c r="I2658" s="3" t="s">
        <v>59</v>
      </c>
      <c r="J2658" s="345">
        <v>136</v>
      </c>
      <c r="K2658" s="703">
        <v>5900.62</v>
      </c>
      <c r="L2658" s="342">
        <v>1</v>
      </c>
      <c r="M2658" s="342">
        <v>20.244199999999999</v>
      </c>
      <c r="N2658" s="340">
        <v>119453.331404</v>
      </c>
      <c r="O2658" s="703">
        <v>6482.32</v>
      </c>
      <c r="P2658" s="342">
        <v>1</v>
      </c>
      <c r="Q2658" s="363">
        <v>22.784500000000001</v>
      </c>
      <c r="R2658" s="340">
        <v>147696.42004</v>
      </c>
      <c r="S2658" s="342">
        <v>107.867</v>
      </c>
      <c r="T2658" s="342">
        <v>121.02200000000001</v>
      </c>
      <c r="U2658" s="342">
        <v>1.1218999999999999</v>
      </c>
      <c r="V2658" s="340">
        <v>165700.61364287598</v>
      </c>
      <c r="W2658" s="340">
        <v>-46247.282238875981</v>
      </c>
    </row>
    <row r="2659" spans="2:23" ht="24" customHeight="1">
      <c r="J2659" s="345"/>
      <c r="K2659" s="703"/>
      <c r="L2659" s="342"/>
      <c r="M2659" s="342"/>
      <c r="N2659" s="340"/>
      <c r="O2659" s="703"/>
      <c r="P2659" s="342"/>
      <c r="Q2659" s="363"/>
      <c r="R2659" s="340"/>
      <c r="S2659" s="342"/>
      <c r="T2659" s="342"/>
      <c r="U2659" s="342"/>
      <c r="V2659" s="340"/>
      <c r="W2659" s="340"/>
    </row>
    <row r="2660" spans="2:23" ht="24" customHeight="1">
      <c r="B2660" s="67"/>
      <c r="E2660" s="131" t="s">
        <v>1172</v>
      </c>
      <c r="F2660" s="131"/>
      <c r="G2660" s="131"/>
      <c r="H2660" s="131"/>
      <c r="I2660" s="131"/>
      <c r="J2660" s="704">
        <v>358</v>
      </c>
      <c r="K2660" s="705">
        <v>15532.509999999998</v>
      </c>
      <c r="L2660" s="369">
        <v>1</v>
      </c>
      <c r="M2660" s="377">
        <v>20.244199999999999</v>
      </c>
      <c r="N2660" s="706">
        <v>314443.23894199997</v>
      </c>
      <c r="O2660" s="705">
        <v>16166.85</v>
      </c>
      <c r="P2660" s="369">
        <v>1</v>
      </c>
      <c r="Q2660" s="377">
        <v>23.416600000000003</v>
      </c>
      <c r="R2660" s="706">
        <v>380596.77665100002</v>
      </c>
      <c r="S2660" s="369">
        <v>107.0145</v>
      </c>
      <c r="T2660" s="369">
        <v>121.02200000000001</v>
      </c>
      <c r="U2660" s="369">
        <v>1.1309</v>
      </c>
      <c r="V2660" s="706">
        <v>431183.73014375486</v>
      </c>
      <c r="W2660" s="706">
        <v>-116740.49120175489</v>
      </c>
    </row>
    <row r="2661" spans="2:23" ht="24" customHeight="1">
      <c r="J2661" s="345"/>
      <c r="K2661" s="703"/>
      <c r="L2661" s="342"/>
      <c r="M2661" s="342"/>
      <c r="N2661" s="340"/>
      <c r="O2661" s="703"/>
      <c r="P2661" s="342"/>
      <c r="Q2661" s="363"/>
      <c r="R2661" s="340"/>
      <c r="S2661" s="342"/>
      <c r="T2661" s="342"/>
      <c r="U2661" s="342"/>
      <c r="V2661" s="340"/>
      <c r="W2661" s="340"/>
    </row>
    <row r="2662" spans="2:23" ht="24" customHeight="1">
      <c r="B2662" s="67"/>
      <c r="E2662" s="1" t="s">
        <v>737</v>
      </c>
      <c r="J2662" s="345"/>
      <c r="K2662" s="703"/>
      <c r="L2662" s="342"/>
      <c r="M2662" s="342"/>
      <c r="N2662" s="340"/>
      <c r="O2662" s="703"/>
      <c r="P2662" s="342"/>
      <c r="Q2662" s="363"/>
      <c r="R2662" s="340"/>
      <c r="S2662" s="342"/>
      <c r="T2662" s="342"/>
      <c r="U2662" s="342"/>
      <c r="V2662" s="340"/>
      <c r="W2662" s="340"/>
    </row>
    <row r="2663" spans="2:23" ht="24" customHeight="1">
      <c r="B2663" s="67"/>
      <c r="F2663" s="346">
        <v>44642</v>
      </c>
      <c r="G2663" s="346"/>
      <c r="H2663" s="346"/>
      <c r="I2663" s="346"/>
      <c r="J2663" s="345"/>
      <c r="K2663" s="703"/>
      <c r="L2663" s="342"/>
      <c r="M2663" s="342"/>
      <c r="N2663" s="340"/>
      <c r="O2663" s="703"/>
      <c r="P2663" s="342"/>
      <c r="Q2663" s="363"/>
      <c r="R2663" s="340"/>
      <c r="S2663" s="342"/>
      <c r="T2663" s="342"/>
      <c r="U2663" s="342"/>
      <c r="V2663" s="340"/>
      <c r="W2663" s="340"/>
    </row>
    <row r="2664" spans="2:23" ht="24" customHeight="1">
      <c r="B2664" s="67"/>
      <c r="G2664" s="3" t="s">
        <v>59</v>
      </c>
      <c r="H2664" s="3"/>
      <c r="I2664" s="3"/>
      <c r="J2664" s="345"/>
      <c r="K2664" s="703"/>
      <c r="L2664" s="342"/>
      <c r="M2664" s="342"/>
      <c r="N2664" s="340"/>
      <c r="O2664" s="703"/>
      <c r="P2664" s="342"/>
      <c r="Q2664" s="363"/>
      <c r="R2664" s="340"/>
      <c r="S2664" s="342"/>
      <c r="T2664" s="342"/>
      <c r="U2664" s="342"/>
      <c r="V2664" s="340"/>
      <c r="W2664" s="340"/>
    </row>
    <row r="2665" spans="2:23" ht="24" customHeight="1">
      <c r="B2665" s="67"/>
      <c r="H2665" s="347">
        <v>44102</v>
      </c>
      <c r="I2665" s="347"/>
      <c r="J2665" s="345"/>
      <c r="K2665" s="703"/>
      <c r="L2665" s="342"/>
      <c r="M2665" s="342"/>
      <c r="N2665" s="340"/>
      <c r="O2665" s="703"/>
      <c r="P2665" s="342"/>
      <c r="Q2665" s="363"/>
      <c r="R2665" s="340"/>
      <c r="S2665" s="342"/>
      <c r="T2665" s="342"/>
      <c r="U2665" s="342"/>
      <c r="V2665" s="340"/>
      <c r="W2665" s="340"/>
    </row>
    <row r="2666" spans="2:23" ht="24" customHeight="1">
      <c r="B2666" s="67"/>
      <c r="I2666" s="3" t="s">
        <v>59</v>
      </c>
      <c r="J2666" s="345">
        <v>36</v>
      </c>
      <c r="K2666" s="703">
        <v>8940.9</v>
      </c>
      <c r="L2666" s="342">
        <v>1</v>
      </c>
      <c r="M2666" s="342">
        <v>20.558499999999999</v>
      </c>
      <c r="N2666" s="340">
        <v>183811.49264999997</v>
      </c>
      <c r="O2666" s="703">
        <v>6084.33</v>
      </c>
      <c r="P2666" s="342">
        <v>1</v>
      </c>
      <c r="Q2666" s="363">
        <v>22.367799999999999</v>
      </c>
      <c r="R2666" s="340">
        <v>136093.07657400001</v>
      </c>
      <c r="S2666" s="342">
        <v>108.114</v>
      </c>
      <c r="T2666" s="342">
        <v>118.98099999999999</v>
      </c>
      <c r="U2666" s="342">
        <v>1.1005</v>
      </c>
      <c r="V2666" s="340">
        <v>149770.43076968702</v>
      </c>
      <c r="W2666" s="340">
        <v>34041.061880312918</v>
      </c>
    </row>
    <row r="2667" spans="2:23" ht="24" customHeight="1">
      <c r="J2667" s="345"/>
      <c r="K2667" s="703"/>
      <c r="L2667" s="342"/>
      <c r="M2667" s="342"/>
      <c r="N2667" s="340"/>
      <c r="O2667" s="703"/>
      <c r="P2667" s="342"/>
      <c r="Q2667" s="363"/>
      <c r="R2667" s="340"/>
      <c r="S2667" s="342"/>
      <c r="T2667" s="342"/>
      <c r="U2667" s="342"/>
      <c r="V2667" s="340"/>
      <c r="W2667" s="340"/>
    </row>
    <row r="2668" spans="2:23" ht="24" customHeight="1">
      <c r="B2668" s="67"/>
      <c r="H2668" s="347">
        <v>44126</v>
      </c>
      <c r="I2668" s="347"/>
      <c r="J2668" s="345"/>
      <c r="K2668" s="703"/>
      <c r="L2668" s="342"/>
      <c r="M2668" s="342"/>
      <c r="N2668" s="340"/>
      <c r="O2668" s="703"/>
      <c r="P2668" s="342"/>
      <c r="Q2668" s="363"/>
      <c r="R2668" s="340"/>
      <c r="S2668" s="342"/>
      <c r="T2668" s="342"/>
      <c r="U2668" s="342"/>
      <c r="V2668" s="340"/>
      <c r="W2668" s="340"/>
    </row>
    <row r="2669" spans="2:23" ht="24" customHeight="1">
      <c r="B2669" s="67"/>
      <c r="I2669" s="3" t="s">
        <v>59</v>
      </c>
      <c r="J2669" s="345">
        <v>14</v>
      </c>
      <c r="K2669" s="703">
        <v>3477.02</v>
      </c>
      <c r="L2669" s="342">
        <v>1</v>
      </c>
      <c r="M2669" s="342">
        <v>20.558499999999999</v>
      </c>
      <c r="N2669" s="340">
        <v>71482.315669999996</v>
      </c>
      <c r="O2669" s="703">
        <v>2301.0300000000002</v>
      </c>
      <c r="P2669" s="342">
        <v>1</v>
      </c>
      <c r="Q2669" s="363">
        <v>21.090199999999999</v>
      </c>
      <c r="R2669" s="340">
        <v>48529.182906000002</v>
      </c>
      <c r="S2669" s="342">
        <v>108.774</v>
      </c>
      <c r="T2669" s="342">
        <v>118.98099999999999</v>
      </c>
      <c r="U2669" s="342">
        <v>1.0938000000000001</v>
      </c>
      <c r="V2669" s="340">
        <v>53081.220262582807</v>
      </c>
      <c r="W2669" s="340">
        <v>18401.09540741719</v>
      </c>
    </row>
    <row r="2670" spans="2:23" ht="24" customHeight="1">
      <c r="J2670" s="345"/>
      <c r="K2670" s="703"/>
      <c r="L2670" s="342"/>
      <c r="M2670" s="342"/>
      <c r="N2670" s="340"/>
      <c r="O2670" s="703"/>
      <c r="P2670" s="342"/>
      <c r="Q2670" s="363"/>
      <c r="R2670" s="340"/>
      <c r="S2670" s="342"/>
      <c r="T2670" s="342"/>
      <c r="U2670" s="342"/>
      <c r="V2670" s="340"/>
      <c r="W2670" s="340"/>
    </row>
    <row r="2671" spans="2:23" ht="24" customHeight="1">
      <c r="B2671" s="67"/>
      <c r="E2671" s="131" t="s">
        <v>1173</v>
      </c>
      <c r="F2671" s="131"/>
      <c r="G2671" s="131"/>
      <c r="H2671" s="131"/>
      <c r="I2671" s="131"/>
      <c r="J2671" s="704">
        <v>50</v>
      </c>
      <c r="K2671" s="705">
        <v>12417.92</v>
      </c>
      <c r="L2671" s="369">
        <v>1</v>
      </c>
      <c r="M2671" s="377">
        <v>20.558499999999999</v>
      </c>
      <c r="N2671" s="706">
        <v>255293.80831999995</v>
      </c>
      <c r="O2671" s="705">
        <v>8385.36</v>
      </c>
      <c r="P2671" s="369">
        <v>1</v>
      </c>
      <c r="Q2671" s="377">
        <v>21.728999999999999</v>
      </c>
      <c r="R2671" s="706">
        <v>184622.25948000001</v>
      </c>
      <c r="S2671" s="369">
        <v>108.444</v>
      </c>
      <c r="T2671" s="369">
        <v>118.98099999999999</v>
      </c>
      <c r="U2671" s="369">
        <v>1.0971500000000001</v>
      </c>
      <c r="V2671" s="706">
        <v>202851.65103226982</v>
      </c>
      <c r="W2671" s="706">
        <v>52442.157287730108</v>
      </c>
    </row>
    <row r="2672" spans="2:23" ht="24" customHeight="1">
      <c r="J2672" s="345"/>
      <c r="K2672" s="703"/>
      <c r="L2672" s="342"/>
      <c r="M2672" s="342"/>
      <c r="N2672" s="340"/>
      <c r="O2672" s="703"/>
      <c r="P2672" s="342"/>
      <c r="Q2672" s="363"/>
      <c r="R2672" s="340"/>
      <c r="S2672" s="342"/>
      <c r="T2672" s="342"/>
      <c r="U2672" s="342"/>
      <c r="V2672" s="340"/>
      <c r="W2672" s="340"/>
    </row>
    <row r="2673" spans="2:23" ht="24" customHeight="1">
      <c r="B2673" s="67"/>
      <c r="E2673" s="1" t="s">
        <v>840</v>
      </c>
      <c r="J2673" s="345"/>
      <c r="K2673" s="703"/>
      <c r="L2673" s="342"/>
      <c r="M2673" s="342"/>
      <c r="N2673" s="340"/>
      <c r="O2673" s="703"/>
      <c r="P2673" s="342"/>
      <c r="Q2673" s="363"/>
      <c r="R2673" s="340"/>
      <c r="S2673" s="342"/>
      <c r="T2673" s="342"/>
      <c r="U2673" s="342"/>
      <c r="V2673" s="340"/>
      <c r="W2673" s="340"/>
    </row>
    <row r="2674" spans="2:23" ht="24" customHeight="1">
      <c r="B2674" s="67"/>
      <c r="F2674" s="346">
        <v>44734</v>
      </c>
      <c r="G2674" s="346"/>
      <c r="H2674" s="346"/>
      <c r="I2674" s="346"/>
      <c r="J2674" s="345"/>
      <c r="K2674" s="703"/>
      <c r="L2674" s="342"/>
      <c r="M2674" s="342"/>
      <c r="N2674" s="340"/>
      <c r="O2674" s="703"/>
      <c r="P2674" s="342"/>
      <c r="Q2674" s="363"/>
      <c r="R2674" s="340"/>
      <c r="S2674" s="342"/>
      <c r="T2674" s="342"/>
      <c r="U2674" s="342"/>
      <c r="V2674" s="340"/>
      <c r="W2674" s="340"/>
    </row>
    <row r="2675" spans="2:23" ht="24" customHeight="1">
      <c r="B2675" s="67"/>
      <c r="G2675" s="3" t="s">
        <v>59</v>
      </c>
      <c r="H2675" s="3"/>
      <c r="I2675" s="3"/>
      <c r="J2675" s="345"/>
      <c r="K2675" s="703"/>
      <c r="L2675" s="342"/>
      <c r="M2675" s="342"/>
      <c r="N2675" s="340"/>
      <c r="O2675" s="703"/>
      <c r="P2675" s="342"/>
      <c r="Q2675" s="363"/>
      <c r="R2675" s="340"/>
      <c r="S2675" s="342"/>
      <c r="T2675" s="342"/>
      <c r="U2675" s="342"/>
      <c r="V2675" s="340"/>
      <c r="W2675" s="340"/>
    </row>
    <row r="2676" spans="2:23" ht="24" customHeight="1">
      <c r="B2676" s="67"/>
      <c r="H2676" s="347">
        <v>44265</v>
      </c>
      <c r="I2676" s="347"/>
      <c r="J2676" s="345"/>
      <c r="K2676" s="703"/>
      <c r="L2676" s="342"/>
      <c r="M2676" s="342"/>
      <c r="N2676" s="340"/>
      <c r="O2676" s="703"/>
      <c r="P2676" s="342"/>
      <c r="Q2676" s="363"/>
      <c r="R2676" s="340"/>
      <c r="S2676" s="342"/>
      <c r="T2676" s="342"/>
      <c r="U2676" s="342"/>
      <c r="V2676" s="340"/>
      <c r="W2676" s="340"/>
    </row>
    <row r="2677" spans="2:23" ht="24" customHeight="1">
      <c r="B2677" s="67"/>
      <c r="I2677" s="3" t="s">
        <v>59</v>
      </c>
      <c r="J2677" s="345">
        <v>718</v>
      </c>
      <c r="K2677" s="703">
        <v>27602.15</v>
      </c>
      <c r="L2677" s="342">
        <v>1</v>
      </c>
      <c r="M2677" s="342">
        <v>20.244199999999999</v>
      </c>
      <c r="N2677" s="340">
        <v>558783.44503000006</v>
      </c>
      <c r="O2677" s="703">
        <v>40998.660000000003</v>
      </c>
      <c r="P2677" s="342">
        <v>1</v>
      </c>
      <c r="Q2677" s="363">
        <v>21.4177</v>
      </c>
      <c r="R2677" s="340">
        <v>878097.00028200005</v>
      </c>
      <c r="S2677" s="342">
        <v>111.824</v>
      </c>
      <c r="T2677" s="342">
        <v>121.02200000000001</v>
      </c>
      <c r="U2677" s="342">
        <v>1.0822000000000001</v>
      </c>
      <c r="V2677" s="340">
        <v>950276.57370518055</v>
      </c>
      <c r="W2677" s="340">
        <v>-391493.12867518049</v>
      </c>
    </row>
    <row r="2678" spans="2:23" ht="24" customHeight="1">
      <c r="J2678" s="345"/>
      <c r="K2678" s="703"/>
      <c r="L2678" s="342"/>
      <c r="M2678" s="342"/>
      <c r="N2678" s="340"/>
      <c r="O2678" s="703"/>
      <c r="P2678" s="342"/>
      <c r="Q2678" s="363"/>
      <c r="R2678" s="340"/>
      <c r="S2678" s="342"/>
      <c r="T2678" s="342"/>
      <c r="U2678" s="342"/>
      <c r="V2678" s="340"/>
      <c r="W2678" s="340"/>
    </row>
    <row r="2679" spans="2:23" ht="24" customHeight="1">
      <c r="B2679" s="67"/>
      <c r="H2679" s="347">
        <v>44343</v>
      </c>
      <c r="I2679" s="347"/>
      <c r="J2679" s="345"/>
      <c r="K2679" s="703"/>
      <c r="L2679" s="342"/>
      <c r="M2679" s="342"/>
      <c r="N2679" s="340"/>
      <c r="O2679" s="703"/>
      <c r="P2679" s="342"/>
      <c r="Q2679" s="363"/>
      <c r="R2679" s="340"/>
      <c r="S2679" s="342"/>
      <c r="T2679" s="342"/>
      <c r="U2679" s="342"/>
      <c r="V2679" s="340"/>
      <c r="W2679" s="340"/>
    </row>
    <row r="2680" spans="2:23" ht="24" customHeight="1">
      <c r="B2680" s="67"/>
      <c r="I2680" s="3" t="s">
        <v>59</v>
      </c>
      <c r="J2680" s="345">
        <v>83</v>
      </c>
      <c r="K2680" s="703">
        <v>3190.78</v>
      </c>
      <c r="L2680" s="342">
        <v>1</v>
      </c>
      <c r="M2680" s="342">
        <v>20.244199999999999</v>
      </c>
      <c r="N2680" s="340">
        <v>64594.788476000002</v>
      </c>
      <c r="O2680" s="703">
        <v>4744.26</v>
      </c>
      <c r="P2680" s="342">
        <v>1</v>
      </c>
      <c r="Q2680" s="363">
        <v>19.8903</v>
      </c>
      <c r="R2680" s="340">
        <v>94364.754677999998</v>
      </c>
      <c r="S2680" s="342">
        <v>112.419</v>
      </c>
      <c r="T2680" s="342">
        <v>121.02200000000001</v>
      </c>
      <c r="U2680" s="342">
        <v>1.0765</v>
      </c>
      <c r="V2680" s="340">
        <v>101583.65841086699</v>
      </c>
      <c r="W2680" s="340">
        <v>-36988.869934867005</v>
      </c>
    </row>
    <row r="2681" spans="2:23" ht="24" customHeight="1">
      <c r="J2681" s="345"/>
      <c r="K2681" s="703"/>
      <c r="L2681" s="342"/>
      <c r="M2681" s="342"/>
      <c r="N2681" s="340"/>
      <c r="O2681" s="703"/>
      <c r="P2681" s="342"/>
      <c r="Q2681" s="363"/>
      <c r="R2681" s="340"/>
      <c r="S2681" s="342"/>
      <c r="T2681" s="342"/>
      <c r="U2681" s="342"/>
      <c r="V2681" s="340"/>
      <c r="W2681" s="340"/>
    </row>
    <row r="2682" spans="2:23" ht="24" customHeight="1">
      <c r="B2682" s="67"/>
      <c r="E2682" s="131" t="s">
        <v>1174</v>
      </c>
      <c r="F2682" s="131"/>
      <c r="G2682" s="131"/>
      <c r="H2682" s="131"/>
      <c r="I2682" s="131"/>
      <c r="J2682" s="704">
        <v>801</v>
      </c>
      <c r="K2682" s="705">
        <v>30792.93</v>
      </c>
      <c r="L2682" s="369">
        <v>1</v>
      </c>
      <c r="M2682" s="377">
        <v>20.244199999999999</v>
      </c>
      <c r="N2682" s="706">
        <v>623378.23350600002</v>
      </c>
      <c r="O2682" s="705">
        <v>45742.920000000006</v>
      </c>
      <c r="P2682" s="369">
        <v>1</v>
      </c>
      <c r="Q2682" s="377">
        <v>20.654</v>
      </c>
      <c r="R2682" s="706">
        <v>972461.75496000005</v>
      </c>
      <c r="S2682" s="369">
        <v>112.1215</v>
      </c>
      <c r="T2682" s="369">
        <v>121.02200000000001</v>
      </c>
      <c r="U2682" s="369">
        <v>1.07935</v>
      </c>
      <c r="V2682" s="706">
        <v>1051860.2321160475</v>
      </c>
      <c r="W2682" s="706">
        <v>-428481.99861004751</v>
      </c>
    </row>
    <row r="2683" spans="2:23" ht="24" customHeight="1">
      <c r="J2683" s="345"/>
      <c r="K2683" s="703"/>
      <c r="L2683" s="342"/>
      <c r="M2683" s="342"/>
      <c r="N2683" s="340"/>
      <c r="O2683" s="703"/>
      <c r="P2683" s="342"/>
      <c r="Q2683" s="363"/>
      <c r="R2683" s="340"/>
      <c r="S2683" s="342"/>
      <c r="T2683" s="342"/>
      <c r="U2683" s="342"/>
      <c r="V2683" s="340"/>
      <c r="W2683" s="340"/>
    </row>
    <row r="2684" spans="2:23" ht="24" customHeight="1">
      <c r="B2684" s="67"/>
      <c r="E2684" s="1" t="s">
        <v>738</v>
      </c>
      <c r="J2684" s="345"/>
      <c r="K2684" s="703"/>
      <c r="L2684" s="342"/>
      <c r="M2684" s="342"/>
      <c r="N2684" s="340"/>
      <c r="O2684" s="703"/>
      <c r="P2684" s="342"/>
      <c r="Q2684" s="363"/>
      <c r="R2684" s="340"/>
      <c r="S2684" s="342"/>
      <c r="T2684" s="342"/>
      <c r="U2684" s="342"/>
      <c r="V2684" s="340"/>
      <c r="W2684" s="340"/>
    </row>
    <row r="2685" spans="2:23" ht="24" customHeight="1">
      <c r="B2685" s="67"/>
      <c r="F2685" s="346">
        <v>44678</v>
      </c>
      <c r="G2685" s="346"/>
      <c r="H2685" s="346"/>
      <c r="I2685" s="346"/>
      <c r="J2685" s="345"/>
      <c r="K2685" s="703"/>
      <c r="L2685" s="342"/>
      <c r="M2685" s="342"/>
      <c r="N2685" s="340"/>
      <c r="O2685" s="703"/>
      <c r="P2685" s="342"/>
      <c r="Q2685" s="363"/>
      <c r="R2685" s="340"/>
      <c r="S2685" s="342"/>
      <c r="T2685" s="342"/>
      <c r="U2685" s="342"/>
      <c r="V2685" s="340"/>
      <c r="W2685" s="340"/>
    </row>
    <row r="2686" spans="2:23" ht="24" customHeight="1">
      <c r="B2686" s="67"/>
      <c r="G2686" s="3" t="s">
        <v>59</v>
      </c>
      <c r="H2686" s="3"/>
      <c r="I2686" s="3"/>
      <c r="J2686" s="345"/>
      <c r="K2686" s="703"/>
      <c r="L2686" s="342"/>
      <c r="M2686" s="342"/>
      <c r="N2686" s="340"/>
      <c r="O2686" s="703"/>
      <c r="P2686" s="342"/>
      <c r="Q2686" s="363"/>
      <c r="R2686" s="340"/>
      <c r="S2686" s="342"/>
      <c r="T2686" s="342"/>
      <c r="U2686" s="342"/>
      <c r="V2686" s="340"/>
      <c r="W2686" s="340"/>
    </row>
    <row r="2687" spans="2:23" ht="24" customHeight="1">
      <c r="B2687" s="67"/>
      <c r="H2687" s="347">
        <v>44102</v>
      </c>
      <c r="I2687" s="347"/>
      <c r="J2687" s="345"/>
      <c r="K2687" s="703"/>
      <c r="L2687" s="342"/>
      <c r="M2687" s="342"/>
      <c r="N2687" s="340"/>
      <c r="O2687" s="703"/>
      <c r="P2687" s="342"/>
      <c r="Q2687" s="363"/>
      <c r="R2687" s="340"/>
      <c r="S2687" s="342"/>
      <c r="T2687" s="342"/>
      <c r="U2687" s="342"/>
      <c r="V2687" s="340"/>
      <c r="W2687" s="340"/>
    </row>
    <row r="2688" spans="2:23" ht="24" customHeight="1">
      <c r="B2688" s="67"/>
      <c r="I2688" s="3" t="s">
        <v>59</v>
      </c>
      <c r="J2688" s="345">
        <v>52</v>
      </c>
      <c r="K2688" s="703">
        <v>4705.2299999999996</v>
      </c>
      <c r="L2688" s="342">
        <v>1</v>
      </c>
      <c r="M2688" s="342">
        <v>20.299199999999999</v>
      </c>
      <c r="N2688" s="340">
        <v>95512.40481599998</v>
      </c>
      <c r="O2688" s="703">
        <v>1762.7</v>
      </c>
      <c r="P2688" s="342">
        <v>1</v>
      </c>
      <c r="Q2688" s="363">
        <v>22.367799999999999</v>
      </c>
      <c r="R2688" s="340">
        <v>39427.721059999996</v>
      </c>
      <c r="S2688" s="342">
        <v>108.114</v>
      </c>
      <c r="T2688" s="342">
        <v>120.15900000000001</v>
      </c>
      <c r="U2688" s="342">
        <v>1.1113999999999999</v>
      </c>
      <c r="V2688" s="340">
        <v>43819.969186083996</v>
      </c>
      <c r="W2688" s="340">
        <v>51692.435629915984</v>
      </c>
    </row>
    <row r="2689" spans="2:23" ht="24" customHeight="1">
      <c r="J2689" s="345"/>
      <c r="K2689" s="703"/>
      <c r="L2689" s="342"/>
      <c r="M2689" s="342"/>
      <c r="N2689" s="340"/>
      <c r="O2689" s="703"/>
      <c r="P2689" s="342"/>
      <c r="Q2689" s="363"/>
      <c r="R2689" s="340"/>
      <c r="S2689" s="342"/>
      <c r="T2689" s="342"/>
      <c r="U2689" s="342"/>
      <c r="V2689" s="340"/>
      <c r="W2689" s="340"/>
    </row>
    <row r="2690" spans="2:23" ht="24" customHeight="1">
      <c r="B2690" s="67"/>
      <c r="H2690" s="347">
        <v>44049</v>
      </c>
      <c r="I2690" s="347"/>
      <c r="J2690" s="345"/>
      <c r="K2690" s="703"/>
      <c r="L2690" s="342"/>
      <c r="M2690" s="342"/>
      <c r="N2690" s="340"/>
      <c r="O2690" s="703"/>
      <c r="P2690" s="342"/>
      <c r="Q2690" s="363"/>
      <c r="R2690" s="340"/>
      <c r="S2690" s="342"/>
      <c r="T2690" s="342"/>
      <c r="U2690" s="342"/>
      <c r="V2690" s="340"/>
      <c r="W2690" s="340"/>
    </row>
    <row r="2691" spans="2:23" ht="24" customHeight="1">
      <c r="B2691" s="67"/>
      <c r="I2691" s="3" t="s">
        <v>59</v>
      </c>
      <c r="J2691" s="345">
        <v>81</v>
      </c>
      <c r="K2691" s="703">
        <v>7329.31</v>
      </c>
      <c r="L2691" s="342">
        <v>1</v>
      </c>
      <c r="M2691" s="342">
        <v>20.299199999999999</v>
      </c>
      <c r="N2691" s="340">
        <v>148779.129552</v>
      </c>
      <c r="O2691" s="703">
        <v>3075.92</v>
      </c>
      <c r="P2691" s="342">
        <v>1</v>
      </c>
      <c r="Q2691" s="363">
        <v>22.784500000000001</v>
      </c>
      <c r="R2691" s="340">
        <v>70083.299240000008</v>
      </c>
      <c r="S2691" s="342">
        <v>107.867</v>
      </c>
      <c r="T2691" s="342">
        <v>120.15900000000001</v>
      </c>
      <c r="U2691" s="342">
        <v>1.1138999999999999</v>
      </c>
      <c r="V2691" s="340">
        <v>78065.787023436002</v>
      </c>
      <c r="W2691" s="340">
        <v>70713.342528563997</v>
      </c>
    </row>
    <row r="2692" spans="2:23" ht="24" customHeight="1">
      <c r="J2692" s="345"/>
      <c r="K2692" s="703"/>
      <c r="L2692" s="342"/>
      <c r="M2692" s="342"/>
      <c r="N2692" s="340"/>
      <c r="O2692" s="703"/>
      <c r="P2692" s="342"/>
      <c r="Q2692" s="363"/>
      <c r="R2692" s="340"/>
      <c r="S2692" s="342"/>
      <c r="T2692" s="342"/>
      <c r="U2692" s="342"/>
      <c r="V2692" s="340"/>
      <c r="W2692" s="340"/>
    </row>
    <row r="2693" spans="2:23" ht="24" customHeight="1">
      <c r="B2693" s="67"/>
      <c r="F2693" s="346">
        <v>44580</v>
      </c>
      <c r="G2693" s="346"/>
      <c r="H2693" s="346"/>
      <c r="I2693" s="346"/>
      <c r="J2693" s="345"/>
      <c r="K2693" s="703"/>
      <c r="L2693" s="342"/>
      <c r="M2693" s="342"/>
      <c r="N2693" s="340"/>
      <c r="O2693" s="703"/>
      <c r="P2693" s="342"/>
      <c r="Q2693" s="363"/>
      <c r="R2693" s="340"/>
      <c r="S2693" s="342"/>
      <c r="T2693" s="342"/>
      <c r="U2693" s="342"/>
      <c r="V2693" s="340"/>
      <c r="W2693" s="340"/>
    </row>
    <row r="2694" spans="2:23" ht="24" customHeight="1">
      <c r="B2694" s="67"/>
      <c r="G2694" s="3" t="s">
        <v>59</v>
      </c>
      <c r="H2694" s="3"/>
      <c r="I2694" s="3"/>
      <c r="J2694" s="345"/>
      <c r="K2694" s="703"/>
      <c r="L2694" s="342"/>
      <c r="M2694" s="342"/>
      <c r="N2694" s="340"/>
      <c r="O2694" s="703"/>
      <c r="P2694" s="342"/>
      <c r="Q2694" s="363"/>
      <c r="R2694" s="340"/>
      <c r="S2694" s="342"/>
      <c r="T2694" s="342"/>
      <c r="U2694" s="342"/>
      <c r="V2694" s="340"/>
      <c r="W2694" s="340"/>
    </row>
    <row r="2695" spans="2:23" ht="24" customHeight="1">
      <c r="B2695" s="67"/>
      <c r="H2695" s="347">
        <v>44049</v>
      </c>
      <c r="I2695" s="347"/>
      <c r="J2695" s="345"/>
      <c r="K2695" s="703"/>
      <c r="L2695" s="342"/>
      <c r="M2695" s="342"/>
      <c r="N2695" s="340"/>
      <c r="O2695" s="703"/>
      <c r="P2695" s="342"/>
      <c r="Q2695" s="363"/>
      <c r="R2695" s="340"/>
      <c r="S2695" s="342"/>
      <c r="T2695" s="342"/>
      <c r="U2695" s="342"/>
      <c r="V2695" s="340"/>
      <c r="W2695" s="340"/>
    </row>
    <row r="2696" spans="2:23" ht="24" customHeight="1">
      <c r="B2696" s="67"/>
      <c r="I2696" s="3" t="s">
        <v>59</v>
      </c>
      <c r="J2696" s="345">
        <v>288</v>
      </c>
      <c r="K2696" s="703">
        <v>25047.46</v>
      </c>
      <c r="L2696" s="342">
        <v>1</v>
      </c>
      <c r="M2696" s="342">
        <v>20.3002</v>
      </c>
      <c r="N2696" s="340">
        <v>508468.44749200001</v>
      </c>
      <c r="O2696" s="703">
        <v>10936.6</v>
      </c>
      <c r="P2696" s="342">
        <v>1</v>
      </c>
      <c r="Q2696" s="363">
        <v>22.784500000000001</v>
      </c>
      <c r="R2696" s="340">
        <v>249184.96270000003</v>
      </c>
      <c r="S2696" s="342">
        <v>107.867</v>
      </c>
      <c r="T2696" s="342">
        <v>117.30800000000001</v>
      </c>
      <c r="U2696" s="342">
        <v>1.0874999999999999</v>
      </c>
      <c r="V2696" s="340">
        <v>270988.64693625004</v>
      </c>
      <c r="W2696" s="340">
        <v>237479.80055574997</v>
      </c>
    </row>
    <row r="2697" spans="2:23" ht="24" customHeight="1">
      <c r="J2697" s="345"/>
      <c r="K2697" s="703"/>
      <c r="L2697" s="342"/>
      <c r="M2697" s="342"/>
      <c r="N2697" s="340"/>
      <c r="O2697" s="703"/>
      <c r="P2697" s="342"/>
      <c r="Q2697" s="363"/>
      <c r="R2697" s="340"/>
      <c r="S2697" s="342"/>
      <c r="T2697" s="342"/>
      <c r="U2697" s="342"/>
      <c r="V2697" s="340"/>
      <c r="W2697" s="340"/>
    </row>
    <row r="2698" spans="2:23" ht="24" customHeight="1">
      <c r="B2698" s="67"/>
      <c r="F2698" s="346">
        <v>44734</v>
      </c>
      <c r="G2698" s="346"/>
      <c r="H2698" s="346"/>
      <c r="I2698" s="346"/>
      <c r="J2698" s="345"/>
      <c r="K2698" s="703"/>
      <c r="L2698" s="342"/>
      <c r="M2698" s="342"/>
      <c r="N2698" s="340"/>
      <c r="O2698" s="703"/>
      <c r="P2698" s="342"/>
      <c r="Q2698" s="363"/>
      <c r="R2698" s="340"/>
      <c r="S2698" s="342"/>
      <c r="T2698" s="342"/>
      <c r="U2698" s="342"/>
      <c r="V2698" s="340"/>
      <c r="W2698" s="340"/>
    </row>
    <row r="2699" spans="2:23" ht="24" customHeight="1">
      <c r="B2699" s="67"/>
      <c r="G2699" s="3" t="s">
        <v>59</v>
      </c>
      <c r="H2699" s="3"/>
      <c r="I2699" s="3"/>
      <c r="J2699" s="345"/>
      <c r="K2699" s="703"/>
      <c r="L2699" s="342"/>
      <c r="M2699" s="342"/>
      <c r="N2699" s="340"/>
      <c r="O2699" s="703"/>
      <c r="P2699" s="342"/>
      <c r="Q2699" s="363"/>
      <c r="R2699" s="340"/>
      <c r="S2699" s="342"/>
      <c r="T2699" s="342"/>
      <c r="U2699" s="342"/>
      <c r="V2699" s="340"/>
      <c r="W2699" s="340"/>
    </row>
    <row r="2700" spans="2:23" ht="24" customHeight="1">
      <c r="B2700" s="67"/>
      <c r="H2700" s="347">
        <v>44102</v>
      </c>
      <c r="I2700" s="347"/>
      <c r="J2700" s="345"/>
      <c r="K2700" s="703"/>
      <c r="L2700" s="342"/>
      <c r="M2700" s="342"/>
      <c r="N2700" s="340"/>
      <c r="O2700" s="703"/>
      <c r="P2700" s="342"/>
      <c r="Q2700" s="363"/>
      <c r="R2700" s="340"/>
      <c r="S2700" s="342"/>
      <c r="T2700" s="342"/>
      <c r="U2700" s="342"/>
      <c r="V2700" s="340"/>
      <c r="W2700" s="340"/>
    </row>
    <row r="2701" spans="2:23" ht="24" customHeight="1">
      <c r="B2701" s="67"/>
      <c r="I2701" s="3" t="s">
        <v>59</v>
      </c>
      <c r="J2701" s="345">
        <v>332</v>
      </c>
      <c r="K2701" s="703">
        <v>30718.33</v>
      </c>
      <c r="L2701" s="342">
        <v>1</v>
      </c>
      <c r="M2701" s="342">
        <v>20.244199999999999</v>
      </c>
      <c r="N2701" s="340">
        <v>621868.01618599996</v>
      </c>
      <c r="O2701" s="703">
        <v>11254.14</v>
      </c>
      <c r="P2701" s="342">
        <v>1</v>
      </c>
      <c r="Q2701" s="363">
        <v>22.367799999999999</v>
      </c>
      <c r="R2701" s="340">
        <v>251730.35269199999</v>
      </c>
      <c r="S2701" s="342">
        <v>108.114</v>
      </c>
      <c r="T2701" s="342">
        <v>121.02200000000001</v>
      </c>
      <c r="U2701" s="342">
        <v>1.1193</v>
      </c>
      <c r="V2701" s="340">
        <v>281761.78376815555</v>
      </c>
      <c r="W2701" s="340">
        <v>340106.23241784441</v>
      </c>
    </row>
    <row r="2702" spans="2:23" ht="24" customHeight="1">
      <c r="J2702" s="345"/>
      <c r="K2702" s="703"/>
      <c r="L2702" s="342"/>
      <c r="M2702" s="342"/>
      <c r="N2702" s="340"/>
      <c r="O2702" s="703"/>
      <c r="P2702" s="342"/>
      <c r="Q2702" s="363"/>
      <c r="R2702" s="340"/>
      <c r="S2702" s="342"/>
      <c r="T2702" s="342"/>
      <c r="U2702" s="342"/>
      <c r="V2702" s="340"/>
      <c r="W2702" s="340"/>
    </row>
    <row r="2703" spans="2:23" ht="24" customHeight="1">
      <c r="B2703" s="67"/>
      <c r="F2703" s="346">
        <v>44767</v>
      </c>
      <c r="G2703" s="346"/>
      <c r="H2703" s="346"/>
      <c r="I2703" s="346"/>
      <c r="J2703" s="345"/>
      <c r="K2703" s="703"/>
      <c r="L2703" s="342"/>
      <c r="M2703" s="342"/>
      <c r="N2703" s="340"/>
      <c r="O2703" s="703"/>
      <c r="P2703" s="342"/>
      <c r="Q2703" s="363"/>
      <c r="R2703" s="340"/>
      <c r="S2703" s="342"/>
      <c r="T2703" s="342"/>
      <c r="U2703" s="342"/>
      <c r="V2703" s="340"/>
      <c r="W2703" s="340"/>
    </row>
    <row r="2704" spans="2:23" ht="24" customHeight="1">
      <c r="B2704" s="67"/>
      <c r="G2704" s="3" t="s">
        <v>59</v>
      </c>
      <c r="H2704" s="3"/>
      <c r="I2704" s="3"/>
      <c r="J2704" s="345"/>
      <c r="K2704" s="703"/>
      <c r="L2704" s="342"/>
      <c r="M2704" s="342"/>
      <c r="N2704" s="340"/>
      <c r="O2704" s="703"/>
      <c r="P2704" s="342"/>
      <c r="Q2704" s="363"/>
      <c r="R2704" s="340"/>
      <c r="S2704" s="342"/>
      <c r="T2704" s="342"/>
      <c r="U2704" s="342"/>
      <c r="V2704" s="340"/>
      <c r="W2704" s="340"/>
    </row>
    <row r="2705" spans="2:23" ht="24" customHeight="1">
      <c r="B2705" s="67"/>
      <c r="H2705" s="347">
        <v>44102</v>
      </c>
      <c r="I2705" s="347"/>
      <c r="J2705" s="345"/>
      <c r="K2705" s="703"/>
      <c r="L2705" s="342"/>
      <c r="M2705" s="342"/>
      <c r="N2705" s="340"/>
      <c r="O2705" s="703"/>
      <c r="P2705" s="342"/>
      <c r="Q2705" s="363"/>
      <c r="R2705" s="340"/>
      <c r="S2705" s="342"/>
      <c r="T2705" s="342"/>
      <c r="U2705" s="342"/>
      <c r="V2705" s="340"/>
      <c r="W2705" s="340"/>
    </row>
    <row r="2706" spans="2:23" ht="24" customHeight="1">
      <c r="B2706" s="67"/>
      <c r="I2706" s="3" t="s">
        <v>59</v>
      </c>
      <c r="J2706" s="345">
        <v>13</v>
      </c>
      <c r="K2706" s="703">
        <v>1157.29</v>
      </c>
      <c r="L2706" s="342">
        <v>1</v>
      </c>
      <c r="M2706" s="342">
        <v>20.656199999999998</v>
      </c>
      <c r="N2706" s="340">
        <v>23905.213697999996</v>
      </c>
      <c r="O2706" s="703">
        <v>440.67</v>
      </c>
      <c r="P2706" s="342">
        <v>1</v>
      </c>
      <c r="Q2706" s="363">
        <v>22.367799999999999</v>
      </c>
      <c r="R2706" s="340">
        <v>9856.8184259999998</v>
      </c>
      <c r="S2706" s="342">
        <v>108.114</v>
      </c>
      <c r="T2706" s="342">
        <v>122.044</v>
      </c>
      <c r="U2706" s="342">
        <v>1.1288</v>
      </c>
      <c r="V2706" s="340">
        <v>11126.376639268799</v>
      </c>
      <c r="W2706" s="340">
        <v>12778.837058731197</v>
      </c>
    </row>
    <row r="2707" spans="2:23" ht="24" customHeight="1">
      <c r="J2707" s="345"/>
      <c r="K2707" s="703"/>
      <c r="L2707" s="342"/>
      <c r="M2707" s="342"/>
      <c r="N2707" s="340"/>
      <c r="O2707" s="703"/>
      <c r="P2707" s="342"/>
      <c r="Q2707" s="363"/>
      <c r="R2707" s="340"/>
      <c r="S2707" s="342"/>
      <c r="T2707" s="342"/>
      <c r="U2707" s="342"/>
      <c r="V2707" s="340"/>
      <c r="W2707" s="340"/>
    </row>
    <row r="2708" spans="2:23" ht="24" customHeight="1">
      <c r="B2708" s="67"/>
      <c r="H2708" s="347">
        <v>44126</v>
      </c>
      <c r="I2708" s="347"/>
      <c r="J2708" s="345"/>
      <c r="K2708" s="703"/>
      <c r="L2708" s="342"/>
      <c r="M2708" s="342"/>
      <c r="N2708" s="340"/>
      <c r="O2708" s="703"/>
      <c r="P2708" s="342"/>
      <c r="Q2708" s="363"/>
      <c r="R2708" s="340"/>
      <c r="S2708" s="342"/>
      <c r="T2708" s="342"/>
      <c r="U2708" s="342"/>
      <c r="V2708" s="340"/>
      <c r="W2708" s="340"/>
    </row>
    <row r="2709" spans="2:23" ht="24" customHeight="1">
      <c r="B2709" s="67"/>
      <c r="I2709" s="3" t="s">
        <v>59</v>
      </c>
      <c r="J2709" s="345">
        <v>169</v>
      </c>
      <c r="K2709" s="703">
        <v>15044.82</v>
      </c>
      <c r="L2709" s="342">
        <v>1</v>
      </c>
      <c r="M2709" s="342">
        <v>20.656199999999998</v>
      </c>
      <c r="N2709" s="340">
        <v>310768.81088399998</v>
      </c>
      <c r="O2709" s="703">
        <v>5362.2</v>
      </c>
      <c r="P2709" s="342">
        <v>1</v>
      </c>
      <c r="Q2709" s="363">
        <v>21.090199999999999</v>
      </c>
      <c r="R2709" s="340">
        <v>113089.87044</v>
      </c>
      <c r="S2709" s="342">
        <v>108.774</v>
      </c>
      <c r="T2709" s="342">
        <v>122.044</v>
      </c>
      <c r="U2709" s="342">
        <v>1.1218999999999999</v>
      </c>
      <c r="V2709" s="340">
        <v>126875.52564663599</v>
      </c>
      <c r="W2709" s="340">
        <v>183893.28523736401</v>
      </c>
    </row>
    <row r="2710" spans="2:23" ht="24" customHeight="1">
      <c r="J2710" s="345"/>
      <c r="K2710" s="703"/>
      <c r="L2710" s="342"/>
      <c r="M2710" s="342"/>
      <c r="N2710" s="340"/>
      <c r="O2710" s="703"/>
      <c r="P2710" s="342"/>
      <c r="Q2710" s="363"/>
      <c r="R2710" s="340"/>
      <c r="S2710" s="342"/>
      <c r="T2710" s="342"/>
      <c r="U2710" s="342"/>
      <c r="V2710" s="340"/>
      <c r="W2710" s="340"/>
    </row>
    <row r="2711" spans="2:23" ht="24" customHeight="1">
      <c r="B2711" s="67"/>
      <c r="E2711" s="131" t="s">
        <v>1175</v>
      </c>
      <c r="F2711" s="131"/>
      <c r="G2711" s="131"/>
      <c r="H2711" s="131"/>
      <c r="I2711" s="131"/>
      <c r="J2711" s="704">
        <v>935</v>
      </c>
      <c r="K2711" s="705">
        <v>84002.44</v>
      </c>
      <c r="L2711" s="369">
        <v>1</v>
      </c>
      <c r="M2711" s="377">
        <v>20.409199999999998</v>
      </c>
      <c r="N2711" s="706">
        <v>1709302.022628</v>
      </c>
      <c r="O2711" s="705">
        <v>32832.229999999996</v>
      </c>
      <c r="P2711" s="369">
        <v>1</v>
      </c>
      <c r="Q2711" s="377">
        <v>22.29376666666667</v>
      </c>
      <c r="R2711" s="706">
        <v>733373.02455799992</v>
      </c>
      <c r="S2711" s="369">
        <v>108.14166666666667</v>
      </c>
      <c r="T2711" s="369">
        <v>120.456</v>
      </c>
      <c r="U2711" s="369">
        <v>1.1138000000000001</v>
      </c>
      <c r="V2711" s="706">
        <v>812638.08919983043</v>
      </c>
      <c r="W2711" s="706">
        <v>896663.93342816958</v>
      </c>
    </row>
    <row r="2712" spans="2:23" ht="24" customHeight="1">
      <c r="J2712" s="345"/>
      <c r="K2712" s="703"/>
      <c r="L2712" s="342"/>
      <c r="M2712" s="342"/>
      <c r="N2712" s="340"/>
      <c r="O2712" s="703"/>
      <c r="P2712" s="342"/>
      <c r="Q2712" s="363"/>
      <c r="R2712" s="340"/>
      <c r="S2712" s="342"/>
      <c r="T2712" s="342"/>
      <c r="U2712" s="342"/>
      <c r="V2712" s="340"/>
      <c r="W2712" s="340"/>
    </row>
    <row r="2713" spans="2:23" ht="24" customHeight="1">
      <c r="B2713" s="67"/>
      <c r="E2713" s="1" t="s">
        <v>755</v>
      </c>
      <c r="J2713" s="345"/>
      <c r="K2713" s="703"/>
      <c r="L2713" s="342"/>
      <c r="M2713" s="342"/>
      <c r="N2713" s="340"/>
      <c r="O2713" s="703"/>
      <c r="P2713" s="342"/>
      <c r="Q2713" s="363"/>
      <c r="R2713" s="340"/>
      <c r="S2713" s="342"/>
      <c r="T2713" s="342"/>
      <c r="U2713" s="342"/>
      <c r="V2713" s="340"/>
      <c r="W2713" s="340"/>
    </row>
    <row r="2714" spans="2:23" ht="24" customHeight="1">
      <c r="B2714" s="67"/>
      <c r="F2714" s="346">
        <v>44648</v>
      </c>
      <c r="G2714" s="346"/>
      <c r="H2714" s="346"/>
      <c r="I2714" s="346"/>
      <c r="J2714" s="345"/>
      <c r="K2714" s="703"/>
      <c r="L2714" s="342"/>
      <c r="M2714" s="342"/>
      <c r="N2714" s="340"/>
      <c r="O2714" s="703"/>
      <c r="P2714" s="342"/>
      <c r="Q2714" s="363"/>
      <c r="R2714" s="340"/>
      <c r="S2714" s="342"/>
      <c r="T2714" s="342"/>
      <c r="U2714" s="342"/>
      <c r="V2714" s="340"/>
      <c r="W2714" s="340"/>
    </row>
    <row r="2715" spans="2:23" ht="24" customHeight="1">
      <c r="B2715" s="67"/>
      <c r="G2715" s="3" t="s">
        <v>59</v>
      </c>
      <c r="H2715" s="3"/>
      <c r="I2715" s="3"/>
      <c r="J2715" s="345"/>
      <c r="K2715" s="703"/>
      <c r="L2715" s="342"/>
      <c r="M2715" s="342"/>
      <c r="N2715" s="340"/>
      <c r="O2715" s="703"/>
      <c r="P2715" s="342"/>
      <c r="Q2715" s="363"/>
      <c r="R2715" s="340"/>
      <c r="S2715" s="342"/>
      <c r="T2715" s="342"/>
      <c r="U2715" s="342"/>
      <c r="V2715" s="340"/>
      <c r="W2715" s="340"/>
    </row>
    <row r="2716" spans="2:23" ht="24" customHeight="1">
      <c r="B2716" s="67"/>
      <c r="H2716" s="347">
        <v>43784</v>
      </c>
      <c r="I2716" s="347"/>
      <c r="J2716" s="345"/>
      <c r="K2716" s="703"/>
      <c r="L2716" s="342"/>
      <c r="M2716" s="342"/>
      <c r="N2716" s="340"/>
      <c r="O2716" s="703"/>
      <c r="P2716" s="342"/>
      <c r="Q2716" s="363"/>
      <c r="R2716" s="340"/>
      <c r="S2716" s="342"/>
      <c r="T2716" s="342"/>
      <c r="U2716" s="342"/>
      <c r="V2716" s="340"/>
      <c r="W2716" s="340"/>
    </row>
    <row r="2717" spans="2:23" ht="24" customHeight="1">
      <c r="B2717" s="67"/>
      <c r="I2717" s="3" t="s">
        <v>59</v>
      </c>
      <c r="J2717" s="345">
        <v>49</v>
      </c>
      <c r="K2717" s="703">
        <v>27345.05</v>
      </c>
      <c r="L2717" s="342">
        <v>1</v>
      </c>
      <c r="M2717" s="342">
        <v>20.1313</v>
      </c>
      <c r="N2717" s="340">
        <v>550491.40506499994</v>
      </c>
      <c r="O2717" s="703">
        <v>14960.19</v>
      </c>
      <c r="P2717" s="342">
        <v>1</v>
      </c>
      <c r="Q2717" s="363">
        <v>19.4543</v>
      </c>
      <c r="R2717" s="340">
        <v>291040.024317</v>
      </c>
      <c r="S2717" s="342">
        <v>105.346</v>
      </c>
      <c r="T2717" s="342">
        <v>118.98099999999999</v>
      </c>
      <c r="U2717" s="342">
        <v>1.1294</v>
      </c>
      <c r="V2717" s="340">
        <v>328700.60346361977</v>
      </c>
      <c r="W2717" s="340">
        <v>221790.80160138017</v>
      </c>
    </row>
    <row r="2718" spans="2:23" ht="24" customHeight="1">
      <c r="J2718" s="345"/>
      <c r="K2718" s="703"/>
      <c r="L2718" s="342"/>
      <c r="M2718" s="342"/>
      <c r="N2718" s="340"/>
      <c r="O2718" s="703"/>
      <c r="P2718" s="342"/>
      <c r="Q2718" s="363"/>
      <c r="R2718" s="340"/>
      <c r="S2718" s="342"/>
      <c r="T2718" s="342"/>
      <c r="U2718" s="342"/>
      <c r="V2718" s="340"/>
      <c r="W2718" s="340"/>
    </row>
    <row r="2719" spans="2:23" ht="24" customHeight="1">
      <c r="B2719" s="67"/>
      <c r="F2719" s="346">
        <v>44790</v>
      </c>
      <c r="G2719" s="346"/>
      <c r="H2719" s="346"/>
      <c r="I2719" s="346"/>
      <c r="J2719" s="345"/>
      <c r="K2719" s="703"/>
      <c r="L2719" s="342"/>
      <c r="M2719" s="342"/>
      <c r="N2719" s="340"/>
      <c r="O2719" s="703"/>
      <c r="P2719" s="342"/>
      <c r="Q2719" s="363"/>
      <c r="R2719" s="340"/>
      <c r="S2719" s="342"/>
      <c r="T2719" s="342"/>
      <c r="U2719" s="342"/>
      <c r="V2719" s="340"/>
      <c r="W2719" s="340"/>
    </row>
    <row r="2720" spans="2:23" ht="24" customHeight="1">
      <c r="B2720" s="67"/>
      <c r="G2720" s="3" t="s">
        <v>59</v>
      </c>
      <c r="H2720" s="3"/>
      <c r="I2720" s="3"/>
      <c r="J2720" s="345"/>
      <c r="K2720" s="703"/>
      <c r="L2720" s="342"/>
      <c r="M2720" s="342"/>
      <c r="N2720" s="340"/>
      <c r="O2720" s="703"/>
      <c r="P2720" s="342"/>
      <c r="Q2720" s="363"/>
      <c r="R2720" s="340"/>
      <c r="S2720" s="342"/>
      <c r="T2720" s="342"/>
      <c r="U2720" s="342"/>
      <c r="V2720" s="340"/>
      <c r="W2720" s="340"/>
    </row>
    <row r="2721" spans="2:23" ht="24" customHeight="1">
      <c r="B2721" s="67"/>
      <c r="H2721" s="347">
        <v>43784</v>
      </c>
      <c r="I2721" s="347"/>
      <c r="J2721" s="345"/>
      <c r="K2721" s="703"/>
      <c r="L2721" s="342"/>
      <c r="M2721" s="342"/>
      <c r="N2721" s="340"/>
      <c r="O2721" s="703"/>
      <c r="P2721" s="342"/>
      <c r="Q2721" s="363"/>
      <c r="R2721" s="340"/>
      <c r="S2721" s="342"/>
      <c r="T2721" s="342"/>
      <c r="U2721" s="342"/>
      <c r="V2721" s="340"/>
      <c r="W2721" s="340"/>
    </row>
    <row r="2722" spans="2:23" ht="24" customHeight="1">
      <c r="B2722" s="67"/>
      <c r="I2722" s="3" t="s">
        <v>59</v>
      </c>
      <c r="J2722" s="345">
        <v>11</v>
      </c>
      <c r="K2722" s="703">
        <v>6124</v>
      </c>
      <c r="L2722" s="342">
        <v>1</v>
      </c>
      <c r="M2722" s="342">
        <v>19.861799999999999</v>
      </c>
      <c r="N2722" s="340">
        <v>121633.6632</v>
      </c>
      <c r="O2722" s="703">
        <v>3358.41</v>
      </c>
      <c r="P2722" s="342">
        <v>1</v>
      </c>
      <c r="Q2722" s="363">
        <v>19.4543</v>
      </c>
      <c r="R2722" s="340">
        <v>65335.515662999998</v>
      </c>
      <c r="S2722" s="342">
        <v>105.346</v>
      </c>
      <c r="T2722" s="342">
        <v>122.94799999999999</v>
      </c>
      <c r="U2722" s="342">
        <v>1.167</v>
      </c>
      <c r="V2722" s="340">
        <v>76246.546778721007</v>
      </c>
      <c r="W2722" s="340">
        <v>45387.116421278988</v>
      </c>
    </row>
    <row r="2723" spans="2:23" ht="24" customHeight="1">
      <c r="J2723" s="345"/>
      <c r="K2723" s="703"/>
      <c r="L2723" s="342"/>
      <c r="M2723" s="342"/>
      <c r="N2723" s="340"/>
      <c r="O2723" s="703"/>
      <c r="P2723" s="342"/>
      <c r="Q2723" s="363"/>
      <c r="R2723" s="340"/>
      <c r="S2723" s="342"/>
      <c r="T2723" s="342"/>
      <c r="U2723" s="342"/>
      <c r="V2723" s="340"/>
      <c r="W2723" s="340"/>
    </row>
    <row r="2724" spans="2:23" ht="24" customHeight="1">
      <c r="B2724" s="67"/>
      <c r="E2724" s="131" t="s">
        <v>1176</v>
      </c>
      <c r="F2724" s="131"/>
      <c r="G2724" s="131"/>
      <c r="H2724" s="131"/>
      <c r="I2724" s="131"/>
      <c r="J2724" s="704">
        <v>60</v>
      </c>
      <c r="K2724" s="705">
        <v>33469.050000000003</v>
      </c>
      <c r="L2724" s="369">
        <v>1</v>
      </c>
      <c r="M2724" s="377">
        <v>19.996549999999999</v>
      </c>
      <c r="N2724" s="706">
        <v>672125.06826499989</v>
      </c>
      <c r="O2724" s="705">
        <v>18318.599999999999</v>
      </c>
      <c r="P2724" s="369">
        <v>1</v>
      </c>
      <c r="Q2724" s="377">
        <v>19.4543</v>
      </c>
      <c r="R2724" s="706">
        <v>356375.53998</v>
      </c>
      <c r="S2724" s="369">
        <v>105.346</v>
      </c>
      <c r="T2724" s="369">
        <v>120.96449999999999</v>
      </c>
      <c r="U2724" s="369">
        <v>1.1482000000000001</v>
      </c>
      <c r="V2724" s="706">
        <v>404947.15024234075</v>
      </c>
      <c r="W2724" s="706">
        <v>267177.91802265914</v>
      </c>
    </row>
    <row r="2725" spans="2:23" ht="24" customHeight="1">
      <c r="J2725" s="345"/>
      <c r="K2725" s="703"/>
      <c r="L2725" s="342"/>
      <c r="M2725" s="342"/>
      <c r="N2725" s="340"/>
      <c r="O2725" s="703"/>
      <c r="P2725" s="342"/>
      <c r="Q2725" s="363"/>
      <c r="R2725" s="340"/>
      <c r="S2725" s="342"/>
      <c r="T2725" s="342"/>
      <c r="U2725" s="342"/>
      <c r="V2725" s="340"/>
      <c r="W2725" s="340"/>
    </row>
    <row r="2726" spans="2:23" ht="24" customHeight="1">
      <c r="B2726" s="67"/>
      <c r="E2726" s="1" t="s">
        <v>833</v>
      </c>
      <c r="J2726" s="345"/>
      <c r="K2726" s="703"/>
      <c r="L2726" s="342"/>
      <c r="M2726" s="342"/>
      <c r="N2726" s="340"/>
      <c r="O2726" s="703"/>
      <c r="P2726" s="342"/>
      <c r="Q2726" s="363"/>
      <c r="R2726" s="340"/>
      <c r="S2726" s="342"/>
      <c r="T2726" s="342"/>
      <c r="U2726" s="342"/>
      <c r="V2726" s="340"/>
      <c r="W2726" s="340"/>
    </row>
    <row r="2727" spans="2:23" ht="24" customHeight="1">
      <c r="B2727" s="67"/>
      <c r="F2727" s="346">
        <v>44701</v>
      </c>
      <c r="G2727" s="346"/>
      <c r="H2727" s="346"/>
      <c r="I2727" s="346"/>
      <c r="J2727" s="345"/>
      <c r="K2727" s="703"/>
      <c r="L2727" s="342"/>
      <c r="M2727" s="342"/>
      <c r="N2727" s="340"/>
      <c r="O2727" s="703"/>
      <c r="P2727" s="342"/>
      <c r="Q2727" s="363"/>
      <c r="R2727" s="340"/>
      <c r="S2727" s="342"/>
      <c r="T2727" s="342"/>
      <c r="U2727" s="342"/>
      <c r="V2727" s="340"/>
      <c r="W2727" s="340"/>
    </row>
    <row r="2728" spans="2:23" ht="24" customHeight="1">
      <c r="B2728" s="67"/>
      <c r="G2728" s="3" t="s">
        <v>59</v>
      </c>
      <c r="H2728" s="3"/>
      <c r="I2728" s="3"/>
      <c r="J2728" s="345"/>
      <c r="K2728" s="703"/>
      <c r="L2728" s="342"/>
      <c r="M2728" s="342"/>
      <c r="N2728" s="340"/>
      <c r="O2728" s="703"/>
      <c r="P2728" s="342"/>
      <c r="Q2728" s="363"/>
      <c r="R2728" s="340"/>
      <c r="S2728" s="342"/>
      <c r="T2728" s="342"/>
      <c r="U2728" s="342"/>
      <c r="V2728" s="340"/>
      <c r="W2728" s="340"/>
    </row>
    <row r="2729" spans="2:23" ht="24" customHeight="1">
      <c r="B2729" s="67"/>
      <c r="H2729" s="347">
        <v>43962</v>
      </c>
      <c r="I2729" s="347"/>
      <c r="J2729" s="345"/>
      <c r="K2729" s="703"/>
      <c r="L2729" s="342"/>
      <c r="M2729" s="342"/>
      <c r="N2729" s="340"/>
      <c r="O2729" s="703"/>
      <c r="P2729" s="342"/>
      <c r="Q2729" s="363"/>
      <c r="R2729" s="340"/>
      <c r="S2729" s="342"/>
      <c r="T2729" s="342"/>
      <c r="U2729" s="342"/>
      <c r="V2729" s="340"/>
      <c r="W2729" s="340"/>
    </row>
    <row r="2730" spans="2:23" ht="24" customHeight="1">
      <c r="B2730" s="67"/>
      <c r="I2730" s="3" t="s">
        <v>59</v>
      </c>
      <c r="J2730" s="345">
        <v>55</v>
      </c>
      <c r="K2730" s="703">
        <v>10295.61</v>
      </c>
      <c r="L2730" s="342">
        <v>1</v>
      </c>
      <c r="M2730" s="342">
        <v>19.9663</v>
      </c>
      <c r="N2730" s="340">
        <v>205565.23794300001</v>
      </c>
      <c r="O2730" s="703">
        <v>10054.19</v>
      </c>
      <c r="P2730" s="342">
        <v>1</v>
      </c>
      <c r="Q2730" s="363">
        <v>24.0563</v>
      </c>
      <c r="R2730" s="340">
        <v>241866.61089700001</v>
      </c>
      <c r="S2730" s="342">
        <v>106.16200000000001</v>
      </c>
      <c r="T2730" s="342">
        <v>120.809</v>
      </c>
      <c r="U2730" s="342">
        <v>1.1378999999999999</v>
      </c>
      <c r="V2730" s="340">
        <v>275220.01653969631</v>
      </c>
      <c r="W2730" s="340">
        <v>-69654.778596696298</v>
      </c>
    </row>
    <row r="2731" spans="2:23" ht="24" customHeight="1">
      <c r="J2731" s="345"/>
      <c r="K2731" s="703"/>
      <c r="L2731" s="342"/>
      <c r="M2731" s="342"/>
      <c r="N2731" s="340"/>
      <c r="O2731" s="703"/>
      <c r="P2731" s="342"/>
      <c r="Q2731" s="363"/>
      <c r="R2731" s="340"/>
      <c r="S2731" s="342"/>
      <c r="T2731" s="342"/>
      <c r="U2731" s="342"/>
      <c r="V2731" s="340"/>
      <c r="W2731" s="340"/>
    </row>
    <row r="2732" spans="2:23" ht="24" customHeight="1">
      <c r="B2732" s="67"/>
      <c r="E2732" s="131" t="s">
        <v>1177</v>
      </c>
      <c r="F2732" s="131"/>
      <c r="G2732" s="131"/>
      <c r="H2732" s="131"/>
      <c r="I2732" s="131"/>
      <c r="J2732" s="704">
        <v>55</v>
      </c>
      <c r="K2732" s="705">
        <v>10295.61</v>
      </c>
      <c r="L2732" s="369">
        <v>1</v>
      </c>
      <c r="M2732" s="377">
        <v>19.9663</v>
      </c>
      <c r="N2732" s="706">
        <v>205565.23794300001</v>
      </c>
      <c r="O2732" s="705">
        <v>10054.19</v>
      </c>
      <c r="P2732" s="369">
        <v>1</v>
      </c>
      <c r="Q2732" s="377">
        <v>24.0563</v>
      </c>
      <c r="R2732" s="706">
        <v>241866.61089700001</v>
      </c>
      <c r="S2732" s="369">
        <v>106.16200000000001</v>
      </c>
      <c r="T2732" s="369">
        <v>120.809</v>
      </c>
      <c r="U2732" s="369">
        <v>1.1378999999999999</v>
      </c>
      <c r="V2732" s="706">
        <v>275220.01653969631</v>
      </c>
      <c r="W2732" s="706">
        <v>-69654.778596696298</v>
      </c>
    </row>
    <row r="2733" spans="2:23" ht="24" customHeight="1">
      <c r="J2733" s="345"/>
      <c r="K2733" s="703"/>
      <c r="L2733" s="342"/>
      <c r="M2733" s="342"/>
      <c r="N2733" s="340"/>
      <c r="O2733" s="703"/>
      <c r="P2733" s="342"/>
      <c r="Q2733" s="363"/>
      <c r="R2733" s="340"/>
      <c r="S2733" s="342"/>
      <c r="T2733" s="342"/>
      <c r="U2733" s="342"/>
      <c r="V2733" s="340"/>
      <c r="W2733" s="340"/>
    </row>
    <row r="2734" spans="2:23" ht="24" customHeight="1">
      <c r="B2734" s="67"/>
      <c r="E2734" s="1" t="s">
        <v>1005</v>
      </c>
      <c r="J2734" s="345"/>
      <c r="K2734" s="703"/>
      <c r="L2734" s="342"/>
      <c r="M2734" s="342"/>
      <c r="N2734" s="340"/>
      <c r="O2734" s="703"/>
      <c r="P2734" s="342"/>
      <c r="Q2734" s="363"/>
      <c r="R2734" s="340"/>
      <c r="S2734" s="342"/>
      <c r="T2734" s="342"/>
      <c r="U2734" s="342"/>
      <c r="V2734" s="340"/>
      <c r="W2734" s="340"/>
    </row>
    <row r="2735" spans="2:23" ht="24" customHeight="1">
      <c r="B2735" s="67"/>
      <c r="F2735" s="346">
        <v>44854</v>
      </c>
      <c r="G2735" s="346"/>
      <c r="H2735" s="346"/>
      <c r="I2735" s="346"/>
      <c r="J2735" s="345"/>
      <c r="K2735" s="703"/>
      <c r="L2735" s="342"/>
      <c r="M2735" s="342"/>
      <c r="N2735" s="340"/>
      <c r="O2735" s="703"/>
      <c r="P2735" s="342"/>
      <c r="Q2735" s="363"/>
      <c r="R2735" s="340"/>
      <c r="S2735" s="342"/>
      <c r="T2735" s="342"/>
      <c r="U2735" s="342"/>
      <c r="V2735" s="340"/>
      <c r="W2735" s="340"/>
    </row>
    <row r="2736" spans="2:23" ht="24" customHeight="1">
      <c r="B2736" s="67"/>
      <c r="G2736" s="3" t="s">
        <v>59</v>
      </c>
      <c r="H2736" s="3"/>
      <c r="I2736" s="3"/>
      <c r="J2736" s="345"/>
      <c r="K2736" s="703"/>
      <c r="L2736" s="342"/>
      <c r="M2736" s="342"/>
      <c r="N2736" s="340"/>
      <c r="O2736" s="703"/>
      <c r="P2736" s="342"/>
      <c r="Q2736" s="363"/>
      <c r="R2736" s="340"/>
      <c r="S2736" s="342"/>
      <c r="T2736" s="342"/>
      <c r="U2736" s="342"/>
      <c r="V2736" s="340"/>
      <c r="W2736" s="340"/>
    </row>
    <row r="2737" spans="2:23" ht="24" customHeight="1">
      <c r="B2737" s="67"/>
      <c r="H2737" s="347">
        <v>44720</v>
      </c>
      <c r="I2737" s="347"/>
      <c r="J2737" s="345"/>
      <c r="K2737" s="703"/>
      <c r="L2737" s="342"/>
      <c r="M2737" s="342"/>
      <c r="N2737" s="340"/>
      <c r="O2737" s="703"/>
      <c r="P2737" s="342"/>
      <c r="Q2737" s="363"/>
      <c r="R2737" s="340"/>
      <c r="S2737" s="342"/>
      <c r="T2737" s="342"/>
      <c r="U2737" s="342"/>
      <c r="V2737" s="340"/>
      <c r="W2737" s="340"/>
    </row>
    <row r="2738" spans="2:23" ht="24" customHeight="1">
      <c r="B2738" s="67"/>
      <c r="I2738" s="3" t="s">
        <v>59</v>
      </c>
      <c r="J2738" s="345">
        <v>14</v>
      </c>
      <c r="K2738" s="703">
        <v>4487.05</v>
      </c>
      <c r="L2738" s="342">
        <v>1</v>
      </c>
      <c r="M2738" s="342">
        <v>20.020700000000001</v>
      </c>
      <c r="N2738" s="340">
        <v>89833.881935000012</v>
      </c>
      <c r="O2738" s="703">
        <v>5385.8</v>
      </c>
      <c r="P2738" s="342">
        <v>1</v>
      </c>
      <c r="Q2738" s="363">
        <v>19.5547</v>
      </c>
      <c r="R2738" s="340">
        <v>105317.70326000001</v>
      </c>
      <c r="S2738" s="342">
        <v>122.044</v>
      </c>
      <c r="T2738" s="342">
        <v>124.571</v>
      </c>
      <c r="U2738" s="342">
        <v>1.0206999999999999</v>
      </c>
      <c r="V2738" s="340">
        <v>107497.779717482</v>
      </c>
      <c r="W2738" s="340">
        <v>-17663.897782481989</v>
      </c>
    </row>
    <row r="2739" spans="2:23" ht="24" customHeight="1">
      <c r="J2739" s="345"/>
      <c r="K2739" s="703"/>
      <c r="L2739" s="342"/>
      <c r="M2739" s="342"/>
      <c r="N2739" s="340"/>
      <c r="O2739" s="703"/>
      <c r="P2739" s="342"/>
      <c r="Q2739" s="363"/>
      <c r="R2739" s="340"/>
      <c r="S2739" s="342"/>
      <c r="T2739" s="342"/>
      <c r="U2739" s="342"/>
      <c r="V2739" s="340"/>
      <c r="W2739" s="340"/>
    </row>
    <row r="2740" spans="2:23" ht="24" customHeight="1">
      <c r="B2740" s="67"/>
      <c r="H2740" s="347">
        <v>44791</v>
      </c>
      <c r="I2740" s="347"/>
      <c r="J2740" s="345"/>
      <c r="K2740" s="703"/>
      <c r="L2740" s="342"/>
      <c r="M2740" s="342"/>
      <c r="N2740" s="340"/>
      <c r="O2740" s="703"/>
      <c r="P2740" s="342"/>
      <c r="Q2740" s="363"/>
      <c r="R2740" s="340"/>
      <c r="S2740" s="342"/>
      <c r="T2740" s="342"/>
      <c r="U2740" s="342"/>
      <c r="V2740" s="340"/>
      <c r="W2740" s="340"/>
    </row>
    <row r="2741" spans="2:23" ht="24" customHeight="1">
      <c r="B2741" s="67"/>
      <c r="I2741" s="3" t="s">
        <v>59</v>
      </c>
      <c r="J2741" s="345">
        <v>4</v>
      </c>
      <c r="K2741" s="703">
        <v>1282.01</v>
      </c>
      <c r="L2741" s="342">
        <v>1</v>
      </c>
      <c r="M2741" s="342">
        <v>20.020700000000001</v>
      </c>
      <c r="N2741" s="340">
        <v>25666.737607000003</v>
      </c>
      <c r="O2741" s="703">
        <v>1667.75</v>
      </c>
      <c r="P2741" s="342">
        <v>1</v>
      </c>
      <c r="Q2741" s="363">
        <v>19.930299999999999</v>
      </c>
      <c r="R2741" s="340">
        <v>33238.757825000001</v>
      </c>
      <c r="S2741" s="342">
        <v>123.803</v>
      </c>
      <c r="T2741" s="342">
        <v>124.571</v>
      </c>
      <c r="U2741" s="342">
        <v>1.0062</v>
      </c>
      <c r="V2741" s="340">
        <v>33444.838123515001</v>
      </c>
      <c r="W2741" s="340">
        <v>-7778.1005165149982</v>
      </c>
    </row>
    <row r="2742" spans="2:23" ht="24" customHeight="1">
      <c r="J2742" s="345"/>
      <c r="K2742" s="703"/>
      <c r="L2742" s="342"/>
      <c r="M2742" s="342"/>
      <c r="N2742" s="340"/>
      <c r="O2742" s="703"/>
      <c r="P2742" s="342"/>
      <c r="Q2742" s="363"/>
      <c r="R2742" s="340"/>
      <c r="S2742" s="342"/>
      <c r="T2742" s="342"/>
      <c r="U2742" s="342"/>
      <c r="V2742" s="340"/>
      <c r="W2742" s="340"/>
    </row>
    <row r="2743" spans="2:23" ht="24" customHeight="1">
      <c r="B2743" s="67"/>
      <c r="E2743" s="131" t="s">
        <v>1178</v>
      </c>
      <c r="F2743" s="131"/>
      <c r="G2743" s="131"/>
      <c r="H2743" s="131"/>
      <c r="I2743" s="131"/>
      <c r="J2743" s="704">
        <v>18</v>
      </c>
      <c r="K2743" s="705">
        <v>5769.06</v>
      </c>
      <c r="L2743" s="369">
        <v>1</v>
      </c>
      <c r="M2743" s="377">
        <v>20.020700000000001</v>
      </c>
      <c r="N2743" s="706">
        <v>115500.61954200001</v>
      </c>
      <c r="O2743" s="705">
        <v>7053.55</v>
      </c>
      <c r="P2743" s="369">
        <v>1</v>
      </c>
      <c r="Q2743" s="377">
        <v>19.7425</v>
      </c>
      <c r="R2743" s="706">
        <v>138556.46108500002</v>
      </c>
      <c r="S2743" s="369">
        <v>122.92349999999999</v>
      </c>
      <c r="T2743" s="369">
        <v>124.571</v>
      </c>
      <c r="U2743" s="369">
        <v>1.01345</v>
      </c>
      <c r="V2743" s="706">
        <v>140942.617840997</v>
      </c>
      <c r="W2743" s="706">
        <v>-25441.998298996987</v>
      </c>
    </row>
    <row r="2744" spans="2:23" ht="24" customHeight="1">
      <c r="J2744" s="345"/>
      <c r="K2744" s="703"/>
      <c r="L2744" s="342"/>
      <c r="M2744" s="342"/>
      <c r="N2744" s="340"/>
      <c r="O2744" s="703"/>
      <c r="P2744" s="342"/>
      <c r="Q2744" s="363"/>
      <c r="R2744" s="340"/>
      <c r="S2744" s="342"/>
      <c r="T2744" s="342"/>
      <c r="U2744" s="342"/>
      <c r="V2744" s="340"/>
      <c r="W2744" s="340"/>
    </row>
    <row r="2745" spans="2:23" ht="24" customHeight="1">
      <c r="B2745" s="67"/>
      <c r="E2745" s="1" t="s">
        <v>834</v>
      </c>
      <c r="J2745" s="345"/>
      <c r="K2745" s="703"/>
      <c r="L2745" s="342"/>
      <c r="M2745" s="342"/>
      <c r="N2745" s="340"/>
      <c r="O2745" s="703"/>
      <c r="P2745" s="342"/>
      <c r="Q2745" s="363"/>
      <c r="R2745" s="340"/>
      <c r="S2745" s="342"/>
      <c r="T2745" s="342"/>
      <c r="U2745" s="342"/>
      <c r="V2745" s="340"/>
      <c r="W2745" s="340"/>
    </row>
    <row r="2746" spans="2:23" ht="24" customHeight="1">
      <c r="B2746" s="67"/>
      <c r="F2746" s="346">
        <v>44652</v>
      </c>
      <c r="G2746" s="346"/>
      <c r="H2746" s="346"/>
      <c r="I2746" s="346"/>
      <c r="J2746" s="345"/>
      <c r="K2746" s="703"/>
      <c r="L2746" s="342"/>
      <c r="M2746" s="342"/>
      <c r="N2746" s="340"/>
      <c r="O2746" s="703"/>
      <c r="P2746" s="342"/>
      <c r="Q2746" s="363"/>
      <c r="R2746" s="340"/>
      <c r="S2746" s="342"/>
      <c r="T2746" s="342"/>
      <c r="U2746" s="342"/>
      <c r="V2746" s="340"/>
      <c r="W2746" s="340"/>
    </row>
    <row r="2747" spans="2:23" ht="24" customHeight="1">
      <c r="B2747" s="67"/>
      <c r="G2747" s="3" t="s">
        <v>59</v>
      </c>
      <c r="H2747" s="3"/>
      <c r="I2747" s="3"/>
      <c r="J2747" s="345"/>
      <c r="K2747" s="703"/>
      <c r="L2747" s="342"/>
      <c r="M2747" s="342"/>
      <c r="N2747" s="340"/>
      <c r="O2747" s="703"/>
      <c r="P2747" s="342"/>
      <c r="Q2747" s="363"/>
      <c r="R2747" s="340"/>
      <c r="S2747" s="342"/>
      <c r="T2747" s="342"/>
      <c r="U2747" s="342"/>
      <c r="V2747" s="340"/>
      <c r="W2747" s="340"/>
    </row>
    <row r="2748" spans="2:23" ht="24" customHeight="1">
      <c r="B2748" s="67"/>
      <c r="H2748" s="347">
        <v>43965</v>
      </c>
      <c r="I2748" s="347"/>
      <c r="J2748" s="345"/>
      <c r="K2748" s="703"/>
      <c r="L2748" s="342"/>
      <c r="M2748" s="342"/>
      <c r="N2748" s="340"/>
      <c r="O2748" s="703"/>
      <c r="P2748" s="342"/>
      <c r="Q2748" s="363"/>
      <c r="R2748" s="340"/>
      <c r="S2748" s="342"/>
      <c r="T2748" s="342"/>
      <c r="U2748" s="342"/>
      <c r="V2748" s="340"/>
      <c r="W2748" s="340"/>
    </row>
    <row r="2749" spans="2:23" ht="24" customHeight="1">
      <c r="B2749" s="67"/>
      <c r="I2749" s="3" t="s">
        <v>59</v>
      </c>
      <c r="J2749" s="345">
        <v>0.4</v>
      </c>
      <c r="K2749" s="703">
        <v>12.24</v>
      </c>
      <c r="L2749" s="342">
        <v>1</v>
      </c>
      <c r="M2749" s="342">
        <v>19.863199999999999</v>
      </c>
      <c r="N2749" s="340">
        <v>243.12556799999999</v>
      </c>
      <c r="O2749" s="703">
        <v>11.87</v>
      </c>
      <c r="P2749" s="342">
        <v>1</v>
      </c>
      <c r="Q2749" s="363">
        <v>24.0487</v>
      </c>
      <c r="R2749" s="340">
        <v>285.45806899999997</v>
      </c>
      <c r="S2749" s="342">
        <v>106.16200000000001</v>
      </c>
      <c r="T2749" s="342">
        <v>120.15900000000001</v>
      </c>
      <c r="U2749" s="342">
        <v>1.1317999999999999</v>
      </c>
      <c r="V2749" s="340">
        <v>323.08144249419996</v>
      </c>
      <c r="W2749" s="340">
        <v>-79.955874494199975</v>
      </c>
    </row>
    <row r="2750" spans="2:23" ht="24" customHeight="1">
      <c r="J2750" s="345"/>
      <c r="K2750" s="703"/>
      <c r="L2750" s="342"/>
      <c r="M2750" s="342"/>
      <c r="N2750" s="340"/>
      <c r="O2750" s="703"/>
      <c r="P2750" s="342"/>
      <c r="Q2750" s="363"/>
      <c r="R2750" s="340"/>
      <c r="S2750" s="342"/>
      <c r="T2750" s="342"/>
      <c r="U2750" s="342"/>
      <c r="V2750" s="340"/>
      <c r="W2750" s="340"/>
    </row>
    <row r="2751" spans="2:23" ht="24" customHeight="1">
      <c r="B2751" s="67"/>
      <c r="F2751" s="346">
        <v>44655</v>
      </c>
      <c r="G2751" s="346"/>
      <c r="H2751" s="346"/>
      <c r="I2751" s="346"/>
      <c r="J2751" s="345"/>
      <c r="K2751" s="703"/>
      <c r="L2751" s="342"/>
      <c r="M2751" s="342"/>
      <c r="N2751" s="340"/>
      <c r="O2751" s="703"/>
      <c r="P2751" s="342"/>
      <c r="Q2751" s="363"/>
      <c r="R2751" s="340"/>
      <c r="S2751" s="342"/>
      <c r="T2751" s="342"/>
      <c r="U2751" s="342"/>
      <c r="V2751" s="340"/>
      <c r="W2751" s="340"/>
    </row>
    <row r="2752" spans="2:23" ht="24" customHeight="1">
      <c r="B2752" s="67"/>
      <c r="G2752" s="3" t="s">
        <v>59</v>
      </c>
      <c r="H2752" s="3"/>
      <c r="I2752" s="3"/>
      <c r="J2752" s="345"/>
      <c r="K2752" s="703"/>
      <c r="L2752" s="342"/>
      <c r="M2752" s="342"/>
      <c r="N2752" s="340"/>
      <c r="O2752" s="703"/>
      <c r="P2752" s="342"/>
      <c r="Q2752" s="363"/>
      <c r="R2752" s="340"/>
      <c r="S2752" s="342"/>
      <c r="T2752" s="342"/>
      <c r="U2752" s="342"/>
      <c r="V2752" s="340"/>
      <c r="W2752" s="340"/>
    </row>
    <row r="2753" spans="2:23" ht="24" customHeight="1">
      <c r="B2753" s="67"/>
      <c r="H2753" s="347">
        <v>43965</v>
      </c>
      <c r="I2753" s="347"/>
      <c r="J2753" s="345"/>
      <c r="K2753" s="703"/>
      <c r="L2753" s="342"/>
      <c r="M2753" s="342"/>
      <c r="N2753" s="340"/>
      <c r="O2753" s="703"/>
      <c r="P2753" s="342"/>
      <c r="Q2753" s="363"/>
      <c r="R2753" s="340"/>
      <c r="S2753" s="342"/>
      <c r="T2753" s="342"/>
      <c r="U2753" s="342"/>
      <c r="V2753" s="340"/>
      <c r="W2753" s="340"/>
    </row>
    <row r="2754" spans="2:23" ht="24" customHeight="1">
      <c r="B2754" s="67"/>
      <c r="I2754" s="3" t="s">
        <v>59</v>
      </c>
      <c r="J2754" s="345">
        <v>15.2</v>
      </c>
      <c r="K2754" s="703">
        <v>465.06</v>
      </c>
      <c r="L2754" s="342">
        <v>1</v>
      </c>
      <c r="M2754" s="342">
        <v>19.911200000000001</v>
      </c>
      <c r="N2754" s="340">
        <v>9259.9026720000002</v>
      </c>
      <c r="O2754" s="703">
        <v>451.12</v>
      </c>
      <c r="P2754" s="342">
        <v>1</v>
      </c>
      <c r="Q2754" s="363">
        <v>24.0487</v>
      </c>
      <c r="R2754" s="340">
        <v>10848.849544000001</v>
      </c>
      <c r="S2754" s="342">
        <v>106.16200000000001</v>
      </c>
      <c r="T2754" s="342">
        <v>120.15900000000001</v>
      </c>
      <c r="U2754" s="342">
        <v>1.1317999999999999</v>
      </c>
      <c r="V2754" s="340">
        <v>12278.7279138992</v>
      </c>
      <c r="W2754" s="340">
        <v>-3018.8252418991997</v>
      </c>
    </row>
    <row r="2755" spans="2:23" ht="24" customHeight="1">
      <c r="J2755" s="345"/>
      <c r="K2755" s="703"/>
      <c r="L2755" s="342"/>
      <c r="M2755" s="342"/>
      <c r="N2755" s="340"/>
      <c r="O2755" s="703"/>
      <c r="P2755" s="342"/>
      <c r="Q2755" s="363"/>
      <c r="R2755" s="340"/>
      <c r="S2755" s="342"/>
      <c r="T2755" s="342"/>
      <c r="U2755" s="342"/>
      <c r="V2755" s="340"/>
      <c r="W2755" s="340"/>
    </row>
    <row r="2756" spans="2:23" ht="24" customHeight="1">
      <c r="B2756" s="67"/>
      <c r="H2756" s="347">
        <v>44102</v>
      </c>
      <c r="I2756" s="347"/>
      <c r="J2756" s="345"/>
      <c r="K2756" s="703"/>
      <c r="L2756" s="342"/>
      <c r="M2756" s="342"/>
      <c r="N2756" s="340"/>
      <c r="O2756" s="703"/>
      <c r="P2756" s="342"/>
      <c r="Q2756" s="363"/>
      <c r="R2756" s="340"/>
      <c r="S2756" s="342"/>
      <c r="T2756" s="342"/>
      <c r="U2756" s="342"/>
      <c r="V2756" s="340"/>
      <c r="W2756" s="340"/>
    </row>
    <row r="2757" spans="2:23" ht="24" customHeight="1">
      <c r="B2757" s="67"/>
      <c r="I2757" s="3" t="s">
        <v>59</v>
      </c>
      <c r="J2757" s="345">
        <v>6.4</v>
      </c>
      <c r="K2757" s="703">
        <v>195.82</v>
      </c>
      <c r="L2757" s="342">
        <v>1</v>
      </c>
      <c r="M2757" s="342">
        <v>19.911200000000001</v>
      </c>
      <c r="N2757" s="340">
        <v>3899.011184</v>
      </c>
      <c r="O2757" s="703">
        <v>166.91</v>
      </c>
      <c r="P2757" s="342">
        <v>1</v>
      </c>
      <c r="Q2757" s="363">
        <v>22.367799999999999</v>
      </c>
      <c r="R2757" s="340">
        <v>3733.409498</v>
      </c>
      <c r="S2757" s="342">
        <v>108.114</v>
      </c>
      <c r="T2757" s="342">
        <v>120.15900000000001</v>
      </c>
      <c r="U2757" s="342">
        <v>1.1113999999999999</v>
      </c>
      <c r="V2757" s="340">
        <v>4149.3113160772</v>
      </c>
      <c r="W2757" s="340">
        <v>-250.30013207720003</v>
      </c>
    </row>
    <row r="2758" spans="2:23" ht="24" customHeight="1">
      <c r="J2758" s="345"/>
      <c r="K2758" s="703"/>
      <c r="L2758" s="342"/>
      <c r="M2758" s="342"/>
      <c r="N2758" s="340"/>
      <c r="O2758" s="703"/>
      <c r="P2758" s="342"/>
      <c r="Q2758" s="363"/>
      <c r="R2758" s="340"/>
      <c r="S2758" s="342"/>
      <c r="T2758" s="342"/>
      <c r="U2758" s="342"/>
      <c r="V2758" s="340"/>
      <c r="W2758" s="340"/>
    </row>
    <row r="2759" spans="2:23" ht="24" customHeight="1">
      <c r="B2759" s="67"/>
      <c r="H2759" s="347">
        <v>44126</v>
      </c>
      <c r="I2759" s="347"/>
      <c r="J2759" s="345"/>
      <c r="K2759" s="703"/>
      <c r="L2759" s="342"/>
      <c r="M2759" s="342"/>
      <c r="N2759" s="340"/>
      <c r="O2759" s="703"/>
      <c r="P2759" s="342"/>
      <c r="Q2759" s="363"/>
      <c r="R2759" s="340"/>
      <c r="S2759" s="342"/>
      <c r="T2759" s="342"/>
      <c r="U2759" s="342"/>
      <c r="V2759" s="340"/>
      <c r="W2759" s="340"/>
    </row>
    <row r="2760" spans="2:23" ht="24" customHeight="1">
      <c r="B2760" s="67"/>
      <c r="I2760" s="3" t="s">
        <v>59</v>
      </c>
      <c r="J2760" s="345">
        <v>16.399999999999999</v>
      </c>
      <c r="K2760" s="703">
        <v>501.78</v>
      </c>
      <c r="L2760" s="342">
        <v>1</v>
      </c>
      <c r="M2760" s="342">
        <v>19.911200000000001</v>
      </c>
      <c r="N2760" s="340">
        <v>9991.0419359999996</v>
      </c>
      <c r="O2760" s="703">
        <v>454.06</v>
      </c>
      <c r="P2760" s="342">
        <v>1</v>
      </c>
      <c r="Q2760" s="363">
        <v>21.090199999999999</v>
      </c>
      <c r="R2760" s="340">
        <v>9576.2162119999994</v>
      </c>
      <c r="S2760" s="342">
        <v>108.774</v>
      </c>
      <c r="T2760" s="342">
        <v>120.15900000000001</v>
      </c>
      <c r="U2760" s="342">
        <v>1.1046</v>
      </c>
      <c r="V2760" s="340">
        <v>10577.8884277752</v>
      </c>
      <c r="W2760" s="340">
        <v>-586.84649177520078</v>
      </c>
    </row>
    <row r="2761" spans="2:23" ht="24" customHeight="1">
      <c r="J2761" s="345"/>
      <c r="K2761" s="703"/>
      <c r="L2761" s="342"/>
      <c r="M2761" s="342"/>
      <c r="N2761" s="340"/>
      <c r="O2761" s="703"/>
      <c r="P2761" s="342"/>
      <c r="Q2761" s="363"/>
      <c r="R2761" s="340"/>
      <c r="S2761" s="342"/>
      <c r="T2761" s="342"/>
      <c r="U2761" s="342"/>
      <c r="V2761" s="340"/>
      <c r="W2761" s="340"/>
    </row>
    <row r="2762" spans="2:23" ht="24" customHeight="1">
      <c r="B2762" s="67"/>
      <c r="H2762" s="347">
        <v>44365</v>
      </c>
      <c r="I2762" s="347"/>
      <c r="J2762" s="345"/>
      <c r="K2762" s="703"/>
      <c r="L2762" s="342"/>
      <c r="M2762" s="342"/>
      <c r="N2762" s="340"/>
      <c r="O2762" s="703"/>
      <c r="P2762" s="342"/>
      <c r="Q2762" s="363"/>
      <c r="R2762" s="340"/>
      <c r="S2762" s="342"/>
      <c r="T2762" s="342"/>
      <c r="U2762" s="342"/>
      <c r="V2762" s="340"/>
      <c r="W2762" s="340"/>
    </row>
    <row r="2763" spans="2:23" ht="24" customHeight="1">
      <c r="B2763" s="67"/>
      <c r="I2763" s="3" t="s">
        <v>59</v>
      </c>
      <c r="J2763" s="345">
        <v>17</v>
      </c>
      <c r="K2763" s="703">
        <v>520.14</v>
      </c>
      <c r="L2763" s="342">
        <v>1</v>
      </c>
      <c r="M2763" s="342">
        <v>19.911200000000001</v>
      </c>
      <c r="N2763" s="340">
        <v>10356.611568</v>
      </c>
      <c r="O2763" s="703">
        <v>473.29</v>
      </c>
      <c r="P2763" s="342">
        <v>1</v>
      </c>
      <c r="Q2763" s="363">
        <v>20.058800000000002</v>
      </c>
      <c r="R2763" s="340">
        <v>9493.629452000001</v>
      </c>
      <c r="S2763" s="342">
        <v>113.018</v>
      </c>
      <c r="T2763" s="342">
        <v>120.15900000000001</v>
      </c>
      <c r="U2763" s="342">
        <v>1.0630999999999999</v>
      </c>
      <c r="V2763" s="340">
        <v>10092.6774704212</v>
      </c>
      <c r="W2763" s="340">
        <v>263.93409757879999</v>
      </c>
    </row>
    <row r="2764" spans="2:23" ht="24" customHeight="1">
      <c r="J2764" s="345"/>
      <c r="K2764" s="703"/>
      <c r="L2764" s="342"/>
      <c r="M2764" s="342"/>
      <c r="N2764" s="340"/>
      <c r="O2764" s="703"/>
      <c r="P2764" s="342"/>
      <c r="Q2764" s="363"/>
      <c r="R2764" s="340"/>
      <c r="S2764" s="342"/>
      <c r="T2764" s="342"/>
      <c r="U2764" s="342"/>
      <c r="V2764" s="340"/>
      <c r="W2764" s="340"/>
    </row>
    <row r="2765" spans="2:23" ht="24" customHeight="1">
      <c r="B2765" s="67"/>
      <c r="E2765" s="131" t="s">
        <v>1179</v>
      </c>
      <c r="F2765" s="131"/>
      <c r="G2765" s="131"/>
      <c r="H2765" s="131"/>
      <c r="I2765" s="131"/>
      <c r="J2765" s="704">
        <v>55.4</v>
      </c>
      <c r="K2765" s="705">
        <v>1695.04</v>
      </c>
      <c r="L2765" s="369">
        <v>1</v>
      </c>
      <c r="M2765" s="377">
        <v>19.901600000000002</v>
      </c>
      <c r="N2765" s="706">
        <v>33749.692927999997</v>
      </c>
      <c r="O2765" s="705">
        <v>1557.25</v>
      </c>
      <c r="P2765" s="369">
        <v>1</v>
      </c>
      <c r="Q2765" s="377">
        <v>22.322839999999999</v>
      </c>
      <c r="R2765" s="706">
        <v>33937.562774999999</v>
      </c>
      <c r="S2765" s="369">
        <v>108.446</v>
      </c>
      <c r="T2765" s="369">
        <v>120.15900000000002</v>
      </c>
      <c r="U2765" s="369">
        <v>1.1085400000000001</v>
      </c>
      <c r="V2765" s="706">
        <v>37421.686570667</v>
      </c>
      <c r="W2765" s="706">
        <v>-3671.9936426670006</v>
      </c>
    </row>
    <row r="2766" spans="2:23" ht="24" customHeight="1">
      <c r="J2766" s="345"/>
      <c r="K2766" s="703"/>
      <c r="L2766" s="342"/>
      <c r="M2766" s="342"/>
      <c r="N2766" s="340"/>
      <c r="O2766" s="703"/>
      <c r="P2766" s="342"/>
      <c r="Q2766" s="363"/>
      <c r="R2766" s="340"/>
      <c r="S2766" s="342"/>
      <c r="T2766" s="342"/>
      <c r="U2766" s="342"/>
      <c r="V2766" s="340"/>
      <c r="W2766" s="340"/>
    </row>
    <row r="2767" spans="2:23" ht="24" customHeight="1">
      <c r="B2767" s="67"/>
      <c r="E2767" s="1" t="s">
        <v>763</v>
      </c>
      <c r="J2767" s="345"/>
      <c r="K2767" s="703"/>
      <c r="L2767" s="342"/>
      <c r="M2767" s="342"/>
      <c r="N2767" s="340"/>
      <c r="O2767" s="703"/>
      <c r="P2767" s="342"/>
      <c r="Q2767" s="363"/>
      <c r="R2767" s="340"/>
      <c r="S2767" s="342"/>
      <c r="T2767" s="342"/>
      <c r="U2767" s="342"/>
      <c r="V2767" s="340"/>
      <c r="W2767" s="340"/>
    </row>
    <row r="2768" spans="2:23" ht="24" customHeight="1">
      <c r="B2768" s="67"/>
      <c r="F2768" s="346">
        <v>44824</v>
      </c>
      <c r="G2768" s="346"/>
      <c r="H2768" s="346"/>
      <c r="I2768" s="346"/>
      <c r="J2768" s="345"/>
      <c r="K2768" s="703"/>
      <c r="L2768" s="342"/>
      <c r="M2768" s="342"/>
      <c r="N2768" s="340"/>
      <c r="O2768" s="703"/>
      <c r="P2768" s="342"/>
      <c r="Q2768" s="363"/>
      <c r="R2768" s="340"/>
      <c r="S2768" s="342"/>
      <c r="T2768" s="342"/>
      <c r="U2768" s="342"/>
      <c r="V2768" s="340"/>
      <c r="W2768" s="340"/>
    </row>
    <row r="2769" spans="2:23" ht="24" customHeight="1">
      <c r="B2769" s="67"/>
      <c r="G2769" s="3" t="s">
        <v>59</v>
      </c>
      <c r="H2769" s="3"/>
      <c r="I2769" s="3"/>
      <c r="J2769" s="345"/>
      <c r="K2769" s="703"/>
      <c r="L2769" s="342"/>
      <c r="M2769" s="342"/>
      <c r="N2769" s="340"/>
      <c r="O2769" s="703"/>
      <c r="P2769" s="342"/>
      <c r="Q2769" s="363"/>
      <c r="R2769" s="340"/>
      <c r="S2769" s="342"/>
      <c r="T2769" s="342"/>
      <c r="U2769" s="342"/>
      <c r="V2769" s="340"/>
      <c r="W2769" s="340"/>
    </row>
    <row r="2770" spans="2:23" ht="24" customHeight="1">
      <c r="B2770" s="67"/>
      <c r="H2770" s="347">
        <v>44208</v>
      </c>
      <c r="I2770" s="347"/>
      <c r="J2770" s="345"/>
      <c r="K2770" s="703"/>
      <c r="L2770" s="342"/>
      <c r="M2770" s="342"/>
      <c r="N2770" s="340"/>
      <c r="O2770" s="703"/>
      <c r="P2770" s="342"/>
      <c r="Q2770" s="363"/>
      <c r="R2770" s="340"/>
      <c r="S2770" s="342"/>
      <c r="T2770" s="342"/>
      <c r="U2770" s="342"/>
      <c r="V2770" s="340"/>
      <c r="W2770" s="340"/>
    </row>
    <row r="2771" spans="2:23" ht="24" customHeight="1">
      <c r="B2771" s="67"/>
      <c r="I2771" s="3" t="s">
        <v>59</v>
      </c>
      <c r="J2771" s="345">
        <v>355</v>
      </c>
      <c r="K2771" s="703">
        <v>27629.83</v>
      </c>
      <c r="L2771" s="342">
        <v>1</v>
      </c>
      <c r="M2771" s="342">
        <v>20.052499999999998</v>
      </c>
      <c r="N2771" s="340">
        <v>554047.16607499996</v>
      </c>
      <c r="O2771" s="703">
        <v>29706.58</v>
      </c>
      <c r="P2771" s="342">
        <v>1</v>
      </c>
      <c r="Q2771" s="363">
        <v>19.970500000000001</v>
      </c>
      <c r="R2771" s="340">
        <v>593255.25589000003</v>
      </c>
      <c r="S2771" s="342">
        <v>110.21</v>
      </c>
      <c r="T2771" s="342">
        <v>123.803</v>
      </c>
      <c r="U2771" s="342">
        <v>1.1233</v>
      </c>
      <c r="V2771" s="340">
        <v>666403.628941237</v>
      </c>
      <c r="W2771" s="340">
        <v>-112356.46286623704</v>
      </c>
    </row>
    <row r="2772" spans="2:23" ht="24" customHeight="1">
      <c r="J2772" s="345"/>
      <c r="K2772" s="703"/>
      <c r="L2772" s="342"/>
      <c r="M2772" s="342"/>
      <c r="N2772" s="340"/>
      <c r="O2772" s="703"/>
      <c r="P2772" s="342"/>
      <c r="Q2772" s="363"/>
      <c r="R2772" s="340"/>
      <c r="S2772" s="342"/>
      <c r="T2772" s="342"/>
      <c r="U2772" s="342"/>
      <c r="V2772" s="340"/>
      <c r="W2772" s="340"/>
    </row>
    <row r="2773" spans="2:23" ht="24" customHeight="1">
      <c r="B2773" s="67"/>
      <c r="H2773" s="347">
        <v>44209</v>
      </c>
      <c r="I2773" s="347"/>
      <c r="J2773" s="345"/>
      <c r="K2773" s="703"/>
      <c r="L2773" s="342"/>
      <c r="M2773" s="342"/>
      <c r="N2773" s="340"/>
      <c r="O2773" s="703"/>
      <c r="P2773" s="342"/>
      <c r="Q2773" s="363"/>
      <c r="R2773" s="340"/>
      <c r="S2773" s="342"/>
      <c r="T2773" s="342"/>
      <c r="U2773" s="342"/>
      <c r="V2773" s="340"/>
      <c r="W2773" s="340"/>
    </row>
    <row r="2774" spans="2:23" ht="24" customHeight="1">
      <c r="B2774" s="67"/>
      <c r="I2774" s="3" t="s">
        <v>59</v>
      </c>
      <c r="J2774" s="345">
        <v>33</v>
      </c>
      <c r="K2774" s="703">
        <v>2568.41</v>
      </c>
      <c r="L2774" s="342">
        <v>1</v>
      </c>
      <c r="M2774" s="342">
        <v>20.052499999999998</v>
      </c>
      <c r="N2774" s="340">
        <v>51503.041524999993</v>
      </c>
      <c r="O2774" s="703">
        <v>2735.3</v>
      </c>
      <c r="P2774" s="342">
        <v>1</v>
      </c>
      <c r="Q2774" s="363">
        <v>20.113</v>
      </c>
      <c r="R2774" s="340">
        <v>55015.088900000002</v>
      </c>
      <c r="S2774" s="342">
        <v>110.21</v>
      </c>
      <c r="T2774" s="342">
        <v>123.803</v>
      </c>
      <c r="U2774" s="342">
        <v>1.1233</v>
      </c>
      <c r="V2774" s="340">
        <v>61798.449361370003</v>
      </c>
      <c r="W2774" s="340">
        <v>-10295.40783637001</v>
      </c>
    </row>
    <row r="2775" spans="2:23" ht="24" customHeight="1">
      <c r="J2775" s="345"/>
      <c r="K2775" s="703"/>
      <c r="L2775" s="342"/>
      <c r="M2775" s="342"/>
      <c r="N2775" s="340"/>
      <c r="O2775" s="703"/>
      <c r="P2775" s="342"/>
      <c r="Q2775" s="363"/>
      <c r="R2775" s="340"/>
      <c r="S2775" s="342"/>
      <c r="T2775" s="342"/>
      <c r="U2775" s="342"/>
      <c r="V2775" s="340"/>
      <c r="W2775" s="340"/>
    </row>
    <row r="2776" spans="2:23" ht="24" customHeight="1">
      <c r="B2776" s="67"/>
      <c r="F2776" s="346">
        <v>44825</v>
      </c>
      <c r="G2776" s="346"/>
      <c r="H2776" s="346"/>
      <c r="I2776" s="346"/>
      <c r="J2776" s="345"/>
      <c r="K2776" s="703"/>
      <c r="L2776" s="342"/>
      <c r="M2776" s="342"/>
      <c r="N2776" s="340"/>
      <c r="O2776" s="703"/>
      <c r="P2776" s="342"/>
      <c r="Q2776" s="363"/>
      <c r="R2776" s="340"/>
      <c r="S2776" s="342"/>
      <c r="T2776" s="342"/>
      <c r="U2776" s="342"/>
      <c r="V2776" s="340"/>
      <c r="W2776" s="340"/>
    </row>
    <row r="2777" spans="2:23" ht="24" customHeight="1">
      <c r="B2777" s="67"/>
      <c r="G2777" s="3" t="s">
        <v>59</v>
      </c>
      <c r="H2777" s="3"/>
      <c r="I2777" s="3"/>
      <c r="J2777" s="345"/>
      <c r="K2777" s="703"/>
      <c r="L2777" s="342"/>
      <c r="M2777" s="342"/>
      <c r="N2777" s="340"/>
      <c r="O2777" s="703"/>
      <c r="P2777" s="342"/>
      <c r="Q2777" s="363"/>
      <c r="R2777" s="340"/>
      <c r="S2777" s="342"/>
      <c r="T2777" s="342"/>
      <c r="U2777" s="342"/>
      <c r="V2777" s="340"/>
      <c r="W2777" s="340"/>
    </row>
    <row r="2778" spans="2:23" ht="24" customHeight="1">
      <c r="B2778" s="67"/>
      <c r="H2778" s="347">
        <v>44209</v>
      </c>
      <c r="I2778" s="347"/>
      <c r="J2778" s="345"/>
      <c r="K2778" s="703"/>
      <c r="L2778" s="342"/>
      <c r="M2778" s="342"/>
      <c r="N2778" s="340"/>
      <c r="O2778" s="703"/>
      <c r="P2778" s="342"/>
      <c r="Q2778" s="363"/>
      <c r="R2778" s="340"/>
      <c r="S2778" s="342"/>
      <c r="T2778" s="342"/>
      <c r="U2778" s="342"/>
      <c r="V2778" s="340"/>
      <c r="W2778" s="340"/>
    </row>
    <row r="2779" spans="2:23" ht="24" customHeight="1">
      <c r="B2779" s="67"/>
      <c r="I2779" s="3" t="s">
        <v>59</v>
      </c>
      <c r="J2779" s="345">
        <v>177</v>
      </c>
      <c r="K2779" s="703">
        <v>13873.58</v>
      </c>
      <c r="L2779" s="342">
        <v>1</v>
      </c>
      <c r="M2779" s="342">
        <v>19.994299999999999</v>
      </c>
      <c r="N2779" s="340">
        <v>277392.520594</v>
      </c>
      <c r="O2779" s="703">
        <v>14671.16</v>
      </c>
      <c r="P2779" s="342">
        <v>1</v>
      </c>
      <c r="Q2779" s="363">
        <v>20.113</v>
      </c>
      <c r="R2779" s="340">
        <v>295081.04108</v>
      </c>
      <c r="S2779" s="342">
        <v>110.21</v>
      </c>
      <c r="T2779" s="342">
        <v>123.803</v>
      </c>
      <c r="U2779" s="342">
        <v>1.1233</v>
      </c>
      <c r="V2779" s="340">
        <v>331464.53344516398</v>
      </c>
      <c r="W2779" s="340">
        <v>-54072.012851163978</v>
      </c>
    </row>
    <row r="2780" spans="2:23" ht="24" customHeight="1">
      <c r="J2780" s="345"/>
      <c r="K2780" s="703"/>
      <c r="L2780" s="342"/>
      <c r="M2780" s="342"/>
      <c r="N2780" s="340"/>
      <c r="O2780" s="703"/>
      <c r="P2780" s="342"/>
      <c r="Q2780" s="363"/>
      <c r="R2780" s="340"/>
      <c r="S2780" s="342"/>
      <c r="T2780" s="342"/>
      <c r="U2780" s="342"/>
      <c r="V2780" s="340"/>
      <c r="W2780" s="340"/>
    </row>
    <row r="2781" spans="2:23" ht="24" customHeight="1">
      <c r="B2781" s="67"/>
      <c r="E2781" s="131" t="s">
        <v>1180</v>
      </c>
      <c r="F2781" s="131"/>
      <c r="G2781" s="131"/>
      <c r="H2781" s="131"/>
      <c r="I2781" s="131"/>
      <c r="J2781" s="704">
        <v>565</v>
      </c>
      <c r="K2781" s="705">
        <v>44071.82</v>
      </c>
      <c r="L2781" s="369">
        <v>1</v>
      </c>
      <c r="M2781" s="377">
        <v>20.033100000000001</v>
      </c>
      <c r="N2781" s="706">
        <v>882942.72819399997</v>
      </c>
      <c r="O2781" s="705">
        <v>47113.04</v>
      </c>
      <c r="P2781" s="369">
        <v>1</v>
      </c>
      <c r="Q2781" s="377">
        <v>20.0655</v>
      </c>
      <c r="R2781" s="706">
        <v>943351.38587</v>
      </c>
      <c r="S2781" s="369">
        <v>110.21</v>
      </c>
      <c r="T2781" s="369">
        <v>123.803</v>
      </c>
      <c r="U2781" s="369">
        <v>1.1233</v>
      </c>
      <c r="V2781" s="706">
        <v>1059666.611747771</v>
      </c>
      <c r="W2781" s="706">
        <v>-176723.88355377101</v>
      </c>
    </row>
    <row r="2782" spans="2:23" ht="24" customHeight="1">
      <c r="J2782" s="345"/>
      <c r="K2782" s="703"/>
      <c r="L2782" s="342"/>
      <c r="M2782" s="342"/>
      <c r="N2782" s="340"/>
      <c r="O2782" s="703"/>
      <c r="P2782" s="342"/>
      <c r="Q2782" s="363"/>
      <c r="R2782" s="340"/>
      <c r="S2782" s="342"/>
      <c r="T2782" s="342"/>
      <c r="U2782" s="342"/>
      <c r="V2782" s="340"/>
      <c r="W2782" s="340"/>
    </row>
    <row r="2783" spans="2:23" ht="24" customHeight="1">
      <c r="B2783" s="67"/>
      <c r="E2783" s="1" t="s">
        <v>975</v>
      </c>
      <c r="J2783" s="345"/>
      <c r="K2783" s="703"/>
      <c r="L2783" s="342"/>
      <c r="M2783" s="342"/>
      <c r="N2783" s="340"/>
      <c r="O2783" s="703"/>
      <c r="P2783" s="342"/>
      <c r="Q2783" s="363"/>
      <c r="R2783" s="340"/>
      <c r="S2783" s="342"/>
      <c r="T2783" s="342"/>
      <c r="U2783" s="342"/>
      <c r="V2783" s="340"/>
      <c r="W2783" s="340"/>
    </row>
    <row r="2784" spans="2:23" ht="24" customHeight="1">
      <c r="B2784" s="67"/>
      <c r="F2784" s="346">
        <v>44790</v>
      </c>
      <c r="G2784" s="346"/>
      <c r="H2784" s="346"/>
      <c r="I2784" s="346"/>
      <c r="J2784" s="345"/>
      <c r="K2784" s="703"/>
      <c r="L2784" s="342"/>
      <c r="M2784" s="342"/>
      <c r="N2784" s="340"/>
      <c r="O2784" s="703"/>
      <c r="P2784" s="342"/>
      <c r="Q2784" s="363"/>
      <c r="R2784" s="340"/>
      <c r="S2784" s="342"/>
      <c r="T2784" s="342"/>
      <c r="U2784" s="342"/>
      <c r="V2784" s="340"/>
      <c r="W2784" s="340"/>
    </row>
    <row r="2785" spans="2:23" ht="24" customHeight="1">
      <c r="B2785" s="67"/>
      <c r="G2785" s="3" t="s">
        <v>59</v>
      </c>
      <c r="H2785" s="3"/>
      <c r="I2785" s="3"/>
      <c r="J2785" s="345"/>
      <c r="K2785" s="703"/>
      <c r="L2785" s="342"/>
      <c r="M2785" s="342"/>
      <c r="N2785" s="340"/>
      <c r="O2785" s="703"/>
      <c r="P2785" s="342"/>
      <c r="Q2785" s="363"/>
      <c r="R2785" s="340"/>
      <c r="S2785" s="342"/>
      <c r="T2785" s="342"/>
      <c r="U2785" s="342"/>
      <c r="V2785" s="340"/>
      <c r="W2785" s="340"/>
    </row>
    <row r="2786" spans="2:23" ht="24" customHeight="1">
      <c r="B2786" s="67"/>
      <c r="H2786" s="347">
        <v>43731</v>
      </c>
      <c r="I2786" s="347"/>
      <c r="J2786" s="345"/>
      <c r="K2786" s="703"/>
      <c r="L2786" s="342"/>
      <c r="M2786" s="342"/>
      <c r="N2786" s="340"/>
      <c r="O2786" s="703"/>
      <c r="P2786" s="342"/>
      <c r="Q2786" s="363"/>
      <c r="R2786" s="340"/>
      <c r="S2786" s="342"/>
      <c r="T2786" s="342"/>
      <c r="U2786" s="342"/>
      <c r="V2786" s="340"/>
      <c r="W2786" s="340"/>
    </row>
    <row r="2787" spans="2:23" ht="24" customHeight="1">
      <c r="B2787" s="67"/>
      <c r="I2787" s="3" t="s">
        <v>59</v>
      </c>
      <c r="J2787" s="345">
        <v>68</v>
      </c>
      <c r="K2787" s="703">
        <v>6918.16</v>
      </c>
      <c r="L2787" s="342">
        <v>1</v>
      </c>
      <c r="M2787" s="342">
        <v>19.861799999999999</v>
      </c>
      <c r="N2787" s="340">
        <v>137407.110288</v>
      </c>
      <c r="O2787" s="703">
        <v>8917.92</v>
      </c>
      <c r="P2787" s="342">
        <v>1</v>
      </c>
      <c r="Q2787" s="363">
        <v>19.398099999999999</v>
      </c>
      <c r="R2787" s="340">
        <v>172990.70395200001</v>
      </c>
      <c r="S2787" s="342">
        <v>103.94199999999999</v>
      </c>
      <c r="T2787" s="342">
        <v>122.94799999999999</v>
      </c>
      <c r="U2787" s="342">
        <v>1.1828000000000001</v>
      </c>
      <c r="V2787" s="340">
        <v>204613.40463442562</v>
      </c>
      <c r="W2787" s="340">
        <v>-67206.294346425624</v>
      </c>
    </row>
    <row r="2788" spans="2:23" ht="24" customHeight="1">
      <c r="J2788" s="345"/>
      <c r="K2788" s="703"/>
      <c r="L2788" s="342"/>
      <c r="M2788" s="342"/>
      <c r="N2788" s="340"/>
      <c r="O2788" s="703"/>
      <c r="P2788" s="342"/>
      <c r="Q2788" s="363"/>
      <c r="R2788" s="340"/>
      <c r="S2788" s="342"/>
      <c r="T2788" s="342"/>
      <c r="U2788" s="342"/>
      <c r="V2788" s="340"/>
      <c r="W2788" s="340"/>
    </row>
    <row r="2789" spans="2:23" ht="24" customHeight="1">
      <c r="B2789" s="67"/>
      <c r="E2789" s="131" t="s">
        <v>1181</v>
      </c>
      <c r="F2789" s="131"/>
      <c r="G2789" s="131"/>
      <c r="H2789" s="131"/>
      <c r="I2789" s="131"/>
      <c r="J2789" s="704">
        <v>68</v>
      </c>
      <c r="K2789" s="705">
        <v>6918.16</v>
      </c>
      <c r="L2789" s="369">
        <v>1</v>
      </c>
      <c r="M2789" s="377">
        <v>19.861799999999999</v>
      </c>
      <c r="N2789" s="706">
        <v>137407.110288</v>
      </c>
      <c r="O2789" s="705">
        <v>8917.92</v>
      </c>
      <c r="P2789" s="369">
        <v>1</v>
      </c>
      <c r="Q2789" s="377">
        <v>19.398099999999999</v>
      </c>
      <c r="R2789" s="706">
        <v>172990.70395200001</v>
      </c>
      <c r="S2789" s="369">
        <v>103.94199999999999</v>
      </c>
      <c r="T2789" s="369">
        <v>122.94799999999999</v>
      </c>
      <c r="U2789" s="369">
        <v>1.1828000000000001</v>
      </c>
      <c r="V2789" s="706">
        <v>204613.40463442562</v>
      </c>
      <c r="W2789" s="706">
        <v>-67206.294346425624</v>
      </c>
    </row>
    <row r="2790" spans="2:23" ht="24" customHeight="1">
      <c r="J2790" s="345"/>
      <c r="K2790" s="703"/>
      <c r="L2790" s="342"/>
      <c r="M2790" s="342"/>
      <c r="N2790" s="340"/>
      <c r="O2790" s="703"/>
      <c r="P2790" s="342"/>
      <c r="Q2790" s="363"/>
      <c r="R2790" s="340"/>
      <c r="S2790" s="342"/>
      <c r="T2790" s="342"/>
      <c r="U2790" s="342"/>
      <c r="V2790" s="340"/>
      <c r="W2790" s="340"/>
    </row>
    <row r="2791" spans="2:23" ht="24" customHeight="1">
      <c r="B2791" s="67"/>
      <c r="E2791" s="1" t="s">
        <v>783</v>
      </c>
      <c r="J2791" s="345"/>
      <c r="K2791" s="703"/>
      <c r="L2791" s="342"/>
      <c r="M2791" s="342"/>
      <c r="N2791" s="340"/>
      <c r="O2791" s="703"/>
      <c r="P2791" s="342"/>
      <c r="Q2791" s="363"/>
      <c r="R2791" s="340"/>
      <c r="S2791" s="342"/>
      <c r="T2791" s="342"/>
      <c r="U2791" s="342"/>
      <c r="V2791" s="340"/>
      <c r="W2791" s="340"/>
    </row>
    <row r="2792" spans="2:23" ht="24" customHeight="1">
      <c r="B2792" s="67"/>
      <c r="F2792" s="346">
        <v>44642</v>
      </c>
      <c r="G2792" s="346"/>
      <c r="H2792" s="346"/>
      <c r="I2792" s="346"/>
      <c r="J2792" s="345"/>
      <c r="K2792" s="703"/>
      <c r="L2792" s="342"/>
      <c r="M2792" s="342"/>
      <c r="N2792" s="340"/>
      <c r="O2792" s="703"/>
      <c r="P2792" s="342"/>
      <c r="Q2792" s="363"/>
      <c r="R2792" s="340"/>
      <c r="S2792" s="342"/>
      <c r="T2792" s="342"/>
      <c r="U2792" s="342"/>
      <c r="V2792" s="340"/>
      <c r="W2792" s="340"/>
    </row>
    <row r="2793" spans="2:23" ht="24" customHeight="1">
      <c r="B2793" s="67"/>
      <c r="G2793" s="3" t="s">
        <v>59</v>
      </c>
      <c r="H2793" s="3"/>
      <c r="I2793" s="3"/>
      <c r="J2793" s="345"/>
      <c r="K2793" s="703"/>
      <c r="L2793" s="342"/>
      <c r="M2793" s="342"/>
      <c r="N2793" s="340"/>
      <c r="O2793" s="703"/>
      <c r="P2793" s="342"/>
      <c r="Q2793" s="363"/>
      <c r="R2793" s="340"/>
      <c r="S2793" s="342"/>
      <c r="T2793" s="342"/>
      <c r="U2793" s="342"/>
      <c r="V2793" s="340"/>
      <c r="W2793" s="340"/>
    </row>
    <row r="2794" spans="2:23" ht="24" customHeight="1">
      <c r="B2794" s="67"/>
      <c r="H2794" s="347">
        <v>44102</v>
      </c>
      <c r="I2794" s="347"/>
      <c r="J2794" s="345"/>
      <c r="K2794" s="703"/>
      <c r="L2794" s="342"/>
      <c r="M2794" s="342"/>
      <c r="N2794" s="340"/>
      <c r="O2794" s="703"/>
      <c r="P2794" s="342"/>
      <c r="Q2794" s="363"/>
      <c r="R2794" s="340"/>
      <c r="S2794" s="342"/>
      <c r="T2794" s="342"/>
      <c r="U2794" s="342"/>
      <c r="V2794" s="340"/>
      <c r="W2794" s="340"/>
    </row>
    <row r="2795" spans="2:23" ht="24" customHeight="1">
      <c r="B2795" s="67"/>
      <c r="I2795" s="3" t="s">
        <v>59</v>
      </c>
      <c r="J2795" s="345">
        <v>30</v>
      </c>
      <c r="K2795" s="703">
        <v>10234.51</v>
      </c>
      <c r="L2795" s="342">
        <v>1</v>
      </c>
      <c r="M2795" s="342">
        <v>20.558499999999999</v>
      </c>
      <c r="N2795" s="340">
        <v>210406.17383499999</v>
      </c>
      <c r="O2795" s="703">
        <v>6017.51</v>
      </c>
      <c r="P2795" s="342">
        <v>1</v>
      </c>
      <c r="Q2795" s="363">
        <v>22.367799999999999</v>
      </c>
      <c r="R2795" s="340">
        <v>134598.46017800001</v>
      </c>
      <c r="S2795" s="342">
        <v>108.114</v>
      </c>
      <c r="T2795" s="342">
        <v>118.98099999999999</v>
      </c>
      <c r="U2795" s="342">
        <v>1.1005</v>
      </c>
      <c r="V2795" s="340">
        <v>148125.60542588902</v>
      </c>
      <c r="W2795" s="340">
        <v>62280.568409110972</v>
      </c>
    </row>
    <row r="2796" spans="2:23" ht="24" customHeight="1">
      <c r="J2796" s="345"/>
      <c r="K2796" s="703"/>
      <c r="L2796" s="342"/>
      <c r="M2796" s="342"/>
      <c r="N2796" s="340"/>
      <c r="O2796" s="703"/>
      <c r="P2796" s="342"/>
      <c r="Q2796" s="363"/>
      <c r="R2796" s="340"/>
      <c r="S2796" s="342"/>
      <c r="T2796" s="342"/>
      <c r="U2796" s="342"/>
      <c r="V2796" s="340"/>
      <c r="W2796" s="340"/>
    </row>
    <row r="2797" spans="2:23" ht="24" customHeight="1">
      <c r="B2797" s="67"/>
      <c r="F2797" s="346">
        <v>44608</v>
      </c>
      <c r="G2797" s="346"/>
      <c r="H2797" s="346"/>
      <c r="I2797" s="346"/>
      <c r="J2797" s="345"/>
      <c r="K2797" s="703"/>
      <c r="L2797" s="342"/>
      <c r="M2797" s="342"/>
      <c r="N2797" s="340"/>
      <c r="O2797" s="703"/>
      <c r="P2797" s="342"/>
      <c r="Q2797" s="363"/>
      <c r="R2797" s="340"/>
      <c r="S2797" s="342"/>
      <c r="T2797" s="342"/>
      <c r="U2797" s="342"/>
      <c r="V2797" s="340"/>
      <c r="W2797" s="340"/>
    </row>
    <row r="2798" spans="2:23" ht="24" customHeight="1">
      <c r="B2798" s="67"/>
      <c r="G2798" s="3" t="s">
        <v>59</v>
      </c>
      <c r="H2798" s="3"/>
      <c r="I2798" s="3"/>
      <c r="J2798" s="345"/>
      <c r="K2798" s="703"/>
      <c r="L2798" s="342"/>
      <c r="M2798" s="342"/>
      <c r="N2798" s="340"/>
      <c r="O2798" s="703"/>
      <c r="P2798" s="342"/>
      <c r="Q2798" s="363"/>
      <c r="R2798" s="340"/>
      <c r="S2798" s="342"/>
      <c r="T2798" s="342"/>
      <c r="U2798" s="342"/>
      <c r="V2798" s="340"/>
      <c r="W2798" s="340"/>
    </row>
    <row r="2799" spans="2:23" ht="24" customHeight="1">
      <c r="B2799" s="67"/>
      <c r="H2799" s="347">
        <v>44102</v>
      </c>
      <c r="I2799" s="347"/>
      <c r="J2799" s="345"/>
      <c r="K2799" s="703"/>
      <c r="L2799" s="342"/>
      <c r="M2799" s="342"/>
      <c r="N2799" s="340"/>
      <c r="O2799" s="703"/>
      <c r="P2799" s="342"/>
      <c r="Q2799" s="363"/>
      <c r="R2799" s="340"/>
      <c r="S2799" s="342"/>
      <c r="T2799" s="342"/>
      <c r="U2799" s="342"/>
      <c r="V2799" s="340"/>
      <c r="W2799" s="340"/>
    </row>
    <row r="2800" spans="2:23" ht="24" customHeight="1">
      <c r="B2800" s="67"/>
      <c r="I2800" s="3" t="s">
        <v>59</v>
      </c>
      <c r="J2800" s="345">
        <v>30</v>
      </c>
      <c r="K2800" s="703">
        <v>10846.22</v>
      </c>
      <c r="L2800" s="342">
        <v>1</v>
      </c>
      <c r="M2800" s="342">
        <v>20.411000000000001</v>
      </c>
      <c r="N2800" s="340">
        <v>221382.19641999999</v>
      </c>
      <c r="O2800" s="703">
        <v>6017.51</v>
      </c>
      <c r="P2800" s="342">
        <v>1</v>
      </c>
      <c r="Q2800" s="363">
        <v>22.367799999999999</v>
      </c>
      <c r="R2800" s="340">
        <v>134598.46017800001</v>
      </c>
      <c r="S2800" s="342">
        <v>108.114</v>
      </c>
      <c r="T2800" s="342">
        <v>118.002</v>
      </c>
      <c r="U2800" s="342">
        <v>1.0913999999999999</v>
      </c>
      <c r="V2800" s="340">
        <v>146900.75943826919</v>
      </c>
      <c r="W2800" s="340">
        <v>74481.436981730803</v>
      </c>
    </row>
    <row r="2801" spans="2:23" ht="24" customHeight="1">
      <c r="J2801" s="345"/>
      <c r="K2801" s="703"/>
      <c r="L2801" s="342"/>
      <c r="M2801" s="342"/>
      <c r="N2801" s="340"/>
      <c r="O2801" s="703"/>
      <c r="P2801" s="342"/>
      <c r="Q2801" s="363"/>
      <c r="R2801" s="340"/>
      <c r="S2801" s="342"/>
      <c r="T2801" s="342"/>
      <c r="U2801" s="342"/>
      <c r="V2801" s="340"/>
      <c r="W2801" s="340"/>
    </row>
    <row r="2802" spans="2:23" ht="24" customHeight="1">
      <c r="B2802" s="67"/>
      <c r="H2802" s="347">
        <v>44049</v>
      </c>
      <c r="I2802" s="347"/>
      <c r="J2802" s="345"/>
      <c r="K2802" s="703"/>
      <c r="L2802" s="342"/>
      <c r="M2802" s="342"/>
      <c r="N2802" s="340"/>
      <c r="O2802" s="703"/>
      <c r="P2802" s="342"/>
      <c r="Q2802" s="363"/>
      <c r="R2802" s="340"/>
      <c r="S2802" s="342"/>
      <c r="T2802" s="342"/>
      <c r="U2802" s="342"/>
      <c r="V2802" s="340"/>
      <c r="W2802" s="340"/>
    </row>
    <row r="2803" spans="2:23" ht="24" customHeight="1">
      <c r="B2803" s="67"/>
      <c r="I2803" s="3" t="s">
        <v>59</v>
      </c>
      <c r="J2803" s="345">
        <v>3</v>
      </c>
      <c r="K2803" s="703">
        <v>1084.6199999999999</v>
      </c>
      <c r="L2803" s="342">
        <v>1</v>
      </c>
      <c r="M2803" s="342">
        <v>20.411000000000001</v>
      </c>
      <c r="N2803" s="340">
        <v>22138.178820000001</v>
      </c>
      <c r="O2803" s="703">
        <v>614.42999999999995</v>
      </c>
      <c r="P2803" s="342">
        <v>1</v>
      </c>
      <c r="Q2803" s="363">
        <v>22.784500000000001</v>
      </c>
      <c r="R2803" s="340">
        <v>13999.480335</v>
      </c>
      <c r="S2803" s="342">
        <v>107.867</v>
      </c>
      <c r="T2803" s="342">
        <v>118.002</v>
      </c>
      <c r="U2803" s="342">
        <v>1.0939000000000001</v>
      </c>
      <c r="V2803" s="340">
        <v>15314.031538456502</v>
      </c>
      <c r="W2803" s="340">
        <v>6824.1472815435009</v>
      </c>
    </row>
    <row r="2804" spans="2:23" ht="24" customHeight="1">
      <c r="J2804" s="345"/>
      <c r="K2804" s="703"/>
      <c r="L2804" s="342"/>
      <c r="M2804" s="342"/>
      <c r="N2804" s="340"/>
      <c r="O2804" s="703"/>
      <c r="P2804" s="342"/>
      <c r="Q2804" s="363"/>
      <c r="R2804" s="340"/>
      <c r="S2804" s="342"/>
      <c r="T2804" s="342"/>
      <c r="U2804" s="342"/>
      <c r="V2804" s="340"/>
      <c r="W2804" s="340"/>
    </row>
    <row r="2805" spans="2:23" ht="24" customHeight="1">
      <c r="B2805" s="67"/>
      <c r="E2805" s="131" t="s">
        <v>1182</v>
      </c>
      <c r="F2805" s="131"/>
      <c r="G2805" s="131"/>
      <c r="H2805" s="131"/>
      <c r="I2805" s="131"/>
      <c r="J2805" s="704">
        <v>63</v>
      </c>
      <c r="K2805" s="705">
        <v>22165.35</v>
      </c>
      <c r="L2805" s="369">
        <v>1</v>
      </c>
      <c r="M2805" s="377">
        <v>20.460166666666666</v>
      </c>
      <c r="N2805" s="706">
        <v>453926.54907499999</v>
      </c>
      <c r="O2805" s="705">
        <v>12649.45</v>
      </c>
      <c r="P2805" s="369">
        <v>1</v>
      </c>
      <c r="Q2805" s="377">
        <v>22.506699999999999</v>
      </c>
      <c r="R2805" s="706">
        <v>283196.40069100005</v>
      </c>
      <c r="S2805" s="369">
        <v>108.03166666666668</v>
      </c>
      <c r="T2805" s="369">
        <v>118.32833333333333</v>
      </c>
      <c r="U2805" s="369">
        <v>1.0952666666666666</v>
      </c>
      <c r="V2805" s="706">
        <v>310340.39640261472</v>
      </c>
      <c r="W2805" s="706">
        <v>143586.15267238527</v>
      </c>
    </row>
    <row r="2806" spans="2:23" ht="24" customHeight="1">
      <c r="J2806" s="345"/>
      <c r="K2806" s="703"/>
      <c r="L2806" s="342"/>
      <c r="M2806" s="342"/>
      <c r="N2806" s="340"/>
      <c r="O2806" s="703"/>
      <c r="P2806" s="342"/>
      <c r="Q2806" s="363"/>
      <c r="R2806" s="340"/>
      <c r="S2806" s="342"/>
      <c r="T2806" s="342"/>
      <c r="U2806" s="342"/>
      <c r="V2806" s="340"/>
      <c r="W2806" s="340"/>
    </row>
    <row r="2807" spans="2:23" ht="24" customHeight="1">
      <c r="B2807" s="67"/>
      <c r="E2807" s="1" t="s">
        <v>775</v>
      </c>
      <c r="J2807" s="345"/>
      <c r="K2807" s="703"/>
      <c r="L2807" s="342"/>
      <c r="M2807" s="342"/>
      <c r="N2807" s="340"/>
      <c r="O2807" s="703"/>
      <c r="P2807" s="342"/>
      <c r="Q2807" s="363"/>
      <c r="R2807" s="340"/>
      <c r="S2807" s="342"/>
      <c r="T2807" s="342"/>
      <c r="U2807" s="342"/>
      <c r="V2807" s="340"/>
      <c r="W2807" s="340"/>
    </row>
    <row r="2808" spans="2:23" ht="24" customHeight="1">
      <c r="B2808" s="67"/>
      <c r="F2808" s="346">
        <v>44733</v>
      </c>
      <c r="G2808" s="346"/>
      <c r="H2808" s="346"/>
      <c r="I2808" s="346"/>
      <c r="J2808" s="345"/>
      <c r="K2808" s="703"/>
      <c r="L2808" s="342"/>
      <c r="M2808" s="342"/>
      <c r="N2808" s="340"/>
      <c r="O2808" s="703"/>
      <c r="P2808" s="342"/>
      <c r="Q2808" s="363"/>
      <c r="R2808" s="340"/>
      <c r="S2808" s="342"/>
      <c r="T2808" s="342"/>
      <c r="U2808" s="342"/>
      <c r="V2808" s="340"/>
      <c r="W2808" s="340"/>
    </row>
    <row r="2809" spans="2:23" ht="24" customHeight="1">
      <c r="B2809" s="67"/>
      <c r="G2809" s="3" t="s">
        <v>59</v>
      </c>
      <c r="H2809" s="3"/>
      <c r="I2809" s="3"/>
      <c r="J2809" s="345"/>
      <c r="K2809" s="703"/>
      <c r="L2809" s="342"/>
      <c r="M2809" s="342"/>
      <c r="N2809" s="340"/>
      <c r="O2809" s="703"/>
      <c r="P2809" s="342"/>
      <c r="Q2809" s="363"/>
      <c r="R2809" s="340"/>
      <c r="S2809" s="342"/>
      <c r="T2809" s="342"/>
      <c r="U2809" s="342"/>
      <c r="V2809" s="340"/>
      <c r="W2809" s="340"/>
    </row>
    <row r="2810" spans="2:23" ht="24" customHeight="1">
      <c r="B2810" s="67"/>
      <c r="H2810" s="347">
        <v>43636</v>
      </c>
      <c r="I2810" s="347"/>
      <c r="J2810" s="345"/>
      <c r="K2810" s="703"/>
      <c r="L2810" s="342"/>
      <c r="M2810" s="342"/>
      <c r="N2810" s="340"/>
      <c r="O2810" s="703"/>
      <c r="P2810" s="342"/>
      <c r="Q2810" s="363"/>
      <c r="R2810" s="340"/>
      <c r="S2810" s="342"/>
      <c r="T2810" s="342"/>
      <c r="U2810" s="342"/>
      <c r="V2810" s="340"/>
      <c r="W2810" s="340"/>
    </row>
    <row r="2811" spans="2:23" ht="24" customHeight="1">
      <c r="B2811" s="67"/>
      <c r="I2811" s="3" t="s">
        <v>59</v>
      </c>
      <c r="J2811" s="345">
        <v>79</v>
      </c>
      <c r="K2811" s="703">
        <v>21321.77</v>
      </c>
      <c r="L2811" s="342">
        <v>1</v>
      </c>
      <c r="M2811" s="342">
        <v>20.475999999999999</v>
      </c>
      <c r="N2811" s="340">
        <v>436584.56251999998</v>
      </c>
      <c r="O2811" s="703">
        <v>16620.91</v>
      </c>
      <c r="P2811" s="342">
        <v>1</v>
      </c>
      <c r="Q2811" s="363">
        <v>19.101099999999999</v>
      </c>
      <c r="R2811" s="340">
        <v>317477.664001</v>
      </c>
      <c r="S2811" s="342">
        <v>103.29900000000001</v>
      </c>
      <c r="T2811" s="342">
        <v>121.02200000000001</v>
      </c>
      <c r="U2811" s="342">
        <v>1.1715</v>
      </c>
      <c r="V2811" s="340">
        <v>371925.08337717148</v>
      </c>
      <c r="W2811" s="340">
        <v>64659.479142828437</v>
      </c>
    </row>
    <row r="2812" spans="2:23" ht="24" customHeight="1">
      <c r="J2812" s="345"/>
      <c r="K2812" s="703"/>
      <c r="L2812" s="342"/>
      <c r="M2812" s="342"/>
      <c r="N2812" s="340"/>
      <c r="O2812" s="703"/>
      <c r="P2812" s="342"/>
      <c r="Q2812" s="363"/>
      <c r="R2812" s="340"/>
      <c r="S2812" s="342"/>
      <c r="T2812" s="342"/>
      <c r="U2812" s="342"/>
      <c r="V2812" s="340"/>
      <c r="W2812" s="340"/>
    </row>
    <row r="2813" spans="2:23" ht="24" customHeight="1">
      <c r="B2813" s="67"/>
      <c r="F2813" s="346">
        <v>44790</v>
      </c>
      <c r="G2813" s="346"/>
      <c r="H2813" s="346"/>
      <c r="I2813" s="346"/>
      <c r="J2813" s="345"/>
      <c r="K2813" s="703"/>
      <c r="L2813" s="342"/>
      <c r="M2813" s="342"/>
      <c r="N2813" s="340"/>
      <c r="O2813" s="703"/>
      <c r="P2813" s="342"/>
      <c r="Q2813" s="363"/>
      <c r="R2813" s="340"/>
      <c r="S2813" s="342"/>
      <c r="T2813" s="342"/>
      <c r="U2813" s="342"/>
      <c r="V2813" s="340"/>
      <c r="W2813" s="340"/>
    </row>
    <row r="2814" spans="2:23" ht="24" customHeight="1">
      <c r="B2814" s="67"/>
      <c r="G2814" s="3" t="s">
        <v>59</v>
      </c>
      <c r="H2814" s="3"/>
      <c r="I2814" s="3"/>
      <c r="J2814" s="345"/>
      <c r="K2814" s="703"/>
      <c r="L2814" s="342"/>
      <c r="M2814" s="342"/>
      <c r="N2814" s="340"/>
      <c r="O2814" s="703"/>
      <c r="P2814" s="342"/>
      <c r="Q2814" s="363"/>
      <c r="R2814" s="340"/>
      <c r="S2814" s="342"/>
      <c r="T2814" s="342"/>
      <c r="U2814" s="342"/>
      <c r="V2814" s="340"/>
      <c r="W2814" s="340"/>
    </row>
    <row r="2815" spans="2:23" ht="24" customHeight="1">
      <c r="B2815" s="67"/>
      <c r="H2815" s="347">
        <v>43636</v>
      </c>
      <c r="I2815" s="347"/>
      <c r="J2815" s="345"/>
      <c r="K2815" s="703"/>
      <c r="L2815" s="342"/>
      <c r="M2815" s="342"/>
      <c r="N2815" s="340"/>
      <c r="O2815" s="703"/>
      <c r="P2815" s="342"/>
      <c r="Q2815" s="363"/>
      <c r="R2815" s="340"/>
      <c r="S2815" s="342"/>
      <c r="T2815" s="342"/>
      <c r="U2815" s="342"/>
      <c r="V2815" s="340"/>
      <c r="W2815" s="340"/>
    </row>
    <row r="2816" spans="2:23" ht="24" customHeight="1">
      <c r="B2816" s="67"/>
      <c r="I2816" s="3" t="s">
        <v>59</v>
      </c>
      <c r="J2816" s="345">
        <v>4</v>
      </c>
      <c r="K2816" s="703">
        <v>1304.82</v>
      </c>
      <c r="L2816" s="342">
        <v>1</v>
      </c>
      <c r="M2816" s="342">
        <v>19.861799999999999</v>
      </c>
      <c r="N2816" s="340">
        <v>25916.073875999999</v>
      </c>
      <c r="O2816" s="703">
        <v>841.57</v>
      </c>
      <c r="P2816" s="342">
        <v>1</v>
      </c>
      <c r="Q2816" s="363">
        <v>19.101099999999999</v>
      </c>
      <c r="R2816" s="340">
        <v>16074.912727000001</v>
      </c>
      <c r="S2816" s="342">
        <v>103.29900000000001</v>
      </c>
      <c r="T2816" s="342">
        <v>122.94799999999999</v>
      </c>
      <c r="U2816" s="342">
        <v>1.1901999999999999</v>
      </c>
      <c r="V2816" s="340">
        <v>19132.361127675398</v>
      </c>
      <c r="W2816" s="340">
        <v>6783.7127483246004</v>
      </c>
    </row>
    <row r="2817" spans="2:23" ht="24" customHeight="1">
      <c r="J2817" s="345"/>
      <c r="K2817" s="703"/>
      <c r="L2817" s="342"/>
      <c r="M2817" s="342"/>
      <c r="N2817" s="340"/>
      <c r="O2817" s="703"/>
      <c r="P2817" s="342"/>
      <c r="Q2817" s="363"/>
      <c r="R2817" s="340"/>
      <c r="S2817" s="342"/>
      <c r="T2817" s="342"/>
      <c r="U2817" s="342"/>
      <c r="V2817" s="340"/>
      <c r="W2817" s="340"/>
    </row>
    <row r="2818" spans="2:23" ht="24" customHeight="1">
      <c r="B2818" s="67"/>
      <c r="H2818" s="347">
        <v>43894</v>
      </c>
      <c r="I2818" s="347"/>
      <c r="J2818" s="345"/>
      <c r="K2818" s="703"/>
      <c r="L2818" s="342"/>
      <c r="M2818" s="342"/>
      <c r="N2818" s="340"/>
      <c r="O2818" s="703"/>
      <c r="P2818" s="342"/>
      <c r="Q2818" s="363"/>
      <c r="R2818" s="340"/>
      <c r="S2818" s="342"/>
      <c r="T2818" s="342"/>
      <c r="U2818" s="342"/>
      <c r="V2818" s="340"/>
      <c r="W2818" s="340"/>
    </row>
    <row r="2819" spans="2:23" ht="24" customHeight="1">
      <c r="B2819" s="67"/>
      <c r="I2819" s="3" t="s">
        <v>59</v>
      </c>
      <c r="J2819" s="345">
        <v>17</v>
      </c>
      <c r="K2819" s="703">
        <v>5545.47</v>
      </c>
      <c r="L2819" s="342">
        <v>1</v>
      </c>
      <c r="M2819" s="342">
        <v>19.861799999999999</v>
      </c>
      <c r="N2819" s="340">
        <v>110143.016046</v>
      </c>
      <c r="O2819" s="703">
        <v>3987.18</v>
      </c>
      <c r="P2819" s="342">
        <v>1</v>
      </c>
      <c r="Q2819" s="363">
        <v>19.698499999999999</v>
      </c>
      <c r="R2819" s="340">
        <v>78541.465229999987</v>
      </c>
      <c r="S2819" s="342">
        <v>106.83799999999999</v>
      </c>
      <c r="T2819" s="342">
        <v>122.94799999999999</v>
      </c>
      <c r="U2819" s="342">
        <v>1.1507000000000001</v>
      </c>
      <c r="V2819" s="340">
        <v>90377.664040160991</v>
      </c>
      <c r="W2819" s="340">
        <v>19765.352005839013</v>
      </c>
    </row>
    <row r="2820" spans="2:23" ht="24" customHeight="1">
      <c r="J2820" s="345"/>
      <c r="K2820" s="703"/>
      <c r="L2820" s="342"/>
      <c r="M2820" s="342"/>
      <c r="N2820" s="340"/>
      <c r="O2820" s="703"/>
      <c r="P2820" s="342"/>
      <c r="Q2820" s="363"/>
      <c r="R2820" s="340"/>
      <c r="S2820" s="342"/>
      <c r="T2820" s="342"/>
      <c r="U2820" s="342"/>
      <c r="V2820" s="340"/>
      <c r="W2820" s="340"/>
    </row>
    <row r="2821" spans="2:23" ht="24" customHeight="1">
      <c r="B2821" s="67"/>
      <c r="E2821" s="131" t="s">
        <v>1183</v>
      </c>
      <c r="F2821" s="131"/>
      <c r="G2821" s="131"/>
      <c r="H2821" s="131"/>
      <c r="I2821" s="131"/>
      <c r="J2821" s="704">
        <v>100</v>
      </c>
      <c r="K2821" s="705">
        <v>28172.06</v>
      </c>
      <c r="L2821" s="369">
        <v>1</v>
      </c>
      <c r="M2821" s="377">
        <v>20.066533333333336</v>
      </c>
      <c r="N2821" s="706">
        <v>572643.65244199999</v>
      </c>
      <c r="O2821" s="705">
        <v>21449.66</v>
      </c>
      <c r="P2821" s="369">
        <v>1</v>
      </c>
      <c r="Q2821" s="377">
        <v>19.300233333333335</v>
      </c>
      <c r="R2821" s="706">
        <v>412094.04195799999</v>
      </c>
      <c r="S2821" s="369">
        <v>104.47866666666668</v>
      </c>
      <c r="T2821" s="369">
        <v>122.306</v>
      </c>
      <c r="U2821" s="369">
        <v>1.1708000000000001</v>
      </c>
      <c r="V2821" s="706">
        <v>481435.10854500788</v>
      </c>
      <c r="W2821" s="706">
        <v>91208.543896992051</v>
      </c>
    </row>
    <row r="2822" spans="2:23" ht="24" customHeight="1">
      <c r="J2822" s="345"/>
      <c r="K2822" s="703"/>
      <c r="L2822" s="342"/>
      <c r="M2822" s="342"/>
      <c r="N2822" s="340"/>
      <c r="O2822" s="703"/>
      <c r="P2822" s="342"/>
      <c r="Q2822" s="363"/>
      <c r="R2822" s="340"/>
      <c r="S2822" s="342"/>
      <c r="T2822" s="342"/>
      <c r="U2822" s="342"/>
      <c r="V2822" s="340"/>
      <c r="W2822" s="340"/>
    </row>
    <row r="2823" spans="2:23" ht="24" customHeight="1">
      <c r="B2823" s="67"/>
      <c r="E2823" s="1" t="s">
        <v>768</v>
      </c>
      <c r="J2823" s="345"/>
      <c r="K2823" s="703"/>
      <c r="L2823" s="342"/>
      <c r="M2823" s="342"/>
      <c r="N2823" s="340"/>
      <c r="O2823" s="703"/>
      <c r="P2823" s="342"/>
      <c r="Q2823" s="363"/>
      <c r="R2823" s="340"/>
      <c r="S2823" s="342"/>
      <c r="T2823" s="342"/>
      <c r="U2823" s="342"/>
      <c r="V2823" s="340"/>
      <c r="W2823" s="340"/>
    </row>
    <row r="2824" spans="2:23" ht="24" customHeight="1">
      <c r="B2824" s="67"/>
      <c r="F2824" s="346">
        <v>44701</v>
      </c>
      <c r="G2824" s="346"/>
      <c r="H2824" s="346"/>
      <c r="I2824" s="346"/>
      <c r="J2824" s="345"/>
      <c r="K2824" s="703"/>
      <c r="L2824" s="342"/>
      <c r="M2824" s="342"/>
      <c r="N2824" s="340"/>
      <c r="O2824" s="703"/>
      <c r="P2824" s="342"/>
      <c r="Q2824" s="363"/>
      <c r="R2824" s="340"/>
      <c r="S2824" s="342"/>
      <c r="T2824" s="342"/>
      <c r="U2824" s="342"/>
      <c r="V2824" s="340"/>
      <c r="W2824" s="340"/>
    </row>
    <row r="2825" spans="2:23" ht="24" customHeight="1">
      <c r="B2825" s="67"/>
      <c r="G2825" s="3" t="s">
        <v>59</v>
      </c>
      <c r="H2825" s="3"/>
      <c r="I2825" s="3"/>
      <c r="J2825" s="345"/>
      <c r="K2825" s="703"/>
      <c r="L2825" s="342"/>
      <c r="M2825" s="342"/>
      <c r="N2825" s="340"/>
      <c r="O2825" s="703"/>
      <c r="P2825" s="342"/>
      <c r="Q2825" s="363"/>
      <c r="R2825" s="340"/>
      <c r="S2825" s="342"/>
      <c r="T2825" s="342"/>
      <c r="U2825" s="342"/>
      <c r="V2825" s="340"/>
      <c r="W2825" s="340"/>
    </row>
    <row r="2826" spans="2:23" ht="24" customHeight="1">
      <c r="B2826" s="67"/>
      <c r="H2826" s="347">
        <v>43990</v>
      </c>
      <c r="I2826" s="347"/>
      <c r="J2826" s="345"/>
      <c r="K2826" s="703"/>
      <c r="L2826" s="342"/>
      <c r="M2826" s="342"/>
      <c r="N2826" s="340"/>
      <c r="O2826" s="703"/>
      <c r="P2826" s="342"/>
      <c r="Q2826" s="363"/>
      <c r="R2826" s="340"/>
      <c r="S2826" s="342"/>
      <c r="T2826" s="342"/>
      <c r="U2826" s="342"/>
      <c r="V2826" s="340"/>
      <c r="W2826" s="340"/>
    </row>
    <row r="2827" spans="2:23" ht="24" customHeight="1">
      <c r="B2827" s="67"/>
      <c r="I2827" s="3" t="s">
        <v>59</v>
      </c>
      <c r="J2827" s="345">
        <v>8</v>
      </c>
      <c r="K2827" s="703">
        <v>1511.77</v>
      </c>
      <c r="L2827" s="342">
        <v>1</v>
      </c>
      <c r="M2827" s="342">
        <v>19.9663</v>
      </c>
      <c r="N2827" s="340">
        <v>30184.453351</v>
      </c>
      <c r="O2827" s="703">
        <v>1297.27</v>
      </c>
      <c r="P2827" s="342">
        <v>1</v>
      </c>
      <c r="Q2827" s="363">
        <v>21.838799999999999</v>
      </c>
      <c r="R2827" s="340">
        <v>28330.820076</v>
      </c>
      <c r="S2827" s="342">
        <v>106.74299999999999</v>
      </c>
      <c r="T2827" s="342">
        <v>120.809</v>
      </c>
      <c r="U2827" s="342">
        <v>1.1316999999999999</v>
      </c>
      <c r="V2827" s="340">
        <v>32061.989080009196</v>
      </c>
      <c r="W2827" s="340">
        <v>-1877.5357290091961</v>
      </c>
    </row>
    <row r="2828" spans="2:23" ht="24" customHeight="1">
      <c r="J2828" s="345"/>
      <c r="K2828" s="703"/>
      <c r="L2828" s="342"/>
      <c r="M2828" s="342"/>
      <c r="N2828" s="340"/>
      <c r="O2828" s="703"/>
      <c r="P2828" s="342"/>
      <c r="Q2828" s="363"/>
      <c r="R2828" s="340"/>
      <c r="S2828" s="342"/>
      <c r="T2828" s="342"/>
      <c r="U2828" s="342"/>
      <c r="V2828" s="340"/>
      <c r="W2828" s="340"/>
    </row>
    <row r="2829" spans="2:23" ht="24" customHeight="1">
      <c r="B2829" s="67"/>
      <c r="H2829" s="347">
        <v>43315</v>
      </c>
      <c r="I2829" s="347"/>
      <c r="J2829" s="345"/>
      <c r="K2829" s="703"/>
      <c r="L2829" s="342"/>
      <c r="M2829" s="342"/>
      <c r="N2829" s="340"/>
      <c r="O2829" s="703"/>
      <c r="P2829" s="342"/>
      <c r="Q2829" s="363"/>
      <c r="R2829" s="340"/>
      <c r="S2829" s="342"/>
      <c r="T2829" s="342"/>
      <c r="U2829" s="342"/>
      <c r="V2829" s="340"/>
      <c r="W2829" s="340"/>
    </row>
    <row r="2830" spans="2:23" ht="24" customHeight="1">
      <c r="B2830" s="67"/>
      <c r="I2830" s="3" t="s">
        <v>59</v>
      </c>
      <c r="J2830" s="345">
        <v>36</v>
      </c>
      <c r="K2830" s="703">
        <v>6802.98</v>
      </c>
      <c r="L2830" s="342">
        <v>1</v>
      </c>
      <c r="M2830" s="342">
        <v>19.9663</v>
      </c>
      <c r="N2830" s="340">
        <v>135830.33957399998</v>
      </c>
      <c r="O2830" s="703">
        <v>5362.1</v>
      </c>
      <c r="P2830" s="342">
        <v>1</v>
      </c>
      <c r="Q2830" s="363">
        <v>18.5899</v>
      </c>
      <c r="R2830" s="340">
        <v>99680.902790000007</v>
      </c>
      <c r="S2830" s="342">
        <v>100.492</v>
      </c>
      <c r="T2830" s="342">
        <v>120.809</v>
      </c>
      <c r="U2830" s="342">
        <v>1.2020999999999999</v>
      </c>
      <c r="V2830" s="340">
        <v>119826.413243859</v>
      </c>
      <c r="W2830" s="340">
        <v>16003.926330140981</v>
      </c>
    </row>
    <row r="2831" spans="2:23" ht="24" customHeight="1">
      <c r="J2831" s="345"/>
      <c r="K2831" s="703"/>
      <c r="L2831" s="342"/>
      <c r="M2831" s="342"/>
      <c r="N2831" s="340"/>
      <c r="O2831" s="703"/>
      <c r="P2831" s="342"/>
      <c r="Q2831" s="363"/>
      <c r="R2831" s="340"/>
      <c r="S2831" s="342"/>
      <c r="T2831" s="342"/>
      <c r="U2831" s="342"/>
      <c r="V2831" s="340"/>
      <c r="W2831" s="340"/>
    </row>
    <row r="2832" spans="2:23" ht="24" customHeight="1">
      <c r="B2832" s="67"/>
      <c r="F2832" s="346">
        <v>44790</v>
      </c>
      <c r="G2832" s="346"/>
      <c r="H2832" s="346"/>
      <c r="I2832" s="346"/>
      <c r="J2832" s="345"/>
      <c r="K2832" s="703"/>
      <c r="L2832" s="342"/>
      <c r="M2832" s="342"/>
      <c r="N2832" s="340"/>
      <c r="O2832" s="703"/>
      <c r="P2832" s="342"/>
      <c r="Q2832" s="363"/>
      <c r="R2832" s="340"/>
      <c r="S2832" s="342"/>
      <c r="T2832" s="342"/>
      <c r="U2832" s="342"/>
      <c r="V2832" s="340"/>
      <c r="W2832" s="340"/>
    </row>
    <row r="2833" spans="2:23" ht="24" customHeight="1">
      <c r="B2833" s="67"/>
      <c r="G2833" s="3" t="s">
        <v>59</v>
      </c>
      <c r="H2833" s="3"/>
      <c r="I2833" s="3"/>
      <c r="J2833" s="345"/>
      <c r="K2833" s="703"/>
      <c r="L2833" s="342"/>
      <c r="M2833" s="342"/>
      <c r="N2833" s="340"/>
      <c r="O2833" s="703"/>
      <c r="P2833" s="342"/>
      <c r="Q2833" s="363"/>
      <c r="R2833" s="340"/>
      <c r="S2833" s="342"/>
      <c r="T2833" s="342"/>
      <c r="U2833" s="342"/>
      <c r="V2833" s="340"/>
      <c r="W2833" s="340"/>
    </row>
    <row r="2834" spans="2:23" ht="24" customHeight="1">
      <c r="B2834" s="67"/>
      <c r="H2834" s="347">
        <v>43990</v>
      </c>
      <c r="I2834" s="347"/>
      <c r="J2834" s="345"/>
      <c r="K2834" s="703"/>
      <c r="L2834" s="342"/>
      <c r="M2834" s="342"/>
      <c r="N2834" s="340"/>
      <c r="O2834" s="703"/>
      <c r="P2834" s="342"/>
      <c r="Q2834" s="363"/>
      <c r="R2834" s="340"/>
      <c r="S2834" s="342"/>
      <c r="T2834" s="342"/>
      <c r="U2834" s="342"/>
      <c r="V2834" s="340"/>
      <c r="W2834" s="340"/>
    </row>
    <row r="2835" spans="2:23" ht="24" customHeight="1">
      <c r="B2835" s="67"/>
      <c r="I2835" s="3" t="s">
        <v>59</v>
      </c>
      <c r="J2835" s="345">
        <v>34</v>
      </c>
      <c r="K2835" s="703">
        <v>6898.95</v>
      </c>
      <c r="L2835" s="342">
        <v>1</v>
      </c>
      <c r="M2835" s="342">
        <v>19.861799999999999</v>
      </c>
      <c r="N2835" s="340">
        <v>137025.56511</v>
      </c>
      <c r="O2835" s="703">
        <v>5513.42</v>
      </c>
      <c r="P2835" s="342">
        <v>1</v>
      </c>
      <c r="Q2835" s="363">
        <v>21.838799999999999</v>
      </c>
      <c r="R2835" s="340">
        <v>120406.476696</v>
      </c>
      <c r="S2835" s="342">
        <v>106.74299999999999</v>
      </c>
      <c r="T2835" s="342">
        <v>122.94799999999999</v>
      </c>
      <c r="U2835" s="342">
        <v>1.1517999999999999</v>
      </c>
      <c r="V2835" s="340">
        <v>138684.17985845279</v>
      </c>
      <c r="W2835" s="340">
        <v>-1658.6147484527901</v>
      </c>
    </row>
    <row r="2836" spans="2:23" ht="24" customHeight="1">
      <c r="J2836" s="345"/>
      <c r="K2836" s="703"/>
      <c r="L2836" s="342"/>
      <c r="M2836" s="342"/>
      <c r="N2836" s="340"/>
      <c r="O2836" s="703"/>
      <c r="P2836" s="342"/>
      <c r="Q2836" s="363"/>
      <c r="R2836" s="340"/>
      <c r="S2836" s="342"/>
      <c r="T2836" s="342"/>
      <c r="U2836" s="342"/>
      <c r="V2836" s="340"/>
      <c r="W2836" s="340"/>
    </row>
    <row r="2837" spans="2:23" ht="24" customHeight="1">
      <c r="B2837" s="67"/>
      <c r="E2837" s="131" t="s">
        <v>1125</v>
      </c>
      <c r="F2837" s="131"/>
      <c r="G2837" s="131"/>
      <c r="H2837" s="131"/>
      <c r="I2837" s="131"/>
      <c r="J2837" s="704">
        <v>78</v>
      </c>
      <c r="K2837" s="705">
        <v>15213.7</v>
      </c>
      <c r="L2837" s="369">
        <v>1</v>
      </c>
      <c r="M2837" s="377">
        <v>19.931466666666665</v>
      </c>
      <c r="N2837" s="706">
        <v>303040.35803499998</v>
      </c>
      <c r="O2837" s="705">
        <v>12172.79</v>
      </c>
      <c r="P2837" s="369">
        <v>1</v>
      </c>
      <c r="Q2837" s="377">
        <v>20.755833333333332</v>
      </c>
      <c r="R2837" s="706">
        <v>248418.19956199999</v>
      </c>
      <c r="S2837" s="369">
        <v>104.65933333333334</v>
      </c>
      <c r="T2837" s="369">
        <v>121.52199999999999</v>
      </c>
      <c r="U2837" s="369">
        <v>1.1618666666666666</v>
      </c>
      <c r="V2837" s="706">
        <v>290572.582182321</v>
      </c>
      <c r="W2837" s="706">
        <v>12467.775852678995</v>
      </c>
    </row>
    <row r="2838" spans="2:23" ht="24" customHeight="1">
      <c r="J2838" s="345"/>
      <c r="K2838" s="703"/>
      <c r="L2838" s="342"/>
      <c r="M2838" s="342"/>
      <c r="N2838" s="340"/>
      <c r="O2838" s="703"/>
      <c r="P2838" s="342"/>
      <c r="Q2838" s="363"/>
      <c r="R2838" s="340"/>
      <c r="S2838" s="342"/>
      <c r="T2838" s="342"/>
      <c r="U2838" s="342"/>
      <c r="V2838" s="340"/>
      <c r="W2838" s="340"/>
    </row>
    <row r="2839" spans="2:23" ht="24" customHeight="1">
      <c r="B2839" s="67"/>
      <c r="E2839" s="1" t="s">
        <v>1011</v>
      </c>
      <c r="J2839" s="345"/>
      <c r="K2839" s="703"/>
      <c r="L2839" s="342"/>
      <c r="M2839" s="342"/>
      <c r="N2839" s="340"/>
      <c r="O2839" s="703"/>
      <c r="P2839" s="342"/>
      <c r="Q2839" s="363"/>
      <c r="R2839" s="340"/>
      <c r="S2839" s="342"/>
      <c r="T2839" s="342"/>
      <c r="U2839" s="342"/>
      <c r="V2839" s="340"/>
      <c r="W2839" s="340"/>
    </row>
    <row r="2840" spans="2:23" ht="24" customHeight="1">
      <c r="B2840" s="67"/>
      <c r="F2840" s="346">
        <v>44854</v>
      </c>
      <c r="G2840" s="346"/>
      <c r="H2840" s="346"/>
      <c r="I2840" s="346"/>
      <c r="J2840" s="345"/>
      <c r="K2840" s="703"/>
      <c r="L2840" s="342"/>
      <c r="M2840" s="342"/>
      <c r="N2840" s="340"/>
      <c r="O2840" s="703"/>
      <c r="P2840" s="342"/>
      <c r="Q2840" s="363"/>
      <c r="R2840" s="340"/>
      <c r="S2840" s="342"/>
      <c r="T2840" s="342"/>
      <c r="U2840" s="342"/>
      <c r="V2840" s="340"/>
      <c r="W2840" s="340"/>
    </row>
    <row r="2841" spans="2:23" ht="24" customHeight="1">
      <c r="B2841" s="67"/>
      <c r="G2841" s="3" t="s">
        <v>59</v>
      </c>
      <c r="H2841" s="3"/>
      <c r="I2841" s="3"/>
      <c r="J2841" s="345"/>
      <c r="K2841" s="703"/>
      <c r="L2841" s="342"/>
      <c r="M2841" s="342"/>
      <c r="N2841" s="340"/>
      <c r="O2841" s="703"/>
      <c r="P2841" s="342"/>
      <c r="Q2841" s="363"/>
      <c r="R2841" s="340"/>
      <c r="S2841" s="342"/>
      <c r="T2841" s="342"/>
      <c r="U2841" s="342"/>
      <c r="V2841" s="340"/>
      <c r="W2841" s="340"/>
    </row>
    <row r="2842" spans="2:23" ht="24" customHeight="1">
      <c r="B2842" s="67"/>
      <c r="H2842" s="347">
        <v>44720</v>
      </c>
      <c r="I2842" s="347"/>
      <c r="J2842" s="345"/>
      <c r="K2842" s="703"/>
      <c r="L2842" s="342"/>
      <c r="M2842" s="342"/>
      <c r="N2842" s="340"/>
      <c r="O2842" s="703"/>
      <c r="P2842" s="342"/>
      <c r="Q2842" s="363"/>
      <c r="R2842" s="340"/>
      <c r="S2842" s="342"/>
      <c r="T2842" s="342"/>
      <c r="U2842" s="342"/>
      <c r="V2842" s="340"/>
      <c r="W2842" s="340"/>
    </row>
    <row r="2843" spans="2:23" ht="24" customHeight="1">
      <c r="B2843" s="67"/>
      <c r="I2843" s="3" t="s">
        <v>59</v>
      </c>
      <c r="J2843" s="345">
        <v>71</v>
      </c>
      <c r="K2843" s="703">
        <v>1817.72</v>
      </c>
      <c r="L2843" s="342">
        <v>1</v>
      </c>
      <c r="M2843" s="342">
        <v>20.020700000000001</v>
      </c>
      <c r="N2843" s="340">
        <v>36392.026804000001</v>
      </c>
      <c r="O2843" s="703">
        <v>2697.29</v>
      </c>
      <c r="P2843" s="342">
        <v>1</v>
      </c>
      <c r="Q2843" s="363">
        <v>19.5547</v>
      </c>
      <c r="R2843" s="340">
        <v>52744.696763</v>
      </c>
      <c r="S2843" s="342">
        <v>122.044</v>
      </c>
      <c r="T2843" s="342">
        <v>124.571</v>
      </c>
      <c r="U2843" s="342">
        <v>1.0206999999999999</v>
      </c>
      <c r="V2843" s="340">
        <v>53836.511985994097</v>
      </c>
      <c r="W2843" s="340">
        <v>-17444.485181994096</v>
      </c>
    </row>
    <row r="2844" spans="2:23" ht="24" customHeight="1">
      <c r="J2844" s="345"/>
      <c r="K2844" s="703"/>
      <c r="L2844" s="342"/>
      <c r="M2844" s="342"/>
      <c r="N2844" s="340"/>
      <c r="O2844" s="703"/>
      <c r="P2844" s="342"/>
      <c r="Q2844" s="363"/>
      <c r="R2844" s="340"/>
      <c r="S2844" s="342"/>
      <c r="T2844" s="342"/>
      <c r="U2844" s="342"/>
      <c r="V2844" s="340"/>
      <c r="W2844" s="340"/>
    </row>
    <row r="2845" spans="2:23" ht="24" customHeight="1">
      <c r="B2845" s="67"/>
      <c r="E2845" s="131" t="s">
        <v>1184</v>
      </c>
      <c r="F2845" s="131"/>
      <c r="G2845" s="131"/>
      <c r="H2845" s="131"/>
      <c r="I2845" s="131"/>
      <c r="J2845" s="704">
        <v>71</v>
      </c>
      <c r="K2845" s="705">
        <v>1817.72</v>
      </c>
      <c r="L2845" s="369">
        <v>1</v>
      </c>
      <c r="M2845" s="377">
        <v>20.020700000000001</v>
      </c>
      <c r="N2845" s="706">
        <v>36392.026804000001</v>
      </c>
      <c r="O2845" s="705">
        <v>2697.29</v>
      </c>
      <c r="P2845" s="369">
        <v>1</v>
      </c>
      <c r="Q2845" s="377">
        <v>19.5547</v>
      </c>
      <c r="R2845" s="706">
        <v>52744.696763</v>
      </c>
      <c r="S2845" s="369">
        <v>122.044</v>
      </c>
      <c r="T2845" s="369">
        <v>124.571</v>
      </c>
      <c r="U2845" s="369">
        <v>1.0206999999999999</v>
      </c>
      <c r="V2845" s="706">
        <v>53836.511985994097</v>
      </c>
      <c r="W2845" s="706">
        <v>-17444.485181994096</v>
      </c>
    </row>
    <row r="2846" spans="2:23" ht="24" customHeight="1">
      <c r="J2846" s="345"/>
      <c r="K2846" s="703"/>
      <c r="L2846" s="342"/>
      <c r="M2846" s="342"/>
      <c r="N2846" s="340"/>
      <c r="O2846" s="703"/>
      <c r="P2846" s="342"/>
      <c r="Q2846" s="363"/>
      <c r="R2846" s="340"/>
      <c r="S2846" s="342"/>
      <c r="T2846" s="342"/>
      <c r="U2846" s="342"/>
      <c r="V2846" s="340"/>
      <c r="W2846" s="340"/>
    </row>
    <row r="2847" spans="2:23" ht="24" customHeight="1">
      <c r="B2847" s="67"/>
      <c r="E2847" s="1" t="s">
        <v>758</v>
      </c>
      <c r="J2847" s="345"/>
      <c r="K2847" s="703"/>
      <c r="L2847" s="342"/>
      <c r="M2847" s="342"/>
      <c r="N2847" s="340"/>
      <c r="O2847" s="703"/>
      <c r="P2847" s="342"/>
      <c r="Q2847" s="363"/>
      <c r="R2847" s="340"/>
      <c r="S2847" s="342"/>
      <c r="T2847" s="342"/>
      <c r="U2847" s="342"/>
      <c r="V2847" s="340"/>
      <c r="W2847" s="340"/>
    </row>
    <row r="2848" spans="2:23" ht="24" customHeight="1">
      <c r="B2848" s="67"/>
      <c r="F2848" s="346">
        <v>44755</v>
      </c>
      <c r="G2848" s="346"/>
      <c r="H2848" s="346"/>
      <c r="I2848" s="346"/>
      <c r="J2848" s="345"/>
      <c r="K2848" s="703"/>
      <c r="L2848" s="342"/>
      <c r="M2848" s="342"/>
      <c r="N2848" s="340"/>
      <c r="O2848" s="703"/>
      <c r="P2848" s="342"/>
      <c r="Q2848" s="363"/>
      <c r="R2848" s="340"/>
      <c r="S2848" s="342"/>
      <c r="T2848" s="342"/>
      <c r="U2848" s="342"/>
      <c r="V2848" s="340"/>
      <c r="W2848" s="340"/>
    </row>
    <row r="2849" spans="2:23" ht="24" customHeight="1">
      <c r="B2849" s="67"/>
      <c r="G2849" s="3" t="s">
        <v>59</v>
      </c>
      <c r="H2849" s="3"/>
      <c r="I2849" s="3"/>
      <c r="J2849" s="345"/>
      <c r="K2849" s="703"/>
      <c r="L2849" s="342"/>
      <c r="M2849" s="342"/>
      <c r="N2849" s="340"/>
      <c r="O2849" s="703"/>
      <c r="P2849" s="342"/>
      <c r="Q2849" s="363"/>
      <c r="R2849" s="340"/>
      <c r="S2849" s="342"/>
      <c r="T2849" s="342"/>
      <c r="U2849" s="342"/>
      <c r="V2849" s="340"/>
      <c r="W2849" s="340"/>
    </row>
    <row r="2850" spans="2:23" ht="24" customHeight="1">
      <c r="B2850" s="67"/>
      <c r="H2850" s="347">
        <v>44720</v>
      </c>
      <c r="I2850" s="347"/>
      <c r="J2850" s="345"/>
      <c r="K2850" s="703"/>
      <c r="L2850" s="342"/>
      <c r="M2850" s="342"/>
      <c r="N2850" s="340"/>
      <c r="O2850" s="703"/>
      <c r="P2850" s="342"/>
      <c r="Q2850" s="363"/>
      <c r="R2850" s="340"/>
      <c r="S2850" s="342"/>
      <c r="T2850" s="342"/>
      <c r="U2850" s="342"/>
      <c r="V2850" s="340"/>
      <c r="W2850" s="340"/>
    </row>
    <row r="2851" spans="2:23" ht="24" customHeight="1">
      <c r="B2851" s="67"/>
      <c r="I2851" s="3" t="s">
        <v>59</v>
      </c>
      <c r="J2851" s="345">
        <v>22</v>
      </c>
      <c r="K2851" s="703">
        <v>820.4</v>
      </c>
      <c r="L2851" s="342">
        <v>1</v>
      </c>
      <c r="M2851" s="342">
        <v>20.747299999999999</v>
      </c>
      <c r="N2851" s="340">
        <v>17021.084919999998</v>
      </c>
      <c r="O2851" s="703">
        <v>906.14</v>
      </c>
      <c r="P2851" s="342">
        <v>1</v>
      </c>
      <c r="Q2851" s="363">
        <v>19.5547</v>
      </c>
      <c r="R2851" s="340">
        <v>17719.295858000001</v>
      </c>
      <c r="S2851" s="342">
        <v>122.044</v>
      </c>
      <c r="T2851" s="342">
        <v>122.044</v>
      </c>
      <c r="U2851" s="342">
        <v>1</v>
      </c>
      <c r="V2851" s="340">
        <v>17719.295858000001</v>
      </c>
      <c r="W2851" s="340">
        <v>-698.21093800000381</v>
      </c>
    </row>
    <row r="2852" spans="2:23" ht="24" customHeight="1">
      <c r="J2852" s="345"/>
      <c r="K2852" s="703"/>
      <c r="L2852" s="342"/>
      <c r="M2852" s="342"/>
      <c r="N2852" s="340"/>
      <c r="O2852" s="703"/>
      <c r="P2852" s="342"/>
      <c r="Q2852" s="363"/>
      <c r="R2852" s="340"/>
      <c r="S2852" s="342"/>
      <c r="T2852" s="342"/>
      <c r="U2852" s="342"/>
      <c r="V2852" s="340"/>
      <c r="W2852" s="340"/>
    </row>
    <row r="2853" spans="2:23" ht="24" customHeight="1">
      <c r="B2853" s="67"/>
      <c r="F2853" s="346">
        <v>44767</v>
      </c>
      <c r="G2853" s="346"/>
      <c r="H2853" s="346"/>
      <c r="I2853" s="346"/>
      <c r="J2853" s="345"/>
      <c r="K2853" s="703"/>
      <c r="L2853" s="342"/>
      <c r="M2853" s="342"/>
      <c r="N2853" s="340"/>
      <c r="O2853" s="703"/>
      <c r="P2853" s="342"/>
      <c r="Q2853" s="363"/>
      <c r="R2853" s="340"/>
      <c r="S2853" s="342"/>
      <c r="T2853" s="342"/>
      <c r="U2853" s="342"/>
      <c r="V2853" s="340"/>
      <c r="W2853" s="340"/>
    </row>
    <row r="2854" spans="2:23" ht="24" customHeight="1">
      <c r="B2854" s="67"/>
      <c r="G2854" s="3" t="s">
        <v>59</v>
      </c>
      <c r="H2854" s="3"/>
      <c r="I2854" s="3"/>
      <c r="J2854" s="345"/>
      <c r="K2854" s="703"/>
      <c r="L2854" s="342"/>
      <c r="M2854" s="342"/>
      <c r="N2854" s="340"/>
      <c r="O2854" s="703"/>
      <c r="P2854" s="342"/>
      <c r="Q2854" s="363"/>
      <c r="R2854" s="340"/>
      <c r="S2854" s="342"/>
      <c r="T2854" s="342"/>
      <c r="U2854" s="342"/>
      <c r="V2854" s="340"/>
      <c r="W2854" s="340"/>
    </row>
    <row r="2855" spans="2:23" ht="24" customHeight="1">
      <c r="B2855" s="67"/>
      <c r="H2855" s="347">
        <v>43965</v>
      </c>
      <c r="I2855" s="347"/>
      <c r="J2855" s="345"/>
      <c r="K2855" s="703"/>
      <c r="L2855" s="342"/>
      <c r="M2855" s="342"/>
      <c r="N2855" s="340"/>
      <c r="O2855" s="703"/>
      <c r="P2855" s="342"/>
      <c r="Q2855" s="363"/>
      <c r="R2855" s="340"/>
      <c r="S2855" s="342"/>
      <c r="T2855" s="342"/>
      <c r="U2855" s="342"/>
      <c r="V2855" s="340"/>
      <c r="W2855" s="340"/>
    </row>
    <row r="2856" spans="2:23" ht="24" customHeight="1">
      <c r="B2856" s="67"/>
      <c r="I2856" s="3" t="s">
        <v>59</v>
      </c>
      <c r="J2856" s="345">
        <v>553</v>
      </c>
      <c r="K2856" s="703">
        <v>21549.03</v>
      </c>
      <c r="L2856" s="342">
        <v>1</v>
      </c>
      <c r="M2856" s="342">
        <v>20.656199999999998</v>
      </c>
      <c r="N2856" s="340">
        <v>445121.07348599995</v>
      </c>
      <c r="O2856" s="703">
        <v>31677.22</v>
      </c>
      <c r="P2856" s="342">
        <v>1</v>
      </c>
      <c r="Q2856" s="363">
        <v>24.0487</v>
      </c>
      <c r="R2856" s="340">
        <v>761795.96061399998</v>
      </c>
      <c r="S2856" s="342">
        <v>106.16200000000001</v>
      </c>
      <c r="T2856" s="342">
        <v>122.044</v>
      </c>
      <c r="U2856" s="342">
        <v>1.1496</v>
      </c>
      <c r="V2856" s="340">
        <v>875760.63632185431</v>
      </c>
      <c r="W2856" s="340">
        <v>-430639.56283585436</v>
      </c>
    </row>
    <row r="2857" spans="2:23" ht="24" customHeight="1">
      <c r="J2857" s="345"/>
      <c r="K2857" s="703"/>
      <c r="L2857" s="342"/>
      <c r="M2857" s="342"/>
      <c r="N2857" s="340"/>
      <c r="O2857" s="703"/>
      <c r="P2857" s="342"/>
      <c r="Q2857" s="363"/>
      <c r="R2857" s="340"/>
      <c r="S2857" s="342"/>
      <c r="T2857" s="342"/>
      <c r="U2857" s="342"/>
      <c r="V2857" s="340"/>
      <c r="W2857" s="340"/>
    </row>
    <row r="2858" spans="2:23" ht="24" customHeight="1">
      <c r="B2858" s="67"/>
      <c r="H2858" s="347">
        <v>44102</v>
      </c>
      <c r="I2858" s="347"/>
      <c r="J2858" s="345"/>
      <c r="K2858" s="703"/>
      <c r="L2858" s="342"/>
      <c r="M2858" s="342"/>
      <c r="N2858" s="340"/>
      <c r="O2858" s="703"/>
      <c r="P2858" s="342"/>
      <c r="Q2858" s="363"/>
      <c r="R2858" s="340"/>
      <c r="S2858" s="342"/>
      <c r="T2858" s="342"/>
      <c r="U2858" s="342"/>
      <c r="V2858" s="340"/>
      <c r="W2858" s="340"/>
    </row>
    <row r="2859" spans="2:23" ht="24" customHeight="1">
      <c r="B2859" s="67"/>
      <c r="I2859" s="3" t="s">
        <v>59</v>
      </c>
      <c r="J2859" s="345">
        <v>18</v>
      </c>
      <c r="K2859" s="703">
        <v>701.42</v>
      </c>
      <c r="L2859" s="342">
        <v>1</v>
      </c>
      <c r="M2859" s="342">
        <v>20.656199999999998</v>
      </c>
      <c r="N2859" s="340">
        <v>14488.671803999998</v>
      </c>
      <c r="O2859" s="703">
        <v>909.86</v>
      </c>
      <c r="P2859" s="342">
        <v>1</v>
      </c>
      <c r="Q2859" s="363">
        <v>22.367799999999999</v>
      </c>
      <c r="R2859" s="340">
        <v>20351.566508</v>
      </c>
      <c r="S2859" s="342">
        <v>108.114</v>
      </c>
      <c r="T2859" s="342">
        <v>122.044</v>
      </c>
      <c r="U2859" s="342">
        <v>1.1288</v>
      </c>
      <c r="V2859" s="340">
        <v>22972.8482742304</v>
      </c>
      <c r="W2859" s="340">
        <v>-8484.1764702304026</v>
      </c>
    </row>
    <row r="2860" spans="2:23" ht="24" customHeight="1">
      <c r="J2860" s="345"/>
      <c r="K2860" s="703"/>
      <c r="L2860" s="342"/>
      <c r="M2860" s="342"/>
      <c r="N2860" s="340"/>
      <c r="O2860" s="703"/>
      <c r="P2860" s="342"/>
      <c r="Q2860" s="363"/>
      <c r="R2860" s="340"/>
      <c r="S2860" s="342"/>
      <c r="T2860" s="342"/>
      <c r="U2860" s="342"/>
      <c r="V2860" s="340"/>
      <c r="W2860" s="340"/>
    </row>
    <row r="2861" spans="2:23" ht="24" customHeight="1">
      <c r="B2861" s="67"/>
      <c r="F2861" s="346">
        <v>44785</v>
      </c>
      <c r="G2861" s="346"/>
      <c r="H2861" s="346"/>
      <c r="I2861" s="346"/>
      <c r="J2861" s="345"/>
      <c r="K2861" s="703"/>
      <c r="L2861" s="342"/>
      <c r="M2861" s="342"/>
      <c r="N2861" s="340"/>
      <c r="O2861" s="703"/>
      <c r="P2861" s="342"/>
      <c r="Q2861" s="363"/>
      <c r="R2861" s="340"/>
      <c r="S2861" s="342"/>
      <c r="T2861" s="342"/>
      <c r="U2861" s="342"/>
      <c r="V2861" s="340"/>
      <c r="W2861" s="340"/>
    </row>
    <row r="2862" spans="2:23" ht="24" customHeight="1">
      <c r="B2862" s="67"/>
      <c r="G2862" s="3" t="s">
        <v>59</v>
      </c>
      <c r="H2862" s="3"/>
      <c r="I2862" s="3"/>
      <c r="J2862" s="345"/>
      <c r="K2862" s="703"/>
      <c r="L2862" s="342"/>
      <c r="M2862" s="342"/>
      <c r="N2862" s="340"/>
      <c r="O2862" s="703"/>
      <c r="P2862" s="342"/>
      <c r="Q2862" s="363"/>
      <c r="R2862" s="340"/>
      <c r="S2862" s="342"/>
      <c r="T2862" s="342"/>
      <c r="U2862" s="342"/>
      <c r="V2862" s="340"/>
      <c r="W2862" s="340"/>
    </row>
    <row r="2863" spans="2:23" ht="24" customHeight="1">
      <c r="B2863" s="67"/>
      <c r="H2863" s="347">
        <v>44102</v>
      </c>
      <c r="I2863" s="347"/>
      <c r="J2863" s="345"/>
      <c r="K2863" s="703"/>
      <c r="L2863" s="342"/>
      <c r="M2863" s="342"/>
      <c r="N2863" s="340"/>
      <c r="O2863" s="703"/>
      <c r="P2863" s="342"/>
      <c r="Q2863" s="363"/>
      <c r="R2863" s="340"/>
      <c r="S2863" s="342"/>
      <c r="T2863" s="342"/>
      <c r="U2863" s="342"/>
      <c r="V2863" s="340"/>
      <c r="W2863" s="340"/>
    </row>
    <row r="2864" spans="2:23" ht="24" customHeight="1">
      <c r="B2864" s="67"/>
      <c r="I2864" s="3" t="s">
        <v>59</v>
      </c>
      <c r="J2864" s="345">
        <v>156</v>
      </c>
      <c r="K2864" s="703">
        <v>5582.24</v>
      </c>
      <c r="L2864" s="342">
        <v>1</v>
      </c>
      <c r="M2864" s="342">
        <v>19.956199999999999</v>
      </c>
      <c r="N2864" s="340">
        <v>111400.29788799999</v>
      </c>
      <c r="O2864" s="703">
        <v>7885.47</v>
      </c>
      <c r="P2864" s="342">
        <v>1</v>
      </c>
      <c r="Q2864" s="363">
        <v>22.367799999999999</v>
      </c>
      <c r="R2864" s="340">
        <v>176380.61586600001</v>
      </c>
      <c r="S2864" s="342">
        <v>108.114</v>
      </c>
      <c r="T2864" s="342">
        <v>122.94799999999999</v>
      </c>
      <c r="U2864" s="342">
        <v>1.1372</v>
      </c>
      <c r="V2864" s="340">
        <v>200580.03636281521</v>
      </c>
      <c r="W2864" s="340">
        <v>-89179.738474815225</v>
      </c>
    </row>
    <row r="2865" spans="2:23" ht="24" customHeight="1">
      <c r="J2865" s="345"/>
      <c r="K2865" s="703"/>
      <c r="L2865" s="342"/>
      <c r="M2865" s="342"/>
      <c r="N2865" s="340"/>
      <c r="O2865" s="703"/>
      <c r="P2865" s="342"/>
      <c r="Q2865" s="363"/>
      <c r="R2865" s="340"/>
      <c r="S2865" s="342"/>
      <c r="T2865" s="342"/>
      <c r="U2865" s="342"/>
      <c r="V2865" s="340"/>
      <c r="W2865" s="340"/>
    </row>
    <row r="2866" spans="2:23" ht="24" customHeight="1">
      <c r="B2866" s="67"/>
      <c r="H2866" s="347">
        <v>44265</v>
      </c>
      <c r="I2866" s="347"/>
      <c r="J2866" s="345"/>
      <c r="K2866" s="703"/>
      <c r="L2866" s="342"/>
      <c r="M2866" s="342"/>
      <c r="N2866" s="340"/>
      <c r="O2866" s="703"/>
      <c r="P2866" s="342"/>
      <c r="Q2866" s="363"/>
      <c r="R2866" s="340"/>
      <c r="S2866" s="342"/>
      <c r="T2866" s="342"/>
      <c r="U2866" s="342"/>
      <c r="V2866" s="340"/>
      <c r="W2866" s="340"/>
    </row>
    <row r="2867" spans="2:23" ht="24" customHeight="1">
      <c r="B2867" s="67"/>
      <c r="I2867" s="3" t="s">
        <v>59</v>
      </c>
      <c r="J2867" s="345">
        <v>158</v>
      </c>
      <c r="K2867" s="703">
        <v>5653.8</v>
      </c>
      <c r="L2867" s="342">
        <v>1</v>
      </c>
      <c r="M2867" s="342">
        <v>19.956199999999999</v>
      </c>
      <c r="N2867" s="340">
        <v>112828.36356</v>
      </c>
      <c r="O2867" s="703">
        <v>9972.2199999999993</v>
      </c>
      <c r="P2867" s="342">
        <v>1</v>
      </c>
      <c r="Q2867" s="363">
        <v>21.4177</v>
      </c>
      <c r="R2867" s="340">
        <v>213582.01629399997</v>
      </c>
      <c r="S2867" s="342">
        <v>111.824</v>
      </c>
      <c r="T2867" s="342">
        <v>122.94799999999999</v>
      </c>
      <c r="U2867" s="342">
        <v>1.0993999999999999</v>
      </c>
      <c r="V2867" s="340">
        <v>234812.06871362356</v>
      </c>
      <c r="W2867" s="340">
        <v>-121983.70515362357</v>
      </c>
    </row>
    <row r="2868" spans="2:23" ht="24" customHeight="1">
      <c r="J2868" s="345"/>
      <c r="K2868" s="703"/>
      <c r="L2868" s="342"/>
      <c r="M2868" s="342"/>
      <c r="N2868" s="340"/>
      <c r="O2868" s="703"/>
      <c r="P2868" s="342"/>
      <c r="Q2868" s="363"/>
      <c r="R2868" s="340"/>
      <c r="S2868" s="342"/>
      <c r="T2868" s="342"/>
      <c r="U2868" s="342"/>
      <c r="V2868" s="340"/>
      <c r="W2868" s="340"/>
    </row>
    <row r="2869" spans="2:23" ht="24" customHeight="1">
      <c r="B2869" s="67"/>
      <c r="H2869" s="347">
        <v>44343</v>
      </c>
      <c r="I2869" s="347"/>
      <c r="J2869" s="345"/>
      <c r="K2869" s="703"/>
      <c r="L2869" s="342"/>
      <c r="M2869" s="342"/>
      <c r="N2869" s="340"/>
      <c r="O2869" s="703"/>
      <c r="P2869" s="342"/>
      <c r="Q2869" s="363"/>
      <c r="R2869" s="340"/>
      <c r="S2869" s="342"/>
      <c r="T2869" s="342"/>
      <c r="U2869" s="342"/>
      <c r="V2869" s="340"/>
      <c r="W2869" s="340"/>
    </row>
    <row r="2870" spans="2:23" ht="24" customHeight="1">
      <c r="B2870" s="67"/>
      <c r="I2870" s="3" t="s">
        <v>59</v>
      </c>
      <c r="J2870" s="345">
        <v>179</v>
      </c>
      <c r="K2870" s="703">
        <v>6405.26</v>
      </c>
      <c r="L2870" s="342">
        <v>1</v>
      </c>
      <c r="M2870" s="342">
        <v>19.956199999999999</v>
      </c>
      <c r="N2870" s="340">
        <v>127824.64961199999</v>
      </c>
      <c r="O2870" s="703">
        <v>10308.200000000001</v>
      </c>
      <c r="P2870" s="342">
        <v>1</v>
      </c>
      <c r="Q2870" s="363">
        <v>19.8903</v>
      </c>
      <c r="R2870" s="340">
        <v>205033.19046000001</v>
      </c>
      <c r="S2870" s="342">
        <v>112.419</v>
      </c>
      <c r="T2870" s="342">
        <v>122.94799999999999</v>
      </c>
      <c r="U2870" s="342">
        <v>1.0935999999999999</v>
      </c>
      <c r="V2870" s="340">
        <v>224224.29708705598</v>
      </c>
      <c r="W2870" s="340">
        <v>-96399.647475055986</v>
      </c>
    </row>
    <row r="2871" spans="2:23" ht="24" customHeight="1">
      <c r="J2871" s="345"/>
      <c r="K2871" s="703"/>
      <c r="L2871" s="342"/>
      <c r="M2871" s="342"/>
      <c r="N2871" s="340"/>
      <c r="O2871" s="703"/>
      <c r="P2871" s="342"/>
      <c r="Q2871" s="363"/>
      <c r="R2871" s="340"/>
      <c r="S2871" s="342"/>
      <c r="T2871" s="342"/>
      <c r="U2871" s="342"/>
      <c r="V2871" s="340"/>
      <c r="W2871" s="340"/>
    </row>
    <row r="2872" spans="2:23" ht="24" customHeight="1">
      <c r="B2872" s="67"/>
      <c r="H2872" s="347">
        <v>44722</v>
      </c>
      <c r="I2872" s="347"/>
      <c r="J2872" s="345"/>
      <c r="K2872" s="703"/>
      <c r="L2872" s="342"/>
      <c r="M2872" s="342"/>
      <c r="N2872" s="340"/>
      <c r="O2872" s="703"/>
      <c r="P2872" s="342"/>
      <c r="Q2872" s="363"/>
      <c r="R2872" s="340"/>
      <c r="S2872" s="342"/>
      <c r="T2872" s="342"/>
      <c r="U2872" s="342"/>
      <c r="V2872" s="340"/>
      <c r="W2872" s="340"/>
    </row>
    <row r="2873" spans="2:23" ht="24" customHeight="1">
      <c r="B2873" s="67"/>
      <c r="I2873" s="3" t="s">
        <v>59</v>
      </c>
      <c r="J2873" s="345">
        <v>550</v>
      </c>
      <c r="K2873" s="703">
        <v>19680.97</v>
      </c>
      <c r="L2873" s="342">
        <v>1</v>
      </c>
      <c r="M2873" s="342">
        <v>19.956199999999999</v>
      </c>
      <c r="N2873" s="340">
        <v>392757.37351399998</v>
      </c>
      <c r="O2873" s="703">
        <v>21685.4</v>
      </c>
      <c r="P2873" s="342">
        <v>1</v>
      </c>
      <c r="Q2873" s="363">
        <v>19.59</v>
      </c>
      <c r="R2873" s="340">
        <v>424816.98600000003</v>
      </c>
      <c r="S2873" s="342">
        <v>122.044</v>
      </c>
      <c r="T2873" s="342">
        <v>122.94799999999999</v>
      </c>
      <c r="U2873" s="342">
        <v>1.0074000000000001</v>
      </c>
      <c r="V2873" s="340">
        <v>427960.63169640006</v>
      </c>
      <c r="W2873" s="340">
        <v>-35203.258182400081</v>
      </c>
    </row>
    <row r="2874" spans="2:23" ht="24" customHeight="1">
      <c r="J2874" s="345"/>
      <c r="K2874" s="703"/>
      <c r="L2874" s="342"/>
      <c r="M2874" s="342"/>
      <c r="N2874" s="340"/>
      <c r="O2874" s="703"/>
      <c r="P2874" s="342"/>
      <c r="Q2874" s="363"/>
      <c r="R2874" s="340"/>
      <c r="S2874" s="342"/>
      <c r="T2874" s="342"/>
      <c r="U2874" s="342"/>
      <c r="V2874" s="340"/>
      <c r="W2874" s="340"/>
    </row>
    <row r="2875" spans="2:23" ht="24" customHeight="1">
      <c r="B2875" s="67"/>
      <c r="H2875" s="347">
        <v>44725</v>
      </c>
      <c r="I2875" s="347"/>
      <c r="J2875" s="345"/>
      <c r="K2875" s="703"/>
      <c r="L2875" s="342"/>
      <c r="M2875" s="342"/>
      <c r="N2875" s="340"/>
      <c r="O2875" s="703"/>
      <c r="P2875" s="342"/>
      <c r="Q2875" s="363"/>
      <c r="R2875" s="340"/>
      <c r="S2875" s="342"/>
      <c r="T2875" s="342"/>
      <c r="U2875" s="342"/>
      <c r="V2875" s="340"/>
      <c r="W2875" s="340"/>
    </row>
    <row r="2876" spans="2:23" ht="24" customHeight="1">
      <c r="B2876" s="67"/>
      <c r="I2876" s="3" t="s">
        <v>59</v>
      </c>
      <c r="J2876" s="345">
        <v>379</v>
      </c>
      <c r="K2876" s="703">
        <v>13561.98</v>
      </c>
      <c r="L2876" s="342">
        <v>1</v>
      </c>
      <c r="M2876" s="342">
        <v>19.956199999999999</v>
      </c>
      <c r="N2876" s="340">
        <v>270645.58527599997</v>
      </c>
      <c r="O2876" s="703">
        <v>14426.94</v>
      </c>
      <c r="P2876" s="342">
        <v>1</v>
      </c>
      <c r="Q2876" s="363">
        <v>19.6128</v>
      </c>
      <c r="R2876" s="340">
        <v>282952.68883200001</v>
      </c>
      <c r="S2876" s="342">
        <v>122.044</v>
      </c>
      <c r="T2876" s="342">
        <v>122.94799999999999</v>
      </c>
      <c r="U2876" s="342">
        <v>1.0074000000000001</v>
      </c>
      <c r="V2876" s="340">
        <v>285046.53872935683</v>
      </c>
      <c r="W2876" s="340">
        <v>-14400.953453356866</v>
      </c>
    </row>
    <row r="2877" spans="2:23" ht="24" customHeight="1">
      <c r="J2877" s="345"/>
      <c r="K2877" s="703"/>
      <c r="L2877" s="342"/>
      <c r="M2877" s="342"/>
      <c r="N2877" s="340"/>
      <c r="O2877" s="703"/>
      <c r="P2877" s="342"/>
      <c r="Q2877" s="363"/>
      <c r="R2877" s="340"/>
      <c r="S2877" s="342"/>
      <c r="T2877" s="342"/>
      <c r="U2877" s="342"/>
      <c r="V2877" s="340"/>
      <c r="W2877" s="340"/>
    </row>
    <row r="2878" spans="2:23" ht="24" customHeight="1">
      <c r="B2878" s="67"/>
      <c r="H2878" s="347">
        <v>44157</v>
      </c>
      <c r="I2878" s="347"/>
      <c r="J2878" s="345"/>
      <c r="K2878" s="703"/>
      <c r="L2878" s="342"/>
      <c r="M2878" s="342"/>
      <c r="N2878" s="340"/>
      <c r="O2878" s="703"/>
      <c r="P2878" s="342"/>
      <c r="Q2878" s="363"/>
      <c r="R2878" s="340"/>
      <c r="S2878" s="342"/>
      <c r="T2878" s="342"/>
      <c r="U2878" s="342"/>
      <c r="V2878" s="340"/>
      <c r="W2878" s="340"/>
    </row>
    <row r="2879" spans="2:23" ht="24" customHeight="1">
      <c r="B2879" s="67"/>
      <c r="I2879" s="3" t="s">
        <v>59</v>
      </c>
      <c r="J2879" s="345">
        <v>550</v>
      </c>
      <c r="K2879" s="703">
        <v>19680.97</v>
      </c>
      <c r="L2879" s="342">
        <v>1</v>
      </c>
      <c r="M2879" s="342">
        <v>19.956199999999999</v>
      </c>
      <c r="N2879" s="340">
        <v>392757.37351399998</v>
      </c>
      <c r="O2879" s="703">
        <v>29753.96</v>
      </c>
      <c r="P2879" s="342">
        <v>1</v>
      </c>
      <c r="Q2879" s="363">
        <v>20.1858</v>
      </c>
      <c r="R2879" s="340">
        <v>600607.48576800001</v>
      </c>
      <c r="S2879" s="342">
        <v>108.85599999999999</v>
      </c>
      <c r="T2879" s="342">
        <v>122.94799999999999</v>
      </c>
      <c r="U2879" s="342">
        <v>1.1294</v>
      </c>
      <c r="V2879" s="340">
        <v>678326.09442637919</v>
      </c>
      <c r="W2879" s="340">
        <v>-285568.72091237921</v>
      </c>
    </row>
    <row r="2880" spans="2:23" ht="24" customHeight="1">
      <c r="J2880" s="345"/>
      <c r="K2880" s="703"/>
      <c r="L2880" s="342"/>
      <c r="M2880" s="342"/>
      <c r="N2880" s="340"/>
      <c r="O2880" s="703"/>
      <c r="P2880" s="342"/>
      <c r="Q2880" s="363"/>
      <c r="R2880" s="340"/>
      <c r="S2880" s="342"/>
      <c r="T2880" s="342"/>
      <c r="U2880" s="342"/>
      <c r="V2880" s="340"/>
      <c r="W2880" s="340"/>
    </row>
    <row r="2881" spans="2:23" ht="24" customHeight="1">
      <c r="B2881" s="67"/>
      <c r="F2881" s="346">
        <v>44854</v>
      </c>
      <c r="G2881" s="346"/>
      <c r="H2881" s="346"/>
      <c r="I2881" s="346"/>
      <c r="J2881" s="345"/>
      <c r="K2881" s="703"/>
      <c r="L2881" s="342"/>
      <c r="M2881" s="342"/>
      <c r="N2881" s="340"/>
      <c r="O2881" s="703"/>
      <c r="P2881" s="342"/>
      <c r="Q2881" s="363"/>
      <c r="R2881" s="340"/>
      <c r="S2881" s="342"/>
      <c r="T2881" s="342"/>
      <c r="U2881" s="342"/>
      <c r="V2881" s="340"/>
      <c r="W2881" s="340"/>
    </row>
    <row r="2882" spans="2:23" ht="24" customHeight="1">
      <c r="B2882" s="67"/>
      <c r="G2882" s="3" t="s">
        <v>59</v>
      </c>
      <c r="H2882" s="3"/>
      <c r="I2882" s="3"/>
      <c r="J2882" s="345"/>
      <c r="K2882" s="703"/>
      <c r="L2882" s="342"/>
      <c r="M2882" s="342"/>
      <c r="N2882" s="340"/>
      <c r="O2882" s="703"/>
      <c r="P2882" s="342"/>
      <c r="Q2882" s="363"/>
      <c r="R2882" s="340"/>
      <c r="S2882" s="342"/>
      <c r="T2882" s="342"/>
      <c r="U2882" s="342"/>
      <c r="V2882" s="340"/>
      <c r="W2882" s="340"/>
    </row>
    <row r="2883" spans="2:23" ht="24" customHeight="1">
      <c r="B2883" s="67"/>
      <c r="H2883" s="347">
        <v>44720</v>
      </c>
      <c r="I2883" s="347"/>
      <c r="J2883" s="345"/>
      <c r="K2883" s="703"/>
      <c r="L2883" s="342"/>
      <c r="M2883" s="342"/>
      <c r="N2883" s="340"/>
      <c r="O2883" s="703"/>
      <c r="P2883" s="342"/>
      <c r="Q2883" s="363"/>
      <c r="R2883" s="340"/>
      <c r="S2883" s="342"/>
      <c r="T2883" s="342"/>
      <c r="U2883" s="342"/>
      <c r="V2883" s="340"/>
      <c r="W2883" s="340"/>
    </row>
    <row r="2884" spans="2:23" ht="24" customHeight="1">
      <c r="B2884" s="67"/>
      <c r="I2884" s="3" t="s">
        <v>59</v>
      </c>
      <c r="J2884" s="345">
        <v>158</v>
      </c>
      <c r="K2884" s="703">
        <v>4140.63</v>
      </c>
      <c r="L2884" s="342">
        <v>1</v>
      </c>
      <c r="M2884" s="342">
        <v>20.020700000000001</v>
      </c>
      <c r="N2884" s="340">
        <v>82898.311041000008</v>
      </c>
      <c r="O2884" s="703">
        <v>6507.7</v>
      </c>
      <c r="P2884" s="342">
        <v>1</v>
      </c>
      <c r="Q2884" s="363">
        <v>19.5547</v>
      </c>
      <c r="R2884" s="340">
        <v>127256.12119000001</v>
      </c>
      <c r="S2884" s="342">
        <v>122.044</v>
      </c>
      <c r="T2884" s="342">
        <v>124.571</v>
      </c>
      <c r="U2884" s="342">
        <v>1.0206999999999999</v>
      </c>
      <c r="V2884" s="340">
        <v>129890.32289863299</v>
      </c>
      <c r="W2884" s="340">
        <v>-46992.011857632984</v>
      </c>
    </row>
    <row r="2885" spans="2:23" ht="24" customHeight="1">
      <c r="J2885" s="345"/>
      <c r="K2885" s="703"/>
      <c r="L2885" s="342"/>
      <c r="M2885" s="342"/>
      <c r="N2885" s="340"/>
      <c r="O2885" s="703"/>
      <c r="P2885" s="342"/>
      <c r="Q2885" s="363"/>
      <c r="R2885" s="340"/>
      <c r="S2885" s="342"/>
      <c r="T2885" s="342"/>
      <c r="U2885" s="342"/>
      <c r="V2885" s="340"/>
      <c r="W2885" s="340"/>
    </row>
    <row r="2886" spans="2:23" ht="24" customHeight="1">
      <c r="B2886" s="67"/>
      <c r="E2886" s="131" t="s">
        <v>1185</v>
      </c>
      <c r="F2886" s="131"/>
      <c r="G2886" s="131"/>
      <c r="H2886" s="131"/>
      <c r="I2886" s="131"/>
      <c r="J2886" s="704">
        <v>2723</v>
      </c>
      <c r="K2886" s="705">
        <v>97776.700000000012</v>
      </c>
      <c r="L2886" s="369">
        <v>1</v>
      </c>
      <c r="M2886" s="377">
        <v>20.181759999999997</v>
      </c>
      <c r="N2886" s="706">
        <v>1967742.784615</v>
      </c>
      <c r="O2886" s="705">
        <v>134033.11000000002</v>
      </c>
      <c r="P2886" s="369">
        <v>1</v>
      </c>
      <c r="Q2886" s="377">
        <v>20.859029999999997</v>
      </c>
      <c r="R2886" s="706">
        <v>2830495.9273899999</v>
      </c>
      <c r="S2886" s="369">
        <v>114.3665</v>
      </c>
      <c r="T2886" s="369">
        <v>122.83909999999999</v>
      </c>
      <c r="U2886" s="369">
        <v>1.07735</v>
      </c>
      <c r="V2886" s="706">
        <v>3097292.7703683483</v>
      </c>
      <c r="W2886" s="706">
        <v>-1129549.9857533488</v>
      </c>
    </row>
    <row r="2887" spans="2:23" ht="24" customHeight="1">
      <c r="J2887" s="345"/>
      <c r="K2887" s="703"/>
      <c r="L2887" s="342"/>
      <c r="M2887" s="342"/>
      <c r="N2887" s="340"/>
      <c r="O2887" s="703"/>
      <c r="P2887" s="342"/>
      <c r="Q2887" s="363"/>
      <c r="R2887" s="340"/>
      <c r="S2887" s="342"/>
      <c r="T2887" s="342"/>
      <c r="U2887" s="342"/>
      <c r="V2887" s="340"/>
      <c r="W2887" s="340"/>
    </row>
    <row r="2888" spans="2:23" ht="24" customHeight="1">
      <c r="B2888" s="67"/>
      <c r="E2888" s="1" t="s">
        <v>784</v>
      </c>
      <c r="J2888" s="345"/>
      <c r="K2888" s="703"/>
      <c r="L2888" s="342"/>
      <c r="M2888" s="342"/>
      <c r="N2888" s="340"/>
      <c r="O2888" s="703"/>
      <c r="P2888" s="342"/>
      <c r="Q2888" s="363"/>
      <c r="R2888" s="340"/>
      <c r="S2888" s="342"/>
      <c r="T2888" s="342"/>
      <c r="U2888" s="342"/>
      <c r="V2888" s="340"/>
      <c r="W2888" s="340"/>
    </row>
    <row r="2889" spans="2:23" ht="24" customHeight="1">
      <c r="B2889" s="67"/>
      <c r="F2889" s="346">
        <v>44715</v>
      </c>
      <c r="G2889" s="346"/>
      <c r="H2889" s="346"/>
      <c r="I2889" s="346"/>
      <c r="J2889" s="345"/>
      <c r="K2889" s="703"/>
      <c r="L2889" s="342"/>
      <c r="M2889" s="342"/>
      <c r="N2889" s="340"/>
      <c r="O2889" s="703"/>
      <c r="P2889" s="342"/>
      <c r="Q2889" s="363"/>
      <c r="R2889" s="340"/>
      <c r="S2889" s="342"/>
      <c r="T2889" s="342"/>
      <c r="U2889" s="342"/>
      <c r="V2889" s="340"/>
      <c r="W2889" s="340"/>
    </row>
    <row r="2890" spans="2:23" ht="24" customHeight="1">
      <c r="B2890" s="67"/>
      <c r="G2890" s="3" t="s">
        <v>59</v>
      </c>
      <c r="H2890" s="3"/>
      <c r="I2890" s="3"/>
      <c r="J2890" s="345"/>
      <c r="K2890" s="703"/>
      <c r="L2890" s="342"/>
      <c r="M2890" s="342"/>
      <c r="N2890" s="340"/>
      <c r="O2890" s="703"/>
      <c r="P2890" s="342"/>
      <c r="Q2890" s="363"/>
      <c r="R2890" s="340"/>
      <c r="S2890" s="342"/>
      <c r="T2890" s="342"/>
      <c r="U2890" s="342"/>
      <c r="V2890" s="340"/>
      <c r="W2890" s="340"/>
    </row>
    <row r="2891" spans="2:23" ht="24" customHeight="1">
      <c r="B2891" s="67"/>
      <c r="H2891" s="347">
        <v>43315</v>
      </c>
      <c r="I2891" s="347"/>
      <c r="J2891" s="345"/>
      <c r="K2891" s="703"/>
      <c r="L2891" s="342"/>
      <c r="M2891" s="342"/>
      <c r="N2891" s="340"/>
      <c r="O2891" s="703"/>
      <c r="P2891" s="342"/>
      <c r="Q2891" s="363"/>
      <c r="R2891" s="340"/>
      <c r="S2891" s="342"/>
      <c r="T2891" s="342"/>
      <c r="U2891" s="342"/>
      <c r="V2891" s="340"/>
      <c r="W2891" s="340"/>
    </row>
    <row r="2892" spans="2:23" ht="24" customHeight="1">
      <c r="B2892" s="67"/>
      <c r="I2892" s="3" t="s">
        <v>59</v>
      </c>
      <c r="J2892" s="345">
        <v>93</v>
      </c>
      <c r="K2892" s="703">
        <v>9469.68</v>
      </c>
      <c r="L2892" s="342">
        <v>1</v>
      </c>
      <c r="M2892" s="342">
        <v>19.738800000000001</v>
      </c>
      <c r="N2892" s="340">
        <v>186920.11958400003</v>
      </c>
      <c r="O2892" s="703">
        <v>6753.03</v>
      </c>
      <c r="P2892" s="342">
        <v>1</v>
      </c>
      <c r="Q2892" s="363">
        <v>18.5899</v>
      </c>
      <c r="R2892" s="340">
        <v>125538.152397</v>
      </c>
      <c r="S2892" s="342">
        <v>100.492</v>
      </c>
      <c r="T2892" s="342">
        <v>121.02200000000001</v>
      </c>
      <c r="U2892" s="342">
        <v>1.2041999999999999</v>
      </c>
      <c r="V2892" s="340">
        <v>151173.04311646739</v>
      </c>
      <c r="W2892" s="340">
        <v>35747.076467532635</v>
      </c>
    </row>
    <row r="2893" spans="2:23" ht="24" customHeight="1">
      <c r="J2893" s="345"/>
      <c r="K2893" s="703"/>
      <c r="L2893" s="342"/>
      <c r="M2893" s="342"/>
      <c r="N2893" s="340"/>
      <c r="O2893" s="703"/>
      <c r="P2893" s="342"/>
      <c r="Q2893" s="363"/>
      <c r="R2893" s="340"/>
      <c r="S2893" s="342"/>
      <c r="T2893" s="342"/>
      <c r="U2893" s="342"/>
      <c r="V2893" s="340"/>
      <c r="W2893" s="340"/>
    </row>
    <row r="2894" spans="2:23" ht="24" customHeight="1">
      <c r="B2894" s="67"/>
      <c r="F2894" s="346">
        <v>44790</v>
      </c>
      <c r="G2894" s="346"/>
      <c r="H2894" s="346"/>
      <c r="I2894" s="346"/>
      <c r="J2894" s="345"/>
      <c r="K2894" s="703"/>
      <c r="L2894" s="342"/>
      <c r="M2894" s="342"/>
      <c r="N2894" s="340"/>
      <c r="O2894" s="703"/>
      <c r="P2894" s="342"/>
      <c r="Q2894" s="363"/>
      <c r="R2894" s="340"/>
      <c r="S2894" s="342"/>
      <c r="T2894" s="342"/>
      <c r="U2894" s="342"/>
      <c r="V2894" s="340"/>
      <c r="W2894" s="340"/>
    </row>
    <row r="2895" spans="2:23" ht="24" customHeight="1">
      <c r="B2895" s="67"/>
      <c r="G2895" s="3" t="s">
        <v>59</v>
      </c>
      <c r="H2895" s="3"/>
      <c r="I2895" s="3"/>
      <c r="J2895" s="345"/>
      <c r="K2895" s="703"/>
      <c r="L2895" s="342"/>
      <c r="M2895" s="342"/>
      <c r="N2895" s="340"/>
      <c r="O2895" s="703"/>
      <c r="P2895" s="342"/>
      <c r="Q2895" s="363"/>
      <c r="R2895" s="340"/>
      <c r="S2895" s="342"/>
      <c r="T2895" s="342"/>
      <c r="U2895" s="342"/>
      <c r="V2895" s="340"/>
      <c r="W2895" s="340"/>
    </row>
    <row r="2896" spans="2:23" ht="24" customHeight="1">
      <c r="B2896" s="67"/>
      <c r="H2896" s="347">
        <v>43315</v>
      </c>
      <c r="I2896" s="347"/>
      <c r="J2896" s="345"/>
      <c r="K2896" s="703"/>
      <c r="L2896" s="342"/>
      <c r="M2896" s="342"/>
      <c r="N2896" s="340"/>
      <c r="O2896" s="703"/>
      <c r="P2896" s="342"/>
      <c r="Q2896" s="363"/>
      <c r="R2896" s="340"/>
      <c r="S2896" s="342"/>
      <c r="T2896" s="342"/>
      <c r="U2896" s="342"/>
      <c r="V2896" s="340"/>
      <c r="W2896" s="340"/>
    </row>
    <row r="2897" spans="2:23" ht="24" customHeight="1">
      <c r="B2897" s="67"/>
      <c r="I2897" s="3" t="s">
        <v>59</v>
      </c>
      <c r="J2897" s="345">
        <v>60</v>
      </c>
      <c r="K2897" s="703">
        <v>6701.25</v>
      </c>
      <c r="L2897" s="342">
        <v>1</v>
      </c>
      <c r="M2897" s="342">
        <v>19.861799999999999</v>
      </c>
      <c r="N2897" s="340">
        <v>133098.88725</v>
      </c>
      <c r="O2897" s="703">
        <v>4356.79</v>
      </c>
      <c r="P2897" s="342">
        <v>1</v>
      </c>
      <c r="Q2897" s="363">
        <v>18.5899</v>
      </c>
      <c r="R2897" s="340">
        <v>80992.290420999998</v>
      </c>
      <c r="S2897" s="342">
        <v>100.492</v>
      </c>
      <c r="T2897" s="342">
        <v>122.94799999999999</v>
      </c>
      <c r="U2897" s="342">
        <v>1.2234</v>
      </c>
      <c r="V2897" s="340">
        <v>99085.968101051403</v>
      </c>
      <c r="W2897" s="340">
        <v>34012.919148948597</v>
      </c>
    </row>
    <row r="2898" spans="2:23" ht="24" customHeight="1">
      <c r="J2898" s="345"/>
      <c r="K2898" s="703"/>
      <c r="L2898" s="342"/>
      <c r="M2898" s="342"/>
      <c r="N2898" s="340"/>
      <c r="O2898" s="703"/>
      <c r="P2898" s="342"/>
      <c r="Q2898" s="363"/>
      <c r="R2898" s="340"/>
      <c r="S2898" s="342"/>
      <c r="T2898" s="342"/>
      <c r="U2898" s="342"/>
      <c r="V2898" s="340"/>
      <c r="W2898" s="340"/>
    </row>
    <row r="2899" spans="2:23" ht="24" customHeight="1">
      <c r="B2899" s="67"/>
      <c r="F2899" s="346">
        <v>44802</v>
      </c>
      <c r="G2899" s="346"/>
      <c r="H2899" s="346"/>
      <c r="I2899" s="346"/>
      <c r="J2899" s="345"/>
      <c r="K2899" s="703"/>
      <c r="L2899" s="342"/>
      <c r="M2899" s="342"/>
      <c r="N2899" s="340"/>
      <c r="O2899" s="703"/>
      <c r="P2899" s="342"/>
      <c r="Q2899" s="363"/>
      <c r="R2899" s="340"/>
      <c r="S2899" s="342"/>
      <c r="T2899" s="342"/>
      <c r="U2899" s="342"/>
      <c r="V2899" s="340"/>
      <c r="W2899" s="340"/>
    </row>
    <row r="2900" spans="2:23" ht="24" customHeight="1">
      <c r="B2900" s="67"/>
      <c r="G2900" s="3" t="s">
        <v>59</v>
      </c>
      <c r="H2900" s="3"/>
      <c r="I2900" s="3"/>
      <c r="J2900" s="345"/>
      <c r="K2900" s="703"/>
      <c r="L2900" s="342"/>
      <c r="M2900" s="342"/>
      <c r="N2900" s="340"/>
      <c r="O2900" s="703"/>
      <c r="P2900" s="342"/>
      <c r="Q2900" s="363"/>
      <c r="R2900" s="340"/>
      <c r="S2900" s="342"/>
      <c r="T2900" s="342"/>
      <c r="U2900" s="342"/>
      <c r="V2900" s="340"/>
      <c r="W2900" s="340"/>
    </row>
    <row r="2901" spans="2:23" ht="24" customHeight="1">
      <c r="B2901" s="67"/>
      <c r="H2901" s="347">
        <v>43315</v>
      </c>
      <c r="I2901" s="347"/>
      <c r="J2901" s="345"/>
      <c r="K2901" s="703"/>
      <c r="L2901" s="342"/>
      <c r="M2901" s="342"/>
      <c r="N2901" s="340"/>
      <c r="O2901" s="703"/>
      <c r="P2901" s="342"/>
      <c r="Q2901" s="363"/>
      <c r="R2901" s="340"/>
      <c r="S2901" s="342"/>
      <c r="T2901" s="342"/>
      <c r="U2901" s="342"/>
      <c r="V2901" s="340"/>
      <c r="W2901" s="340"/>
    </row>
    <row r="2902" spans="2:23" ht="24" customHeight="1">
      <c r="B2902" s="67"/>
      <c r="I2902" s="3" t="s">
        <v>59</v>
      </c>
      <c r="J2902" s="345">
        <v>143</v>
      </c>
      <c r="K2902" s="703">
        <v>14625.41</v>
      </c>
      <c r="L2902" s="342">
        <v>1</v>
      </c>
      <c r="M2902" s="342">
        <v>19.9437</v>
      </c>
      <c r="N2902" s="340">
        <v>291684.78941700002</v>
      </c>
      <c r="O2902" s="703">
        <v>10383.69</v>
      </c>
      <c r="P2902" s="342">
        <v>1</v>
      </c>
      <c r="Q2902" s="363">
        <v>18.5899</v>
      </c>
      <c r="R2902" s="340">
        <v>193031.75873100001</v>
      </c>
      <c r="S2902" s="342">
        <v>100.492</v>
      </c>
      <c r="T2902" s="342">
        <v>122.94799999999999</v>
      </c>
      <c r="U2902" s="342">
        <v>1.2234</v>
      </c>
      <c r="V2902" s="340">
        <v>236155.05363150541</v>
      </c>
      <c r="W2902" s="340">
        <v>55529.735785494617</v>
      </c>
    </row>
    <row r="2903" spans="2:23" ht="24" customHeight="1">
      <c r="J2903" s="345"/>
      <c r="K2903" s="703"/>
      <c r="L2903" s="342"/>
      <c r="M2903" s="342"/>
      <c r="N2903" s="340"/>
      <c r="O2903" s="703"/>
      <c r="P2903" s="342"/>
      <c r="Q2903" s="363"/>
      <c r="R2903" s="340"/>
      <c r="S2903" s="342"/>
      <c r="T2903" s="342"/>
      <c r="U2903" s="342"/>
      <c r="V2903" s="340"/>
      <c r="W2903" s="340"/>
    </row>
    <row r="2904" spans="2:23" ht="24" customHeight="1">
      <c r="B2904" s="67"/>
      <c r="F2904" s="346">
        <v>44803</v>
      </c>
      <c r="G2904" s="346"/>
      <c r="H2904" s="346"/>
      <c r="I2904" s="346"/>
      <c r="J2904" s="345"/>
      <c r="K2904" s="703"/>
      <c r="L2904" s="342"/>
      <c r="M2904" s="342"/>
      <c r="N2904" s="340"/>
      <c r="O2904" s="703"/>
      <c r="P2904" s="342"/>
      <c r="Q2904" s="363"/>
      <c r="R2904" s="340"/>
      <c r="S2904" s="342"/>
      <c r="T2904" s="342"/>
      <c r="U2904" s="342"/>
      <c r="V2904" s="340"/>
      <c r="W2904" s="340"/>
    </row>
    <row r="2905" spans="2:23" ht="24" customHeight="1">
      <c r="B2905" s="67"/>
      <c r="G2905" s="3" t="s">
        <v>59</v>
      </c>
      <c r="H2905" s="3"/>
      <c r="I2905" s="3"/>
      <c r="J2905" s="345"/>
      <c r="K2905" s="703"/>
      <c r="L2905" s="342"/>
      <c r="M2905" s="342"/>
      <c r="N2905" s="340"/>
      <c r="O2905" s="703"/>
      <c r="P2905" s="342"/>
      <c r="Q2905" s="363"/>
      <c r="R2905" s="340"/>
      <c r="S2905" s="342"/>
      <c r="T2905" s="342"/>
      <c r="U2905" s="342"/>
      <c r="V2905" s="340"/>
      <c r="W2905" s="340"/>
    </row>
    <row r="2906" spans="2:23" ht="24" customHeight="1">
      <c r="B2906" s="67"/>
      <c r="H2906" s="347">
        <v>43315</v>
      </c>
      <c r="I2906" s="347"/>
      <c r="J2906" s="345"/>
      <c r="K2906" s="703"/>
      <c r="L2906" s="342"/>
      <c r="M2906" s="342"/>
      <c r="N2906" s="340"/>
      <c r="O2906" s="703"/>
      <c r="P2906" s="342"/>
      <c r="Q2906" s="363"/>
      <c r="R2906" s="340"/>
      <c r="S2906" s="342"/>
      <c r="T2906" s="342"/>
      <c r="U2906" s="342"/>
      <c r="V2906" s="340"/>
      <c r="W2906" s="340"/>
    </row>
    <row r="2907" spans="2:23" ht="24" customHeight="1">
      <c r="B2907" s="67"/>
      <c r="I2907" s="3" t="s">
        <v>59</v>
      </c>
      <c r="J2907" s="345">
        <v>51</v>
      </c>
      <c r="K2907" s="703">
        <v>5152.83</v>
      </c>
      <c r="L2907" s="342">
        <v>1</v>
      </c>
      <c r="M2907" s="342">
        <v>19.9268</v>
      </c>
      <c r="N2907" s="340">
        <v>102679.41284400001</v>
      </c>
      <c r="O2907" s="703">
        <v>3703.27</v>
      </c>
      <c r="P2907" s="342">
        <v>1</v>
      </c>
      <c r="Q2907" s="363">
        <v>18.5899</v>
      </c>
      <c r="R2907" s="340">
        <v>68843.418973000007</v>
      </c>
      <c r="S2907" s="342">
        <v>100.492</v>
      </c>
      <c r="T2907" s="342">
        <v>122.94799999999999</v>
      </c>
      <c r="U2907" s="342">
        <v>1.2234</v>
      </c>
      <c r="V2907" s="340">
        <v>84223.038771568215</v>
      </c>
      <c r="W2907" s="340">
        <v>18456.37407243179</v>
      </c>
    </row>
    <row r="2908" spans="2:23" ht="24" customHeight="1">
      <c r="J2908" s="345"/>
      <c r="K2908" s="703"/>
      <c r="L2908" s="342"/>
      <c r="M2908" s="342"/>
      <c r="N2908" s="340"/>
      <c r="O2908" s="703"/>
      <c r="P2908" s="342"/>
      <c r="Q2908" s="363"/>
      <c r="R2908" s="340"/>
      <c r="S2908" s="342"/>
      <c r="T2908" s="342"/>
      <c r="U2908" s="342"/>
      <c r="V2908" s="340"/>
      <c r="W2908" s="340"/>
    </row>
    <row r="2909" spans="2:23" ht="24" customHeight="1">
      <c r="B2909" s="67"/>
      <c r="H2909" s="347">
        <v>43578</v>
      </c>
      <c r="I2909" s="347"/>
      <c r="J2909" s="345"/>
      <c r="K2909" s="703"/>
      <c r="L2909" s="342"/>
      <c r="M2909" s="342"/>
      <c r="N2909" s="340"/>
      <c r="O2909" s="703"/>
      <c r="P2909" s="342"/>
      <c r="Q2909" s="363"/>
      <c r="R2909" s="340"/>
      <c r="S2909" s="342"/>
      <c r="T2909" s="342"/>
      <c r="U2909" s="342"/>
      <c r="V2909" s="340"/>
      <c r="W2909" s="340"/>
    </row>
    <row r="2910" spans="2:23" ht="24" customHeight="1">
      <c r="B2910" s="67"/>
      <c r="I2910" s="3" t="s">
        <v>59</v>
      </c>
      <c r="J2910" s="345">
        <v>66</v>
      </c>
      <c r="K2910" s="703">
        <v>6668.37</v>
      </c>
      <c r="L2910" s="342">
        <v>1</v>
      </c>
      <c r="M2910" s="342">
        <v>19.9268</v>
      </c>
      <c r="N2910" s="340">
        <v>132879.27531599998</v>
      </c>
      <c r="O2910" s="703">
        <v>5319.06</v>
      </c>
      <c r="P2910" s="342">
        <v>1</v>
      </c>
      <c r="Q2910" s="363">
        <v>18.847999999999999</v>
      </c>
      <c r="R2910" s="340">
        <v>100253.64288</v>
      </c>
      <c r="S2910" s="342">
        <v>103.53100000000001</v>
      </c>
      <c r="T2910" s="342">
        <v>122.94799999999999</v>
      </c>
      <c r="U2910" s="342">
        <v>1.1875</v>
      </c>
      <c r="V2910" s="340">
        <v>119051.20092</v>
      </c>
      <c r="W2910" s="340">
        <v>13828.074395999982</v>
      </c>
    </row>
    <row r="2911" spans="2:23" ht="24" customHeight="1">
      <c r="J2911" s="345"/>
      <c r="K2911" s="703"/>
      <c r="L2911" s="342"/>
      <c r="M2911" s="342"/>
      <c r="N2911" s="340"/>
      <c r="O2911" s="703"/>
      <c r="P2911" s="342"/>
      <c r="Q2911" s="363"/>
      <c r="R2911" s="340"/>
      <c r="S2911" s="342"/>
      <c r="T2911" s="342"/>
      <c r="U2911" s="342"/>
      <c r="V2911" s="340"/>
      <c r="W2911" s="340"/>
    </row>
    <row r="2912" spans="2:23" ht="24" customHeight="1">
      <c r="B2912" s="67"/>
      <c r="F2912" s="346">
        <v>44804</v>
      </c>
      <c r="G2912" s="346"/>
      <c r="H2912" s="346"/>
      <c r="I2912" s="346"/>
      <c r="J2912" s="345"/>
      <c r="K2912" s="703"/>
      <c r="L2912" s="342"/>
      <c r="M2912" s="342"/>
      <c r="N2912" s="340"/>
      <c r="O2912" s="703"/>
      <c r="P2912" s="342"/>
      <c r="Q2912" s="363"/>
      <c r="R2912" s="340"/>
      <c r="S2912" s="342"/>
      <c r="T2912" s="342"/>
      <c r="U2912" s="342"/>
      <c r="V2912" s="340"/>
      <c r="W2912" s="340"/>
    </row>
    <row r="2913" spans="2:23" ht="24" customHeight="1">
      <c r="B2913" s="67"/>
      <c r="G2913" s="3" t="s">
        <v>59</v>
      </c>
      <c r="H2913" s="3"/>
      <c r="I2913" s="3"/>
      <c r="J2913" s="345"/>
      <c r="K2913" s="703"/>
      <c r="L2913" s="342"/>
      <c r="M2913" s="342"/>
      <c r="N2913" s="340"/>
      <c r="O2913" s="703"/>
      <c r="P2913" s="342"/>
      <c r="Q2913" s="363"/>
      <c r="R2913" s="340"/>
      <c r="S2913" s="342"/>
      <c r="T2913" s="342"/>
      <c r="U2913" s="342"/>
      <c r="V2913" s="340"/>
      <c r="W2913" s="340"/>
    </row>
    <row r="2914" spans="2:23" ht="24" customHeight="1">
      <c r="B2914" s="67"/>
      <c r="H2914" s="347">
        <v>43578</v>
      </c>
      <c r="I2914" s="347"/>
      <c r="J2914" s="345"/>
      <c r="K2914" s="703"/>
      <c r="L2914" s="342"/>
      <c r="M2914" s="342"/>
      <c r="N2914" s="340"/>
      <c r="O2914" s="703"/>
      <c r="P2914" s="342"/>
      <c r="Q2914" s="363"/>
      <c r="R2914" s="340"/>
      <c r="S2914" s="342"/>
      <c r="T2914" s="342"/>
      <c r="U2914" s="342"/>
      <c r="V2914" s="340"/>
      <c r="W2914" s="340"/>
    </row>
    <row r="2915" spans="2:23" ht="24" customHeight="1">
      <c r="B2915" s="67"/>
      <c r="I2915" s="3" t="s">
        <v>59</v>
      </c>
      <c r="J2915" s="345">
        <v>126</v>
      </c>
      <c r="K2915" s="703">
        <v>12740.36</v>
      </c>
      <c r="L2915" s="342">
        <v>1</v>
      </c>
      <c r="M2915" s="342">
        <v>19.994499999999999</v>
      </c>
      <c r="N2915" s="340">
        <v>254737.12802</v>
      </c>
      <c r="O2915" s="703">
        <v>10154.57</v>
      </c>
      <c r="P2915" s="342">
        <v>1</v>
      </c>
      <c r="Q2915" s="363">
        <v>18.847999999999999</v>
      </c>
      <c r="R2915" s="340">
        <v>191393.33536</v>
      </c>
      <c r="S2915" s="342">
        <v>103.53100000000001</v>
      </c>
      <c r="T2915" s="342">
        <v>122.94799999999999</v>
      </c>
      <c r="U2915" s="342">
        <v>1.1875</v>
      </c>
      <c r="V2915" s="340">
        <v>227279.58574000001</v>
      </c>
      <c r="W2915" s="340">
        <v>27457.542279999994</v>
      </c>
    </row>
    <row r="2916" spans="2:23" ht="24" customHeight="1">
      <c r="J2916" s="345"/>
      <c r="K2916" s="703"/>
      <c r="L2916" s="342"/>
      <c r="M2916" s="342"/>
      <c r="N2916" s="340"/>
      <c r="O2916" s="703"/>
      <c r="P2916" s="342"/>
      <c r="Q2916" s="363"/>
      <c r="R2916" s="340"/>
      <c r="S2916" s="342"/>
      <c r="T2916" s="342"/>
      <c r="U2916" s="342"/>
      <c r="V2916" s="340"/>
      <c r="W2916" s="340"/>
    </row>
    <row r="2917" spans="2:23" ht="24" customHeight="1">
      <c r="B2917" s="67"/>
      <c r="F2917" s="346">
        <v>44805</v>
      </c>
      <c r="G2917" s="346"/>
      <c r="H2917" s="346"/>
      <c r="I2917" s="346"/>
      <c r="J2917" s="345"/>
      <c r="K2917" s="703"/>
      <c r="L2917" s="342"/>
      <c r="M2917" s="342"/>
      <c r="N2917" s="340"/>
      <c r="O2917" s="703"/>
      <c r="P2917" s="342"/>
      <c r="Q2917" s="363"/>
      <c r="R2917" s="340"/>
      <c r="S2917" s="342"/>
      <c r="T2917" s="342"/>
      <c r="U2917" s="342"/>
      <c r="V2917" s="340"/>
      <c r="W2917" s="340"/>
    </row>
    <row r="2918" spans="2:23" ht="24" customHeight="1">
      <c r="B2918" s="67"/>
      <c r="G2918" s="3" t="s">
        <v>59</v>
      </c>
      <c r="H2918" s="3"/>
      <c r="I2918" s="3"/>
      <c r="J2918" s="345"/>
      <c r="K2918" s="703"/>
      <c r="L2918" s="342"/>
      <c r="M2918" s="342"/>
      <c r="N2918" s="340"/>
      <c r="O2918" s="703"/>
      <c r="P2918" s="342"/>
      <c r="Q2918" s="363"/>
      <c r="R2918" s="340"/>
      <c r="S2918" s="342"/>
      <c r="T2918" s="342"/>
      <c r="U2918" s="342"/>
      <c r="V2918" s="340"/>
      <c r="W2918" s="340"/>
    </row>
    <row r="2919" spans="2:23" ht="24" customHeight="1">
      <c r="B2919" s="67"/>
      <c r="H2919" s="347">
        <v>43578</v>
      </c>
      <c r="I2919" s="347"/>
      <c r="J2919" s="345"/>
      <c r="K2919" s="703"/>
      <c r="L2919" s="342"/>
      <c r="M2919" s="342"/>
      <c r="N2919" s="340"/>
      <c r="O2919" s="703"/>
      <c r="P2919" s="342"/>
      <c r="Q2919" s="363"/>
      <c r="R2919" s="340"/>
      <c r="S2919" s="342"/>
      <c r="T2919" s="342"/>
      <c r="U2919" s="342"/>
      <c r="V2919" s="340"/>
      <c r="W2919" s="340"/>
    </row>
    <row r="2920" spans="2:23" ht="24" customHeight="1">
      <c r="B2920" s="67"/>
      <c r="I2920" s="3" t="s">
        <v>59</v>
      </c>
      <c r="J2920" s="345">
        <v>52</v>
      </c>
      <c r="K2920" s="703">
        <v>5220.1499999999996</v>
      </c>
      <c r="L2920" s="342">
        <v>1</v>
      </c>
      <c r="M2920" s="342">
        <v>20.1465</v>
      </c>
      <c r="N2920" s="340">
        <v>105167.75197499999</v>
      </c>
      <c r="O2920" s="703">
        <v>4190.7700000000004</v>
      </c>
      <c r="P2920" s="342">
        <v>1</v>
      </c>
      <c r="Q2920" s="363">
        <v>18.847999999999999</v>
      </c>
      <c r="R2920" s="340">
        <v>78987.632960000003</v>
      </c>
      <c r="S2920" s="342">
        <v>103.53100000000001</v>
      </c>
      <c r="T2920" s="342">
        <v>123.803</v>
      </c>
      <c r="U2920" s="342">
        <v>1.1958</v>
      </c>
      <c r="V2920" s="340">
        <v>94453.411493567997</v>
      </c>
      <c r="W2920" s="340">
        <v>10714.340481431995</v>
      </c>
    </row>
    <row r="2921" spans="2:23" ht="24" customHeight="1">
      <c r="J2921" s="345"/>
      <c r="K2921" s="703"/>
      <c r="L2921" s="342"/>
      <c r="M2921" s="342"/>
      <c r="N2921" s="340"/>
      <c r="O2921" s="703"/>
      <c r="P2921" s="342"/>
      <c r="Q2921" s="363"/>
      <c r="R2921" s="340"/>
      <c r="S2921" s="342"/>
      <c r="T2921" s="342"/>
      <c r="U2921" s="342"/>
      <c r="V2921" s="340"/>
      <c r="W2921" s="340"/>
    </row>
    <row r="2922" spans="2:23" ht="24" customHeight="1">
      <c r="B2922" s="67"/>
      <c r="H2922" s="347">
        <v>43964</v>
      </c>
      <c r="I2922" s="347"/>
      <c r="J2922" s="345"/>
      <c r="K2922" s="703"/>
      <c r="L2922" s="342"/>
      <c r="M2922" s="342"/>
      <c r="N2922" s="340"/>
      <c r="O2922" s="703"/>
      <c r="P2922" s="342"/>
      <c r="Q2922" s="363"/>
      <c r="R2922" s="340"/>
      <c r="S2922" s="342"/>
      <c r="T2922" s="342"/>
      <c r="U2922" s="342"/>
      <c r="V2922" s="340"/>
      <c r="W2922" s="340"/>
    </row>
    <row r="2923" spans="2:23" ht="24" customHeight="1">
      <c r="B2923" s="67"/>
      <c r="I2923" s="3" t="s">
        <v>59</v>
      </c>
      <c r="J2923" s="345">
        <v>68</v>
      </c>
      <c r="K2923" s="703">
        <v>6826.35</v>
      </c>
      <c r="L2923" s="342">
        <v>1</v>
      </c>
      <c r="M2923" s="342">
        <v>20.1465</v>
      </c>
      <c r="N2923" s="340">
        <v>137527.060275</v>
      </c>
      <c r="O2923" s="703">
        <v>6268.2</v>
      </c>
      <c r="P2923" s="342">
        <v>1</v>
      </c>
      <c r="Q2923" s="363">
        <v>23.869299999999999</v>
      </c>
      <c r="R2923" s="340">
        <v>149617.54626</v>
      </c>
      <c r="S2923" s="342">
        <v>106.16200000000001</v>
      </c>
      <c r="T2923" s="342">
        <v>123.803</v>
      </c>
      <c r="U2923" s="342">
        <v>1.1660999999999999</v>
      </c>
      <c r="V2923" s="340">
        <v>174469.02069378598</v>
      </c>
      <c r="W2923" s="340">
        <v>-36941.96041878598</v>
      </c>
    </row>
    <row r="2924" spans="2:23" ht="24" customHeight="1">
      <c r="J2924" s="345"/>
      <c r="K2924" s="703"/>
      <c r="L2924" s="342"/>
      <c r="M2924" s="342"/>
      <c r="N2924" s="340"/>
      <c r="O2924" s="703"/>
      <c r="P2924" s="342"/>
      <c r="Q2924" s="363"/>
      <c r="R2924" s="340"/>
      <c r="S2924" s="342"/>
      <c r="T2924" s="342"/>
      <c r="U2924" s="342"/>
      <c r="V2924" s="340"/>
      <c r="W2924" s="340"/>
    </row>
    <row r="2925" spans="2:23" ht="24" customHeight="1">
      <c r="B2925" s="67"/>
      <c r="E2925" s="131" t="s">
        <v>1186</v>
      </c>
      <c r="F2925" s="131"/>
      <c r="G2925" s="131"/>
      <c r="H2925" s="131"/>
      <c r="I2925" s="131"/>
      <c r="J2925" s="704">
        <v>659</v>
      </c>
      <c r="K2925" s="705">
        <v>67404.400000000009</v>
      </c>
      <c r="L2925" s="369">
        <v>1</v>
      </c>
      <c r="M2925" s="377">
        <v>19.960675000000002</v>
      </c>
      <c r="N2925" s="706">
        <v>1344694.4246809999</v>
      </c>
      <c r="O2925" s="705">
        <v>51129.380000000005</v>
      </c>
      <c r="P2925" s="369">
        <v>1</v>
      </c>
      <c r="Q2925" s="377">
        <v>19.346612499999999</v>
      </c>
      <c r="R2925" s="706">
        <v>988657.77798200003</v>
      </c>
      <c r="S2925" s="369">
        <v>102.34037499999999</v>
      </c>
      <c r="T2925" s="369">
        <v>122.92099999999999</v>
      </c>
      <c r="U2925" s="369">
        <v>1.2014125</v>
      </c>
      <c r="V2925" s="706">
        <v>1185890.3224679464</v>
      </c>
      <c r="W2925" s="706">
        <v>158804.10221305361</v>
      </c>
    </row>
    <row r="2926" spans="2:23" ht="24" customHeight="1">
      <c r="J2926" s="345"/>
      <c r="K2926" s="703"/>
      <c r="L2926" s="342"/>
      <c r="M2926" s="342"/>
      <c r="N2926" s="340"/>
      <c r="O2926" s="703"/>
      <c r="P2926" s="342"/>
      <c r="Q2926" s="363"/>
      <c r="R2926" s="340"/>
      <c r="S2926" s="342"/>
      <c r="T2926" s="342"/>
      <c r="U2926" s="342"/>
      <c r="V2926" s="340"/>
      <c r="W2926" s="340"/>
    </row>
    <row r="2927" spans="2:23" ht="24" customHeight="1">
      <c r="B2927" s="67"/>
      <c r="E2927" s="1" t="s">
        <v>976</v>
      </c>
      <c r="J2927" s="345"/>
      <c r="K2927" s="703"/>
      <c r="L2927" s="342"/>
      <c r="M2927" s="342"/>
      <c r="N2927" s="340"/>
      <c r="O2927" s="703"/>
      <c r="P2927" s="342"/>
      <c r="Q2927" s="363"/>
      <c r="R2927" s="340"/>
      <c r="S2927" s="342"/>
      <c r="T2927" s="342"/>
      <c r="U2927" s="342"/>
      <c r="V2927" s="340"/>
      <c r="W2927" s="340"/>
    </row>
    <row r="2928" spans="2:23" ht="24" customHeight="1">
      <c r="B2928" s="67"/>
      <c r="F2928" s="346">
        <v>44790</v>
      </c>
      <c r="G2928" s="346"/>
      <c r="H2928" s="346"/>
      <c r="I2928" s="346"/>
      <c r="J2928" s="345"/>
      <c r="K2928" s="703"/>
      <c r="L2928" s="342"/>
      <c r="M2928" s="342"/>
      <c r="N2928" s="340"/>
      <c r="O2928" s="703"/>
      <c r="P2928" s="342"/>
      <c r="Q2928" s="363"/>
      <c r="R2928" s="340"/>
      <c r="S2928" s="342"/>
      <c r="T2928" s="342"/>
      <c r="U2928" s="342"/>
      <c r="V2928" s="340"/>
      <c r="W2928" s="340"/>
    </row>
    <row r="2929" spans="2:23" ht="24" customHeight="1">
      <c r="B2929" s="67"/>
      <c r="G2929" s="3" t="s">
        <v>59</v>
      </c>
      <c r="H2929" s="3"/>
      <c r="I2929" s="3"/>
      <c r="J2929" s="345"/>
      <c r="K2929" s="703"/>
      <c r="L2929" s="342"/>
      <c r="M2929" s="342"/>
      <c r="N2929" s="340"/>
      <c r="O2929" s="703"/>
      <c r="P2929" s="342"/>
      <c r="Q2929" s="363"/>
      <c r="R2929" s="340"/>
      <c r="S2929" s="342"/>
      <c r="T2929" s="342"/>
      <c r="U2929" s="342"/>
      <c r="V2929" s="340"/>
      <c r="W2929" s="340"/>
    </row>
    <row r="2930" spans="2:23" ht="24" customHeight="1">
      <c r="B2930" s="67"/>
      <c r="H2930" s="347">
        <v>44648</v>
      </c>
      <c r="I2930" s="347"/>
      <c r="J2930" s="345"/>
      <c r="K2930" s="703"/>
      <c r="L2930" s="342"/>
      <c r="M2930" s="342"/>
      <c r="N2930" s="340"/>
      <c r="O2930" s="703"/>
      <c r="P2930" s="342"/>
      <c r="Q2930" s="363"/>
      <c r="R2930" s="340"/>
      <c r="S2930" s="342"/>
      <c r="T2930" s="342"/>
      <c r="U2930" s="342"/>
      <c r="V2930" s="340"/>
      <c r="W2930" s="340"/>
    </row>
    <row r="2931" spans="2:23" ht="24" customHeight="1">
      <c r="B2931" s="67"/>
      <c r="I2931" s="3" t="s">
        <v>59</v>
      </c>
      <c r="J2931" s="345">
        <v>27</v>
      </c>
      <c r="K2931" s="703">
        <v>6211.75</v>
      </c>
      <c r="L2931" s="342">
        <v>1</v>
      </c>
      <c r="M2931" s="342">
        <v>19.861799999999999</v>
      </c>
      <c r="N2931" s="340">
        <v>123376.53614999999</v>
      </c>
      <c r="O2931" s="703">
        <v>7857.86</v>
      </c>
      <c r="P2931" s="342">
        <v>1</v>
      </c>
      <c r="Q2931" s="363">
        <v>20.1313</v>
      </c>
      <c r="R2931" s="340">
        <v>158188.937018</v>
      </c>
      <c r="S2931" s="342">
        <v>120.15900000000001</v>
      </c>
      <c r="T2931" s="342">
        <v>122.94799999999999</v>
      </c>
      <c r="U2931" s="342">
        <v>1.0232000000000001</v>
      </c>
      <c r="V2931" s="340">
        <v>161858.9203568176</v>
      </c>
      <c r="W2931" s="340">
        <v>-38482.384206817616</v>
      </c>
    </row>
    <row r="2932" spans="2:23" ht="24" customHeight="1">
      <c r="J2932" s="345"/>
      <c r="K2932" s="703"/>
      <c r="L2932" s="342"/>
      <c r="M2932" s="342"/>
      <c r="N2932" s="340"/>
      <c r="O2932" s="703"/>
      <c r="P2932" s="342"/>
      <c r="Q2932" s="363"/>
      <c r="R2932" s="340"/>
      <c r="S2932" s="342"/>
      <c r="T2932" s="342"/>
      <c r="U2932" s="342"/>
      <c r="V2932" s="340"/>
      <c r="W2932" s="340"/>
    </row>
    <row r="2933" spans="2:23" ht="24" customHeight="1">
      <c r="B2933" s="67"/>
      <c r="E2933" s="131" t="s">
        <v>1187</v>
      </c>
      <c r="F2933" s="131"/>
      <c r="G2933" s="131"/>
      <c r="H2933" s="131"/>
      <c r="I2933" s="131"/>
      <c r="J2933" s="704">
        <v>27</v>
      </c>
      <c r="K2933" s="705">
        <v>6211.75</v>
      </c>
      <c r="L2933" s="369">
        <v>1</v>
      </c>
      <c r="M2933" s="377">
        <v>19.861799999999999</v>
      </c>
      <c r="N2933" s="706">
        <v>123376.53614999999</v>
      </c>
      <c r="O2933" s="705">
        <v>7857.86</v>
      </c>
      <c r="P2933" s="369">
        <v>1</v>
      </c>
      <c r="Q2933" s="377">
        <v>20.1313</v>
      </c>
      <c r="R2933" s="706">
        <v>158188.937018</v>
      </c>
      <c r="S2933" s="369">
        <v>120.15900000000001</v>
      </c>
      <c r="T2933" s="369">
        <v>122.94799999999999</v>
      </c>
      <c r="U2933" s="369">
        <v>1.0232000000000001</v>
      </c>
      <c r="V2933" s="706">
        <v>161858.9203568176</v>
      </c>
      <c r="W2933" s="706">
        <v>-38482.384206817616</v>
      </c>
    </row>
    <row r="2934" spans="2:23" ht="24" customHeight="1">
      <c r="J2934" s="345"/>
      <c r="K2934" s="703"/>
      <c r="L2934" s="342"/>
      <c r="M2934" s="342"/>
      <c r="N2934" s="340"/>
      <c r="O2934" s="703"/>
      <c r="P2934" s="342"/>
      <c r="Q2934" s="363"/>
      <c r="R2934" s="340"/>
      <c r="S2934" s="342"/>
      <c r="T2934" s="342"/>
      <c r="U2934" s="342"/>
      <c r="V2934" s="340"/>
      <c r="W2934" s="340"/>
    </row>
    <row r="2935" spans="2:23" ht="24" customHeight="1">
      <c r="B2935" s="67"/>
      <c r="E2935" s="1" t="s">
        <v>842</v>
      </c>
      <c r="J2935" s="345"/>
      <c r="K2935" s="703"/>
      <c r="L2935" s="342"/>
      <c r="M2935" s="342"/>
      <c r="N2935" s="340"/>
      <c r="O2935" s="703"/>
      <c r="P2935" s="342"/>
      <c r="Q2935" s="363"/>
      <c r="R2935" s="340"/>
      <c r="S2935" s="342"/>
      <c r="T2935" s="342"/>
      <c r="U2935" s="342"/>
      <c r="V2935" s="340"/>
      <c r="W2935" s="340"/>
    </row>
    <row r="2936" spans="2:23" ht="24" customHeight="1">
      <c r="B2936" s="67"/>
      <c r="F2936" s="346">
        <v>44719</v>
      </c>
      <c r="G2936" s="346"/>
      <c r="H2936" s="346"/>
      <c r="I2936" s="346"/>
      <c r="J2936" s="345"/>
      <c r="K2936" s="703"/>
      <c r="L2936" s="342"/>
      <c r="M2936" s="342"/>
      <c r="N2936" s="340"/>
      <c r="O2936" s="703"/>
      <c r="P2936" s="342"/>
      <c r="Q2936" s="363"/>
      <c r="R2936" s="340"/>
      <c r="S2936" s="342"/>
      <c r="T2936" s="342"/>
      <c r="U2936" s="342"/>
      <c r="V2936" s="340"/>
      <c r="W2936" s="340"/>
    </row>
    <row r="2937" spans="2:23" ht="24" customHeight="1">
      <c r="B2937" s="67"/>
      <c r="G2937" s="3" t="s">
        <v>59</v>
      </c>
      <c r="H2937" s="3"/>
      <c r="I2937" s="3"/>
      <c r="J2937" s="345"/>
      <c r="K2937" s="703"/>
      <c r="L2937" s="342"/>
      <c r="M2937" s="342"/>
      <c r="N2937" s="340"/>
      <c r="O2937" s="703"/>
      <c r="P2937" s="342"/>
      <c r="Q2937" s="363"/>
      <c r="R2937" s="340"/>
      <c r="S2937" s="342"/>
      <c r="T2937" s="342"/>
      <c r="U2937" s="342"/>
      <c r="V2937" s="340"/>
      <c r="W2937" s="340"/>
    </row>
    <row r="2938" spans="2:23" ht="24" customHeight="1">
      <c r="B2938" s="67"/>
      <c r="H2938" s="347">
        <v>43126</v>
      </c>
      <c r="I2938" s="347"/>
      <c r="J2938" s="345"/>
      <c r="K2938" s="703"/>
      <c r="L2938" s="342"/>
      <c r="M2938" s="342"/>
      <c r="N2938" s="340"/>
      <c r="O2938" s="703"/>
      <c r="P2938" s="342"/>
      <c r="Q2938" s="363"/>
      <c r="R2938" s="340"/>
      <c r="S2938" s="342"/>
      <c r="T2938" s="342"/>
      <c r="U2938" s="342"/>
      <c r="V2938" s="340"/>
      <c r="W2938" s="340"/>
    </row>
    <row r="2939" spans="2:23" ht="24" customHeight="1">
      <c r="B2939" s="67"/>
      <c r="I2939" s="3" t="s">
        <v>59</v>
      </c>
      <c r="J2939" s="345">
        <v>13</v>
      </c>
      <c r="K2939" s="703">
        <v>681.44</v>
      </c>
      <c r="L2939" s="342">
        <v>1</v>
      </c>
      <c r="M2939" s="342">
        <v>19.574200000000001</v>
      </c>
      <c r="N2939" s="340">
        <v>13338.642848000001</v>
      </c>
      <c r="O2939" s="703">
        <v>810.03</v>
      </c>
      <c r="P2939" s="342">
        <v>1</v>
      </c>
      <c r="Q2939" s="363">
        <v>18.517800000000001</v>
      </c>
      <c r="R2939" s="340">
        <v>14999.973534000001</v>
      </c>
      <c r="S2939" s="342">
        <v>98.794999699501005</v>
      </c>
      <c r="T2939" s="342">
        <v>121.02200000000001</v>
      </c>
      <c r="U2939" s="342">
        <v>1.2249000000000001</v>
      </c>
      <c r="V2939" s="340">
        <v>18373.467581796602</v>
      </c>
      <c r="W2939" s="340">
        <v>-5034.8247337966004</v>
      </c>
    </row>
    <row r="2940" spans="2:23" ht="24" customHeight="1">
      <c r="J2940" s="345"/>
      <c r="K2940" s="703"/>
      <c r="L2940" s="342"/>
      <c r="M2940" s="342"/>
      <c r="N2940" s="340"/>
      <c r="O2940" s="703"/>
      <c r="P2940" s="342"/>
      <c r="Q2940" s="363"/>
      <c r="R2940" s="340"/>
      <c r="S2940" s="342"/>
      <c r="T2940" s="342"/>
      <c r="U2940" s="342"/>
      <c r="V2940" s="340"/>
      <c r="W2940" s="340"/>
    </row>
    <row r="2941" spans="2:23" ht="24" customHeight="1">
      <c r="B2941" s="67"/>
      <c r="E2941" s="131" t="s">
        <v>1188</v>
      </c>
      <c r="F2941" s="131"/>
      <c r="G2941" s="131"/>
      <c r="H2941" s="131"/>
      <c r="I2941" s="131"/>
      <c r="J2941" s="704">
        <v>13</v>
      </c>
      <c r="K2941" s="705">
        <v>681.44</v>
      </c>
      <c r="L2941" s="369">
        <v>1</v>
      </c>
      <c r="M2941" s="377">
        <v>19.574200000000001</v>
      </c>
      <c r="N2941" s="706">
        <v>13338.642848000001</v>
      </c>
      <c r="O2941" s="705">
        <v>810.03</v>
      </c>
      <c r="P2941" s="369">
        <v>1</v>
      </c>
      <c r="Q2941" s="377">
        <v>18.517800000000001</v>
      </c>
      <c r="R2941" s="706">
        <v>14999.973534000001</v>
      </c>
      <c r="S2941" s="369">
        <v>98.794999699501005</v>
      </c>
      <c r="T2941" s="369">
        <v>121.02200000000001</v>
      </c>
      <c r="U2941" s="369">
        <v>1.2249000000000001</v>
      </c>
      <c r="V2941" s="706">
        <v>18373.467581796602</v>
      </c>
      <c r="W2941" s="706">
        <v>-5034.8247337966004</v>
      </c>
    </row>
    <row r="2942" spans="2:23" ht="24" customHeight="1">
      <c r="J2942" s="345"/>
      <c r="K2942" s="703"/>
      <c r="L2942" s="342"/>
      <c r="M2942" s="342"/>
      <c r="N2942" s="340"/>
      <c r="O2942" s="703"/>
      <c r="P2942" s="342"/>
      <c r="Q2942" s="363"/>
      <c r="R2942" s="340"/>
      <c r="S2942" s="342"/>
      <c r="T2942" s="342"/>
      <c r="U2942" s="342"/>
      <c r="V2942" s="340"/>
      <c r="W2942" s="340"/>
    </row>
    <row r="2943" spans="2:23" ht="24" customHeight="1">
      <c r="B2943" s="67"/>
      <c r="E2943" s="1" t="s">
        <v>1014</v>
      </c>
      <c r="J2943" s="345"/>
      <c r="K2943" s="703"/>
      <c r="L2943" s="342"/>
      <c r="M2943" s="342"/>
      <c r="N2943" s="340"/>
      <c r="O2943" s="703"/>
      <c r="P2943" s="342"/>
      <c r="Q2943" s="363"/>
      <c r="R2943" s="340"/>
      <c r="S2943" s="342"/>
      <c r="T2943" s="342"/>
      <c r="U2943" s="342"/>
      <c r="V2943" s="340"/>
      <c r="W2943" s="340"/>
    </row>
    <row r="2944" spans="2:23" ht="24" customHeight="1">
      <c r="B2944" s="67"/>
      <c r="F2944" s="346">
        <v>44854</v>
      </c>
      <c r="G2944" s="346"/>
      <c r="H2944" s="346"/>
      <c r="I2944" s="346"/>
      <c r="J2944" s="345"/>
      <c r="K2944" s="703"/>
      <c r="L2944" s="342"/>
      <c r="M2944" s="342"/>
      <c r="N2944" s="340"/>
      <c r="O2944" s="703"/>
      <c r="P2944" s="342"/>
      <c r="Q2944" s="363"/>
      <c r="R2944" s="340"/>
      <c r="S2944" s="342"/>
      <c r="T2944" s="342"/>
      <c r="U2944" s="342"/>
      <c r="V2944" s="340"/>
      <c r="W2944" s="340"/>
    </row>
    <row r="2945" spans="2:23" ht="24" customHeight="1">
      <c r="B2945" s="67"/>
      <c r="G2945" s="3" t="s">
        <v>59</v>
      </c>
      <c r="H2945" s="3"/>
      <c r="I2945" s="3"/>
      <c r="J2945" s="345"/>
      <c r="K2945" s="703"/>
      <c r="L2945" s="342"/>
      <c r="M2945" s="342"/>
      <c r="N2945" s="340"/>
      <c r="O2945" s="703"/>
      <c r="P2945" s="342"/>
      <c r="Q2945" s="363"/>
      <c r="R2945" s="340"/>
      <c r="S2945" s="342"/>
      <c r="T2945" s="342"/>
      <c r="U2945" s="342"/>
      <c r="V2945" s="340"/>
      <c r="W2945" s="340"/>
    </row>
    <row r="2946" spans="2:23" ht="24" customHeight="1">
      <c r="B2946" s="67"/>
      <c r="H2946" s="347">
        <v>44720</v>
      </c>
      <c r="I2946" s="347"/>
      <c r="J2946" s="345"/>
      <c r="K2946" s="703"/>
      <c r="L2946" s="342"/>
      <c r="M2946" s="342"/>
      <c r="N2946" s="340"/>
      <c r="O2946" s="703"/>
      <c r="P2946" s="342"/>
      <c r="Q2946" s="363"/>
      <c r="R2946" s="340"/>
      <c r="S2946" s="342"/>
      <c r="T2946" s="342"/>
      <c r="U2946" s="342"/>
      <c r="V2946" s="340"/>
      <c r="W2946" s="340"/>
    </row>
    <row r="2947" spans="2:23" ht="24" customHeight="1">
      <c r="B2947" s="67"/>
      <c r="I2947" s="3" t="s">
        <v>59</v>
      </c>
      <c r="J2947" s="345">
        <v>140</v>
      </c>
      <c r="K2947" s="703">
        <v>7147.46</v>
      </c>
      <c r="L2947" s="342">
        <v>1</v>
      </c>
      <c r="M2947" s="342">
        <v>20.020700000000001</v>
      </c>
      <c r="N2947" s="340">
        <v>143097.15242200001</v>
      </c>
      <c r="O2947" s="703">
        <v>7660.8</v>
      </c>
      <c r="P2947" s="342">
        <v>1</v>
      </c>
      <c r="Q2947" s="363">
        <v>19.5547</v>
      </c>
      <c r="R2947" s="340">
        <v>149804.64576000001</v>
      </c>
      <c r="S2947" s="342">
        <v>122.044</v>
      </c>
      <c r="T2947" s="342">
        <v>124.571</v>
      </c>
      <c r="U2947" s="342">
        <v>1.0206999999999999</v>
      </c>
      <c r="V2947" s="340">
        <v>152905.601927232</v>
      </c>
      <c r="W2947" s="340">
        <v>-9808.4495052319835</v>
      </c>
    </row>
    <row r="2948" spans="2:23" ht="24" customHeight="1">
      <c r="J2948" s="345"/>
      <c r="K2948" s="703"/>
      <c r="L2948" s="342"/>
      <c r="M2948" s="342"/>
      <c r="N2948" s="340"/>
      <c r="O2948" s="703"/>
      <c r="P2948" s="342"/>
      <c r="Q2948" s="363"/>
      <c r="R2948" s="340"/>
      <c r="S2948" s="342"/>
      <c r="T2948" s="342"/>
      <c r="U2948" s="342"/>
      <c r="V2948" s="340"/>
      <c r="W2948" s="340"/>
    </row>
    <row r="2949" spans="2:23" ht="24" customHeight="1">
      <c r="B2949" s="67"/>
      <c r="E2949" s="131" t="s">
        <v>1189</v>
      </c>
      <c r="F2949" s="131"/>
      <c r="G2949" s="131"/>
      <c r="H2949" s="131"/>
      <c r="I2949" s="131"/>
      <c r="J2949" s="704">
        <v>140</v>
      </c>
      <c r="K2949" s="705">
        <v>7147.46</v>
      </c>
      <c r="L2949" s="369">
        <v>1</v>
      </c>
      <c r="M2949" s="377">
        <v>20.020700000000001</v>
      </c>
      <c r="N2949" s="706">
        <v>143097.15242200001</v>
      </c>
      <c r="O2949" s="705">
        <v>7660.8</v>
      </c>
      <c r="P2949" s="369">
        <v>1</v>
      </c>
      <c r="Q2949" s="377">
        <v>19.5547</v>
      </c>
      <c r="R2949" s="706">
        <v>149804.64576000001</v>
      </c>
      <c r="S2949" s="369">
        <v>122.044</v>
      </c>
      <c r="T2949" s="369">
        <v>124.571</v>
      </c>
      <c r="U2949" s="369">
        <v>1.0206999999999999</v>
      </c>
      <c r="V2949" s="706">
        <v>152905.601927232</v>
      </c>
      <c r="W2949" s="706">
        <v>-9808.4495052319835</v>
      </c>
    </row>
    <row r="2950" spans="2:23" ht="24" customHeight="1">
      <c r="J2950" s="345"/>
      <c r="K2950" s="703"/>
      <c r="L2950" s="342"/>
      <c r="M2950" s="342"/>
      <c r="N2950" s="340"/>
      <c r="O2950" s="703"/>
      <c r="P2950" s="342"/>
      <c r="Q2950" s="363"/>
      <c r="R2950" s="340"/>
      <c r="S2950" s="342"/>
      <c r="T2950" s="342"/>
      <c r="U2950" s="342"/>
      <c r="V2950" s="340"/>
      <c r="W2950" s="340"/>
    </row>
    <row r="2951" spans="2:23" ht="24" customHeight="1">
      <c r="B2951" s="67"/>
      <c r="E2951" s="1" t="s">
        <v>788</v>
      </c>
      <c r="J2951" s="345"/>
      <c r="K2951" s="703"/>
      <c r="L2951" s="342"/>
      <c r="M2951" s="342"/>
      <c r="N2951" s="340"/>
      <c r="O2951" s="703"/>
      <c r="P2951" s="342"/>
      <c r="Q2951" s="363"/>
      <c r="R2951" s="340"/>
      <c r="S2951" s="342"/>
      <c r="T2951" s="342"/>
      <c r="U2951" s="342"/>
      <c r="V2951" s="340"/>
      <c r="W2951" s="340"/>
    </row>
    <row r="2952" spans="2:23" ht="24" customHeight="1">
      <c r="B2952" s="67"/>
      <c r="F2952" s="346">
        <v>44580</v>
      </c>
      <c r="G2952" s="346"/>
      <c r="H2952" s="346"/>
      <c r="I2952" s="346"/>
      <c r="J2952" s="345"/>
      <c r="K2952" s="703"/>
      <c r="L2952" s="342"/>
      <c r="M2952" s="342"/>
      <c r="N2952" s="340"/>
      <c r="O2952" s="703"/>
      <c r="P2952" s="342"/>
      <c r="Q2952" s="363"/>
      <c r="R2952" s="340"/>
      <c r="S2952" s="342"/>
      <c r="T2952" s="342"/>
      <c r="U2952" s="342"/>
      <c r="V2952" s="340"/>
      <c r="W2952" s="340"/>
    </row>
    <row r="2953" spans="2:23" ht="24" customHeight="1">
      <c r="B2953" s="67"/>
      <c r="G2953" s="3" t="s">
        <v>59</v>
      </c>
      <c r="H2953" s="3"/>
      <c r="I2953" s="3"/>
      <c r="J2953" s="345"/>
      <c r="K2953" s="703"/>
      <c r="L2953" s="342"/>
      <c r="M2953" s="342"/>
      <c r="N2953" s="340"/>
      <c r="O2953" s="703"/>
      <c r="P2953" s="342"/>
      <c r="Q2953" s="363"/>
      <c r="R2953" s="340"/>
      <c r="S2953" s="342"/>
      <c r="T2953" s="342"/>
      <c r="U2953" s="342"/>
      <c r="V2953" s="340"/>
      <c r="W2953" s="340"/>
    </row>
    <row r="2954" spans="2:23" ht="24" customHeight="1">
      <c r="B2954" s="67"/>
      <c r="H2954" s="347">
        <v>43965</v>
      </c>
      <c r="I2954" s="347"/>
      <c r="J2954" s="345"/>
      <c r="K2954" s="703"/>
      <c r="L2954" s="342"/>
      <c r="M2954" s="342"/>
      <c r="N2954" s="340"/>
      <c r="O2954" s="703"/>
      <c r="P2954" s="342"/>
      <c r="Q2954" s="363"/>
      <c r="R2954" s="340"/>
      <c r="S2954" s="342"/>
      <c r="T2954" s="342"/>
      <c r="U2954" s="342"/>
      <c r="V2954" s="340"/>
      <c r="W2954" s="340"/>
    </row>
    <row r="2955" spans="2:23" ht="24" customHeight="1">
      <c r="B2955" s="67"/>
      <c r="I2955" s="3" t="s">
        <v>59</v>
      </c>
      <c r="J2955" s="345">
        <v>94</v>
      </c>
      <c r="K2955" s="703">
        <v>14163.22</v>
      </c>
      <c r="L2955" s="342">
        <v>1</v>
      </c>
      <c r="M2955" s="342">
        <v>20.3002</v>
      </c>
      <c r="N2955" s="340">
        <v>287516.19864399999</v>
      </c>
      <c r="O2955" s="703">
        <v>8182.61</v>
      </c>
      <c r="P2955" s="342">
        <v>1</v>
      </c>
      <c r="Q2955" s="363">
        <v>24.0487</v>
      </c>
      <c r="R2955" s="340">
        <v>196781.133107</v>
      </c>
      <c r="S2955" s="342">
        <v>106.16200000000001</v>
      </c>
      <c r="T2955" s="342">
        <v>117.30800000000001</v>
      </c>
      <c r="U2955" s="342">
        <v>1.1049</v>
      </c>
      <c r="V2955" s="340">
        <v>217423.47396992429</v>
      </c>
      <c r="W2955" s="340">
        <v>70092.724674075696</v>
      </c>
    </row>
    <row r="2956" spans="2:23" ht="24" customHeight="1">
      <c r="J2956" s="345"/>
      <c r="K2956" s="703"/>
      <c r="L2956" s="342"/>
      <c r="M2956" s="342"/>
      <c r="N2956" s="340"/>
      <c r="O2956" s="703"/>
      <c r="P2956" s="342"/>
      <c r="Q2956" s="363"/>
      <c r="R2956" s="340"/>
      <c r="S2956" s="342"/>
      <c r="T2956" s="342"/>
      <c r="U2956" s="342"/>
      <c r="V2956" s="340"/>
      <c r="W2956" s="340"/>
    </row>
    <row r="2957" spans="2:23" ht="24" customHeight="1">
      <c r="B2957" s="67"/>
      <c r="H2957" s="347">
        <v>44102</v>
      </c>
      <c r="I2957" s="347"/>
      <c r="J2957" s="345"/>
      <c r="K2957" s="703"/>
      <c r="L2957" s="342"/>
      <c r="M2957" s="342"/>
      <c r="N2957" s="340"/>
      <c r="O2957" s="703"/>
      <c r="P2957" s="342"/>
      <c r="Q2957" s="363"/>
      <c r="R2957" s="340"/>
      <c r="S2957" s="342"/>
      <c r="T2957" s="342"/>
      <c r="U2957" s="342"/>
      <c r="V2957" s="340"/>
      <c r="W2957" s="340"/>
    </row>
    <row r="2958" spans="2:23" ht="24" customHeight="1">
      <c r="B2958" s="67"/>
      <c r="I2958" s="3" t="s">
        <v>59</v>
      </c>
      <c r="J2958" s="345">
        <v>54</v>
      </c>
      <c r="K2958" s="703">
        <v>8136.32</v>
      </c>
      <c r="L2958" s="342">
        <v>1</v>
      </c>
      <c r="M2958" s="342">
        <v>20.3002</v>
      </c>
      <c r="N2958" s="340">
        <v>165168.92326399998</v>
      </c>
      <c r="O2958" s="703">
        <v>5154.7299999999996</v>
      </c>
      <c r="P2958" s="342">
        <v>1</v>
      </c>
      <c r="Q2958" s="363">
        <v>22.367799999999999</v>
      </c>
      <c r="R2958" s="340">
        <v>115299.96969399998</v>
      </c>
      <c r="S2958" s="342">
        <v>108.114</v>
      </c>
      <c r="T2958" s="342">
        <v>117.30800000000001</v>
      </c>
      <c r="U2958" s="342">
        <v>1.085</v>
      </c>
      <c r="V2958" s="340">
        <v>125100.46711798997</v>
      </c>
      <c r="W2958" s="340">
        <v>40068.456146010023</v>
      </c>
    </row>
    <row r="2959" spans="2:23" ht="24" customHeight="1">
      <c r="J2959" s="345"/>
      <c r="K2959" s="703"/>
      <c r="L2959" s="342"/>
      <c r="M2959" s="342"/>
      <c r="N2959" s="340"/>
      <c r="O2959" s="703"/>
      <c r="P2959" s="342"/>
      <c r="Q2959" s="363"/>
      <c r="R2959" s="340"/>
      <c r="S2959" s="342"/>
      <c r="T2959" s="342"/>
      <c r="U2959" s="342"/>
      <c r="V2959" s="340"/>
      <c r="W2959" s="340"/>
    </row>
    <row r="2960" spans="2:23" ht="24" customHeight="1">
      <c r="B2960" s="67"/>
      <c r="E2960" s="131" t="s">
        <v>1190</v>
      </c>
      <c r="F2960" s="131"/>
      <c r="G2960" s="131"/>
      <c r="H2960" s="131"/>
      <c r="I2960" s="131"/>
      <c r="J2960" s="704">
        <v>148</v>
      </c>
      <c r="K2960" s="705">
        <v>22299.54</v>
      </c>
      <c r="L2960" s="369">
        <v>1</v>
      </c>
      <c r="M2960" s="377">
        <v>20.3002</v>
      </c>
      <c r="N2960" s="706">
        <v>452685.12190799997</v>
      </c>
      <c r="O2960" s="705">
        <v>13337.34</v>
      </c>
      <c r="P2960" s="369">
        <v>1</v>
      </c>
      <c r="Q2960" s="377">
        <v>23.20825</v>
      </c>
      <c r="R2960" s="706">
        <v>312081.102801</v>
      </c>
      <c r="S2960" s="369">
        <v>107.13800000000001</v>
      </c>
      <c r="T2960" s="369">
        <v>117.30800000000001</v>
      </c>
      <c r="U2960" s="369">
        <v>1.0949499999999999</v>
      </c>
      <c r="V2960" s="706">
        <v>342523.94108791428</v>
      </c>
      <c r="W2960" s="706">
        <v>110161.18082008572</v>
      </c>
    </row>
    <row r="2961" spans="2:23" ht="24" customHeight="1">
      <c r="J2961" s="345"/>
      <c r="K2961" s="703"/>
      <c r="L2961" s="342"/>
      <c r="M2961" s="342"/>
      <c r="N2961" s="340"/>
      <c r="O2961" s="703"/>
      <c r="P2961" s="342"/>
      <c r="Q2961" s="363"/>
      <c r="R2961" s="340"/>
      <c r="S2961" s="342"/>
      <c r="T2961" s="342"/>
      <c r="U2961" s="342"/>
      <c r="V2961" s="340"/>
      <c r="W2961" s="340"/>
    </row>
    <row r="2962" spans="2:23" ht="24" customHeight="1">
      <c r="B2962" s="67"/>
      <c r="E2962" s="1" t="s">
        <v>941</v>
      </c>
      <c r="J2962" s="345"/>
      <c r="K2962" s="703"/>
      <c r="L2962" s="342"/>
      <c r="M2962" s="342"/>
      <c r="N2962" s="340"/>
      <c r="O2962" s="703"/>
      <c r="P2962" s="342"/>
      <c r="Q2962" s="363"/>
      <c r="R2962" s="340"/>
      <c r="S2962" s="342"/>
      <c r="T2962" s="342"/>
      <c r="U2962" s="342"/>
      <c r="V2962" s="340"/>
      <c r="W2962" s="340"/>
    </row>
    <row r="2963" spans="2:23" ht="24" customHeight="1">
      <c r="B2963" s="67"/>
      <c r="F2963" s="346">
        <v>44755</v>
      </c>
      <c r="G2963" s="346"/>
      <c r="H2963" s="346"/>
      <c r="I2963" s="346"/>
      <c r="J2963" s="345"/>
      <c r="K2963" s="703"/>
      <c r="L2963" s="342"/>
      <c r="M2963" s="342"/>
      <c r="N2963" s="340"/>
      <c r="O2963" s="703"/>
      <c r="P2963" s="342"/>
      <c r="Q2963" s="363"/>
      <c r="R2963" s="340"/>
      <c r="S2963" s="342"/>
      <c r="T2963" s="342"/>
      <c r="U2963" s="342"/>
      <c r="V2963" s="340"/>
      <c r="W2963" s="340"/>
    </row>
    <row r="2964" spans="2:23" ht="24" customHeight="1">
      <c r="B2964" s="67"/>
      <c r="G2964" s="3" t="s">
        <v>59</v>
      </c>
      <c r="H2964" s="3"/>
      <c r="I2964" s="3"/>
      <c r="J2964" s="345"/>
      <c r="K2964" s="703"/>
      <c r="L2964" s="342"/>
      <c r="M2964" s="342"/>
      <c r="N2964" s="340"/>
      <c r="O2964" s="703"/>
      <c r="P2964" s="342"/>
      <c r="Q2964" s="363"/>
      <c r="R2964" s="340"/>
      <c r="S2964" s="342"/>
      <c r="T2964" s="342"/>
      <c r="U2964" s="342"/>
      <c r="V2964" s="340"/>
      <c r="W2964" s="340"/>
    </row>
    <row r="2965" spans="2:23" ht="24" customHeight="1">
      <c r="B2965" s="67"/>
      <c r="H2965" s="347">
        <v>44720</v>
      </c>
      <c r="I2965" s="347"/>
      <c r="J2965" s="345"/>
      <c r="K2965" s="703"/>
      <c r="L2965" s="342"/>
      <c r="M2965" s="342"/>
      <c r="N2965" s="340"/>
      <c r="O2965" s="703"/>
      <c r="P2965" s="342"/>
      <c r="Q2965" s="363"/>
      <c r="R2965" s="340"/>
      <c r="S2965" s="342"/>
      <c r="T2965" s="342"/>
      <c r="U2965" s="342"/>
      <c r="V2965" s="340"/>
      <c r="W2965" s="340"/>
    </row>
    <row r="2966" spans="2:23" ht="24" customHeight="1">
      <c r="B2966" s="67"/>
      <c r="I2966" s="3" t="s">
        <v>59</v>
      </c>
      <c r="J2966" s="345">
        <v>171</v>
      </c>
      <c r="K2966" s="703">
        <v>2844.57</v>
      </c>
      <c r="L2966" s="342">
        <v>1</v>
      </c>
      <c r="M2966" s="342">
        <v>20.747299999999999</v>
      </c>
      <c r="N2966" s="340">
        <v>59017.147161000001</v>
      </c>
      <c r="O2966" s="703">
        <v>3394.08</v>
      </c>
      <c r="P2966" s="342">
        <v>1</v>
      </c>
      <c r="Q2966" s="363">
        <v>19.5547</v>
      </c>
      <c r="R2966" s="340">
        <v>66370.216176000002</v>
      </c>
      <c r="S2966" s="342">
        <v>122.044</v>
      </c>
      <c r="T2966" s="342">
        <v>122.044</v>
      </c>
      <c r="U2966" s="342">
        <v>1</v>
      </c>
      <c r="V2966" s="340">
        <v>66370.216176000002</v>
      </c>
      <c r="W2966" s="340">
        <v>-7353.0690150000009</v>
      </c>
    </row>
    <row r="2967" spans="2:23" ht="24" customHeight="1">
      <c r="J2967" s="345"/>
      <c r="K2967" s="703"/>
      <c r="L2967" s="342"/>
      <c r="M2967" s="342"/>
      <c r="N2967" s="340"/>
      <c r="O2967" s="703"/>
      <c r="P2967" s="342"/>
      <c r="Q2967" s="363"/>
      <c r="R2967" s="340"/>
      <c r="S2967" s="342"/>
      <c r="T2967" s="342"/>
      <c r="U2967" s="342"/>
      <c r="V2967" s="340"/>
      <c r="W2967" s="340"/>
    </row>
    <row r="2968" spans="2:23" ht="24" customHeight="1">
      <c r="B2968" s="67"/>
      <c r="E2968" s="131" t="s">
        <v>1191</v>
      </c>
      <c r="F2968" s="131"/>
      <c r="G2968" s="131"/>
      <c r="H2968" s="131"/>
      <c r="I2968" s="131"/>
      <c r="J2968" s="704">
        <v>171</v>
      </c>
      <c r="K2968" s="705">
        <v>2844.57</v>
      </c>
      <c r="L2968" s="369">
        <v>1</v>
      </c>
      <c r="M2968" s="377">
        <v>20.747299999999999</v>
      </c>
      <c r="N2968" s="706">
        <v>59017.147161000001</v>
      </c>
      <c r="O2968" s="705">
        <v>3394.08</v>
      </c>
      <c r="P2968" s="369">
        <v>1</v>
      </c>
      <c r="Q2968" s="377">
        <v>19.5547</v>
      </c>
      <c r="R2968" s="706">
        <v>66370.216176000002</v>
      </c>
      <c r="S2968" s="369">
        <v>122.044</v>
      </c>
      <c r="T2968" s="369">
        <v>122.044</v>
      </c>
      <c r="U2968" s="369">
        <v>1</v>
      </c>
      <c r="V2968" s="706">
        <v>66370.216176000002</v>
      </c>
      <c r="W2968" s="706">
        <v>-7353.0690150000009</v>
      </c>
    </row>
    <row r="2969" spans="2:23" ht="24" customHeight="1">
      <c r="J2969" s="345"/>
      <c r="K2969" s="703"/>
      <c r="L2969" s="342"/>
      <c r="M2969" s="342"/>
      <c r="N2969" s="340"/>
      <c r="O2969" s="703"/>
      <c r="P2969" s="342"/>
      <c r="Q2969" s="363"/>
      <c r="R2969" s="340"/>
      <c r="S2969" s="342"/>
      <c r="T2969" s="342"/>
      <c r="U2969" s="342"/>
      <c r="V2969" s="340"/>
      <c r="W2969" s="340"/>
    </row>
    <row r="2970" spans="2:23" ht="24" customHeight="1">
      <c r="B2970" s="67"/>
      <c r="E2970" s="1" t="s">
        <v>942</v>
      </c>
      <c r="J2970" s="345"/>
      <c r="K2970" s="703"/>
      <c r="L2970" s="342"/>
      <c r="M2970" s="342"/>
      <c r="N2970" s="340"/>
      <c r="O2970" s="703"/>
      <c r="P2970" s="342"/>
      <c r="Q2970" s="363"/>
      <c r="R2970" s="340"/>
      <c r="S2970" s="342"/>
      <c r="T2970" s="342"/>
      <c r="U2970" s="342"/>
      <c r="V2970" s="340"/>
      <c r="W2970" s="340"/>
    </row>
    <row r="2971" spans="2:23" ht="24" customHeight="1">
      <c r="B2971" s="67"/>
      <c r="F2971" s="346">
        <v>44755</v>
      </c>
      <c r="G2971" s="346"/>
      <c r="H2971" s="346"/>
      <c r="I2971" s="346"/>
      <c r="J2971" s="345"/>
      <c r="K2971" s="703"/>
      <c r="L2971" s="342"/>
      <c r="M2971" s="342"/>
      <c r="N2971" s="340"/>
      <c r="O2971" s="703"/>
      <c r="P2971" s="342"/>
      <c r="Q2971" s="363"/>
      <c r="R2971" s="340"/>
      <c r="S2971" s="342"/>
      <c r="T2971" s="342"/>
      <c r="U2971" s="342"/>
      <c r="V2971" s="340"/>
      <c r="W2971" s="340"/>
    </row>
    <row r="2972" spans="2:23" ht="24" customHeight="1">
      <c r="B2972" s="67"/>
      <c r="G2972" s="3" t="s">
        <v>59</v>
      </c>
      <c r="H2972" s="3"/>
      <c r="I2972" s="3"/>
      <c r="J2972" s="345"/>
      <c r="K2972" s="703"/>
      <c r="L2972" s="342"/>
      <c r="M2972" s="342"/>
      <c r="N2972" s="340"/>
      <c r="O2972" s="703"/>
      <c r="P2972" s="342"/>
      <c r="Q2972" s="363"/>
      <c r="R2972" s="340"/>
      <c r="S2972" s="342"/>
      <c r="T2972" s="342"/>
      <c r="U2972" s="342"/>
      <c r="V2972" s="340"/>
      <c r="W2972" s="340"/>
    </row>
    <row r="2973" spans="2:23" ht="24" customHeight="1">
      <c r="B2973" s="67"/>
      <c r="H2973" s="347">
        <v>44720</v>
      </c>
      <c r="I2973" s="347"/>
      <c r="J2973" s="345"/>
      <c r="K2973" s="703"/>
      <c r="L2973" s="342"/>
      <c r="M2973" s="342"/>
      <c r="N2973" s="340"/>
      <c r="O2973" s="703"/>
      <c r="P2973" s="342"/>
      <c r="Q2973" s="363"/>
      <c r="R2973" s="340"/>
      <c r="S2973" s="342"/>
      <c r="T2973" s="342"/>
      <c r="U2973" s="342"/>
      <c r="V2973" s="340"/>
      <c r="W2973" s="340"/>
    </row>
    <row r="2974" spans="2:23" ht="24" customHeight="1">
      <c r="B2974" s="67"/>
      <c r="I2974" s="3" t="s">
        <v>59</v>
      </c>
      <c r="J2974" s="345">
        <v>145</v>
      </c>
      <c r="K2974" s="703">
        <v>6965.05</v>
      </c>
      <c r="L2974" s="342">
        <v>1</v>
      </c>
      <c r="M2974" s="342">
        <v>20.747299999999999</v>
      </c>
      <c r="N2974" s="340">
        <v>144505.98186500001</v>
      </c>
      <c r="O2974" s="703">
        <v>7430.88</v>
      </c>
      <c r="P2974" s="342">
        <v>1</v>
      </c>
      <c r="Q2974" s="363">
        <v>19.5547</v>
      </c>
      <c r="R2974" s="340">
        <v>145308.629136</v>
      </c>
      <c r="S2974" s="342">
        <v>122.044</v>
      </c>
      <c r="T2974" s="342">
        <v>122.044</v>
      </c>
      <c r="U2974" s="342">
        <v>1</v>
      </c>
      <c r="V2974" s="340">
        <v>145308.629136</v>
      </c>
      <c r="W2974" s="340">
        <v>-802.64727099999436</v>
      </c>
    </row>
    <row r="2975" spans="2:23" ht="24" customHeight="1">
      <c r="J2975" s="345"/>
      <c r="K2975" s="703"/>
      <c r="L2975" s="342"/>
      <c r="M2975" s="342"/>
      <c r="N2975" s="340"/>
      <c r="O2975" s="703"/>
      <c r="P2975" s="342"/>
      <c r="Q2975" s="363"/>
      <c r="R2975" s="340"/>
      <c r="S2975" s="342"/>
      <c r="T2975" s="342"/>
      <c r="U2975" s="342"/>
      <c r="V2975" s="340"/>
      <c r="W2975" s="340"/>
    </row>
    <row r="2976" spans="2:23" ht="24" customHeight="1">
      <c r="B2976" s="67"/>
      <c r="F2976" s="346">
        <v>44854</v>
      </c>
      <c r="G2976" s="346"/>
      <c r="H2976" s="346"/>
      <c r="I2976" s="346"/>
      <c r="J2976" s="345"/>
      <c r="K2976" s="703"/>
      <c r="L2976" s="342"/>
      <c r="M2976" s="342"/>
      <c r="N2976" s="340"/>
      <c r="O2976" s="703"/>
      <c r="P2976" s="342"/>
      <c r="Q2976" s="363"/>
      <c r="R2976" s="340"/>
      <c r="S2976" s="342"/>
      <c r="T2976" s="342"/>
      <c r="U2976" s="342"/>
      <c r="V2976" s="340"/>
      <c r="W2976" s="340"/>
    </row>
    <row r="2977" spans="2:23" ht="24" customHeight="1">
      <c r="B2977" s="67"/>
      <c r="G2977" s="3" t="s">
        <v>59</v>
      </c>
      <c r="H2977" s="3"/>
      <c r="I2977" s="3"/>
      <c r="J2977" s="345"/>
      <c r="K2977" s="703"/>
      <c r="L2977" s="342"/>
      <c r="M2977" s="342"/>
      <c r="N2977" s="340"/>
      <c r="O2977" s="703"/>
      <c r="P2977" s="342"/>
      <c r="Q2977" s="363"/>
      <c r="R2977" s="340"/>
      <c r="S2977" s="342"/>
      <c r="T2977" s="342"/>
      <c r="U2977" s="342"/>
      <c r="V2977" s="340"/>
      <c r="W2977" s="340"/>
    </row>
    <row r="2978" spans="2:23" ht="24" customHeight="1">
      <c r="B2978" s="67"/>
      <c r="H2978" s="347">
        <v>44720</v>
      </c>
      <c r="I2978" s="347"/>
      <c r="J2978" s="345"/>
      <c r="K2978" s="703"/>
      <c r="L2978" s="342"/>
      <c r="M2978" s="342"/>
      <c r="N2978" s="340"/>
      <c r="O2978" s="703"/>
      <c r="P2978" s="342"/>
      <c r="Q2978" s="363"/>
      <c r="R2978" s="340"/>
      <c r="S2978" s="342"/>
      <c r="T2978" s="342"/>
      <c r="U2978" s="342"/>
      <c r="V2978" s="340"/>
      <c r="W2978" s="340"/>
    </row>
    <row r="2979" spans="2:23" ht="24" customHeight="1">
      <c r="B2979" s="67"/>
      <c r="I2979" s="3" t="s">
        <v>59</v>
      </c>
      <c r="J2979" s="345">
        <v>60</v>
      </c>
      <c r="K2979" s="703">
        <v>2533.42</v>
      </c>
      <c r="L2979" s="342">
        <v>1</v>
      </c>
      <c r="M2979" s="342">
        <v>20.020700000000001</v>
      </c>
      <c r="N2979" s="340">
        <v>50720.841794000007</v>
      </c>
      <c r="O2979" s="703">
        <v>3074.84</v>
      </c>
      <c r="P2979" s="342">
        <v>1</v>
      </c>
      <c r="Q2979" s="363">
        <v>19.5547</v>
      </c>
      <c r="R2979" s="340">
        <v>60127.573748000003</v>
      </c>
      <c r="S2979" s="342">
        <v>122.044</v>
      </c>
      <c r="T2979" s="342">
        <v>124.571</v>
      </c>
      <c r="U2979" s="342">
        <v>1.0206999999999999</v>
      </c>
      <c r="V2979" s="340">
        <v>61372.2145245836</v>
      </c>
      <c r="W2979" s="340">
        <v>-10651.372730583593</v>
      </c>
    </row>
    <row r="2980" spans="2:23" ht="24" customHeight="1">
      <c r="J2980" s="345"/>
      <c r="K2980" s="703"/>
      <c r="L2980" s="342"/>
      <c r="M2980" s="342"/>
      <c r="N2980" s="340"/>
      <c r="O2980" s="703"/>
      <c r="P2980" s="342"/>
      <c r="Q2980" s="363"/>
      <c r="R2980" s="340"/>
      <c r="S2980" s="342"/>
      <c r="T2980" s="342"/>
      <c r="U2980" s="342"/>
      <c r="V2980" s="340"/>
      <c r="W2980" s="340"/>
    </row>
    <row r="2981" spans="2:23" ht="24" customHeight="1">
      <c r="B2981" s="67"/>
      <c r="E2981" s="131" t="s">
        <v>1192</v>
      </c>
      <c r="F2981" s="131"/>
      <c r="G2981" s="131"/>
      <c r="H2981" s="131"/>
      <c r="I2981" s="131"/>
      <c r="J2981" s="704">
        <v>205</v>
      </c>
      <c r="K2981" s="705">
        <v>9498.4700000000012</v>
      </c>
      <c r="L2981" s="369">
        <v>1</v>
      </c>
      <c r="M2981" s="377">
        <v>20.384</v>
      </c>
      <c r="N2981" s="706">
        <v>195226.82365900002</v>
      </c>
      <c r="O2981" s="705">
        <v>10505.720000000001</v>
      </c>
      <c r="P2981" s="369">
        <v>1</v>
      </c>
      <c r="Q2981" s="377">
        <v>19.5547</v>
      </c>
      <c r="R2981" s="706">
        <v>205436.202884</v>
      </c>
      <c r="S2981" s="369">
        <v>122.044</v>
      </c>
      <c r="T2981" s="369">
        <v>123.3075</v>
      </c>
      <c r="U2981" s="369">
        <v>1.0103499999999999</v>
      </c>
      <c r="V2981" s="706">
        <v>206680.8436605836</v>
      </c>
      <c r="W2981" s="706">
        <v>-11454.020001583587</v>
      </c>
    </row>
    <row r="2982" spans="2:23" ht="24" customHeight="1">
      <c r="J2982" s="345"/>
      <c r="K2982" s="703"/>
      <c r="L2982" s="342"/>
      <c r="M2982" s="342"/>
      <c r="N2982" s="340"/>
      <c r="O2982" s="703"/>
      <c r="P2982" s="342"/>
      <c r="Q2982" s="363"/>
      <c r="R2982" s="340"/>
      <c r="S2982" s="342"/>
      <c r="T2982" s="342"/>
      <c r="U2982" s="342"/>
      <c r="V2982" s="340"/>
      <c r="W2982" s="340"/>
    </row>
    <row r="2983" spans="2:23" ht="24" customHeight="1">
      <c r="B2983" s="67"/>
      <c r="E2983" s="1" t="s">
        <v>943</v>
      </c>
      <c r="J2983" s="345"/>
      <c r="K2983" s="703"/>
      <c r="L2983" s="342"/>
      <c r="M2983" s="342"/>
      <c r="N2983" s="340"/>
      <c r="O2983" s="703"/>
      <c r="P2983" s="342"/>
      <c r="Q2983" s="363"/>
      <c r="R2983" s="340"/>
      <c r="S2983" s="342"/>
      <c r="T2983" s="342"/>
      <c r="U2983" s="342"/>
      <c r="V2983" s="340"/>
      <c r="W2983" s="340"/>
    </row>
    <row r="2984" spans="2:23" ht="24" customHeight="1">
      <c r="B2984" s="67"/>
      <c r="F2984" s="346">
        <v>44755</v>
      </c>
      <c r="G2984" s="346"/>
      <c r="H2984" s="346"/>
      <c r="I2984" s="346"/>
      <c r="J2984" s="345"/>
      <c r="K2984" s="703"/>
      <c r="L2984" s="342"/>
      <c r="M2984" s="342"/>
      <c r="N2984" s="340"/>
      <c r="O2984" s="703"/>
      <c r="P2984" s="342"/>
      <c r="Q2984" s="363"/>
      <c r="R2984" s="340"/>
      <c r="S2984" s="342"/>
      <c r="T2984" s="342"/>
      <c r="U2984" s="342"/>
      <c r="V2984" s="340"/>
      <c r="W2984" s="340"/>
    </row>
    <row r="2985" spans="2:23" ht="24" customHeight="1">
      <c r="B2985" s="67"/>
      <c r="G2985" s="3" t="s">
        <v>59</v>
      </c>
      <c r="H2985" s="3"/>
      <c r="I2985" s="3"/>
      <c r="J2985" s="345"/>
      <c r="K2985" s="703"/>
      <c r="L2985" s="342"/>
      <c r="M2985" s="342"/>
      <c r="N2985" s="340"/>
      <c r="O2985" s="703"/>
      <c r="P2985" s="342"/>
      <c r="Q2985" s="363"/>
      <c r="R2985" s="340"/>
      <c r="S2985" s="342"/>
      <c r="T2985" s="342"/>
      <c r="U2985" s="342"/>
      <c r="V2985" s="340"/>
      <c r="W2985" s="340"/>
    </row>
    <row r="2986" spans="2:23" ht="24" customHeight="1">
      <c r="B2986" s="67"/>
      <c r="H2986" s="347">
        <v>44720</v>
      </c>
      <c r="I2986" s="347"/>
      <c r="J2986" s="345"/>
      <c r="K2986" s="703"/>
      <c r="L2986" s="342"/>
      <c r="M2986" s="342"/>
      <c r="N2986" s="340"/>
      <c r="O2986" s="703"/>
      <c r="P2986" s="342"/>
      <c r="Q2986" s="363"/>
      <c r="R2986" s="340"/>
      <c r="S2986" s="342"/>
      <c r="T2986" s="342"/>
      <c r="U2986" s="342"/>
      <c r="V2986" s="340"/>
      <c r="W2986" s="340"/>
    </row>
    <row r="2987" spans="2:23" ht="24" customHeight="1">
      <c r="B2987" s="67"/>
      <c r="I2987" s="3" t="s">
        <v>59</v>
      </c>
      <c r="J2987" s="345">
        <v>25</v>
      </c>
      <c r="K2987" s="703">
        <v>5696.42</v>
      </c>
      <c r="L2987" s="342">
        <v>1</v>
      </c>
      <c r="M2987" s="342">
        <v>20.747299999999999</v>
      </c>
      <c r="N2987" s="340">
        <v>118185.334666</v>
      </c>
      <c r="O2987" s="703">
        <v>6107.74</v>
      </c>
      <c r="P2987" s="342">
        <v>1</v>
      </c>
      <c r="Q2987" s="363">
        <v>19.5547</v>
      </c>
      <c r="R2987" s="340">
        <v>119435.023378</v>
      </c>
      <c r="S2987" s="342">
        <v>122.044</v>
      </c>
      <c r="T2987" s="342">
        <v>122.044</v>
      </c>
      <c r="U2987" s="342">
        <v>1</v>
      </c>
      <c r="V2987" s="340">
        <v>119435.023378</v>
      </c>
      <c r="W2987" s="340">
        <v>-1249.6887120000174</v>
      </c>
    </row>
    <row r="2988" spans="2:23" ht="24" customHeight="1">
      <c r="J2988" s="345"/>
      <c r="K2988" s="703"/>
      <c r="L2988" s="342"/>
      <c r="M2988" s="342"/>
      <c r="N2988" s="340"/>
      <c r="O2988" s="703"/>
      <c r="P2988" s="342"/>
      <c r="Q2988" s="363"/>
      <c r="R2988" s="340"/>
      <c r="S2988" s="342"/>
      <c r="T2988" s="342"/>
      <c r="U2988" s="342"/>
      <c r="V2988" s="340"/>
      <c r="W2988" s="340"/>
    </row>
    <row r="2989" spans="2:23" ht="24" customHeight="1">
      <c r="B2989" s="67"/>
      <c r="E2989" s="131" t="s">
        <v>1193</v>
      </c>
      <c r="F2989" s="131"/>
      <c r="G2989" s="131"/>
      <c r="H2989" s="131"/>
      <c r="I2989" s="131"/>
      <c r="J2989" s="704">
        <v>25</v>
      </c>
      <c r="K2989" s="705">
        <v>5696.42</v>
      </c>
      <c r="L2989" s="369">
        <v>1</v>
      </c>
      <c r="M2989" s="377">
        <v>20.747299999999999</v>
      </c>
      <c r="N2989" s="706">
        <v>118185.334666</v>
      </c>
      <c r="O2989" s="705">
        <v>6107.74</v>
      </c>
      <c r="P2989" s="369">
        <v>1</v>
      </c>
      <c r="Q2989" s="377">
        <v>19.5547</v>
      </c>
      <c r="R2989" s="706">
        <v>119435.023378</v>
      </c>
      <c r="S2989" s="369">
        <v>122.044</v>
      </c>
      <c r="T2989" s="369">
        <v>122.044</v>
      </c>
      <c r="U2989" s="369">
        <v>1</v>
      </c>
      <c r="V2989" s="706">
        <v>119435.023378</v>
      </c>
      <c r="W2989" s="706">
        <v>-1249.6887120000174</v>
      </c>
    </row>
    <row r="2990" spans="2:23" ht="24" customHeight="1">
      <c r="J2990" s="345"/>
      <c r="K2990" s="703"/>
      <c r="L2990" s="342"/>
      <c r="M2990" s="342"/>
      <c r="N2990" s="340"/>
      <c r="O2990" s="703"/>
      <c r="P2990" s="342"/>
      <c r="Q2990" s="363"/>
      <c r="R2990" s="340"/>
      <c r="S2990" s="342"/>
      <c r="T2990" s="342"/>
      <c r="U2990" s="342"/>
      <c r="V2990" s="340"/>
      <c r="W2990" s="340"/>
    </row>
    <row r="2991" spans="2:23" ht="24" customHeight="1">
      <c r="B2991" s="67"/>
      <c r="E2991" s="1" t="s">
        <v>977</v>
      </c>
      <c r="J2991" s="345"/>
      <c r="K2991" s="703"/>
      <c r="L2991" s="342"/>
      <c r="M2991" s="342"/>
      <c r="N2991" s="340"/>
      <c r="O2991" s="703"/>
      <c r="P2991" s="342"/>
      <c r="Q2991" s="363"/>
      <c r="R2991" s="340"/>
      <c r="S2991" s="342"/>
      <c r="T2991" s="342"/>
      <c r="U2991" s="342"/>
      <c r="V2991" s="340"/>
      <c r="W2991" s="340"/>
    </row>
    <row r="2992" spans="2:23" ht="24" customHeight="1">
      <c r="B2992" s="67"/>
      <c r="F2992" s="346">
        <v>44790</v>
      </c>
      <c r="G2992" s="346"/>
      <c r="H2992" s="346"/>
      <c r="I2992" s="346"/>
      <c r="J2992" s="345"/>
      <c r="K2992" s="703"/>
      <c r="L2992" s="342"/>
      <c r="M2992" s="342"/>
      <c r="N2992" s="340"/>
      <c r="O2992" s="703"/>
      <c r="P2992" s="342"/>
      <c r="Q2992" s="363"/>
      <c r="R2992" s="340"/>
      <c r="S2992" s="342"/>
      <c r="T2992" s="342"/>
      <c r="U2992" s="342"/>
      <c r="V2992" s="340"/>
      <c r="W2992" s="340"/>
    </row>
    <row r="2993" spans="2:23" ht="24" customHeight="1">
      <c r="B2993" s="67"/>
      <c r="G2993" s="3" t="s">
        <v>59</v>
      </c>
      <c r="H2993" s="3"/>
      <c r="I2993" s="3"/>
      <c r="J2993" s="345"/>
      <c r="K2993" s="703"/>
      <c r="L2993" s="342"/>
      <c r="M2993" s="342"/>
      <c r="N2993" s="340"/>
      <c r="O2993" s="703"/>
      <c r="P2993" s="342"/>
      <c r="Q2993" s="363"/>
      <c r="R2993" s="340"/>
      <c r="S2993" s="342"/>
      <c r="T2993" s="342"/>
      <c r="U2993" s="342"/>
      <c r="V2993" s="340"/>
      <c r="W2993" s="340"/>
    </row>
    <row r="2994" spans="2:23" ht="24" customHeight="1">
      <c r="B2994" s="67"/>
      <c r="H2994" s="347">
        <v>44720</v>
      </c>
      <c r="I2994" s="347"/>
      <c r="J2994" s="345"/>
      <c r="K2994" s="703"/>
      <c r="L2994" s="342"/>
      <c r="M2994" s="342"/>
      <c r="N2994" s="340"/>
      <c r="O2994" s="703"/>
      <c r="P2994" s="342"/>
      <c r="Q2994" s="363"/>
      <c r="R2994" s="340"/>
      <c r="S2994" s="342"/>
      <c r="T2994" s="342"/>
      <c r="U2994" s="342"/>
      <c r="V2994" s="340"/>
      <c r="W2994" s="340"/>
    </row>
    <row r="2995" spans="2:23" ht="24" customHeight="1">
      <c r="B2995" s="67"/>
      <c r="I2995" s="3" t="s">
        <v>59</v>
      </c>
      <c r="J2995" s="345">
        <v>19</v>
      </c>
      <c r="K2995" s="703">
        <v>4575.91</v>
      </c>
      <c r="L2995" s="342">
        <v>1</v>
      </c>
      <c r="M2995" s="342">
        <v>19.861799999999999</v>
      </c>
      <c r="N2995" s="340">
        <v>90885.809237999987</v>
      </c>
      <c r="O2995" s="703">
        <v>4641.87</v>
      </c>
      <c r="P2995" s="342">
        <v>1</v>
      </c>
      <c r="Q2995" s="363">
        <v>19.5547</v>
      </c>
      <c r="R2995" s="340">
        <v>90770.375289000003</v>
      </c>
      <c r="S2995" s="342">
        <v>122.044</v>
      </c>
      <c r="T2995" s="342">
        <v>122.94799999999999</v>
      </c>
      <c r="U2995" s="342">
        <v>1.0074000000000001</v>
      </c>
      <c r="V2995" s="340">
        <v>91442.076066138616</v>
      </c>
      <c r="W2995" s="340">
        <v>-556.26682813862863</v>
      </c>
    </row>
    <row r="2996" spans="2:23" ht="24" customHeight="1">
      <c r="J2996" s="345"/>
      <c r="K2996" s="703"/>
      <c r="L2996" s="342"/>
      <c r="M2996" s="342"/>
      <c r="N2996" s="340"/>
      <c r="O2996" s="703"/>
      <c r="P2996" s="342"/>
      <c r="Q2996" s="363"/>
      <c r="R2996" s="340"/>
      <c r="S2996" s="342"/>
      <c r="T2996" s="342"/>
      <c r="U2996" s="342"/>
      <c r="V2996" s="340"/>
      <c r="W2996" s="340"/>
    </row>
    <row r="2997" spans="2:23" ht="24" customHeight="1">
      <c r="B2997" s="67"/>
      <c r="E2997" s="131" t="s">
        <v>1194</v>
      </c>
      <c r="F2997" s="131"/>
      <c r="G2997" s="131"/>
      <c r="H2997" s="131"/>
      <c r="I2997" s="131"/>
      <c r="J2997" s="704">
        <v>19</v>
      </c>
      <c r="K2997" s="705">
        <v>4575.91</v>
      </c>
      <c r="L2997" s="369">
        <v>1</v>
      </c>
      <c r="M2997" s="377">
        <v>19.861799999999999</v>
      </c>
      <c r="N2997" s="706">
        <v>90885.809237999987</v>
      </c>
      <c r="O2997" s="705">
        <v>4641.87</v>
      </c>
      <c r="P2997" s="369">
        <v>1</v>
      </c>
      <c r="Q2997" s="377">
        <v>19.5547</v>
      </c>
      <c r="R2997" s="706">
        <v>90770.375289000003</v>
      </c>
      <c r="S2997" s="369">
        <v>122.044</v>
      </c>
      <c r="T2997" s="369">
        <v>122.94799999999999</v>
      </c>
      <c r="U2997" s="369">
        <v>1.0074000000000001</v>
      </c>
      <c r="V2997" s="706">
        <v>91442.076066138616</v>
      </c>
      <c r="W2997" s="706">
        <v>-556.26682813862863</v>
      </c>
    </row>
    <row r="2998" spans="2:23" ht="24" customHeight="1">
      <c r="J2998" s="345"/>
      <c r="K2998" s="703"/>
      <c r="L2998" s="342"/>
      <c r="M2998" s="342"/>
      <c r="N2998" s="340"/>
      <c r="O2998" s="703"/>
      <c r="P2998" s="342"/>
      <c r="Q2998" s="363"/>
      <c r="R2998" s="340"/>
      <c r="S2998" s="342"/>
      <c r="T2998" s="342"/>
      <c r="U2998" s="342"/>
      <c r="V2998" s="340"/>
      <c r="W2998" s="340"/>
    </row>
    <row r="2999" spans="2:23" ht="24" customHeight="1">
      <c r="B2999" s="67"/>
      <c r="E2999" s="1" t="s">
        <v>978</v>
      </c>
      <c r="J2999" s="345"/>
      <c r="K2999" s="703"/>
      <c r="L2999" s="342"/>
      <c r="M2999" s="342"/>
      <c r="N2999" s="340"/>
      <c r="O2999" s="703"/>
      <c r="P2999" s="342"/>
      <c r="Q2999" s="363"/>
      <c r="R2999" s="340"/>
      <c r="S2999" s="342"/>
      <c r="T2999" s="342"/>
      <c r="U2999" s="342"/>
      <c r="V2999" s="340"/>
      <c r="W2999" s="340"/>
    </row>
    <row r="3000" spans="2:23" ht="24" customHeight="1">
      <c r="B3000" s="67"/>
      <c r="F3000" s="346">
        <v>44790</v>
      </c>
      <c r="G3000" s="346"/>
      <c r="H3000" s="346"/>
      <c r="I3000" s="346"/>
      <c r="J3000" s="345"/>
      <c r="K3000" s="703"/>
      <c r="L3000" s="342"/>
      <c r="M3000" s="342"/>
      <c r="N3000" s="340"/>
      <c r="O3000" s="703"/>
      <c r="P3000" s="342"/>
      <c r="Q3000" s="363"/>
      <c r="R3000" s="340"/>
      <c r="S3000" s="342"/>
      <c r="T3000" s="342"/>
      <c r="U3000" s="342"/>
      <c r="V3000" s="340"/>
      <c r="W3000" s="340"/>
    </row>
    <row r="3001" spans="2:23" ht="24" customHeight="1">
      <c r="B3001" s="67"/>
      <c r="G3001" s="3" t="s">
        <v>59</v>
      </c>
      <c r="H3001" s="3"/>
      <c r="I3001" s="3"/>
      <c r="J3001" s="345"/>
      <c r="K3001" s="703"/>
      <c r="L3001" s="342"/>
      <c r="M3001" s="342"/>
      <c r="N3001" s="340"/>
      <c r="O3001" s="703"/>
      <c r="P3001" s="342"/>
      <c r="Q3001" s="363"/>
      <c r="R3001" s="340"/>
      <c r="S3001" s="342"/>
      <c r="T3001" s="342"/>
      <c r="U3001" s="342"/>
      <c r="V3001" s="340"/>
      <c r="W3001" s="340"/>
    </row>
    <row r="3002" spans="2:23" ht="24" customHeight="1">
      <c r="B3002" s="67"/>
      <c r="H3002" s="347">
        <v>43537</v>
      </c>
      <c r="I3002" s="347"/>
      <c r="J3002" s="345"/>
      <c r="K3002" s="703"/>
      <c r="L3002" s="342"/>
      <c r="M3002" s="342"/>
      <c r="N3002" s="340"/>
      <c r="O3002" s="703"/>
      <c r="P3002" s="342"/>
      <c r="Q3002" s="363"/>
      <c r="R3002" s="340"/>
      <c r="S3002" s="342"/>
      <c r="T3002" s="342"/>
      <c r="U3002" s="342"/>
      <c r="V3002" s="340"/>
      <c r="W3002" s="340"/>
    </row>
    <row r="3003" spans="2:23" ht="24" customHeight="1">
      <c r="B3003" s="67"/>
      <c r="I3003" s="3" t="s">
        <v>59</v>
      </c>
      <c r="J3003" s="345">
        <v>20</v>
      </c>
      <c r="K3003" s="703">
        <v>5538.87</v>
      </c>
      <c r="L3003" s="342">
        <v>1</v>
      </c>
      <c r="M3003" s="342">
        <v>19.861799999999999</v>
      </c>
      <c r="N3003" s="340">
        <v>110011.928166</v>
      </c>
      <c r="O3003" s="703">
        <v>3207.74</v>
      </c>
      <c r="P3003" s="342">
        <v>1</v>
      </c>
      <c r="Q3003" s="363">
        <v>19.424299999999999</v>
      </c>
      <c r="R3003" s="340">
        <v>62308.104081999991</v>
      </c>
      <c r="S3003" s="342">
        <v>103.476</v>
      </c>
      <c r="T3003" s="342">
        <v>122.94799999999999</v>
      </c>
      <c r="U3003" s="342">
        <v>1.1880999999999999</v>
      </c>
      <c r="V3003" s="340">
        <v>74028.258459824181</v>
      </c>
      <c r="W3003" s="340">
        <v>35983.669706175817</v>
      </c>
    </row>
    <row r="3004" spans="2:23" ht="24" customHeight="1">
      <c r="J3004" s="345"/>
      <c r="K3004" s="703"/>
      <c r="L3004" s="342"/>
      <c r="M3004" s="342"/>
      <c r="N3004" s="340"/>
      <c r="O3004" s="703"/>
      <c r="P3004" s="342"/>
      <c r="Q3004" s="363"/>
      <c r="R3004" s="340"/>
      <c r="S3004" s="342"/>
      <c r="T3004" s="342"/>
      <c r="U3004" s="342"/>
      <c r="V3004" s="340"/>
      <c r="W3004" s="340"/>
    </row>
    <row r="3005" spans="2:23" ht="24" customHeight="1">
      <c r="B3005" s="67"/>
      <c r="E3005" s="131" t="s">
        <v>1195</v>
      </c>
      <c r="F3005" s="131"/>
      <c r="G3005" s="131"/>
      <c r="H3005" s="131"/>
      <c r="I3005" s="131"/>
      <c r="J3005" s="704">
        <v>20</v>
      </c>
      <c r="K3005" s="705">
        <v>5538.87</v>
      </c>
      <c r="L3005" s="369">
        <v>1</v>
      </c>
      <c r="M3005" s="377">
        <v>19.861799999999999</v>
      </c>
      <c r="N3005" s="706">
        <v>110011.928166</v>
      </c>
      <c r="O3005" s="705">
        <v>3207.74</v>
      </c>
      <c r="P3005" s="369">
        <v>1</v>
      </c>
      <c r="Q3005" s="377">
        <v>19.424299999999999</v>
      </c>
      <c r="R3005" s="706">
        <v>62308.104081999991</v>
      </c>
      <c r="S3005" s="369">
        <v>103.476</v>
      </c>
      <c r="T3005" s="369">
        <v>122.94799999999999</v>
      </c>
      <c r="U3005" s="369">
        <v>1.1880999999999999</v>
      </c>
      <c r="V3005" s="706">
        <v>74028.258459824181</v>
      </c>
      <c r="W3005" s="706">
        <v>35983.669706175817</v>
      </c>
    </row>
    <row r="3006" spans="2:23" ht="24" customHeight="1">
      <c r="J3006" s="345"/>
      <c r="K3006" s="703"/>
      <c r="L3006" s="342"/>
      <c r="M3006" s="342"/>
      <c r="N3006" s="340"/>
      <c r="O3006" s="703"/>
      <c r="P3006" s="342"/>
      <c r="Q3006" s="363"/>
      <c r="R3006" s="340"/>
      <c r="S3006" s="342"/>
      <c r="T3006" s="342"/>
      <c r="U3006" s="342"/>
      <c r="V3006" s="340"/>
      <c r="W3006" s="340"/>
    </row>
    <row r="3007" spans="2:23" ht="24" customHeight="1">
      <c r="B3007" s="67"/>
      <c r="E3007" s="1" t="s">
        <v>779</v>
      </c>
      <c r="J3007" s="345"/>
      <c r="K3007" s="703"/>
      <c r="L3007" s="342"/>
      <c r="M3007" s="342"/>
      <c r="N3007" s="340"/>
      <c r="O3007" s="703"/>
      <c r="P3007" s="342"/>
      <c r="Q3007" s="363"/>
      <c r="R3007" s="340"/>
      <c r="S3007" s="342"/>
      <c r="T3007" s="342"/>
      <c r="U3007" s="342"/>
      <c r="V3007" s="340"/>
      <c r="W3007" s="340"/>
    </row>
    <row r="3008" spans="2:23" ht="24" customHeight="1">
      <c r="B3008" s="67"/>
      <c r="F3008" s="346">
        <v>44608</v>
      </c>
      <c r="G3008" s="346"/>
      <c r="H3008" s="346"/>
      <c r="I3008" s="346"/>
      <c r="J3008" s="345"/>
      <c r="K3008" s="703"/>
      <c r="L3008" s="342"/>
      <c r="M3008" s="342"/>
      <c r="N3008" s="340"/>
      <c r="O3008" s="703"/>
      <c r="P3008" s="342"/>
      <c r="Q3008" s="363"/>
      <c r="R3008" s="340"/>
      <c r="S3008" s="342"/>
      <c r="T3008" s="342"/>
      <c r="U3008" s="342"/>
      <c r="V3008" s="340"/>
      <c r="W3008" s="340"/>
    </row>
    <row r="3009" spans="2:23" ht="24" customHeight="1">
      <c r="B3009" s="67"/>
      <c r="G3009" s="3" t="s">
        <v>59</v>
      </c>
      <c r="H3009" s="3"/>
      <c r="I3009" s="3"/>
      <c r="J3009" s="345"/>
      <c r="K3009" s="703"/>
      <c r="L3009" s="342"/>
      <c r="M3009" s="342"/>
      <c r="N3009" s="340"/>
      <c r="O3009" s="703"/>
      <c r="P3009" s="342"/>
      <c r="Q3009" s="363"/>
      <c r="R3009" s="340"/>
      <c r="S3009" s="342"/>
      <c r="T3009" s="342"/>
      <c r="U3009" s="342"/>
      <c r="V3009" s="340"/>
      <c r="W3009" s="340"/>
    </row>
    <row r="3010" spans="2:23" ht="24" customHeight="1">
      <c r="B3010" s="67"/>
      <c r="H3010" s="347">
        <v>43965</v>
      </c>
      <c r="I3010" s="347"/>
      <c r="J3010" s="345"/>
      <c r="K3010" s="703"/>
      <c r="L3010" s="342"/>
      <c r="M3010" s="342"/>
      <c r="N3010" s="340"/>
      <c r="O3010" s="703"/>
      <c r="P3010" s="342"/>
      <c r="Q3010" s="363"/>
      <c r="R3010" s="340"/>
      <c r="S3010" s="342"/>
      <c r="T3010" s="342"/>
      <c r="U3010" s="342"/>
      <c r="V3010" s="340"/>
      <c r="W3010" s="340"/>
    </row>
    <row r="3011" spans="2:23" ht="24" customHeight="1">
      <c r="B3011" s="67"/>
      <c r="I3011" s="3" t="s">
        <v>59</v>
      </c>
      <c r="J3011" s="345">
        <v>32</v>
      </c>
      <c r="K3011" s="703">
        <v>12284.15</v>
      </c>
      <c r="L3011" s="342">
        <v>1</v>
      </c>
      <c r="M3011" s="342">
        <v>20.411000000000001</v>
      </c>
      <c r="N3011" s="340">
        <v>250731.78565000001</v>
      </c>
      <c r="O3011" s="703">
        <v>11377.11</v>
      </c>
      <c r="P3011" s="342">
        <v>1</v>
      </c>
      <c r="Q3011" s="363">
        <v>24.0487</v>
      </c>
      <c r="R3011" s="340">
        <v>273604.70525699999</v>
      </c>
      <c r="S3011" s="342">
        <v>106.16200000000001</v>
      </c>
      <c r="T3011" s="342">
        <v>118.002</v>
      </c>
      <c r="U3011" s="342">
        <v>1.1114999999999999</v>
      </c>
      <c r="V3011" s="340">
        <v>304111.62989315548</v>
      </c>
      <c r="W3011" s="340">
        <v>-53379.844243155472</v>
      </c>
    </row>
    <row r="3012" spans="2:23" ht="24" customHeight="1">
      <c r="J3012" s="345"/>
      <c r="K3012" s="703"/>
      <c r="L3012" s="342"/>
      <c r="M3012" s="342"/>
      <c r="N3012" s="340"/>
      <c r="O3012" s="703"/>
      <c r="P3012" s="342"/>
      <c r="Q3012" s="363"/>
      <c r="R3012" s="340"/>
      <c r="S3012" s="342"/>
      <c r="T3012" s="342"/>
      <c r="U3012" s="342"/>
      <c r="V3012" s="340"/>
      <c r="W3012" s="340"/>
    </row>
    <row r="3013" spans="2:23" ht="24" customHeight="1">
      <c r="B3013" s="67"/>
      <c r="F3013" s="346">
        <v>44734</v>
      </c>
      <c r="G3013" s="346"/>
      <c r="H3013" s="346"/>
      <c r="I3013" s="346"/>
      <c r="J3013" s="345"/>
      <c r="K3013" s="703"/>
      <c r="L3013" s="342"/>
      <c r="M3013" s="342"/>
      <c r="N3013" s="340"/>
      <c r="O3013" s="703"/>
      <c r="P3013" s="342"/>
      <c r="Q3013" s="363"/>
      <c r="R3013" s="340"/>
      <c r="S3013" s="342"/>
      <c r="T3013" s="342"/>
      <c r="U3013" s="342"/>
      <c r="V3013" s="340"/>
      <c r="W3013" s="340"/>
    </row>
    <row r="3014" spans="2:23" ht="24" customHeight="1">
      <c r="B3014" s="67"/>
      <c r="G3014" s="3" t="s">
        <v>59</v>
      </c>
      <c r="H3014" s="3"/>
      <c r="I3014" s="3"/>
      <c r="J3014" s="345"/>
      <c r="K3014" s="703"/>
      <c r="L3014" s="342"/>
      <c r="M3014" s="342"/>
      <c r="N3014" s="340"/>
      <c r="O3014" s="703"/>
      <c r="P3014" s="342"/>
      <c r="Q3014" s="363"/>
      <c r="R3014" s="340"/>
      <c r="S3014" s="342"/>
      <c r="T3014" s="342"/>
      <c r="U3014" s="342"/>
      <c r="V3014" s="340"/>
      <c r="W3014" s="340"/>
    </row>
    <row r="3015" spans="2:23" ht="24" customHeight="1">
      <c r="B3015" s="67"/>
      <c r="H3015" s="347">
        <v>43965</v>
      </c>
      <c r="I3015" s="347"/>
      <c r="J3015" s="345"/>
      <c r="K3015" s="703"/>
      <c r="L3015" s="342"/>
      <c r="M3015" s="342"/>
      <c r="N3015" s="340"/>
      <c r="O3015" s="703"/>
      <c r="P3015" s="342"/>
      <c r="Q3015" s="363"/>
      <c r="R3015" s="340"/>
      <c r="S3015" s="342"/>
      <c r="T3015" s="342"/>
      <c r="U3015" s="342"/>
      <c r="V3015" s="340"/>
      <c r="W3015" s="340"/>
    </row>
    <row r="3016" spans="2:23" ht="24" customHeight="1">
      <c r="B3016" s="67"/>
      <c r="I3016" s="3" t="s">
        <v>59</v>
      </c>
      <c r="J3016" s="345">
        <v>35</v>
      </c>
      <c r="K3016" s="703">
        <v>14486.23</v>
      </c>
      <c r="L3016" s="342">
        <v>1</v>
      </c>
      <c r="M3016" s="342">
        <v>20.244199999999999</v>
      </c>
      <c r="N3016" s="340">
        <v>293262.13736599998</v>
      </c>
      <c r="O3016" s="703">
        <v>12443.72</v>
      </c>
      <c r="P3016" s="342">
        <v>1</v>
      </c>
      <c r="Q3016" s="363">
        <v>24.0487</v>
      </c>
      <c r="R3016" s="340">
        <v>299255.28916399996</v>
      </c>
      <c r="S3016" s="342">
        <v>106.16200000000001</v>
      </c>
      <c r="T3016" s="342">
        <v>121.02200000000001</v>
      </c>
      <c r="U3016" s="342">
        <v>1.1398999999999999</v>
      </c>
      <c r="V3016" s="340">
        <v>341121.1041180435</v>
      </c>
      <c r="W3016" s="340">
        <v>-47858.966752043518</v>
      </c>
    </row>
    <row r="3017" spans="2:23" ht="24" customHeight="1">
      <c r="J3017" s="345"/>
      <c r="K3017" s="703"/>
      <c r="L3017" s="342"/>
      <c r="M3017" s="342"/>
      <c r="N3017" s="340"/>
      <c r="O3017" s="703"/>
      <c r="P3017" s="342"/>
      <c r="Q3017" s="363"/>
      <c r="R3017" s="340"/>
      <c r="S3017" s="342"/>
      <c r="T3017" s="342"/>
      <c r="U3017" s="342"/>
      <c r="V3017" s="340"/>
      <c r="W3017" s="340"/>
    </row>
    <row r="3018" spans="2:23" ht="24" customHeight="1">
      <c r="B3018" s="67"/>
      <c r="H3018" s="347">
        <v>44102</v>
      </c>
      <c r="I3018" s="347"/>
      <c r="J3018" s="345"/>
      <c r="K3018" s="703"/>
      <c r="L3018" s="342"/>
      <c r="M3018" s="342"/>
      <c r="N3018" s="340"/>
      <c r="O3018" s="703"/>
      <c r="P3018" s="342"/>
      <c r="Q3018" s="363"/>
      <c r="R3018" s="340"/>
      <c r="S3018" s="342"/>
      <c r="T3018" s="342"/>
      <c r="U3018" s="342"/>
      <c r="V3018" s="340"/>
      <c r="W3018" s="340"/>
    </row>
    <row r="3019" spans="2:23" ht="24" customHeight="1">
      <c r="B3019" s="67"/>
      <c r="I3019" s="3" t="s">
        <v>59</v>
      </c>
      <c r="J3019" s="345">
        <v>3</v>
      </c>
      <c r="K3019" s="703">
        <v>1241.68</v>
      </c>
      <c r="L3019" s="342">
        <v>1</v>
      </c>
      <c r="M3019" s="342">
        <v>20.244199999999999</v>
      </c>
      <c r="N3019" s="340">
        <v>25136.818255999999</v>
      </c>
      <c r="O3019" s="703">
        <v>1181.1199999999999</v>
      </c>
      <c r="P3019" s="342">
        <v>1</v>
      </c>
      <c r="Q3019" s="363">
        <v>22.367799999999999</v>
      </c>
      <c r="R3019" s="340">
        <v>26419.055935999997</v>
      </c>
      <c r="S3019" s="342">
        <v>108.114</v>
      </c>
      <c r="T3019" s="342">
        <v>121.02200000000001</v>
      </c>
      <c r="U3019" s="342">
        <v>1.1193</v>
      </c>
      <c r="V3019" s="340">
        <v>29570.849309164794</v>
      </c>
      <c r="W3019" s="340">
        <v>-4434.031053164792</v>
      </c>
    </row>
    <row r="3020" spans="2:23" ht="24" customHeight="1">
      <c r="J3020" s="345"/>
      <c r="K3020" s="703"/>
      <c r="L3020" s="342"/>
      <c r="M3020" s="342"/>
      <c r="N3020" s="340"/>
      <c r="O3020" s="703"/>
      <c r="P3020" s="342"/>
      <c r="Q3020" s="363"/>
      <c r="R3020" s="340"/>
      <c r="S3020" s="342"/>
      <c r="T3020" s="342"/>
      <c r="U3020" s="342"/>
      <c r="V3020" s="340"/>
      <c r="W3020" s="340"/>
    </row>
    <row r="3021" spans="2:23" ht="24" customHeight="1">
      <c r="B3021" s="67"/>
      <c r="E3021" s="131" t="s">
        <v>1196</v>
      </c>
      <c r="F3021" s="131"/>
      <c r="G3021" s="131"/>
      <c r="H3021" s="131"/>
      <c r="I3021" s="131"/>
      <c r="J3021" s="704">
        <v>70</v>
      </c>
      <c r="K3021" s="705">
        <v>28012.059999999998</v>
      </c>
      <c r="L3021" s="369">
        <v>1</v>
      </c>
      <c r="M3021" s="377">
        <v>20.299800000000001</v>
      </c>
      <c r="N3021" s="706">
        <v>569130.7412719999</v>
      </c>
      <c r="O3021" s="705">
        <v>25001.95</v>
      </c>
      <c r="P3021" s="369">
        <v>1</v>
      </c>
      <c r="Q3021" s="377">
        <v>23.488399999999999</v>
      </c>
      <c r="R3021" s="706">
        <v>599279.05035699985</v>
      </c>
      <c r="S3021" s="369">
        <v>106.81266666666666</v>
      </c>
      <c r="T3021" s="369">
        <v>120.01533333333333</v>
      </c>
      <c r="U3021" s="369">
        <v>1.1235666666666666</v>
      </c>
      <c r="V3021" s="706">
        <v>674803.58332036377</v>
      </c>
      <c r="W3021" s="706">
        <v>-105672.84204836379</v>
      </c>
    </row>
    <row r="3022" spans="2:23" ht="24" customHeight="1">
      <c r="J3022" s="345"/>
      <c r="K3022" s="703"/>
      <c r="L3022" s="342"/>
      <c r="M3022" s="342"/>
      <c r="N3022" s="340"/>
      <c r="O3022" s="703"/>
      <c r="P3022" s="342"/>
      <c r="Q3022" s="363"/>
      <c r="R3022" s="340"/>
      <c r="S3022" s="342"/>
      <c r="T3022" s="342"/>
      <c r="U3022" s="342"/>
      <c r="V3022" s="340"/>
      <c r="W3022" s="340"/>
    </row>
    <row r="3023" spans="2:23" ht="24" customHeight="1">
      <c r="B3023" s="67"/>
      <c r="E3023" s="1" t="s">
        <v>748</v>
      </c>
      <c r="J3023" s="345"/>
      <c r="K3023" s="703"/>
      <c r="L3023" s="342"/>
      <c r="M3023" s="342"/>
      <c r="N3023" s="340"/>
      <c r="O3023" s="703"/>
      <c r="P3023" s="342"/>
      <c r="Q3023" s="363"/>
      <c r="R3023" s="340"/>
      <c r="S3023" s="342"/>
      <c r="T3023" s="342"/>
      <c r="U3023" s="342"/>
      <c r="V3023" s="340"/>
      <c r="W3023" s="340"/>
    </row>
    <row r="3024" spans="2:23" ht="24" customHeight="1">
      <c r="B3024" s="67"/>
      <c r="F3024" s="346">
        <v>44701</v>
      </c>
      <c r="G3024" s="346"/>
      <c r="H3024" s="346"/>
      <c r="I3024" s="346"/>
      <c r="J3024" s="345"/>
      <c r="K3024" s="703"/>
      <c r="L3024" s="342"/>
      <c r="M3024" s="342"/>
      <c r="N3024" s="340"/>
      <c r="O3024" s="703"/>
      <c r="P3024" s="342"/>
      <c r="Q3024" s="363"/>
      <c r="R3024" s="340"/>
      <c r="S3024" s="342"/>
      <c r="T3024" s="342"/>
      <c r="U3024" s="342"/>
      <c r="V3024" s="340"/>
      <c r="W3024" s="340"/>
    </row>
    <row r="3025" spans="2:23" ht="24" customHeight="1">
      <c r="B3025" s="67"/>
      <c r="G3025" s="3" t="s">
        <v>59</v>
      </c>
      <c r="H3025" s="3"/>
      <c r="I3025" s="3"/>
      <c r="J3025" s="345"/>
      <c r="K3025" s="703"/>
      <c r="L3025" s="342"/>
      <c r="M3025" s="342"/>
      <c r="N3025" s="340"/>
      <c r="O3025" s="703"/>
      <c r="P3025" s="342"/>
      <c r="Q3025" s="363"/>
      <c r="R3025" s="340"/>
      <c r="S3025" s="342"/>
      <c r="T3025" s="342"/>
      <c r="U3025" s="342"/>
      <c r="V3025" s="340"/>
      <c r="W3025" s="340"/>
    </row>
    <row r="3026" spans="2:23" ht="24" customHeight="1">
      <c r="B3026" s="67"/>
      <c r="H3026" s="347">
        <v>43315</v>
      </c>
      <c r="I3026" s="347"/>
      <c r="J3026" s="345"/>
      <c r="K3026" s="703"/>
      <c r="L3026" s="342"/>
      <c r="M3026" s="342"/>
      <c r="N3026" s="340"/>
      <c r="O3026" s="703"/>
      <c r="P3026" s="342"/>
      <c r="Q3026" s="363"/>
      <c r="R3026" s="340"/>
      <c r="S3026" s="342"/>
      <c r="T3026" s="342"/>
      <c r="U3026" s="342"/>
      <c r="V3026" s="340"/>
      <c r="W3026" s="340"/>
    </row>
    <row r="3027" spans="2:23" ht="24" customHeight="1">
      <c r="B3027" s="67"/>
      <c r="I3027" s="3" t="s">
        <v>59</v>
      </c>
      <c r="J3027" s="345">
        <v>65</v>
      </c>
      <c r="K3027" s="703">
        <v>11899.01</v>
      </c>
      <c r="L3027" s="342">
        <v>1</v>
      </c>
      <c r="M3027" s="342">
        <v>19.9663</v>
      </c>
      <c r="N3027" s="340">
        <v>237579.20336300001</v>
      </c>
      <c r="O3027" s="703">
        <v>6351.15</v>
      </c>
      <c r="P3027" s="342">
        <v>1</v>
      </c>
      <c r="Q3027" s="363">
        <v>18.5899</v>
      </c>
      <c r="R3027" s="340">
        <v>118067.24338499999</v>
      </c>
      <c r="S3027" s="342">
        <v>100.492</v>
      </c>
      <c r="T3027" s="342">
        <v>120.809</v>
      </c>
      <c r="U3027" s="342">
        <v>1.2020999999999999</v>
      </c>
      <c r="V3027" s="340">
        <v>141928.63327310848</v>
      </c>
      <c r="W3027" s="340">
        <v>95650.570089891524</v>
      </c>
    </row>
    <row r="3028" spans="2:23" ht="24" customHeight="1">
      <c r="J3028" s="345"/>
      <c r="K3028" s="703"/>
      <c r="L3028" s="342"/>
      <c r="M3028" s="342"/>
      <c r="N3028" s="340"/>
      <c r="O3028" s="703"/>
      <c r="P3028" s="342"/>
      <c r="Q3028" s="363"/>
      <c r="R3028" s="340"/>
      <c r="S3028" s="342"/>
      <c r="T3028" s="342"/>
      <c r="U3028" s="342"/>
      <c r="V3028" s="340"/>
      <c r="W3028" s="340"/>
    </row>
    <row r="3029" spans="2:23" ht="24" customHeight="1">
      <c r="B3029" s="67"/>
      <c r="F3029" s="346">
        <v>44733</v>
      </c>
      <c r="G3029" s="346"/>
      <c r="H3029" s="346"/>
      <c r="I3029" s="346"/>
      <c r="J3029" s="345"/>
      <c r="K3029" s="703"/>
      <c r="L3029" s="342"/>
      <c r="M3029" s="342"/>
      <c r="N3029" s="340"/>
      <c r="O3029" s="703"/>
      <c r="P3029" s="342"/>
      <c r="Q3029" s="363"/>
      <c r="R3029" s="340"/>
      <c r="S3029" s="342"/>
      <c r="T3029" s="342"/>
      <c r="U3029" s="342"/>
      <c r="V3029" s="340"/>
      <c r="W3029" s="340"/>
    </row>
    <row r="3030" spans="2:23" ht="24" customHeight="1">
      <c r="B3030" s="67"/>
      <c r="G3030" s="3" t="s">
        <v>59</v>
      </c>
      <c r="H3030" s="3"/>
      <c r="I3030" s="3"/>
      <c r="J3030" s="345"/>
      <c r="K3030" s="703"/>
      <c r="L3030" s="342"/>
      <c r="M3030" s="342"/>
      <c r="N3030" s="340"/>
      <c r="O3030" s="703"/>
      <c r="P3030" s="342"/>
      <c r="Q3030" s="363"/>
      <c r="R3030" s="340"/>
      <c r="S3030" s="342"/>
      <c r="T3030" s="342"/>
      <c r="U3030" s="342"/>
      <c r="V3030" s="340"/>
      <c r="W3030" s="340"/>
    </row>
    <row r="3031" spans="2:23" ht="24" customHeight="1">
      <c r="B3031" s="67"/>
      <c r="H3031" s="347">
        <v>43315</v>
      </c>
      <c r="I3031" s="347"/>
      <c r="J3031" s="345"/>
      <c r="K3031" s="703"/>
      <c r="L3031" s="342"/>
      <c r="M3031" s="342"/>
      <c r="N3031" s="340"/>
      <c r="O3031" s="703"/>
      <c r="P3031" s="342"/>
      <c r="Q3031" s="363"/>
      <c r="R3031" s="340"/>
      <c r="S3031" s="342"/>
      <c r="T3031" s="342"/>
      <c r="U3031" s="342"/>
      <c r="V3031" s="340"/>
      <c r="W3031" s="340"/>
    </row>
    <row r="3032" spans="2:23" ht="24" customHeight="1">
      <c r="B3032" s="67"/>
      <c r="I3032" s="3" t="s">
        <v>59</v>
      </c>
      <c r="J3032" s="345">
        <v>126</v>
      </c>
      <c r="K3032" s="703">
        <v>21786.880000000001</v>
      </c>
      <c r="L3032" s="342">
        <v>1</v>
      </c>
      <c r="M3032" s="342">
        <v>20.475999999999999</v>
      </c>
      <c r="N3032" s="340">
        <v>446108.15487999999</v>
      </c>
      <c r="O3032" s="703">
        <v>12311.46</v>
      </c>
      <c r="P3032" s="342">
        <v>1</v>
      </c>
      <c r="Q3032" s="363">
        <v>18.5899</v>
      </c>
      <c r="R3032" s="340">
        <v>228868.81025399998</v>
      </c>
      <c r="S3032" s="342">
        <v>100.492</v>
      </c>
      <c r="T3032" s="342">
        <v>121.02200000000001</v>
      </c>
      <c r="U3032" s="342">
        <v>1.2041999999999999</v>
      </c>
      <c r="V3032" s="340">
        <v>275603.82130786678</v>
      </c>
      <c r="W3032" s="340">
        <v>170504.33357213321</v>
      </c>
    </row>
    <row r="3033" spans="2:23" ht="24" customHeight="1">
      <c r="J3033" s="345"/>
      <c r="K3033" s="703"/>
      <c r="L3033" s="342"/>
      <c r="M3033" s="342"/>
      <c r="N3033" s="340"/>
      <c r="O3033" s="703"/>
      <c r="P3033" s="342"/>
      <c r="Q3033" s="363"/>
      <c r="R3033" s="340"/>
      <c r="S3033" s="342"/>
      <c r="T3033" s="342"/>
      <c r="U3033" s="342"/>
      <c r="V3033" s="340"/>
      <c r="W3033" s="340"/>
    </row>
    <row r="3034" spans="2:23" ht="24" customHeight="1">
      <c r="B3034" s="67"/>
      <c r="F3034" s="346">
        <v>44771</v>
      </c>
      <c r="G3034" s="346"/>
      <c r="H3034" s="346"/>
      <c r="I3034" s="346"/>
      <c r="J3034" s="345"/>
      <c r="K3034" s="703"/>
      <c r="L3034" s="342"/>
      <c r="M3034" s="342"/>
      <c r="N3034" s="340"/>
      <c r="O3034" s="703"/>
      <c r="P3034" s="342"/>
      <c r="Q3034" s="363"/>
      <c r="R3034" s="340"/>
      <c r="S3034" s="342"/>
      <c r="T3034" s="342"/>
      <c r="U3034" s="342"/>
      <c r="V3034" s="340"/>
      <c r="W3034" s="340"/>
    </row>
    <row r="3035" spans="2:23" ht="24" customHeight="1">
      <c r="B3035" s="67"/>
      <c r="G3035" s="3" t="s">
        <v>59</v>
      </c>
      <c r="H3035" s="3"/>
      <c r="I3035" s="3"/>
      <c r="J3035" s="345"/>
      <c r="K3035" s="703"/>
      <c r="L3035" s="342"/>
      <c r="M3035" s="342"/>
      <c r="N3035" s="340"/>
      <c r="O3035" s="703"/>
      <c r="P3035" s="342"/>
      <c r="Q3035" s="363"/>
      <c r="R3035" s="340"/>
      <c r="S3035" s="342"/>
      <c r="T3035" s="342"/>
      <c r="U3035" s="342"/>
      <c r="V3035" s="340"/>
      <c r="W3035" s="340"/>
    </row>
    <row r="3036" spans="2:23" ht="24" customHeight="1">
      <c r="B3036" s="67"/>
      <c r="H3036" s="347">
        <v>43315</v>
      </c>
      <c r="I3036" s="347"/>
      <c r="J3036" s="345"/>
      <c r="K3036" s="703"/>
      <c r="L3036" s="342"/>
      <c r="M3036" s="342"/>
      <c r="N3036" s="340"/>
      <c r="O3036" s="703"/>
      <c r="P3036" s="342"/>
      <c r="Q3036" s="363"/>
      <c r="R3036" s="340"/>
      <c r="S3036" s="342"/>
      <c r="T3036" s="342"/>
      <c r="U3036" s="342"/>
      <c r="V3036" s="340"/>
      <c r="W3036" s="340"/>
    </row>
    <row r="3037" spans="2:23" ht="24" customHeight="1">
      <c r="B3037" s="67"/>
      <c r="I3037" s="3" t="s">
        <v>59</v>
      </c>
      <c r="J3037" s="345">
        <v>161</v>
      </c>
      <c r="K3037" s="703">
        <v>30706.27</v>
      </c>
      <c r="L3037" s="342">
        <v>1</v>
      </c>
      <c r="M3037" s="342">
        <v>20.512</v>
      </c>
      <c r="N3037" s="340">
        <v>629847.01023999997</v>
      </c>
      <c r="O3037" s="703">
        <v>15731.31</v>
      </c>
      <c r="P3037" s="342">
        <v>1</v>
      </c>
      <c r="Q3037" s="363">
        <v>18.5899</v>
      </c>
      <c r="R3037" s="340">
        <v>292443.47976899997</v>
      </c>
      <c r="S3037" s="342">
        <v>100.492</v>
      </c>
      <c r="T3037" s="342">
        <v>122.044</v>
      </c>
      <c r="U3037" s="342">
        <v>1.2143999999999999</v>
      </c>
      <c r="V3037" s="340">
        <v>355143.36183147354</v>
      </c>
      <c r="W3037" s="340">
        <v>274703.64840852644</v>
      </c>
    </row>
    <row r="3038" spans="2:23" ht="24" customHeight="1">
      <c r="J3038" s="345"/>
      <c r="K3038" s="703"/>
      <c r="L3038" s="342"/>
      <c r="M3038" s="342"/>
      <c r="N3038" s="340"/>
      <c r="O3038" s="703"/>
      <c r="P3038" s="342"/>
      <c r="Q3038" s="363"/>
      <c r="R3038" s="340"/>
      <c r="S3038" s="342"/>
      <c r="T3038" s="342"/>
      <c r="U3038" s="342"/>
      <c r="V3038" s="340"/>
      <c r="W3038" s="340"/>
    </row>
    <row r="3039" spans="2:23" ht="24" customHeight="1">
      <c r="B3039" s="67"/>
      <c r="H3039" s="347">
        <v>43894</v>
      </c>
      <c r="I3039" s="347"/>
      <c r="J3039" s="345"/>
      <c r="K3039" s="703"/>
      <c r="L3039" s="342"/>
      <c r="M3039" s="342"/>
      <c r="N3039" s="340"/>
      <c r="O3039" s="703"/>
      <c r="P3039" s="342"/>
      <c r="Q3039" s="363"/>
      <c r="R3039" s="340"/>
      <c r="S3039" s="342"/>
      <c r="T3039" s="342"/>
      <c r="U3039" s="342"/>
      <c r="V3039" s="340"/>
      <c r="W3039" s="340"/>
    </row>
    <row r="3040" spans="2:23" ht="24" customHeight="1">
      <c r="B3040" s="67"/>
      <c r="I3040" s="3" t="s">
        <v>59</v>
      </c>
      <c r="J3040" s="345">
        <v>12</v>
      </c>
      <c r="K3040" s="703">
        <v>2288.67</v>
      </c>
      <c r="L3040" s="342">
        <v>1</v>
      </c>
      <c r="M3040" s="342">
        <v>20.512</v>
      </c>
      <c r="N3040" s="340">
        <v>46945.19904</v>
      </c>
      <c r="O3040" s="703">
        <v>1333.8</v>
      </c>
      <c r="P3040" s="342">
        <v>1</v>
      </c>
      <c r="Q3040" s="363">
        <v>19.698499999999999</v>
      </c>
      <c r="R3040" s="340">
        <v>26273.859299999996</v>
      </c>
      <c r="S3040" s="342">
        <v>106.83799999999999</v>
      </c>
      <c r="T3040" s="342">
        <v>122.044</v>
      </c>
      <c r="U3040" s="342">
        <v>1.1423000000000001</v>
      </c>
      <c r="V3040" s="340">
        <v>30012.629478389998</v>
      </c>
      <c r="W3040" s="340">
        <v>16932.569561609998</v>
      </c>
    </row>
    <row r="3041" spans="2:23" ht="24" customHeight="1">
      <c r="J3041" s="345"/>
      <c r="K3041" s="703"/>
      <c r="L3041" s="342"/>
      <c r="M3041" s="342"/>
      <c r="N3041" s="340"/>
      <c r="O3041" s="703"/>
      <c r="P3041" s="342"/>
      <c r="Q3041" s="363"/>
      <c r="R3041" s="340"/>
      <c r="S3041" s="342"/>
      <c r="T3041" s="342"/>
      <c r="U3041" s="342"/>
      <c r="V3041" s="340"/>
      <c r="W3041" s="340"/>
    </row>
    <row r="3042" spans="2:23" ht="24" customHeight="1">
      <c r="B3042" s="67"/>
      <c r="F3042" s="346">
        <v>44774</v>
      </c>
      <c r="G3042" s="346"/>
      <c r="H3042" s="346"/>
      <c r="I3042" s="346"/>
      <c r="J3042" s="345"/>
      <c r="K3042" s="703"/>
      <c r="L3042" s="342"/>
      <c r="M3042" s="342"/>
      <c r="N3042" s="340"/>
      <c r="O3042" s="703"/>
      <c r="P3042" s="342"/>
      <c r="Q3042" s="363"/>
      <c r="R3042" s="340"/>
      <c r="S3042" s="342"/>
      <c r="T3042" s="342"/>
      <c r="U3042" s="342"/>
      <c r="V3042" s="340"/>
      <c r="W3042" s="340"/>
    </row>
    <row r="3043" spans="2:23" ht="24" customHeight="1">
      <c r="B3043" s="67"/>
      <c r="G3043" s="3" t="s">
        <v>59</v>
      </c>
      <c r="H3043" s="3"/>
      <c r="I3043" s="3"/>
      <c r="J3043" s="345"/>
      <c r="K3043" s="703"/>
      <c r="L3043" s="342"/>
      <c r="M3043" s="342"/>
      <c r="N3043" s="340"/>
      <c r="O3043" s="703"/>
      <c r="P3043" s="342"/>
      <c r="Q3043" s="363"/>
      <c r="R3043" s="340"/>
      <c r="S3043" s="342"/>
      <c r="T3043" s="342"/>
      <c r="U3043" s="342"/>
      <c r="V3043" s="340"/>
      <c r="W3043" s="340"/>
    </row>
    <row r="3044" spans="2:23" ht="24" customHeight="1">
      <c r="B3044" s="67"/>
      <c r="H3044" s="347">
        <v>43964</v>
      </c>
      <c r="I3044" s="347"/>
      <c r="J3044" s="345"/>
      <c r="K3044" s="703"/>
      <c r="L3044" s="342"/>
      <c r="M3044" s="342"/>
      <c r="N3044" s="340"/>
      <c r="O3044" s="703"/>
      <c r="P3044" s="342"/>
      <c r="Q3044" s="363"/>
      <c r="R3044" s="340"/>
      <c r="S3044" s="342"/>
      <c r="T3044" s="342"/>
      <c r="U3044" s="342"/>
      <c r="V3044" s="340"/>
      <c r="W3044" s="340"/>
    </row>
    <row r="3045" spans="2:23" ht="24" customHeight="1">
      <c r="B3045" s="67"/>
      <c r="I3045" s="3" t="s">
        <v>59</v>
      </c>
      <c r="J3045" s="345">
        <v>97</v>
      </c>
      <c r="K3045" s="703">
        <v>18839.54</v>
      </c>
      <c r="L3045" s="342">
        <v>1</v>
      </c>
      <c r="M3045" s="342">
        <v>20.377800000000001</v>
      </c>
      <c r="N3045" s="340">
        <v>383908.37821200001</v>
      </c>
      <c r="O3045" s="703">
        <v>10557.95</v>
      </c>
      <c r="P3045" s="342">
        <v>1</v>
      </c>
      <c r="Q3045" s="363">
        <v>23.869299999999999</v>
      </c>
      <c r="R3045" s="340">
        <v>252010.87593500002</v>
      </c>
      <c r="S3045" s="342">
        <v>106.16200000000001</v>
      </c>
      <c r="T3045" s="342">
        <v>122.94799999999999</v>
      </c>
      <c r="U3045" s="342">
        <v>1.1580999999999999</v>
      </c>
      <c r="V3045" s="340">
        <v>291853.7954203235</v>
      </c>
      <c r="W3045" s="340">
        <v>92054.582791676512</v>
      </c>
    </row>
    <row r="3046" spans="2:23" ht="24" customHeight="1">
      <c r="J3046" s="345"/>
      <c r="K3046" s="703"/>
      <c r="L3046" s="342"/>
      <c r="M3046" s="342"/>
      <c r="N3046" s="340"/>
      <c r="O3046" s="703"/>
      <c r="P3046" s="342"/>
      <c r="Q3046" s="363"/>
      <c r="R3046" s="340"/>
      <c r="S3046" s="342"/>
      <c r="T3046" s="342"/>
      <c r="U3046" s="342"/>
      <c r="V3046" s="340"/>
      <c r="W3046" s="340"/>
    </row>
    <row r="3047" spans="2:23" ht="24" customHeight="1">
      <c r="B3047" s="67"/>
      <c r="H3047" s="347">
        <v>43894</v>
      </c>
      <c r="I3047" s="347"/>
      <c r="J3047" s="345"/>
      <c r="K3047" s="703"/>
      <c r="L3047" s="342"/>
      <c r="M3047" s="342"/>
      <c r="N3047" s="340"/>
      <c r="O3047" s="703"/>
      <c r="P3047" s="342"/>
      <c r="Q3047" s="363"/>
      <c r="R3047" s="340"/>
      <c r="S3047" s="342"/>
      <c r="T3047" s="342"/>
      <c r="U3047" s="342"/>
      <c r="V3047" s="340"/>
      <c r="W3047" s="340"/>
    </row>
    <row r="3048" spans="2:23" ht="24" customHeight="1">
      <c r="B3048" s="67"/>
      <c r="I3048" s="3" t="s">
        <v>59</v>
      </c>
      <c r="J3048" s="345">
        <v>27</v>
      </c>
      <c r="K3048" s="703">
        <v>5244</v>
      </c>
      <c r="L3048" s="342">
        <v>1</v>
      </c>
      <c r="M3048" s="342">
        <v>20.377800000000001</v>
      </c>
      <c r="N3048" s="340">
        <v>106861.1832</v>
      </c>
      <c r="O3048" s="703">
        <v>3001.05</v>
      </c>
      <c r="P3048" s="342">
        <v>1</v>
      </c>
      <c r="Q3048" s="363">
        <v>19.698499999999999</v>
      </c>
      <c r="R3048" s="340">
        <v>59116.183425000003</v>
      </c>
      <c r="S3048" s="342">
        <v>106.83799999999999</v>
      </c>
      <c r="T3048" s="342">
        <v>122.94799999999999</v>
      </c>
      <c r="U3048" s="342">
        <v>1.1507000000000001</v>
      </c>
      <c r="V3048" s="340">
        <v>68024.992267147507</v>
      </c>
      <c r="W3048" s="340">
        <v>38836.190932852493</v>
      </c>
    </row>
    <row r="3049" spans="2:23" ht="24" customHeight="1">
      <c r="J3049" s="345"/>
      <c r="K3049" s="703"/>
      <c r="L3049" s="342"/>
      <c r="M3049" s="342"/>
      <c r="N3049" s="340"/>
      <c r="O3049" s="703"/>
      <c r="P3049" s="342"/>
      <c r="Q3049" s="363"/>
      <c r="R3049" s="340"/>
      <c r="S3049" s="342"/>
      <c r="T3049" s="342"/>
      <c r="U3049" s="342"/>
      <c r="V3049" s="340"/>
      <c r="W3049" s="340"/>
    </row>
    <row r="3050" spans="2:23" ht="24" customHeight="1">
      <c r="B3050" s="67"/>
      <c r="H3050" s="347">
        <v>44469</v>
      </c>
      <c r="I3050" s="347"/>
      <c r="J3050" s="345"/>
      <c r="K3050" s="703"/>
      <c r="L3050" s="342"/>
      <c r="M3050" s="342"/>
      <c r="N3050" s="340"/>
      <c r="O3050" s="703"/>
      <c r="P3050" s="342"/>
      <c r="Q3050" s="363"/>
      <c r="R3050" s="340"/>
      <c r="S3050" s="342"/>
      <c r="T3050" s="342"/>
      <c r="U3050" s="342"/>
      <c r="V3050" s="340"/>
      <c r="W3050" s="340"/>
    </row>
    <row r="3051" spans="2:23" ht="24" customHeight="1">
      <c r="B3051" s="67"/>
      <c r="I3051" s="3" t="s">
        <v>59</v>
      </c>
      <c r="J3051" s="345">
        <v>30</v>
      </c>
      <c r="K3051" s="703">
        <v>5826.66</v>
      </c>
      <c r="L3051" s="342">
        <v>1</v>
      </c>
      <c r="M3051" s="342">
        <v>20.377800000000001</v>
      </c>
      <c r="N3051" s="340">
        <v>118734.51214799999</v>
      </c>
      <c r="O3051" s="703">
        <v>6141.07</v>
      </c>
      <c r="P3051" s="342">
        <v>1</v>
      </c>
      <c r="Q3051" s="363">
        <v>20.306000000000001</v>
      </c>
      <c r="R3051" s="340">
        <v>124700.56742000001</v>
      </c>
      <c r="S3051" s="342">
        <v>114.601</v>
      </c>
      <c r="T3051" s="342">
        <v>122.94799999999999</v>
      </c>
      <c r="U3051" s="342">
        <v>1.0728</v>
      </c>
      <c r="V3051" s="340">
        <v>133778.76872817602</v>
      </c>
      <c r="W3051" s="340">
        <v>-15044.256580176021</v>
      </c>
    </row>
    <row r="3052" spans="2:23" ht="24" customHeight="1">
      <c r="J3052" s="345"/>
      <c r="K3052" s="703"/>
      <c r="L3052" s="342"/>
      <c r="M3052" s="342"/>
      <c r="N3052" s="340"/>
      <c r="O3052" s="703"/>
      <c r="P3052" s="342"/>
      <c r="Q3052" s="363"/>
      <c r="R3052" s="340"/>
      <c r="S3052" s="342"/>
      <c r="T3052" s="342"/>
      <c r="U3052" s="342"/>
      <c r="V3052" s="340"/>
      <c r="W3052" s="340"/>
    </row>
    <row r="3053" spans="2:23" ht="24" customHeight="1">
      <c r="B3053" s="67"/>
      <c r="F3053" s="346">
        <v>44775</v>
      </c>
      <c r="G3053" s="346"/>
      <c r="H3053" s="346"/>
      <c r="I3053" s="346"/>
      <c r="J3053" s="345"/>
      <c r="K3053" s="703"/>
      <c r="L3053" s="342"/>
      <c r="M3053" s="342"/>
      <c r="N3053" s="340"/>
      <c r="O3053" s="703"/>
      <c r="P3053" s="342"/>
      <c r="Q3053" s="363"/>
      <c r="R3053" s="340"/>
      <c r="S3053" s="342"/>
      <c r="T3053" s="342"/>
      <c r="U3053" s="342"/>
      <c r="V3053" s="340"/>
      <c r="W3053" s="340"/>
    </row>
    <row r="3054" spans="2:23" ht="24" customHeight="1">
      <c r="B3054" s="67"/>
      <c r="G3054" s="3" t="s">
        <v>59</v>
      </c>
      <c r="H3054" s="3"/>
      <c r="I3054" s="3"/>
      <c r="J3054" s="345"/>
      <c r="K3054" s="703"/>
      <c r="L3054" s="342"/>
      <c r="M3054" s="342"/>
      <c r="N3054" s="340"/>
      <c r="O3054" s="703"/>
      <c r="P3054" s="342"/>
      <c r="Q3054" s="363"/>
      <c r="R3054" s="340"/>
      <c r="S3054" s="342"/>
      <c r="T3054" s="342"/>
      <c r="U3054" s="342"/>
      <c r="V3054" s="340"/>
      <c r="W3054" s="340"/>
    </row>
    <row r="3055" spans="2:23" ht="24" customHeight="1">
      <c r="B3055" s="67"/>
      <c r="H3055" s="347">
        <v>44728</v>
      </c>
      <c r="I3055" s="347"/>
      <c r="J3055" s="345"/>
      <c r="K3055" s="703"/>
      <c r="L3055" s="342"/>
      <c r="M3055" s="342"/>
      <c r="N3055" s="340"/>
      <c r="O3055" s="703"/>
      <c r="P3055" s="342"/>
      <c r="Q3055" s="363"/>
      <c r="R3055" s="340"/>
      <c r="S3055" s="342"/>
      <c r="T3055" s="342"/>
      <c r="U3055" s="342"/>
      <c r="V3055" s="340"/>
      <c r="W3055" s="340"/>
    </row>
    <row r="3056" spans="2:23" ht="24" customHeight="1">
      <c r="B3056" s="67"/>
      <c r="I3056" s="3" t="s">
        <v>59</v>
      </c>
      <c r="J3056" s="345">
        <v>17</v>
      </c>
      <c r="K3056" s="703">
        <v>3223.77</v>
      </c>
      <c r="L3056" s="342">
        <v>1</v>
      </c>
      <c r="M3056" s="342">
        <v>20.348500000000001</v>
      </c>
      <c r="N3056" s="340">
        <v>65598.883845000004</v>
      </c>
      <c r="O3056" s="703">
        <v>2926.32</v>
      </c>
      <c r="P3056" s="342">
        <v>1</v>
      </c>
      <c r="Q3056" s="363">
        <v>20.658300000000001</v>
      </c>
      <c r="R3056" s="340">
        <v>60452.796456000004</v>
      </c>
      <c r="S3056" s="342">
        <v>122.044</v>
      </c>
      <c r="T3056" s="342">
        <v>122.94799999999999</v>
      </c>
      <c r="U3056" s="342">
        <v>1.0074000000000001</v>
      </c>
      <c r="V3056" s="340">
        <v>60900.147149774406</v>
      </c>
      <c r="W3056" s="340">
        <v>4698.7366952255979</v>
      </c>
    </row>
    <row r="3057" spans="2:23" ht="24" customHeight="1">
      <c r="J3057" s="345"/>
      <c r="K3057" s="703"/>
      <c r="L3057" s="342"/>
      <c r="M3057" s="342"/>
      <c r="N3057" s="340"/>
      <c r="O3057" s="703"/>
      <c r="P3057" s="342"/>
      <c r="Q3057" s="363"/>
      <c r="R3057" s="340"/>
      <c r="S3057" s="342"/>
      <c r="T3057" s="342"/>
      <c r="U3057" s="342"/>
      <c r="V3057" s="340"/>
      <c r="W3057" s="340"/>
    </row>
    <row r="3058" spans="2:23" ht="24" customHeight="1">
      <c r="B3058" s="67"/>
      <c r="H3058" s="347">
        <v>44469</v>
      </c>
      <c r="I3058" s="347"/>
      <c r="J3058" s="345"/>
      <c r="K3058" s="703"/>
      <c r="L3058" s="342"/>
      <c r="M3058" s="342"/>
      <c r="N3058" s="340"/>
      <c r="O3058" s="703"/>
      <c r="P3058" s="342"/>
      <c r="Q3058" s="363"/>
      <c r="R3058" s="340"/>
      <c r="S3058" s="342"/>
      <c r="T3058" s="342"/>
      <c r="U3058" s="342"/>
      <c r="V3058" s="340"/>
      <c r="W3058" s="340"/>
    </row>
    <row r="3059" spans="2:23" ht="24" customHeight="1">
      <c r="B3059" s="67"/>
      <c r="I3059" s="3" t="s">
        <v>59</v>
      </c>
      <c r="J3059" s="345">
        <v>55</v>
      </c>
      <c r="K3059" s="703">
        <v>10429.85</v>
      </c>
      <c r="L3059" s="342">
        <v>1</v>
      </c>
      <c r="M3059" s="342">
        <v>20.348500000000001</v>
      </c>
      <c r="N3059" s="340">
        <v>212231.80272500002</v>
      </c>
      <c r="O3059" s="703">
        <v>11258.62</v>
      </c>
      <c r="P3059" s="342">
        <v>1</v>
      </c>
      <c r="Q3059" s="363">
        <v>20.306000000000001</v>
      </c>
      <c r="R3059" s="340">
        <v>228617.53772000002</v>
      </c>
      <c r="S3059" s="342">
        <v>114.601</v>
      </c>
      <c r="T3059" s="342">
        <v>122.94799999999999</v>
      </c>
      <c r="U3059" s="342">
        <v>1.0728</v>
      </c>
      <c r="V3059" s="340">
        <v>245260.89446601601</v>
      </c>
      <c r="W3059" s="340">
        <v>-33029.091741015989</v>
      </c>
    </row>
    <row r="3060" spans="2:23" ht="24" customHeight="1">
      <c r="J3060" s="345"/>
      <c r="K3060" s="703"/>
      <c r="L3060" s="342"/>
      <c r="M3060" s="342"/>
      <c r="N3060" s="340"/>
      <c r="O3060" s="703"/>
      <c r="P3060" s="342"/>
      <c r="Q3060" s="363"/>
      <c r="R3060" s="340"/>
      <c r="S3060" s="342"/>
      <c r="T3060" s="342"/>
      <c r="U3060" s="342"/>
      <c r="V3060" s="340"/>
      <c r="W3060" s="340"/>
    </row>
    <row r="3061" spans="2:23" ht="24" customHeight="1">
      <c r="B3061" s="67"/>
      <c r="H3061" s="347">
        <v>44470</v>
      </c>
      <c r="I3061" s="347"/>
      <c r="J3061" s="345"/>
      <c r="K3061" s="703"/>
      <c r="L3061" s="342"/>
      <c r="M3061" s="342"/>
      <c r="N3061" s="340"/>
      <c r="O3061" s="703"/>
      <c r="P3061" s="342"/>
      <c r="Q3061" s="363"/>
      <c r="R3061" s="340"/>
      <c r="S3061" s="342"/>
      <c r="T3061" s="342"/>
      <c r="U3061" s="342"/>
      <c r="V3061" s="340"/>
      <c r="W3061" s="340"/>
    </row>
    <row r="3062" spans="2:23" ht="24" customHeight="1">
      <c r="B3062" s="67"/>
      <c r="I3062" s="3" t="s">
        <v>59</v>
      </c>
      <c r="J3062" s="345">
        <v>28</v>
      </c>
      <c r="K3062" s="703">
        <v>5309.75</v>
      </c>
      <c r="L3062" s="342">
        <v>1</v>
      </c>
      <c r="M3062" s="342">
        <v>20.348500000000001</v>
      </c>
      <c r="N3062" s="340">
        <v>108045.44787500001</v>
      </c>
      <c r="O3062" s="703">
        <v>5701.36</v>
      </c>
      <c r="P3062" s="342">
        <v>1</v>
      </c>
      <c r="Q3062" s="363">
        <v>20.497699999999998</v>
      </c>
      <c r="R3062" s="340">
        <v>116864.76687199998</v>
      </c>
      <c r="S3062" s="342">
        <v>115.56100000000001</v>
      </c>
      <c r="T3062" s="342">
        <v>122.94799999999999</v>
      </c>
      <c r="U3062" s="342">
        <v>1.0639000000000001</v>
      </c>
      <c r="V3062" s="340">
        <v>124332.42547512079</v>
      </c>
      <c r="W3062" s="340">
        <v>-16286.977600120765</v>
      </c>
    </row>
    <row r="3063" spans="2:23" ht="24" customHeight="1">
      <c r="J3063" s="345"/>
      <c r="K3063" s="703"/>
      <c r="L3063" s="342"/>
      <c r="M3063" s="342"/>
      <c r="N3063" s="340"/>
      <c r="O3063" s="703"/>
      <c r="P3063" s="342"/>
      <c r="Q3063" s="363"/>
      <c r="R3063" s="340"/>
      <c r="S3063" s="342"/>
      <c r="T3063" s="342"/>
      <c r="U3063" s="342"/>
      <c r="V3063" s="340"/>
      <c r="W3063" s="340"/>
    </row>
    <row r="3064" spans="2:23" ht="24" customHeight="1">
      <c r="B3064" s="67"/>
      <c r="E3064" s="131" t="s">
        <v>1197</v>
      </c>
      <c r="F3064" s="131"/>
      <c r="G3064" s="131"/>
      <c r="H3064" s="131"/>
      <c r="I3064" s="131"/>
      <c r="J3064" s="704">
        <v>618</v>
      </c>
      <c r="K3064" s="705">
        <v>115554.40000000001</v>
      </c>
      <c r="L3064" s="369">
        <v>1</v>
      </c>
      <c r="M3064" s="377">
        <v>20.364520000000002</v>
      </c>
      <c r="N3064" s="706">
        <v>2355859.7755280002</v>
      </c>
      <c r="O3064" s="705">
        <v>75314.09</v>
      </c>
      <c r="P3064" s="369">
        <v>1</v>
      </c>
      <c r="Q3064" s="377">
        <v>20.080400000000001</v>
      </c>
      <c r="R3064" s="706">
        <v>1507416.120536</v>
      </c>
      <c r="S3064" s="369">
        <v>108.81209999999999</v>
      </c>
      <c r="T3064" s="369">
        <v>122.36069999999999</v>
      </c>
      <c r="U3064" s="369">
        <v>1.1288700000000003</v>
      </c>
      <c r="V3064" s="706">
        <v>1726839.4693973968</v>
      </c>
      <c r="W3064" s="706">
        <v>629020.30613060296</v>
      </c>
    </row>
    <row r="3065" spans="2:23" ht="24" customHeight="1">
      <c r="J3065" s="345"/>
      <c r="K3065" s="703"/>
      <c r="L3065" s="342"/>
      <c r="M3065" s="342"/>
      <c r="N3065" s="340"/>
      <c r="O3065" s="703"/>
      <c r="P3065" s="342"/>
      <c r="Q3065" s="363"/>
      <c r="R3065" s="340"/>
      <c r="S3065" s="342"/>
      <c r="T3065" s="342"/>
      <c r="U3065" s="342"/>
      <c r="V3065" s="340"/>
      <c r="W3065" s="340"/>
    </row>
    <row r="3066" spans="2:23" ht="24" customHeight="1">
      <c r="B3066" s="67"/>
      <c r="E3066" s="1" t="s">
        <v>991</v>
      </c>
      <c r="J3066" s="345"/>
      <c r="K3066" s="703"/>
      <c r="L3066" s="342"/>
      <c r="M3066" s="342"/>
      <c r="N3066" s="340"/>
      <c r="O3066" s="703"/>
      <c r="P3066" s="342"/>
      <c r="Q3066" s="363"/>
      <c r="R3066" s="340"/>
      <c r="S3066" s="342"/>
      <c r="T3066" s="342"/>
      <c r="U3066" s="342"/>
      <c r="V3066" s="340"/>
      <c r="W3066" s="340"/>
    </row>
    <row r="3067" spans="2:23" ht="24" customHeight="1">
      <c r="B3067" s="67"/>
      <c r="F3067" s="346">
        <v>44854</v>
      </c>
      <c r="G3067" s="346"/>
      <c r="H3067" s="346"/>
      <c r="I3067" s="346"/>
      <c r="J3067" s="345"/>
      <c r="K3067" s="703"/>
      <c r="L3067" s="342"/>
      <c r="M3067" s="342"/>
      <c r="N3067" s="340"/>
      <c r="O3067" s="703"/>
      <c r="P3067" s="342"/>
      <c r="Q3067" s="363"/>
      <c r="R3067" s="340"/>
      <c r="S3067" s="342"/>
      <c r="T3067" s="342"/>
      <c r="U3067" s="342"/>
      <c r="V3067" s="340"/>
      <c r="W3067" s="340"/>
    </row>
    <row r="3068" spans="2:23" ht="24" customHeight="1">
      <c r="B3068" s="67"/>
      <c r="G3068" s="3" t="s">
        <v>59</v>
      </c>
      <c r="H3068" s="3"/>
      <c r="I3068" s="3"/>
      <c r="J3068" s="345"/>
      <c r="K3068" s="703"/>
      <c r="L3068" s="342"/>
      <c r="M3068" s="342"/>
      <c r="N3068" s="340"/>
      <c r="O3068" s="703"/>
      <c r="P3068" s="342"/>
      <c r="Q3068" s="363"/>
      <c r="R3068" s="340"/>
      <c r="S3068" s="342"/>
      <c r="T3068" s="342"/>
      <c r="U3068" s="342"/>
      <c r="V3068" s="340"/>
      <c r="W3068" s="340"/>
    </row>
    <row r="3069" spans="2:23" ht="24" customHeight="1">
      <c r="B3069" s="67"/>
      <c r="H3069" s="347">
        <v>44720</v>
      </c>
      <c r="I3069" s="347"/>
      <c r="J3069" s="345"/>
      <c r="K3069" s="703"/>
      <c r="L3069" s="342"/>
      <c r="M3069" s="342"/>
      <c r="N3069" s="340"/>
      <c r="O3069" s="703"/>
      <c r="P3069" s="342"/>
      <c r="Q3069" s="363"/>
      <c r="R3069" s="340"/>
      <c r="S3069" s="342"/>
      <c r="T3069" s="342"/>
      <c r="U3069" s="342"/>
      <c r="V3069" s="340"/>
      <c r="W3069" s="340"/>
    </row>
    <row r="3070" spans="2:23" ht="24" customHeight="1">
      <c r="B3070" s="67"/>
      <c r="I3070" s="3" t="s">
        <v>59</v>
      </c>
      <c r="J3070" s="345">
        <v>362</v>
      </c>
      <c r="K3070" s="703">
        <v>2430.9899999999998</v>
      </c>
      <c r="L3070" s="342">
        <v>1</v>
      </c>
      <c r="M3070" s="342">
        <v>20.020700000000001</v>
      </c>
      <c r="N3070" s="340">
        <v>48670.121492999999</v>
      </c>
      <c r="O3070" s="703">
        <v>4211.87</v>
      </c>
      <c r="P3070" s="342">
        <v>1</v>
      </c>
      <c r="Q3070" s="363">
        <v>19.5547</v>
      </c>
      <c r="R3070" s="340">
        <v>82361.854288999995</v>
      </c>
      <c r="S3070" s="342">
        <v>122.044</v>
      </c>
      <c r="T3070" s="342">
        <v>124.571</v>
      </c>
      <c r="U3070" s="342">
        <v>1.0206999999999999</v>
      </c>
      <c r="V3070" s="340">
        <v>84066.744672782297</v>
      </c>
      <c r="W3070" s="340">
        <v>-35396.623179782298</v>
      </c>
    </row>
    <row r="3071" spans="2:23" ht="24" customHeight="1">
      <c r="J3071" s="345"/>
      <c r="K3071" s="703"/>
      <c r="L3071" s="342"/>
      <c r="M3071" s="342"/>
      <c r="N3071" s="340"/>
      <c r="O3071" s="703"/>
      <c r="P3071" s="342"/>
      <c r="Q3071" s="363"/>
      <c r="R3071" s="340"/>
      <c r="S3071" s="342"/>
      <c r="T3071" s="342"/>
      <c r="U3071" s="342"/>
      <c r="V3071" s="340"/>
      <c r="W3071" s="340"/>
    </row>
    <row r="3072" spans="2:23" ht="24" customHeight="1">
      <c r="B3072" s="67"/>
      <c r="E3072" s="131" t="s">
        <v>1198</v>
      </c>
      <c r="F3072" s="131"/>
      <c r="G3072" s="131"/>
      <c r="H3072" s="131"/>
      <c r="I3072" s="131"/>
      <c r="J3072" s="704">
        <v>362</v>
      </c>
      <c r="K3072" s="705">
        <v>2430.9899999999998</v>
      </c>
      <c r="L3072" s="369">
        <v>1</v>
      </c>
      <c r="M3072" s="377">
        <v>20.020700000000001</v>
      </c>
      <c r="N3072" s="706">
        <v>48670.121492999999</v>
      </c>
      <c r="O3072" s="705">
        <v>4211.87</v>
      </c>
      <c r="P3072" s="369">
        <v>1</v>
      </c>
      <c r="Q3072" s="377">
        <v>19.5547</v>
      </c>
      <c r="R3072" s="706">
        <v>82361.854288999995</v>
      </c>
      <c r="S3072" s="369">
        <v>122.044</v>
      </c>
      <c r="T3072" s="369">
        <v>124.571</v>
      </c>
      <c r="U3072" s="369">
        <v>1.0206999999999999</v>
      </c>
      <c r="V3072" s="706">
        <v>84066.744672782297</v>
      </c>
      <c r="W3072" s="706">
        <v>-35396.623179782298</v>
      </c>
    </row>
    <row r="3073" spans="2:23" ht="24" customHeight="1">
      <c r="J3073" s="345"/>
      <c r="K3073" s="703"/>
      <c r="L3073" s="342"/>
      <c r="M3073" s="342"/>
      <c r="N3073" s="340"/>
      <c r="O3073" s="703"/>
      <c r="P3073" s="342"/>
      <c r="Q3073" s="363"/>
      <c r="R3073" s="340"/>
      <c r="S3073" s="342"/>
      <c r="T3073" s="342"/>
      <c r="U3073" s="342"/>
      <c r="V3073" s="340"/>
      <c r="W3073" s="340"/>
    </row>
    <row r="3074" spans="2:23" ht="24" customHeight="1">
      <c r="B3074" s="67"/>
      <c r="E3074" s="1" t="s">
        <v>1009</v>
      </c>
      <c r="J3074" s="345"/>
      <c r="K3074" s="703"/>
      <c r="L3074" s="342"/>
      <c r="M3074" s="342"/>
      <c r="N3074" s="340"/>
      <c r="O3074" s="703"/>
      <c r="P3074" s="342"/>
      <c r="Q3074" s="363"/>
      <c r="R3074" s="340"/>
      <c r="S3074" s="342"/>
      <c r="T3074" s="342"/>
      <c r="U3074" s="342"/>
      <c r="V3074" s="340"/>
      <c r="W3074" s="340"/>
    </row>
    <row r="3075" spans="2:23" ht="24" customHeight="1">
      <c r="B3075" s="67"/>
      <c r="F3075" s="346">
        <v>44854</v>
      </c>
      <c r="G3075" s="346"/>
      <c r="H3075" s="346"/>
      <c r="I3075" s="346"/>
      <c r="J3075" s="345"/>
      <c r="K3075" s="703"/>
      <c r="L3075" s="342"/>
      <c r="M3075" s="342"/>
      <c r="N3075" s="340"/>
      <c r="O3075" s="703"/>
      <c r="P3075" s="342"/>
      <c r="Q3075" s="363"/>
      <c r="R3075" s="340"/>
      <c r="S3075" s="342"/>
      <c r="T3075" s="342"/>
      <c r="U3075" s="342"/>
      <c r="V3075" s="340"/>
      <c r="W3075" s="340"/>
    </row>
    <row r="3076" spans="2:23" ht="24" customHeight="1">
      <c r="B3076" s="67"/>
      <c r="G3076" s="3" t="s">
        <v>59</v>
      </c>
      <c r="H3076" s="3"/>
      <c r="I3076" s="3"/>
      <c r="J3076" s="345"/>
      <c r="K3076" s="703"/>
      <c r="L3076" s="342"/>
      <c r="M3076" s="342"/>
      <c r="N3076" s="340"/>
      <c r="O3076" s="703"/>
      <c r="P3076" s="342"/>
      <c r="Q3076" s="363"/>
      <c r="R3076" s="340"/>
      <c r="S3076" s="342"/>
      <c r="T3076" s="342"/>
      <c r="U3076" s="342"/>
      <c r="V3076" s="340"/>
      <c r="W3076" s="340"/>
    </row>
    <row r="3077" spans="2:23" ht="24" customHeight="1">
      <c r="B3077" s="67"/>
      <c r="H3077" s="347">
        <v>44720</v>
      </c>
      <c r="I3077" s="347"/>
      <c r="J3077" s="345"/>
      <c r="K3077" s="703"/>
      <c r="L3077" s="342"/>
      <c r="M3077" s="342"/>
      <c r="N3077" s="340"/>
      <c r="O3077" s="703"/>
      <c r="P3077" s="342"/>
      <c r="Q3077" s="363"/>
      <c r="R3077" s="340"/>
      <c r="S3077" s="342"/>
      <c r="T3077" s="342"/>
      <c r="U3077" s="342"/>
      <c r="V3077" s="340"/>
      <c r="W3077" s="340"/>
    </row>
    <row r="3078" spans="2:23" ht="24" customHeight="1">
      <c r="B3078" s="67"/>
      <c r="I3078" s="3" t="s">
        <v>59</v>
      </c>
      <c r="J3078" s="345">
        <v>1</v>
      </c>
      <c r="K3078" s="703">
        <v>360.56</v>
      </c>
      <c r="L3078" s="342">
        <v>1</v>
      </c>
      <c r="M3078" s="342">
        <v>20.020700000000001</v>
      </c>
      <c r="N3078" s="340">
        <v>7218.6635920000008</v>
      </c>
      <c r="O3078" s="703">
        <v>315.20999999999998</v>
      </c>
      <c r="P3078" s="342">
        <v>1</v>
      </c>
      <c r="Q3078" s="363">
        <v>19.5547</v>
      </c>
      <c r="R3078" s="340">
        <v>6163.8369869999997</v>
      </c>
      <c r="S3078" s="342">
        <v>122.044</v>
      </c>
      <c r="T3078" s="342">
        <v>124.571</v>
      </c>
      <c r="U3078" s="342">
        <v>1.0206999999999999</v>
      </c>
      <c r="V3078" s="340">
        <v>6291.4284126308994</v>
      </c>
      <c r="W3078" s="340">
        <v>927.23517936910139</v>
      </c>
    </row>
    <row r="3079" spans="2:23" ht="24" customHeight="1">
      <c r="J3079" s="345"/>
      <c r="K3079" s="703"/>
      <c r="L3079" s="342"/>
      <c r="M3079" s="342"/>
      <c r="N3079" s="340"/>
      <c r="O3079" s="703"/>
      <c r="P3079" s="342"/>
      <c r="Q3079" s="363"/>
      <c r="R3079" s="340"/>
      <c r="S3079" s="342"/>
      <c r="T3079" s="342"/>
      <c r="U3079" s="342"/>
      <c r="V3079" s="340"/>
      <c r="W3079" s="340"/>
    </row>
    <row r="3080" spans="2:23" ht="24" customHeight="1">
      <c r="B3080" s="67"/>
      <c r="H3080" s="347">
        <v>44791</v>
      </c>
      <c r="I3080" s="347"/>
      <c r="J3080" s="345"/>
      <c r="K3080" s="703"/>
      <c r="L3080" s="342"/>
      <c r="M3080" s="342"/>
      <c r="N3080" s="340"/>
      <c r="O3080" s="703"/>
      <c r="P3080" s="342"/>
      <c r="Q3080" s="363"/>
      <c r="R3080" s="340"/>
      <c r="S3080" s="342"/>
      <c r="T3080" s="342"/>
      <c r="U3080" s="342"/>
      <c r="V3080" s="340"/>
      <c r="W3080" s="340"/>
    </row>
    <row r="3081" spans="2:23" ht="24" customHeight="1">
      <c r="B3081" s="67"/>
      <c r="I3081" s="3" t="s">
        <v>59</v>
      </c>
      <c r="J3081" s="345">
        <v>15</v>
      </c>
      <c r="K3081" s="703">
        <v>5408.35</v>
      </c>
      <c r="L3081" s="342">
        <v>1</v>
      </c>
      <c r="M3081" s="342">
        <v>20.020700000000001</v>
      </c>
      <c r="N3081" s="340">
        <v>108278.95284500002</v>
      </c>
      <c r="O3081" s="703">
        <v>5520.15</v>
      </c>
      <c r="P3081" s="342">
        <v>1</v>
      </c>
      <c r="Q3081" s="363">
        <v>19.930299999999999</v>
      </c>
      <c r="R3081" s="340">
        <v>110018.24554499998</v>
      </c>
      <c r="S3081" s="342">
        <v>123.803</v>
      </c>
      <c r="T3081" s="342">
        <v>124.571</v>
      </c>
      <c r="U3081" s="342">
        <v>1.0062</v>
      </c>
      <c r="V3081" s="340">
        <v>110700.35866737898</v>
      </c>
      <c r="W3081" s="340">
        <v>-2421.4058223789616</v>
      </c>
    </row>
    <row r="3082" spans="2:23" ht="24" customHeight="1">
      <c r="J3082" s="345"/>
      <c r="K3082" s="703"/>
      <c r="L3082" s="342"/>
      <c r="M3082" s="342"/>
      <c r="N3082" s="340"/>
      <c r="O3082" s="703"/>
      <c r="P3082" s="342"/>
      <c r="Q3082" s="363"/>
      <c r="R3082" s="340"/>
      <c r="S3082" s="342"/>
      <c r="T3082" s="342"/>
      <c r="U3082" s="342"/>
      <c r="V3082" s="340"/>
      <c r="W3082" s="340"/>
    </row>
    <row r="3083" spans="2:23" ht="24" customHeight="1">
      <c r="B3083" s="67"/>
      <c r="E3083" s="131" t="s">
        <v>1199</v>
      </c>
      <c r="F3083" s="131"/>
      <c r="G3083" s="131"/>
      <c r="H3083" s="131"/>
      <c r="I3083" s="131"/>
      <c r="J3083" s="704">
        <v>16</v>
      </c>
      <c r="K3083" s="705">
        <v>5768.9100000000008</v>
      </c>
      <c r="L3083" s="369">
        <v>1</v>
      </c>
      <c r="M3083" s="377">
        <v>20.020700000000001</v>
      </c>
      <c r="N3083" s="706">
        <v>115497.61643700002</v>
      </c>
      <c r="O3083" s="705">
        <v>5835.36</v>
      </c>
      <c r="P3083" s="369">
        <v>1</v>
      </c>
      <c r="Q3083" s="377">
        <v>19.7425</v>
      </c>
      <c r="R3083" s="706">
        <v>116182.08253199999</v>
      </c>
      <c r="S3083" s="369">
        <v>122.92349999999999</v>
      </c>
      <c r="T3083" s="369">
        <v>124.571</v>
      </c>
      <c r="U3083" s="369">
        <v>1.01345</v>
      </c>
      <c r="V3083" s="706">
        <v>116991.78708000988</v>
      </c>
      <c r="W3083" s="706">
        <v>-1494.1706430098602</v>
      </c>
    </row>
    <row r="3084" spans="2:23" ht="24" customHeight="1">
      <c r="J3084" s="345"/>
      <c r="K3084" s="703"/>
      <c r="L3084" s="342"/>
      <c r="M3084" s="342"/>
      <c r="N3084" s="340"/>
      <c r="O3084" s="703"/>
      <c r="P3084" s="342"/>
      <c r="Q3084" s="363"/>
      <c r="R3084" s="340"/>
      <c r="S3084" s="342"/>
      <c r="T3084" s="342"/>
      <c r="U3084" s="342"/>
      <c r="V3084" s="340"/>
      <c r="W3084" s="340"/>
    </row>
    <row r="3085" spans="2:23" ht="24" customHeight="1">
      <c r="B3085" s="67"/>
      <c r="E3085" s="1" t="s">
        <v>739</v>
      </c>
      <c r="J3085" s="345"/>
      <c r="K3085" s="703"/>
      <c r="L3085" s="342"/>
      <c r="M3085" s="342"/>
      <c r="N3085" s="340"/>
      <c r="O3085" s="703"/>
      <c r="P3085" s="342"/>
      <c r="Q3085" s="363"/>
      <c r="R3085" s="340"/>
      <c r="S3085" s="342"/>
      <c r="T3085" s="342"/>
      <c r="U3085" s="342"/>
      <c r="V3085" s="340"/>
      <c r="W3085" s="340"/>
    </row>
    <row r="3086" spans="2:23" ht="24" customHeight="1">
      <c r="B3086" s="67"/>
      <c r="F3086" s="346">
        <v>44785</v>
      </c>
      <c r="G3086" s="346"/>
      <c r="H3086" s="346"/>
      <c r="I3086" s="346"/>
      <c r="J3086" s="345"/>
      <c r="K3086" s="703"/>
      <c r="L3086" s="342"/>
      <c r="M3086" s="342"/>
      <c r="N3086" s="340"/>
      <c r="O3086" s="703"/>
      <c r="P3086" s="342"/>
      <c r="Q3086" s="363"/>
      <c r="R3086" s="340"/>
      <c r="S3086" s="342"/>
      <c r="T3086" s="342"/>
      <c r="U3086" s="342"/>
      <c r="V3086" s="340"/>
      <c r="W3086" s="340"/>
    </row>
    <row r="3087" spans="2:23" ht="24" customHeight="1">
      <c r="B3087" s="67"/>
      <c r="G3087" s="3" t="s">
        <v>59</v>
      </c>
      <c r="H3087" s="3"/>
      <c r="I3087" s="3"/>
      <c r="J3087" s="345"/>
      <c r="K3087" s="703"/>
      <c r="L3087" s="342"/>
      <c r="M3087" s="342"/>
      <c r="N3087" s="340"/>
      <c r="O3087" s="703"/>
      <c r="P3087" s="342"/>
      <c r="Q3087" s="363"/>
      <c r="R3087" s="340"/>
      <c r="S3087" s="342"/>
      <c r="T3087" s="342"/>
      <c r="U3087" s="342"/>
      <c r="V3087" s="340"/>
      <c r="W3087" s="340"/>
    </row>
    <row r="3088" spans="2:23" ht="24" customHeight="1">
      <c r="B3088" s="67"/>
      <c r="H3088" s="347">
        <v>44469</v>
      </c>
      <c r="I3088" s="347"/>
      <c r="J3088" s="345"/>
      <c r="K3088" s="703"/>
      <c r="L3088" s="342"/>
      <c r="M3088" s="342"/>
      <c r="N3088" s="340"/>
      <c r="O3088" s="703"/>
      <c r="P3088" s="342"/>
      <c r="Q3088" s="363"/>
      <c r="R3088" s="340"/>
      <c r="S3088" s="342"/>
      <c r="T3088" s="342"/>
      <c r="U3088" s="342"/>
      <c r="V3088" s="340"/>
      <c r="W3088" s="340"/>
    </row>
    <row r="3089" spans="2:23" ht="24" customHeight="1">
      <c r="B3089" s="67"/>
      <c r="I3089" s="3" t="s">
        <v>59</v>
      </c>
      <c r="J3089" s="345">
        <v>427</v>
      </c>
      <c r="K3089" s="703">
        <v>40191.730000000003</v>
      </c>
      <c r="L3089" s="342">
        <v>1</v>
      </c>
      <c r="M3089" s="342">
        <v>19.956199999999999</v>
      </c>
      <c r="N3089" s="340">
        <v>802074.20222600002</v>
      </c>
      <c r="O3089" s="703">
        <v>54195.74</v>
      </c>
      <c r="P3089" s="342">
        <v>1</v>
      </c>
      <c r="Q3089" s="363">
        <v>20.306000000000001</v>
      </c>
      <c r="R3089" s="340">
        <v>1100498.6964400001</v>
      </c>
      <c r="S3089" s="342">
        <v>114.601</v>
      </c>
      <c r="T3089" s="342">
        <v>122.94799999999999</v>
      </c>
      <c r="U3089" s="342">
        <v>1.0728</v>
      </c>
      <c r="V3089" s="340">
        <v>1180615.001540832</v>
      </c>
      <c r="W3089" s="340">
        <v>-378540.79931483197</v>
      </c>
    </row>
    <row r="3090" spans="2:23" ht="24" customHeight="1">
      <c r="J3090" s="345"/>
      <c r="K3090" s="703"/>
      <c r="L3090" s="342"/>
      <c r="M3090" s="342"/>
      <c r="N3090" s="340"/>
      <c r="O3090" s="703"/>
      <c r="P3090" s="342"/>
      <c r="Q3090" s="363"/>
      <c r="R3090" s="340"/>
      <c r="S3090" s="342"/>
      <c r="T3090" s="342"/>
      <c r="U3090" s="342"/>
      <c r="V3090" s="340"/>
      <c r="W3090" s="340"/>
    </row>
    <row r="3091" spans="2:23" ht="24" customHeight="1">
      <c r="B3091" s="67"/>
      <c r="H3091" s="347">
        <v>44722</v>
      </c>
      <c r="I3091" s="347"/>
      <c r="J3091" s="345"/>
      <c r="K3091" s="703"/>
      <c r="L3091" s="342"/>
      <c r="M3091" s="342"/>
      <c r="N3091" s="340"/>
      <c r="O3091" s="703"/>
      <c r="P3091" s="342"/>
      <c r="Q3091" s="363"/>
      <c r="R3091" s="340"/>
      <c r="S3091" s="342"/>
      <c r="T3091" s="342"/>
      <c r="U3091" s="342"/>
      <c r="V3091" s="340"/>
      <c r="W3091" s="340"/>
    </row>
    <row r="3092" spans="2:23" ht="24" customHeight="1">
      <c r="B3092" s="67"/>
      <c r="I3092" s="3" t="s">
        <v>59</v>
      </c>
      <c r="J3092" s="345">
        <v>182</v>
      </c>
      <c r="K3092" s="703">
        <v>17130.91</v>
      </c>
      <c r="L3092" s="342">
        <v>1</v>
      </c>
      <c r="M3092" s="342">
        <v>19.956199999999999</v>
      </c>
      <c r="N3092" s="340">
        <v>341867.86614199996</v>
      </c>
      <c r="O3092" s="703">
        <v>16931.46</v>
      </c>
      <c r="P3092" s="342">
        <v>1</v>
      </c>
      <c r="Q3092" s="363">
        <v>19.59</v>
      </c>
      <c r="R3092" s="340">
        <v>331687.3014</v>
      </c>
      <c r="S3092" s="342">
        <v>122.044</v>
      </c>
      <c r="T3092" s="342">
        <v>122.94799999999999</v>
      </c>
      <c r="U3092" s="342">
        <v>1.0074000000000001</v>
      </c>
      <c r="V3092" s="340">
        <v>334141.78743036004</v>
      </c>
      <c r="W3092" s="340">
        <v>7726.0787116399151</v>
      </c>
    </row>
    <row r="3093" spans="2:23" ht="24" customHeight="1">
      <c r="J3093" s="345"/>
      <c r="K3093" s="703"/>
      <c r="L3093" s="342"/>
      <c r="M3093" s="342"/>
      <c r="N3093" s="340"/>
      <c r="O3093" s="703"/>
      <c r="P3093" s="342"/>
      <c r="Q3093" s="363"/>
      <c r="R3093" s="340"/>
      <c r="S3093" s="342"/>
      <c r="T3093" s="342"/>
      <c r="U3093" s="342"/>
      <c r="V3093" s="340"/>
      <c r="W3093" s="340"/>
    </row>
    <row r="3094" spans="2:23" ht="24" customHeight="1">
      <c r="B3094" s="67"/>
      <c r="H3094" s="347">
        <v>44725</v>
      </c>
      <c r="I3094" s="347"/>
      <c r="J3094" s="345"/>
      <c r="K3094" s="703"/>
      <c r="L3094" s="342"/>
      <c r="M3094" s="342"/>
      <c r="N3094" s="340"/>
      <c r="O3094" s="703"/>
      <c r="P3094" s="342"/>
      <c r="Q3094" s="363"/>
      <c r="R3094" s="340"/>
      <c r="S3094" s="342"/>
      <c r="T3094" s="342"/>
      <c r="U3094" s="342"/>
      <c r="V3094" s="340"/>
      <c r="W3094" s="340"/>
    </row>
    <row r="3095" spans="2:23" ht="24" customHeight="1">
      <c r="B3095" s="67"/>
      <c r="I3095" s="3" t="s">
        <v>59</v>
      </c>
      <c r="J3095" s="345">
        <v>124</v>
      </c>
      <c r="K3095" s="703">
        <v>11671.6</v>
      </c>
      <c r="L3095" s="342">
        <v>1</v>
      </c>
      <c r="M3095" s="342">
        <v>19.956199999999999</v>
      </c>
      <c r="N3095" s="340">
        <v>232920.78391999999</v>
      </c>
      <c r="O3095" s="703">
        <v>11275.94</v>
      </c>
      <c r="P3095" s="342">
        <v>1</v>
      </c>
      <c r="Q3095" s="363">
        <v>19.6128</v>
      </c>
      <c r="R3095" s="340">
        <v>221152.756032</v>
      </c>
      <c r="S3095" s="342">
        <v>122.044</v>
      </c>
      <c r="T3095" s="342">
        <v>122.94799999999999</v>
      </c>
      <c r="U3095" s="342">
        <v>1.0074000000000001</v>
      </c>
      <c r="V3095" s="340">
        <v>222789.28642663683</v>
      </c>
      <c r="W3095" s="340">
        <v>10131.49749336316</v>
      </c>
    </row>
    <row r="3096" spans="2:23" ht="24" customHeight="1">
      <c r="J3096" s="345"/>
      <c r="K3096" s="703"/>
      <c r="L3096" s="342"/>
      <c r="M3096" s="342"/>
      <c r="N3096" s="340"/>
      <c r="O3096" s="703"/>
      <c r="P3096" s="342"/>
      <c r="Q3096" s="363"/>
      <c r="R3096" s="340"/>
      <c r="S3096" s="342"/>
      <c r="T3096" s="342"/>
      <c r="U3096" s="342"/>
      <c r="V3096" s="340"/>
      <c r="W3096" s="340"/>
    </row>
    <row r="3097" spans="2:23" ht="24" customHeight="1">
      <c r="B3097" s="67"/>
      <c r="H3097" s="347">
        <v>44538</v>
      </c>
      <c r="I3097" s="347"/>
      <c r="J3097" s="345"/>
      <c r="K3097" s="703"/>
      <c r="L3097" s="342"/>
      <c r="M3097" s="342"/>
      <c r="N3097" s="340"/>
      <c r="O3097" s="703"/>
      <c r="P3097" s="342"/>
      <c r="Q3097" s="363"/>
      <c r="R3097" s="340"/>
      <c r="S3097" s="342"/>
      <c r="T3097" s="342"/>
      <c r="U3097" s="342"/>
      <c r="V3097" s="340"/>
      <c r="W3097" s="340"/>
    </row>
    <row r="3098" spans="2:23" ht="24" customHeight="1">
      <c r="B3098" s="67"/>
      <c r="I3098" s="3" t="s">
        <v>59</v>
      </c>
      <c r="J3098" s="345">
        <v>101</v>
      </c>
      <c r="K3098" s="703">
        <v>9506.7099999999991</v>
      </c>
      <c r="L3098" s="342">
        <v>1</v>
      </c>
      <c r="M3098" s="342">
        <v>19.956199999999999</v>
      </c>
      <c r="N3098" s="340">
        <v>189717.80610199997</v>
      </c>
      <c r="O3098" s="703">
        <v>11358.26</v>
      </c>
      <c r="P3098" s="342">
        <v>1</v>
      </c>
      <c r="Q3098" s="363">
        <v>21.204699999999999</v>
      </c>
      <c r="R3098" s="340">
        <v>240848.495822</v>
      </c>
      <c r="S3098" s="342">
        <v>117.30800000000001</v>
      </c>
      <c r="T3098" s="342">
        <v>122.94799999999999</v>
      </c>
      <c r="U3098" s="342">
        <v>1.048</v>
      </c>
      <c r="V3098" s="340">
        <v>252409.22362145601</v>
      </c>
      <c r="W3098" s="340">
        <v>-62691.417519456038</v>
      </c>
    </row>
    <row r="3099" spans="2:23" ht="24" customHeight="1">
      <c r="J3099" s="345"/>
      <c r="K3099" s="703"/>
      <c r="L3099" s="342"/>
      <c r="M3099" s="342"/>
      <c r="N3099" s="340"/>
      <c r="O3099" s="703"/>
      <c r="P3099" s="342"/>
      <c r="Q3099" s="363"/>
      <c r="R3099" s="340"/>
      <c r="S3099" s="342"/>
      <c r="T3099" s="342"/>
      <c r="U3099" s="342"/>
      <c r="V3099" s="340"/>
      <c r="W3099" s="340"/>
    </row>
    <row r="3100" spans="2:23" ht="24" customHeight="1">
      <c r="B3100" s="67"/>
      <c r="E3100" s="131" t="s">
        <v>1200</v>
      </c>
      <c r="F3100" s="131"/>
      <c r="G3100" s="131"/>
      <c r="H3100" s="131"/>
      <c r="I3100" s="131"/>
      <c r="J3100" s="704">
        <v>834</v>
      </c>
      <c r="K3100" s="705">
        <v>78500.950000000012</v>
      </c>
      <c r="L3100" s="369">
        <v>1</v>
      </c>
      <c r="M3100" s="377">
        <v>19.956199999999999</v>
      </c>
      <c r="N3100" s="706">
        <v>1566580.65839</v>
      </c>
      <c r="O3100" s="705">
        <v>93761.4</v>
      </c>
      <c r="P3100" s="369">
        <v>1</v>
      </c>
      <c r="Q3100" s="377">
        <v>20.178374999999999</v>
      </c>
      <c r="R3100" s="706">
        <v>1894187.2496940002</v>
      </c>
      <c r="S3100" s="369">
        <v>118.99924999999999</v>
      </c>
      <c r="T3100" s="369">
        <v>122.94799999999999</v>
      </c>
      <c r="U3100" s="369">
        <v>1.0339</v>
      </c>
      <c r="V3100" s="706">
        <v>1989955.2990192848</v>
      </c>
      <c r="W3100" s="706">
        <v>-423374.6406292849</v>
      </c>
    </row>
    <row r="3101" spans="2:23" ht="24" customHeight="1">
      <c r="J3101" s="345"/>
      <c r="K3101" s="703"/>
      <c r="L3101" s="342"/>
      <c r="M3101" s="342"/>
      <c r="N3101" s="340"/>
      <c r="O3101" s="703"/>
      <c r="P3101" s="342"/>
      <c r="Q3101" s="363"/>
      <c r="R3101" s="340"/>
      <c r="S3101" s="342"/>
      <c r="T3101" s="342"/>
      <c r="U3101" s="342"/>
      <c r="V3101" s="340"/>
      <c r="W3101" s="340"/>
    </row>
    <row r="3102" spans="2:23" ht="24" customHeight="1">
      <c r="B3102" s="67"/>
      <c r="E3102" s="1" t="s">
        <v>875</v>
      </c>
      <c r="J3102" s="345"/>
      <c r="K3102" s="703"/>
      <c r="L3102" s="342"/>
      <c r="M3102" s="342"/>
      <c r="N3102" s="340"/>
      <c r="O3102" s="703"/>
      <c r="P3102" s="342"/>
      <c r="Q3102" s="363"/>
      <c r="R3102" s="340"/>
      <c r="S3102" s="342"/>
      <c r="T3102" s="342"/>
      <c r="U3102" s="342"/>
      <c r="V3102" s="340"/>
      <c r="W3102" s="340"/>
    </row>
    <row r="3103" spans="2:23" ht="24" customHeight="1">
      <c r="B3103" s="67"/>
      <c r="F3103" s="346">
        <v>44606</v>
      </c>
      <c r="G3103" s="346"/>
      <c r="H3103" s="346"/>
      <c r="I3103" s="346"/>
      <c r="J3103" s="345"/>
      <c r="K3103" s="703"/>
      <c r="L3103" s="342"/>
      <c r="M3103" s="342"/>
      <c r="N3103" s="340"/>
      <c r="O3103" s="703"/>
      <c r="P3103" s="342"/>
      <c r="Q3103" s="363"/>
      <c r="R3103" s="340"/>
      <c r="S3103" s="342"/>
      <c r="T3103" s="342"/>
      <c r="U3103" s="342"/>
      <c r="V3103" s="340"/>
      <c r="W3103" s="340"/>
    </row>
    <row r="3104" spans="2:23" ht="24" customHeight="1">
      <c r="B3104" s="67"/>
      <c r="G3104" s="3" t="s">
        <v>59</v>
      </c>
      <c r="H3104" s="3"/>
      <c r="I3104" s="3"/>
      <c r="J3104" s="345"/>
      <c r="K3104" s="703"/>
      <c r="L3104" s="342"/>
      <c r="M3104" s="342"/>
      <c r="N3104" s="340"/>
      <c r="O3104" s="703"/>
      <c r="P3104" s="342"/>
      <c r="Q3104" s="363"/>
      <c r="R3104" s="340"/>
      <c r="S3104" s="342"/>
      <c r="T3104" s="342"/>
      <c r="U3104" s="342"/>
      <c r="V3104" s="340"/>
      <c r="W3104" s="340"/>
    </row>
    <row r="3105" spans="2:23" ht="24" customHeight="1">
      <c r="B3105" s="67"/>
      <c r="H3105" s="347">
        <v>43497</v>
      </c>
      <c r="I3105" s="347"/>
      <c r="J3105" s="345"/>
      <c r="K3105" s="703"/>
      <c r="L3105" s="342"/>
      <c r="M3105" s="342"/>
      <c r="N3105" s="340"/>
      <c r="O3105" s="703"/>
      <c r="P3105" s="342"/>
      <c r="Q3105" s="363"/>
      <c r="R3105" s="340"/>
      <c r="S3105" s="342"/>
      <c r="T3105" s="342"/>
      <c r="U3105" s="342"/>
      <c r="V3105" s="340"/>
      <c r="W3105" s="340"/>
    </row>
    <row r="3106" spans="2:23" ht="24" customHeight="1">
      <c r="B3106" s="67"/>
      <c r="I3106" s="3" t="s">
        <v>59</v>
      </c>
      <c r="J3106" s="345">
        <v>138</v>
      </c>
      <c r="K3106" s="703">
        <v>30081.54</v>
      </c>
      <c r="L3106" s="342">
        <v>1</v>
      </c>
      <c r="M3106" s="342">
        <v>20.4148</v>
      </c>
      <c r="N3106" s="340">
        <v>614108.62279199995</v>
      </c>
      <c r="O3106" s="703">
        <v>22978.75</v>
      </c>
      <c r="P3106" s="342">
        <v>1</v>
      </c>
      <c r="Q3106" s="363">
        <v>19.162299999999998</v>
      </c>
      <c r="R3106" s="340">
        <v>440325.70112499996</v>
      </c>
      <c r="S3106" s="342">
        <v>103.07899999999999</v>
      </c>
      <c r="T3106" s="342">
        <v>118.002</v>
      </c>
      <c r="U3106" s="342">
        <v>1.1447000000000001</v>
      </c>
      <c r="V3106" s="340">
        <v>504040.83007778745</v>
      </c>
      <c r="W3106" s="340">
        <v>110067.7927142125</v>
      </c>
    </row>
    <row r="3107" spans="2:23" ht="24" customHeight="1">
      <c r="J3107" s="345"/>
      <c r="K3107" s="703"/>
      <c r="L3107" s="342"/>
      <c r="M3107" s="342"/>
      <c r="N3107" s="340"/>
      <c r="O3107" s="703"/>
      <c r="P3107" s="342"/>
      <c r="Q3107" s="363"/>
      <c r="R3107" s="340"/>
      <c r="S3107" s="342"/>
      <c r="T3107" s="342"/>
      <c r="U3107" s="342"/>
      <c r="V3107" s="340"/>
      <c r="W3107" s="340"/>
    </row>
    <row r="3108" spans="2:23" ht="24" customHeight="1">
      <c r="B3108" s="67"/>
      <c r="H3108" s="347">
        <v>43606</v>
      </c>
      <c r="I3108" s="347"/>
      <c r="J3108" s="345"/>
      <c r="K3108" s="703"/>
      <c r="L3108" s="342"/>
      <c r="M3108" s="342"/>
      <c r="N3108" s="340"/>
      <c r="O3108" s="703"/>
      <c r="P3108" s="342"/>
      <c r="Q3108" s="363"/>
      <c r="R3108" s="340"/>
      <c r="S3108" s="342"/>
      <c r="T3108" s="342"/>
      <c r="U3108" s="342"/>
      <c r="V3108" s="340"/>
      <c r="W3108" s="340"/>
    </row>
    <row r="3109" spans="2:23" ht="24" customHeight="1">
      <c r="B3109" s="67"/>
      <c r="I3109" s="3" t="s">
        <v>59</v>
      </c>
      <c r="J3109" s="345">
        <v>167</v>
      </c>
      <c r="K3109" s="703">
        <v>36403.03</v>
      </c>
      <c r="L3109" s="342">
        <v>1</v>
      </c>
      <c r="M3109" s="342">
        <v>20.4148</v>
      </c>
      <c r="N3109" s="340">
        <v>743160.57684399991</v>
      </c>
      <c r="O3109" s="703">
        <v>30839.54</v>
      </c>
      <c r="P3109" s="342">
        <v>1</v>
      </c>
      <c r="Q3109" s="363">
        <v>19.145399999999999</v>
      </c>
      <c r="R3109" s="340">
        <v>590435.32911599998</v>
      </c>
      <c r="S3109" s="342">
        <v>103.233</v>
      </c>
      <c r="T3109" s="342">
        <v>118.002</v>
      </c>
      <c r="U3109" s="342">
        <v>1.143</v>
      </c>
      <c r="V3109" s="340">
        <v>674867.58117958799</v>
      </c>
      <c r="W3109" s="340">
        <v>68292.995664411923</v>
      </c>
    </row>
    <row r="3110" spans="2:23" ht="24" customHeight="1">
      <c r="J3110" s="345"/>
      <c r="K3110" s="703"/>
      <c r="L3110" s="342"/>
      <c r="M3110" s="342"/>
      <c r="N3110" s="340"/>
      <c r="O3110" s="703"/>
      <c r="P3110" s="342"/>
      <c r="Q3110" s="363"/>
      <c r="R3110" s="340"/>
      <c r="S3110" s="342"/>
      <c r="T3110" s="342"/>
      <c r="U3110" s="342"/>
      <c r="V3110" s="340"/>
      <c r="W3110" s="340"/>
    </row>
    <row r="3111" spans="2:23" ht="24" customHeight="1">
      <c r="B3111" s="67"/>
      <c r="H3111" s="347">
        <v>43887</v>
      </c>
      <c r="I3111" s="347"/>
      <c r="J3111" s="345"/>
      <c r="K3111" s="703"/>
      <c r="L3111" s="342"/>
      <c r="M3111" s="342"/>
      <c r="N3111" s="340"/>
      <c r="O3111" s="703"/>
      <c r="P3111" s="342"/>
      <c r="Q3111" s="363"/>
      <c r="R3111" s="340"/>
      <c r="S3111" s="342"/>
      <c r="T3111" s="342"/>
      <c r="U3111" s="342"/>
      <c r="V3111" s="340"/>
      <c r="W3111" s="340"/>
    </row>
    <row r="3112" spans="2:23" ht="24" customHeight="1">
      <c r="B3112" s="67"/>
      <c r="I3112" s="3" t="s">
        <v>59</v>
      </c>
      <c r="J3112" s="345">
        <v>55</v>
      </c>
      <c r="K3112" s="703">
        <v>11989.02</v>
      </c>
      <c r="L3112" s="342">
        <v>1</v>
      </c>
      <c r="M3112" s="342">
        <v>20.4148</v>
      </c>
      <c r="N3112" s="340">
        <v>244753.445496</v>
      </c>
      <c r="O3112" s="703">
        <v>11038.85</v>
      </c>
      <c r="P3112" s="342">
        <v>1</v>
      </c>
      <c r="Q3112" s="363">
        <v>19.119700000000002</v>
      </c>
      <c r="R3112" s="340">
        <v>211059.50034500004</v>
      </c>
      <c r="S3112" s="342">
        <v>106.889</v>
      </c>
      <c r="T3112" s="342">
        <v>118.002</v>
      </c>
      <c r="U3112" s="342">
        <v>1.1039000000000001</v>
      </c>
      <c r="V3112" s="340">
        <v>232988.58243084556</v>
      </c>
      <c r="W3112" s="340">
        <v>11764.863065154408</v>
      </c>
    </row>
    <row r="3113" spans="2:23" ht="24" customHeight="1">
      <c r="J3113" s="345"/>
      <c r="K3113" s="703"/>
      <c r="L3113" s="342"/>
      <c r="M3113" s="342"/>
      <c r="N3113" s="340"/>
      <c r="O3113" s="703"/>
      <c r="P3113" s="342"/>
      <c r="Q3113" s="363"/>
      <c r="R3113" s="340"/>
      <c r="S3113" s="342"/>
      <c r="T3113" s="342"/>
      <c r="U3113" s="342"/>
      <c r="V3113" s="340"/>
      <c r="W3113" s="340"/>
    </row>
    <row r="3114" spans="2:23" ht="24" customHeight="1">
      <c r="B3114" s="67"/>
      <c r="F3114" s="346">
        <v>44733</v>
      </c>
      <c r="G3114" s="346"/>
      <c r="H3114" s="346"/>
      <c r="I3114" s="346"/>
      <c r="J3114" s="345"/>
      <c r="K3114" s="703"/>
      <c r="L3114" s="342"/>
      <c r="M3114" s="342"/>
      <c r="N3114" s="340"/>
      <c r="O3114" s="703"/>
      <c r="P3114" s="342"/>
      <c r="Q3114" s="363"/>
      <c r="R3114" s="340"/>
      <c r="S3114" s="342"/>
      <c r="T3114" s="342"/>
      <c r="U3114" s="342"/>
      <c r="V3114" s="340"/>
      <c r="W3114" s="340"/>
    </row>
    <row r="3115" spans="2:23" ht="24" customHeight="1">
      <c r="B3115" s="67"/>
      <c r="G3115" s="3" t="s">
        <v>59</v>
      </c>
      <c r="H3115" s="3"/>
      <c r="I3115" s="3"/>
      <c r="J3115" s="345"/>
      <c r="K3115" s="703"/>
      <c r="L3115" s="342"/>
      <c r="M3115" s="342"/>
      <c r="N3115" s="340"/>
      <c r="O3115" s="703"/>
      <c r="P3115" s="342"/>
      <c r="Q3115" s="363"/>
      <c r="R3115" s="340"/>
      <c r="S3115" s="342"/>
      <c r="T3115" s="342"/>
      <c r="U3115" s="342"/>
      <c r="V3115" s="340"/>
      <c r="W3115" s="340"/>
    </row>
    <row r="3116" spans="2:23" ht="24" customHeight="1">
      <c r="B3116" s="67"/>
      <c r="H3116" s="347">
        <v>43887</v>
      </c>
      <c r="I3116" s="347"/>
      <c r="J3116" s="345"/>
      <c r="K3116" s="703"/>
      <c r="L3116" s="342"/>
      <c r="M3116" s="342"/>
      <c r="N3116" s="340"/>
      <c r="O3116" s="703"/>
      <c r="P3116" s="342"/>
      <c r="Q3116" s="363"/>
      <c r="R3116" s="340"/>
      <c r="S3116" s="342"/>
      <c r="T3116" s="342"/>
      <c r="U3116" s="342"/>
      <c r="V3116" s="340"/>
      <c r="W3116" s="340"/>
    </row>
    <row r="3117" spans="2:23" ht="24" customHeight="1">
      <c r="B3117" s="67"/>
      <c r="I3117" s="3" t="s">
        <v>59</v>
      </c>
      <c r="J3117" s="345">
        <v>117</v>
      </c>
      <c r="K3117" s="703">
        <v>18695.82</v>
      </c>
      <c r="L3117" s="342">
        <v>1</v>
      </c>
      <c r="M3117" s="342">
        <v>20.475999999999999</v>
      </c>
      <c r="N3117" s="340">
        <v>382815.61031999998</v>
      </c>
      <c r="O3117" s="703">
        <v>23482.63</v>
      </c>
      <c r="P3117" s="342">
        <v>1</v>
      </c>
      <c r="Q3117" s="363">
        <v>19.119700000000002</v>
      </c>
      <c r="R3117" s="340">
        <v>448980.84081100003</v>
      </c>
      <c r="S3117" s="342">
        <v>106.889</v>
      </c>
      <c r="T3117" s="342">
        <v>121.02200000000001</v>
      </c>
      <c r="U3117" s="342">
        <v>1.1322000000000001</v>
      </c>
      <c r="V3117" s="340">
        <v>508336.1079662143</v>
      </c>
      <c r="W3117" s="340">
        <v>-125520.49764621432</v>
      </c>
    </row>
    <row r="3118" spans="2:23" ht="24" customHeight="1">
      <c r="J3118" s="345"/>
      <c r="K3118" s="703"/>
      <c r="L3118" s="342"/>
      <c r="M3118" s="342"/>
      <c r="N3118" s="340"/>
      <c r="O3118" s="703"/>
      <c r="P3118" s="342"/>
      <c r="Q3118" s="363"/>
      <c r="R3118" s="340"/>
      <c r="S3118" s="342"/>
      <c r="T3118" s="342"/>
      <c r="U3118" s="342"/>
      <c r="V3118" s="340"/>
      <c r="W3118" s="340"/>
    </row>
    <row r="3119" spans="2:23" ht="24" customHeight="1">
      <c r="B3119" s="67"/>
      <c r="H3119" s="347">
        <v>43906</v>
      </c>
      <c r="I3119" s="347"/>
      <c r="J3119" s="345"/>
      <c r="K3119" s="703"/>
      <c r="L3119" s="342"/>
      <c r="M3119" s="342"/>
      <c r="N3119" s="340"/>
      <c r="O3119" s="703"/>
      <c r="P3119" s="342"/>
      <c r="Q3119" s="363"/>
      <c r="R3119" s="340"/>
      <c r="S3119" s="342"/>
      <c r="T3119" s="342"/>
      <c r="U3119" s="342"/>
      <c r="V3119" s="340"/>
      <c r="W3119" s="340"/>
    </row>
    <row r="3120" spans="2:23" ht="24" customHeight="1">
      <c r="B3120" s="67"/>
      <c r="I3120" s="3" t="s">
        <v>59</v>
      </c>
      <c r="J3120" s="345">
        <v>58</v>
      </c>
      <c r="K3120" s="703">
        <v>9268.01</v>
      </c>
      <c r="L3120" s="342">
        <v>1</v>
      </c>
      <c r="M3120" s="342">
        <v>20.475999999999999</v>
      </c>
      <c r="N3120" s="340">
        <v>189771.77275999999</v>
      </c>
      <c r="O3120" s="703">
        <v>8869.98</v>
      </c>
      <c r="P3120" s="342">
        <v>1</v>
      </c>
      <c r="Q3120" s="363">
        <v>22.151800000000001</v>
      </c>
      <c r="R3120" s="340">
        <v>196486.022964</v>
      </c>
      <c r="S3120" s="342">
        <v>106.83799999999999</v>
      </c>
      <c r="T3120" s="342">
        <v>121.02200000000001</v>
      </c>
      <c r="U3120" s="342">
        <v>1.1327</v>
      </c>
      <c r="V3120" s="340">
        <v>222559.71821132282</v>
      </c>
      <c r="W3120" s="340">
        <v>-32787.945451322827</v>
      </c>
    </row>
    <row r="3121" spans="2:23" ht="24" customHeight="1">
      <c r="J3121" s="345"/>
      <c r="K3121" s="703"/>
      <c r="L3121" s="342"/>
      <c r="M3121" s="342"/>
      <c r="N3121" s="340"/>
      <c r="O3121" s="703"/>
      <c r="P3121" s="342"/>
      <c r="Q3121" s="363"/>
      <c r="R3121" s="340"/>
      <c r="S3121" s="342"/>
      <c r="T3121" s="342"/>
      <c r="U3121" s="342"/>
      <c r="V3121" s="340"/>
      <c r="W3121" s="340"/>
    </row>
    <row r="3122" spans="2:23" ht="24" customHeight="1">
      <c r="B3122" s="67"/>
      <c r="H3122" s="347">
        <v>43907</v>
      </c>
      <c r="I3122" s="347"/>
      <c r="J3122" s="345"/>
      <c r="K3122" s="703"/>
      <c r="L3122" s="342"/>
      <c r="M3122" s="342"/>
      <c r="N3122" s="340"/>
      <c r="O3122" s="703"/>
      <c r="P3122" s="342"/>
      <c r="Q3122" s="363"/>
      <c r="R3122" s="340"/>
      <c r="S3122" s="342"/>
      <c r="T3122" s="342"/>
      <c r="U3122" s="342"/>
      <c r="V3122" s="340"/>
      <c r="W3122" s="340"/>
    </row>
    <row r="3123" spans="2:23" ht="24" customHeight="1">
      <c r="B3123" s="67"/>
      <c r="I3123" s="3" t="s">
        <v>59</v>
      </c>
      <c r="J3123" s="345">
        <v>26</v>
      </c>
      <c r="K3123" s="703">
        <v>4154.63</v>
      </c>
      <c r="L3123" s="342">
        <v>1</v>
      </c>
      <c r="M3123" s="342">
        <v>20.475999999999999</v>
      </c>
      <c r="N3123" s="340">
        <v>85070.203880000001</v>
      </c>
      <c r="O3123" s="703">
        <v>3855.71</v>
      </c>
      <c r="P3123" s="342">
        <v>1</v>
      </c>
      <c r="Q3123" s="363">
        <v>22.151800000000001</v>
      </c>
      <c r="R3123" s="340">
        <v>85410.916778000013</v>
      </c>
      <c r="S3123" s="342">
        <v>106.83799999999999</v>
      </c>
      <c r="T3123" s="342">
        <v>121.02200000000001</v>
      </c>
      <c r="U3123" s="342">
        <v>1.1327</v>
      </c>
      <c r="V3123" s="340">
        <v>96744.945434440626</v>
      </c>
      <c r="W3123" s="340">
        <v>-11674.741554440625</v>
      </c>
    </row>
    <row r="3124" spans="2:23" ht="24" customHeight="1">
      <c r="J3124" s="345"/>
      <c r="K3124" s="703"/>
      <c r="L3124" s="342"/>
      <c r="M3124" s="342"/>
      <c r="N3124" s="340"/>
      <c r="O3124" s="703"/>
      <c r="P3124" s="342"/>
      <c r="Q3124" s="363"/>
      <c r="R3124" s="340"/>
      <c r="S3124" s="342"/>
      <c r="T3124" s="342"/>
      <c r="U3124" s="342"/>
      <c r="V3124" s="340"/>
      <c r="W3124" s="340"/>
    </row>
    <row r="3125" spans="2:23" ht="24" customHeight="1">
      <c r="B3125" s="67"/>
      <c r="H3125" s="347">
        <v>43964</v>
      </c>
      <c r="I3125" s="347"/>
      <c r="J3125" s="345"/>
      <c r="K3125" s="703"/>
      <c r="L3125" s="342"/>
      <c r="M3125" s="342"/>
      <c r="N3125" s="340"/>
      <c r="O3125" s="703"/>
      <c r="P3125" s="342"/>
      <c r="Q3125" s="363"/>
      <c r="R3125" s="340"/>
      <c r="S3125" s="342"/>
      <c r="T3125" s="342"/>
      <c r="U3125" s="342"/>
      <c r="V3125" s="340"/>
      <c r="W3125" s="340"/>
    </row>
    <row r="3126" spans="2:23" ht="24" customHeight="1">
      <c r="B3126" s="67"/>
      <c r="I3126" s="3" t="s">
        <v>59</v>
      </c>
      <c r="J3126" s="345">
        <v>175</v>
      </c>
      <c r="K3126" s="703">
        <v>27963.84</v>
      </c>
      <c r="L3126" s="342">
        <v>1</v>
      </c>
      <c r="M3126" s="342">
        <v>20.475999999999999</v>
      </c>
      <c r="N3126" s="340">
        <v>572587.58783999993</v>
      </c>
      <c r="O3126" s="703">
        <v>35509.08</v>
      </c>
      <c r="P3126" s="342">
        <v>1</v>
      </c>
      <c r="Q3126" s="363">
        <v>23.869299999999999</v>
      </c>
      <c r="R3126" s="340">
        <v>847576.88324400003</v>
      </c>
      <c r="S3126" s="342">
        <v>106.16200000000001</v>
      </c>
      <c r="T3126" s="342">
        <v>121.02200000000001</v>
      </c>
      <c r="U3126" s="342">
        <v>1.1398999999999999</v>
      </c>
      <c r="V3126" s="340">
        <v>966152.88920983556</v>
      </c>
      <c r="W3126" s="340">
        <v>-393565.30136983562</v>
      </c>
    </row>
    <row r="3127" spans="2:23" ht="24" customHeight="1">
      <c r="J3127" s="345"/>
      <c r="K3127" s="703"/>
      <c r="L3127" s="342"/>
      <c r="M3127" s="342"/>
      <c r="N3127" s="340"/>
      <c r="O3127" s="703"/>
      <c r="P3127" s="342"/>
      <c r="Q3127" s="363"/>
      <c r="R3127" s="340"/>
      <c r="S3127" s="342"/>
      <c r="T3127" s="342"/>
      <c r="U3127" s="342"/>
      <c r="V3127" s="340"/>
      <c r="W3127" s="340"/>
    </row>
    <row r="3128" spans="2:23" ht="24" customHeight="1">
      <c r="B3128" s="67"/>
      <c r="H3128" s="347">
        <v>44221</v>
      </c>
      <c r="I3128" s="347"/>
      <c r="J3128" s="345"/>
      <c r="K3128" s="703"/>
      <c r="L3128" s="342"/>
      <c r="M3128" s="342"/>
      <c r="N3128" s="340"/>
      <c r="O3128" s="703"/>
      <c r="P3128" s="342"/>
      <c r="Q3128" s="363"/>
      <c r="R3128" s="340"/>
      <c r="S3128" s="342"/>
      <c r="T3128" s="342"/>
      <c r="U3128" s="342"/>
      <c r="V3128" s="340"/>
      <c r="W3128" s="340"/>
    </row>
    <row r="3129" spans="2:23" ht="24" customHeight="1">
      <c r="B3129" s="67"/>
      <c r="I3129" s="3" t="s">
        <v>59</v>
      </c>
      <c r="J3129" s="345">
        <v>164</v>
      </c>
      <c r="K3129" s="703">
        <v>26206.1</v>
      </c>
      <c r="L3129" s="342">
        <v>1</v>
      </c>
      <c r="M3129" s="342">
        <v>20.475999999999999</v>
      </c>
      <c r="N3129" s="340">
        <v>536596.10359999991</v>
      </c>
      <c r="O3129" s="703">
        <v>45342.18</v>
      </c>
      <c r="P3129" s="342">
        <v>1</v>
      </c>
      <c r="Q3129" s="363">
        <v>19.7393</v>
      </c>
      <c r="R3129" s="340">
        <v>895022.89367400005</v>
      </c>
      <c r="S3129" s="342">
        <v>110.21</v>
      </c>
      <c r="T3129" s="342">
        <v>121.02200000000001</v>
      </c>
      <c r="U3129" s="342">
        <v>1.0981000000000001</v>
      </c>
      <c r="V3129" s="340">
        <v>982824.63954341947</v>
      </c>
      <c r="W3129" s="340">
        <v>-446228.53594341956</v>
      </c>
    </row>
    <row r="3130" spans="2:23" ht="24" customHeight="1">
      <c r="J3130" s="345"/>
      <c r="K3130" s="703"/>
      <c r="L3130" s="342"/>
      <c r="M3130" s="342"/>
      <c r="N3130" s="340"/>
      <c r="O3130" s="703"/>
      <c r="P3130" s="342"/>
      <c r="Q3130" s="363"/>
      <c r="R3130" s="340"/>
      <c r="S3130" s="342"/>
      <c r="T3130" s="342"/>
      <c r="U3130" s="342"/>
      <c r="V3130" s="340"/>
      <c r="W3130" s="340"/>
    </row>
    <row r="3131" spans="2:23" ht="24" customHeight="1">
      <c r="B3131" s="67"/>
      <c r="H3131" s="347">
        <v>44728</v>
      </c>
      <c r="I3131" s="347"/>
      <c r="J3131" s="345"/>
      <c r="K3131" s="703"/>
      <c r="L3131" s="342"/>
      <c r="M3131" s="342"/>
      <c r="N3131" s="340"/>
      <c r="O3131" s="703"/>
      <c r="P3131" s="342"/>
      <c r="Q3131" s="363"/>
      <c r="R3131" s="340"/>
      <c r="S3131" s="342"/>
      <c r="T3131" s="342"/>
      <c r="U3131" s="342"/>
      <c r="V3131" s="340"/>
      <c r="W3131" s="340"/>
    </row>
    <row r="3132" spans="2:23" ht="24" customHeight="1">
      <c r="B3132" s="67"/>
      <c r="I3132" s="3" t="s">
        <v>59</v>
      </c>
      <c r="J3132" s="345">
        <v>14</v>
      </c>
      <c r="K3132" s="703">
        <v>2237.11</v>
      </c>
      <c r="L3132" s="342">
        <v>1</v>
      </c>
      <c r="M3132" s="342">
        <v>20.475999999999999</v>
      </c>
      <c r="N3132" s="340">
        <v>45807.064360000004</v>
      </c>
      <c r="O3132" s="703">
        <v>2272.58</v>
      </c>
      <c r="P3132" s="342">
        <v>1</v>
      </c>
      <c r="Q3132" s="363">
        <v>20.658300000000001</v>
      </c>
      <c r="R3132" s="340">
        <v>46947.639413999997</v>
      </c>
      <c r="S3132" s="342">
        <v>122.044</v>
      </c>
      <c r="T3132" s="342">
        <v>121.02200000000001</v>
      </c>
      <c r="U3132" s="342">
        <v>1</v>
      </c>
      <c r="V3132" s="340">
        <v>46947.639413999997</v>
      </c>
      <c r="W3132" s="340">
        <v>-1140.5750539999935</v>
      </c>
    </row>
    <row r="3133" spans="2:23" ht="24" customHeight="1">
      <c r="J3133" s="345"/>
      <c r="K3133" s="703"/>
      <c r="L3133" s="342"/>
      <c r="M3133" s="342"/>
      <c r="N3133" s="340"/>
      <c r="O3133" s="703"/>
      <c r="P3133" s="342"/>
      <c r="Q3133" s="363"/>
      <c r="R3133" s="340"/>
      <c r="S3133" s="342"/>
      <c r="T3133" s="342"/>
      <c r="U3133" s="342"/>
      <c r="V3133" s="340"/>
      <c r="W3133" s="340"/>
    </row>
    <row r="3134" spans="2:23" ht="24" customHeight="1">
      <c r="B3134" s="67"/>
      <c r="E3134" s="131" t="s">
        <v>1134</v>
      </c>
      <c r="F3134" s="131"/>
      <c r="G3134" s="131"/>
      <c r="H3134" s="131"/>
      <c r="I3134" s="131"/>
      <c r="J3134" s="704">
        <v>914</v>
      </c>
      <c r="K3134" s="705">
        <v>166999.1</v>
      </c>
      <c r="L3134" s="369">
        <v>1</v>
      </c>
      <c r="M3134" s="377">
        <v>20.455599999999997</v>
      </c>
      <c r="N3134" s="706">
        <v>3414670.987892</v>
      </c>
      <c r="O3134" s="705">
        <v>184189.3</v>
      </c>
      <c r="P3134" s="369">
        <v>1</v>
      </c>
      <c r="Q3134" s="377">
        <v>20.568622222222228</v>
      </c>
      <c r="R3134" s="706">
        <v>3762245.727471</v>
      </c>
      <c r="S3134" s="369">
        <v>108.02022222222223</v>
      </c>
      <c r="T3134" s="369">
        <v>120.01533333333334</v>
      </c>
      <c r="U3134" s="369">
        <v>1.1141333333333334</v>
      </c>
      <c r="V3134" s="706">
        <v>4235462.9334674552</v>
      </c>
      <c r="W3134" s="706">
        <v>-820791.94557545416</v>
      </c>
    </row>
    <row r="3135" spans="2:23" ht="24" customHeight="1">
      <c r="J3135" s="345"/>
      <c r="K3135" s="703"/>
      <c r="L3135" s="342"/>
      <c r="M3135" s="342"/>
      <c r="N3135" s="340"/>
      <c r="O3135" s="703"/>
      <c r="P3135" s="342"/>
      <c r="Q3135" s="363"/>
      <c r="R3135" s="340"/>
      <c r="S3135" s="342"/>
      <c r="T3135" s="342"/>
      <c r="U3135" s="342"/>
      <c r="V3135" s="340"/>
      <c r="W3135" s="340"/>
    </row>
    <row r="3136" spans="2:23" ht="24" customHeight="1">
      <c r="B3136" s="67"/>
      <c r="E3136" s="1" t="s">
        <v>727</v>
      </c>
      <c r="J3136" s="345"/>
      <c r="K3136" s="703"/>
      <c r="L3136" s="342"/>
      <c r="M3136" s="342"/>
      <c r="N3136" s="340"/>
      <c r="O3136" s="703"/>
      <c r="P3136" s="342"/>
      <c r="Q3136" s="363"/>
      <c r="R3136" s="340"/>
      <c r="S3136" s="342"/>
      <c r="T3136" s="342"/>
      <c r="U3136" s="342"/>
      <c r="V3136" s="340"/>
      <c r="W3136" s="340"/>
    </row>
    <row r="3137" spans="2:23" ht="24" customHeight="1">
      <c r="B3137" s="67"/>
      <c r="F3137" s="346">
        <v>44722</v>
      </c>
      <c r="G3137" s="346"/>
      <c r="H3137" s="346"/>
      <c r="I3137" s="346"/>
      <c r="J3137" s="345"/>
      <c r="K3137" s="703"/>
      <c r="L3137" s="342"/>
      <c r="M3137" s="342"/>
      <c r="N3137" s="340"/>
      <c r="O3137" s="703"/>
      <c r="P3137" s="342"/>
      <c r="Q3137" s="363"/>
      <c r="R3137" s="340"/>
      <c r="S3137" s="342"/>
      <c r="T3137" s="342"/>
      <c r="U3137" s="342"/>
      <c r="V3137" s="340"/>
      <c r="W3137" s="340"/>
    </row>
    <row r="3138" spans="2:23" ht="24" customHeight="1">
      <c r="B3138" s="67"/>
      <c r="G3138" s="3" t="s">
        <v>59</v>
      </c>
      <c r="H3138" s="3"/>
      <c r="I3138" s="3"/>
      <c r="J3138" s="345"/>
      <c r="K3138" s="703"/>
      <c r="L3138" s="342"/>
      <c r="M3138" s="342"/>
      <c r="N3138" s="340"/>
      <c r="O3138" s="703"/>
      <c r="P3138" s="342"/>
      <c r="Q3138" s="363"/>
      <c r="R3138" s="340"/>
      <c r="S3138" s="342"/>
      <c r="T3138" s="342"/>
      <c r="U3138" s="342"/>
      <c r="V3138" s="340"/>
      <c r="W3138" s="340"/>
    </row>
    <row r="3139" spans="2:23" ht="24" customHeight="1">
      <c r="B3139" s="67"/>
      <c r="H3139" s="347">
        <v>43315</v>
      </c>
      <c r="I3139" s="347"/>
      <c r="J3139" s="345"/>
      <c r="K3139" s="703"/>
      <c r="L3139" s="342"/>
      <c r="M3139" s="342"/>
      <c r="N3139" s="340"/>
      <c r="O3139" s="703"/>
      <c r="P3139" s="342"/>
      <c r="Q3139" s="363"/>
      <c r="R3139" s="340"/>
      <c r="S3139" s="342"/>
      <c r="T3139" s="342"/>
      <c r="U3139" s="342"/>
      <c r="V3139" s="340"/>
      <c r="W3139" s="340"/>
    </row>
    <row r="3140" spans="2:23" ht="24" customHeight="1">
      <c r="B3140" s="67"/>
      <c r="I3140" s="3" t="s">
        <v>59</v>
      </c>
      <c r="J3140" s="345">
        <v>39</v>
      </c>
      <c r="K3140" s="703">
        <v>9984.61</v>
      </c>
      <c r="L3140" s="342">
        <v>1</v>
      </c>
      <c r="M3140" s="342">
        <v>19.59</v>
      </c>
      <c r="N3140" s="340">
        <v>195598.5099</v>
      </c>
      <c r="O3140" s="703">
        <v>4192.41</v>
      </c>
      <c r="P3140" s="342">
        <v>1</v>
      </c>
      <c r="Q3140" s="363">
        <v>18.5899</v>
      </c>
      <c r="R3140" s="340">
        <v>77936.482659000001</v>
      </c>
      <c r="S3140" s="342">
        <v>100.492</v>
      </c>
      <c r="T3140" s="342">
        <v>121.02200000000001</v>
      </c>
      <c r="U3140" s="342">
        <v>1.2041999999999999</v>
      </c>
      <c r="V3140" s="340">
        <v>93851.112417967801</v>
      </c>
      <c r="W3140" s="340">
        <v>101747.3974820322</v>
      </c>
    </row>
    <row r="3141" spans="2:23" ht="24" customHeight="1">
      <c r="J3141" s="345"/>
      <c r="K3141" s="703"/>
      <c r="L3141" s="342"/>
      <c r="M3141" s="342"/>
      <c r="N3141" s="340"/>
      <c r="O3141" s="703"/>
      <c r="P3141" s="342"/>
      <c r="Q3141" s="363"/>
      <c r="R3141" s="340"/>
      <c r="S3141" s="342"/>
      <c r="T3141" s="342"/>
      <c r="U3141" s="342"/>
      <c r="V3141" s="340"/>
      <c r="W3141" s="340"/>
    </row>
    <row r="3142" spans="2:23" ht="24" customHeight="1">
      <c r="B3142" s="67"/>
      <c r="F3142" s="346">
        <v>44790</v>
      </c>
      <c r="G3142" s="346"/>
      <c r="H3142" s="346"/>
      <c r="I3142" s="346"/>
      <c r="J3142" s="345"/>
      <c r="K3142" s="703"/>
      <c r="L3142" s="342"/>
      <c r="M3142" s="342"/>
      <c r="N3142" s="340"/>
      <c r="O3142" s="703"/>
      <c r="P3142" s="342"/>
      <c r="Q3142" s="363"/>
      <c r="R3142" s="340"/>
      <c r="S3142" s="342"/>
      <c r="T3142" s="342"/>
      <c r="U3142" s="342"/>
      <c r="V3142" s="340"/>
      <c r="W3142" s="340"/>
    </row>
    <row r="3143" spans="2:23" ht="24" customHeight="1">
      <c r="B3143" s="67"/>
      <c r="G3143" s="3" t="s">
        <v>59</v>
      </c>
      <c r="H3143" s="3"/>
      <c r="I3143" s="3"/>
      <c r="J3143" s="345"/>
      <c r="K3143" s="703"/>
      <c r="L3143" s="342"/>
      <c r="M3143" s="342"/>
      <c r="N3143" s="340"/>
      <c r="O3143" s="703"/>
      <c r="P3143" s="342"/>
      <c r="Q3143" s="363"/>
      <c r="R3143" s="340"/>
      <c r="S3143" s="342"/>
      <c r="T3143" s="342"/>
      <c r="U3143" s="342"/>
      <c r="V3143" s="340"/>
      <c r="W3143" s="340"/>
    </row>
    <row r="3144" spans="2:23" ht="24" customHeight="1">
      <c r="B3144" s="67"/>
      <c r="H3144" s="347">
        <v>43315</v>
      </c>
      <c r="I3144" s="347"/>
      <c r="J3144" s="345"/>
      <c r="K3144" s="703"/>
      <c r="L3144" s="342"/>
      <c r="M3144" s="342"/>
      <c r="N3144" s="340"/>
      <c r="O3144" s="703"/>
      <c r="P3144" s="342"/>
      <c r="Q3144" s="363"/>
      <c r="R3144" s="340"/>
      <c r="S3144" s="342"/>
      <c r="T3144" s="342"/>
      <c r="U3144" s="342"/>
      <c r="V3144" s="340"/>
      <c r="W3144" s="340"/>
    </row>
    <row r="3145" spans="2:23" ht="24" customHeight="1">
      <c r="B3145" s="67"/>
      <c r="I3145" s="3" t="s">
        <v>59</v>
      </c>
      <c r="J3145" s="345">
        <v>159</v>
      </c>
      <c r="K3145" s="703">
        <v>46317.23</v>
      </c>
      <c r="L3145" s="342">
        <v>1</v>
      </c>
      <c r="M3145" s="342">
        <v>19.861799999999999</v>
      </c>
      <c r="N3145" s="340">
        <v>919943.55881399999</v>
      </c>
      <c r="O3145" s="703">
        <v>17092.169999999998</v>
      </c>
      <c r="P3145" s="342">
        <v>1</v>
      </c>
      <c r="Q3145" s="363">
        <v>18.5899</v>
      </c>
      <c r="R3145" s="340">
        <v>317741.73108299996</v>
      </c>
      <c r="S3145" s="342">
        <v>100.492</v>
      </c>
      <c r="T3145" s="342">
        <v>122.94799999999999</v>
      </c>
      <c r="U3145" s="342">
        <v>1.2234</v>
      </c>
      <c r="V3145" s="340">
        <v>388725.23380694218</v>
      </c>
      <c r="W3145" s="340">
        <v>531218.32500705787</v>
      </c>
    </row>
    <row r="3146" spans="2:23" ht="24" customHeight="1">
      <c r="J3146" s="345"/>
      <c r="K3146" s="703"/>
      <c r="L3146" s="342"/>
      <c r="M3146" s="342"/>
      <c r="N3146" s="340"/>
      <c r="O3146" s="703"/>
      <c r="P3146" s="342"/>
      <c r="Q3146" s="363"/>
      <c r="R3146" s="340"/>
      <c r="S3146" s="342"/>
      <c r="T3146" s="342"/>
      <c r="U3146" s="342"/>
      <c r="V3146" s="340"/>
      <c r="W3146" s="340"/>
    </row>
    <row r="3147" spans="2:23" ht="24" customHeight="1">
      <c r="B3147" s="67"/>
      <c r="E3147" s="131" t="s">
        <v>1201</v>
      </c>
      <c r="F3147" s="131"/>
      <c r="G3147" s="131"/>
      <c r="H3147" s="131"/>
      <c r="I3147" s="131"/>
      <c r="J3147" s="704">
        <v>198</v>
      </c>
      <c r="K3147" s="705">
        <v>56301.840000000004</v>
      </c>
      <c r="L3147" s="369">
        <v>1</v>
      </c>
      <c r="M3147" s="377">
        <v>19.725899999999999</v>
      </c>
      <c r="N3147" s="706">
        <v>1115542.0687140001</v>
      </c>
      <c r="O3147" s="705">
        <v>21284.579999999998</v>
      </c>
      <c r="P3147" s="369">
        <v>1</v>
      </c>
      <c r="Q3147" s="377">
        <v>18.5899</v>
      </c>
      <c r="R3147" s="706">
        <v>395678.21374199993</v>
      </c>
      <c r="S3147" s="369">
        <v>100.492</v>
      </c>
      <c r="T3147" s="369">
        <v>121.985</v>
      </c>
      <c r="U3147" s="369">
        <v>1.2138</v>
      </c>
      <c r="V3147" s="706">
        <v>482576.34622491</v>
      </c>
      <c r="W3147" s="706">
        <v>632965.72248909005</v>
      </c>
    </row>
    <row r="3148" spans="2:23" ht="24" customHeight="1">
      <c r="J3148" s="345"/>
      <c r="K3148" s="703"/>
      <c r="L3148" s="342"/>
      <c r="M3148" s="342"/>
      <c r="N3148" s="340"/>
      <c r="O3148" s="703"/>
      <c r="P3148" s="342"/>
      <c r="Q3148" s="363"/>
      <c r="R3148" s="340"/>
      <c r="S3148" s="342"/>
      <c r="T3148" s="342"/>
      <c r="U3148" s="342"/>
      <c r="V3148" s="340"/>
      <c r="W3148" s="340"/>
    </row>
    <row r="3149" spans="2:23" ht="24" customHeight="1">
      <c r="B3149" s="67"/>
      <c r="E3149" s="1" t="s">
        <v>753</v>
      </c>
      <c r="J3149" s="345"/>
      <c r="K3149" s="703"/>
      <c r="L3149" s="342"/>
      <c r="M3149" s="342"/>
      <c r="N3149" s="340"/>
      <c r="O3149" s="703"/>
      <c r="P3149" s="342"/>
      <c r="Q3149" s="363"/>
      <c r="R3149" s="340"/>
      <c r="S3149" s="342"/>
      <c r="T3149" s="342"/>
      <c r="U3149" s="342"/>
      <c r="V3149" s="340"/>
      <c r="W3149" s="340"/>
    </row>
    <row r="3150" spans="2:23" ht="24" customHeight="1">
      <c r="B3150" s="67"/>
      <c r="F3150" s="346">
        <v>44642</v>
      </c>
      <c r="G3150" s="346"/>
      <c r="H3150" s="346"/>
      <c r="I3150" s="346"/>
      <c r="J3150" s="345"/>
      <c r="K3150" s="703"/>
      <c r="L3150" s="342"/>
      <c r="M3150" s="342"/>
      <c r="N3150" s="340"/>
      <c r="O3150" s="703"/>
      <c r="P3150" s="342"/>
      <c r="Q3150" s="363"/>
      <c r="R3150" s="340"/>
      <c r="S3150" s="342"/>
      <c r="T3150" s="342"/>
      <c r="U3150" s="342"/>
      <c r="V3150" s="340"/>
      <c r="W3150" s="340"/>
    </row>
    <row r="3151" spans="2:23" ht="24" customHeight="1">
      <c r="B3151" s="67"/>
      <c r="G3151" s="3" t="s">
        <v>59</v>
      </c>
      <c r="H3151" s="3"/>
      <c r="I3151" s="3"/>
      <c r="J3151" s="345"/>
      <c r="K3151" s="703"/>
      <c r="L3151" s="342"/>
      <c r="M3151" s="342"/>
      <c r="N3151" s="340"/>
      <c r="O3151" s="703"/>
      <c r="P3151" s="342"/>
      <c r="Q3151" s="363"/>
      <c r="R3151" s="340"/>
      <c r="S3151" s="342"/>
      <c r="T3151" s="342"/>
      <c r="U3151" s="342"/>
      <c r="V3151" s="340"/>
      <c r="W3151" s="340"/>
    </row>
    <row r="3152" spans="2:23" ht="24" customHeight="1">
      <c r="B3152" s="67"/>
      <c r="H3152" s="347">
        <v>43965</v>
      </c>
      <c r="I3152" s="347"/>
      <c r="J3152" s="345"/>
      <c r="K3152" s="703"/>
      <c r="L3152" s="342"/>
      <c r="M3152" s="342"/>
      <c r="N3152" s="340"/>
      <c r="O3152" s="703"/>
      <c r="P3152" s="342"/>
      <c r="Q3152" s="363"/>
      <c r="R3152" s="340"/>
      <c r="S3152" s="342"/>
      <c r="T3152" s="342"/>
      <c r="U3152" s="342"/>
      <c r="V3152" s="340"/>
      <c r="W3152" s="340"/>
    </row>
    <row r="3153" spans="2:23" ht="24" customHeight="1">
      <c r="B3153" s="67"/>
      <c r="I3153" s="3" t="s">
        <v>59</v>
      </c>
      <c r="J3153" s="345">
        <v>100</v>
      </c>
      <c r="K3153" s="703">
        <v>9321.32</v>
      </c>
      <c r="L3153" s="342">
        <v>1</v>
      </c>
      <c r="M3153" s="342">
        <v>20.558499999999999</v>
      </c>
      <c r="N3153" s="340">
        <v>191632.35721999998</v>
      </c>
      <c r="O3153" s="703">
        <v>3740.5</v>
      </c>
      <c r="P3153" s="342">
        <v>1</v>
      </c>
      <c r="Q3153" s="363">
        <v>24.0487</v>
      </c>
      <c r="R3153" s="340">
        <v>89954.162349999999</v>
      </c>
      <c r="S3153" s="342">
        <v>106.16200000000001</v>
      </c>
      <c r="T3153" s="342">
        <v>118.98099999999999</v>
      </c>
      <c r="U3153" s="342">
        <v>1.1207</v>
      </c>
      <c r="V3153" s="340">
        <v>100811.629745645</v>
      </c>
      <c r="W3153" s="340">
        <v>90820.727474354979</v>
      </c>
    </row>
    <row r="3154" spans="2:23" ht="24" customHeight="1">
      <c r="J3154" s="345"/>
      <c r="K3154" s="703"/>
      <c r="L3154" s="342"/>
      <c r="M3154" s="342"/>
      <c r="N3154" s="340"/>
      <c r="O3154" s="703"/>
      <c r="P3154" s="342"/>
      <c r="Q3154" s="363"/>
      <c r="R3154" s="340"/>
      <c r="S3154" s="342"/>
      <c r="T3154" s="342"/>
      <c r="U3154" s="342"/>
      <c r="V3154" s="340"/>
      <c r="W3154" s="340"/>
    </row>
    <row r="3155" spans="2:23" ht="24" customHeight="1">
      <c r="B3155" s="67"/>
      <c r="F3155" s="346">
        <v>44608</v>
      </c>
      <c r="G3155" s="346"/>
      <c r="H3155" s="346"/>
      <c r="I3155" s="346"/>
      <c r="J3155" s="345"/>
      <c r="K3155" s="703"/>
      <c r="L3155" s="342"/>
      <c r="M3155" s="342"/>
      <c r="N3155" s="340"/>
      <c r="O3155" s="703"/>
      <c r="P3155" s="342"/>
      <c r="Q3155" s="363"/>
      <c r="R3155" s="340"/>
      <c r="S3155" s="342"/>
      <c r="T3155" s="342"/>
      <c r="U3155" s="342"/>
      <c r="V3155" s="340"/>
      <c r="W3155" s="340"/>
    </row>
    <row r="3156" spans="2:23" ht="24" customHeight="1">
      <c r="B3156" s="67"/>
      <c r="G3156" s="3" t="s">
        <v>59</v>
      </c>
      <c r="H3156" s="3"/>
      <c r="I3156" s="3"/>
      <c r="J3156" s="345"/>
      <c r="K3156" s="703"/>
      <c r="L3156" s="342"/>
      <c r="M3156" s="342"/>
      <c r="N3156" s="340"/>
      <c r="O3156" s="703"/>
      <c r="P3156" s="342"/>
      <c r="Q3156" s="363"/>
      <c r="R3156" s="340"/>
      <c r="S3156" s="342"/>
      <c r="T3156" s="342"/>
      <c r="U3156" s="342"/>
      <c r="V3156" s="340"/>
      <c r="W3156" s="340"/>
    </row>
    <row r="3157" spans="2:23" ht="24" customHeight="1">
      <c r="B3157" s="67"/>
      <c r="H3157" s="347">
        <v>43965</v>
      </c>
      <c r="I3157" s="347"/>
      <c r="J3157" s="345"/>
      <c r="K3157" s="703"/>
      <c r="L3157" s="342"/>
      <c r="M3157" s="342"/>
      <c r="N3157" s="340"/>
      <c r="O3157" s="703"/>
      <c r="P3157" s="342"/>
      <c r="Q3157" s="363"/>
      <c r="R3157" s="340"/>
      <c r="S3157" s="342"/>
      <c r="T3157" s="342"/>
      <c r="U3157" s="342"/>
      <c r="V3157" s="340"/>
      <c r="W3157" s="340"/>
    </row>
    <row r="3158" spans="2:23" ht="24" customHeight="1">
      <c r="B3158" s="67"/>
      <c r="I3158" s="3" t="s">
        <v>59</v>
      </c>
      <c r="J3158" s="345">
        <v>129</v>
      </c>
      <c r="K3158" s="703">
        <v>13209.71</v>
      </c>
      <c r="L3158" s="342">
        <v>1</v>
      </c>
      <c r="M3158" s="342">
        <v>20.411000000000001</v>
      </c>
      <c r="N3158" s="340">
        <v>269623.39081000001</v>
      </c>
      <c r="O3158" s="703">
        <v>4825.25</v>
      </c>
      <c r="P3158" s="342">
        <v>1</v>
      </c>
      <c r="Q3158" s="363">
        <v>24.0487</v>
      </c>
      <c r="R3158" s="340">
        <v>116040.989675</v>
      </c>
      <c r="S3158" s="342">
        <v>106.16200000000001</v>
      </c>
      <c r="T3158" s="342">
        <v>118.002</v>
      </c>
      <c r="U3158" s="342">
        <v>1.1114999999999999</v>
      </c>
      <c r="V3158" s="340">
        <v>128979.5600237625</v>
      </c>
      <c r="W3158" s="340">
        <v>140643.83078623749</v>
      </c>
    </row>
    <row r="3159" spans="2:23" ht="24" customHeight="1">
      <c r="J3159" s="345"/>
      <c r="K3159" s="703"/>
      <c r="L3159" s="342"/>
      <c r="M3159" s="342"/>
      <c r="N3159" s="340"/>
      <c r="O3159" s="703"/>
      <c r="P3159" s="342"/>
      <c r="Q3159" s="363"/>
      <c r="R3159" s="340"/>
      <c r="S3159" s="342"/>
      <c r="T3159" s="342"/>
      <c r="U3159" s="342"/>
      <c r="V3159" s="340"/>
      <c r="W3159" s="340"/>
    </row>
    <row r="3160" spans="2:23" ht="24" customHeight="1">
      <c r="B3160" s="67"/>
      <c r="E3160" s="131" t="s">
        <v>1202</v>
      </c>
      <c r="F3160" s="131"/>
      <c r="G3160" s="131"/>
      <c r="H3160" s="131"/>
      <c r="I3160" s="131"/>
      <c r="J3160" s="704">
        <v>229</v>
      </c>
      <c r="K3160" s="705">
        <v>22531.03</v>
      </c>
      <c r="L3160" s="369">
        <v>1</v>
      </c>
      <c r="M3160" s="377">
        <v>20.484749999999998</v>
      </c>
      <c r="N3160" s="706">
        <v>461255.74803000002</v>
      </c>
      <c r="O3160" s="705">
        <v>8565.75</v>
      </c>
      <c r="P3160" s="369">
        <v>1</v>
      </c>
      <c r="Q3160" s="377">
        <v>24.0487</v>
      </c>
      <c r="R3160" s="706">
        <v>205995.15202500002</v>
      </c>
      <c r="S3160" s="369">
        <v>106.16200000000001</v>
      </c>
      <c r="T3160" s="369">
        <v>118.4915</v>
      </c>
      <c r="U3160" s="369">
        <v>1.1160999999999999</v>
      </c>
      <c r="V3160" s="706">
        <v>229791.1897694075</v>
      </c>
      <c r="W3160" s="706">
        <v>231464.55826059246</v>
      </c>
    </row>
    <row r="3161" spans="2:23" ht="24" customHeight="1">
      <c r="J3161" s="345"/>
      <c r="K3161" s="703"/>
      <c r="L3161" s="342"/>
      <c r="M3161" s="342"/>
      <c r="N3161" s="340"/>
      <c r="O3161" s="703"/>
      <c r="P3161" s="342"/>
      <c r="Q3161" s="363"/>
      <c r="R3161" s="340"/>
      <c r="S3161" s="342"/>
      <c r="T3161" s="342"/>
      <c r="U3161" s="342"/>
      <c r="V3161" s="340"/>
      <c r="W3161" s="340"/>
    </row>
    <row r="3162" spans="2:23" ht="24" customHeight="1">
      <c r="B3162" s="67"/>
      <c r="E3162" s="1" t="s">
        <v>843</v>
      </c>
      <c r="J3162" s="345"/>
      <c r="K3162" s="703"/>
      <c r="L3162" s="342"/>
      <c r="M3162" s="342"/>
      <c r="N3162" s="340"/>
      <c r="O3162" s="703"/>
      <c r="P3162" s="342"/>
      <c r="Q3162" s="363"/>
      <c r="R3162" s="340"/>
      <c r="S3162" s="342"/>
      <c r="T3162" s="342"/>
      <c r="U3162" s="342"/>
      <c r="V3162" s="340"/>
      <c r="W3162" s="340"/>
    </row>
    <row r="3163" spans="2:23" ht="24" customHeight="1">
      <c r="B3163" s="67"/>
      <c r="F3163" s="346">
        <v>44725</v>
      </c>
      <c r="G3163" s="346"/>
      <c r="H3163" s="346"/>
      <c r="I3163" s="346"/>
      <c r="J3163" s="345"/>
      <c r="K3163" s="703"/>
      <c r="L3163" s="342"/>
      <c r="M3163" s="342"/>
      <c r="N3163" s="340"/>
      <c r="O3163" s="703"/>
      <c r="P3163" s="342"/>
      <c r="Q3163" s="363"/>
      <c r="R3163" s="340"/>
      <c r="S3163" s="342"/>
      <c r="T3163" s="342"/>
      <c r="U3163" s="342"/>
      <c r="V3163" s="340"/>
      <c r="W3163" s="340"/>
    </row>
    <row r="3164" spans="2:23" ht="24" customHeight="1">
      <c r="B3164" s="67"/>
      <c r="G3164" s="3" t="s">
        <v>59</v>
      </c>
      <c r="H3164" s="3"/>
      <c r="I3164" s="3"/>
      <c r="J3164" s="345"/>
      <c r="K3164" s="703"/>
      <c r="L3164" s="342"/>
      <c r="M3164" s="342"/>
      <c r="N3164" s="340"/>
      <c r="O3164" s="703"/>
      <c r="P3164" s="342"/>
      <c r="Q3164" s="363"/>
      <c r="R3164" s="340"/>
      <c r="S3164" s="342"/>
      <c r="T3164" s="342"/>
      <c r="U3164" s="342"/>
      <c r="V3164" s="340"/>
      <c r="W3164" s="340"/>
    </row>
    <row r="3165" spans="2:23" ht="24" customHeight="1">
      <c r="B3165" s="67"/>
      <c r="H3165" s="347">
        <v>43867</v>
      </c>
      <c r="I3165" s="347"/>
      <c r="J3165" s="345"/>
      <c r="K3165" s="703"/>
      <c r="L3165" s="342"/>
      <c r="M3165" s="342"/>
      <c r="N3165" s="340"/>
      <c r="O3165" s="703"/>
      <c r="P3165" s="342"/>
      <c r="Q3165" s="363"/>
      <c r="R3165" s="340"/>
      <c r="S3165" s="342"/>
      <c r="T3165" s="342"/>
      <c r="U3165" s="342"/>
      <c r="V3165" s="340"/>
      <c r="W3165" s="340"/>
    </row>
    <row r="3166" spans="2:23" ht="24" customHeight="1">
      <c r="B3166" s="67"/>
      <c r="I3166" s="3" t="s">
        <v>59</v>
      </c>
      <c r="J3166" s="345">
        <v>482.13099999999997</v>
      </c>
      <c r="K3166" s="703">
        <v>23214.6</v>
      </c>
      <c r="L3166" s="342">
        <v>1</v>
      </c>
      <c r="M3166" s="342">
        <v>19.6128</v>
      </c>
      <c r="N3166" s="340">
        <v>455303.30687999999</v>
      </c>
      <c r="O3166" s="703">
        <v>26199</v>
      </c>
      <c r="P3166" s="342">
        <v>1</v>
      </c>
      <c r="Q3166" s="363">
        <v>18.6797</v>
      </c>
      <c r="R3166" s="340">
        <v>489389.46030000004</v>
      </c>
      <c r="S3166" s="342">
        <v>106.889</v>
      </c>
      <c r="T3166" s="342">
        <v>121.02200000000001</v>
      </c>
      <c r="U3166" s="342">
        <v>1.1322000000000001</v>
      </c>
      <c r="V3166" s="340">
        <v>554086.74695166014</v>
      </c>
      <c r="W3166" s="340">
        <v>-98783.440071660152</v>
      </c>
    </row>
    <row r="3167" spans="2:23" ht="24" customHeight="1">
      <c r="J3167" s="345"/>
      <c r="K3167" s="703"/>
      <c r="L3167" s="342"/>
      <c r="M3167" s="342"/>
      <c r="N3167" s="340"/>
      <c r="O3167" s="703"/>
      <c r="P3167" s="342"/>
      <c r="Q3167" s="363"/>
      <c r="R3167" s="340"/>
      <c r="S3167" s="342"/>
      <c r="T3167" s="342"/>
      <c r="U3167" s="342"/>
      <c r="V3167" s="340"/>
      <c r="W3167" s="340"/>
    </row>
    <row r="3168" spans="2:23" ht="24" customHeight="1">
      <c r="B3168" s="67"/>
      <c r="E3168" s="131" t="s">
        <v>1203</v>
      </c>
      <c r="F3168" s="131"/>
      <c r="G3168" s="131"/>
      <c r="H3168" s="131"/>
      <c r="I3168" s="131"/>
      <c r="J3168" s="704">
        <v>482.13099999999997</v>
      </c>
      <c r="K3168" s="705">
        <v>23214.6</v>
      </c>
      <c r="L3168" s="369">
        <v>1</v>
      </c>
      <c r="M3168" s="377">
        <v>19.6128</v>
      </c>
      <c r="N3168" s="706">
        <v>455303.30687999999</v>
      </c>
      <c r="O3168" s="705">
        <v>26199</v>
      </c>
      <c r="P3168" s="369">
        <v>1</v>
      </c>
      <c r="Q3168" s="377">
        <v>18.6797</v>
      </c>
      <c r="R3168" s="706">
        <v>489389.46030000004</v>
      </c>
      <c r="S3168" s="369">
        <v>106.889</v>
      </c>
      <c r="T3168" s="369">
        <v>121.02200000000001</v>
      </c>
      <c r="U3168" s="369">
        <v>1.1322000000000001</v>
      </c>
      <c r="V3168" s="706">
        <v>554086.74695166014</v>
      </c>
      <c r="W3168" s="706">
        <v>-98783.440071660152</v>
      </c>
    </row>
    <row r="3169" spans="2:23" ht="24" customHeight="1">
      <c r="J3169" s="345"/>
      <c r="K3169" s="703"/>
      <c r="L3169" s="342"/>
      <c r="M3169" s="342"/>
      <c r="N3169" s="340"/>
      <c r="O3169" s="703"/>
      <c r="P3169" s="342"/>
      <c r="Q3169" s="363"/>
      <c r="R3169" s="340"/>
      <c r="S3169" s="342"/>
      <c r="T3169" s="342"/>
      <c r="U3169" s="342"/>
      <c r="V3169" s="340"/>
      <c r="W3169" s="340"/>
    </row>
    <row r="3170" spans="2:23" ht="24" customHeight="1">
      <c r="B3170" s="67"/>
      <c r="E3170" s="1" t="s">
        <v>844</v>
      </c>
      <c r="J3170" s="345"/>
      <c r="K3170" s="703"/>
      <c r="L3170" s="342"/>
      <c r="M3170" s="342"/>
      <c r="N3170" s="340"/>
      <c r="O3170" s="703"/>
      <c r="P3170" s="342"/>
      <c r="Q3170" s="363"/>
      <c r="R3170" s="340"/>
      <c r="S3170" s="342"/>
      <c r="T3170" s="342"/>
      <c r="U3170" s="342"/>
      <c r="V3170" s="340"/>
      <c r="W3170" s="340"/>
    </row>
    <row r="3171" spans="2:23" ht="24" customHeight="1">
      <c r="B3171" s="67"/>
      <c r="F3171" s="346">
        <v>44725</v>
      </c>
      <c r="G3171" s="346"/>
      <c r="H3171" s="346"/>
      <c r="I3171" s="346"/>
      <c r="J3171" s="345"/>
      <c r="K3171" s="703"/>
      <c r="L3171" s="342"/>
      <c r="M3171" s="342"/>
      <c r="N3171" s="340"/>
      <c r="O3171" s="703"/>
      <c r="P3171" s="342"/>
      <c r="Q3171" s="363"/>
      <c r="R3171" s="340"/>
      <c r="S3171" s="342"/>
      <c r="T3171" s="342"/>
      <c r="U3171" s="342"/>
      <c r="V3171" s="340"/>
      <c r="W3171" s="340"/>
    </row>
    <row r="3172" spans="2:23" ht="24" customHeight="1">
      <c r="B3172" s="67"/>
      <c r="G3172" s="3" t="s">
        <v>59</v>
      </c>
      <c r="H3172" s="3"/>
      <c r="I3172" s="3"/>
      <c r="J3172" s="345"/>
      <c r="K3172" s="703"/>
      <c r="L3172" s="342"/>
      <c r="M3172" s="342"/>
      <c r="N3172" s="340"/>
      <c r="O3172" s="703"/>
      <c r="P3172" s="342"/>
      <c r="Q3172" s="363"/>
      <c r="R3172" s="340"/>
      <c r="S3172" s="342"/>
      <c r="T3172" s="342"/>
      <c r="U3172" s="342"/>
      <c r="V3172" s="340"/>
      <c r="W3172" s="340"/>
    </row>
    <row r="3173" spans="2:23" ht="24" customHeight="1">
      <c r="B3173" s="67"/>
      <c r="H3173" s="347">
        <v>43497</v>
      </c>
      <c r="I3173" s="347"/>
      <c r="J3173" s="345"/>
      <c r="K3173" s="703"/>
      <c r="L3173" s="342"/>
      <c r="M3173" s="342"/>
      <c r="N3173" s="340"/>
      <c r="O3173" s="703"/>
      <c r="P3173" s="342"/>
      <c r="Q3173" s="363"/>
      <c r="R3173" s="340"/>
      <c r="S3173" s="342"/>
      <c r="T3173" s="342"/>
      <c r="U3173" s="342"/>
      <c r="V3173" s="340"/>
      <c r="W3173" s="340"/>
    </row>
    <row r="3174" spans="2:23" ht="24" customHeight="1">
      <c r="B3174" s="67"/>
      <c r="I3174" s="3" t="s">
        <v>59</v>
      </c>
      <c r="J3174" s="345">
        <v>28.428999999999998</v>
      </c>
      <c r="K3174" s="703">
        <v>5752.83</v>
      </c>
      <c r="L3174" s="342">
        <v>1</v>
      </c>
      <c r="M3174" s="342">
        <v>19.6128</v>
      </c>
      <c r="N3174" s="340">
        <v>112829.104224</v>
      </c>
      <c r="O3174" s="703">
        <v>4222.84</v>
      </c>
      <c r="P3174" s="342">
        <v>1</v>
      </c>
      <c r="Q3174" s="363">
        <v>19.162299999999998</v>
      </c>
      <c r="R3174" s="340">
        <v>80919.326931999996</v>
      </c>
      <c r="S3174" s="342">
        <v>103.07899999999999</v>
      </c>
      <c r="T3174" s="342">
        <v>121.02200000000001</v>
      </c>
      <c r="U3174" s="342">
        <v>1.1739999999999999</v>
      </c>
      <c r="V3174" s="340">
        <v>94999.289818167992</v>
      </c>
      <c r="W3174" s="340">
        <v>17829.814405832003</v>
      </c>
    </row>
    <row r="3175" spans="2:23" ht="24" customHeight="1">
      <c r="J3175" s="345"/>
      <c r="K3175" s="703"/>
      <c r="L3175" s="342"/>
      <c r="M3175" s="342"/>
      <c r="N3175" s="340"/>
      <c r="O3175" s="703"/>
      <c r="P3175" s="342"/>
      <c r="Q3175" s="363"/>
      <c r="R3175" s="340"/>
      <c r="S3175" s="342"/>
      <c r="T3175" s="342"/>
      <c r="U3175" s="342"/>
      <c r="V3175" s="340"/>
      <c r="W3175" s="340"/>
    </row>
    <row r="3176" spans="2:23" ht="24" customHeight="1">
      <c r="B3176" s="67"/>
      <c r="E3176" s="131" t="s">
        <v>1204</v>
      </c>
      <c r="F3176" s="131"/>
      <c r="G3176" s="131"/>
      <c r="H3176" s="131"/>
      <c r="I3176" s="131"/>
      <c r="J3176" s="704">
        <v>28.428999999999998</v>
      </c>
      <c r="K3176" s="705">
        <v>5752.83</v>
      </c>
      <c r="L3176" s="369">
        <v>1</v>
      </c>
      <c r="M3176" s="377">
        <v>19.6128</v>
      </c>
      <c r="N3176" s="706">
        <v>112829.104224</v>
      </c>
      <c r="O3176" s="705">
        <v>4222.84</v>
      </c>
      <c r="P3176" s="369">
        <v>1</v>
      </c>
      <c r="Q3176" s="377">
        <v>19.162299999999998</v>
      </c>
      <c r="R3176" s="706">
        <v>80919.326931999996</v>
      </c>
      <c r="S3176" s="369">
        <v>103.07899999999999</v>
      </c>
      <c r="T3176" s="369">
        <v>121.02200000000001</v>
      </c>
      <c r="U3176" s="369">
        <v>1.1739999999999999</v>
      </c>
      <c r="V3176" s="706">
        <v>94999.289818167992</v>
      </c>
      <c r="W3176" s="706">
        <v>17829.814405832003</v>
      </c>
    </row>
    <row r="3177" spans="2:23" ht="24" customHeight="1">
      <c r="J3177" s="345"/>
      <c r="K3177" s="703"/>
      <c r="L3177" s="342"/>
      <c r="M3177" s="342"/>
      <c r="N3177" s="340"/>
      <c r="O3177" s="703"/>
      <c r="P3177" s="342"/>
      <c r="Q3177" s="363"/>
      <c r="R3177" s="340"/>
      <c r="S3177" s="342"/>
      <c r="T3177" s="342"/>
      <c r="U3177" s="342"/>
      <c r="V3177" s="340"/>
      <c r="W3177" s="340"/>
    </row>
    <row r="3178" spans="2:23" ht="24" customHeight="1">
      <c r="B3178" s="67"/>
      <c r="E3178" s="1" t="s">
        <v>879</v>
      </c>
      <c r="J3178" s="345"/>
      <c r="K3178" s="703"/>
      <c r="L3178" s="342"/>
      <c r="M3178" s="342"/>
      <c r="N3178" s="340"/>
      <c r="O3178" s="703"/>
      <c r="P3178" s="342"/>
      <c r="Q3178" s="363"/>
      <c r="R3178" s="340"/>
      <c r="S3178" s="342"/>
      <c r="T3178" s="342"/>
      <c r="U3178" s="342"/>
      <c r="V3178" s="340"/>
      <c r="W3178" s="340"/>
    </row>
    <row r="3179" spans="2:23" ht="24" customHeight="1">
      <c r="B3179" s="67"/>
      <c r="F3179" s="346">
        <v>44790</v>
      </c>
      <c r="G3179" s="346"/>
      <c r="H3179" s="346"/>
      <c r="I3179" s="346"/>
      <c r="J3179" s="345"/>
      <c r="K3179" s="703"/>
      <c r="L3179" s="342"/>
      <c r="M3179" s="342"/>
      <c r="N3179" s="340"/>
      <c r="O3179" s="703"/>
      <c r="P3179" s="342"/>
      <c r="Q3179" s="363"/>
      <c r="R3179" s="340"/>
      <c r="S3179" s="342"/>
      <c r="T3179" s="342"/>
      <c r="U3179" s="342"/>
      <c r="V3179" s="340"/>
      <c r="W3179" s="340"/>
    </row>
    <row r="3180" spans="2:23" ht="24" customHeight="1">
      <c r="B3180" s="67"/>
      <c r="G3180" s="3" t="s">
        <v>59</v>
      </c>
      <c r="H3180" s="3"/>
      <c r="I3180" s="3"/>
      <c r="J3180" s="345"/>
      <c r="K3180" s="703"/>
      <c r="L3180" s="342"/>
      <c r="M3180" s="342"/>
      <c r="N3180" s="340"/>
      <c r="O3180" s="703"/>
      <c r="P3180" s="342"/>
      <c r="Q3180" s="363"/>
      <c r="R3180" s="340"/>
      <c r="S3180" s="342"/>
      <c r="T3180" s="342"/>
      <c r="U3180" s="342"/>
      <c r="V3180" s="340"/>
      <c r="W3180" s="340"/>
    </row>
    <row r="3181" spans="2:23" ht="24" customHeight="1">
      <c r="B3181" s="67"/>
      <c r="H3181" s="347">
        <v>44469</v>
      </c>
      <c r="I3181" s="347"/>
      <c r="J3181" s="345"/>
      <c r="K3181" s="703"/>
      <c r="L3181" s="342"/>
      <c r="M3181" s="342"/>
      <c r="N3181" s="340"/>
      <c r="O3181" s="703"/>
      <c r="P3181" s="342"/>
      <c r="Q3181" s="363"/>
      <c r="R3181" s="340"/>
      <c r="S3181" s="342"/>
      <c r="T3181" s="342"/>
      <c r="U3181" s="342"/>
      <c r="V3181" s="340"/>
      <c r="W3181" s="340"/>
    </row>
    <row r="3182" spans="2:23" ht="24" customHeight="1">
      <c r="B3182" s="67"/>
      <c r="I3182" s="3" t="s">
        <v>59</v>
      </c>
      <c r="J3182" s="345">
        <v>52</v>
      </c>
      <c r="K3182" s="703">
        <v>6089.06</v>
      </c>
      <c r="L3182" s="342">
        <v>1</v>
      </c>
      <c r="M3182" s="342">
        <v>19.861799999999999</v>
      </c>
      <c r="N3182" s="340">
        <v>120939.69190799999</v>
      </c>
      <c r="O3182" s="703">
        <v>7584.9</v>
      </c>
      <c r="P3182" s="342">
        <v>1</v>
      </c>
      <c r="Q3182" s="363">
        <v>20.306000000000001</v>
      </c>
      <c r="R3182" s="340">
        <v>154018.97940000001</v>
      </c>
      <c r="S3182" s="342">
        <v>114.601</v>
      </c>
      <c r="T3182" s="342">
        <v>122.94799999999999</v>
      </c>
      <c r="U3182" s="342">
        <v>1.0728</v>
      </c>
      <c r="V3182" s="340">
        <v>165231.56110032002</v>
      </c>
      <c r="W3182" s="340">
        <v>-44291.869192320024</v>
      </c>
    </row>
    <row r="3183" spans="2:23" ht="24" customHeight="1">
      <c r="J3183" s="345"/>
      <c r="K3183" s="703"/>
      <c r="L3183" s="342"/>
      <c r="M3183" s="342"/>
      <c r="N3183" s="340"/>
      <c r="O3183" s="703"/>
      <c r="P3183" s="342"/>
      <c r="Q3183" s="363"/>
      <c r="R3183" s="340"/>
      <c r="S3183" s="342"/>
      <c r="T3183" s="342"/>
      <c r="U3183" s="342"/>
      <c r="V3183" s="340"/>
      <c r="W3183" s="340"/>
    </row>
    <row r="3184" spans="2:23" ht="24" customHeight="1">
      <c r="B3184" s="67"/>
      <c r="E3184" s="131" t="s">
        <v>1138</v>
      </c>
      <c r="F3184" s="131"/>
      <c r="G3184" s="131"/>
      <c r="H3184" s="131"/>
      <c r="I3184" s="131"/>
      <c r="J3184" s="704">
        <v>52</v>
      </c>
      <c r="K3184" s="705">
        <v>6089.06</v>
      </c>
      <c r="L3184" s="369">
        <v>1</v>
      </c>
      <c r="M3184" s="377">
        <v>19.861799999999999</v>
      </c>
      <c r="N3184" s="706">
        <v>120939.69190799999</v>
      </c>
      <c r="O3184" s="705">
        <v>7584.9</v>
      </c>
      <c r="P3184" s="369">
        <v>1</v>
      </c>
      <c r="Q3184" s="377">
        <v>20.306000000000001</v>
      </c>
      <c r="R3184" s="706">
        <v>154018.97940000001</v>
      </c>
      <c r="S3184" s="369">
        <v>114.601</v>
      </c>
      <c r="T3184" s="369">
        <v>122.94799999999999</v>
      </c>
      <c r="U3184" s="369">
        <v>1.0728</v>
      </c>
      <c r="V3184" s="706">
        <v>165231.56110032002</v>
      </c>
      <c r="W3184" s="706">
        <v>-44291.869192320024</v>
      </c>
    </row>
    <row r="3185" spans="2:23" ht="24" customHeight="1">
      <c r="J3185" s="345"/>
      <c r="K3185" s="703"/>
      <c r="L3185" s="342"/>
      <c r="M3185" s="342"/>
      <c r="N3185" s="340"/>
      <c r="O3185" s="703"/>
      <c r="P3185" s="342"/>
      <c r="Q3185" s="363"/>
      <c r="R3185" s="340"/>
      <c r="S3185" s="342"/>
      <c r="T3185" s="342"/>
      <c r="U3185" s="342"/>
      <c r="V3185" s="340"/>
      <c r="W3185" s="340"/>
    </row>
    <row r="3186" spans="2:23" ht="24" customHeight="1">
      <c r="B3186" s="67"/>
      <c r="E3186" s="1" t="s">
        <v>845</v>
      </c>
      <c r="J3186" s="345"/>
      <c r="K3186" s="703"/>
      <c r="L3186" s="342"/>
      <c r="M3186" s="342"/>
      <c r="N3186" s="340"/>
      <c r="O3186" s="703"/>
      <c r="P3186" s="342"/>
      <c r="Q3186" s="363"/>
      <c r="R3186" s="340"/>
      <c r="S3186" s="342"/>
      <c r="T3186" s="342"/>
      <c r="U3186" s="342"/>
      <c r="V3186" s="340"/>
      <c r="W3186" s="340"/>
    </row>
    <row r="3187" spans="2:23" ht="24" customHeight="1">
      <c r="B3187" s="67"/>
      <c r="F3187" s="346">
        <v>44725</v>
      </c>
      <c r="G3187" s="346"/>
      <c r="H3187" s="346"/>
      <c r="I3187" s="346"/>
      <c r="J3187" s="345"/>
      <c r="K3187" s="703"/>
      <c r="L3187" s="342"/>
      <c r="M3187" s="342"/>
      <c r="N3187" s="340"/>
      <c r="O3187" s="703"/>
      <c r="P3187" s="342"/>
      <c r="Q3187" s="363"/>
      <c r="R3187" s="340"/>
      <c r="S3187" s="342"/>
      <c r="T3187" s="342"/>
      <c r="U3187" s="342"/>
      <c r="V3187" s="340"/>
      <c r="W3187" s="340"/>
    </row>
    <row r="3188" spans="2:23" ht="24" customHeight="1">
      <c r="B3188" s="67"/>
      <c r="G3188" s="3" t="s">
        <v>59</v>
      </c>
      <c r="H3188" s="3"/>
      <c r="I3188" s="3"/>
      <c r="J3188" s="345"/>
      <c r="K3188" s="703"/>
      <c r="L3188" s="342"/>
      <c r="M3188" s="342"/>
      <c r="N3188" s="340"/>
      <c r="O3188" s="703"/>
      <c r="P3188" s="342"/>
      <c r="Q3188" s="363"/>
      <c r="R3188" s="340"/>
      <c r="S3188" s="342"/>
      <c r="T3188" s="342"/>
      <c r="U3188" s="342"/>
      <c r="V3188" s="340"/>
      <c r="W3188" s="340"/>
    </row>
    <row r="3189" spans="2:23" ht="24" customHeight="1">
      <c r="B3189" s="67"/>
      <c r="H3189" s="347">
        <v>43964</v>
      </c>
      <c r="I3189" s="347"/>
      <c r="J3189" s="345"/>
      <c r="K3189" s="703"/>
      <c r="L3189" s="342"/>
      <c r="M3189" s="342"/>
      <c r="N3189" s="340"/>
      <c r="O3189" s="703"/>
      <c r="P3189" s="342"/>
      <c r="Q3189" s="363"/>
      <c r="R3189" s="340"/>
      <c r="S3189" s="342"/>
      <c r="T3189" s="342"/>
      <c r="U3189" s="342"/>
      <c r="V3189" s="340"/>
      <c r="W3189" s="340"/>
    </row>
    <row r="3190" spans="2:23" ht="24" customHeight="1">
      <c r="B3190" s="67"/>
      <c r="I3190" s="3" t="s">
        <v>59</v>
      </c>
      <c r="J3190" s="345">
        <v>180.72300000000001</v>
      </c>
      <c r="K3190" s="703">
        <v>13362.68</v>
      </c>
      <c r="L3190" s="342">
        <v>1</v>
      </c>
      <c r="M3190" s="342">
        <v>19.6128</v>
      </c>
      <c r="N3190" s="340">
        <v>262079.57030399999</v>
      </c>
      <c r="O3190" s="703">
        <v>11694.59</v>
      </c>
      <c r="P3190" s="342">
        <v>1</v>
      </c>
      <c r="Q3190" s="363">
        <v>23.869299999999999</v>
      </c>
      <c r="R3190" s="340">
        <v>279141.67708699999</v>
      </c>
      <c r="S3190" s="342">
        <v>106.16200000000001</v>
      </c>
      <c r="T3190" s="342">
        <v>121.02200000000001</v>
      </c>
      <c r="U3190" s="342">
        <v>1.1398999999999999</v>
      </c>
      <c r="V3190" s="340">
        <v>318193.59771147126</v>
      </c>
      <c r="W3190" s="340">
        <v>-56114.027407471265</v>
      </c>
    </row>
    <row r="3191" spans="2:23" ht="24" customHeight="1">
      <c r="J3191" s="345"/>
      <c r="K3191" s="703"/>
      <c r="L3191" s="342"/>
      <c r="M3191" s="342"/>
      <c r="N3191" s="340"/>
      <c r="O3191" s="703"/>
      <c r="P3191" s="342"/>
      <c r="Q3191" s="363"/>
      <c r="R3191" s="340"/>
      <c r="S3191" s="342"/>
      <c r="T3191" s="342"/>
      <c r="U3191" s="342"/>
      <c r="V3191" s="340"/>
      <c r="W3191" s="340"/>
    </row>
    <row r="3192" spans="2:23" ht="24" customHeight="1">
      <c r="B3192" s="67"/>
      <c r="E3192" s="131" t="s">
        <v>1061</v>
      </c>
      <c r="F3192" s="131"/>
      <c r="G3192" s="131"/>
      <c r="H3192" s="131"/>
      <c r="I3192" s="131"/>
      <c r="J3192" s="704">
        <v>180.72300000000001</v>
      </c>
      <c r="K3192" s="705">
        <v>13362.68</v>
      </c>
      <c r="L3192" s="369">
        <v>1</v>
      </c>
      <c r="M3192" s="377">
        <v>19.6128</v>
      </c>
      <c r="N3192" s="706">
        <v>262079.57030399999</v>
      </c>
      <c r="O3192" s="705">
        <v>11694.59</v>
      </c>
      <c r="P3192" s="369">
        <v>1</v>
      </c>
      <c r="Q3192" s="377">
        <v>23.869299999999999</v>
      </c>
      <c r="R3192" s="706">
        <v>279141.67708699999</v>
      </c>
      <c r="S3192" s="369">
        <v>106.16200000000001</v>
      </c>
      <c r="T3192" s="369">
        <v>121.02200000000001</v>
      </c>
      <c r="U3192" s="369">
        <v>1.1398999999999999</v>
      </c>
      <c r="V3192" s="706">
        <v>318193.59771147126</v>
      </c>
      <c r="W3192" s="706">
        <v>-56114.027407471265</v>
      </c>
    </row>
    <row r="3193" spans="2:23" ht="24" customHeight="1">
      <c r="J3193" s="345"/>
      <c r="K3193" s="703"/>
      <c r="L3193" s="342"/>
      <c r="M3193" s="342"/>
      <c r="N3193" s="340"/>
      <c r="O3193" s="703"/>
      <c r="P3193" s="342"/>
      <c r="Q3193" s="363"/>
      <c r="R3193" s="340"/>
      <c r="S3193" s="342"/>
      <c r="T3193" s="342"/>
      <c r="U3193" s="342"/>
      <c r="V3193" s="340"/>
      <c r="W3193" s="340"/>
    </row>
    <row r="3194" spans="2:23" ht="24" customHeight="1">
      <c r="B3194" s="67"/>
      <c r="E3194" s="1" t="s">
        <v>756</v>
      </c>
      <c r="J3194" s="345"/>
      <c r="K3194" s="703"/>
      <c r="L3194" s="342"/>
      <c r="M3194" s="342"/>
      <c r="N3194" s="340"/>
      <c r="O3194" s="703"/>
      <c r="P3194" s="342"/>
      <c r="Q3194" s="363"/>
      <c r="R3194" s="340"/>
      <c r="S3194" s="342"/>
      <c r="T3194" s="342"/>
      <c r="U3194" s="342"/>
      <c r="V3194" s="340"/>
      <c r="W3194" s="340"/>
    </row>
    <row r="3195" spans="2:23" ht="24" customHeight="1">
      <c r="B3195" s="67"/>
      <c r="F3195" s="346">
        <v>44678</v>
      </c>
      <c r="G3195" s="346"/>
      <c r="H3195" s="346"/>
      <c r="I3195" s="346"/>
      <c r="J3195" s="345"/>
      <c r="K3195" s="703"/>
      <c r="L3195" s="342"/>
      <c r="M3195" s="342"/>
      <c r="N3195" s="340"/>
      <c r="O3195" s="703"/>
      <c r="P3195" s="342"/>
      <c r="Q3195" s="363"/>
      <c r="R3195" s="340"/>
      <c r="S3195" s="342"/>
      <c r="T3195" s="342"/>
      <c r="U3195" s="342"/>
      <c r="V3195" s="340"/>
      <c r="W3195" s="340"/>
    </row>
    <row r="3196" spans="2:23" ht="24" customHeight="1">
      <c r="B3196" s="67"/>
      <c r="G3196" s="3" t="s">
        <v>59</v>
      </c>
      <c r="H3196" s="3"/>
      <c r="I3196" s="3"/>
      <c r="J3196" s="345"/>
      <c r="K3196" s="703"/>
      <c r="L3196" s="342"/>
      <c r="M3196" s="342"/>
      <c r="N3196" s="340"/>
      <c r="O3196" s="703"/>
      <c r="P3196" s="342"/>
      <c r="Q3196" s="363"/>
      <c r="R3196" s="340"/>
      <c r="S3196" s="342"/>
      <c r="T3196" s="342"/>
      <c r="U3196" s="342"/>
      <c r="V3196" s="340"/>
      <c r="W3196" s="340"/>
    </row>
    <row r="3197" spans="2:23" ht="24" customHeight="1">
      <c r="B3197" s="67"/>
      <c r="H3197" s="347">
        <v>43965</v>
      </c>
      <c r="I3197" s="347"/>
      <c r="J3197" s="345"/>
      <c r="K3197" s="703"/>
      <c r="L3197" s="342"/>
      <c r="M3197" s="342"/>
      <c r="N3197" s="340"/>
      <c r="O3197" s="703"/>
      <c r="P3197" s="342"/>
      <c r="Q3197" s="363"/>
      <c r="R3197" s="340"/>
      <c r="S3197" s="342"/>
      <c r="T3197" s="342"/>
      <c r="U3197" s="342"/>
      <c r="V3197" s="340"/>
      <c r="W3197" s="340"/>
    </row>
    <row r="3198" spans="2:23" ht="24" customHeight="1">
      <c r="B3198" s="67"/>
      <c r="I3198" s="3" t="s">
        <v>59</v>
      </c>
      <c r="J3198" s="345">
        <v>50</v>
      </c>
      <c r="K3198" s="703">
        <v>12815.77</v>
      </c>
      <c r="L3198" s="342">
        <v>1</v>
      </c>
      <c r="M3198" s="342">
        <v>20.299199999999999</v>
      </c>
      <c r="N3198" s="340">
        <v>260149.87838400001</v>
      </c>
      <c r="O3198" s="703">
        <v>8121.75</v>
      </c>
      <c r="P3198" s="342">
        <v>1</v>
      </c>
      <c r="Q3198" s="363">
        <v>24.0487</v>
      </c>
      <c r="R3198" s="340">
        <v>195317.52922500001</v>
      </c>
      <c r="S3198" s="342">
        <v>106.16200000000001</v>
      </c>
      <c r="T3198" s="342">
        <v>120.15900000000001</v>
      </c>
      <c r="U3198" s="342">
        <v>1.1317999999999999</v>
      </c>
      <c r="V3198" s="340">
        <v>221060.37957685499</v>
      </c>
      <c r="W3198" s="340">
        <v>39089.498807145021</v>
      </c>
    </row>
    <row r="3199" spans="2:23" ht="24" customHeight="1">
      <c r="J3199" s="345"/>
      <c r="K3199" s="703"/>
      <c r="L3199" s="342"/>
      <c r="M3199" s="342"/>
      <c r="N3199" s="340"/>
      <c r="O3199" s="703"/>
      <c r="P3199" s="342"/>
      <c r="Q3199" s="363"/>
      <c r="R3199" s="340"/>
      <c r="S3199" s="342"/>
      <c r="T3199" s="342"/>
      <c r="U3199" s="342"/>
      <c r="V3199" s="340"/>
      <c r="W3199" s="340"/>
    </row>
    <row r="3200" spans="2:23" ht="24" customHeight="1">
      <c r="B3200" s="67"/>
      <c r="E3200" s="131" t="s">
        <v>1205</v>
      </c>
      <c r="F3200" s="131"/>
      <c r="G3200" s="131"/>
      <c r="H3200" s="131"/>
      <c r="I3200" s="131"/>
      <c r="J3200" s="704">
        <v>50</v>
      </c>
      <c r="K3200" s="705">
        <v>12815.77</v>
      </c>
      <c r="L3200" s="369">
        <v>1</v>
      </c>
      <c r="M3200" s="377">
        <v>20.299199999999999</v>
      </c>
      <c r="N3200" s="706">
        <v>260149.87838400001</v>
      </c>
      <c r="O3200" s="705">
        <v>8121.75</v>
      </c>
      <c r="P3200" s="369">
        <v>1</v>
      </c>
      <c r="Q3200" s="377">
        <v>24.0487</v>
      </c>
      <c r="R3200" s="706">
        <v>195317.52922500001</v>
      </c>
      <c r="S3200" s="369">
        <v>106.16200000000001</v>
      </c>
      <c r="T3200" s="369">
        <v>120.15900000000001</v>
      </c>
      <c r="U3200" s="369">
        <v>1.1317999999999999</v>
      </c>
      <c r="V3200" s="706">
        <v>221060.37957685499</v>
      </c>
      <c r="W3200" s="706">
        <v>39089.498807145021</v>
      </c>
    </row>
    <row r="3201" spans="2:23" ht="24" customHeight="1">
      <c r="J3201" s="345"/>
      <c r="K3201" s="703"/>
      <c r="L3201" s="342"/>
      <c r="M3201" s="342"/>
      <c r="N3201" s="340"/>
      <c r="O3201" s="703"/>
      <c r="P3201" s="342"/>
      <c r="Q3201" s="363"/>
      <c r="R3201" s="340"/>
      <c r="S3201" s="342"/>
      <c r="T3201" s="342"/>
      <c r="U3201" s="342"/>
      <c r="V3201" s="340"/>
      <c r="W3201" s="340"/>
    </row>
    <row r="3202" spans="2:23" ht="24" customHeight="1">
      <c r="B3202" s="67"/>
      <c r="E3202" s="1" t="s">
        <v>944</v>
      </c>
      <c r="J3202" s="345"/>
      <c r="K3202" s="703"/>
      <c r="L3202" s="342"/>
      <c r="M3202" s="342"/>
      <c r="N3202" s="340"/>
      <c r="O3202" s="703"/>
      <c r="P3202" s="342"/>
      <c r="Q3202" s="363"/>
      <c r="R3202" s="340"/>
      <c r="S3202" s="342"/>
      <c r="T3202" s="342"/>
      <c r="U3202" s="342"/>
      <c r="V3202" s="340"/>
      <c r="W3202" s="340"/>
    </row>
    <row r="3203" spans="2:23" ht="24" customHeight="1">
      <c r="B3203" s="67"/>
      <c r="F3203" s="346">
        <v>44755</v>
      </c>
      <c r="G3203" s="346"/>
      <c r="H3203" s="346"/>
      <c r="I3203" s="346"/>
      <c r="J3203" s="345"/>
      <c r="K3203" s="703"/>
      <c r="L3203" s="342"/>
      <c r="M3203" s="342"/>
      <c r="N3203" s="340"/>
      <c r="O3203" s="703"/>
      <c r="P3203" s="342"/>
      <c r="Q3203" s="363"/>
      <c r="R3203" s="340"/>
      <c r="S3203" s="342"/>
      <c r="T3203" s="342"/>
      <c r="U3203" s="342"/>
      <c r="V3203" s="340"/>
      <c r="W3203" s="340"/>
    </row>
    <row r="3204" spans="2:23" ht="24" customHeight="1">
      <c r="B3204" s="67"/>
      <c r="G3204" s="3" t="s">
        <v>59</v>
      </c>
      <c r="H3204" s="3"/>
      <c r="I3204" s="3"/>
      <c r="J3204" s="345"/>
      <c r="K3204" s="703"/>
      <c r="L3204" s="342"/>
      <c r="M3204" s="342"/>
      <c r="N3204" s="340"/>
      <c r="O3204" s="703"/>
      <c r="P3204" s="342"/>
      <c r="Q3204" s="363"/>
      <c r="R3204" s="340"/>
      <c r="S3204" s="342"/>
      <c r="T3204" s="342"/>
      <c r="U3204" s="342"/>
      <c r="V3204" s="340"/>
      <c r="W3204" s="340"/>
    </row>
    <row r="3205" spans="2:23" ht="24" customHeight="1">
      <c r="B3205" s="67"/>
      <c r="H3205" s="347">
        <v>44720</v>
      </c>
      <c r="I3205" s="347"/>
      <c r="J3205" s="345"/>
      <c r="K3205" s="703"/>
      <c r="L3205" s="342"/>
      <c r="M3205" s="342"/>
      <c r="N3205" s="340"/>
      <c r="O3205" s="703"/>
      <c r="P3205" s="342"/>
      <c r="Q3205" s="363"/>
      <c r="R3205" s="340"/>
      <c r="S3205" s="342"/>
      <c r="T3205" s="342"/>
      <c r="U3205" s="342"/>
      <c r="V3205" s="340"/>
      <c r="W3205" s="340"/>
    </row>
    <row r="3206" spans="2:23" ht="24" customHeight="1">
      <c r="B3206" s="67"/>
      <c r="I3206" s="3" t="s">
        <v>59</v>
      </c>
      <c r="J3206" s="345">
        <v>19</v>
      </c>
      <c r="K3206" s="703">
        <v>8891.61</v>
      </c>
      <c r="L3206" s="342">
        <v>1</v>
      </c>
      <c r="M3206" s="342">
        <v>20.747299999999999</v>
      </c>
      <c r="N3206" s="340">
        <v>184476.900153</v>
      </c>
      <c r="O3206" s="703">
        <v>8988.33</v>
      </c>
      <c r="P3206" s="342">
        <v>1</v>
      </c>
      <c r="Q3206" s="363">
        <v>19.5547</v>
      </c>
      <c r="R3206" s="340">
        <v>175764.096651</v>
      </c>
      <c r="S3206" s="342">
        <v>122.044</v>
      </c>
      <c r="T3206" s="342">
        <v>122.044</v>
      </c>
      <c r="U3206" s="342">
        <v>1</v>
      </c>
      <c r="V3206" s="340">
        <v>175764.096651</v>
      </c>
      <c r="W3206" s="340">
        <v>8712.8035019999952</v>
      </c>
    </row>
    <row r="3207" spans="2:23" ht="24" customHeight="1">
      <c r="J3207" s="345"/>
      <c r="K3207" s="703"/>
      <c r="L3207" s="342"/>
      <c r="M3207" s="342"/>
      <c r="N3207" s="340"/>
      <c r="O3207" s="703"/>
      <c r="P3207" s="342"/>
      <c r="Q3207" s="363"/>
      <c r="R3207" s="340"/>
      <c r="S3207" s="342"/>
      <c r="T3207" s="342"/>
      <c r="U3207" s="342"/>
      <c r="V3207" s="340"/>
      <c r="W3207" s="340"/>
    </row>
    <row r="3208" spans="2:23" ht="24" customHeight="1">
      <c r="B3208" s="67"/>
      <c r="E3208" s="131" t="s">
        <v>1206</v>
      </c>
      <c r="F3208" s="131"/>
      <c r="G3208" s="131"/>
      <c r="H3208" s="131"/>
      <c r="I3208" s="131"/>
      <c r="J3208" s="704">
        <v>19</v>
      </c>
      <c r="K3208" s="705">
        <v>8891.61</v>
      </c>
      <c r="L3208" s="369">
        <v>1</v>
      </c>
      <c r="M3208" s="377">
        <v>20.747299999999999</v>
      </c>
      <c r="N3208" s="706">
        <v>184476.900153</v>
      </c>
      <c r="O3208" s="705">
        <v>8988.33</v>
      </c>
      <c r="P3208" s="369">
        <v>1</v>
      </c>
      <c r="Q3208" s="377">
        <v>19.5547</v>
      </c>
      <c r="R3208" s="706">
        <v>175764.096651</v>
      </c>
      <c r="S3208" s="369">
        <v>122.044</v>
      </c>
      <c r="T3208" s="369">
        <v>122.044</v>
      </c>
      <c r="U3208" s="369">
        <v>1</v>
      </c>
      <c r="V3208" s="706">
        <v>175764.096651</v>
      </c>
      <c r="W3208" s="706">
        <v>8712.8035019999952</v>
      </c>
    </row>
    <row r="3209" spans="2:23" ht="24" customHeight="1">
      <c r="J3209" s="345"/>
      <c r="K3209" s="703"/>
      <c r="L3209" s="342"/>
      <c r="M3209" s="342"/>
      <c r="N3209" s="340"/>
      <c r="O3209" s="703"/>
      <c r="P3209" s="342"/>
      <c r="Q3209" s="363"/>
      <c r="R3209" s="340"/>
      <c r="S3209" s="342"/>
      <c r="T3209" s="342"/>
      <c r="U3209" s="342"/>
      <c r="V3209" s="340"/>
      <c r="W3209" s="340"/>
    </row>
    <row r="3210" spans="2:23" ht="24" customHeight="1">
      <c r="B3210" s="67"/>
      <c r="E3210" s="1" t="s">
        <v>831</v>
      </c>
      <c r="J3210" s="345"/>
      <c r="K3210" s="703"/>
      <c r="L3210" s="342"/>
      <c r="M3210" s="342"/>
      <c r="N3210" s="340"/>
      <c r="O3210" s="703"/>
      <c r="P3210" s="342"/>
      <c r="Q3210" s="363"/>
      <c r="R3210" s="340"/>
      <c r="S3210" s="342"/>
      <c r="T3210" s="342"/>
      <c r="U3210" s="342"/>
      <c r="V3210" s="340"/>
      <c r="W3210" s="340"/>
    </row>
    <row r="3211" spans="2:23" ht="24" customHeight="1">
      <c r="B3211" s="67"/>
      <c r="F3211" s="346">
        <v>44701</v>
      </c>
      <c r="G3211" s="346"/>
      <c r="H3211" s="346"/>
      <c r="I3211" s="346"/>
      <c r="J3211" s="345"/>
      <c r="K3211" s="703"/>
      <c r="L3211" s="342"/>
      <c r="M3211" s="342"/>
      <c r="N3211" s="340"/>
      <c r="O3211" s="703"/>
      <c r="P3211" s="342"/>
      <c r="Q3211" s="363"/>
      <c r="R3211" s="340"/>
      <c r="S3211" s="342"/>
      <c r="T3211" s="342"/>
      <c r="U3211" s="342"/>
      <c r="V3211" s="340"/>
      <c r="W3211" s="340"/>
    </row>
    <row r="3212" spans="2:23" ht="24" customHeight="1">
      <c r="B3212" s="67"/>
      <c r="G3212" s="3" t="s">
        <v>59</v>
      </c>
      <c r="H3212" s="3"/>
      <c r="I3212" s="3"/>
      <c r="J3212" s="345"/>
      <c r="K3212" s="703"/>
      <c r="L3212" s="342"/>
      <c r="M3212" s="342"/>
      <c r="N3212" s="340"/>
      <c r="O3212" s="703"/>
      <c r="P3212" s="342"/>
      <c r="Q3212" s="363"/>
      <c r="R3212" s="340"/>
      <c r="S3212" s="342"/>
      <c r="T3212" s="342"/>
      <c r="U3212" s="342"/>
      <c r="V3212" s="340"/>
      <c r="W3212" s="340"/>
    </row>
    <row r="3213" spans="2:23" ht="24" customHeight="1">
      <c r="B3213" s="67"/>
      <c r="H3213" s="347">
        <v>43315</v>
      </c>
      <c r="I3213" s="347"/>
      <c r="J3213" s="345"/>
      <c r="K3213" s="703"/>
      <c r="L3213" s="342"/>
      <c r="M3213" s="342"/>
      <c r="N3213" s="340"/>
      <c r="O3213" s="703"/>
      <c r="P3213" s="342"/>
      <c r="Q3213" s="363"/>
      <c r="R3213" s="340"/>
      <c r="S3213" s="342"/>
      <c r="T3213" s="342"/>
      <c r="U3213" s="342"/>
      <c r="V3213" s="340"/>
      <c r="W3213" s="340"/>
    </row>
    <row r="3214" spans="2:23" ht="24" customHeight="1">
      <c r="B3214" s="67"/>
      <c r="I3214" s="3" t="s">
        <v>59</v>
      </c>
      <c r="J3214" s="345">
        <v>10</v>
      </c>
      <c r="K3214" s="703">
        <v>5745.04</v>
      </c>
      <c r="L3214" s="342">
        <v>1</v>
      </c>
      <c r="M3214" s="342">
        <v>19.9663</v>
      </c>
      <c r="N3214" s="340">
        <v>114707.192152</v>
      </c>
      <c r="O3214" s="703">
        <v>3094.33</v>
      </c>
      <c r="P3214" s="342">
        <v>1</v>
      </c>
      <c r="Q3214" s="363">
        <v>18.5899</v>
      </c>
      <c r="R3214" s="340">
        <v>57523.285266999999</v>
      </c>
      <c r="S3214" s="342">
        <v>100.492</v>
      </c>
      <c r="T3214" s="342">
        <v>120.809</v>
      </c>
      <c r="U3214" s="342">
        <v>1.2020999999999999</v>
      </c>
      <c r="V3214" s="340">
        <v>69148.741219460702</v>
      </c>
      <c r="W3214" s="340">
        <v>45558.450932539301</v>
      </c>
    </row>
    <row r="3215" spans="2:23" ht="24" customHeight="1">
      <c r="J3215" s="345"/>
      <c r="K3215" s="703"/>
      <c r="L3215" s="342"/>
      <c r="M3215" s="342"/>
      <c r="N3215" s="340"/>
      <c r="O3215" s="703"/>
      <c r="P3215" s="342"/>
      <c r="Q3215" s="363"/>
      <c r="R3215" s="340"/>
      <c r="S3215" s="342"/>
      <c r="T3215" s="342"/>
      <c r="U3215" s="342"/>
      <c r="V3215" s="340"/>
      <c r="W3215" s="340"/>
    </row>
    <row r="3216" spans="2:23" ht="24" customHeight="1">
      <c r="B3216" s="67"/>
      <c r="F3216" s="346">
        <v>44649</v>
      </c>
      <c r="G3216" s="346"/>
      <c r="H3216" s="346"/>
      <c r="I3216" s="346"/>
      <c r="J3216" s="345"/>
      <c r="K3216" s="703"/>
      <c r="L3216" s="342"/>
      <c r="M3216" s="342"/>
      <c r="N3216" s="340"/>
      <c r="O3216" s="703"/>
      <c r="P3216" s="342"/>
      <c r="Q3216" s="363"/>
      <c r="R3216" s="340"/>
      <c r="S3216" s="342"/>
      <c r="T3216" s="342"/>
      <c r="U3216" s="342"/>
      <c r="V3216" s="340"/>
      <c r="W3216" s="340"/>
    </row>
    <row r="3217" spans="2:23" ht="24" customHeight="1">
      <c r="B3217" s="67"/>
      <c r="G3217" s="3" t="s">
        <v>59</v>
      </c>
      <c r="H3217" s="3"/>
      <c r="I3217" s="3"/>
      <c r="J3217" s="345"/>
      <c r="K3217" s="703"/>
      <c r="L3217" s="342"/>
      <c r="M3217" s="342"/>
      <c r="N3217" s="340"/>
      <c r="O3217" s="703"/>
      <c r="P3217" s="342"/>
      <c r="Q3217" s="363"/>
      <c r="R3217" s="340"/>
      <c r="S3217" s="342"/>
      <c r="T3217" s="342"/>
      <c r="U3217" s="342"/>
      <c r="V3217" s="340"/>
      <c r="W3217" s="340"/>
    </row>
    <row r="3218" spans="2:23" ht="24" customHeight="1">
      <c r="B3218" s="67"/>
      <c r="H3218" s="347">
        <v>43315</v>
      </c>
      <c r="I3218" s="347"/>
      <c r="J3218" s="345"/>
      <c r="K3218" s="703"/>
      <c r="L3218" s="342"/>
      <c r="M3218" s="342"/>
      <c r="N3218" s="340"/>
      <c r="O3218" s="703"/>
      <c r="P3218" s="342"/>
      <c r="Q3218" s="363"/>
      <c r="R3218" s="340"/>
      <c r="S3218" s="342"/>
      <c r="T3218" s="342"/>
      <c r="U3218" s="342"/>
      <c r="V3218" s="340"/>
      <c r="W3218" s="340"/>
    </row>
    <row r="3219" spans="2:23" ht="24" customHeight="1">
      <c r="B3219" s="67"/>
      <c r="I3219" s="3" t="s">
        <v>59</v>
      </c>
      <c r="J3219" s="345">
        <v>11</v>
      </c>
      <c r="K3219" s="703">
        <v>7633.6</v>
      </c>
      <c r="L3219" s="342">
        <v>1</v>
      </c>
      <c r="M3219" s="342">
        <v>19.957699999999999</v>
      </c>
      <c r="N3219" s="340">
        <v>152349.09872000001</v>
      </c>
      <c r="O3219" s="703">
        <v>3403.76</v>
      </c>
      <c r="P3219" s="342">
        <v>1</v>
      </c>
      <c r="Q3219" s="363">
        <v>18.5899</v>
      </c>
      <c r="R3219" s="340">
        <v>63275.558024000005</v>
      </c>
      <c r="S3219" s="342">
        <v>100.492</v>
      </c>
      <c r="T3219" s="342">
        <v>118.98099999999999</v>
      </c>
      <c r="U3219" s="342">
        <v>1.1839</v>
      </c>
      <c r="V3219" s="340">
        <v>74911.933144613606</v>
      </c>
      <c r="W3219" s="340">
        <v>77437.165575386403</v>
      </c>
    </row>
    <row r="3220" spans="2:23" ht="24" customHeight="1">
      <c r="J3220" s="345"/>
      <c r="K3220" s="703"/>
      <c r="L3220" s="342"/>
      <c r="M3220" s="342"/>
      <c r="N3220" s="340"/>
      <c r="O3220" s="703"/>
      <c r="P3220" s="342"/>
      <c r="Q3220" s="363"/>
      <c r="R3220" s="340"/>
      <c r="S3220" s="342"/>
      <c r="T3220" s="342"/>
      <c r="U3220" s="342"/>
      <c r="V3220" s="340"/>
      <c r="W3220" s="340"/>
    </row>
    <row r="3221" spans="2:23" ht="24" customHeight="1">
      <c r="B3221" s="67"/>
      <c r="F3221" s="346">
        <v>44648</v>
      </c>
      <c r="G3221" s="346"/>
      <c r="H3221" s="346"/>
      <c r="I3221" s="346"/>
      <c r="J3221" s="345"/>
      <c r="K3221" s="703"/>
      <c r="L3221" s="342"/>
      <c r="M3221" s="342"/>
      <c r="N3221" s="340"/>
      <c r="O3221" s="703"/>
      <c r="P3221" s="342"/>
      <c r="Q3221" s="363"/>
      <c r="R3221" s="340"/>
      <c r="S3221" s="342"/>
      <c r="T3221" s="342"/>
      <c r="U3221" s="342"/>
      <c r="V3221" s="340"/>
      <c r="W3221" s="340"/>
    </row>
    <row r="3222" spans="2:23" ht="24" customHeight="1">
      <c r="B3222" s="67"/>
      <c r="G3222" s="3" t="s">
        <v>59</v>
      </c>
      <c r="H3222" s="3"/>
      <c r="I3222" s="3"/>
      <c r="J3222" s="345"/>
      <c r="K3222" s="703"/>
      <c r="L3222" s="342"/>
      <c r="M3222" s="342"/>
      <c r="N3222" s="340"/>
      <c r="O3222" s="703"/>
      <c r="P3222" s="342"/>
      <c r="Q3222" s="363"/>
      <c r="R3222" s="340"/>
      <c r="S3222" s="342"/>
      <c r="T3222" s="342"/>
      <c r="U3222" s="342"/>
      <c r="V3222" s="340"/>
      <c r="W3222" s="340"/>
    </row>
    <row r="3223" spans="2:23" ht="24" customHeight="1">
      <c r="B3223" s="67"/>
      <c r="H3223" s="347">
        <v>43315</v>
      </c>
      <c r="I3223" s="347"/>
      <c r="J3223" s="345"/>
      <c r="K3223" s="703"/>
      <c r="L3223" s="342"/>
      <c r="M3223" s="342"/>
      <c r="N3223" s="340"/>
      <c r="O3223" s="703"/>
      <c r="P3223" s="342"/>
      <c r="Q3223" s="363"/>
      <c r="R3223" s="340"/>
      <c r="S3223" s="342"/>
      <c r="T3223" s="342"/>
      <c r="U3223" s="342"/>
      <c r="V3223" s="340"/>
      <c r="W3223" s="340"/>
    </row>
    <row r="3224" spans="2:23" ht="24" customHeight="1">
      <c r="B3224" s="67"/>
      <c r="I3224" s="3" t="s">
        <v>59</v>
      </c>
      <c r="J3224" s="345">
        <v>9</v>
      </c>
      <c r="K3224" s="703">
        <v>6223.23</v>
      </c>
      <c r="L3224" s="342">
        <v>1</v>
      </c>
      <c r="M3224" s="342">
        <v>20.1313</v>
      </c>
      <c r="N3224" s="340">
        <v>125281.71009899999</v>
      </c>
      <c r="O3224" s="703">
        <v>2784.9</v>
      </c>
      <c r="P3224" s="342">
        <v>1</v>
      </c>
      <c r="Q3224" s="363">
        <v>18.5899</v>
      </c>
      <c r="R3224" s="340">
        <v>51771.01251</v>
      </c>
      <c r="S3224" s="342">
        <v>100.492</v>
      </c>
      <c r="T3224" s="342">
        <v>118.98099999999999</v>
      </c>
      <c r="U3224" s="342">
        <v>1.1839</v>
      </c>
      <c r="V3224" s="340">
        <v>61291.701710588997</v>
      </c>
      <c r="W3224" s="340">
        <v>63990.008388410992</v>
      </c>
    </row>
    <row r="3225" spans="2:23" ht="24" customHeight="1">
      <c r="J3225" s="345"/>
      <c r="K3225" s="703"/>
      <c r="L3225" s="342"/>
      <c r="M3225" s="342"/>
      <c r="N3225" s="340"/>
      <c r="O3225" s="703"/>
      <c r="P3225" s="342"/>
      <c r="Q3225" s="363"/>
      <c r="R3225" s="340"/>
      <c r="S3225" s="342"/>
      <c r="T3225" s="342"/>
      <c r="U3225" s="342"/>
      <c r="V3225" s="340"/>
      <c r="W3225" s="340"/>
    </row>
    <row r="3226" spans="2:23" ht="24" customHeight="1">
      <c r="B3226" s="67"/>
      <c r="F3226" s="346">
        <v>44628</v>
      </c>
      <c r="G3226" s="346"/>
      <c r="H3226" s="346"/>
      <c r="I3226" s="346"/>
      <c r="J3226" s="345"/>
      <c r="K3226" s="703"/>
      <c r="L3226" s="342"/>
      <c r="M3226" s="342"/>
      <c r="N3226" s="340"/>
      <c r="O3226" s="703"/>
      <c r="P3226" s="342"/>
      <c r="Q3226" s="363"/>
      <c r="R3226" s="340"/>
      <c r="S3226" s="342"/>
      <c r="T3226" s="342"/>
      <c r="U3226" s="342"/>
      <c r="V3226" s="340"/>
      <c r="W3226" s="340"/>
    </row>
    <row r="3227" spans="2:23" ht="24" customHeight="1">
      <c r="B3227" s="67"/>
      <c r="G3227" s="3" t="s">
        <v>59</v>
      </c>
      <c r="H3227" s="3"/>
      <c r="I3227" s="3"/>
      <c r="J3227" s="345"/>
      <c r="K3227" s="703"/>
      <c r="L3227" s="342"/>
      <c r="M3227" s="342"/>
      <c r="N3227" s="340"/>
      <c r="O3227" s="703"/>
      <c r="P3227" s="342"/>
      <c r="Q3227" s="363"/>
      <c r="R3227" s="340"/>
      <c r="S3227" s="342"/>
      <c r="T3227" s="342"/>
      <c r="U3227" s="342"/>
      <c r="V3227" s="340"/>
      <c r="W3227" s="340"/>
    </row>
    <row r="3228" spans="2:23" ht="24" customHeight="1">
      <c r="B3228" s="67"/>
      <c r="H3228" s="347">
        <v>43315</v>
      </c>
      <c r="I3228" s="347"/>
      <c r="J3228" s="345"/>
      <c r="K3228" s="703"/>
      <c r="L3228" s="342"/>
      <c r="M3228" s="342"/>
      <c r="N3228" s="340"/>
      <c r="O3228" s="703"/>
      <c r="P3228" s="342"/>
      <c r="Q3228" s="363"/>
      <c r="R3228" s="340"/>
      <c r="S3228" s="342"/>
      <c r="T3228" s="342"/>
      <c r="U3228" s="342"/>
      <c r="V3228" s="340"/>
      <c r="W3228" s="340"/>
    </row>
    <row r="3229" spans="2:23" ht="24" customHeight="1">
      <c r="B3229" s="67"/>
      <c r="I3229" s="3" t="s">
        <v>59</v>
      </c>
      <c r="J3229" s="345">
        <v>23</v>
      </c>
      <c r="K3229" s="703">
        <v>15258.35</v>
      </c>
      <c r="L3229" s="342">
        <v>1</v>
      </c>
      <c r="M3229" s="342">
        <v>20.926200000000001</v>
      </c>
      <c r="N3229" s="340">
        <v>319299.28377000004</v>
      </c>
      <c r="O3229" s="703">
        <v>7116.96</v>
      </c>
      <c r="P3229" s="342">
        <v>1</v>
      </c>
      <c r="Q3229" s="363">
        <v>18.5899</v>
      </c>
      <c r="R3229" s="340">
        <v>132303.574704</v>
      </c>
      <c r="S3229" s="342">
        <v>100.492</v>
      </c>
      <c r="T3229" s="342">
        <v>118.98099999999999</v>
      </c>
      <c r="U3229" s="342">
        <v>1.1839</v>
      </c>
      <c r="V3229" s="340">
        <v>156634.20209206559</v>
      </c>
      <c r="W3229" s="340">
        <v>162665.08167793445</v>
      </c>
    </row>
    <row r="3230" spans="2:23" ht="24" customHeight="1">
      <c r="J3230" s="345"/>
      <c r="K3230" s="703"/>
      <c r="L3230" s="342"/>
      <c r="M3230" s="342"/>
      <c r="N3230" s="340"/>
      <c r="O3230" s="703"/>
      <c r="P3230" s="342"/>
      <c r="Q3230" s="363"/>
      <c r="R3230" s="340"/>
      <c r="S3230" s="342"/>
      <c r="T3230" s="342"/>
      <c r="U3230" s="342"/>
      <c r="V3230" s="340"/>
      <c r="W3230" s="340"/>
    </row>
    <row r="3231" spans="2:23" ht="24" customHeight="1">
      <c r="B3231" s="67"/>
      <c r="F3231" s="346">
        <v>44606</v>
      </c>
      <c r="G3231" s="346"/>
      <c r="H3231" s="346"/>
      <c r="I3231" s="346"/>
      <c r="J3231" s="345"/>
      <c r="K3231" s="703"/>
      <c r="L3231" s="342"/>
      <c r="M3231" s="342"/>
      <c r="N3231" s="340"/>
      <c r="O3231" s="703"/>
      <c r="P3231" s="342"/>
      <c r="Q3231" s="363"/>
      <c r="R3231" s="340"/>
      <c r="S3231" s="342"/>
      <c r="T3231" s="342"/>
      <c r="U3231" s="342"/>
      <c r="V3231" s="340"/>
      <c r="W3231" s="340"/>
    </row>
    <row r="3232" spans="2:23" ht="24" customHeight="1">
      <c r="B3232" s="67"/>
      <c r="G3232" s="3" t="s">
        <v>59</v>
      </c>
      <c r="H3232" s="3"/>
      <c r="I3232" s="3"/>
      <c r="J3232" s="345"/>
      <c r="K3232" s="703"/>
      <c r="L3232" s="342"/>
      <c r="M3232" s="342"/>
      <c r="N3232" s="340"/>
      <c r="O3232" s="703"/>
      <c r="P3232" s="342"/>
      <c r="Q3232" s="363"/>
      <c r="R3232" s="340"/>
      <c r="S3232" s="342"/>
      <c r="T3232" s="342"/>
      <c r="U3232" s="342"/>
      <c r="V3232" s="340"/>
      <c r="W3232" s="340"/>
    </row>
    <row r="3233" spans="2:23" ht="24" customHeight="1">
      <c r="B3233" s="67"/>
      <c r="H3233" s="347">
        <v>43315</v>
      </c>
      <c r="I3233" s="347"/>
      <c r="J3233" s="345"/>
      <c r="K3233" s="703"/>
      <c r="L3233" s="342"/>
      <c r="M3233" s="342"/>
      <c r="N3233" s="340"/>
      <c r="O3233" s="703"/>
      <c r="P3233" s="342"/>
      <c r="Q3233" s="363"/>
      <c r="R3233" s="340"/>
      <c r="S3233" s="342"/>
      <c r="T3233" s="342"/>
      <c r="U3233" s="342"/>
      <c r="V3233" s="340"/>
      <c r="W3233" s="340"/>
    </row>
    <row r="3234" spans="2:23" ht="24" customHeight="1">
      <c r="B3234" s="67"/>
      <c r="I3234" s="3" t="s">
        <v>59</v>
      </c>
      <c r="J3234" s="345">
        <v>15</v>
      </c>
      <c r="K3234" s="703">
        <v>9884.61</v>
      </c>
      <c r="L3234" s="342">
        <v>1</v>
      </c>
      <c r="M3234" s="342">
        <v>20.4148</v>
      </c>
      <c r="N3234" s="340">
        <v>201792.336228</v>
      </c>
      <c r="O3234" s="703">
        <v>4641.5</v>
      </c>
      <c r="P3234" s="342">
        <v>1</v>
      </c>
      <c r="Q3234" s="363">
        <v>18.5899</v>
      </c>
      <c r="R3234" s="340">
        <v>86285.020850000001</v>
      </c>
      <c r="S3234" s="342">
        <v>100.492</v>
      </c>
      <c r="T3234" s="342">
        <v>118.002</v>
      </c>
      <c r="U3234" s="342">
        <v>1.1741999999999999</v>
      </c>
      <c r="V3234" s="340">
        <v>101315.87148207</v>
      </c>
      <c r="W3234" s="340">
        <v>100476.46474593</v>
      </c>
    </row>
    <row r="3235" spans="2:23" ht="24" customHeight="1">
      <c r="J3235" s="345"/>
      <c r="K3235" s="703"/>
      <c r="L3235" s="342"/>
      <c r="M3235" s="342"/>
      <c r="N3235" s="340"/>
      <c r="O3235" s="703"/>
      <c r="P3235" s="342"/>
      <c r="Q3235" s="363"/>
      <c r="R3235" s="340"/>
      <c r="S3235" s="342"/>
      <c r="T3235" s="342"/>
      <c r="U3235" s="342"/>
      <c r="V3235" s="340"/>
      <c r="W3235" s="340"/>
    </row>
    <row r="3236" spans="2:23" ht="24" customHeight="1">
      <c r="B3236" s="67"/>
      <c r="F3236" s="346">
        <v>44704</v>
      </c>
      <c r="G3236" s="346"/>
      <c r="H3236" s="346"/>
      <c r="I3236" s="346"/>
      <c r="J3236" s="345"/>
      <c r="K3236" s="703"/>
      <c r="L3236" s="342"/>
      <c r="M3236" s="342"/>
      <c r="N3236" s="340"/>
      <c r="O3236" s="703"/>
      <c r="P3236" s="342"/>
      <c r="Q3236" s="363"/>
      <c r="R3236" s="340"/>
      <c r="S3236" s="342"/>
      <c r="T3236" s="342"/>
      <c r="U3236" s="342"/>
      <c r="V3236" s="340"/>
      <c r="W3236" s="340"/>
    </row>
    <row r="3237" spans="2:23" ht="24" customHeight="1">
      <c r="B3237" s="67"/>
      <c r="G3237" s="3" t="s">
        <v>59</v>
      </c>
      <c r="H3237" s="3"/>
      <c r="I3237" s="3"/>
      <c r="J3237" s="345"/>
      <c r="K3237" s="703"/>
      <c r="L3237" s="342"/>
      <c r="M3237" s="342"/>
      <c r="N3237" s="340"/>
      <c r="O3237" s="703"/>
      <c r="P3237" s="342"/>
      <c r="Q3237" s="363"/>
      <c r="R3237" s="340"/>
      <c r="S3237" s="342"/>
      <c r="T3237" s="342"/>
      <c r="U3237" s="342"/>
      <c r="V3237" s="340"/>
      <c r="W3237" s="340"/>
    </row>
    <row r="3238" spans="2:23" ht="24" customHeight="1">
      <c r="B3238" s="67"/>
      <c r="H3238" s="347">
        <v>43315</v>
      </c>
      <c r="I3238" s="347"/>
      <c r="J3238" s="345"/>
      <c r="K3238" s="703"/>
      <c r="L3238" s="342"/>
      <c r="M3238" s="342"/>
      <c r="N3238" s="340"/>
      <c r="O3238" s="703"/>
      <c r="P3238" s="342"/>
      <c r="Q3238" s="363"/>
      <c r="R3238" s="340"/>
      <c r="S3238" s="342"/>
      <c r="T3238" s="342"/>
      <c r="U3238" s="342"/>
      <c r="V3238" s="340"/>
      <c r="W3238" s="340"/>
    </row>
    <row r="3239" spans="2:23" ht="24" customHeight="1">
      <c r="B3239" s="67"/>
      <c r="I3239" s="3" t="s">
        <v>59</v>
      </c>
      <c r="J3239" s="345">
        <v>9</v>
      </c>
      <c r="K3239" s="703">
        <v>5187.4799999999996</v>
      </c>
      <c r="L3239" s="342">
        <v>1</v>
      </c>
      <c r="M3239" s="342">
        <v>19.9267</v>
      </c>
      <c r="N3239" s="340">
        <v>103369.357716</v>
      </c>
      <c r="O3239" s="703">
        <v>2784.9</v>
      </c>
      <c r="P3239" s="342">
        <v>1</v>
      </c>
      <c r="Q3239" s="363">
        <v>18.5899</v>
      </c>
      <c r="R3239" s="340">
        <v>51771.01251</v>
      </c>
      <c r="S3239" s="342">
        <v>100.492</v>
      </c>
      <c r="T3239" s="342">
        <v>120.809</v>
      </c>
      <c r="U3239" s="342">
        <v>1.2020999999999999</v>
      </c>
      <c r="V3239" s="340">
        <v>62233.934138270997</v>
      </c>
      <c r="W3239" s="340">
        <v>41135.423577729001</v>
      </c>
    </row>
    <row r="3240" spans="2:23" ht="24" customHeight="1">
      <c r="J3240" s="345"/>
      <c r="K3240" s="703"/>
      <c r="L3240" s="342"/>
      <c r="M3240" s="342"/>
      <c r="N3240" s="340"/>
      <c r="O3240" s="703"/>
      <c r="P3240" s="342"/>
      <c r="Q3240" s="363"/>
      <c r="R3240" s="340"/>
      <c r="S3240" s="342"/>
      <c r="T3240" s="342"/>
      <c r="U3240" s="342"/>
      <c r="V3240" s="340"/>
      <c r="W3240" s="340"/>
    </row>
    <row r="3241" spans="2:23" ht="24" customHeight="1">
      <c r="B3241" s="67"/>
      <c r="F3241" s="346">
        <v>44790</v>
      </c>
      <c r="G3241" s="346"/>
      <c r="H3241" s="346"/>
      <c r="I3241" s="346"/>
      <c r="J3241" s="345"/>
      <c r="K3241" s="703"/>
      <c r="L3241" s="342"/>
      <c r="M3241" s="342"/>
      <c r="N3241" s="340"/>
      <c r="O3241" s="703"/>
      <c r="P3241" s="342"/>
      <c r="Q3241" s="363"/>
      <c r="R3241" s="340"/>
      <c r="S3241" s="342"/>
      <c r="T3241" s="342"/>
      <c r="U3241" s="342"/>
      <c r="V3241" s="340"/>
      <c r="W3241" s="340"/>
    </row>
    <row r="3242" spans="2:23" ht="24" customHeight="1">
      <c r="B3242" s="67"/>
      <c r="G3242" s="3" t="s">
        <v>59</v>
      </c>
      <c r="H3242" s="3"/>
      <c r="I3242" s="3"/>
      <c r="J3242" s="345"/>
      <c r="K3242" s="703"/>
      <c r="L3242" s="342"/>
      <c r="M3242" s="342"/>
      <c r="N3242" s="340"/>
      <c r="O3242" s="703"/>
      <c r="P3242" s="342"/>
      <c r="Q3242" s="363"/>
      <c r="R3242" s="340"/>
      <c r="S3242" s="342"/>
      <c r="T3242" s="342"/>
      <c r="U3242" s="342"/>
      <c r="V3242" s="340"/>
      <c r="W3242" s="340"/>
    </row>
    <row r="3243" spans="2:23" ht="24" customHeight="1">
      <c r="B3243" s="67"/>
      <c r="H3243" s="347">
        <v>40235</v>
      </c>
      <c r="I3243" s="347"/>
      <c r="J3243" s="345"/>
      <c r="K3243" s="703"/>
      <c r="L3243" s="342"/>
      <c r="M3243" s="342"/>
      <c r="N3243" s="340"/>
      <c r="O3243" s="703"/>
      <c r="P3243" s="342"/>
      <c r="Q3243" s="363"/>
      <c r="R3243" s="340"/>
      <c r="S3243" s="342"/>
      <c r="T3243" s="342"/>
      <c r="U3243" s="342"/>
      <c r="V3243" s="340"/>
      <c r="W3243" s="340"/>
    </row>
    <row r="3244" spans="2:23" ht="24" customHeight="1">
      <c r="B3244" s="67"/>
      <c r="I3244" s="3" t="s">
        <v>59</v>
      </c>
      <c r="J3244" s="345">
        <v>14</v>
      </c>
      <c r="K3244" s="703">
        <v>10426.4</v>
      </c>
      <c r="L3244" s="342">
        <v>1</v>
      </c>
      <c r="M3244" s="342">
        <v>19.861799999999999</v>
      </c>
      <c r="N3244" s="340">
        <v>207087.07151999997</v>
      </c>
      <c r="O3244" s="703">
        <v>5354.83</v>
      </c>
      <c r="P3244" s="342">
        <v>1</v>
      </c>
      <c r="Q3244" s="363">
        <v>12.853899999999999</v>
      </c>
      <c r="R3244" s="340">
        <v>68830.449336999998</v>
      </c>
      <c r="S3244" s="342">
        <v>72.971670511062001</v>
      </c>
      <c r="T3244" s="342">
        <v>122.94799999999999</v>
      </c>
      <c r="U3244" s="342">
        <v>1.6848000000000001</v>
      </c>
      <c r="V3244" s="340">
        <v>115965.54104297761</v>
      </c>
      <c r="W3244" s="340">
        <v>91121.530477022345</v>
      </c>
    </row>
    <row r="3245" spans="2:23" ht="24" customHeight="1">
      <c r="J3245" s="345"/>
      <c r="K3245" s="703"/>
      <c r="L3245" s="342"/>
      <c r="M3245" s="342"/>
      <c r="N3245" s="340"/>
      <c r="O3245" s="703"/>
      <c r="P3245" s="342"/>
      <c r="Q3245" s="363"/>
      <c r="R3245" s="340"/>
      <c r="S3245" s="342"/>
      <c r="T3245" s="342"/>
      <c r="U3245" s="342"/>
      <c r="V3245" s="340"/>
      <c r="W3245" s="340"/>
    </row>
    <row r="3246" spans="2:23" ht="24" customHeight="1">
      <c r="B3246" s="67"/>
      <c r="F3246" s="346">
        <v>44771</v>
      </c>
      <c r="G3246" s="346"/>
      <c r="H3246" s="346"/>
      <c r="I3246" s="346"/>
      <c r="J3246" s="345"/>
      <c r="K3246" s="703"/>
      <c r="L3246" s="342"/>
      <c r="M3246" s="342"/>
      <c r="N3246" s="340"/>
      <c r="O3246" s="703"/>
      <c r="P3246" s="342"/>
      <c r="Q3246" s="363"/>
      <c r="R3246" s="340"/>
      <c r="S3246" s="342"/>
      <c r="T3246" s="342"/>
      <c r="U3246" s="342"/>
      <c r="V3246" s="340"/>
      <c r="W3246" s="340"/>
    </row>
    <row r="3247" spans="2:23" ht="24" customHeight="1">
      <c r="B3247" s="67"/>
      <c r="G3247" s="3" t="s">
        <v>59</v>
      </c>
      <c r="H3247" s="3"/>
      <c r="I3247" s="3"/>
      <c r="J3247" s="345"/>
      <c r="K3247" s="703"/>
      <c r="L3247" s="342"/>
      <c r="M3247" s="342"/>
      <c r="N3247" s="340"/>
      <c r="O3247" s="703"/>
      <c r="P3247" s="342"/>
      <c r="Q3247" s="363"/>
      <c r="R3247" s="340"/>
      <c r="S3247" s="342"/>
      <c r="T3247" s="342"/>
      <c r="U3247" s="342"/>
      <c r="V3247" s="340"/>
      <c r="W3247" s="340"/>
    </row>
    <row r="3248" spans="2:23" ht="24" customHeight="1">
      <c r="B3248" s="67"/>
      <c r="H3248" s="347">
        <v>43315</v>
      </c>
      <c r="I3248" s="347"/>
      <c r="J3248" s="345"/>
      <c r="K3248" s="703"/>
      <c r="L3248" s="342"/>
      <c r="M3248" s="342"/>
      <c r="N3248" s="340"/>
      <c r="O3248" s="703"/>
      <c r="P3248" s="342"/>
      <c r="Q3248" s="363"/>
      <c r="R3248" s="340"/>
      <c r="S3248" s="342"/>
      <c r="T3248" s="342"/>
      <c r="U3248" s="342"/>
      <c r="V3248" s="340"/>
      <c r="W3248" s="340"/>
    </row>
    <row r="3249" spans="2:23" ht="24" customHeight="1">
      <c r="B3249" s="67"/>
      <c r="I3249" s="3" t="s">
        <v>59</v>
      </c>
      <c r="J3249" s="345">
        <v>11</v>
      </c>
      <c r="K3249" s="703">
        <v>7723.54</v>
      </c>
      <c r="L3249" s="342">
        <v>1</v>
      </c>
      <c r="M3249" s="342">
        <v>20.512</v>
      </c>
      <c r="N3249" s="340">
        <v>158425.25248</v>
      </c>
      <c r="O3249" s="703">
        <v>3403.76</v>
      </c>
      <c r="P3249" s="342">
        <v>1</v>
      </c>
      <c r="Q3249" s="363">
        <v>18.5899</v>
      </c>
      <c r="R3249" s="340">
        <v>63275.558024000005</v>
      </c>
      <c r="S3249" s="342">
        <v>100.492</v>
      </c>
      <c r="T3249" s="342">
        <v>122.044</v>
      </c>
      <c r="U3249" s="342">
        <v>1.2143999999999999</v>
      </c>
      <c r="V3249" s="340">
        <v>76841.837664345599</v>
      </c>
      <c r="W3249" s="340">
        <v>81583.414815654396</v>
      </c>
    </row>
    <row r="3250" spans="2:23" ht="24" customHeight="1">
      <c r="J3250" s="345"/>
      <c r="K3250" s="703"/>
      <c r="L3250" s="342"/>
      <c r="M3250" s="342"/>
      <c r="N3250" s="340"/>
      <c r="O3250" s="703"/>
      <c r="P3250" s="342"/>
      <c r="Q3250" s="363"/>
      <c r="R3250" s="340"/>
      <c r="S3250" s="342"/>
      <c r="T3250" s="342"/>
      <c r="U3250" s="342"/>
      <c r="V3250" s="340"/>
      <c r="W3250" s="340"/>
    </row>
    <row r="3251" spans="2:23" ht="24" customHeight="1">
      <c r="B3251" s="67"/>
      <c r="E3251" s="131" t="s">
        <v>1207</v>
      </c>
      <c r="F3251" s="131"/>
      <c r="G3251" s="131"/>
      <c r="H3251" s="131"/>
      <c r="I3251" s="131"/>
      <c r="J3251" s="704">
        <v>102</v>
      </c>
      <c r="K3251" s="705">
        <v>68082.25</v>
      </c>
      <c r="L3251" s="369">
        <v>1</v>
      </c>
      <c r="M3251" s="377">
        <v>20.2121</v>
      </c>
      <c r="N3251" s="706">
        <v>1382311.302685</v>
      </c>
      <c r="O3251" s="705">
        <v>32584.940000000002</v>
      </c>
      <c r="P3251" s="369">
        <v>1</v>
      </c>
      <c r="Q3251" s="377">
        <v>17.872900000000001</v>
      </c>
      <c r="R3251" s="706">
        <v>575035.47122600011</v>
      </c>
      <c r="S3251" s="369">
        <v>97.051958813882749</v>
      </c>
      <c r="T3251" s="369">
        <v>120.19437499999998</v>
      </c>
      <c r="U3251" s="369">
        <v>1.2536624999999999</v>
      </c>
      <c r="V3251" s="706">
        <v>718343.76249439316</v>
      </c>
      <c r="W3251" s="706">
        <v>663967.54019060696</v>
      </c>
    </row>
    <row r="3252" spans="2:23" ht="24" customHeight="1">
      <c r="J3252" s="345"/>
      <c r="K3252" s="703"/>
      <c r="L3252" s="342"/>
      <c r="M3252" s="342"/>
      <c r="N3252" s="340"/>
      <c r="O3252" s="703"/>
      <c r="P3252" s="342"/>
      <c r="Q3252" s="363"/>
      <c r="R3252" s="340"/>
      <c r="S3252" s="342"/>
      <c r="T3252" s="342"/>
      <c r="U3252" s="342"/>
      <c r="V3252" s="340"/>
      <c r="W3252" s="340"/>
    </row>
    <row r="3253" spans="2:23" ht="24" customHeight="1">
      <c r="B3253" s="67"/>
      <c r="E3253" s="1" t="s">
        <v>935</v>
      </c>
      <c r="J3253" s="345"/>
      <c r="K3253" s="703"/>
      <c r="L3253" s="342"/>
      <c r="M3253" s="342"/>
      <c r="N3253" s="340"/>
      <c r="O3253" s="703"/>
      <c r="P3253" s="342"/>
      <c r="Q3253" s="363"/>
      <c r="R3253" s="340"/>
      <c r="S3253" s="342"/>
      <c r="T3253" s="342"/>
      <c r="U3253" s="342"/>
      <c r="V3253" s="340"/>
      <c r="W3253" s="340"/>
    </row>
    <row r="3254" spans="2:23" ht="24" customHeight="1">
      <c r="B3254" s="67"/>
      <c r="F3254" s="346">
        <v>44854</v>
      </c>
      <c r="G3254" s="346"/>
      <c r="H3254" s="346"/>
      <c r="I3254" s="346"/>
      <c r="J3254" s="345"/>
      <c r="K3254" s="703"/>
      <c r="L3254" s="342"/>
      <c r="M3254" s="342"/>
      <c r="N3254" s="340"/>
      <c r="O3254" s="703"/>
      <c r="P3254" s="342"/>
      <c r="Q3254" s="363"/>
      <c r="R3254" s="340"/>
      <c r="S3254" s="342"/>
      <c r="T3254" s="342"/>
      <c r="U3254" s="342"/>
      <c r="V3254" s="340"/>
      <c r="W3254" s="340"/>
    </row>
    <row r="3255" spans="2:23" ht="24" customHeight="1">
      <c r="B3255" s="67"/>
      <c r="G3255" s="3" t="s">
        <v>59</v>
      </c>
      <c r="H3255" s="3"/>
      <c r="I3255" s="3"/>
      <c r="J3255" s="345"/>
      <c r="K3255" s="703"/>
      <c r="L3255" s="342"/>
      <c r="M3255" s="342"/>
      <c r="N3255" s="340"/>
      <c r="O3255" s="703"/>
      <c r="P3255" s="342"/>
      <c r="Q3255" s="363"/>
      <c r="R3255" s="340"/>
      <c r="S3255" s="342"/>
      <c r="T3255" s="342"/>
      <c r="U3255" s="342"/>
      <c r="V3255" s="340"/>
      <c r="W3255" s="340"/>
    </row>
    <row r="3256" spans="2:23" ht="24" customHeight="1">
      <c r="B3256" s="67"/>
      <c r="H3256" s="347">
        <v>44720</v>
      </c>
      <c r="I3256" s="347"/>
      <c r="J3256" s="345"/>
      <c r="K3256" s="703"/>
      <c r="L3256" s="342"/>
      <c r="M3256" s="342"/>
      <c r="N3256" s="340"/>
      <c r="O3256" s="703"/>
      <c r="P3256" s="342"/>
      <c r="Q3256" s="363"/>
      <c r="R3256" s="340"/>
      <c r="S3256" s="342"/>
      <c r="T3256" s="342"/>
      <c r="U3256" s="342"/>
      <c r="V3256" s="340"/>
      <c r="W3256" s="340"/>
    </row>
    <row r="3257" spans="2:23" ht="24" customHeight="1">
      <c r="B3257" s="67"/>
      <c r="I3257" s="3" t="s">
        <v>59</v>
      </c>
      <c r="J3257" s="345">
        <v>55</v>
      </c>
      <c r="K3257" s="703">
        <v>3770.94</v>
      </c>
      <c r="L3257" s="342">
        <v>1</v>
      </c>
      <c r="M3257" s="342">
        <v>20.020700000000001</v>
      </c>
      <c r="N3257" s="340">
        <v>75496.858458000002</v>
      </c>
      <c r="O3257" s="703">
        <v>3916.41</v>
      </c>
      <c r="P3257" s="342">
        <v>1</v>
      </c>
      <c r="Q3257" s="363">
        <v>19.5547</v>
      </c>
      <c r="R3257" s="340">
        <v>76584.222626999996</v>
      </c>
      <c r="S3257" s="342">
        <v>122.044</v>
      </c>
      <c r="T3257" s="342">
        <v>124.571</v>
      </c>
      <c r="U3257" s="342">
        <v>1.0206999999999999</v>
      </c>
      <c r="V3257" s="340">
        <v>78169.516035378896</v>
      </c>
      <c r="W3257" s="340">
        <v>-2672.6575773788936</v>
      </c>
    </row>
    <row r="3258" spans="2:23" ht="24" customHeight="1">
      <c r="J3258" s="345"/>
      <c r="K3258" s="703"/>
      <c r="L3258" s="342"/>
      <c r="M3258" s="342"/>
      <c r="N3258" s="340"/>
      <c r="O3258" s="703"/>
      <c r="P3258" s="342"/>
      <c r="Q3258" s="363"/>
      <c r="R3258" s="340"/>
      <c r="S3258" s="342"/>
      <c r="T3258" s="342"/>
      <c r="U3258" s="342"/>
      <c r="V3258" s="340"/>
      <c r="W3258" s="340"/>
    </row>
    <row r="3259" spans="2:23" ht="24" customHeight="1">
      <c r="B3259" s="67"/>
      <c r="H3259" s="347">
        <v>44791</v>
      </c>
      <c r="I3259" s="347"/>
      <c r="J3259" s="345"/>
      <c r="K3259" s="703"/>
      <c r="L3259" s="342"/>
      <c r="M3259" s="342"/>
      <c r="N3259" s="340"/>
      <c r="O3259" s="703"/>
      <c r="P3259" s="342"/>
      <c r="Q3259" s="363"/>
      <c r="R3259" s="340"/>
      <c r="S3259" s="342"/>
      <c r="T3259" s="342"/>
      <c r="U3259" s="342"/>
      <c r="V3259" s="340"/>
      <c r="W3259" s="340"/>
    </row>
    <row r="3260" spans="2:23" ht="24" customHeight="1">
      <c r="B3260" s="67"/>
      <c r="I3260" s="3" t="s">
        <v>59</v>
      </c>
      <c r="J3260" s="345">
        <v>42</v>
      </c>
      <c r="K3260" s="703">
        <v>2879.62</v>
      </c>
      <c r="L3260" s="342">
        <v>1</v>
      </c>
      <c r="M3260" s="342">
        <v>20.020700000000001</v>
      </c>
      <c r="N3260" s="340">
        <v>57652.008134000003</v>
      </c>
      <c r="O3260" s="703">
        <v>3338.87</v>
      </c>
      <c r="P3260" s="342">
        <v>1</v>
      </c>
      <c r="Q3260" s="363">
        <v>19.930299999999999</v>
      </c>
      <c r="R3260" s="340">
        <v>66544.680760999996</v>
      </c>
      <c r="S3260" s="342">
        <v>123.803</v>
      </c>
      <c r="T3260" s="342">
        <v>124.571</v>
      </c>
      <c r="U3260" s="342">
        <v>1.0062</v>
      </c>
      <c r="V3260" s="340">
        <v>66957.257781718188</v>
      </c>
      <c r="W3260" s="340">
        <v>-9305.2496477181849</v>
      </c>
    </row>
    <row r="3261" spans="2:23" ht="24" customHeight="1">
      <c r="J3261" s="345"/>
      <c r="K3261" s="703"/>
      <c r="L3261" s="342"/>
      <c r="M3261" s="342"/>
      <c r="N3261" s="340"/>
      <c r="O3261" s="703"/>
      <c r="P3261" s="342"/>
      <c r="Q3261" s="363"/>
      <c r="R3261" s="340"/>
      <c r="S3261" s="342"/>
      <c r="T3261" s="342"/>
      <c r="U3261" s="342"/>
      <c r="V3261" s="340"/>
      <c r="W3261" s="340"/>
    </row>
    <row r="3262" spans="2:23" ht="24" customHeight="1">
      <c r="B3262" s="67"/>
      <c r="E3262" s="131" t="s">
        <v>1208</v>
      </c>
      <c r="F3262" s="131"/>
      <c r="G3262" s="131"/>
      <c r="H3262" s="131"/>
      <c r="I3262" s="131"/>
      <c r="J3262" s="704">
        <v>97</v>
      </c>
      <c r="K3262" s="705">
        <v>6650.5599999999995</v>
      </c>
      <c r="L3262" s="369">
        <v>1</v>
      </c>
      <c r="M3262" s="377">
        <v>20.020700000000001</v>
      </c>
      <c r="N3262" s="706">
        <v>133148.86659200001</v>
      </c>
      <c r="O3262" s="705">
        <v>7255.28</v>
      </c>
      <c r="P3262" s="369">
        <v>1</v>
      </c>
      <c r="Q3262" s="377">
        <v>19.7425</v>
      </c>
      <c r="R3262" s="706">
        <v>143128.90338799998</v>
      </c>
      <c r="S3262" s="369">
        <v>122.92349999999999</v>
      </c>
      <c r="T3262" s="369">
        <v>124.571</v>
      </c>
      <c r="U3262" s="369">
        <v>1.01345</v>
      </c>
      <c r="V3262" s="706">
        <v>145126.77381709707</v>
      </c>
      <c r="W3262" s="706">
        <v>-11977.907225097078</v>
      </c>
    </row>
    <row r="3263" spans="2:23" ht="24" customHeight="1">
      <c r="J3263" s="345"/>
      <c r="K3263" s="703"/>
      <c r="L3263" s="342"/>
      <c r="M3263" s="342"/>
      <c r="N3263" s="340"/>
      <c r="O3263" s="703"/>
      <c r="P3263" s="342"/>
      <c r="Q3263" s="363"/>
      <c r="R3263" s="340"/>
      <c r="S3263" s="342"/>
      <c r="T3263" s="342"/>
      <c r="U3263" s="342"/>
      <c r="V3263" s="340"/>
      <c r="W3263" s="340"/>
    </row>
    <row r="3264" spans="2:23" ht="24" customHeight="1">
      <c r="B3264" s="67"/>
      <c r="E3264" s="1" t="s">
        <v>762</v>
      </c>
      <c r="J3264" s="345"/>
      <c r="K3264" s="703"/>
      <c r="L3264" s="342"/>
      <c r="M3264" s="342"/>
      <c r="N3264" s="340"/>
      <c r="O3264" s="703"/>
      <c r="P3264" s="342"/>
      <c r="Q3264" s="363"/>
      <c r="R3264" s="340"/>
      <c r="S3264" s="342"/>
      <c r="T3264" s="342"/>
      <c r="U3264" s="342"/>
      <c r="V3264" s="340"/>
      <c r="W3264" s="340"/>
    </row>
    <row r="3265" spans="2:23" ht="24" customHeight="1">
      <c r="B3265" s="67"/>
      <c r="F3265" s="346">
        <v>44701</v>
      </c>
      <c r="G3265" s="346"/>
      <c r="H3265" s="346"/>
      <c r="I3265" s="346"/>
      <c r="J3265" s="345"/>
      <c r="K3265" s="703"/>
      <c r="L3265" s="342"/>
      <c r="M3265" s="342"/>
      <c r="N3265" s="340"/>
      <c r="O3265" s="703"/>
      <c r="P3265" s="342"/>
      <c r="Q3265" s="363"/>
      <c r="R3265" s="340"/>
      <c r="S3265" s="342"/>
      <c r="T3265" s="342"/>
      <c r="U3265" s="342"/>
      <c r="V3265" s="340"/>
      <c r="W3265" s="340"/>
    </row>
    <row r="3266" spans="2:23" ht="24" customHeight="1">
      <c r="B3266" s="67"/>
      <c r="G3266" s="3" t="s">
        <v>59</v>
      </c>
      <c r="H3266" s="3"/>
      <c r="I3266" s="3"/>
      <c r="J3266" s="345"/>
      <c r="K3266" s="703"/>
      <c r="L3266" s="342"/>
      <c r="M3266" s="342"/>
      <c r="N3266" s="340"/>
      <c r="O3266" s="703"/>
      <c r="P3266" s="342"/>
      <c r="Q3266" s="363"/>
      <c r="R3266" s="340"/>
      <c r="S3266" s="342"/>
      <c r="T3266" s="342"/>
      <c r="U3266" s="342"/>
      <c r="V3266" s="340"/>
      <c r="W3266" s="340"/>
    </row>
    <row r="3267" spans="2:23" ht="24" customHeight="1">
      <c r="B3267" s="67"/>
      <c r="H3267" s="347">
        <v>43476</v>
      </c>
      <c r="I3267" s="347"/>
      <c r="J3267" s="345"/>
      <c r="K3267" s="703"/>
      <c r="L3267" s="342"/>
      <c r="M3267" s="342"/>
      <c r="N3267" s="340"/>
      <c r="O3267" s="703"/>
      <c r="P3267" s="342"/>
      <c r="Q3267" s="363"/>
      <c r="R3267" s="340"/>
      <c r="S3267" s="342"/>
      <c r="T3267" s="342"/>
      <c r="U3267" s="342"/>
      <c r="V3267" s="340"/>
      <c r="W3267" s="340"/>
    </row>
    <row r="3268" spans="2:23" ht="24" customHeight="1">
      <c r="B3268" s="67"/>
      <c r="I3268" s="3" t="s">
        <v>59</v>
      </c>
      <c r="J3268" s="345">
        <v>28</v>
      </c>
      <c r="K3268" s="703">
        <v>7218.39</v>
      </c>
      <c r="L3268" s="342">
        <v>1</v>
      </c>
      <c r="M3268" s="342">
        <v>19.9663</v>
      </c>
      <c r="N3268" s="340">
        <v>144124.54025700002</v>
      </c>
      <c r="O3268" s="703">
        <v>4416.57</v>
      </c>
      <c r="P3268" s="342">
        <v>1</v>
      </c>
      <c r="Q3268" s="363">
        <v>19.2456</v>
      </c>
      <c r="R3268" s="340">
        <v>84999.539591999986</v>
      </c>
      <c r="S3268" s="342">
        <v>103.108</v>
      </c>
      <c r="T3268" s="342">
        <v>120.809</v>
      </c>
      <c r="U3268" s="342">
        <v>1.1716</v>
      </c>
      <c r="V3268" s="340">
        <v>99585.460585987181</v>
      </c>
      <c r="W3268" s="340">
        <v>44539.079671012834</v>
      </c>
    </row>
    <row r="3269" spans="2:23" ht="24" customHeight="1">
      <c r="J3269" s="345"/>
      <c r="K3269" s="703"/>
      <c r="L3269" s="342"/>
      <c r="M3269" s="342"/>
      <c r="N3269" s="340"/>
      <c r="O3269" s="703"/>
      <c r="P3269" s="342"/>
      <c r="Q3269" s="363"/>
      <c r="R3269" s="340"/>
      <c r="S3269" s="342"/>
      <c r="T3269" s="342"/>
      <c r="U3269" s="342"/>
      <c r="V3269" s="340"/>
      <c r="W3269" s="340"/>
    </row>
    <row r="3270" spans="2:23" ht="24" customHeight="1">
      <c r="B3270" s="67"/>
      <c r="F3270" s="346">
        <v>44648</v>
      </c>
      <c r="G3270" s="346"/>
      <c r="H3270" s="346"/>
      <c r="I3270" s="346"/>
      <c r="J3270" s="345"/>
      <c r="K3270" s="703"/>
      <c r="L3270" s="342"/>
      <c r="M3270" s="342"/>
      <c r="N3270" s="340"/>
      <c r="O3270" s="703"/>
      <c r="P3270" s="342"/>
      <c r="Q3270" s="363"/>
      <c r="R3270" s="340"/>
      <c r="S3270" s="342"/>
      <c r="T3270" s="342"/>
      <c r="U3270" s="342"/>
      <c r="V3270" s="340"/>
      <c r="W3270" s="340"/>
    </row>
    <row r="3271" spans="2:23" ht="24" customHeight="1">
      <c r="B3271" s="67"/>
      <c r="G3271" s="3" t="s">
        <v>59</v>
      </c>
      <c r="H3271" s="3"/>
      <c r="I3271" s="3"/>
      <c r="J3271" s="345"/>
      <c r="K3271" s="703"/>
      <c r="L3271" s="342"/>
      <c r="M3271" s="342"/>
      <c r="N3271" s="340"/>
      <c r="O3271" s="703"/>
      <c r="P3271" s="342"/>
      <c r="Q3271" s="363"/>
      <c r="R3271" s="340"/>
      <c r="S3271" s="342"/>
      <c r="T3271" s="342"/>
      <c r="U3271" s="342"/>
      <c r="V3271" s="340"/>
      <c r="W3271" s="340"/>
    </row>
    <row r="3272" spans="2:23" ht="24" customHeight="1">
      <c r="B3272" s="67"/>
      <c r="H3272" s="347">
        <v>43476</v>
      </c>
      <c r="I3272" s="347"/>
      <c r="J3272" s="345"/>
      <c r="K3272" s="703"/>
      <c r="L3272" s="342"/>
      <c r="M3272" s="342"/>
      <c r="N3272" s="340"/>
      <c r="O3272" s="703"/>
      <c r="P3272" s="342"/>
      <c r="Q3272" s="363"/>
      <c r="R3272" s="340"/>
      <c r="S3272" s="342"/>
      <c r="T3272" s="342"/>
      <c r="U3272" s="342"/>
      <c r="V3272" s="340"/>
      <c r="W3272" s="340"/>
    </row>
    <row r="3273" spans="2:23" ht="24" customHeight="1">
      <c r="B3273" s="67"/>
      <c r="I3273" s="3" t="s">
        <v>59</v>
      </c>
      <c r="J3273" s="345">
        <v>23</v>
      </c>
      <c r="K3273" s="703">
        <v>6600.99</v>
      </c>
      <c r="L3273" s="342">
        <v>1</v>
      </c>
      <c r="M3273" s="342">
        <v>20.1313</v>
      </c>
      <c r="N3273" s="340">
        <v>132886.509987</v>
      </c>
      <c r="O3273" s="703">
        <v>3627.89</v>
      </c>
      <c r="P3273" s="342">
        <v>1</v>
      </c>
      <c r="Q3273" s="363">
        <v>19.2456</v>
      </c>
      <c r="R3273" s="340">
        <v>69820.919783999998</v>
      </c>
      <c r="S3273" s="342">
        <v>103.108</v>
      </c>
      <c r="T3273" s="342">
        <v>118.98099999999999</v>
      </c>
      <c r="U3273" s="342">
        <v>1.1538999999999999</v>
      </c>
      <c r="V3273" s="340">
        <v>80566.359338757597</v>
      </c>
      <c r="W3273" s="340">
        <v>52320.150648242401</v>
      </c>
    </row>
    <row r="3274" spans="2:23" ht="24" customHeight="1">
      <c r="J3274" s="345"/>
      <c r="K3274" s="703"/>
      <c r="L3274" s="342"/>
      <c r="M3274" s="342"/>
      <c r="N3274" s="340"/>
      <c r="O3274" s="703"/>
      <c r="P3274" s="342"/>
      <c r="Q3274" s="363"/>
      <c r="R3274" s="340"/>
      <c r="S3274" s="342"/>
      <c r="T3274" s="342"/>
      <c r="U3274" s="342"/>
      <c r="V3274" s="340"/>
      <c r="W3274" s="340"/>
    </row>
    <row r="3275" spans="2:23" ht="24" customHeight="1">
      <c r="B3275" s="67"/>
      <c r="F3275" s="346">
        <v>44704</v>
      </c>
      <c r="G3275" s="346"/>
      <c r="H3275" s="346"/>
      <c r="I3275" s="346"/>
      <c r="J3275" s="345"/>
      <c r="K3275" s="703"/>
      <c r="L3275" s="342"/>
      <c r="M3275" s="342"/>
      <c r="N3275" s="340"/>
      <c r="O3275" s="703"/>
      <c r="P3275" s="342"/>
      <c r="Q3275" s="363"/>
      <c r="R3275" s="340"/>
      <c r="S3275" s="342"/>
      <c r="T3275" s="342"/>
      <c r="U3275" s="342"/>
      <c r="V3275" s="340"/>
      <c r="W3275" s="340"/>
    </row>
    <row r="3276" spans="2:23" ht="24" customHeight="1">
      <c r="B3276" s="67"/>
      <c r="G3276" s="3" t="s">
        <v>59</v>
      </c>
      <c r="H3276" s="3"/>
      <c r="I3276" s="3"/>
      <c r="J3276" s="345"/>
      <c r="K3276" s="703"/>
      <c r="L3276" s="342"/>
      <c r="M3276" s="342"/>
      <c r="N3276" s="340"/>
      <c r="O3276" s="703"/>
      <c r="P3276" s="342"/>
      <c r="Q3276" s="363"/>
      <c r="R3276" s="340"/>
      <c r="S3276" s="342"/>
      <c r="T3276" s="342"/>
      <c r="U3276" s="342"/>
      <c r="V3276" s="340"/>
      <c r="W3276" s="340"/>
    </row>
    <row r="3277" spans="2:23" ht="24" customHeight="1">
      <c r="B3277" s="67"/>
      <c r="H3277" s="347">
        <v>43476</v>
      </c>
      <c r="I3277" s="347"/>
      <c r="J3277" s="345"/>
      <c r="K3277" s="703"/>
      <c r="L3277" s="342"/>
      <c r="M3277" s="342"/>
      <c r="N3277" s="340"/>
      <c r="O3277" s="703"/>
      <c r="P3277" s="342"/>
      <c r="Q3277" s="363"/>
      <c r="R3277" s="340"/>
      <c r="S3277" s="342"/>
      <c r="T3277" s="342"/>
      <c r="U3277" s="342"/>
      <c r="V3277" s="340"/>
      <c r="W3277" s="340"/>
    </row>
    <row r="3278" spans="2:23" ht="24" customHeight="1">
      <c r="B3278" s="67"/>
      <c r="I3278" s="3" t="s">
        <v>59</v>
      </c>
      <c r="J3278" s="345">
        <v>29</v>
      </c>
      <c r="K3278" s="703">
        <v>7589.84</v>
      </c>
      <c r="L3278" s="342">
        <v>1</v>
      </c>
      <c r="M3278" s="342">
        <v>19.9267</v>
      </c>
      <c r="N3278" s="340">
        <v>151240.46472799999</v>
      </c>
      <c r="O3278" s="703">
        <v>4574.3</v>
      </c>
      <c r="P3278" s="342">
        <v>1</v>
      </c>
      <c r="Q3278" s="363">
        <v>19.2456</v>
      </c>
      <c r="R3278" s="340">
        <v>88035.148079999999</v>
      </c>
      <c r="S3278" s="342">
        <v>103.108</v>
      </c>
      <c r="T3278" s="342">
        <v>120.809</v>
      </c>
      <c r="U3278" s="342">
        <v>1.1716</v>
      </c>
      <c r="V3278" s="340">
        <v>103141.979490528</v>
      </c>
      <c r="W3278" s="340">
        <v>48098.485237471992</v>
      </c>
    </row>
    <row r="3279" spans="2:23" ht="24" customHeight="1">
      <c r="J3279" s="345"/>
      <c r="K3279" s="703"/>
      <c r="L3279" s="342"/>
      <c r="M3279" s="342"/>
      <c r="N3279" s="340"/>
      <c r="O3279" s="703"/>
      <c r="P3279" s="342"/>
      <c r="Q3279" s="363"/>
      <c r="R3279" s="340"/>
      <c r="S3279" s="342"/>
      <c r="T3279" s="342"/>
      <c r="U3279" s="342"/>
      <c r="V3279" s="340"/>
      <c r="W3279" s="340"/>
    </row>
    <row r="3280" spans="2:23" ht="24" customHeight="1">
      <c r="B3280" s="67"/>
      <c r="F3280" s="346">
        <v>44733</v>
      </c>
      <c r="G3280" s="346"/>
      <c r="H3280" s="346"/>
      <c r="I3280" s="346"/>
      <c r="J3280" s="345"/>
      <c r="K3280" s="703"/>
      <c r="L3280" s="342"/>
      <c r="M3280" s="342"/>
      <c r="N3280" s="340"/>
      <c r="O3280" s="703"/>
      <c r="P3280" s="342"/>
      <c r="Q3280" s="363"/>
      <c r="R3280" s="340"/>
      <c r="S3280" s="342"/>
      <c r="T3280" s="342"/>
      <c r="U3280" s="342"/>
      <c r="V3280" s="340"/>
      <c r="W3280" s="340"/>
    </row>
    <row r="3281" spans="2:23" ht="24" customHeight="1">
      <c r="B3281" s="67"/>
      <c r="G3281" s="3" t="s">
        <v>59</v>
      </c>
      <c r="H3281" s="3"/>
      <c r="I3281" s="3"/>
      <c r="J3281" s="345"/>
      <c r="K3281" s="703"/>
      <c r="L3281" s="342"/>
      <c r="M3281" s="342"/>
      <c r="N3281" s="340"/>
      <c r="O3281" s="703"/>
      <c r="P3281" s="342"/>
      <c r="Q3281" s="363"/>
      <c r="R3281" s="340"/>
      <c r="S3281" s="342"/>
      <c r="T3281" s="342"/>
      <c r="U3281" s="342"/>
      <c r="V3281" s="340"/>
      <c r="W3281" s="340"/>
    </row>
    <row r="3282" spans="2:23" ht="24" customHeight="1">
      <c r="B3282" s="67"/>
      <c r="H3282" s="347">
        <v>43476</v>
      </c>
      <c r="I3282" s="347"/>
      <c r="J3282" s="345"/>
      <c r="K3282" s="703"/>
      <c r="L3282" s="342"/>
      <c r="M3282" s="342"/>
      <c r="N3282" s="340"/>
      <c r="O3282" s="703"/>
      <c r="P3282" s="342"/>
      <c r="Q3282" s="363"/>
      <c r="R3282" s="340"/>
      <c r="S3282" s="342"/>
      <c r="T3282" s="342"/>
      <c r="U3282" s="342"/>
      <c r="V3282" s="340"/>
      <c r="W3282" s="340"/>
    </row>
    <row r="3283" spans="2:23" ht="24" customHeight="1">
      <c r="B3283" s="67"/>
      <c r="I3283" s="3" t="s">
        <v>59</v>
      </c>
      <c r="J3283" s="345">
        <v>45</v>
      </c>
      <c r="K3283" s="703">
        <v>10817.48</v>
      </c>
      <c r="L3283" s="342">
        <v>1</v>
      </c>
      <c r="M3283" s="342">
        <v>20.475999999999999</v>
      </c>
      <c r="N3283" s="340">
        <v>221498.72047999999</v>
      </c>
      <c r="O3283" s="703">
        <v>7098.06</v>
      </c>
      <c r="P3283" s="342">
        <v>1</v>
      </c>
      <c r="Q3283" s="363">
        <v>19.2456</v>
      </c>
      <c r="R3283" s="340">
        <v>136606.42353600002</v>
      </c>
      <c r="S3283" s="342">
        <v>103.108</v>
      </c>
      <c r="T3283" s="342">
        <v>121.02200000000001</v>
      </c>
      <c r="U3283" s="342">
        <v>1.1737</v>
      </c>
      <c r="V3283" s="340">
        <v>160334.95930420322</v>
      </c>
      <c r="W3283" s="340">
        <v>61163.761175796768</v>
      </c>
    </row>
    <row r="3284" spans="2:23" ht="24" customHeight="1">
      <c r="J3284" s="345"/>
      <c r="K3284" s="703"/>
      <c r="L3284" s="342"/>
      <c r="M3284" s="342"/>
      <c r="N3284" s="340"/>
      <c r="O3284" s="703"/>
      <c r="P3284" s="342"/>
      <c r="Q3284" s="363"/>
      <c r="R3284" s="340"/>
      <c r="S3284" s="342"/>
      <c r="T3284" s="342"/>
      <c r="U3284" s="342"/>
      <c r="V3284" s="340"/>
      <c r="W3284" s="340"/>
    </row>
    <row r="3285" spans="2:23" ht="24" customHeight="1">
      <c r="B3285" s="67"/>
      <c r="F3285" s="346">
        <v>44790</v>
      </c>
      <c r="G3285" s="346"/>
      <c r="H3285" s="346"/>
      <c r="I3285" s="346"/>
      <c r="J3285" s="345"/>
      <c r="K3285" s="703"/>
      <c r="L3285" s="342"/>
      <c r="M3285" s="342"/>
      <c r="N3285" s="340"/>
      <c r="O3285" s="703"/>
      <c r="P3285" s="342"/>
      <c r="Q3285" s="363"/>
      <c r="R3285" s="340"/>
      <c r="S3285" s="342"/>
      <c r="T3285" s="342"/>
      <c r="U3285" s="342"/>
      <c r="V3285" s="340"/>
      <c r="W3285" s="340"/>
    </row>
    <row r="3286" spans="2:23" ht="24" customHeight="1">
      <c r="B3286" s="67"/>
      <c r="G3286" s="3" t="s">
        <v>59</v>
      </c>
      <c r="H3286" s="3"/>
      <c r="I3286" s="3"/>
      <c r="J3286" s="345"/>
      <c r="K3286" s="703"/>
      <c r="L3286" s="342"/>
      <c r="M3286" s="342"/>
      <c r="N3286" s="340"/>
      <c r="O3286" s="703"/>
      <c r="P3286" s="342"/>
      <c r="Q3286" s="363"/>
      <c r="R3286" s="340"/>
      <c r="S3286" s="342"/>
      <c r="T3286" s="342"/>
      <c r="U3286" s="342"/>
      <c r="V3286" s="340"/>
      <c r="W3286" s="340"/>
    </row>
    <row r="3287" spans="2:23" ht="24" customHeight="1">
      <c r="B3287" s="67"/>
      <c r="H3287" s="347">
        <v>43476</v>
      </c>
      <c r="I3287" s="347"/>
      <c r="J3287" s="345"/>
      <c r="K3287" s="703"/>
      <c r="L3287" s="342"/>
      <c r="M3287" s="342"/>
      <c r="N3287" s="340"/>
      <c r="O3287" s="703"/>
      <c r="P3287" s="342"/>
      <c r="Q3287" s="363"/>
      <c r="R3287" s="340"/>
      <c r="S3287" s="342"/>
      <c r="T3287" s="342"/>
      <c r="U3287" s="342"/>
      <c r="V3287" s="340"/>
      <c r="W3287" s="340"/>
    </row>
    <row r="3288" spans="2:23" ht="24" customHeight="1">
      <c r="B3288" s="67"/>
      <c r="I3288" s="3" t="s">
        <v>59</v>
      </c>
      <c r="J3288" s="345">
        <v>11</v>
      </c>
      <c r="K3288" s="703">
        <v>3303.99</v>
      </c>
      <c r="L3288" s="342">
        <v>1</v>
      </c>
      <c r="M3288" s="342">
        <v>19.861799999999999</v>
      </c>
      <c r="N3288" s="340">
        <v>65623.188581999988</v>
      </c>
      <c r="O3288" s="703">
        <v>1735.08</v>
      </c>
      <c r="P3288" s="342">
        <v>1</v>
      </c>
      <c r="Q3288" s="363">
        <v>19.2456</v>
      </c>
      <c r="R3288" s="340">
        <v>33392.655648</v>
      </c>
      <c r="S3288" s="342">
        <v>103.108</v>
      </c>
      <c r="T3288" s="342">
        <v>122.94799999999999</v>
      </c>
      <c r="U3288" s="342">
        <v>1.1923999999999999</v>
      </c>
      <c r="V3288" s="340">
        <v>39817.402594675194</v>
      </c>
      <c r="W3288" s="340">
        <v>25805.785987324794</v>
      </c>
    </row>
    <row r="3289" spans="2:23" ht="24" customHeight="1">
      <c r="J3289" s="345"/>
      <c r="K3289" s="703"/>
      <c r="L3289" s="342"/>
      <c r="M3289" s="342"/>
      <c r="N3289" s="340"/>
      <c r="O3289" s="703"/>
      <c r="P3289" s="342"/>
      <c r="Q3289" s="363"/>
      <c r="R3289" s="340"/>
      <c r="S3289" s="342"/>
      <c r="T3289" s="342"/>
      <c r="U3289" s="342"/>
      <c r="V3289" s="340"/>
      <c r="W3289" s="340"/>
    </row>
    <row r="3290" spans="2:23" ht="24" customHeight="1">
      <c r="B3290" s="67"/>
      <c r="H3290" s="347">
        <v>43784</v>
      </c>
      <c r="I3290" s="347"/>
      <c r="J3290" s="345"/>
      <c r="K3290" s="703"/>
      <c r="L3290" s="342"/>
      <c r="M3290" s="342"/>
      <c r="N3290" s="340"/>
      <c r="O3290" s="703"/>
      <c r="P3290" s="342"/>
      <c r="Q3290" s="363"/>
      <c r="R3290" s="340"/>
      <c r="S3290" s="342"/>
      <c r="T3290" s="342"/>
      <c r="U3290" s="342"/>
      <c r="V3290" s="340"/>
      <c r="W3290" s="340"/>
    </row>
    <row r="3291" spans="2:23" ht="24" customHeight="1">
      <c r="B3291" s="67"/>
      <c r="I3291" s="3" t="s">
        <v>59</v>
      </c>
      <c r="J3291" s="345">
        <v>9</v>
      </c>
      <c r="K3291" s="703">
        <v>2703.27</v>
      </c>
      <c r="L3291" s="342">
        <v>1</v>
      </c>
      <c r="M3291" s="342">
        <v>19.861799999999999</v>
      </c>
      <c r="N3291" s="340">
        <v>53691.808085999997</v>
      </c>
      <c r="O3291" s="703">
        <v>1767.51</v>
      </c>
      <c r="P3291" s="342">
        <v>1</v>
      </c>
      <c r="Q3291" s="363">
        <v>19.4543</v>
      </c>
      <c r="R3291" s="340">
        <v>34385.669793000001</v>
      </c>
      <c r="S3291" s="342">
        <v>105.346</v>
      </c>
      <c r="T3291" s="342">
        <v>122.94799999999999</v>
      </c>
      <c r="U3291" s="342">
        <v>1.167</v>
      </c>
      <c r="V3291" s="340">
        <v>40128.076648431001</v>
      </c>
      <c r="W3291" s="340">
        <v>13563.731437568997</v>
      </c>
    </row>
    <row r="3292" spans="2:23" ht="24" customHeight="1">
      <c r="J3292" s="345"/>
      <c r="K3292" s="703"/>
      <c r="L3292" s="342"/>
      <c r="M3292" s="342"/>
      <c r="N3292" s="340"/>
      <c r="O3292" s="703"/>
      <c r="P3292" s="342"/>
      <c r="Q3292" s="363"/>
      <c r="R3292" s="340"/>
      <c r="S3292" s="342"/>
      <c r="T3292" s="342"/>
      <c r="U3292" s="342"/>
      <c r="V3292" s="340"/>
      <c r="W3292" s="340"/>
    </row>
    <row r="3293" spans="2:23" ht="24" customHeight="1">
      <c r="B3293" s="67"/>
      <c r="E3293" s="131" t="s">
        <v>1209</v>
      </c>
      <c r="F3293" s="131"/>
      <c r="G3293" s="131"/>
      <c r="H3293" s="131"/>
      <c r="I3293" s="131"/>
      <c r="J3293" s="704">
        <v>145</v>
      </c>
      <c r="K3293" s="705">
        <v>38233.96</v>
      </c>
      <c r="L3293" s="369">
        <v>1</v>
      </c>
      <c r="M3293" s="377">
        <v>20.037316666666666</v>
      </c>
      <c r="N3293" s="706">
        <v>769065.23212000006</v>
      </c>
      <c r="O3293" s="705">
        <v>23219.41</v>
      </c>
      <c r="P3293" s="369">
        <v>1</v>
      </c>
      <c r="Q3293" s="377">
        <v>19.280383333333333</v>
      </c>
      <c r="R3293" s="706">
        <v>447240.35643300001</v>
      </c>
      <c r="S3293" s="369">
        <v>103.48099999999999</v>
      </c>
      <c r="T3293" s="369">
        <v>121.25283333333333</v>
      </c>
      <c r="U3293" s="369">
        <v>1.1717</v>
      </c>
      <c r="V3293" s="706">
        <v>523574.23796258221</v>
      </c>
      <c r="W3293" s="706">
        <v>245490.99415741776</v>
      </c>
    </row>
    <row r="3294" spans="2:23" ht="24" customHeight="1">
      <c r="J3294" s="345"/>
      <c r="K3294" s="703"/>
      <c r="L3294" s="342"/>
      <c r="M3294" s="342"/>
      <c r="N3294" s="340"/>
      <c r="O3294" s="703"/>
      <c r="P3294" s="342"/>
      <c r="Q3294" s="363"/>
      <c r="R3294" s="340"/>
      <c r="S3294" s="342"/>
      <c r="T3294" s="342"/>
      <c r="U3294" s="342"/>
      <c r="V3294" s="340"/>
      <c r="W3294" s="340"/>
    </row>
    <row r="3295" spans="2:23" ht="24" customHeight="1">
      <c r="B3295" s="67"/>
      <c r="E3295" s="1" t="s">
        <v>711</v>
      </c>
      <c r="J3295" s="345"/>
      <c r="K3295" s="703"/>
      <c r="L3295" s="342"/>
      <c r="M3295" s="342"/>
      <c r="N3295" s="340"/>
      <c r="O3295" s="703"/>
      <c r="P3295" s="342"/>
      <c r="Q3295" s="363"/>
      <c r="R3295" s="340"/>
      <c r="S3295" s="342"/>
      <c r="T3295" s="342"/>
      <c r="U3295" s="342"/>
      <c r="V3295" s="340"/>
      <c r="W3295" s="340"/>
    </row>
    <row r="3296" spans="2:23" ht="24" customHeight="1">
      <c r="B3296" s="67"/>
      <c r="F3296" s="346">
        <v>44755</v>
      </c>
      <c r="G3296" s="346"/>
      <c r="H3296" s="346"/>
      <c r="I3296" s="346"/>
      <c r="J3296" s="345"/>
      <c r="K3296" s="703"/>
      <c r="L3296" s="342"/>
      <c r="M3296" s="342"/>
      <c r="N3296" s="340"/>
      <c r="O3296" s="703"/>
      <c r="P3296" s="342"/>
      <c r="Q3296" s="363"/>
      <c r="R3296" s="340"/>
      <c r="S3296" s="342"/>
      <c r="T3296" s="342"/>
      <c r="U3296" s="342"/>
      <c r="V3296" s="340"/>
      <c r="W3296" s="340"/>
    </row>
    <row r="3297" spans="2:23" ht="24" customHeight="1">
      <c r="B3297" s="67"/>
      <c r="G3297" s="3" t="s">
        <v>59</v>
      </c>
      <c r="H3297" s="3"/>
      <c r="I3297" s="3"/>
      <c r="J3297" s="345"/>
      <c r="K3297" s="703"/>
      <c r="L3297" s="342"/>
      <c r="M3297" s="342"/>
      <c r="N3297" s="340"/>
      <c r="O3297" s="703"/>
      <c r="P3297" s="342"/>
      <c r="Q3297" s="363"/>
      <c r="R3297" s="340"/>
      <c r="S3297" s="342"/>
      <c r="T3297" s="342"/>
      <c r="U3297" s="342"/>
      <c r="V3297" s="340"/>
      <c r="W3297" s="340"/>
    </row>
    <row r="3298" spans="2:23" ht="24" customHeight="1">
      <c r="B3298" s="67"/>
      <c r="H3298" s="347">
        <v>44720</v>
      </c>
      <c r="I3298" s="347"/>
      <c r="J3298" s="345"/>
      <c r="K3298" s="703"/>
      <c r="L3298" s="342"/>
      <c r="M3298" s="342"/>
      <c r="N3298" s="340"/>
      <c r="O3298" s="703"/>
      <c r="P3298" s="342"/>
      <c r="Q3298" s="363"/>
      <c r="R3298" s="340"/>
      <c r="S3298" s="342"/>
      <c r="T3298" s="342"/>
      <c r="U3298" s="342"/>
      <c r="V3298" s="340"/>
      <c r="W3298" s="340"/>
    </row>
    <row r="3299" spans="2:23" ht="24" customHeight="1">
      <c r="B3299" s="67"/>
      <c r="I3299" s="3" t="s">
        <v>59</v>
      </c>
      <c r="J3299" s="345">
        <v>19</v>
      </c>
      <c r="K3299" s="703">
        <v>2234.12</v>
      </c>
      <c r="L3299" s="342">
        <v>1</v>
      </c>
      <c r="M3299" s="342">
        <v>20.747299999999999</v>
      </c>
      <c r="N3299" s="340">
        <v>46351.957875999993</v>
      </c>
      <c r="O3299" s="703">
        <v>2271.25</v>
      </c>
      <c r="P3299" s="342">
        <v>1</v>
      </c>
      <c r="Q3299" s="363">
        <v>19.5547</v>
      </c>
      <c r="R3299" s="340">
        <v>44413.612375000004</v>
      </c>
      <c r="S3299" s="342">
        <v>122.044</v>
      </c>
      <c r="T3299" s="342">
        <v>122.044</v>
      </c>
      <c r="U3299" s="342">
        <v>1</v>
      </c>
      <c r="V3299" s="340">
        <v>44413.612375000004</v>
      </c>
      <c r="W3299" s="340">
        <v>1938.3455009999889</v>
      </c>
    </row>
    <row r="3300" spans="2:23" ht="24" customHeight="1">
      <c r="J3300" s="345"/>
      <c r="K3300" s="703"/>
      <c r="L3300" s="342"/>
      <c r="M3300" s="342"/>
      <c r="N3300" s="340"/>
      <c r="O3300" s="703"/>
      <c r="P3300" s="342"/>
      <c r="Q3300" s="363"/>
      <c r="R3300" s="340"/>
      <c r="S3300" s="342"/>
      <c r="T3300" s="342"/>
      <c r="U3300" s="342"/>
      <c r="V3300" s="340"/>
      <c r="W3300" s="340"/>
    </row>
    <row r="3301" spans="2:23" ht="24" customHeight="1">
      <c r="B3301" s="67"/>
      <c r="F3301" s="346">
        <v>44790</v>
      </c>
      <c r="G3301" s="346"/>
      <c r="H3301" s="346"/>
      <c r="I3301" s="346"/>
      <c r="J3301" s="345"/>
      <c r="K3301" s="703"/>
      <c r="L3301" s="342"/>
      <c r="M3301" s="342"/>
      <c r="N3301" s="340"/>
      <c r="O3301" s="703"/>
      <c r="P3301" s="342"/>
      <c r="Q3301" s="363"/>
      <c r="R3301" s="340"/>
      <c r="S3301" s="342"/>
      <c r="T3301" s="342"/>
      <c r="U3301" s="342"/>
      <c r="V3301" s="340"/>
      <c r="W3301" s="340"/>
    </row>
    <row r="3302" spans="2:23" ht="24" customHeight="1">
      <c r="B3302" s="67"/>
      <c r="G3302" s="3" t="s">
        <v>59</v>
      </c>
      <c r="H3302" s="3"/>
      <c r="I3302" s="3"/>
      <c r="J3302" s="345"/>
      <c r="K3302" s="703"/>
      <c r="L3302" s="342"/>
      <c r="M3302" s="342"/>
      <c r="N3302" s="340"/>
      <c r="O3302" s="703"/>
      <c r="P3302" s="342"/>
      <c r="Q3302" s="363"/>
      <c r="R3302" s="340"/>
      <c r="S3302" s="342"/>
      <c r="T3302" s="342"/>
      <c r="U3302" s="342"/>
      <c r="V3302" s="340"/>
      <c r="W3302" s="340"/>
    </row>
    <row r="3303" spans="2:23" ht="24" customHeight="1">
      <c r="B3303" s="67"/>
      <c r="H3303" s="347">
        <v>44720</v>
      </c>
      <c r="I3303" s="347"/>
      <c r="J3303" s="345"/>
      <c r="K3303" s="703"/>
      <c r="L3303" s="342"/>
      <c r="M3303" s="342"/>
      <c r="N3303" s="340"/>
      <c r="O3303" s="703"/>
      <c r="P3303" s="342"/>
      <c r="Q3303" s="363"/>
      <c r="R3303" s="340"/>
      <c r="S3303" s="342"/>
      <c r="T3303" s="342"/>
      <c r="U3303" s="342"/>
      <c r="V3303" s="340"/>
      <c r="W3303" s="340"/>
    </row>
    <row r="3304" spans="2:23" ht="24" customHeight="1">
      <c r="B3304" s="67"/>
      <c r="I3304" s="3" t="s">
        <v>59</v>
      </c>
      <c r="J3304" s="345">
        <v>41</v>
      </c>
      <c r="K3304" s="703">
        <v>5179.34</v>
      </c>
      <c r="L3304" s="342">
        <v>1</v>
      </c>
      <c r="M3304" s="342">
        <v>19.861799999999999</v>
      </c>
      <c r="N3304" s="340">
        <v>102871.015212</v>
      </c>
      <c r="O3304" s="703">
        <v>4901.13</v>
      </c>
      <c r="P3304" s="342">
        <v>1</v>
      </c>
      <c r="Q3304" s="363">
        <v>19.5547</v>
      </c>
      <c r="R3304" s="340">
        <v>95840.126811000009</v>
      </c>
      <c r="S3304" s="342">
        <v>122.044</v>
      </c>
      <c r="T3304" s="342">
        <v>122.94799999999999</v>
      </c>
      <c r="U3304" s="342">
        <v>1.0074000000000001</v>
      </c>
      <c r="V3304" s="340">
        <v>96549.343749401422</v>
      </c>
      <c r="W3304" s="340">
        <v>6321.6714625985769</v>
      </c>
    </row>
    <row r="3305" spans="2:23" ht="24" customHeight="1">
      <c r="J3305" s="345"/>
      <c r="K3305" s="703"/>
      <c r="L3305" s="342"/>
      <c r="M3305" s="342"/>
      <c r="N3305" s="340"/>
      <c r="O3305" s="703"/>
      <c r="P3305" s="342"/>
      <c r="Q3305" s="363"/>
      <c r="R3305" s="340"/>
      <c r="S3305" s="342"/>
      <c r="T3305" s="342"/>
      <c r="U3305" s="342"/>
      <c r="V3305" s="340"/>
      <c r="W3305" s="340"/>
    </row>
    <row r="3306" spans="2:23" ht="24" customHeight="1">
      <c r="B3306" s="67"/>
      <c r="E3306" s="131" t="s">
        <v>1143</v>
      </c>
      <c r="F3306" s="131"/>
      <c r="G3306" s="131"/>
      <c r="H3306" s="131"/>
      <c r="I3306" s="131"/>
      <c r="J3306" s="704">
        <v>60</v>
      </c>
      <c r="K3306" s="705">
        <v>7413.46</v>
      </c>
      <c r="L3306" s="369">
        <v>1</v>
      </c>
      <c r="M3306" s="377">
        <v>20.304549999999999</v>
      </c>
      <c r="N3306" s="706">
        <v>149222.973088</v>
      </c>
      <c r="O3306" s="705">
        <v>7172.38</v>
      </c>
      <c r="P3306" s="369">
        <v>1</v>
      </c>
      <c r="Q3306" s="377">
        <v>19.5547</v>
      </c>
      <c r="R3306" s="706">
        <v>140253.73918600002</v>
      </c>
      <c r="S3306" s="369">
        <v>122.044</v>
      </c>
      <c r="T3306" s="369">
        <v>122.496</v>
      </c>
      <c r="U3306" s="369">
        <v>1.0037</v>
      </c>
      <c r="V3306" s="706">
        <v>140962.95612440142</v>
      </c>
      <c r="W3306" s="706">
        <v>8260.0169635985658</v>
      </c>
    </row>
    <row r="3307" spans="2:23" ht="24" customHeight="1">
      <c r="J3307" s="345"/>
      <c r="K3307" s="703"/>
      <c r="L3307" s="342"/>
      <c r="M3307" s="342"/>
      <c r="N3307" s="340"/>
      <c r="O3307" s="703"/>
      <c r="P3307" s="342"/>
      <c r="Q3307" s="363"/>
      <c r="R3307" s="340"/>
      <c r="S3307" s="342"/>
      <c r="T3307" s="342"/>
      <c r="U3307" s="342"/>
      <c r="V3307" s="340"/>
      <c r="W3307" s="340"/>
    </row>
    <row r="3308" spans="2:23" ht="24" customHeight="1">
      <c r="B3308" s="67"/>
      <c r="E3308" s="1" t="s">
        <v>926</v>
      </c>
      <c r="J3308" s="345"/>
      <c r="K3308" s="703"/>
      <c r="L3308" s="342"/>
      <c r="M3308" s="342"/>
      <c r="N3308" s="340"/>
      <c r="O3308" s="703"/>
      <c r="P3308" s="342"/>
      <c r="Q3308" s="363"/>
      <c r="R3308" s="340"/>
      <c r="S3308" s="342"/>
      <c r="T3308" s="342"/>
      <c r="U3308" s="342"/>
      <c r="V3308" s="340"/>
      <c r="W3308" s="340"/>
    </row>
    <row r="3309" spans="2:23" ht="24" customHeight="1">
      <c r="B3309" s="67"/>
      <c r="F3309" s="346">
        <v>44790</v>
      </c>
      <c r="G3309" s="346"/>
      <c r="H3309" s="346"/>
      <c r="I3309" s="346"/>
      <c r="J3309" s="345"/>
      <c r="K3309" s="703"/>
      <c r="L3309" s="342"/>
      <c r="M3309" s="342"/>
      <c r="N3309" s="340"/>
      <c r="O3309" s="703"/>
      <c r="P3309" s="342"/>
      <c r="Q3309" s="363"/>
      <c r="R3309" s="340"/>
      <c r="S3309" s="342"/>
      <c r="T3309" s="342"/>
      <c r="U3309" s="342"/>
      <c r="V3309" s="340"/>
      <c r="W3309" s="340"/>
    </row>
    <row r="3310" spans="2:23" ht="24" customHeight="1">
      <c r="B3310" s="67"/>
      <c r="G3310" s="3" t="s">
        <v>59</v>
      </c>
      <c r="H3310" s="3"/>
      <c r="I3310" s="3"/>
      <c r="J3310" s="345"/>
      <c r="K3310" s="703"/>
      <c r="L3310" s="342"/>
      <c r="M3310" s="342"/>
      <c r="N3310" s="340"/>
      <c r="O3310" s="703"/>
      <c r="P3310" s="342"/>
      <c r="Q3310" s="363"/>
      <c r="R3310" s="340"/>
      <c r="S3310" s="342"/>
      <c r="T3310" s="342"/>
      <c r="U3310" s="342"/>
      <c r="V3310" s="340"/>
      <c r="W3310" s="340"/>
    </row>
    <row r="3311" spans="2:23" ht="24" customHeight="1">
      <c r="B3311" s="67"/>
      <c r="H3311" s="347">
        <v>44720</v>
      </c>
      <c r="I3311" s="347"/>
      <c r="J3311" s="345"/>
      <c r="K3311" s="703"/>
      <c r="L3311" s="342"/>
      <c r="M3311" s="342"/>
      <c r="N3311" s="340"/>
      <c r="O3311" s="703"/>
      <c r="P3311" s="342"/>
      <c r="Q3311" s="363"/>
      <c r="R3311" s="340"/>
      <c r="S3311" s="342"/>
      <c r="T3311" s="342"/>
      <c r="U3311" s="342"/>
      <c r="V3311" s="340"/>
      <c r="W3311" s="340"/>
    </row>
    <row r="3312" spans="2:23" ht="24" customHeight="1">
      <c r="B3312" s="67"/>
      <c r="I3312" s="3" t="s">
        <v>59</v>
      </c>
      <c r="J3312" s="345">
        <v>39</v>
      </c>
      <c r="K3312" s="703">
        <v>1695.1</v>
      </c>
      <c r="L3312" s="342">
        <v>1</v>
      </c>
      <c r="M3312" s="342">
        <v>19.861799999999999</v>
      </c>
      <c r="N3312" s="340">
        <v>33667.737179999996</v>
      </c>
      <c r="O3312" s="703">
        <v>1722.24</v>
      </c>
      <c r="P3312" s="342">
        <v>1</v>
      </c>
      <c r="Q3312" s="363">
        <v>19.5547</v>
      </c>
      <c r="R3312" s="340">
        <v>33677.886528000003</v>
      </c>
      <c r="S3312" s="342">
        <v>122.044</v>
      </c>
      <c r="T3312" s="342">
        <v>122.94799999999999</v>
      </c>
      <c r="U3312" s="342">
        <v>1.0074000000000001</v>
      </c>
      <c r="V3312" s="340">
        <v>33927.102888307207</v>
      </c>
      <c r="W3312" s="340">
        <v>-259.3657083072103</v>
      </c>
    </row>
    <row r="3313" spans="2:23" ht="24" customHeight="1">
      <c r="J3313" s="345"/>
      <c r="K3313" s="703"/>
      <c r="L3313" s="342"/>
      <c r="M3313" s="342"/>
      <c r="N3313" s="340"/>
      <c r="O3313" s="703"/>
      <c r="P3313" s="342"/>
      <c r="Q3313" s="363"/>
      <c r="R3313" s="340"/>
      <c r="S3313" s="342"/>
      <c r="T3313" s="342"/>
      <c r="U3313" s="342"/>
      <c r="V3313" s="340"/>
      <c r="W3313" s="340"/>
    </row>
    <row r="3314" spans="2:23" ht="24" customHeight="1">
      <c r="B3314" s="67"/>
      <c r="E3314" s="131" t="s">
        <v>1210</v>
      </c>
      <c r="F3314" s="131"/>
      <c r="G3314" s="131"/>
      <c r="H3314" s="131"/>
      <c r="I3314" s="131"/>
      <c r="J3314" s="704">
        <v>39</v>
      </c>
      <c r="K3314" s="705">
        <v>1695.1</v>
      </c>
      <c r="L3314" s="369">
        <v>1</v>
      </c>
      <c r="M3314" s="377">
        <v>19.861799999999999</v>
      </c>
      <c r="N3314" s="706">
        <v>33667.737179999996</v>
      </c>
      <c r="O3314" s="705">
        <v>1722.24</v>
      </c>
      <c r="P3314" s="369">
        <v>1</v>
      </c>
      <c r="Q3314" s="377">
        <v>19.5547</v>
      </c>
      <c r="R3314" s="706">
        <v>33677.886528000003</v>
      </c>
      <c r="S3314" s="369">
        <v>122.044</v>
      </c>
      <c r="T3314" s="369">
        <v>122.94799999999999</v>
      </c>
      <c r="U3314" s="369">
        <v>1.0074000000000001</v>
      </c>
      <c r="V3314" s="706">
        <v>33927.102888307207</v>
      </c>
      <c r="W3314" s="706">
        <v>-259.3657083072103</v>
      </c>
    </row>
    <row r="3315" spans="2:23" ht="24" customHeight="1">
      <c r="J3315" s="345"/>
      <c r="K3315" s="703"/>
      <c r="L3315" s="342"/>
      <c r="M3315" s="342"/>
      <c r="N3315" s="340"/>
      <c r="O3315" s="703"/>
      <c r="P3315" s="342"/>
      <c r="Q3315" s="363"/>
      <c r="R3315" s="340"/>
      <c r="S3315" s="342"/>
      <c r="T3315" s="342"/>
      <c r="U3315" s="342"/>
      <c r="V3315" s="340"/>
      <c r="W3315" s="340"/>
    </row>
    <row r="3316" spans="2:23" ht="24" customHeight="1">
      <c r="B3316" s="67"/>
      <c r="E3316" s="1" t="s">
        <v>934</v>
      </c>
      <c r="J3316" s="345"/>
      <c r="K3316" s="703"/>
      <c r="L3316" s="342"/>
      <c r="M3316" s="342"/>
      <c r="N3316" s="340"/>
      <c r="O3316" s="703"/>
      <c r="P3316" s="342"/>
      <c r="Q3316" s="363"/>
      <c r="R3316" s="340"/>
      <c r="S3316" s="342"/>
      <c r="T3316" s="342"/>
      <c r="U3316" s="342"/>
      <c r="V3316" s="340"/>
      <c r="W3316" s="340"/>
    </row>
    <row r="3317" spans="2:23" ht="24" customHeight="1">
      <c r="B3317" s="67"/>
      <c r="F3317" s="346">
        <v>44854</v>
      </c>
      <c r="G3317" s="346"/>
      <c r="H3317" s="346"/>
      <c r="I3317" s="346"/>
      <c r="J3317" s="345"/>
      <c r="K3317" s="703"/>
      <c r="L3317" s="342"/>
      <c r="M3317" s="342"/>
      <c r="N3317" s="340"/>
      <c r="O3317" s="703"/>
      <c r="P3317" s="342"/>
      <c r="Q3317" s="363"/>
      <c r="R3317" s="340"/>
      <c r="S3317" s="342"/>
      <c r="T3317" s="342"/>
      <c r="U3317" s="342"/>
      <c r="V3317" s="340"/>
      <c r="W3317" s="340"/>
    </row>
    <row r="3318" spans="2:23" ht="24" customHeight="1">
      <c r="B3318" s="67"/>
      <c r="G3318" s="3" t="s">
        <v>59</v>
      </c>
      <c r="H3318" s="3"/>
      <c r="I3318" s="3"/>
      <c r="J3318" s="345"/>
      <c r="K3318" s="703"/>
      <c r="L3318" s="342"/>
      <c r="M3318" s="342"/>
      <c r="N3318" s="340"/>
      <c r="O3318" s="703"/>
      <c r="P3318" s="342"/>
      <c r="Q3318" s="363"/>
      <c r="R3318" s="340"/>
      <c r="S3318" s="342"/>
      <c r="T3318" s="342"/>
      <c r="U3318" s="342"/>
      <c r="V3318" s="340"/>
      <c r="W3318" s="340"/>
    </row>
    <row r="3319" spans="2:23" ht="24" customHeight="1">
      <c r="B3319" s="67"/>
      <c r="H3319" s="347">
        <v>44720</v>
      </c>
      <c r="I3319" s="347"/>
      <c r="J3319" s="345"/>
      <c r="K3319" s="703"/>
      <c r="L3319" s="342"/>
      <c r="M3319" s="342"/>
      <c r="N3319" s="340"/>
      <c r="O3319" s="703"/>
      <c r="P3319" s="342"/>
      <c r="Q3319" s="363"/>
      <c r="R3319" s="340"/>
      <c r="S3319" s="342"/>
      <c r="T3319" s="342"/>
      <c r="U3319" s="342"/>
      <c r="V3319" s="340"/>
      <c r="W3319" s="340"/>
    </row>
    <row r="3320" spans="2:23" ht="24" customHeight="1">
      <c r="B3320" s="67"/>
      <c r="I3320" s="3" t="s">
        <v>59</v>
      </c>
      <c r="J3320" s="345">
        <v>50</v>
      </c>
      <c r="K3320" s="703">
        <v>6675.75</v>
      </c>
      <c r="L3320" s="342">
        <v>1</v>
      </c>
      <c r="M3320" s="342">
        <v>20.020700000000001</v>
      </c>
      <c r="N3320" s="340">
        <v>133653.18802500001</v>
      </c>
      <c r="O3320" s="703">
        <v>6777.72</v>
      </c>
      <c r="P3320" s="342">
        <v>1</v>
      </c>
      <c r="Q3320" s="363">
        <v>19.5547</v>
      </c>
      <c r="R3320" s="340">
        <v>132536.281284</v>
      </c>
      <c r="S3320" s="342">
        <v>122.044</v>
      </c>
      <c r="T3320" s="342">
        <v>124.571</v>
      </c>
      <c r="U3320" s="342">
        <v>1.0206999999999999</v>
      </c>
      <c r="V3320" s="340">
        <v>135279.7823065788</v>
      </c>
      <c r="W3320" s="340">
        <v>-1626.5942815787857</v>
      </c>
    </row>
    <row r="3321" spans="2:23" ht="24" customHeight="1">
      <c r="J3321" s="345"/>
      <c r="K3321" s="703"/>
      <c r="L3321" s="342"/>
      <c r="M3321" s="342"/>
      <c r="N3321" s="340"/>
      <c r="O3321" s="703"/>
      <c r="P3321" s="342"/>
      <c r="Q3321" s="363"/>
      <c r="R3321" s="340"/>
      <c r="S3321" s="342"/>
      <c r="T3321" s="342"/>
      <c r="U3321" s="342"/>
      <c r="V3321" s="340"/>
      <c r="W3321" s="340"/>
    </row>
    <row r="3322" spans="2:23" ht="24" customHeight="1">
      <c r="B3322" s="67"/>
      <c r="H3322" s="347">
        <v>44791</v>
      </c>
      <c r="I3322" s="347"/>
      <c r="J3322" s="345"/>
      <c r="K3322" s="703"/>
      <c r="L3322" s="342"/>
      <c r="M3322" s="342"/>
      <c r="N3322" s="340"/>
      <c r="O3322" s="703"/>
      <c r="P3322" s="342"/>
      <c r="Q3322" s="363"/>
      <c r="R3322" s="340"/>
      <c r="S3322" s="342"/>
      <c r="T3322" s="342"/>
      <c r="U3322" s="342"/>
      <c r="V3322" s="340"/>
      <c r="W3322" s="340"/>
    </row>
    <row r="3323" spans="2:23" ht="24" customHeight="1">
      <c r="B3323" s="67"/>
      <c r="I3323" s="3" t="s">
        <v>59</v>
      </c>
      <c r="J3323" s="345">
        <v>16</v>
      </c>
      <c r="K3323" s="703">
        <v>2136.2399999999998</v>
      </c>
      <c r="L3323" s="342">
        <v>1</v>
      </c>
      <c r="M3323" s="342">
        <v>20.020700000000001</v>
      </c>
      <c r="N3323" s="340">
        <v>42769.020167999995</v>
      </c>
      <c r="O3323" s="703">
        <v>2180.15</v>
      </c>
      <c r="P3323" s="342">
        <v>1</v>
      </c>
      <c r="Q3323" s="363">
        <v>19.930299999999999</v>
      </c>
      <c r="R3323" s="340">
        <v>43451.043545</v>
      </c>
      <c r="S3323" s="342">
        <v>123.803</v>
      </c>
      <c r="T3323" s="342">
        <v>124.571</v>
      </c>
      <c r="U3323" s="342">
        <v>1.0062</v>
      </c>
      <c r="V3323" s="340">
        <v>43720.440014979002</v>
      </c>
      <c r="W3323" s="340">
        <v>-951.41984697900625</v>
      </c>
    </row>
    <row r="3324" spans="2:23" ht="24" customHeight="1">
      <c r="J3324" s="345"/>
      <c r="K3324" s="703"/>
      <c r="L3324" s="342"/>
      <c r="M3324" s="342"/>
      <c r="N3324" s="340"/>
      <c r="O3324" s="703"/>
      <c r="P3324" s="342"/>
      <c r="Q3324" s="363"/>
      <c r="R3324" s="340"/>
      <c r="S3324" s="342"/>
      <c r="T3324" s="342"/>
      <c r="U3324" s="342"/>
      <c r="V3324" s="340"/>
      <c r="W3324" s="340"/>
    </row>
    <row r="3325" spans="2:23" ht="24" customHeight="1">
      <c r="B3325" s="67"/>
      <c r="E3325" s="131" t="s">
        <v>1211</v>
      </c>
      <c r="F3325" s="131"/>
      <c r="G3325" s="131"/>
      <c r="H3325" s="131"/>
      <c r="I3325" s="131"/>
      <c r="J3325" s="704">
        <v>66</v>
      </c>
      <c r="K3325" s="705">
        <v>8811.99</v>
      </c>
      <c r="L3325" s="369">
        <v>1</v>
      </c>
      <c r="M3325" s="377">
        <v>20.020700000000001</v>
      </c>
      <c r="N3325" s="706">
        <v>176422.208193</v>
      </c>
      <c r="O3325" s="705">
        <v>8957.8700000000008</v>
      </c>
      <c r="P3325" s="369">
        <v>1</v>
      </c>
      <c r="Q3325" s="377">
        <v>19.7425</v>
      </c>
      <c r="R3325" s="706">
        <v>175987.32482899999</v>
      </c>
      <c r="S3325" s="369">
        <v>122.92349999999999</v>
      </c>
      <c r="T3325" s="369">
        <v>124.571</v>
      </c>
      <c r="U3325" s="369">
        <v>1.01345</v>
      </c>
      <c r="V3325" s="706">
        <v>179000.22232155781</v>
      </c>
      <c r="W3325" s="706">
        <v>-2578.014128557792</v>
      </c>
    </row>
    <row r="3326" spans="2:23" ht="24" customHeight="1">
      <c r="J3326" s="345"/>
      <c r="K3326" s="703"/>
      <c r="L3326" s="342"/>
      <c r="M3326" s="342"/>
      <c r="N3326" s="340"/>
      <c r="O3326" s="703"/>
      <c r="P3326" s="342"/>
      <c r="Q3326" s="363"/>
      <c r="R3326" s="340"/>
      <c r="S3326" s="342"/>
      <c r="T3326" s="342"/>
      <c r="U3326" s="342"/>
      <c r="V3326" s="340"/>
      <c r="W3326" s="340"/>
    </row>
    <row r="3327" spans="2:23" ht="24" customHeight="1">
      <c r="B3327" s="67"/>
      <c r="E3327" s="1" t="s">
        <v>835</v>
      </c>
      <c r="J3327" s="345"/>
      <c r="K3327" s="703"/>
      <c r="L3327" s="342"/>
      <c r="M3327" s="342"/>
      <c r="N3327" s="340"/>
      <c r="O3327" s="703"/>
      <c r="P3327" s="342"/>
      <c r="Q3327" s="363"/>
      <c r="R3327" s="340"/>
      <c r="S3327" s="342"/>
      <c r="T3327" s="342"/>
      <c r="U3327" s="342"/>
      <c r="V3327" s="340"/>
      <c r="W3327" s="340"/>
    </row>
    <row r="3328" spans="2:23" ht="24" customHeight="1">
      <c r="B3328" s="67"/>
      <c r="F3328" s="346">
        <v>44642</v>
      </c>
      <c r="G3328" s="346"/>
      <c r="H3328" s="346"/>
      <c r="I3328" s="346"/>
      <c r="J3328" s="345"/>
      <c r="K3328" s="703"/>
      <c r="L3328" s="342"/>
      <c r="M3328" s="342"/>
      <c r="N3328" s="340"/>
      <c r="O3328" s="703"/>
      <c r="P3328" s="342"/>
      <c r="Q3328" s="363"/>
      <c r="R3328" s="340"/>
      <c r="S3328" s="342"/>
      <c r="T3328" s="342"/>
      <c r="U3328" s="342"/>
      <c r="V3328" s="340"/>
      <c r="W3328" s="340"/>
    </row>
    <row r="3329" spans="2:23" ht="24" customHeight="1">
      <c r="B3329" s="67"/>
      <c r="G3329" s="3" t="s">
        <v>59</v>
      </c>
      <c r="H3329" s="3"/>
      <c r="I3329" s="3"/>
      <c r="J3329" s="345"/>
      <c r="K3329" s="703"/>
      <c r="L3329" s="342"/>
      <c r="M3329" s="342"/>
      <c r="N3329" s="340"/>
      <c r="O3329" s="703"/>
      <c r="P3329" s="342"/>
      <c r="Q3329" s="363"/>
      <c r="R3329" s="340"/>
      <c r="S3329" s="342"/>
      <c r="T3329" s="342"/>
      <c r="U3329" s="342"/>
      <c r="V3329" s="340"/>
      <c r="W3329" s="340"/>
    </row>
    <row r="3330" spans="2:23" ht="24" customHeight="1">
      <c r="B3330" s="67"/>
      <c r="H3330" s="347">
        <v>43965</v>
      </c>
      <c r="I3330" s="347"/>
      <c r="J3330" s="345"/>
      <c r="K3330" s="703"/>
      <c r="L3330" s="342"/>
      <c r="M3330" s="342"/>
      <c r="N3330" s="340"/>
      <c r="O3330" s="703"/>
      <c r="P3330" s="342"/>
      <c r="Q3330" s="363"/>
      <c r="R3330" s="340"/>
      <c r="S3330" s="342"/>
      <c r="T3330" s="342"/>
      <c r="U3330" s="342"/>
      <c r="V3330" s="340"/>
      <c r="W3330" s="340"/>
    </row>
    <row r="3331" spans="2:23" ht="24" customHeight="1">
      <c r="B3331" s="67"/>
      <c r="I3331" s="3" t="s">
        <v>59</v>
      </c>
      <c r="J3331" s="345">
        <v>154</v>
      </c>
      <c r="K3331" s="703">
        <v>15347.5</v>
      </c>
      <c r="L3331" s="342">
        <v>1</v>
      </c>
      <c r="M3331" s="342">
        <v>20.558499999999999</v>
      </c>
      <c r="N3331" s="340">
        <v>315521.57874999999</v>
      </c>
      <c r="O3331" s="703">
        <v>8129.66</v>
      </c>
      <c r="P3331" s="342">
        <v>1</v>
      </c>
      <c r="Q3331" s="363">
        <v>24.0487</v>
      </c>
      <c r="R3331" s="340">
        <v>195507.754442</v>
      </c>
      <c r="S3331" s="342">
        <v>106.16200000000001</v>
      </c>
      <c r="T3331" s="342">
        <v>118.98099999999999</v>
      </c>
      <c r="U3331" s="342">
        <v>1.1207</v>
      </c>
      <c r="V3331" s="340">
        <v>219105.54040314941</v>
      </c>
      <c r="W3331" s="340">
        <v>96416.038346850575</v>
      </c>
    </row>
    <row r="3332" spans="2:23" ht="24" customHeight="1">
      <c r="J3332" s="345"/>
      <c r="K3332" s="703"/>
      <c r="L3332" s="342"/>
      <c r="M3332" s="342"/>
      <c r="N3332" s="340"/>
      <c r="O3332" s="703"/>
      <c r="P3332" s="342"/>
      <c r="Q3332" s="363"/>
      <c r="R3332" s="340"/>
      <c r="S3332" s="342"/>
      <c r="T3332" s="342"/>
      <c r="U3332" s="342"/>
      <c r="V3332" s="340"/>
      <c r="W3332" s="340"/>
    </row>
    <row r="3333" spans="2:23" ht="24" customHeight="1">
      <c r="B3333" s="67"/>
      <c r="F3333" s="346">
        <v>44734</v>
      </c>
      <c r="G3333" s="346"/>
      <c r="H3333" s="346"/>
      <c r="I3333" s="346"/>
      <c r="J3333" s="345"/>
      <c r="K3333" s="703"/>
      <c r="L3333" s="342"/>
      <c r="M3333" s="342"/>
      <c r="N3333" s="340"/>
      <c r="O3333" s="703"/>
      <c r="P3333" s="342"/>
      <c r="Q3333" s="363"/>
      <c r="R3333" s="340"/>
      <c r="S3333" s="342"/>
      <c r="T3333" s="342"/>
      <c r="U3333" s="342"/>
      <c r="V3333" s="340"/>
      <c r="W3333" s="340"/>
    </row>
    <row r="3334" spans="2:23" ht="24" customHeight="1">
      <c r="B3334" s="67"/>
      <c r="G3334" s="3" t="s">
        <v>59</v>
      </c>
      <c r="H3334" s="3"/>
      <c r="I3334" s="3"/>
      <c r="J3334" s="345"/>
      <c r="K3334" s="703"/>
      <c r="L3334" s="342"/>
      <c r="M3334" s="342"/>
      <c r="N3334" s="340"/>
      <c r="O3334" s="703"/>
      <c r="P3334" s="342"/>
      <c r="Q3334" s="363"/>
      <c r="R3334" s="340"/>
      <c r="S3334" s="342"/>
      <c r="T3334" s="342"/>
      <c r="U3334" s="342"/>
      <c r="V3334" s="340"/>
      <c r="W3334" s="340"/>
    </row>
    <row r="3335" spans="2:23" ht="24" customHeight="1">
      <c r="B3335" s="67"/>
      <c r="H3335" s="347">
        <v>43965</v>
      </c>
      <c r="I3335" s="347"/>
      <c r="J3335" s="345"/>
      <c r="K3335" s="703"/>
      <c r="L3335" s="342"/>
      <c r="M3335" s="342"/>
      <c r="N3335" s="340"/>
      <c r="O3335" s="703"/>
      <c r="P3335" s="342"/>
      <c r="Q3335" s="363"/>
      <c r="R3335" s="340"/>
      <c r="S3335" s="342"/>
      <c r="T3335" s="342"/>
      <c r="U3335" s="342"/>
      <c r="V3335" s="340"/>
      <c r="W3335" s="340"/>
    </row>
    <row r="3336" spans="2:23" ht="24" customHeight="1">
      <c r="B3336" s="67"/>
      <c r="I3336" s="3" t="s">
        <v>59</v>
      </c>
      <c r="J3336" s="345">
        <v>176</v>
      </c>
      <c r="K3336" s="703">
        <v>16144.66</v>
      </c>
      <c r="L3336" s="342">
        <v>1</v>
      </c>
      <c r="M3336" s="342">
        <v>20.244199999999999</v>
      </c>
      <c r="N3336" s="340">
        <v>326835.72597199999</v>
      </c>
      <c r="O3336" s="703">
        <v>9291.0400000000009</v>
      </c>
      <c r="P3336" s="342">
        <v>1</v>
      </c>
      <c r="Q3336" s="363">
        <v>24.0487</v>
      </c>
      <c r="R3336" s="340">
        <v>223437.43364800003</v>
      </c>
      <c r="S3336" s="342">
        <v>106.16200000000001</v>
      </c>
      <c r="T3336" s="342">
        <v>121.02200000000001</v>
      </c>
      <c r="U3336" s="342">
        <v>1.1398999999999999</v>
      </c>
      <c r="V3336" s="340">
        <v>254696.33061535523</v>
      </c>
      <c r="W3336" s="340">
        <v>72139.395356644789</v>
      </c>
    </row>
    <row r="3337" spans="2:23" ht="24" customHeight="1">
      <c r="J3337" s="345"/>
      <c r="K3337" s="703"/>
      <c r="L3337" s="342"/>
      <c r="M3337" s="342"/>
      <c r="N3337" s="340"/>
      <c r="O3337" s="703"/>
      <c r="P3337" s="342"/>
      <c r="Q3337" s="363"/>
      <c r="R3337" s="340"/>
      <c r="S3337" s="342"/>
      <c r="T3337" s="342"/>
      <c r="U3337" s="342"/>
      <c r="V3337" s="340"/>
      <c r="W3337" s="340"/>
    </row>
    <row r="3338" spans="2:23" ht="24" customHeight="1">
      <c r="B3338" s="67"/>
      <c r="E3338" s="131" t="s">
        <v>1212</v>
      </c>
      <c r="F3338" s="131"/>
      <c r="G3338" s="131"/>
      <c r="H3338" s="131"/>
      <c r="I3338" s="131"/>
      <c r="J3338" s="704">
        <v>330</v>
      </c>
      <c r="K3338" s="705">
        <v>31492.16</v>
      </c>
      <c r="L3338" s="369">
        <v>1</v>
      </c>
      <c r="M3338" s="377">
        <v>20.401350000000001</v>
      </c>
      <c r="N3338" s="706">
        <v>642357.30472199991</v>
      </c>
      <c r="O3338" s="705">
        <v>17420.7</v>
      </c>
      <c r="P3338" s="369">
        <v>1</v>
      </c>
      <c r="Q3338" s="377">
        <v>24.0487</v>
      </c>
      <c r="R3338" s="706">
        <v>418945.18809000007</v>
      </c>
      <c r="S3338" s="369">
        <v>106.16200000000001</v>
      </c>
      <c r="T3338" s="369">
        <v>120.00149999999999</v>
      </c>
      <c r="U3338" s="369">
        <v>1.1303000000000001</v>
      </c>
      <c r="V3338" s="706">
        <v>473801.87101850461</v>
      </c>
      <c r="W3338" s="706">
        <v>168555.43370349536</v>
      </c>
    </row>
    <row r="3339" spans="2:23" ht="24" customHeight="1">
      <c r="J3339" s="345"/>
      <c r="K3339" s="703"/>
      <c r="L3339" s="342"/>
      <c r="M3339" s="342"/>
      <c r="N3339" s="340"/>
      <c r="O3339" s="703"/>
      <c r="P3339" s="342"/>
      <c r="Q3339" s="363"/>
      <c r="R3339" s="340"/>
      <c r="S3339" s="342"/>
      <c r="T3339" s="342"/>
      <c r="U3339" s="342"/>
      <c r="V3339" s="340"/>
      <c r="W3339" s="340"/>
    </row>
    <row r="3340" spans="2:23" ht="24" customHeight="1">
      <c r="B3340" s="67"/>
      <c r="E3340" s="1" t="s">
        <v>765</v>
      </c>
      <c r="J3340" s="345"/>
      <c r="K3340" s="703"/>
      <c r="L3340" s="342"/>
      <c r="M3340" s="342"/>
      <c r="N3340" s="340"/>
      <c r="O3340" s="703"/>
      <c r="P3340" s="342"/>
      <c r="Q3340" s="363"/>
      <c r="R3340" s="340"/>
      <c r="S3340" s="342"/>
      <c r="T3340" s="342"/>
      <c r="U3340" s="342"/>
      <c r="V3340" s="340"/>
      <c r="W3340" s="340"/>
    </row>
    <row r="3341" spans="2:23" ht="24" customHeight="1">
      <c r="B3341" s="67"/>
      <c r="F3341" s="346">
        <v>44790</v>
      </c>
      <c r="G3341" s="346"/>
      <c r="H3341" s="346"/>
      <c r="I3341" s="346"/>
      <c r="J3341" s="345"/>
      <c r="K3341" s="703"/>
      <c r="L3341" s="342"/>
      <c r="M3341" s="342"/>
      <c r="N3341" s="340"/>
      <c r="O3341" s="703"/>
      <c r="P3341" s="342"/>
      <c r="Q3341" s="363"/>
      <c r="R3341" s="340"/>
      <c r="S3341" s="342"/>
      <c r="T3341" s="342"/>
      <c r="U3341" s="342"/>
      <c r="V3341" s="340"/>
      <c r="W3341" s="340"/>
    </row>
    <row r="3342" spans="2:23" ht="24" customHeight="1">
      <c r="B3342" s="67"/>
      <c r="G3342" s="3" t="s">
        <v>59</v>
      </c>
      <c r="H3342" s="3"/>
      <c r="I3342" s="3"/>
      <c r="J3342" s="345"/>
      <c r="K3342" s="703"/>
      <c r="L3342" s="342"/>
      <c r="M3342" s="342"/>
      <c r="N3342" s="340"/>
      <c r="O3342" s="703"/>
      <c r="P3342" s="342"/>
      <c r="Q3342" s="363"/>
      <c r="R3342" s="340"/>
      <c r="S3342" s="342"/>
      <c r="T3342" s="342"/>
      <c r="U3342" s="342"/>
      <c r="V3342" s="340"/>
      <c r="W3342" s="340"/>
    </row>
    <row r="3343" spans="2:23" ht="24" customHeight="1">
      <c r="B3343" s="67"/>
      <c r="H3343" s="347">
        <v>44337</v>
      </c>
      <c r="I3343" s="347"/>
      <c r="J3343" s="345"/>
      <c r="K3343" s="703"/>
      <c r="L3343" s="342"/>
      <c r="M3343" s="342"/>
      <c r="N3343" s="340"/>
      <c r="O3343" s="703"/>
      <c r="P3343" s="342"/>
      <c r="Q3343" s="363"/>
      <c r="R3343" s="340"/>
      <c r="S3343" s="342"/>
      <c r="T3343" s="342"/>
      <c r="U3343" s="342"/>
      <c r="V3343" s="340"/>
      <c r="W3343" s="340"/>
    </row>
    <row r="3344" spans="2:23" ht="24" customHeight="1">
      <c r="B3344" s="67"/>
      <c r="I3344" s="3" t="s">
        <v>59</v>
      </c>
      <c r="J3344" s="345">
        <v>16</v>
      </c>
      <c r="K3344" s="703">
        <v>6208.9</v>
      </c>
      <c r="L3344" s="342">
        <v>1</v>
      </c>
      <c r="M3344" s="342">
        <v>19.861799999999999</v>
      </c>
      <c r="N3344" s="340">
        <v>123319.93001999999</v>
      </c>
      <c r="O3344" s="703">
        <v>6041.45</v>
      </c>
      <c r="P3344" s="342">
        <v>1</v>
      </c>
      <c r="Q3344" s="363">
        <v>19.814299999999999</v>
      </c>
      <c r="R3344" s="340">
        <v>119707.10273499999</v>
      </c>
      <c r="S3344" s="342">
        <v>112.419</v>
      </c>
      <c r="T3344" s="342">
        <v>122.94799999999999</v>
      </c>
      <c r="U3344" s="342">
        <v>1.0935999999999999</v>
      </c>
      <c r="V3344" s="340">
        <v>130911.68755099598</v>
      </c>
      <c r="W3344" s="340">
        <v>-7591.7575309959939</v>
      </c>
    </row>
    <row r="3345" spans="2:23" ht="24" customHeight="1">
      <c r="J3345" s="345"/>
      <c r="K3345" s="703"/>
      <c r="L3345" s="342"/>
      <c r="M3345" s="342"/>
      <c r="N3345" s="340"/>
      <c r="O3345" s="703"/>
      <c r="P3345" s="342"/>
      <c r="Q3345" s="363"/>
      <c r="R3345" s="340"/>
      <c r="S3345" s="342"/>
      <c r="T3345" s="342"/>
      <c r="U3345" s="342"/>
      <c r="V3345" s="340"/>
      <c r="W3345" s="340"/>
    </row>
    <row r="3346" spans="2:23" ht="24" customHeight="1">
      <c r="B3346" s="67"/>
      <c r="F3346" s="346">
        <v>44802</v>
      </c>
      <c r="G3346" s="346"/>
      <c r="H3346" s="346"/>
      <c r="I3346" s="346"/>
      <c r="J3346" s="345"/>
      <c r="K3346" s="703"/>
      <c r="L3346" s="342"/>
      <c r="M3346" s="342"/>
      <c r="N3346" s="340"/>
      <c r="O3346" s="703"/>
      <c r="P3346" s="342"/>
      <c r="Q3346" s="363"/>
      <c r="R3346" s="340"/>
      <c r="S3346" s="342"/>
      <c r="T3346" s="342"/>
      <c r="U3346" s="342"/>
      <c r="V3346" s="340"/>
      <c r="W3346" s="340"/>
    </row>
    <row r="3347" spans="2:23" ht="24" customHeight="1">
      <c r="B3347" s="67"/>
      <c r="G3347" s="3" t="s">
        <v>59</v>
      </c>
      <c r="H3347" s="3"/>
      <c r="I3347" s="3"/>
      <c r="J3347" s="345"/>
      <c r="K3347" s="703"/>
      <c r="L3347" s="342"/>
      <c r="M3347" s="342"/>
      <c r="N3347" s="340"/>
      <c r="O3347" s="703"/>
      <c r="P3347" s="342"/>
      <c r="Q3347" s="363"/>
      <c r="R3347" s="340"/>
      <c r="S3347" s="342"/>
      <c r="T3347" s="342"/>
      <c r="U3347" s="342"/>
      <c r="V3347" s="340"/>
      <c r="W3347" s="340"/>
    </row>
    <row r="3348" spans="2:23" ht="24" customHeight="1">
      <c r="B3348" s="67"/>
      <c r="H3348" s="347">
        <v>44337</v>
      </c>
      <c r="I3348" s="347"/>
      <c r="J3348" s="345"/>
      <c r="K3348" s="703"/>
      <c r="L3348" s="342"/>
      <c r="M3348" s="342"/>
      <c r="N3348" s="340"/>
      <c r="O3348" s="703"/>
      <c r="P3348" s="342"/>
      <c r="Q3348" s="363"/>
      <c r="R3348" s="340"/>
      <c r="S3348" s="342"/>
      <c r="T3348" s="342"/>
      <c r="U3348" s="342"/>
      <c r="V3348" s="340"/>
      <c r="W3348" s="340"/>
    </row>
    <row r="3349" spans="2:23" ht="24" customHeight="1">
      <c r="B3349" s="67"/>
      <c r="I3349" s="3" t="s">
        <v>59</v>
      </c>
      <c r="J3349" s="345">
        <v>20</v>
      </c>
      <c r="K3349" s="703">
        <v>7273.77</v>
      </c>
      <c r="L3349" s="342">
        <v>1</v>
      </c>
      <c r="M3349" s="342">
        <v>19.9437</v>
      </c>
      <c r="N3349" s="340">
        <v>145065.886749</v>
      </c>
      <c r="O3349" s="703">
        <v>7551.81</v>
      </c>
      <c r="P3349" s="342">
        <v>1</v>
      </c>
      <c r="Q3349" s="363">
        <v>19.814299999999999</v>
      </c>
      <c r="R3349" s="340">
        <v>149633.82888300001</v>
      </c>
      <c r="S3349" s="342">
        <v>112.419</v>
      </c>
      <c r="T3349" s="342">
        <v>122.94799999999999</v>
      </c>
      <c r="U3349" s="342">
        <v>1.0935999999999999</v>
      </c>
      <c r="V3349" s="340">
        <v>163639.55526644879</v>
      </c>
      <c r="W3349" s="340">
        <v>-18573.668517448794</v>
      </c>
    </row>
    <row r="3350" spans="2:23" ht="24" customHeight="1">
      <c r="J3350" s="345"/>
      <c r="K3350" s="703"/>
      <c r="L3350" s="342"/>
      <c r="M3350" s="342"/>
      <c r="N3350" s="340"/>
      <c r="O3350" s="703"/>
      <c r="P3350" s="342"/>
      <c r="Q3350" s="363"/>
      <c r="R3350" s="340"/>
      <c r="S3350" s="342"/>
      <c r="T3350" s="342"/>
      <c r="U3350" s="342"/>
      <c r="V3350" s="340"/>
      <c r="W3350" s="340"/>
    </row>
    <row r="3351" spans="2:23" ht="24" customHeight="1">
      <c r="B3351" s="67"/>
      <c r="F3351" s="346">
        <v>44803</v>
      </c>
      <c r="G3351" s="346"/>
      <c r="H3351" s="346"/>
      <c r="I3351" s="346"/>
      <c r="J3351" s="345"/>
      <c r="K3351" s="703"/>
      <c r="L3351" s="342"/>
      <c r="M3351" s="342"/>
      <c r="N3351" s="340"/>
      <c r="O3351" s="703"/>
      <c r="P3351" s="342"/>
      <c r="Q3351" s="363"/>
      <c r="R3351" s="340"/>
      <c r="S3351" s="342"/>
      <c r="T3351" s="342"/>
      <c r="U3351" s="342"/>
      <c r="V3351" s="340"/>
      <c r="W3351" s="340"/>
    </row>
    <row r="3352" spans="2:23" ht="24" customHeight="1">
      <c r="B3352" s="67"/>
      <c r="G3352" s="3" t="s">
        <v>59</v>
      </c>
      <c r="H3352" s="3"/>
      <c r="I3352" s="3"/>
      <c r="J3352" s="345"/>
      <c r="K3352" s="703"/>
      <c r="L3352" s="342"/>
      <c r="M3352" s="342"/>
      <c r="N3352" s="340"/>
      <c r="O3352" s="703"/>
      <c r="P3352" s="342"/>
      <c r="Q3352" s="363"/>
      <c r="R3352" s="340"/>
      <c r="S3352" s="342"/>
      <c r="T3352" s="342"/>
      <c r="U3352" s="342"/>
      <c r="V3352" s="340"/>
      <c r="W3352" s="340"/>
    </row>
    <row r="3353" spans="2:23" ht="24" customHeight="1">
      <c r="B3353" s="67"/>
      <c r="H3353" s="347">
        <v>44337</v>
      </c>
      <c r="I3353" s="347"/>
      <c r="J3353" s="345"/>
      <c r="K3353" s="703"/>
      <c r="L3353" s="342"/>
      <c r="M3353" s="342"/>
      <c r="N3353" s="340"/>
      <c r="O3353" s="703"/>
      <c r="P3353" s="342"/>
      <c r="Q3353" s="363"/>
      <c r="R3353" s="340"/>
      <c r="S3353" s="342"/>
      <c r="T3353" s="342"/>
      <c r="U3353" s="342"/>
      <c r="V3353" s="340"/>
      <c r="W3353" s="340"/>
    </row>
    <row r="3354" spans="2:23" ht="24" customHeight="1">
      <c r="B3354" s="67"/>
      <c r="I3354" s="3" t="s">
        <v>59</v>
      </c>
      <c r="J3354" s="345">
        <v>17</v>
      </c>
      <c r="K3354" s="703">
        <v>6048.23</v>
      </c>
      <c r="L3354" s="342">
        <v>1</v>
      </c>
      <c r="M3354" s="342">
        <v>19.9268</v>
      </c>
      <c r="N3354" s="340">
        <v>120521.86956399999</v>
      </c>
      <c r="O3354" s="703">
        <v>6419.03</v>
      </c>
      <c r="P3354" s="342">
        <v>1</v>
      </c>
      <c r="Q3354" s="363">
        <v>19.814299999999999</v>
      </c>
      <c r="R3354" s="340">
        <v>127188.58612899999</v>
      </c>
      <c r="S3354" s="342">
        <v>112.419</v>
      </c>
      <c r="T3354" s="342">
        <v>122.94799999999999</v>
      </c>
      <c r="U3354" s="342">
        <v>1.0935999999999999</v>
      </c>
      <c r="V3354" s="340">
        <v>139093.43779067436</v>
      </c>
      <c r="W3354" s="340">
        <v>-18571.568226674368</v>
      </c>
    </row>
    <row r="3355" spans="2:23" ht="24" customHeight="1">
      <c r="J3355" s="345"/>
      <c r="K3355" s="703"/>
      <c r="L3355" s="342"/>
      <c r="M3355" s="342"/>
      <c r="N3355" s="340"/>
      <c r="O3355" s="703"/>
      <c r="P3355" s="342"/>
      <c r="Q3355" s="363"/>
      <c r="R3355" s="340"/>
      <c r="S3355" s="342"/>
      <c r="T3355" s="342"/>
      <c r="U3355" s="342"/>
      <c r="V3355" s="340"/>
      <c r="W3355" s="340"/>
    </row>
    <row r="3356" spans="2:23" ht="24" customHeight="1">
      <c r="B3356" s="67"/>
      <c r="F3356" s="346">
        <v>44804</v>
      </c>
      <c r="G3356" s="346"/>
      <c r="H3356" s="346"/>
      <c r="I3356" s="346"/>
      <c r="J3356" s="345"/>
      <c r="K3356" s="703"/>
      <c r="L3356" s="342"/>
      <c r="M3356" s="342"/>
      <c r="N3356" s="340"/>
      <c r="O3356" s="703"/>
      <c r="P3356" s="342"/>
      <c r="Q3356" s="363"/>
      <c r="R3356" s="340"/>
      <c r="S3356" s="342"/>
      <c r="T3356" s="342"/>
      <c r="U3356" s="342"/>
      <c r="V3356" s="340"/>
      <c r="W3356" s="340"/>
    </row>
    <row r="3357" spans="2:23" ht="24" customHeight="1">
      <c r="B3357" s="67"/>
      <c r="G3357" s="3" t="s">
        <v>59</v>
      </c>
      <c r="H3357" s="3"/>
      <c r="I3357" s="3"/>
      <c r="J3357" s="345"/>
      <c r="K3357" s="703"/>
      <c r="L3357" s="342"/>
      <c r="M3357" s="342"/>
      <c r="N3357" s="340"/>
      <c r="O3357" s="703"/>
      <c r="P3357" s="342"/>
      <c r="Q3357" s="363"/>
      <c r="R3357" s="340"/>
      <c r="S3357" s="342"/>
      <c r="T3357" s="342"/>
      <c r="U3357" s="342"/>
      <c r="V3357" s="340"/>
      <c r="W3357" s="340"/>
    </row>
    <row r="3358" spans="2:23" ht="24" customHeight="1">
      <c r="B3358" s="67"/>
      <c r="H3358" s="347">
        <v>44337</v>
      </c>
      <c r="I3358" s="347"/>
      <c r="J3358" s="345"/>
      <c r="K3358" s="703"/>
      <c r="L3358" s="342"/>
      <c r="M3358" s="342"/>
      <c r="N3358" s="340"/>
      <c r="O3358" s="703"/>
      <c r="P3358" s="342"/>
      <c r="Q3358" s="363"/>
      <c r="R3358" s="340"/>
      <c r="S3358" s="342"/>
      <c r="T3358" s="342"/>
      <c r="U3358" s="342"/>
      <c r="V3358" s="340"/>
      <c r="W3358" s="340"/>
    </row>
    <row r="3359" spans="2:23" ht="24" customHeight="1">
      <c r="B3359" s="67"/>
      <c r="I3359" s="3" t="s">
        <v>59</v>
      </c>
      <c r="J3359" s="345">
        <v>11</v>
      </c>
      <c r="K3359" s="703">
        <v>3928.82</v>
      </c>
      <c r="L3359" s="342">
        <v>1</v>
      </c>
      <c r="M3359" s="342">
        <v>19.994499999999999</v>
      </c>
      <c r="N3359" s="340">
        <v>78554.791490000003</v>
      </c>
      <c r="O3359" s="703">
        <v>4153.5</v>
      </c>
      <c r="P3359" s="342">
        <v>1</v>
      </c>
      <c r="Q3359" s="363">
        <v>19.814299999999999</v>
      </c>
      <c r="R3359" s="340">
        <v>82298.695049999995</v>
      </c>
      <c r="S3359" s="342">
        <v>112.419</v>
      </c>
      <c r="T3359" s="342">
        <v>122.94799999999999</v>
      </c>
      <c r="U3359" s="342">
        <v>1.0935999999999999</v>
      </c>
      <c r="V3359" s="340">
        <v>90001.852906679982</v>
      </c>
      <c r="W3359" s="340">
        <v>-11447.061416679979</v>
      </c>
    </row>
    <row r="3360" spans="2:23" ht="24" customHeight="1">
      <c r="J3360" s="345"/>
      <c r="K3360" s="703"/>
      <c r="L3360" s="342"/>
      <c r="M3360" s="342"/>
      <c r="N3360" s="340"/>
      <c r="O3360" s="703"/>
      <c r="P3360" s="342"/>
      <c r="Q3360" s="363"/>
      <c r="R3360" s="340"/>
      <c r="S3360" s="342"/>
      <c r="T3360" s="342"/>
      <c r="U3360" s="342"/>
      <c r="V3360" s="340"/>
      <c r="W3360" s="340"/>
    </row>
    <row r="3361" spans="2:23" ht="24" customHeight="1">
      <c r="B3361" s="67"/>
      <c r="F3361" s="346">
        <v>44805</v>
      </c>
      <c r="G3361" s="346"/>
      <c r="H3361" s="346"/>
      <c r="I3361" s="346"/>
      <c r="J3361" s="345"/>
      <c r="K3361" s="703"/>
      <c r="L3361" s="342"/>
      <c r="M3361" s="342"/>
      <c r="N3361" s="340"/>
      <c r="O3361" s="703"/>
      <c r="P3361" s="342"/>
      <c r="Q3361" s="363"/>
      <c r="R3361" s="340"/>
      <c r="S3361" s="342"/>
      <c r="T3361" s="342"/>
      <c r="U3361" s="342"/>
      <c r="V3361" s="340"/>
      <c r="W3361" s="340"/>
    </row>
    <row r="3362" spans="2:23" ht="24" customHeight="1">
      <c r="B3362" s="67"/>
      <c r="G3362" s="3" t="s">
        <v>59</v>
      </c>
      <c r="H3362" s="3"/>
      <c r="I3362" s="3"/>
      <c r="J3362" s="345"/>
      <c r="K3362" s="703"/>
      <c r="L3362" s="342"/>
      <c r="M3362" s="342"/>
      <c r="N3362" s="340"/>
      <c r="O3362" s="703"/>
      <c r="P3362" s="342"/>
      <c r="Q3362" s="363"/>
      <c r="R3362" s="340"/>
      <c r="S3362" s="342"/>
      <c r="T3362" s="342"/>
      <c r="U3362" s="342"/>
      <c r="V3362" s="340"/>
      <c r="W3362" s="340"/>
    </row>
    <row r="3363" spans="2:23" ht="24" customHeight="1">
      <c r="B3363" s="67"/>
      <c r="H3363" s="347">
        <v>44337</v>
      </c>
      <c r="I3363" s="347"/>
      <c r="J3363" s="345"/>
      <c r="K3363" s="703"/>
      <c r="L3363" s="342"/>
      <c r="M3363" s="342"/>
      <c r="N3363" s="340"/>
      <c r="O3363" s="703"/>
      <c r="P3363" s="342"/>
      <c r="Q3363" s="363"/>
      <c r="R3363" s="340"/>
      <c r="S3363" s="342"/>
      <c r="T3363" s="342"/>
      <c r="U3363" s="342"/>
      <c r="V3363" s="340"/>
      <c r="W3363" s="340"/>
    </row>
    <row r="3364" spans="2:23" ht="24" customHeight="1">
      <c r="B3364" s="67"/>
      <c r="I3364" s="3" t="s">
        <v>59</v>
      </c>
      <c r="J3364" s="345">
        <v>1</v>
      </c>
      <c r="K3364" s="703">
        <v>348.69</v>
      </c>
      <c r="L3364" s="342">
        <v>1</v>
      </c>
      <c r="M3364" s="342">
        <v>20.1465</v>
      </c>
      <c r="N3364" s="340">
        <v>7024.8830849999995</v>
      </c>
      <c r="O3364" s="703">
        <v>377.59</v>
      </c>
      <c r="P3364" s="342">
        <v>1</v>
      </c>
      <c r="Q3364" s="363">
        <v>19.814299999999999</v>
      </c>
      <c r="R3364" s="340">
        <v>7481.6815369999995</v>
      </c>
      <c r="S3364" s="342">
        <v>112.419</v>
      </c>
      <c r="T3364" s="342">
        <v>123.803</v>
      </c>
      <c r="U3364" s="342">
        <v>1.1012</v>
      </c>
      <c r="V3364" s="340">
        <v>8238.8277085443988</v>
      </c>
      <c r="W3364" s="340">
        <v>-1213.9446235443993</v>
      </c>
    </row>
    <row r="3365" spans="2:23" ht="24" customHeight="1">
      <c r="J3365" s="345"/>
      <c r="K3365" s="703"/>
      <c r="L3365" s="342"/>
      <c r="M3365" s="342"/>
      <c r="N3365" s="340"/>
      <c r="O3365" s="703"/>
      <c r="P3365" s="342"/>
      <c r="Q3365" s="363"/>
      <c r="R3365" s="340"/>
      <c r="S3365" s="342"/>
      <c r="T3365" s="342"/>
      <c r="U3365" s="342"/>
      <c r="V3365" s="340"/>
      <c r="W3365" s="340"/>
    </row>
    <row r="3366" spans="2:23" ht="24" customHeight="1">
      <c r="B3366" s="67"/>
      <c r="H3366" s="347">
        <v>44340</v>
      </c>
      <c r="I3366" s="347"/>
      <c r="J3366" s="345"/>
      <c r="K3366" s="703"/>
      <c r="L3366" s="342"/>
      <c r="M3366" s="342"/>
      <c r="N3366" s="340"/>
      <c r="O3366" s="703"/>
      <c r="P3366" s="342"/>
      <c r="Q3366" s="363"/>
      <c r="R3366" s="340"/>
      <c r="S3366" s="342"/>
      <c r="T3366" s="342"/>
      <c r="U3366" s="342"/>
      <c r="V3366" s="340"/>
      <c r="W3366" s="340"/>
    </row>
    <row r="3367" spans="2:23" ht="24" customHeight="1">
      <c r="B3367" s="67"/>
      <c r="I3367" s="3" t="s">
        <v>59</v>
      </c>
      <c r="J3367" s="345">
        <v>12</v>
      </c>
      <c r="K3367" s="703">
        <v>4184.2700000000004</v>
      </c>
      <c r="L3367" s="342">
        <v>1</v>
      </c>
      <c r="M3367" s="342">
        <v>20.1465</v>
      </c>
      <c r="N3367" s="340">
        <v>84298.39555500001</v>
      </c>
      <c r="O3367" s="703">
        <v>4561.92</v>
      </c>
      <c r="P3367" s="342">
        <v>1</v>
      </c>
      <c r="Q3367" s="363">
        <v>19.881</v>
      </c>
      <c r="R3367" s="340">
        <v>90695.531520000004</v>
      </c>
      <c r="S3367" s="342">
        <v>112.419</v>
      </c>
      <c r="T3367" s="342">
        <v>123.803</v>
      </c>
      <c r="U3367" s="342">
        <v>1.1012</v>
      </c>
      <c r="V3367" s="340">
        <v>99873.919309824007</v>
      </c>
      <c r="W3367" s="340">
        <v>-15575.523754823997</v>
      </c>
    </row>
    <row r="3368" spans="2:23" ht="24" customHeight="1">
      <c r="J3368" s="345"/>
      <c r="K3368" s="703"/>
      <c r="L3368" s="342"/>
      <c r="M3368" s="342"/>
      <c r="N3368" s="340"/>
      <c r="O3368" s="703"/>
      <c r="P3368" s="342"/>
      <c r="Q3368" s="363"/>
      <c r="R3368" s="340"/>
      <c r="S3368" s="342"/>
      <c r="T3368" s="342"/>
      <c r="U3368" s="342"/>
      <c r="V3368" s="340"/>
      <c r="W3368" s="340"/>
    </row>
    <row r="3369" spans="2:23" ht="24" customHeight="1">
      <c r="B3369" s="67"/>
      <c r="E3369" s="131" t="s">
        <v>1213</v>
      </c>
      <c r="F3369" s="131"/>
      <c r="G3369" s="131"/>
      <c r="H3369" s="131"/>
      <c r="I3369" s="131"/>
      <c r="J3369" s="704">
        <v>77</v>
      </c>
      <c r="K3369" s="705">
        <v>27992.68</v>
      </c>
      <c r="L3369" s="369">
        <v>1</v>
      </c>
      <c r="M3369" s="377">
        <v>20.003299999999999</v>
      </c>
      <c r="N3369" s="706">
        <v>558785.75646299997</v>
      </c>
      <c r="O3369" s="705">
        <v>29105.300000000003</v>
      </c>
      <c r="P3369" s="369">
        <v>1</v>
      </c>
      <c r="Q3369" s="377">
        <v>19.825416666666666</v>
      </c>
      <c r="R3369" s="706">
        <v>577005.42585400003</v>
      </c>
      <c r="S3369" s="369">
        <v>112.419</v>
      </c>
      <c r="T3369" s="369">
        <v>123.233</v>
      </c>
      <c r="U3369" s="369">
        <v>1.0961333333333334</v>
      </c>
      <c r="V3369" s="706">
        <v>631759.28053316753</v>
      </c>
      <c r="W3369" s="706">
        <v>-72973.524070167536</v>
      </c>
    </row>
    <row r="3370" spans="2:23" ht="24" customHeight="1">
      <c r="J3370" s="345"/>
      <c r="K3370" s="703"/>
      <c r="L3370" s="342"/>
      <c r="M3370" s="342"/>
      <c r="N3370" s="340"/>
      <c r="O3370" s="703"/>
      <c r="P3370" s="342"/>
      <c r="Q3370" s="363"/>
      <c r="R3370" s="340"/>
      <c r="S3370" s="342"/>
      <c r="T3370" s="342"/>
      <c r="U3370" s="342"/>
      <c r="V3370" s="340"/>
      <c r="W3370" s="340"/>
    </row>
    <row r="3371" spans="2:23" ht="24" customHeight="1">
      <c r="B3371" s="67"/>
      <c r="E3371" s="1" t="s">
        <v>979</v>
      </c>
      <c r="J3371" s="345"/>
      <c r="K3371" s="703"/>
      <c r="L3371" s="342"/>
      <c r="M3371" s="342"/>
      <c r="N3371" s="340"/>
      <c r="O3371" s="703"/>
      <c r="P3371" s="342"/>
      <c r="Q3371" s="363"/>
      <c r="R3371" s="340"/>
      <c r="S3371" s="342"/>
      <c r="T3371" s="342"/>
      <c r="U3371" s="342"/>
      <c r="V3371" s="340"/>
      <c r="W3371" s="340"/>
    </row>
    <row r="3372" spans="2:23" ht="24" customHeight="1">
      <c r="B3372" s="67"/>
      <c r="F3372" s="346">
        <v>44790</v>
      </c>
      <c r="G3372" s="346"/>
      <c r="H3372" s="346"/>
      <c r="I3372" s="346"/>
      <c r="J3372" s="345"/>
      <c r="K3372" s="703"/>
      <c r="L3372" s="342"/>
      <c r="M3372" s="342"/>
      <c r="N3372" s="340"/>
      <c r="O3372" s="703"/>
      <c r="P3372" s="342"/>
      <c r="Q3372" s="363"/>
      <c r="R3372" s="340"/>
      <c r="S3372" s="342"/>
      <c r="T3372" s="342"/>
      <c r="U3372" s="342"/>
      <c r="V3372" s="340"/>
      <c r="W3372" s="340"/>
    </row>
    <row r="3373" spans="2:23" ht="24" customHeight="1">
      <c r="B3373" s="67"/>
      <c r="G3373" s="3" t="s">
        <v>59</v>
      </c>
      <c r="H3373" s="3"/>
      <c r="I3373" s="3"/>
      <c r="J3373" s="345"/>
      <c r="K3373" s="703"/>
      <c r="L3373" s="342"/>
      <c r="M3373" s="342"/>
      <c r="N3373" s="340"/>
      <c r="O3373" s="703"/>
      <c r="P3373" s="342"/>
      <c r="Q3373" s="363"/>
      <c r="R3373" s="340"/>
      <c r="S3373" s="342"/>
      <c r="T3373" s="342"/>
      <c r="U3373" s="342"/>
      <c r="V3373" s="340"/>
      <c r="W3373" s="340"/>
    </row>
    <row r="3374" spans="2:23" ht="24" customHeight="1">
      <c r="B3374" s="67"/>
      <c r="H3374" s="347">
        <v>43962</v>
      </c>
      <c r="I3374" s="347"/>
      <c r="J3374" s="345"/>
      <c r="K3374" s="703"/>
      <c r="L3374" s="342"/>
      <c r="M3374" s="342"/>
      <c r="N3374" s="340"/>
      <c r="O3374" s="703"/>
      <c r="P3374" s="342"/>
      <c r="Q3374" s="363"/>
      <c r="R3374" s="340"/>
      <c r="S3374" s="342"/>
      <c r="T3374" s="342"/>
      <c r="U3374" s="342"/>
      <c r="V3374" s="340"/>
      <c r="W3374" s="340"/>
    </row>
    <row r="3375" spans="2:23" ht="24" customHeight="1">
      <c r="B3375" s="67"/>
      <c r="I3375" s="3" t="s">
        <v>59</v>
      </c>
      <c r="J3375" s="345">
        <v>49</v>
      </c>
      <c r="K3375" s="703">
        <v>9206.4</v>
      </c>
      <c r="L3375" s="342">
        <v>1</v>
      </c>
      <c r="M3375" s="342">
        <v>19.861799999999999</v>
      </c>
      <c r="N3375" s="340">
        <v>182855.67551999999</v>
      </c>
      <c r="O3375" s="703">
        <v>8863.58</v>
      </c>
      <c r="P3375" s="342">
        <v>1</v>
      </c>
      <c r="Q3375" s="363">
        <v>24.0563</v>
      </c>
      <c r="R3375" s="340">
        <v>213224.93955400001</v>
      </c>
      <c r="S3375" s="342">
        <v>106.16200000000001</v>
      </c>
      <c r="T3375" s="342">
        <v>122.94799999999999</v>
      </c>
      <c r="U3375" s="342">
        <v>1.1580999999999999</v>
      </c>
      <c r="V3375" s="340">
        <v>246935.8024974874</v>
      </c>
      <c r="W3375" s="340">
        <v>-64080.126977487409</v>
      </c>
    </row>
    <row r="3376" spans="2:23" ht="24" customHeight="1">
      <c r="J3376" s="345"/>
      <c r="K3376" s="703"/>
      <c r="L3376" s="342"/>
      <c r="M3376" s="342"/>
      <c r="N3376" s="340"/>
      <c r="O3376" s="703"/>
      <c r="P3376" s="342"/>
      <c r="Q3376" s="363"/>
      <c r="R3376" s="340"/>
      <c r="S3376" s="342"/>
      <c r="T3376" s="342"/>
      <c r="U3376" s="342"/>
      <c r="V3376" s="340"/>
      <c r="W3376" s="340"/>
    </row>
    <row r="3377" spans="2:23" ht="24" customHeight="1">
      <c r="B3377" s="67"/>
      <c r="E3377" s="131" t="s">
        <v>1214</v>
      </c>
      <c r="F3377" s="131"/>
      <c r="G3377" s="131"/>
      <c r="H3377" s="131"/>
      <c r="I3377" s="131"/>
      <c r="J3377" s="704">
        <v>49</v>
      </c>
      <c r="K3377" s="705">
        <v>9206.4</v>
      </c>
      <c r="L3377" s="369">
        <v>1</v>
      </c>
      <c r="M3377" s="377">
        <v>19.861799999999999</v>
      </c>
      <c r="N3377" s="706">
        <v>182855.67551999999</v>
      </c>
      <c r="O3377" s="705">
        <v>8863.58</v>
      </c>
      <c r="P3377" s="369">
        <v>1</v>
      </c>
      <c r="Q3377" s="377">
        <v>24.0563</v>
      </c>
      <c r="R3377" s="706">
        <v>213224.93955400001</v>
      </c>
      <c r="S3377" s="369">
        <v>106.16200000000001</v>
      </c>
      <c r="T3377" s="369">
        <v>122.94799999999999</v>
      </c>
      <c r="U3377" s="369">
        <v>1.1580999999999999</v>
      </c>
      <c r="V3377" s="706">
        <v>246935.8024974874</v>
      </c>
      <c r="W3377" s="706">
        <v>-64080.126977487409</v>
      </c>
    </row>
    <row r="3378" spans="2:23" ht="24" customHeight="1">
      <c r="J3378" s="345"/>
      <c r="K3378" s="703"/>
      <c r="L3378" s="342"/>
      <c r="M3378" s="342"/>
      <c r="N3378" s="340"/>
      <c r="O3378" s="703"/>
      <c r="P3378" s="342"/>
      <c r="Q3378" s="363"/>
      <c r="R3378" s="340"/>
      <c r="S3378" s="342"/>
      <c r="T3378" s="342"/>
      <c r="U3378" s="342"/>
      <c r="V3378" s="340"/>
      <c r="W3378" s="340"/>
    </row>
    <row r="3379" spans="2:23" ht="24" customHeight="1">
      <c r="B3379" s="67"/>
      <c r="E3379" s="1" t="s">
        <v>1012</v>
      </c>
      <c r="J3379" s="345"/>
      <c r="K3379" s="703"/>
      <c r="L3379" s="342"/>
      <c r="M3379" s="342"/>
      <c r="N3379" s="340"/>
      <c r="O3379" s="703"/>
      <c r="P3379" s="342"/>
      <c r="Q3379" s="363"/>
      <c r="R3379" s="340"/>
      <c r="S3379" s="342"/>
      <c r="T3379" s="342"/>
      <c r="U3379" s="342"/>
      <c r="V3379" s="340"/>
      <c r="W3379" s="340"/>
    </row>
    <row r="3380" spans="2:23" ht="24" customHeight="1">
      <c r="B3380" s="67"/>
      <c r="F3380" s="346">
        <v>44854</v>
      </c>
      <c r="G3380" s="346"/>
      <c r="H3380" s="346"/>
      <c r="I3380" s="346"/>
      <c r="J3380" s="345"/>
      <c r="K3380" s="703"/>
      <c r="L3380" s="342"/>
      <c r="M3380" s="342"/>
      <c r="N3380" s="340"/>
      <c r="O3380" s="703"/>
      <c r="P3380" s="342"/>
      <c r="Q3380" s="363"/>
      <c r="R3380" s="340"/>
      <c r="S3380" s="342"/>
      <c r="T3380" s="342"/>
      <c r="U3380" s="342"/>
      <c r="V3380" s="340"/>
      <c r="W3380" s="340"/>
    </row>
    <row r="3381" spans="2:23" ht="24" customHeight="1">
      <c r="B3381" s="67"/>
      <c r="G3381" s="3" t="s">
        <v>59</v>
      </c>
      <c r="H3381" s="3"/>
      <c r="I3381" s="3"/>
      <c r="J3381" s="345"/>
      <c r="K3381" s="703"/>
      <c r="L3381" s="342"/>
      <c r="M3381" s="342"/>
      <c r="N3381" s="340"/>
      <c r="O3381" s="703"/>
      <c r="P3381" s="342"/>
      <c r="Q3381" s="363"/>
      <c r="R3381" s="340"/>
      <c r="S3381" s="342"/>
      <c r="T3381" s="342"/>
      <c r="U3381" s="342"/>
      <c r="V3381" s="340"/>
      <c r="W3381" s="340"/>
    </row>
    <row r="3382" spans="2:23" ht="24" customHeight="1">
      <c r="B3382" s="67"/>
      <c r="H3382" s="347">
        <v>44720</v>
      </c>
      <c r="I3382" s="347"/>
      <c r="J3382" s="345"/>
      <c r="K3382" s="703"/>
      <c r="L3382" s="342"/>
      <c r="M3382" s="342"/>
      <c r="N3382" s="340"/>
      <c r="O3382" s="703"/>
      <c r="P3382" s="342"/>
      <c r="Q3382" s="363"/>
      <c r="R3382" s="340"/>
      <c r="S3382" s="342"/>
      <c r="T3382" s="342"/>
      <c r="U3382" s="342"/>
      <c r="V3382" s="340"/>
      <c r="W3382" s="340"/>
    </row>
    <row r="3383" spans="2:23" ht="24" customHeight="1">
      <c r="B3383" s="67"/>
      <c r="I3383" s="3" t="s">
        <v>59</v>
      </c>
      <c r="J3383" s="345">
        <v>32</v>
      </c>
      <c r="K3383" s="703">
        <v>1694.4</v>
      </c>
      <c r="L3383" s="342">
        <v>1</v>
      </c>
      <c r="M3383" s="342">
        <v>20.020700000000001</v>
      </c>
      <c r="N3383" s="340">
        <v>33923.074080000006</v>
      </c>
      <c r="O3383" s="703">
        <v>2674.88</v>
      </c>
      <c r="P3383" s="342">
        <v>1</v>
      </c>
      <c r="Q3383" s="363">
        <v>19.5547</v>
      </c>
      <c r="R3383" s="340">
        <v>52306.475936000003</v>
      </c>
      <c r="S3383" s="342">
        <v>122.044</v>
      </c>
      <c r="T3383" s="342">
        <v>124.571</v>
      </c>
      <c r="U3383" s="342">
        <v>1.0206999999999999</v>
      </c>
      <c r="V3383" s="340">
        <v>53389.2199878752</v>
      </c>
      <c r="W3383" s="340">
        <v>-19466.145907875194</v>
      </c>
    </row>
    <row r="3384" spans="2:23" ht="24" customHeight="1">
      <c r="J3384" s="345"/>
      <c r="K3384" s="703"/>
      <c r="L3384" s="342"/>
      <c r="M3384" s="342"/>
      <c r="N3384" s="340"/>
      <c r="O3384" s="703"/>
      <c r="P3384" s="342"/>
      <c r="Q3384" s="363"/>
      <c r="R3384" s="340"/>
      <c r="S3384" s="342"/>
      <c r="T3384" s="342"/>
      <c r="U3384" s="342"/>
      <c r="V3384" s="340"/>
      <c r="W3384" s="340"/>
    </row>
    <row r="3385" spans="2:23" ht="24" customHeight="1">
      <c r="B3385" s="67"/>
      <c r="E3385" s="131" t="s">
        <v>1215</v>
      </c>
      <c r="F3385" s="131"/>
      <c r="G3385" s="131"/>
      <c r="H3385" s="131"/>
      <c r="I3385" s="131"/>
      <c r="J3385" s="704">
        <v>32</v>
      </c>
      <c r="K3385" s="705">
        <v>1694.4</v>
      </c>
      <c r="L3385" s="369">
        <v>1</v>
      </c>
      <c r="M3385" s="377">
        <v>20.020700000000001</v>
      </c>
      <c r="N3385" s="706">
        <v>33923.074080000006</v>
      </c>
      <c r="O3385" s="705">
        <v>2674.88</v>
      </c>
      <c r="P3385" s="369">
        <v>1</v>
      </c>
      <c r="Q3385" s="377">
        <v>19.5547</v>
      </c>
      <c r="R3385" s="706">
        <v>52306.475936000003</v>
      </c>
      <c r="S3385" s="369">
        <v>122.044</v>
      </c>
      <c r="T3385" s="369">
        <v>124.571</v>
      </c>
      <c r="U3385" s="369">
        <v>1.0206999999999999</v>
      </c>
      <c r="V3385" s="706">
        <v>53389.2199878752</v>
      </c>
      <c r="W3385" s="706">
        <v>-19466.145907875194</v>
      </c>
    </row>
    <row r="3386" spans="2:23" ht="24" customHeight="1">
      <c r="J3386" s="345"/>
      <c r="K3386" s="703"/>
      <c r="L3386" s="342"/>
      <c r="M3386" s="342"/>
      <c r="N3386" s="340"/>
      <c r="O3386" s="703"/>
      <c r="P3386" s="342"/>
      <c r="Q3386" s="363"/>
      <c r="R3386" s="340"/>
      <c r="S3386" s="342"/>
      <c r="T3386" s="342"/>
      <c r="U3386" s="342"/>
      <c r="V3386" s="340"/>
      <c r="W3386" s="340"/>
    </row>
    <row r="3387" spans="2:23" ht="24" customHeight="1">
      <c r="B3387" s="67"/>
      <c r="E3387" s="1" t="s">
        <v>769</v>
      </c>
      <c r="J3387" s="345"/>
      <c r="K3387" s="703"/>
      <c r="L3387" s="342"/>
      <c r="M3387" s="342"/>
      <c r="N3387" s="340"/>
      <c r="O3387" s="703"/>
      <c r="P3387" s="342"/>
      <c r="Q3387" s="363"/>
      <c r="R3387" s="340"/>
      <c r="S3387" s="342"/>
      <c r="T3387" s="342"/>
      <c r="U3387" s="342"/>
      <c r="V3387" s="340"/>
      <c r="W3387" s="340"/>
    </row>
    <row r="3388" spans="2:23" ht="24" customHeight="1">
      <c r="B3388" s="67"/>
      <c r="F3388" s="346">
        <v>44790</v>
      </c>
      <c r="G3388" s="346"/>
      <c r="H3388" s="346"/>
      <c r="I3388" s="346"/>
      <c r="J3388" s="345"/>
      <c r="K3388" s="703"/>
      <c r="L3388" s="342"/>
      <c r="M3388" s="342"/>
      <c r="N3388" s="340"/>
      <c r="O3388" s="703"/>
      <c r="P3388" s="342"/>
      <c r="Q3388" s="363"/>
      <c r="R3388" s="340"/>
      <c r="S3388" s="342"/>
      <c r="T3388" s="342"/>
      <c r="U3388" s="342"/>
      <c r="V3388" s="340"/>
      <c r="W3388" s="340"/>
    </row>
    <row r="3389" spans="2:23" ht="24" customHeight="1">
      <c r="B3389" s="67"/>
      <c r="G3389" s="3" t="s">
        <v>59</v>
      </c>
      <c r="H3389" s="3"/>
      <c r="I3389" s="3"/>
      <c r="J3389" s="345"/>
      <c r="K3389" s="703"/>
      <c r="L3389" s="342"/>
      <c r="M3389" s="342"/>
      <c r="N3389" s="340"/>
      <c r="O3389" s="703"/>
      <c r="P3389" s="342"/>
      <c r="Q3389" s="363"/>
      <c r="R3389" s="340"/>
      <c r="S3389" s="342"/>
      <c r="T3389" s="342"/>
      <c r="U3389" s="342"/>
      <c r="V3389" s="340"/>
      <c r="W3389" s="340"/>
    </row>
    <row r="3390" spans="2:23" ht="24" customHeight="1">
      <c r="B3390" s="67"/>
      <c r="H3390" s="347">
        <v>43962</v>
      </c>
      <c r="I3390" s="347"/>
      <c r="J3390" s="345"/>
      <c r="K3390" s="703"/>
      <c r="L3390" s="342"/>
      <c r="M3390" s="342"/>
      <c r="N3390" s="340"/>
      <c r="O3390" s="703"/>
      <c r="P3390" s="342"/>
      <c r="Q3390" s="363"/>
      <c r="R3390" s="340"/>
      <c r="S3390" s="342"/>
      <c r="T3390" s="342"/>
      <c r="U3390" s="342"/>
      <c r="V3390" s="340"/>
      <c r="W3390" s="340"/>
    </row>
    <row r="3391" spans="2:23" ht="24" customHeight="1">
      <c r="B3391" s="67"/>
      <c r="I3391" s="3" t="s">
        <v>59</v>
      </c>
      <c r="J3391" s="345">
        <v>23</v>
      </c>
      <c r="K3391" s="703">
        <v>5813.35</v>
      </c>
      <c r="L3391" s="342">
        <v>1</v>
      </c>
      <c r="M3391" s="342">
        <v>19.861799999999999</v>
      </c>
      <c r="N3391" s="340">
        <v>115463.59503</v>
      </c>
      <c r="O3391" s="703">
        <v>4280.8100000000004</v>
      </c>
      <c r="P3391" s="342">
        <v>1</v>
      </c>
      <c r="Q3391" s="363">
        <v>24.0563</v>
      </c>
      <c r="R3391" s="340">
        <v>102980.44960300002</v>
      </c>
      <c r="S3391" s="342">
        <v>106.16200000000001</v>
      </c>
      <c r="T3391" s="342">
        <v>122.94799999999999</v>
      </c>
      <c r="U3391" s="342">
        <v>1.1580999999999999</v>
      </c>
      <c r="V3391" s="340">
        <v>119261.6586852343</v>
      </c>
      <c r="W3391" s="340">
        <v>-3798.0636552343058</v>
      </c>
    </row>
    <row r="3392" spans="2:23" ht="24" customHeight="1">
      <c r="J3392" s="345"/>
      <c r="K3392" s="703"/>
      <c r="L3392" s="342"/>
      <c r="M3392" s="342"/>
      <c r="N3392" s="340"/>
      <c r="O3392" s="703"/>
      <c r="P3392" s="342"/>
      <c r="Q3392" s="363"/>
      <c r="R3392" s="340"/>
      <c r="S3392" s="342"/>
      <c r="T3392" s="342"/>
      <c r="U3392" s="342"/>
      <c r="V3392" s="340"/>
      <c r="W3392" s="340"/>
    </row>
    <row r="3393" spans="2:23" ht="24" customHeight="1">
      <c r="B3393" s="67"/>
      <c r="E3393" s="131" t="s">
        <v>1216</v>
      </c>
      <c r="F3393" s="131"/>
      <c r="G3393" s="131"/>
      <c r="H3393" s="131"/>
      <c r="I3393" s="131"/>
      <c r="J3393" s="704">
        <v>23</v>
      </c>
      <c r="K3393" s="705">
        <v>5813.35</v>
      </c>
      <c r="L3393" s="369">
        <v>1</v>
      </c>
      <c r="M3393" s="377">
        <v>19.861799999999999</v>
      </c>
      <c r="N3393" s="706">
        <v>115463.59503</v>
      </c>
      <c r="O3393" s="705">
        <v>4280.8100000000004</v>
      </c>
      <c r="P3393" s="369">
        <v>1</v>
      </c>
      <c r="Q3393" s="377">
        <v>24.0563</v>
      </c>
      <c r="R3393" s="706">
        <v>102980.44960300002</v>
      </c>
      <c r="S3393" s="369">
        <v>106.16200000000001</v>
      </c>
      <c r="T3393" s="369">
        <v>122.94799999999999</v>
      </c>
      <c r="U3393" s="369">
        <v>1.1580999999999999</v>
      </c>
      <c r="V3393" s="706">
        <v>119261.6586852343</v>
      </c>
      <c r="W3393" s="706">
        <v>-3798.0636552343058</v>
      </c>
    </row>
    <row r="3394" spans="2:23" ht="24" customHeight="1">
      <c r="J3394" s="345"/>
      <c r="K3394" s="703"/>
      <c r="L3394" s="342"/>
      <c r="M3394" s="342"/>
      <c r="N3394" s="340"/>
      <c r="O3394" s="703"/>
      <c r="P3394" s="342"/>
      <c r="Q3394" s="363"/>
      <c r="R3394" s="340"/>
      <c r="S3394" s="342"/>
      <c r="T3394" s="342"/>
      <c r="U3394" s="342"/>
      <c r="V3394" s="340"/>
      <c r="W3394" s="340"/>
    </row>
    <row r="3395" spans="2:23" ht="24" customHeight="1">
      <c r="B3395" s="67"/>
      <c r="E3395" s="1" t="s">
        <v>1007</v>
      </c>
      <c r="J3395" s="345"/>
      <c r="K3395" s="703"/>
      <c r="L3395" s="342"/>
      <c r="M3395" s="342"/>
      <c r="N3395" s="340"/>
      <c r="O3395" s="703"/>
      <c r="P3395" s="342"/>
      <c r="Q3395" s="363"/>
      <c r="R3395" s="340"/>
      <c r="S3395" s="342"/>
      <c r="T3395" s="342"/>
      <c r="U3395" s="342"/>
      <c r="V3395" s="340"/>
      <c r="W3395" s="340"/>
    </row>
    <row r="3396" spans="2:23" ht="24" customHeight="1">
      <c r="B3396" s="67"/>
      <c r="F3396" s="346">
        <v>44854</v>
      </c>
      <c r="G3396" s="346"/>
      <c r="H3396" s="346"/>
      <c r="I3396" s="346"/>
      <c r="J3396" s="345"/>
      <c r="K3396" s="703"/>
      <c r="L3396" s="342"/>
      <c r="M3396" s="342"/>
      <c r="N3396" s="340"/>
      <c r="O3396" s="703"/>
      <c r="P3396" s="342"/>
      <c r="Q3396" s="363"/>
      <c r="R3396" s="340"/>
      <c r="S3396" s="342"/>
      <c r="T3396" s="342"/>
      <c r="U3396" s="342"/>
      <c r="V3396" s="340"/>
      <c r="W3396" s="340"/>
    </row>
    <row r="3397" spans="2:23" ht="24" customHeight="1">
      <c r="B3397" s="67"/>
      <c r="G3397" s="3" t="s">
        <v>59</v>
      </c>
      <c r="H3397" s="3"/>
      <c r="I3397" s="3"/>
      <c r="J3397" s="345"/>
      <c r="K3397" s="703"/>
      <c r="L3397" s="342"/>
      <c r="M3397" s="342"/>
      <c r="N3397" s="340"/>
      <c r="O3397" s="703"/>
      <c r="P3397" s="342"/>
      <c r="Q3397" s="363"/>
      <c r="R3397" s="340"/>
      <c r="S3397" s="342"/>
      <c r="T3397" s="342"/>
      <c r="U3397" s="342"/>
      <c r="V3397" s="340"/>
      <c r="W3397" s="340"/>
    </row>
    <row r="3398" spans="2:23" ht="24" customHeight="1">
      <c r="B3398" s="67"/>
      <c r="H3398" s="347">
        <v>44720</v>
      </c>
      <c r="I3398" s="347"/>
      <c r="J3398" s="345"/>
      <c r="K3398" s="703"/>
      <c r="L3398" s="342"/>
      <c r="M3398" s="342"/>
      <c r="N3398" s="340"/>
      <c r="O3398" s="703"/>
      <c r="P3398" s="342"/>
      <c r="Q3398" s="363"/>
      <c r="R3398" s="340"/>
      <c r="S3398" s="342"/>
      <c r="T3398" s="342"/>
      <c r="U3398" s="342"/>
      <c r="V3398" s="340"/>
      <c r="W3398" s="340"/>
    </row>
    <row r="3399" spans="2:23" ht="24" customHeight="1">
      <c r="B3399" s="67"/>
      <c r="I3399" s="3" t="s">
        <v>59</v>
      </c>
      <c r="J3399" s="345">
        <v>14</v>
      </c>
      <c r="K3399" s="703">
        <v>1385.34</v>
      </c>
      <c r="L3399" s="342">
        <v>1</v>
      </c>
      <c r="M3399" s="342">
        <v>20.020700000000001</v>
      </c>
      <c r="N3399" s="340">
        <v>27735.476537999999</v>
      </c>
      <c r="O3399" s="703">
        <v>1507.87</v>
      </c>
      <c r="P3399" s="342">
        <v>1</v>
      </c>
      <c r="Q3399" s="363">
        <v>19.5547</v>
      </c>
      <c r="R3399" s="340">
        <v>29485.945488999998</v>
      </c>
      <c r="S3399" s="342">
        <v>122.044</v>
      </c>
      <c r="T3399" s="342">
        <v>124.571</v>
      </c>
      <c r="U3399" s="342">
        <v>1.0206999999999999</v>
      </c>
      <c r="V3399" s="340">
        <v>30096.304560622295</v>
      </c>
      <c r="W3399" s="340">
        <v>-2360.828022622296</v>
      </c>
    </row>
    <row r="3400" spans="2:23" ht="24" customHeight="1">
      <c r="J3400" s="345"/>
      <c r="K3400" s="703"/>
      <c r="L3400" s="342"/>
      <c r="M3400" s="342"/>
      <c r="N3400" s="340"/>
      <c r="O3400" s="703"/>
      <c r="P3400" s="342"/>
      <c r="Q3400" s="363"/>
      <c r="R3400" s="340"/>
      <c r="S3400" s="342"/>
      <c r="T3400" s="342"/>
      <c r="U3400" s="342"/>
      <c r="V3400" s="340"/>
      <c r="W3400" s="340"/>
    </row>
    <row r="3401" spans="2:23" ht="24" customHeight="1">
      <c r="B3401" s="67"/>
      <c r="E3401" s="131" t="s">
        <v>1217</v>
      </c>
      <c r="F3401" s="131"/>
      <c r="G3401" s="131"/>
      <c r="H3401" s="131"/>
      <c r="I3401" s="131"/>
      <c r="J3401" s="704">
        <v>14</v>
      </c>
      <c r="K3401" s="705">
        <v>1385.34</v>
      </c>
      <c r="L3401" s="369">
        <v>1</v>
      </c>
      <c r="M3401" s="377">
        <v>20.020700000000001</v>
      </c>
      <c r="N3401" s="706">
        <v>27735.476537999999</v>
      </c>
      <c r="O3401" s="705">
        <v>1507.87</v>
      </c>
      <c r="P3401" s="369">
        <v>1</v>
      </c>
      <c r="Q3401" s="377">
        <v>19.5547</v>
      </c>
      <c r="R3401" s="706">
        <v>29485.945488999998</v>
      </c>
      <c r="S3401" s="369">
        <v>122.044</v>
      </c>
      <c r="T3401" s="369">
        <v>124.571</v>
      </c>
      <c r="U3401" s="369">
        <v>1.0206999999999999</v>
      </c>
      <c r="V3401" s="706">
        <v>30096.304560622295</v>
      </c>
      <c r="W3401" s="706">
        <v>-2360.828022622296</v>
      </c>
    </row>
    <row r="3402" spans="2:23" ht="24" customHeight="1">
      <c r="J3402" s="345"/>
      <c r="K3402" s="703"/>
      <c r="L3402" s="342"/>
      <c r="M3402" s="342"/>
      <c r="N3402" s="340"/>
      <c r="O3402" s="703"/>
      <c r="P3402" s="342"/>
      <c r="Q3402" s="363"/>
      <c r="R3402" s="340"/>
      <c r="S3402" s="342"/>
      <c r="T3402" s="342"/>
      <c r="U3402" s="342"/>
      <c r="V3402" s="340"/>
      <c r="W3402" s="340"/>
    </row>
    <row r="3403" spans="2:23" ht="24" customHeight="1">
      <c r="B3403" s="67"/>
      <c r="E3403" s="1" t="s">
        <v>980</v>
      </c>
      <c r="J3403" s="345"/>
      <c r="K3403" s="703"/>
      <c r="L3403" s="342"/>
      <c r="M3403" s="342"/>
      <c r="N3403" s="340"/>
      <c r="O3403" s="703"/>
      <c r="P3403" s="342"/>
      <c r="Q3403" s="363"/>
      <c r="R3403" s="340"/>
      <c r="S3403" s="342"/>
      <c r="T3403" s="342"/>
      <c r="U3403" s="342"/>
      <c r="V3403" s="340"/>
      <c r="W3403" s="340"/>
    </row>
    <row r="3404" spans="2:23" ht="24" customHeight="1">
      <c r="B3404" s="67"/>
      <c r="F3404" s="346">
        <v>44790</v>
      </c>
      <c r="G3404" s="346"/>
      <c r="H3404" s="346"/>
      <c r="I3404" s="346"/>
      <c r="J3404" s="345"/>
      <c r="K3404" s="703"/>
      <c r="L3404" s="342"/>
      <c r="M3404" s="342"/>
      <c r="N3404" s="340"/>
      <c r="O3404" s="703"/>
      <c r="P3404" s="342"/>
      <c r="Q3404" s="363"/>
      <c r="R3404" s="340"/>
      <c r="S3404" s="342"/>
      <c r="T3404" s="342"/>
      <c r="U3404" s="342"/>
      <c r="V3404" s="340"/>
      <c r="W3404" s="340"/>
    </row>
    <row r="3405" spans="2:23" ht="24" customHeight="1">
      <c r="B3405" s="67"/>
      <c r="G3405" s="3" t="s">
        <v>59</v>
      </c>
      <c r="H3405" s="3"/>
      <c r="I3405" s="3"/>
      <c r="J3405" s="345"/>
      <c r="K3405" s="703"/>
      <c r="L3405" s="342"/>
      <c r="M3405" s="342"/>
      <c r="N3405" s="340"/>
      <c r="O3405" s="703"/>
      <c r="P3405" s="342"/>
      <c r="Q3405" s="363"/>
      <c r="R3405" s="340"/>
      <c r="S3405" s="342"/>
      <c r="T3405" s="342"/>
      <c r="U3405" s="342"/>
      <c r="V3405" s="340"/>
      <c r="W3405" s="340"/>
    </row>
    <row r="3406" spans="2:23" ht="24" customHeight="1">
      <c r="B3406" s="67"/>
      <c r="H3406" s="347">
        <v>44720</v>
      </c>
      <c r="I3406" s="347"/>
      <c r="J3406" s="345"/>
      <c r="K3406" s="703"/>
      <c r="L3406" s="342"/>
      <c r="M3406" s="342"/>
      <c r="N3406" s="340"/>
      <c r="O3406" s="703"/>
      <c r="P3406" s="342"/>
      <c r="Q3406" s="363"/>
      <c r="R3406" s="340"/>
      <c r="S3406" s="342"/>
      <c r="T3406" s="342"/>
      <c r="U3406" s="342"/>
      <c r="V3406" s="340"/>
      <c r="W3406" s="340"/>
    </row>
    <row r="3407" spans="2:23" ht="24" customHeight="1">
      <c r="B3407" s="67"/>
      <c r="I3407" s="3" t="s">
        <v>59</v>
      </c>
      <c r="J3407" s="345">
        <v>83</v>
      </c>
      <c r="K3407" s="703">
        <v>11552.82</v>
      </c>
      <c r="L3407" s="342">
        <v>1</v>
      </c>
      <c r="M3407" s="342">
        <v>19.861799999999999</v>
      </c>
      <c r="N3407" s="340">
        <v>229459.80027599999</v>
      </c>
      <c r="O3407" s="703">
        <v>10608.22</v>
      </c>
      <c r="P3407" s="342">
        <v>1</v>
      </c>
      <c r="Q3407" s="363">
        <v>19.5547</v>
      </c>
      <c r="R3407" s="340">
        <v>207440.559634</v>
      </c>
      <c r="S3407" s="342">
        <v>122.044</v>
      </c>
      <c r="T3407" s="342">
        <v>122.94799999999999</v>
      </c>
      <c r="U3407" s="342">
        <v>1.0074000000000001</v>
      </c>
      <c r="V3407" s="340">
        <v>208975.61977529162</v>
      </c>
      <c r="W3407" s="340">
        <v>20484.180500708375</v>
      </c>
    </row>
    <row r="3408" spans="2:23" ht="24" customHeight="1">
      <c r="J3408" s="345"/>
      <c r="K3408" s="703"/>
      <c r="L3408" s="342"/>
      <c r="M3408" s="342"/>
      <c r="N3408" s="340"/>
      <c r="O3408" s="703"/>
      <c r="P3408" s="342"/>
      <c r="Q3408" s="363"/>
      <c r="R3408" s="340"/>
      <c r="S3408" s="342"/>
      <c r="T3408" s="342"/>
      <c r="U3408" s="342"/>
      <c r="V3408" s="340"/>
      <c r="W3408" s="340"/>
    </row>
    <row r="3409" spans="2:23" ht="24" customHeight="1">
      <c r="B3409" s="67"/>
      <c r="E3409" s="131" t="s">
        <v>1218</v>
      </c>
      <c r="F3409" s="131"/>
      <c r="G3409" s="131"/>
      <c r="H3409" s="131"/>
      <c r="I3409" s="131"/>
      <c r="J3409" s="704">
        <v>83</v>
      </c>
      <c r="K3409" s="705">
        <v>11552.82</v>
      </c>
      <c r="L3409" s="369">
        <v>1</v>
      </c>
      <c r="M3409" s="377">
        <v>19.861799999999999</v>
      </c>
      <c r="N3409" s="706">
        <v>229459.80027599999</v>
      </c>
      <c r="O3409" s="705">
        <v>10608.22</v>
      </c>
      <c r="P3409" s="369">
        <v>1</v>
      </c>
      <c r="Q3409" s="377">
        <v>19.5547</v>
      </c>
      <c r="R3409" s="706">
        <v>207440.559634</v>
      </c>
      <c r="S3409" s="369">
        <v>122.044</v>
      </c>
      <c r="T3409" s="369">
        <v>122.94799999999999</v>
      </c>
      <c r="U3409" s="369">
        <v>1.0074000000000001</v>
      </c>
      <c r="V3409" s="706">
        <v>208975.61977529162</v>
      </c>
      <c r="W3409" s="706">
        <v>20484.180500708375</v>
      </c>
    </row>
    <row r="3410" spans="2:23" ht="24" customHeight="1">
      <c r="J3410" s="345"/>
      <c r="K3410" s="703"/>
      <c r="L3410" s="342"/>
      <c r="M3410" s="342"/>
      <c r="N3410" s="340"/>
      <c r="O3410" s="703"/>
      <c r="P3410" s="342"/>
      <c r="Q3410" s="363"/>
      <c r="R3410" s="340"/>
      <c r="S3410" s="342"/>
      <c r="T3410" s="342"/>
      <c r="U3410" s="342"/>
      <c r="V3410" s="340"/>
      <c r="W3410" s="340"/>
    </row>
    <row r="3411" spans="2:23" ht="24" customHeight="1">
      <c r="B3411" s="67"/>
      <c r="E3411" s="1" t="s">
        <v>745</v>
      </c>
      <c r="J3411" s="345"/>
      <c r="K3411" s="703"/>
      <c r="L3411" s="342"/>
      <c r="M3411" s="342"/>
      <c r="N3411" s="340"/>
      <c r="O3411" s="703"/>
      <c r="P3411" s="342"/>
      <c r="Q3411" s="363"/>
      <c r="R3411" s="340"/>
      <c r="S3411" s="342"/>
      <c r="T3411" s="342"/>
      <c r="U3411" s="342"/>
      <c r="V3411" s="340"/>
      <c r="W3411" s="340"/>
    </row>
    <row r="3412" spans="2:23" ht="24" customHeight="1">
      <c r="B3412" s="67"/>
      <c r="F3412" s="346">
        <v>44734</v>
      </c>
      <c r="G3412" s="346"/>
      <c r="H3412" s="346"/>
      <c r="I3412" s="346"/>
      <c r="J3412" s="345"/>
      <c r="K3412" s="703"/>
      <c r="L3412" s="342"/>
      <c r="M3412" s="342"/>
      <c r="N3412" s="340"/>
      <c r="O3412" s="703"/>
      <c r="P3412" s="342"/>
      <c r="Q3412" s="363"/>
      <c r="R3412" s="340"/>
      <c r="S3412" s="342"/>
      <c r="T3412" s="342"/>
      <c r="U3412" s="342"/>
      <c r="V3412" s="340"/>
      <c r="W3412" s="340"/>
    </row>
    <row r="3413" spans="2:23" ht="24" customHeight="1">
      <c r="B3413" s="67"/>
      <c r="G3413" s="3" t="s">
        <v>59</v>
      </c>
      <c r="H3413" s="3"/>
      <c r="I3413" s="3"/>
      <c r="J3413" s="345"/>
      <c r="K3413" s="703"/>
      <c r="L3413" s="342"/>
      <c r="M3413" s="342"/>
      <c r="N3413" s="340"/>
      <c r="O3413" s="703"/>
      <c r="P3413" s="342"/>
      <c r="Q3413" s="363"/>
      <c r="R3413" s="340"/>
      <c r="S3413" s="342"/>
      <c r="T3413" s="342"/>
      <c r="U3413" s="342"/>
      <c r="V3413" s="340"/>
      <c r="W3413" s="340"/>
    </row>
    <row r="3414" spans="2:23" ht="24" customHeight="1">
      <c r="B3414" s="67"/>
      <c r="H3414" s="347">
        <v>44208</v>
      </c>
      <c r="I3414" s="347"/>
      <c r="J3414" s="345"/>
      <c r="K3414" s="703"/>
      <c r="L3414" s="342"/>
      <c r="M3414" s="342"/>
      <c r="N3414" s="340"/>
      <c r="O3414" s="703"/>
      <c r="P3414" s="342"/>
      <c r="Q3414" s="363"/>
      <c r="R3414" s="340"/>
      <c r="S3414" s="342"/>
      <c r="T3414" s="342"/>
      <c r="U3414" s="342"/>
      <c r="V3414" s="340"/>
      <c r="W3414" s="340"/>
    </row>
    <row r="3415" spans="2:23" ht="24" customHeight="1">
      <c r="B3415" s="67"/>
      <c r="I3415" s="3" t="s">
        <v>59</v>
      </c>
      <c r="J3415" s="345">
        <v>198</v>
      </c>
      <c r="K3415" s="703">
        <v>15559.69</v>
      </c>
      <c r="L3415" s="342">
        <v>1</v>
      </c>
      <c r="M3415" s="342">
        <v>20.244199999999999</v>
      </c>
      <c r="N3415" s="340">
        <v>314993.47629800002</v>
      </c>
      <c r="O3415" s="703">
        <v>15607.61</v>
      </c>
      <c r="P3415" s="342">
        <v>1</v>
      </c>
      <c r="Q3415" s="363">
        <v>19.970500000000001</v>
      </c>
      <c r="R3415" s="340">
        <v>311691.77550500003</v>
      </c>
      <c r="S3415" s="342">
        <v>110.21</v>
      </c>
      <c r="T3415" s="342">
        <v>121.02200000000001</v>
      </c>
      <c r="U3415" s="342">
        <v>1.0981000000000001</v>
      </c>
      <c r="V3415" s="340">
        <v>342268.73868204054</v>
      </c>
      <c r="W3415" s="340">
        <v>-27275.262384040514</v>
      </c>
    </row>
    <row r="3416" spans="2:23" ht="24" customHeight="1">
      <c r="J3416" s="345"/>
      <c r="K3416" s="703"/>
      <c r="L3416" s="342"/>
      <c r="M3416" s="342"/>
      <c r="N3416" s="340"/>
      <c r="O3416" s="703"/>
      <c r="P3416" s="342"/>
      <c r="Q3416" s="363"/>
      <c r="R3416" s="340"/>
      <c r="S3416" s="342"/>
      <c r="T3416" s="342"/>
      <c r="U3416" s="342"/>
      <c r="V3416" s="340"/>
      <c r="W3416" s="340"/>
    </row>
    <row r="3417" spans="2:23" ht="24" customHeight="1">
      <c r="B3417" s="67"/>
      <c r="E3417" s="131" t="s">
        <v>1219</v>
      </c>
      <c r="F3417" s="131"/>
      <c r="G3417" s="131"/>
      <c r="H3417" s="131"/>
      <c r="I3417" s="131"/>
      <c r="J3417" s="704">
        <v>198</v>
      </c>
      <c r="K3417" s="705">
        <v>15559.69</v>
      </c>
      <c r="L3417" s="369">
        <v>1</v>
      </c>
      <c r="M3417" s="377">
        <v>20.244199999999999</v>
      </c>
      <c r="N3417" s="706">
        <v>314993.47629800002</v>
      </c>
      <c r="O3417" s="705">
        <v>15607.61</v>
      </c>
      <c r="P3417" s="369">
        <v>1</v>
      </c>
      <c r="Q3417" s="377">
        <v>19.970500000000001</v>
      </c>
      <c r="R3417" s="706">
        <v>311691.77550500003</v>
      </c>
      <c r="S3417" s="369">
        <v>110.21</v>
      </c>
      <c r="T3417" s="369">
        <v>121.02200000000001</v>
      </c>
      <c r="U3417" s="369">
        <v>1.0981000000000001</v>
      </c>
      <c r="V3417" s="706">
        <v>342268.73868204054</v>
      </c>
      <c r="W3417" s="706">
        <v>-27275.262384040514</v>
      </c>
    </row>
    <row r="3418" spans="2:23" ht="24" customHeight="1">
      <c r="J3418" s="345"/>
      <c r="K3418" s="703"/>
      <c r="L3418" s="342"/>
      <c r="M3418" s="342"/>
      <c r="N3418" s="340"/>
      <c r="O3418" s="703"/>
      <c r="P3418" s="342"/>
      <c r="Q3418" s="363"/>
      <c r="R3418" s="340"/>
      <c r="S3418" s="342"/>
      <c r="T3418" s="342"/>
      <c r="U3418" s="342"/>
      <c r="V3418" s="340"/>
      <c r="W3418" s="340"/>
    </row>
    <row r="3419" spans="2:23" ht="24" customHeight="1">
      <c r="B3419" s="67"/>
      <c r="E3419" s="1" t="s">
        <v>749</v>
      </c>
      <c r="J3419" s="345"/>
      <c r="K3419" s="703"/>
      <c r="L3419" s="342"/>
      <c r="M3419" s="342"/>
      <c r="N3419" s="340"/>
      <c r="O3419" s="703"/>
      <c r="P3419" s="342"/>
      <c r="Q3419" s="363"/>
      <c r="R3419" s="340"/>
      <c r="S3419" s="342"/>
      <c r="T3419" s="342"/>
      <c r="U3419" s="342"/>
      <c r="V3419" s="340"/>
      <c r="W3419" s="340"/>
    </row>
    <row r="3420" spans="2:23" ht="24" customHeight="1">
      <c r="B3420" s="67"/>
      <c r="F3420" s="346">
        <v>44790</v>
      </c>
      <c r="G3420" s="346"/>
      <c r="H3420" s="346"/>
      <c r="I3420" s="346"/>
      <c r="J3420" s="345"/>
      <c r="K3420" s="703"/>
      <c r="L3420" s="342"/>
      <c r="M3420" s="342"/>
      <c r="N3420" s="340"/>
      <c r="O3420" s="703"/>
      <c r="P3420" s="342"/>
      <c r="Q3420" s="363"/>
      <c r="R3420" s="340"/>
      <c r="S3420" s="342"/>
      <c r="T3420" s="342"/>
      <c r="U3420" s="342"/>
      <c r="V3420" s="340"/>
      <c r="W3420" s="340"/>
    </row>
    <row r="3421" spans="2:23" ht="24" customHeight="1">
      <c r="B3421" s="67"/>
      <c r="G3421" s="3" t="s">
        <v>59</v>
      </c>
      <c r="H3421" s="3"/>
      <c r="I3421" s="3"/>
      <c r="J3421" s="345"/>
      <c r="K3421" s="703"/>
      <c r="L3421" s="342"/>
      <c r="M3421" s="342"/>
      <c r="N3421" s="340"/>
      <c r="O3421" s="703"/>
      <c r="P3421" s="342"/>
      <c r="Q3421" s="363"/>
      <c r="R3421" s="340"/>
      <c r="S3421" s="342"/>
      <c r="T3421" s="342"/>
      <c r="U3421" s="342"/>
      <c r="V3421" s="340"/>
      <c r="W3421" s="340"/>
    </row>
    <row r="3422" spans="2:23" ht="24" customHeight="1">
      <c r="B3422" s="67"/>
      <c r="H3422" s="347">
        <v>44264</v>
      </c>
      <c r="I3422" s="347"/>
      <c r="J3422" s="345"/>
      <c r="K3422" s="703"/>
      <c r="L3422" s="342"/>
      <c r="M3422" s="342"/>
      <c r="N3422" s="340"/>
      <c r="O3422" s="703"/>
      <c r="P3422" s="342"/>
      <c r="Q3422" s="363"/>
      <c r="R3422" s="340"/>
      <c r="S3422" s="342"/>
      <c r="T3422" s="342"/>
      <c r="U3422" s="342"/>
      <c r="V3422" s="340"/>
      <c r="W3422" s="340"/>
    </row>
    <row r="3423" spans="2:23" ht="24" customHeight="1">
      <c r="B3423" s="67"/>
      <c r="I3423" s="3" t="s">
        <v>59</v>
      </c>
      <c r="J3423" s="345">
        <v>44</v>
      </c>
      <c r="K3423" s="703">
        <v>7800.36</v>
      </c>
      <c r="L3423" s="342">
        <v>1</v>
      </c>
      <c r="M3423" s="342">
        <v>19.861799999999999</v>
      </c>
      <c r="N3423" s="340">
        <v>154929.19024799997</v>
      </c>
      <c r="O3423" s="703">
        <v>7472.13</v>
      </c>
      <c r="P3423" s="342">
        <v>1</v>
      </c>
      <c r="Q3423" s="363">
        <v>21.263500000000001</v>
      </c>
      <c r="R3423" s="340">
        <v>158883.63625500002</v>
      </c>
      <c r="S3423" s="342">
        <v>111.824</v>
      </c>
      <c r="T3423" s="342">
        <v>122.94799999999999</v>
      </c>
      <c r="U3423" s="342">
        <v>1.0993999999999999</v>
      </c>
      <c r="V3423" s="340">
        <v>174676.66969874702</v>
      </c>
      <c r="W3423" s="340">
        <v>-19747.479450747051</v>
      </c>
    </row>
    <row r="3424" spans="2:23" ht="24" customHeight="1">
      <c r="J3424" s="345"/>
      <c r="K3424" s="703"/>
      <c r="L3424" s="342"/>
      <c r="M3424" s="342"/>
      <c r="N3424" s="340"/>
      <c r="O3424" s="703"/>
      <c r="P3424" s="342"/>
      <c r="Q3424" s="363"/>
      <c r="R3424" s="340"/>
      <c r="S3424" s="342"/>
      <c r="T3424" s="342"/>
      <c r="U3424" s="342"/>
      <c r="V3424" s="340"/>
      <c r="W3424" s="340"/>
    </row>
    <row r="3425" spans="2:23" ht="24" customHeight="1">
      <c r="B3425" s="67"/>
      <c r="E3425" s="131" t="s">
        <v>1220</v>
      </c>
      <c r="F3425" s="131"/>
      <c r="G3425" s="131"/>
      <c r="H3425" s="131"/>
      <c r="I3425" s="131"/>
      <c r="J3425" s="704">
        <v>44</v>
      </c>
      <c r="K3425" s="705">
        <v>7800.36</v>
      </c>
      <c r="L3425" s="369">
        <v>1</v>
      </c>
      <c r="M3425" s="377">
        <v>19.861799999999999</v>
      </c>
      <c r="N3425" s="706">
        <v>154929.19024799997</v>
      </c>
      <c r="O3425" s="705">
        <v>7472.13</v>
      </c>
      <c r="P3425" s="369">
        <v>1</v>
      </c>
      <c r="Q3425" s="377">
        <v>21.263500000000001</v>
      </c>
      <c r="R3425" s="706">
        <v>158883.63625500002</v>
      </c>
      <c r="S3425" s="369">
        <v>111.824</v>
      </c>
      <c r="T3425" s="369">
        <v>122.94799999999999</v>
      </c>
      <c r="U3425" s="369">
        <v>1.0993999999999999</v>
      </c>
      <c r="V3425" s="706">
        <v>174676.66969874702</v>
      </c>
      <c r="W3425" s="706">
        <v>-19747.479450747051</v>
      </c>
    </row>
    <row r="3426" spans="2:23" ht="24" customHeight="1">
      <c r="J3426" s="345"/>
      <c r="K3426" s="703"/>
      <c r="L3426" s="342"/>
      <c r="M3426" s="342"/>
      <c r="N3426" s="340"/>
      <c r="O3426" s="703"/>
      <c r="P3426" s="342"/>
      <c r="Q3426" s="363"/>
      <c r="R3426" s="340"/>
      <c r="S3426" s="342"/>
      <c r="T3426" s="342"/>
      <c r="U3426" s="342"/>
      <c r="V3426" s="340"/>
      <c r="W3426" s="340"/>
    </row>
    <row r="3427" spans="2:23" ht="24" customHeight="1">
      <c r="B3427" s="67"/>
      <c r="E3427" s="1" t="s">
        <v>847</v>
      </c>
      <c r="J3427" s="345"/>
      <c r="K3427" s="703"/>
      <c r="L3427" s="342"/>
      <c r="M3427" s="342"/>
      <c r="N3427" s="340"/>
      <c r="O3427" s="703"/>
      <c r="P3427" s="342"/>
      <c r="Q3427" s="363"/>
      <c r="R3427" s="340"/>
      <c r="S3427" s="342"/>
      <c r="T3427" s="342"/>
      <c r="U3427" s="342"/>
      <c r="V3427" s="340"/>
      <c r="W3427" s="340"/>
    </row>
    <row r="3428" spans="2:23" ht="24" customHeight="1">
      <c r="B3428" s="67"/>
      <c r="F3428" s="346">
        <v>44722</v>
      </c>
      <c r="G3428" s="346"/>
      <c r="H3428" s="346"/>
      <c r="I3428" s="346"/>
      <c r="J3428" s="345"/>
      <c r="K3428" s="703"/>
      <c r="L3428" s="342"/>
      <c r="M3428" s="342"/>
      <c r="N3428" s="340"/>
      <c r="O3428" s="703"/>
      <c r="P3428" s="342"/>
      <c r="Q3428" s="363"/>
      <c r="R3428" s="340"/>
      <c r="S3428" s="342"/>
      <c r="T3428" s="342"/>
      <c r="U3428" s="342"/>
      <c r="V3428" s="340"/>
      <c r="W3428" s="340"/>
    </row>
    <row r="3429" spans="2:23" ht="24" customHeight="1">
      <c r="B3429" s="67"/>
      <c r="G3429" s="3" t="s">
        <v>59</v>
      </c>
      <c r="H3429" s="3"/>
      <c r="I3429" s="3"/>
      <c r="J3429" s="345"/>
      <c r="K3429" s="703"/>
      <c r="L3429" s="342"/>
      <c r="M3429" s="342"/>
      <c r="N3429" s="340"/>
      <c r="O3429" s="703"/>
      <c r="P3429" s="342"/>
      <c r="Q3429" s="363"/>
      <c r="R3429" s="340"/>
      <c r="S3429" s="342"/>
      <c r="T3429" s="342"/>
      <c r="U3429" s="342"/>
      <c r="V3429" s="340"/>
      <c r="W3429" s="340"/>
    </row>
    <row r="3430" spans="2:23" ht="24" customHeight="1">
      <c r="B3430" s="67"/>
      <c r="H3430" s="347">
        <v>43894</v>
      </c>
      <c r="I3430" s="347"/>
      <c r="J3430" s="345"/>
      <c r="K3430" s="703"/>
      <c r="L3430" s="342"/>
      <c r="M3430" s="342"/>
      <c r="N3430" s="340"/>
      <c r="O3430" s="703"/>
      <c r="P3430" s="342"/>
      <c r="Q3430" s="363"/>
      <c r="R3430" s="340"/>
      <c r="S3430" s="342"/>
      <c r="T3430" s="342"/>
      <c r="U3430" s="342"/>
      <c r="V3430" s="340"/>
      <c r="W3430" s="340"/>
    </row>
    <row r="3431" spans="2:23" ht="24" customHeight="1">
      <c r="B3431" s="67"/>
      <c r="I3431" s="3" t="s">
        <v>59</v>
      </c>
      <c r="J3431" s="345">
        <v>13</v>
      </c>
      <c r="K3431" s="703">
        <v>6916.41</v>
      </c>
      <c r="L3431" s="342">
        <v>1</v>
      </c>
      <c r="M3431" s="342">
        <v>19.59</v>
      </c>
      <c r="N3431" s="340">
        <v>135492.4719</v>
      </c>
      <c r="O3431" s="703">
        <v>4142.24</v>
      </c>
      <c r="P3431" s="342">
        <v>1</v>
      </c>
      <c r="Q3431" s="363">
        <v>19.698499999999999</v>
      </c>
      <c r="R3431" s="340">
        <v>81595.914639999988</v>
      </c>
      <c r="S3431" s="342">
        <v>106.83799999999999</v>
      </c>
      <c r="T3431" s="342">
        <v>121.02200000000001</v>
      </c>
      <c r="U3431" s="342">
        <v>1.1327</v>
      </c>
      <c r="V3431" s="340">
        <v>92423.692512727983</v>
      </c>
      <c r="W3431" s="340">
        <v>43068.779387272021</v>
      </c>
    </row>
    <row r="3432" spans="2:23" ht="24" customHeight="1">
      <c r="J3432" s="345"/>
      <c r="K3432" s="703"/>
      <c r="L3432" s="342"/>
      <c r="M3432" s="342"/>
      <c r="N3432" s="340"/>
      <c r="O3432" s="703"/>
      <c r="P3432" s="342"/>
      <c r="Q3432" s="363"/>
      <c r="R3432" s="340"/>
      <c r="S3432" s="342"/>
      <c r="T3432" s="342"/>
      <c r="U3432" s="342"/>
      <c r="V3432" s="340"/>
      <c r="W3432" s="340"/>
    </row>
    <row r="3433" spans="2:23" ht="24" customHeight="1">
      <c r="B3433" s="67"/>
      <c r="E3433" s="131" t="s">
        <v>1221</v>
      </c>
      <c r="F3433" s="131"/>
      <c r="G3433" s="131"/>
      <c r="H3433" s="131"/>
      <c r="I3433" s="131"/>
      <c r="J3433" s="704">
        <v>13</v>
      </c>
      <c r="K3433" s="705">
        <v>6916.41</v>
      </c>
      <c r="L3433" s="369">
        <v>1</v>
      </c>
      <c r="M3433" s="377">
        <v>19.59</v>
      </c>
      <c r="N3433" s="706">
        <v>135492.4719</v>
      </c>
      <c r="O3433" s="705">
        <v>4142.24</v>
      </c>
      <c r="P3433" s="369">
        <v>1</v>
      </c>
      <c r="Q3433" s="377">
        <v>19.698499999999999</v>
      </c>
      <c r="R3433" s="706">
        <v>81595.914639999988</v>
      </c>
      <c r="S3433" s="369">
        <v>106.83799999999999</v>
      </c>
      <c r="T3433" s="369">
        <v>121.02200000000001</v>
      </c>
      <c r="U3433" s="369">
        <v>1.1327</v>
      </c>
      <c r="V3433" s="706">
        <v>92423.692512727983</v>
      </c>
      <c r="W3433" s="706">
        <v>43068.779387272021</v>
      </c>
    </row>
    <row r="3434" spans="2:23" ht="24" customHeight="1">
      <c r="J3434" s="345"/>
      <c r="K3434" s="703"/>
      <c r="L3434" s="342"/>
      <c r="M3434" s="342"/>
      <c r="N3434" s="340"/>
      <c r="O3434" s="703"/>
      <c r="P3434" s="342"/>
      <c r="Q3434" s="363"/>
      <c r="R3434" s="340"/>
      <c r="S3434" s="342"/>
      <c r="T3434" s="342"/>
      <c r="U3434" s="342"/>
      <c r="V3434" s="340"/>
      <c r="W3434" s="340"/>
    </row>
    <row r="3435" spans="2:23" ht="24" customHeight="1">
      <c r="B3435" s="67"/>
      <c r="E3435" s="1" t="s">
        <v>836</v>
      </c>
      <c r="J3435" s="345"/>
      <c r="K3435" s="703"/>
      <c r="L3435" s="342"/>
      <c r="M3435" s="342"/>
      <c r="N3435" s="340"/>
      <c r="O3435" s="703"/>
      <c r="P3435" s="342"/>
      <c r="Q3435" s="363"/>
      <c r="R3435" s="340"/>
      <c r="S3435" s="342"/>
      <c r="T3435" s="342"/>
      <c r="U3435" s="342"/>
      <c r="V3435" s="340"/>
      <c r="W3435" s="340"/>
    </row>
    <row r="3436" spans="2:23" ht="24" customHeight="1">
      <c r="B3436" s="67"/>
      <c r="F3436" s="346">
        <v>44701</v>
      </c>
      <c r="G3436" s="346"/>
      <c r="H3436" s="346"/>
      <c r="I3436" s="346"/>
      <c r="J3436" s="345"/>
      <c r="K3436" s="703"/>
      <c r="L3436" s="342"/>
      <c r="M3436" s="342"/>
      <c r="N3436" s="340"/>
      <c r="O3436" s="703"/>
      <c r="P3436" s="342"/>
      <c r="Q3436" s="363"/>
      <c r="R3436" s="340"/>
      <c r="S3436" s="342"/>
      <c r="T3436" s="342"/>
      <c r="U3436" s="342"/>
      <c r="V3436" s="340"/>
      <c r="W3436" s="340"/>
    </row>
    <row r="3437" spans="2:23" ht="24" customHeight="1">
      <c r="B3437" s="67"/>
      <c r="G3437" s="3" t="s">
        <v>59</v>
      </c>
      <c r="H3437" s="3"/>
      <c r="I3437" s="3"/>
      <c r="J3437" s="345"/>
      <c r="K3437" s="703"/>
      <c r="L3437" s="342"/>
      <c r="M3437" s="342"/>
      <c r="N3437" s="340"/>
      <c r="O3437" s="703"/>
      <c r="P3437" s="342"/>
      <c r="Q3437" s="363"/>
      <c r="R3437" s="340"/>
      <c r="S3437" s="342"/>
      <c r="T3437" s="342"/>
      <c r="U3437" s="342"/>
      <c r="V3437" s="340"/>
      <c r="W3437" s="340"/>
    </row>
    <row r="3438" spans="2:23" ht="24" customHeight="1">
      <c r="B3438" s="67"/>
      <c r="H3438" s="347">
        <v>43315</v>
      </c>
      <c r="I3438" s="347"/>
      <c r="J3438" s="345"/>
      <c r="K3438" s="703"/>
      <c r="L3438" s="342"/>
      <c r="M3438" s="342"/>
      <c r="N3438" s="340"/>
      <c r="O3438" s="703"/>
      <c r="P3438" s="342"/>
      <c r="Q3438" s="363"/>
      <c r="R3438" s="340"/>
      <c r="S3438" s="342"/>
      <c r="T3438" s="342"/>
      <c r="U3438" s="342"/>
      <c r="V3438" s="340"/>
      <c r="W3438" s="340"/>
    </row>
    <row r="3439" spans="2:23" ht="24" customHeight="1">
      <c r="B3439" s="67"/>
      <c r="I3439" s="3" t="s">
        <v>59</v>
      </c>
      <c r="J3439" s="345">
        <v>133</v>
      </c>
      <c r="K3439" s="703">
        <v>7681.21</v>
      </c>
      <c r="L3439" s="342">
        <v>1</v>
      </c>
      <c r="M3439" s="342">
        <v>19.9663</v>
      </c>
      <c r="N3439" s="340">
        <v>153365.343223</v>
      </c>
      <c r="O3439" s="703">
        <v>6446.51</v>
      </c>
      <c r="P3439" s="342">
        <v>1</v>
      </c>
      <c r="Q3439" s="363">
        <v>18.5899</v>
      </c>
      <c r="R3439" s="340">
        <v>119839.976249</v>
      </c>
      <c r="S3439" s="342">
        <v>100.492</v>
      </c>
      <c r="T3439" s="342">
        <v>120.809</v>
      </c>
      <c r="U3439" s="342">
        <v>1.2020999999999999</v>
      </c>
      <c r="V3439" s="340">
        <v>144059.6354489229</v>
      </c>
      <c r="W3439" s="340">
        <v>9305.7077740771056</v>
      </c>
    </row>
    <row r="3440" spans="2:23" ht="24" customHeight="1">
      <c r="J3440" s="345"/>
      <c r="K3440" s="703"/>
      <c r="L3440" s="342"/>
      <c r="M3440" s="342"/>
      <c r="N3440" s="340"/>
      <c r="O3440" s="703"/>
      <c r="P3440" s="342"/>
      <c r="Q3440" s="363"/>
      <c r="R3440" s="340"/>
      <c r="S3440" s="342"/>
      <c r="T3440" s="342"/>
      <c r="U3440" s="342"/>
      <c r="V3440" s="340"/>
      <c r="W3440" s="340"/>
    </row>
    <row r="3441" spans="2:23" ht="24" customHeight="1">
      <c r="B3441" s="67"/>
      <c r="H3441" s="347">
        <v>43160</v>
      </c>
      <c r="I3441" s="347"/>
      <c r="J3441" s="345"/>
      <c r="K3441" s="703"/>
      <c r="L3441" s="342"/>
      <c r="M3441" s="342"/>
      <c r="N3441" s="340"/>
      <c r="O3441" s="703"/>
      <c r="P3441" s="342"/>
      <c r="Q3441" s="363"/>
      <c r="R3441" s="340"/>
      <c r="S3441" s="342"/>
      <c r="T3441" s="342"/>
      <c r="U3441" s="342"/>
      <c r="V3441" s="340"/>
      <c r="W3441" s="340"/>
    </row>
    <row r="3442" spans="2:23" ht="24" customHeight="1">
      <c r="B3442" s="67"/>
      <c r="I3442" s="3" t="s">
        <v>59</v>
      </c>
      <c r="J3442" s="345">
        <v>52</v>
      </c>
      <c r="K3442" s="703">
        <v>3003.18</v>
      </c>
      <c r="L3442" s="342">
        <v>1</v>
      </c>
      <c r="M3442" s="342">
        <v>19.9663</v>
      </c>
      <c r="N3442" s="340">
        <v>59962.392833999998</v>
      </c>
      <c r="O3442" s="703">
        <v>2154.08</v>
      </c>
      <c r="P3442" s="342">
        <v>1</v>
      </c>
      <c r="Q3442" s="363">
        <v>18.790199999999999</v>
      </c>
      <c r="R3442" s="340">
        <v>40475.594015999995</v>
      </c>
      <c r="S3442" s="342">
        <v>99.492156980588007</v>
      </c>
      <c r="T3442" s="342">
        <v>120.809</v>
      </c>
      <c r="U3442" s="342">
        <v>1.2141999999999999</v>
      </c>
      <c r="V3442" s="340">
        <v>49145.466254227191</v>
      </c>
      <c r="W3442" s="340">
        <v>10816.926579772808</v>
      </c>
    </row>
    <row r="3443" spans="2:23" ht="24" customHeight="1">
      <c r="J3443" s="345"/>
      <c r="K3443" s="703"/>
      <c r="L3443" s="342"/>
      <c r="M3443" s="342"/>
      <c r="N3443" s="340"/>
      <c r="O3443" s="703"/>
      <c r="P3443" s="342"/>
      <c r="Q3443" s="363"/>
      <c r="R3443" s="340"/>
      <c r="S3443" s="342"/>
      <c r="T3443" s="342"/>
      <c r="U3443" s="342"/>
      <c r="V3443" s="340"/>
      <c r="W3443" s="340"/>
    </row>
    <row r="3444" spans="2:23" ht="24" customHeight="1">
      <c r="B3444" s="67"/>
      <c r="H3444" s="347">
        <v>43164</v>
      </c>
      <c r="I3444" s="347"/>
      <c r="J3444" s="345"/>
      <c r="K3444" s="703"/>
      <c r="L3444" s="342"/>
      <c r="M3444" s="342"/>
      <c r="N3444" s="340"/>
      <c r="O3444" s="703"/>
      <c r="P3444" s="342"/>
      <c r="Q3444" s="363"/>
      <c r="R3444" s="340"/>
      <c r="S3444" s="342"/>
      <c r="T3444" s="342"/>
      <c r="U3444" s="342"/>
      <c r="V3444" s="340"/>
      <c r="W3444" s="340"/>
    </row>
    <row r="3445" spans="2:23" ht="24" customHeight="1">
      <c r="B3445" s="67"/>
      <c r="I3445" s="3" t="s">
        <v>59</v>
      </c>
      <c r="J3445" s="345">
        <v>8</v>
      </c>
      <c r="K3445" s="703">
        <v>462.03</v>
      </c>
      <c r="L3445" s="342">
        <v>1</v>
      </c>
      <c r="M3445" s="342">
        <v>19.9663</v>
      </c>
      <c r="N3445" s="340">
        <v>9225.0295889999998</v>
      </c>
      <c r="O3445" s="703">
        <v>336.12</v>
      </c>
      <c r="P3445" s="342">
        <v>1</v>
      </c>
      <c r="Q3445" s="363">
        <v>18.861000000000001</v>
      </c>
      <c r="R3445" s="340">
        <v>6339.5593200000003</v>
      </c>
      <c r="S3445" s="342">
        <v>99.492156980588007</v>
      </c>
      <c r="T3445" s="342">
        <v>120.809</v>
      </c>
      <c r="U3445" s="342">
        <v>1.2141999999999999</v>
      </c>
      <c r="V3445" s="340">
        <v>7697.4929263439999</v>
      </c>
      <c r="W3445" s="340">
        <v>1527.5366626559999</v>
      </c>
    </row>
    <row r="3446" spans="2:23" ht="24" customHeight="1">
      <c r="J3446" s="345"/>
      <c r="K3446" s="703"/>
      <c r="L3446" s="342"/>
      <c r="M3446" s="342"/>
      <c r="N3446" s="340"/>
      <c r="O3446" s="703"/>
      <c r="P3446" s="342"/>
      <c r="Q3446" s="363"/>
      <c r="R3446" s="340"/>
      <c r="S3446" s="342"/>
      <c r="T3446" s="342"/>
      <c r="U3446" s="342"/>
      <c r="V3446" s="340"/>
      <c r="W3446" s="340"/>
    </row>
    <row r="3447" spans="2:23" ht="24" customHeight="1">
      <c r="B3447" s="67"/>
      <c r="F3447" s="346">
        <v>44628</v>
      </c>
      <c r="G3447" s="346"/>
      <c r="H3447" s="346"/>
      <c r="I3447" s="346"/>
      <c r="J3447" s="345"/>
      <c r="K3447" s="703"/>
      <c r="L3447" s="342"/>
      <c r="M3447" s="342"/>
      <c r="N3447" s="340"/>
      <c r="O3447" s="703"/>
      <c r="P3447" s="342"/>
      <c r="Q3447" s="363"/>
      <c r="R3447" s="340"/>
      <c r="S3447" s="342"/>
      <c r="T3447" s="342"/>
      <c r="U3447" s="342"/>
      <c r="V3447" s="340"/>
      <c r="W3447" s="340"/>
    </row>
    <row r="3448" spans="2:23" ht="24" customHeight="1">
      <c r="B3448" s="67"/>
      <c r="G3448" s="3" t="s">
        <v>59</v>
      </c>
      <c r="H3448" s="3"/>
      <c r="I3448" s="3"/>
      <c r="J3448" s="345"/>
      <c r="K3448" s="703"/>
      <c r="L3448" s="342"/>
      <c r="M3448" s="342"/>
      <c r="N3448" s="340"/>
      <c r="O3448" s="703"/>
      <c r="P3448" s="342"/>
      <c r="Q3448" s="363"/>
      <c r="R3448" s="340"/>
      <c r="S3448" s="342"/>
      <c r="T3448" s="342"/>
      <c r="U3448" s="342"/>
      <c r="V3448" s="340"/>
      <c r="W3448" s="340"/>
    </row>
    <row r="3449" spans="2:23" ht="24" customHeight="1">
      <c r="B3449" s="67"/>
      <c r="H3449" s="347">
        <v>43138</v>
      </c>
      <c r="I3449" s="347"/>
      <c r="J3449" s="345"/>
      <c r="K3449" s="703"/>
      <c r="L3449" s="342"/>
      <c r="M3449" s="342"/>
      <c r="N3449" s="340"/>
      <c r="O3449" s="703"/>
      <c r="P3449" s="342"/>
      <c r="Q3449" s="363"/>
      <c r="R3449" s="340"/>
      <c r="S3449" s="342"/>
      <c r="T3449" s="342"/>
      <c r="U3449" s="342"/>
      <c r="V3449" s="340"/>
      <c r="W3449" s="340"/>
    </row>
    <row r="3450" spans="2:23" ht="24" customHeight="1">
      <c r="B3450" s="67"/>
      <c r="I3450" s="3" t="s">
        <v>59</v>
      </c>
      <c r="J3450" s="345">
        <v>82</v>
      </c>
      <c r="K3450" s="703">
        <v>4857.96</v>
      </c>
      <c r="L3450" s="342">
        <v>1</v>
      </c>
      <c r="M3450" s="342">
        <v>20.926200000000001</v>
      </c>
      <c r="N3450" s="340">
        <v>101658.642552</v>
      </c>
      <c r="O3450" s="703">
        <v>3131.99</v>
      </c>
      <c r="P3450" s="342">
        <v>1</v>
      </c>
      <c r="Q3450" s="363">
        <v>18.524799999999999</v>
      </c>
      <c r="R3450" s="340">
        <v>58019.488351999993</v>
      </c>
      <c r="S3450" s="342">
        <v>99.171374481640001</v>
      </c>
      <c r="T3450" s="342">
        <v>118.98099999999999</v>
      </c>
      <c r="U3450" s="342">
        <v>1.1997</v>
      </c>
      <c r="V3450" s="340">
        <v>69605.980175894394</v>
      </c>
      <c r="W3450" s="340">
        <v>32052.662376105611</v>
      </c>
    </row>
    <row r="3451" spans="2:23" ht="24" customHeight="1">
      <c r="J3451" s="345"/>
      <c r="K3451" s="703"/>
      <c r="L3451" s="342"/>
      <c r="M3451" s="342"/>
      <c r="N3451" s="340"/>
      <c r="O3451" s="703"/>
      <c r="P3451" s="342"/>
      <c r="Q3451" s="363"/>
      <c r="R3451" s="340"/>
      <c r="S3451" s="342"/>
      <c r="T3451" s="342"/>
      <c r="U3451" s="342"/>
      <c r="V3451" s="340"/>
      <c r="W3451" s="340"/>
    </row>
    <row r="3452" spans="2:23" ht="24" customHeight="1">
      <c r="B3452" s="67"/>
      <c r="H3452" s="347">
        <v>43160</v>
      </c>
      <c r="I3452" s="347"/>
      <c r="J3452" s="345"/>
      <c r="K3452" s="703"/>
      <c r="L3452" s="342"/>
      <c r="M3452" s="342"/>
      <c r="N3452" s="340"/>
      <c r="O3452" s="703"/>
      <c r="P3452" s="342"/>
      <c r="Q3452" s="363"/>
      <c r="R3452" s="340"/>
      <c r="S3452" s="342"/>
      <c r="T3452" s="342"/>
      <c r="U3452" s="342"/>
      <c r="V3452" s="340"/>
      <c r="W3452" s="340"/>
    </row>
    <row r="3453" spans="2:23" ht="24" customHeight="1">
      <c r="B3453" s="67"/>
      <c r="I3453" s="3" t="s">
        <v>59</v>
      </c>
      <c r="J3453" s="345">
        <v>136</v>
      </c>
      <c r="K3453" s="703">
        <v>8057.1</v>
      </c>
      <c r="L3453" s="342">
        <v>1</v>
      </c>
      <c r="M3453" s="342">
        <v>20.926200000000001</v>
      </c>
      <c r="N3453" s="340">
        <v>168604.48602000001</v>
      </c>
      <c r="O3453" s="703">
        <v>5633.73</v>
      </c>
      <c r="P3453" s="342">
        <v>1</v>
      </c>
      <c r="Q3453" s="363">
        <v>18.790199999999999</v>
      </c>
      <c r="R3453" s="340">
        <v>105858.91344599999</v>
      </c>
      <c r="S3453" s="342">
        <v>99.492156980588007</v>
      </c>
      <c r="T3453" s="342">
        <v>118.98099999999999</v>
      </c>
      <c r="U3453" s="342">
        <v>1.1958</v>
      </c>
      <c r="V3453" s="340">
        <v>126586.08869872679</v>
      </c>
      <c r="W3453" s="340">
        <v>42018.397321273223</v>
      </c>
    </row>
    <row r="3454" spans="2:23" ht="24" customHeight="1">
      <c r="J3454" s="345"/>
      <c r="K3454" s="703"/>
      <c r="L3454" s="342"/>
      <c r="M3454" s="342"/>
      <c r="N3454" s="340"/>
      <c r="O3454" s="703"/>
      <c r="P3454" s="342"/>
      <c r="Q3454" s="363"/>
      <c r="R3454" s="340"/>
      <c r="S3454" s="342"/>
      <c r="T3454" s="342"/>
      <c r="U3454" s="342"/>
      <c r="V3454" s="340"/>
      <c r="W3454" s="340"/>
    </row>
    <row r="3455" spans="2:23" ht="24" customHeight="1">
      <c r="B3455" s="67"/>
      <c r="F3455" s="346">
        <v>44733</v>
      </c>
      <c r="G3455" s="346"/>
      <c r="H3455" s="346"/>
      <c r="I3455" s="346"/>
      <c r="J3455" s="345"/>
      <c r="K3455" s="703"/>
      <c r="L3455" s="342"/>
      <c r="M3455" s="342"/>
      <c r="N3455" s="340"/>
      <c r="O3455" s="703"/>
      <c r="P3455" s="342"/>
      <c r="Q3455" s="363"/>
      <c r="R3455" s="340"/>
      <c r="S3455" s="342"/>
      <c r="T3455" s="342"/>
      <c r="U3455" s="342"/>
      <c r="V3455" s="340"/>
      <c r="W3455" s="340"/>
    </row>
    <row r="3456" spans="2:23" ht="24" customHeight="1">
      <c r="B3456" s="67"/>
      <c r="G3456" s="3" t="s">
        <v>59</v>
      </c>
      <c r="H3456" s="3"/>
      <c r="I3456" s="3"/>
      <c r="J3456" s="345"/>
      <c r="K3456" s="703"/>
      <c r="L3456" s="342"/>
      <c r="M3456" s="342"/>
      <c r="N3456" s="340"/>
      <c r="O3456" s="703"/>
      <c r="P3456" s="342"/>
      <c r="Q3456" s="363"/>
      <c r="R3456" s="340"/>
      <c r="S3456" s="342"/>
      <c r="T3456" s="342"/>
      <c r="U3456" s="342"/>
      <c r="V3456" s="340"/>
      <c r="W3456" s="340"/>
    </row>
    <row r="3457" spans="2:23" ht="24" customHeight="1">
      <c r="B3457" s="67"/>
      <c r="H3457" s="347">
        <v>43315</v>
      </c>
      <c r="I3457" s="347"/>
      <c r="J3457" s="345"/>
      <c r="K3457" s="703"/>
      <c r="L3457" s="342"/>
      <c r="M3457" s="342"/>
      <c r="N3457" s="340"/>
      <c r="O3457" s="703"/>
      <c r="P3457" s="342"/>
      <c r="Q3457" s="363"/>
      <c r="R3457" s="340"/>
      <c r="S3457" s="342"/>
      <c r="T3457" s="342"/>
      <c r="U3457" s="342"/>
      <c r="V3457" s="340"/>
      <c r="W3457" s="340"/>
    </row>
    <row r="3458" spans="2:23" ht="24" customHeight="1">
      <c r="B3458" s="67"/>
      <c r="I3458" s="3" t="s">
        <v>59</v>
      </c>
      <c r="J3458" s="345">
        <v>190</v>
      </c>
      <c r="K3458" s="703">
        <v>10918.58</v>
      </c>
      <c r="L3458" s="342">
        <v>1</v>
      </c>
      <c r="M3458" s="342">
        <v>20.475999999999999</v>
      </c>
      <c r="N3458" s="340">
        <v>223568.84407999998</v>
      </c>
      <c r="O3458" s="703">
        <v>9209.2999999999993</v>
      </c>
      <c r="P3458" s="342">
        <v>1</v>
      </c>
      <c r="Q3458" s="363">
        <v>18.5899</v>
      </c>
      <c r="R3458" s="340">
        <v>171199.96606999999</v>
      </c>
      <c r="S3458" s="342">
        <v>100.492</v>
      </c>
      <c r="T3458" s="342">
        <v>121.02200000000001</v>
      </c>
      <c r="U3458" s="342">
        <v>1.2041999999999999</v>
      </c>
      <c r="V3458" s="340">
        <v>206158.99914149399</v>
      </c>
      <c r="W3458" s="340">
        <v>17409.844938505994</v>
      </c>
    </row>
    <row r="3459" spans="2:23" ht="24" customHeight="1">
      <c r="J3459" s="345"/>
      <c r="K3459" s="703"/>
      <c r="L3459" s="342"/>
      <c r="M3459" s="342"/>
      <c r="N3459" s="340"/>
      <c r="O3459" s="703"/>
      <c r="P3459" s="342"/>
      <c r="Q3459" s="363"/>
      <c r="R3459" s="340"/>
      <c r="S3459" s="342"/>
      <c r="T3459" s="342"/>
      <c r="U3459" s="342"/>
      <c r="V3459" s="340"/>
      <c r="W3459" s="340"/>
    </row>
    <row r="3460" spans="2:23" ht="24" customHeight="1">
      <c r="B3460" s="67"/>
      <c r="F3460" s="346">
        <v>44715</v>
      </c>
      <c r="G3460" s="346"/>
      <c r="H3460" s="346"/>
      <c r="I3460" s="346"/>
      <c r="J3460" s="345"/>
      <c r="K3460" s="703"/>
      <c r="L3460" s="342"/>
      <c r="M3460" s="342"/>
      <c r="N3460" s="340"/>
      <c r="O3460" s="703"/>
      <c r="P3460" s="342"/>
      <c r="Q3460" s="363"/>
      <c r="R3460" s="340"/>
      <c r="S3460" s="342"/>
      <c r="T3460" s="342"/>
      <c r="U3460" s="342"/>
      <c r="V3460" s="340"/>
      <c r="W3460" s="340"/>
    </row>
    <row r="3461" spans="2:23" ht="24" customHeight="1">
      <c r="B3461" s="67"/>
      <c r="G3461" s="3" t="s">
        <v>59</v>
      </c>
      <c r="H3461" s="3"/>
      <c r="I3461" s="3"/>
      <c r="J3461" s="345"/>
      <c r="K3461" s="703"/>
      <c r="L3461" s="342"/>
      <c r="M3461" s="342"/>
      <c r="N3461" s="340"/>
      <c r="O3461" s="703"/>
      <c r="P3461" s="342"/>
      <c r="Q3461" s="363"/>
      <c r="R3461" s="340"/>
      <c r="S3461" s="342"/>
      <c r="T3461" s="342"/>
      <c r="U3461" s="342"/>
      <c r="V3461" s="340"/>
      <c r="W3461" s="340"/>
    </row>
    <row r="3462" spans="2:23" ht="24" customHeight="1">
      <c r="B3462" s="67"/>
      <c r="H3462" s="347">
        <v>43315</v>
      </c>
      <c r="I3462" s="347"/>
      <c r="J3462" s="345"/>
      <c r="K3462" s="703"/>
      <c r="L3462" s="342"/>
      <c r="M3462" s="342"/>
      <c r="N3462" s="340"/>
      <c r="O3462" s="703"/>
      <c r="P3462" s="342"/>
      <c r="Q3462" s="363"/>
      <c r="R3462" s="340"/>
      <c r="S3462" s="342"/>
      <c r="T3462" s="342"/>
      <c r="U3462" s="342"/>
      <c r="V3462" s="340"/>
      <c r="W3462" s="340"/>
    </row>
    <row r="3463" spans="2:23" ht="24" customHeight="1">
      <c r="B3463" s="67"/>
      <c r="I3463" s="3" t="s">
        <v>59</v>
      </c>
      <c r="J3463" s="345">
        <v>88</v>
      </c>
      <c r="K3463" s="703">
        <v>5486.25</v>
      </c>
      <c r="L3463" s="342">
        <v>1</v>
      </c>
      <c r="M3463" s="342">
        <v>19.738800000000001</v>
      </c>
      <c r="N3463" s="340">
        <v>108291.9915</v>
      </c>
      <c r="O3463" s="703">
        <v>4265.3599999999997</v>
      </c>
      <c r="P3463" s="342">
        <v>1</v>
      </c>
      <c r="Q3463" s="363">
        <v>18.5899</v>
      </c>
      <c r="R3463" s="340">
        <v>79292.615863999992</v>
      </c>
      <c r="S3463" s="342">
        <v>100.492</v>
      </c>
      <c r="T3463" s="342">
        <v>121.02200000000001</v>
      </c>
      <c r="U3463" s="342">
        <v>1.2041999999999999</v>
      </c>
      <c r="V3463" s="340">
        <v>95484.168023428792</v>
      </c>
      <c r="W3463" s="340">
        <v>12807.823476571211</v>
      </c>
    </row>
    <row r="3464" spans="2:23" ht="24" customHeight="1">
      <c r="J3464" s="345"/>
      <c r="K3464" s="703"/>
      <c r="L3464" s="342"/>
      <c r="M3464" s="342"/>
      <c r="N3464" s="340"/>
      <c r="O3464" s="703"/>
      <c r="P3464" s="342"/>
      <c r="Q3464" s="363"/>
      <c r="R3464" s="340"/>
      <c r="S3464" s="342"/>
      <c r="T3464" s="342"/>
      <c r="U3464" s="342"/>
      <c r="V3464" s="340"/>
      <c r="W3464" s="340"/>
    </row>
    <row r="3465" spans="2:23" ht="24" customHeight="1">
      <c r="B3465" s="67"/>
      <c r="F3465" s="346">
        <v>44718</v>
      </c>
      <c r="G3465" s="346"/>
      <c r="H3465" s="346"/>
      <c r="I3465" s="346"/>
      <c r="J3465" s="345"/>
      <c r="K3465" s="703"/>
      <c r="L3465" s="342"/>
      <c r="M3465" s="342"/>
      <c r="N3465" s="340"/>
      <c r="O3465" s="703"/>
      <c r="P3465" s="342"/>
      <c r="Q3465" s="363"/>
      <c r="R3465" s="340"/>
      <c r="S3465" s="342"/>
      <c r="T3465" s="342"/>
      <c r="U3465" s="342"/>
      <c r="V3465" s="340"/>
      <c r="W3465" s="340"/>
    </row>
    <row r="3466" spans="2:23" ht="24" customHeight="1">
      <c r="B3466" s="67"/>
      <c r="G3466" s="3" t="s">
        <v>59</v>
      </c>
      <c r="H3466" s="3"/>
      <c r="I3466" s="3"/>
      <c r="J3466" s="345"/>
      <c r="K3466" s="703"/>
      <c r="L3466" s="342"/>
      <c r="M3466" s="342"/>
      <c r="N3466" s="340"/>
      <c r="O3466" s="703"/>
      <c r="P3466" s="342"/>
      <c r="Q3466" s="363"/>
      <c r="R3466" s="340"/>
      <c r="S3466" s="342"/>
      <c r="T3466" s="342"/>
      <c r="U3466" s="342"/>
      <c r="V3466" s="340"/>
      <c r="W3466" s="340"/>
    </row>
    <row r="3467" spans="2:23" ht="24" customHeight="1">
      <c r="B3467" s="67"/>
      <c r="H3467" s="347">
        <v>43315</v>
      </c>
      <c r="I3467" s="347"/>
      <c r="J3467" s="345"/>
      <c r="K3467" s="703"/>
      <c r="L3467" s="342"/>
      <c r="M3467" s="342"/>
      <c r="N3467" s="340"/>
      <c r="O3467" s="703"/>
      <c r="P3467" s="342"/>
      <c r="Q3467" s="363"/>
      <c r="R3467" s="340"/>
      <c r="S3467" s="342"/>
      <c r="T3467" s="342"/>
      <c r="U3467" s="342"/>
      <c r="V3467" s="340"/>
      <c r="W3467" s="340"/>
    </row>
    <row r="3468" spans="2:23" ht="24" customHeight="1">
      <c r="B3468" s="67"/>
      <c r="I3468" s="3" t="s">
        <v>59</v>
      </c>
      <c r="J3468" s="345">
        <v>100</v>
      </c>
      <c r="K3468" s="703">
        <v>6193.71</v>
      </c>
      <c r="L3468" s="342">
        <v>1</v>
      </c>
      <c r="M3468" s="342">
        <v>19.558499999999999</v>
      </c>
      <c r="N3468" s="340">
        <v>121139.67703499999</v>
      </c>
      <c r="O3468" s="703">
        <v>4847</v>
      </c>
      <c r="P3468" s="342">
        <v>1</v>
      </c>
      <c r="Q3468" s="363">
        <v>18.5899</v>
      </c>
      <c r="R3468" s="340">
        <v>90105.245299999995</v>
      </c>
      <c r="S3468" s="342">
        <v>100.492</v>
      </c>
      <c r="T3468" s="342">
        <v>121.02200000000001</v>
      </c>
      <c r="U3468" s="342">
        <v>1.2041999999999999</v>
      </c>
      <c r="V3468" s="340">
        <v>108504.73639025999</v>
      </c>
      <c r="W3468" s="340">
        <v>12634.940644739996</v>
      </c>
    </row>
    <row r="3469" spans="2:23" ht="24" customHeight="1">
      <c r="J3469" s="345"/>
      <c r="K3469" s="703"/>
      <c r="L3469" s="342"/>
      <c r="M3469" s="342"/>
      <c r="N3469" s="340"/>
      <c r="O3469" s="703"/>
      <c r="P3469" s="342"/>
      <c r="Q3469" s="363"/>
      <c r="R3469" s="340"/>
      <c r="S3469" s="342"/>
      <c r="T3469" s="342"/>
      <c r="U3469" s="342"/>
      <c r="V3469" s="340"/>
      <c r="W3469" s="340"/>
    </row>
    <row r="3470" spans="2:23" ht="24" customHeight="1">
      <c r="B3470" s="67"/>
      <c r="F3470" s="346">
        <v>44790</v>
      </c>
      <c r="G3470" s="346"/>
      <c r="H3470" s="346"/>
      <c r="I3470" s="346"/>
      <c r="J3470" s="345"/>
      <c r="K3470" s="703"/>
      <c r="L3470" s="342"/>
      <c r="M3470" s="342"/>
      <c r="N3470" s="340"/>
      <c r="O3470" s="703"/>
      <c r="P3470" s="342"/>
      <c r="Q3470" s="363"/>
      <c r="R3470" s="340"/>
      <c r="S3470" s="342"/>
      <c r="T3470" s="342"/>
      <c r="U3470" s="342"/>
      <c r="V3470" s="340"/>
      <c r="W3470" s="340"/>
    </row>
    <row r="3471" spans="2:23" ht="24" customHeight="1">
      <c r="B3471" s="67"/>
      <c r="G3471" s="3" t="s">
        <v>59</v>
      </c>
      <c r="H3471" s="3"/>
      <c r="I3471" s="3"/>
      <c r="J3471" s="345"/>
      <c r="K3471" s="703"/>
      <c r="L3471" s="342"/>
      <c r="M3471" s="342"/>
      <c r="N3471" s="340"/>
      <c r="O3471" s="703"/>
      <c r="P3471" s="342"/>
      <c r="Q3471" s="363"/>
      <c r="R3471" s="340"/>
      <c r="S3471" s="342"/>
      <c r="T3471" s="342"/>
      <c r="U3471" s="342"/>
      <c r="V3471" s="340"/>
      <c r="W3471" s="340"/>
    </row>
    <row r="3472" spans="2:23" ht="24" customHeight="1">
      <c r="B3472" s="67"/>
      <c r="H3472" s="347">
        <v>43315</v>
      </c>
      <c r="I3472" s="347"/>
      <c r="J3472" s="345"/>
      <c r="K3472" s="703"/>
      <c r="L3472" s="342"/>
      <c r="M3472" s="342"/>
      <c r="N3472" s="340"/>
      <c r="O3472" s="703"/>
      <c r="P3472" s="342"/>
      <c r="Q3472" s="363"/>
      <c r="R3472" s="340"/>
      <c r="S3472" s="342"/>
      <c r="T3472" s="342"/>
      <c r="U3472" s="342"/>
      <c r="V3472" s="340"/>
      <c r="W3472" s="340"/>
    </row>
    <row r="3473" spans="2:23" ht="24" customHeight="1">
      <c r="B3473" s="67"/>
      <c r="I3473" s="3" t="s">
        <v>59</v>
      </c>
      <c r="J3473" s="345">
        <v>91</v>
      </c>
      <c r="K3473" s="703">
        <v>6240.64</v>
      </c>
      <c r="L3473" s="342">
        <v>1</v>
      </c>
      <c r="M3473" s="342">
        <v>19.861799999999999</v>
      </c>
      <c r="N3473" s="340">
        <v>123950.34355200001</v>
      </c>
      <c r="O3473" s="703">
        <v>4410.7700000000004</v>
      </c>
      <c r="P3473" s="342">
        <v>1</v>
      </c>
      <c r="Q3473" s="363">
        <v>18.5899</v>
      </c>
      <c r="R3473" s="340">
        <v>81995.773223000011</v>
      </c>
      <c r="S3473" s="342">
        <v>100.492</v>
      </c>
      <c r="T3473" s="342">
        <v>122.94799999999999</v>
      </c>
      <c r="U3473" s="342">
        <v>1.2234</v>
      </c>
      <c r="V3473" s="340">
        <v>100313.62896101821</v>
      </c>
      <c r="W3473" s="340">
        <v>23636.714590981792</v>
      </c>
    </row>
    <row r="3474" spans="2:23" ht="24" customHeight="1">
      <c r="J3474" s="345"/>
      <c r="K3474" s="703"/>
      <c r="L3474" s="342"/>
      <c r="M3474" s="342"/>
      <c r="N3474" s="340"/>
      <c r="O3474" s="703"/>
      <c r="P3474" s="342"/>
      <c r="Q3474" s="363"/>
      <c r="R3474" s="340"/>
      <c r="S3474" s="342"/>
      <c r="T3474" s="342"/>
      <c r="U3474" s="342"/>
      <c r="V3474" s="340"/>
      <c r="W3474" s="340"/>
    </row>
    <row r="3475" spans="2:23" ht="24" customHeight="1">
      <c r="B3475" s="67"/>
      <c r="F3475" s="346">
        <v>44771</v>
      </c>
      <c r="G3475" s="346"/>
      <c r="H3475" s="346"/>
      <c r="I3475" s="346"/>
      <c r="J3475" s="345"/>
      <c r="K3475" s="703"/>
      <c r="L3475" s="342"/>
      <c r="M3475" s="342"/>
      <c r="N3475" s="340"/>
      <c r="O3475" s="703"/>
      <c r="P3475" s="342"/>
      <c r="Q3475" s="363"/>
      <c r="R3475" s="340"/>
      <c r="S3475" s="342"/>
      <c r="T3475" s="342"/>
      <c r="U3475" s="342"/>
      <c r="V3475" s="340"/>
      <c r="W3475" s="340"/>
    </row>
    <row r="3476" spans="2:23" ht="24" customHeight="1">
      <c r="B3476" s="67"/>
      <c r="G3476" s="3" t="s">
        <v>59</v>
      </c>
      <c r="H3476" s="3"/>
      <c r="I3476" s="3"/>
      <c r="J3476" s="345"/>
      <c r="K3476" s="703"/>
      <c r="L3476" s="342"/>
      <c r="M3476" s="342"/>
      <c r="N3476" s="340"/>
      <c r="O3476" s="703"/>
      <c r="P3476" s="342"/>
      <c r="Q3476" s="363"/>
      <c r="R3476" s="340"/>
      <c r="S3476" s="342"/>
      <c r="T3476" s="342"/>
      <c r="U3476" s="342"/>
      <c r="V3476" s="340"/>
      <c r="W3476" s="340"/>
    </row>
    <row r="3477" spans="2:23" ht="24" customHeight="1">
      <c r="B3477" s="67"/>
      <c r="H3477" s="347">
        <v>43315</v>
      </c>
      <c r="I3477" s="347"/>
      <c r="J3477" s="345"/>
      <c r="K3477" s="703"/>
      <c r="L3477" s="342"/>
      <c r="M3477" s="342"/>
      <c r="N3477" s="340"/>
      <c r="O3477" s="703"/>
      <c r="P3477" s="342"/>
      <c r="Q3477" s="363"/>
      <c r="R3477" s="340"/>
      <c r="S3477" s="342"/>
      <c r="T3477" s="342"/>
      <c r="U3477" s="342"/>
      <c r="V3477" s="340"/>
      <c r="W3477" s="340"/>
    </row>
    <row r="3478" spans="2:23" ht="24" customHeight="1">
      <c r="B3478" s="67"/>
      <c r="I3478" s="3" t="s">
        <v>59</v>
      </c>
      <c r="J3478" s="345">
        <v>109</v>
      </c>
      <c r="K3478" s="703">
        <v>6630.3</v>
      </c>
      <c r="L3478" s="342">
        <v>1</v>
      </c>
      <c r="M3478" s="342">
        <v>20.512</v>
      </c>
      <c r="N3478" s="340">
        <v>136000.71360000002</v>
      </c>
      <c r="O3478" s="703">
        <v>5283.23</v>
      </c>
      <c r="P3478" s="342">
        <v>1</v>
      </c>
      <c r="Q3478" s="363">
        <v>18.5899</v>
      </c>
      <c r="R3478" s="340">
        <v>98214.717376999994</v>
      </c>
      <c r="S3478" s="342">
        <v>100.492</v>
      </c>
      <c r="T3478" s="342">
        <v>122.044</v>
      </c>
      <c r="U3478" s="342">
        <v>1.2143999999999999</v>
      </c>
      <c r="V3478" s="340">
        <v>119271.95278262878</v>
      </c>
      <c r="W3478" s="340">
        <v>16728.760817371221</v>
      </c>
    </row>
    <row r="3479" spans="2:23" ht="24" customHeight="1">
      <c r="J3479" s="345"/>
      <c r="K3479" s="703"/>
      <c r="L3479" s="342"/>
      <c r="M3479" s="342"/>
      <c r="N3479" s="340"/>
      <c r="O3479" s="703"/>
      <c r="P3479" s="342"/>
      <c r="Q3479" s="363"/>
      <c r="R3479" s="340"/>
      <c r="S3479" s="342"/>
      <c r="T3479" s="342"/>
      <c r="U3479" s="342"/>
      <c r="V3479" s="340"/>
      <c r="W3479" s="340"/>
    </row>
    <row r="3480" spans="2:23" ht="24" customHeight="1">
      <c r="B3480" s="67"/>
      <c r="F3480" s="346">
        <v>44774</v>
      </c>
      <c r="G3480" s="346"/>
      <c r="H3480" s="346"/>
      <c r="I3480" s="346"/>
      <c r="J3480" s="345"/>
      <c r="K3480" s="703"/>
      <c r="L3480" s="342"/>
      <c r="M3480" s="342"/>
      <c r="N3480" s="340"/>
      <c r="O3480" s="703"/>
      <c r="P3480" s="342"/>
      <c r="Q3480" s="363"/>
      <c r="R3480" s="340"/>
      <c r="S3480" s="342"/>
      <c r="T3480" s="342"/>
      <c r="U3480" s="342"/>
      <c r="V3480" s="340"/>
      <c r="W3480" s="340"/>
    </row>
    <row r="3481" spans="2:23" ht="24" customHeight="1">
      <c r="B3481" s="67"/>
      <c r="G3481" s="3" t="s">
        <v>59</v>
      </c>
      <c r="H3481" s="3"/>
      <c r="I3481" s="3"/>
      <c r="J3481" s="345"/>
      <c r="K3481" s="703"/>
      <c r="L3481" s="342"/>
      <c r="M3481" s="342"/>
      <c r="N3481" s="340"/>
      <c r="O3481" s="703"/>
      <c r="P3481" s="342"/>
      <c r="Q3481" s="363"/>
      <c r="R3481" s="340"/>
      <c r="S3481" s="342"/>
      <c r="T3481" s="342"/>
      <c r="U3481" s="342"/>
      <c r="V3481" s="340"/>
      <c r="W3481" s="340"/>
    </row>
    <row r="3482" spans="2:23" ht="24" customHeight="1">
      <c r="B3482" s="67"/>
      <c r="H3482" s="347">
        <v>43315</v>
      </c>
      <c r="I3482" s="347"/>
      <c r="J3482" s="345"/>
      <c r="K3482" s="703"/>
      <c r="L3482" s="342"/>
      <c r="M3482" s="342"/>
      <c r="N3482" s="340"/>
      <c r="O3482" s="703"/>
      <c r="P3482" s="342"/>
      <c r="Q3482" s="363"/>
      <c r="R3482" s="340"/>
      <c r="S3482" s="342"/>
      <c r="T3482" s="342"/>
      <c r="U3482" s="342"/>
      <c r="V3482" s="340"/>
      <c r="W3482" s="340"/>
    </row>
    <row r="3483" spans="2:23" ht="24" customHeight="1">
      <c r="B3483" s="67"/>
      <c r="I3483" s="3" t="s">
        <v>59</v>
      </c>
      <c r="J3483" s="345">
        <v>95</v>
      </c>
      <c r="K3483" s="703">
        <v>5908.17</v>
      </c>
      <c r="L3483" s="342">
        <v>1</v>
      </c>
      <c r="M3483" s="342">
        <v>20.377800000000001</v>
      </c>
      <c r="N3483" s="340">
        <v>120395.506626</v>
      </c>
      <c r="O3483" s="703">
        <v>4604.6499999999996</v>
      </c>
      <c r="P3483" s="342">
        <v>1</v>
      </c>
      <c r="Q3483" s="363">
        <v>18.5899</v>
      </c>
      <c r="R3483" s="340">
        <v>85599.983034999997</v>
      </c>
      <c r="S3483" s="342">
        <v>100.492</v>
      </c>
      <c r="T3483" s="342">
        <v>122.94799999999999</v>
      </c>
      <c r="U3483" s="342">
        <v>1.2234</v>
      </c>
      <c r="V3483" s="340">
        <v>104723.01924501899</v>
      </c>
      <c r="W3483" s="340">
        <v>15672.487380981009</v>
      </c>
    </row>
    <row r="3484" spans="2:23" ht="24" customHeight="1">
      <c r="J3484" s="345"/>
      <c r="K3484" s="703"/>
      <c r="L3484" s="342"/>
      <c r="M3484" s="342"/>
      <c r="N3484" s="340"/>
      <c r="O3484" s="703"/>
      <c r="P3484" s="342"/>
      <c r="Q3484" s="363"/>
      <c r="R3484" s="340"/>
      <c r="S3484" s="342"/>
      <c r="T3484" s="342"/>
      <c r="U3484" s="342"/>
      <c r="V3484" s="340"/>
      <c r="W3484" s="340"/>
    </row>
    <row r="3485" spans="2:23" ht="24" customHeight="1">
      <c r="B3485" s="67"/>
      <c r="E3485" s="131" t="s">
        <v>1222</v>
      </c>
      <c r="F3485" s="131"/>
      <c r="G3485" s="131"/>
      <c r="H3485" s="131"/>
      <c r="I3485" s="131"/>
      <c r="J3485" s="704">
        <v>1084</v>
      </c>
      <c r="K3485" s="705">
        <v>65439.130000000005</v>
      </c>
      <c r="L3485" s="369">
        <v>1</v>
      </c>
      <c r="M3485" s="377">
        <v>20.20692727272727</v>
      </c>
      <c r="N3485" s="706">
        <v>1326162.9706109997</v>
      </c>
      <c r="O3485" s="705">
        <v>50322.74</v>
      </c>
      <c r="P3485" s="369">
        <v>1</v>
      </c>
      <c r="Q3485" s="377">
        <v>18.645045454545457</v>
      </c>
      <c r="R3485" s="706">
        <v>936941.83225199999</v>
      </c>
      <c r="S3485" s="369">
        <v>100.09925867485489</v>
      </c>
      <c r="T3485" s="369">
        <v>121.03590909090913</v>
      </c>
      <c r="U3485" s="369">
        <v>1.2090727272727273</v>
      </c>
      <c r="V3485" s="706">
        <v>1131551.1680479641</v>
      </c>
      <c r="W3485" s="706">
        <v>194611.80256303598</v>
      </c>
    </row>
    <row r="3486" spans="2:23" ht="24" customHeight="1">
      <c r="J3486" s="345"/>
      <c r="K3486" s="703"/>
      <c r="L3486" s="342"/>
      <c r="M3486" s="342"/>
      <c r="N3486" s="340"/>
      <c r="O3486" s="703"/>
      <c r="P3486" s="342"/>
      <c r="Q3486" s="363"/>
      <c r="R3486" s="340"/>
      <c r="S3486" s="342"/>
      <c r="T3486" s="342"/>
      <c r="U3486" s="342"/>
      <c r="V3486" s="340"/>
      <c r="W3486" s="340"/>
    </row>
    <row r="3487" spans="2:23" ht="24" customHeight="1">
      <c r="B3487" s="67"/>
      <c r="E3487" s="1" t="s">
        <v>837</v>
      </c>
      <c r="J3487" s="345"/>
      <c r="K3487" s="703"/>
      <c r="L3487" s="342"/>
      <c r="M3487" s="342"/>
      <c r="N3487" s="340"/>
      <c r="O3487" s="703"/>
      <c r="P3487" s="342"/>
      <c r="Q3487" s="363"/>
      <c r="R3487" s="340"/>
      <c r="S3487" s="342"/>
      <c r="T3487" s="342"/>
      <c r="U3487" s="342"/>
      <c r="V3487" s="340"/>
      <c r="W3487" s="340"/>
    </row>
    <row r="3488" spans="2:23" ht="24" customHeight="1">
      <c r="B3488" s="67"/>
      <c r="F3488" s="346">
        <v>44678</v>
      </c>
      <c r="G3488" s="346"/>
      <c r="H3488" s="346"/>
      <c r="I3488" s="346"/>
      <c r="J3488" s="345"/>
      <c r="K3488" s="703"/>
      <c r="L3488" s="342"/>
      <c r="M3488" s="342"/>
      <c r="N3488" s="340"/>
      <c r="O3488" s="703"/>
      <c r="P3488" s="342"/>
      <c r="Q3488" s="363"/>
      <c r="R3488" s="340"/>
      <c r="S3488" s="342"/>
      <c r="T3488" s="342"/>
      <c r="U3488" s="342"/>
      <c r="V3488" s="340"/>
      <c r="W3488" s="340"/>
    </row>
    <row r="3489" spans="2:23" ht="24" customHeight="1">
      <c r="B3489" s="67"/>
      <c r="G3489" s="3" t="s">
        <v>59</v>
      </c>
      <c r="H3489" s="3"/>
      <c r="I3489" s="3"/>
      <c r="J3489" s="345"/>
      <c r="K3489" s="703"/>
      <c r="L3489" s="342"/>
      <c r="M3489" s="342"/>
      <c r="N3489" s="340"/>
      <c r="O3489" s="703"/>
      <c r="P3489" s="342"/>
      <c r="Q3489" s="363"/>
      <c r="R3489" s="340"/>
      <c r="S3489" s="342"/>
      <c r="T3489" s="342"/>
      <c r="U3489" s="342"/>
      <c r="V3489" s="340"/>
      <c r="W3489" s="340"/>
    </row>
    <row r="3490" spans="2:23" ht="24" customHeight="1">
      <c r="B3490" s="67"/>
      <c r="H3490" s="347">
        <v>43965</v>
      </c>
      <c r="I3490" s="347"/>
      <c r="J3490" s="345"/>
      <c r="K3490" s="703"/>
      <c r="L3490" s="342"/>
      <c r="M3490" s="342"/>
      <c r="N3490" s="340"/>
      <c r="O3490" s="703"/>
      <c r="P3490" s="342"/>
      <c r="Q3490" s="363"/>
      <c r="R3490" s="340"/>
      <c r="S3490" s="342"/>
      <c r="T3490" s="342"/>
      <c r="U3490" s="342"/>
      <c r="V3490" s="340"/>
      <c r="W3490" s="340"/>
    </row>
    <row r="3491" spans="2:23" ht="24" customHeight="1">
      <c r="B3491" s="67"/>
      <c r="I3491" s="3" t="s">
        <v>59</v>
      </c>
      <c r="J3491" s="345">
        <v>58</v>
      </c>
      <c r="K3491" s="703">
        <v>10041.99</v>
      </c>
      <c r="L3491" s="342">
        <v>1</v>
      </c>
      <c r="M3491" s="342">
        <v>20.299199999999999</v>
      </c>
      <c r="N3491" s="340">
        <v>203844.36340799998</v>
      </c>
      <c r="O3491" s="703">
        <v>5169.25</v>
      </c>
      <c r="P3491" s="342">
        <v>1</v>
      </c>
      <c r="Q3491" s="363">
        <v>24.0487</v>
      </c>
      <c r="R3491" s="340">
        <v>124313.74247500001</v>
      </c>
      <c r="S3491" s="342">
        <v>106.16200000000001</v>
      </c>
      <c r="T3491" s="342">
        <v>120.15900000000001</v>
      </c>
      <c r="U3491" s="342">
        <v>1.1317999999999999</v>
      </c>
      <c r="V3491" s="340">
        <v>140698.29373320501</v>
      </c>
      <c r="W3491" s="340">
        <v>63146.06967479497</v>
      </c>
    </row>
    <row r="3492" spans="2:23" ht="24" customHeight="1">
      <c r="J3492" s="345"/>
      <c r="K3492" s="703"/>
      <c r="L3492" s="342"/>
      <c r="M3492" s="342"/>
      <c r="N3492" s="340"/>
      <c r="O3492" s="703"/>
      <c r="P3492" s="342"/>
      <c r="Q3492" s="363"/>
      <c r="R3492" s="340"/>
      <c r="S3492" s="342"/>
      <c r="T3492" s="342"/>
      <c r="U3492" s="342"/>
      <c r="V3492" s="340"/>
      <c r="W3492" s="340"/>
    </row>
    <row r="3493" spans="2:23" ht="24" customHeight="1">
      <c r="B3493" s="67"/>
      <c r="H3493" s="347">
        <v>43977</v>
      </c>
      <c r="I3493" s="347"/>
      <c r="J3493" s="345"/>
      <c r="K3493" s="703"/>
      <c r="L3493" s="342"/>
      <c r="M3493" s="342"/>
      <c r="N3493" s="340"/>
      <c r="O3493" s="703"/>
      <c r="P3493" s="342"/>
      <c r="Q3493" s="363"/>
      <c r="R3493" s="340"/>
      <c r="S3493" s="342"/>
      <c r="T3493" s="342"/>
      <c r="U3493" s="342"/>
      <c r="V3493" s="340"/>
      <c r="W3493" s="340"/>
    </row>
    <row r="3494" spans="2:23" ht="24" customHeight="1">
      <c r="B3494" s="67"/>
      <c r="I3494" s="3" t="s">
        <v>59</v>
      </c>
      <c r="J3494" s="345">
        <v>9</v>
      </c>
      <c r="K3494" s="703">
        <v>1558.24</v>
      </c>
      <c r="L3494" s="342">
        <v>1</v>
      </c>
      <c r="M3494" s="342">
        <v>20.299199999999999</v>
      </c>
      <c r="N3494" s="340">
        <v>31631.025407999998</v>
      </c>
      <c r="O3494" s="703">
        <v>932.51</v>
      </c>
      <c r="P3494" s="342">
        <v>1</v>
      </c>
      <c r="Q3494" s="363">
        <v>22.7928</v>
      </c>
      <c r="R3494" s="340">
        <v>21254.513928</v>
      </c>
      <c r="S3494" s="342">
        <v>106.16200000000001</v>
      </c>
      <c r="T3494" s="342">
        <v>120.15900000000001</v>
      </c>
      <c r="U3494" s="342">
        <v>1.1317999999999999</v>
      </c>
      <c r="V3494" s="340">
        <v>24055.8588637104</v>
      </c>
      <c r="W3494" s="340">
        <v>7575.1665442895974</v>
      </c>
    </row>
    <row r="3495" spans="2:23" ht="24" customHeight="1">
      <c r="J3495" s="345"/>
      <c r="K3495" s="703"/>
      <c r="L3495" s="342"/>
      <c r="M3495" s="342"/>
      <c r="N3495" s="340"/>
      <c r="O3495" s="703"/>
      <c r="P3495" s="342"/>
      <c r="Q3495" s="363"/>
      <c r="R3495" s="340"/>
      <c r="S3495" s="342"/>
      <c r="T3495" s="342"/>
      <c r="U3495" s="342"/>
      <c r="V3495" s="340"/>
      <c r="W3495" s="340"/>
    </row>
    <row r="3496" spans="2:23" ht="24" customHeight="1">
      <c r="B3496" s="67"/>
      <c r="E3496" s="131" t="s">
        <v>1223</v>
      </c>
      <c r="F3496" s="131"/>
      <c r="G3496" s="131"/>
      <c r="H3496" s="131"/>
      <c r="I3496" s="131"/>
      <c r="J3496" s="704">
        <v>67</v>
      </c>
      <c r="K3496" s="705">
        <v>11600.23</v>
      </c>
      <c r="L3496" s="369">
        <v>1</v>
      </c>
      <c r="M3496" s="377">
        <v>20.299199999999999</v>
      </c>
      <c r="N3496" s="706">
        <v>235475.38881599996</v>
      </c>
      <c r="O3496" s="705">
        <v>6101.76</v>
      </c>
      <c r="P3496" s="369">
        <v>1</v>
      </c>
      <c r="Q3496" s="377">
        <v>23.420749999999998</v>
      </c>
      <c r="R3496" s="706">
        <v>145568.25640300001</v>
      </c>
      <c r="S3496" s="369">
        <v>106.16200000000001</v>
      </c>
      <c r="T3496" s="369">
        <v>120.15900000000001</v>
      </c>
      <c r="U3496" s="369">
        <v>1.1317999999999999</v>
      </c>
      <c r="V3496" s="706">
        <v>164754.1525969154</v>
      </c>
      <c r="W3496" s="706">
        <v>70721.23621908456</v>
      </c>
    </row>
    <row r="3497" spans="2:23" ht="24" customHeight="1">
      <c r="J3497" s="345"/>
      <c r="K3497" s="703"/>
      <c r="L3497" s="342"/>
      <c r="M3497" s="342"/>
      <c r="N3497" s="340"/>
      <c r="O3497" s="703"/>
      <c r="P3497" s="342"/>
      <c r="Q3497" s="363"/>
      <c r="R3497" s="340"/>
      <c r="S3497" s="342"/>
      <c r="T3497" s="342"/>
      <c r="U3497" s="342"/>
      <c r="V3497" s="340"/>
      <c r="W3497" s="340"/>
    </row>
    <row r="3498" spans="2:23" ht="24" customHeight="1">
      <c r="B3498" s="67"/>
      <c r="E3498" s="1" t="s">
        <v>848</v>
      </c>
      <c r="J3498" s="345"/>
      <c r="K3498" s="703"/>
      <c r="L3498" s="342"/>
      <c r="M3498" s="342"/>
      <c r="N3498" s="340"/>
      <c r="O3498" s="703"/>
      <c r="P3498" s="342"/>
      <c r="Q3498" s="363"/>
      <c r="R3498" s="340"/>
      <c r="S3498" s="342"/>
      <c r="T3498" s="342"/>
      <c r="U3498" s="342"/>
      <c r="V3498" s="340"/>
      <c r="W3498" s="340"/>
    </row>
    <row r="3499" spans="2:23" ht="24" customHeight="1">
      <c r="B3499" s="67"/>
      <c r="F3499" s="346">
        <v>44725</v>
      </c>
      <c r="G3499" s="346"/>
      <c r="H3499" s="346"/>
      <c r="I3499" s="346"/>
      <c r="J3499" s="345"/>
      <c r="K3499" s="703"/>
      <c r="L3499" s="342"/>
      <c r="M3499" s="342"/>
      <c r="N3499" s="340"/>
      <c r="O3499" s="703"/>
      <c r="P3499" s="342"/>
      <c r="Q3499" s="363"/>
      <c r="R3499" s="340"/>
      <c r="S3499" s="342"/>
      <c r="T3499" s="342"/>
      <c r="U3499" s="342"/>
      <c r="V3499" s="340"/>
      <c r="W3499" s="340"/>
    </row>
    <row r="3500" spans="2:23" ht="24" customHeight="1">
      <c r="B3500" s="67"/>
      <c r="G3500" s="3" t="s">
        <v>59</v>
      </c>
      <c r="H3500" s="3"/>
      <c r="I3500" s="3"/>
      <c r="J3500" s="345"/>
      <c r="K3500" s="703"/>
      <c r="L3500" s="342"/>
      <c r="M3500" s="342"/>
      <c r="N3500" s="340"/>
      <c r="O3500" s="703"/>
      <c r="P3500" s="342"/>
      <c r="Q3500" s="363"/>
      <c r="R3500" s="340"/>
      <c r="S3500" s="342"/>
      <c r="T3500" s="342"/>
      <c r="U3500" s="342"/>
      <c r="V3500" s="340"/>
      <c r="W3500" s="340"/>
    </row>
    <row r="3501" spans="2:23" ht="24" customHeight="1">
      <c r="B3501" s="67"/>
      <c r="H3501" s="347">
        <v>43867</v>
      </c>
      <c r="I3501" s="347"/>
      <c r="J3501" s="345"/>
      <c r="K3501" s="703"/>
      <c r="L3501" s="342"/>
      <c r="M3501" s="342"/>
      <c r="N3501" s="340"/>
      <c r="O3501" s="703"/>
      <c r="P3501" s="342"/>
      <c r="Q3501" s="363"/>
      <c r="R3501" s="340"/>
      <c r="S3501" s="342"/>
      <c r="T3501" s="342"/>
      <c r="U3501" s="342"/>
      <c r="V3501" s="340"/>
      <c r="W3501" s="340"/>
    </row>
    <row r="3502" spans="2:23" ht="24" customHeight="1">
      <c r="B3502" s="67"/>
      <c r="I3502" s="3" t="s">
        <v>59</v>
      </c>
      <c r="J3502" s="345">
        <v>179.798</v>
      </c>
      <c r="K3502" s="703">
        <v>44615.08</v>
      </c>
      <c r="L3502" s="342">
        <v>1</v>
      </c>
      <c r="M3502" s="342">
        <v>19.6128</v>
      </c>
      <c r="N3502" s="340">
        <v>875026.64102400001</v>
      </c>
      <c r="O3502" s="703">
        <v>49852.6</v>
      </c>
      <c r="P3502" s="342">
        <v>1</v>
      </c>
      <c r="Q3502" s="363">
        <v>18.6797</v>
      </c>
      <c r="R3502" s="340">
        <v>931231.61222000001</v>
      </c>
      <c r="S3502" s="342">
        <v>106.889</v>
      </c>
      <c r="T3502" s="342">
        <v>121.02200000000001</v>
      </c>
      <c r="U3502" s="342">
        <v>1.1322000000000001</v>
      </c>
      <c r="V3502" s="340">
        <v>1054340.4313554841</v>
      </c>
      <c r="W3502" s="340">
        <v>-179313.79033148405</v>
      </c>
    </row>
    <row r="3503" spans="2:23" ht="24" customHeight="1">
      <c r="J3503" s="345"/>
      <c r="K3503" s="703"/>
      <c r="L3503" s="342"/>
      <c r="M3503" s="342"/>
      <c r="N3503" s="340"/>
      <c r="O3503" s="703"/>
      <c r="P3503" s="342"/>
      <c r="Q3503" s="363"/>
      <c r="R3503" s="340"/>
      <c r="S3503" s="342"/>
      <c r="T3503" s="342"/>
      <c r="U3503" s="342"/>
      <c r="V3503" s="340"/>
      <c r="W3503" s="340"/>
    </row>
    <row r="3504" spans="2:23" ht="24" customHeight="1">
      <c r="B3504" s="67"/>
      <c r="E3504" s="131" t="s">
        <v>1224</v>
      </c>
      <c r="F3504" s="131"/>
      <c r="G3504" s="131"/>
      <c r="H3504" s="131"/>
      <c r="I3504" s="131"/>
      <c r="J3504" s="704">
        <v>179.798</v>
      </c>
      <c r="K3504" s="705">
        <v>44615.08</v>
      </c>
      <c r="L3504" s="369">
        <v>1</v>
      </c>
      <c r="M3504" s="377">
        <v>19.6128</v>
      </c>
      <c r="N3504" s="706">
        <v>875026.64102400001</v>
      </c>
      <c r="O3504" s="705">
        <v>49852.6</v>
      </c>
      <c r="P3504" s="369">
        <v>1</v>
      </c>
      <c r="Q3504" s="377">
        <v>18.6797</v>
      </c>
      <c r="R3504" s="706">
        <v>931231.61222000001</v>
      </c>
      <c r="S3504" s="369">
        <v>106.889</v>
      </c>
      <c r="T3504" s="369">
        <v>121.02200000000001</v>
      </c>
      <c r="U3504" s="369">
        <v>1.1322000000000001</v>
      </c>
      <c r="V3504" s="706">
        <v>1054340.4313554841</v>
      </c>
      <c r="W3504" s="706">
        <v>-179313.79033148405</v>
      </c>
    </row>
    <row r="3505" spans="2:23" ht="24" customHeight="1">
      <c r="J3505" s="345"/>
      <c r="K3505" s="703"/>
      <c r="L3505" s="342"/>
      <c r="M3505" s="342"/>
      <c r="N3505" s="340"/>
      <c r="O3505" s="703"/>
      <c r="P3505" s="342"/>
      <c r="Q3505" s="363"/>
      <c r="R3505" s="340"/>
      <c r="S3505" s="342"/>
      <c r="T3505" s="342"/>
      <c r="U3505" s="342"/>
      <c r="V3505" s="340"/>
      <c r="W3505" s="340"/>
    </row>
    <row r="3506" spans="2:23" ht="24" customHeight="1">
      <c r="B3506" s="67"/>
      <c r="E3506" s="1" t="s">
        <v>849</v>
      </c>
      <c r="J3506" s="345"/>
      <c r="K3506" s="703"/>
      <c r="L3506" s="342"/>
      <c r="M3506" s="342"/>
      <c r="N3506" s="340"/>
      <c r="O3506" s="703"/>
      <c r="P3506" s="342"/>
      <c r="Q3506" s="363"/>
      <c r="R3506" s="340"/>
      <c r="S3506" s="342"/>
      <c r="T3506" s="342"/>
      <c r="U3506" s="342"/>
      <c r="V3506" s="340"/>
      <c r="W3506" s="340"/>
    </row>
    <row r="3507" spans="2:23" ht="24" customHeight="1">
      <c r="B3507" s="67"/>
      <c r="F3507" s="346">
        <v>44725</v>
      </c>
      <c r="G3507" s="346"/>
      <c r="H3507" s="346"/>
      <c r="I3507" s="346"/>
      <c r="J3507" s="345"/>
      <c r="K3507" s="703"/>
      <c r="L3507" s="342"/>
      <c r="M3507" s="342"/>
      <c r="N3507" s="340"/>
      <c r="O3507" s="703"/>
      <c r="P3507" s="342"/>
      <c r="Q3507" s="363"/>
      <c r="R3507" s="340"/>
      <c r="S3507" s="342"/>
      <c r="T3507" s="342"/>
      <c r="U3507" s="342"/>
      <c r="V3507" s="340"/>
      <c r="W3507" s="340"/>
    </row>
    <row r="3508" spans="2:23" ht="24" customHeight="1">
      <c r="B3508" s="67"/>
      <c r="G3508" s="3" t="s">
        <v>59</v>
      </c>
      <c r="H3508" s="3"/>
      <c r="I3508" s="3"/>
      <c r="J3508" s="345"/>
      <c r="K3508" s="703"/>
      <c r="L3508" s="342"/>
      <c r="M3508" s="342"/>
      <c r="N3508" s="340"/>
      <c r="O3508" s="703"/>
      <c r="P3508" s="342"/>
      <c r="Q3508" s="363"/>
      <c r="R3508" s="340"/>
      <c r="S3508" s="342"/>
      <c r="T3508" s="342"/>
      <c r="U3508" s="342"/>
      <c r="V3508" s="340"/>
      <c r="W3508" s="340"/>
    </row>
    <row r="3509" spans="2:23" ht="24" customHeight="1">
      <c r="B3509" s="67"/>
      <c r="H3509" s="347">
        <v>43867</v>
      </c>
      <c r="I3509" s="347"/>
      <c r="J3509" s="345"/>
      <c r="K3509" s="703"/>
      <c r="L3509" s="342"/>
      <c r="M3509" s="342"/>
      <c r="N3509" s="340"/>
      <c r="O3509" s="703"/>
      <c r="P3509" s="342"/>
      <c r="Q3509" s="363"/>
      <c r="R3509" s="340"/>
      <c r="S3509" s="342"/>
      <c r="T3509" s="342"/>
      <c r="U3509" s="342"/>
      <c r="V3509" s="340"/>
      <c r="W3509" s="340"/>
    </row>
    <row r="3510" spans="2:23" ht="24" customHeight="1">
      <c r="B3510" s="67"/>
      <c r="I3510" s="3" t="s">
        <v>59</v>
      </c>
      <c r="J3510" s="345">
        <v>75.004999999999995</v>
      </c>
      <c r="K3510" s="703">
        <v>13699.66</v>
      </c>
      <c r="L3510" s="342">
        <v>1</v>
      </c>
      <c r="M3510" s="342">
        <v>19.6128</v>
      </c>
      <c r="N3510" s="340">
        <v>268688.69164799998</v>
      </c>
      <c r="O3510" s="703">
        <v>12816.11</v>
      </c>
      <c r="P3510" s="342">
        <v>1</v>
      </c>
      <c r="Q3510" s="363">
        <v>18.6797</v>
      </c>
      <c r="R3510" s="340">
        <v>239401.08996700001</v>
      </c>
      <c r="S3510" s="342">
        <v>106.889</v>
      </c>
      <c r="T3510" s="342">
        <v>121.02200000000001</v>
      </c>
      <c r="U3510" s="342">
        <v>1.1322000000000001</v>
      </c>
      <c r="V3510" s="340">
        <v>271049.91406063741</v>
      </c>
      <c r="W3510" s="340">
        <v>-2361.2224126374349</v>
      </c>
    </row>
    <row r="3511" spans="2:23" ht="24" customHeight="1">
      <c r="J3511" s="345"/>
      <c r="K3511" s="703"/>
      <c r="L3511" s="342"/>
      <c r="M3511" s="342"/>
      <c r="N3511" s="340"/>
      <c r="O3511" s="703"/>
      <c r="P3511" s="342"/>
      <c r="Q3511" s="363"/>
      <c r="R3511" s="340"/>
      <c r="S3511" s="342"/>
      <c r="T3511" s="342"/>
      <c r="U3511" s="342"/>
      <c r="V3511" s="340"/>
      <c r="W3511" s="340"/>
    </row>
    <row r="3512" spans="2:23" ht="24" customHeight="1">
      <c r="B3512" s="67"/>
      <c r="F3512" s="346">
        <v>44719</v>
      </c>
      <c r="G3512" s="346"/>
      <c r="H3512" s="346"/>
      <c r="I3512" s="346"/>
      <c r="J3512" s="345"/>
      <c r="K3512" s="703"/>
      <c r="L3512" s="342"/>
      <c r="M3512" s="342"/>
      <c r="N3512" s="340"/>
      <c r="O3512" s="703"/>
      <c r="P3512" s="342"/>
      <c r="Q3512" s="363"/>
      <c r="R3512" s="340"/>
      <c r="S3512" s="342"/>
      <c r="T3512" s="342"/>
      <c r="U3512" s="342"/>
      <c r="V3512" s="340"/>
      <c r="W3512" s="340"/>
    </row>
    <row r="3513" spans="2:23" ht="24" customHeight="1">
      <c r="B3513" s="67"/>
      <c r="G3513" s="3" t="s">
        <v>59</v>
      </c>
      <c r="H3513" s="3"/>
      <c r="I3513" s="3"/>
      <c r="J3513" s="345"/>
      <c r="K3513" s="703"/>
      <c r="L3513" s="342"/>
      <c r="M3513" s="342"/>
      <c r="N3513" s="340"/>
      <c r="O3513" s="703"/>
      <c r="P3513" s="342"/>
      <c r="Q3513" s="363"/>
      <c r="R3513" s="340"/>
      <c r="S3513" s="342"/>
      <c r="T3513" s="342"/>
      <c r="U3513" s="342"/>
      <c r="V3513" s="340"/>
      <c r="W3513" s="340"/>
    </row>
    <row r="3514" spans="2:23" ht="24" customHeight="1">
      <c r="B3514" s="67"/>
      <c r="H3514" s="347">
        <v>43867</v>
      </c>
      <c r="I3514" s="347"/>
      <c r="J3514" s="345"/>
      <c r="K3514" s="703"/>
      <c r="L3514" s="342"/>
      <c r="M3514" s="342"/>
      <c r="N3514" s="340"/>
      <c r="O3514" s="703"/>
      <c r="P3514" s="342"/>
      <c r="Q3514" s="363"/>
      <c r="R3514" s="340"/>
      <c r="S3514" s="342"/>
      <c r="T3514" s="342"/>
      <c r="U3514" s="342"/>
      <c r="V3514" s="340"/>
      <c r="W3514" s="340"/>
    </row>
    <row r="3515" spans="2:23" ht="24" customHeight="1">
      <c r="B3515" s="67"/>
      <c r="I3515" s="3" t="s">
        <v>59</v>
      </c>
      <c r="J3515" s="345">
        <v>17.588000000000001</v>
      </c>
      <c r="K3515" s="703">
        <v>3517.42</v>
      </c>
      <c r="L3515" s="342">
        <v>1</v>
      </c>
      <c r="M3515" s="342">
        <v>19.574200000000001</v>
      </c>
      <c r="N3515" s="340">
        <v>68850.682564000002</v>
      </c>
      <c r="O3515" s="703">
        <v>3005.26</v>
      </c>
      <c r="P3515" s="342">
        <v>1</v>
      </c>
      <c r="Q3515" s="363">
        <v>18.6797</v>
      </c>
      <c r="R3515" s="340">
        <v>56137.355222000006</v>
      </c>
      <c r="S3515" s="342">
        <v>106.889</v>
      </c>
      <c r="T3515" s="342">
        <v>121.02200000000001</v>
      </c>
      <c r="U3515" s="342">
        <v>1.1322000000000001</v>
      </c>
      <c r="V3515" s="340">
        <v>63558.713582348413</v>
      </c>
      <c r="W3515" s="340">
        <v>5291.9689816515893</v>
      </c>
    </row>
    <row r="3516" spans="2:23" ht="24" customHeight="1">
      <c r="J3516" s="345"/>
      <c r="K3516" s="703"/>
      <c r="L3516" s="342"/>
      <c r="M3516" s="342"/>
      <c r="N3516" s="340"/>
      <c r="O3516" s="703"/>
      <c r="P3516" s="342"/>
      <c r="Q3516" s="363"/>
      <c r="R3516" s="340"/>
      <c r="S3516" s="342"/>
      <c r="T3516" s="342"/>
      <c r="U3516" s="342"/>
      <c r="V3516" s="340"/>
      <c r="W3516" s="340"/>
    </row>
    <row r="3517" spans="2:23" ht="24" customHeight="1">
      <c r="B3517" s="67"/>
      <c r="E3517" s="131" t="s">
        <v>1225</v>
      </c>
      <c r="F3517" s="131"/>
      <c r="G3517" s="131"/>
      <c r="H3517" s="131"/>
      <c r="I3517" s="131"/>
      <c r="J3517" s="704">
        <v>92.592999999999989</v>
      </c>
      <c r="K3517" s="705">
        <v>17217.080000000002</v>
      </c>
      <c r="L3517" s="369">
        <v>1</v>
      </c>
      <c r="M3517" s="377">
        <v>19.593499999999999</v>
      </c>
      <c r="N3517" s="706">
        <v>337539.374212</v>
      </c>
      <c r="O3517" s="705">
        <v>15821.37</v>
      </c>
      <c r="P3517" s="369">
        <v>1</v>
      </c>
      <c r="Q3517" s="377">
        <v>18.6797</v>
      </c>
      <c r="R3517" s="706">
        <v>295538.44518899999</v>
      </c>
      <c r="S3517" s="369">
        <v>106.889</v>
      </c>
      <c r="T3517" s="369">
        <v>121.02200000000001</v>
      </c>
      <c r="U3517" s="369">
        <v>1.1322000000000001</v>
      </c>
      <c r="V3517" s="706">
        <v>334608.62764298584</v>
      </c>
      <c r="W3517" s="706">
        <v>2930.7465690141544</v>
      </c>
    </row>
    <row r="3518" spans="2:23" ht="24" customHeight="1">
      <c r="J3518" s="345"/>
      <c r="K3518" s="703"/>
      <c r="L3518" s="342"/>
      <c r="M3518" s="342"/>
      <c r="N3518" s="340"/>
      <c r="O3518" s="703"/>
      <c r="P3518" s="342"/>
      <c r="Q3518" s="363"/>
      <c r="R3518" s="340"/>
      <c r="S3518" s="342"/>
      <c r="T3518" s="342"/>
      <c r="U3518" s="342"/>
      <c r="V3518" s="340"/>
      <c r="W3518" s="340"/>
    </row>
    <row r="3519" spans="2:23" ht="24" customHeight="1">
      <c r="B3519" s="67"/>
      <c r="E3519" s="1" t="s">
        <v>787</v>
      </c>
      <c r="J3519" s="345"/>
      <c r="K3519" s="703"/>
      <c r="L3519" s="342"/>
      <c r="M3519" s="342"/>
      <c r="N3519" s="340"/>
      <c r="O3519" s="703"/>
      <c r="P3519" s="342"/>
      <c r="Q3519" s="363"/>
      <c r="R3519" s="340"/>
      <c r="S3519" s="342"/>
      <c r="T3519" s="342"/>
      <c r="U3519" s="342"/>
      <c r="V3519" s="340"/>
      <c r="W3519" s="340"/>
    </row>
    <row r="3520" spans="2:23" ht="24" customHeight="1">
      <c r="B3520" s="67"/>
      <c r="F3520" s="346">
        <v>44701</v>
      </c>
      <c r="G3520" s="346"/>
      <c r="H3520" s="346"/>
      <c r="I3520" s="346"/>
      <c r="J3520" s="345"/>
      <c r="K3520" s="703"/>
      <c r="L3520" s="342"/>
      <c r="M3520" s="342"/>
      <c r="N3520" s="340"/>
      <c r="O3520" s="703"/>
      <c r="P3520" s="342"/>
      <c r="Q3520" s="363"/>
      <c r="R3520" s="340"/>
      <c r="S3520" s="342"/>
      <c r="T3520" s="342"/>
      <c r="U3520" s="342"/>
      <c r="V3520" s="340"/>
      <c r="W3520" s="340"/>
    </row>
    <row r="3521" spans="2:23" ht="24" customHeight="1">
      <c r="B3521" s="67"/>
      <c r="G3521" s="3" t="s">
        <v>59</v>
      </c>
      <c r="H3521" s="3"/>
      <c r="I3521" s="3"/>
      <c r="J3521" s="345"/>
      <c r="K3521" s="703"/>
      <c r="L3521" s="342"/>
      <c r="M3521" s="342"/>
      <c r="N3521" s="340"/>
      <c r="O3521" s="703"/>
      <c r="P3521" s="342"/>
      <c r="Q3521" s="363"/>
      <c r="R3521" s="340"/>
      <c r="S3521" s="342"/>
      <c r="T3521" s="342"/>
      <c r="U3521" s="342"/>
      <c r="V3521" s="340"/>
      <c r="W3521" s="340"/>
    </row>
    <row r="3522" spans="2:23" ht="24" customHeight="1">
      <c r="B3522" s="67"/>
      <c r="H3522" s="347">
        <v>44313</v>
      </c>
      <c r="I3522" s="347"/>
      <c r="J3522" s="345"/>
      <c r="K3522" s="703"/>
      <c r="L3522" s="342"/>
      <c r="M3522" s="342"/>
      <c r="N3522" s="340"/>
      <c r="O3522" s="703"/>
      <c r="P3522" s="342"/>
      <c r="Q3522" s="363"/>
      <c r="R3522" s="340"/>
      <c r="S3522" s="342"/>
      <c r="T3522" s="342"/>
      <c r="U3522" s="342"/>
      <c r="V3522" s="340"/>
      <c r="W3522" s="340"/>
    </row>
    <row r="3523" spans="2:23" ht="24" customHeight="1">
      <c r="B3523" s="67"/>
      <c r="I3523" s="3" t="s">
        <v>59</v>
      </c>
      <c r="J3523" s="345">
        <v>26</v>
      </c>
      <c r="K3523" s="703">
        <v>5549.54</v>
      </c>
      <c r="L3523" s="342">
        <v>1</v>
      </c>
      <c r="M3523" s="342">
        <v>19.9663</v>
      </c>
      <c r="N3523" s="340">
        <v>110803.78050199999</v>
      </c>
      <c r="O3523" s="703">
        <v>5865.4</v>
      </c>
      <c r="P3523" s="342">
        <v>1</v>
      </c>
      <c r="Q3523" s="363">
        <v>19.869499999999999</v>
      </c>
      <c r="R3523" s="340">
        <v>116542.56529999999</v>
      </c>
      <c r="S3523" s="342">
        <v>112.19</v>
      </c>
      <c r="T3523" s="342">
        <v>120.809</v>
      </c>
      <c r="U3523" s="342">
        <v>1.0768</v>
      </c>
      <c r="V3523" s="340">
        <v>125493.03431503999</v>
      </c>
      <c r="W3523" s="340">
        <v>-14689.253813040006</v>
      </c>
    </row>
    <row r="3524" spans="2:23" ht="24" customHeight="1">
      <c r="J3524" s="345"/>
      <c r="K3524" s="703"/>
      <c r="L3524" s="342"/>
      <c r="M3524" s="342"/>
      <c r="N3524" s="340"/>
      <c r="O3524" s="703"/>
      <c r="P3524" s="342"/>
      <c r="Q3524" s="363"/>
      <c r="R3524" s="340"/>
      <c r="S3524" s="342"/>
      <c r="T3524" s="342"/>
      <c r="U3524" s="342"/>
      <c r="V3524" s="340"/>
      <c r="W3524" s="340"/>
    </row>
    <row r="3525" spans="2:23" ht="24" customHeight="1">
      <c r="B3525" s="67"/>
      <c r="H3525" s="347">
        <v>44314</v>
      </c>
      <c r="I3525" s="347"/>
      <c r="J3525" s="345"/>
      <c r="K3525" s="703"/>
      <c r="L3525" s="342"/>
      <c r="M3525" s="342"/>
      <c r="N3525" s="340"/>
      <c r="O3525" s="703"/>
      <c r="P3525" s="342"/>
      <c r="Q3525" s="363"/>
      <c r="R3525" s="340"/>
      <c r="S3525" s="342"/>
      <c r="T3525" s="342"/>
      <c r="U3525" s="342"/>
      <c r="V3525" s="340"/>
      <c r="W3525" s="340"/>
    </row>
    <row r="3526" spans="2:23" ht="24" customHeight="1">
      <c r="B3526" s="67"/>
      <c r="I3526" s="3" t="s">
        <v>59</v>
      </c>
      <c r="J3526" s="345">
        <v>25</v>
      </c>
      <c r="K3526" s="703">
        <v>5336.09</v>
      </c>
      <c r="L3526" s="342">
        <v>1</v>
      </c>
      <c r="M3526" s="342">
        <v>19.9663</v>
      </c>
      <c r="N3526" s="340">
        <v>106541.973767</v>
      </c>
      <c r="O3526" s="703">
        <v>5661.6</v>
      </c>
      <c r="P3526" s="342">
        <v>1</v>
      </c>
      <c r="Q3526" s="363">
        <v>19.836200000000002</v>
      </c>
      <c r="R3526" s="340">
        <v>112304.62992000002</v>
      </c>
      <c r="S3526" s="342">
        <v>112.19</v>
      </c>
      <c r="T3526" s="342">
        <v>120.809</v>
      </c>
      <c r="U3526" s="342">
        <v>1.0768</v>
      </c>
      <c r="V3526" s="340">
        <v>120929.62549785602</v>
      </c>
      <c r="W3526" s="340">
        <v>-14387.651730856014</v>
      </c>
    </row>
    <row r="3527" spans="2:23" ht="24" customHeight="1">
      <c r="J3527" s="345"/>
      <c r="K3527" s="703"/>
      <c r="L3527" s="342"/>
      <c r="M3527" s="342"/>
      <c r="N3527" s="340"/>
      <c r="O3527" s="703"/>
      <c r="P3527" s="342"/>
      <c r="Q3527" s="363"/>
      <c r="R3527" s="340"/>
      <c r="S3527" s="342"/>
      <c r="T3527" s="342"/>
      <c r="U3527" s="342"/>
      <c r="V3527" s="340"/>
      <c r="W3527" s="340"/>
    </row>
    <row r="3528" spans="2:23" ht="24" customHeight="1">
      <c r="B3528" s="67"/>
      <c r="F3528" s="346">
        <v>44628</v>
      </c>
      <c r="G3528" s="346"/>
      <c r="H3528" s="346"/>
      <c r="I3528" s="346"/>
      <c r="J3528" s="345"/>
      <c r="K3528" s="703"/>
      <c r="L3528" s="342"/>
      <c r="M3528" s="342"/>
      <c r="N3528" s="340"/>
      <c r="O3528" s="703"/>
      <c r="P3528" s="342"/>
      <c r="Q3528" s="363"/>
      <c r="R3528" s="340"/>
      <c r="S3528" s="342"/>
      <c r="T3528" s="342"/>
      <c r="U3528" s="342"/>
      <c r="V3528" s="340"/>
      <c r="W3528" s="340"/>
    </row>
    <row r="3529" spans="2:23" ht="24" customHeight="1">
      <c r="B3529" s="67"/>
      <c r="G3529" s="3" t="s">
        <v>59</v>
      </c>
      <c r="H3529" s="3"/>
      <c r="I3529" s="3"/>
      <c r="J3529" s="345"/>
      <c r="K3529" s="703"/>
      <c r="L3529" s="342"/>
      <c r="M3529" s="342"/>
      <c r="N3529" s="340"/>
      <c r="O3529" s="703"/>
      <c r="P3529" s="342"/>
      <c r="Q3529" s="363"/>
      <c r="R3529" s="340"/>
      <c r="S3529" s="342"/>
      <c r="T3529" s="342"/>
      <c r="U3529" s="342"/>
      <c r="V3529" s="340"/>
      <c r="W3529" s="340"/>
    </row>
    <row r="3530" spans="2:23" ht="24" customHeight="1">
      <c r="B3530" s="67"/>
      <c r="H3530" s="347">
        <v>44312</v>
      </c>
      <c r="I3530" s="347"/>
      <c r="J3530" s="345"/>
      <c r="K3530" s="703"/>
      <c r="L3530" s="342"/>
      <c r="M3530" s="342"/>
      <c r="N3530" s="340"/>
      <c r="O3530" s="703"/>
      <c r="P3530" s="342"/>
      <c r="Q3530" s="363"/>
      <c r="R3530" s="340"/>
      <c r="S3530" s="342"/>
      <c r="T3530" s="342"/>
      <c r="U3530" s="342"/>
      <c r="V3530" s="340"/>
      <c r="W3530" s="340"/>
    </row>
    <row r="3531" spans="2:23" ht="24" customHeight="1">
      <c r="B3531" s="67"/>
      <c r="I3531" s="3" t="s">
        <v>59</v>
      </c>
      <c r="J3531" s="345">
        <v>55</v>
      </c>
      <c r="K3531" s="703">
        <v>14176.7</v>
      </c>
      <c r="L3531" s="342">
        <v>1</v>
      </c>
      <c r="M3531" s="342">
        <v>20.926200000000001</v>
      </c>
      <c r="N3531" s="340">
        <v>296664.45954000001</v>
      </c>
      <c r="O3531" s="703">
        <v>12393.98</v>
      </c>
      <c r="P3531" s="342">
        <v>1</v>
      </c>
      <c r="Q3531" s="363">
        <v>19.886500000000002</v>
      </c>
      <c r="R3531" s="340">
        <v>246472.88327000002</v>
      </c>
      <c r="S3531" s="342">
        <v>112.19</v>
      </c>
      <c r="T3531" s="342">
        <v>118.98099999999999</v>
      </c>
      <c r="U3531" s="342">
        <v>1.0605</v>
      </c>
      <c r="V3531" s="340">
        <v>261384.49270783502</v>
      </c>
      <c r="W3531" s="340">
        <v>35279.966832164995</v>
      </c>
    </row>
    <row r="3532" spans="2:23" ht="24" customHeight="1">
      <c r="J3532" s="345"/>
      <c r="K3532" s="703"/>
      <c r="L3532" s="342"/>
      <c r="M3532" s="342"/>
      <c r="N3532" s="340"/>
      <c r="O3532" s="703"/>
      <c r="P3532" s="342"/>
      <c r="Q3532" s="363"/>
      <c r="R3532" s="340"/>
      <c r="S3532" s="342"/>
      <c r="T3532" s="342"/>
      <c r="U3532" s="342"/>
      <c r="V3532" s="340"/>
      <c r="W3532" s="340"/>
    </row>
    <row r="3533" spans="2:23" ht="24" customHeight="1">
      <c r="B3533" s="67"/>
      <c r="H3533" s="347">
        <v>44313</v>
      </c>
      <c r="I3533" s="347"/>
      <c r="J3533" s="345"/>
      <c r="K3533" s="703"/>
      <c r="L3533" s="342"/>
      <c r="M3533" s="342"/>
      <c r="N3533" s="340"/>
      <c r="O3533" s="703"/>
      <c r="P3533" s="342"/>
      <c r="Q3533" s="363"/>
      <c r="R3533" s="340"/>
      <c r="S3533" s="342"/>
      <c r="T3533" s="342"/>
      <c r="U3533" s="342"/>
      <c r="V3533" s="340"/>
      <c r="W3533" s="340"/>
    </row>
    <row r="3534" spans="2:23" ht="24" customHeight="1">
      <c r="B3534" s="67"/>
      <c r="I3534" s="3" t="s">
        <v>59</v>
      </c>
      <c r="J3534" s="345">
        <v>42</v>
      </c>
      <c r="K3534" s="703">
        <v>10825.85</v>
      </c>
      <c r="L3534" s="342">
        <v>1</v>
      </c>
      <c r="M3534" s="342">
        <v>20.926200000000001</v>
      </c>
      <c r="N3534" s="340">
        <v>226543.90227000002</v>
      </c>
      <c r="O3534" s="703">
        <v>9474.8700000000008</v>
      </c>
      <c r="P3534" s="342">
        <v>1</v>
      </c>
      <c r="Q3534" s="363">
        <v>19.869499999999999</v>
      </c>
      <c r="R3534" s="340">
        <v>188260.92946499999</v>
      </c>
      <c r="S3534" s="342">
        <v>112.19</v>
      </c>
      <c r="T3534" s="342">
        <v>118.98099999999999</v>
      </c>
      <c r="U3534" s="342">
        <v>1.0605</v>
      </c>
      <c r="V3534" s="340">
        <v>199650.71569763249</v>
      </c>
      <c r="W3534" s="340">
        <v>26893.186572367529</v>
      </c>
    </row>
    <row r="3535" spans="2:23" ht="24" customHeight="1">
      <c r="J3535" s="345"/>
      <c r="K3535" s="703"/>
      <c r="L3535" s="342"/>
      <c r="M3535" s="342"/>
      <c r="N3535" s="340"/>
      <c r="O3535" s="703"/>
      <c r="P3535" s="342"/>
      <c r="Q3535" s="363"/>
      <c r="R3535" s="340"/>
      <c r="S3535" s="342"/>
      <c r="T3535" s="342"/>
      <c r="U3535" s="342"/>
      <c r="V3535" s="340"/>
      <c r="W3535" s="340"/>
    </row>
    <row r="3536" spans="2:23" ht="24" customHeight="1">
      <c r="B3536" s="67"/>
      <c r="F3536" s="346">
        <v>44790</v>
      </c>
      <c r="G3536" s="346"/>
      <c r="H3536" s="346"/>
      <c r="I3536" s="346"/>
      <c r="J3536" s="345"/>
      <c r="K3536" s="703"/>
      <c r="L3536" s="342"/>
      <c r="M3536" s="342"/>
      <c r="N3536" s="340"/>
      <c r="O3536" s="703"/>
      <c r="P3536" s="342"/>
      <c r="Q3536" s="363"/>
      <c r="R3536" s="340"/>
      <c r="S3536" s="342"/>
      <c r="T3536" s="342"/>
      <c r="U3536" s="342"/>
      <c r="V3536" s="340"/>
      <c r="W3536" s="340"/>
    </row>
    <row r="3537" spans="2:23" ht="24" customHeight="1">
      <c r="B3537" s="67"/>
      <c r="G3537" s="3" t="s">
        <v>59</v>
      </c>
      <c r="H3537" s="3"/>
      <c r="I3537" s="3"/>
      <c r="J3537" s="345"/>
      <c r="K3537" s="703"/>
      <c r="L3537" s="342"/>
      <c r="M3537" s="342"/>
      <c r="N3537" s="340"/>
      <c r="O3537" s="703"/>
      <c r="P3537" s="342"/>
      <c r="Q3537" s="363"/>
      <c r="R3537" s="340"/>
      <c r="S3537" s="342"/>
      <c r="T3537" s="342"/>
      <c r="U3537" s="342"/>
      <c r="V3537" s="340"/>
      <c r="W3537" s="340"/>
    </row>
    <row r="3538" spans="2:23" ht="24" customHeight="1">
      <c r="B3538" s="67"/>
      <c r="H3538" s="347">
        <v>44314</v>
      </c>
      <c r="I3538" s="347"/>
      <c r="J3538" s="345"/>
      <c r="K3538" s="703"/>
      <c r="L3538" s="342"/>
      <c r="M3538" s="342"/>
      <c r="N3538" s="340"/>
      <c r="O3538" s="703"/>
      <c r="P3538" s="342"/>
      <c r="Q3538" s="363"/>
      <c r="R3538" s="340"/>
      <c r="S3538" s="342"/>
      <c r="T3538" s="342"/>
      <c r="U3538" s="342"/>
      <c r="V3538" s="340"/>
      <c r="W3538" s="340"/>
    </row>
    <row r="3539" spans="2:23" ht="24" customHeight="1">
      <c r="B3539" s="67"/>
      <c r="I3539" s="3" t="s">
        <v>59</v>
      </c>
      <c r="J3539" s="345">
        <v>30</v>
      </c>
      <c r="K3539" s="703">
        <v>7224.82</v>
      </c>
      <c r="L3539" s="342">
        <v>1</v>
      </c>
      <c r="M3539" s="342">
        <v>19.861799999999999</v>
      </c>
      <c r="N3539" s="340">
        <v>143497.92987599998</v>
      </c>
      <c r="O3539" s="703">
        <v>6793.92</v>
      </c>
      <c r="P3539" s="342">
        <v>1</v>
      </c>
      <c r="Q3539" s="363">
        <v>19.836200000000002</v>
      </c>
      <c r="R3539" s="340">
        <v>134765.55590400001</v>
      </c>
      <c r="S3539" s="342">
        <v>112.19</v>
      </c>
      <c r="T3539" s="342">
        <v>122.94799999999999</v>
      </c>
      <c r="U3539" s="342">
        <v>1.0958000000000001</v>
      </c>
      <c r="V3539" s="340">
        <v>147676.09615960321</v>
      </c>
      <c r="W3539" s="340">
        <v>-4178.1662836032338</v>
      </c>
    </row>
    <row r="3540" spans="2:23" ht="24" customHeight="1">
      <c r="J3540" s="345"/>
      <c r="K3540" s="703"/>
      <c r="L3540" s="342"/>
      <c r="M3540" s="342"/>
      <c r="N3540" s="340"/>
      <c r="O3540" s="703"/>
      <c r="P3540" s="342"/>
      <c r="Q3540" s="363"/>
      <c r="R3540" s="340"/>
      <c r="S3540" s="342"/>
      <c r="T3540" s="342"/>
      <c r="U3540" s="342"/>
      <c r="V3540" s="340"/>
      <c r="W3540" s="340"/>
    </row>
    <row r="3541" spans="2:23" ht="24" customHeight="1">
      <c r="B3541" s="67"/>
      <c r="F3541" s="346">
        <v>44854</v>
      </c>
      <c r="G3541" s="346"/>
      <c r="H3541" s="346"/>
      <c r="I3541" s="346"/>
      <c r="J3541" s="345"/>
      <c r="K3541" s="703"/>
      <c r="L3541" s="342"/>
      <c r="M3541" s="342"/>
      <c r="N3541" s="340"/>
      <c r="O3541" s="703"/>
      <c r="P3541" s="342"/>
      <c r="Q3541" s="363"/>
      <c r="R3541" s="340"/>
      <c r="S3541" s="342"/>
      <c r="T3541" s="342"/>
      <c r="U3541" s="342"/>
      <c r="V3541" s="340"/>
      <c r="W3541" s="340"/>
    </row>
    <row r="3542" spans="2:23" ht="24" customHeight="1">
      <c r="B3542" s="67"/>
      <c r="G3542" s="3" t="s">
        <v>59</v>
      </c>
      <c r="H3542" s="3"/>
      <c r="I3542" s="3"/>
      <c r="J3542" s="345"/>
      <c r="K3542" s="703"/>
      <c r="L3542" s="342"/>
      <c r="M3542" s="342"/>
      <c r="N3542" s="340"/>
      <c r="O3542" s="703"/>
      <c r="P3542" s="342"/>
      <c r="Q3542" s="363"/>
      <c r="R3542" s="340"/>
      <c r="S3542" s="342"/>
      <c r="T3542" s="342"/>
      <c r="U3542" s="342"/>
      <c r="V3542" s="340"/>
      <c r="W3542" s="340"/>
    </row>
    <row r="3543" spans="2:23" ht="24" customHeight="1">
      <c r="B3543" s="67"/>
      <c r="H3543" s="347">
        <v>44720</v>
      </c>
      <c r="I3543" s="347"/>
      <c r="J3543" s="345"/>
      <c r="K3543" s="703"/>
      <c r="L3543" s="342"/>
      <c r="M3543" s="342"/>
      <c r="N3543" s="340"/>
      <c r="O3543" s="703"/>
      <c r="P3543" s="342"/>
      <c r="Q3543" s="363"/>
      <c r="R3543" s="340"/>
      <c r="S3543" s="342"/>
      <c r="T3543" s="342"/>
      <c r="U3543" s="342"/>
      <c r="V3543" s="340"/>
      <c r="W3543" s="340"/>
    </row>
    <row r="3544" spans="2:23" ht="24" customHeight="1">
      <c r="B3544" s="67"/>
      <c r="I3544" s="3" t="s">
        <v>59</v>
      </c>
      <c r="J3544" s="345">
        <v>17</v>
      </c>
      <c r="K3544" s="703">
        <v>3197.04</v>
      </c>
      <c r="L3544" s="342">
        <v>1</v>
      </c>
      <c r="M3544" s="342">
        <v>20.020700000000001</v>
      </c>
      <c r="N3544" s="340">
        <v>64006.978728000002</v>
      </c>
      <c r="O3544" s="703">
        <v>3758.7</v>
      </c>
      <c r="P3544" s="342">
        <v>1</v>
      </c>
      <c r="Q3544" s="363">
        <v>19.5547</v>
      </c>
      <c r="R3544" s="340">
        <v>73500.250889999996</v>
      </c>
      <c r="S3544" s="342">
        <v>122.044</v>
      </c>
      <c r="T3544" s="342">
        <v>124.571</v>
      </c>
      <c r="U3544" s="342">
        <v>1.0206999999999999</v>
      </c>
      <c r="V3544" s="340">
        <v>75021.706083422992</v>
      </c>
      <c r="W3544" s="340">
        <v>-11014.727355422991</v>
      </c>
    </row>
    <row r="3545" spans="2:23" ht="24" customHeight="1">
      <c r="J3545" s="345"/>
      <c r="K3545" s="703"/>
      <c r="L3545" s="342"/>
      <c r="M3545" s="342"/>
      <c r="N3545" s="340"/>
      <c r="O3545" s="703"/>
      <c r="P3545" s="342"/>
      <c r="Q3545" s="363"/>
      <c r="R3545" s="340"/>
      <c r="S3545" s="342"/>
      <c r="T3545" s="342"/>
      <c r="U3545" s="342"/>
      <c r="V3545" s="340"/>
      <c r="W3545" s="340"/>
    </row>
    <row r="3546" spans="2:23" ht="24" customHeight="1">
      <c r="B3546" s="67"/>
      <c r="E3546" s="131" t="s">
        <v>1226</v>
      </c>
      <c r="F3546" s="131"/>
      <c r="G3546" s="131"/>
      <c r="H3546" s="131"/>
      <c r="I3546" s="131"/>
      <c r="J3546" s="704">
        <v>195</v>
      </c>
      <c r="K3546" s="705">
        <v>46310.04</v>
      </c>
      <c r="L3546" s="369">
        <v>1</v>
      </c>
      <c r="M3546" s="377">
        <v>20.277916666666666</v>
      </c>
      <c r="N3546" s="706">
        <v>948059.02468299994</v>
      </c>
      <c r="O3546" s="705">
        <v>43948.469999999994</v>
      </c>
      <c r="P3546" s="369">
        <v>1</v>
      </c>
      <c r="Q3546" s="377">
        <v>19.808766666666667</v>
      </c>
      <c r="R3546" s="706">
        <v>871846.81474900013</v>
      </c>
      <c r="S3546" s="369">
        <v>113.83233333333334</v>
      </c>
      <c r="T3546" s="369">
        <v>121.18316666666668</v>
      </c>
      <c r="U3546" s="369">
        <v>1.0651833333333334</v>
      </c>
      <c r="V3546" s="706">
        <v>930155.6704613897</v>
      </c>
      <c r="W3546" s="706">
        <v>17903.35422161028</v>
      </c>
    </row>
    <row r="3547" spans="2:23" ht="24" customHeight="1">
      <c r="J3547" s="345"/>
      <c r="K3547" s="703"/>
      <c r="L3547" s="342"/>
      <c r="M3547" s="342"/>
      <c r="N3547" s="340"/>
      <c r="O3547" s="703"/>
      <c r="P3547" s="342"/>
      <c r="Q3547" s="363"/>
      <c r="R3547" s="340"/>
      <c r="S3547" s="342"/>
      <c r="T3547" s="342"/>
      <c r="U3547" s="342"/>
      <c r="V3547" s="340"/>
      <c r="W3547" s="340"/>
    </row>
    <row r="3548" spans="2:23" ht="24" customHeight="1">
      <c r="B3548" s="67"/>
      <c r="E3548" s="1" t="s">
        <v>830</v>
      </c>
      <c r="J3548" s="345"/>
      <c r="K3548" s="703"/>
      <c r="L3548" s="342"/>
      <c r="M3548" s="342"/>
      <c r="N3548" s="340"/>
      <c r="O3548" s="703"/>
      <c r="P3548" s="342"/>
      <c r="Q3548" s="363"/>
      <c r="R3548" s="340"/>
      <c r="S3548" s="342"/>
      <c r="T3548" s="342"/>
      <c r="U3548" s="342"/>
      <c r="V3548" s="340"/>
      <c r="W3548" s="340"/>
    </row>
    <row r="3549" spans="2:23" ht="24" customHeight="1">
      <c r="B3549" s="67"/>
      <c r="F3549" s="346">
        <v>44594</v>
      </c>
      <c r="G3549" s="346"/>
      <c r="H3549" s="346"/>
      <c r="I3549" s="346"/>
      <c r="J3549" s="345"/>
      <c r="K3549" s="703"/>
      <c r="L3549" s="342"/>
      <c r="M3549" s="342"/>
      <c r="N3549" s="340"/>
      <c r="O3549" s="703"/>
      <c r="P3549" s="342"/>
      <c r="Q3549" s="363"/>
      <c r="R3549" s="340"/>
      <c r="S3549" s="342"/>
      <c r="T3549" s="342"/>
      <c r="U3549" s="342"/>
      <c r="V3549" s="340"/>
      <c r="W3549" s="340"/>
    </row>
    <row r="3550" spans="2:23" ht="24" customHeight="1">
      <c r="B3550" s="67"/>
      <c r="G3550" s="3" t="s">
        <v>59</v>
      </c>
      <c r="H3550" s="3"/>
      <c r="I3550" s="3"/>
      <c r="J3550" s="345"/>
      <c r="K3550" s="703"/>
      <c r="L3550" s="342"/>
      <c r="M3550" s="342"/>
      <c r="N3550" s="340"/>
      <c r="O3550" s="703"/>
      <c r="P3550" s="342"/>
      <c r="Q3550" s="363"/>
      <c r="R3550" s="340"/>
      <c r="S3550" s="342"/>
      <c r="T3550" s="342"/>
      <c r="U3550" s="342"/>
      <c r="V3550" s="340"/>
      <c r="W3550" s="340"/>
    </row>
    <row r="3551" spans="2:23" ht="24" customHeight="1">
      <c r="B3551" s="67"/>
      <c r="H3551" s="347">
        <v>44365</v>
      </c>
      <c r="I3551" s="347"/>
      <c r="J3551" s="345"/>
      <c r="K3551" s="703"/>
      <c r="L3551" s="342"/>
      <c r="M3551" s="342"/>
      <c r="N3551" s="340"/>
      <c r="O3551" s="703"/>
      <c r="P3551" s="342"/>
      <c r="Q3551" s="363"/>
      <c r="R3551" s="340"/>
      <c r="S3551" s="342"/>
      <c r="T3551" s="342"/>
      <c r="U3551" s="342"/>
      <c r="V3551" s="340"/>
      <c r="W3551" s="340"/>
    </row>
    <row r="3552" spans="2:23" ht="24" customHeight="1">
      <c r="B3552" s="67"/>
      <c r="I3552" s="3" t="s">
        <v>59</v>
      </c>
      <c r="J3552" s="345">
        <v>57</v>
      </c>
      <c r="K3552" s="703">
        <v>13064.05</v>
      </c>
      <c r="L3552" s="342">
        <v>1</v>
      </c>
      <c r="M3552" s="342">
        <v>20.635200000000001</v>
      </c>
      <c r="N3552" s="340">
        <v>269579.28456</v>
      </c>
      <c r="O3552" s="703">
        <v>11294.47</v>
      </c>
      <c r="P3552" s="342">
        <v>1</v>
      </c>
      <c r="Q3552" s="363">
        <v>20.058800000000002</v>
      </c>
      <c r="R3552" s="340">
        <v>226553.51483600002</v>
      </c>
      <c r="S3552" s="342">
        <v>113.018</v>
      </c>
      <c r="T3552" s="342">
        <v>118.002</v>
      </c>
      <c r="U3552" s="342">
        <v>1.044</v>
      </c>
      <c r="V3552" s="340">
        <v>236521.86948878402</v>
      </c>
      <c r="W3552" s="340">
        <v>33057.415071216004</v>
      </c>
    </row>
    <row r="3553" spans="2:23" ht="24" customHeight="1">
      <c r="J3553" s="345"/>
      <c r="K3553" s="703"/>
      <c r="L3553" s="342"/>
      <c r="M3553" s="342"/>
      <c r="N3553" s="340"/>
      <c r="O3553" s="703"/>
      <c r="P3553" s="342"/>
      <c r="Q3553" s="363"/>
      <c r="R3553" s="340"/>
      <c r="S3553" s="342"/>
      <c r="T3553" s="342"/>
      <c r="U3553" s="342"/>
      <c r="V3553" s="340"/>
      <c r="W3553" s="340"/>
    </row>
    <row r="3554" spans="2:23" ht="24" customHeight="1">
      <c r="B3554" s="67"/>
      <c r="E3554" s="131" t="s">
        <v>1227</v>
      </c>
      <c r="F3554" s="131"/>
      <c r="G3554" s="131"/>
      <c r="H3554" s="131"/>
      <c r="I3554" s="131"/>
      <c r="J3554" s="704">
        <v>57</v>
      </c>
      <c r="K3554" s="705">
        <v>13064.05</v>
      </c>
      <c r="L3554" s="369">
        <v>1</v>
      </c>
      <c r="M3554" s="377">
        <v>20.635200000000001</v>
      </c>
      <c r="N3554" s="706">
        <v>269579.28456</v>
      </c>
      <c r="O3554" s="705">
        <v>11294.47</v>
      </c>
      <c r="P3554" s="369">
        <v>1</v>
      </c>
      <c r="Q3554" s="377">
        <v>20.058800000000002</v>
      </c>
      <c r="R3554" s="706">
        <v>226553.51483600002</v>
      </c>
      <c r="S3554" s="369">
        <v>113.018</v>
      </c>
      <c r="T3554" s="369">
        <v>118.002</v>
      </c>
      <c r="U3554" s="369">
        <v>1.044</v>
      </c>
      <c r="V3554" s="706">
        <v>236521.86948878402</v>
      </c>
      <c r="W3554" s="706">
        <v>33057.415071216004</v>
      </c>
    </row>
    <row r="3555" spans="2:23" ht="24" customHeight="1">
      <c r="J3555" s="345"/>
      <c r="K3555" s="703"/>
      <c r="L3555" s="342"/>
      <c r="M3555" s="342"/>
      <c r="N3555" s="340"/>
      <c r="O3555" s="703"/>
      <c r="P3555" s="342"/>
      <c r="Q3555" s="363"/>
      <c r="R3555" s="340"/>
      <c r="S3555" s="342"/>
      <c r="T3555" s="342"/>
      <c r="U3555" s="342"/>
      <c r="V3555" s="340"/>
      <c r="W3555" s="340"/>
    </row>
    <row r="3556" spans="2:23" ht="24" customHeight="1">
      <c r="B3556" s="67"/>
      <c r="E3556" s="1" t="s">
        <v>774</v>
      </c>
      <c r="J3556" s="345"/>
      <c r="K3556" s="703"/>
      <c r="L3556" s="342"/>
      <c r="M3556" s="342"/>
      <c r="N3556" s="340"/>
      <c r="O3556" s="703"/>
      <c r="P3556" s="342"/>
      <c r="Q3556" s="363"/>
      <c r="R3556" s="340"/>
      <c r="S3556" s="342"/>
      <c r="T3556" s="342"/>
      <c r="U3556" s="342"/>
      <c r="V3556" s="340"/>
      <c r="W3556" s="340"/>
    </row>
    <row r="3557" spans="2:23" ht="24" customHeight="1">
      <c r="B3557" s="67"/>
      <c r="F3557" s="346">
        <v>44649</v>
      </c>
      <c r="G3557" s="346"/>
      <c r="H3557" s="346"/>
      <c r="I3557" s="346"/>
      <c r="J3557" s="345"/>
      <c r="K3557" s="703"/>
      <c r="L3557" s="342"/>
      <c r="M3557" s="342"/>
      <c r="N3557" s="340"/>
      <c r="O3557" s="703"/>
      <c r="P3557" s="342"/>
      <c r="Q3557" s="363"/>
      <c r="R3557" s="340"/>
      <c r="S3557" s="342"/>
      <c r="T3557" s="342"/>
      <c r="U3557" s="342"/>
      <c r="V3557" s="340"/>
      <c r="W3557" s="340"/>
    </row>
    <row r="3558" spans="2:23" ht="24" customHeight="1">
      <c r="B3558" s="67"/>
      <c r="G3558" s="3" t="s">
        <v>59</v>
      </c>
      <c r="H3558" s="3"/>
      <c r="I3558" s="3"/>
      <c r="J3558" s="345"/>
      <c r="K3558" s="703"/>
      <c r="L3558" s="342"/>
      <c r="M3558" s="342"/>
      <c r="N3558" s="340"/>
      <c r="O3558" s="703"/>
      <c r="P3558" s="342"/>
      <c r="Q3558" s="363"/>
      <c r="R3558" s="340"/>
      <c r="S3558" s="342"/>
      <c r="T3558" s="342"/>
      <c r="U3558" s="342"/>
      <c r="V3558" s="340"/>
      <c r="W3558" s="340"/>
    </row>
    <row r="3559" spans="2:23" ht="24" customHeight="1">
      <c r="B3559" s="67"/>
      <c r="H3559" s="347">
        <v>43934</v>
      </c>
      <c r="I3559" s="347"/>
      <c r="J3559" s="345"/>
      <c r="K3559" s="703"/>
      <c r="L3559" s="342"/>
      <c r="M3559" s="342"/>
      <c r="N3559" s="340"/>
      <c r="O3559" s="703"/>
      <c r="P3559" s="342"/>
      <c r="Q3559" s="363"/>
      <c r="R3559" s="340"/>
      <c r="S3559" s="342"/>
      <c r="T3559" s="342"/>
      <c r="U3559" s="342"/>
      <c r="V3559" s="340"/>
      <c r="W3559" s="340"/>
    </row>
    <row r="3560" spans="2:23" ht="24" customHeight="1">
      <c r="B3560" s="67"/>
      <c r="I3560" s="3" t="s">
        <v>59</v>
      </c>
      <c r="J3560" s="345">
        <v>50</v>
      </c>
      <c r="K3560" s="703">
        <v>25642.39</v>
      </c>
      <c r="L3560" s="342">
        <v>1</v>
      </c>
      <c r="M3560" s="342">
        <v>19.957699999999999</v>
      </c>
      <c r="N3560" s="340">
        <v>511763.12690299994</v>
      </c>
      <c r="O3560" s="703">
        <v>13054.57</v>
      </c>
      <c r="P3560" s="342">
        <v>1</v>
      </c>
      <c r="Q3560" s="363">
        <v>24.038799999999998</v>
      </c>
      <c r="R3560" s="340">
        <v>313816.19731599995</v>
      </c>
      <c r="S3560" s="342">
        <v>105.755</v>
      </c>
      <c r="T3560" s="342">
        <v>118.98099999999999</v>
      </c>
      <c r="U3560" s="342">
        <v>1.125</v>
      </c>
      <c r="V3560" s="340">
        <v>353043.22198049992</v>
      </c>
      <c r="W3560" s="340">
        <v>158719.90492250002</v>
      </c>
    </row>
    <row r="3561" spans="2:23" ht="24" customHeight="1">
      <c r="J3561" s="345"/>
      <c r="K3561" s="703"/>
      <c r="L3561" s="342"/>
      <c r="M3561" s="342"/>
      <c r="N3561" s="340"/>
      <c r="O3561" s="703"/>
      <c r="P3561" s="342"/>
      <c r="Q3561" s="363"/>
      <c r="R3561" s="340"/>
      <c r="S3561" s="342"/>
      <c r="T3561" s="342"/>
      <c r="U3561" s="342"/>
      <c r="V3561" s="340"/>
      <c r="W3561" s="340"/>
    </row>
    <row r="3562" spans="2:23" ht="24" customHeight="1">
      <c r="B3562" s="67"/>
      <c r="F3562" s="346">
        <v>44648</v>
      </c>
      <c r="G3562" s="346"/>
      <c r="H3562" s="346"/>
      <c r="I3562" s="346"/>
      <c r="J3562" s="345"/>
      <c r="K3562" s="703"/>
      <c r="L3562" s="342"/>
      <c r="M3562" s="342"/>
      <c r="N3562" s="340"/>
      <c r="O3562" s="703"/>
      <c r="P3562" s="342"/>
      <c r="Q3562" s="363"/>
      <c r="R3562" s="340"/>
      <c r="S3562" s="342"/>
      <c r="T3562" s="342"/>
      <c r="U3562" s="342"/>
      <c r="V3562" s="340"/>
      <c r="W3562" s="340"/>
    </row>
    <row r="3563" spans="2:23" ht="24" customHeight="1">
      <c r="B3563" s="67"/>
      <c r="G3563" s="3" t="s">
        <v>59</v>
      </c>
      <c r="H3563" s="3"/>
      <c r="I3563" s="3"/>
      <c r="J3563" s="345"/>
      <c r="K3563" s="703"/>
      <c r="L3563" s="342"/>
      <c r="M3563" s="342"/>
      <c r="N3563" s="340"/>
      <c r="O3563" s="703"/>
      <c r="P3563" s="342"/>
      <c r="Q3563" s="363"/>
      <c r="R3563" s="340"/>
      <c r="S3563" s="342"/>
      <c r="T3563" s="342"/>
      <c r="U3563" s="342"/>
      <c r="V3563" s="340"/>
      <c r="W3563" s="340"/>
    </row>
    <row r="3564" spans="2:23" ht="24" customHeight="1">
      <c r="B3564" s="67"/>
      <c r="H3564" s="347">
        <v>43315</v>
      </c>
      <c r="I3564" s="347"/>
      <c r="J3564" s="345"/>
      <c r="K3564" s="703"/>
      <c r="L3564" s="342"/>
      <c r="M3564" s="342"/>
      <c r="N3564" s="340"/>
      <c r="O3564" s="703"/>
      <c r="P3564" s="342"/>
      <c r="Q3564" s="363"/>
      <c r="R3564" s="340"/>
      <c r="S3564" s="342"/>
      <c r="T3564" s="342"/>
      <c r="U3564" s="342"/>
      <c r="V3564" s="340"/>
      <c r="W3564" s="340"/>
    </row>
    <row r="3565" spans="2:23" ht="24" customHeight="1">
      <c r="B3565" s="67"/>
      <c r="I3565" s="3" t="s">
        <v>59</v>
      </c>
      <c r="J3565" s="345">
        <v>45</v>
      </c>
      <c r="K3565" s="703">
        <v>22989.07</v>
      </c>
      <c r="L3565" s="342">
        <v>1</v>
      </c>
      <c r="M3565" s="342">
        <v>20.1313</v>
      </c>
      <c r="N3565" s="340">
        <v>462799.86489099998</v>
      </c>
      <c r="O3565" s="703">
        <v>11502</v>
      </c>
      <c r="P3565" s="342">
        <v>1</v>
      </c>
      <c r="Q3565" s="363">
        <v>18.5899</v>
      </c>
      <c r="R3565" s="340">
        <v>213821.02979999999</v>
      </c>
      <c r="S3565" s="342">
        <v>100.492</v>
      </c>
      <c r="T3565" s="342">
        <v>118.98099999999999</v>
      </c>
      <c r="U3565" s="342">
        <v>1.1839</v>
      </c>
      <c r="V3565" s="340">
        <v>253142.71718021997</v>
      </c>
      <c r="W3565" s="340">
        <v>209657.14771077997</v>
      </c>
    </row>
    <row r="3566" spans="2:23" ht="24" customHeight="1">
      <c r="J3566" s="345"/>
      <c r="K3566" s="703"/>
      <c r="L3566" s="342"/>
      <c r="M3566" s="342"/>
      <c r="N3566" s="340"/>
      <c r="O3566" s="703"/>
      <c r="P3566" s="342"/>
      <c r="Q3566" s="363"/>
      <c r="R3566" s="340"/>
      <c r="S3566" s="342"/>
      <c r="T3566" s="342"/>
      <c r="U3566" s="342"/>
      <c r="V3566" s="340"/>
      <c r="W3566" s="340"/>
    </row>
    <row r="3567" spans="2:23" ht="24" customHeight="1">
      <c r="B3567" s="67"/>
      <c r="H3567" s="347">
        <v>43934</v>
      </c>
      <c r="I3567" s="347"/>
      <c r="J3567" s="345"/>
      <c r="K3567" s="703"/>
      <c r="L3567" s="342"/>
      <c r="M3567" s="342"/>
      <c r="N3567" s="340"/>
      <c r="O3567" s="703"/>
      <c r="P3567" s="342"/>
      <c r="Q3567" s="363"/>
      <c r="R3567" s="340"/>
      <c r="S3567" s="342"/>
      <c r="T3567" s="342"/>
      <c r="U3567" s="342"/>
      <c r="V3567" s="340"/>
      <c r="W3567" s="340"/>
    </row>
    <row r="3568" spans="2:23" ht="24" customHeight="1">
      <c r="B3568" s="67"/>
      <c r="I3568" s="3" t="s">
        <v>59</v>
      </c>
      <c r="J3568" s="345">
        <v>8</v>
      </c>
      <c r="K3568" s="703">
        <v>4086.95</v>
      </c>
      <c r="L3568" s="342">
        <v>1</v>
      </c>
      <c r="M3568" s="342">
        <v>20.1313</v>
      </c>
      <c r="N3568" s="340">
        <v>82275.616534999994</v>
      </c>
      <c r="O3568" s="703">
        <v>2088.73</v>
      </c>
      <c r="P3568" s="342">
        <v>1</v>
      </c>
      <c r="Q3568" s="363">
        <v>24.038799999999998</v>
      </c>
      <c r="R3568" s="340">
        <v>50210.562723999996</v>
      </c>
      <c r="S3568" s="342">
        <v>105.755</v>
      </c>
      <c r="T3568" s="342">
        <v>118.98099999999999</v>
      </c>
      <c r="U3568" s="342">
        <v>1.125</v>
      </c>
      <c r="V3568" s="340">
        <v>56486.883064499998</v>
      </c>
      <c r="W3568" s="340">
        <v>25788.733470499996</v>
      </c>
    </row>
    <row r="3569" spans="2:23" ht="24" customHeight="1">
      <c r="J3569" s="345"/>
      <c r="K3569" s="703"/>
      <c r="L3569" s="342"/>
      <c r="M3569" s="342"/>
      <c r="N3569" s="340"/>
      <c r="O3569" s="703"/>
      <c r="P3569" s="342"/>
      <c r="Q3569" s="363"/>
      <c r="R3569" s="340"/>
      <c r="S3569" s="342"/>
      <c r="T3569" s="342"/>
      <c r="U3569" s="342"/>
      <c r="V3569" s="340"/>
      <c r="W3569" s="340"/>
    </row>
    <row r="3570" spans="2:23" ht="24" customHeight="1">
      <c r="B3570" s="67"/>
      <c r="F3570" s="346">
        <v>44628</v>
      </c>
      <c r="G3570" s="346"/>
      <c r="H3570" s="346"/>
      <c r="I3570" s="346"/>
      <c r="J3570" s="345"/>
      <c r="K3570" s="703"/>
      <c r="L3570" s="342"/>
      <c r="M3570" s="342"/>
      <c r="N3570" s="340"/>
      <c r="O3570" s="703"/>
      <c r="P3570" s="342"/>
      <c r="Q3570" s="363"/>
      <c r="R3570" s="340"/>
      <c r="S3570" s="342"/>
      <c r="T3570" s="342"/>
      <c r="U3570" s="342"/>
      <c r="V3570" s="340"/>
      <c r="W3570" s="340"/>
    </row>
    <row r="3571" spans="2:23" ht="24" customHeight="1">
      <c r="B3571" s="67"/>
      <c r="G3571" s="3" t="s">
        <v>59</v>
      </c>
      <c r="H3571" s="3"/>
      <c r="I3571" s="3"/>
      <c r="J3571" s="345"/>
      <c r="K3571" s="703"/>
      <c r="L3571" s="342"/>
      <c r="M3571" s="342"/>
      <c r="N3571" s="340"/>
      <c r="O3571" s="703"/>
      <c r="P3571" s="342"/>
      <c r="Q3571" s="363"/>
      <c r="R3571" s="340"/>
      <c r="S3571" s="342"/>
      <c r="T3571" s="342"/>
      <c r="U3571" s="342"/>
      <c r="V3571" s="340"/>
      <c r="W3571" s="340"/>
    </row>
    <row r="3572" spans="2:23" ht="24" customHeight="1">
      <c r="B3572" s="67"/>
      <c r="H3572" s="347">
        <v>43315</v>
      </c>
      <c r="I3572" s="347"/>
      <c r="J3572" s="345"/>
      <c r="K3572" s="703"/>
      <c r="L3572" s="342"/>
      <c r="M3572" s="342"/>
      <c r="N3572" s="340"/>
      <c r="O3572" s="703"/>
      <c r="P3572" s="342"/>
      <c r="Q3572" s="363"/>
      <c r="R3572" s="340"/>
      <c r="S3572" s="342"/>
      <c r="T3572" s="342"/>
      <c r="U3572" s="342"/>
      <c r="V3572" s="340"/>
      <c r="W3572" s="340"/>
    </row>
    <row r="3573" spans="2:23" ht="24" customHeight="1">
      <c r="B3573" s="67"/>
      <c r="I3573" s="3" t="s">
        <v>59</v>
      </c>
      <c r="J3573" s="345">
        <v>28</v>
      </c>
      <c r="K3573" s="703">
        <v>13355.47</v>
      </c>
      <c r="L3573" s="342">
        <v>1</v>
      </c>
      <c r="M3573" s="342">
        <v>20.926200000000001</v>
      </c>
      <c r="N3573" s="340">
        <v>279479.23631399998</v>
      </c>
      <c r="O3573" s="703">
        <v>7156.8</v>
      </c>
      <c r="P3573" s="342">
        <v>1</v>
      </c>
      <c r="Q3573" s="363">
        <v>18.5899</v>
      </c>
      <c r="R3573" s="340">
        <v>133044.19632000002</v>
      </c>
      <c r="S3573" s="342">
        <v>100.492</v>
      </c>
      <c r="T3573" s="342">
        <v>118.98099999999999</v>
      </c>
      <c r="U3573" s="342">
        <v>1.1839</v>
      </c>
      <c r="V3573" s="340">
        <v>157511.02402324803</v>
      </c>
      <c r="W3573" s="340">
        <v>121968.21229075195</v>
      </c>
    </row>
    <row r="3574" spans="2:23" ht="24" customHeight="1">
      <c r="J3574" s="345"/>
      <c r="K3574" s="703"/>
      <c r="L3574" s="342"/>
      <c r="M3574" s="342"/>
      <c r="N3574" s="340"/>
      <c r="O3574" s="703"/>
      <c r="P3574" s="342"/>
      <c r="Q3574" s="363"/>
      <c r="R3574" s="340"/>
      <c r="S3574" s="342"/>
      <c r="T3574" s="342"/>
      <c r="U3574" s="342"/>
      <c r="V3574" s="340"/>
      <c r="W3574" s="340"/>
    </row>
    <row r="3575" spans="2:23" ht="24" customHeight="1">
      <c r="B3575" s="67"/>
      <c r="F3575" s="346">
        <v>44790</v>
      </c>
      <c r="G3575" s="346"/>
      <c r="H3575" s="346"/>
      <c r="I3575" s="346"/>
      <c r="J3575" s="345"/>
      <c r="K3575" s="703"/>
      <c r="L3575" s="342"/>
      <c r="M3575" s="342"/>
      <c r="N3575" s="340"/>
      <c r="O3575" s="703"/>
      <c r="P3575" s="342"/>
      <c r="Q3575" s="363"/>
      <c r="R3575" s="340"/>
      <c r="S3575" s="342"/>
      <c r="T3575" s="342"/>
      <c r="U3575" s="342"/>
      <c r="V3575" s="340"/>
      <c r="W3575" s="340"/>
    </row>
    <row r="3576" spans="2:23" ht="24" customHeight="1">
      <c r="B3576" s="67"/>
      <c r="G3576" s="3" t="s">
        <v>59</v>
      </c>
      <c r="H3576" s="3"/>
      <c r="I3576" s="3"/>
      <c r="J3576" s="345"/>
      <c r="K3576" s="703"/>
      <c r="L3576" s="342"/>
      <c r="M3576" s="342"/>
      <c r="N3576" s="340"/>
      <c r="O3576" s="703"/>
      <c r="P3576" s="342"/>
      <c r="Q3576" s="363"/>
      <c r="R3576" s="340"/>
      <c r="S3576" s="342"/>
      <c r="T3576" s="342"/>
      <c r="U3576" s="342"/>
      <c r="V3576" s="340"/>
      <c r="W3576" s="340"/>
    </row>
    <row r="3577" spans="2:23" ht="24" customHeight="1">
      <c r="B3577" s="67"/>
      <c r="H3577" s="347">
        <v>43934</v>
      </c>
      <c r="I3577" s="347"/>
      <c r="J3577" s="345"/>
      <c r="K3577" s="703"/>
      <c r="L3577" s="342"/>
      <c r="M3577" s="342"/>
      <c r="N3577" s="340"/>
      <c r="O3577" s="703"/>
      <c r="P3577" s="342"/>
      <c r="Q3577" s="363"/>
      <c r="R3577" s="340"/>
      <c r="S3577" s="342"/>
      <c r="T3577" s="342"/>
      <c r="U3577" s="342"/>
      <c r="V3577" s="340"/>
      <c r="W3577" s="340"/>
    </row>
    <row r="3578" spans="2:23" ht="24" customHeight="1">
      <c r="B3578" s="67"/>
      <c r="I3578" s="3" t="s">
        <v>59</v>
      </c>
      <c r="J3578" s="345">
        <v>5</v>
      </c>
      <c r="K3578" s="703">
        <v>2730.06</v>
      </c>
      <c r="L3578" s="342">
        <v>1</v>
      </c>
      <c r="M3578" s="342">
        <v>19.861799999999999</v>
      </c>
      <c r="N3578" s="340">
        <v>54223.905707999998</v>
      </c>
      <c r="O3578" s="703">
        <v>1305.46</v>
      </c>
      <c r="P3578" s="342">
        <v>1</v>
      </c>
      <c r="Q3578" s="363">
        <v>24.038799999999998</v>
      </c>
      <c r="R3578" s="340">
        <v>31381.691847999999</v>
      </c>
      <c r="S3578" s="342">
        <v>105.755</v>
      </c>
      <c r="T3578" s="342">
        <v>122.94799999999999</v>
      </c>
      <c r="U3578" s="342">
        <v>1.1625000000000001</v>
      </c>
      <c r="V3578" s="340">
        <v>36481.216773300002</v>
      </c>
      <c r="W3578" s="340">
        <v>17742.688934699996</v>
      </c>
    </row>
    <row r="3579" spans="2:23" ht="24" customHeight="1">
      <c r="J3579" s="345"/>
      <c r="K3579" s="703"/>
      <c r="L3579" s="342"/>
      <c r="M3579" s="342"/>
      <c r="N3579" s="340"/>
      <c r="O3579" s="703"/>
      <c r="P3579" s="342"/>
      <c r="Q3579" s="363"/>
      <c r="R3579" s="340"/>
      <c r="S3579" s="342"/>
      <c r="T3579" s="342"/>
      <c r="U3579" s="342"/>
      <c r="V3579" s="340"/>
      <c r="W3579" s="340"/>
    </row>
    <row r="3580" spans="2:23" ht="24" customHeight="1">
      <c r="B3580" s="67"/>
      <c r="H3580" s="347">
        <v>43935</v>
      </c>
      <c r="I3580" s="347"/>
      <c r="J3580" s="345"/>
      <c r="K3580" s="703"/>
      <c r="L3580" s="342"/>
      <c r="M3580" s="342"/>
      <c r="N3580" s="340"/>
      <c r="O3580" s="703"/>
      <c r="P3580" s="342"/>
      <c r="Q3580" s="363"/>
      <c r="R3580" s="340"/>
      <c r="S3580" s="342"/>
      <c r="T3580" s="342"/>
      <c r="U3580" s="342"/>
      <c r="V3580" s="340"/>
      <c r="W3580" s="340"/>
    </row>
    <row r="3581" spans="2:23" ht="24" customHeight="1">
      <c r="B3581" s="67"/>
      <c r="I3581" s="3" t="s">
        <v>59</v>
      </c>
      <c r="J3581" s="345">
        <v>5</v>
      </c>
      <c r="K3581" s="703">
        <v>2730.06</v>
      </c>
      <c r="L3581" s="342">
        <v>1</v>
      </c>
      <c r="M3581" s="342">
        <v>19.861799999999999</v>
      </c>
      <c r="N3581" s="340">
        <v>54223.905707999998</v>
      </c>
      <c r="O3581" s="703">
        <v>1352.97</v>
      </c>
      <c r="P3581" s="342">
        <v>1</v>
      </c>
      <c r="Q3581" s="363">
        <v>24.092500000000001</v>
      </c>
      <c r="R3581" s="340">
        <v>32596.429725000002</v>
      </c>
      <c r="S3581" s="342">
        <v>105.755</v>
      </c>
      <c r="T3581" s="342">
        <v>122.94799999999999</v>
      </c>
      <c r="U3581" s="342">
        <v>1.1625000000000001</v>
      </c>
      <c r="V3581" s="340">
        <v>37893.349555312503</v>
      </c>
      <c r="W3581" s="340">
        <v>16330.556152687495</v>
      </c>
    </row>
    <row r="3582" spans="2:23" ht="24" customHeight="1">
      <c r="J3582" s="345"/>
      <c r="K3582" s="703"/>
      <c r="L3582" s="342"/>
      <c r="M3582" s="342"/>
      <c r="N3582" s="340"/>
      <c r="O3582" s="703"/>
      <c r="P3582" s="342"/>
      <c r="Q3582" s="363"/>
      <c r="R3582" s="340"/>
      <c r="S3582" s="342"/>
      <c r="T3582" s="342"/>
      <c r="U3582" s="342"/>
      <c r="V3582" s="340"/>
      <c r="W3582" s="340"/>
    </row>
    <row r="3583" spans="2:23" ht="24" customHeight="1">
      <c r="B3583" s="67"/>
      <c r="E3583" s="131" t="s">
        <v>1228</v>
      </c>
      <c r="F3583" s="131"/>
      <c r="G3583" s="131"/>
      <c r="H3583" s="131"/>
      <c r="I3583" s="131"/>
      <c r="J3583" s="704">
        <v>141</v>
      </c>
      <c r="K3583" s="705">
        <v>71533.999999999985</v>
      </c>
      <c r="L3583" s="369">
        <v>1</v>
      </c>
      <c r="M3583" s="377">
        <v>20.145016666666667</v>
      </c>
      <c r="N3583" s="706">
        <v>1444765.6560590002</v>
      </c>
      <c r="O3583" s="705">
        <v>36460.53</v>
      </c>
      <c r="P3583" s="369">
        <v>1</v>
      </c>
      <c r="Q3583" s="377">
        <v>22.231449999999995</v>
      </c>
      <c r="R3583" s="706">
        <v>774870.10773299995</v>
      </c>
      <c r="S3583" s="369">
        <v>104.00066666666667</v>
      </c>
      <c r="T3583" s="369">
        <v>120.30333333333333</v>
      </c>
      <c r="U3583" s="369">
        <v>1.1571333333333333</v>
      </c>
      <c r="V3583" s="706">
        <v>894558.41257708031</v>
      </c>
      <c r="W3583" s="706">
        <v>550207.2434819194</v>
      </c>
    </row>
    <row r="3584" spans="2:23" ht="24" customHeight="1">
      <c r="J3584" s="345"/>
      <c r="K3584" s="703"/>
      <c r="L3584" s="342"/>
      <c r="M3584" s="342"/>
      <c r="N3584" s="340"/>
      <c r="O3584" s="703"/>
      <c r="P3584" s="342"/>
      <c r="Q3584" s="363"/>
      <c r="R3584" s="340"/>
      <c r="S3584" s="342"/>
      <c r="T3584" s="342"/>
      <c r="U3584" s="342"/>
      <c r="V3584" s="340"/>
      <c r="W3584" s="340"/>
    </row>
    <row r="3585" spans="2:23" ht="24" customHeight="1">
      <c r="B3585" s="67"/>
      <c r="E3585" s="1" t="s">
        <v>773</v>
      </c>
      <c r="J3585" s="345"/>
      <c r="K3585" s="703"/>
      <c r="L3585" s="342"/>
      <c r="M3585" s="342"/>
      <c r="N3585" s="340"/>
      <c r="O3585" s="703"/>
      <c r="P3585" s="342"/>
      <c r="Q3585" s="363"/>
      <c r="R3585" s="340"/>
      <c r="S3585" s="342"/>
      <c r="T3585" s="342"/>
      <c r="U3585" s="342"/>
      <c r="V3585" s="340"/>
      <c r="W3585" s="340"/>
    </row>
    <row r="3586" spans="2:23" ht="24" customHeight="1">
      <c r="B3586" s="67"/>
      <c r="F3586" s="346">
        <v>44824</v>
      </c>
      <c r="G3586" s="346"/>
      <c r="H3586" s="346"/>
      <c r="I3586" s="346"/>
      <c r="J3586" s="345"/>
      <c r="K3586" s="703"/>
      <c r="L3586" s="342"/>
      <c r="M3586" s="342"/>
      <c r="N3586" s="340"/>
      <c r="O3586" s="703"/>
      <c r="P3586" s="342"/>
      <c r="Q3586" s="363"/>
      <c r="R3586" s="340"/>
      <c r="S3586" s="342"/>
      <c r="T3586" s="342"/>
      <c r="U3586" s="342"/>
      <c r="V3586" s="340"/>
      <c r="W3586" s="340"/>
    </row>
    <row r="3587" spans="2:23" ht="24" customHeight="1">
      <c r="B3587" s="67"/>
      <c r="G3587" s="3" t="s">
        <v>59</v>
      </c>
      <c r="H3587" s="3"/>
      <c r="I3587" s="3"/>
      <c r="J3587" s="345"/>
      <c r="K3587" s="703"/>
      <c r="L3587" s="342"/>
      <c r="M3587" s="342"/>
      <c r="N3587" s="340"/>
      <c r="O3587" s="703"/>
      <c r="P3587" s="342"/>
      <c r="Q3587" s="363"/>
      <c r="R3587" s="340"/>
      <c r="S3587" s="342"/>
      <c r="T3587" s="342"/>
      <c r="U3587" s="342"/>
      <c r="V3587" s="340"/>
      <c r="W3587" s="340"/>
    </row>
    <row r="3588" spans="2:23" ht="24" customHeight="1">
      <c r="B3588" s="67"/>
      <c r="H3588" s="347">
        <v>43965</v>
      </c>
      <c r="I3588" s="347"/>
      <c r="J3588" s="345"/>
      <c r="K3588" s="703"/>
      <c r="L3588" s="342"/>
      <c r="M3588" s="342"/>
      <c r="N3588" s="340"/>
      <c r="O3588" s="703"/>
      <c r="P3588" s="342"/>
      <c r="Q3588" s="363"/>
      <c r="R3588" s="340"/>
      <c r="S3588" s="342"/>
      <c r="T3588" s="342"/>
      <c r="U3588" s="342"/>
      <c r="V3588" s="340"/>
      <c r="W3588" s="340"/>
    </row>
    <row r="3589" spans="2:23" ht="24" customHeight="1">
      <c r="B3589" s="67"/>
      <c r="I3589" s="3" t="s">
        <v>59</v>
      </c>
      <c r="J3589" s="345">
        <v>169</v>
      </c>
      <c r="K3589" s="703">
        <v>6536.3</v>
      </c>
      <c r="L3589" s="342">
        <v>1</v>
      </c>
      <c r="M3589" s="342">
        <v>20.052499999999998</v>
      </c>
      <c r="N3589" s="340">
        <v>131069.15574999999</v>
      </c>
      <c r="O3589" s="703">
        <v>9186.17</v>
      </c>
      <c r="P3589" s="342">
        <v>1</v>
      </c>
      <c r="Q3589" s="363">
        <v>24.0487</v>
      </c>
      <c r="R3589" s="340">
        <v>220915.44647900001</v>
      </c>
      <c r="S3589" s="342">
        <v>106.16200000000001</v>
      </c>
      <c r="T3589" s="342">
        <v>123.803</v>
      </c>
      <c r="U3589" s="342">
        <v>1.1660999999999999</v>
      </c>
      <c r="V3589" s="340">
        <v>257609.50213916189</v>
      </c>
      <c r="W3589" s="340">
        <v>-126540.3463891619</v>
      </c>
    </row>
    <row r="3590" spans="2:23" ht="24" customHeight="1">
      <c r="J3590" s="345"/>
      <c r="K3590" s="703"/>
      <c r="L3590" s="342"/>
      <c r="M3590" s="342"/>
      <c r="N3590" s="340"/>
      <c r="O3590" s="703"/>
      <c r="P3590" s="342"/>
      <c r="Q3590" s="363"/>
      <c r="R3590" s="340"/>
      <c r="S3590" s="342"/>
      <c r="T3590" s="342"/>
      <c r="U3590" s="342"/>
      <c r="V3590" s="340"/>
      <c r="W3590" s="340"/>
    </row>
    <row r="3591" spans="2:23" ht="24" customHeight="1">
      <c r="B3591" s="67"/>
      <c r="H3591" s="347">
        <v>43990</v>
      </c>
      <c r="I3591" s="347"/>
      <c r="J3591" s="345"/>
      <c r="K3591" s="703"/>
      <c r="L3591" s="342"/>
      <c r="M3591" s="342"/>
      <c r="N3591" s="340"/>
      <c r="O3591" s="703"/>
      <c r="P3591" s="342"/>
      <c r="Q3591" s="363"/>
      <c r="R3591" s="340"/>
      <c r="S3591" s="342"/>
      <c r="T3591" s="342"/>
      <c r="U3591" s="342"/>
      <c r="V3591" s="340"/>
      <c r="W3591" s="340"/>
    </row>
    <row r="3592" spans="2:23" ht="24" customHeight="1">
      <c r="B3592" s="67"/>
      <c r="I3592" s="3" t="s">
        <v>59</v>
      </c>
      <c r="J3592" s="345">
        <v>33</v>
      </c>
      <c r="K3592" s="703">
        <v>1276.31</v>
      </c>
      <c r="L3592" s="342">
        <v>1</v>
      </c>
      <c r="M3592" s="342">
        <v>20.052499999999998</v>
      </c>
      <c r="N3592" s="340">
        <v>25593.206274999997</v>
      </c>
      <c r="O3592" s="703">
        <v>2231.92</v>
      </c>
      <c r="P3592" s="342">
        <v>1</v>
      </c>
      <c r="Q3592" s="363">
        <v>21.838799999999999</v>
      </c>
      <c r="R3592" s="340">
        <v>48742.454495999998</v>
      </c>
      <c r="S3592" s="342">
        <v>106.74299999999999</v>
      </c>
      <c r="T3592" s="342">
        <v>123.803</v>
      </c>
      <c r="U3592" s="342">
        <v>1.1597999999999999</v>
      </c>
      <c r="V3592" s="340">
        <v>56531.498724460798</v>
      </c>
      <c r="W3592" s="340">
        <v>-30938.292449460801</v>
      </c>
    </row>
    <row r="3593" spans="2:23" ht="24" customHeight="1">
      <c r="J3593" s="345"/>
      <c r="K3593" s="703"/>
      <c r="L3593" s="342"/>
      <c r="M3593" s="342"/>
      <c r="N3593" s="340"/>
      <c r="O3593" s="703"/>
      <c r="P3593" s="342"/>
      <c r="Q3593" s="363"/>
      <c r="R3593" s="340"/>
      <c r="S3593" s="342"/>
      <c r="T3593" s="342"/>
      <c r="U3593" s="342"/>
      <c r="V3593" s="340"/>
      <c r="W3593" s="340"/>
    </row>
    <row r="3594" spans="2:23" ht="24" customHeight="1">
      <c r="B3594" s="67"/>
      <c r="H3594" s="347">
        <v>44102</v>
      </c>
      <c r="I3594" s="347"/>
      <c r="J3594" s="345"/>
      <c r="K3594" s="703"/>
      <c r="L3594" s="342"/>
      <c r="M3594" s="342"/>
      <c r="N3594" s="340"/>
      <c r="O3594" s="703"/>
      <c r="P3594" s="342"/>
      <c r="Q3594" s="363"/>
      <c r="R3594" s="340"/>
      <c r="S3594" s="342"/>
      <c r="T3594" s="342"/>
      <c r="U3594" s="342"/>
      <c r="V3594" s="340"/>
      <c r="W3594" s="340"/>
    </row>
    <row r="3595" spans="2:23" ht="24" customHeight="1">
      <c r="B3595" s="67"/>
      <c r="I3595" s="3" t="s">
        <v>59</v>
      </c>
      <c r="J3595" s="345">
        <v>112</v>
      </c>
      <c r="K3595" s="703">
        <v>4331.75</v>
      </c>
      <c r="L3595" s="342">
        <v>1</v>
      </c>
      <c r="M3595" s="342">
        <v>20.052499999999998</v>
      </c>
      <c r="N3595" s="340">
        <v>86862.416874999995</v>
      </c>
      <c r="O3595" s="703">
        <v>8042.07</v>
      </c>
      <c r="P3595" s="342">
        <v>1</v>
      </c>
      <c r="Q3595" s="363">
        <v>22.367799999999999</v>
      </c>
      <c r="R3595" s="340">
        <v>179883.41334599999</v>
      </c>
      <c r="S3595" s="342">
        <v>108.114</v>
      </c>
      <c r="T3595" s="342">
        <v>123.803</v>
      </c>
      <c r="U3595" s="342">
        <v>1.1451</v>
      </c>
      <c r="V3595" s="340">
        <v>205984.49662250458</v>
      </c>
      <c r="W3595" s="340">
        <v>-119122.07974750458</v>
      </c>
    </row>
    <row r="3596" spans="2:23" ht="24" customHeight="1">
      <c r="J3596" s="345"/>
      <c r="K3596" s="703"/>
      <c r="L3596" s="342"/>
      <c r="M3596" s="342"/>
      <c r="N3596" s="340"/>
      <c r="O3596" s="703"/>
      <c r="P3596" s="342"/>
      <c r="Q3596" s="363"/>
      <c r="R3596" s="340"/>
      <c r="S3596" s="342"/>
      <c r="T3596" s="342"/>
      <c r="U3596" s="342"/>
      <c r="V3596" s="340"/>
      <c r="W3596" s="340"/>
    </row>
    <row r="3597" spans="2:23" ht="24" customHeight="1">
      <c r="B3597" s="67"/>
      <c r="H3597" s="347">
        <v>44126</v>
      </c>
      <c r="I3597" s="347"/>
      <c r="J3597" s="345"/>
      <c r="K3597" s="703"/>
      <c r="L3597" s="342"/>
      <c r="M3597" s="342"/>
      <c r="N3597" s="340"/>
      <c r="O3597" s="703"/>
      <c r="P3597" s="342"/>
      <c r="Q3597" s="363"/>
      <c r="R3597" s="340"/>
      <c r="S3597" s="342"/>
      <c r="T3597" s="342"/>
      <c r="U3597" s="342"/>
      <c r="V3597" s="340"/>
      <c r="W3597" s="340"/>
    </row>
    <row r="3598" spans="2:23" ht="24" customHeight="1">
      <c r="B3598" s="67"/>
      <c r="I3598" s="3" t="s">
        <v>59</v>
      </c>
      <c r="J3598" s="345">
        <v>46</v>
      </c>
      <c r="K3598" s="703">
        <v>1779.11</v>
      </c>
      <c r="L3598" s="342">
        <v>1</v>
      </c>
      <c r="M3598" s="342">
        <v>20.052499999999998</v>
      </c>
      <c r="N3598" s="340">
        <v>35675.603274999994</v>
      </c>
      <c r="O3598" s="703">
        <v>3371.72</v>
      </c>
      <c r="P3598" s="342">
        <v>1</v>
      </c>
      <c r="Q3598" s="363">
        <v>21.090199999999999</v>
      </c>
      <c r="R3598" s="340">
        <v>71110.249143999987</v>
      </c>
      <c r="S3598" s="342">
        <v>108.774</v>
      </c>
      <c r="T3598" s="342">
        <v>123.803</v>
      </c>
      <c r="U3598" s="342">
        <v>1.1380999999999999</v>
      </c>
      <c r="V3598" s="340">
        <v>80930.574550786376</v>
      </c>
      <c r="W3598" s="340">
        <v>-45254.971275786382</v>
      </c>
    </row>
    <row r="3599" spans="2:23" ht="24" customHeight="1">
      <c r="J3599" s="345"/>
      <c r="K3599" s="703"/>
      <c r="L3599" s="342"/>
      <c r="M3599" s="342"/>
      <c r="N3599" s="340"/>
      <c r="O3599" s="703"/>
      <c r="P3599" s="342"/>
      <c r="Q3599" s="363"/>
      <c r="R3599" s="340"/>
      <c r="S3599" s="342"/>
      <c r="T3599" s="342"/>
      <c r="U3599" s="342"/>
      <c r="V3599" s="340"/>
      <c r="W3599" s="340"/>
    </row>
    <row r="3600" spans="2:23" ht="24" customHeight="1">
      <c r="B3600" s="67"/>
      <c r="F3600" s="346">
        <v>44825</v>
      </c>
      <c r="G3600" s="346"/>
      <c r="H3600" s="346"/>
      <c r="I3600" s="346"/>
      <c r="J3600" s="345"/>
      <c r="K3600" s="703"/>
      <c r="L3600" s="342"/>
      <c r="M3600" s="342"/>
      <c r="N3600" s="340"/>
      <c r="O3600" s="703"/>
      <c r="P3600" s="342"/>
      <c r="Q3600" s="363"/>
      <c r="R3600" s="340"/>
      <c r="S3600" s="342"/>
      <c r="T3600" s="342"/>
      <c r="U3600" s="342"/>
      <c r="V3600" s="340"/>
      <c r="W3600" s="340"/>
    </row>
    <row r="3601" spans="2:23" ht="24" customHeight="1">
      <c r="B3601" s="67"/>
      <c r="G3601" s="3" t="s">
        <v>59</v>
      </c>
      <c r="H3601" s="3"/>
      <c r="I3601" s="3"/>
      <c r="J3601" s="345"/>
      <c r="K3601" s="703"/>
      <c r="L3601" s="342"/>
      <c r="M3601" s="342"/>
      <c r="N3601" s="340"/>
      <c r="O3601" s="703"/>
      <c r="P3601" s="342"/>
      <c r="Q3601" s="363"/>
      <c r="R3601" s="340"/>
      <c r="S3601" s="342"/>
      <c r="T3601" s="342"/>
      <c r="U3601" s="342"/>
      <c r="V3601" s="340"/>
      <c r="W3601" s="340"/>
    </row>
    <row r="3602" spans="2:23" ht="24" customHeight="1">
      <c r="B3602" s="67"/>
      <c r="H3602" s="347">
        <v>44126</v>
      </c>
      <c r="I3602" s="347"/>
      <c r="J3602" s="345"/>
      <c r="K3602" s="703"/>
      <c r="L3602" s="342"/>
      <c r="M3602" s="342"/>
      <c r="N3602" s="340"/>
      <c r="O3602" s="703"/>
      <c r="P3602" s="342"/>
      <c r="Q3602" s="363"/>
      <c r="R3602" s="340"/>
      <c r="S3602" s="342"/>
      <c r="T3602" s="342"/>
      <c r="U3602" s="342"/>
      <c r="V3602" s="340"/>
      <c r="W3602" s="340"/>
    </row>
    <row r="3603" spans="2:23" ht="24" customHeight="1">
      <c r="B3603" s="67"/>
      <c r="I3603" s="3" t="s">
        <v>59</v>
      </c>
      <c r="J3603" s="345">
        <v>300</v>
      </c>
      <c r="K3603" s="703">
        <v>11468.62</v>
      </c>
      <c r="L3603" s="342">
        <v>1</v>
      </c>
      <c r="M3603" s="342">
        <v>19.994299999999999</v>
      </c>
      <c r="N3603" s="340">
        <v>229307.02886600001</v>
      </c>
      <c r="O3603" s="703">
        <v>21989.49</v>
      </c>
      <c r="P3603" s="342">
        <v>1</v>
      </c>
      <c r="Q3603" s="363">
        <v>21.090199999999999</v>
      </c>
      <c r="R3603" s="340">
        <v>463762.74199800001</v>
      </c>
      <c r="S3603" s="342">
        <v>108.774</v>
      </c>
      <c r="T3603" s="342">
        <v>123.803</v>
      </c>
      <c r="U3603" s="342">
        <v>1.1380999999999999</v>
      </c>
      <c r="V3603" s="340">
        <v>527808.37666792376</v>
      </c>
      <c r="W3603" s="340">
        <v>-298501.34780192375</v>
      </c>
    </row>
    <row r="3604" spans="2:23" ht="24" customHeight="1">
      <c r="J3604" s="345"/>
      <c r="K3604" s="703"/>
      <c r="L3604" s="342"/>
      <c r="M3604" s="342"/>
      <c r="N3604" s="340"/>
      <c r="O3604" s="703"/>
      <c r="P3604" s="342"/>
      <c r="Q3604" s="363"/>
      <c r="R3604" s="340"/>
      <c r="S3604" s="342"/>
      <c r="T3604" s="342"/>
      <c r="U3604" s="342"/>
      <c r="V3604" s="340"/>
      <c r="W3604" s="340"/>
    </row>
    <row r="3605" spans="2:23" ht="24" customHeight="1">
      <c r="B3605" s="67"/>
      <c r="H3605" s="347">
        <v>44476</v>
      </c>
      <c r="I3605" s="347"/>
      <c r="J3605" s="345"/>
      <c r="K3605" s="703"/>
      <c r="L3605" s="342"/>
      <c r="M3605" s="342"/>
      <c r="N3605" s="340"/>
      <c r="O3605" s="703"/>
      <c r="P3605" s="342"/>
      <c r="Q3605" s="363"/>
      <c r="R3605" s="340"/>
      <c r="S3605" s="342"/>
      <c r="T3605" s="342"/>
      <c r="U3605" s="342"/>
      <c r="V3605" s="340"/>
      <c r="W3605" s="340"/>
    </row>
    <row r="3606" spans="2:23" ht="24" customHeight="1">
      <c r="B3606" s="67"/>
      <c r="I3606" s="3" t="s">
        <v>59</v>
      </c>
      <c r="J3606" s="345">
        <v>145</v>
      </c>
      <c r="K3606" s="703">
        <v>5543.16</v>
      </c>
      <c r="L3606" s="342">
        <v>1</v>
      </c>
      <c r="M3606" s="342">
        <v>19.994299999999999</v>
      </c>
      <c r="N3606" s="340">
        <v>110831.60398799999</v>
      </c>
      <c r="O3606" s="703">
        <v>9988.8799999999992</v>
      </c>
      <c r="P3606" s="342">
        <v>1</v>
      </c>
      <c r="Q3606" s="363">
        <v>20.581800000000001</v>
      </c>
      <c r="R3606" s="340">
        <v>205589.13038399999</v>
      </c>
      <c r="S3606" s="342">
        <v>115.56100000000001</v>
      </c>
      <c r="T3606" s="342">
        <v>123.803</v>
      </c>
      <c r="U3606" s="342">
        <v>1.0712999999999999</v>
      </c>
      <c r="V3606" s="340">
        <v>220247.63538037919</v>
      </c>
      <c r="W3606" s="340">
        <v>-109416.0313923792</v>
      </c>
    </row>
    <row r="3607" spans="2:23" ht="24" customHeight="1">
      <c r="J3607" s="345"/>
      <c r="K3607" s="703"/>
      <c r="L3607" s="342"/>
      <c r="M3607" s="342"/>
      <c r="N3607" s="340"/>
      <c r="O3607" s="703"/>
      <c r="P3607" s="342"/>
      <c r="Q3607" s="363"/>
      <c r="R3607" s="340"/>
      <c r="S3607" s="342"/>
      <c r="T3607" s="342"/>
      <c r="U3607" s="342"/>
      <c r="V3607" s="340"/>
      <c r="W3607" s="340"/>
    </row>
    <row r="3608" spans="2:23" ht="24" customHeight="1">
      <c r="B3608" s="67"/>
      <c r="H3608" s="347">
        <v>44722</v>
      </c>
      <c r="I3608" s="347"/>
      <c r="J3608" s="345"/>
      <c r="K3608" s="703"/>
      <c r="L3608" s="342"/>
      <c r="M3608" s="342"/>
      <c r="N3608" s="340"/>
      <c r="O3608" s="703"/>
      <c r="P3608" s="342"/>
      <c r="Q3608" s="363"/>
      <c r="R3608" s="340"/>
      <c r="S3608" s="342"/>
      <c r="T3608" s="342"/>
      <c r="U3608" s="342"/>
      <c r="V3608" s="340"/>
      <c r="W3608" s="340"/>
    </row>
    <row r="3609" spans="2:23" ht="24" customHeight="1">
      <c r="B3609" s="67"/>
      <c r="I3609" s="3" t="s">
        <v>59</v>
      </c>
      <c r="J3609" s="345">
        <v>153</v>
      </c>
      <c r="K3609" s="703">
        <v>5849</v>
      </c>
      <c r="L3609" s="342">
        <v>1</v>
      </c>
      <c r="M3609" s="342">
        <v>19.994299999999999</v>
      </c>
      <c r="N3609" s="340">
        <v>116946.66069999999</v>
      </c>
      <c r="O3609" s="703">
        <v>7284.31</v>
      </c>
      <c r="P3609" s="342">
        <v>1</v>
      </c>
      <c r="Q3609" s="363">
        <v>19.59</v>
      </c>
      <c r="R3609" s="340">
        <v>142699.6329</v>
      </c>
      <c r="S3609" s="342">
        <v>122.044</v>
      </c>
      <c r="T3609" s="342">
        <v>123.803</v>
      </c>
      <c r="U3609" s="342">
        <v>1.0144</v>
      </c>
      <c r="V3609" s="340">
        <v>144754.50761375998</v>
      </c>
      <c r="W3609" s="340">
        <v>-27807.84691375999</v>
      </c>
    </row>
    <row r="3610" spans="2:23" ht="24" customHeight="1">
      <c r="J3610" s="345"/>
      <c r="K3610" s="703"/>
      <c r="L3610" s="342"/>
      <c r="M3610" s="342"/>
      <c r="N3610" s="340"/>
      <c r="O3610" s="703"/>
      <c r="P3610" s="342"/>
      <c r="Q3610" s="363"/>
      <c r="R3610" s="340"/>
      <c r="S3610" s="342"/>
      <c r="T3610" s="342"/>
      <c r="U3610" s="342"/>
      <c r="V3610" s="340"/>
      <c r="W3610" s="340"/>
    </row>
    <row r="3611" spans="2:23" ht="24" customHeight="1">
      <c r="B3611" s="67"/>
      <c r="F3611" s="346">
        <v>44826</v>
      </c>
      <c r="G3611" s="346"/>
      <c r="H3611" s="346"/>
      <c r="I3611" s="346"/>
      <c r="J3611" s="345"/>
      <c r="K3611" s="703"/>
      <c r="L3611" s="342"/>
      <c r="M3611" s="342"/>
      <c r="N3611" s="340"/>
      <c r="O3611" s="703"/>
      <c r="P3611" s="342"/>
      <c r="Q3611" s="363"/>
      <c r="R3611" s="340"/>
      <c r="S3611" s="342"/>
      <c r="T3611" s="342"/>
      <c r="U3611" s="342"/>
      <c r="V3611" s="340"/>
      <c r="W3611" s="340"/>
    </row>
    <row r="3612" spans="2:23" ht="24" customHeight="1">
      <c r="B3612" s="67"/>
      <c r="G3612" s="3" t="s">
        <v>59</v>
      </c>
      <c r="H3612" s="3"/>
      <c r="I3612" s="3"/>
      <c r="J3612" s="345"/>
      <c r="K3612" s="703"/>
      <c r="L3612" s="342"/>
      <c r="M3612" s="342"/>
      <c r="N3612" s="340"/>
      <c r="O3612" s="703"/>
      <c r="P3612" s="342"/>
      <c r="Q3612" s="363"/>
      <c r="R3612" s="340"/>
      <c r="S3612" s="342"/>
      <c r="T3612" s="342"/>
      <c r="U3612" s="342"/>
      <c r="V3612" s="340"/>
      <c r="W3612" s="340"/>
    </row>
    <row r="3613" spans="2:23" ht="24" customHeight="1">
      <c r="B3613" s="67"/>
      <c r="H3613" s="347">
        <v>44722</v>
      </c>
      <c r="I3613" s="347"/>
      <c r="J3613" s="345"/>
      <c r="K3613" s="703"/>
      <c r="L3613" s="342"/>
      <c r="M3613" s="342"/>
      <c r="N3613" s="340"/>
      <c r="O3613" s="703"/>
      <c r="P3613" s="342"/>
      <c r="Q3613" s="363"/>
      <c r="R3613" s="340"/>
      <c r="S3613" s="342"/>
      <c r="T3613" s="342"/>
      <c r="U3613" s="342"/>
      <c r="V3613" s="340"/>
      <c r="W3613" s="340"/>
    </row>
    <row r="3614" spans="2:23" ht="24" customHeight="1">
      <c r="B3614" s="67"/>
      <c r="I3614" s="3" t="s">
        <v>59</v>
      </c>
      <c r="J3614" s="345">
        <v>307</v>
      </c>
      <c r="K3614" s="703">
        <v>11214.97</v>
      </c>
      <c r="L3614" s="342">
        <v>1</v>
      </c>
      <c r="M3614" s="342">
        <v>20</v>
      </c>
      <c r="N3614" s="340">
        <v>224299.39999999997</v>
      </c>
      <c r="O3614" s="703">
        <v>14295.9</v>
      </c>
      <c r="P3614" s="342">
        <v>1</v>
      </c>
      <c r="Q3614" s="363">
        <v>19.59</v>
      </c>
      <c r="R3614" s="340">
        <v>280056.68099999998</v>
      </c>
      <c r="S3614" s="342">
        <v>122.044</v>
      </c>
      <c r="T3614" s="342">
        <v>123.803</v>
      </c>
      <c r="U3614" s="342">
        <v>1.0144</v>
      </c>
      <c r="V3614" s="340">
        <v>284089.49720639997</v>
      </c>
      <c r="W3614" s="340">
        <v>-59790.09720639998</v>
      </c>
    </row>
    <row r="3615" spans="2:23" ht="24" customHeight="1">
      <c r="J3615" s="345"/>
      <c r="K3615" s="703"/>
      <c r="L3615" s="342"/>
      <c r="M3615" s="342"/>
      <c r="N3615" s="340"/>
      <c r="O3615" s="703"/>
      <c r="P3615" s="342"/>
      <c r="Q3615" s="363"/>
      <c r="R3615" s="340"/>
      <c r="S3615" s="342"/>
      <c r="T3615" s="342"/>
      <c r="U3615" s="342"/>
      <c r="V3615" s="340"/>
      <c r="W3615" s="340"/>
    </row>
    <row r="3616" spans="2:23" ht="24" customHeight="1">
      <c r="B3616" s="67"/>
      <c r="F3616" s="346">
        <v>44827</v>
      </c>
      <c r="G3616" s="346"/>
      <c r="H3616" s="346"/>
      <c r="I3616" s="346"/>
      <c r="J3616" s="345"/>
      <c r="K3616" s="703"/>
      <c r="L3616" s="342"/>
      <c r="M3616" s="342"/>
      <c r="N3616" s="340"/>
      <c r="O3616" s="703"/>
      <c r="P3616" s="342"/>
      <c r="Q3616" s="363"/>
      <c r="R3616" s="340"/>
      <c r="S3616" s="342"/>
      <c r="T3616" s="342"/>
      <c r="U3616" s="342"/>
      <c r="V3616" s="340"/>
      <c r="W3616" s="340"/>
    </row>
    <row r="3617" spans="2:23" ht="24" customHeight="1">
      <c r="B3617" s="67"/>
      <c r="G3617" s="3" t="s">
        <v>59</v>
      </c>
      <c r="H3617" s="3"/>
      <c r="I3617" s="3"/>
      <c r="J3617" s="345"/>
      <c r="K3617" s="703"/>
      <c r="L3617" s="342"/>
      <c r="M3617" s="342"/>
      <c r="N3617" s="340"/>
      <c r="O3617" s="703"/>
      <c r="P3617" s="342"/>
      <c r="Q3617" s="363"/>
      <c r="R3617" s="340"/>
      <c r="S3617" s="342"/>
      <c r="T3617" s="342"/>
      <c r="U3617" s="342"/>
      <c r="V3617" s="340"/>
      <c r="W3617" s="340"/>
    </row>
    <row r="3618" spans="2:23" ht="24" customHeight="1">
      <c r="B3618" s="67"/>
      <c r="H3618" s="347">
        <v>44722</v>
      </c>
      <c r="I3618" s="347"/>
      <c r="J3618" s="345"/>
      <c r="K3618" s="703"/>
      <c r="L3618" s="342"/>
      <c r="M3618" s="342"/>
      <c r="N3618" s="340"/>
      <c r="O3618" s="703"/>
      <c r="P3618" s="342"/>
      <c r="Q3618" s="363"/>
      <c r="R3618" s="340"/>
      <c r="S3618" s="342"/>
      <c r="T3618" s="342"/>
      <c r="U3618" s="342"/>
      <c r="V3618" s="340"/>
      <c r="W3618" s="340"/>
    </row>
    <row r="3619" spans="2:23" ht="24" customHeight="1">
      <c r="B3619" s="67"/>
      <c r="I3619" s="3" t="s">
        <v>59</v>
      </c>
      <c r="J3619" s="345">
        <v>8</v>
      </c>
      <c r="K3619" s="703">
        <v>285.67</v>
      </c>
      <c r="L3619" s="342">
        <v>1</v>
      </c>
      <c r="M3619" s="342">
        <v>20.002700000000001</v>
      </c>
      <c r="N3619" s="340">
        <v>5714.1713090000003</v>
      </c>
      <c r="O3619" s="703">
        <v>366.8</v>
      </c>
      <c r="P3619" s="342">
        <v>1</v>
      </c>
      <c r="Q3619" s="363">
        <v>19.59</v>
      </c>
      <c r="R3619" s="340">
        <v>7185.6120000000001</v>
      </c>
      <c r="S3619" s="342">
        <v>122.044</v>
      </c>
      <c r="T3619" s="342">
        <v>123.803</v>
      </c>
      <c r="U3619" s="342">
        <v>1.0144</v>
      </c>
      <c r="V3619" s="340">
        <v>7289.0848127999998</v>
      </c>
      <c r="W3619" s="340">
        <v>-1574.9135037999995</v>
      </c>
    </row>
    <row r="3620" spans="2:23" ht="24" customHeight="1">
      <c r="J3620" s="345"/>
      <c r="K3620" s="703"/>
      <c r="L3620" s="342"/>
      <c r="M3620" s="342"/>
      <c r="N3620" s="340"/>
      <c r="O3620" s="703"/>
      <c r="P3620" s="342"/>
      <c r="Q3620" s="363"/>
      <c r="R3620" s="340"/>
      <c r="S3620" s="342"/>
      <c r="T3620" s="342"/>
      <c r="U3620" s="342"/>
      <c r="V3620" s="340"/>
      <c r="W3620" s="340"/>
    </row>
    <row r="3621" spans="2:23" ht="24" customHeight="1">
      <c r="B3621" s="67"/>
      <c r="H3621" s="347">
        <v>44790</v>
      </c>
      <c r="I3621" s="347"/>
      <c r="J3621" s="345"/>
      <c r="K3621" s="703"/>
      <c r="L3621" s="342"/>
      <c r="M3621" s="342"/>
      <c r="N3621" s="340"/>
      <c r="O3621" s="703"/>
      <c r="P3621" s="342"/>
      <c r="Q3621" s="363"/>
      <c r="R3621" s="340"/>
      <c r="S3621" s="342"/>
      <c r="T3621" s="342"/>
      <c r="U3621" s="342"/>
      <c r="V3621" s="340"/>
      <c r="W3621" s="340"/>
    </row>
    <row r="3622" spans="2:23" ht="24" customHeight="1">
      <c r="B3622" s="67"/>
      <c r="I3622" s="3" t="s">
        <v>59</v>
      </c>
      <c r="J3622" s="345">
        <v>250</v>
      </c>
      <c r="K3622" s="703">
        <v>8927.2999999999993</v>
      </c>
      <c r="L3622" s="342">
        <v>1</v>
      </c>
      <c r="M3622" s="342">
        <v>20.002700000000001</v>
      </c>
      <c r="N3622" s="340">
        <v>178570.10371</v>
      </c>
      <c r="O3622" s="703">
        <v>11776.25</v>
      </c>
      <c r="P3622" s="342">
        <v>1</v>
      </c>
      <c r="Q3622" s="363">
        <v>19.861799999999999</v>
      </c>
      <c r="R3622" s="340">
        <v>233897.52224999998</v>
      </c>
      <c r="S3622" s="342">
        <v>123.803</v>
      </c>
      <c r="T3622" s="342">
        <v>123.803</v>
      </c>
      <c r="U3622" s="342">
        <v>1</v>
      </c>
      <c r="V3622" s="340">
        <v>233897.52224999998</v>
      </c>
      <c r="W3622" s="340">
        <v>-55327.418539999984</v>
      </c>
    </row>
    <row r="3623" spans="2:23" ht="24" customHeight="1">
      <c r="J3623" s="345"/>
      <c r="K3623" s="703"/>
      <c r="L3623" s="342"/>
      <c r="M3623" s="342"/>
      <c r="N3623" s="340"/>
      <c r="O3623" s="703"/>
      <c r="P3623" s="342"/>
      <c r="Q3623" s="363"/>
      <c r="R3623" s="340"/>
      <c r="S3623" s="342"/>
      <c r="T3623" s="342"/>
      <c r="U3623" s="342"/>
      <c r="V3623" s="340"/>
      <c r="W3623" s="340"/>
    </row>
    <row r="3624" spans="2:23" ht="24" customHeight="1">
      <c r="B3624" s="67"/>
      <c r="F3624" s="346">
        <v>44830</v>
      </c>
      <c r="G3624" s="346"/>
      <c r="H3624" s="346"/>
      <c r="I3624" s="346"/>
      <c r="J3624" s="345"/>
      <c r="K3624" s="703"/>
      <c r="L3624" s="342"/>
      <c r="M3624" s="342"/>
      <c r="N3624" s="340"/>
      <c r="O3624" s="703"/>
      <c r="P3624" s="342"/>
      <c r="Q3624" s="363"/>
      <c r="R3624" s="340"/>
      <c r="S3624" s="342"/>
      <c r="T3624" s="342"/>
      <c r="U3624" s="342"/>
      <c r="V3624" s="340"/>
      <c r="W3624" s="340"/>
    </row>
    <row r="3625" spans="2:23" ht="24" customHeight="1">
      <c r="B3625" s="67"/>
      <c r="G3625" s="3" t="s">
        <v>59</v>
      </c>
      <c r="H3625" s="3"/>
      <c r="I3625" s="3"/>
      <c r="J3625" s="345"/>
      <c r="K3625" s="703"/>
      <c r="L3625" s="342"/>
      <c r="M3625" s="342"/>
      <c r="N3625" s="340"/>
      <c r="O3625" s="703"/>
      <c r="P3625" s="342"/>
      <c r="Q3625" s="363"/>
      <c r="R3625" s="340"/>
      <c r="S3625" s="342"/>
      <c r="T3625" s="342"/>
      <c r="U3625" s="342"/>
      <c r="V3625" s="340"/>
      <c r="W3625" s="340"/>
    </row>
    <row r="3626" spans="2:23" ht="24" customHeight="1">
      <c r="B3626" s="67"/>
      <c r="H3626" s="347">
        <v>44790</v>
      </c>
      <c r="I3626" s="347"/>
      <c r="J3626" s="345"/>
      <c r="K3626" s="703"/>
      <c r="L3626" s="342"/>
      <c r="M3626" s="342"/>
      <c r="N3626" s="340"/>
      <c r="O3626" s="703"/>
      <c r="P3626" s="342"/>
      <c r="Q3626" s="363"/>
      <c r="R3626" s="340"/>
      <c r="S3626" s="342"/>
      <c r="T3626" s="342"/>
      <c r="U3626" s="342"/>
      <c r="V3626" s="340"/>
      <c r="W3626" s="340"/>
    </row>
    <row r="3627" spans="2:23" ht="24" customHeight="1">
      <c r="B3627" s="67"/>
      <c r="I3627" s="3" t="s">
        <v>59</v>
      </c>
      <c r="J3627" s="345">
        <v>188</v>
      </c>
      <c r="K3627" s="703">
        <v>6651.27</v>
      </c>
      <c r="L3627" s="342">
        <v>1</v>
      </c>
      <c r="M3627" s="342">
        <v>19.960799999999999</v>
      </c>
      <c r="N3627" s="340">
        <v>132764.670216</v>
      </c>
      <c r="O3627" s="703">
        <v>8855.74</v>
      </c>
      <c r="P3627" s="342">
        <v>1</v>
      </c>
      <c r="Q3627" s="363">
        <v>19.861799999999999</v>
      </c>
      <c r="R3627" s="340">
        <v>175890.93673199997</v>
      </c>
      <c r="S3627" s="342">
        <v>123.803</v>
      </c>
      <c r="T3627" s="342">
        <v>123.803</v>
      </c>
      <c r="U3627" s="342">
        <v>1</v>
      </c>
      <c r="V3627" s="340">
        <v>175890.93673199997</v>
      </c>
      <c r="W3627" s="340">
        <v>-43126.266515999974</v>
      </c>
    </row>
    <row r="3628" spans="2:23" ht="24" customHeight="1">
      <c r="J3628" s="345"/>
      <c r="K3628" s="703"/>
      <c r="L3628" s="342"/>
      <c r="M3628" s="342"/>
      <c r="N3628" s="340"/>
      <c r="O3628" s="703"/>
      <c r="P3628" s="342"/>
      <c r="Q3628" s="363"/>
      <c r="R3628" s="340"/>
      <c r="S3628" s="342"/>
      <c r="T3628" s="342"/>
      <c r="U3628" s="342"/>
      <c r="V3628" s="340"/>
      <c r="W3628" s="340"/>
    </row>
    <row r="3629" spans="2:23" ht="24" customHeight="1">
      <c r="B3629" s="67"/>
      <c r="E3629" s="131" t="s">
        <v>1229</v>
      </c>
      <c r="F3629" s="131"/>
      <c r="G3629" s="131"/>
      <c r="H3629" s="131"/>
      <c r="I3629" s="131"/>
      <c r="J3629" s="704">
        <v>1711</v>
      </c>
      <c r="K3629" s="705">
        <v>63863.460000000006</v>
      </c>
      <c r="L3629" s="369">
        <v>1</v>
      </c>
      <c r="M3629" s="377">
        <v>20.013258333333333</v>
      </c>
      <c r="N3629" s="706">
        <v>1277634.0209639999</v>
      </c>
      <c r="O3629" s="705">
        <v>97389.250000000015</v>
      </c>
      <c r="P3629" s="369">
        <v>1</v>
      </c>
      <c r="Q3629" s="377">
        <v>20.758424999999999</v>
      </c>
      <c r="R3629" s="706">
        <v>2029733.8207289998</v>
      </c>
      <c r="S3629" s="369">
        <v>115.82583333333332</v>
      </c>
      <c r="T3629" s="369">
        <v>123.80299999999995</v>
      </c>
      <c r="U3629" s="369">
        <v>1.0730083333333333</v>
      </c>
      <c r="V3629" s="706">
        <v>2195033.632700176</v>
      </c>
      <c r="W3629" s="706">
        <v>-917399.61173617654</v>
      </c>
    </row>
    <row r="3630" spans="2:23" ht="24" customHeight="1">
      <c r="J3630" s="345"/>
      <c r="K3630" s="703"/>
      <c r="L3630" s="342"/>
      <c r="M3630" s="342"/>
      <c r="N3630" s="340"/>
      <c r="O3630" s="703"/>
      <c r="P3630" s="342"/>
      <c r="Q3630" s="363"/>
      <c r="R3630" s="340"/>
      <c r="S3630" s="342"/>
      <c r="T3630" s="342"/>
      <c r="U3630" s="342"/>
      <c r="V3630" s="340"/>
      <c r="W3630" s="340"/>
    </row>
    <row r="3631" spans="2:23" ht="24" customHeight="1">
      <c r="B3631" s="67"/>
      <c r="E3631" s="1" t="s">
        <v>982</v>
      </c>
      <c r="J3631" s="345"/>
      <c r="K3631" s="703"/>
      <c r="L3631" s="342"/>
      <c r="M3631" s="342"/>
      <c r="N3631" s="340"/>
      <c r="O3631" s="703"/>
      <c r="P3631" s="342"/>
      <c r="Q3631" s="363"/>
      <c r="R3631" s="340"/>
      <c r="S3631" s="342"/>
      <c r="T3631" s="342"/>
      <c r="U3631" s="342"/>
      <c r="V3631" s="340"/>
      <c r="W3631" s="340"/>
    </row>
    <row r="3632" spans="2:23" ht="24" customHeight="1">
      <c r="B3632" s="67"/>
      <c r="F3632" s="346">
        <v>44790</v>
      </c>
      <c r="G3632" s="346"/>
      <c r="H3632" s="346"/>
      <c r="I3632" s="346"/>
      <c r="J3632" s="345"/>
      <c r="K3632" s="703"/>
      <c r="L3632" s="342"/>
      <c r="M3632" s="342"/>
      <c r="N3632" s="340"/>
      <c r="O3632" s="703"/>
      <c r="P3632" s="342"/>
      <c r="Q3632" s="363"/>
      <c r="R3632" s="340"/>
      <c r="S3632" s="342"/>
      <c r="T3632" s="342"/>
      <c r="U3632" s="342"/>
      <c r="V3632" s="340"/>
      <c r="W3632" s="340"/>
    </row>
    <row r="3633" spans="2:23" ht="24" customHeight="1">
      <c r="B3633" s="67"/>
      <c r="G3633" s="3" t="s">
        <v>59</v>
      </c>
      <c r="H3633" s="3"/>
      <c r="I3633" s="3"/>
      <c r="J3633" s="345"/>
      <c r="K3633" s="703"/>
      <c r="L3633" s="342"/>
      <c r="M3633" s="342"/>
      <c r="N3633" s="340"/>
      <c r="O3633" s="703"/>
      <c r="P3633" s="342"/>
      <c r="Q3633" s="363"/>
      <c r="R3633" s="340"/>
      <c r="S3633" s="342"/>
      <c r="T3633" s="342"/>
      <c r="U3633" s="342"/>
      <c r="V3633" s="340"/>
      <c r="W3633" s="340"/>
    </row>
    <row r="3634" spans="2:23" ht="24" customHeight="1">
      <c r="B3634" s="67"/>
      <c r="H3634" s="347">
        <v>43315</v>
      </c>
      <c r="I3634" s="347"/>
      <c r="J3634" s="345"/>
      <c r="K3634" s="703"/>
      <c r="L3634" s="342"/>
      <c r="M3634" s="342"/>
      <c r="N3634" s="340"/>
      <c r="O3634" s="703"/>
      <c r="P3634" s="342"/>
      <c r="Q3634" s="363"/>
      <c r="R3634" s="340"/>
      <c r="S3634" s="342"/>
      <c r="T3634" s="342"/>
      <c r="U3634" s="342"/>
      <c r="V3634" s="340"/>
      <c r="W3634" s="340"/>
    </row>
    <row r="3635" spans="2:23" ht="24" customHeight="1">
      <c r="B3635" s="67"/>
      <c r="I3635" s="3" t="s">
        <v>59</v>
      </c>
      <c r="J3635" s="345">
        <v>71</v>
      </c>
      <c r="K3635" s="703">
        <v>15250.81</v>
      </c>
      <c r="L3635" s="342">
        <v>1</v>
      </c>
      <c r="M3635" s="342">
        <v>19.861799999999999</v>
      </c>
      <c r="N3635" s="340">
        <v>302908.53805799998</v>
      </c>
      <c r="O3635" s="703">
        <v>9857.99</v>
      </c>
      <c r="P3635" s="342">
        <v>1</v>
      </c>
      <c r="Q3635" s="363">
        <v>18.5899</v>
      </c>
      <c r="R3635" s="340">
        <v>183259.048301</v>
      </c>
      <c r="S3635" s="342">
        <v>100.492</v>
      </c>
      <c r="T3635" s="342">
        <v>122.94799999999999</v>
      </c>
      <c r="U3635" s="342">
        <v>1.2234</v>
      </c>
      <c r="V3635" s="340">
        <v>224199.1196914434</v>
      </c>
      <c r="W3635" s="340">
        <v>78709.41836655658</v>
      </c>
    </row>
    <row r="3636" spans="2:23" ht="24" customHeight="1">
      <c r="J3636" s="345"/>
      <c r="K3636" s="703"/>
      <c r="L3636" s="342"/>
      <c r="M3636" s="342"/>
      <c r="N3636" s="340"/>
      <c r="O3636" s="703"/>
      <c r="P3636" s="342"/>
      <c r="Q3636" s="363"/>
      <c r="R3636" s="340"/>
      <c r="S3636" s="342"/>
      <c r="T3636" s="342"/>
      <c r="U3636" s="342"/>
      <c r="V3636" s="340"/>
      <c r="W3636" s="340"/>
    </row>
    <row r="3637" spans="2:23" ht="24" customHeight="1">
      <c r="B3637" s="67"/>
      <c r="E3637" s="131" t="s">
        <v>1230</v>
      </c>
      <c r="F3637" s="131"/>
      <c r="G3637" s="131"/>
      <c r="H3637" s="131"/>
      <c r="I3637" s="131"/>
      <c r="J3637" s="704">
        <v>71</v>
      </c>
      <c r="K3637" s="705">
        <v>15250.81</v>
      </c>
      <c r="L3637" s="369">
        <v>1</v>
      </c>
      <c r="M3637" s="377">
        <v>19.861799999999999</v>
      </c>
      <c r="N3637" s="706">
        <v>302908.53805799998</v>
      </c>
      <c r="O3637" s="705">
        <v>9857.99</v>
      </c>
      <c r="P3637" s="369">
        <v>1</v>
      </c>
      <c r="Q3637" s="377">
        <v>18.5899</v>
      </c>
      <c r="R3637" s="706">
        <v>183259.048301</v>
      </c>
      <c r="S3637" s="369">
        <v>100.492</v>
      </c>
      <c r="T3637" s="369">
        <v>122.94799999999999</v>
      </c>
      <c r="U3637" s="369">
        <v>1.2234</v>
      </c>
      <c r="V3637" s="706">
        <v>224199.1196914434</v>
      </c>
      <c r="W3637" s="706">
        <v>78709.41836655658</v>
      </c>
    </row>
    <row r="3638" spans="2:23" ht="24" customHeight="1">
      <c r="J3638" s="345"/>
      <c r="K3638" s="703"/>
      <c r="L3638" s="342"/>
      <c r="M3638" s="342"/>
      <c r="N3638" s="340"/>
      <c r="O3638" s="703"/>
      <c r="P3638" s="342"/>
      <c r="Q3638" s="363"/>
      <c r="R3638" s="340"/>
      <c r="S3638" s="342"/>
      <c r="T3638" s="342"/>
      <c r="U3638" s="342"/>
      <c r="V3638" s="340"/>
      <c r="W3638" s="340"/>
    </row>
    <row r="3639" spans="2:23" ht="24" customHeight="1">
      <c r="B3639" s="67"/>
      <c r="D3639" s="364" t="s">
        <v>1267</v>
      </c>
      <c r="E3639" s="364"/>
      <c r="F3639" s="364"/>
      <c r="G3639" s="364"/>
      <c r="H3639" s="364"/>
      <c r="I3639" s="364"/>
      <c r="J3639" s="707">
        <v>19057.073999999997</v>
      </c>
      <c r="K3639" s="708">
        <v>2054806.130000002</v>
      </c>
      <c r="L3639" s="370">
        <v>1</v>
      </c>
      <c r="M3639" s="370">
        <v>20.119151339285729</v>
      </c>
      <c r="N3639" s="709">
        <v>41397218.206510998</v>
      </c>
      <c r="O3639" s="708">
        <v>1753745.0499999996</v>
      </c>
      <c r="P3639" s="370">
        <v>1</v>
      </c>
      <c r="Q3639" s="376">
        <v>20.424472321428574</v>
      </c>
      <c r="R3639" s="709">
        <v>35743590.54419598</v>
      </c>
      <c r="S3639" s="370">
        <v>109.37587730193744</v>
      </c>
      <c r="T3639" s="370">
        <v>121.85823214285735</v>
      </c>
      <c r="U3639" s="370">
        <v>1.1195468750000004</v>
      </c>
      <c r="V3639" s="709">
        <v>39952947.691492006</v>
      </c>
      <c r="W3639" s="709">
        <v>1444270.5150189956</v>
      </c>
    </row>
    <row r="3640" spans="2:23" ht="24" customHeight="1">
      <c r="J3640" s="345"/>
      <c r="K3640" s="703"/>
      <c r="L3640" s="342"/>
      <c r="M3640" s="342"/>
      <c r="N3640" s="340"/>
      <c r="O3640" s="703"/>
      <c r="P3640" s="342"/>
      <c r="Q3640" s="363"/>
      <c r="R3640" s="340"/>
      <c r="S3640" s="342"/>
      <c r="T3640" s="342"/>
      <c r="U3640" s="342"/>
      <c r="V3640" s="340"/>
      <c r="W3640" s="340"/>
    </row>
    <row r="3641" spans="2:23" ht="24" customHeight="1">
      <c r="B3641" s="67"/>
      <c r="D3641" s="1" t="s">
        <v>1263</v>
      </c>
      <c r="J3641" s="345"/>
      <c r="K3641" s="703"/>
      <c r="L3641" s="342"/>
      <c r="M3641" s="342"/>
      <c r="N3641" s="340"/>
      <c r="O3641" s="703"/>
      <c r="P3641" s="342"/>
      <c r="Q3641" s="363"/>
      <c r="R3641" s="340"/>
      <c r="S3641" s="342"/>
      <c r="T3641" s="342"/>
      <c r="U3641" s="342"/>
      <c r="V3641" s="340"/>
      <c r="W3641" s="340"/>
    </row>
    <row r="3642" spans="2:23" ht="24" customHeight="1">
      <c r="B3642" s="67"/>
      <c r="E3642" s="1" t="s">
        <v>825</v>
      </c>
      <c r="J3642" s="345"/>
      <c r="K3642" s="703"/>
      <c r="L3642" s="342"/>
      <c r="M3642" s="342"/>
      <c r="N3642" s="340"/>
      <c r="O3642" s="703"/>
      <c r="P3642" s="342"/>
      <c r="Q3642" s="363"/>
      <c r="R3642" s="340"/>
      <c r="S3642" s="342"/>
      <c r="T3642" s="342"/>
      <c r="U3642" s="342"/>
      <c r="V3642" s="340"/>
      <c r="W3642" s="340"/>
    </row>
    <row r="3643" spans="2:23" ht="24" customHeight="1">
      <c r="B3643" s="67"/>
      <c r="F3643" s="346">
        <v>44712</v>
      </c>
      <c r="G3643" s="346"/>
      <c r="H3643" s="346"/>
      <c r="I3643" s="346"/>
      <c r="J3643" s="345"/>
      <c r="K3643" s="703"/>
      <c r="L3643" s="342"/>
      <c r="M3643" s="342"/>
      <c r="N3643" s="340"/>
      <c r="O3643" s="703"/>
      <c r="P3643" s="342"/>
      <c r="Q3643" s="363"/>
      <c r="R3643" s="340"/>
      <c r="S3643" s="342"/>
      <c r="T3643" s="342"/>
      <c r="U3643" s="342"/>
      <c r="V3643" s="340"/>
      <c r="W3643" s="340"/>
    </row>
    <row r="3644" spans="2:23" ht="24" customHeight="1">
      <c r="B3644" s="67"/>
      <c r="G3644" s="3" t="s">
        <v>59</v>
      </c>
      <c r="H3644" s="3"/>
      <c r="I3644" s="3"/>
      <c r="J3644" s="345"/>
      <c r="K3644" s="703"/>
      <c r="L3644" s="342"/>
      <c r="M3644" s="342"/>
      <c r="N3644" s="340"/>
      <c r="O3644" s="703"/>
      <c r="P3644" s="342"/>
      <c r="Q3644" s="363"/>
      <c r="R3644" s="340"/>
      <c r="S3644" s="342"/>
      <c r="T3644" s="342"/>
      <c r="U3644" s="342"/>
      <c r="V3644" s="340"/>
      <c r="W3644" s="340"/>
    </row>
    <row r="3645" spans="2:23" ht="24" customHeight="1">
      <c r="B3645" s="67"/>
      <c r="H3645" s="347">
        <v>43970</v>
      </c>
      <c r="I3645" s="347"/>
      <c r="J3645" s="345"/>
      <c r="K3645" s="703"/>
      <c r="L3645" s="342"/>
      <c r="M3645" s="342"/>
      <c r="N3645" s="340"/>
      <c r="O3645" s="703"/>
      <c r="P3645" s="342"/>
      <c r="Q3645" s="363"/>
      <c r="R3645" s="340"/>
      <c r="S3645" s="342"/>
      <c r="T3645" s="342"/>
      <c r="U3645" s="342"/>
      <c r="V3645" s="340"/>
      <c r="W3645" s="340"/>
    </row>
    <row r="3646" spans="2:23" ht="24" customHeight="1">
      <c r="B3646" s="67"/>
      <c r="I3646" s="3" t="s">
        <v>59</v>
      </c>
      <c r="J3646" s="345">
        <v>10000</v>
      </c>
      <c r="K3646" s="703">
        <v>566761.02</v>
      </c>
      <c r="L3646" s="342">
        <v>1</v>
      </c>
      <c r="M3646" s="342">
        <v>19.596499999999999</v>
      </c>
      <c r="N3646" s="340">
        <v>11106532.328429999</v>
      </c>
      <c r="O3646" s="703">
        <v>409762</v>
      </c>
      <c r="P3646" s="342">
        <v>1</v>
      </c>
      <c r="Q3646" s="363">
        <v>23.957999999999998</v>
      </c>
      <c r="R3646" s="340">
        <v>9817077.9959999993</v>
      </c>
      <c r="S3646" s="342">
        <v>106.16200000000001</v>
      </c>
      <c r="T3646" s="342">
        <v>120.809</v>
      </c>
      <c r="U3646" s="342">
        <v>1.1378999999999999</v>
      </c>
      <c r="V3646" s="340">
        <v>11170853.051648399</v>
      </c>
      <c r="W3646" s="340">
        <v>-64320.723218400031</v>
      </c>
    </row>
    <row r="3647" spans="2:23" ht="24" customHeight="1">
      <c r="J3647" s="345"/>
      <c r="K3647" s="703"/>
      <c r="L3647" s="342"/>
      <c r="M3647" s="342"/>
      <c r="N3647" s="340"/>
      <c r="O3647" s="703"/>
      <c r="P3647" s="342"/>
      <c r="Q3647" s="363"/>
      <c r="R3647" s="340"/>
      <c r="S3647" s="342"/>
      <c r="T3647" s="342"/>
      <c r="U3647" s="342"/>
      <c r="V3647" s="340"/>
      <c r="W3647" s="340"/>
    </row>
    <row r="3648" spans="2:23" ht="24" customHeight="1">
      <c r="B3648" s="67"/>
      <c r="H3648" s="347">
        <v>44410</v>
      </c>
      <c r="I3648" s="347"/>
      <c r="J3648" s="345"/>
      <c r="K3648" s="703"/>
      <c r="L3648" s="342"/>
      <c r="M3648" s="342"/>
      <c r="N3648" s="340"/>
      <c r="O3648" s="703"/>
      <c r="P3648" s="342"/>
      <c r="Q3648" s="363"/>
      <c r="R3648" s="340"/>
      <c r="S3648" s="342"/>
      <c r="T3648" s="342"/>
      <c r="U3648" s="342"/>
      <c r="V3648" s="340"/>
      <c r="W3648" s="340"/>
    </row>
    <row r="3649" spans="2:23" ht="24" customHeight="1">
      <c r="B3649" s="67"/>
      <c r="I3649" s="3" t="s">
        <v>59</v>
      </c>
      <c r="J3649" s="345">
        <v>3550</v>
      </c>
      <c r="K3649" s="703">
        <v>201200.16</v>
      </c>
      <c r="L3649" s="342">
        <v>1</v>
      </c>
      <c r="M3649" s="342">
        <v>19.596499999999999</v>
      </c>
      <c r="N3649" s="340">
        <v>3942818.9354399997</v>
      </c>
      <c r="O3649" s="703">
        <v>224542.83</v>
      </c>
      <c r="P3649" s="342">
        <v>1</v>
      </c>
      <c r="Q3649" s="363">
        <v>19.844799999999999</v>
      </c>
      <c r="R3649" s="340">
        <v>4456007.5527839996</v>
      </c>
      <c r="S3649" s="342">
        <v>113.899</v>
      </c>
      <c r="T3649" s="342">
        <v>120.809</v>
      </c>
      <c r="U3649" s="342">
        <v>1.0606</v>
      </c>
      <c r="V3649" s="340">
        <v>4726041.6104827095</v>
      </c>
      <c r="W3649" s="340">
        <v>-783222.6750427098</v>
      </c>
    </row>
    <row r="3650" spans="2:23" ht="24" customHeight="1">
      <c r="J3650" s="345"/>
      <c r="K3650" s="703"/>
      <c r="L3650" s="342"/>
      <c r="M3650" s="342"/>
      <c r="N3650" s="340"/>
      <c r="O3650" s="703"/>
      <c r="P3650" s="342"/>
      <c r="Q3650" s="363"/>
      <c r="R3650" s="340"/>
      <c r="S3650" s="342"/>
      <c r="T3650" s="342"/>
      <c r="U3650" s="342"/>
      <c r="V3650" s="340"/>
      <c r="W3650" s="340"/>
    </row>
    <row r="3651" spans="2:23" ht="24" customHeight="1">
      <c r="B3651" s="67"/>
      <c r="E3651" s="131" t="s">
        <v>1231</v>
      </c>
      <c r="F3651" s="131"/>
      <c r="G3651" s="131"/>
      <c r="H3651" s="131"/>
      <c r="I3651" s="131"/>
      <c r="J3651" s="704">
        <v>13550</v>
      </c>
      <c r="K3651" s="705">
        <v>767961.18</v>
      </c>
      <c r="L3651" s="369">
        <v>1</v>
      </c>
      <c r="M3651" s="377">
        <v>19.596499999999999</v>
      </c>
      <c r="N3651" s="706">
        <v>15049351.263869999</v>
      </c>
      <c r="O3651" s="705">
        <v>634304.82999999996</v>
      </c>
      <c r="P3651" s="369">
        <v>1</v>
      </c>
      <c r="Q3651" s="377">
        <v>21.901399999999999</v>
      </c>
      <c r="R3651" s="706">
        <v>14273085.548783999</v>
      </c>
      <c r="S3651" s="369">
        <v>110.0305</v>
      </c>
      <c r="T3651" s="369">
        <v>120.809</v>
      </c>
      <c r="U3651" s="369">
        <v>1.0992500000000001</v>
      </c>
      <c r="V3651" s="706">
        <v>15896894.662131108</v>
      </c>
      <c r="W3651" s="706">
        <v>-847543.39826110983</v>
      </c>
    </row>
    <row r="3652" spans="2:23" ht="24" customHeight="1">
      <c r="J3652" s="345"/>
      <c r="K3652" s="703"/>
      <c r="L3652" s="342"/>
      <c r="M3652" s="342"/>
      <c r="N3652" s="340"/>
      <c r="O3652" s="703"/>
      <c r="P3652" s="342"/>
      <c r="Q3652" s="363"/>
      <c r="R3652" s="340"/>
      <c r="S3652" s="342"/>
      <c r="T3652" s="342"/>
      <c r="U3652" s="342"/>
      <c r="V3652" s="340"/>
      <c r="W3652" s="340"/>
    </row>
    <row r="3653" spans="2:23" ht="24" customHeight="1">
      <c r="B3653" s="67"/>
      <c r="E3653" s="1" t="s">
        <v>793</v>
      </c>
      <c r="J3653" s="345"/>
      <c r="K3653" s="703"/>
      <c r="L3653" s="342"/>
      <c r="M3653" s="342"/>
      <c r="N3653" s="340"/>
      <c r="O3653" s="703"/>
      <c r="P3653" s="342"/>
      <c r="Q3653" s="363"/>
      <c r="R3653" s="340"/>
      <c r="S3653" s="342"/>
      <c r="T3653" s="342"/>
      <c r="U3653" s="342"/>
      <c r="V3653" s="340"/>
      <c r="W3653" s="340"/>
    </row>
    <row r="3654" spans="2:23" ht="24" customHeight="1">
      <c r="B3654" s="67"/>
      <c r="F3654" s="346">
        <v>44692</v>
      </c>
      <c r="G3654" s="346"/>
      <c r="H3654" s="346"/>
      <c r="I3654" s="346"/>
      <c r="J3654" s="345"/>
      <c r="K3654" s="703"/>
      <c r="L3654" s="342"/>
      <c r="M3654" s="342"/>
      <c r="N3654" s="340"/>
      <c r="O3654" s="703"/>
      <c r="P3654" s="342"/>
      <c r="Q3654" s="363"/>
      <c r="R3654" s="340"/>
      <c r="S3654" s="342"/>
      <c r="T3654" s="342"/>
      <c r="U3654" s="342"/>
      <c r="V3654" s="340"/>
      <c r="W3654" s="340"/>
    </row>
    <row r="3655" spans="2:23" ht="24" customHeight="1">
      <c r="B3655" s="67"/>
      <c r="G3655" s="3" t="s">
        <v>59</v>
      </c>
      <c r="H3655" s="3"/>
      <c r="I3655" s="3"/>
      <c r="J3655" s="345"/>
      <c r="K3655" s="703"/>
      <c r="L3655" s="342"/>
      <c r="M3655" s="342"/>
      <c r="N3655" s="340"/>
      <c r="O3655" s="703"/>
      <c r="P3655" s="342"/>
      <c r="Q3655" s="363"/>
      <c r="R3655" s="340"/>
      <c r="S3655" s="342"/>
      <c r="T3655" s="342"/>
      <c r="U3655" s="342"/>
      <c r="V3655" s="340"/>
      <c r="W3655" s="340"/>
    </row>
    <row r="3656" spans="2:23" ht="24" customHeight="1">
      <c r="B3656" s="67"/>
      <c r="H3656" s="347">
        <v>44455</v>
      </c>
      <c r="I3656" s="347"/>
      <c r="J3656" s="345"/>
      <c r="K3656" s="703"/>
      <c r="L3656" s="342"/>
      <c r="M3656" s="342"/>
      <c r="N3656" s="340"/>
      <c r="O3656" s="703"/>
      <c r="P3656" s="342"/>
      <c r="Q3656" s="363"/>
      <c r="R3656" s="340"/>
      <c r="S3656" s="342"/>
      <c r="T3656" s="342"/>
      <c r="U3656" s="342"/>
      <c r="V3656" s="340"/>
      <c r="W3656" s="340"/>
    </row>
    <row r="3657" spans="2:23" ht="24" customHeight="1">
      <c r="B3657" s="67"/>
      <c r="I3657" s="3" t="s">
        <v>59</v>
      </c>
      <c r="J3657" s="345">
        <v>39850</v>
      </c>
      <c r="K3657" s="703">
        <v>1196115.56</v>
      </c>
      <c r="L3657" s="342">
        <v>1</v>
      </c>
      <c r="M3657" s="342">
        <v>20.3172</v>
      </c>
      <c r="N3657" s="340">
        <v>24301719.055631999</v>
      </c>
      <c r="O3657" s="703">
        <v>1246372.51</v>
      </c>
      <c r="P3657" s="342">
        <v>1</v>
      </c>
      <c r="Q3657" s="363">
        <v>19.903500000000001</v>
      </c>
      <c r="R3657" s="340">
        <v>24807175.252785001</v>
      </c>
      <c r="S3657" s="342">
        <v>114.601</v>
      </c>
      <c r="T3657" s="342">
        <v>120.809</v>
      </c>
      <c r="U3657" s="342">
        <v>1.0541</v>
      </c>
      <c r="V3657" s="340">
        <v>26149243.433960669</v>
      </c>
      <c r="W3657" s="340">
        <v>-1847524.3783286698</v>
      </c>
    </row>
    <row r="3658" spans="2:23" ht="24" customHeight="1">
      <c r="J3658" s="345"/>
      <c r="K3658" s="703"/>
      <c r="L3658" s="342"/>
      <c r="M3658" s="342"/>
      <c r="N3658" s="340"/>
      <c r="O3658" s="703"/>
      <c r="P3658" s="342"/>
      <c r="Q3658" s="363"/>
      <c r="R3658" s="340"/>
      <c r="S3658" s="342"/>
      <c r="T3658" s="342"/>
      <c r="U3658" s="342"/>
      <c r="V3658" s="340"/>
      <c r="W3658" s="340"/>
    </row>
    <row r="3659" spans="2:23" ht="24" customHeight="1">
      <c r="B3659" s="67"/>
      <c r="H3659" s="347">
        <v>44456</v>
      </c>
      <c r="I3659" s="347"/>
      <c r="J3659" s="345"/>
      <c r="K3659" s="703"/>
      <c r="L3659" s="342"/>
      <c r="M3659" s="342"/>
      <c r="N3659" s="340"/>
      <c r="O3659" s="703"/>
      <c r="P3659" s="342"/>
      <c r="Q3659" s="363"/>
      <c r="R3659" s="340"/>
      <c r="S3659" s="342"/>
      <c r="T3659" s="342"/>
      <c r="U3659" s="342"/>
      <c r="V3659" s="340"/>
      <c r="W3659" s="340"/>
    </row>
    <row r="3660" spans="2:23" ht="24" customHeight="1">
      <c r="B3660" s="67"/>
      <c r="I3660" s="3" t="s">
        <v>59</v>
      </c>
      <c r="J3660" s="345">
        <v>40150</v>
      </c>
      <c r="K3660" s="703">
        <v>1205120.19</v>
      </c>
      <c r="L3660" s="342">
        <v>1</v>
      </c>
      <c r="M3660" s="342">
        <v>20.3172</v>
      </c>
      <c r="N3660" s="340">
        <v>24484667.924268</v>
      </c>
      <c r="O3660" s="703">
        <v>1255426.26</v>
      </c>
      <c r="P3660" s="342">
        <v>1</v>
      </c>
      <c r="Q3660" s="363">
        <v>19.903500000000001</v>
      </c>
      <c r="R3660" s="340">
        <v>24987376.56591</v>
      </c>
      <c r="S3660" s="342">
        <v>114.601</v>
      </c>
      <c r="T3660" s="342">
        <v>120.809</v>
      </c>
      <c r="U3660" s="342">
        <v>1.0541</v>
      </c>
      <c r="V3660" s="340">
        <v>26339193.638125733</v>
      </c>
      <c r="W3660" s="340">
        <v>-1854525.7138577327</v>
      </c>
    </row>
    <row r="3661" spans="2:23" ht="24" customHeight="1">
      <c r="J3661" s="345"/>
      <c r="K3661" s="703"/>
      <c r="L3661" s="342"/>
      <c r="M3661" s="342"/>
      <c r="N3661" s="340"/>
      <c r="O3661" s="703"/>
      <c r="P3661" s="342"/>
      <c r="Q3661" s="363"/>
      <c r="R3661" s="340"/>
      <c r="S3661" s="342"/>
      <c r="T3661" s="342"/>
      <c r="U3661" s="342"/>
      <c r="V3661" s="340"/>
      <c r="W3661" s="340"/>
    </row>
    <row r="3662" spans="2:23" ht="24" customHeight="1">
      <c r="B3662" s="67"/>
      <c r="E3662" s="131" t="s">
        <v>1232</v>
      </c>
      <c r="F3662" s="131"/>
      <c r="G3662" s="131"/>
      <c r="H3662" s="131"/>
      <c r="I3662" s="131"/>
      <c r="J3662" s="704">
        <v>80000</v>
      </c>
      <c r="K3662" s="705">
        <v>2401235.75</v>
      </c>
      <c r="L3662" s="369">
        <v>1</v>
      </c>
      <c r="M3662" s="377">
        <v>20.3172</v>
      </c>
      <c r="N3662" s="706">
        <v>48786386.979900002</v>
      </c>
      <c r="O3662" s="705">
        <v>2501798.77</v>
      </c>
      <c r="P3662" s="369">
        <v>1</v>
      </c>
      <c r="Q3662" s="377">
        <v>19.903500000000001</v>
      </c>
      <c r="R3662" s="706">
        <v>49794551.818695001</v>
      </c>
      <c r="S3662" s="369">
        <v>114.601</v>
      </c>
      <c r="T3662" s="369">
        <v>120.809</v>
      </c>
      <c r="U3662" s="369">
        <v>1.0541</v>
      </c>
      <c r="V3662" s="706">
        <v>52488437.072086401</v>
      </c>
      <c r="W3662" s="706">
        <v>-3702050.0921864025</v>
      </c>
    </row>
    <row r="3663" spans="2:23" ht="24" customHeight="1">
      <c r="J3663" s="345"/>
      <c r="K3663" s="703"/>
      <c r="L3663" s="342"/>
      <c r="M3663" s="342"/>
      <c r="N3663" s="340"/>
      <c r="O3663" s="703"/>
      <c r="P3663" s="342"/>
      <c r="Q3663" s="363"/>
      <c r="R3663" s="340"/>
      <c r="S3663" s="342"/>
      <c r="T3663" s="342"/>
      <c r="U3663" s="342"/>
      <c r="V3663" s="340"/>
      <c r="W3663" s="340"/>
    </row>
    <row r="3664" spans="2:23" ht="24" customHeight="1">
      <c r="B3664" s="67"/>
      <c r="E3664" s="1" t="s">
        <v>957</v>
      </c>
      <c r="J3664" s="345"/>
      <c r="K3664" s="703"/>
      <c r="L3664" s="342"/>
      <c r="M3664" s="342"/>
      <c r="N3664" s="340"/>
      <c r="O3664" s="703"/>
      <c r="P3664" s="342"/>
      <c r="Q3664" s="363"/>
      <c r="R3664" s="340"/>
      <c r="S3664" s="342"/>
      <c r="T3664" s="342"/>
      <c r="U3664" s="342"/>
      <c r="V3664" s="340"/>
      <c r="W3664" s="340"/>
    </row>
    <row r="3665" spans="2:23" ht="24" customHeight="1">
      <c r="B3665" s="67"/>
      <c r="F3665" s="346">
        <v>44791</v>
      </c>
      <c r="G3665" s="346"/>
      <c r="H3665" s="346"/>
      <c r="I3665" s="346"/>
      <c r="J3665" s="345"/>
      <c r="K3665" s="703"/>
      <c r="L3665" s="342"/>
      <c r="M3665" s="342"/>
      <c r="N3665" s="340"/>
      <c r="O3665" s="703"/>
      <c r="P3665" s="342"/>
      <c r="Q3665" s="363"/>
      <c r="R3665" s="340"/>
      <c r="S3665" s="342"/>
      <c r="T3665" s="342"/>
      <c r="U3665" s="342"/>
      <c r="V3665" s="340"/>
      <c r="W3665" s="340"/>
    </row>
    <row r="3666" spans="2:23" ht="24" customHeight="1">
      <c r="B3666" s="67"/>
      <c r="G3666" s="3" t="s">
        <v>59</v>
      </c>
      <c r="H3666" s="3"/>
      <c r="I3666" s="3"/>
      <c r="J3666" s="345"/>
      <c r="K3666" s="703"/>
      <c r="L3666" s="342"/>
      <c r="M3666" s="342"/>
      <c r="N3666" s="340"/>
      <c r="O3666" s="703"/>
      <c r="P3666" s="342"/>
      <c r="Q3666" s="363"/>
      <c r="R3666" s="340"/>
      <c r="S3666" s="342"/>
      <c r="T3666" s="342"/>
      <c r="U3666" s="342"/>
      <c r="V3666" s="340"/>
      <c r="W3666" s="340"/>
    </row>
    <row r="3667" spans="2:23" ht="24" customHeight="1">
      <c r="B3667" s="67"/>
      <c r="H3667" s="347">
        <v>43970</v>
      </c>
      <c r="I3667" s="347"/>
      <c r="J3667" s="345"/>
      <c r="K3667" s="703"/>
      <c r="L3667" s="342"/>
      <c r="M3667" s="342"/>
      <c r="N3667" s="340"/>
      <c r="O3667" s="703"/>
      <c r="P3667" s="342"/>
      <c r="Q3667" s="363"/>
      <c r="R3667" s="340"/>
      <c r="S3667" s="342"/>
      <c r="T3667" s="342"/>
      <c r="U3667" s="342"/>
      <c r="V3667" s="340"/>
      <c r="W3667" s="340"/>
    </row>
    <row r="3668" spans="2:23" ht="24" customHeight="1">
      <c r="B3668" s="67"/>
      <c r="I3668" s="3" t="s">
        <v>59</v>
      </c>
      <c r="J3668" s="345">
        <v>865</v>
      </c>
      <c r="K3668" s="703">
        <v>145283.89000000001</v>
      </c>
      <c r="L3668" s="342">
        <v>1</v>
      </c>
      <c r="M3668" s="342">
        <v>19.930299999999999</v>
      </c>
      <c r="N3668" s="340">
        <v>2895551.512867</v>
      </c>
      <c r="O3668" s="703">
        <v>115372.58</v>
      </c>
      <c r="P3668" s="342">
        <v>1</v>
      </c>
      <c r="Q3668" s="363">
        <v>23.957999999999998</v>
      </c>
      <c r="R3668" s="340">
        <v>2764096.2716399999</v>
      </c>
      <c r="S3668" s="342">
        <v>106.16200000000001</v>
      </c>
      <c r="T3668" s="342">
        <v>122.94799999999999</v>
      </c>
      <c r="U3668" s="342">
        <v>1.1580999999999999</v>
      </c>
      <c r="V3668" s="340">
        <v>3201099.8921862836</v>
      </c>
      <c r="W3668" s="340">
        <v>-305548.37931928365</v>
      </c>
    </row>
    <row r="3669" spans="2:23" ht="24" customHeight="1">
      <c r="J3669" s="345"/>
      <c r="K3669" s="703"/>
      <c r="L3669" s="342"/>
      <c r="M3669" s="342"/>
      <c r="N3669" s="340"/>
      <c r="O3669" s="703"/>
      <c r="P3669" s="342"/>
      <c r="Q3669" s="363"/>
      <c r="R3669" s="340"/>
      <c r="S3669" s="342"/>
      <c r="T3669" s="342"/>
      <c r="U3669" s="342"/>
      <c r="V3669" s="340"/>
      <c r="W3669" s="340"/>
    </row>
    <row r="3670" spans="2:23" ht="24" customHeight="1">
      <c r="B3670" s="67"/>
      <c r="H3670" s="347">
        <v>43949</v>
      </c>
      <c r="I3670" s="347"/>
      <c r="J3670" s="345"/>
      <c r="K3670" s="703"/>
      <c r="L3670" s="342"/>
      <c r="M3670" s="342"/>
      <c r="N3670" s="340"/>
      <c r="O3670" s="703"/>
      <c r="P3670" s="342"/>
      <c r="Q3670" s="363"/>
      <c r="R3670" s="340"/>
      <c r="S3670" s="342"/>
      <c r="T3670" s="342"/>
      <c r="U3670" s="342"/>
      <c r="V3670" s="340"/>
      <c r="W3670" s="340"/>
    </row>
    <row r="3671" spans="2:23" ht="24" customHeight="1">
      <c r="B3671" s="67"/>
      <c r="I3671" s="3" t="s">
        <v>59</v>
      </c>
      <c r="J3671" s="345">
        <v>945</v>
      </c>
      <c r="K3671" s="703">
        <v>158720.54999999999</v>
      </c>
      <c r="L3671" s="342">
        <v>1</v>
      </c>
      <c r="M3671" s="342">
        <v>19.930299999999999</v>
      </c>
      <c r="N3671" s="340">
        <v>3163348.1776649994</v>
      </c>
      <c r="O3671" s="703">
        <v>126541.74</v>
      </c>
      <c r="P3671" s="342">
        <v>1</v>
      </c>
      <c r="Q3671" s="363">
        <v>24.8583</v>
      </c>
      <c r="R3671" s="340">
        <v>3145612.5354420003</v>
      </c>
      <c r="S3671" s="342">
        <v>105.755</v>
      </c>
      <c r="T3671" s="342">
        <v>122.94799999999999</v>
      </c>
      <c r="U3671" s="342">
        <v>1.1625000000000001</v>
      </c>
      <c r="V3671" s="340">
        <v>3656774.5724513256</v>
      </c>
      <c r="W3671" s="340">
        <v>-493426.39478632621</v>
      </c>
    </row>
    <row r="3672" spans="2:23" ht="24" customHeight="1">
      <c r="J3672" s="345"/>
      <c r="K3672" s="703"/>
      <c r="L3672" s="342"/>
      <c r="M3672" s="342"/>
      <c r="N3672" s="340"/>
      <c r="O3672" s="703"/>
      <c r="P3672" s="342"/>
      <c r="Q3672" s="363"/>
      <c r="R3672" s="340"/>
      <c r="S3672" s="342"/>
      <c r="T3672" s="342"/>
      <c r="U3672" s="342"/>
      <c r="V3672" s="340"/>
      <c r="W3672" s="340"/>
    </row>
    <row r="3673" spans="2:23" ht="24" customHeight="1">
      <c r="B3673" s="67"/>
      <c r="H3673" s="347">
        <v>44209</v>
      </c>
      <c r="I3673" s="347"/>
      <c r="J3673" s="345"/>
      <c r="K3673" s="703"/>
      <c r="L3673" s="342"/>
      <c r="M3673" s="342"/>
      <c r="N3673" s="340"/>
      <c r="O3673" s="703"/>
      <c r="P3673" s="342"/>
      <c r="Q3673" s="363"/>
      <c r="R3673" s="340"/>
      <c r="S3673" s="342"/>
      <c r="T3673" s="342"/>
      <c r="U3673" s="342"/>
      <c r="V3673" s="340"/>
      <c r="W3673" s="340"/>
    </row>
    <row r="3674" spans="2:23" ht="24" customHeight="1">
      <c r="B3674" s="67"/>
      <c r="I3674" s="3" t="s">
        <v>59</v>
      </c>
      <c r="J3674" s="345">
        <v>960</v>
      </c>
      <c r="K3674" s="703">
        <v>161239.92000000001</v>
      </c>
      <c r="L3674" s="342">
        <v>1</v>
      </c>
      <c r="M3674" s="342">
        <v>19.930299999999999</v>
      </c>
      <c r="N3674" s="340">
        <v>3213559.9775760002</v>
      </c>
      <c r="O3674" s="703">
        <v>199575.26</v>
      </c>
      <c r="P3674" s="342">
        <v>1</v>
      </c>
      <c r="Q3674" s="363">
        <v>20.113</v>
      </c>
      <c r="R3674" s="340">
        <v>4014057.20438</v>
      </c>
      <c r="S3674" s="342">
        <v>110.21</v>
      </c>
      <c r="T3674" s="342">
        <v>122.94799999999999</v>
      </c>
      <c r="U3674" s="342">
        <v>1.1154999999999999</v>
      </c>
      <c r="V3674" s="340">
        <v>4477680.8114858894</v>
      </c>
      <c r="W3674" s="340">
        <v>-1264120.8339098892</v>
      </c>
    </row>
    <row r="3675" spans="2:23" ht="24" customHeight="1">
      <c r="J3675" s="345"/>
      <c r="K3675" s="703"/>
      <c r="L3675" s="342"/>
      <c r="M3675" s="342"/>
      <c r="N3675" s="340"/>
      <c r="O3675" s="703"/>
      <c r="P3675" s="342"/>
      <c r="Q3675" s="363"/>
      <c r="R3675" s="340"/>
      <c r="S3675" s="342"/>
      <c r="T3675" s="342"/>
      <c r="U3675" s="342"/>
      <c r="V3675" s="340"/>
      <c r="W3675" s="340"/>
    </row>
    <row r="3676" spans="2:23" ht="24" customHeight="1">
      <c r="B3676" s="67"/>
      <c r="H3676" s="347">
        <v>44692</v>
      </c>
      <c r="I3676" s="347"/>
      <c r="J3676" s="345"/>
      <c r="K3676" s="703"/>
      <c r="L3676" s="342"/>
      <c r="M3676" s="342"/>
      <c r="N3676" s="340"/>
      <c r="O3676" s="703"/>
      <c r="P3676" s="342"/>
      <c r="Q3676" s="363"/>
      <c r="R3676" s="340"/>
      <c r="S3676" s="342"/>
      <c r="T3676" s="342"/>
      <c r="U3676" s="342"/>
      <c r="V3676" s="340"/>
      <c r="W3676" s="340"/>
    </row>
    <row r="3677" spans="2:23" ht="24" customHeight="1">
      <c r="B3677" s="67"/>
      <c r="I3677" s="3" t="s">
        <v>59</v>
      </c>
      <c r="J3677" s="345">
        <v>1500</v>
      </c>
      <c r="K3677" s="703">
        <v>251937.38</v>
      </c>
      <c r="L3677" s="342">
        <v>1</v>
      </c>
      <c r="M3677" s="342">
        <v>19.930299999999999</v>
      </c>
      <c r="N3677" s="340">
        <v>5021187.5646139998</v>
      </c>
      <c r="O3677" s="703">
        <v>203914.05</v>
      </c>
      <c r="P3677" s="342">
        <v>1</v>
      </c>
      <c r="Q3677" s="363">
        <v>20.3172</v>
      </c>
      <c r="R3677" s="340">
        <v>4142962.5366599998</v>
      </c>
      <c r="S3677" s="342">
        <v>121.02200000000001</v>
      </c>
      <c r="T3677" s="342">
        <v>122.94799999999999</v>
      </c>
      <c r="U3677" s="342">
        <v>1.0159</v>
      </c>
      <c r="V3677" s="340">
        <v>4208835.6409928938</v>
      </c>
      <c r="W3677" s="340">
        <v>812351.92362110596</v>
      </c>
    </row>
    <row r="3678" spans="2:23" ht="24" customHeight="1">
      <c r="J3678" s="345"/>
      <c r="K3678" s="703"/>
      <c r="L3678" s="342"/>
      <c r="M3678" s="342"/>
      <c r="N3678" s="340"/>
      <c r="O3678" s="703"/>
      <c r="P3678" s="342"/>
      <c r="Q3678" s="363"/>
      <c r="R3678" s="340"/>
      <c r="S3678" s="342"/>
      <c r="T3678" s="342"/>
      <c r="U3678" s="342"/>
      <c r="V3678" s="340"/>
      <c r="W3678" s="340"/>
    </row>
    <row r="3679" spans="2:23" ht="24" customHeight="1">
      <c r="B3679" s="67"/>
      <c r="E3679" s="131" t="s">
        <v>1233</v>
      </c>
      <c r="F3679" s="131"/>
      <c r="G3679" s="131"/>
      <c r="H3679" s="131"/>
      <c r="I3679" s="131"/>
      <c r="J3679" s="704">
        <v>4270</v>
      </c>
      <c r="K3679" s="705">
        <v>717181.74</v>
      </c>
      <c r="L3679" s="369">
        <v>1</v>
      </c>
      <c r="M3679" s="377">
        <v>19.930299999999999</v>
      </c>
      <c r="N3679" s="706">
        <v>14293647.232721999</v>
      </c>
      <c r="O3679" s="705">
        <v>645403.63</v>
      </c>
      <c r="P3679" s="369">
        <v>1</v>
      </c>
      <c r="Q3679" s="377">
        <v>22.311624999999999</v>
      </c>
      <c r="R3679" s="706">
        <v>14066728.548122</v>
      </c>
      <c r="S3679" s="369">
        <v>110.78725</v>
      </c>
      <c r="T3679" s="369">
        <v>122.94799999999999</v>
      </c>
      <c r="U3679" s="369">
        <v>1.113</v>
      </c>
      <c r="V3679" s="706">
        <v>15544390.917116392</v>
      </c>
      <c r="W3679" s="706">
        <v>-1250743.6843943931</v>
      </c>
    </row>
    <row r="3680" spans="2:23" ht="24" customHeight="1">
      <c r="J3680" s="345"/>
      <c r="K3680" s="703"/>
      <c r="L3680" s="342"/>
      <c r="M3680" s="342"/>
      <c r="N3680" s="340"/>
      <c r="O3680" s="703"/>
      <c r="P3680" s="342"/>
      <c r="Q3680" s="363"/>
      <c r="R3680" s="340"/>
      <c r="S3680" s="342"/>
      <c r="T3680" s="342"/>
      <c r="U3680" s="342"/>
      <c r="V3680" s="340"/>
      <c r="W3680" s="340"/>
    </row>
    <row r="3681" spans="2:23" ht="24" customHeight="1">
      <c r="B3681" s="67"/>
      <c r="E3681" s="1" t="s">
        <v>826</v>
      </c>
      <c r="J3681" s="345"/>
      <c r="K3681" s="703"/>
      <c r="L3681" s="342"/>
      <c r="M3681" s="342"/>
      <c r="N3681" s="340"/>
      <c r="O3681" s="703"/>
      <c r="P3681" s="342"/>
      <c r="Q3681" s="363"/>
      <c r="R3681" s="340"/>
      <c r="S3681" s="342"/>
      <c r="T3681" s="342"/>
      <c r="U3681" s="342"/>
      <c r="V3681" s="340"/>
      <c r="W3681" s="340"/>
    </row>
    <row r="3682" spans="2:23" ht="24" customHeight="1">
      <c r="B3682" s="67"/>
      <c r="F3682" s="346">
        <v>44712</v>
      </c>
      <c r="G3682" s="346"/>
      <c r="H3682" s="346"/>
      <c r="I3682" s="346"/>
      <c r="J3682" s="345"/>
      <c r="K3682" s="703"/>
      <c r="L3682" s="342"/>
      <c r="M3682" s="342"/>
      <c r="N3682" s="340"/>
      <c r="O3682" s="703"/>
      <c r="P3682" s="342"/>
      <c r="Q3682" s="363"/>
      <c r="R3682" s="340"/>
      <c r="S3682" s="342"/>
      <c r="T3682" s="342"/>
      <c r="U3682" s="342"/>
      <c r="V3682" s="340"/>
      <c r="W3682" s="340"/>
    </row>
    <row r="3683" spans="2:23" ht="24" customHeight="1">
      <c r="B3683" s="67"/>
      <c r="G3683" s="3" t="s">
        <v>59</v>
      </c>
      <c r="H3683" s="3"/>
      <c r="I3683" s="3"/>
      <c r="J3683" s="345"/>
      <c r="K3683" s="703"/>
      <c r="L3683" s="342"/>
      <c r="M3683" s="342"/>
      <c r="N3683" s="340"/>
      <c r="O3683" s="703"/>
      <c r="P3683" s="342"/>
      <c r="Q3683" s="363"/>
      <c r="R3683" s="340"/>
      <c r="S3683" s="342"/>
      <c r="T3683" s="342"/>
      <c r="U3683" s="342"/>
      <c r="V3683" s="340"/>
      <c r="W3683" s="340"/>
    </row>
    <row r="3684" spans="2:23" ht="24" customHeight="1">
      <c r="B3684" s="67"/>
      <c r="H3684" s="347">
        <v>44293</v>
      </c>
      <c r="I3684" s="347"/>
      <c r="J3684" s="345"/>
      <c r="K3684" s="703"/>
      <c r="L3684" s="342"/>
      <c r="M3684" s="342"/>
      <c r="N3684" s="340"/>
      <c r="O3684" s="703"/>
      <c r="P3684" s="342"/>
      <c r="Q3684" s="363"/>
      <c r="R3684" s="340"/>
      <c r="S3684" s="342"/>
      <c r="T3684" s="342"/>
      <c r="U3684" s="342"/>
      <c r="V3684" s="340"/>
      <c r="W3684" s="340"/>
    </row>
    <row r="3685" spans="2:23" ht="24" customHeight="1">
      <c r="B3685" s="67"/>
      <c r="I3685" s="3" t="s">
        <v>59</v>
      </c>
      <c r="J3685" s="345">
        <v>65500</v>
      </c>
      <c r="K3685" s="703">
        <v>657310.18999999994</v>
      </c>
      <c r="L3685" s="342">
        <v>1</v>
      </c>
      <c r="M3685" s="342">
        <v>19.596499999999999</v>
      </c>
      <c r="N3685" s="340">
        <v>12880979.138334999</v>
      </c>
      <c r="O3685" s="703">
        <v>575980.80000000005</v>
      </c>
      <c r="P3685" s="342">
        <v>1</v>
      </c>
      <c r="Q3685" s="363">
        <v>20.2483</v>
      </c>
      <c r="R3685" s="340">
        <v>11662632.032640001</v>
      </c>
      <c r="S3685" s="342">
        <v>112.19</v>
      </c>
      <c r="T3685" s="342">
        <v>120.809</v>
      </c>
      <c r="U3685" s="342">
        <v>1.0768</v>
      </c>
      <c r="V3685" s="340">
        <v>12558322.172746753</v>
      </c>
      <c r="W3685" s="340">
        <v>322656.96558824554</v>
      </c>
    </row>
    <row r="3686" spans="2:23" ht="24" customHeight="1">
      <c r="J3686" s="345"/>
      <c r="K3686" s="703"/>
      <c r="L3686" s="342"/>
      <c r="M3686" s="342"/>
      <c r="N3686" s="340"/>
      <c r="O3686" s="703"/>
      <c r="P3686" s="342"/>
      <c r="Q3686" s="363"/>
      <c r="R3686" s="340"/>
      <c r="S3686" s="342"/>
      <c r="T3686" s="342"/>
      <c r="U3686" s="342"/>
      <c r="V3686" s="340"/>
      <c r="W3686" s="340"/>
    </row>
    <row r="3687" spans="2:23" ht="24" customHeight="1">
      <c r="B3687" s="67"/>
      <c r="E3687" s="131" t="s">
        <v>1234</v>
      </c>
      <c r="F3687" s="131"/>
      <c r="G3687" s="131"/>
      <c r="H3687" s="131"/>
      <c r="I3687" s="131"/>
      <c r="J3687" s="704">
        <v>65500</v>
      </c>
      <c r="K3687" s="705">
        <v>657310.18999999994</v>
      </c>
      <c r="L3687" s="369">
        <v>1</v>
      </c>
      <c r="M3687" s="377">
        <v>19.596499999999999</v>
      </c>
      <c r="N3687" s="706">
        <v>12880979.138334999</v>
      </c>
      <c r="O3687" s="705">
        <v>575980.80000000005</v>
      </c>
      <c r="P3687" s="369">
        <v>1</v>
      </c>
      <c r="Q3687" s="377">
        <v>20.2483</v>
      </c>
      <c r="R3687" s="706">
        <v>11662632.032640001</v>
      </c>
      <c r="S3687" s="369">
        <v>112.19</v>
      </c>
      <c r="T3687" s="369">
        <v>120.809</v>
      </c>
      <c r="U3687" s="369">
        <v>1.0768</v>
      </c>
      <c r="V3687" s="706">
        <v>12558322.172746753</v>
      </c>
      <c r="W3687" s="706">
        <v>322656.96558824554</v>
      </c>
    </row>
    <row r="3688" spans="2:23" ht="24" customHeight="1">
      <c r="J3688" s="345"/>
      <c r="K3688" s="703"/>
      <c r="L3688" s="342"/>
      <c r="M3688" s="342"/>
      <c r="N3688" s="340"/>
      <c r="O3688" s="703"/>
      <c r="P3688" s="342"/>
      <c r="Q3688" s="363"/>
      <c r="R3688" s="340"/>
      <c r="S3688" s="342"/>
      <c r="T3688" s="342"/>
      <c r="U3688" s="342"/>
      <c r="V3688" s="340"/>
      <c r="W3688" s="340"/>
    </row>
    <row r="3689" spans="2:23" ht="24" customHeight="1">
      <c r="B3689" s="67"/>
      <c r="E3689" s="1" t="s">
        <v>827</v>
      </c>
      <c r="J3689" s="345"/>
      <c r="K3689" s="703"/>
      <c r="L3689" s="342"/>
      <c r="M3689" s="342"/>
      <c r="N3689" s="340"/>
      <c r="O3689" s="703"/>
      <c r="P3689" s="342"/>
      <c r="Q3689" s="363"/>
      <c r="R3689" s="340"/>
      <c r="S3689" s="342"/>
      <c r="T3689" s="342"/>
      <c r="U3689" s="342"/>
      <c r="V3689" s="340"/>
      <c r="W3689" s="340"/>
    </row>
    <row r="3690" spans="2:23" ht="24" customHeight="1">
      <c r="B3690" s="67"/>
      <c r="F3690" s="346">
        <v>44692</v>
      </c>
      <c r="G3690" s="346"/>
      <c r="H3690" s="346"/>
      <c r="I3690" s="346"/>
      <c r="J3690" s="345"/>
      <c r="K3690" s="703"/>
      <c r="L3690" s="342"/>
      <c r="M3690" s="342"/>
      <c r="N3690" s="340"/>
      <c r="O3690" s="703"/>
      <c r="P3690" s="342"/>
      <c r="Q3690" s="363"/>
      <c r="R3690" s="340"/>
      <c r="S3690" s="342"/>
      <c r="T3690" s="342"/>
      <c r="U3690" s="342"/>
      <c r="V3690" s="340"/>
      <c r="W3690" s="340"/>
    </row>
    <row r="3691" spans="2:23" ht="24" customHeight="1">
      <c r="B3691" s="67"/>
      <c r="G3691" s="3" t="s">
        <v>59</v>
      </c>
      <c r="H3691" s="3"/>
      <c r="I3691" s="3"/>
      <c r="J3691" s="345"/>
      <c r="K3691" s="703"/>
      <c r="L3691" s="342"/>
      <c r="M3691" s="342"/>
      <c r="N3691" s="340"/>
      <c r="O3691" s="703"/>
      <c r="P3691" s="342"/>
      <c r="Q3691" s="363"/>
      <c r="R3691" s="340"/>
      <c r="S3691" s="342"/>
      <c r="T3691" s="342"/>
      <c r="U3691" s="342"/>
      <c r="V3691" s="340"/>
      <c r="W3691" s="340"/>
    </row>
    <row r="3692" spans="2:23" ht="24" customHeight="1">
      <c r="B3692" s="67"/>
      <c r="H3692" s="347">
        <v>44153</v>
      </c>
      <c r="I3692" s="347"/>
      <c r="J3692" s="345"/>
      <c r="K3692" s="703"/>
      <c r="L3692" s="342"/>
      <c r="M3692" s="342"/>
      <c r="N3692" s="340"/>
      <c r="O3692" s="703"/>
      <c r="P3692" s="342"/>
      <c r="Q3692" s="363"/>
      <c r="R3692" s="340"/>
      <c r="S3692" s="342"/>
      <c r="T3692" s="342"/>
      <c r="U3692" s="342"/>
      <c r="V3692" s="340"/>
      <c r="W3692" s="340"/>
    </row>
    <row r="3693" spans="2:23" ht="24" customHeight="1">
      <c r="B3693" s="67"/>
      <c r="I3693" s="3" t="s">
        <v>59</v>
      </c>
      <c r="J3693" s="345">
        <v>4554</v>
      </c>
      <c r="K3693" s="703">
        <v>464524.3</v>
      </c>
      <c r="L3693" s="342">
        <v>1</v>
      </c>
      <c r="M3693" s="342">
        <v>20.3172</v>
      </c>
      <c r="N3693" s="340">
        <v>9437833.1079599988</v>
      </c>
      <c r="O3693" s="703">
        <v>464984.2</v>
      </c>
      <c r="P3693" s="342">
        <v>1</v>
      </c>
      <c r="Q3693" s="363">
        <v>20.4833</v>
      </c>
      <c r="R3693" s="340">
        <v>9524410.8638599999</v>
      </c>
      <c r="S3693" s="342">
        <v>108.85599999999999</v>
      </c>
      <c r="T3693" s="342">
        <v>120.809</v>
      </c>
      <c r="U3693" s="342">
        <v>1.1097999999999999</v>
      </c>
      <c r="V3693" s="340">
        <v>10570191.176711828</v>
      </c>
      <c r="W3693" s="340">
        <v>-1132358.0687518287</v>
      </c>
    </row>
    <row r="3694" spans="2:23" ht="24" customHeight="1">
      <c r="J3694" s="345"/>
      <c r="K3694" s="703"/>
      <c r="L3694" s="342"/>
      <c r="M3694" s="342"/>
      <c r="N3694" s="340"/>
      <c r="O3694" s="703"/>
      <c r="P3694" s="342"/>
      <c r="Q3694" s="363"/>
      <c r="R3694" s="340"/>
      <c r="S3694" s="342"/>
      <c r="T3694" s="342"/>
      <c r="U3694" s="342"/>
      <c r="V3694" s="340"/>
      <c r="W3694" s="340"/>
    </row>
    <row r="3695" spans="2:23" ht="24" customHeight="1">
      <c r="B3695" s="67"/>
      <c r="H3695" s="347">
        <v>44498</v>
      </c>
      <c r="I3695" s="347"/>
      <c r="J3695" s="345"/>
      <c r="K3695" s="703"/>
      <c r="L3695" s="342"/>
      <c r="M3695" s="342"/>
      <c r="N3695" s="340"/>
      <c r="O3695" s="703"/>
      <c r="P3695" s="342"/>
      <c r="Q3695" s="363"/>
      <c r="R3695" s="340"/>
      <c r="S3695" s="342"/>
      <c r="T3695" s="342"/>
      <c r="U3695" s="342"/>
      <c r="V3695" s="340"/>
      <c r="W3695" s="340"/>
    </row>
    <row r="3696" spans="2:23" ht="24" customHeight="1">
      <c r="B3696" s="67"/>
      <c r="I3696" s="3" t="s">
        <v>59</v>
      </c>
      <c r="J3696" s="345">
        <v>24450</v>
      </c>
      <c r="K3696" s="703">
        <v>2493987.52</v>
      </c>
      <c r="L3696" s="342">
        <v>1</v>
      </c>
      <c r="M3696" s="342">
        <v>20.3172</v>
      </c>
      <c r="N3696" s="340">
        <v>50670843.241343997</v>
      </c>
      <c r="O3696" s="703">
        <v>2496486.81</v>
      </c>
      <c r="P3696" s="342">
        <v>1</v>
      </c>
      <c r="Q3696" s="363">
        <v>20.193000000000001</v>
      </c>
      <c r="R3696" s="340">
        <v>50411558.154330008</v>
      </c>
      <c r="S3696" s="342">
        <v>115.56100000000001</v>
      </c>
      <c r="T3696" s="342">
        <v>120.809</v>
      </c>
      <c r="U3696" s="342">
        <v>1.0454000000000001</v>
      </c>
      <c r="V3696" s="340">
        <v>52700242.894536592</v>
      </c>
      <c r="W3696" s="340">
        <v>-2029399.6531925946</v>
      </c>
    </row>
    <row r="3697" spans="2:23" ht="24" customHeight="1">
      <c r="J3697" s="345"/>
      <c r="K3697" s="703"/>
      <c r="L3697" s="342"/>
      <c r="M3697" s="342"/>
      <c r="N3697" s="340"/>
      <c r="O3697" s="703"/>
      <c r="P3697" s="342"/>
      <c r="Q3697" s="363"/>
      <c r="R3697" s="340"/>
      <c r="S3697" s="342"/>
      <c r="T3697" s="342"/>
      <c r="U3697" s="342"/>
      <c r="V3697" s="340"/>
      <c r="W3697" s="340"/>
    </row>
    <row r="3698" spans="2:23" ht="24" customHeight="1">
      <c r="B3698" s="67"/>
      <c r="H3698" s="347">
        <v>44530</v>
      </c>
      <c r="I3698" s="347"/>
      <c r="J3698" s="345"/>
      <c r="K3698" s="703"/>
      <c r="L3698" s="342"/>
      <c r="M3698" s="342"/>
      <c r="N3698" s="340"/>
      <c r="O3698" s="703"/>
      <c r="P3698" s="342"/>
      <c r="Q3698" s="363"/>
      <c r="R3698" s="340"/>
      <c r="S3698" s="342"/>
      <c r="T3698" s="342"/>
      <c r="U3698" s="342"/>
      <c r="V3698" s="340"/>
      <c r="W3698" s="340"/>
    </row>
    <row r="3699" spans="2:23" ht="24" customHeight="1">
      <c r="B3699" s="67"/>
      <c r="I3699" s="3" t="s">
        <v>59</v>
      </c>
      <c r="J3699" s="345">
        <v>7000</v>
      </c>
      <c r="K3699" s="703">
        <v>714025.06</v>
      </c>
      <c r="L3699" s="342">
        <v>1</v>
      </c>
      <c r="M3699" s="342">
        <v>20.3172</v>
      </c>
      <c r="N3699" s="340">
        <v>14506989.949032001</v>
      </c>
      <c r="O3699" s="703">
        <v>714728.7</v>
      </c>
      <c r="P3699" s="342">
        <v>1</v>
      </c>
      <c r="Q3699" s="363">
        <v>21.8185</v>
      </c>
      <c r="R3699" s="340">
        <v>15594308.14095</v>
      </c>
      <c r="S3699" s="342">
        <v>116.884</v>
      </c>
      <c r="T3699" s="342">
        <v>120.809</v>
      </c>
      <c r="U3699" s="342">
        <v>1.0335000000000001</v>
      </c>
      <c r="V3699" s="340">
        <v>16116717.463671826</v>
      </c>
      <c r="W3699" s="340">
        <v>-1609727.5146398246</v>
      </c>
    </row>
    <row r="3700" spans="2:23" ht="24" customHeight="1">
      <c r="J3700" s="345"/>
      <c r="K3700" s="703"/>
      <c r="L3700" s="342"/>
      <c r="M3700" s="342"/>
      <c r="N3700" s="340"/>
      <c r="O3700" s="703"/>
      <c r="P3700" s="342"/>
      <c r="Q3700" s="363"/>
      <c r="R3700" s="340"/>
      <c r="S3700" s="342"/>
      <c r="T3700" s="342"/>
      <c r="U3700" s="342"/>
      <c r="V3700" s="340"/>
      <c r="W3700" s="340"/>
    </row>
    <row r="3701" spans="2:23" ht="24" customHeight="1">
      <c r="B3701" s="67"/>
      <c r="E3701" s="131" t="s">
        <v>1235</v>
      </c>
      <c r="F3701" s="131"/>
      <c r="G3701" s="131"/>
      <c r="H3701" s="131"/>
      <c r="I3701" s="131"/>
      <c r="J3701" s="704">
        <v>36004</v>
      </c>
      <c r="K3701" s="705">
        <v>3672536.88</v>
      </c>
      <c r="L3701" s="369">
        <v>1</v>
      </c>
      <c r="M3701" s="377">
        <v>20.3172</v>
      </c>
      <c r="N3701" s="706">
        <v>74615666.298335999</v>
      </c>
      <c r="O3701" s="705">
        <v>3676199.71</v>
      </c>
      <c r="P3701" s="369">
        <v>1</v>
      </c>
      <c r="Q3701" s="377">
        <v>20.831599999999998</v>
      </c>
      <c r="R3701" s="706">
        <v>75530277.159140006</v>
      </c>
      <c r="S3701" s="369">
        <v>113.767</v>
      </c>
      <c r="T3701" s="369">
        <v>120.80900000000001</v>
      </c>
      <c r="U3701" s="369">
        <v>1.0629</v>
      </c>
      <c r="V3701" s="706">
        <v>79387151.534920245</v>
      </c>
      <c r="W3701" s="706">
        <v>-4771485.236584248</v>
      </c>
    </row>
    <row r="3702" spans="2:23" ht="24" customHeight="1">
      <c r="J3702" s="345"/>
      <c r="K3702" s="703"/>
      <c r="L3702" s="342"/>
      <c r="M3702" s="342"/>
      <c r="N3702" s="340"/>
      <c r="O3702" s="703"/>
      <c r="P3702" s="342"/>
      <c r="Q3702" s="363"/>
      <c r="R3702" s="340"/>
      <c r="S3702" s="342"/>
      <c r="T3702" s="342"/>
      <c r="U3702" s="342"/>
      <c r="V3702" s="340"/>
      <c r="W3702" s="340"/>
    </row>
    <row r="3703" spans="2:23" ht="24" customHeight="1">
      <c r="B3703" s="67"/>
      <c r="E3703" s="1" t="s">
        <v>790</v>
      </c>
      <c r="J3703" s="345"/>
      <c r="K3703" s="703"/>
      <c r="L3703" s="342"/>
      <c r="M3703" s="342"/>
      <c r="N3703" s="340"/>
      <c r="O3703" s="703"/>
      <c r="P3703" s="342"/>
      <c r="Q3703" s="363"/>
      <c r="R3703" s="340"/>
      <c r="S3703" s="342"/>
      <c r="T3703" s="342"/>
      <c r="U3703" s="342"/>
      <c r="V3703" s="340"/>
      <c r="W3703" s="340"/>
    </row>
    <row r="3704" spans="2:23" ht="24" customHeight="1">
      <c r="B3704" s="67"/>
      <c r="F3704" s="346">
        <v>44698</v>
      </c>
      <c r="G3704" s="346"/>
      <c r="H3704" s="346"/>
      <c r="I3704" s="346"/>
      <c r="J3704" s="345"/>
      <c r="K3704" s="703"/>
      <c r="L3704" s="342"/>
      <c r="M3704" s="342"/>
      <c r="N3704" s="340"/>
      <c r="O3704" s="703"/>
      <c r="P3704" s="342"/>
      <c r="Q3704" s="363"/>
      <c r="R3704" s="340"/>
      <c r="S3704" s="342"/>
      <c r="T3704" s="342"/>
      <c r="U3704" s="342"/>
      <c r="V3704" s="340"/>
      <c r="W3704" s="340"/>
    </row>
    <row r="3705" spans="2:23" ht="24" customHeight="1">
      <c r="B3705" s="67"/>
      <c r="G3705" s="3" t="s">
        <v>59</v>
      </c>
      <c r="H3705" s="3"/>
      <c r="I3705" s="3"/>
      <c r="J3705" s="345"/>
      <c r="K3705" s="703"/>
      <c r="L3705" s="342"/>
      <c r="M3705" s="342"/>
      <c r="N3705" s="340"/>
      <c r="O3705" s="703"/>
      <c r="P3705" s="342"/>
      <c r="Q3705" s="363"/>
      <c r="R3705" s="340"/>
      <c r="S3705" s="342"/>
      <c r="T3705" s="342"/>
      <c r="U3705" s="342"/>
      <c r="V3705" s="340"/>
      <c r="W3705" s="340"/>
    </row>
    <row r="3706" spans="2:23" ht="24" customHeight="1">
      <c r="B3706" s="67"/>
      <c r="H3706" s="347">
        <v>43997</v>
      </c>
      <c r="I3706" s="347"/>
      <c r="J3706" s="345"/>
      <c r="K3706" s="703"/>
      <c r="L3706" s="342"/>
      <c r="M3706" s="342"/>
      <c r="N3706" s="340"/>
      <c r="O3706" s="703"/>
      <c r="P3706" s="342"/>
      <c r="Q3706" s="363"/>
      <c r="R3706" s="340"/>
      <c r="S3706" s="342"/>
      <c r="T3706" s="342"/>
      <c r="U3706" s="342"/>
      <c r="V3706" s="340"/>
      <c r="W3706" s="340"/>
    </row>
    <row r="3707" spans="2:23" ht="24" customHeight="1">
      <c r="B3707" s="67"/>
      <c r="I3707" s="3" t="s">
        <v>59</v>
      </c>
      <c r="J3707" s="345">
        <v>6590</v>
      </c>
      <c r="K3707" s="703">
        <v>619807.59</v>
      </c>
      <c r="L3707" s="342">
        <v>1</v>
      </c>
      <c r="M3707" s="342">
        <v>20.144300000000001</v>
      </c>
      <c r="N3707" s="340">
        <v>12485590.035236999</v>
      </c>
      <c r="O3707" s="703">
        <v>463086.97</v>
      </c>
      <c r="P3707" s="342">
        <v>1</v>
      </c>
      <c r="Q3707" s="363">
        <v>22.4252</v>
      </c>
      <c r="R3707" s="340">
        <v>10384817.919644</v>
      </c>
      <c r="S3707" s="342">
        <v>106.74299999999999</v>
      </c>
      <c r="T3707" s="342">
        <v>120.809</v>
      </c>
      <c r="U3707" s="342">
        <v>1.1316999999999999</v>
      </c>
      <c r="V3707" s="340">
        <v>11752498.439661114</v>
      </c>
      <c r="W3707" s="340">
        <v>733091.59557588585</v>
      </c>
    </row>
    <row r="3708" spans="2:23" ht="24" customHeight="1">
      <c r="J3708" s="345"/>
      <c r="K3708" s="703"/>
      <c r="L3708" s="342"/>
      <c r="M3708" s="342"/>
      <c r="N3708" s="340"/>
      <c r="O3708" s="703"/>
      <c r="P3708" s="342"/>
      <c r="Q3708" s="363"/>
      <c r="R3708" s="340"/>
      <c r="S3708" s="342"/>
      <c r="T3708" s="342"/>
      <c r="U3708" s="342"/>
      <c r="V3708" s="340"/>
      <c r="W3708" s="340"/>
    </row>
    <row r="3709" spans="2:23" ht="24" customHeight="1">
      <c r="B3709" s="67"/>
      <c r="F3709" s="346">
        <v>44705</v>
      </c>
      <c r="G3709" s="346"/>
      <c r="H3709" s="346"/>
      <c r="I3709" s="346"/>
      <c r="J3709" s="345"/>
      <c r="K3709" s="703"/>
      <c r="L3709" s="342"/>
      <c r="M3709" s="342"/>
      <c r="N3709" s="340"/>
      <c r="O3709" s="703"/>
      <c r="P3709" s="342"/>
      <c r="Q3709" s="363"/>
      <c r="R3709" s="340"/>
      <c r="S3709" s="342"/>
      <c r="T3709" s="342"/>
      <c r="U3709" s="342"/>
      <c r="V3709" s="340"/>
      <c r="W3709" s="340"/>
    </row>
    <row r="3710" spans="2:23" ht="24" customHeight="1">
      <c r="B3710" s="67"/>
      <c r="G3710" s="3" t="s">
        <v>59</v>
      </c>
      <c r="H3710" s="3"/>
      <c r="I3710" s="3"/>
      <c r="J3710" s="345"/>
      <c r="K3710" s="703"/>
      <c r="L3710" s="342"/>
      <c r="M3710" s="342"/>
      <c r="N3710" s="340"/>
      <c r="O3710" s="703"/>
      <c r="P3710" s="342"/>
      <c r="Q3710" s="363"/>
      <c r="R3710" s="340"/>
      <c r="S3710" s="342"/>
      <c r="T3710" s="342"/>
      <c r="U3710" s="342"/>
      <c r="V3710" s="340"/>
      <c r="W3710" s="340"/>
    </row>
    <row r="3711" spans="2:23" ht="24" customHeight="1">
      <c r="B3711" s="67"/>
      <c r="H3711" s="347">
        <v>43997</v>
      </c>
      <c r="I3711" s="347"/>
      <c r="J3711" s="345"/>
      <c r="K3711" s="703"/>
      <c r="L3711" s="342"/>
      <c r="M3711" s="342"/>
      <c r="N3711" s="340"/>
      <c r="O3711" s="703"/>
      <c r="P3711" s="342"/>
      <c r="Q3711" s="363"/>
      <c r="R3711" s="340"/>
      <c r="S3711" s="342"/>
      <c r="T3711" s="342"/>
      <c r="U3711" s="342"/>
      <c r="V3711" s="340"/>
      <c r="W3711" s="340"/>
    </row>
    <row r="3712" spans="2:23" ht="24" customHeight="1">
      <c r="B3712" s="67"/>
      <c r="I3712" s="3" t="s">
        <v>59</v>
      </c>
      <c r="J3712" s="345">
        <v>1250</v>
      </c>
      <c r="K3712" s="703">
        <v>117797.68</v>
      </c>
      <c r="L3712" s="342">
        <v>1</v>
      </c>
      <c r="M3712" s="342">
        <v>19.8657</v>
      </c>
      <c r="N3712" s="340">
        <v>2340133.371576</v>
      </c>
      <c r="O3712" s="703">
        <v>87838.95</v>
      </c>
      <c r="P3712" s="342">
        <v>1</v>
      </c>
      <c r="Q3712" s="363">
        <v>22.4252</v>
      </c>
      <c r="R3712" s="340">
        <v>1969806.0215399999</v>
      </c>
      <c r="S3712" s="342">
        <v>106.74299999999999</v>
      </c>
      <c r="T3712" s="342">
        <v>120.809</v>
      </c>
      <c r="U3712" s="342">
        <v>1.1316999999999999</v>
      </c>
      <c r="V3712" s="340">
        <v>2229229.4745768178</v>
      </c>
      <c r="W3712" s="340">
        <v>110903.89699918218</v>
      </c>
    </row>
    <row r="3713" spans="2:23" ht="24" customHeight="1">
      <c r="J3713" s="345"/>
      <c r="K3713" s="703"/>
      <c r="L3713" s="342"/>
      <c r="M3713" s="342"/>
      <c r="N3713" s="340"/>
      <c r="O3713" s="703"/>
      <c r="P3713" s="342"/>
      <c r="Q3713" s="363"/>
      <c r="R3713" s="340"/>
      <c r="S3713" s="342"/>
      <c r="T3713" s="342"/>
      <c r="U3713" s="342"/>
      <c r="V3713" s="340"/>
      <c r="W3713" s="340"/>
    </row>
    <row r="3714" spans="2:23" ht="24" customHeight="1">
      <c r="B3714" s="67"/>
      <c r="H3714" s="347">
        <v>44249</v>
      </c>
      <c r="I3714" s="347"/>
      <c r="J3714" s="345"/>
      <c r="K3714" s="703"/>
      <c r="L3714" s="342"/>
      <c r="M3714" s="342"/>
      <c r="N3714" s="340"/>
      <c r="O3714" s="703"/>
      <c r="P3714" s="342"/>
      <c r="Q3714" s="363"/>
      <c r="R3714" s="340"/>
      <c r="S3714" s="342"/>
      <c r="T3714" s="342"/>
      <c r="U3714" s="342"/>
      <c r="V3714" s="340"/>
      <c r="W3714" s="340"/>
    </row>
    <row r="3715" spans="2:23" ht="24" customHeight="1">
      <c r="B3715" s="67"/>
      <c r="I3715" s="3" t="s">
        <v>59</v>
      </c>
      <c r="J3715" s="345">
        <v>5350</v>
      </c>
      <c r="K3715" s="703">
        <v>504174.05</v>
      </c>
      <c r="L3715" s="342">
        <v>1</v>
      </c>
      <c r="M3715" s="342">
        <v>19.8657</v>
      </c>
      <c r="N3715" s="340">
        <v>10015770.425085001</v>
      </c>
      <c r="O3715" s="703">
        <v>380668.14</v>
      </c>
      <c r="P3715" s="342">
        <v>1</v>
      </c>
      <c r="Q3715" s="363">
        <v>20.416499999999999</v>
      </c>
      <c r="R3715" s="340">
        <v>7771911.0803100001</v>
      </c>
      <c r="S3715" s="342">
        <v>110.907</v>
      </c>
      <c r="T3715" s="342">
        <v>120.809</v>
      </c>
      <c r="U3715" s="342">
        <v>1.0891999999999999</v>
      </c>
      <c r="V3715" s="340">
        <v>8465165.5486736521</v>
      </c>
      <c r="W3715" s="340">
        <v>1550604.8764113486</v>
      </c>
    </row>
    <row r="3716" spans="2:23" ht="24" customHeight="1">
      <c r="J3716" s="345"/>
      <c r="K3716" s="703"/>
      <c r="L3716" s="342"/>
      <c r="M3716" s="342"/>
      <c r="N3716" s="340"/>
      <c r="O3716" s="703"/>
      <c r="P3716" s="342"/>
      <c r="Q3716" s="363"/>
      <c r="R3716" s="340"/>
      <c r="S3716" s="342"/>
      <c r="T3716" s="342"/>
      <c r="U3716" s="342"/>
      <c r="V3716" s="340"/>
      <c r="W3716" s="340"/>
    </row>
    <row r="3717" spans="2:23" ht="24" customHeight="1">
      <c r="B3717" s="67"/>
      <c r="E3717" s="131" t="s">
        <v>1236</v>
      </c>
      <c r="F3717" s="131"/>
      <c r="G3717" s="131"/>
      <c r="H3717" s="131"/>
      <c r="I3717" s="131"/>
      <c r="J3717" s="704">
        <v>13190</v>
      </c>
      <c r="K3717" s="705">
        <v>1241779.32</v>
      </c>
      <c r="L3717" s="369">
        <v>1</v>
      </c>
      <c r="M3717" s="377">
        <v>19.95856666666667</v>
      </c>
      <c r="N3717" s="706">
        <v>24841493.831898</v>
      </c>
      <c r="O3717" s="705">
        <v>931594.05999999994</v>
      </c>
      <c r="P3717" s="369">
        <v>1</v>
      </c>
      <c r="Q3717" s="377">
        <v>21.755633333333332</v>
      </c>
      <c r="R3717" s="706">
        <v>20126535.021494001</v>
      </c>
      <c r="S3717" s="369">
        <v>108.13099999999999</v>
      </c>
      <c r="T3717" s="369">
        <v>120.80900000000001</v>
      </c>
      <c r="U3717" s="369">
        <v>1.1175333333333333</v>
      </c>
      <c r="V3717" s="706">
        <v>22446893.462911583</v>
      </c>
      <c r="W3717" s="706">
        <v>2394600.3689864166</v>
      </c>
    </row>
    <row r="3718" spans="2:23" ht="24" customHeight="1">
      <c r="J3718" s="345"/>
      <c r="K3718" s="703"/>
      <c r="L3718" s="342"/>
      <c r="M3718" s="342"/>
      <c r="N3718" s="340"/>
      <c r="O3718" s="703"/>
      <c r="P3718" s="342"/>
      <c r="Q3718" s="363"/>
      <c r="R3718" s="340"/>
      <c r="S3718" s="342"/>
      <c r="T3718" s="342"/>
      <c r="U3718" s="342"/>
      <c r="V3718" s="340"/>
      <c r="W3718" s="340"/>
    </row>
    <row r="3719" spans="2:23" ht="24" customHeight="1">
      <c r="B3719" s="67"/>
      <c r="E3719" s="1" t="s">
        <v>797</v>
      </c>
      <c r="J3719" s="345"/>
      <c r="K3719" s="703"/>
      <c r="L3719" s="342"/>
      <c r="M3719" s="342"/>
      <c r="N3719" s="340"/>
      <c r="O3719" s="703"/>
      <c r="P3719" s="342"/>
      <c r="Q3719" s="363"/>
      <c r="R3719" s="340"/>
      <c r="S3719" s="342"/>
      <c r="T3719" s="342"/>
      <c r="U3719" s="342"/>
      <c r="V3719" s="340"/>
      <c r="W3719" s="340"/>
    </row>
    <row r="3720" spans="2:23" ht="24" customHeight="1">
      <c r="B3720" s="67"/>
      <c r="F3720" s="346">
        <v>44712</v>
      </c>
      <c r="G3720" s="346"/>
      <c r="H3720" s="346"/>
      <c r="I3720" s="346"/>
      <c r="J3720" s="345"/>
      <c r="K3720" s="703"/>
      <c r="L3720" s="342"/>
      <c r="M3720" s="342"/>
      <c r="N3720" s="340"/>
      <c r="O3720" s="703"/>
      <c r="P3720" s="342"/>
      <c r="Q3720" s="363"/>
      <c r="R3720" s="340"/>
      <c r="S3720" s="342"/>
      <c r="T3720" s="342"/>
      <c r="U3720" s="342"/>
      <c r="V3720" s="340"/>
      <c r="W3720" s="340"/>
    </row>
    <row r="3721" spans="2:23" ht="24" customHeight="1">
      <c r="B3721" s="67"/>
      <c r="G3721" s="3" t="s">
        <v>59</v>
      </c>
      <c r="H3721" s="3"/>
      <c r="I3721" s="3"/>
      <c r="J3721" s="345"/>
      <c r="K3721" s="703"/>
      <c r="L3721" s="342"/>
      <c r="M3721" s="342"/>
      <c r="N3721" s="340"/>
      <c r="O3721" s="703"/>
      <c r="P3721" s="342"/>
      <c r="Q3721" s="363"/>
      <c r="R3721" s="340"/>
      <c r="S3721" s="342"/>
      <c r="T3721" s="342"/>
      <c r="U3721" s="342"/>
      <c r="V3721" s="340"/>
      <c r="W3721" s="340"/>
    </row>
    <row r="3722" spans="2:23" ht="24" customHeight="1">
      <c r="B3722" s="67"/>
      <c r="H3722" s="347">
        <v>43145</v>
      </c>
      <c r="I3722" s="347"/>
      <c r="J3722" s="345"/>
      <c r="K3722" s="703"/>
      <c r="L3722" s="342"/>
      <c r="M3722" s="342"/>
      <c r="N3722" s="340"/>
      <c r="O3722" s="703"/>
      <c r="P3722" s="342"/>
      <c r="Q3722" s="363"/>
      <c r="R3722" s="340"/>
      <c r="S3722" s="342"/>
      <c r="T3722" s="342"/>
      <c r="U3722" s="342"/>
      <c r="V3722" s="340"/>
      <c r="W3722" s="340"/>
    </row>
    <row r="3723" spans="2:23" ht="24" customHeight="1">
      <c r="B3723" s="67"/>
      <c r="I3723" s="3" t="s">
        <v>59</v>
      </c>
      <c r="J3723" s="345">
        <v>12850</v>
      </c>
      <c r="K3723" s="703">
        <v>681996.85</v>
      </c>
      <c r="L3723" s="342">
        <v>1</v>
      </c>
      <c r="M3723" s="342">
        <v>19.596499999999999</v>
      </c>
      <c r="N3723" s="340">
        <v>13364751.271024998</v>
      </c>
      <c r="O3723" s="703">
        <v>426959.93</v>
      </c>
      <c r="P3723" s="342">
        <v>1</v>
      </c>
      <c r="Q3723" s="363">
        <v>18.670300000000001</v>
      </c>
      <c r="R3723" s="340">
        <v>7971469.981079</v>
      </c>
      <c r="S3723" s="342">
        <v>99.171374481640001</v>
      </c>
      <c r="T3723" s="342">
        <v>120.809</v>
      </c>
      <c r="U3723" s="342">
        <v>1.2181</v>
      </c>
      <c r="V3723" s="340">
        <v>9710047.5839523301</v>
      </c>
      <c r="W3723" s="340">
        <v>3654703.6870726682</v>
      </c>
    </row>
    <row r="3724" spans="2:23" ht="24" customHeight="1">
      <c r="J3724" s="345"/>
      <c r="K3724" s="703"/>
      <c r="L3724" s="342"/>
      <c r="M3724" s="342"/>
      <c r="N3724" s="340"/>
      <c r="O3724" s="703"/>
      <c r="P3724" s="342"/>
      <c r="Q3724" s="363"/>
      <c r="R3724" s="340"/>
      <c r="S3724" s="342"/>
      <c r="T3724" s="342"/>
      <c r="U3724" s="342"/>
      <c r="V3724" s="340"/>
      <c r="W3724" s="340"/>
    </row>
    <row r="3725" spans="2:23" ht="24" customHeight="1">
      <c r="B3725" s="67"/>
      <c r="E3725" s="131" t="s">
        <v>1237</v>
      </c>
      <c r="F3725" s="131"/>
      <c r="G3725" s="131"/>
      <c r="H3725" s="131"/>
      <c r="I3725" s="131"/>
      <c r="J3725" s="704">
        <v>12850</v>
      </c>
      <c r="K3725" s="705">
        <v>681996.85</v>
      </c>
      <c r="L3725" s="369">
        <v>1</v>
      </c>
      <c r="M3725" s="377">
        <v>19.596499999999999</v>
      </c>
      <c r="N3725" s="706">
        <v>13364751.271024998</v>
      </c>
      <c r="O3725" s="705">
        <v>426959.93</v>
      </c>
      <c r="P3725" s="369">
        <v>1</v>
      </c>
      <c r="Q3725" s="377">
        <v>18.670300000000001</v>
      </c>
      <c r="R3725" s="706">
        <v>7971469.981079</v>
      </c>
      <c r="S3725" s="369">
        <v>99.171374481640001</v>
      </c>
      <c r="T3725" s="369">
        <v>120.809</v>
      </c>
      <c r="U3725" s="369">
        <v>1.2181</v>
      </c>
      <c r="V3725" s="706">
        <v>9710047.5839523301</v>
      </c>
      <c r="W3725" s="706">
        <v>3654703.6870726682</v>
      </c>
    </row>
    <row r="3726" spans="2:23" ht="24" customHeight="1">
      <c r="J3726" s="345"/>
      <c r="K3726" s="703"/>
      <c r="L3726" s="342"/>
      <c r="M3726" s="342"/>
      <c r="N3726" s="340"/>
      <c r="O3726" s="703"/>
      <c r="P3726" s="342"/>
      <c r="Q3726" s="363"/>
      <c r="R3726" s="340"/>
      <c r="S3726" s="342"/>
      <c r="T3726" s="342"/>
      <c r="U3726" s="342"/>
      <c r="V3726" s="340"/>
      <c r="W3726" s="340"/>
    </row>
    <row r="3727" spans="2:23" ht="24" customHeight="1">
      <c r="B3727" s="67"/>
      <c r="E3727" s="1" t="s">
        <v>828</v>
      </c>
      <c r="J3727" s="345"/>
      <c r="K3727" s="703"/>
      <c r="L3727" s="342"/>
      <c r="M3727" s="342"/>
      <c r="N3727" s="340"/>
      <c r="O3727" s="703"/>
      <c r="P3727" s="342"/>
      <c r="Q3727" s="363"/>
      <c r="R3727" s="340"/>
      <c r="S3727" s="342"/>
      <c r="T3727" s="342"/>
      <c r="U3727" s="342"/>
      <c r="V3727" s="340"/>
      <c r="W3727" s="340"/>
    </row>
    <row r="3728" spans="2:23" ht="24" customHeight="1">
      <c r="B3728" s="67"/>
      <c r="F3728" s="346">
        <v>44712</v>
      </c>
      <c r="G3728" s="346"/>
      <c r="H3728" s="346"/>
      <c r="I3728" s="346"/>
      <c r="J3728" s="345"/>
      <c r="K3728" s="703"/>
      <c r="L3728" s="342"/>
      <c r="M3728" s="342"/>
      <c r="N3728" s="340"/>
      <c r="O3728" s="703"/>
      <c r="P3728" s="342"/>
      <c r="Q3728" s="363"/>
      <c r="R3728" s="340"/>
      <c r="S3728" s="342"/>
      <c r="T3728" s="342"/>
      <c r="U3728" s="342"/>
      <c r="V3728" s="340"/>
      <c r="W3728" s="340"/>
    </row>
    <row r="3729" spans="2:23" ht="24" customHeight="1">
      <c r="B3729" s="67"/>
      <c r="G3729" s="3" t="s">
        <v>59</v>
      </c>
      <c r="H3729" s="3"/>
      <c r="I3729" s="3"/>
      <c r="J3729" s="345"/>
      <c r="K3729" s="703"/>
      <c r="L3729" s="342"/>
      <c r="M3729" s="342"/>
      <c r="N3729" s="340"/>
      <c r="O3729" s="703"/>
      <c r="P3729" s="342"/>
      <c r="Q3729" s="363"/>
      <c r="R3729" s="340"/>
      <c r="S3729" s="342"/>
      <c r="T3729" s="342"/>
      <c r="U3729" s="342"/>
      <c r="V3729" s="340"/>
      <c r="W3729" s="340"/>
    </row>
    <row r="3730" spans="2:23" ht="24" customHeight="1">
      <c r="B3730" s="67"/>
      <c r="H3730" s="347">
        <v>44134</v>
      </c>
      <c r="I3730" s="347"/>
      <c r="J3730" s="345"/>
      <c r="K3730" s="703"/>
      <c r="L3730" s="342"/>
      <c r="M3730" s="342"/>
      <c r="N3730" s="340"/>
      <c r="O3730" s="703"/>
      <c r="P3730" s="342"/>
      <c r="Q3730" s="363"/>
      <c r="R3730" s="340"/>
      <c r="S3730" s="342"/>
      <c r="T3730" s="342"/>
      <c r="U3730" s="342"/>
      <c r="V3730" s="340"/>
      <c r="W3730" s="340"/>
    </row>
    <row r="3731" spans="2:23" ht="24" customHeight="1">
      <c r="B3731" s="67"/>
      <c r="I3731" s="3" t="s">
        <v>59</v>
      </c>
      <c r="J3731" s="345">
        <v>2450</v>
      </c>
      <c r="K3731" s="703">
        <v>1017106.94</v>
      </c>
      <c r="L3731" s="342">
        <v>1</v>
      </c>
      <c r="M3731" s="342">
        <v>19.596499999999999</v>
      </c>
      <c r="N3731" s="340">
        <v>19931736.14971</v>
      </c>
      <c r="O3731" s="703">
        <v>794363.5</v>
      </c>
      <c r="P3731" s="342">
        <v>1</v>
      </c>
      <c r="Q3731" s="363">
        <v>21.1648</v>
      </c>
      <c r="R3731" s="340">
        <v>16812544.604800001</v>
      </c>
      <c r="S3731" s="342">
        <v>108.774</v>
      </c>
      <c r="T3731" s="342">
        <v>120.809</v>
      </c>
      <c r="U3731" s="342">
        <v>1.1106</v>
      </c>
      <c r="V3731" s="340">
        <v>18672012.038090881</v>
      </c>
      <c r="W3731" s="340">
        <v>1259724.1116191186</v>
      </c>
    </row>
    <row r="3732" spans="2:23" ht="24" customHeight="1">
      <c r="J3732" s="345"/>
      <c r="K3732" s="703"/>
      <c r="L3732" s="342"/>
      <c r="M3732" s="342"/>
      <c r="N3732" s="340"/>
      <c r="O3732" s="703"/>
      <c r="P3732" s="342"/>
      <c r="Q3732" s="363"/>
      <c r="R3732" s="340"/>
      <c r="S3732" s="342"/>
      <c r="T3732" s="342"/>
      <c r="U3732" s="342"/>
      <c r="V3732" s="340"/>
      <c r="W3732" s="340"/>
    </row>
    <row r="3733" spans="2:23" ht="24" customHeight="1">
      <c r="B3733" s="67"/>
      <c r="F3733" s="346">
        <v>44791</v>
      </c>
      <c r="G3733" s="346"/>
      <c r="H3733" s="346"/>
      <c r="I3733" s="346"/>
      <c r="J3733" s="345"/>
      <c r="K3733" s="703"/>
      <c r="L3733" s="342"/>
      <c r="M3733" s="342"/>
      <c r="N3733" s="340"/>
      <c r="O3733" s="703"/>
      <c r="P3733" s="342"/>
      <c r="Q3733" s="363"/>
      <c r="R3733" s="340"/>
      <c r="S3733" s="342"/>
      <c r="T3733" s="342"/>
      <c r="U3733" s="342"/>
      <c r="V3733" s="340"/>
      <c r="W3733" s="340"/>
    </row>
    <row r="3734" spans="2:23" ht="24" customHeight="1">
      <c r="B3734" s="67"/>
      <c r="G3734" s="3" t="s">
        <v>59</v>
      </c>
      <c r="H3734" s="3"/>
      <c r="I3734" s="3"/>
      <c r="J3734" s="345"/>
      <c r="K3734" s="703"/>
      <c r="L3734" s="342"/>
      <c r="M3734" s="342"/>
      <c r="N3734" s="340"/>
      <c r="O3734" s="703"/>
      <c r="P3734" s="342"/>
      <c r="Q3734" s="363"/>
      <c r="R3734" s="340"/>
      <c r="S3734" s="342"/>
      <c r="T3734" s="342"/>
      <c r="U3734" s="342"/>
      <c r="V3734" s="340"/>
      <c r="W3734" s="340"/>
    </row>
    <row r="3735" spans="2:23" ht="24" customHeight="1">
      <c r="B3735" s="67"/>
      <c r="H3735" s="347">
        <v>44134</v>
      </c>
      <c r="I3735" s="347"/>
      <c r="J3735" s="345"/>
      <c r="K3735" s="703"/>
      <c r="L3735" s="342"/>
      <c r="M3735" s="342"/>
      <c r="N3735" s="340"/>
      <c r="O3735" s="703"/>
      <c r="P3735" s="342"/>
      <c r="Q3735" s="363"/>
      <c r="R3735" s="340"/>
      <c r="S3735" s="342"/>
      <c r="T3735" s="342"/>
      <c r="U3735" s="342"/>
      <c r="V3735" s="340"/>
      <c r="W3735" s="340"/>
    </row>
    <row r="3736" spans="2:23" ht="24" customHeight="1">
      <c r="B3736" s="67"/>
      <c r="I3736" s="3" t="s">
        <v>59</v>
      </c>
      <c r="J3736" s="345">
        <v>2200</v>
      </c>
      <c r="K3736" s="703">
        <v>938145.86</v>
      </c>
      <c r="L3736" s="342">
        <v>1</v>
      </c>
      <c r="M3736" s="342">
        <v>19.930299999999999</v>
      </c>
      <c r="N3736" s="340">
        <v>18697528.433557998</v>
      </c>
      <c r="O3736" s="703">
        <v>713306</v>
      </c>
      <c r="P3736" s="342">
        <v>1</v>
      </c>
      <c r="Q3736" s="363">
        <v>21.1648</v>
      </c>
      <c r="R3736" s="340">
        <v>15096978.8288</v>
      </c>
      <c r="S3736" s="342">
        <v>108.774</v>
      </c>
      <c r="T3736" s="342">
        <v>122.94799999999999</v>
      </c>
      <c r="U3736" s="342">
        <v>1.1303000000000001</v>
      </c>
      <c r="V3736" s="340">
        <v>17064115.17019264</v>
      </c>
      <c r="W3736" s="340">
        <v>1633413.2633653581</v>
      </c>
    </row>
    <row r="3737" spans="2:23" ht="24" customHeight="1">
      <c r="J3737" s="345"/>
      <c r="K3737" s="703"/>
      <c r="L3737" s="342"/>
      <c r="M3737" s="342"/>
      <c r="N3737" s="340"/>
      <c r="O3737" s="703"/>
      <c r="P3737" s="342"/>
      <c r="Q3737" s="363"/>
      <c r="R3737" s="340"/>
      <c r="S3737" s="342"/>
      <c r="T3737" s="342"/>
      <c r="U3737" s="342"/>
      <c r="V3737" s="340"/>
      <c r="W3737" s="340"/>
    </row>
    <row r="3738" spans="2:23" ht="24" customHeight="1">
      <c r="B3738" s="67"/>
      <c r="H3738" s="347">
        <v>44692</v>
      </c>
      <c r="I3738" s="347"/>
      <c r="J3738" s="345"/>
      <c r="K3738" s="703"/>
      <c r="L3738" s="342"/>
      <c r="M3738" s="342"/>
      <c r="N3738" s="340"/>
      <c r="O3738" s="703"/>
      <c r="P3738" s="342"/>
      <c r="Q3738" s="363"/>
      <c r="R3738" s="340"/>
      <c r="S3738" s="342"/>
      <c r="T3738" s="342"/>
      <c r="U3738" s="342"/>
      <c r="V3738" s="340"/>
      <c r="W3738" s="340"/>
    </row>
    <row r="3739" spans="2:23" ht="24" customHeight="1">
      <c r="B3739" s="67"/>
      <c r="I3739" s="3" t="s">
        <v>59</v>
      </c>
      <c r="J3739" s="345">
        <v>275</v>
      </c>
      <c r="K3739" s="703">
        <v>117268.23</v>
      </c>
      <c r="L3739" s="342">
        <v>1</v>
      </c>
      <c r="M3739" s="342">
        <v>19.930299999999999</v>
      </c>
      <c r="N3739" s="340">
        <v>2337191.004369</v>
      </c>
      <c r="O3739" s="703">
        <v>110858.44</v>
      </c>
      <c r="P3739" s="342">
        <v>1</v>
      </c>
      <c r="Q3739" s="363">
        <v>20.3172</v>
      </c>
      <c r="R3739" s="340">
        <v>2252333.0971679999</v>
      </c>
      <c r="S3739" s="342">
        <v>121.02200000000001</v>
      </c>
      <c r="T3739" s="342">
        <v>122.94799999999999</v>
      </c>
      <c r="U3739" s="342">
        <v>1.0159</v>
      </c>
      <c r="V3739" s="340">
        <v>2288145.1934129712</v>
      </c>
      <c r="W3739" s="340">
        <v>49045.810956028756</v>
      </c>
    </row>
    <row r="3740" spans="2:23" ht="24" customHeight="1">
      <c r="J3740" s="345"/>
      <c r="K3740" s="703"/>
      <c r="L3740" s="342"/>
      <c r="M3740" s="342"/>
      <c r="N3740" s="340"/>
      <c r="O3740" s="703"/>
      <c r="P3740" s="342"/>
      <c r="Q3740" s="363"/>
      <c r="R3740" s="340"/>
      <c r="S3740" s="342"/>
      <c r="T3740" s="342"/>
      <c r="U3740" s="342"/>
      <c r="V3740" s="340"/>
      <c r="W3740" s="340"/>
    </row>
    <row r="3741" spans="2:23" ht="24" customHeight="1">
      <c r="B3741" s="67"/>
      <c r="E3741" s="131" t="s">
        <v>1238</v>
      </c>
      <c r="F3741" s="131"/>
      <c r="G3741" s="131"/>
      <c r="H3741" s="131"/>
      <c r="I3741" s="131"/>
      <c r="J3741" s="704">
        <v>4925</v>
      </c>
      <c r="K3741" s="705">
        <v>2072521.0299999998</v>
      </c>
      <c r="L3741" s="369">
        <v>1</v>
      </c>
      <c r="M3741" s="377">
        <v>19.819033333333334</v>
      </c>
      <c r="N3741" s="706">
        <v>40966455.587637</v>
      </c>
      <c r="O3741" s="705">
        <v>1618527.94</v>
      </c>
      <c r="P3741" s="369">
        <v>1</v>
      </c>
      <c r="Q3741" s="377">
        <v>20.882266666666666</v>
      </c>
      <c r="R3741" s="706">
        <v>34161856.530768</v>
      </c>
      <c r="S3741" s="369">
        <v>112.85666666666667</v>
      </c>
      <c r="T3741" s="369">
        <v>122.235</v>
      </c>
      <c r="U3741" s="369">
        <v>1.0856000000000001</v>
      </c>
      <c r="V3741" s="706">
        <v>38024272.401696496</v>
      </c>
      <c r="W3741" s="706">
        <v>2942183.1859405055</v>
      </c>
    </row>
    <row r="3742" spans="2:23" ht="24" customHeight="1">
      <c r="J3742" s="345"/>
      <c r="K3742" s="703"/>
      <c r="L3742" s="342"/>
      <c r="M3742" s="342"/>
      <c r="N3742" s="340"/>
      <c r="O3742" s="703"/>
      <c r="P3742" s="342"/>
      <c r="Q3742" s="363"/>
      <c r="R3742" s="340"/>
      <c r="S3742" s="342"/>
      <c r="T3742" s="342"/>
      <c r="U3742" s="342"/>
      <c r="V3742" s="340"/>
      <c r="W3742" s="340"/>
    </row>
    <row r="3743" spans="2:23" ht="24" customHeight="1">
      <c r="B3743" s="67"/>
      <c r="E3743" s="1" t="s">
        <v>958</v>
      </c>
      <c r="J3743" s="345"/>
      <c r="K3743" s="703"/>
      <c r="L3743" s="342"/>
      <c r="M3743" s="342"/>
      <c r="N3743" s="340"/>
      <c r="O3743" s="703"/>
      <c r="P3743" s="342"/>
      <c r="Q3743" s="363"/>
      <c r="R3743" s="340"/>
      <c r="S3743" s="342"/>
      <c r="T3743" s="342"/>
      <c r="U3743" s="342"/>
      <c r="V3743" s="340"/>
      <c r="W3743" s="340"/>
    </row>
    <row r="3744" spans="2:23" ht="24" customHeight="1">
      <c r="B3744" s="67"/>
      <c r="F3744" s="346">
        <v>44791</v>
      </c>
      <c r="G3744" s="346"/>
      <c r="H3744" s="346"/>
      <c r="I3744" s="346"/>
      <c r="J3744" s="345"/>
      <c r="K3744" s="703"/>
      <c r="L3744" s="342"/>
      <c r="M3744" s="342"/>
      <c r="N3744" s="340"/>
      <c r="O3744" s="703"/>
      <c r="P3744" s="342"/>
      <c r="Q3744" s="363"/>
      <c r="R3744" s="340"/>
      <c r="S3744" s="342"/>
      <c r="T3744" s="342"/>
      <c r="U3744" s="342"/>
      <c r="V3744" s="340"/>
      <c r="W3744" s="340"/>
    </row>
    <row r="3745" spans="2:23" ht="24" customHeight="1">
      <c r="B3745" s="67"/>
      <c r="G3745" s="3" t="s">
        <v>59</v>
      </c>
      <c r="H3745" s="3"/>
      <c r="I3745" s="3"/>
      <c r="J3745" s="345"/>
      <c r="K3745" s="703"/>
      <c r="L3745" s="342"/>
      <c r="M3745" s="342"/>
      <c r="N3745" s="340"/>
      <c r="O3745" s="703"/>
      <c r="P3745" s="342"/>
      <c r="Q3745" s="363"/>
      <c r="R3745" s="340"/>
      <c r="S3745" s="342"/>
      <c r="T3745" s="342"/>
      <c r="U3745" s="342"/>
      <c r="V3745" s="340"/>
      <c r="W3745" s="340"/>
    </row>
    <row r="3746" spans="2:23" ht="24" customHeight="1">
      <c r="B3746" s="67"/>
      <c r="H3746" s="347">
        <v>44134</v>
      </c>
      <c r="I3746" s="347"/>
      <c r="J3746" s="345"/>
      <c r="K3746" s="703"/>
      <c r="L3746" s="342"/>
      <c r="M3746" s="342"/>
      <c r="N3746" s="340"/>
      <c r="O3746" s="703"/>
      <c r="P3746" s="342"/>
      <c r="Q3746" s="363"/>
      <c r="R3746" s="340"/>
      <c r="S3746" s="342"/>
      <c r="T3746" s="342"/>
      <c r="U3746" s="342"/>
      <c r="V3746" s="340"/>
      <c r="W3746" s="340"/>
    </row>
    <row r="3747" spans="2:23" ht="24" customHeight="1">
      <c r="B3747" s="67"/>
      <c r="I3747" s="3" t="s">
        <v>59</v>
      </c>
      <c r="J3747" s="345">
        <v>1750</v>
      </c>
      <c r="K3747" s="703">
        <v>832979.17</v>
      </c>
      <c r="L3747" s="342">
        <v>1</v>
      </c>
      <c r="M3747" s="342">
        <v>19.930299999999999</v>
      </c>
      <c r="N3747" s="340">
        <v>16601524.751851</v>
      </c>
      <c r="O3747" s="703">
        <v>604199.23</v>
      </c>
      <c r="P3747" s="342">
        <v>1</v>
      </c>
      <c r="Q3747" s="363">
        <v>21.1648</v>
      </c>
      <c r="R3747" s="340">
        <v>12787755.863103999</v>
      </c>
      <c r="S3747" s="342">
        <v>108.774</v>
      </c>
      <c r="T3747" s="342">
        <v>122.94799999999999</v>
      </c>
      <c r="U3747" s="342">
        <v>1.1303000000000001</v>
      </c>
      <c r="V3747" s="340">
        <v>14454000.452066451</v>
      </c>
      <c r="W3747" s="340">
        <v>2147524.2997845486</v>
      </c>
    </row>
    <row r="3748" spans="2:23" ht="24" customHeight="1">
      <c r="J3748" s="345"/>
      <c r="K3748" s="703"/>
      <c r="L3748" s="342"/>
      <c r="M3748" s="342"/>
      <c r="N3748" s="340"/>
      <c r="O3748" s="703"/>
      <c r="P3748" s="342"/>
      <c r="Q3748" s="363"/>
      <c r="R3748" s="340"/>
      <c r="S3748" s="342"/>
      <c r="T3748" s="342"/>
      <c r="U3748" s="342"/>
      <c r="V3748" s="340"/>
      <c r="W3748" s="340"/>
    </row>
    <row r="3749" spans="2:23" ht="24" customHeight="1">
      <c r="B3749" s="67"/>
      <c r="H3749" s="347">
        <v>44692</v>
      </c>
      <c r="I3749" s="347"/>
      <c r="J3749" s="345"/>
      <c r="K3749" s="703"/>
      <c r="L3749" s="342"/>
      <c r="M3749" s="342"/>
      <c r="N3749" s="340"/>
      <c r="O3749" s="703"/>
      <c r="P3749" s="342"/>
      <c r="Q3749" s="363"/>
      <c r="R3749" s="340"/>
      <c r="S3749" s="342"/>
      <c r="T3749" s="342"/>
      <c r="U3749" s="342"/>
      <c r="V3749" s="340"/>
      <c r="W3749" s="340"/>
    </row>
    <row r="3750" spans="2:23" ht="24" customHeight="1">
      <c r="B3750" s="67"/>
      <c r="I3750" s="3" t="s">
        <v>59</v>
      </c>
      <c r="J3750" s="345">
        <v>475</v>
      </c>
      <c r="K3750" s="703">
        <v>226094.35</v>
      </c>
      <c r="L3750" s="342">
        <v>1</v>
      </c>
      <c r="M3750" s="342">
        <v>19.930299999999999</v>
      </c>
      <c r="N3750" s="340">
        <v>4506128.2238050001</v>
      </c>
      <c r="O3750" s="703">
        <v>210246.45</v>
      </c>
      <c r="P3750" s="342">
        <v>1</v>
      </c>
      <c r="Q3750" s="363">
        <v>20.3172</v>
      </c>
      <c r="R3750" s="340">
        <v>4271619.1739400001</v>
      </c>
      <c r="S3750" s="342">
        <v>121.02200000000001</v>
      </c>
      <c r="T3750" s="342">
        <v>122.94799999999999</v>
      </c>
      <c r="U3750" s="342">
        <v>1.0159</v>
      </c>
      <c r="V3750" s="340">
        <v>4339537.9188056458</v>
      </c>
      <c r="W3750" s="340">
        <v>166590.3049993543</v>
      </c>
    </row>
    <row r="3751" spans="2:23" ht="24" customHeight="1">
      <c r="J3751" s="345"/>
      <c r="K3751" s="703"/>
      <c r="L3751" s="342"/>
      <c r="M3751" s="342"/>
      <c r="N3751" s="340"/>
      <c r="O3751" s="703"/>
      <c r="P3751" s="342"/>
      <c r="Q3751" s="363"/>
      <c r="R3751" s="340"/>
      <c r="S3751" s="342"/>
      <c r="T3751" s="342"/>
      <c r="U3751" s="342"/>
      <c r="V3751" s="340"/>
      <c r="W3751" s="340"/>
    </row>
    <row r="3752" spans="2:23" ht="24" customHeight="1">
      <c r="B3752" s="67"/>
      <c r="E3752" s="131" t="s">
        <v>1239</v>
      </c>
      <c r="F3752" s="131"/>
      <c r="G3752" s="131"/>
      <c r="H3752" s="131"/>
      <c r="I3752" s="131"/>
      <c r="J3752" s="704">
        <v>2225</v>
      </c>
      <c r="K3752" s="705">
        <v>1059073.52</v>
      </c>
      <c r="L3752" s="369">
        <v>1</v>
      </c>
      <c r="M3752" s="377">
        <v>19.930299999999999</v>
      </c>
      <c r="N3752" s="706">
        <v>21107652.975655999</v>
      </c>
      <c r="O3752" s="705">
        <v>814445.67999999993</v>
      </c>
      <c r="P3752" s="369">
        <v>1</v>
      </c>
      <c r="Q3752" s="377">
        <v>20.741</v>
      </c>
      <c r="R3752" s="706">
        <v>17059375.037044</v>
      </c>
      <c r="S3752" s="369">
        <v>114.898</v>
      </c>
      <c r="T3752" s="369">
        <v>122.94799999999999</v>
      </c>
      <c r="U3752" s="369">
        <v>1.0731000000000002</v>
      </c>
      <c r="V3752" s="706">
        <v>18793538.370872095</v>
      </c>
      <c r="W3752" s="706">
        <v>2314114.6047839029</v>
      </c>
    </row>
    <row r="3753" spans="2:23" ht="24" customHeight="1">
      <c r="J3753" s="345"/>
      <c r="K3753" s="703"/>
      <c r="L3753" s="342"/>
      <c r="M3753" s="342"/>
      <c r="N3753" s="340"/>
      <c r="O3753" s="703"/>
      <c r="P3753" s="342"/>
      <c r="Q3753" s="363"/>
      <c r="R3753" s="340"/>
      <c r="S3753" s="342"/>
      <c r="T3753" s="342"/>
      <c r="U3753" s="342"/>
      <c r="V3753" s="340"/>
      <c r="W3753" s="340"/>
    </row>
    <row r="3754" spans="2:23" ht="24" customHeight="1">
      <c r="B3754" s="67"/>
      <c r="E3754" s="1" t="s">
        <v>959</v>
      </c>
      <c r="J3754" s="345"/>
      <c r="K3754" s="703"/>
      <c r="L3754" s="342"/>
      <c r="M3754" s="342"/>
      <c r="N3754" s="340"/>
      <c r="O3754" s="703"/>
      <c r="P3754" s="342"/>
      <c r="Q3754" s="363"/>
      <c r="R3754" s="340"/>
      <c r="S3754" s="342"/>
      <c r="T3754" s="342"/>
      <c r="U3754" s="342"/>
      <c r="V3754" s="340"/>
      <c r="W3754" s="340"/>
    </row>
    <row r="3755" spans="2:23" ht="24" customHeight="1">
      <c r="B3755" s="67"/>
      <c r="F3755" s="346">
        <v>44791</v>
      </c>
      <c r="G3755" s="346"/>
      <c r="H3755" s="346"/>
      <c r="I3755" s="346"/>
      <c r="J3755" s="345"/>
      <c r="K3755" s="703"/>
      <c r="L3755" s="342"/>
      <c r="M3755" s="342"/>
      <c r="N3755" s="340"/>
      <c r="O3755" s="703"/>
      <c r="P3755" s="342"/>
      <c r="Q3755" s="363"/>
      <c r="R3755" s="340"/>
      <c r="S3755" s="342"/>
      <c r="T3755" s="342"/>
      <c r="U3755" s="342"/>
      <c r="V3755" s="340"/>
      <c r="W3755" s="340"/>
    </row>
    <row r="3756" spans="2:23" ht="24" customHeight="1">
      <c r="B3756" s="67"/>
      <c r="G3756" s="3" t="s">
        <v>59</v>
      </c>
      <c r="H3756" s="3"/>
      <c r="I3756" s="3"/>
      <c r="J3756" s="345"/>
      <c r="K3756" s="703"/>
      <c r="L3756" s="342"/>
      <c r="M3756" s="342"/>
      <c r="N3756" s="340"/>
      <c r="O3756" s="703"/>
      <c r="P3756" s="342"/>
      <c r="Q3756" s="363"/>
      <c r="R3756" s="340"/>
      <c r="S3756" s="342"/>
      <c r="T3756" s="342"/>
      <c r="U3756" s="342"/>
      <c r="V3756" s="340"/>
      <c r="W3756" s="340"/>
    </row>
    <row r="3757" spans="2:23" ht="24" customHeight="1">
      <c r="B3757" s="67"/>
      <c r="H3757" s="347">
        <v>44692</v>
      </c>
      <c r="I3757" s="347"/>
      <c r="J3757" s="345"/>
      <c r="K3757" s="703"/>
      <c r="L3757" s="342"/>
      <c r="M3757" s="342"/>
      <c r="N3757" s="340"/>
      <c r="O3757" s="703"/>
      <c r="P3757" s="342"/>
      <c r="Q3757" s="363"/>
      <c r="R3757" s="340"/>
      <c r="S3757" s="342"/>
      <c r="T3757" s="342"/>
      <c r="U3757" s="342"/>
      <c r="V3757" s="340"/>
      <c r="W3757" s="340"/>
    </row>
    <row r="3758" spans="2:23" ht="24" customHeight="1">
      <c r="B3758" s="67"/>
      <c r="I3758" s="3" t="s">
        <v>59</v>
      </c>
      <c r="J3758" s="345">
        <v>7000</v>
      </c>
      <c r="K3758" s="703">
        <v>618670.32999999996</v>
      </c>
      <c r="L3758" s="342">
        <v>1</v>
      </c>
      <c r="M3758" s="342">
        <v>19.930299999999999</v>
      </c>
      <c r="N3758" s="340">
        <v>12330285.277998999</v>
      </c>
      <c r="O3758" s="703">
        <v>500707.9</v>
      </c>
      <c r="P3758" s="342">
        <v>1</v>
      </c>
      <c r="Q3758" s="363">
        <v>20.3172</v>
      </c>
      <c r="R3758" s="340">
        <v>10172982.545880001</v>
      </c>
      <c r="S3758" s="342">
        <v>121.02200000000001</v>
      </c>
      <c r="T3758" s="342">
        <v>122.94799999999999</v>
      </c>
      <c r="U3758" s="342">
        <v>1.0159</v>
      </c>
      <c r="V3758" s="340">
        <v>10334732.968359493</v>
      </c>
      <c r="W3758" s="340">
        <v>1995552.309639506</v>
      </c>
    </row>
    <row r="3759" spans="2:23" ht="24" customHeight="1">
      <c r="J3759" s="345"/>
      <c r="K3759" s="703"/>
      <c r="L3759" s="342"/>
      <c r="M3759" s="342"/>
      <c r="N3759" s="340"/>
      <c r="O3759" s="703"/>
      <c r="P3759" s="342"/>
      <c r="Q3759" s="363"/>
      <c r="R3759" s="340"/>
      <c r="S3759" s="342"/>
      <c r="T3759" s="342"/>
      <c r="U3759" s="342"/>
      <c r="V3759" s="340"/>
      <c r="W3759" s="340"/>
    </row>
    <row r="3760" spans="2:23" ht="24" customHeight="1">
      <c r="B3760" s="67"/>
      <c r="H3760" s="347">
        <v>44698</v>
      </c>
      <c r="I3760" s="347"/>
      <c r="J3760" s="345"/>
      <c r="K3760" s="703"/>
      <c r="L3760" s="342"/>
      <c r="M3760" s="342"/>
      <c r="N3760" s="340"/>
      <c r="O3760" s="703"/>
      <c r="P3760" s="342"/>
      <c r="Q3760" s="363"/>
      <c r="R3760" s="340"/>
      <c r="S3760" s="342"/>
      <c r="T3760" s="342"/>
      <c r="U3760" s="342"/>
      <c r="V3760" s="340"/>
      <c r="W3760" s="340"/>
    </row>
    <row r="3761" spans="2:23" ht="24" customHeight="1">
      <c r="B3761" s="67"/>
      <c r="I3761" s="3" t="s">
        <v>59</v>
      </c>
      <c r="J3761" s="345">
        <v>1700</v>
      </c>
      <c r="K3761" s="703">
        <v>150248.51</v>
      </c>
      <c r="L3761" s="342">
        <v>1</v>
      </c>
      <c r="M3761" s="342">
        <v>19.930299999999999</v>
      </c>
      <c r="N3761" s="340">
        <v>2994497.8788530002</v>
      </c>
      <c r="O3761" s="703">
        <v>125175.42</v>
      </c>
      <c r="P3761" s="342">
        <v>1</v>
      </c>
      <c r="Q3761" s="363">
        <v>20.144300000000001</v>
      </c>
      <c r="R3761" s="340">
        <v>2521571.2131060003</v>
      </c>
      <c r="S3761" s="342">
        <v>121.02200000000001</v>
      </c>
      <c r="T3761" s="342">
        <v>122.94799999999999</v>
      </c>
      <c r="U3761" s="342">
        <v>1.0159</v>
      </c>
      <c r="V3761" s="340">
        <v>2561664.1953943856</v>
      </c>
      <c r="W3761" s="340">
        <v>432833.68345861463</v>
      </c>
    </row>
    <row r="3762" spans="2:23" ht="24" customHeight="1">
      <c r="J3762" s="345"/>
      <c r="K3762" s="703"/>
      <c r="L3762" s="342"/>
      <c r="M3762" s="342"/>
      <c r="N3762" s="340"/>
      <c r="O3762" s="703"/>
      <c r="P3762" s="342"/>
      <c r="Q3762" s="363"/>
      <c r="R3762" s="340"/>
      <c r="S3762" s="342"/>
      <c r="T3762" s="342"/>
      <c r="U3762" s="342"/>
      <c r="V3762" s="340"/>
      <c r="W3762" s="340"/>
    </row>
    <row r="3763" spans="2:23" ht="24" customHeight="1">
      <c r="B3763" s="67"/>
      <c r="E3763" s="131" t="s">
        <v>1240</v>
      </c>
      <c r="F3763" s="131"/>
      <c r="G3763" s="131"/>
      <c r="H3763" s="131"/>
      <c r="I3763" s="131"/>
      <c r="J3763" s="704">
        <v>8700</v>
      </c>
      <c r="K3763" s="705">
        <v>768918.84</v>
      </c>
      <c r="L3763" s="369">
        <v>1</v>
      </c>
      <c r="M3763" s="377">
        <v>19.930299999999999</v>
      </c>
      <c r="N3763" s="706">
        <v>15324783.156851999</v>
      </c>
      <c r="O3763" s="705">
        <v>625883.32000000007</v>
      </c>
      <c r="P3763" s="369">
        <v>1</v>
      </c>
      <c r="Q3763" s="377">
        <v>20.23075</v>
      </c>
      <c r="R3763" s="706">
        <v>12694553.758986002</v>
      </c>
      <c r="S3763" s="369">
        <v>121.02200000000001</v>
      </c>
      <c r="T3763" s="369">
        <v>122.94799999999999</v>
      </c>
      <c r="U3763" s="369">
        <v>1.0159</v>
      </c>
      <c r="V3763" s="706">
        <v>12896397.163753878</v>
      </c>
      <c r="W3763" s="706">
        <v>2428385.9930981207</v>
      </c>
    </row>
    <row r="3764" spans="2:23" ht="24" customHeight="1">
      <c r="J3764" s="345"/>
      <c r="K3764" s="703"/>
      <c r="L3764" s="342"/>
      <c r="M3764" s="342"/>
      <c r="N3764" s="340"/>
      <c r="O3764" s="703"/>
      <c r="P3764" s="342"/>
      <c r="Q3764" s="363"/>
      <c r="R3764" s="340"/>
      <c r="S3764" s="342"/>
      <c r="T3764" s="342"/>
      <c r="U3764" s="342"/>
      <c r="V3764" s="340"/>
      <c r="W3764" s="340"/>
    </row>
    <row r="3765" spans="2:23" ht="24" customHeight="1">
      <c r="B3765" s="67"/>
      <c r="E3765" s="1" t="s">
        <v>735</v>
      </c>
      <c r="J3765" s="345"/>
      <c r="K3765" s="703"/>
      <c r="L3765" s="342"/>
      <c r="M3765" s="342"/>
      <c r="N3765" s="340"/>
      <c r="O3765" s="703"/>
      <c r="P3765" s="342"/>
      <c r="Q3765" s="363"/>
      <c r="R3765" s="340"/>
      <c r="S3765" s="342"/>
      <c r="T3765" s="342"/>
      <c r="U3765" s="342"/>
      <c r="V3765" s="340"/>
      <c r="W3765" s="340"/>
    </row>
    <row r="3766" spans="2:23" ht="24" customHeight="1">
      <c r="B3766" s="67"/>
      <c r="F3766" s="346">
        <v>44663</v>
      </c>
      <c r="G3766" s="346"/>
      <c r="H3766" s="346"/>
      <c r="I3766" s="346"/>
      <c r="J3766" s="345"/>
      <c r="K3766" s="703"/>
      <c r="L3766" s="342"/>
      <c r="M3766" s="342"/>
      <c r="N3766" s="340"/>
      <c r="O3766" s="703"/>
      <c r="P3766" s="342"/>
      <c r="Q3766" s="363"/>
      <c r="R3766" s="340"/>
      <c r="S3766" s="342"/>
      <c r="T3766" s="342"/>
      <c r="U3766" s="342"/>
      <c r="V3766" s="340"/>
      <c r="W3766" s="340"/>
    </row>
    <row r="3767" spans="2:23" ht="24" customHeight="1">
      <c r="B3767" s="67"/>
      <c r="G3767" s="3" t="s">
        <v>59</v>
      </c>
      <c r="H3767" s="3"/>
      <c r="I3767" s="3"/>
      <c r="J3767" s="345"/>
      <c r="K3767" s="703"/>
      <c r="L3767" s="342"/>
      <c r="M3767" s="342"/>
      <c r="N3767" s="340"/>
      <c r="O3767" s="703"/>
      <c r="P3767" s="342"/>
      <c r="Q3767" s="363"/>
      <c r="R3767" s="340"/>
      <c r="S3767" s="342"/>
      <c r="T3767" s="342"/>
      <c r="U3767" s="342"/>
      <c r="V3767" s="340"/>
      <c r="W3767" s="340"/>
    </row>
    <row r="3768" spans="2:23" ht="24" customHeight="1">
      <c r="B3768" s="67"/>
      <c r="H3768" s="347">
        <v>44258</v>
      </c>
      <c r="I3768" s="347"/>
      <c r="J3768" s="345"/>
      <c r="K3768" s="703"/>
      <c r="L3768" s="342"/>
      <c r="M3768" s="342"/>
      <c r="N3768" s="340"/>
      <c r="O3768" s="703"/>
      <c r="P3768" s="342"/>
      <c r="Q3768" s="363"/>
      <c r="R3768" s="340"/>
      <c r="S3768" s="342"/>
      <c r="T3768" s="342"/>
      <c r="U3768" s="342"/>
      <c r="V3768" s="340"/>
      <c r="W3768" s="340"/>
    </row>
    <row r="3769" spans="2:23" ht="24" customHeight="1">
      <c r="B3769" s="67"/>
      <c r="I3769" s="3" t="s">
        <v>59</v>
      </c>
      <c r="J3769" s="345">
        <v>2200</v>
      </c>
      <c r="K3769" s="703">
        <v>340998.26</v>
      </c>
      <c r="L3769" s="342">
        <v>1</v>
      </c>
      <c r="M3769" s="342">
        <v>20.12</v>
      </c>
      <c r="N3769" s="340">
        <v>6860884.991200001</v>
      </c>
      <c r="O3769" s="703">
        <v>283321.5</v>
      </c>
      <c r="P3769" s="342">
        <v>1</v>
      </c>
      <c r="Q3769" s="363">
        <v>20.612300000000001</v>
      </c>
      <c r="R3769" s="340">
        <v>5839907.7544499999</v>
      </c>
      <c r="S3769" s="342">
        <v>111.824</v>
      </c>
      <c r="T3769" s="342">
        <v>120.15900000000001</v>
      </c>
      <c r="U3769" s="342">
        <v>1.0745</v>
      </c>
      <c r="V3769" s="340">
        <v>6274980.8821565248</v>
      </c>
      <c r="W3769" s="340">
        <v>585904.10904347617</v>
      </c>
    </row>
    <row r="3770" spans="2:23" ht="24" customHeight="1">
      <c r="J3770" s="345"/>
      <c r="K3770" s="703"/>
      <c r="L3770" s="342"/>
      <c r="M3770" s="342"/>
      <c r="N3770" s="340"/>
      <c r="O3770" s="703"/>
      <c r="P3770" s="342"/>
      <c r="Q3770" s="363"/>
      <c r="R3770" s="340"/>
      <c r="S3770" s="342"/>
      <c r="T3770" s="342"/>
      <c r="U3770" s="342"/>
      <c r="V3770" s="340"/>
      <c r="W3770" s="340"/>
    </row>
    <row r="3771" spans="2:23" ht="24" customHeight="1">
      <c r="B3771" s="67"/>
      <c r="F3771" s="346">
        <v>44791</v>
      </c>
      <c r="G3771" s="346"/>
      <c r="H3771" s="346"/>
      <c r="I3771" s="346"/>
      <c r="J3771" s="345"/>
      <c r="K3771" s="703"/>
      <c r="L3771" s="342"/>
      <c r="M3771" s="342"/>
      <c r="N3771" s="340"/>
      <c r="O3771" s="703"/>
      <c r="P3771" s="342"/>
      <c r="Q3771" s="363"/>
      <c r="R3771" s="340"/>
      <c r="S3771" s="342"/>
      <c r="T3771" s="342"/>
      <c r="U3771" s="342"/>
      <c r="V3771" s="340"/>
      <c r="W3771" s="340"/>
    </row>
    <row r="3772" spans="2:23" ht="24" customHeight="1">
      <c r="B3772" s="67"/>
      <c r="G3772" s="3" t="s">
        <v>59</v>
      </c>
      <c r="H3772" s="3"/>
      <c r="I3772" s="3"/>
      <c r="J3772" s="345"/>
      <c r="K3772" s="703"/>
      <c r="L3772" s="342"/>
      <c r="M3772" s="342"/>
      <c r="N3772" s="340"/>
      <c r="O3772" s="703"/>
      <c r="P3772" s="342"/>
      <c r="Q3772" s="363"/>
      <c r="R3772" s="340"/>
      <c r="S3772" s="342"/>
      <c r="T3772" s="342"/>
      <c r="U3772" s="342"/>
      <c r="V3772" s="340"/>
      <c r="W3772" s="340"/>
    </row>
    <row r="3773" spans="2:23" ht="24" customHeight="1">
      <c r="B3773" s="67"/>
      <c r="H3773" s="347">
        <v>44699</v>
      </c>
      <c r="I3773" s="347"/>
      <c r="J3773" s="345"/>
      <c r="K3773" s="703"/>
      <c r="L3773" s="342"/>
      <c r="M3773" s="342"/>
      <c r="N3773" s="340"/>
      <c r="O3773" s="703"/>
      <c r="P3773" s="342"/>
      <c r="Q3773" s="363"/>
      <c r="R3773" s="340"/>
      <c r="S3773" s="342"/>
      <c r="T3773" s="342"/>
      <c r="U3773" s="342"/>
      <c r="V3773" s="340"/>
      <c r="W3773" s="340"/>
    </row>
    <row r="3774" spans="2:23" ht="24" customHeight="1">
      <c r="B3774" s="67"/>
      <c r="I3774" s="3" t="s">
        <v>59</v>
      </c>
      <c r="J3774" s="345">
        <v>4000</v>
      </c>
      <c r="K3774" s="703">
        <v>555307.28</v>
      </c>
      <c r="L3774" s="342">
        <v>1</v>
      </c>
      <c r="M3774" s="342">
        <v>19.930299999999999</v>
      </c>
      <c r="N3774" s="340">
        <v>11067440.682584001</v>
      </c>
      <c r="O3774" s="703">
        <v>492563.20000000001</v>
      </c>
      <c r="P3774" s="342">
        <v>1</v>
      </c>
      <c r="Q3774" s="363">
        <v>20.078199999999999</v>
      </c>
      <c r="R3774" s="340">
        <v>9889782.4422399998</v>
      </c>
      <c r="S3774" s="342">
        <v>121.02200000000001</v>
      </c>
      <c r="T3774" s="342">
        <v>122.94799999999999</v>
      </c>
      <c r="U3774" s="342">
        <v>1.0159</v>
      </c>
      <c r="V3774" s="340">
        <v>10047029.983071616</v>
      </c>
      <c r="W3774" s="340">
        <v>1020410.6995123848</v>
      </c>
    </row>
    <row r="3775" spans="2:23" ht="24" customHeight="1">
      <c r="J3775" s="345"/>
      <c r="K3775" s="703"/>
      <c r="L3775" s="342"/>
      <c r="M3775" s="342"/>
      <c r="N3775" s="340"/>
      <c r="O3775" s="703"/>
      <c r="P3775" s="342"/>
      <c r="Q3775" s="363"/>
      <c r="R3775" s="340"/>
      <c r="S3775" s="342"/>
      <c r="T3775" s="342"/>
      <c r="U3775" s="342"/>
      <c r="V3775" s="340"/>
      <c r="W3775" s="340"/>
    </row>
    <row r="3776" spans="2:23" ht="24" customHeight="1">
      <c r="B3776" s="67"/>
      <c r="E3776" s="131" t="s">
        <v>1241</v>
      </c>
      <c r="F3776" s="131"/>
      <c r="G3776" s="131"/>
      <c r="H3776" s="131"/>
      <c r="I3776" s="131"/>
      <c r="J3776" s="704">
        <v>6200</v>
      </c>
      <c r="K3776" s="705">
        <v>896305.54</v>
      </c>
      <c r="L3776" s="369">
        <v>1</v>
      </c>
      <c r="M3776" s="377">
        <v>20.02515</v>
      </c>
      <c r="N3776" s="706">
        <v>17928325.673784003</v>
      </c>
      <c r="O3776" s="705">
        <v>775884.7</v>
      </c>
      <c r="P3776" s="369">
        <v>1</v>
      </c>
      <c r="Q3776" s="377">
        <v>20.34525</v>
      </c>
      <c r="R3776" s="706">
        <v>15729690.196690001</v>
      </c>
      <c r="S3776" s="369">
        <v>116.423</v>
      </c>
      <c r="T3776" s="369">
        <v>121.5535</v>
      </c>
      <c r="U3776" s="369">
        <v>1.0451999999999999</v>
      </c>
      <c r="V3776" s="706">
        <v>16322010.865228141</v>
      </c>
      <c r="W3776" s="706">
        <v>1606314.808555861</v>
      </c>
    </row>
    <row r="3777" spans="2:23" ht="24" customHeight="1">
      <c r="J3777" s="345"/>
      <c r="K3777" s="703"/>
      <c r="L3777" s="342"/>
      <c r="M3777" s="342"/>
      <c r="N3777" s="340"/>
      <c r="O3777" s="703"/>
      <c r="P3777" s="342"/>
      <c r="Q3777" s="363"/>
      <c r="R3777" s="340"/>
      <c r="S3777" s="342"/>
      <c r="T3777" s="342"/>
      <c r="U3777" s="342"/>
      <c r="V3777" s="340"/>
      <c r="W3777" s="340"/>
    </row>
    <row r="3778" spans="2:23" ht="24" customHeight="1">
      <c r="B3778" s="67"/>
      <c r="E3778" s="1" t="s">
        <v>760</v>
      </c>
      <c r="J3778" s="345"/>
      <c r="K3778" s="703"/>
      <c r="L3778" s="342"/>
      <c r="M3778" s="342"/>
      <c r="N3778" s="340"/>
      <c r="O3778" s="703"/>
      <c r="P3778" s="342"/>
      <c r="Q3778" s="363"/>
      <c r="R3778" s="340"/>
      <c r="S3778" s="342"/>
      <c r="T3778" s="342"/>
      <c r="U3778" s="342"/>
      <c r="V3778" s="340"/>
      <c r="W3778" s="340"/>
    </row>
    <row r="3779" spans="2:23" ht="24" customHeight="1">
      <c r="B3779" s="67"/>
      <c r="F3779" s="346">
        <v>44575</v>
      </c>
      <c r="G3779" s="346"/>
      <c r="H3779" s="346"/>
      <c r="I3779" s="346"/>
      <c r="J3779" s="345"/>
      <c r="K3779" s="703"/>
      <c r="L3779" s="342"/>
      <c r="M3779" s="342"/>
      <c r="N3779" s="340"/>
      <c r="O3779" s="703"/>
      <c r="P3779" s="342"/>
      <c r="Q3779" s="363"/>
      <c r="R3779" s="340"/>
      <c r="S3779" s="342"/>
      <c r="T3779" s="342"/>
      <c r="U3779" s="342"/>
      <c r="V3779" s="340"/>
      <c r="W3779" s="340"/>
    </row>
    <row r="3780" spans="2:23" ht="24" customHeight="1">
      <c r="B3780" s="67"/>
      <c r="G3780" s="3" t="s">
        <v>59</v>
      </c>
      <c r="H3780" s="3"/>
      <c r="I3780" s="3"/>
      <c r="J3780" s="345"/>
      <c r="K3780" s="703"/>
      <c r="L3780" s="342"/>
      <c r="M3780" s="342"/>
      <c r="N3780" s="340"/>
      <c r="O3780" s="703"/>
      <c r="P3780" s="342"/>
      <c r="Q3780" s="363"/>
      <c r="R3780" s="340"/>
      <c r="S3780" s="342"/>
      <c r="T3780" s="342"/>
      <c r="U3780" s="342"/>
      <c r="V3780" s="340"/>
      <c r="W3780" s="340"/>
    </row>
    <row r="3781" spans="2:23" ht="24" customHeight="1">
      <c r="B3781" s="67"/>
      <c r="H3781" s="347">
        <v>44174</v>
      </c>
      <c r="I3781" s="347"/>
      <c r="J3781" s="345"/>
      <c r="K3781" s="703"/>
      <c r="L3781" s="342"/>
      <c r="M3781" s="342"/>
      <c r="N3781" s="340"/>
      <c r="O3781" s="703"/>
      <c r="P3781" s="342"/>
      <c r="Q3781" s="363"/>
      <c r="R3781" s="340"/>
      <c r="S3781" s="342"/>
      <c r="T3781" s="342"/>
      <c r="U3781" s="342"/>
      <c r="V3781" s="340"/>
      <c r="W3781" s="340"/>
    </row>
    <row r="3782" spans="2:23" ht="24" customHeight="1">
      <c r="B3782" s="67"/>
      <c r="I3782" s="3" t="s">
        <v>59</v>
      </c>
      <c r="J3782" s="345">
        <v>12900</v>
      </c>
      <c r="K3782" s="703">
        <v>746446.95</v>
      </c>
      <c r="L3782" s="342">
        <v>1</v>
      </c>
      <c r="M3782" s="342">
        <v>20.366</v>
      </c>
      <c r="N3782" s="340">
        <v>15202138.583699999</v>
      </c>
      <c r="O3782" s="703">
        <v>373589.16</v>
      </c>
      <c r="P3782" s="342">
        <v>1</v>
      </c>
      <c r="Q3782" s="363">
        <v>19.821300000000001</v>
      </c>
      <c r="R3782" s="340">
        <v>7405022.8171079997</v>
      </c>
      <c r="S3782" s="342">
        <v>109.271</v>
      </c>
      <c r="T3782" s="342">
        <v>117.30800000000001</v>
      </c>
      <c r="U3782" s="342">
        <v>1.0734999999999999</v>
      </c>
      <c r="V3782" s="340">
        <v>7949291.9941654373</v>
      </c>
      <c r="W3782" s="340">
        <v>7252846.5895345611</v>
      </c>
    </row>
    <row r="3783" spans="2:23" ht="24" customHeight="1">
      <c r="J3783" s="345"/>
      <c r="K3783" s="703"/>
      <c r="L3783" s="342"/>
      <c r="M3783" s="342"/>
      <c r="N3783" s="340"/>
      <c r="O3783" s="703"/>
      <c r="P3783" s="342"/>
      <c r="Q3783" s="363"/>
      <c r="R3783" s="340"/>
      <c r="S3783" s="342"/>
      <c r="T3783" s="342"/>
      <c r="U3783" s="342"/>
      <c r="V3783" s="340"/>
      <c r="W3783" s="340"/>
    </row>
    <row r="3784" spans="2:23" ht="24" customHeight="1">
      <c r="B3784" s="67"/>
      <c r="E3784" s="131" t="s">
        <v>1242</v>
      </c>
      <c r="F3784" s="131"/>
      <c r="G3784" s="131"/>
      <c r="H3784" s="131"/>
      <c r="I3784" s="131"/>
      <c r="J3784" s="704">
        <v>12900</v>
      </c>
      <c r="K3784" s="705">
        <v>746446.95</v>
      </c>
      <c r="L3784" s="369">
        <v>1</v>
      </c>
      <c r="M3784" s="377">
        <v>20.366</v>
      </c>
      <c r="N3784" s="706">
        <v>15202138.583699999</v>
      </c>
      <c r="O3784" s="705">
        <v>373589.16</v>
      </c>
      <c r="P3784" s="369">
        <v>1</v>
      </c>
      <c r="Q3784" s="377">
        <v>19.821300000000001</v>
      </c>
      <c r="R3784" s="706">
        <v>7405022.8171079997</v>
      </c>
      <c r="S3784" s="369">
        <v>109.271</v>
      </c>
      <c r="T3784" s="369">
        <v>117.30800000000001</v>
      </c>
      <c r="U3784" s="369">
        <v>1.0734999999999999</v>
      </c>
      <c r="V3784" s="706">
        <v>7949291.9941654373</v>
      </c>
      <c r="W3784" s="706">
        <v>7252846.5895345611</v>
      </c>
    </row>
    <row r="3785" spans="2:23" ht="24" customHeight="1">
      <c r="J3785" s="345"/>
      <c r="K3785" s="703"/>
      <c r="L3785" s="342"/>
      <c r="M3785" s="342"/>
      <c r="N3785" s="340"/>
      <c r="O3785" s="703"/>
      <c r="P3785" s="342"/>
      <c r="Q3785" s="363"/>
      <c r="R3785" s="340"/>
      <c r="S3785" s="342"/>
      <c r="T3785" s="342"/>
      <c r="U3785" s="342"/>
      <c r="V3785" s="340"/>
      <c r="W3785" s="340"/>
    </row>
    <row r="3786" spans="2:23" ht="24" customHeight="1">
      <c r="B3786" s="67"/>
      <c r="D3786" s="364" t="s">
        <v>1265</v>
      </c>
      <c r="E3786" s="364"/>
      <c r="F3786" s="364"/>
      <c r="G3786" s="364"/>
      <c r="H3786" s="364"/>
      <c r="I3786" s="364"/>
      <c r="J3786" s="707">
        <v>260314</v>
      </c>
      <c r="K3786" s="708">
        <v>15683267.789999997</v>
      </c>
      <c r="L3786" s="370">
        <v>1</v>
      </c>
      <c r="M3786" s="370">
        <v>19.96782692307692</v>
      </c>
      <c r="N3786" s="709">
        <v>314361631.99371505</v>
      </c>
      <c r="O3786" s="708">
        <v>13600572.529999997</v>
      </c>
      <c r="P3786" s="370">
        <v>1</v>
      </c>
      <c r="Q3786" s="376">
        <v>20.947642307692313</v>
      </c>
      <c r="R3786" s="709">
        <v>280475778.4505499</v>
      </c>
      <c r="S3786" s="370">
        <v>112.3843990185246</v>
      </c>
      <c r="T3786" s="370">
        <v>121.55430769230765</v>
      </c>
      <c r="U3786" s="370">
        <v>1.0843692307692308</v>
      </c>
      <c r="V3786" s="709">
        <v>302017648.20158088</v>
      </c>
      <c r="W3786" s="709">
        <v>12343983.792134129</v>
      </c>
    </row>
    <row r="3787" spans="2:23" ht="24" customHeight="1">
      <c r="J3787" s="345"/>
      <c r="K3787" s="703"/>
      <c r="L3787" s="342"/>
      <c r="M3787" s="342"/>
      <c r="N3787" s="340"/>
      <c r="O3787" s="703"/>
      <c r="P3787" s="342"/>
      <c r="Q3787" s="363"/>
      <c r="R3787" s="340"/>
      <c r="S3787" s="342"/>
      <c r="T3787" s="342"/>
      <c r="U3787" s="342"/>
      <c r="V3787" s="340"/>
      <c r="W3787" s="340"/>
    </row>
    <row r="3788" spans="2:23" ht="24" customHeight="1">
      <c r="B3788" s="67"/>
      <c r="D3788" s="1" t="s">
        <v>1256</v>
      </c>
      <c r="J3788" s="345"/>
      <c r="K3788" s="703"/>
      <c r="L3788" s="342"/>
      <c r="M3788" s="342"/>
      <c r="N3788" s="340"/>
      <c r="O3788" s="703"/>
      <c r="P3788" s="342"/>
      <c r="Q3788" s="363"/>
      <c r="R3788" s="340"/>
      <c r="S3788" s="342"/>
      <c r="T3788" s="342"/>
      <c r="U3788" s="342"/>
      <c r="V3788" s="340"/>
      <c r="W3788" s="340"/>
    </row>
    <row r="3789" spans="2:23" ht="24" customHeight="1">
      <c r="B3789" s="67"/>
      <c r="E3789" s="1" t="s">
        <v>868</v>
      </c>
      <c r="J3789" s="345"/>
      <c r="K3789" s="703"/>
      <c r="L3789" s="342"/>
      <c r="M3789" s="342"/>
      <c r="N3789" s="340"/>
      <c r="O3789" s="703"/>
      <c r="P3789" s="342"/>
      <c r="Q3789" s="363"/>
      <c r="R3789" s="340"/>
      <c r="S3789" s="342"/>
      <c r="T3789" s="342"/>
      <c r="U3789" s="342"/>
      <c r="V3789" s="340"/>
      <c r="W3789" s="340"/>
    </row>
    <row r="3790" spans="2:23" ht="24" customHeight="1">
      <c r="B3790" s="67"/>
      <c r="F3790" s="346">
        <v>44796</v>
      </c>
      <c r="G3790" s="346"/>
      <c r="H3790" s="346"/>
      <c r="I3790" s="346"/>
      <c r="J3790" s="345"/>
      <c r="K3790" s="703"/>
      <c r="L3790" s="342"/>
      <c r="M3790" s="342"/>
      <c r="N3790" s="340"/>
      <c r="O3790" s="703"/>
      <c r="P3790" s="342"/>
      <c r="Q3790" s="363"/>
      <c r="R3790" s="340"/>
      <c r="S3790" s="342"/>
      <c r="T3790" s="342"/>
      <c r="U3790" s="342"/>
      <c r="V3790" s="340"/>
      <c r="W3790" s="340"/>
    </row>
    <row r="3791" spans="2:23" ht="24" customHeight="1">
      <c r="B3791" s="67"/>
      <c r="G3791" s="3" t="s">
        <v>59</v>
      </c>
      <c r="H3791" s="3"/>
      <c r="I3791" s="3"/>
      <c r="J3791" s="345"/>
      <c r="K3791" s="703"/>
      <c r="L3791" s="342"/>
      <c r="M3791" s="342"/>
      <c r="N3791" s="340"/>
      <c r="O3791" s="703"/>
      <c r="P3791" s="342"/>
      <c r="Q3791" s="363"/>
      <c r="R3791" s="340"/>
      <c r="S3791" s="342"/>
      <c r="T3791" s="342"/>
      <c r="U3791" s="342"/>
      <c r="V3791" s="340"/>
      <c r="W3791" s="340"/>
    </row>
    <row r="3792" spans="2:23" ht="24" customHeight="1">
      <c r="B3792" s="67"/>
      <c r="H3792" s="347">
        <v>44504</v>
      </c>
      <c r="I3792" s="347"/>
      <c r="J3792" s="345"/>
      <c r="K3792" s="703"/>
      <c r="L3792" s="342"/>
      <c r="M3792" s="342"/>
      <c r="N3792" s="340"/>
      <c r="O3792" s="703"/>
      <c r="P3792" s="342"/>
      <c r="Q3792" s="363"/>
      <c r="R3792" s="340"/>
      <c r="S3792" s="342"/>
      <c r="T3792" s="342"/>
      <c r="U3792" s="342"/>
      <c r="V3792" s="340"/>
      <c r="W3792" s="340"/>
    </row>
    <row r="3793" spans="2:23" ht="24" customHeight="1">
      <c r="B3793" s="67"/>
      <c r="I3793" s="3" t="s">
        <v>59</v>
      </c>
      <c r="J3793" s="345">
        <v>362</v>
      </c>
      <c r="K3793" s="703">
        <v>20144.84</v>
      </c>
      <c r="L3793" s="342">
        <v>1</v>
      </c>
      <c r="M3793" s="342">
        <v>20.195699999999999</v>
      </c>
      <c r="N3793" s="340">
        <v>406839.14518799999</v>
      </c>
      <c r="O3793" s="703">
        <v>30540.16</v>
      </c>
      <c r="P3793" s="342">
        <v>1</v>
      </c>
      <c r="Q3793" s="363">
        <v>20.8598</v>
      </c>
      <c r="R3793" s="340">
        <v>637061.62956799997</v>
      </c>
      <c r="S3793" s="342">
        <v>116.884</v>
      </c>
      <c r="T3793" s="342">
        <v>122.94799999999999</v>
      </c>
      <c r="U3793" s="342">
        <v>1.0518000000000001</v>
      </c>
      <c r="V3793" s="340">
        <v>670061.42197962245</v>
      </c>
      <c r="W3793" s="340">
        <v>-263222.27679162245</v>
      </c>
    </row>
    <row r="3794" spans="2:23" ht="24" customHeight="1">
      <c r="J3794" s="345"/>
      <c r="K3794" s="703"/>
      <c r="L3794" s="342"/>
      <c r="M3794" s="342"/>
      <c r="N3794" s="340"/>
      <c r="O3794" s="703"/>
      <c r="P3794" s="342"/>
      <c r="Q3794" s="363"/>
      <c r="R3794" s="340"/>
      <c r="S3794" s="342"/>
      <c r="T3794" s="342"/>
      <c r="U3794" s="342"/>
      <c r="V3794" s="340"/>
      <c r="W3794" s="340"/>
    </row>
    <row r="3795" spans="2:23" ht="24" customHeight="1">
      <c r="B3795" s="67"/>
      <c r="H3795" s="347">
        <v>44516</v>
      </c>
      <c r="I3795" s="347"/>
      <c r="J3795" s="345"/>
      <c r="K3795" s="703"/>
      <c r="L3795" s="342"/>
      <c r="M3795" s="342"/>
      <c r="N3795" s="340"/>
      <c r="O3795" s="703"/>
      <c r="P3795" s="342"/>
      <c r="Q3795" s="363"/>
      <c r="R3795" s="340"/>
      <c r="S3795" s="342"/>
      <c r="T3795" s="342"/>
      <c r="U3795" s="342"/>
      <c r="V3795" s="340"/>
      <c r="W3795" s="340"/>
    </row>
    <row r="3796" spans="2:23" ht="24" customHeight="1">
      <c r="B3796" s="67"/>
      <c r="I3796" s="3" t="s">
        <v>59</v>
      </c>
      <c r="J3796" s="345">
        <v>1050</v>
      </c>
      <c r="K3796" s="703">
        <v>58431.15</v>
      </c>
      <c r="L3796" s="342">
        <v>1</v>
      </c>
      <c r="M3796" s="342">
        <v>20.195699999999999</v>
      </c>
      <c r="N3796" s="340">
        <v>1180057.976055</v>
      </c>
      <c r="O3796" s="703">
        <v>88583.35</v>
      </c>
      <c r="P3796" s="342">
        <v>1</v>
      </c>
      <c r="Q3796" s="363">
        <v>20.465199999999999</v>
      </c>
      <c r="R3796" s="340">
        <v>1812875.9744200001</v>
      </c>
      <c r="S3796" s="342">
        <v>116.884</v>
      </c>
      <c r="T3796" s="342">
        <v>122.94799999999999</v>
      </c>
      <c r="U3796" s="342">
        <v>1.0518000000000001</v>
      </c>
      <c r="V3796" s="340">
        <v>1906782.9498949563</v>
      </c>
      <c r="W3796" s="340">
        <v>-726724.97383995634</v>
      </c>
    </row>
    <row r="3797" spans="2:23" ht="24" customHeight="1">
      <c r="J3797" s="345"/>
      <c r="K3797" s="703"/>
      <c r="L3797" s="342"/>
      <c r="M3797" s="342"/>
      <c r="N3797" s="340"/>
      <c r="O3797" s="703"/>
      <c r="P3797" s="342"/>
      <c r="Q3797" s="363"/>
      <c r="R3797" s="340"/>
      <c r="S3797" s="342"/>
      <c r="T3797" s="342"/>
      <c r="U3797" s="342"/>
      <c r="V3797" s="340"/>
      <c r="W3797" s="340"/>
    </row>
    <row r="3798" spans="2:23" ht="24" customHeight="1">
      <c r="B3798" s="67"/>
      <c r="E3798" s="131" t="s">
        <v>1243</v>
      </c>
      <c r="F3798" s="131"/>
      <c r="G3798" s="131"/>
      <c r="H3798" s="131"/>
      <c r="I3798" s="131"/>
      <c r="J3798" s="704">
        <v>1412</v>
      </c>
      <c r="K3798" s="705">
        <v>78575.990000000005</v>
      </c>
      <c r="L3798" s="369">
        <v>1</v>
      </c>
      <c r="M3798" s="377">
        <v>20.195699999999999</v>
      </c>
      <c r="N3798" s="706">
        <v>1586897.121243</v>
      </c>
      <c r="O3798" s="705">
        <v>119123.51000000001</v>
      </c>
      <c r="P3798" s="369">
        <v>1</v>
      </c>
      <c r="Q3798" s="377">
        <v>20.662500000000001</v>
      </c>
      <c r="R3798" s="706">
        <v>2449937.6039880002</v>
      </c>
      <c r="S3798" s="369">
        <v>116.884</v>
      </c>
      <c r="T3798" s="369">
        <v>122.94799999999999</v>
      </c>
      <c r="U3798" s="369">
        <v>1.0518000000000001</v>
      </c>
      <c r="V3798" s="706">
        <v>2576844.3718745788</v>
      </c>
      <c r="W3798" s="706">
        <v>-989947.25063157873</v>
      </c>
    </row>
    <row r="3799" spans="2:23" ht="24" customHeight="1">
      <c r="J3799" s="345"/>
      <c r="K3799" s="703"/>
      <c r="L3799" s="342"/>
      <c r="M3799" s="342"/>
      <c r="N3799" s="340"/>
      <c r="O3799" s="703"/>
      <c r="P3799" s="342"/>
      <c r="Q3799" s="363"/>
      <c r="R3799" s="340"/>
      <c r="S3799" s="342"/>
      <c r="T3799" s="342"/>
      <c r="U3799" s="342"/>
      <c r="V3799" s="340"/>
      <c r="W3799" s="340"/>
    </row>
    <row r="3800" spans="2:23" ht="24" customHeight="1">
      <c r="B3800" s="67"/>
      <c r="E3800" s="1" t="s">
        <v>810</v>
      </c>
      <c r="J3800" s="345"/>
      <c r="K3800" s="703"/>
      <c r="L3800" s="342"/>
      <c r="M3800" s="342"/>
      <c r="N3800" s="340"/>
      <c r="O3800" s="703"/>
      <c r="P3800" s="342"/>
      <c r="Q3800" s="363"/>
      <c r="R3800" s="340"/>
      <c r="S3800" s="342"/>
      <c r="T3800" s="342"/>
      <c r="U3800" s="342"/>
      <c r="V3800" s="340"/>
      <c r="W3800" s="340"/>
    </row>
    <row r="3801" spans="2:23" ht="24" customHeight="1">
      <c r="B3801" s="67"/>
      <c r="F3801" s="346">
        <v>44796</v>
      </c>
      <c r="G3801" s="346"/>
      <c r="H3801" s="346"/>
      <c r="I3801" s="346"/>
      <c r="J3801" s="345"/>
      <c r="K3801" s="703"/>
      <c r="L3801" s="342"/>
      <c r="M3801" s="342"/>
      <c r="N3801" s="340"/>
      <c r="O3801" s="703"/>
      <c r="P3801" s="342"/>
      <c r="Q3801" s="363"/>
      <c r="R3801" s="340"/>
      <c r="S3801" s="342"/>
      <c r="T3801" s="342"/>
      <c r="U3801" s="342"/>
      <c r="V3801" s="340"/>
      <c r="W3801" s="340"/>
    </row>
    <row r="3802" spans="2:23" ht="24" customHeight="1">
      <c r="B3802" s="67"/>
      <c r="G3802" s="3" t="s">
        <v>59</v>
      </c>
      <c r="H3802" s="3"/>
      <c r="I3802" s="3"/>
      <c r="J3802" s="345"/>
      <c r="K3802" s="703"/>
      <c r="L3802" s="342"/>
      <c r="M3802" s="342"/>
      <c r="N3802" s="340"/>
      <c r="O3802" s="703"/>
      <c r="P3802" s="342"/>
      <c r="Q3802" s="363"/>
      <c r="R3802" s="340"/>
      <c r="S3802" s="342"/>
      <c r="T3802" s="342"/>
      <c r="U3802" s="342"/>
      <c r="V3802" s="340"/>
      <c r="W3802" s="340"/>
    </row>
    <row r="3803" spans="2:23" ht="24" customHeight="1">
      <c r="B3803" s="67"/>
      <c r="H3803" s="347">
        <v>44504</v>
      </c>
      <c r="I3803" s="347"/>
      <c r="J3803" s="345"/>
      <c r="K3803" s="703"/>
      <c r="L3803" s="342"/>
      <c r="M3803" s="342"/>
      <c r="N3803" s="340"/>
      <c r="O3803" s="703"/>
      <c r="P3803" s="342"/>
      <c r="Q3803" s="363"/>
      <c r="R3803" s="340"/>
      <c r="S3803" s="342"/>
      <c r="T3803" s="342"/>
      <c r="U3803" s="342"/>
      <c r="V3803" s="340"/>
      <c r="W3803" s="340"/>
    </row>
    <row r="3804" spans="2:23" ht="24" customHeight="1">
      <c r="B3804" s="67"/>
      <c r="I3804" s="3" t="s">
        <v>59</v>
      </c>
      <c r="J3804" s="345">
        <v>827</v>
      </c>
      <c r="K3804" s="703">
        <v>32740.18</v>
      </c>
      <c r="L3804" s="342">
        <v>1</v>
      </c>
      <c r="M3804" s="342">
        <v>20.195699999999999</v>
      </c>
      <c r="N3804" s="340">
        <v>661210.85322599998</v>
      </c>
      <c r="O3804" s="703">
        <v>51558.68</v>
      </c>
      <c r="P3804" s="342">
        <v>1</v>
      </c>
      <c r="Q3804" s="363">
        <v>20.8598</v>
      </c>
      <c r="R3804" s="340">
        <v>1075503.753064</v>
      </c>
      <c r="S3804" s="342">
        <v>116.884</v>
      </c>
      <c r="T3804" s="342">
        <v>122.94799999999999</v>
      </c>
      <c r="U3804" s="342">
        <v>1.0518000000000001</v>
      </c>
      <c r="V3804" s="340">
        <v>1131214.8474727154</v>
      </c>
      <c r="W3804" s="340">
        <v>-470003.99424671545</v>
      </c>
    </row>
    <row r="3805" spans="2:23" ht="24" customHeight="1">
      <c r="J3805" s="345"/>
      <c r="K3805" s="703"/>
      <c r="L3805" s="342"/>
      <c r="M3805" s="342"/>
      <c r="N3805" s="340"/>
      <c r="O3805" s="703"/>
      <c r="P3805" s="342"/>
      <c r="Q3805" s="363"/>
      <c r="R3805" s="340"/>
      <c r="S3805" s="342"/>
      <c r="T3805" s="342"/>
      <c r="U3805" s="342"/>
      <c r="V3805" s="340"/>
      <c r="W3805" s="340"/>
    </row>
    <row r="3806" spans="2:23" ht="24" customHeight="1">
      <c r="B3806" s="67"/>
      <c r="H3806" s="347">
        <v>44516</v>
      </c>
      <c r="I3806" s="347"/>
      <c r="J3806" s="345"/>
      <c r="K3806" s="703"/>
      <c r="L3806" s="342"/>
      <c r="M3806" s="342"/>
      <c r="N3806" s="340"/>
      <c r="O3806" s="703"/>
      <c r="P3806" s="342"/>
      <c r="Q3806" s="363"/>
      <c r="R3806" s="340"/>
      <c r="S3806" s="342"/>
      <c r="T3806" s="342"/>
      <c r="U3806" s="342"/>
      <c r="V3806" s="340"/>
      <c r="W3806" s="340"/>
    </row>
    <row r="3807" spans="2:23" ht="24" customHeight="1">
      <c r="B3807" s="67"/>
      <c r="I3807" s="3" t="s">
        <v>59</v>
      </c>
      <c r="J3807" s="345">
        <v>1250</v>
      </c>
      <c r="K3807" s="703">
        <v>49486.36</v>
      </c>
      <c r="L3807" s="342">
        <v>1</v>
      </c>
      <c r="M3807" s="342">
        <v>20.195699999999999</v>
      </c>
      <c r="N3807" s="340">
        <v>999411.68065199989</v>
      </c>
      <c r="O3807" s="703">
        <v>77930.3</v>
      </c>
      <c r="P3807" s="342">
        <v>1</v>
      </c>
      <c r="Q3807" s="363">
        <v>20.465199999999999</v>
      </c>
      <c r="R3807" s="340">
        <v>1594859.1755600001</v>
      </c>
      <c r="S3807" s="342">
        <v>116.884</v>
      </c>
      <c r="T3807" s="342">
        <v>122.94799999999999</v>
      </c>
      <c r="U3807" s="342">
        <v>1.0518000000000001</v>
      </c>
      <c r="V3807" s="340">
        <v>1677472.8808540083</v>
      </c>
      <c r="W3807" s="340">
        <v>-678061.20020200859</v>
      </c>
    </row>
    <row r="3808" spans="2:23" ht="24" customHeight="1">
      <c r="J3808" s="345"/>
      <c r="K3808" s="703"/>
      <c r="L3808" s="342"/>
      <c r="M3808" s="342"/>
      <c r="N3808" s="340"/>
      <c r="O3808" s="703"/>
      <c r="P3808" s="342"/>
      <c r="Q3808" s="363"/>
      <c r="R3808" s="340"/>
      <c r="S3808" s="342"/>
      <c r="T3808" s="342"/>
      <c r="U3808" s="342"/>
      <c r="V3808" s="340"/>
      <c r="W3808" s="340"/>
    </row>
    <row r="3809" spans="2:23" ht="24" customHeight="1">
      <c r="B3809" s="67"/>
      <c r="H3809" s="347">
        <v>44505</v>
      </c>
      <c r="I3809" s="347"/>
      <c r="J3809" s="345"/>
      <c r="K3809" s="703"/>
      <c r="L3809" s="342"/>
      <c r="M3809" s="342"/>
      <c r="N3809" s="340"/>
      <c r="O3809" s="703"/>
      <c r="P3809" s="342"/>
      <c r="Q3809" s="363"/>
      <c r="R3809" s="340"/>
      <c r="S3809" s="342"/>
      <c r="T3809" s="342"/>
      <c r="U3809" s="342"/>
      <c r="V3809" s="340"/>
      <c r="W3809" s="340"/>
    </row>
    <row r="3810" spans="2:23" ht="24" customHeight="1">
      <c r="B3810" s="67"/>
      <c r="I3810" s="3" t="s">
        <v>59</v>
      </c>
      <c r="J3810" s="345">
        <v>343</v>
      </c>
      <c r="K3810" s="703">
        <v>13579.06</v>
      </c>
      <c r="L3810" s="342">
        <v>1</v>
      </c>
      <c r="M3810" s="342">
        <v>20.195699999999999</v>
      </c>
      <c r="N3810" s="340">
        <v>274238.62204199994</v>
      </c>
      <c r="O3810" s="703">
        <v>21384.07</v>
      </c>
      <c r="P3810" s="342">
        <v>1</v>
      </c>
      <c r="Q3810" s="363">
        <v>20.8352</v>
      </c>
      <c r="R3810" s="340">
        <v>445541.37526400003</v>
      </c>
      <c r="S3810" s="342">
        <v>116.884</v>
      </c>
      <c r="T3810" s="342">
        <v>122.94799999999999</v>
      </c>
      <c r="U3810" s="342">
        <v>1.0518000000000001</v>
      </c>
      <c r="V3810" s="340">
        <v>468620.41850267525</v>
      </c>
      <c r="W3810" s="340">
        <v>-194381.79646067531</v>
      </c>
    </row>
    <row r="3811" spans="2:23" ht="24" customHeight="1">
      <c r="J3811" s="345"/>
      <c r="K3811" s="703"/>
      <c r="L3811" s="342"/>
      <c r="M3811" s="342"/>
      <c r="N3811" s="340"/>
      <c r="O3811" s="703"/>
      <c r="P3811" s="342"/>
      <c r="Q3811" s="363"/>
      <c r="R3811" s="340"/>
      <c r="S3811" s="342"/>
      <c r="T3811" s="342"/>
      <c r="U3811" s="342"/>
      <c r="V3811" s="340"/>
      <c r="W3811" s="340"/>
    </row>
    <row r="3812" spans="2:23" ht="24" customHeight="1">
      <c r="B3812" s="67"/>
      <c r="E3812" s="131" t="s">
        <v>1244</v>
      </c>
      <c r="F3812" s="131"/>
      <c r="G3812" s="131"/>
      <c r="H3812" s="131"/>
      <c r="I3812" s="131"/>
      <c r="J3812" s="704">
        <v>2420</v>
      </c>
      <c r="K3812" s="705">
        <v>95805.6</v>
      </c>
      <c r="L3812" s="369">
        <v>1</v>
      </c>
      <c r="M3812" s="377">
        <v>20.195699999999999</v>
      </c>
      <c r="N3812" s="706">
        <v>1934861.1559199998</v>
      </c>
      <c r="O3812" s="705">
        <v>150873.05000000002</v>
      </c>
      <c r="P3812" s="369">
        <v>1</v>
      </c>
      <c r="Q3812" s="377">
        <v>20.720066666666668</v>
      </c>
      <c r="R3812" s="706">
        <v>3115904.3038880005</v>
      </c>
      <c r="S3812" s="369">
        <v>116.884</v>
      </c>
      <c r="T3812" s="369">
        <v>122.94799999999999</v>
      </c>
      <c r="U3812" s="369">
        <v>1.0518000000000001</v>
      </c>
      <c r="V3812" s="706">
        <v>3277308.1468293993</v>
      </c>
      <c r="W3812" s="706">
        <v>-1342446.9909093992</v>
      </c>
    </row>
    <row r="3813" spans="2:23" ht="24" customHeight="1">
      <c r="J3813" s="345"/>
      <c r="K3813" s="703"/>
      <c r="L3813" s="342"/>
      <c r="M3813" s="342"/>
      <c r="N3813" s="340"/>
      <c r="O3813" s="703"/>
      <c r="P3813" s="342"/>
      <c r="Q3813" s="363"/>
      <c r="R3813" s="340"/>
      <c r="S3813" s="342"/>
      <c r="T3813" s="342"/>
      <c r="U3813" s="342"/>
      <c r="V3813" s="340"/>
      <c r="W3813" s="340"/>
    </row>
    <row r="3814" spans="2:23" ht="24" customHeight="1">
      <c r="B3814" s="67"/>
      <c r="D3814" s="364" t="s">
        <v>1259</v>
      </c>
      <c r="E3814" s="364"/>
      <c r="F3814" s="364"/>
      <c r="G3814" s="364"/>
      <c r="H3814" s="364"/>
      <c r="I3814" s="364"/>
      <c r="J3814" s="707">
        <v>3832</v>
      </c>
      <c r="K3814" s="708">
        <v>174381.59000000003</v>
      </c>
      <c r="L3814" s="370">
        <v>1</v>
      </c>
      <c r="M3814" s="370">
        <v>20.195699999999999</v>
      </c>
      <c r="N3814" s="709">
        <v>3521758.2771629998</v>
      </c>
      <c r="O3814" s="708">
        <v>269996.56</v>
      </c>
      <c r="P3814" s="370">
        <v>1</v>
      </c>
      <c r="Q3814" s="376">
        <v>20.697040000000001</v>
      </c>
      <c r="R3814" s="709">
        <v>5565841.9078760007</v>
      </c>
      <c r="S3814" s="370">
        <v>116.88399999999999</v>
      </c>
      <c r="T3814" s="370">
        <v>122.94800000000001</v>
      </c>
      <c r="U3814" s="370">
        <v>1.0518000000000001</v>
      </c>
      <c r="V3814" s="709">
        <v>5854152.5187039785</v>
      </c>
      <c r="W3814" s="709">
        <v>-2332394.2415409777</v>
      </c>
    </row>
    <row r="3815" spans="2:23" ht="24" customHeight="1">
      <c r="J3815" s="345"/>
      <c r="K3815" s="703"/>
      <c r="L3815" s="342"/>
      <c r="M3815" s="342"/>
      <c r="N3815" s="340"/>
      <c r="O3815" s="703"/>
      <c r="P3815" s="342"/>
      <c r="Q3815" s="363"/>
      <c r="R3815" s="340"/>
      <c r="S3815" s="342"/>
      <c r="T3815" s="342"/>
      <c r="U3815" s="342"/>
      <c r="V3815" s="340"/>
      <c r="W3815" s="340"/>
    </row>
    <row r="3816" spans="2:23" ht="24" customHeight="1">
      <c r="B3816" s="67"/>
      <c r="C3816" s="350" t="s">
        <v>1048</v>
      </c>
      <c r="D3816" s="350"/>
      <c r="E3816" s="350"/>
      <c r="F3816" s="350"/>
      <c r="G3816" s="350"/>
      <c r="H3816" s="350"/>
      <c r="I3816" s="350"/>
      <c r="J3816" s="710">
        <v>655681.07400000002</v>
      </c>
      <c r="K3816" s="711">
        <v>344992566.22000092</v>
      </c>
      <c r="L3816" s="371">
        <v>0.91709448667067639</v>
      </c>
      <c r="M3816" s="371">
        <v>20.307935553379039</v>
      </c>
      <c r="N3816" s="712">
        <v>2195823658.4043608</v>
      </c>
      <c r="O3816" s="711">
        <v>285015527.53367192</v>
      </c>
      <c r="P3816" s="371">
        <v>0.91709220422478688</v>
      </c>
      <c r="Q3816" s="375">
        <v>20.363273457394637</v>
      </c>
      <c r="R3816" s="712">
        <v>2021183287.2429454</v>
      </c>
      <c r="S3816" s="371">
        <v>112.32067944872502</v>
      </c>
      <c r="T3816" s="371">
        <v>120.9319862879523</v>
      </c>
      <c r="U3816" s="371">
        <v>1.0794792360430934</v>
      </c>
      <c r="V3816" s="712">
        <v>2265676813.9127221</v>
      </c>
      <c r="W3816" s="712">
        <v>-69853155.508366242</v>
      </c>
    </row>
    <row r="3817" spans="2:23" ht="24" customHeight="1">
      <c r="J3817" s="345"/>
      <c r="K3817" s="703"/>
      <c r="L3817" s="342"/>
      <c r="M3817" s="342"/>
      <c r="N3817" s="340"/>
      <c r="O3817" s="703"/>
      <c r="P3817" s="342"/>
      <c r="Q3817" s="363"/>
      <c r="R3817" s="340"/>
      <c r="S3817" s="342"/>
      <c r="T3817" s="342"/>
      <c r="U3817" s="342"/>
      <c r="V3817" s="340"/>
      <c r="W3817" s="340"/>
    </row>
    <row r="3818" spans="2:23" ht="24" customHeight="1">
      <c r="B3818" s="351" t="s">
        <v>1049</v>
      </c>
      <c r="C3818" s="351"/>
      <c r="D3818" s="351"/>
      <c r="E3818" s="351"/>
      <c r="F3818" s="351"/>
      <c r="G3818" s="351"/>
      <c r="H3818" s="351"/>
      <c r="I3818" s="351"/>
      <c r="J3818" s="713">
        <v>655681.07400000002</v>
      </c>
      <c r="K3818" s="714">
        <v>344992566.22000092</v>
      </c>
      <c r="L3818" s="372">
        <v>0.91709448667067639</v>
      </c>
      <c r="M3818" s="372">
        <v>20.307935553379039</v>
      </c>
      <c r="N3818" s="715">
        <v>2195823658.4043608</v>
      </c>
      <c r="O3818" s="714">
        <v>285015527.53367192</v>
      </c>
      <c r="P3818" s="372">
        <v>0.91709220422478688</v>
      </c>
      <c r="Q3818" s="374">
        <v>20.363273457394637</v>
      </c>
      <c r="R3818" s="715">
        <v>2021183287.2429454</v>
      </c>
      <c r="S3818" s="372">
        <v>112.32067944872502</v>
      </c>
      <c r="T3818" s="372">
        <v>120.9319862879523</v>
      </c>
      <c r="U3818" s="372">
        <v>1.0794792360430934</v>
      </c>
      <c r="V3818" s="715">
        <v>2265676813.9127221</v>
      </c>
      <c r="W3818" s="715">
        <v>-69853155.508366242</v>
      </c>
    </row>
    <row r="3819" spans="2:23" ht="24" customHeight="1">
      <c r="J3819" s="345"/>
      <c r="K3819" s="703"/>
      <c r="L3819" s="342"/>
      <c r="M3819" s="342"/>
      <c r="N3819" s="340"/>
      <c r="O3819" s="703"/>
      <c r="P3819" s="342"/>
      <c r="Q3819" s="363"/>
      <c r="R3819" s="340"/>
      <c r="S3819" s="342"/>
      <c r="T3819" s="342"/>
      <c r="U3819" s="342"/>
      <c r="V3819" s="340"/>
      <c r="W3819" s="340"/>
    </row>
    <row r="3820" spans="2:23" ht="24" customHeight="1">
      <c r="B3820" s="132" t="s">
        <v>229</v>
      </c>
      <c r="C3820" s="132"/>
      <c r="D3820" s="132"/>
      <c r="E3820" s="132"/>
      <c r="F3820" s="132"/>
      <c r="G3820" s="132"/>
      <c r="H3820" s="132"/>
      <c r="I3820" s="132"/>
      <c r="J3820" s="716">
        <v>773995.63100000005</v>
      </c>
      <c r="K3820" s="717">
        <v>349769808.88000101</v>
      </c>
      <c r="L3820" s="368">
        <v>0.93061759909078734</v>
      </c>
      <c r="M3820" s="556">
        <v>20.329089180327802</v>
      </c>
      <c r="N3820" s="718">
        <v>2291814210.1203675</v>
      </c>
      <c r="O3820" s="717">
        <v>289872950.59254748</v>
      </c>
      <c r="P3820" s="368">
        <v>0.93061568894549773</v>
      </c>
      <c r="Q3820" s="373">
        <v>20.352116639344224</v>
      </c>
      <c r="R3820" s="718">
        <v>2117017895.9726903</v>
      </c>
      <c r="S3820" s="368">
        <v>112.73468911241633</v>
      </c>
      <c r="T3820" s="368">
        <v>120.95357540983582</v>
      </c>
      <c r="U3820" s="368">
        <v>1.0754785245901608</v>
      </c>
      <c r="V3820" s="718">
        <v>2369284863.2435265</v>
      </c>
      <c r="W3820" s="718">
        <v>-77470653.123163417</v>
      </c>
    </row>
  </sheetData>
  <printOptions horizontalCentered="1"/>
  <pageMargins left="0.19685039370078741" right="0" top="0" bottom="0.39370078740157483" header="0" footer="0.19685039370078741"/>
  <pageSetup scale="27" fitToHeight="50" orientation="landscape" horizontalDpi="1200" verticalDpi="120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D31CA-0109-0F43-B622-7B217C83FA81}">
  <sheetPr>
    <pageSetUpPr fitToPage="1"/>
  </sheetPr>
  <dimension ref="B1:AA434"/>
  <sheetViews>
    <sheetView view="pageBreakPreview" zoomScaleNormal="80" zoomScaleSheetLayoutView="100" workbookViewId="0">
      <pane ySplit="5" topLeftCell="A6" activePane="bottomLeft" state="frozen"/>
      <selection pane="bottomLeft" activeCell="F1" sqref="F1:J1048576"/>
    </sheetView>
  </sheetViews>
  <sheetFormatPr baseColWidth="10" defaultColWidth="10.83203125" defaultRowHeight="23" customHeight="1"/>
  <cols>
    <col min="1" max="1" width="10.83203125" style="1"/>
    <col min="2" max="2" width="12.1640625" style="1" customWidth="1"/>
    <col min="3" max="3" width="15.1640625" style="1" customWidth="1"/>
    <col min="4" max="4" width="23.33203125" style="1" customWidth="1"/>
    <col min="5" max="5" width="35.6640625" style="1" bestFit="1" customWidth="1"/>
    <col min="6" max="6" width="17.83203125" style="1" customWidth="1"/>
    <col min="7" max="7" width="16" style="1" customWidth="1"/>
    <col min="8" max="8" width="17.1640625" style="1" customWidth="1"/>
    <col min="9" max="9" width="19.5" style="1" customWidth="1"/>
    <col min="10" max="10" width="18.5" style="1" customWidth="1"/>
    <col min="11" max="11" width="20.83203125" style="1" customWidth="1"/>
    <col min="12" max="12" width="16.33203125" style="1" customWidth="1"/>
    <col min="13" max="13" width="22" style="1" bestFit="1" customWidth="1"/>
    <col min="14" max="14" width="23.1640625" style="1" bestFit="1" customWidth="1"/>
    <col min="15" max="15" width="14.33203125" style="3" bestFit="1" customWidth="1"/>
    <col min="16" max="16" width="15.83203125" style="3" bestFit="1" customWidth="1"/>
    <col min="17" max="17" width="13.5" style="1" bestFit="1" customWidth="1"/>
    <col min="18" max="18" width="14" style="3" bestFit="1" customWidth="1"/>
    <col min="19" max="20" width="9.1640625" style="3" bestFit="1" customWidth="1"/>
    <col min="21" max="21" width="9.1640625" style="1" bestFit="1" customWidth="1"/>
    <col min="22" max="22" width="12.6640625" style="1" bestFit="1" customWidth="1"/>
    <col min="23" max="23" width="14.33203125" style="1" bestFit="1" customWidth="1"/>
    <col min="24" max="24" width="11.83203125" style="3" bestFit="1" customWidth="1"/>
    <col min="25" max="25" width="13.5" style="1" bestFit="1" customWidth="1"/>
    <col min="26" max="26" width="13.1640625" style="1" bestFit="1" customWidth="1"/>
    <col min="27" max="27" width="10.83203125" style="1" bestFit="1" customWidth="1"/>
    <col min="28" max="16384" width="10.83203125" style="1"/>
  </cols>
  <sheetData>
    <row r="1" spans="2:27" ht="24" customHeight="1"/>
    <row r="2" spans="2:27" s="67" customFormat="1" ht="23" customHeight="1">
      <c r="B2" s="733" t="s">
        <v>494</v>
      </c>
      <c r="C2" s="733"/>
      <c r="D2" s="733"/>
      <c r="E2" s="733"/>
      <c r="F2" s="733"/>
      <c r="G2" s="733"/>
      <c r="H2" s="733"/>
      <c r="I2" s="733"/>
      <c r="J2" s="733"/>
      <c r="K2" s="733"/>
      <c r="L2" s="733"/>
      <c r="M2" s="733"/>
      <c r="N2" s="733"/>
      <c r="O2" s="733"/>
      <c r="P2" s="733"/>
      <c r="Q2" s="733"/>
      <c r="R2" s="733"/>
      <c r="S2" s="733"/>
      <c r="T2" s="733"/>
      <c r="U2" s="733"/>
      <c r="V2" s="733"/>
      <c r="W2" s="733"/>
      <c r="X2" s="733"/>
      <c r="Y2" s="733"/>
      <c r="Z2" s="124"/>
    </row>
    <row r="3" spans="2:27" ht="23" customHeight="1">
      <c r="B3" s="734" t="s">
        <v>457</v>
      </c>
      <c r="C3" s="734"/>
      <c r="D3" s="734"/>
      <c r="E3" s="734"/>
      <c r="F3" s="734"/>
      <c r="G3" s="734"/>
      <c r="H3" s="734"/>
      <c r="I3" s="734"/>
      <c r="J3" s="734"/>
      <c r="K3" s="734"/>
      <c r="L3" s="734"/>
      <c r="M3" s="734"/>
      <c r="N3" s="734"/>
      <c r="O3" s="734"/>
      <c r="P3" s="734"/>
      <c r="Q3" s="734"/>
      <c r="R3" s="734"/>
      <c r="S3" s="734"/>
      <c r="T3" s="734"/>
      <c r="U3" s="734"/>
      <c r="V3" s="734"/>
      <c r="W3" s="734"/>
      <c r="X3" s="734"/>
      <c r="Y3" s="734"/>
      <c r="Z3" s="60"/>
    </row>
    <row r="4" spans="2:27" ht="14" customHeight="1">
      <c r="B4" s="24" t="s">
        <v>446</v>
      </c>
      <c r="C4" s="122" t="s">
        <v>682</v>
      </c>
      <c r="D4" s="24"/>
      <c r="E4" s="123"/>
      <c r="F4" s="123"/>
      <c r="G4" s="123"/>
      <c r="H4" s="123"/>
      <c r="I4" s="123"/>
      <c r="J4" s="123"/>
      <c r="K4" s="123"/>
      <c r="L4" s="123"/>
      <c r="M4" s="123"/>
      <c r="N4" s="123"/>
      <c r="O4" s="123"/>
      <c r="P4" s="123"/>
      <c r="Q4" s="123"/>
      <c r="R4" s="123"/>
      <c r="S4" s="123"/>
      <c r="T4" s="123"/>
      <c r="U4" s="123"/>
      <c r="V4" s="123"/>
      <c r="W4" s="123"/>
      <c r="X4" s="123"/>
      <c r="Y4" s="123"/>
      <c r="Z4" s="123"/>
      <c r="AA4" s="123"/>
    </row>
    <row r="5" spans="2:27" s="85" customFormat="1" ht="60">
      <c r="B5" s="127" t="s">
        <v>668</v>
      </c>
      <c r="C5" s="127" t="s">
        <v>273</v>
      </c>
      <c r="D5" s="127" t="s">
        <v>455</v>
      </c>
      <c r="E5" s="127" t="s">
        <v>178</v>
      </c>
      <c r="F5" s="127" t="s">
        <v>274</v>
      </c>
      <c r="G5" s="127" t="s">
        <v>301</v>
      </c>
      <c r="H5" s="127" t="s">
        <v>337</v>
      </c>
      <c r="I5" s="127" t="s">
        <v>300</v>
      </c>
      <c r="J5" s="127" t="s">
        <v>338</v>
      </c>
      <c r="K5" s="127" t="s">
        <v>293</v>
      </c>
      <c r="L5" s="127" t="s">
        <v>339</v>
      </c>
      <c r="M5" s="127" t="s">
        <v>340</v>
      </c>
      <c r="N5" s="127" t="s">
        <v>334</v>
      </c>
      <c r="O5" s="127" t="s">
        <v>341</v>
      </c>
      <c r="P5" s="127" t="s">
        <v>342</v>
      </c>
      <c r="Q5" s="127" t="s">
        <v>505</v>
      </c>
      <c r="R5" s="127" t="s">
        <v>343</v>
      </c>
      <c r="S5" s="127" t="s">
        <v>344</v>
      </c>
      <c r="T5" s="127" t="s">
        <v>350</v>
      </c>
      <c r="U5" s="127" t="s">
        <v>351</v>
      </c>
      <c r="V5" s="127" t="s">
        <v>345</v>
      </c>
      <c r="W5" s="127" t="s">
        <v>346</v>
      </c>
      <c r="X5" s="127" t="s">
        <v>347</v>
      </c>
      <c r="Y5" s="127" t="s">
        <v>504</v>
      </c>
      <c r="Z5" s="127" t="s">
        <v>348</v>
      </c>
      <c r="AA5" s="127" t="s">
        <v>349</v>
      </c>
    </row>
    <row r="6" spans="2:27" ht="16">
      <c r="B6" s="479" t="s">
        <v>669</v>
      </c>
      <c r="C6" s="479"/>
      <c r="D6" s="479"/>
      <c r="E6" s="479"/>
      <c r="F6" s="479"/>
      <c r="G6" s="479"/>
      <c r="H6" s="479"/>
      <c r="I6" s="479"/>
      <c r="J6" s="479"/>
      <c r="K6" s="479"/>
      <c r="L6" s="479"/>
      <c r="M6" s="479"/>
      <c r="N6" s="479"/>
      <c r="O6" s="340"/>
      <c r="P6" s="341"/>
      <c r="Q6" s="342"/>
      <c r="R6" s="630"/>
      <c r="S6" s="342"/>
      <c r="T6" s="342"/>
      <c r="U6" s="343"/>
      <c r="V6" s="630"/>
      <c r="W6" s="631"/>
      <c r="X6" s="344"/>
      <c r="Y6" s="342"/>
      <c r="Z6" s="344"/>
      <c r="AA6" s="344"/>
    </row>
    <row r="7" spans="2:27" ht="16">
      <c r="B7" s="479"/>
      <c r="C7" s="67">
        <v>0</v>
      </c>
      <c r="D7" s="67"/>
      <c r="E7" s="67"/>
      <c r="F7" s="67"/>
      <c r="G7" s="67"/>
      <c r="H7" s="67"/>
      <c r="I7" s="67"/>
      <c r="J7" s="67"/>
      <c r="K7" s="67"/>
      <c r="L7" s="67"/>
      <c r="M7" s="67"/>
      <c r="N7" s="67"/>
      <c r="O7" s="340"/>
      <c r="P7" s="341"/>
      <c r="Q7" s="342"/>
      <c r="R7" s="630"/>
      <c r="S7" s="342"/>
      <c r="T7" s="342"/>
      <c r="U7" s="343"/>
      <c r="V7" s="630"/>
      <c r="W7" s="631"/>
      <c r="X7" s="344"/>
      <c r="Y7" s="342"/>
      <c r="Z7" s="344"/>
      <c r="AA7" s="344"/>
    </row>
    <row r="8" spans="2:27" ht="16">
      <c r="B8" s="479"/>
      <c r="D8" s="1" t="s">
        <v>489</v>
      </c>
      <c r="O8" s="340"/>
      <c r="P8" s="341"/>
      <c r="Q8" s="342"/>
      <c r="R8" s="630"/>
      <c r="S8" s="342"/>
      <c r="T8" s="342"/>
      <c r="U8" s="343"/>
      <c r="V8" s="630"/>
      <c r="W8" s="631"/>
      <c r="X8" s="344"/>
      <c r="Y8" s="342"/>
      <c r="Z8" s="344"/>
      <c r="AA8" s="344"/>
    </row>
    <row r="9" spans="2:27" ht="16">
      <c r="B9" s="479"/>
      <c r="E9" s="3" t="s">
        <v>489</v>
      </c>
      <c r="F9" s="3"/>
      <c r="G9" s="3"/>
      <c r="H9" s="3"/>
      <c r="I9" s="3"/>
      <c r="J9" s="3"/>
      <c r="K9" s="3"/>
      <c r="L9" s="3"/>
      <c r="M9" s="3"/>
      <c r="N9" s="3"/>
      <c r="O9" s="340"/>
      <c r="P9" s="341"/>
      <c r="Q9" s="342"/>
      <c r="R9" s="630"/>
      <c r="S9" s="342"/>
      <c r="T9" s="342"/>
      <c r="U9" s="343"/>
      <c r="V9" s="630"/>
      <c r="W9" s="631"/>
      <c r="X9" s="344"/>
      <c r="Y9" s="342"/>
      <c r="Z9" s="344"/>
      <c r="AA9" s="344"/>
    </row>
    <row r="10" spans="2:27" ht="16">
      <c r="B10" s="479"/>
      <c r="F10" s="1" t="s">
        <v>489</v>
      </c>
      <c r="O10" s="340"/>
      <c r="P10" s="341"/>
      <c r="Q10" s="342"/>
      <c r="R10" s="630"/>
      <c r="S10" s="342"/>
      <c r="T10" s="342"/>
      <c r="U10" s="343"/>
      <c r="V10" s="630"/>
      <c r="W10" s="631"/>
      <c r="X10" s="344"/>
      <c r="Y10" s="342"/>
      <c r="Z10" s="344"/>
      <c r="AA10" s="344"/>
    </row>
    <row r="11" spans="2:27" ht="16">
      <c r="B11" s="479"/>
      <c r="G11" s="345" t="s">
        <v>489</v>
      </c>
      <c r="H11" s="345"/>
      <c r="I11" s="345"/>
      <c r="J11" s="345"/>
      <c r="K11" s="345"/>
      <c r="L11" s="345"/>
      <c r="M11" s="345"/>
      <c r="N11" s="345"/>
      <c r="O11" s="340"/>
      <c r="P11" s="341"/>
      <c r="Q11" s="342"/>
      <c r="R11" s="630"/>
      <c r="S11" s="342"/>
      <c r="T11" s="342"/>
      <c r="U11" s="343"/>
      <c r="V11" s="630"/>
      <c r="W11" s="631"/>
      <c r="X11" s="344"/>
      <c r="Y11" s="342"/>
      <c r="Z11" s="344"/>
      <c r="AA11" s="344"/>
    </row>
    <row r="12" spans="2:27" ht="16">
      <c r="B12" s="479"/>
      <c r="H12" s="3" t="s">
        <v>489</v>
      </c>
      <c r="I12" s="3"/>
      <c r="J12" s="3"/>
      <c r="K12" s="3"/>
      <c r="L12" s="3"/>
      <c r="M12" s="3"/>
      <c r="N12" s="3"/>
      <c r="O12" s="340"/>
      <c r="P12" s="341"/>
      <c r="Q12" s="342"/>
      <c r="R12" s="630"/>
      <c r="S12" s="342"/>
      <c r="T12" s="342"/>
      <c r="U12" s="343"/>
      <c r="V12" s="630"/>
      <c r="W12" s="631"/>
      <c r="X12" s="344"/>
      <c r="Y12" s="342"/>
      <c r="Z12" s="344"/>
      <c r="AA12" s="344"/>
    </row>
    <row r="13" spans="2:27" ht="16">
      <c r="B13" s="479"/>
      <c r="I13" s="346" t="s">
        <v>489</v>
      </c>
      <c r="J13" s="346"/>
      <c r="K13" s="346"/>
      <c r="L13" s="346"/>
      <c r="M13" s="346"/>
      <c r="N13" s="346"/>
      <c r="O13" s="340"/>
      <c r="P13" s="341"/>
      <c r="Q13" s="342"/>
      <c r="R13" s="630"/>
      <c r="S13" s="342"/>
      <c r="T13" s="342"/>
      <c r="U13" s="343"/>
      <c r="V13" s="630"/>
      <c r="W13" s="631"/>
      <c r="X13" s="344"/>
      <c r="Y13" s="342"/>
      <c r="Z13" s="344"/>
      <c r="AA13" s="344"/>
    </row>
    <row r="14" spans="2:27" ht="16">
      <c r="B14" s="479"/>
      <c r="J14" s="3" t="s">
        <v>489</v>
      </c>
      <c r="K14" s="3"/>
      <c r="L14" s="3"/>
      <c r="M14" s="3"/>
      <c r="N14" s="3"/>
      <c r="O14" s="340"/>
      <c r="P14" s="341"/>
      <c r="Q14" s="342"/>
      <c r="R14" s="630"/>
      <c r="S14" s="342"/>
      <c r="T14" s="342"/>
      <c r="U14" s="343"/>
      <c r="V14" s="630"/>
      <c r="W14" s="631"/>
      <c r="X14" s="344"/>
      <c r="Y14" s="342"/>
      <c r="Z14" s="344"/>
      <c r="AA14" s="344"/>
    </row>
    <row r="15" spans="2:27" ht="16">
      <c r="B15" s="479"/>
      <c r="K15" s="347" t="s">
        <v>489</v>
      </c>
      <c r="L15" s="347"/>
      <c r="M15" s="347"/>
      <c r="N15" s="347"/>
      <c r="O15" s="340"/>
      <c r="P15" s="341"/>
      <c r="Q15" s="342"/>
      <c r="R15" s="630"/>
      <c r="S15" s="342"/>
      <c r="T15" s="342"/>
      <c r="U15" s="343"/>
      <c r="V15" s="630"/>
      <c r="W15" s="631"/>
      <c r="X15" s="344"/>
      <c r="Y15" s="342"/>
      <c r="Z15" s="344"/>
      <c r="AA15" s="344"/>
    </row>
    <row r="16" spans="2:27" ht="16">
      <c r="B16" s="479"/>
      <c r="L16" s="3" t="s">
        <v>489</v>
      </c>
      <c r="M16" s="3"/>
      <c r="N16" s="3"/>
      <c r="O16" s="340"/>
      <c r="P16" s="341"/>
      <c r="Q16" s="342"/>
      <c r="R16" s="630"/>
      <c r="S16" s="342"/>
      <c r="T16" s="342"/>
      <c r="U16" s="343"/>
      <c r="V16" s="630"/>
      <c r="W16" s="631"/>
      <c r="X16" s="344"/>
      <c r="Y16" s="342"/>
      <c r="Z16" s="344"/>
      <c r="AA16" s="344"/>
    </row>
    <row r="17" spans="2:27" ht="16">
      <c r="B17" s="479"/>
      <c r="M17" s="3" t="s">
        <v>489</v>
      </c>
      <c r="N17" s="3"/>
      <c r="O17" s="340"/>
      <c r="P17" s="341"/>
      <c r="Q17" s="342"/>
      <c r="R17" s="630"/>
      <c r="S17" s="342"/>
      <c r="T17" s="342"/>
      <c r="U17" s="343"/>
      <c r="V17" s="630"/>
      <c r="W17" s="631"/>
      <c r="X17" s="344"/>
      <c r="Y17" s="342"/>
      <c r="Z17" s="344"/>
      <c r="AA17" s="344"/>
    </row>
    <row r="18" spans="2:27" ht="16">
      <c r="B18" s="479"/>
      <c r="N18" s="345" t="s">
        <v>489</v>
      </c>
      <c r="O18" s="340"/>
      <c r="P18" s="341" t="e">
        <v>#N/A</v>
      </c>
      <c r="Q18" s="342">
        <v>0</v>
      </c>
      <c r="R18" s="630" t="e">
        <v>#N/A</v>
      </c>
      <c r="S18" s="342">
        <v>0</v>
      </c>
      <c r="T18" s="342">
        <v>0</v>
      </c>
      <c r="U18" s="343">
        <v>0</v>
      </c>
      <c r="V18" s="630" t="e">
        <v>#N/A</v>
      </c>
      <c r="W18" s="631"/>
      <c r="X18" s="344">
        <v>0</v>
      </c>
      <c r="Y18" s="342">
        <v>0</v>
      </c>
      <c r="Z18" s="344">
        <v>0</v>
      </c>
      <c r="AA18" s="344">
        <v>0</v>
      </c>
    </row>
    <row r="19" spans="2:27" ht="16">
      <c r="O19" s="340"/>
      <c r="P19" s="341"/>
      <c r="Q19" s="342"/>
      <c r="R19" s="630"/>
      <c r="S19" s="342"/>
      <c r="T19" s="342"/>
      <c r="U19" s="343"/>
      <c r="V19" s="630"/>
      <c r="W19" s="631"/>
      <c r="X19" s="344"/>
      <c r="Y19" s="342"/>
      <c r="Z19" s="344"/>
      <c r="AA19" s="344"/>
    </row>
    <row r="20" spans="2:27" ht="16">
      <c r="B20" s="479"/>
      <c r="F20" s="592" t="s">
        <v>490</v>
      </c>
      <c r="G20" s="592"/>
      <c r="H20" s="592"/>
      <c r="I20" s="592"/>
      <c r="J20" s="592"/>
      <c r="K20" s="592"/>
      <c r="L20" s="592"/>
      <c r="M20" s="592"/>
      <c r="N20" s="592"/>
      <c r="O20" s="593"/>
      <c r="P20" s="594" t="e">
        <v>#N/A</v>
      </c>
      <c r="Q20" s="595">
        <v>0</v>
      </c>
      <c r="R20" s="632" t="e">
        <v>#N/A</v>
      </c>
      <c r="S20" s="595">
        <v>0</v>
      </c>
      <c r="T20" s="595">
        <v>0</v>
      </c>
      <c r="U20" s="596">
        <v>0</v>
      </c>
      <c r="V20" s="632" t="e">
        <v>#N/A</v>
      </c>
      <c r="W20" s="633"/>
      <c r="X20" s="597">
        <v>0</v>
      </c>
      <c r="Y20" s="595">
        <v>0</v>
      </c>
      <c r="Z20" s="598">
        <v>0</v>
      </c>
      <c r="AA20" s="598">
        <v>0</v>
      </c>
    </row>
    <row r="21" spans="2:27" ht="16">
      <c r="O21" s="340"/>
      <c r="P21" s="341"/>
      <c r="Q21" s="342"/>
      <c r="R21" s="630"/>
      <c r="S21" s="342"/>
      <c r="T21" s="342"/>
      <c r="U21" s="343"/>
      <c r="V21" s="630"/>
      <c r="W21" s="631"/>
      <c r="X21" s="344"/>
      <c r="Y21" s="342"/>
      <c r="Z21" s="344"/>
      <c r="AA21" s="344"/>
    </row>
    <row r="22" spans="2:27" ht="16">
      <c r="B22" s="479"/>
      <c r="E22" s="92" t="s">
        <v>490</v>
      </c>
      <c r="F22" s="92"/>
      <c r="G22" s="92"/>
      <c r="H22" s="92"/>
      <c r="I22" s="92"/>
      <c r="J22" s="92"/>
      <c r="K22" s="92"/>
      <c r="L22" s="92"/>
      <c r="M22" s="92"/>
      <c r="N22" s="92"/>
      <c r="O22" s="348"/>
      <c r="P22" s="381" t="e">
        <v>#N/A</v>
      </c>
      <c r="Q22" s="379">
        <v>0</v>
      </c>
      <c r="R22" s="634" t="e">
        <v>#N/A</v>
      </c>
      <c r="S22" s="379">
        <v>0</v>
      </c>
      <c r="T22" s="379">
        <v>0</v>
      </c>
      <c r="U22" s="380">
        <v>0</v>
      </c>
      <c r="V22" s="634" t="e">
        <v>#N/A</v>
      </c>
      <c r="W22" s="635"/>
      <c r="X22" s="378">
        <v>0</v>
      </c>
      <c r="Y22" s="379">
        <v>0</v>
      </c>
      <c r="Z22" s="349">
        <v>0</v>
      </c>
      <c r="AA22" s="349">
        <v>0</v>
      </c>
    </row>
    <row r="23" spans="2:27" ht="16">
      <c r="O23" s="340"/>
      <c r="P23" s="341"/>
      <c r="Q23" s="342"/>
      <c r="R23" s="630"/>
      <c r="S23" s="342"/>
      <c r="T23" s="342"/>
      <c r="U23" s="343"/>
      <c r="V23" s="630"/>
      <c r="W23" s="631"/>
      <c r="X23" s="344"/>
      <c r="Y23" s="342"/>
      <c r="Z23" s="344"/>
      <c r="AA23" s="344"/>
    </row>
    <row r="24" spans="2:27" ht="16">
      <c r="B24" s="479"/>
      <c r="D24" s="601" t="s">
        <v>490</v>
      </c>
      <c r="E24" s="601"/>
      <c r="F24" s="601"/>
      <c r="G24" s="601"/>
      <c r="H24" s="601"/>
      <c r="I24" s="601"/>
      <c r="J24" s="601"/>
      <c r="K24" s="601"/>
      <c r="L24" s="601"/>
      <c r="M24" s="601"/>
      <c r="N24" s="601"/>
      <c r="O24" s="602"/>
      <c r="P24" s="603" t="e">
        <v>#N/A</v>
      </c>
      <c r="Q24" s="604">
        <v>0</v>
      </c>
      <c r="R24" s="636" t="e">
        <v>#N/A</v>
      </c>
      <c r="S24" s="604">
        <v>0</v>
      </c>
      <c r="T24" s="604">
        <v>0</v>
      </c>
      <c r="U24" s="605">
        <v>0</v>
      </c>
      <c r="V24" s="636" t="e">
        <v>#N/A</v>
      </c>
      <c r="W24" s="637"/>
      <c r="X24" s="607">
        <v>0</v>
      </c>
      <c r="Y24" s="604">
        <v>0</v>
      </c>
      <c r="Z24" s="606">
        <v>0</v>
      </c>
      <c r="AA24" s="606">
        <v>0</v>
      </c>
    </row>
    <row r="25" spans="2:27" ht="16">
      <c r="O25" s="340"/>
      <c r="P25" s="341"/>
      <c r="Q25" s="342"/>
      <c r="R25" s="630"/>
      <c r="S25" s="342"/>
      <c r="T25" s="342"/>
      <c r="U25" s="343"/>
      <c r="V25" s="630"/>
      <c r="W25" s="631"/>
      <c r="X25" s="344"/>
      <c r="Y25" s="342"/>
      <c r="Z25" s="344"/>
      <c r="AA25" s="344"/>
    </row>
    <row r="26" spans="2:27" ht="16">
      <c r="B26" s="479"/>
      <c r="C26" s="586" t="s">
        <v>491</v>
      </c>
      <c r="D26" s="586"/>
      <c r="E26" s="586"/>
      <c r="F26" s="586"/>
      <c r="G26" s="586"/>
      <c r="H26" s="586"/>
      <c r="I26" s="586"/>
      <c r="J26" s="586"/>
      <c r="K26" s="586"/>
      <c r="L26" s="586"/>
      <c r="M26" s="586"/>
      <c r="N26" s="586"/>
      <c r="O26" s="587"/>
      <c r="P26" s="608" t="e">
        <v>#N/A</v>
      </c>
      <c r="Q26" s="609">
        <v>0</v>
      </c>
      <c r="R26" s="628" t="e">
        <v>#N/A</v>
      </c>
      <c r="S26" s="609">
        <v>0</v>
      </c>
      <c r="T26" s="609">
        <v>0</v>
      </c>
      <c r="U26" s="610">
        <v>0</v>
      </c>
      <c r="V26" s="628" t="e">
        <v>#N/A</v>
      </c>
      <c r="W26" s="623"/>
      <c r="X26" s="611">
        <v>0</v>
      </c>
      <c r="Y26" s="609">
        <v>0</v>
      </c>
      <c r="Z26" s="588">
        <v>0</v>
      </c>
      <c r="AA26" s="588">
        <v>0</v>
      </c>
    </row>
    <row r="27" spans="2:27" ht="16">
      <c r="O27" s="340"/>
      <c r="P27" s="341"/>
      <c r="Q27" s="342"/>
      <c r="R27" s="630"/>
      <c r="S27" s="342"/>
      <c r="T27" s="342"/>
      <c r="U27" s="343"/>
      <c r="V27" s="630"/>
      <c r="W27" s="631"/>
      <c r="X27" s="344"/>
      <c r="Y27" s="342"/>
      <c r="Z27" s="344"/>
      <c r="AA27" s="344"/>
    </row>
    <row r="28" spans="2:27" ht="16">
      <c r="B28" s="479" t="s">
        <v>489</v>
      </c>
      <c r="C28" s="479"/>
      <c r="D28" s="479"/>
      <c r="E28" s="479"/>
      <c r="F28" s="479"/>
      <c r="G28" s="479"/>
      <c r="H28" s="479"/>
      <c r="I28" s="479"/>
      <c r="J28" s="479"/>
      <c r="K28" s="479"/>
      <c r="L28" s="479"/>
      <c r="M28" s="479"/>
      <c r="N28" s="479"/>
      <c r="O28" s="340"/>
      <c r="P28" s="341"/>
      <c r="Q28" s="342"/>
      <c r="R28" s="630"/>
      <c r="S28" s="342"/>
      <c r="T28" s="342"/>
      <c r="U28" s="343"/>
      <c r="V28" s="630"/>
      <c r="W28" s="631"/>
      <c r="X28" s="344"/>
      <c r="Y28" s="342"/>
      <c r="Z28" s="344"/>
      <c r="AA28" s="344"/>
    </row>
    <row r="29" spans="2:27" ht="16">
      <c r="C29" s="67" t="s">
        <v>489</v>
      </c>
      <c r="D29" s="67"/>
      <c r="E29" s="67"/>
      <c r="F29" s="67"/>
      <c r="G29" s="67"/>
      <c r="H29" s="67"/>
      <c r="I29" s="67"/>
      <c r="J29" s="67"/>
      <c r="K29" s="67"/>
      <c r="L29" s="67"/>
      <c r="M29" s="67"/>
      <c r="N29" s="67"/>
      <c r="O29" s="340"/>
      <c r="P29" s="341"/>
      <c r="Q29" s="342"/>
      <c r="R29" s="630"/>
      <c r="S29" s="342"/>
      <c r="T29" s="342"/>
      <c r="U29" s="343"/>
      <c r="V29" s="630"/>
      <c r="W29" s="631"/>
      <c r="X29" s="344"/>
      <c r="Y29" s="342"/>
      <c r="Z29" s="344"/>
      <c r="AA29" s="344"/>
    </row>
    <row r="30" spans="2:27" ht="16">
      <c r="D30" s="1" t="s">
        <v>489</v>
      </c>
      <c r="O30" s="340"/>
      <c r="P30" s="341"/>
      <c r="Q30" s="342"/>
      <c r="R30" s="630"/>
      <c r="S30" s="342"/>
      <c r="T30" s="342"/>
      <c r="U30" s="343"/>
      <c r="V30" s="630"/>
      <c r="W30" s="631"/>
      <c r="X30" s="344"/>
      <c r="Y30" s="342"/>
      <c r="Z30" s="344"/>
      <c r="AA30" s="344"/>
    </row>
    <row r="31" spans="2:27" ht="16">
      <c r="E31" s="3" t="s">
        <v>489</v>
      </c>
      <c r="F31" s="3"/>
      <c r="G31" s="3"/>
      <c r="H31" s="3"/>
      <c r="I31" s="3"/>
      <c r="J31" s="3"/>
      <c r="K31" s="3"/>
      <c r="L31" s="3"/>
      <c r="M31" s="3"/>
      <c r="N31" s="3"/>
      <c r="O31" s="340"/>
      <c r="P31" s="341"/>
      <c r="Q31" s="342"/>
      <c r="R31" s="630"/>
      <c r="S31" s="342"/>
      <c r="T31" s="342"/>
      <c r="U31" s="343"/>
      <c r="V31" s="630"/>
      <c r="W31" s="631"/>
      <c r="X31" s="344"/>
      <c r="Y31" s="342"/>
      <c r="Z31" s="344"/>
      <c r="AA31" s="344"/>
    </row>
    <row r="32" spans="2:27" ht="16">
      <c r="F32" s="1" t="s">
        <v>489</v>
      </c>
      <c r="O32" s="340"/>
      <c r="P32" s="341"/>
      <c r="Q32" s="342"/>
      <c r="R32" s="630"/>
      <c r="S32" s="342"/>
      <c r="T32" s="342"/>
      <c r="U32" s="343"/>
      <c r="V32" s="630"/>
      <c r="W32" s="631"/>
      <c r="X32" s="344"/>
      <c r="Y32" s="342"/>
      <c r="Z32" s="344"/>
      <c r="AA32" s="344"/>
    </row>
    <row r="33" spans="3:27" ht="16">
      <c r="G33" s="345" t="s">
        <v>489</v>
      </c>
      <c r="H33" s="345"/>
      <c r="I33" s="345"/>
      <c r="J33" s="345"/>
      <c r="K33" s="345"/>
      <c r="L33" s="345"/>
      <c r="M33" s="345"/>
      <c r="N33" s="345"/>
      <c r="O33" s="340"/>
      <c r="P33" s="341"/>
      <c r="Q33" s="342"/>
      <c r="R33" s="630"/>
      <c r="S33" s="342"/>
      <c r="T33" s="342"/>
      <c r="U33" s="343"/>
      <c r="V33" s="630"/>
      <c r="W33" s="631"/>
      <c r="X33" s="344"/>
      <c r="Y33" s="342"/>
      <c r="Z33" s="344"/>
      <c r="AA33" s="344"/>
    </row>
    <row r="34" spans="3:27" ht="16">
      <c r="H34" s="3" t="s">
        <v>489</v>
      </c>
      <c r="I34" s="3"/>
      <c r="J34" s="3"/>
      <c r="K34" s="3"/>
      <c r="L34" s="3"/>
      <c r="M34" s="3"/>
      <c r="N34" s="3"/>
      <c r="O34" s="340"/>
      <c r="P34" s="341"/>
      <c r="Q34" s="342"/>
      <c r="R34" s="630"/>
      <c r="S34" s="342"/>
      <c r="T34" s="342"/>
      <c r="U34" s="343"/>
      <c r="V34" s="630"/>
      <c r="W34" s="631"/>
      <c r="X34" s="344"/>
      <c r="Y34" s="342"/>
      <c r="Z34" s="344"/>
      <c r="AA34" s="344"/>
    </row>
    <row r="35" spans="3:27" ht="16">
      <c r="I35" s="346" t="s">
        <v>489</v>
      </c>
      <c r="J35" s="346"/>
      <c r="K35" s="346"/>
      <c r="L35" s="346"/>
      <c r="M35" s="346"/>
      <c r="N35" s="346"/>
      <c r="O35" s="340"/>
      <c r="P35" s="341"/>
      <c r="Q35" s="342"/>
      <c r="R35" s="630"/>
      <c r="S35" s="342"/>
      <c r="T35" s="342"/>
      <c r="U35" s="343"/>
      <c r="V35" s="630"/>
      <c r="W35" s="631"/>
      <c r="X35" s="344"/>
      <c r="Y35" s="342"/>
      <c r="Z35" s="344"/>
      <c r="AA35" s="344"/>
    </row>
    <row r="36" spans="3:27" ht="16">
      <c r="J36" s="3" t="s">
        <v>489</v>
      </c>
      <c r="K36" s="3"/>
      <c r="L36" s="3"/>
      <c r="M36" s="3"/>
      <c r="N36" s="3"/>
      <c r="O36" s="340"/>
      <c r="P36" s="341"/>
      <c r="Q36" s="342"/>
      <c r="R36" s="630"/>
      <c r="S36" s="342"/>
      <c r="T36" s="342"/>
      <c r="U36" s="343"/>
      <c r="V36" s="630"/>
      <c r="W36" s="631"/>
      <c r="X36" s="344"/>
      <c r="Y36" s="342"/>
      <c r="Z36" s="344"/>
      <c r="AA36" s="344"/>
    </row>
    <row r="37" spans="3:27" ht="16">
      <c r="K37" s="347" t="s">
        <v>489</v>
      </c>
      <c r="L37" s="347"/>
      <c r="M37" s="347"/>
      <c r="N37" s="347"/>
      <c r="O37" s="340"/>
      <c r="P37" s="341"/>
      <c r="Q37" s="342"/>
      <c r="R37" s="630"/>
      <c r="S37" s="342"/>
      <c r="T37" s="342"/>
      <c r="U37" s="343"/>
      <c r="V37" s="630"/>
      <c r="W37" s="631"/>
      <c r="X37" s="344"/>
      <c r="Y37" s="342"/>
      <c r="Z37" s="344"/>
      <c r="AA37" s="344"/>
    </row>
    <row r="38" spans="3:27" ht="16">
      <c r="L38" s="3" t="s">
        <v>489</v>
      </c>
      <c r="M38" s="3"/>
      <c r="N38" s="3"/>
      <c r="O38" s="340"/>
      <c r="P38" s="341"/>
      <c r="Q38" s="342"/>
      <c r="R38" s="630"/>
      <c r="S38" s="342"/>
      <c r="T38" s="342"/>
      <c r="U38" s="343"/>
      <c r="V38" s="630"/>
      <c r="W38" s="631"/>
      <c r="X38" s="344"/>
      <c r="Y38" s="342"/>
      <c r="Z38" s="344"/>
      <c r="AA38" s="344"/>
    </row>
    <row r="39" spans="3:27" ht="16">
      <c r="M39" s="3" t="s">
        <v>489</v>
      </c>
      <c r="N39" s="3"/>
      <c r="O39" s="340"/>
      <c r="P39" s="341"/>
      <c r="Q39" s="342"/>
      <c r="R39" s="630"/>
      <c r="S39" s="342"/>
      <c r="T39" s="342"/>
      <c r="U39" s="343"/>
      <c r="V39" s="630"/>
      <c r="W39" s="631"/>
      <c r="X39" s="344"/>
      <c r="Y39" s="342"/>
      <c r="Z39" s="344"/>
      <c r="AA39" s="344"/>
    </row>
    <row r="40" spans="3:27" ht="16">
      <c r="N40" s="345" t="s">
        <v>489</v>
      </c>
      <c r="O40" s="340"/>
      <c r="P40" s="341"/>
      <c r="Q40" s="342"/>
      <c r="R40" s="630"/>
      <c r="S40" s="342"/>
      <c r="T40" s="342"/>
      <c r="U40" s="343"/>
      <c r="V40" s="630"/>
      <c r="W40" s="631"/>
      <c r="X40" s="344"/>
      <c r="Y40" s="342"/>
      <c r="Z40" s="344"/>
      <c r="AA40" s="344"/>
    </row>
    <row r="41" spans="3:27" ht="16">
      <c r="O41" s="340"/>
      <c r="P41" s="341"/>
      <c r="Q41" s="342"/>
      <c r="R41" s="630"/>
      <c r="S41" s="342"/>
      <c r="T41" s="342"/>
      <c r="U41" s="343"/>
      <c r="V41" s="630"/>
      <c r="W41" s="631"/>
      <c r="X41" s="344"/>
      <c r="Y41" s="342"/>
      <c r="Z41" s="344"/>
      <c r="AA41" s="344"/>
    </row>
    <row r="42" spans="3:27" ht="16">
      <c r="F42" s="592" t="s">
        <v>490</v>
      </c>
      <c r="G42" s="592"/>
      <c r="H42" s="592"/>
      <c r="I42" s="592"/>
      <c r="J42" s="592"/>
      <c r="K42" s="592"/>
      <c r="L42" s="592"/>
      <c r="M42" s="592"/>
      <c r="N42" s="592"/>
      <c r="O42" s="593"/>
      <c r="P42" s="594"/>
      <c r="Q42" s="595"/>
      <c r="R42" s="632"/>
      <c r="S42" s="599"/>
      <c r="T42" s="599"/>
      <c r="U42" s="600"/>
      <c r="V42" s="632"/>
      <c r="W42" s="638"/>
      <c r="X42" s="597"/>
      <c r="Y42" s="595"/>
      <c r="Z42" s="598"/>
      <c r="AA42" s="598"/>
    </row>
    <row r="43" spans="3:27" ht="16">
      <c r="O43" s="340"/>
      <c r="P43" s="341"/>
      <c r="Q43" s="342"/>
      <c r="R43" s="630"/>
      <c r="S43" s="342"/>
      <c r="T43" s="342"/>
      <c r="U43" s="343"/>
      <c r="V43" s="630"/>
      <c r="W43" s="631"/>
      <c r="X43" s="344"/>
      <c r="Y43" s="342"/>
      <c r="Z43" s="344"/>
      <c r="AA43" s="344"/>
    </row>
    <row r="44" spans="3:27" ht="16">
      <c r="E44" s="92" t="s">
        <v>490</v>
      </c>
      <c r="F44" s="92"/>
      <c r="G44" s="92"/>
      <c r="H44" s="92"/>
      <c r="I44" s="92"/>
      <c r="J44" s="92"/>
      <c r="K44" s="92"/>
      <c r="L44" s="92"/>
      <c r="M44" s="92"/>
      <c r="N44" s="92"/>
      <c r="O44" s="348"/>
      <c r="P44" s="381"/>
      <c r="Q44" s="379"/>
      <c r="R44" s="634"/>
      <c r="S44" s="379"/>
      <c r="T44" s="379"/>
      <c r="U44" s="380"/>
      <c r="V44" s="634"/>
      <c r="W44" s="635"/>
      <c r="X44" s="378"/>
      <c r="Y44" s="379"/>
      <c r="Z44" s="349"/>
      <c r="AA44" s="349"/>
    </row>
    <row r="45" spans="3:27" ht="16">
      <c r="O45" s="340"/>
      <c r="P45" s="341"/>
      <c r="Q45" s="342"/>
      <c r="R45" s="630"/>
      <c r="S45" s="342"/>
      <c r="T45" s="342"/>
      <c r="U45" s="343"/>
      <c r="V45" s="630"/>
      <c r="W45" s="631"/>
      <c r="X45" s="344"/>
      <c r="Y45" s="342"/>
      <c r="Z45" s="344"/>
      <c r="AA45" s="344"/>
    </row>
    <row r="46" spans="3:27" ht="16">
      <c r="D46" s="601" t="s">
        <v>490</v>
      </c>
      <c r="E46" s="601"/>
      <c r="F46" s="601"/>
      <c r="G46" s="601"/>
      <c r="H46" s="601"/>
      <c r="I46" s="601"/>
      <c r="J46" s="601"/>
      <c r="K46" s="601"/>
      <c r="L46" s="601"/>
      <c r="M46" s="601"/>
      <c r="N46" s="601"/>
      <c r="O46" s="602"/>
      <c r="P46" s="603"/>
      <c r="Q46" s="604"/>
      <c r="R46" s="636"/>
      <c r="S46" s="604"/>
      <c r="T46" s="604"/>
      <c r="U46" s="605"/>
      <c r="V46" s="636"/>
      <c r="W46" s="637"/>
      <c r="X46" s="607"/>
      <c r="Y46" s="604"/>
      <c r="Z46" s="606"/>
      <c r="AA46" s="606"/>
    </row>
    <row r="47" spans="3:27" ht="16">
      <c r="O47" s="340"/>
      <c r="P47" s="341"/>
      <c r="Q47" s="342"/>
      <c r="R47" s="630"/>
      <c r="S47" s="342"/>
      <c r="T47" s="342"/>
      <c r="U47" s="343"/>
      <c r="V47" s="630"/>
      <c r="W47" s="631"/>
      <c r="X47" s="344"/>
      <c r="Y47" s="342"/>
      <c r="Z47" s="344"/>
      <c r="AA47" s="344"/>
    </row>
    <row r="48" spans="3:27" ht="16">
      <c r="C48" s="586" t="s">
        <v>490</v>
      </c>
      <c r="D48" s="586"/>
      <c r="E48" s="586"/>
      <c r="F48" s="586"/>
      <c r="G48" s="586"/>
      <c r="H48" s="586"/>
      <c r="I48" s="586"/>
      <c r="J48" s="586"/>
      <c r="K48" s="586"/>
      <c r="L48" s="586"/>
      <c r="M48" s="586"/>
      <c r="N48" s="586"/>
      <c r="O48" s="587"/>
      <c r="P48" s="608"/>
      <c r="Q48" s="609"/>
      <c r="R48" s="628"/>
      <c r="S48" s="609"/>
      <c r="T48" s="609"/>
      <c r="U48" s="610"/>
      <c r="V48" s="628"/>
      <c r="W48" s="623"/>
      <c r="X48" s="611"/>
      <c r="Y48" s="609"/>
      <c r="Z48" s="588"/>
      <c r="AA48" s="588"/>
    </row>
    <row r="49" spans="2:27" ht="16">
      <c r="O49" s="340"/>
      <c r="P49" s="341"/>
      <c r="Q49" s="342"/>
      <c r="R49" s="630"/>
      <c r="S49" s="342"/>
      <c r="T49" s="342"/>
      <c r="U49" s="343"/>
      <c r="V49" s="630"/>
      <c r="W49" s="631"/>
      <c r="X49" s="344"/>
      <c r="Y49" s="342"/>
      <c r="Z49" s="344"/>
      <c r="AA49" s="344"/>
    </row>
    <row r="50" spans="2:27" ht="16">
      <c r="B50" s="612" t="s">
        <v>229</v>
      </c>
      <c r="C50" s="612"/>
      <c r="D50" s="612"/>
      <c r="E50" s="612"/>
      <c r="F50" s="612"/>
      <c r="G50" s="612"/>
      <c r="H50" s="612"/>
      <c r="I50" s="612"/>
      <c r="J50" s="612"/>
      <c r="K50" s="612"/>
      <c r="L50" s="612"/>
      <c r="M50" s="612"/>
      <c r="N50" s="612"/>
      <c r="O50" s="613"/>
      <c r="P50" s="614" t="e">
        <v>#N/A</v>
      </c>
      <c r="Q50" s="615">
        <v>0</v>
      </c>
      <c r="R50" s="639" t="e">
        <v>#N/A</v>
      </c>
      <c r="S50" s="615">
        <v>0</v>
      </c>
      <c r="T50" s="615">
        <v>0</v>
      </c>
      <c r="U50" s="616">
        <v>0</v>
      </c>
      <c r="V50" s="639" t="e">
        <v>#N/A</v>
      </c>
      <c r="W50" s="640"/>
      <c r="X50" s="618">
        <v>0</v>
      </c>
      <c r="Y50" s="615">
        <v>0</v>
      </c>
      <c r="Z50" s="617">
        <v>0</v>
      </c>
      <c r="AA50" s="617">
        <v>0</v>
      </c>
    </row>
    <row r="51" spans="2:27" ht="16">
      <c r="B51"/>
      <c r="C51"/>
      <c r="D51"/>
      <c r="E51"/>
      <c r="F51"/>
      <c r="G51"/>
      <c r="H51"/>
      <c r="I51"/>
      <c r="J51"/>
      <c r="K51"/>
      <c r="L51"/>
      <c r="M51"/>
      <c r="N51"/>
      <c r="O51"/>
      <c r="P51"/>
      <c r="Q51"/>
      <c r="R51"/>
      <c r="S51"/>
      <c r="T51"/>
      <c r="U51"/>
      <c r="V51"/>
      <c r="W51"/>
      <c r="X51"/>
      <c r="Y51"/>
      <c r="Z51"/>
      <c r="AA51"/>
    </row>
    <row r="52" spans="2:27" ht="16">
      <c r="B52"/>
      <c r="C52"/>
      <c r="D52"/>
      <c r="E52"/>
      <c r="F52"/>
      <c r="G52"/>
      <c r="H52"/>
      <c r="I52"/>
      <c r="J52"/>
      <c r="K52"/>
      <c r="L52"/>
      <c r="M52"/>
      <c r="N52"/>
      <c r="O52"/>
      <c r="P52"/>
      <c r="Q52"/>
      <c r="R52"/>
      <c r="S52"/>
      <c r="T52"/>
      <c r="U52"/>
      <c r="V52"/>
      <c r="W52"/>
      <c r="X52"/>
      <c r="Y52"/>
      <c r="Z52"/>
      <c r="AA52"/>
    </row>
    <row r="53" spans="2:27" ht="16">
      <c r="B53"/>
      <c r="C53"/>
      <c r="D53"/>
      <c r="E53"/>
      <c r="F53"/>
      <c r="G53"/>
      <c r="H53"/>
      <c r="I53"/>
      <c r="J53"/>
      <c r="K53"/>
      <c r="L53"/>
      <c r="M53"/>
      <c r="N53"/>
      <c r="O53"/>
      <c r="P53"/>
      <c r="Q53"/>
      <c r="R53"/>
      <c r="S53"/>
      <c r="T53"/>
      <c r="U53"/>
      <c r="V53"/>
      <c r="W53"/>
      <c r="X53"/>
      <c r="Y53"/>
      <c r="Z53"/>
      <c r="AA53"/>
    </row>
    <row r="54" spans="2:27" ht="16">
      <c r="B54"/>
      <c r="C54"/>
      <c r="D54"/>
      <c r="E54"/>
      <c r="F54"/>
      <c r="G54"/>
      <c r="H54"/>
      <c r="I54"/>
      <c r="J54"/>
      <c r="K54"/>
      <c r="L54"/>
      <c r="M54"/>
      <c r="N54"/>
      <c r="O54"/>
      <c r="P54"/>
      <c r="Q54"/>
      <c r="R54"/>
      <c r="S54"/>
      <c r="T54"/>
      <c r="U54"/>
      <c r="V54"/>
      <c r="W54"/>
      <c r="X54"/>
      <c r="Y54"/>
      <c r="Z54"/>
      <c r="AA54"/>
    </row>
    <row r="55" spans="2:27" ht="16">
      <c r="B55"/>
      <c r="C55"/>
      <c r="D55"/>
      <c r="E55"/>
      <c r="F55"/>
      <c r="G55"/>
      <c r="H55"/>
      <c r="I55"/>
      <c r="J55"/>
      <c r="K55"/>
      <c r="L55"/>
      <c r="M55"/>
      <c r="N55"/>
      <c r="O55"/>
      <c r="P55"/>
      <c r="Q55"/>
      <c r="R55"/>
      <c r="S55"/>
      <c r="T55"/>
      <c r="U55"/>
      <c r="V55"/>
      <c r="W55"/>
      <c r="X55"/>
      <c r="Y55"/>
      <c r="Z55"/>
    </row>
    <row r="56" spans="2:27" ht="16">
      <c r="B56"/>
      <c r="C56"/>
      <c r="D56"/>
      <c r="E56"/>
      <c r="F56"/>
      <c r="G56"/>
      <c r="H56"/>
      <c r="I56"/>
      <c r="J56"/>
      <c r="K56"/>
      <c r="L56"/>
      <c r="M56"/>
      <c r="N56"/>
      <c r="O56"/>
      <c r="P56"/>
      <c r="Q56"/>
      <c r="R56"/>
      <c r="S56"/>
      <c r="T56"/>
      <c r="U56"/>
      <c r="V56"/>
      <c r="W56"/>
      <c r="X56"/>
      <c r="Y56"/>
      <c r="Z56"/>
    </row>
    <row r="57" spans="2:27" ht="16">
      <c r="B57"/>
      <c r="C57"/>
      <c r="D57"/>
      <c r="E57"/>
      <c r="F57"/>
      <c r="G57"/>
      <c r="H57"/>
      <c r="I57"/>
      <c r="J57"/>
      <c r="K57"/>
      <c r="L57"/>
      <c r="M57"/>
      <c r="N57"/>
      <c r="O57"/>
      <c r="P57"/>
      <c r="Q57"/>
      <c r="R57"/>
      <c r="S57"/>
      <c r="T57"/>
      <c r="U57"/>
      <c r="V57"/>
      <c r="W57"/>
      <c r="X57"/>
      <c r="Y57"/>
      <c r="Z57"/>
    </row>
    <row r="58" spans="2:27" ht="16">
      <c r="B58"/>
      <c r="C58"/>
      <c r="D58"/>
      <c r="E58"/>
      <c r="F58"/>
      <c r="G58"/>
      <c r="H58"/>
      <c r="I58"/>
      <c r="J58"/>
      <c r="K58"/>
      <c r="L58"/>
      <c r="M58"/>
      <c r="N58"/>
      <c r="O58"/>
      <c r="P58"/>
      <c r="Q58"/>
      <c r="R58"/>
      <c r="S58"/>
      <c r="T58"/>
      <c r="U58"/>
      <c r="V58"/>
      <c r="W58"/>
      <c r="X58"/>
      <c r="Y58"/>
      <c r="Z58"/>
    </row>
    <row r="59" spans="2:27" ht="16">
      <c r="B59"/>
      <c r="C59"/>
      <c r="D59"/>
      <c r="E59"/>
      <c r="F59"/>
      <c r="G59"/>
      <c r="H59"/>
      <c r="I59"/>
      <c r="J59"/>
      <c r="K59"/>
      <c r="L59"/>
      <c r="M59"/>
      <c r="N59"/>
      <c r="O59"/>
      <c r="P59"/>
      <c r="Q59"/>
      <c r="R59"/>
      <c r="S59"/>
      <c r="T59"/>
      <c r="U59"/>
      <c r="V59"/>
      <c r="W59"/>
      <c r="X59"/>
      <c r="Y59"/>
      <c r="Z59"/>
    </row>
    <row r="60" spans="2:27" ht="16">
      <c r="B60"/>
      <c r="C60"/>
      <c r="D60"/>
      <c r="E60"/>
      <c r="F60"/>
      <c r="G60"/>
      <c r="H60"/>
      <c r="I60"/>
      <c r="J60"/>
      <c r="K60"/>
      <c r="L60"/>
      <c r="M60"/>
      <c r="N60"/>
      <c r="O60"/>
      <c r="P60"/>
      <c r="Q60"/>
      <c r="R60"/>
      <c r="S60"/>
      <c r="T60"/>
      <c r="U60"/>
      <c r="V60"/>
      <c r="W60"/>
      <c r="X60"/>
      <c r="Y60"/>
      <c r="Z60"/>
    </row>
    <row r="61" spans="2:27" ht="16">
      <c r="B61"/>
      <c r="C61"/>
      <c r="D61"/>
      <c r="E61"/>
      <c r="F61"/>
      <c r="G61"/>
      <c r="H61"/>
      <c r="I61"/>
      <c r="J61"/>
      <c r="K61"/>
      <c r="L61"/>
      <c r="M61"/>
      <c r="N61"/>
      <c r="O61"/>
      <c r="P61"/>
      <c r="Q61"/>
      <c r="R61"/>
      <c r="S61"/>
      <c r="T61"/>
      <c r="U61"/>
      <c r="V61"/>
      <c r="W61"/>
      <c r="X61"/>
      <c r="Y61"/>
      <c r="Z61"/>
    </row>
    <row r="62" spans="2:27" ht="16">
      <c r="B62"/>
      <c r="C62"/>
      <c r="D62"/>
      <c r="E62"/>
      <c r="F62"/>
      <c r="G62"/>
      <c r="H62"/>
      <c r="I62"/>
      <c r="J62"/>
      <c r="K62"/>
      <c r="L62"/>
      <c r="M62"/>
      <c r="N62"/>
      <c r="O62"/>
      <c r="P62"/>
      <c r="Q62"/>
      <c r="R62"/>
      <c r="S62"/>
      <c r="T62"/>
      <c r="U62"/>
      <c r="V62"/>
      <c r="W62"/>
      <c r="X62"/>
      <c r="Y62"/>
      <c r="Z62"/>
    </row>
    <row r="63" spans="2:27" ht="16">
      <c r="B63"/>
      <c r="C63"/>
      <c r="D63"/>
      <c r="E63"/>
      <c r="F63"/>
      <c r="G63"/>
      <c r="H63"/>
      <c r="I63"/>
      <c r="J63"/>
      <c r="K63"/>
      <c r="L63"/>
      <c r="M63"/>
      <c r="N63"/>
      <c r="O63"/>
      <c r="P63"/>
      <c r="Q63"/>
      <c r="R63"/>
      <c r="S63"/>
      <c r="T63"/>
      <c r="U63"/>
      <c r="V63"/>
      <c r="W63"/>
      <c r="X63"/>
      <c r="Y63"/>
      <c r="Z63"/>
    </row>
    <row r="64" spans="2:27" ht="16">
      <c r="B64"/>
      <c r="C64"/>
      <c r="D64"/>
      <c r="E64"/>
      <c r="F64"/>
      <c r="G64"/>
      <c r="H64"/>
      <c r="I64"/>
      <c r="J64"/>
      <c r="K64"/>
      <c r="L64"/>
      <c r="M64"/>
      <c r="N64"/>
      <c r="O64"/>
      <c r="P64"/>
      <c r="Q64"/>
      <c r="R64"/>
      <c r="S64"/>
      <c r="T64"/>
      <c r="U64"/>
      <c r="V64"/>
      <c r="W64"/>
      <c r="X64"/>
      <c r="Y64"/>
      <c r="Z64"/>
    </row>
    <row r="65" spans="2:26" ht="16">
      <c r="B65"/>
      <c r="C65"/>
      <c r="D65"/>
      <c r="E65"/>
      <c r="F65"/>
      <c r="G65"/>
      <c r="H65"/>
      <c r="I65"/>
      <c r="J65"/>
      <c r="K65"/>
      <c r="L65"/>
      <c r="M65"/>
      <c r="N65"/>
      <c r="O65"/>
      <c r="P65"/>
      <c r="Q65"/>
      <c r="R65"/>
      <c r="S65"/>
      <c r="T65"/>
      <c r="U65"/>
      <c r="V65"/>
      <c r="W65"/>
      <c r="X65"/>
      <c r="Y65"/>
      <c r="Z65"/>
    </row>
    <row r="66" spans="2:26" ht="16">
      <c r="B66"/>
      <c r="C66"/>
      <c r="D66"/>
      <c r="E66"/>
      <c r="F66"/>
      <c r="G66"/>
      <c r="H66"/>
      <c r="I66"/>
      <c r="J66"/>
      <c r="K66"/>
      <c r="L66"/>
      <c r="M66"/>
      <c r="N66"/>
      <c r="O66"/>
      <c r="P66"/>
      <c r="Q66"/>
      <c r="R66"/>
      <c r="S66"/>
      <c r="T66"/>
      <c r="U66"/>
      <c r="V66"/>
      <c r="W66"/>
      <c r="X66"/>
      <c r="Y66"/>
      <c r="Z66"/>
    </row>
    <row r="67" spans="2:26" ht="16">
      <c r="B67"/>
      <c r="C67"/>
      <c r="D67"/>
      <c r="E67"/>
      <c r="F67"/>
      <c r="G67"/>
      <c r="H67"/>
      <c r="I67"/>
      <c r="J67"/>
      <c r="K67"/>
      <c r="L67"/>
      <c r="M67"/>
      <c r="N67"/>
      <c r="O67"/>
      <c r="P67"/>
      <c r="Q67"/>
      <c r="R67"/>
      <c r="S67"/>
      <c r="T67"/>
      <c r="U67"/>
      <c r="V67"/>
      <c r="W67"/>
      <c r="X67"/>
      <c r="Y67"/>
      <c r="Z67"/>
    </row>
    <row r="68" spans="2:26" ht="16">
      <c r="B68"/>
      <c r="C68"/>
      <c r="D68"/>
      <c r="E68"/>
      <c r="F68"/>
      <c r="G68"/>
      <c r="H68"/>
      <c r="I68"/>
      <c r="J68"/>
      <c r="K68"/>
      <c r="L68"/>
      <c r="M68"/>
      <c r="N68"/>
      <c r="O68"/>
      <c r="P68"/>
      <c r="Q68"/>
      <c r="R68"/>
      <c r="S68"/>
      <c r="T68"/>
      <c r="U68"/>
      <c r="V68"/>
      <c r="W68"/>
      <c r="X68"/>
      <c r="Y68"/>
      <c r="Z68"/>
    </row>
    <row r="69" spans="2:26" ht="16">
      <c r="B69"/>
      <c r="C69"/>
      <c r="D69"/>
      <c r="E69"/>
      <c r="F69"/>
      <c r="G69"/>
      <c r="H69"/>
      <c r="I69"/>
      <c r="J69"/>
      <c r="K69"/>
      <c r="L69"/>
      <c r="M69"/>
      <c r="N69"/>
      <c r="O69"/>
      <c r="P69"/>
      <c r="Q69"/>
      <c r="R69"/>
      <c r="S69"/>
      <c r="T69"/>
      <c r="U69"/>
      <c r="V69"/>
      <c r="W69"/>
      <c r="X69"/>
      <c r="Y69"/>
      <c r="Z69"/>
    </row>
    <row r="70" spans="2:26" ht="16">
      <c r="B70"/>
      <c r="C70"/>
      <c r="D70"/>
      <c r="E70"/>
      <c r="F70"/>
      <c r="G70"/>
      <c r="H70"/>
      <c r="I70"/>
      <c r="J70"/>
      <c r="K70"/>
      <c r="L70"/>
      <c r="M70"/>
      <c r="N70"/>
      <c r="O70"/>
      <c r="P70"/>
      <c r="Q70"/>
      <c r="R70"/>
      <c r="S70"/>
      <c r="T70"/>
      <c r="U70"/>
      <c r="V70"/>
      <c r="W70"/>
      <c r="X70"/>
      <c r="Y70"/>
      <c r="Z70"/>
    </row>
    <row r="71" spans="2:26" ht="16">
      <c r="B71"/>
      <c r="C71"/>
      <c r="D71"/>
      <c r="E71"/>
      <c r="F71"/>
      <c r="G71"/>
      <c r="H71"/>
      <c r="I71"/>
      <c r="J71"/>
      <c r="K71"/>
      <c r="L71"/>
      <c r="M71"/>
      <c r="N71"/>
      <c r="O71"/>
      <c r="P71"/>
      <c r="Q71"/>
      <c r="R71"/>
      <c r="S71"/>
      <c r="T71"/>
      <c r="U71"/>
      <c r="V71"/>
      <c r="W71"/>
      <c r="X71"/>
      <c r="Y71"/>
      <c r="Z71"/>
    </row>
    <row r="72" spans="2:26" ht="16">
      <c r="B72"/>
      <c r="C72"/>
      <c r="D72"/>
      <c r="E72"/>
      <c r="F72"/>
      <c r="G72"/>
      <c r="H72"/>
      <c r="I72"/>
      <c r="J72"/>
      <c r="K72"/>
      <c r="L72"/>
      <c r="M72"/>
      <c r="N72"/>
      <c r="O72"/>
      <c r="P72"/>
      <c r="Q72"/>
      <c r="R72"/>
      <c r="S72"/>
      <c r="T72"/>
      <c r="U72"/>
      <c r="V72"/>
      <c r="W72"/>
      <c r="X72"/>
      <c r="Y72"/>
      <c r="Z72"/>
    </row>
    <row r="73" spans="2:26" ht="16">
      <c r="B73"/>
      <c r="C73"/>
      <c r="D73"/>
      <c r="E73"/>
      <c r="F73"/>
      <c r="G73"/>
      <c r="H73"/>
      <c r="I73"/>
      <c r="J73"/>
      <c r="K73"/>
      <c r="L73"/>
      <c r="M73"/>
      <c r="N73"/>
      <c r="O73"/>
      <c r="P73"/>
      <c r="Q73"/>
      <c r="R73"/>
      <c r="S73"/>
      <c r="T73"/>
      <c r="U73"/>
      <c r="V73"/>
      <c r="W73"/>
      <c r="X73"/>
      <c r="Y73"/>
      <c r="Z73"/>
    </row>
    <row r="74" spans="2:26" ht="16">
      <c r="B74"/>
      <c r="C74"/>
      <c r="D74"/>
      <c r="E74"/>
      <c r="F74"/>
      <c r="G74"/>
      <c r="H74"/>
      <c r="I74"/>
      <c r="J74"/>
      <c r="K74"/>
      <c r="L74"/>
      <c r="M74"/>
      <c r="N74"/>
      <c r="O74"/>
      <c r="P74"/>
      <c r="Q74"/>
      <c r="R74"/>
      <c r="S74"/>
      <c r="T74"/>
      <c r="U74"/>
      <c r="V74"/>
      <c r="W74"/>
      <c r="X74"/>
      <c r="Y74"/>
      <c r="Z74"/>
    </row>
    <row r="75" spans="2:26" ht="16">
      <c r="B75"/>
      <c r="C75"/>
      <c r="D75"/>
      <c r="E75"/>
      <c r="F75"/>
      <c r="G75"/>
      <c r="H75"/>
      <c r="I75"/>
      <c r="J75"/>
      <c r="K75"/>
      <c r="L75"/>
      <c r="M75"/>
      <c r="N75"/>
      <c r="O75"/>
      <c r="P75"/>
      <c r="Q75"/>
      <c r="R75"/>
      <c r="S75"/>
      <c r="T75"/>
      <c r="U75"/>
      <c r="V75"/>
      <c r="W75"/>
      <c r="X75"/>
      <c r="Y75"/>
      <c r="Z75"/>
    </row>
    <row r="76" spans="2:26" ht="16">
      <c r="B76"/>
      <c r="C76"/>
      <c r="D76"/>
      <c r="E76"/>
      <c r="F76"/>
      <c r="G76"/>
      <c r="H76"/>
      <c r="I76"/>
      <c r="J76"/>
      <c r="K76"/>
      <c r="L76"/>
      <c r="M76"/>
      <c r="N76"/>
      <c r="O76"/>
      <c r="P76"/>
      <c r="Q76"/>
      <c r="R76"/>
      <c r="S76"/>
      <c r="T76"/>
      <c r="U76"/>
      <c r="V76"/>
      <c r="W76"/>
      <c r="X76"/>
      <c r="Y76"/>
      <c r="Z76"/>
    </row>
    <row r="77" spans="2:26" ht="16">
      <c r="B77"/>
      <c r="C77"/>
      <c r="D77"/>
      <c r="E77"/>
      <c r="F77"/>
      <c r="G77"/>
      <c r="H77"/>
      <c r="I77"/>
      <c r="J77"/>
      <c r="K77"/>
      <c r="L77"/>
      <c r="M77"/>
      <c r="N77"/>
      <c r="O77"/>
      <c r="P77"/>
      <c r="Q77"/>
      <c r="R77"/>
      <c r="S77"/>
      <c r="T77"/>
      <c r="U77"/>
      <c r="V77"/>
      <c r="W77"/>
      <c r="X77"/>
      <c r="Y77"/>
      <c r="Z77"/>
    </row>
    <row r="78" spans="2:26" ht="16">
      <c r="B78"/>
      <c r="C78"/>
      <c r="D78"/>
      <c r="E78"/>
      <c r="F78"/>
      <c r="G78"/>
      <c r="H78"/>
      <c r="I78"/>
      <c r="J78"/>
      <c r="K78"/>
      <c r="L78"/>
      <c r="M78"/>
      <c r="N78"/>
      <c r="O78"/>
      <c r="P78"/>
      <c r="Q78"/>
      <c r="R78"/>
      <c r="S78"/>
      <c r="T78"/>
      <c r="U78"/>
      <c r="V78"/>
      <c r="W78"/>
      <c r="X78"/>
      <c r="Y78"/>
      <c r="Z78"/>
    </row>
    <row r="79" spans="2:26" ht="16">
      <c r="B79"/>
      <c r="C79"/>
      <c r="D79"/>
      <c r="E79"/>
      <c r="F79"/>
      <c r="G79"/>
      <c r="H79"/>
      <c r="I79"/>
      <c r="J79"/>
      <c r="K79"/>
      <c r="L79"/>
      <c r="M79"/>
      <c r="N79"/>
      <c r="O79"/>
      <c r="P79"/>
      <c r="Q79"/>
      <c r="R79"/>
      <c r="S79"/>
      <c r="T79"/>
      <c r="U79"/>
      <c r="V79"/>
      <c r="W79"/>
      <c r="X79"/>
      <c r="Y79"/>
      <c r="Z79"/>
    </row>
    <row r="80" spans="2:26" ht="16">
      <c r="B80"/>
      <c r="C80"/>
      <c r="D80"/>
      <c r="E80"/>
      <c r="F80"/>
      <c r="G80"/>
      <c r="H80"/>
      <c r="I80"/>
      <c r="J80"/>
      <c r="K80"/>
      <c r="L80"/>
      <c r="M80"/>
      <c r="N80"/>
      <c r="O80"/>
      <c r="P80"/>
      <c r="Q80"/>
      <c r="R80"/>
      <c r="S80"/>
      <c r="T80"/>
      <c r="U80"/>
      <c r="V80"/>
      <c r="W80"/>
      <c r="X80"/>
      <c r="Y80"/>
      <c r="Z80"/>
    </row>
    <row r="81" spans="2:26" ht="16">
      <c r="B81"/>
      <c r="C81"/>
      <c r="D81"/>
      <c r="E81"/>
      <c r="F81"/>
      <c r="G81"/>
      <c r="H81"/>
      <c r="I81"/>
      <c r="J81"/>
      <c r="K81"/>
      <c r="L81"/>
      <c r="M81"/>
      <c r="N81"/>
      <c r="O81"/>
      <c r="P81"/>
      <c r="Q81"/>
      <c r="R81"/>
      <c r="S81"/>
      <c r="T81"/>
      <c r="U81"/>
      <c r="V81"/>
      <c r="W81"/>
      <c r="X81"/>
      <c r="Y81"/>
      <c r="Z81"/>
    </row>
    <row r="82" spans="2:26" ht="16">
      <c r="B82"/>
      <c r="C82"/>
      <c r="D82"/>
      <c r="E82"/>
      <c r="F82"/>
      <c r="G82"/>
      <c r="H82"/>
      <c r="I82"/>
      <c r="J82"/>
      <c r="K82"/>
      <c r="L82"/>
      <c r="M82"/>
      <c r="N82"/>
      <c r="O82"/>
      <c r="P82"/>
      <c r="Q82"/>
      <c r="R82"/>
      <c r="S82"/>
      <c r="T82"/>
      <c r="U82"/>
      <c r="V82"/>
      <c r="W82"/>
      <c r="X82"/>
      <c r="Y82"/>
      <c r="Z82"/>
    </row>
    <row r="83" spans="2:26" ht="16">
      <c r="B83"/>
      <c r="C83"/>
      <c r="D83"/>
      <c r="E83"/>
      <c r="F83"/>
      <c r="G83"/>
      <c r="H83"/>
      <c r="I83"/>
      <c r="J83"/>
      <c r="K83"/>
      <c r="L83"/>
      <c r="M83"/>
      <c r="N83"/>
      <c r="O83"/>
      <c r="P83"/>
      <c r="Q83"/>
      <c r="R83"/>
      <c r="S83"/>
      <c r="T83"/>
      <c r="U83"/>
      <c r="V83"/>
      <c r="W83"/>
      <c r="X83"/>
      <c r="Y83"/>
      <c r="Z83"/>
    </row>
    <row r="84" spans="2:26" ht="16">
      <c r="B84"/>
      <c r="C84"/>
      <c r="D84"/>
      <c r="E84"/>
      <c r="F84"/>
      <c r="G84"/>
      <c r="H84"/>
      <c r="I84"/>
      <c r="J84"/>
      <c r="K84"/>
      <c r="L84"/>
      <c r="M84"/>
      <c r="N84"/>
      <c r="O84"/>
      <c r="P84"/>
      <c r="Q84"/>
      <c r="R84"/>
      <c r="S84"/>
      <c r="T84"/>
      <c r="U84"/>
      <c r="V84"/>
      <c r="W84"/>
      <c r="X84"/>
      <c r="Y84"/>
      <c r="Z84"/>
    </row>
    <row r="85" spans="2:26" ht="16">
      <c r="B85"/>
      <c r="C85"/>
      <c r="D85"/>
      <c r="E85"/>
      <c r="F85"/>
      <c r="G85"/>
      <c r="H85"/>
      <c r="I85"/>
      <c r="J85"/>
      <c r="K85"/>
      <c r="L85"/>
      <c r="M85"/>
      <c r="N85"/>
      <c r="O85"/>
      <c r="P85"/>
      <c r="Q85"/>
      <c r="R85"/>
      <c r="S85"/>
      <c r="T85"/>
      <c r="U85"/>
      <c r="V85"/>
      <c r="W85"/>
      <c r="X85"/>
      <c r="Y85"/>
      <c r="Z85"/>
    </row>
    <row r="86" spans="2:26" ht="16">
      <c r="B86"/>
      <c r="C86"/>
      <c r="D86"/>
      <c r="E86"/>
      <c r="F86"/>
      <c r="G86"/>
      <c r="H86"/>
      <c r="I86"/>
      <c r="J86"/>
      <c r="K86"/>
      <c r="L86"/>
      <c r="M86"/>
      <c r="N86"/>
      <c r="O86"/>
      <c r="P86"/>
      <c r="Q86"/>
      <c r="R86"/>
      <c r="S86"/>
      <c r="T86"/>
      <c r="U86"/>
      <c r="V86"/>
      <c r="W86"/>
      <c r="X86"/>
      <c r="Y86"/>
      <c r="Z86"/>
    </row>
    <row r="87" spans="2:26" ht="16">
      <c r="B87"/>
      <c r="C87"/>
      <c r="D87"/>
      <c r="E87"/>
      <c r="F87"/>
      <c r="G87"/>
      <c r="H87"/>
      <c r="I87"/>
      <c r="J87"/>
      <c r="K87"/>
      <c r="L87"/>
      <c r="M87"/>
      <c r="N87"/>
      <c r="O87"/>
      <c r="P87"/>
      <c r="Q87"/>
      <c r="R87"/>
      <c r="S87"/>
      <c r="T87"/>
      <c r="U87"/>
      <c r="V87"/>
      <c r="W87"/>
      <c r="X87"/>
      <c r="Y87"/>
      <c r="Z87"/>
    </row>
    <row r="88" spans="2:26" ht="16">
      <c r="B88"/>
      <c r="C88"/>
      <c r="D88"/>
      <c r="E88"/>
      <c r="F88"/>
      <c r="G88"/>
      <c r="H88"/>
      <c r="I88"/>
      <c r="J88"/>
      <c r="K88"/>
      <c r="L88"/>
      <c r="M88"/>
      <c r="N88"/>
      <c r="O88"/>
      <c r="P88"/>
      <c r="Q88"/>
      <c r="R88"/>
      <c r="S88"/>
      <c r="T88"/>
      <c r="U88"/>
      <c r="V88"/>
      <c r="W88"/>
      <c r="X88"/>
      <c r="Y88"/>
      <c r="Z88"/>
    </row>
    <row r="89" spans="2:26" ht="16">
      <c r="B89"/>
      <c r="C89"/>
      <c r="D89"/>
      <c r="E89"/>
      <c r="F89"/>
      <c r="G89"/>
      <c r="H89"/>
      <c r="I89"/>
      <c r="J89"/>
      <c r="K89"/>
      <c r="L89"/>
      <c r="M89"/>
      <c r="N89"/>
      <c r="O89"/>
      <c r="P89"/>
      <c r="Q89"/>
      <c r="R89"/>
      <c r="S89"/>
      <c r="T89"/>
      <c r="U89"/>
      <c r="V89"/>
      <c r="W89"/>
      <c r="X89"/>
      <c r="Y89"/>
      <c r="Z89"/>
    </row>
    <row r="90" spans="2:26" ht="16">
      <c r="B90"/>
      <c r="C90"/>
      <c r="D90"/>
      <c r="E90"/>
      <c r="F90"/>
      <c r="G90"/>
      <c r="H90"/>
      <c r="I90"/>
      <c r="J90"/>
      <c r="K90"/>
      <c r="L90"/>
      <c r="M90"/>
      <c r="N90"/>
      <c r="O90"/>
      <c r="P90"/>
      <c r="Q90"/>
      <c r="R90"/>
      <c r="S90"/>
      <c r="T90"/>
      <c r="U90"/>
      <c r="V90"/>
      <c r="W90"/>
      <c r="X90"/>
      <c r="Y90"/>
      <c r="Z90"/>
    </row>
    <row r="91" spans="2:26" ht="16">
      <c r="B91"/>
      <c r="C91"/>
      <c r="D91"/>
      <c r="E91"/>
      <c r="F91"/>
      <c r="G91"/>
      <c r="H91"/>
      <c r="I91"/>
      <c r="J91"/>
      <c r="K91"/>
      <c r="L91"/>
      <c r="M91"/>
      <c r="N91"/>
      <c r="O91"/>
      <c r="P91"/>
      <c r="Q91"/>
      <c r="R91"/>
      <c r="S91"/>
      <c r="T91"/>
      <c r="U91"/>
      <c r="V91"/>
      <c r="W91"/>
      <c r="X91"/>
      <c r="Y91"/>
      <c r="Z91"/>
    </row>
    <row r="92" spans="2:26" ht="16">
      <c r="B92"/>
      <c r="C92"/>
      <c r="D92"/>
      <c r="E92"/>
      <c r="F92"/>
      <c r="G92"/>
      <c r="H92"/>
      <c r="I92"/>
      <c r="J92"/>
      <c r="K92"/>
      <c r="L92"/>
      <c r="M92"/>
      <c r="N92"/>
      <c r="O92"/>
      <c r="P92"/>
      <c r="Q92"/>
      <c r="R92"/>
      <c r="S92"/>
      <c r="T92"/>
      <c r="U92"/>
      <c r="V92"/>
      <c r="W92"/>
      <c r="X92"/>
      <c r="Y92"/>
      <c r="Z92"/>
    </row>
    <row r="93" spans="2:26" ht="16">
      <c r="B93"/>
      <c r="C93"/>
      <c r="D93"/>
      <c r="E93"/>
      <c r="F93"/>
      <c r="G93"/>
      <c r="H93"/>
      <c r="I93"/>
      <c r="J93"/>
      <c r="K93"/>
      <c r="L93"/>
      <c r="M93"/>
      <c r="N93"/>
      <c r="O93"/>
      <c r="P93"/>
      <c r="Q93"/>
      <c r="R93"/>
      <c r="S93"/>
      <c r="T93"/>
      <c r="U93"/>
      <c r="V93"/>
      <c r="W93"/>
      <c r="X93"/>
      <c r="Y93"/>
      <c r="Z93"/>
    </row>
    <row r="94" spans="2:26" ht="16">
      <c r="B94"/>
      <c r="C94"/>
      <c r="D94"/>
      <c r="E94"/>
      <c r="F94"/>
      <c r="G94"/>
      <c r="H94"/>
      <c r="I94"/>
      <c r="J94"/>
      <c r="K94"/>
      <c r="L94"/>
      <c r="M94"/>
      <c r="N94"/>
      <c r="O94"/>
      <c r="P94"/>
      <c r="Q94"/>
      <c r="R94"/>
      <c r="S94"/>
      <c r="T94"/>
      <c r="U94"/>
      <c r="V94"/>
      <c r="W94"/>
      <c r="X94"/>
      <c r="Y94"/>
      <c r="Z94"/>
    </row>
    <row r="95" spans="2:26" ht="16">
      <c r="B95"/>
      <c r="C95"/>
      <c r="D95"/>
      <c r="E95"/>
      <c r="F95"/>
      <c r="G95"/>
      <c r="H95"/>
      <c r="I95"/>
      <c r="J95"/>
      <c r="K95"/>
      <c r="L95"/>
      <c r="M95"/>
      <c r="N95"/>
      <c r="O95"/>
      <c r="P95"/>
      <c r="Q95"/>
      <c r="R95"/>
      <c r="S95"/>
      <c r="T95"/>
      <c r="U95"/>
      <c r="V95"/>
      <c r="W95"/>
      <c r="X95"/>
      <c r="Y95"/>
      <c r="Z95"/>
    </row>
    <row r="96" spans="2:26" ht="16">
      <c r="B96"/>
      <c r="C96"/>
      <c r="D96"/>
      <c r="E96"/>
      <c r="F96"/>
      <c r="G96"/>
      <c r="H96"/>
      <c r="I96"/>
      <c r="J96"/>
      <c r="K96"/>
      <c r="L96"/>
      <c r="M96"/>
      <c r="N96"/>
      <c r="O96"/>
      <c r="P96"/>
      <c r="Q96"/>
      <c r="R96"/>
      <c r="S96"/>
      <c r="T96"/>
      <c r="U96"/>
      <c r="V96"/>
      <c r="W96"/>
      <c r="X96"/>
      <c r="Y96"/>
      <c r="Z96"/>
    </row>
    <row r="97" spans="2:26" ht="16">
      <c r="B97"/>
      <c r="C97"/>
      <c r="D97"/>
      <c r="E97"/>
      <c r="F97"/>
      <c r="G97"/>
      <c r="H97"/>
      <c r="I97"/>
      <c r="J97"/>
      <c r="K97"/>
      <c r="L97"/>
      <c r="M97"/>
      <c r="N97"/>
      <c r="O97"/>
      <c r="P97"/>
      <c r="Q97"/>
      <c r="R97"/>
      <c r="S97"/>
      <c r="T97"/>
      <c r="U97"/>
      <c r="V97"/>
      <c r="W97"/>
      <c r="X97"/>
      <c r="Y97"/>
      <c r="Z97"/>
    </row>
    <row r="98" spans="2:26" ht="16">
      <c r="B98"/>
      <c r="C98"/>
      <c r="D98"/>
      <c r="E98"/>
      <c r="F98"/>
      <c r="G98"/>
      <c r="H98"/>
      <c r="I98"/>
      <c r="J98"/>
      <c r="K98"/>
      <c r="L98"/>
      <c r="M98"/>
      <c r="N98"/>
      <c r="O98"/>
      <c r="P98"/>
      <c r="Q98"/>
      <c r="R98"/>
      <c r="S98"/>
      <c r="T98"/>
      <c r="U98"/>
      <c r="V98"/>
      <c r="W98"/>
      <c r="X98"/>
      <c r="Y98"/>
      <c r="Z98"/>
    </row>
    <row r="99" spans="2:26" ht="16">
      <c r="B99"/>
      <c r="C99"/>
      <c r="D99"/>
      <c r="E99"/>
      <c r="F99"/>
      <c r="G99"/>
      <c r="H99"/>
      <c r="I99"/>
      <c r="J99"/>
      <c r="K99"/>
      <c r="L99"/>
      <c r="M99"/>
      <c r="N99"/>
      <c r="O99"/>
      <c r="P99"/>
      <c r="Q99"/>
      <c r="R99"/>
      <c r="S99"/>
      <c r="T99"/>
      <c r="U99"/>
      <c r="V99"/>
      <c r="W99"/>
      <c r="X99"/>
      <c r="Y99"/>
      <c r="Z99"/>
    </row>
    <row r="100" spans="2:26" ht="16">
      <c r="B100"/>
      <c r="C100"/>
      <c r="D100"/>
      <c r="E100"/>
      <c r="F100"/>
      <c r="G100"/>
      <c r="H100"/>
      <c r="I100"/>
      <c r="J100"/>
      <c r="K100"/>
      <c r="L100"/>
      <c r="M100"/>
      <c r="N100"/>
      <c r="O100"/>
      <c r="P100"/>
      <c r="Q100"/>
      <c r="R100"/>
      <c r="S100"/>
      <c r="T100"/>
      <c r="U100"/>
      <c r="V100"/>
      <c r="W100"/>
      <c r="X100"/>
      <c r="Y100"/>
      <c r="Z100"/>
    </row>
    <row r="101" spans="2:26" ht="16">
      <c r="B101"/>
      <c r="C101"/>
      <c r="D101"/>
      <c r="E101"/>
      <c r="F101"/>
      <c r="G101"/>
      <c r="H101"/>
      <c r="I101"/>
      <c r="J101"/>
      <c r="K101"/>
      <c r="L101"/>
      <c r="M101"/>
      <c r="N101"/>
      <c r="O101"/>
      <c r="P101"/>
      <c r="Q101"/>
      <c r="R101"/>
      <c r="S101"/>
      <c r="T101"/>
      <c r="U101"/>
      <c r="V101"/>
      <c r="W101"/>
      <c r="X101"/>
      <c r="Y101"/>
      <c r="Z101"/>
    </row>
    <row r="102" spans="2:26" ht="16">
      <c r="B102"/>
      <c r="C102"/>
      <c r="D102"/>
      <c r="E102"/>
      <c r="F102"/>
      <c r="G102"/>
      <c r="H102"/>
      <c r="I102"/>
      <c r="J102"/>
      <c r="K102"/>
      <c r="L102"/>
      <c r="M102"/>
      <c r="N102"/>
      <c r="O102"/>
      <c r="P102"/>
      <c r="Q102"/>
      <c r="R102"/>
      <c r="S102"/>
      <c r="T102"/>
      <c r="U102"/>
      <c r="V102"/>
      <c r="W102"/>
      <c r="X102"/>
      <c r="Y102"/>
      <c r="Z102"/>
    </row>
    <row r="103" spans="2:26" ht="16">
      <c r="B103"/>
      <c r="C103"/>
      <c r="D103"/>
      <c r="E103"/>
      <c r="F103"/>
      <c r="G103"/>
      <c r="H103"/>
      <c r="I103"/>
      <c r="J103"/>
      <c r="K103"/>
      <c r="L103"/>
      <c r="M103"/>
      <c r="N103"/>
      <c r="O103"/>
      <c r="P103"/>
      <c r="Q103"/>
      <c r="R103"/>
      <c r="S103"/>
      <c r="T103"/>
      <c r="U103"/>
      <c r="V103"/>
      <c r="W103"/>
      <c r="X103"/>
      <c r="Y103"/>
      <c r="Z103"/>
    </row>
    <row r="104" spans="2:26" ht="16">
      <c r="B104"/>
      <c r="C104"/>
      <c r="D104"/>
      <c r="E104"/>
      <c r="F104"/>
      <c r="G104"/>
      <c r="H104"/>
      <c r="I104"/>
      <c r="J104"/>
      <c r="K104"/>
      <c r="L104"/>
      <c r="M104"/>
      <c r="N104"/>
      <c r="O104"/>
      <c r="P104"/>
      <c r="Q104"/>
      <c r="R104"/>
      <c r="S104"/>
      <c r="T104"/>
      <c r="U104"/>
      <c r="V104"/>
      <c r="W104"/>
      <c r="X104"/>
      <c r="Y104"/>
      <c r="Z104"/>
    </row>
    <row r="105" spans="2:26" ht="16">
      <c r="B105"/>
      <c r="C105"/>
      <c r="D105"/>
      <c r="E105"/>
      <c r="F105"/>
      <c r="G105"/>
      <c r="H105"/>
      <c r="I105"/>
      <c r="J105"/>
      <c r="K105"/>
      <c r="L105"/>
      <c r="M105"/>
      <c r="N105"/>
      <c r="O105"/>
      <c r="P105"/>
      <c r="Q105"/>
      <c r="R105"/>
      <c r="S105"/>
      <c r="T105"/>
      <c r="U105"/>
      <c r="V105"/>
      <c r="W105"/>
      <c r="X105"/>
      <c r="Y105"/>
      <c r="Z105"/>
    </row>
    <row r="106" spans="2:26" ht="16">
      <c r="B106"/>
      <c r="C106"/>
      <c r="D106"/>
      <c r="E106"/>
      <c r="F106"/>
      <c r="G106"/>
      <c r="H106"/>
      <c r="I106"/>
      <c r="J106"/>
      <c r="K106"/>
      <c r="L106"/>
      <c r="M106"/>
      <c r="N106"/>
      <c r="O106"/>
      <c r="P106"/>
      <c r="Q106"/>
      <c r="R106"/>
      <c r="S106"/>
      <c r="T106"/>
      <c r="U106"/>
      <c r="V106"/>
      <c r="W106"/>
      <c r="X106"/>
      <c r="Y106"/>
      <c r="Z106"/>
    </row>
    <row r="107" spans="2:26" ht="16">
      <c r="B107"/>
      <c r="C107"/>
      <c r="D107"/>
      <c r="E107"/>
      <c r="F107"/>
      <c r="G107"/>
      <c r="H107"/>
      <c r="I107"/>
      <c r="J107"/>
      <c r="K107"/>
      <c r="L107"/>
      <c r="M107"/>
      <c r="N107"/>
      <c r="O107"/>
      <c r="P107"/>
      <c r="Q107"/>
      <c r="R107"/>
      <c r="S107"/>
      <c r="T107"/>
      <c r="U107"/>
      <c r="V107"/>
      <c r="W107"/>
      <c r="X107"/>
      <c r="Y107"/>
      <c r="Z107"/>
    </row>
    <row r="108" spans="2:26" ht="16">
      <c r="B108"/>
      <c r="C108"/>
      <c r="D108"/>
      <c r="E108"/>
      <c r="F108"/>
      <c r="G108"/>
      <c r="H108"/>
      <c r="I108"/>
      <c r="J108"/>
      <c r="K108"/>
      <c r="L108"/>
      <c r="M108"/>
      <c r="N108"/>
      <c r="O108"/>
      <c r="P108"/>
      <c r="Q108"/>
      <c r="R108"/>
      <c r="S108"/>
      <c r="T108"/>
      <c r="U108"/>
      <c r="V108"/>
      <c r="W108"/>
      <c r="X108"/>
      <c r="Y108"/>
      <c r="Z108"/>
    </row>
    <row r="109" spans="2:26" ht="16">
      <c r="B109"/>
      <c r="C109"/>
      <c r="D109"/>
      <c r="E109"/>
      <c r="F109"/>
      <c r="G109"/>
      <c r="H109"/>
      <c r="I109"/>
      <c r="J109"/>
      <c r="K109"/>
      <c r="L109"/>
      <c r="M109"/>
      <c r="N109"/>
      <c r="O109"/>
      <c r="P109"/>
      <c r="Q109"/>
      <c r="R109"/>
      <c r="S109"/>
      <c r="T109"/>
      <c r="U109"/>
      <c r="V109"/>
      <c r="W109"/>
      <c r="X109"/>
      <c r="Y109"/>
      <c r="Z109"/>
    </row>
    <row r="110" spans="2:26" ht="16">
      <c r="B110"/>
      <c r="C110"/>
      <c r="D110"/>
      <c r="E110"/>
      <c r="F110"/>
      <c r="G110"/>
      <c r="H110"/>
      <c r="I110"/>
      <c r="J110"/>
      <c r="K110"/>
      <c r="L110"/>
      <c r="M110"/>
      <c r="N110"/>
      <c r="O110"/>
      <c r="P110"/>
      <c r="Q110"/>
      <c r="R110"/>
      <c r="S110"/>
      <c r="T110"/>
      <c r="U110"/>
      <c r="V110"/>
      <c r="W110"/>
      <c r="X110"/>
      <c r="Y110"/>
      <c r="Z110"/>
    </row>
    <row r="111" spans="2:26" ht="16">
      <c r="B111"/>
      <c r="C111"/>
      <c r="D111"/>
      <c r="E111"/>
      <c r="F111"/>
      <c r="G111"/>
      <c r="H111"/>
      <c r="I111"/>
      <c r="J111"/>
      <c r="K111"/>
      <c r="L111"/>
      <c r="M111"/>
      <c r="N111"/>
      <c r="O111"/>
      <c r="P111"/>
      <c r="Q111"/>
      <c r="R111"/>
      <c r="S111"/>
      <c r="T111"/>
      <c r="U111"/>
      <c r="V111"/>
      <c r="W111"/>
      <c r="X111"/>
      <c r="Y111"/>
      <c r="Z111"/>
    </row>
    <row r="112" spans="2:26" ht="16">
      <c r="B112"/>
      <c r="C112"/>
      <c r="D112"/>
      <c r="E112"/>
      <c r="F112"/>
      <c r="G112"/>
      <c r="H112"/>
      <c r="I112"/>
      <c r="J112"/>
      <c r="K112"/>
      <c r="L112"/>
      <c r="M112"/>
      <c r="N112"/>
      <c r="O112"/>
      <c r="P112"/>
      <c r="Q112"/>
      <c r="R112"/>
      <c r="S112"/>
      <c r="T112"/>
      <c r="U112"/>
      <c r="V112"/>
      <c r="W112"/>
      <c r="X112"/>
      <c r="Y112"/>
      <c r="Z112"/>
    </row>
    <row r="113" spans="2:26" ht="16">
      <c r="B113"/>
      <c r="C113"/>
      <c r="D113"/>
      <c r="E113"/>
      <c r="F113"/>
      <c r="G113"/>
      <c r="H113"/>
      <c r="I113"/>
      <c r="J113"/>
      <c r="K113"/>
      <c r="L113"/>
      <c r="M113"/>
      <c r="N113"/>
      <c r="O113"/>
      <c r="P113"/>
      <c r="Q113"/>
      <c r="R113"/>
      <c r="S113"/>
      <c r="T113"/>
      <c r="U113"/>
      <c r="V113"/>
      <c r="W113"/>
      <c r="X113"/>
      <c r="Y113"/>
      <c r="Z113"/>
    </row>
    <row r="114" spans="2:26" ht="16">
      <c r="B114"/>
      <c r="C114"/>
      <c r="D114"/>
      <c r="E114"/>
      <c r="F114"/>
      <c r="G114"/>
      <c r="H114"/>
      <c r="I114"/>
      <c r="J114"/>
      <c r="K114"/>
      <c r="L114"/>
      <c r="M114"/>
      <c r="N114"/>
      <c r="O114"/>
      <c r="P114"/>
      <c r="Q114"/>
      <c r="R114"/>
      <c r="S114"/>
      <c r="T114"/>
      <c r="U114"/>
      <c r="V114"/>
      <c r="W114"/>
      <c r="X114"/>
      <c r="Y114"/>
      <c r="Z114"/>
    </row>
    <row r="115" spans="2:26" ht="16">
      <c r="B115"/>
      <c r="C115"/>
      <c r="D115"/>
      <c r="E115"/>
      <c r="F115"/>
      <c r="G115"/>
      <c r="H115"/>
      <c r="I115"/>
      <c r="J115"/>
      <c r="K115"/>
      <c r="L115"/>
      <c r="M115"/>
      <c r="N115"/>
      <c r="O115"/>
      <c r="P115"/>
      <c r="Q115"/>
      <c r="R115"/>
      <c r="S115"/>
      <c r="T115"/>
      <c r="U115"/>
      <c r="V115"/>
      <c r="W115"/>
      <c r="X115"/>
      <c r="Y115"/>
      <c r="Z115"/>
    </row>
    <row r="116" spans="2:26" ht="16">
      <c r="B116"/>
      <c r="C116"/>
      <c r="D116"/>
      <c r="E116"/>
      <c r="F116"/>
      <c r="G116"/>
      <c r="H116"/>
      <c r="I116"/>
      <c r="J116"/>
      <c r="K116"/>
      <c r="L116"/>
      <c r="M116"/>
      <c r="N116"/>
      <c r="O116"/>
      <c r="P116"/>
      <c r="Q116"/>
      <c r="R116"/>
      <c r="S116"/>
      <c r="T116"/>
      <c r="U116"/>
      <c r="V116"/>
      <c r="W116"/>
      <c r="X116"/>
      <c r="Y116"/>
      <c r="Z116"/>
    </row>
    <row r="117" spans="2:26" ht="16">
      <c r="B117"/>
      <c r="C117"/>
      <c r="D117"/>
      <c r="E117"/>
      <c r="F117"/>
      <c r="G117"/>
      <c r="H117"/>
      <c r="I117"/>
      <c r="J117"/>
      <c r="K117"/>
      <c r="L117"/>
      <c r="M117"/>
      <c r="N117"/>
      <c r="O117"/>
      <c r="P117"/>
      <c r="Q117"/>
      <c r="R117"/>
      <c r="S117"/>
      <c r="T117"/>
      <c r="U117"/>
      <c r="V117"/>
      <c r="W117"/>
      <c r="X117"/>
      <c r="Y117"/>
      <c r="Z117"/>
    </row>
    <row r="118" spans="2:26" ht="16">
      <c r="B118"/>
      <c r="C118"/>
      <c r="D118"/>
      <c r="E118"/>
      <c r="F118"/>
      <c r="G118"/>
      <c r="H118"/>
      <c r="I118"/>
      <c r="J118"/>
      <c r="K118"/>
      <c r="L118"/>
      <c r="M118"/>
      <c r="N118"/>
      <c r="O118"/>
      <c r="P118"/>
      <c r="Q118"/>
      <c r="R118"/>
      <c r="S118"/>
      <c r="T118"/>
      <c r="U118"/>
      <c r="V118"/>
      <c r="W118"/>
      <c r="X118"/>
      <c r="Y118"/>
      <c r="Z118"/>
    </row>
    <row r="119" spans="2:26" ht="16">
      <c r="B119"/>
      <c r="C119"/>
      <c r="D119"/>
      <c r="E119"/>
      <c r="F119"/>
      <c r="G119"/>
      <c r="H119"/>
      <c r="I119"/>
      <c r="J119"/>
      <c r="K119"/>
      <c r="L119"/>
      <c r="M119"/>
      <c r="N119"/>
      <c r="O119"/>
      <c r="P119"/>
      <c r="Q119"/>
      <c r="R119"/>
      <c r="S119"/>
      <c r="T119"/>
      <c r="U119"/>
      <c r="V119"/>
      <c r="W119"/>
      <c r="X119"/>
      <c r="Y119"/>
      <c r="Z119"/>
    </row>
    <row r="120" spans="2:26" ht="16">
      <c r="B120"/>
      <c r="C120"/>
      <c r="D120"/>
      <c r="E120"/>
      <c r="F120"/>
      <c r="G120"/>
      <c r="H120"/>
      <c r="I120"/>
      <c r="J120"/>
      <c r="K120"/>
      <c r="L120"/>
      <c r="M120"/>
      <c r="N120"/>
      <c r="O120"/>
      <c r="P120"/>
      <c r="Q120"/>
      <c r="R120"/>
      <c r="S120"/>
      <c r="T120"/>
      <c r="U120"/>
      <c r="V120"/>
      <c r="W120"/>
      <c r="X120"/>
      <c r="Y120"/>
      <c r="Z120"/>
    </row>
    <row r="121" spans="2:26" ht="16">
      <c r="B121"/>
      <c r="C121"/>
      <c r="D121"/>
      <c r="E121"/>
      <c r="F121"/>
      <c r="G121"/>
      <c r="H121"/>
      <c r="I121"/>
      <c r="J121"/>
      <c r="K121"/>
      <c r="L121"/>
      <c r="M121"/>
      <c r="N121"/>
      <c r="O121"/>
      <c r="P121"/>
      <c r="Q121"/>
      <c r="R121"/>
      <c r="S121"/>
      <c r="T121"/>
      <c r="U121"/>
      <c r="V121"/>
      <c r="W121"/>
      <c r="X121"/>
      <c r="Y121"/>
      <c r="Z121"/>
    </row>
    <row r="122" spans="2:26" ht="16">
      <c r="B122"/>
      <c r="C122"/>
      <c r="D122"/>
      <c r="E122"/>
      <c r="F122"/>
      <c r="G122"/>
      <c r="H122"/>
      <c r="I122"/>
      <c r="J122"/>
      <c r="K122"/>
      <c r="L122"/>
      <c r="M122"/>
      <c r="N122"/>
      <c r="O122"/>
      <c r="P122"/>
      <c r="Q122"/>
      <c r="R122"/>
      <c r="S122"/>
      <c r="T122"/>
      <c r="U122"/>
      <c r="V122"/>
      <c r="W122"/>
      <c r="X122"/>
      <c r="Y122"/>
      <c r="Z122"/>
    </row>
    <row r="123" spans="2:26" ht="16">
      <c r="B123"/>
      <c r="C123"/>
      <c r="D123"/>
      <c r="E123"/>
      <c r="F123"/>
      <c r="G123"/>
      <c r="H123"/>
      <c r="I123"/>
      <c r="J123"/>
      <c r="K123"/>
      <c r="L123"/>
      <c r="M123"/>
      <c r="N123"/>
      <c r="O123"/>
      <c r="P123"/>
      <c r="Q123"/>
      <c r="R123"/>
      <c r="S123"/>
      <c r="T123"/>
      <c r="U123"/>
      <c r="V123"/>
      <c r="W123"/>
      <c r="X123"/>
      <c r="Y123"/>
      <c r="Z123"/>
    </row>
    <row r="124" spans="2:26" ht="16">
      <c r="B124"/>
      <c r="C124"/>
      <c r="D124"/>
      <c r="E124"/>
      <c r="F124"/>
      <c r="G124"/>
      <c r="H124"/>
      <c r="I124"/>
      <c r="J124"/>
      <c r="K124"/>
      <c r="L124"/>
      <c r="M124"/>
      <c r="N124"/>
      <c r="O124"/>
      <c r="P124"/>
      <c r="Q124"/>
      <c r="R124"/>
      <c r="S124"/>
      <c r="T124"/>
      <c r="U124"/>
      <c r="V124"/>
      <c r="W124"/>
      <c r="X124"/>
      <c r="Y124"/>
      <c r="Z124"/>
    </row>
    <row r="125" spans="2:26" ht="16">
      <c r="B125"/>
      <c r="C125"/>
      <c r="D125"/>
      <c r="E125"/>
      <c r="F125"/>
      <c r="G125"/>
      <c r="H125"/>
      <c r="I125"/>
      <c r="J125"/>
      <c r="K125"/>
      <c r="L125"/>
      <c r="M125"/>
      <c r="N125"/>
      <c r="O125"/>
      <c r="P125"/>
      <c r="Q125"/>
      <c r="R125"/>
      <c r="S125"/>
      <c r="T125"/>
      <c r="U125"/>
      <c r="V125"/>
      <c r="W125"/>
      <c r="X125"/>
      <c r="Y125"/>
      <c r="Z125"/>
    </row>
    <row r="126" spans="2:26" ht="16">
      <c r="B126"/>
      <c r="C126"/>
      <c r="D126"/>
      <c r="E126"/>
      <c r="F126"/>
      <c r="G126"/>
      <c r="H126"/>
      <c r="I126"/>
      <c r="J126"/>
      <c r="K126"/>
      <c r="L126"/>
      <c r="M126"/>
      <c r="N126"/>
      <c r="O126"/>
      <c r="P126"/>
      <c r="Q126"/>
      <c r="R126"/>
      <c r="S126"/>
      <c r="T126"/>
      <c r="U126"/>
      <c r="V126"/>
      <c r="W126"/>
      <c r="X126"/>
      <c r="Y126"/>
      <c r="Z126"/>
    </row>
    <row r="127" spans="2:26" ht="16">
      <c r="B127"/>
      <c r="C127"/>
      <c r="D127"/>
      <c r="E127"/>
      <c r="F127"/>
      <c r="G127"/>
      <c r="H127"/>
      <c r="I127"/>
      <c r="J127"/>
      <c r="K127"/>
      <c r="L127"/>
      <c r="M127"/>
      <c r="N127"/>
      <c r="O127"/>
      <c r="P127"/>
      <c r="Q127"/>
      <c r="R127"/>
      <c r="S127"/>
      <c r="T127"/>
      <c r="U127"/>
      <c r="V127"/>
      <c r="W127"/>
      <c r="X127"/>
      <c r="Y127"/>
      <c r="Z127"/>
    </row>
    <row r="128" spans="2:26" ht="16">
      <c r="B128"/>
      <c r="C128"/>
      <c r="D128"/>
      <c r="E128"/>
      <c r="F128"/>
      <c r="G128"/>
      <c r="H128"/>
      <c r="I128"/>
      <c r="J128"/>
      <c r="K128"/>
      <c r="L128"/>
      <c r="M128"/>
      <c r="N128"/>
      <c r="O128"/>
      <c r="P128"/>
      <c r="Q128"/>
      <c r="R128"/>
      <c r="S128"/>
      <c r="T128"/>
      <c r="U128"/>
      <c r="V128"/>
      <c r="W128"/>
      <c r="X128"/>
      <c r="Y128"/>
      <c r="Z128"/>
    </row>
    <row r="129" spans="2:26" ht="16">
      <c r="B129"/>
      <c r="C129"/>
      <c r="D129"/>
      <c r="E129"/>
      <c r="F129"/>
      <c r="G129"/>
      <c r="H129"/>
      <c r="I129"/>
      <c r="J129"/>
      <c r="K129"/>
      <c r="L129"/>
      <c r="M129"/>
      <c r="N129"/>
      <c r="O129"/>
      <c r="P129"/>
      <c r="Q129"/>
      <c r="R129"/>
      <c r="S129"/>
      <c r="T129"/>
      <c r="U129"/>
      <c r="V129"/>
      <c r="W129"/>
      <c r="X129"/>
      <c r="Y129"/>
      <c r="Z129"/>
    </row>
    <row r="130" spans="2:26" ht="16">
      <c r="B130"/>
      <c r="C130"/>
      <c r="D130"/>
      <c r="E130"/>
      <c r="F130"/>
      <c r="G130"/>
      <c r="H130"/>
      <c r="I130"/>
      <c r="J130"/>
      <c r="K130"/>
      <c r="L130"/>
      <c r="M130"/>
      <c r="N130"/>
      <c r="O130"/>
      <c r="P130"/>
      <c r="Q130"/>
      <c r="R130"/>
      <c r="S130"/>
      <c r="T130"/>
      <c r="U130"/>
      <c r="V130"/>
      <c r="W130"/>
      <c r="X130"/>
      <c r="Y130"/>
      <c r="Z130"/>
    </row>
    <row r="131" spans="2:26" ht="16">
      <c r="B131"/>
      <c r="C131"/>
      <c r="D131"/>
      <c r="E131"/>
      <c r="F131"/>
      <c r="G131"/>
      <c r="H131"/>
      <c r="I131"/>
      <c r="J131"/>
      <c r="K131"/>
      <c r="L131"/>
      <c r="M131"/>
      <c r="N131"/>
      <c r="O131"/>
      <c r="P131"/>
      <c r="Q131"/>
      <c r="R131"/>
      <c r="S131"/>
      <c r="T131"/>
      <c r="U131"/>
      <c r="V131"/>
      <c r="W131"/>
      <c r="X131"/>
      <c r="Y131"/>
      <c r="Z131"/>
    </row>
    <row r="132" spans="2:26" ht="16">
      <c r="B132"/>
      <c r="C132"/>
      <c r="D132"/>
      <c r="E132"/>
      <c r="F132"/>
      <c r="G132"/>
      <c r="H132"/>
      <c r="I132"/>
      <c r="J132"/>
      <c r="K132"/>
      <c r="L132"/>
      <c r="M132"/>
      <c r="N132"/>
      <c r="O132"/>
      <c r="P132"/>
      <c r="Q132"/>
      <c r="R132"/>
      <c r="S132"/>
      <c r="T132"/>
      <c r="U132"/>
      <c r="V132"/>
      <c r="W132"/>
      <c r="X132"/>
      <c r="Y132"/>
      <c r="Z132"/>
    </row>
    <row r="133" spans="2:26" ht="16">
      <c r="B133"/>
      <c r="C133"/>
      <c r="D133"/>
      <c r="E133"/>
      <c r="F133"/>
      <c r="G133"/>
      <c r="H133"/>
      <c r="I133"/>
      <c r="J133"/>
      <c r="K133"/>
      <c r="L133"/>
      <c r="M133"/>
      <c r="N133"/>
      <c r="O133"/>
      <c r="P133"/>
      <c r="Q133"/>
      <c r="R133"/>
      <c r="S133"/>
      <c r="T133"/>
      <c r="U133"/>
      <c r="V133"/>
      <c r="W133"/>
      <c r="X133"/>
      <c r="Y133"/>
      <c r="Z133"/>
    </row>
    <row r="134" spans="2:26" ht="16">
      <c r="B134"/>
      <c r="C134"/>
      <c r="D134"/>
      <c r="E134"/>
      <c r="F134"/>
      <c r="G134"/>
      <c r="H134"/>
      <c r="I134"/>
      <c r="J134"/>
      <c r="K134"/>
      <c r="L134"/>
      <c r="M134"/>
      <c r="N134"/>
      <c r="O134"/>
      <c r="P134"/>
      <c r="Q134"/>
      <c r="R134"/>
      <c r="S134"/>
      <c r="T134"/>
      <c r="U134"/>
      <c r="V134"/>
      <c r="W134"/>
      <c r="X134"/>
      <c r="Y134"/>
      <c r="Z134"/>
    </row>
    <row r="135" spans="2:26" ht="16">
      <c r="B135"/>
      <c r="C135"/>
      <c r="D135"/>
      <c r="E135"/>
      <c r="F135"/>
      <c r="G135"/>
      <c r="H135"/>
      <c r="I135"/>
      <c r="J135"/>
      <c r="K135"/>
      <c r="L135"/>
      <c r="M135"/>
      <c r="N135"/>
      <c r="O135"/>
      <c r="P135"/>
      <c r="Q135"/>
      <c r="R135"/>
      <c r="S135"/>
      <c r="T135"/>
      <c r="U135"/>
      <c r="V135"/>
      <c r="W135"/>
      <c r="X135"/>
      <c r="Y135"/>
      <c r="Z135"/>
    </row>
    <row r="136" spans="2:26" ht="16">
      <c r="B136"/>
      <c r="C136"/>
      <c r="D136"/>
      <c r="E136"/>
      <c r="F136"/>
      <c r="G136"/>
      <c r="H136"/>
      <c r="I136"/>
      <c r="J136"/>
      <c r="K136"/>
      <c r="L136"/>
      <c r="M136"/>
      <c r="N136"/>
      <c r="O136"/>
      <c r="P136"/>
      <c r="Q136"/>
      <c r="R136"/>
      <c r="S136"/>
      <c r="T136"/>
      <c r="U136"/>
      <c r="V136"/>
      <c r="W136"/>
      <c r="X136"/>
      <c r="Y136"/>
      <c r="Z136"/>
    </row>
    <row r="137" spans="2:26" ht="16">
      <c r="B137"/>
      <c r="C137"/>
      <c r="D137"/>
      <c r="E137"/>
      <c r="F137"/>
      <c r="G137"/>
      <c r="H137"/>
      <c r="I137"/>
      <c r="J137"/>
      <c r="K137"/>
      <c r="L137"/>
      <c r="M137"/>
      <c r="N137"/>
      <c r="O137"/>
      <c r="P137"/>
      <c r="Q137"/>
      <c r="R137"/>
      <c r="S137"/>
      <c r="T137"/>
      <c r="U137"/>
      <c r="V137"/>
      <c r="W137"/>
      <c r="X137"/>
      <c r="Y137"/>
      <c r="Z137"/>
    </row>
    <row r="138" spans="2:26" ht="16">
      <c r="B138"/>
      <c r="C138"/>
      <c r="D138"/>
      <c r="E138"/>
      <c r="F138"/>
      <c r="G138"/>
      <c r="H138"/>
      <c r="I138"/>
      <c r="J138"/>
      <c r="K138"/>
      <c r="L138"/>
      <c r="M138"/>
      <c r="N138"/>
      <c r="O138"/>
      <c r="P138"/>
      <c r="Q138"/>
      <c r="R138"/>
      <c r="S138"/>
      <c r="T138"/>
      <c r="U138"/>
      <c r="V138"/>
      <c r="W138"/>
      <c r="X138"/>
      <c r="Y138"/>
      <c r="Z138"/>
    </row>
    <row r="139" spans="2:26" ht="16">
      <c r="B139"/>
      <c r="C139"/>
      <c r="D139"/>
      <c r="E139"/>
      <c r="F139"/>
      <c r="G139"/>
      <c r="H139"/>
      <c r="I139"/>
      <c r="J139"/>
      <c r="K139"/>
      <c r="L139"/>
      <c r="M139"/>
      <c r="N139"/>
      <c r="O139"/>
      <c r="P139"/>
      <c r="Q139"/>
      <c r="R139"/>
      <c r="S139"/>
      <c r="T139"/>
      <c r="U139"/>
      <c r="V139"/>
      <c r="W139"/>
      <c r="X139"/>
      <c r="Y139"/>
      <c r="Z139"/>
    </row>
    <row r="140" spans="2:26" ht="16">
      <c r="B140"/>
      <c r="C140"/>
      <c r="D140"/>
      <c r="E140"/>
      <c r="F140"/>
      <c r="G140"/>
      <c r="H140"/>
      <c r="I140"/>
      <c r="J140"/>
      <c r="K140"/>
      <c r="L140"/>
      <c r="M140"/>
      <c r="N140"/>
      <c r="O140"/>
      <c r="P140"/>
      <c r="Q140"/>
      <c r="R140"/>
      <c r="S140"/>
      <c r="T140"/>
      <c r="U140"/>
      <c r="V140"/>
      <c r="W140"/>
      <c r="X140"/>
      <c r="Y140"/>
      <c r="Z140"/>
    </row>
    <row r="141" spans="2:26" ht="16">
      <c r="B141"/>
      <c r="C141"/>
      <c r="D141"/>
      <c r="E141"/>
      <c r="F141"/>
      <c r="G141"/>
      <c r="H141"/>
      <c r="I141"/>
      <c r="J141"/>
      <c r="K141"/>
      <c r="L141"/>
      <c r="M141"/>
      <c r="N141"/>
      <c r="O141"/>
      <c r="P141"/>
      <c r="Q141"/>
      <c r="R141"/>
      <c r="S141"/>
      <c r="T141"/>
      <c r="U141"/>
      <c r="V141"/>
      <c r="W141"/>
      <c r="X141"/>
      <c r="Y141"/>
      <c r="Z141"/>
    </row>
    <row r="142" spans="2:26" ht="16">
      <c r="B142"/>
      <c r="C142"/>
      <c r="D142"/>
      <c r="E142"/>
      <c r="F142"/>
      <c r="G142"/>
      <c r="H142"/>
      <c r="I142"/>
      <c r="J142"/>
      <c r="K142"/>
      <c r="L142"/>
      <c r="M142"/>
      <c r="N142"/>
      <c r="O142"/>
      <c r="P142"/>
      <c r="Q142"/>
      <c r="R142"/>
      <c r="S142"/>
      <c r="T142"/>
      <c r="U142"/>
      <c r="V142"/>
      <c r="W142"/>
      <c r="X142"/>
      <c r="Y142"/>
      <c r="Z142"/>
    </row>
    <row r="143" spans="2:26" ht="16">
      <c r="B143"/>
      <c r="C143"/>
      <c r="D143"/>
      <c r="E143"/>
      <c r="F143"/>
      <c r="G143"/>
      <c r="H143"/>
      <c r="I143"/>
      <c r="J143"/>
      <c r="K143"/>
      <c r="L143"/>
      <c r="M143"/>
      <c r="N143"/>
      <c r="O143"/>
      <c r="P143"/>
      <c r="Q143"/>
      <c r="R143"/>
      <c r="S143"/>
      <c r="T143"/>
      <c r="U143"/>
      <c r="V143"/>
      <c r="W143"/>
      <c r="X143"/>
      <c r="Y143"/>
      <c r="Z143"/>
    </row>
    <row r="144" spans="2:26" ht="16">
      <c r="B144"/>
      <c r="C144"/>
      <c r="D144"/>
      <c r="E144"/>
      <c r="F144"/>
      <c r="G144"/>
      <c r="H144"/>
      <c r="I144"/>
      <c r="J144"/>
      <c r="K144"/>
      <c r="L144"/>
      <c r="M144"/>
      <c r="N144"/>
      <c r="O144"/>
      <c r="P144"/>
      <c r="Q144"/>
      <c r="R144"/>
      <c r="S144"/>
      <c r="T144"/>
      <c r="U144"/>
      <c r="V144"/>
      <c r="W144"/>
      <c r="X144"/>
      <c r="Y144"/>
      <c r="Z144"/>
    </row>
    <row r="145" spans="2:26" ht="16">
      <c r="B145"/>
      <c r="C145"/>
      <c r="D145"/>
      <c r="E145"/>
      <c r="F145"/>
      <c r="G145"/>
      <c r="H145"/>
      <c r="I145"/>
      <c r="J145"/>
      <c r="K145"/>
      <c r="L145"/>
      <c r="M145"/>
      <c r="N145"/>
      <c r="O145"/>
      <c r="P145"/>
      <c r="Q145"/>
      <c r="R145"/>
      <c r="S145"/>
      <c r="T145"/>
      <c r="U145"/>
      <c r="V145"/>
      <c r="W145"/>
      <c r="X145"/>
      <c r="Y145"/>
      <c r="Z145"/>
    </row>
    <row r="146" spans="2:26" ht="16">
      <c r="B146"/>
      <c r="C146"/>
      <c r="D146"/>
      <c r="E146"/>
      <c r="F146"/>
      <c r="G146"/>
      <c r="H146"/>
      <c r="I146"/>
      <c r="J146"/>
      <c r="K146"/>
      <c r="L146"/>
      <c r="M146"/>
      <c r="N146"/>
      <c r="O146"/>
      <c r="P146"/>
      <c r="Q146"/>
      <c r="R146"/>
      <c r="S146"/>
      <c r="T146"/>
      <c r="U146"/>
      <c r="V146"/>
      <c r="W146"/>
      <c r="X146"/>
      <c r="Y146"/>
      <c r="Z146"/>
    </row>
    <row r="147" spans="2:26" ht="16">
      <c r="B147"/>
      <c r="C147"/>
      <c r="D147"/>
      <c r="E147"/>
      <c r="F147"/>
      <c r="G147"/>
      <c r="H147"/>
      <c r="I147"/>
      <c r="J147"/>
      <c r="K147"/>
      <c r="L147"/>
      <c r="M147"/>
      <c r="N147"/>
      <c r="O147"/>
      <c r="P147"/>
      <c r="Q147"/>
      <c r="R147"/>
      <c r="S147"/>
      <c r="T147"/>
      <c r="U147"/>
      <c r="V147"/>
      <c r="W147"/>
      <c r="X147"/>
      <c r="Y147"/>
      <c r="Z147"/>
    </row>
    <row r="148" spans="2:26" ht="16">
      <c r="B148"/>
      <c r="C148"/>
      <c r="D148"/>
      <c r="E148"/>
      <c r="F148"/>
      <c r="G148"/>
      <c r="H148"/>
      <c r="I148"/>
      <c r="J148"/>
      <c r="K148"/>
      <c r="L148"/>
      <c r="M148"/>
      <c r="N148"/>
      <c r="O148"/>
      <c r="P148"/>
      <c r="Q148"/>
      <c r="R148"/>
      <c r="S148"/>
      <c r="T148"/>
      <c r="U148"/>
      <c r="V148"/>
      <c r="W148"/>
      <c r="X148"/>
      <c r="Y148"/>
      <c r="Z148"/>
    </row>
    <row r="149" spans="2:26" ht="16">
      <c r="B149"/>
      <c r="C149"/>
      <c r="D149"/>
      <c r="E149"/>
      <c r="F149"/>
      <c r="G149"/>
      <c r="H149"/>
      <c r="I149"/>
      <c r="J149"/>
      <c r="K149"/>
      <c r="L149"/>
      <c r="M149"/>
      <c r="N149"/>
      <c r="O149"/>
      <c r="P149"/>
      <c r="Q149"/>
      <c r="R149"/>
      <c r="S149"/>
      <c r="T149"/>
      <c r="U149"/>
      <c r="V149"/>
      <c r="W149"/>
      <c r="X149"/>
      <c r="Y149"/>
      <c r="Z149"/>
    </row>
    <row r="150" spans="2:26" ht="16">
      <c r="B150"/>
      <c r="C150"/>
      <c r="D150"/>
      <c r="E150"/>
      <c r="F150"/>
      <c r="G150"/>
      <c r="H150"/>
      <c r="I150"/>
      <c r="J150"/>
      <c r="K150"/>
      <c r="L150"/>
      <c r="M150"/>
      <c r="N150"/>
      <c r="O150"/>
      <c r="P150"/>
      <c r="Q150"/>
      <c r="R150"/>
      <c r="S150"/>
      <c r="T150"/>
      <c r="U150"/>
      <c r="V150"/>
      <c r="W150"/>
      <c r="X150"/>
      <c r="Y150"/>
      <c r="Z150"/>
    </row>
    <row r="151" spans="2:26" ht="16">
      <c r="B151"/>
      <c r="C151"/>
      <c r="D151"/>
      <c r="E151"/>
      <c r="F151"/>
      <c r="G151"/>
      <c r="H151"/>
      <c r="I151"/>
      <c r="J151"/>
      <c r="K151"/>
      <c r="L151"/>
      <c r="M151"/>
      <c r="N151"/>
      <c r="O151"/>
      <c r="P151"/>
      <c r="Q151"/>
      <c r="R151"/>
      <c r="S151"/>
      <c r="T151"/>
      <c r="U151"/>
      <c r="V151"/>
      <c r="W151"/>
      <c r="X151"/>
      <c r="Y151"/>
      <c r="Z151"/>
    </row>
    <row r="152" spans="2:26" ht="16">
      <c r="B152"/>
      <c r="C152"/>
      <c r="D152"/>
      <c r="E152"/>
      <c r="F152"/>
      <c r="G152"/>
      <c r="H152"/>
      <c r="I152"/>
      <c r="J152"/>
      <c r="K152"/>
      <c r="L152"/>
      <c r="M152"/>
      <c r="N152"/>
      <c r="O152"/>
      <c r="P152"/>
      <c r="Q152"/>
      <c r="R152"/>
      <c r="S152"/>
      <c r="T152"/>
      <c r="U152"/>
      <c r="V152"/>
      <c r="W152"/>
      <c r="X152"/>
      <c r="Y152"/>
      <c r="Z152"/>
    </row>
    <row r="153" spans="2:26" ht="16">
      <c r="B153"/>
      <c r="C153"/>
      <c r="D153"/>
      <c r="E153"/>
      <c r="F153"/>
      <c r="G153"/>
      <c r="H153"/>
      <c r="I153"/>
      <c r="J153"/>
      <c r="K153"/>
      <c r="L153"/>
      <c r="M153"/>
      <c r="N153"/>
      <c r="O153"/>
      <c r="P153"/>
      <c r="Q153"/>
      <c r="R153"/>
      <c r="S153"/>
      <c r="T153"/>
      <c r="U153"/>
      <c r="V153"/>
      <c r="W153"/>
      <c r="X153"/>
      <c r="Y153"/>
      <c r="Z153"/>
    </row>
    <row r="154" spans="2:26" ht="16">
      <c r="B154"/>
      <c r="C154"/>
      <c r="D154"/>
      <c r="E154"/>
      <c r="F154"/>
      <c r="G154"/>
      <c r="H154"/>
      <c r="I154"/>
      <c r="J154"/>
      <c r="K154"/>
      <c r="L154"/>
      <c r="M154"/>
      <c r="N154"/>
      <c r="O154"/>
      <c r="P154"/>
      <c r="Q154"/>
      <c r="R154"/>
      <c r="S154"/>
      <c r="T154"/>
      <c r="U154"/>
      <c r="V154"/>
      <c r="W154"/>
      <c r="X154"/>
      <c r="Y154"/>
      <c r="Z154"/>
    </row>
    <row r="155" spans="2:26" ht="16">
      <c r="B155"/>
      <c r="C155"/>
      <c r="D155"/>
      <c r="E155"/>
      <c r="F155"/>
      <c r="G155"/>
      <c r="H155"/>
      <c r="I155"/>
      <c r="J155"/>
      <c r="K155"/>
      <c r="L155"/>
      <c r="M155"/>
      <c r="N155"/>
      <c r="O155"/>
      <c r="P155"/>
      <c r="Q155"/>
      <c r="R155"/>
      <c r="S155"/>
      <c r="T155"/>
      <c r="U155"/>
      <c r="V155"/>
      <c r="W155"/>
      <c r="X155"/>
      <c r="Y155"/>
      <c r="Z155"/>
    </row>
    <row r="156" spans="2:26" ht="16">
      <c r="B156"/>
      <c r="C156"/>
      <c r="D156"/>
      <c r="E156"/>
      <c r="F156"/>
      <c r="G156"/>
      <c r="H156"/>
      <c r="I156"/>
      <c r="J156"/>
      <c r="K156"/>
      <c r="L156"/>
      <c r="M156"/>
      <c r="N156"/>
      <c r="O156"/>
      <c r="P156"/>
      <c r="Q156"/>
      <c r="R156"/>
      <c r="S156"/>
      <c r="T156"/>
      <c r="U156"/>
      <c r="V156"/>
      <c r="W156"/>
      <c r="X156"/>
      <c r="Y156"/>
      <c r="Z156"/>
    </row>
    <row r="157" spans="2:26" ht="16">
      <c r="B157"/>
      <c r="C157"/>
      <c r="D157"/>
      <c r="E157"/>
      <c r="F157"/>
      <c r="G157"/>
      <c r="H157"/>
      <c r="I157"/>
      <c r="J157"/>
      <c r="K157"/>
      <c r="L157"/>
      <c r="M157"/>
      <c r="N157"/>
      <c r="O157"/>
      <c r="P157"/>
      <c r="Q157"/>
      <c r="R157"/>
      <c r="S157"/>
      <c r="T157"/>
      <c r="U157"/>
      <c r="V157"/>
      <c r="W157"/>
      <c r="X157"/>
      <c r="Y157"/>
      <c r="Z157"/>
    </row>
    <row r="158" spans="2:26" ht="16">
      <c r="B158"/>
      <c r="C158"/>
      <c r="D158"/>
      <c r="E158"/>
      <c r="F158"/>
      <c r="G158"/>
      <c r="H158"/>
      <c r="I158"/>
      <c r="J158"/>
      <c r="K158"/>
      <c r="L158"/>
      <c r="M158"/>
      <c r="N158"/>
      <c r="O158"/>
      <c r="P158"/>
      <c r="Q158"/>
      <c r="R158"/>
      <c r="S158"/>
      <c r="T158"/>
      <c r="U158"/>
      <c r="V158"/>
      <c r="W158"/>
      <c r="X158"/>
      <c r="Y158"/>
      <c r="Z158"/>
    </row>
    <row r="159" spans="2:26" ht="16">
      <c r="B159"/>
      <c r="C159"/>
      <c r="D159"/>
      <c r="E159"/>
      <c r="F159"/>
      <c r="G159"/>
      <c r="H159"/>
      <c r="I159"/>
      <c r="J159"/>
      <c r="K159"/>
      <c r="L159"/>
      <c r="M159"/>
      <c r="N159"/>
      <c r="O159"/>
      <c r="P159"/>
      <c r="Q159"/>
      <c r="R159"/>
      <c r="S159"/>
      <c r="T159"/>
      <c r="U159"/>
      <c r="V159"/>
      <c r="W159"/>
      <c r="X159"/>
      <c r="Y159"/>
      <c r="Z159"/>
    </row>
    <row r="160" spans="2:26" ht="16">
      <c r="B160"/>
      <c r="C160"/>
      <c r="D160"/>
      <c r="E160"/>
      <c r="F160"/>
      <c r="G160"/>
      <c r="H160"/>
      <c r="I160"/>
      <c r="J160"/>
      <c r="K160"/>
      <c r="L160"/>
      <c r="M160"/>
      <c r="N160"/>
      <c r="O160"/>
      <c r="P160"/>
      <c r="Q160"/>
      <c r="R160"/>
      <c r="S160"/>
      <c r="T160"/>
      <c r="U160"/>
      <c r="V160"/>
      <c r="W160"/>
      <c r="X160"/>
      <c r="Y160"/>
      <c r="Z160"/>
    </row>
    <row r="161" spans="2:26" ht="16">
      <c r="B161"/>
      <c r="C161"/>
      <c r="D161"/>
      <c r="E161"/>
      <c r="F161"/>
      <c r="G161"/>
      <c r="H161"/>
      <c r="I161"/>
      <c r="J161"/>
      <c r="K161"/>
      <c r="L161"/>
      <c r="M161"/>
      <c r="N161"/>
      <c r="O161"/>
      <c r="P161"/>
      <c r="Q161"/>
      <c r="R161"/>
      <c r="S161"/>
      <c r="T161"/>
      <c r="U161"/>
      <c r="V161"/>
      <c r="W161"/>
      <c r="X161"/>
      <c r="Y161"/>
      <c r="Z161"/>
    </row>
    <row r="162" spans="2:26" ht="16">
      <c r="B162"/>
      <c r="C162"/>
      <c r="D162"/>
      <c r="E162"/>
      <c r="F162"/>
      <c r="G162"/>
      <c r="H162"/>
      <c r="I162"/>
      <c r="J162"/>
      <c r="K162"/>
      <c r="L162"/>
      <c r="M162"/>
      <c r="N162"/>
      <c r="O162"/>
      <c r="P162"/>
      <c r="Q162"/>
      <c r="R162"/>
      <c r="S162"/>
      <c r="T162"/>
      <c r="U162"/>
      <c r="V162"/>
      <c r="W162"/>
      <c r="X162"/>
      <c r="Y162"/>
      <c r="Z162"/>
    </row>
    <row r="163" spans="2:26" ht="16">
      <c r="B163"/>
      <c r="C163"/>
      <c r="D163"/>
      <c r="E163"/>
      <c r="F163"/>
      <c r="G163"/>
      <c r="H163"/>
      <c r="I163"/>
      <c r="J163"/>
      <c r="K163"/>
      <c r="L163"/>
      <c r="M163"/>
      <c r="N163"/>
      <c r="O163"/>
      <c r="P163"/>
      <c r="Q163"/>
      <c r="R163"/>
      <c r="S163"/>
      <c r="T163"/>
      <c r="U163"/>
      <c r="V163"/>
      <c r="W163"/>
      <c r="X163"/>
      <c r="Y163"/>
      <c r="Z163"/>
    </row>
    <row r="164" spans="2:26" ht="16">
      <c r="B164"/>
      <c r="C164"/>
      <c r="D164"/>
      <c r="E164"/>
      <c r="F164"/>
      <c r="G164"/>
      <c r="H164"/>
      <c r="I164"/>
      <c r="J164"/>
      <c r="K164"/>
      <c r="L164"/>
      <c r="M164"/>
      <c r="N164"/>
      <c r="O164"/>
      <c r="P164"/>
      <c r="Q164"/>
      <c r="R164"/>
      <c r="S164"/>
      <c r="T164"/>
      <c r="U164"/>
      <c r="V164"/>
      <c r="W164"/>
      <c r="X164"/>
      <c r="Y164"/>
      <c r="Z164"/>
    </row>
    <row r="165" spans="2:26" ht="16">
      <c r="B165"/>
      <c r="C165"/>
      <c r="D165"/>
      <c r="E165"/>
      <c r="F165"/>
      <c r="G165"/>
      <c r="H165"/>
      <c r="I165"/>
      <c r="J165"/>
      <c r="K165"/>
      <c r="L165"/>
      <c r="M165"/>
      <c r="N165"/>
      <c r="O165"/>
      <c r="P165"/>
      <c r="Q165"/>
      <c r="R165"/>
      <c r="S165"/>
      <c r="T165"/>
      <c r="U165"/>
      <c r="V165"/>
      <c r="W165"/>
      <c r="X165"/>
      <c r="Y165"/>
      <c r="Z165"/>
    </row>
    <row r="166" spans="2:26" ht="16">
      <c r="B166"/>
      <c r="C166"/>
      <c r="D166"/>
      <c r="E166"/>
      <c r="F166"/>
      <c r="G166"/>
      <c r="H166"/>
      <c r="I166"/>
      <c r="J166"/>
      <c r="K166"/>
      <c r="L166"/>
      <c r="M166"/>
      <c r="N166"/>
      <c r="O166"/>
      <c r="P166"/>
      <c r="Q166"/>
      <c r="R166"/>
      <c r="S166"/>
      <c r="T166"/>
      <c r="U166"/>
      <c r="V166"/>
      <c r="W166"/>
      <c r="X166"/>
      <c r="Y166"/>
      <c r="Z166"/>
    </row>
    <row r="167" spans="2:26" ht="16">
      <c r="B167"/>
      <c r="C167"/>
      <c r="D167"/>
      <c r="E167"/>
      <c r="F167"/>
      <c r="G167"/>
      <c r="H167"/>
      <c r="I167"/>
      <c r="J167"/>
      <c r="K167"/>
      <c r="L167"/>
      <c r="M167"/>
      <c r="N167"/>
      <c r="O167"/>
      <c r="P167"/>
      <c r="Q167"/>
      <c r="R167"/>
      <c r="S167"/>
      <c r="T167"/>
      <c r="U167"/>
      <c r="V167"/>
      <c r="W167"/>
      <c r="X167"/>
      <c r="Y167"/>
      <c r="Z167"/>
    </row>
    <row r="168" spans="2:26" ht="16">
      <c r="B168"/>
      <c r="C168"/>
      <c r="D168"/>
      <c r="E168"/>
      <c r="F168"/>
      <c r="G168"/>
      <c r="H168"/>
      <c r="I168"/>
      <c r="J168"/>
      <c r="K168"/>
      <c r="L168"/>
      <c r="M168"/>
      <c r="N168"/>
      <c r="O168"/>
      <c r="P168"/>
      <c r="Q168"/>
      <c r="R168"/>
      <c r="S168"/>
      <c r="T168"/>
      <c r="U168"/>
      <c r="V168"/>
      <c r="W168"/>
      <c r="X168"/>
      <c r="Y168"/>
      <c r="Z168"/>
    </row>
    <row r="169" spans="2:26" ht="16">
      <c r="B169"/>
      <c r="C169"/>
      <c r="D169"/>
      <c r="E169"/>
      <c r="F169"/>
      <c r="G169"/>
      <c r="H169"/>
      <c r="I169"/>
      <c r="J169"/>
      <c r="K169"/>
      <c r="L169"/>
      <c r="M169"/>
      <c r="N169"/>
      <c r="O169"/>
      <c r="P169"/>
      <c r="Q169"/>
      <c r="R169"/>
      <c r="S169"/>
      <c r="T169"/>
      <c r="U169"/>
      <c r="V169"/>
      <c r="W169"/>
      <c r="X169"/>
      <c r="Y169"/>
      <c r="Z169"/>
    </row>
    <row r="170" spans="2:26" ht="16">
      <c r="B170"/>
      <c r="C170"/>
      <c r="D170"/>
      <c r="E170"/>
      <c r="F170"/>
      <c r="G170"/>
      <c r="H170"/>
      <c r="I170"/>
      <c r="J170"/>
      <c r="K170"/>
      <c r="L170"/>
      <c r="M170"/>
      <c r="N170"/>
      <c r="O170"/>
      <c r="P170"/>
      <c r="Q170"/>
      <c r="R170"/>
      <c r="S170"/>
      <c r="T170"/>
      <c r="U170"/>
      <c r="V170"/>
      <c r="W170"/>
      <c r="X170"/>
      <c r="Y170"/>
      <c r="Z170"/>
    </row>
    <row r="171" spans="2:26" ht="16">
      <c r="B171"/>
      <c r="C171"/>
      <c r="D171"/>
      <c r="E171"/>
      <c r="F171"/>
      <c r="G171"/>
      <c r="H171"/>
      <c r="I171"/>
      <c r="J171"/>
      <c r="K171"/>
      <c r="L171"/>
      <c r="M171"/>
      <c r="N171"/>
      <c r="O171"/>
      <c r="P171"/>
      <c r="Q171"/>
      <c r="R171"/>
      <c r="S171"/>
      <c r="T171"/>
      <c r="U171"/>
      <c r="V171"/>
      <c r="W171"/>
      <c r="X171"/>
      <c r="Y171"/>
      <c r="Z171"/>
    </row>
    <row r="172" spans="2:26" ht="16">
      <c r="B172"/>
      <c r="C172"/>
      <c r="D172"/>
      <c r="E172"/>
      <c r="F172"/>
      <c r="G172"/>
      <c r="H172"/>
      <c r="I172"/>
      <c r="J172"/>
      <c r="K172"/>
      <c r="L172"/>
      <c r="M172"/>
      <c r="N172"/>
      <c r="O172"/>
      <c r="P172"/>
      <c r="Q172"/>
      <c r="R172"/>
      <c r="S172"/>
      <c r="T172"/>
      <c r="U172"/>
      <c r="V172"/>
      <c r="W172"/>
      <c r="X172"/>
      <c r="Y172"/>
      <c r="Z172"/>
    </row>
    <row r="173" spans="2:26" ht="16">
      <c r="B173"/>
      <c r="C173"/>
      <c r="D173"/>
      <c r="E173"/>
      <c r="F173"/>
      <c r="G173"/>
      <c r="H173"/>
      <c r="I173"/>
      <c r="J173"/>
      <c r="K173"/>
      <c r="L173"/>
      <c r="M173"/>
      <c r="N173"/>
      <c r="O173"/>
      <c r="P173"/>
      <c r="Q173"/>
      <c r="R173"/>
      <c r="S173"/>
      <c r="T173"/>
      <c r="U173"/>
      <c r="V173"/>
      <c r="W173"/>
      <c r="X173"/>
      <c r="Y173"/>
      <c r="Z173"/>
    </row>
    <row r="174" spans="2:26" ht="16">
      <c r="B174"/>
      <c r="C174"/>
      <c r="D174"/>
      <c r="E174"/>
      <c r="F174"/>
      <c r="G174"/>
      <c r="H174"/>
      <c r="I174"/>
      <c r="J174"/>
      <c r="K174"/>
      <c r="L174"/>
      <c r="M174"/>
      <c r="N174"/>
      <c r="O174"/>
      <c r="P174"/>
      <c r="Q174"/>
      <c r="R174"/>
      <c r="S174"/>
      <c r="T174"/>
      <c r="U174"/>
      <c r="V174"/>
      <c r="W174"/>
      <c r="X174"/>
      <c r="Y174"/>
      <c r="Z174"/>
    </row>
    <row r="175" spans="2:26" ht="16">
      <c r="B175"/>
      <c r="C175"/>
      <c r="D175"/>
      <c r="E175"/>
      <c r="F175"/>
      <c r="G175"/>
      <c r="H175"/>
      <c r="I175"/>
      <c r="J175"/>
      <c r="K175"/>
      <c r="L175"/>
      <c r="M175"/>
      <c r="N175"/>
      <c r="O175"/>
      <c r="P175"/>
      <c r="Q175"/>
      <c r="R175"/>
      <c r="S175"/>
      <c r="T175"/>
      <c r="U175"/>
      <c r="V175"/>
      <c r="W175"/>
      <c r="X175"/>
      <c r="Y175"/>
      <c r="Z175"/>
    </row>
    <row r="176" spans="2:26" ht="16">
      <c r="B176"/>
      <c r="C176"/>
      <c r="D176"/>
      <c r="E176"/>
      <c r="F176"/>
      <c r="G176"/>
      <c r="H176"/>
      <c r="I176"/>
      <c r="J176"/>
      <c r="K176"/>
      <c r="L176"/>
      <c r="M176"/>
      <c r="N176"/>
      <c r="O176"/>
      <c r="P176"/>
      <c r="Q176"/>
      <c r="R176"/>
      <c r="S176"/>
      <c r="T176"/>
      <c r="U176"/>
      <c r="V176"/>
      <c r="W176"/>
      <c r="X176"/>
      <c r="Y176"/>
      <c r="Z176"/>
    </row>
    <row r="177" spans="2:26" ht="16">
      <c r="B177"/>
      <c r="C177"/>
      <c r="D177"/>
      <c r="E177"/>
      <c r="F177"/>
      <c r="G177"/>
      <c r="H177"/>
      <c r="I177"/>
      <c r="J177"/>
      <c r="K177"/>
      <c r="L177"/>
      <c r="M177"/>
      <c r="N177"/>
      <c r="O177"/>
      <c r="P177"/>
      <c r="Q177"/>
      <c r="R177"/>
      <c r="S177"/>
      <c r="T177"/>
      <c r="U177"/>
      <c r="V177"/>
      <c r="W177"/>
      <c r="X177"/>
      <c r="Y177"/>
      <c r="Z177"/>
    </row>
    <row r="178" spans="2:26" ht="16">
      <c r="B178"/>
      <c r="C178"/>
      <c r="D178"/>
      <c r="E178"/>
      <c r="F178"/>
      <c r="G178"/>
      <c r="H178"/>
      <c r="I178"/>
      <c r="J178"/>
      <c r="K178"/>
      <c r="L178"/>
      <c r="M178"/>
      <c r="N178"/>
      <c r="O178"/>
      <c r="P178"/>
      <c r="Q178"/>
      <c r="R178"/>
      <c r="S178"/>
      <c r="T178"/>
      <c r="U178"/>
      <c r="V178"/>
      <c r="W178"/>
      <c r="X178"/>
      <c r="Y178"/>
      <c r="Z178"/>
    </row>
    <row r="179" spans="2:26" ht="16">
      <c r="B179"/>
      <c r="C179"/>
      <c r="D179"/>
      <c r="E179"/>
      <c r="F179"/>
      <c r="G179"/>
      <c r="H179"/>
      <c r="I179"/>
      <c r="J179"/>
      <c r="K179"/>
      <c r="L179"/>
      <c r="M179"/>
      <c r="N179"/>
      <c r="O179"/>
      <c r="P179"/>
      <c r="Q179"/>
      <c r="R179"/>
      <c r="S179"/>
      <c r="T179"/>
      <c r="U179"/>
      <c r="V179"/>
      <c r="W179"/>
      <c r="X179"/>
      <c r="Y179"/>
      <c r="Z179"/>
    </row>
    <row r="180" spans="2:26" ht="16">
      <c r="B180"/>
      <c r="C180"/>
      <c r="D180"/>
      <c r="E180"/>
      <c r="F180"/>
      <c r="G180"/>
      <c r="H180"/>
      <c r="I180"/>
      <c r="J180"/>
      <c r="K180"/>
      <c r="L180"/>
      <c r="M180"/>
      <c r="N180"/>
      <c r="O180"/>
      <c r="P180"/>
      <c r="Q180"/>
      <c r="R180"/>
      <c r="S180"/>
      <c r="T180"/>
      <c r="U180"/>
      <c r="V180"/>
      <c r="W180"/>
      <c r="X180"/>
      <c r="Y180"/>
      <c r="Z180"/>
    </row>
    <row r="181" spans="2:26" ht="16">
      <c r="B181"/>
      <c r="C181"/>
      <c r="D181"/>
      <c r="E181"/>
      <c r="F181"/>
      <c r="G181"/>
      <c r="H181"/>
      <c r="I181"/>
      <c r="J181"/>
      <c r="K181"/>
      <c r="L181"/>
      <c r="M181"/>
      <c r="N181"/>
      <c r="O181"/>
      <c r="P181"/>
      <c r="Q181"/>
      <c r="R181"/>
      <c r="S181"/>
      <c r="T181"/>
      <c r="U181"/>
      <c r="V181"/>
      <c r="W181"/>
      <c r="X181"/>
      <c r="Y181"/>
      <c r="Z181"/>
    </row>
    <row r="182" spans="2:26" ht="16">
      <c r="B182"/>
      <c r="C182"/>
      <c r="D182"/>
      <c r="E182"/>
      <c r="F182"/>
      <c r="G182"/>
      <c r="H182"/>
      <c r="I182"/>
      <c r="J182"/>
      <c r="K182"/>
      <c r="L182"/>
      <c r="M182"/>
      <c r="N182"/>
      <c r="O182"/>
      <c r="P182"/>
      <c r="Q182"/>
      <c r="R182"/>
      <c r="S182"/>
      <c r="T182"/>
      <c r="U182"/>
      <c r="V182"/>
      <c r="W182"/>
      <c r="X182"/>
      <c r="Y182"/>
      <c r="Z182"/>
    </row>
    <row r="183" spans="2:26" ht="16">
      <c r="B183"/>
      <c r="C183"/>
      <c r="D183"/>
      <c r="E183"/>
      <c r="F183"/>
      <c r="G183"/>
      <c r="H183"/>
      <c r="I183"/>
      <c r="J183"/>
      <c r="K183"/>
      <c r="L183"/>
      <c r="M183"/>
      <c r="N183"/>
      <c r="O183"/>
      <c r="P183"/>
      <c r="Q183"/>
      <c r="R183"/>
      <c r="S183"/>
      <c r="T183"/>
      <c r="U183"/>
      <c r="V183"/>
      <c r="W183"/>
      <c r="X183"/>
      <c r="Y183"/>
      <c r="Z183"/>
    </row>
    <row r="184" spans="2:26" ht="16">
      <c r="B184"/>
      <c r="C184"/>
      <c r="D184"/>
      <c r="E184"/>
      <c r="F184"/>
      <c r="G184"/>
      <c r="H184"/>
      <c r="I184"/>
      <c r="J184"/>
      <c r="K184"/>
      <c r="L184"/>
      <c r="M184"/>
      <c r="N184"/>
      <c r="O184"/>
      <c r="P184"/>
      <c r="Q184"/>
      <c r="R184"/>
      <c r="S184"/>
      <c r="T184"/>
      <c r="U184"/>
      <c r="V184"/>
      <c r="W184"/>
      <c r="X184"/>
      <c r="Y184"/>
      <c r="Z184"/>
    </row>
    <row r="185" spans="2:26" ht="16">
      <c r="B185"/>
      <c r="C185"/>
      <c r="D185"/>
      <c r="E185"/>
      <c r="F185"/>
      <c r="G185"/>
      <c r="H185"/>
      <c r="I185"/>
      <c r="J185"/>
      <c r="K185"/>
      <c r="L185"/>
      <c r="M185"/>
      <c r="N185"/>
      <c r="O185"/>
      <c r="P185"/>
      <c r="Q185"/>
      <c r="R185"/>
      <c r="S185"/>
      <c r="T185"/>
      <c r="U185"/>
      <c r="V185"/>
      <c r="W185"/>
      <c r="X185"/>
      <c r="Y185"/>
      <c r="Z185"/>
    </row>
    <row r="186" spans="2:26" ht="16">
      <c r="B186"/>
      <c r="C186"/>
      <c r="D186"/>
      <c r="E186"/>
      <c r="F186"/>
      <c r="G186"/>
      <c r="H186"/>
      <c r="I186"/>
      <c r="J186"/>
      <c r="K186"/>
      <c r="L186"/>
      <c r="M186"/>
      <c r="N186"/>
      <c r="O186"/>
      <c r="P186"/>
      <c r="Q186"/>
      <c r="R186"/>
      <c r="S186"/>
      <c r="T186"/>
      <c r="U186"/>
      <c r="V186"/>
      <c r="W186"/>
      <c r="X186"/>
      <c r="Y186"/>
      <c r="Z186"/>
    </row>
    <row r="187" spans="2:26" ht="16">
      <c r="B187"/>
      <c r="C187"/>
      <c r="D187"/>
      <c r="E187"/>
      <c r="F187"/>
      <c r="G187"/>
      <c r="H187"/>
      <c r="I187"/>
      <c r="J187"/>
      <c r="K187"/>
      <c r="L187"/>
      <c r="M187"/>
      <c r="N187"/>
      <c r="O187"/>
      <c r="P187"/>
      <c r="Q187"/>
      <c r="R187"/>
      <c r="S187"/>
      <c r="T187"/>
      <c r="U187"/>
      <c r="V187"/>
      <c r="W187"/>
      <c r="X187"/>
      <c r="Y187"/>
      <c r="Z187"/>
    </row>
    <row r="188" spans="2:26" ht="16">
      <c r="B188"/>
      <c r="C188"/>
      <c r="D188"/>
      <c r="E188"/>
      <c r="F188"/>
      <c r="G188"/>
      <c r="H188"/>
      <c r="I188"/>
      <c r="J188"/>
      <c r="K188"/>
      <c r="L188"/>
      <c r="M188"/>
      <c r="N188"/>
      <c r="O188"/>
      <c r="P188"/>
      <c r="Q188"/>
      <c r="R188"/>
      <c r="S188"/>
      <c r="T188"/>
      <c r="U188"/>
      <c r="V188"/>
      <c r="W188"/>
      <c r="X188"/>
      <c r="Y188"/>
      <c r="Z188"/>
    </row>
    <row r="189" spans="2:26" ht="16">
      <c r="B189"/>
      <c r="C189"/>
      <c r="D189"/>
      <c r="E189"/>
      <c r="F189"/>
      <c r="G189"/>
      <c r="H189"/>
      <c r="I189"/>
      <c r="J189"/>
      <c r="K189"/>
      <c r="L189"/>
      <c r="M189"/>
      <c r="N189"/>
      <c r="O189"/>
      <c r="P189"/>
      <c r="Q189"/>
      <c r="R189"/>
      <c r="S189"/>
      <c r="T189"/>
      <c r="U189"/>
      <c r="V189"/>
      <c r="W189"/>
      <c r="X189"/>
      <c r="Y189"/>
      <c r="Z189"/>
    </row>
    <row r="190" spans="2:26" ht="16">
      <c r="B190"/>
      <c r="C190"/>
      <c r="D190"/>
      <c r="E190"/>
      <c r="F190"/>
      <c r="G190"/>
      <c r="H190"/>
      <c r="I190"/>
      <c r="J190"/>
      <c r="K190"/>
      <c r="L190"/>
      <c r="M190"/>
      <c r="N190"/>
      <c r="O190"/>
      <c r="P190"/>
      <c r="Q190"/>
      <c r="R190"/>
      <c r="S190"/>
      <c r="T190"/>
      <c r="U190"/>
      <c r="V190"/>
      <c r="W190"/>
      <c r="X190"/>
      <c r="Y190"/>
      <c r="Z190"/>
    </row>
    <row r="191" spans="2:26" ht="16">
      <c r="B191"/>
      <c r="C191"/>
      <c r="D191"/>
      <c r="E191"/>
      <c r="F191"/>
      <c r="G191"/>
      <c r="H191"/>
      <c r="I191"/>
      <c r="J191"/>
      <c r="K191"/>
      <c r="L191"/>
      <c r="M191"/>
      <c r="N191"/>
      <c r="O191"/>
      <c r="P191"/>
      <c r="Q191"/>
      <c r="R191"/>
      <c r="S191"/>
      <c r="T191"/>
      <c r="U191"/>
      <c r="V191"/>
      <c r="W191"/>
      <c r="X191"/>
      <c r="Y191"/>
      <c r="Z191"/>
    </row>
    <row r="192" spans="2:26" ht="16">
      <c r="B192"/>
      <c r="C192"/>
      <c r="D192"/>
      <c r="E192"/>
      <c r="F192"/>
      <c r="G192"/>
      <c r="H192"/>
      <c r="I192"/>
      <c r="J192"/>
      <c r="K192"/>
      <c r="L192"/>
      <c r="M192"/>
      <c r="N192"/>
      <c r="O192"/>
      <c r="P192"/>
      <c r="Q192"/>
      <c r="R192"/>
      <c r="S192"/>
      <c r="T192"/>
      <c r="U192"/>
      <c r="V192"/>
      <c r="W192"/>
      <c r="X192"/>
      <c r="Y192"/>
      <c r="Z192"/>
    </row>
    <row r="193" spans="2:26" ht="16">
      <c r="B193"/>
      <c r="C193"/>
      <c r="D193"/>
      <c r="E193"/>
      <c r="F193"/>
      <c r="G193"/>
      <c r="H193"/>
      <c r="I193"/>
      <c r="J193"/>
      <c r="K193"/>
      <c r="L193"/>
      <c r="M193"/>
      <c r="N193"/>
      <c r="O193"/>
      <c r="P193"/>
      <c r="Q193"/>
      <c r="R193"/>
      <c r="S193"/>
      <c r="T193"/>
      <c r="U193"/>
      <c r="V193"/>
      <c r="W193"/>
      <c r="X193"/>
      <c r="Y193"/>
      <c r="Z193"/>
    </row>
    <row r="194" spans="2:26" ht="16">
      <c r="B194"/>
      <c r="C194"/>
      <c r="D194"/>
      <c r="E194"/>
      <c r="F194"/>
      <c r="G194"/>
      <c r="H194"/>
      <c r="I194"/>
      <c r="J194"/>
      <c r="K194"/>
      <c r="L194"/>
      <c r="M194"/>
      <c r="N194"/>
      <c r="O194"/>
      <c r="P194"/>
      <c r="Q194"/>
      <c r="R194"/>
      <c r="S194"/>
      <c r="T194"/>
      <c r="U194"/>
      <c r="V194"/>
      <c r="W194"/>
      <c r="X194"/>
      <c r="Y194"/>
      <c r="Z194"/>
    </row>
    <row r="195" spans="2:26" ht="16">
      <c r="B195"/>
      <c r="C195"/>
      <c r="D195"/>
      <c r="E195"/>
      <c r="F195"/>
      <c r="G195"/>
      <c r="H195"/>
      <c r="I195"/>
      <c r="J195"/>
      <c r="K195"/>
      <c r="L195"/>
      <c r="M195"/>
      <c r="N195"/>
      <c r="O195"/>
      <c r="P195"/>
      <c r="Q195"/>
      <c r="R195"/>
      <c r="S195"/>
      <c r="T195"/>
      <c r="U195"/>
      <c r="V195"/>
      <c r="W195"/>
      <c r="X195"/>
      <c r="Y195"/>
      <c r="Z195"/>
    </row>
    <row r="196" spans="2:26" ht="16">
      <c r="B196"/>
      <c r="C196"/>
      <c r="D196"/>
      <c r="E196"/>
      <c r="F196"/>
      <c r="G196"/>
      <c r="H196"/>
      <c r="I196"/>
      <c r="J196"/>
      <c r="K196"/>
      <c r="L196"/>
      <c r="M196"/>
      <c r="N196"/>
      <c r="O196"/>
      <c r="P196"/>
      <c r="Q196"/>
      <c r="R196"/>
      <c r="S196"/>
      <c r="T196"/>
      <c r="U196"/>
      <c r="V196"/>
      <c r="W196"/>
      <c r="X196"/>
      <c r="Y196"/>
      <c r="Z196"/>
    </row>
    <row r="197" spans="2:26" ht="16">
      <c r="B197"/>
      <c r="C197"/>
      <c r="D197"/>
      <c r="E197"/>
      <c r="F197"/>
      <c r="G197"/>
      <c r="H197"/>
      <c r="I197"/>
      <c r="J197"/>
      <c r="K197"/>
      <c r="L197"/>
      <c r="M197"/>
      <c r="N197"/>
      <c r="O197"/>
      <c r="P197"/>
      <c r="Q197"/>
      <c r="R197"/>
      <c r="S197"/>
      <c r="T197"/>
      <c r="U197"/>
      <c r="V197"/>
      <c r="W197"/>
      <c r="X197"/>
      <c r="Y197"/>
      <c r="Z197"/>
    </row>
    <row r="198" spans="2:26" ht="16">
      <c r="B198"/>
      <c r="C198"/>
      <c r="D198"/>
      <c r="E198"/>
      <c r="F198"/>
      <c r="G198"/>
      <c r="H198"/>
      <c r="I198"/>
      <c r="J198"/>
      <c r="K198"/>
      <c r="L198"/>
      <c r="M198"/>
      <c r="N198"/>
      <c r="O198"/>
      <c r="P198"/>
      <c r="Q198"/>
      <c r="R198"/>
      <c r="S198"/>
      <c r="T198"/>
      <c r="U198"/>
      <c r="V198"/>
      <c r="W198"/>
      <c r="X198"/>
      <c r="Y198"/>
      <c r="Z198"/>
    </row>
    <row r="199" spans="2:26" ht="16">
      <c r="B199"/>
      <c r="C199"/>
      <c r="D199"/>
      <c r="E199"/>
      <c r="F199"/>
      <c r="G199"/>
      <c r="H199"/>
      <c r="I199"/>
      <c r="J199"/>
      <c r="K199"/>
      <c r="L199"/>
      <c r="M199"/>
      <c r="N199"/>
      <c r="O199"/>
      <c r="P199"/>
      <c r="Q199"/>
      <c r="R199"/>
      <c r="S199"/>
      <c r="T199"/>
      <c r="U199"/>
      <c r="V199"/>
      <c r="W199"/>
      <c r="X199"/>
      <c r="Y199"/>
      <c r="Z199"/>
    </row>
    <row r="200" spans="2:26" ht="16">
      <c r="B200"/>
      <c r="C200"/>
      <c r="D200"/>
      <c r="E200"/>
      <c r="F200"/>
      <c r="G200"/>
      <c r="H200"/>
      <c r="I200"/>
      <c r="J200"/>
      <c r="K200"/>
      <c r="L200"/>
      <c r="M200"/>
      <c r="N200"/>
      <c r="O200"/>
      <c r="P200"/>
      <c r="Q200"/>
      <c r="R200"/>
      <c r="S200"/>
      <c r="T200"/>
      <c r="U200"/>
      <c r="V200"/>
      <c r="W200"/>
      <c r="X200"/>
      <c r="Y200"/>
      <c r="Z200"/>
    </row>
    <row r="201" spans="2:26" ht="16">
      <c r="B201"/>
      <c r="C201"/>
      <c r="D201"/>
      <c r="E201"/>
      <c r="F201"/>
      <c r="G201"/>
      <c r="H201"/>
      <c r="I201"/>
      <c r="J201"/>
      <c r="K201"/>
      <c r="L201"/>
      <c r="M201"/>
      <c r="N201"/>
      <c r="O201"/>
      <c r="P201"/>
      <c r="Q201"/>
      <c r="R201"/>
      <c r="S201"/>
      <c r="T201"/>
      <c r="U201"/>
      <c r="V201"/>
      <c r="W201"/>
      <c r="X201"/>
      <c r="Y201"/>
      <c r="Z201"/>
    </row>
    <row r="202" spans="2:26" ht="16">
      <c r="B202"/>
      <c r="C202"/>
      <c r="D202"/>
      <c r="E202"/>
      <c r="F202"/>
      <c r="G202"/>
      <c r="H202"/>
      <c r="I202"/>
      <c r="J202"/>
      <c r="K202"/>
      <c r="L202"/>
      <c r="M202"/>
      <c r="N202"/>
      <c r="O202"/>
      <c r="P202"/>
      <c r="Q202"/>
      <c r="R202"/>
      <c r="S202"/>
      <c r="T202"/>
      <c r="U202"/>
      <c r="V202"/>
      <c r="W202"/>
      <c r="X202"/>
      <c r="Y202"/>
      <c r="Z202"/>
    </row>
    <row r="203" spans="2:26" ht="16">
      <c r="B203"/>
      <c r="C203"/>
      <c r="D203"/>
      <c r="E203"/>
      <c r="F203"/>
      <c r="G203"/>
      <c r="H203"/>
      <c r="I203"/>
      <c r="J203"/>
      <c r="K203"/>
      <c r="L203"/>
      <c r="M203"/>
      <c r="N203"/>
      <c r="O203"/>
      <c r="P203"/>
      <c r="Q203"/>
      <c r="R203"/>
      <c r="S203"/>
      <c r="T203"/>
      <c r="U203"/>
      <c r="V203"/>
      <c r="W203"/>
      <c r="X203"/>
      <c r="Y203"/>
      <c r="Z203"/>
    </row>
    <row r="204" spans="2:26" ht="16">
      <c r="B204"/>
      <c r="C204"/>
      <c r="D204"/>
      <c r="E204"/>
      <c r="F204"/>
      <c r="G204"/>
      <c r="H204"/>
      <c r="I204"/>
      <c r="J204"/>
      <c r="K204"/>
      <c r="L204"/>
      <c r="M204"/>
      <c r="N204"/>
      <c r="O204"/>
      <c r="P204"/>
      <c r="Q204"/>
      <c r="R204"/>
      <c r="S204"/>
      <c r="T204"/>
      <c r="U204"/>
      <c r="V204"/>
      <c r="W204"/>
      <c r="X204"/>
      <c r="Y204"/>
      <c r="Z204"/>
    </row>
    <row r="205" spans="2:26" ht="16">
      <c r="B205"/>
      <c r="C205"/>
      <c r="D205"/>
      <c r="E205"/>
      <c r="F205"/>
      <c r="G205"/>
      <c r="H205"/>
      <c r="I205"/>
      <c r="J205"/>
      <c r="K205"/>
      <c r="L205"/>
      <c r="M205"/>
      <c r="N205"/>
      <c r="O205"/>
      <c r="P205"/>
      <c r="Q205"/>
      <c r="R205"/>
      <c r="S205"/>
      <c r="T205"/>
      <c r="U205"/>
      <c r="V205"/>
      <c r="W205"/>
      <c r="X205"/>
      <c r="Y205"/>
      <c r="Z205"/>
    </row>
    <row r="206" spans="2:26" ht="16">
      <c r="B206"/>
      <c r="C206"/>
      <c r="D206"/>
      <c r="E206"/>
      <c r="F206"/>
      <c r="G206"/>
      <c r="H206"/>
      <c r="I206"/>
      <c r="J206"/>
      <c r="K206"/>
      <c r="L206"/>
      <c r="M206"/>
      <c r="N206"/>
      <c r="O206"/>
      <c r="P206"/>
      <c r="Q206"/>
      <c r="R206"/>
      <c r="S206"/>
      <c r="T206"/>
      <c r="U206"/>
      <c r="V206"/>
      <c r="W206"/>
      <c r="X206"/>
      <c r="Y206"/>
      <c r="Z206"/>
    </row>
    <row r="207" spans="2:26" ht="16">
      <c r="B207"/>
      <c r="C207"/>
      <c r="D207"/>
      <c r="E207"/>
      <c r="F207"/>
      <c r="G207"/>
      <c r="H207"/>
      <c r="I207"/>
      <c r="J207"/>
      <c r="K207"/>
      <c r="L207"/>
      <c r="M207"/>
      <c r="N207"/>
      <c r="O207"/>
      <c r="P207"/>
      <c r="Q207"/>
      <c r="R207"/>
      <c r="S207"/>
      <c r="T207"/>
      <c r="U207"/>
      <c r="V207"/>
      <c r="W207"/>
      <c r="X207"/>
      <c r="Y207"/>
      <c r="Z207"/>
    </row>
    <row r="208" spans="2:26" ht="16">
      <c r="B208"/>
      <c r="C208"/>
      <c r="D208"/>
      <c r="E208"/>
      <c r="F208"/>
      <c r="G208"/>
      <c r="H208"/>
      <c r="I208"/>
      <c r="J208"/>
      <c r="K208"/>
      <c r="L208"/>
      <c r="M208"/>
      <c r="N208"/>
      <c r="O208"/>
      <c r="P208"/>
      <c r="Q208"/>
      <c r="R208"/>
      <c r="S208"/>
      <c r="T208"/>
      <c r="U208"/>
      <c r="V208"/>
      <c r="W208"/>
      <c r="X208"/>
      <c r="Y208"/>
      <c r="Z208"/>
    </row>
    <row r="209" spans="2:26" ht="16">
      <c r="B209"/>
      <c r="C209"/>
      <c r="D209"/>
      <c r="E209"/>
      <c r="F209"/>
      <c r="G209"/>
      <c r="H209"/>
      <c r="I209"/>
      <c r="J209"/>
      <c r="K209"/>
      <c r="L209"/>
      <c r="M209"/>
      <c r="N209"/>
      <c r="O209"/>
      <c r="P209"/>
      <c r="Q209"/>
      <c r="R209"/>
      <c r="S209"/>
      <c r="T209"/>
      <c r="U209"/>
      <c r="V209"/>
      <c r="W209"/>
      <c r="X209"/>
      <c r="Y209"/>
      <c r="Z209"/>
    </row>
    <row r="210" spans="2:26" ht="16">
      <c r="B210"/>
      <c r="C210"/>
      <c r="D210"/>
      <c r="E210"/>
      <c r="F210"/>
      <c r="G210"/>
      <c r="H210"/>
      <c r="I210"/>
      <c r="J210"/>
      <c r="K210"/>
      <c r="L210"/>
      <c r="M210"/>
      <c r="N210"/>
      <c r="O210"/>
      <c r="P210"/>
      <c r="Q210"/>
      <c r="R210"/>
      <c r="S210"/>
      <c r="T210"/>
      <c r="U210"/>
      <c r="V210"/>
      <c r="W210"/>
      <c r="X210"/>
      <c r="Y210"/>
      <c r="Z210"/>
    </row>
    <row r="211" spans="2:26" ht="16">
      <c r="B211"/>
      <c r="C211"/>
      <c r="D211"/>
      <c r="E211"/>
      <c r="F211"/>
      <c r="G211"/>
      <c r="H211"/>
      <c r="I211"/>
      <c r="J211"/>
      <c r="K211"/>
      <c r="L211"/>
      <c r="M211"/>
      <c r="N211"/>
      <c r="O211"/>
      <c r="P211"/>
      <c r="Q211"/>
      <c r="R211"/>
      <c r="S211"/>
      <c r="T211"/>
      <c r="U211"/>
      <c r="V211"/>
      <c r="W211"/>
      <c r="X211"/>
      <c r="Y211"/>
      <c r="Z211"/>
    </row>
    <row r="212" spans="2:26" ht="16">
      <c r="B212"/>
      <c r="C212"/>
      <c r="D212"/>
      <c r="E212"/>
      <c r="F212"/>
      <c r="G212"/>
      <c r="H212"/>
      <c r="I212"/>
      <c r="J212"/>
      <c r="K212"/>
      <c r="L212"/>
      <c r="M212"/>
      <c r="N212"/>
      <c r="O212"/>
      <c r="P212"/>
      <c r="Q212"/>
      <c r="R212"/>
      <c r="S212"/>
      <c r="T212"/>
      <c r="U212"/>
      <c r="V212"/>
      <c r="W212"/>
      <c r="X212"/>
      <c r="Y212"/>
      <c r="Z212"/>
    </row>
    <row r="213" spans="2:26" ht="16">
      <c r="B213"/>
      <c r="C213"/>
      <c r="D213"/>
      <c r="E213"/>
      <c r="F213"/>
      <c r="G213"/>
      <c r="H213"/>
      <c r="I213"/>
      <c r="J213"/>
      <c r="K213"/>
      <c r="L213"/>
      <c r="M213"/>
      <c r="N213"/>
      <c r="O213"/>
      <c r="P213"/>
      <c r="Q213"/>
      <c r="R213"/>
      <c r="S213"/>
      <c r="T213"/>
      <c r="U213"/>
      <c r="V213"/>
      <c r="W213"/>
      <c r="X213"/>
      <c r="Y213"/>
      <c r="Z213"/>
    </row>
    <row r="214" spans="2:26" ht="16">
      <c r="B214"/>
      <c r="C214"/>
      <c r="D214"/>
      <c r="E214"/>
      <c r="F214"/>
      <c r="G214"/>
      <c r="H214"/>
      <c r="I214"/>
      <c r="J214"/>
      <c r="K214"/>
      <c r="L214"/>
      <c r="M214"/>
      <c r="N214"/>
      <c r="O214"/>
      <c r="P214"/>
      <c r="Q214"/>
      <c r="R214"/>
      <c r="S214"/>
      <c r="T214"/>
      <c r="U214"/>
      <c r="V214"/>
      <c r="W214"/>
      <c r="X214"/>
      <c r="Y214"/>
      <c r="Z214"/>
    </row>
    <row r="215" spans="2:26" ht="16">
      <c r="B215"/>
      <c r="C215"/>
      <c r="D215"/>
      <c r="E215"/>
      <c r="F215"/>
      <c r="G215"/>
      <c r="H215"/>
      <c r="I215"/>
      <c r="J215"/>
      <c r="K215"/>
      <c r="L215"/>
      <c r="M215"/>
      <c r="N215"/>
      <c r="O215"/>
      <c r="P215"/>
      <c r="Q215"/>
      <c r="R215"/>
      <c r="S215"/>
      <c r="T215"/>
      <c r="U215"/>
      <c r="V215"/>
      <c r="W215"/>
      <c r="X215"/>
      <c r="Y215"/>
      <c r="Z215"/>
    </row>
    <row r="216" spans="2:26" ht="16">
      <c r="B216"/>
      <c r="C216"/>
      <c r="D216"/>
      <c r="E216"/>
      <c r="F216"/>
      <c r="G216"/>
      <c r="H216"/>
      <c r="I216"/>
      <c r="J216"/>
      <c r="K216"/>
      <c r="L216"/>
      <c r="M216"/>
      <c r="N216"/>
      <c r="O216"/>
      <c r="P216"/>
      <c r="Q216"/>
      <c r="R216"/>
      <c r="S216"/>
      <c r="T216"/>
      <c r="U216"/>
      <c r="V216"/>
      <c r="W216"/>
      <c r="X216"/>
      <c r="Y216"/>
      <c r="Z216"/>
    </row>
    <row r="217" spans="2:26" ht="16">
      <c r="B217"/>
      <c r="C217"/>
      <c r="D217"/>
      <c r="E217"/>
      <c r="F217"/>
      <c r="G217"/>
      <c r="H217"/>
      <c r="I217"/>
      <c r="J217"/>
      <c r="K217"/>
      <c r="L217"/>
      <c r="M217"/>
      <c r="N217"/>
      <c r="O217"/>
      <c r="P217"/>
      <c r="Q217"/>
      <c r="R217"/>
      <c r="S217"/>
      <c r="T217"/>
      <c r="U217"/>
      <c r="V217"/>
      <c r="W217"/>
      <c r="X217"/>
      <c r="Y217"/>
      <c r="Z217"/>
    </row>
    <row r="218" spans="2:26" ht="23" customHeight="1">
      <c r="O218" s="1"/>
      <c r="P218" s="1"/>
      <c r="R218" s="1"/>
      <c r="S218" s="1"/>
      <c r="T218" s="1"/>
      <c r="X218" s="1"/>
    </row>
    <row r="219" spans="2:26" ht="23" customHeight="1">
      <c r="O219" s="1"/>
      <c r="P219" s="1"/>
      <c r="R219" s="1"/>
      <c r="S219" s="1"/>
      <c r="T219" s="1"/>
      <c r="X219" s="1"/>
    </row>
    <row r="220" spans="2:26" ht="23" customHeight="1">
      <c r="O220" s="1"/>
      <c r="P220" s="1"/>
      <c r="R220" s="1"/>
      <c r="S220" s="1"/>
      <c r="T220" s="1"/>
      <c r="X220" s="1"/>
    </row>
    <row r="221" spans="2:26" ht="23" customHeight="1">
      <c r="O221" s="1"/>
      <c r="P221" s="1"/>
      <c r="R221" s="1"/>
      <c r="S221" s="1"/>
      <c r="T221" s="1"/>
      <c r="X221" s="1"/>
    </row>
    <row r="222" spans="2:26" ht="23" customHeight="1">
      <c r="O222" s="1"/>
      <c r="P222" s="1"/>
      <c r="R222" s="1"/>
      <c r="S222" s="1"/>
      <c r="T222" s="1"/>
      <c r="X222" s="1"/>
    </row>
    <row r="223" spans="2:26" ht="23" customHeight="1">
      <c r="O223" s="1"/>
      <c r="P223" s="1"/>
      <c r="R223" s="1"/>
      <c r="S223" s="1"/>
      <c r="T223" s="1"/>
      <c r="X223" s="1"/>
    </row>
    <row r="224" spans="2:26" ht="23" customHeight="1">
      <c r="O224" s="1"/>
      <c r="P224" s="1"/>
      <c r="R224" s="1"/>
      <c r="S224" s="1"/>
      <c r="T224" s="1"/>
      <c r="X224" s="1"/>
    </row>
    <row r="225" s="1" customFormat="1" ht="23" customHeight="1"/>
    <row r="226" s="1" customFormat="1" ht="23" customHeight="1"/>
    <row r="227" s="1" customFormat="1" ht="23" customHeight="1"/>
    <row r="228" s="1" customFormat="1" ht="23" customHeight="1"/>
    <row r="229" s="1" customFormat="1" ht="23" customHeight="1"/>
    <row r="230" s="1" customFormat="1" ht="23" customHeight="1"/>
    <row r="231" s="1" customFormat="1" ht="23" customHeight="1"/>
    <row r="232" s="1" customFormat="1" ht="23" customHeight="1"/>
    <row r="233" s="1" customFormat="1" ht="23" customHeight="1"/>
    <row r="234" s="1" customFormat="1" ht="23" customHeight="1"/>
    <row r="235" s="1" customFormat="1" ht="23" customHeight="1"/>
    <row r="236" s="1" customFormat="1" ht="23" customHeight="1"/>
    <row r="237" s="1" customFormat="1" ht="23" customHeight="1"/>
    <row r="238" s="1" customFormat="1" ht="23" customHeight="1"/>
    <row r="239" s="1" customFormat="1" ht="23" customHeight="1"/>
    <row r="240" s="1" customFormat="1" ht="23" customHeight="1"/>
    <row r="241" s="1" customFormat="1" ht="23" customHeight="1"/>
    <row r="242" s="1" customFormat="1" ht="23" customHeight="1"/>
    <row r="243" s="1" customFormat="1" ht="23" customHeight="1"/>
    <row r="244" s="1" customFormat="1" ht="23" customHeight="1"/>
    <row r="245" s="1" customFormat="1" ht="23" customHeight="1"/>
    <row r="246" s="1" customFormat="1" ht="23" customHeight="1"/>
    <row r="247" s="1" customFormat="1" ht="23" customHeight="1"/>
    <row r="248" s="1" customFormat="1" ht="23" customHeight="1"/>
    <row r="249" s="1" customFormat="1" ht="23" customHeight="1"/>
    <row r="250" s="1" customFormat="1" ht="23" customHeight="1"/>
    <row r="251" s="1" customFormat="1" ht="23" customHeight="1"/>
    <row r="252" s="1" customFormat="1" ht="23" customHeight="1"/>
    <row r="253" s="1" customFormat="1" ht="23" customHeight="1"/>
    <row r="254" s="1" customFormat="1" ht="23" customHeight="1"/>
    <row r="255" s="1" customFormat="1" ht="23" customHeight="1"/>
    <row r="256" s="1" customFormat="1" ht="23" customHeight="1"/>
    <row r="257" s="1" customFormat="1" ht="23" customHeight="1"/>
    <row r="258" s="1" customFormat="1" ht="23" customHeight="1"/>
    <row r="259" s="1" customFormat="1" ht="23" customHeight="1"/>
    <row r="260" s="1" customFormat="1" ht="23" customHeight="1"/>
    <row r="261" s="1" customFormat="1" ht="23" customHeight="1"/>
    <row r="262" s="1" customFormat="1" ht="23" customHeight="1"/>
    <row r="263" s="1" customFormat="1" ht="23" customHeight="1"/>
    <row r="264" s="1" customFormat="1" ht="23" customHeight="1"/>
    <row r="265" s="1" customFormat="1" ht="23" customHeight="1"/>
    <row r="266" s="1" customFormat="1" ht="23" customHeight="1"/>
    <row r="267" s="1" customFormat="1" ht="23" customHeight="1"/>
    <row r="268" s="1" customFormat="1" ht="23" customHeight="1"/>
    <row r="269" s="1" customFormat="1" ht="23" customHeight="1"/>
    <row r="270" s="1" customFormat="1" ht="23" customHeight="1"/>
    <row r="271" s="1" customFormat="1" ht="23" customHeight="1"/>
    <row r="272" s="1" customFormat="1" ht="23" customHeight="1"/>
    <row r="273" s="1" customFormat="1" ht="23" customHeight="1"/>
    <row r="274" s="1" customFormat="1" ht="23" customHeight="1"/>
    <row r="275" s="1" customFormat="1" ht="23" customHeight="1"/>
    <row r="276" s="1" customFormat="1" ht="23" customHeight="1"/>
    <row r="277" s="1" customFormat="1" ht="23" customHeight="1"/>
    <row r="278" s="1" customFormat="1" ht="23" customHeight="1"/>
    <row r="279" s="1" customFormat="1" ht="23" customHeight="1"/>
    <row r="280" s="1" customFormat="1" ht="23" customHeight="1"/>
    <row r="281" s="1" customFormat="1" ht="23" customHeight="1"/>
    <row r="282" s="1" customFormat="1" ht="23" customHeight="1"/>
    <row r="283" s="1" customFormat="1" ht="23" customHeight="1"/>
    <row r="284" s="1" customFormat="1" ht="23" customHeight="1"/>
    <row r="285" s="1" customFormat="1" ht="23" customHeight="1"/>
    <row r="286" s="1" customFormat="1" ht="23" customHeight="1"/>
    <row r="287" s="1" customFormat="1" ht="23" customHeight="1"/>
    <row r="288" s="1" customFormat="1" ht="23" customHeight="1"/>
    <row r="289" s="1" customFormat="1" ht="23" customHeight="1"/>
    <row r="290" s="1" customFormat="1" ht="23" customHeight="1"/>
    <row r="291" s="1" customFormat="1" ht="23" customHeight="1"/>
    <row r="292" s="1" customFormat="1" ht="23" customHeight="1"/>
    <row r="293" s="1" customFormat="1" ht="23" customHeight="1"/>
    <row r="294" s="1" customFormat="1" ht="23" customHeight="1"/>
    <row r="295" s="1" customFormat="1" ht="23" customHeight="1"/>
    <row r="296" s="1" customFormat="1" ht="23" customHeight="1"/>
    <row r="297" s="1" customFormat="1" ht="23" customHeight="1"/>
    <row r="298" s="1" customFormat="1" ht="23" customHeight="1"/>
    <row r="299" s="1" customFormat="1" ht="23" customHeight="1"/>
    <row r="300" s="1" customFormat="1" ht="23" customHeight="1"/>
    <row r="301" s="1" customFormat="1" ht="23" customHeight="1"/>
    <row r="302" s="1" customFormat="1" ht="23" customHeight="1"/>
    <row r="303" s="1" customFormat="1" ht="23" customHeight="1"/>
    <row r="304" s="1" customFormat="1" ht="23" customHeight="1"/>
    <row r="305" s="1" customFormat="1" ht="23" customHeight="1"/>
    <row r="306" s="1" customFormat="1" ht="23" customHeight="1"/>
    <row r="307" s="1" customFormat="1" ht="23" customHeight="1"/>
    <row r="308" s="1" customFormat="1" ht="23" customHeight="1"/>
    <row r="309" s="1" customFormat="1" ht="23" customHeight="1"/>
    <row r="310" s="1" customFormat="1" ht="23" customHeight="1"/>
    <row r="311" s="1" customFormat="1" ht="23" customHeight="1"/>
    <row r="312" s="1" customFormat="1" ht="23" customHeight="1"/>
    <row r="313" s="1" customFormat="1" ht="23" customHeight="1"/>
    <row r="314" s="1" customFormat="1" ht="23" customHeight="1"/>
    <row r="315" s="1" customFormat="1" ht="23" customHeight="1"/>
    <row r="316" s="1" customFormat="1" ht="23" customHeight="1"/>
    <row r="317" s="1" customFormat="1" ht="23" customHeight="1"/>
    <row r="318" s="1" customFormat="1" ht="23" customHeight="1"/>
    <row r="319" s="1" customFormat="1" ht="23" customHeight="1"/>
    <row r="320" s="1" customFormat="1" ht="23" customHeight="1"/>
    <row r="321" s="1" customFormat="1" ht="23" customHeight="1"/>
    <row r="322" s="1" customFormat="1" ht="23" customHeight="1"/>
    <row r="323" s="1" customFormat="1" ht="23" customHeight="1"/>
    <row r="324" s="1" customFormat="1" ht="23" customHeight="1"/>
    <row r="325" s="1" customFormat="1" ht="23" customHeight="1"/>
    <row r="326" s="1" customFormat="1" ht="23" customHeight="1"/>
    <row r="327" s="1" customFormat="1" ht="23" customHeight="1"/>
    <row r="328" s="1" customFormat="1" ht="23" customHeight="1"/>
    <row r="329" s="1" customFormat="1" ht="23" customHeight="1"/>
    <row r="330" s="1" customFormat="1" ht="23" customHeight="1"/>
    <row r="331" s="1" customFormat="1" ht="23" customHeight="1"/>
    <row r="332" s="1" customFormat="1" ht="23" customHeight="1"/>
    <row r="333" s="1" customFormat="1" ht="23" customHeight="1"/>
    <row r="334" s="1" customFormat="1" ht="23" customHeight="1"/>
    <row r="335" s="1" customFormat="1" ht="23" customHeight="1"/>
    <row r="336" s="1" customFormat="1" ht="23" customHeight="1"/>
    <row r="337" s="1" customFormat="1" ht="23" customHeight="1"/>
    <row r="338" s="1" customFormat="1" ht="23" customHeight="1"/>
    <row r="339" s="1" customFormat="1" ht="23" customHeight="1"/>
    <row r="340" s="1" customFormat="1" ht="23" customHeight="1"/>
    <row r="341" s="1" customFormat="1" ht="23" customHeight="1"/>
    <row r="342" s="1" customFormat="1" ht="23" customHeight="1"/>
    <row r="343" s="1" customFormat="1" ht="23" customHeight="1"/>
    <row r="344" s="1" customFormat="1" ht="23" customHeight="1"/>
    <row r="345" s="1" customFormat="1" ht="23" customHeight="1"/>
    <row r="346" s="1" customFormat="1" ht="23" customHeight="1"/>
    <row r="347" s="1" customFormat="1" ht="23" customHeight="1"/>
    <row r="348" s="1" customFormat="1" ht="23" customHeight="1"/>
    <row r="349" s="1" customFormat="1" ht="23" customHeight="1"/>
    <row r="350" s="1" customFormat="1" ht="23" customHeight="1"/>
    <row r="351" s="1" customFormat="1" ht="23" customHeight="1"/>
    <row r="352" s="1" customFormat="1" ht="23" customHeight="1"/>
    <row r="353" s="1" customFormat="1" ht="23" customHeight="1"/>
    <row r="354" s="1" customFormat="1" ht="23" customHeight="1"/>
    <row r="355" s="1" customFormat="1" ht="23" customHeight="1"/>
    <row r="356" s="1" customFormat="1" ht="23" customHeight="1"/>
    <row r="357" s="1" customFormat="1" ht="23" customHeight="1"/>
    <row r="358" s="1" customFormat="1" ht="23" customHeight="1"/>
    <row r="359" s="1" customFormat="1" ht="23" customHeight="1"/>
    <row r="360" s="1" customFormat="1" ht="23" customHeight="1"/>
    <row r="361" s="1" customFormat="1" ht="23" customHeight="1"/>
    <row r="362" s="1" customFormat="1" ht="23" customHeight="1"/>
    <row r="363" s="1" customFormat="1" ht="23" customHeight="1"/>
    <row r="364" s="1" customFormat="1" ht="23" customHeight="1"/>
    <row r="365" s="1" customFormat="1" ht="23" customHeight="1"/>
    <row r="366" s="1" customFormat="1" ht="23" customHeight="1"/>
    <row r="367" s="1" customFormat="1" ht="23" customHeight="1"/>
    <row r="368" s="1" customFormat="1" ht="23" customHeight="1"/>
    <row r="369" s="1" customFormat="1" ht="23" customHeight="1"/>
    <row r="370" s="1" customFormat="1" ht="23" customHeight="1"/>
    <row r="371" s="1" customFormat="1" ht="23" customHeight="1"/>
    <row r="372" s="1" customFormat="1" ht="23" customHeight="1"/>
    <row r="373" s="1" customFormat="1" ht="23" customHeight="1"/>
    <row r="374" s="1" customFormat="1" ht="23" customHeight="1"/>
    <row r="375" s="1" customFormat="1" ht="23" customHeight="1"/>
    <row r="376" s="1" customFormat="1" ht="23" customHeight="1"/>
    <row r="377" s="1" customFormat="1" ht="23" customHeight="1"/>
    <row r="378" s="1" customFormat="1" ht="23" customHeight="1"/>
    <row r="379" s="1" customFormat="1" ht="23" customHeight="1"/>
    <row r="380" s="1" customFormat="1" ht="23" customHeight="1"/>
    <row r="381" s="1" customFormat="1" ht="23" customHeight="1"/>
    <row r="382" s="1" customFormat="1" ht="23" customHeight="1"/>
    <row r="383" s="1" customFormat="1" ht="23" customHeight="1"/>
    <row r="384" s="1" customFormat="1" ht="23" customHeight="1"/>
    <row r="385" s="1" customFormat="1" ht="23" customHeight="1"/>
    <row r="386" s="1" customFormat="1" ht="23" customHeight="1"/>
    <row r="387" s="1" customFormat="1" ht="23" customHeight="1"/>
    <row r="388" s="1" customFormat="1" ht="23" customHeight="1"/>
    <row r="389" s="1" customFormat="1" ht="23" customHeight="1"/>
    <row r="390" s="1" customFormat="1" ht="23" customHeight="1"/>
    <row r="391" s="1" customFormat="1" ht="23" customHeight="1"/>
    <row r="392" s="1" customFormat="1" ht="23" customHeight="1"/>
    <row r="393" s="1" customFormat="1" ht="23" customHeight="1"/>
    <row r="394" s="1" customFormat="1" ht="23" customHeight="1"/>
    <row r="395" s="1" customFormat="1" ht="23" customHeight="1"/>
    <row r="396" s="1" customFormat="1" ht="23" customHeight="1"/>
    <row r="397" s="1" customFormat="1" ht="23" customHeight="1"/>
    <row r="398" s="1" customFormat="1" ht="23" customHeight="1"/>
    <row r="399" s="1" customFormat="1" ht="23" customHeight="1"/>
    <row r="400" s="1" customFormat="1" ht="23" customHeight="1"/>
    <row r="401" s="1" customFormat="1" ht="23" customHeight="1"/>
    <row r="402" s="1" customFormat="1" ht="23" customHeight="1"/>
    <row r="403" s="1" customFormat="1" ht="23" customHeight="1"/>
    <row r="404" s="1" customFormat="1" ht="23" customHeight="1"/>
    <row r="405" s="1" customFormat="1" ht="23" customHeight="1"/>
    <row r="406" s="1" customFormat="1" ht="23" customHeight="1"/>
    <row r="407" s="1" customFormat="1" ht="23" customHeight="1"/>
    <row r="408" s="1" customFormat="1" ht="23" customHeight="1"/>
    <row r="409" s="1" customFormat="1" ht="23" customHeight="1"/>
    <row r="410" s="1" customFormat="1" ht="23" customHeight="1"/>
    <row r="411" s="1" customFormat="1" ht="23" customHeight="1"/>
    <row r="412" s="1" customFormat="1" ht="23" customHeight="1"/>
    <row r="413" s="1" customFormat="1" ht="23" customHeight="1"/>
    <row r="414" s="1" customFormat="1" ht="23" customHeight="1"/>
    <row r="415" s="1" customFormat="1" ht="23" customHeight="1"/>
    <row r="416" s="1" customFormat="1" ht="23" customHeight="1"/>
    <row r="417" s="1" customFormat="1" ht="23" customHeight="1"/>
    <row r="418" s="1" customFormat="1" ht="23" customHeight="1"/>
    <row r="419" s="1" customFormat="1" ht="23" customHeight="1"/>
    <row r="420" s="1" customFormat="1" ht="23" customHeight="1"/>
    <row r="421" s="1" customFormat="1" ht="23" customHeight="1"/>
    <row r="422" s="1" customFormat="1" ht="23" customHeight="1"/>
    <row r="423" s="1" customFormat="1" ht="23" customHeight="1"/>
    <row r="424" s="1" customFormat="1" ht="23" customHeight="1"/>
    <row r="425" s="1" customFormat="1" ht="23" customHeight="1"/>
    <row r="426" s="1" customFormat="1" ht="23" customHeight="1"/>
    <row r="427" s="1" customFormat="1" ht="23" customHeight="1"/>
    <row r="428" s="1" customFormat="1" ht="23" customHeight="1"/>
    <row r="429" s="1" customFormat="1" ht="23" customHeight="1"/>
    <row r="430" s="1" customFormat="1" ht="23" customHeight="1"/>
    <row r="431" s="1" customFormat="1" ht="23" customHeight="1"/>
    <row r="432" s="1" customFormat="1" ht="23" customHeight="1"/>
    <row r="433" s="1" customFormat="1" ht="23" customHeight="1"/>
    <row r="434" s="1" customFormat="1" ht="23" customHeight="1"/>
  </sheetData>
  <mergeCells count="2">
    <mergeCell ref="B2:Y2"/>
    <mergeCell ref="B3:Y3"/>
  </mergeCells>
  <printOptions horizontalCentered="1"/>
  <pageMargins left="0.7" right="0.7" top="0.75" bottom="0.75" header="0.3" footer="0.3"/>
  <pageSetup scale="27" fitToHeight="10" orientation="landscape" horizontalDpi="1200" verticalDpi="1200"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B2:P121"/>
  <sheetViews>
    <sheetView view="pageBreakPreview" zoomScale="70" zoomScaleNormal="40" zoomScaleSheetLayoutView="70" workbookViewId="0">
      <pane ySplit="6" topLeftCell="A7" activePane="bottomLeft" state="frozen"/>
      <selection pane="bottomLeft" activeCell="A80" sqref="A80:XFD82"/>
    </sheetView>
  </sheetViews>
  <sheetFormatPr baseColWidth="10" defaultColWidth="10.83203125" defaultRowHeight="23" customHeight="1"/>
  <cols>
    <col min="1" max="1" width="10.83203125" style="134"/>
    <col min="2" max="2" width="28.83203125" style="134" customWidth="1"/>
    <col min="3" max="3" width="27.83203125" style="134" customWidth="1"/>
    <col min="4" max="4" width="16.6640625" style="134" customWidth="1"/>
    <col min="5" max="5" width="62.83203125" style="134" customWidth="1"/>
    <col min="6" max="6" width="19.83203125" style="134" customWidth="1"/>
    <col min="7" max="7" width="18.83203125" style="134" customWidth="1"/>
    <col min="8" max="8" width="17.6640625" style="134" customWidth="1"/>
    <col min="9" max="9" width="18.83203125" style="134" customWidth="1"/>
    <col min="10" max="10" width="16.33203125" style="134" customWidth="1"/>
    <col min="11" max="11" width="18.83203125" style="134" customWidth="1"/>
    <col min="12" max="15" width="10.83203125" style="134"/>
    <col min="16" max="16" width="24.83203125" style="134" customWidth="1"/>
    <col min="17" max="16384" width="10.83203125" style="134"/>
  </cols>
  <sheetData>
    <row r="2" spans="2:16" ht="23" customHeight="1">
      <c r="B2" s="735" t="s">
        <v>646</v>
      </c>
      <c r="C2" s="735"/>
      <c r="D2" s="735"/>
      <c r="E2" s="735"/>
      <c r="F2" s="735"/>
      <c r="G2" s="735"/>
      <c r="H2" s="735"/>
      <c r="I2" s="735"/>
      <c r="J2" s="735"/>
      <c r="K2" s="735"/>
      <c r="P2" s="135" t="s">
        <v>188</v>
      </c>
    </row>
    <row r="3" spans="2:16" ht="23" customHeight="1">
      <c r="B3" s="736" t="s">
        <v>647</v>
      </c>
      <c r="C3" s="736"/>
      <c r="D3" s="736"/>
      <c r="E3" s="736"/>
      <c r="F3" s="736"/>
      <c r="G3" s="736"/>
      <c r="H3" s="736"/>
      <c r="I3" s="736"/>
      <c r="J3" s="736"/>
      <c r="K3" s="736"/>
      <c r="P3" s="135" t="s">
        <v>639</v>
      </c>
    </row>
    <row r="4" spans="2:16" s="1" customFormat="1" ht="14" customHeight="1">
      <c r="B4" s="548" t="s">
        <v>446</v>
      </c>
      <c r="C4" s="24" t="s">
        <v>679</v>
      </c>
      <c r="D4" s="24"/>
      <c r="E4" s="123"/>
      <c r="F4" s="123"/>
      <c r="G4" s="123"/>
      <c r="H4" s="123"/>
      <c r="I4" s="123"/>
      <c r="J4" s="123"/>
      <c r="K4" s="123"/>
      <c r="P4" s="135" t="s">
        <v>640</v>
      </c>
    </row>
    <row r="5" spans="2:16" ht="23" customHeight="1">
      <c r="B5" s="156"/>
      <c r="C5" s="157"/>
      <c r="D5" s="156"/>
      <c r="E5" s="157"/>
      <c r="F5" s="157"/>
      <c r="G5" s="157"/>
      <c r="H5" s="157"/>
      <c r="I5" s="157"/>
      <c r="J5" s="157"/>
      <c r="K5" s="157"/>
      <c r="P5" s="135">
        <v>3</v>
      </c>
    </row>
    <row r="6" spans="2:16" s="154" customFormat="1" ht="30">
      <c r="B6" s="153" t="s">
        <v>178</v>
      </c>
      <c r="C6" s="153" t="s">
        <v>53</v>
      </c>
      <c r="D6" s="120" t="s">
        <v>54</v>
      </c>
      <c r="E6" s="120" t="s">
        <v>55</v>
      </c>
      <c r="F6" s="120" t="s">
        <v>208</v>
      </c>
      <c r="G6" s="120" t="s">
        <v>414</v>
      </c>
      <c r="H6" s="120" t="s">
        <v>56</v>
      </c>
      <c r="I6" s="120" t="s">
        <v>415</v>
      </c>
      <c r="J6" s="120" t="s">
        <v>364</v>
      </c>
      <c r="K6" s="120" t="s">
        <v>416</v>
      </c>
      <c r="P6" s="155">
        <v>4</v>
      </c>
    </row>
    <row r="7" spans="2:16" ht="23" customHeight="1">
      <c r="B7" s="76"/>
      <c r="C7" s="138"/>
      <c r="D7" s="76"/>
      <c r="E7" s="139"/>
      <c r="F7" s="140"/>
      <c r="G7" s="141"/>
      <c r="H7" s="142"/>
      <c r="I7" s="143"/>
      <c r="J7" s="144"/>
      <c r="K7" s="143"/>
      <c r="P7" s="135">
        <v>5</v>
      </c>
    </row>
    <row r="8" spans="2:16" ht="23" customHeight="1">
      <c r="B8" s="7" t="s">
        <v>1256</v>
      </c>
      <c r="C8" s="158" t="s">
        <v>640</v>
      </c>
      <c r="D8" s="159">
        <v>44564</v>
      </c>
      <c r="E8" s="160" t="s">
        <v>815</v>
      </c>
      <c r="F8" s="7" t="s">
        <v>59</v>
      </c>
      <c r="G8" s="161">
        <v>8.77</v>
      </c>
      <c r="H8" s="162">
        <f>IF(F8=0,0,IF(F8="MXN",1/HLOOKUP(YEAR(D8)+(MONTH(D8)/100),TC!$5:$37,DAY(D8)+2,FALSE),VLOOKUP(F8,Equivalencia!$1:$23,((MAX(Equivalencia!$3:$3)-YEAR(D8))*14)+MONTH(D8)+2,FALSE)))</f>
        <v>1</v>
      </c>
      <c r="I8" s="163">
        <f t="shared" ref="I8:I15" si="0">+H8*G8</f>
        <v>8.77</v>
      </c>
      <c r="J8" s="162">
        <f>IF(D8=0,0,HLOOKUP(YEAR(D8)+(MONTH(D8)/100),TC!$5:$37,DAY(D8)+2,FALSE))</f>
        <v>20.515699999999999</v>
      </c>
      <c r="K8" s="163">
        <f t="shared" ref="K8:K15" si="1">+I8*J8</f>
        <v>179.92268899999999</v>
      </c>
      <c r="P8" s="135">
        <v>6</v>
      </c>
    </row>
    <row r="9" spans="2:16" ht="23" customHeight="1">
      <c r="B9" s="7" t="s">
        <v>1256</v>
      </c>
      <c r="C9" s="158" t="s">
        <v>640</v>
      </c>
      <c r="D9" s="159">
        <v>44593</v>
      </c>
      <c r="E9" s="160" t="s">
        <v>815</v>
      </c>
      <c r="F9" s="7" t="s">
        <v>59</v>
      </c>
      <c r="G9" s="161">
        <v>8.99</v>
      </c>
      <c r="H9" s="162">
        <f>IF(F9=0,0,IF(F9="MXN",1/HLOOKUP(YEAR(D9)+(MONTH(D9)/100),TC!$5:$37,DAY(D9)+2,FALSE),VLOOKUP(F9,Equivalencia!$1:$23,((MAX(Equivalencia!$3:$3)-YEAR(D9))*14)+MONTH(D9)+2,FALSE)))</f>
        <v>1</v>
      </c>
      <c r="I9" s="163">
        <f t="shared" si="0"/>
        <v>8.99</v>
      </c>
      <c r="J9" s="162">
        <f>IF(D9=0,0,HLOOKUP(YEAR(D9)+(MONTH(D9)/100),TC!$5:$37,DAY(D9)+2,FALSE))</f>
        <v>20.8597</v>
      </c>
      <c r="K9" s="163">
        <f t="shared" si="1"/>
        <v>187.52870300000001</v>
      </c>
    </row>
    <row r="10" spans="2:16" ht="23" customHeight="1">
      <c r="B10" s="7" t="s">
        <v>1256</v>
      </c>
      <c r="C10" s="158" t="s">
        <v>640</v>
      </c>
      <c r="D10" s="159">
        <v>44621</v>
      </c>
      <c r="E10" s="160" t="s">
        <v>815</v>
      </c>
      <c r="F10" s="7" t="s">
        <v>59</v>
      </c>
      <c r="G10" s="161">
        <v>8.1199999999999992</v>
      </c>
      <c r="H10" s="162">
        <f>IF(F10=0,0,IF(F10="MXN",1/HLOOKUP(YEAR(D10)+(MONTH(D10)/100),TC!$5:$37,DAY(D10)+2,FALSE),VLOOKUP(F10,Equivalencia!$1:$23,((MAX(Equivalencia!$3:$3)-YEAR(D10))*14)+MONTH(D10)+2,FALSE)))</f>
        <v>1</v>
      </c>
      <c r="I10" s="163">
        <f t="shared" si="0"/>
        <v>8.1199999999999992</v>
      </c>
      <c r="J10" s="162">
        <f>IF(D10=0,0,HLOOKUP(YEAR(D10)+(MONTH(D10)/100),TC!$5:$37,DAY(D10)+2,FALSE))</f>
        <v>20.4465</v>
      </c>
      <c r="K10" s="163">
        <f t="shared" si="1"/>
        <v>166.02557999999999</v>
      </c>
    </row>
    <row r="11" spans="2:16" ht="23" customHeight="1">
      <c r="B11" s="7" t="s">
        <v>1256</v>
      </c>
      <c r="C11" s="158" t="s">
        <v>640</v>
      </c>
      <c r="D11" s="159">
        <v>44652</v>
      </c>
      <c r="E11" s="160" t="s">
        <v>815</v>
      </c>
      <c r="F11" s="7" t="s">
        <v>59</v>
      </c>
      <c r="G11" s="161">
        <v>11.1</v>
      </c>
      <c r="H11" s="162">
        <f>IF(F11=0,0,IF(F11="MXN",1/HLOOKUP(YEAR(D11)+(MONTH(D11)/100),TC!$5:$37,DAY(D11)+2,FALSE),VLOOKUP(F11,Equivalencia!$1:$23,((MAX(Equivalencia!$3:$3)-YEAR(D11))*14)+MONTH(D11)+2,FALSE)))</f>
        <v>1</v>
      </c>
      <c r="I11" s="163">
        <f t="shared" si="0"/>
        <v>11.1</v>
      </c>
      <c r="J11" s="162">
        <f>IF(D11=0,0,HLOOKUP(YEAR(D11)+(MONTH(D11)/100),TC!$5:$37,DAY(D11)+2,FALSE))</f>
        <v>19.863199999999999</v>
      </c>
      <c r="K11" s="163">
        <f t="shared" si="1"/>
        <v>220.48151999999999</v>
      </c>
    </row>
    <row r="12" spans="2:16" ht="23" customHeight="1">
      <c r="B12" s="7" t="s">
        <v>1256</v>
      </c>
      <c r="C12" s="158" t="s">
        <v>640</v>
      </c>
      <c r="D12" s="159">
        <v>44683</v>
      </c>
      <c r="E12" s="160" t="s">
        <v>815</v>
      </c>
      <c r="F12" s="7" t="s">
        <v>59</v>
      </c>
      <c r="G12" s="161">
        <v>2.85</v>
      </c>
      <c r="H12" s="162">
        <f>IF(F12=0,0,IF(F12="MXN",1/HLOOKUP(YEAR(D12)+(MONTH(D12)/100),TC!$5:$37,DAY(D12)+2,FALSE),VLOOKUP(F12,Equivalencia!$1:$23,((MAX(Equivalencia!$3:$3)-YEAR(D12))*14)+MONTH(D12)+2,FALSE)))</f>
        <v>1</v>
      </c>
      <c r="I12" s="163">
        <f t="shared" si="0"/>
        <v>2.85</v>
      </c>
      <c r="J12" s="162">
        <f>IF(D12=0,0,HLOOKUP(YEAR(D12)+(MONTH(D12)/100),TC!$5:$37,DAY(D12)+2,FALSE))</f>
        <v>20.567</v>
      </c>
      <c r="K12" s="163">
        <f t="shared" si="1"/>
        <v>58.615950000000005</v>
      </c>
    </row>
    <row r="13" spans="2:16" ht="23" customHeight="1">
      <c r="B13" s="7" t="s">
        <v>1256</v>
      </c>
      <c r="C13" s="158" t="s">
        <v>640</v>
      </c>
      <c r="D13" s="159">
        <v>44713</v>
      </c>
      <c r="E13" s="160" t="s">
        <v>815</v>
      </c>
      <c r="F13" s="7" t="s">
        <v>59</v>
      </c>
      <c r="G13" s="161">
        <v>5.4</v>
      </c>
      <c r="H13" s="162">
        <f>IF(F13=0,0,IF(F13="MXN",1/HLOOKUP(YEAR(D13)+(MONTH(D13)/100),TC!$5:$37,DAY(D13)+2,FALSE),VLOOKUP(F13,Equivalencia!$1:$23,((MAX(Equivalencia!$3:$3)-YEAR(D13))*14)+MONTH(D13)+2,FALSE)))</f>
        <v>1</v>
      </c>
      <c r="I13" s="163">
        <f t="shared" si="0"/>
        <v>5.4</v>
      </c>
      <c r="J13" s="162">
        <f>IF(D13=0,0,HLOOKUP(YEAR(D13)+(MONTH(D13)/100),TC!$5:$37,DAY(D13)+2,FALSE))</f>
        <v>19.4953</v>
      </c>
      <c r="K13" s="163">
        <f t="shared" si="1"/>
        <v>105.27462000000001</v>
      </c>
    </row>
    <row r="14" spans="2:16" ht="23" customHeight="1">
      <c r="B14" s="7" t="s">
        <v>1256</v>
      </c>
      <c r="C14" s="158" t="s">
        <v>640</v>
      </c>
      <c r="D14" s="159">
        <v>44743</v>
      </c>
      <c r="E14" s="160" t="s">
        <v>815</v>
      </c>
      <c r="F14" s="7" t="s">
        <v>59</v>
      </c>
      <c r="G14" s="161">
        <v>27.07</v>
      </c>
      <c r="H14" s="162">
        <f>IF(F14=0,0,IF(F14="MXN",1/HLOOKUP(YEAR(D14)+(MONTH(D14)/100),TC!$5:$37,DAY(D14)+2,FALSE),VLOOKUP(F14,Equivalencia!$1:$23,((MAX(Equivalencia!$3:$3)-YEAR(D14))*14)+MONTH(D14)+2,FALSE)))</f>
        <v>1</v>
      </c>
      <c r="I14" s="163">
        <f t="shared" si="0"/>
        <v>27.07</v>
      </c>
      <c r="J14" s="162">
        <f>IF(D14=0,0,HLOOKUP(YEAR(D14)+(MONTH(D14)/100),TC!$5:$37,DAY(D14)+2,FALSE))</f>
        <v>20.144300000000001</v>
      </c>
      <c r="K14" s="163">
        <f t="shared" si="1"/>
        <v>545.30620099999999</v>
      </c>
    </row>
    <row r="15" spans="2:16" ht="23" customHeight="1">
      <c r="B15" s="7" t="s">
        <v>1256</v>
      </c>
      <c r="C15" s="158" t="s">
        <v>640</v>
      </c>
      <c r="D15" s="159">
        <v>44774</v>
      </c>
      <c r="E15" s="160" t="s">
        <v>815</v>
      </c>
      <c r="F15" s="7" t="s">
        <v>59</v>
      </c>
      <c r="G15" s="161">
        <v>106.11</v>
      </c>
      <c r="H15" s="162">
        <f>IF(F15=0,0,IF(F15="MXN",1/HLOOKUP(YEAR(D15)+(MONTH(D15)/100),TC!$5:$37,DAY(D15)+2,FALSE),VLOOKUP(F15,Equivalencia!$1:$23,((MAX(Equivalencia!$3:$3)-YEAR(D15))*14)+MONTH(D15)+2,FALSE)))</f>
        <v>1</v>
      </c>
      <c r="I15" s="163">
        <f t="shared" si="0"/>
        <v>106.11</v>
      </c>
      <c r="J15" s="162">
        <f>IF(D15=0,0,HLOOKUP(YEAR(D15)+(MONTH(D15)/100),TC!$5:$37,DAY(D15)+2,FALSE))</f>
        <v>20.377800000000001</v>
      </c>
      <c r="K15" s="163">
        <f t="shared" si="1"/>
        <v>2162.2883580000002</v>
      </c>
    </row>
    <row r="16" spans="2:16" ht="23" customHeight="1">
      <c r="B16" s="7" t="s">
        <v>1256</v>
      </c>
      <c r="C16" s="158" t="s">
        <v>640</v>
      </c>
      <c r="D16" s="159">
        <v>44805</v>
      </c>
      <c r="E16" s="160" t="s">
        <v>815</v>
      </c>
      <c r="F16" s="7" t="s">
        <v>59</v>
      </c>
      <c r="G16" s="161">
        <v>143.5</v>
      </c>
      <c r="H16" s="162">
        <f>IF(F16=0,0,IF(F16="MXN",1/HLOOKUP(YEAR(D16)+(MONTH(D16)/100),TC!$5:$37,DAY(D16)+2,FALSE),VLOOKUP(F16,Equivalencia!$1:$23,((MAX(Equivalencia!$3:$3)-YEAR(D16))*14)+MONTH(D16)+2,FALSE)))</f>
        <v>1</v>
      </c>
      <c r="I16" s="163">
        <f t="shared" ref="I16" si="2">+H16*G16</f>
        <v>143.5</v>
      </c>
      <c r="J16" s="162">
        <f>IF(D16=0,0,HLOOKUP(YEAR(D16)+(MONTH(D16)/100),TC!$5:$37,DAY(D16)+2,FALSE))</f>
        <v>20.1465</v>
      </c>
      <c r="K16" s="163">
        <f t="shared" ref="K16" si="3">+I16*J16</f>
        <v>2891.0227500000001</v>
      </c>
    </row>
    <row r="17" spans="2:11" ht="23" customHeight="1">
      <c r="B17" s="7" t="s">
        <v>1256</v>
      </c>
      <c r="C17" s="158" t="s">
        <v>640</v>
      </c>
      <c r="D17" s="159">
        <v>44837</v>
      </c>
      <c r="E17" s="160" t="s">
        <v>815</v>
      </c>
      <c r="F17" s="7" t="s">
        <v>59</v>
      </c>
      <c r="G17" s="161">
        <v>73.319999999999993</v>
      </c>
      <c r="H17" s="162">
        <f>IF(F17=0,0,IF(F17="MXN",1/HLOOKUP(YEAR(D17)+(MONTH(D17)/100),TC!$5:$37,DAY(D17)+2,FALSE),VLOOKUP(F17,Equivalencia!$1:$23,((MAX(Equivalencia!$3:$3)-YEAR(D17))*14)+MONTH(D17)+2,FALSE)))</f>
        <v>1</v>
      </c>
      <c r="I17" s="163">
        <f t="shared" ref="I17" si="4">+H17*G17</f>
        <v>73.319999999999993</v>
      </c>
      <c r="J17" s="162">
        <f>IF(D17=0,0,HLOOKUP(YEAR(D17)+(MONTH(D17)/100),TC!$5:$37,DAY(D17)+2,FALSE))</f>
        <v>20.192699999999999</v>
      </c>
      <c r="K17" s="163">
        <f t="shared" ref="K17" si="5">+I17*J17</f>
        <v>1480.5287639999997</v>
      </c>
    </row>
    <row r="18" spans="2:11" ht="23" customHeight="1">
      <c r="B18" s="7" t="s">
        <v>1260</v>
      </c>
      <c r="C18" s="158" t="s">
        <v>640</v>
      </c>
      <c r="D18" s="159">
        <v>44712</v>
      </c>
      <c r="E18" s="160" t="s">
        <v>823</v>
      </c>
      <c r="F18" s="7" t="s">
        <v>59</v>
      </c>
      <c r="G18" s="161">
        <v>8.76</v>
      </c>
      <c r="H18" s="162">
        <f>IF(F18=0,0,IF(F18="MXN",1/HLOOKUP(YEAR(D18)+(MONTH(D18)/100),TC!$5:$37,DAY(D18)+2,FALSE),VLOOKUP(F18,Equivalencia!$1:$23,((MAX(Equivalencia!$3:$3)-YEAR(D18))*14)+MONTH(D18)+2,FALSE)))</f>
        <v>1</v>
      </c>
      <c r="I18" s="163">
        <f t="shared" ref="I18:I50" si="6">+H18*G18</f>
        <v>8.76</v>
      </c>
      <c r="J18" s="162">
        <f>IF(D18=0,0,HLOOKUP(YEAR(D18)+(MONTH(D18)/100),TC!$5:$37,DAY(D18)+2,FALSE))</f>
        <v>19.596499999999999</v>
      </c>
      <c r="K18" s="163">
        <f t="shared" ref="K18:K50" si="7">+I18*J18</f>
        <v>171.66533999999999</v>
      </c>
    </row>
    <row r="19" spans="2:11" ht="23" customHeight="1">
      <c r="B19" s="7" t="s">
        <v>1260</v>
      </c>
      <c r="C19" s="158" t="s">
        <v>640</v>
      </c>
      <c r="D19" s="159">
        <v>44712</v>
      </c>
      <c r="E19" s="160" t="s">
        <v>823</v>
      </c>
      <c r="F19" s="7" t="s">
        <v>59</v>
      </c>
      <c r="G19" s="161">
        <v>1.01</v>
      </c>
      <c r="H19" s="162">
        <f>IF(F19=0,0,IF(F19="MXN",1/HLOOKUP(YEAR(D19)+(MONTH(D19)/100),TC!$5:$37,DAY(D19)+2,FALSE),VLOOKUP(F19,Equivalencia!$1:$23,((MAX(Equivalencia!$3:$3)-YEAR(D19))*14)+MONTH(D19)+2,FALSE)))</f>
        <v>1</v>
      </c>
      <c r="I19" s="163">
        <f t="shared" si="6"/>
        <v>1.01</v>
      </c>
      <c r="J19" s="162">
        <f>IF(D19=0,0,HLOOKUP(YEAR(D19)+(MONTH(D19)/100),TC!$5:$37,DAY(D19)+2,FALSE))</f>
        <v>19.596499999999999</v>
      </c>
      <c r="K19" s="163">
        <f t="shared" si="7"/>
        <v>19.792465</v>
      </c>
    </row>
    <row r="20" spans="2:11" ht="23" customHeight="1">
      <c r="B20" s="7" t="s">
        <v>1260</v>
      </c>
      <c r="C20" s="158" t="s">
        <v>640</v>
      </c>
      <c r="D20" s="159">
        <v>44742</v>
      </c>
      <c r="E20" s="160" t="s">
        <v>823</v>
      </c>
      <c r="F20" s="7" t="s">
        <v>59</v>
      </c>
      <c r="G20" s="161">
        <v>17.489999999999998</v>
      </c>
      <c r="H20" s="162">
        <f>IF(F20=0,0,IF(F20="MXN",1/HLOOKUP(YEAR(D20)+(MONTH(D20)/100),TC!$5:$37,DAY(D20)+2,FALSE),VLOOKUP(F20,Equivalencia!$1:$23,((MAX(Equivalencia!$3:$3)-YEAR(D20))*14)+MONTH(D20)+2,FALSE)))</f>
        <v>1</v>
      </c>
      <c r="I20" s="163">
        <f t="shared" ref="I20:I25" si="8">+H20*G20</f>
        <v>17.489999999999998</v>
      </c>
      <c r="J20" s="162">
        <f>IF(D20=0,0,HLOOKUP(YEAR(D20)+(MONTH(D20)/100),TC!$5:$37,DAY(D20)+2,FALSE))</f>
        <v>19.9847</v>
      </c>
      <c r="K20" s="163">
        <f>+I20*J20</f>
        <v>349.53240299999999</v>
      </c>
    </row>
    <row r="21" spans="2:11" ht="23" customHeight="1">
      <c r="B21" s="7" t="s">
        <v>1260</v>
      </c>
      <c r="C21" s="158" t="s">
        <v>640</v>
      </c>
      <c r="D21" s="159">
        <v>44742</v>
      </c>
      <c r="E21" s="160" t="s">
        <v>823</v>
      </c>
      <c r="F21" s="7" t="s">
        <v>59</v>
      </c>
      <c r="G21" s="161">
        <v>2.0099999999999998</v>
      </c>
      <c r="H21" s="162">
        <f>IF(F21=0,0,IF(F21="MXN",1/HLOOKUP(YEAR(D21)+(MONTH(D21)/100),TC!$5:$37,DAY(D21)+2,FALSE),VLOOKUP(F21,Equivalencia!$1:$23,((MAX(Equivalencia!$3:$3)-YEAR(D21))*14)+MONTH(D21)+2,FALSE)))</f>
        <v>1</v>
      </c>
      <c r="I21" s="163">
        <f t="shared" si="8"/>
        <v>2.0099999999999998</v>
      </c>
      <c r="J21" s="162">
        <f>IF(D21=0,0,HLOOKUP(YEAR(D21)+(MONTH(D21)/100),TC!$5:$37,DAY(D21)+2,FALSE))</f>
        <v>19.9847</v>
      </c>
      <c r="K21" s="163">
        <f>+I21*J21</f>
        <v>40.169246999999999</v>
      </c>
    </row>
    <row r="22" spans="2:11" ht="23" customHeight="1">
      <c r="B22" s="7" t="s">
        <v>1260</v>
      </c>
      <c r="C22" s="158" t="s">
        <v>640</v>
      </c>
      <c r="D22" s="159">
        <v>44771</v>
      </c>
      <c r="E22" s="160" t="s">
        <v>823</v>
      </c>
      <c r="F22" s="7" t="s">
        <v>59</v>
      </c>
      <c r="G22" s="161">
        <v>14.59</v>
      </c>
      <c r="H22" s="162">
        <f>IF(F22=0,0,IF(F22="MXN",1/HLOOKUP(YEAR(D22)+(MONTH(D22)/100),TC!$5:$37,DAY(D22)+2,FALSE),VLOOKUP(F22,Equivalencia!$1:$23,((MAX(Equivalencia!$3:$3)-YEAR(D22))*14)+MONTH(D22)+2,FALSE)))</f>
        <v>1</v>
      </c>
      <c r="I22" s="163">
        <f t="shared" si="8"/>
        <v>14.59</v>
      </c>
      <c r="J22" s="162">
        <f>IF(D22=0,0,HLOOKUP(YEAR(D22)+(MONTH(D22)/100),TC!$5:$37,DAY(D22)+2,FALSE))</f>
        <v>20.512</v>
      </c>
      <c r="K22" s="163">
        <f>+I22*J22</f>
        <v>299.27008000000001</v>
      </c>
    </row>
    <row r="23" spans="2:11" ht="23" customHeight="1">
      <c r="B23" s="7" t="s">
        <v>1260</v>
      </c>
      <c r="C23" s="158" t="s">
        <v>640</v>
      </c>
      <c r="D23" s="159">
        <v>44771</v>
      </c>
      <c r="E23" s="160" t="s">
        <v>823</v>
      </c>
      <c r="F23" s="7" t="s">
        <v>59</v>
      </c>
      <c r="G23" s="161">
        <v>1.68</v>
      </c>
      <c r="H23" s="162">
        <f>IF(F23=0,0,IF(F23="MXN",1/HLOOKUP(YEAR(D23)+(MONTH(D23)/100),TC!$5:$37,DAY(D23)+2,FALSE),VLOOKUP(F23,Equivalencia!$1:$23,((MAX(Equivalencia!$3:$3)-YEAR(D23))*14)+MONTH(D23)+2,FALSE)))</f>
        <v>1</v>
      </c>
      <c r="I23" s="163">
        <f t="shared" si="8"/>
        <v>1.68</v>
      </c>
      <c r="J23" s="162">
        <f>IF(D23=0,0,HLOOKUP(YEAR(D23)+(MONTH(D23)/100),TC!$5:$37,DAY(D23)+2,FALSE))</f>
        <v>20.512</v>
      </c>
      <c r="K23" s="163">
        <f>+I23*J23</f>
        <v>34.460160000000002</v>
      </c>
    </row>
    <row r="24" spans="2:11" ht="23" customHeight="1">
      <c r="B24" s="7" t="s">
        <v>1260</v>
      </c>
      <c r="C24" s="158" t="s">
        <v>640</v>
      </c>
      <c r="D24" s="159">
        <v>44804</v>
      </c>
      <c r="E24" s="160" t="s">
        <v>823</v>
      </c>
      <c r="F24" s="7" t="s">
        <v>59</v>
      </c>
      <c r="G24" s="161">
        <v>0.01</v>
      </c>
      <c r="H24" s="162">
        <f>IF(F24=0,0,IF(F24="MXN",1/HLOOKUP(YEAR(D24)+(MONTH(D24)/100),TC!$5:$37,DAY(D24)+2,FALSE),VLOOKUP(F24,Equivalencia!$1:$23,((MAX(Equivalencia!$3:$3)-YEAR(D24))*14)+MONTH(D24)+2,FALSE)))</f>
        <v>1</v>
      </c>
      <c r="I24" s="163">
        <f t="shared" si="8"/>
        <v>0.01</v>
      </c>
      <c r="J24" s="162">
        <f>IF(D24=0,0,HLOOKUP(YEAR(D24)+(MONTH(D24)/100),TC!$5:$37,DAY(D24)+2,FALSE))</f>
        <v>19.994499999999999</v>
      </c>
      <c r="K24" s="163">
        <f t="shared" ref="K24:K25" si="9">+I24*J24</f>
        <v>0.19994499999999998</v>
      </c>
    </row>
    <row r="25" spans="2:11" ht="23" customHeight="1">
      <c r="B25" s="7" t="s">
        <v>1260</v>
      </c>
      <c r="C25" s="158" t="s">
        <v>640</v>
      </c>
      <c r="D25" s="159">
        <v>44865</v>
      </c>
      <c r="E25" s="160" t="s">
        <v>823</v>
      </c>
      <c r="F25" s="7" t="s">
        <v>59</v>
      </c>
      <c r="G25" s="161">
        <v>0.01</v>
      </c>
      <c r="H25" s="162">
        <f>IF(F25=0,0,IF(F25="MXN",1/HLOOKUP(YEAR(D25)+(MONTH(D25)/100),TC!$5:$37,DAY(D25)+2,FALSE),VLOOKUP(F25,Equivalencia!$1:$23,((MAX(Equivalencia!$3:$3)-YEAR(D25))*14)+MONTH(D25)+2,FALSE)))</f>
        <v>1</v>
      </c>
      <c r="I25" s="163">
        <f t="shared" si="8"/>
        <v>0.01</v>
      </c>
      <c r="J25" s="162">
        <f>IF(D25=0,0,HLOOKUP(YEAR(D25)+(MONTH(D25)/100),TC!$5:$37,DAY(D25)+2,FALSE))</f>
        <v>19.836500000000001</v>
      </c>
      <c r="K25" s="163">
        <f t="shared" si="9"/>
        <v>0.19836500000000001</v>
      </c>
    </row>
    <row r="26" spans="2:11" ht="23" customHeight="1">
      <c r="B26" s="7" t="s">
        <v>1263</v>
      </c>
      <c r="C26" s="158" t="s">
        <v>640</v>
      </c>
      <c r="D26" s="159">
        <v>44592</v>
      </c>
      <c r="E26" s="160" t="s">
        <v>823</v>
      </c>
      <c r="F26" s="7" t="s">
        <v>59</v>
      </c>
      <c r="G26" s="161">
        <v>3.05</v>
      </c>
      <c r="H26" s="162">
        <f>IF(F26=0,0,IF(F26="MXN",1/HLOOKUP(YEAR(D26)+(MONTH(D26)/100),TC!$5:$37,DAY(D26)+2,FALSE),VLOOKUP(F26,Equivalencia!$1:$23,((MAX(Equivalencia!$3:$3)-YEAR(D26))*14)+MONTH(D26)+2,FALSE)))</f>
        <v>1</v>
      </c>
      <c r="I26" s="163">
        <f t="shared" si="6"/>
        <v>3.05</v>
      </c>
      <c r="J26" s="162">
        <f>IF(D26=0,0,HLOOKUP(YEAR(D26)+(MONTH(D26)/100),TC!$5:$37,DAY(D26)+2,FALSE))</f>
        <v>20.738299999999999</v>
      </c>
      <c r="K26" s="163">
        <f t="shared" si="7"/>
        <v>63.251814999999993</v>
      </c>
    </row>
    <row r="27" spans="2:11" ht="23" customHeight="1">
      <c r="B27" s="7" t="s">
        <v>1263</v>
      </c>
      <c r="C27" s="158" t="s">
        <v>640</v>
      </c>
      <c r="D27" s="159">
        <v>44592</v>
      </c>
      <c r="E27" s="160" t="s">
        <v>823</v>
      </c>
      <c r="F27" s="7" t="s">
        <v>59</v>
      </c>
      <c r="G27" s="161">
        <v>0.88</v>
      </c>
      <c r="H27" s="162">
        <f>IF(F27=0,0,IF(F27="MXN",1/HLOOKUP(YEAR(D27)+(MONTH(D27)/100),TC!$5:$37,DAY(D27)+2,FALSE),VLOOKUP(F27,Equivalencia!$1:$23,((MAX(Equivalencia!$3:$3)-YEAR(D27))*14)+MONTH(D27)+2,FALSE)))</f>
        <v>1</v>
      </c>
      <c r="I27" s="163">
        <f t="shared" si="6"/>
        <v>0.88</v>
      </c>
      <c r="J27" s="162">
        <f>IF(D27=0,0,HLOOKUP(YEAR(D27)+(MONTH(D27)/100),TC!$5:$37,DAY(D27)+2,FALSE))</f>
        <v>20.738299999999999</v>
      </c>
      <c r="K27" s="163">
        <f t="shared" si="7"/>
        <v>18.249703999999998</v>
      </c>
    </row>
    <row r="28" spans="2:11" ht="23" customHeight="1">
      <c r="B28" s="7" t="s">
        <v>1263</v>
      </c>
      <c r="C28" s="158" t="s">
        <v>640</v>
      </c>
      <c r="D28" s="159">
        <v>44620</v>
      </c>
      <c r="E28" s="160" t="s">
        <v>823</v>
      </c>
      <c r="F28" s="7" t="s">
        <v>59</v>
      </c>
      <c r="G28" s="161">
        <v>1.87</v>
      </c>
      <c r="H28" s="162">
        <f>IF(F28=0,0,IF(F28="MXN",1/HLOOKUP(YEAR(D28)+(MONTH(D28)/100),TC!$5:$37,DAY(D28)+2,FALSE),VLOOKUP(F28,Equivalencia!$1:$23,((MAX(Equivalencia!$3:$3)-YEAR(D28))*14)+MONTH(D28)+2,FALSE)))</f>
        <v>1</v>
      </c>
      <c r="I28" s="163">
        <f t="shared" si="6"/>
        <v>1.87</v>
      </c>
      <c r="J28" s="162">
        <f>IF(D28=0,0,HLOOKUP(YEAR(D28)+(MONTH(D28)/100),TC!$5:$37,DAY(D28)+2,FALSE))</f>
        <v>20.6525</v>
      </c>
      <c r="K28" s="163">
        <f t="shared" si="7"/>
        <v>38.620175000000003</v>
      </c>
    </row>
    <row r="29" spans="2:11" ht="23" customHeight="1">
      <c r="B29" s="7" t="s">
        <v>1263</v>
      </c>
      <c r="C29" s="158" t="s">
        <v>640</v>
      </c>
      <c r="D29" s="159">
        <v>44620</v>
      </c>
      <c r="E29" s="160" t="s">
        <v>823</v>
      </c>
      <c r="F29" s="7" t="s">
        <v>59</v>
      </c>
      <c r="G29" s="161">
        <v>1.1200000000000001</v>
      </c>
      <c r="H29" s="162">
        <f>IF(F29=0,0,IF(F29="MXN",1/HLOOKUP(YEAR(D29)+(MONTH(D29)/100),TC!$5:$37,DAY(D29)+2,FALSE),VLOOKUP(F29,Equivalencia!$1:$23,((MAX(Equivalencia!$3:$3)-YEAR(D29))*14)+MONTH(D29)+2,FALSE)))</f>
        <v>1</v>
      </c>
      <c r="I29" s="163">
        <f t="shared" si="6"/>
        <v>1.1200000000000001</v>
      </c>
      <c r="J29" s="162">
        <f>IF(D29=0,0,HLOOKUP(YEAR(D29)+(MONTH(D29)/100),TC!$5:$37,DAY(D29)+2,FALSE))</f>
        <v>20.6525</v>
      </c>
      <c r="K29" s="163">
        <f t="shared" si="7"/>
        <v>23.130800000000001</v>
      </c>
    </row>
    <row r="30" spans="2:11" ht="23" customHeight="1">
      <c r="B30" s="7" t="s">
        <v>1263</v>
      </c>
      <c r="C30" s="158" t="s">
        <v>640</v>
      </c>
      <c r="D30" s="159">
        <v>44651</v>
      </c>
      <c r="E30" s="160" t="s">
        <v>823</v>
      </c>
      <c r="F30" s="7" t="s">
        <v>59</v>
      </c>
      <c r="G30" s="161">
        <v>2.08</v>
      </c>
      <c r="H30" s="162">
        <f>IF(F30=0,0,IF(F30="MXN",1/HLOOKUP(YEAR(D30)+(MONTH(D30)/100),TC!$5:$37,DAY(D30)+2,FALSE),VLOOKUP(F30,Equivalencia!$1:$23,((MAX(Equivalencia!$3:$3)-YEAR(D30))*14)+MONTH(D30)+2,FALSE)))</f>
        <v>1</v>
      </c>
      <c r="I30" s="163">
        <f t="shared" si="6"/>
        <v>2.08</v>
      </c>
      <c r="J30" s="162">
        <f>IF(D30=0,0,HLOOKUP(YEAR(D30)+(MONTH(D30)/100),TC!$5:$37,DAY(D30)+2,FALSE))</f>
        <v>19.994199999999999</v>
      </c>
      <c r="K30" s="163">
        <f t="shared" si="7"/>
        <v>41.587935999999999</v>
      </c>
    </row>
    <row r="31" spans="2:11" ht="23" customHeight="1">
      <c r="B31" s="7" t="s">
        <v>1263</v>
      </c>
      <c r="C31" s="158" t="s">
        <v>640</v>
      </c>
      <c r="D31" s="159">
        <v>44651</v>
      </c>
      <c r="E31" s="160" t="s">
        <v>823</v>
      </c>
      <c r="F31" s="7" t="s">
        <v>59</v>
      </c>
      <c r="G31" s="161">
        <v>1.34</v>
      </c>
      <c r="H31" s="162">
        <f>IF(F31=0,0,IF(F31="MXN",1/HLOOKUP(YEAR(D31)+(MONTH(D31)/100),TC!$5:$37,DAY(D31)+2,FALSE),VLOOKUP(F31,Equivalencia!$1:$23,((MAX(Equivalencia!$3:$3)-YEAR(D31))*14)+MONTH(D31)+2,FALSE)))</f>
        <v>1</v>
      </c>
      <c r="I31" s="163">
        <f t="shared" si="6"/>
        <v>1.34</v>
      </c>
      <c r="J31" s="162">
        <f>IF(D31=0,0,HLOOKUP(YEAR(D31)+(MONTH(D31)/100),TC!$5:$37,DAY(D31)+2,FALSE))</f>
        <v>19.994199999999999</v>
      </c>
      <c r="K31" s="163">
        <f t="shared" si="7"/>
        <v>26.792228000000001</v>
      </c>
    </row>
    <row r="32" spans="2:11" ht="23" customHeight="1">
      <c r="B32" s="7" t="s">
        <v>1263</v>
      </c>
      <c r="C32" s="158" t="s">
        <v>640</v>
      </c>
      <c r="D32" s="159">
        <v>44680</v>
      </c>
      <c r="E32" s="160" t="s">
        <v>823</v>
      </c>
      <c r="F32" s="7" t="s">
        <v>59</v>
      </c>
      <c r="G32" s="161">
        <v>3.51</v>
      </c>
      <c r="H32" s="162">
        <f>IF(F32=0,0,IF(F32="MXN",1/HLOOKUP(YEAR(D32)+(MONTH(D32)/100),TC!$5:$37,DAY(D32)+2,FALSE),VLOOKUP(F32,Equivalencia!$1:$23,((MAX(Equivalencia!$3:$3)-YEAR(D32))*14)+MONTH(D32)+2,FALSE)))</f>
        <v>1</v>
      </c>
      <c r="I32" s="163">
        <f t="shared" si="6"/>
        <v>3.51</v>
      </c>
      <c r="J32" s="162">
        <f>IF(D32=0,0,HLOOKUP(YEAR(D32)+(MONTH(D32)/100),TC!$5:$37,DAY(D32)+2,FALSE))</f>
        <v>20.470700000000001</v>
      </c>
      <c r="K32" s="163">
        <f t="shared" si="7"/>
        <v>71.852157000000005</v>
      </c>
    </row>
    <row r="33" spans="2:11" ht="23" customHeight="1">
      <c r="B33" s="7" t="s">
        <v>1263</v>
      </c>
      <c r="C33" s="158" t="s">
        <v>640</v>
      </c>
      <c r="D33" s="159">
        <v>44680</v>
      </c>
      <c r="E33" s="160" t="s">
        <v>823</v>
      </c>
      <c r="F33" s="7" t="s">
        <v>59</v>
      </c>
      <c r="G33" s="161">
        <v>1.77</v>
      </c>
      <c r="H33" s="162">
        <f>IF(F33=0,0,IF(F33="MXN",1/HLOOKUP(YEAR(D33)+(MONTH(D33)/100),TC!$5:$37,DAY(D33)+2,FALSE),VLOOKUP(F33,Equivalencia!$1:$23,((MAX(Equivalencia!$3:$3)-YEAR(D33))*14)+MONTH(D33)+2,FALSE)))</f>
        <v>1</v>
      </c>
      <c r="I33" s="163">
        <f t="shared" si="6"/>
        <v>1.77</v>
      </c>
      <c r="J33" s="162">
        <f>IF(D33=0,0,HLOOKUP(YEAR(D33)+(MONTH(D33)/100),TC!$5:$37,DAY(D33)+2,FALSE))</f>
        <v>20.470700000000001</v>
      </c>
      <c r="K33" s="163">
        <f t="shared" si="7"/>
        <v>36.233139000000001</v>
      </c>
    </row>
    <row r="34" spans="2:11" ht="23" customHeight="1">
      <c r="B34" s="7" t="s">
        <v>1263</v>
      </c>
      <c r="C34" s="158" t="s">
        <v>640</v>
      </c>
      <c r="D34" s="159">
        <v>44712</v>
      </c>
      <c r="E34" s="160" t="s">
        <v>823</v>
      </c>
      <c r="F34" s="7" t="s">
        <v>59</v>
      </c>
      <c r="G34" s="161">
        <v>3.63</v>
      </c>
      <c r="H34" s="162">
        <f>IF(F34=0,0,IF(F34="MXN",1/HLOOKUP(YEAR(D34)+(MONTH(D34)/100),TC!$5:$37,DAY(D34)+2,FALSE),VLOOKUP(F34,Equivalencia!$1:$23,((MAX(Equivalencia!$3:$3)-YEAR(D34))*14)+MONTH(D34)+2,FALSE)))</f>
        <v>1</v>
      </c>
      <c r="I34" s="163">
        <f t="shared" ref="I34:I35" si="10">+H34*G34</f>
        <v>3.63</v>
      </c>
      <c r="J34" s="162">
        <f>IF(D34=0,0,HLOOKUP(YEAR(D34)+(MONTH(D34)/100),TC!$5:$37,DAY(D34)+2,FALSE))</f>
        <v>19.596499999999999</v>
      </c>
      <c r="K34" s="163">
        <f t="shared" ref="K34:K35" si="11">+I34*J34</f>
        <v>71.135294999999999</v>
      </c>
    </row>
    <row r="35" spans="2:11" ht="23" customHeight="1">
      <c r="B35" s="7" t="s">
        <v>1263</v>
      </c>
      <c r="C35" s="158" t="s">
        <v>640</v>
      </c>
      <c r="D35" s="159">
        <v>44712</v>
      </c>
      <c r="E35" s="160" t="s">
        <v>823</v>
      </c>
      <c r="F35" s="7" t="s">
        <v>59</v>
      </c>
      <c r="G35" s="161">
        <v>1.35</v>
      </c>
      <c r="H35" s="162">
        <f>IF(F35=0,0,IF(F35="MXN",1/HLOOKUP(YEAR(D35)+(MONTH(D35)/100),TC!$5:$37,DAY(D35)+2,FALSE),VLOOKUP(F35,Equivalencia!$1:$23,((MAX(Equivalencia!$3:$3)-YEAR(D35))*14)+MONTH(D35)+2,FALSE)))</f>
        <v>1</v>
      </c>
      <c r="I35" s="163">
        <f t="shared" si="10"/>
        <v>1.35</v>
      </c>
      <c r="J35" s="162">
        <f>IF(D35=0,0,HLOOKUP(YEAR(D35)+(MONTH(D35)/100),TC!$5:$37,DAY(D35)+2,FALSE))</f>
        <v>19.596499999999999</v>
      </c>
      <c r="K35" s="163">
        <f t="shared" si="11"/>
        <v>26.455275</v>
      </c>
    </row>
    <row r="36" spans="2:11" ht="23" customHeight="1">
      <c r="B36" s="7" t="s">
        <v>1263</v>
      </c>
      <c r="C36" s="158" t="s">
        <v>640</v>
      </c>
      <c r="D36" s="159">
        <v>44742</v>
      </c>
      <c r="E36" s="160" t="s">
        <v>823</v>
      </c>
      <c r="F36" s="7" t="s">
        <v>59</v>
      </c>
      <c r="G36" s="161">
        <v>5.78</v>
      </c>
      <c r="H36" s="162">
        <f>IF(F36=0,0,IF(F36="MXN",1/HLOOKUP(YEAR(D36)+(MONTH(D36)/100),TC!$5:$37,DAY(D36)+2,FALSE),VLOOKUP(F36,Equivalencia!$1:$23,((MAX(Equivalencia!$3:$3)-YEAR(D36))*14)+MONTH(D36)+2,FALSE)))</f>
        <v>1</v>
      </c>
      <c r="I36" s="163">
        <f t="shared" ref="I36:I41" si="12">+H36*G36</f>
        <v>5.78</v>
      </c>
      <c r="J36" s="162">
        <f>IF(D36=0,0,HLOOKUP(YEAR(D36)+(MONTH(D36)/100),TC!$5:$37,DAY(D36)+2,FALSE))</f>
        <v>19.9847</v>
      </c>
      <c r="K36" s="163">
        <f t="shared" ref="K36:K41" si="13">+I36*J36</f>
        <v>115.511566</v>
      </c>
    </row>
    <row r="37" spans="2:11" ht="23" customHeight="1">
      <c r="B37" s="7" t="s">
        <v>1263</v>
      </c>
      <c r="C37" s="158" t="s">
        <v>640</v>
      </c>
      <c r="D37" s="159">
        <v>44742</v>
      </c>
      <c r="E37" s="160" t="s">
        <v>823</v>
      </c>
      <c r="F37" s="7" t="s">
        <v>59</v>
      </c>
      <c r="G37" s="161">
        <v>1.82</v>
      </c>
      <c r="H37" s="162">
        <f>IF(F37=0,0,IF(F37="MXN",1/HLOOKUP(YEAR(D37)+(MONTH(D37)/100),TC!$5:$37,DAY(D37)+2,FALSE),VLOOKUP(F37,Equivalencia!$1:$23,((MAX(Equivalencia!$3:$3)-YEAR(D37))*14)+MONTH(D37)+2,FALSE)))</f>
        <v>1</v>
      </c>
      <c r="I37" s="163">
        <f t="shared" si="12"/>
        <v>1.82</v>
      </c>
      <c r="J37" s="162">
        <f>IF(D37=0,0,HLOOKUP(YEAR(D37)+(MONTH(D37)/100),TC!$5:$37,DAY(D37)+2,FALSE))</f>
        <v>19.9847</v>
      </c>
      <c r="K37" s="163">
        <f t="shared" si="13"/>
        <v>36.372154000000002</v>
      </c>
    </row>
    <row r="38" spans="2:11" ht="23" customHeight="1">
      <c r="B38" s="7" t="s">
        <v>1263</v>
      </c>
      <c r="C38" s="158" t="s">
        <v>640</v>
      </c>
      <c r="D38" s="159">
        <v>44771</v>
      </c>
      <c r="E38" s="160" t="s">
        <v>823</v>
      </c>
      <c r="F38" s="7" t="s">
        <v>59</v>
      </c>
      <c r="G38" s="161">
        <v>59.95</v>
      </c>
      <c r="H38" s="162">
        <f>IF(F38=0,0,IF(F38="MXN",1/HLOOKUP(YEAR(D38)+(MONTH(D38)/100),TC!$5:$37,DAY(D38)+2,FALSE),VLOOKUP(F38,Equivalencia!$1:$23,((MAX(Equivalencia!$3:$3)-YEAR(D38))*14)+MONTH(D38)+2,FALSE)))</f>
        <v>1</v>
      </c>
      <c r="I38" s="163">
        <f t="shared" si="12"/>
        <v>59.95</v>
      </c>
      <c r="J38" s="162">
        <f>IF(D38=0,0,HLOOKUP(YEAR(D38)+(MONTH(D38)/100),TC!$5:$37,DAY(D38)+2,FALSE))</f>
        <v>20.512</v>
      </c>
      <c r="K38" s="163">
        <f t="shared" si="13"/>
        <v>1229.6944000000001</v>
      </c>
    </row>
    <row r="39" spans="2:11" ht="23" customHeight="1">
      <c r="B39" s="7" t="s">
        <v>1263</v>
      </c>
      <c r="C39" s="158" t="s">
        <v>640</v>
      </c>
      <c r="D39" s="159">
        <v>44771</v>
      </c>
      <c r="E39" s="160" t="s">
        <v>823</v>
      </c>
      <c r="F39" s="7" t="s">
        <v>59</v>
      </c>
      <c r="G39" s="161">
        <v>7.72</v>
      </c>
      <c r="H39" s="162">
        <f>IF(F39=0,0,IF(F39="MXN",1/HLOOKUP(YEAR(D39)+(MONTH(D39)/100),TC!$5:$37,DAY(D39)+2,FALSE),VLOOKUP(F39,Equivalencia!$1:$23,((MAX(Equivalencia!$3:$3)-YEAR(D39))*14)+MONTH(D39)+2,FALSE)))</f>
        <v>1</v>
      </c>
      <c r="I39" s="163">
        <f t="shared" si="12"/>
        <v>7.72</v>
      </c>
      <c r="J39" s="162">
        <f>IF(D39=0,0,HLOOKUP(YEAR(D39)+(MONTH(D39)/100),TC!$5:$37,DAY(D39)+2,FALSE))</f>
        <v>20.512</v>
      </c>
      <c r="K39" s="163">
        <f t="shared" si="13"/>
        <v>158.35264000000001</v>
      </c>
    </row>
    <row r="40" spans="2:11" ht="23" customHeight="1">
      <c r="B40" s="7" t="s">
        <v>1263</v>
      </c>
      <c r="C40" s="158" t="s">
        <v>640</v>
      </c>
      <c r="D40" s="159">
        <v>44804</v>
      </c>
      <c r="E40" s="160" t="s">
        <v>823</v>
      </c>
      <c r="F40" s="7" t="s">
        <v>59</v>
      </c>
      <c r="G40" s="161">
        <v>523.65</v>
      </c>
      <c r="H40" s="162">
        <f>IF(F40=0,0,IF(F40="MXN",1/HLOOKUP(YEAR(D40)+(MONTH(D40)/100),TC!$5:$37,DAY(D40)+2,FALSE),VLOOKUP(F40,Equivalencia!$1:$23,((MAX(Equivalencia!$3:$3)-YEAR(D40))*14)+MONTH(D40)+2,FALSE)))</f>
        <v>1</v>
      </c>
      <c r="I40" s="163">
        <f t="shared" si="12"/>
        <v>523.65</v>
      </c>
      <c r="J40" s="162">
        <f>IF(D40=0,0,HLOOKUP(YEAR(D40)+(MONTH(D40)/100),TC!$5:$37,DAY(D40)+2,FALSE))</f>
        <v>19.994499999999999</v>
      </c>
      <c r="K40" s="163">
        <f t="shared" si="13"/>
        <v>10470.119924999999</v>
      </c>
    </row>
    <row r="41" spans="2:11" ht="23" customHeight="1">
      <c r="B41" s="7" t="s">
        <v>1263</v>
      </c>
      <c r="C41" s="158" t="s">
        <v>640</v>
      </c>
      <c r="D41" s="159">
        <v>44804</v>
      </c>
      <c r="E41" s="160" t="s">
        <v>823</v>
      </c>
      <c r="F41" s="7" t="s">
        <v>59</v>
      </c>
      <c r="G41" s="161">
        <v>40.24</v>
      </c>
      <c r="H41" s="162">
        <f>IF(F41=0,0,IF(F41="MXN",1/HLOOKUP(YEAR(D41)+(MONTH(D41)/100),TC!$5:$37,DAY(D41)+2,FALSE),VLOOKUP(F41,Equivalencia!$1:$23,((MAX(Equivalencia!$3:$3)-YEAR(D41))*14)+MONTH(D41)+2,FALSE)))</f>
        <v>1</v>
      </c>
      <c r="I41" s="163">
        <f t="shared" si="12"/>
        <v>40.24</v>
      </c>
      <c r="J41" s="162">
        <f>IF(D41=0,0,HLOOKUP(YEAR(D41)+(MONTH(D41)/100),TC!$5:$37,DAY(D41)+2,FALSE))</f>
        <v>19.994499999999999</v>
      </c>
      <c r="K41" s="163">
        <f t="shared" si="13"/>
        <v>804.57867999999996</v>
      </c>
    </row>
    <row r="42" spans="2:11" ht="23" customHeight="1">
      <c r="B42" s="7" t="s">
        <v>1263</v>
      </c>
      <c r="C42" s="158" t="s">
        <v>640</v>
      </c>
      <c r="D42" s="159">
        <v>44834</v>
      </c>
      <c r="E42" s="160" t="s">
        <v>823</v>
      </c>
      <c r="F42" s="7" t="s">
        <v>59</v>
      </c>
      <c r="G42" s="161">
        <v>1328.77</v>
      </c>
      <c r="H42" s="162">
        <f>IF(F42=0,0,IF(F42="MXN",1/HLOOKUP(YEAR(D42)+(MONTH(D42)/100),TC!$5:$37,DAY(D42)+2,FALSE),VLOOKUP(F42,Equivalencia!$1:$23,((MAX(Equivalencia!$3:$3)-YEAR(D42))*14)+MONTH(D42)+2,FALSE)))</f>
        <v>1</v>
      </c>
      <c r="I42" s="163">
        <f t="shared" ref="I42:I43" si="14">+H42*G42</f>
        <v>1328.77</v>
      </c>
      <c r="J42" s="162">
        <f>IF(D42=0,0,HLOOKUP(YEAR(D42)+(MONTH(D42)/100),TC!$5:$37,DAY(D42)+2,FALSE))</f>
        <v>20.305800000000001</v>
      </c>
      <c r="K42" s="163">
        <f t="shared" ref="K42:K43" si="15">+I42*J42</f>
        <v>26981.737866000003</v>
      </c>
    </row>
    <row r="43" spans="2:11" ht="23" customHeight="1">
      <c r="B43" s="7" t="s">
        <v>1263</v>
      </c>
      <c r="C43" s="158" t="s">
        <v>640</v>
      </c>
      <c r="D43" s="159">
        <v>44834</v>
      </c>
      <c r="E43" s="160" t="s">
        <v>823</v>
      </c>
      <c r="F43" s="7" t="s">
        <v>59</v>
      </c>
      <c r="G43" s="161">
        <v>60.33</v>
      </c>
      <c r="H43" s="162">
        <f>IF(F43=0,0,IF(F43="MXN",1/HLOOKUP(YEAR(D43)+(MONTH(D43)/100),TC!$5:$37,DAY(D43)+2,FALSE),VLOOKUP(F43,Equivalencia!$1:$23,((MAX(Equivalencia!$3:$3)-YEAR(D43))*14)+MONTH(D43)+2,FALSE)))</f>
        <v>1</v>
      </c>
      <c r="I43" s="163">
        <f t="shared" si="14"/>
        <v>60.33</v>
      </c>
      <c r="J43" s="162">
        <f>IF(D43=0,0,HLOOKUP(YEAR(D43)+(MONTH(D43)/100),TC!$5:$37,DAY(D43)+2,FALSE))</f>
        <v>20.305800000000001</v>
      </c>
      <c r="K43" s="163">
        <f t="shared" si="15"/>
        <v>1225.048914</v>
      </c>
    </row>
    <row r="44" spans="2:11" ht="23" customHeight="1">
      <c r="B44" s="7" t="s">
        <v>1263</v>
      </c>
      <c r="C44" s="158" t="s">
        <v>640</v>
      </c>
      <c r="D44" s="159">
        <v>44865</v>
      </c>
      <c r="E44" s="160" t="s">
        <v>823</v>
      </c>
      <c r="F44" s="7" t="s">
        <v>59</v>
      </c>
      <c r="G44" s="161">
        <v>638.74</v>
      </c>
      <c r="H44" s="162">
        <f>IF(F44=0,0,IF(F44="MXN",1/HLOOKUP(YEAR(D44)+(MONTH(D44)/100),TC!$5:$37,DAY(D44)+2,FALSE),VLOOKUP(F44,Equivalencia!$1:$23,((MAX(Equivalencia!$3:$3)-YEAR(D44))*14)+MONTH(D44)+2,FALSE)))</f>
        <v>1</v>
      </c>
      <c r="I44" s="163">
        <f t="shared" ref="I44:I45" si="16">+H44*G44</f>
        <v>638.74</v>
      </c>
      <c r="J44" s="162">
        <f>IF(D44=0,0,HLOOKUP(YEAR(D44)+(MONTH(D44)/100),TC!$5:$37,DAY(D44)+2,FALSE))</f>
        <v>19.836500000000001</v>
      </c>
      <c r="K44" s="163">
        <f t="shared" ref="K44:K45" si="17">+I44*J44</f>
        <v>12670.366010000002</v>
      </c>
    </row>
    <row r="45" spans="2:11" ht="23" customHeight="1">
      <c r="B45" s="7" t="s">
        <v>1263</v>
      </c>
      <c r="C45" s="158" t="s">
        <v>640</v>
      </c>
      <c r="D45" s="159">
        <v>44865</v>
      </c>
      <c r="E45" s="160" t="s">
        <v>823</v>
      </c>
      <c r="F45" s="7" t="s">
        <v>59</v>
      </c>
      <c r="G45" s="161">
        <v>45.56</v>
      </c>
      <c r="H45" s="162">
        <f>IF(F45=0,0,IF(F45="MXN",1/HLOOKUP(YEAR(D45)+(MONTH(D45)/100),TC!$5:$37,DAY(D45)+2,FALSE),VLOOKUP(F45,Equivalencia!$1:$23,((MAX(Equivalencia!$3:$3)-YEAR(D45))*14)+MONTH(D45)+2,FALSE)))</f>
        <v>1</v>
      </c>
      <c r="I45" s="163">
        <f t="shared" si="16"/>
        <v>45.56</v>
      </c>
      <c r="J45" s="162">
        <f>IF(D45=0,0,HLOOKUP(YEAR(D45)+(MONTH(D45)/100),TC!$5:$37,DAY(D45)+2,FALSE))</f>
        <v>19.836500000000001</v>
      </c>
      <c r="K45" s="163">
        <f t="shared" si="17"/>
        <v>903.75094000000013</v>
      </c>
    </row>
    <row r="46" spans="2:11" ht="23" customHeight="1">
      <c r="B46" s="7" t="s">
        <v>1266</v>
      </c>
      <c r="C46" s="158" t="s">
        <v>640</v>
      </c>
      <c r="D46" s="159">
        <v>44568</v>
      </c>
      <c r="E46" s="160" t="s">
        <v>829</v>
      </c>
      <c r="F46" s="7" t="s">
        <v>59</v>
      </c>
      <c r="G46" s="161">
        <v>1.77</v>
      </c>
      <c r="H46" s="162">
        <f>IF(F46=0,0,IF(F46="MXN",1/HLOOKUP(YEAR(D46)+(MONTH(D46)/100),TC!$5:$37,DAY(D46)+2,FALSE),VLOOKUP(F46,Equivalencia!$1:$23,((MAX(Equivalencia!$3:$3)-YEAR(D46))*14)+MONTH(D46)+2,FALSE)))</f>
        <v>1</v>
      </c>
      <c r="I46" s="163">
        <f t="shared" si="6"/>
        <v>1.77</v>
      </c>
      <c r="J46" s="162">
        <f>IF(D46=0,0,HLOOKUP(YEAR(D46)+(MONTH(D46)/100),TC!$5:$37,DAY(D46)+2,FALSE))</f>
        <v>20.3977</v>
      </c>
      <c r="K46" s="163">
        <f t="shared" si="7"/>
        <v>36.103929000000001</v>
      </c>
    </row>
    <row r="47" spans="2:11" ht="23" customHeight="1">
      <c r="B47" s="7" t="s">
        <v>1266</v>
      </c>
      <c r="C47" s="158" t="s">
        <v>640</v>
      </c>
      <c r="D47" s="159">
        <v>44599</v>
      </c>
      <c r="E47" s="160" t="s">
        <v>829</v>
      </c>
      <c r="F47" s="7" t="s">
        <v>59</v>
      </c>
      <c r="G47" s="161">
        <v>1.72</v>
      </c>
      <c r="H47" s="162">
        <f>IF(F47=0,0,IF(F47="MXN",1/HLOOKUP(YEAR(D47)+(MONTH(D47)/100),TC!$5:$37,DAY(D47)+2,FALSE),VLOOKUP(F47,Equivalencia!$1:$23,((MAX(Equivalencia!$3:$3)-YEAR(D47))*14)+MONTH(D47)+2,FALSE)))</f>
        <v>1</v>
      </c>
      <c r="I47" s="163">
        <f t="shared" si="6"/>
        <v>1.72</v>
      </c>
      <c r="J47" s="162">
        <f>IF(D47=0,0,HLOOKUP(YEAR(D47)+(MONTH(D47)/100),TC!$5:$37,DAY(D47)+2,FALSE))</f>
        <v>20.5562</v>
      </c>
      <c r="K47" s="163">
        <f t="shared" si="7"/>
        <v>35.356664000000002</v>
      </c>
    </row>
    <row r="48" spans="2:11" ht="23" customHeight="1">
      <c r="B48" s="7" t="s">
        <v>1266</v>
      </c>
      <c r="C48" s="158" t="s">
        <v>640</v>
      </c>
      <c r="D48" s="159">
        <v>44627</v>
      </c>
      <c r="E48" s="160" t="s">
        <v>829</v>
      </c>
      <c r="F48" s="7" t="s">
        <v>59</v>
      </c>
      <c r="G48" s="161">
        <v>1.49</v>
      </c>
      <c r="H48" s="162">
        <f>IF(F48=0,0,IF(F48="MXN",1/HLOOKUP(YEAR(D48)+(MONTH(D48)/100),TC!$5:$37,DAY(D48)+2,FALSE),VLOOKUP(F48,Equivalencia!$1:$23,((MAX(Equivalencia!$3:$3)-YEAR(D48))*14)+MONTH(D48)+2,FALSE)))</f>
        <v>1</v>
      </c>
      <c r="I48" s="163">
        <f t="shared" si="6"/>
        <v>1.49</v>
      </c>
      <c r="J48" s="162">
        <f>IF(D48=0,0,HLOOKUP(YEAR(D48)+(MONTH(D48)/100),TC!$5:$37,DAY(D48)+2,FALSE))</f>
        <v>20.703299999999999</v>
      </c>
      <c r="K48" s="163">
        <f t="shared" si="7"/>
        <v>30.847916999999999</v>
      </c>
    </row>
    <row r="49" spans="2:11" ht="23" customHeight="1">
      <c r="B49" s="7" t="s">
        <v>1266</v>
      </c>
      <c r="C49" s="158" t="s">
        <v>640</v>
      </c>
      <c r="D49" s="159">
        <v>44658</v>
      </c>
      <c r="E49" s="160" t="s">
        <v>829</v>
      </c>
      <c r="F49" s="7" t="s">
        <v>59</v>
      </c>
      <c r="G49" s="161">
        <v>1.57</v>
      </c>
      <c r="H49" s="162">
        <f>IF(F49=0,0,IF(F49="MXN",1/HLOOKUP(YEAR(D49)+(MONTH(D49)/100),TC!$5:$37,DAY(D49)+2,FALSE),VLOOKUP(F49,Equivalencia!$1:$23,((MAX(Equivalencia!$3:$3)-YEAR(D49))*14)+MONTH(D49)+2,FALSE)))</f>
        <v>1</v>
      </c>
      <c r="I49" s="163">
        <f t="shared" si="6"/>
        <v>1.57</v>
      </c>
      <c r="J49" s="162">
        <f>IF(D49=0,0,HLOOKUP(YEAR(D49)+(MONTH(D49)/100),TC!$5:$37,DAY(D49)+2,FALSE))</f>
        <v>19.901199999999999</v>
      </c>
      <c r="K49" s="163">
        <f t="shared" si="7"/>
        <v>31.244883999999999</v>
      </c>
    </row>
    <row r="50" spans="2:11" ht="23" customHeight="1">
      <c r="B50" s="7" t="s">
        <v>1266</v>
      </c>
      <c r="C50" s="158" t="s">
        <v>640</v>
      </c>
      <c r="D50" s="159">
        <v>44687</v>
      </c>
      <c r="E50" s="160" t="s">
        <v>829</v>
      </c>
      <c r="F50" s="7" t="s">
        <v>59</v>
      </c>
      <c r="G50" s="161">
        <v>1.38</v>
      </c>
      <c r="H50" s="162">
        <f>IF(F50=0,0,IF(F50="MXN",1/HLOOKUP(YEAR(D50)+(MONTH(D50)/100),TC!$5:$37,DAY(D50)+2,FALSE),VLOOKUP(F50,Equivalencia!$1:$23,((MAX(Equivalencia!$3:$3)-YEAR(D50))*14)+MONTH(D50)+2,FALSE)))</f>
        <v>1</v>
      </c>
      <c r="I50" s="163">
        <f t="shared" si="6"/>
        <v>1.38</v>
      </c>
      <c r="J50" s="162">
        <f>IF(D50=0,0,HLOOKUP(YEAR(D50)+(MONTH(D50)/100),TC!$5:$37,DAY(D50)+2,FALSE))</f>
        <v>20.335000000000001</v>
      </c>
      <c r="K50" s="163">
        <f t="shared" si="7"/>
        <v>28.0623</v>
      </c>
    </row>
    <row r="51" spans="2:11" ht="23" customHeight="1">
      <c r="B51" s="7" t="s">
        <v>1266</v>
      </c>
      <c r="C51" s="158" t="s">
        <v>640</v>
      </c>
      <c r="D51" s="159">
        <v>44719</v>
      </c>
      <c r="E51" s="160" t="s">
        <v>829</v>
      </c>
      <c r="F51" s="7" t="s">
        <v>59</v>
      </c>
      <c r="G51" s="161">
        <v>1.31</v>
      </c>
      <c r="H51" s="162">
        <f>IF(F51=0,0,IF(F51="MXN",1/HLOOKUP(YEAR(D51)+(MONTH(D51)/100),TC!$5:$37,DAY(D51)+2,FALSE),VLOOKUP(F51,Equivalencia!$1:$23,((MAX(Equivalencia!$3:$3)-YEAR(D51))*14)+MONTH(D51)+2,FALSE)))</f>
        <v>1</v>
      </c>
      <c r="I51" s="163">
        <f t="shared" ref="I51:I63" si="18">+H51*G51</f>
        <v>1.31</v>
      </c>
      <c r="J51" s="162">
        <f>IF(D51=0,0,HLOOKUP(YEAR(D51)+(MONTH(D51)/100),TC!$5:$37,DAY(D51)+2,FALSE))</f>
        <v>19.574200000000001</v>
      </c>
      <c r="K51" s="163">
        <f t="shared" ref="K51:K63" si="19">+I51*J51</f>
        <v>25.642202000000001</v>
      </c>
    </row>
    <row r="52" spans="2:11" ht="23" customHeight="1">
      <c r="B52" s="7" t="s">
        <v>1266</v>
      </c>
      <c r="C52" s="158" t="s">
        <v>640</v>
      </c>
      <c r="D52" s="159">
        <v>44750</v>
      </c>
      <c r="E52" s="160" t="s">
        <v>829</v>
      </c>
      <c r="F52" s="7" t="s">
        <v>59</v>
      </c>
      <c r="G52" s="161">
        <v>4.2300000000000004</v>
      </c>
      <c r="H52" s="162">
        <f>IF(F52=0,0,IF(F52="MXN",1/HLOOKUP(YEAR(D52)+(MONTH(D52)/100),TC!$5:$37,DAY(D52)+2,FALSE),VLOOKUP(F52,Equivalencia!$1:$23,((MAX(Equivalencia!$3:$3)-YEAR(D52))*14)+MONTH(D52)+2,FALSE)))</f>
        <v>1</v>
      </c>
      <c r="I52" s="163">
        <f>+H52*G52</f>
        <v>4.2300000000000004</v>
      </c>
      <c r="J52" s="162">
        <f>IF(D52=0,0,HLOOKUP(YEAR(D52)+(MONTH(D52)/100),TC!$5:$37,DAY(D52)+2,FALSE))</f>
        <v>20.722799999999999</v>
      </c>
      <c r="K52" s="163">
        <f>+I52*J52</f>
        <v>87.657444000000012</v>
      </c>
    </row>
    <row r="53" spans="2:11" ht="23" customHeight="1">
      <c r="B53" s="7" t="s">
        <v>1266</v>
      </c>
      <c r="C53" s="158" t="s">
        <v>640</v>
      </c>
      <c r="D53" s="159">
        <v>44778</v>
      </c>
      <c r="E53" s="160" t="s">
        <v>829</v>
      </c>
      <c r="F53" s="7" t="s">
        <v>59</v>
      </c>
      <c r="G53" s="161">
        <v>2.95</v>
      </c>
      <c r="H53" s="162">
        <f>IF(F53=0,0,IF(F53="MXN",1/HLOOKUP(YEAR(D53)+(MONTH(D53)/100),TC!$5:$37,DAY(D53)+2,FALSE),VLOOKUP(F53,Equivalencia!$1:$23,((MAX(Equivalencia!$3:$3)-YEAR(D53))*14)+MONTH(D53)+2,FALSE)))</f>
        <v>1</v>
      </c>
      <c r="I53" s="163">
        <f>+H53*G53</f>
        <v>2.95</v>
      </c>
      <c r="J53" s="162">
        <f>IF(D53=0,0,HLOOKUP(YEAR(D53)+(MONTH(D53)/100),TC!$5:$37,DAY(D53)+2,FALSE))</f>
        <v>20.630500000000001</v>
      </c>
      <c r="K53" s="163">
        <f>+I53*J53</f>
        <v>60.859975000000006</v>
      </c>
    </row>
    <row r="54" spans="2:11" ht="23" customHeight="1">
      <c r="B54" s="7" t="s">
        <v>1266</v>
      </c>
      <c r="C54" s="158" t="s">
        <v>640</v>
      </c>
      <c r="D54" s="159">
        <v>44812</v>
      </c>
      <c r="E54" s="160" t="s">
        <v>829</v>
      </c>
      <c r="F54" s="7" t="s">
        <v>59</v>
      </c>
      <c r="G54" s="161">
        <v>7.95</v>
      </c>
      <c r="H54" s="162">
        <f>IF(F54=0,0,IF(F54="MXN",1/HLOOKUP(YEAR(D54)+(MONTH(D54)/100),TC!$5:$37,DAY(D54)+2,FALSE),VLOOKUP(F54,Equivalencia!$1:$23,((MAX(Equivalencia!$3:$3)-YEAR(D54))*14)+MONTH(D54)+2,FALSE)))</f>
        <v>1</v>
      </c>
      <c r="I54" s="163">
        <f>+H54*G54</f>
        <v>7.95</v>
      </c>
      <c r="J54" s="162">
        <f>IF(D54=0,0,HLOOKUP(YEAR(D54)+(MONTH(D54)/100),TC!$5:$37,DAY(D54)+2,FALSE))</f>
        <v>20.138000000000002</v>
      </c>
      <c r="K54" s="163">
        <f>+I54*J54</f>
        <v>160.09710000000001</v>
      </c>
    </row>
    <row r="55" spans="2:11" ht="23" customHeight="1">
      <c r="B55" s="7" t="s">
        <v>1266</v>
      </c>
      <c r="C55" s="158" t="s">
        <v>640</v>
      </c>
      <c r="D55" s="159">
        <v>44841</v>
      </c>
      <c r="E55" s="160" t="s">
        <v>829</v>
      </c>
      <c r="F55" s="7" t="s">
        <v>59</v>
      </c>
      <c r="G55" s="161">
        <v>8.39</v>
      </c>
      <c r="H55" s="162">
        <f>IF(F55=0,0,IF(F55="MXN",1/HLOOKUP(YEAR(D55)+(MONTH(D55)/100),TC!$5:$37,DAY(D55)+2,FALSE),VLOOKUP(F55,Equivalencia!$1:$23,((MAX(Equivalencia!$3:$3)-YEAR(D55))*14)+MONTH(D55)+2,FALSE)))</f>
        <v>1</v>
      </c>
      <c r="I55" s="163">
        <f>+H55*G55</f>
        <v>8.39</v>
      </c>
      <c r="J55" s="162">
        <f>IF(D55=0,0,HLOOKUP(YEAR(D55)+(MONTH(D55)/100),TC!$5:$37,DAY(D55)+2,FALSE))</f>
        <v>20.1267</v>
      </c>
      <c r="K55" s="163">
        <f>+I55*J55</f>
        <v>168.863013</v>
      </c>
    </row>
    <row r="56" spans="2:11" ht="23" customHeight="1">
      <c r="B56" s="7" t="s">
        <v>1246</v>
      </c>
      <c r="C56" s="158" t="s">
        <v>640</v>
      </c>
      <c r="D56" s="159">
        <v>44651</v>
      </c>
      <c r="E56" s="160" t="s">
        <v>861</v>
      </c>
      <c r="F56" s="7" t="s">
        <v>59</v>
      </c>
      <c r="G56" s="161">
        <v>1.81</v>
      </c>
      <c r="H56" s="162">
        <f>IF(F56=0,0,IF(F56="MXN",1/HLOOKUP(YEAR(D56)+(MONTH(D56)/100),TC!$5:$37,DAY(D56)+2,FALSE),VLOOKUP(F56,Equivalencia!$1:$23,((MAX(Equivalencia!$3:$3)-YEAR(D56))*14)+MONTH(D56)+2,FALSE)))</f>
        <v>1</v>
      </c>
      <c r="I56" s="163">
        <f t="shared" si="18"/>
        <v>1.81</v>
      </c>
      <c r="J56" s="162">
        <f>IF(D56=0,0,HLOOKUP(YEAR(D56)+(MONTH(D56)/100),TC!$5:$37,DAY(D56)+2,FALSE))</f>
        <v>19.994199999999999</v>
      </c>
      <c r="K56" s="163">
        <f t="shared" si="19"/>
        <v>36.189501999999997</v>
      </c>
    </row>
    <row r="57" spans="2:11" ht="23" customHeight="1">
      <c r="B57" s="7" t="s">
        <v>1246</v>
      </c>
      <c r="C57" s="158" t="s">
        <v>640</v>
      </c>
      <c r="D57" s="159">
        <v>44742</v>
      </c>
      <c r="E57" s="160" t="s">
        <v>861</v>
      </c>
      <c r="F57" s="7" t="s">
        <v>59</v>
      </c>
      <c r="G57" s="161">
        <v>57.56</v>
      </c>
      <c r="H57" s="162">
        <f>IF(F57=0,0,IF(F57="MXN",1/HLOOKUP(YEAR(D57)+(MONTH(D57)/100),TC!$5:$37,DAY(D57)+2,FALSE),VLOOKUP(F57,Equivalencia!$1:$23,((MAX(Equivalencia!$3:$3)-YEAR(D57))*14)+MONTH(D57)+2,FALSE)))</f>
        <v>1</v>
      </c>
      <c r="I57" s="163">
        <f t="shared" si="18"/>
        <v>57.56</v>
      </c>
      <c r="J57" s="162">
        <f>IF(D57=0,0,HLOOKUP(YEAR(D57)+(MONTH(D57)/100),TC!$5:$37,DAY(D57)+2,FALSE))</f>
        <v>19.9847</v>
      </c>
      <c r="K57" s="163">
        <f t="shared" si="19"/>
        <v>1150.319332</v>
      </c>
    </row>
    <row r="58" spans="2:11" ht="23" customHeight="1">
      <c r="B58" s="7" t="s">
        <v>1246</v>
      </c>
      <c r="C58" s="158" t="s">
        <v>640</v>
      </c>
      <c r="D58" s="159">
        <v>44834</v>
      </c>
      <c r="E58" s="160" t="s">
        <v>861</v>
      </c>
      <c r="F58" s="7" t="s">
        <v>59</v>
      </c>
      <c r="G58" s="161">
        <v>1087.17</v>
      </c>
      <c r="H58" s="162">
        <f>IF(F58=0,0,IF(F58="MXN",1/HLOOKUP(YEAR(D58)+(MONTH(D58)/100),TC!$5:$37,DAY(D58)+2,FALSE),VLOOKUP(F58,Equivalencia!$1:$23,((MAX(Equivalencia!$3:$3)-YEAR(D58))*14)+MONTH(D58)+2,FALSE)))</f>
        <v>1</v>
      </c>
      <c r="I58" s="163">
        <f t="shared" ref="I58" si="20">+H58*G58</f>
        <v>1087.17</v>
      </c>
      <c r="J58" s="162">
        <f>IF(D58=0,0,HLOOKUP(YEAR(D58)+(MONTH(D58)/100),TC!$5:$37,DAY(D58)+2,FALSE))</f>
        <v>20.305800000000001</v>
      </c>
      <c r="K58" s="163">
        <f t="shared" ref="K58" si="21">+I58*J58</f>
        <v>22075.856586000002</v>
      </c>
    </row>
    <row r="59" spans="2:11" ht="23" customHeight="1">
      <c r="B59" s="7" t="s">
        <v>1250</v>
      </c>
      <c r="C59" s="158" t="s">
        <v>640</v>
      </c>
      <c r="D59" s="159">
        <v>44592</v>
      </c>
      <c r="E59" s="160" t="s">
        <v>861</v>
      </c>
      <c r="F59" s="7" t="s">
        <v>59</v>
      </c>
      <c r="G59" s="161">
        <v>17.88</v>
      </c>
      <c r="H59" s="162">
        <f>IF(F59=0,0,IF(F59="MXN",1/HLOOKUP(YEAR(D59)+(MONTH(D59)/100),TC!$5:$37,DAY(D59)+2,FALSE),VLOOKUP(F59,Equivalencia!$1:$23,((MAX(Equivalencia!$3:$3)-YEAR(D59))*14)+MONTH(D59)+2,FALSE)))</f>
        <v>1</v>
      </c>
      <c r="I59" s="163">
        <f t="shared" si="18"/>
        <v>17.88</v>
      </c>
      <c r="J59" s="162">
        <f>IF(D59=0,0,HLOOKUP(YEAR(D59)+(MONTH(D59)/100),TC!$5:$37,DAY(D59)+2,FALSE))</f>
        <v>20.738299999999999</v>
      </c>
      <c r="K59" s="163">
        <f t="shared" si="19"/>
        <v>370.80080399999997</v>
      </c>
    </row>
    <row r="60" spans="2:11" ht="23" customHeight="1">
      <c r="B60" s="7" t="s">
        <v>1250</v>
      </c>
      <c r="C60" s="158" t="s">
        <v>640</v>
      </c>
      <c r="D60" s="159">
        <v>44620</v>
      </c>
      <c r="E60" s="160" t="s">
        <v>861</v>
      </c>
      <c r="F60" s="7" t="s">
        <v>59</v>
      </c>
      <c r="G60" s="161">
        <v>6.6</v>
      </c>
      <c r="H60" s="162">
        <f>IF(F60=0,0,IF(F60="MXN",1/HLOOKUP(YEAR(D60)+(MONTH(D60)/100),TC!$5:$37,DAY(D60)+2,FALSE),VLOOKUP(F60,Equivalencia!$1:$23,((MAX(Equivalencia!$3:$3)-YEAR(D60))*14)+MONTH(D60)+2,FALSE)))</f>
        <v>1</v>
      </c>
      <c r="I60" s="163">
        <f t="shared" si="18"/>
        <v>6.6</v>
      </c>
      <c r="J60" s="162">
        <f>IF(D60=0,0,HLOOKUP(YEAR(D60)+(MONTH(D60)/100),TC!$5:$37,DAY(D60)+2,FALSE))</f>
        <v>20.6525</v>
      </c>
      <c r="K60" s="163">
        <f t="shared" si="19"/>
        <v>136.3065</v>
      </c>
    </row>
    <row r="61" spans="2:11" ht="23" customHeight="1">
      <c r="B61" s="7" t="s">
        <v>1250</v>
      </c>
      <c r="C61" s="158" t="s">
        <v>640</v>
      </c>
      <c r="D61" s="159">
        <v>44651</v>
      </c>
      <c r="E61" s="160" t="s">
        <v>861</v>
      </c>
      <c r="F61" s="7" t="s">
        <v>59</v>
      </c>
      <c r="G61" s="161">
        <v>11.31</v>
      </c>
      <c r="H61" s="162">
        <f>IF(F61=0,0,IF(F61="MXN",1/HLOOKUP(YEAR(D61)+(MONTH(D61)/100),TC!$5:$37,DAY(D61)+2,FALSE),VLOOKUP(F61,Equivalencia!$1:$23,((MAX(Equivalencia!$3:$3)-YEAR(D61))*14)+MONTH(D61)+2,FALSE)))</f>
        <v>1</v>
      </c>
      <c r="I61" s="163">
        <f t="shared" si="18"/>
        <v>11.31</v>
      </c>
      <c r="J61" s="162">
        <f>IF(D61=0,0,HLOOKUP(YEAR(D61)+(MONTH(D61)/100),TC!$5:$37,DAY(D61)+2,FALSE))</f>
        <v>19.994199999999999</v>
      </c>
      <c r="K61" s="163">
        <f t="shared" si="19"/>
        <v>226.13440199999999</v>
      </c>
    </row>
    <row r="62" spans="2:11" ht="23" customHeight="1">
      <c r="B62" s="7" t="s">
        <v>1250</v>
      </c>
      <c r="C62" s="158" t="s">
        <v>640</v>
      </c>
      <c r="D62" s="159">
        <v>44681</v>
      </c>
      <c r="E62" s="160" t="s">
        <v>861</v>
      </c>
      <c r="F62" s="7" t="s">
        <v>59</v>
      </c>
      <c r="G62" s="161">
        <v>71.010000000000005</v>
      </c>
      <c r="H62" s="162">
        <f>IF(F62=0,0,IF(F62="MXN",1/HLOOKUP(YEAR(D62)+(MONTH(D62)/100),TC!$5:$37,DAY(D62)+2,FALSE),VLOOKUP(F62,Equivalencia!$1:$23,((MAX(Equivalencia!$3:$3)-YEAR(D62))*14)+MONTH(D62)+2,FALSE)))</f>
        <v>1</v>
      </c>
      <c r="I62" s="163">
        <f t="shared" si="18"/>
        <v>71.010000000000005</v>
      </c>
      <c r="J62" s="162">
        <f>IF(D62=0,0,HLOOKUP(YEAR(D62)+(MONTH(D62)/100),TC!$5:$37,DAY(D62)+2,FALSE))</f>
        <v>20.567</v>
      </c>
      <c r="K62" s="163">
        <f t="shared" si="19"/>
        <v>1460.4626700000001</v>
      </c>
    </row>
    <row r="63" spans="2:11" ht="23" customHeight="1">
      <c r="B63" s="7" t="s">
        <v>1250</v>
      </c>
      <c r="C63" s="158" t="s">
        <v>640</v>
      </c>
      <c r="D63" s="159">
        <v>44712</v>
      </c>
      <c r="E63" s="160" t="s">
        <v>861</v>
      </c>
      <c r="F63" s="7" t="s">
        <v>59</v>
      </c>
      <c r="G63" s="161">
        <v>143.22999999999999</v>
      </c>
      <c r="H63" s="162">
        <f>IF(F63=0,0,IF(F63="MXN",1/HLOOKUP(YEAR(D63)+(MONTH(D63)/100),TC!$5:$37,DAY(D63)+2,FALSE),VLOOKUP(F63,Equivalencia!$1:$23,((MAX(Equivalencia!$3:$3)-YEAR(D63))*14)+MONTH(D63)+2,FALSE)))</f>
        <v>1</v>
      </c>
      <c r="I63" s="163">
        <f t="shared" si="18"/>
        <v>143.22999999999999</v>
      </c>
      <c r="J63" s="162">
        <f>IF(D63=0,0,HLOOKUP(YEAR(D63)+(MONTH(D63)/100),TC!$5:$37,DAY(D63)+2,FALSE))</f>
        <v>19.596499999999999</v>
      </c>
      <c r="K63" s="163">
        <f t="shared" si="19"/>
        <v>2806.8066949999998</v>
      </c>
    </row>
    <row r="64" spans="2:11" ht="23" customHeight="1">
      <c r="B64" s="7" t="s">
        <v>1250</v>
      </c>
      <c r="C64" s="158" t="s">
        <v>640</v>
      </c>
      <c r="D64" s="159">
        <v>44742</v>
      </c>
      <c r="E64" s="160" t="s">
        <v>861</v>
      </c>
      <c r="F64" s="7" t="s">
        <v>59</v>
      </c>
      <c r="G64" s="161">
        <v>133.43</v>
      </c>
      <c r="H64" s="162">
        <f>IF(F64=0,0,IF(F64="MXN",1/HLOOKUP(YEAR(D64)+(MONTH(D64)/100),TC!$5:$37,DAY(D64)+2,FALSE),VLOOKUP(F64,Equivalencia!$1:$23,((MAX(Equivalencia!$3:$3)-YEAR(D64))*14)+MONTH(D64)+2,FALSE)))</f>
        <v>1</v>
      </c>
      <c r="I64" s="163">
        <f t="shared" ref="I64:I73" si="22">+H64*G64</f>
        <v>133.43</v>
      </c>
      <c r="J64" s="162">
        <f>IF(D64=0,0,HLOOKUP(YEAR(D64)+(MONTH(D64)/100),TC!$5:$37,DAY(D64)+2,FALSE))</f>
        <v>19.9847</v>
      </c>
      <c r="K64" s="163">
        <f t="shared" ref="K64:K73" si="23">+I64*J64</f>
        <v>2666.5585209999999</v>
      </c>
    </row>
    <row r="65" spans="2:11" ht="23" customHeight="1">
      <c r="B65" s="7" t="s">
        <v>1250</v>
      </c>
      <c r="C65" s="158" t="s">
        <v>640</v>
      </c>
      <c r="D65" s="159">
        <v>44771</v>
      </c>
      <c r="E65" s="160" t="s">
        <v>861</v>
      </c>
      <c r="F65" s="7" t="s">
        <v>59</v>
      </c>
      <c r="G65" s="161">
        <v>93.78</v>
      </c>
      <c r="H65" s="162">
        <f>IF(F65=0,0,IF(F65="MXN",1/HLOOKUP(YEAR(D65)+(MONTH(D65)/100),TC!$5:$37,DAY(D65)+2,FALSE),VLOOKUP(F65,Equivalencia!$1:$23,((MAX(Equivalencia!$3:$3)-YEAR(D65))*14)+MONTH(D65)+2,FALSE)))</f>
        <v>1</v>
      </c>
      <c r="I65" s="163">
        <f t="shared" si="22"/>
        <v>93.78</v>
      </c>
      <c r="J65" s="162">
        <f>IF(D65=0,0,HLOOKUP(YEAR(D65)+(MONTH(D65)/100),TC!$5:$37,DAY(D65)+2,FALSE))</f>
        <v>20.512</v>
      </c>
      <c r="K65" s="163">
        <f t="shared" si="23"/>
        <v>1923.61536</v>
      </c>
    </row>
    <row r="66" spans="2:11" ht="23" customHeight="1">
      <c r="B66" s="7" t="s">
        <v>1250</v>
      </c>
      <c r="C66" s="158" t="s">
        <v>640</v>
      </c>
      <c r="D66" s="159">
        <v>44804</v>
      </c>
      <c r="E66" s="160" t="s">
        <v>861</v>
      </c>
      <c r="F66" s="7" t="s">
        <v>59</v>
      </c>
      <c r="G66" s="161">
        <v>670.58</v>
      </c>
      <c r="H66" s="162">
        <f>IF(F66=0,0,IF(F66="MXN",1/HLOOKUP(YEAR(D66)+(MONTH(D66)/100),TC!$5:$37,DAY(D66)+2,FALSE),VLOOKUP(F66,Equivalencia!$1:$23,((MAX(Equivalencia!$3:$3)-YEAR(D66))*14)+MONTH(D66)+2,FALSE)))</f>
        <v>1</v>
      </c>
      <c r="I66" s="163">
        <f t="shared" si="22"/>
        <v>670.58</v>
      </c>
      <c r="J66" s="162">
        <f>IF(D66=0,0,HLOOKUP(YEAR(D66)+(MONTH(D66)/100),TC!$5:$37,DAY(D66)+2,FALSE))</f>
        <v>19.994499999999999</v>
      </c>
      <c r="K66" s="163">
        <f t="shared" si="23"/>
        <v>13407.91181</v>
      </c>
    </row>
    <row r="67" spans="2:11" ht="23" customHeight="1">
      <c r="B67" s="7" t="s">
        <v>1250</v>
      </c>
      <c r="C67" s="158" t="s">
        <v>640</v>
      </c>
      <c r="D67" s="159">
        <v>44834</v>
      </c>
      <c r="E67" s="160" t="s">
        <v>861</v>
      </c>
      <c r="F67" s="7" t="s">
        <v>59</v>
      </c>
      <c r="G67" s="161">
        <v>195.7</v>
      </c>
      <c r="H67" s="162">
        <f>IF(F67=0,0,IF(F67="MXN",1/HLOOKUP(YEAR(D67)+(MONTH(D67)/100),TC!$5:$37,DAY(D67)+2,FALSE),VLOOKUP(F67,Equivalencia!$1:$23,((MAX(Equivalencia!$3:$3)-YEAR(D67))*14)+MONTH(D67)+2,FALSE)))</f>
        <v>1</v>
      </c>
      <c r="I67" s="163">
        <f t="shared" ref="I67" si="24">+H67*G67</f>
        <v>195.7</v>
      </c>
      <c r="J67" s="162">
        <f>IF(D67=0,0,HLOOKUP(YEAR(D67)+(MONTH(D67)/100),TC!$5:$37,DAY(D67)+2,FALSE))</f>
        <v>20.305800000000001</v>
      </c>
      <c r="K67" s="163">
        <f t="shared" ref="K67" si="25">+I67*J67</f>
        <v>3973.8450600000001</v>
      </c>
    </row>
    <row r="68" spans="2:11" ht="23" customHeight="1">
      <c r="B68" s="7" t="s">
        <v>1250</v>
      </c>
      <c r="C68" s="158" t="s">
        <v>640</v>
      </c>
      <c r="D68" s="159">
        <v>44865</v>
      </c>
      <c r="E68" s="160" t="s">
        <v>861</v>
      </c>
      <c r="F68" s="7" t="s">
        <v>59</v>
      </c>
      <c r="G68" s="161">
        <v>942.59</v>
      </c>
      <c r="H68" s="162">
        <f>IF(F68=0,0,IF(F68="MXN",1/HLOOKUP(YEAR(D68)+(MONTH(D68)/100),TC!$5:$37,DAY(D68)+2,FALSE),VLOOKUP(F68,Equivalencia!$1:$23,((MAX(Equivalencia!$3:$3)-YEAR(D68))*14)+MONTH(D68)+2,FALSE)))</f>
        <v>1</v>
      </c>
      <c r="I68" s="163">
        <f t="shared" ref="I68" si="26">+H68*G68</f>
        <v>942.59</v>
      </c>
      <c r="J68" s="162">
        <f>IF(D68=0,0,HLOOKUP(YEAR(D68)+(MONTH(D68)/100),TC!$5:$37,DAY(D68)+2,FALSE))</f>
        <v>19.836500000000001</v>
      </c>
      <c r="K68" s="163">
        <f t="shared" ref="K68" si="27">+I68*J68</f>
        <v>18697.686535000001</v>
      </c>
    </row>
    <row r="69" spans="2:11" ht="23" customHeight="1">
      <c r="B69" s="7" t="s">
        <v>1254</v>
      </c>
      <c r="C69" s="158" t="s">
        <v>640</v>
      </c>
      <c r="D69" s="159">
        <v>44592</v>
      </c>
      <c r="E69" s="160" t="s">
        <v>861</v>
      </c>
      <c r="F69" s="7" t="s">
        <v>59</v>
      </c>
      <c r="G69" s="161">
        <v>8.17</v>
      </c>
      <c r="H69" s="162">
        <f>IF(F69=0,0,IF(F69="MXN",1/HLOOKUP(YEAR(D69)+(MONTH(D69)/100),TC!$5:$37,DAY(D69)+2,FALSE),VLOOKUP(F69,Equivalencia!$1:$23,((MAX(Equivalencia!$3:$3)-YEAR(D69))*14)+MONTH(D69)+2,FALSE)))</f>
        <v>1</v>
      </c>
      <c r="I69" s="163">
        <f t="shared" si="22"/>
        <v>8.17</v>
      </c>
      <c r="J69" s="162">
        <f>IF(D69=0,0,HLOOKUP(YEAR(D69)+(MONTH(D69)/100),TC!$5:$37,DAY(D69)+2,FALSE))</f>
        <v>20.738299999999999</v>
      </c>
      <c r="K69" s="163">
        <f t="shared" si="23"/>
        <v>169.43191099999999</v>
      </c>
    </row>
    <row r="70" spans="2:11" ht="23" customHeight="1">
      <c r="B70" s="7" t="s">
        <v>1254</v>
      </c>
      <c r="C70" s="158" t="s">
        <v>640</v>
      </c>
      <c r="D70" s="159">
        <v>44620</v>
      </c>
      <c r="E70" s="160" t="s">
        <v>861</v>
      </c>
      <c r="F70" s="7" t="s">
        <v>59</v>
      </c>
      <c r="G70" s="161">
        <v>5.77</v>
      </c>
      <c r="H70" s="162">
        <f>IF(F70=0,0,IF(F70="MXN",1/HLOOKUP(YEAR(D70)+(MONTH(D70)/100),TC!$5:$37,DAY(D70)+2,FALSE),VLOOKUP(F70,Equivalencia!$1:$23,((MAX(Equivalencia!$3:$3)-YEAR(D70))*14)+MONTH(D70)+2,FALSE)))</f>
        <v>1</v>
      </c>
      <c r="I70" s="163">
        <f t="shared" si="22"/>
        <v>5.77</v>
      </c>
      <c r="J70" s="162">
        <f>IF(D70=0,0,HLOOKUP(YEAR(D70)+(MONTH(D70)/100),TC!$5:$37,DAY(D70)+2,FALSE))</f>
        <v>20.6525</v>
      </c>
      <c r="K70" s="163">
        <f t="shared" si="23"/>
        <v>119.164925</v>
      </c>
    </row>
    <row r="71" spans="2:11" ht="23" customHeight="1">
      <c r="B71" s="7" t="s">
        <v>1254</v>
      </c>
      <c r="C71" s="158" t="s">
        <v>640</v>
      </c>
      <c r="D71" s="159">
        <v>44651</v>
      </c>
      <c r="E71" s="160" t="s">
        <v>861</v>
      </c>
      <c r="F71" s="7" t="s">
        <v>59</v>
      </c>
      <c r="G71" s="161">
        <v>13.78</v>
      </c>
      <c r="H71" s="162">
        <f>IF(F71=0,0,IF(F71="MXN",1/HLOOKUP(YEAR(D71)+(MONTH(D71)/100),TC!$5:$37,DAY(D71)+2,FALSE),VLOOKUP(F71,Equivalencia!$1:$23,((MAX(Equivalencia!$3:$3)-YEAR(D71))*14)+MONTH(D71)+2,FALSE)))</f>
        <v>1</v>
      </c>
      <c r="I71" s="163">
        <f t="shared" si="22"/>
        <v>13.78</v>
      </c>
      <c r="J71" s="162">
        <f>IF(D71=0,0,HLOOKUP(YEAR(D71)+(MONTH(D71)/100),TC!$5:$37,DAY(D71)+2,FALSE))</f>
        <v>19.994199999999999</v>
      </c>
      <c r="K71" s="163">
        <f t="shared" si="23"/>
        <v>275.52007599999996</v>
      </c>
    </row>
    <row r="72" spans="2:11" ht="23" customHeight="1">
      <c r="B72" s="7" t="s">
        <v>1254</v>
      </c>
      <c r="C72" s="158" t="s">
        <v>640</v>
      </c>
      <c r="D72" s="159">
        <v>44681</v>
      </c>
      <c r="E72" s="160" t="s">
        <v>861</v>
      </c>
      <c r="F72" s="7" t="s">
        <v>59</v>
      </c>
      <c r="G72" s="161">
        <v>66.150000000000006</v>
      </c>
      <c r="H72" s="162">
        <f>IF(F72=0,0,IF(F72="MXN",1/HLOOKUP(YEAR(D72)+(MONTH(D72)/100),TC!$5:$37,DAY(D72)+2,FALSE),VLOOKUP(F72,Equivalencia!$1:$23,((MAX(Equivalencia!$3:$3)-YEAR(D72))*14)+MONTH(D72)+2,FALSE)))</f>
        <v>1</v>
      </c>
      <c r="I72" s="163">
        <f t="shared" si="22"/>
        <v>66.150000000000006</v>
      </c>
      <c r="J72" s="162">
        <f>IF(D72=0,0,HLOOKUP(YEAR(D72)+(MONTH(D72)/100),TC!$5:$37,DAY(D72)+2,FALSE))</f>
        <v>20.567</v>
      </c>
      <c r="K72" s="163">
        <f t="shared" si="23"/>
        <v>1360.5070500000002</v>
      </c>
    </row>
    <row r="73" spans="2:11" ht="23" customHeight="1">
      <c r="B73" s="7" t="s">
        <v>1254</v>
      </c>
      <c r="C73" s="158" t="s">
        <v>640</v>
      </c>
      <c r="D73" s="159">
        <v>44712</v>
      </c>
      <c r="E73" s="160" t="s">
        <v>861</v>
      </c>
      <c r="F73" s="7" t="s">
        <v>59</v>
      </c>
      <c r="G73" s="161">
        <v>118.16</v>
      </c>
      <c r="H73" s="162">
        <f>IF(F73=0,0,IF(F73="MXN",1/HLOOKUP(YEAR(D73)+(MONTH(D73)/100),TC!$5:$37,DAY(D73)+2,FALSE),VLOOKUP(F73,Equivalencia!$1:$23,((MAX(Equivalencia!$3:$3)-YEAR(D73))*14)+MONTH(D73)+2,FALSE)))</f>
        <v>1</v>
      </c>
      <c r="I73" s="163">
        <f t="shared" si="22"/>
        <v>118.16</v>
      </c>
      <c r="J73" s="162">
        <f>IF(D73=0,0,HLOOKUP(YEAR(D73)+(MONTH(D73)/100),TC!$5:$37,DAY(D73)+2,FALSE))</f>
        <v>19.596499999999999</v>
      </c>
      <c r="K73" s="163">
        <f t="shared" si="23"/>
        <v>2315.5224399999997</v>
      </c>
    </row>
    <row r="74" spans="2:11" ht="23" customHeight="1">
      <c r="B74" s="7" t="s">
        <v>1254</v>
      </c>
      <c r="C74" s="158" t="s">
        <v>640</v>
      </c>
      <c r="D74" s="159">
        <v>44742</v>
      </c>
      <c r="E74" s="160" t="s">
        <v>861</v>
      </c>
      <c r="F74" s="7" t="s">
        <v>59</v>
      </c>
      <c r="G74" s="161">
        <v>116.67</v>
      </c>
      <c r="H74" s="162">
        <f>IF(F74=0,0,IF(F74="MXN",1/HLOOKUP(YEAR(D74)+(MONTH(D74)/100),TC!$5:$37,DAY(D74)+2,FALSE),VLOOKUP(F74,Equivalencia!$1:$23,((MAX(Equivalencia!$3:$3)-YEAR(D74))*14)+MONTH(D74)+2,FALSE)))</f>
        <v>1</v>
      </c>
      <c r="I74" s="163">
        <f t="shared" ref="I74:I81" si="28">+H74*G74</f>
        <v>116.67</v>
      </c>
      <c r="J74" s="162">
        <f>IF(D74=0,0,HLOOKUP(YEAR(D74)+(MONTH(D74)/100),TC!$5:$37,DAY(D74)+2,FALSE))</f>
        <v>19.9847</v>
      </c>
      <c r="K74" s="163">
        <f t="shared" ref="K74:K81" si="29">+I74*J74</f>
        <v>2331.6149490000003</v>
      </c>
    </row>
    <row r="75" spans="2:11" ht="23" customHeight="1">
      <c r="B75" s="7" t="s">
        <v>1254</v>
      </c>
      <c r="C75" s="158" t="s">
        <v>640</v>
      </c>
      <c r="D75" s="159">
        <v>44771</v>
      </c>
      <c r="E75" s="160" t="s">
        <v>861</v>
      </c>
      <c r="F75" s="7" t="s">
        <v>59</v>
      </c>
      <c r="G75" s="161">
        <v>245.04</v>
      </c>
      <c r="H75" s="162">
        <f>IF(F75=0,0,IF(F75="MXN",1/HLOOKUP(YEAR(D75)+(MONTH(D75)/100),TC!$5:$37,DAY(D75)+2,FALSE),VLOOKUP(F75,Equivalencia!$1:$23,((MAX(Equivalencia!$3:$3)-YEAR(D75))*14)+MONTH(D75)+2,FALSE)))</f>
        <v>1</v>
      </c>
      <c r="I75" s="163">
        <f t="shared" si="28"/>
        <v>245.04</v>
      </c>
      <c r="J75" s="162">
        <f>IF(D75=0,0,HLOOKUP(YEAR(D75)+(MONTH(D75)/100),TC!$5:$37,DAY(D75)+2,FALSE))</f>
        <v>20.512</v>
      </c>
      <c r="K75" s="163">
        <f t="shared" si="29"/>
        <v>5026.2604799999999</v>
      </c>
    </row>
    <row r="76" spans="2:11" ht="23" customHeight="1">
      <c r="B76" s="7" t="s">
        <v>1254</v>
      </c>
      <c r="C76" s="158" t="s">
        <v>640</v>
      </c>
      <c r="D76" s="159">
        <v>44804</v>
      </c>
      <c r="E76" s="160" t="s">
        <v>861</v>
      </c>
      <c r="F76" s="7" t="s">
        <v>59</v>
      </c>
      <c r="G76" s="161">
        <v>398.64</v>
      </c>
      <c r="H76" s="162">
        <f>IF(F76=0,0,IF(F76="MXN",1/HLOOKUP(YEAR(D76)+(MONTH(D76)/100),TC!$5:$37,DAY(D76)+2,FALSE),VLOOKUP(F76,Equivalencia!$1:$23,((MAX(Equivalencia!$3:$3)-YEAR(D76))*14)+MONTH(D76)+2,FALSE)))</f>
        <v>1</v>
      </c>
      <c r="I76" s="163">
        <f t="shared" ref="I76" si="30">+H76*G76</f>
        <v>398.64</v>
      </c>
      <c r="J76" s="162">
        <f>IF(D76=0,0,HLOOKUP(YEAR(D76)+(MONTH(D76)/100),TC!$5:$37,DAY(D76)+2,FALSE))</f>
        <v>19.994499999999999</v>
      </c>
      <c r="K76" s="163">
        <f t="shared" ref="K76" si="31">+I76*J76</f>
        <v>7970.6074799999988</v>
      </c>
    </row>
    <row r="77" spans="2:11" ht="23" customHeight="1">
      <c r="B77" s="7" t="s">
        <v>1254</v>
      </c>
      <c r="C77" s="158" t="s">
        <v>640</v>
      </c>
      <c r="D77" s="159">
        <v>44834</v>
      </c>
      <c r="E77" s="160" t="s">
        <v>861</v>
      </c>
      <c r="F77" s="7" t="s">
        <v>59</v>
      </c>
      <c r="G77" s="161">
        <v>209.82</v>
      </c>
      <c r="H77" s="162">
        <f>IF(F77=0,0,IF(F77="MXN",1/HLOOKUP(YEAR(D77)+(MONTH(D77)/100),TC!$5:$37,DAY(D77)+2,FALSE),VLOOKUP(F77,Equivalencia!$1:$23,((MAX(Equivalencia!$3:$3)-YEAR(D77))*14)+MONTH(D77)+2,FALSE)))</f>
        <v>1</v>
      </c>
      <c r="I77" s="163">
        <f t="shared" si="28"/>
        <v>209.82</v>
      </c>
      <c r="J77" s="162">
        <f>IF(D77=0,0,HLOOKUP(YEAR(D77)+(MONTH(D77)/100),TC!$5:$37,DAY(D77)+2,FALSE))</f>
        <v>20.305800000000001</v>
      </c>
      <c r="K77" s="163">
        <f t="shared" si="29"/>
        <v>4260.5629559999998</v>
      </c>
    </row>
    <row r="78" spans="2:11" ht="23" customHeight="1">
      <c r="B78" s="7" t="s">
        <v>1254</v>
      </c>
      <c r="C78" s="158" t="s">
        <v>640</v>
      </c>
      <c r="D78" s="159">
        <v>44865</v>
      </c>
      <c r="E78" s="160" t="s">
        <v>861</v>
      </c>
      <c r="F78" s="7" t="s">
        <v>59</v>
      </c>
      <c r="G78" s="161">
        <v>0.3</v>
      </c>
      <c r="H78" s="162">
        <f>IF(F78=0,0,IF(F78="MXN",1/HLOOKUP(YEAR(D78)+(MONTH(D78)/100),TC!$5:$37,DAY(D78)+2,FALSE),VLOOKUP(F78,Equivalencia!$1:$23,((MAX(Equivalencia!$3:$3)-YEAR(D78))*14)+MONTH(D78)+2,FALSE)))</f>
        <v>1</v>
      </c>
      <c r="I78" s="163">
        <f t="shared" si="28"/>
        <v>0.3</v>
      </c>
      <c r="J78" s="162">
        <f>IF(D78=0,0,HLOOKUP(YEAR(D78)+(MONTH(D78)/100),TC!$5:$37,DAY(D78)+2,FALSE))</f>
        <v>19.836500000000001</v>
      </c>
      <c r="K78" s="163">
        <f t="shared" si="29"/>
        <v>5.9509499999999997</v>
      </c>
    </row>
    <row r="79" spans="2:11" ht="23" customHeight="1">
      <c r="B79" s="7" t="s">
        <v>1254</v>
      </c>
      <c r="C79" s="158" t="s">
        <v>640</v>
      </c>
      <c r="D79" s="159">
        <v>44865</v>
      </c>
      <c r="E79" s="160" t="s">
        <v>861</v>
      </c>
      <c r="F79" s="7" t="s">
        <v>59</v>
      </c>
      <c r="G79" s="161">
        <v>361.71</v>
      </c>
      <c r="H79" s="162">
        <f>IF(F79=0,0,IF(F79="MXN",1/HLOOKUP(YEAR(D79)+(MONTH(D79)/100),TC!$5:$37,DAY(D79)+2,FALSE),VLOOKUP(F79,Equivalencia!$1:$23,((MAX(Equivalencia!$3:$3)-YEAR(D79))*14)+MONTH(D79)+2,FALSE)))</f>
        <v>1</v>
      </c>
      <c r="I79" s="163">
        <f t="shared" si="28"/>
        <v>361.71</v>
      </c>
      <c r="J79" s="162">
        <f>IF(D79=0,0,HLOOKUP(YEAR(D79)+(MONTH(D79)/100),TC!$5:$37,DAY(D79)+2,FALSE))</f>
        <v>19.836500000000001</v>
      </c>
      <c r="K79" s="163">
        <f t="shared" si="29"/>
        <v>7175.0604149999999</v>
      </c>
    </row>
    <row r="80" spans="2:11" ht="23" hidden="1" customHeight="1">
      <c r="B80" s="7"/>
      <c r="C80" s="158"/>
      <c r="D80" s="159"/>
      <c r="E80" s="160"/>
      <c r="F80" s="7"/>
      <c r="G80" s="161"/>
      <c r="H80" s="162">
        <f>IF(F80=0,0,IF(F80="MXN",1/HLOOKUP(YEAR(D80)+(MONTH(D80)/100),TC!$5:$37,DAY(D80)+2,FALSE),VLOOKUP(F80,Equivalencia!$1:$23,((MAX(Equivalencia!$3:$3)-YEAR(D80))*14)+MONTH(D80)+2,FALSE)))</f>
        <v>0</v>
      </c>
      <c r="I80" s="163">
        <f t="shared" si="28"/>
        <v>0</v>
      </c>
      <c r="J80" s="162">
        <f>IF(D80=0,0,HLOOKUP(YEAR(D80)+(MONTH(D80)/100),TC!$5:$37,DAY(D80)+2,FALSE))</f>
        <v>0</v>
      </c>
      <c r="K80" s="163">
        <f t="shared" si="29"/>
        <v>0</v>
      </c>
    </row>
    <row r="81" spans="2:11" ht="23" hidden="1" customHeight="1">
      <c r="B81" s="7"/>
      <c r="C81" s="158"/>
      <c r="D81" s="159"/>
      <c r="E81" s="160"/>
      <c r="F81" s="7"/>
      <c r="G81" s="161"/>
      <c r="H81" s="162">
        <f>IF(F81=0,0,IF(F81="MXN",1/HLOOKUP(YEAR(D81)+(MONTH(D81)/100),TC!$5:$37,DAY(D81)+2,FALSE),VLOOKUP(F81,Equivalencia!$1:$23,((MAX(Equivalencia!$3:$3)-YEAR(D81))*14)+MONTH(D81)+2,FALSE)))</f>
        <v>0</v>
      </c>
      <c r="I81" s="163">
        <f t="shared" si="28"/>
        <v>0</v>
      </c>
      <c r="J81" s="162">
        <f>IF(D81=0,0,HLOOKUP(YEAR(D81)+(MONTH(D81)/100),TC!$5:$37,DAY(D81)+2,FALSE))</f>
        <v>0</v>
      </c>
      <c r="K81" s="163">
        <f t="shared" si="29"/>
        <v>0</v>
      </c>
    </row>
    <row r="82" spans="2:11" ht="23" hidden="1" customHeight="1">
      <c r="B82" s="7"/>
      <c r="C82" s="158"/>
      <c r="D82" s="159"/>
      <c r="E82" s="160"/>
      <c r="F82" s="7"/>
      <c r="G82" s="161"/>
      <c r="H82" s="162"/>
      <c r="I82" s="163"/>
      <c r="J82" s="162"/>
      <c r="K82" s="163"/>
    </row>
    <row r="83" spans="2:11" ht="23" customHeight="1">
      <c r="B83" s="76"/>
      <c r="C83" s="138"/>
      <c r="D83" s="76"/>
      <c r="E83" s="139"/>
      <c r="F83" s="140"/>
      <c r="G83" s="141"/>
      <c r="H83" s="142"/>
      <c r="I83" s="143"/>
      <c r="J83" s="142"/>
      <c r="K83" s="143"/>
    </row>
    <row r="84" spans="2:11" ht="23" customHeight="1">
      <c r="B84" s="164" t="s">
        <v>365</v>
      </c>
      <c r="C84" s="165"/>
      <c r="D84" s="166"/>
      <c r="E84" s="167"/>
      <c r="F84" s="168"/>
      <c r="G84" s="169">
        <f>SUM(G7:G83)</f>
        <v>8183.5699999999988</v>
      </c>
      <c r="H84" s="170"/>
      <c r="I84" s="169">
        <f>SUM(I7:I83)</f>
        <v>8183.5699999999988</v>
      </c>
      <c r="J84" s="170"/>
      <c r="K84" s="169">
        <f>SUM(K7:K83)</f>
        <v>164532.55759599997</v>
      </c>
    </row>
    <row r="85" spans="2:11" ht="23" customHeight="1">
      <c r="B85" s="76"/>
      <c r="C85" s="138"/>
      <c r="D85" s="76"/>
      <c r="E85" s="139"/>
      <c r="F85" s="140"/>
      <c r="G85" s="141"/>
      <c r="H85" s="142"/>
      <c r="I85" s="143"/>
      <c r="J85" s="142"/>
      <c r="K85" s="143"/>
    </row>
    <row r="86" spans="2:11" ht="23" customHeight="1">
      <c r="B86" s="76"/>
      <c r="C86" s="138"/>
      <c r="D86" s="76"/>
      <c r="E86" s="139"/>
      <c r="F86" s="140"/>
      <c r="G86" s="141"/>
      <c r="H86" s="142"/>
      <c r="I86" s="143"/>
      <c r="J86" s="142"/>
      <c r="K86" s="143"/>
    </row>
    <row r="87" spans="2:11" s="154" customFormat="1" ht="30">
      <c r="B87" s="171"/>
      <c r="C87" s="172"/>
      <c r="D87" s="171"/>
      <c r="E87" s="173"/>
      <c r="F87" s="174"/>
      <c r="G87" s="175" t="s">
        <v>417</v>
      </c>
      <c r="H87" s="176"/>
      <c r="I87" s="175" t="s">
        <v>412</v>
      </c>
      <c r="J87" s="177"/>
      <c r="K87" s="175" t="s">
        <v>413</v>
      </c>
    </row>
    <row r="88" spans="2:11" ht="23" customHeight="1">
      <c r="B88" s="76"/>
      <c r="C88" s="138"/>
      <c r="D88" s="76"/>
      <c r="E88" s="139"/>
      <c r="F88" s="140"/>
      <c r="G88" s="141"/>
      <c r="H88" s="142"/>
      <c r="I88" s="147"/>
      <c r="J88" s="141"/>
      <c r="K88" s="147"/>
    </row>
    <row r="89" spans="2:11" ht="23" customHeight="1">
      <c r="B89" s="76"/>
      <c r="C89" s="138"/>
      <c r="D89" s="76"/>
      <c r="E89" s="178" t="s">
        <v>184</v>
      </c>
      <c r="F89" s="179" t="str">
        <f>Cuentas!B6</f>
        <v>31XX29</v>
      </c>
      <c r="G89" s="180">
        <f t="shared" ref="G89:G109" si="32">SUMIF($B$7:$B$601,F89,$G$7:$G$601)</f>
        <v>1146.54</v>
      </c>
      <c r="H89" s="181"/>
      <c r="I89" s="180">
        <f t="shared" ref="I89:I109" si="33">SUMIF($B$7:$B$601,F89,$I$7:$I$601)</f>
        <v>1146.54</v>
      </c>
      <c r="J89" s="180"/>
      <c r="K89" s="180">
        <f t="shared" ref="K89:K109" si="34">SUMIF($B$7:$B$601,F89,$K$7:$K$601)</f>
        <v>23262.365420000002</v>
      </c>
    </row>
    <row r="90" spans="2:11" ht="23" customHeight="1">
      <c r="B90" s="76"/>
      <c r="C90" s="138"/>
      <c r="D90" s="76"/>
      <c r="E90" s="178" t="s">
        <v>184</v>
      </c>
      <c r="F90" s="179" t="str">
        <f>Cuentas!B7</f>
        <v>11XX300</v>
      </c>
      <c r="G90" s="180">
        <f t="shared" si="32"/>
        <v>2286.11</v>
      </c>
      <c r="H90" s="181"/>
      <c r="I90" s="180">
        <f t="shared" si="33"/>
        <v>2286.11</v>
      </c>
      <c r="J90" s="180"/>
      <c r="K90" s="180">
        <f t="shared" si="34"/>
        <v>45670.128357000001</v>
      </c>
    </row>
    <row r="91" spans="2:11" ht="23" customHeight="1">
      <c r="B91" s="76"/>
      <c r="C91" s="138"/>
      <c r="D91" s="76"/>
      <c r="E91" s="178" t="s">
        <v>184</v>
      </c>
      <c r="F91" s="179" t="str">
        <f>Cuentas!B8</f>
        <v>1XXX100</v>
      </c>
      <c r="G91" s="180">
        <f t="shared" si="32"/>
        <v>1544.21</v>
      </c>
      <c r="H91" s="181"/>
      <c r="I91" s="180">
        <f t="shared" si="33"/>
        <v>1544.21</v>
      </c>
      <c r="J91" s="180"/>
      <c r="K91" s="180">
        <f t="shared" si="34"/>
        <v>31010.203631999997</v>
      </c>
    </row>
    <row r="92" spans="2:11" ht="23" customHeight="1">
      <c r="B92" s="76"/>
      <c r="C92" s="138"/>
      <c r="D92" s="76"/>
      <c r="E92" s="178" t="s">
        <v>184</v>
      </c>
      <c r="F92" s="179" t="str">
        <f>Cuentas!B9</f>
        <v>B467XXX05</v>
      </c>
      <c r="G92" s="180">
        <f t="shared" si="32"/>
        <v>395.22999999999996</v>
      </c>
      <c r="H92" s="181"/>
      <c r="I92" s="180">
        <f t="shared" si="33"/>
        <v>395.22999999999996</v>
      </c>
      <c r="J92" s="180"/>
      <c r="K92" s="180">
        <f t="shared" si="34"/>
        <v>7996.9951350000001</v>
      </c>
    </row>
    <row r="93" spans="2:11" ht="23" customHeight="1">
      <c r="B93" s="76"/>
      <c r="C93" s="138"/>
      <c r="D93" s="76"/>
      <c r="E93" s="178" t="s">
        <v>184</v>
      </c>
      <c r="F93" s="179" t="str">
        <f>Cuentas!B10</f>
        <v>677-0XXX52-670</v>
      </c>
      <c r="G93" s="180">
        <f t="shared" si="32"/>
        <v>45.559999999999995</v>
      </c>
      <c r="H93" s="181"/>
      <c r="I93" s="180">
        <f t="shared" si="33"/>
        <v>45.559999999999995</v>
      </c>
      <c r="J93" s="180"/>
      <c r="K93" s="180">
        <f t="shared" si="34"/>
        <v>915.28800499999988</v>
      </c>
    </row>
    <row r="94" spans="2:11" ht="23" customHeight="1">
      <c r="B94" s="76"/>
      <c r="C94" s="138"/>
      <c r="D94" s="76"/>
      <c r="E94" s="178" t="s">
        <v>184</v>
      </c>
      <c r="F94" s="179" t="str">
        <f>Cuentas!B11</f>
        <v>677-0XXX53-471</v>
      </c>
      <c r="G94" s="180">
        <f t="shared" si="32"/>
        <v>2733.1600000000003</v>
      </c>
      <c r="H94" s="181"/>
      <c r="I94" s="180">
        <f t="shared" si="33"/>
        <v>2733.1600000000003</v>
      </c>
      <c r="J94" s="180"/>
      <c r="K94" s="180">
        <f t="shared" si="34"/>
        <v>55012.841618999999</v>
      </c>
    </row>
    <row r="95" spans="2:11" ht="23" customHeight="1">
      <c r="B95" s="76"/>
      <c r="C95" s="138"/>
      <c r="D95" s="76"/>
      <c r="E95" s="178" t="s">
        <v>184</v>
      </c>
      <c r="F95" s="179" t="str">
        <f>Cuentas!B12</f>
        <v>4H 0XXX0 RB</v>
      </c>
      <c r="G95" s="180">
        <f t="shared" si="32"/>
        <v>32.760000000000005</v>
      </c>
      <c r="H95" s="181"/>
      <c r="I95" s="180">
        <f t="shared" si="33"/>
        <v>32.760000000000005</v>
      </c>
      <c r="J95" s="180"/>
      <c r="K95" s="180">
        <f t="shared" si="34"/>
        <v>664.73542800000007</v>
      </c>
    </row>
    <row r="96" spans="2:11" ht="23" hidden="1" customHeight="1">
      <c r="B96" s="76"/>
      <c r="C96" s="138"/>
      <c r="D96" s="76"/>
      <c r="E96" s="178" t="s">
        <v>184</v>
      </c>
      <c r="F96" s="179" t="str">
        <f>Cuentas!B13</f>
        <v>H</v>
      </c>
      <c r="G96" s="180">
        <f t="shared" si="32"/>
        <v>0</v>
      </c>
      <c r="H96" s="181"/>
      <c r="I96" s="180">
        <f t="shared" si="33"/>
        <v>0</v>
      </c>
      <c r="J96" s="180"/>
      <c r="K96" s="180">
        <f t="shared" si="34"/>
        <v>0</v>
      </c>
    </row>
    <row r="97" spans="2:11" ht="23" hidden="1" customHeight="1">
      <c r="B97" s="76"/>
      <c r="C97" s="138"/>
      <c r="D97" s="76"/>
      <c r="E97" s="178" t="s">
        <v>184</v>
      </c>
      <c r="F97" s="179" t="str">
        <f>Cuentas!B14</f>
        <v>I</v>
      </c>
      <c r="G97" s="180">
        <f t="shared" si="32"/>
        <v>0</v>
      </c>
      <c r="H97" s="181"/>
      <c r="I97" s="180">
        <f t="shared" si="33"/>
        <v>0</v>
      </c>
      <c r="J97" s="180"/>
      <c r="K97" s="180">
        <f t="shared" si="34"/>
        <v>0</v>
      </c>
    </row>
    <row r="98" spans="2:11" ht="23" hidden="1" customHeight="1">
      <c r="B98" s="76"/>
      <c r="C98" s="138"/>
      <c r="D98" s="76"/>
      <c r="E98" s="178" t="s">
        <v>184</v>
      </c>
      <c r="F98" s="179" t="str">
        <f>Cuentas!B15</f>
        <v>J</v>
      </c>
      <c r="G98" s="180">
        <f t="shared" si="32"/>
        <v>0</v>
      </c>
      <c r="H98" s="181"/>
      <c r="I98" s="180">
        <f t="shared" si="33"/>
        <v>0</v>
      </c>
      <c r="J98" s="180"/>
      <c r="K98" s="180">
        <f t="shared" si="34"/>
        <v>0</v>
      </c>
    </row>
    <row r="99" spans="2:11" ht="23" hidden="1" customHeight="1">
      <c r="B99" s="76"/>
      <c r="C99" s="138"/>
      <c r="D99" s="76"/>
      <c r="E99" s="178" t="s">
        <v>184</v>
      </c>
      <c r="F99" s="179" t="str">
        <f>Cuentas!B16</f>
        <v>K</v>
      </c>
      <c r="G99" s="180">
        <f t="shared" si="32"/>
        <v>0</v>
      </c>
      <c r="H99" s="181"/>
      <c r="I99" s="180">
        <f t="shared" si="33"/>
        <v>0</v>
      </c>
      <c r="J99" s="180"/>
      <c r="K99" s="180">
        <f t="shared" si="34"/>
        <v>0</v>
      </c>
    </row>
    <row r="100" spans="2:11" ht="23" hidden="1" customHeight="1">
      <c r="B100" s="76"/>
      <c r="C100" s="138"/>
      <c r="D100" s="76"/>
      <c r="E100" s="178" t="s">
        <v>184</v>
      </c>
      <c r="F100" s="179" t="str">
        <f>Cuentas!B17</f>
        <v>L</v>
      </c>
      <c r="G100" s="180">
        <f t="shared" si="32"/>
        <v>0</v>
      </c>
      <c r="H100" s="181"/>
      <c r="I100" s="180">
        <f t="shared" si="33"/>
        <v>0</v>
      </c>
      <c r="J100" s="180"/>
      <c r="K100" s="180">
        <f t="shared" si="34"/>
        <v>0</v>
      </c>
    </row>
    <row r="101" spans="2:11" ht="23" hidden="1" customHeight="1">
      <c r="B101" s="76"/>
      <c r="C101" s="138"/>
      <c r="D101" s="76"/>
      <c r="E101" s="178" t="s">
        <v>184</v>
      </c>
      <c r="F101" s="179" t="str">
        <f>Cuentas!B18</f>
        <v>M</v>
      </c>
      <c r="G101" s="180">
        <f t="shared" si="32"/>
        <v>0</v>
      </c>
      <c r="H101" s="181"/>
      <c r="I101" s="180">
        <f t="shared" si="33"/>
        <v>0</v>
      </c>
      <c r="J101" s="180"/>
      <c r="K101" s="180">
        <f t="shared" si="34"/>
        <v>0</v>
      </c>
    </row>
    <row r="102" spans="2:11" ht="23" hidden="1" customHeight="1">
      <c r="B102" s="76"/>
      <c r="C102" s="138"/>
      <c r="D102" s="76"/>
      <c r="E102" s="178" t="s">
        <v>184</v>
      </c>
      <c r="F102" s="179" t="str">
        <f>Cuentas!B19</f>
        <v>N</v>
      </c>
      <c r="G102" s="180">
        <f t="shared" si="32"/>
        <v>0</v>
      </c>
      <c r="H102" s="181"/>
      <c r="I102" s="180">
        <f t="shared" si="33"/>
        <v>0</v>
      </c>
      <c r="J102" s="180"/>
      <c r="K102" s="180">
        <f t="shared" si="34"/>
        <v>0</v>
      </c>
    </row>
    <row r="103" spans="2:11" ht="23" hidden="1" customHeight="1">
      <c r="B103" s="76"/>
      <c r="C103" s="138"/>
      <c r="D103" s="76"/>
      <c r="E103" s="178" t="s">
        <v>184</v>
      </c>
      <c r="F103" s="179" t="str">
        <f>Cuentas!B20</f>
        <v>O</v>
      </c>
      <c r="G103" s="180">
        <f t="shared" si="32"/>
        <v>0</v>
      </c>
      <c r="H103" s="181"/>
      <c r="I103" s="180">
        <f t="shared" si="33"/>
        <v>0</v>
      </c>
      <c r="J103" s="180"/>
      <c r="K103" s="180">
        <f t="shared" si="34"/>
        <v>0</v>
      </c>
    </row>
    <row r="104" spans="2:11" ht="23" hidden="1" customHeight="1">
      <c r="B104" s="76"/>
      <c r="C104" s="138"/>
      <c r="D104" s="76"/>
      <c r="E104" s="178" t="s">
        <v>184</v>
      </c>
      <c r="F104" s="179" t="str">
        <f>Cuentas!B21</f>
        <v>P</v>
      </c>
      <c r="G104" s="180">
        <f t="shared" si="32"/>
        <v>0</v>
      </c>
      <c r="H104" s="181"/>
      <c r="I104" s="180">
        <f t="shared" si="33"/>
        <v>0</v>
      </c>
      <c r="J104" s="180"/>
      <c r="K104" s="180">
        <f t="shared" si="34"/>
        <v>0</v>
      </c>
    </row>
    <row r="105" spans="2:11" ht="23" hidden="1" customHeight="1">
      <c r="B105" s="76"/>
      <c r="C105" s="138"/>
      <c r="D105" s="76"/>
      <c r="E105" s="178" t="s">
        <v>184</v>
      </c>
      <c r="F105" s="179" t="str">
        <f>Cuentas!B22</f>
        <v>Q</v>
      </c>
      <c r="G105" s="180">
        <f t="shared" si="32"/>
        <v>0</v>
      </c>
      <c r="H105" s="181"/>
      <c r="I105" s="180">
        <f t="shared" si="33"/>
        <v>0</v>
      </c>
      <c r="J105" s="180"/>
      <c r="K105" s="180">
        <f t="shared" si="34"/>
        <v>0</v>
      </c>
    </row>
    <row r="106" spans="2:11" ht="23" hidden="1" customHeight="1">
      <c r="B106" s="76"/>
      <c r="C106" s="138"/>
      <c r="D106" s="76"/>
      <c r="E106" s="178" t="s">
        <v>184</v>
      </c>
      <c r="F106" s="179" t="str">
        <f>Cuentas!B23</f>
        <v>R</v>
      </c>
      <c r="G106" s="180">
        <f t="shared" si="32"/>
        <v>0</v>
      </c>
      <c r="H106" s="181"/>
      <c r="I106" s="180">
        <f t="shared" si="33"/>
        <v>0</v>
      </c>
      <c r="J106" s="180"/>
      <c r="K106" s="180">
        <f t="shared" si="34"/>
        <v>0</v>
      </c>
    </row>
    <row r="107" spans="2:11" ht="23" hidden="1" customHeight="1">
      <c r="B107" s="76"/>
      <c r="C107" s="138"/>
      <c r="D107" s="76"/>
      <c r="E107" s="178" t="s">
        <v>184</v>
      </c>
      <c r="F107" s="179" t="str">
        <f>Cuentas!B24</f>
        <v>S</v>
      </c>
      <c r="G107" s="180">
        <f t="shared" si="32"/>
        <v>0</v>
      </c>
      <c r="H107" s="181"/>
      <c r="I107" s="180">
        <f t="shared" si="33"/>
        <v>0</v>
      </c>
      <c r="J107" s="180"/>
      <c r="K107" s="180">
        <f t="shared" si="34"/>
        <v>0</v>
      </c>
    </row>
    <row r="108" spans="2:11" ht="23" hidden="1" customHeight="1">
      <c r="B108" s="76"/>
      <c r="C108" s="138"/>
      <c r="D108" s="76"/>
      <c r="E108" s="178" t="s">
        <v>184</v>
      </c>
      <c r="F108" s="179" t="str">
        <f>Cuentas!B25</f>
        <v>T</v>
      </c>
      <c r="G108" s="180">
        <f t="shared" si="32"/>
        <v>0</v>
      </c>
      <c r="H108" s="181"/>
      <c r="I108" s="180">
        <f t="shared" si="33"/>
        <v>0</v>
      </c>
      <c r="J108" s="180"/>
      <c r="K108" s="180">
        <f t="shared" si="34"/>
        <v>0</v>
      </c>
    </row>
    <row r="109" spans="2:11" ht="23" hidden="1" customHeight="1">
      <c r="B109" s="76"/>
      <c r="C109" s="138"/>
      <c r="D109" s="76"/>
      <c r="E109" s="178" t="s">
        <v>184</v>
      </c>
      <c r="F109" s="179" t="str">
        <f>Cuentas!B26</f>
        <v>U</v>
      </c>
      <c r="G109" s="180">
        <f t="shared" si="32"/>
        <v>0</v>
      </c>
      <c r="H109" s="181"/>
      <c r="I109" s="180">
        <f t="shared" si="33"/>
        <v>0</v>
      </c>
      <c r="J109" s="180"/>
      <c r="K109" s="180">
        <f t="shared" si="34"/>
        <v>0</v>
      </c>
    </row>
    <row r="110" spans="2:11" ht="23" customHeight="1">
      <c r="B110" s="76"/>
      <c r="C110" s="138"/>
      <c r="D110" s="76"/>
      <c r="E110" s="149"/>
      <c r="F110" s="148"/>
      <c r="I110" s="150"/>
      <c r="J110" s="148"/>
      <c r="K110" s="150"/>
    </row>
    <row r="111" spans="2:11" ht="23" customHeight="1">
      <c r="B111" s="76"/>
      <c r="C111" s="138"/>
      <c r="D111" s="76"/>
      <c r="E111" s="182"/>
      <c r="F111" s="119" t="s">
        <v>366</v>
      </c>
      <c r="G111" s="183">
        <f>SUM(G89:G110)</f>
        <v>8183.5700000000015</v>
      </c>
      <c r="H111" s="184"/>
      <c r="I111" s="183">
        <f>SUM(I89:I110)</f>
        <v>8183.5700000000015</v>
      </c>
      <c r="J111" s="185"/>
      <c r="K111" s="183">
        <f>SUM(K89:K110)</f>
        <v>164532.557596</v>
      </c>
    </row>
    <row r="113" spans="2:11" ht="23" customHeight="1">
      <c r="G113" s="679">
        <f>+G89+'Dividendos Extranjero'!G547</f>
        <v>110461.06000000001</v>
      </c>
    </row>
    <row r="114" spans="2:11" ht="23" customHeight="1">
      <c r="B114" s="151" t="s">
        <v>232</v>
      </c>
      <c r="C114" s="152"/>
      <c r="D114" s="152"/>
      <c r="E114" s="152"/>
      <c r="F114" s="152"/>
      <c r="G114" s="679">
        <f>+G90+'Dividendos Extranjero'!G548</f>
        <v>2286.11</v>
      </c>
      <c r="H114" s="152"/>
      <c r="I114" s="152"/>
      <c r="J114" s="152"/>
      <c r="K114" s="152"/>
    </row>
    <row r="115" spans="2:11" ht="23" customHeight="1">
      <c r="B115" s="152"/>
      <c r="C115" s="152"/>
      <c r="D115" s="152"/>
      <c r="E115" s="152"/>
      <c r="F115" s="152"/>
      <c r="G115" s="679">
        <f>+G91+'Dividendos Extranjero'!G549</f>
        <v>14235.890000000007</v>
      </c>
      <c r="H115" s="152"/>
      <c r="I115" s="152"/>
      <c r="J115" s="152"/>
      <c r="K115" s="152"/>
    </row>
    <row r="116" spans="2:11" ht="23" customHeight="1">
      <c r="B116" s="152"/>
      <c r="C116" s="152"/>
      <c r="D116" s="152"/>
      <c r="E116" s="152"/>
      <c r="F116" s="152"/>
      <c r="G116" s="679">
        <f>+G92+'Dividendos Extranjero'!G550+'Dividendos Nacionales'!F38</f>
        <v>300869.56</v>
      </c>
      <c r="H116" s="152"/>
      <c r="I116" s="152"/>
      <c r="J116" s="152"/>
      <c r="K116" s="152"/>
    </row>
    <row r="117" spans="2:11" ht="23" customHeight="1">
      <c r="B117" s="152"/>
      <c r="C117" s="152"/>
      <c r="D117" s="152"/>
      <c r="E117" s="152"/>
      <c r="F117" s="152"/>
      <c r="G117" s="679">
        <f>+G93+'Dividendos Extranjero'!G551</f>
        <v>45.559999999999995</v>
      </c>
      <c r="H117" s="152"/>
      <c r="I117" s="152"/>
      <c r="J117" s="152"/>
      <c r="K117" s="152"/>
    </row>
    <row r="118" spans="2:11" ht="23" customHeight="1">
      <c r="B118" s="152"/>
      <c r="C118" s="152"/>
      <c r="D118" s="152"/>
      <c r="E118" s="152"/>
      <c r="F118" s="152"/>
      <c r="G118" s="679">
        <f>+G94+'Dividendos Extranjero'!G552</f>
        <v>710084.6100000001</v>
      </c>
      <c r="H118" s="152"/>
      <c r="I118" s="152"/>
      <c r="J118" s="152"/>
      <c r="K118" s="152"/>
    </row>
    <row r="119" spans="2:11" ht="23" customHeight="1">
      <c r="B119" s="152"/>
      <c r="C119" s="152"/>
      <c r="D119" s="152"/>
      <c r="E119" s="152"/>
      <c r="F119" s="152"/>
      <c r="G119" s="679">
        <f>+G95+'Dividendos Extranjero'!G553</f>
        <v>105438.00999999997</v>
      </c>
      <c r="H119" s="152"/>
      <c r="I119" s="152"/>
      <c r="J119" s="152"/>
      <c r="K119" s="152"/>
    </row>
    <row r="120" spans="2:11" ht="23" customHeight="1">
      <c r="B120" s="152"/>
      <c r="C120" s="152"/>
      <c r="D120" s="152"/>
      <c r="E120" s="152"/>
      <c r="F120" s="152"/>
      <c r="G120" s="152"/>
      <c r="H120" s="152"/>
      <c r="I120" s="152"/>
      <c r="J120" s="152"/>
      <c r="K120" s="152"/>
    </row>
    <row r="121" spans="2:11" ht="23" customHeight="1">
      <c r="B121" s="152"/>
      <c r="C121" s="152"/>
      <c r="D121" s="152"/>
      <c r="E121" s="152"/>
      <c r="F121" s="152"/>
      <c r="G121" s="152"/>
      <c r="H121" s="152"/>
      <c r="I121" s="152"/>
      <c r="J121" s="152"/>
      <c r="K121" s="152"/>
    </row>
  </sheetData>
  <sheetProtection algorithmName="SHA-512" hashValue="beYRahfTBsuTsQ7ujV9NPY3RJOnLCmEsEA3Bu1WoMhYL0ZzSrI1evFV7i2pCkv00yvI9tIoqHQ5Jg1mUpS/rXA==" saltValue="ZY41SKH0M8z9ppBSWosWpw==" spinCount="100000" sheet="1" formatCells="0" formatColumns="0" formatRows="0" insertColumns="0" insertRows="0" deleteColumns="0" deleteRows="0" sort="0" autoFilter="0"/>
  <autoFilter ref="B6:K84" xr:uid="{D23C670A-1EC3-9140-A714-CCEC95CC4420}"/>
  <mergeCells count="2">
    <mergeCell ref="B2:K2"/>
    <mergeCell ref="B3:K3"/>
  </mergeCells>
  <phoneticPr fontId="8" type="noConversion"/>
  <dataValidations disablePrompts="1" count="1">
    <dataValidation type="list" allowBlank="1" showInputMessage="1" showErrorMessage="1" promptTitle="OJO:" prompt="Selecciona una opción_x000a_" sqref="C8:C82" xr:uid="{00000000-0002-0000-0400-000001000000}">
      <formula1>Intereses</formula1>
    </dataValidation>
  </dataValidations>
  <printOptions horizontalCentered="1"/>
  <pageMargins left="0.7" right="0.7" top="0.75" bottom="0.75" header="0.3" footer="0.3"/>
  <pageSetup scale="46" fitToHeight="3" orientation="landscape" horizontalDpi="1200" verticalDpi="1200"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promptTitle="OJO:" prompt="Selecciona una moneda" xr:uid="{20B4871A-E4A7-CE4B-8526-3A1B41449CD3}">
          <x14:formula1>
            <xm:f>Equivalencia!$A$4:$A$23</xm:f>
          </x14:formula1>
          <xm:sqref>F8:F82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2:O56"/>
  <sheetViews>
    <sheetView view="pageBreakPreview" zoomScale="110" zoomScaleNormal="80" zoomScaleSheetLayoutView="110" workbookViewId="0">
      <pane ySplit="6" topLeftCell="A12" activePane="bottomLeft" state="frozen"/>
      <selection pane="bottomLeft" activeCell="C16" sqref="C16"/>
    </sheetView>
  </sheetViews>
  <sheetFormatPr baseColWidth="10" defaultColWidth="11.5" defaultRowHeight="23" customHeight="1"/>
  <cols>
    <col min="1" max="1" width="11.5" style="1"/>
    <col min="2" max="2" width="15.83203125" style="1" customWidth="1"/>
    <col min="3" max="3" width="29.1640625" style="1" customWidth="1"/>
    <col min="4" max="4" width="15.83203125" style="1" customWidth="1"/>
    <col min="5" max="5" width="60.5" style="1" customWidth="1"/>
    <col min="6" max="6" width="17.6640625" style="1" customWidth="1"/>
    <col min="7" max="7" width="18.83203125" style="1" customWidth="1"/>
    <col min="8" max="8" width="14.6640625" style="1" customWidth="1"/>
    <col min="9" max="9" width="18.83203125" style="1" customWidth="1"/>
    <col min="10" max="10" width="17.5" style="1" customWidth="1"/>
    <col min="11" max="11" width="18.83203125" style="1" customWidth="1"/>
    <col min="12" max="14" width="11.5" style="1"/>
    <col min="15" max="15" width="25" style="1" bestFit="1" customWidth="1"/>
    <col min="16" max="16384" width="11.5" style="1"/>
  </cols>
  <sheetData>
    <row r="2" spans="2:15" ht="23" customHeight="1">
      <c r="B2" s="737" t="s">
        <v>676</v>
      </c>
      <c r="C2" s="737"/>
      <c r="D2" s="737"/>
      <c r="E2" s="737"/>
      <c r="F2" s="737"/>
      <c r="G2" s="737"/>
      <c r="H2" s="737"/>
      <c r="I2" s="737"/>
      <c r="J2" s="737"/>
      <c r="K2" s="737"/>
      <c r="O2" s="135" t="s">
        <v>189</v>
      </c>
    </row>
    <row r="3" spans="2:15" ht="23" customHeight="1">
      <c r="B3" s="736" t="s">
        <v>648</v>
      </c>
      <c r="C3" s="736"/>
      <c r="D3" s="736"/>
      <c r="E3" s="736"/>
      <c r="F3" s="736"/>
      <c r="G3" s="736"/>
      <c r="H3" s="736"/>
      <c r="I3" s="736"/>
      <c r="J3" s="736"/>
      <c r="K3" s="736"/>
      <c r="O3" s="135" t="s">
        <v>641</v>
      </c>
    </row>
    <row r="4" spans="2:15" ht="14" customHeight="1">
      <c r="B4" s="24" t="s">
        <v>446</v>
      </c>
      <c r="C4" s="24" t="s">
        <v>679</v>
      </c>
      <c r="D4" s="24"/>
      <c r="E4" s="123"/>
      <c r="F4" s="123"/>
      <c r="G4" s="123"/>
      <c r="H4" s="123"/>
      <c r="I4" s="123"/>
      <c r="J4" s="123"/>
      <c r="K4" s="123"/>
      <c r="O4" s="135">
        <v>3</v>
      </c>
    </row>
    <row r="5" spans="2:15" ht="23" customHeight="1">
      <c r="B5" s="31"/>
      <c r="C5" s="31"/>
      <c r="D5" s="31"/>
      <c r="E5" s="32"/>
      <c r="F5" s="32"/>
      <c r="G5" s="32"/>
      <c r="H5" s="32"/>
      <c r="I5" s="32"/>
      <c r="J5" s="32"/>
      <c r="K5" s="32"/>
      <c r="O5" s="135">
        <v>4</v>
      </c>
    </row>
    <row r="6" spans="2:15" s="85" customFormat="1" ht="30">
      <c r="B6" s="153" t="s">
        <v>178</v>
      </c>
      <c r="C6" s="153" t="s">
        <v>53</v>
      </c>
      <c r="D6" s="120" t="s">
        <v>54</v>
      </c>
      <c r="E6" s="120" t="s">
        <v>55</v>
      </c>
      <c r="F6" s="120" t="s">
        <v>208</v>
      </c>
      <c r="G6" s="120" t="s">
        <v>210</v>
      </c>
      <c r="H6" s="120" t="s">
        <v>56</v>
      </c>
      <c r="I6" s="120" t="s">
        <v>57</v>
      </c>
      <c r="J6" s="120" t="s">
        <v>364</v>
      </c>
      <c r="K6" s="120" t="s">
        <v>58</v>
      </c>
      <c r="O6" s="1"/>
    </row>
    <row r="7" spans="2:15" ht="16">
      <c r="B7" s="76"/>
      <c r="C7" s="140"/>
      <c r="D7" s="140"/>
      <c r="E7" s="138"/>
      <c r="F7" s="186"/>
      <c r="G7" s="76"/>
      <c r="H7" s="141"/>
      <c r="I7" s="142"/>
      <c r="J7" s="143"/>
      <c r="K7" s="142"/>
    </row>
    <row r="8" spans="2:15" s="134" customFormat="1" ht="23" customHeight="1">
      <c r="B8" s="7" t="s">
        <v>3</v>
      </c>
      <c r="C8" s="193"/>
      <c r="D8" s="159"/>
      <c r="E8" s="194"/>
      <c r="F8" s="195"/>
      <c r="G8" s="161"/>
      <c r="H8" s="162">
        <f>IF(F8=0,0,IF(F8="MXN",1/HLOOKUP(YEAR(D8)+(MONTH(D8)/100),TC!$5:$37,DAY(D8)+2,FALSE),VLOOKUP(F8,Equivalencia!$1:$23,((MAX(Equivalencia!$3:$3)-YEAR(D8))*14)+MONTH(D8)+2,FALSE)))</f>
        <v>0</v>
      </c>
      <c r="I8" s="163">
        <f t="shared" ref="I8:I13" si="0">+H8*G8</f>
        <v>0</v>
      </c>
      <c r="J8" s="162">
        <f>IF(D8=0,0,HLOOKUP(YEAR(D8)+(MONTH(D8)/100),TC!$5:$37,DAY(D8)+2,FALSE))</f>
        <v>0</v>
      </c>
      <c r="K8" s="163">
        <f t="shared" ref="K8:K13" si="1">+I8*J8</f>
        <v>0</v>
      </c>
      <c r="O8" s="1"/>
    </row>
    <row r="9" spans="2:15" s="134" customFormat="1" ht="23" customHeight="1">
      <c r="B9" s="7" t="s">
        <v>4</v>
      </c>
      <c r="C9" s="193"/>
      <c r="D9" s="159"/>
      <c r="E9" s="194"/>
      <c r="F9" s="195"/>
      <c r="G9" s="161"/>
      <c r="H9" s="162">
        <f>IF(F9=0,0,IF(F9="MXN",1/HLOOKUP(YEAR(D9)+(MONTH(D9)/100),TC!$5:$37,DAY(D9)+2,FALSE),VLOOKUP(F9,Equivalencia!$1:$23,((MAX(Equivalencia!$3:$3)-YEAR(D9))*14)+MONTH(D9)+2,FALSE)))</f>
        <v>0</v>
      </c>
      <c r="I9" s="163">
        <f t="shared" si="0"/>
        <v>0</v>
      </c>
      <c r="J9" s="162">
        <f>IF(D9=0,0,HLOOKUP(YEAR(D9)+(MONTH(D9)/100),TC!$5:$37,DAY(D9)+2,FALSE))</f>
        <v>0</v>
      </c>
      <c r="K9" s="163">
        <f t="shared" si="1"/>
        <v>0</v>
      </c>
      <c r="O9" s="1"/>
    </row>
    <row r="10" spans="2:15" s="134" customFormat="1" ht="23" customHeight="1">
      <c r="B10" s="7" t="s">
        <v>5</v>
      </c>
      <c r="C10" s="193"/>
      <c r="D10" s="159"/>
      <c r="E10" s="194"/>
      <c r="F10" s="195"/>
      <c r="G10" s="161"/>
      <c r="H10" s="162">
        <f>IF(F10=0,0,IF(F10="MXN",1/HLOOKUP(YEAR(D10)+(MONTH(D10)/100),TC!$5:$37,DAY(D10)+2,FALSE),VLOOKUP(F10,Equivalencia!$1:$23,((MAX(Equivalencia!$3:$3)-YEAR(D10))*14)+MONTH(D10)+2,FALSE)))</f>
        <v>0</v>
      </c>
      <c r="I10" s="163">
        <f t="shared" si="0"/>
        <v>0</v>
      </c>
      <c r="J10" s="162">
        <f>IF(D10=0,0,HLOOKUP(YEAR(D10)+(MONTH(D10)/100),TC!$5:$37,DAY(D10)+2,FALSE))</f>
        <v>0</v>
      </c>
      <c r="K10" s="163">
        <f t="shared" si="1"/>
        <v>0</v>
      </c>
      <c r="O10" s="85"/>
    </row>
    <row r="11" spans="2:15" s="134" customFormat="1" ht="23" customHeight="1">
      <c r="B11" s="7" t="s">
        <v>6</v>
      </c>
      <c r="C11" s="193"/>
      <c r="D11" s="159"/>
      <c r="E11" s="194"/>
      <c r="F11" s="195"/>
      <c r="G11" s="161"/>
      <c r="H11" s="162">
        <f>IF(F11=0,0,IF(F11="MXN",1/HLOOKUP(YEAR(D11)+(MONTH(D11)/100),TC!$5:$37,DAY(D11)+2,FALSE),VLOOKUP(F11,Equivalencia!$1:$23,((MAX(Equivalencia!$3:$3)-YEAR(D11))*14)+MONTH(D11)+2,FALSE)))</f>
        <v>0</v>
      </c>
      <c r="I11" s="163">
        <f t="shared" si="0"/>
        <v>0</v>
      </c>
      <c r="J11" s="162">
        <f>IF(D11=0,0,HLOOKUP(YEAR(D11)+(MONTH(D11)/100),TC!$5:$37,DAY(D11)+2,FALSE))</f>
        <v>0</v>
      </c>
      <c r="K11" s="163">
        <f t="shared" si="1"/>
        <v>0</v>
      </c>
      <c r="O11" s="1"/>
    </row>
    <row r="12" spans="2:15" s="134" customFormat="1" ht="23" customHeight="1">
      <c r="B12" s="7" t="s">
        <v>7</v>
      </c>
      <c r="C12" s="193"/>
      <c r="D12" s="159"/>
      <c r="E12" s="194"/>
      <c r="F12" s="195"/>
      <c r="G12" s="161"/>
      <c r="H12" s="162">
        <f>IF(F12=0,0,IF(F12="MXN",1/HLOOKUP(YEAR(D12)+(MONTH(D12)/100),TC!$5:$37,DAY(D12)+2,FALSE),VLOOKUP(F12,Equivalencia!$1:$23,((MAX(Equivalencia!$3:$3)-YEAR(D12))*14)+MONTH(D12)+2,FALSE)))</f>
        <v>0</v>
      </c>
      <c r="I12" s="163">
        <f t="shared" si="0"/>
        <v>0</v>
      </c>
      <c r="J12" s="162">
        <f>IF(D12=0,0,HLOOKUP(YEAR(D12)+(MONTH(D12)/100),TC!$5:$37,DAY(D12)+2,FALSE))</f>
        <v>0</v>
      </c>
      <c r="K12" s="163">
        <f t="shared" si="1"/>
        <v>0</v>
      </c>
      <c r="O12" s="1"/>
    </row>
    <row r="13" spans="2:15" s="134" customFormat="1" ht="23" customHeight="1">
      <c r="B13" s="7" t="s">
        <v>8</v>
      </c>
      <c r="C13" s="193"/>
      <c r="D13" s="159"/>
      <c r="E13" s="194"/>
      <c r="F13" s="195"/>
      <c r="G13" s="161"/>
      <c r="H13" s="162">
        <f>IF(F13=0,0,IF(F13="MXN",1/HLOOKUP(YEAR(D13)+(MONTH(D13)/100),TC!$5:$37,DAY(D13)+2,FALSE),VLOOKUP(F13,Equivalencia!$1:$23,((MAX(Equivalencia!$3:$3)-YEAR(D13))*14)+MONTH(D13)+2,FALSE)))</f>
        <v>0</v>
      </c>
      <c r="I13" s="163">
        <f t="shared" si="0"/>
        <v>0</v>
      </c>
      <c r="J13" s="162">
        <f>IF(D13=0,0,HLOOKUP(YEAR(D13)+(MONTH(D13)/100),TC!$5:$37,DAY(D13)+2,FALSE))</f>
        <v>0</v>
      </c>
      <c r="K13" s="163">
        <f t="shared" si="1"/>
        <v>0</v>
      </c>
      <c r="O13" s="1"/>
    </row>
    <row r="14" spans="2:15" ht="23" customHeight="1">
      <c r="B14" s="45"/>
      <c r="C14" s="76"/>
      <c r="D14" s="140"/>
      <c r="E14" s="140"/>
      <c r="F14" s="142"/>
      <c r="G14" s="141"/>
      <c r="H14" s="142"/>
      <c r="I14" s="142"/>
      <c r="J14" s="143"/>
      <c r="K14" s="142"/>
    </row>
    <row r="15" spans="2:15" ht="23" customHeight="1">
      <c r="B15" s="196" t="s">
        <v>460</v>
      </c>
      <c r="C15" s="197"/>
      <c r="D15" s="198"/>
      <c r="E15" s="198"/>
      <c r="F15" s="198"/>
      <c r="G15" s="198">
        <f>SUM(G7:G14)</f>
        <v>0</v>
      </c>
      <c r="H15" s="198"/>
      <c r="I15" s="198">
        <f>SUM(I7:I14)</f>
        <v>0</v>
      </c>
      <c r="J15" s="198"/>
      <c r="K15" s="198">
        <f>SUM(K7:K14)</f>
        <v>0</v>
      </c>
    </row>
    <row r="16" spans="2:15" ht="23" customHeight="1">
      <c r="B16" s="3"/>
      <c r="G16" s="3"/>
      <c r="J16" s="187"/>
      <c r="K16" s="188"/>
    </row>
    <row r="17" spans="2:15" ht="23" customHeight="1">
      <c r="B17" s="3"/>
      <c r="G17" s="3"/>
      <c r="J17" s="187"/>
      <c r="K17" s="188"/>
    </row>
    <row r="18" spans="2:15" s="85" customFormat="1" ht="30">
      <c r="B18" s="192"/>
      <c r="G18" s="175" t="s">
        <v>418</v>
      </c>
      <c r="I18" s="175" t="s">
        <v>357</v>
      </c>
      <c r="J18" s="177"/>
      <c r="K18" s="175" t="s">
        <v>358</v>
      </c>
      <c r="O18" s="1"/>
    </row>
    <row r="19" spans="2:15" ht="23" customHeight="1">
      <c r="B19" s="3"/>
      <c r="G19" s="3"/>
      <c r="I19" s="136"/>
      <c r="J19" s="189"/>
      <c r="K19" s="190"/>
    </row>
    <row r="20" spans="2:15" ht="23" customHeight="1">
      <c r="B20" s="3"/>
      <c r="E20" s="178" t="s">
        <v>458</v>
      </c>
      <c r="F20" s="179" t="str">
        <f>Cuentas!B6</f>
        <v>31XX29</v>
      </c>
      <c r="G20" s="199">
        <f t="shared" ref="G20:G40" si="2">SUMIF($B$7:$B$532,F20,$G$7:$G$532)</f>
        <v>0</v>
      </c>
      <c r="H20" s="200"/>
      <c r="I20" s="199">
        <f t="shared" ref="I20:I40" si="3">SUMIF($B$7:$B$532,F20,$I$7:$I$532)</f>
        <v>0</v>
      </c>
      <c r="J20" s="201"/>
      <c r="K20" s="199">
        <f t="shared" ref="K20:K40" si="4">SUMIF($B$7:$B$532,F20,$K$7:$K$532)</f>
        <v>0</v>
      </c>
    </row>
    <row r="21" spans="2:15" ht="23" customHeight="1">
      <c r="B21" s="3"/>
      <c r="E21" s="178" t="s">
        <v>458</v>
      </c>
      <c r="F21" s="179" t="str">
        <f>Cuentas!B7</f>
        <v>11XX300</v>
      </c>
      <c r="G21" s="199">
        <f t="shared" si="2"/>
        <v>0</v>
      </c>
      <c r="H21" s="200"/>
      <c r="I21" s="199">
        <f t="shared" si="3"/>
        <v>0</v>
      </c>
      <c r="J21" s="201"/>
      <c r="K21" s="199">
        <f t="shared" si="4"/>
        <v>0</v>
      </c>
    </row>
    <row r="22" spans="2:15" ht="23" customHeight="1">
      <c r="B22" s="3"/>
      <c r="E22" s="178" t="s">
        <v>458</v>
      </c>
      <c r="F22" s="179" t="str">
        <f>Cuentas!B8</f>
        <v>1XXX100</v>
      </c>
      <c r="G22" s="199">
        <f t="shared" si="2"/>
        <v>0</v>
      </c>
      <c r="H22" s="200"/>
      <c r="I22" s="199">
        <f t="shared" si="3"/>
        <v>0</v>
      </c>
      <c r="J22" s="201"/>
      <c r="K22" s="199">
        <f t="shared" si="4"/>
        <v>0</v>
      </c>
    </row>
    <row r="23" spans="2:15" ht="23" customHeight="1">
      <c r="B23" s="3"/>
      <c r="E23" s="178" t="s">
        <v>458</v>
      </c>
      <c r="F23" s="179" t="str">
        <f>Cuentas!B9</f>
        <v>B467XXX05</v>
      </c>
      <c r="G23" s="199">
        <f t="shared" si="2"/>
        <v>0</v>
      </c>
      <c r="H23" s="200"/>
      <c r="I23" s="199">
        <f t="shared" si="3"/>
        <v>0</v>
      </c>
      <c r="J23" s="201"/>
      <c r="K23" s="199">
        <f t="shared" si="4"/>
        <v>0</v>
      </c>
    </row>
    <row r="24" spans="2:15" ht="23" customHeight="1">
      <c r="B24" s="3"/>
      <c r="E24" s="178" t="s">
        <v>458</v>
      </c>
      <c r="F24" s="179" t="str">
        <f>Cuentas!B10</f>
        <v>677-0XXX52-670</v>
      </c>
      <c r="G24" s="199">
        <f t="shared" si="2"/>
        <v>0</v>
      </c>
      <c r="H24" s="200"/>
      <c r="I24" s="199">
        <f t="shared" si="3"/>
        <v>0</v>
      </c>
      <c r="J24" s="201"/>
      <c r="K24" s="199">
        <f t="shared" si="4"/>
        <v>0</v>
      </c>
    </row>
    <row r="25" spans="2:15" ht="23" customHeight="1">
      <c r="B25" s="3"/>
      <c r="E25" s="178" t="s">
        <v>458</v>
      </c>
      <c r="F25" s="179" t="str">
        <f>Cuentas!B11</f>
        <v>677-0XXX53-471</v>
      </c>
      <c r="G25" s="199">
        <f t="shared" si="2"/>
        <v>0</v>
      </c>
      <c r="H25" s="200"/>
      <c r="I25" s="199">
        <f t="shared" si="3"/>
        <v>0</v>
      </c>
      <c r="J25" s="201"/>
      <c r="K25" s="199">
        <f t="shared" si="4"/>
        <v>0</v>
      </c>
    </row>
    <row r="26" spans="2:15" ht="23" customHeight="1">
      <c r="B26" s="3"/>
      <c r="E26" s="178" t="s">
        <v>458</v>
      </c>
      <c r="F26" s="179" t="str">
        <f>Cuentas!B12</f>
        <v>4H 0XXX0 RB</v>
      </c>
      <c r="G26" s="199">
        <f t="shared" si="2"/>
        <v>0</v>
      </c>
      <c r="H26" s="200"/>
      <c r="I26" s="199">
        <f t="shared" si="3"/>
        <v>0</v>
      </c>
      <c r="J26" s="201"/>
      <c r="K26" s="199">
        <f t="shared" si="4"/>
        <v>0</v>
      </c>
    </row>
    <row r="27" spans="2:15" ht="23" customHeight="1">
      <c r="B27" s="3"/>
      <c r="E27" s="178" t="s">
        <v>458</v>
      </c>
      <c r="F27" s="179" t="str">
        <f>Cuentas!B13</f>
        <v>H</v>
      </c>
      <c r="G27" s="199">
        <f t="shared" si="2"/>
        <v>0</v>
      </c>
      <c r="H27" s="200"/>
      <c r="I27" s="199">
        <f t="shared" si="3"/>
        <v>0</v>
      </c>
      <c r="J27" s="201"/>
      <c r="K27" s="199">
        <f t="shared" si="4"/>
        <v>0</v>
      </c>
    </row>
    <row r="28" spans="2:15" ht="23" customHeight="1">
      <c r="B28" s="3"/>
      <c r="E28" s="178" t="s">
        <v>458</v>
      </c>
      <c r="F28" s="179" t="str">
        <f>Cuentas!B14</f>
        <v>I</v>
      </c>
      <c r="G28" s="199">
        <f t="shared" si="2"/>
        <v>0</v>
      </c>
      <c r="H28" s="200"/>
      <c r="I28" s="199">
        <f t="shared" si="3"/>
        <v>0</v>
      </c>
      <c r="J28" s="201"/>
      <c r="K28" s="199">
        <f t="shared" si="4"/>
        <v>0</v>
      </c>
    </row>
    <row r="29" spans="2:15" ht="23" customHeight="1">
      <c r="B29" s="3"/>
      <c r="E29" s="178" t="s">
        <v>458</v>
      </c>
      <c r="F29" s="179" t="str">
        <f>Cuentas!B15</f>
        <v>J</v>
      </c>
      <c r="G29" s="199">
        <f t="shared" si="2"/>
        <v>0</v>
      </c>
      <c r="H29" s="200"/>
      <c r="I29" s="199">
        <f t="shared" si="3"/>
        <v>0</v>
      </c>
      <c r="J29" s="201"/>
      <c r="K29" s="199">
        <f t="shared" si="4"/>
        <v>0</v>
      </c>
    </row>
    <row r="30" spans="2:15" ht="23" customHeight="1">
      <c r="B30" s="3"/>
      <c r="E30" s="178" t="s">
        <v>458</v>
      </c>
      <c r="F30" s="179" t="str">
        <f>Cuentas!B16</f>
        <v>K</v>
      </c>
      <c r="G30" s="199">
        <f t="shared" si="2"/>
        <v>0</v>
      </c>
      <c r="H30" s="200"/>
      <c r="I30" s="199">
        <f t="shared" si="3"/>
        <v>0</v>
      </c>
      <c r="J30" s="201"/>
      <c r="K30" s="199">
        <f t="shared" si="4"/>
        <v>0</v>
      </c>
    </row>
    <row r="31" spans="2:15" ht="23" customHeight="1">
      <c r="B31" s="3"/>
      <c r="E31" s="178" t="s">
        <v>458</v>
      </c>
      <c r="F31" s="179" t="str">
        <f>Cuentas!B17</f>
        <v>L</v>
      </c>
      <c r="G31" s="199">
        <f t="shared" si="2"/>
        <v>0</v>
      </c>
      <c r="H31" s="200"/>
      <c r="I31" s="199">
        <f t="shared" si="3"/>
        <v>0</v>
      </c>
      <c r="J31" s="201"/>
      <c r="K31" s="199">
        <f t="shared" si="4"/>
        <v>0</v>
      </c>
    </row>
    <row r="32" spans="2:15" ht="23" customHeight="1">
      <c r="B32" s="3"/>
      <c r="E32" s="178" t="s">
        <v>458</v>
      </c>
      <c r="F32" s="179" t="str">
        <f>Cuentas!B18</f>
        <v>M</v>
      </c>
      <c r="G32" s="199">
        <f t="shared" si="2"/>
        <v>0</v>
      </c>
      <c r="H32" s="200"/>
      <c r="I32" s="199">
        <f t="shared" si="3"/>
        <v>0</v>
      </c>
      <c r="J32" s="201"/>
      <c r="K32" s="199">
        <f t="shared" si="4"/>
        <v>0</v>
      </c>
    </row>
    <row r="33" spans="2:11" ht="23" customHeight="1">
      <c r="B33" s="3"/>
      <c r="E33" s="178" t="s">
        <v>458</v>
      </c>
      <c r="F33" s="179" t="str">
        <f>Cuentas!B19</f>
        <v>N</v>
      </c>
      <c r="G33" s="199">
        <f t="shared" si="2"/>
        <v>0</v>
      </c>
      <c r="H33" s="200"/>
      <c r="I33" s="199">
        <f t="shared" si="3"/>
        <v>0</v>
      </c>
      <c r="J33" s="201"/>
      <c r="K33" s="199">
        <f t="shared" si="4"/>
        <v>0</v>
      </c>
    </row>
    <row r="34" spans="2:11" ht="23" customHeight="1">
      <c r="B34" s="3"/>
      <c r="E34" s="178" t="s">
        <v>458</v>
      </c>
      <c r="F34" s="179" t="str">
        <f>Cuentas!B20</f>
        <v>O</v>
      </c>
      <c r="G34" s="199">
        <f t="shared" si="2"/>
        <v>0</v>
      </c>
      <c r="H34" s="200"/>
      <c r="I34" s="199">
        <f t="shared" si="3"/>
        <v>0</v>
      </c>
      <c r="J34" s="201"/>
      <c r="K34" s="199">
        <f t="shared" si="4"/>
        <v>0</v>
      </c>
    </row>
    <row r="35" spans="2:11" ht="23" customHeight="1">
      <c r="B35" s="3"/>
      <c r="E35" s="178" t="s">
        <v>458</v>
      </c>
      <c r="F35" s="179" t="str">
        <f>Cuentas!B21</f>
        <v>P</v>
      </c>
      <c r="G35" s="199">
        <f t="shared" si="2"/>
        <v>0</v>
      </c>
      <c r="H35" s="200"/>
      <c r="I35" s="199">
        <f t="shared" si="3"/>
        <v>0</v>
      </c>
      <c r="J35" s="201"/>
      <c r="K35" s="199">
        <f t="shared" si="4"/>
        <v>0</v>
      </c>
    </row>
    <row r="36" spans="2:11" ht="23" customHeight="1">
      <c r="B36" s="3"/>
      <c r="E36" s="178" t="s">
        <v>458</v>
      </c>
      <c r="F36" s="179" t="str">
        <f>Cuentas!B22</f>
        <v>Q</v>
      </c>
      <c r="G36" s="199">
        <f t="shared" si="2"/>
        <v>0</v>
      </c>
      <c r="H36" s="200"/>
      <c r="I36" s="199">
        <f t="shared" si="3"/>
        <v>0</v>
      </c>
      <c r="J36" s="201"/>
      <c r="K36" s="199">
        <f t="shared" si="4"/>
        <v>0</v>
      </c>
    </row>
    <row r="37" spans="2:11" ht="23" customHeight="1">
      <c r="B37" s="3"/>
      <c r="E37" s="178" t="s">
        <v>458</v>
      </c>
      <c r="F37" s="179" t="str">
        <f>Cuentas!B23</f>
        <v>R</v>
      </c>
      <c r="G37" s="199">
        <f t="shared" si="2"/>
        <v>0</v>
      </c>
      <c r="H37" s="200"/>
      <c r="I37" s="199">
        <f t="shared" si="3"/>
        <v>0</v>
      </c>
      <c r="J37" s="201"/>
      <c r="K37" s="199">
        <f t="shared" si="4"/>
        <v>0</v>
      </c>
    </row>
    <row r="38" spans="2:11" ht="23" customHeight="1">
      <c r="B38" s="3"/>
      <c r="E38" s="178" t="s">
        <v>458</v>
      </c>
      <c r="F38" s="179" t="str">
        <f>Cuentas!B24</f>
        <v>S</v>
      </c>
      <c r="G38" s="199">
        <f t="shared" si="2"/>
        <v>0</v>
      </c>
      <c r="H38" s="200"/>
      <c r="I38" s="199">
        <f t="shared" si="3"/>
        <v>0</v>
      </c>
      <c r="J38" s="201"/>
      <c r="K38" s="199">
        <f t="shared" si="4"/>
        <v>0</v>
      </c>
    </row>
    <row r="39" spans="2:11" ht="23" customHeight="1">
      <c r="B39" s="3"/>
      <c r="E39" s="178" t="s">
        <v>458</v>
      </c>
      <c r="F39" s="179" t="str">
        <f>Cuentas!B25</f>
        <v>T</v>
      </c>
      <c r="G39" s="199">
        <f t="shared" si="2"/>
        <v>0</v>
      </c>
      <c r="H39" s="200"/>
      <c r="I39" s="199">
        <f t="shared" si="3"/>
        <v>0</v>
      </c>
      <c r="J39" s="201"/>
      <c r="K39" s="199">
        <f t="shared" si="4"/>
        <v>0</v>
      </c>
    </row>
    <row r="40" spans="2:11" ht="23" customHeight="1">
      <c r="B40" s="3"/>
      <c r="E40" s="178" t="s">
        <v>458</v>
      </c>
      <c r="F40" s="179" t="str">
        <f>Cuentas!B26</f>
        <v>U</v>
      </c>
      <c r="G40" s="199">
        <f t="shared" si="2"/>
        <v>0</v>
      </c>
      <c r="H40" s="200"/>
      <c r="I40" s="199">
        <f t="shared" si="3"/>
        <v>0</v>
      </c>
      <c r="J40" s="201"/>
      <c r="K40" s="199">
        <f t="shared" si="4"/>
        <v>0</v>
      </c>
    </row>
    <row r="41" spans="2:11" ht="23" customHeight="1">
      <c r="B41" s="3"/>
      <c r="E41" s="3"/>
    </row>
    <row r="42" spans="2:11" ht="23" customHeight="1">
      <c r="B42" s="3"/>
      <c r="E42" s="202"/>
      <c r="F42" s="119" t="s">
        <v>459</v>
      </c>
      <c r="G42" s="183">
        <f>SUM(G20:G41)</f>
        <v>0</v>
      </c>
      <c r="H42" s="103"/>
      <c r="I42" s="183">
        <f>SUM(I20:I41)</f>
        <v>0</v>
      </c>
      <c r="J42" s="103"/>
      <c r="K42" s="183">
        <f>SUM(K20:K41)</f>
        <v>0</v>
      </c>
    </row>
    <row r="44" spans="2:11" ht="23" customHeight="1">
      <c r="B44" s="151" t="s">
        <v>232</v>
      </c>
      <c r="C44" s="152"/>
      <c r="D44" s="152"/>
      <c r="E44" s="152"/>
      <c r="F44" s="152"/>
      <c r="G44" s="152"/>
      <c r="H44" s="152"/>
      <c r="I44" s="152"/>
      <c r="J44" s="152"/>
      <c r="K44" s="152"/>
    </row>
    <row r="45" spans="2:11" ht="23" customHeight="1">
      <c r="B45" s="152"/>
      <c r="C45" s="152"/>
      <c r="D45" s="152"/>
      <c r="E45" s="152"/>
      <c r="F45" s="152"/>
      <c r="G45" s="152"/>
      <c r="H45" s="152"/>
      <c r="I45" s="152"/>
      <c r="J45" s="152"/>
      <c r="K45" s="152"/>
    </row>
    <row r="46" spans="2:11" ht="23" customHeight="1">
      <c r="B46" s="152"/>
      <c r="C46" s="152"/>
      <c r="D46" s="152"/>
      <c r="E46" s="152"/>
      <c r="F46" s="152"/>
      <c r="G46" s="152"/>
      <c r="H46" s="152"/>
      <c r="I46" s="152"/>
      <c r="J46" s="152"/>
      <c r="K46" s="152"/>
    </row>
    <row r="47" spans="2:11" ht="23" customHeight="1">
      <c r="B47" s="152"/>
      <c r="C47" s="152"/>
      <c r="D47" s="152"/>
      <c r="E47" s="152"/>
      <c r="F47" s="152"/>
      <c r="G47" s="152"/>
      <c r="H47" s="152"/>
      <c r="I47" s="152"/>
      <c r="J47" s="152"/>
      <c r="K47" s="152"/>
    </row>
    <row r="48" spans="2:11" ht="23" customHeight="1">
      <c r="B48" s="152"/>
      <c r="C48" s="152"/>
      <c r="D48" s="152"/>
      <c r="E48" s="152"/>
      <c r="F48" s="152"/>
      <c r="G48" s="152"/>
      <c r="H48" s="152"/>
      <c r="I48" s="152"/>
      <c r="J48" s="152"/>
      <c r="K48" s="152"/>
    </row>
    <row r="49" spans="2:11" ht="23" customHeight="1">
      <c r="B49" s="152"/>
      <c r="C49" s="152"/>
      <c r="D49" s="152"/>
      <c r="E49" s="152"/>
      <c r="F49" s="152"/>
      <c r="G49" s="152"/>
      <c r="H49" s="152"/>
      <c r="I49" s="152"/>
      <c r="J49" s="152"/>
      <c r="K49" s="152"/>
    </row>
    <row r="50" spans="2:11" ht="23" customHeight="1">
      <c r="B50" s="152"/>
      <c r="C50" s="152"/>
      <c r="D50" s="152"/>
      <c r="E50" s="152"/>
      <c r="F50" s="152"/>
      <c r="G50" s="152"/>
      <c r="H50" s="152"/>
      <c r="I50" s="152"/>
      <c r="J50" s="152"/>
      <c r="K50" s="152"/>
    </row>
    <row r="51" spans="2:11" ht="23" customHeight="1">
      <c r="B51" s="152"/>
      <c r="C51" s="152"/>
      <c r="D51" s="152"/>
      <c r="E51" s="152"/>
      <c r="F51" s="152"/>
      <c r="G51" s="152"/>
      <c r="H51" s="152"/>
      <c r="I51" s="152"/>
      <c r="J51" s="152"/>
      <c r="K51" s="152"/>
    </row>
    <row r="52" spans="2:11" ht="23" customHeight="1">
      <c r="B52" s="134"/>
      <c r="C52" s="134"/>
      <c r="D52" s="134"/>
      <c r="E52" s="134"/>
      <c r="F52" s="134"/>
      <c r="G52" s="134"/>
      <c r="H52" s="134"/>
      <c r="I52" s="134"/>
      <c r="J52" s="134"/>
      <c r="K52" s="134"/>
    </row>
    <row r="53" spans="2:11" ht="23" customHeight="1">
      <c r="B53" s="134"/>
      <c r="C53" s="134"/>
      <c r="D53" s="134"/>
      <c r="E53" s="134"/>
      <c r="F53" s="134"/>
      <c r="G53" s="134"/>
      <c r="H53" s="134"/>
      <c r="I53" s="134"/>
      <c r="J53" s="134"/>
      <c r="K53" s="134"/>
    </row>
    <row r="54" spans="2:11" ht="23" customHeight="1">
      <c r="B54" s="134"/>
      <c r="C54" s="134"/>
      <c r="D54" s="134"/>
      <c r="E54" s="134"/>
      <c r="F54" s="134"/>
      <c r="G54" s="134"/>
      <c r="H54" s="134"/>
      <c r="I54" s="134"/>
      <c r="J54" s="134"/>
      <c r="K54" s="134"/>
    </row>
    <row r="55" spans="2:11" ht="23" customHeight="1">
      <c r="B55" s="134"/>
      <c r="C55" s="134"/>
      <c r="D55" s="134"/>
      <c r="E55" s="134"/>
      <c r="F55" s="134"/>
      <c r="G55" s="134"/>
      <c r="H55" s="134"/>
      <c r="I55" s="134"/>
      <c r="J55" s="134"/>
      <c r="K55" s="134"/>
    </row>
    <row r="56" spans="2:11" ht="23" customHeight="1">
      <c r="B56" s="134"/>
      <c r="C56" s="134"/>
      <c r="D56" s="134"/>
      <c r="E56" s="134"/>
      <c r="F56" s="134"/>
      <c r="G56" s="134"/>
      <c r="H56" s="134"/>
      <c r="I56" s="134"/>
      <c r="J56" s="134"/>
      <c r="K56" s="134"/>
    </row>
  </sheetData>
  <sheetProtection algorithmName="SHA-512" hashValue="KIJCfvVlAweLwk2nfqXj2dH7thWfrsh+2vbRTh4jeF1g/JvTPRZp8zW7XjwWZbctwDmONQx0RSBVnytoWt8ZVw==" saltValue="7O2pLcHk42RV1iqk6HuqSw==" spinCount="100000" sheet="1" formatCells="0" formatColumns="0" formatRows="0" insertColumns="0" insertRows="0" deleteColumns="0" deleteRows="0" autoFilter="0"/>
  <autoFilter ref="B6:K14" xr:uid="{3DA94C9F-6C0C-AA4D-A636-7B73B6AC0A93}"/>
  <mergeCells count="2">
    <mergeCell ref="B2:K2"/>
    <mergeCell ref="B3:K3"/>
  </mergeCells>
  <phoneticPr fontId="8" type="noConversion"/>
  <dataValidations count="1">
    <dataValidation type="list" allowBlank="1" showInputMessage="1" showErrorMessage="1" promptTitle="OJO:" prompt="Selecciona una opción" sqref="C8:C13" xr:uid="{6CEC7679-716B-DD47-8488-27E6D5CBF7F1}">
      <formula1>$O$2:$O$5</formula1>
    </dataValidation>
  </dataValidations>
  <printOptions horizontalCentered="1"/>
  <pageMargins left="0.7" right="0.7" top="0.75" bottom="0.75" header="0.3" footer="0.3"/>
  <pageSetup scale="50" fitToHeight="3"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OJO:" prompt="Selcciona una moneda" xr:uid="{7E2C63AE-A923-6D40-9269-AFB6D62D0EDA}">
          <x14:formula1>
            <xm:f>Equivalencia!$A$4:$A$23</xm:f>
          </x14:formula1>
          <xm:sqref>F8:F13</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B2:T46"/>
  <sheetViews>
    <sheetView view="pageBreakPreview" topLeftCell="B1" zoomScaleNormal="80" zoomScaleSheetLayoutView="100" workbookViewId="0">
      <pane ySplit="7" topLeftCell="A25" activePane="bottomLeft" state="frozen"/>
      <selection pane="bottomLeft" activeCell="F27" sqref="F27"/>
    </sheetView>
  </sheetViews>
  <sheetFormatPr baseColWidth="10" defaultColWidth="10.83203125" defaultRowHeight="23" customHeight="1"/>
  <cols>
    <col min="1" max="1" width="10.83203125" style="1"/>
    <col min="2" max="2" width="15.83203125" style="1" customWidth="1"/>
    <col min="3" max="3" width="17.6640625" style="1" customWidth="1"/>
    <col min="4" max="4" width="15.83203125" style="1" customWidth="1"/>
    <col min="5" max="5" width="45.83203125" style="1" customWidth="1"/>
    <col min="6" max="6" width="18.83203125" style="1" customWidth="1"/>
    <col min="7" max="7" width="25.1640625" style="1" customWidth="1"/>
    <col min="8" max="8" width="16.5" style="1" customWidth="1"/>
    <col min="9" max="9" width="25.5" style="1" customWidth="1"/>
    <col min="10" max="10" width="17.6640625" style="1" customWidth="1"/>
    <col min="11" max="11" width="25" style="1" customWidth="1"/>
    <col min="12" max="19" width="10.83203125" style="1"/>
    <col min="20" max="20" width="28.83203125" style="1" customWidth="1"/>
    <col min="21" max="16384" width="10.83203125" style="1"/>
  </cols>
  <sheetData>
    <row r="2" spans="2:20" ht="27" customHeight="1">
      <c r="B2" s="738" t="s">
        <v>649</v>
      </c>
      <c r="C2" s="738"/>
      <c r="D2" s="738"/>
      <c r="E2" s="738"/>
      <c r="F2" s="738"/>
      <c r="G2" s="738"/>
      <c r="H2" s="738"/>
      <c r="I2" s="738"/>
      <c r="J2" s="738"/>
      <c r="K2" s="738"/>
      <c r="T2" s="562" t="s">
        <v>642</v>
      </c>
    </row>
    <row r="3" spans="2:20" ht="23" customHeight="1">
      <c r="B3" s="736" t="s">
        <v>648</v>
      </c>
      <c r="C3" s="736"/>
      <c r="D3" s="736"/>
      <c r="E3" s="736"/>
      <c r="F3" s="736"/>
      <c r="G3" s="736"/>
      <c r="H3" s="736"/>
      <c r="I3" s="736"/>
      <c r="J3" s="736"/>
      <c r="K3" s="736"/>
      <c r="T3" s="562"/>
    </row>
    <row r="4" spans="2:20" ht="14" customHeight="1">
      <c r="B4" s="24" t="s">
        <v>446</v>
      </c>
      <c r="C4" s="24" t="s">
        <v>679</v>
      </c>
      <c r="D4" s="24"/>
      <c r="E4" s="24"/>
      <c r="F4" s="123"/>
      <c r="G4" s="123"/>
      <c r="H4" s="123"/>
      <c r="I4" s="123"/>
      <c r="J4" s="123"/>
      <c r="K4" s="123"/>
      <c r="T4" s="562"/>
    </row>
    <row r="5" spans="2:20" ht="23" customHeight="1">
      <c r="B5" s="31"/>
      <c r="C5" s="31"/>
      <c r="D5" s="31"/>
      <c r="E5" s="31"/>
      <c r="F5" s="32"/>
      <c r="G5" s="32"/>
      <c r="H5" s="32"/>
      <c r="I5" s="32"/>
      <c r="J5" s="32"/>
      <c r="K5" s="32"/>
      <c r="T5" s="562"/>
    </row>
    <row r="6" spans="2:20" ht="23" customHeight="1">
      <c r="B6" s="3"/>
      <c r="C6" s="3"/>
      <c r="F6" s="3"/>
      <c r="T6" s="562"/>
    </row>
    <row r="7" spans="2:20" s="85" customFormat="1" ht="30">
      <c r="B7" s="153" t="s">
        <v>178</v>
      </c>
      <c r="C7" s="153" t="s">
        <v>53</v>
      </c>
      <c r="D7" s="120" t="s">
        <v>54</v>
      </c>
      <c r="E7" s="120" t="s">
        <v>55</v>
      </c>
      <c r="F7" s="120" t="s">
        <v>208</v>
      </c>
      <c r="G7" s="120" t="s">
        <v>419</v>
      </c>
      <c r="H7" s="120" t="s">
        <v>56</v>
      </c>
      <c r="I7" s="120" t="s">
        <v>420</v>
      </c>
      <c r="J7" s="120" t="s">
        <v>364</v>
      </c>
      <c r="K7" s="120" t="s">
        <v>421</v>
      </c>
      <c r="T7" s="563"/>
    </row>
    <row r="8" spans="2:20" ht="23" customHeight="1">
      <c r="B8" s="203"/>
      <c r="C8" s="203"/>
      <c r="D8" s="12"/>
      <c r="E8" s="12"/>
      <c r="F8" s="12"/>
      <c r="G8" s="12"/>
      <c r="H8" s="12"/>
      <c r="I8" s="12"/>
      <c r="J8" s="12"/>
      <c r="K8" s="12"/>
    </row>
    <row r="9" spans="2:20" s="134" customFormat="1" ht="23" customHeight="1">
      <c r="B9" s="7" t="s">
        <v>3</v>
      </c>
      <c r="C9" s="7"/>
      <c r="D9" s="159"/>
      <c r="E9" s="211"/>
      <c r="F9" s="7"/>
      <c r="G9" s="161"/>
      <c r="H9" s="162">
        <f>IF(F9=0,0,IF(F9="MXN",1/HLOOKUP(YEAR(D9)+(MONTH(D9)/100),TC!$5:$37,DAY(D9)+2,FALSE),VLOOKUP(F9,Equivalencia!$1:$23,((MAX(Equivalencia!$3:$3)-YEAR(D9))*14)+MONTH(D9)+2,FALSE)))</f>
        <v>0</v>
      </c>
      <c r="I9" s="163">
        <f t="shared" ref="I9:I14" si="0">+H9*G9</f>
        <v>0</v>
      </c>
      <c r="J9" s="162">
        <f>IF(D9=0,0,HLOOKUP(YEAR(D9)+(MONTH(D9)/100),TC!$5:$37,DAY(D9)+2,FALSE))</f>
        <v>0</v>
      </c>
      <c r="K9" s="163">
        <f t="shared" ref="K9:K14" si="1">+I9*J9</f>
        <v>0</v>
      </c>
    </row>
    <row r="10" spans="2:20" s="134" customFormat="1" ht="23" customHeight="1">
      <c r="B10" s="7" t="s">
        <v>4</v>
      </c>
      <c r="C10" s="7"/>
      <c r="D10" s="159"/>
      <c r="E10" s="211"/>
      <c r="F10" s="7"/>
      <c r="G10" s="161"/>
      <c r="H10" s="162">
        <f>IF(F10=0,0,IF(F10="MXN",1/HLOOKUP(YEAR(D10)+(MONTH(D10)/100),TC!$5:$37,DAY(D10)+2,FALSE),VLOOKUP(F10,Equivalencia!$1:$23,((MAX(Equivalencia!$3:$3)-YEAR(D10))*14)+MONTH(D10)+2,FALSE)))</f>
        <v>0</v>
      </c>
      <c r="I10" s="163">
        <f t="shared" si="0"/>
        <v>0</v>
      </c>
      <c r="J10" s="162">
        <f>IF(D10=0,0,HLOOKUP(YEAR(D10)+(MONTH(D10)/100),TC!$5:$37,DAY(D10)+2,FALSE))</f>
        <v>0</v>
      </c>
      <c r="K10" s="163">
        <f t="shared" si="1"/>
        <v>0</v>
      </c>
    </row>
    <row r="11" spans="2:20" s="134" customFormat="1" ht="23" customHeight="1">
      <c r="B11" s="7" t="s">
        <v>5</v>
      </c>
      <c r="C11" s="7"/>
      <c r="D11" s="159"/>
      <c r="E11" s="211"/>
      <c r="F11" s="7"/>
      <c r="G11" s="161"/>
      <c r="H11" s="162">
        <f>IF(F11=0,0,IF(F11="MXN",1/HLOOKUP(YEAR(D11)+(MONTH(D11)/100),TC!$5:$37,DAY(D11)+2,FALSE),VLOOKUP(F11,Equivalencia!$1:$23,((MAX(Equivalencia!$3:$3)-YEAR(D11))*14)+MONTH(D11)+2,FALSE)))</f>
        <v>0</v>
      </c>
      <c r="I11" s="163">
        <f t="shared" si="0"/>
        <v>0</v>
      </c>
      <c r="J11" s="162">
        <f>IF(D11=0,0,HLOOKUP(YEAR(D11)+(MONTH(D11)/100),TC!$5:$37,DAY(D11)+2,FALSE))</f>
        <v>0</v>
      </c>
      <c r="K11" s="163">
        <f t="shared" si="1"/>
        <v>0</v>
      </c>
    </row>
    <row r="12" spans="2:20" s="134" customFormat="1" ht="23" customHeight="1">
      <c r="B12" s="7" t="s">
        <v>6</v>
      </c>
      <c r="C12" s="7"/>
      <c r="D12" s="159"/>
      <c r="E12" s="211"/>
      <c r="F12" s="7"/>
      <c r="G12" s="161"/>
      <c r="H12" s="162">
        <f>IF(F12=0,0,IF(F12="MXN",1/HLOOKUP(YEAR(D12)+(MONTH(D12)/100),TC!$5:$37,DAY(D12)+2,FALSE),VLOOKUP(F12,Equivalencia!$1:$23,((MAX(Equivalencia!$3:$3)-YEAR(D12))*14)+MONTH(D12)+2,FALSE)))</f>
        <v>0</v>
      </c>
      <c r="I12" s="163">
        <f t="shared" si="0"/>
        <v>0</v>
      </c>
      <c r="J12" s="162">
        <f>IF(D12=0,0,HLOOKUP(YEAR(D12)+(MONTH(D12)/100),TC!$5:$37,DAY(D12)+2,FALSE))</f>
        <v>0</v>
      </c>
      <c r="K12" s="163">
        <f t="shared" si="1"/>
        <v>0</v>
      </c>
    </row>
    <row r="13" spans="2:20" s="134" customFormat="1" ht="23" customHeight="1">
      <c r="B13" s="7" t="s">
        <v>7</v>
      </c>
      <c r="C13" s="7"/>
      <c r="D13" s="159"/>
      <c r="E13" s="211"/>
      <c r="F13" s="7"/>
      <c r="G13" s="161"/>
      <c r="H13" s="162">
        <f>IF(F13=0,0,IF(F13="MXN",1/HLOOKUP(YEAR(D13)+(MONTH(D13)/100),TC!$5:$37,DAY(D13)+2,FALSE),VLOOKUP(F13,Equivalencia!$1:$23,((MAX(Equivalencia!$3:$3)-YEAR(D13))*14)+MONTH(D13)+2,FALSE)))</f>
        <v>0</v>
      </c>
      <c r="I13" s="163">
        <f t="shared" si="0"/>
        <v>0</v>
      </c>
      <c r="J13" s="162">
        <f>IF(D13=0,0,HLOOKUP(YEAR(D13)+(MONTH(D13)/100),TC!$5:$37,DAY(D13)+2,FALSE))</f>
        <v>0</v>
      </c>
      <c r="K13" s="163">
        <f t="shared" si="1"/>
        <v>0</v>
      </c>
    </row>
    <row r="14" spans="2:20" s="134" customFormat="1" ht="23" customHeight="1">
      <c r="B14" s="7" t="s">
        <v>8</v>
      </c>
      <c r="C14" s="7"/>
      <c r="D14" s="159"/>
      <c r="E14" s="211"/>
      <c r="F14" s="7"/>
      <c r="G14" s="161"/>
      <c r="H14" s="162">
        <f>IF(F14=0,0,IF(F14="MXN",1/HLOOKUP(YEAR(D14)+(MONTH(D14)/100),TC!$5:$37,DAY(D14)+2,FALSE),VLOOKUP(F14,Equivalencia!$1:$23,((MAX(Equivalencia!$3:$3)-YEAR(D14))*14)+MONTH(D14)+2,FALSE)))</f>
        <v>0</v>
      </c>
      <c r="I14" s="163">
        <f t="shared" si="0"/>
        <v>0</v>
      </c>
      <c r="J14" s="162">
        <f>IF(D14=0,0,HLOOKUP(YEAR(D14)+(MONTH(D14)/100),TC!$5:$37,DAY(D14)+2,FALSE))</f>
        <v>0</v>
      </c>
      <c r="K14" s="163">
        <f t="shared" si="1"/>
        <v>0</v>
      </c>
    </row>
    <row r="15" spans="2:20" ht="23" customHeight="1">
      <c r="B15" s="45"/>
      <c r="C15" s="45"/>
      <c r="D15" s="142"/>
      <c r="E15" s="140"/>
      <c r="F15" s="76"/>
      <c r="G15" s="142"/>
      <c r="H15" s="143"/>
      <c r="I15" s="142"/>
      <c r="J15" s="143"/>
      <c r="K15" s="144"/>
    </row>
    <row r="16" spans="2:20" ht="23" customHeight="1">
      <c r="B16" s="196" t="s">
        <v>367</v>
      </c>
      <c r="C16" s="196"/>
      <c r="D16" s="198"/>
      <c r="E16" s="198"/>
      <c r="F16" s="210"/>
      <c r="G16" s="198">
        <f>SUM(G8:G15)</f>
        <v>0</v>
      </c>
      <c r="H16" s="198"/>
      <c r="I16" s="198">
        <f>SUM(I8:I15)</f>
        <v>0</v>
      </c>
      <c r="J16" s="198"/>
      <c r="K16" s="198">
        <f>SUM(K8:K15)</f>
        <v>0</v>
      </c>
    </row>
    <row r="17" spans="2:11" ht="23" customHeight="1">
      <c r="B17" s="204"/>
      <c r="C17" s="204"/>
      <c r="D17" s="134"/>
      <c r="E17" s="134"/>
      <c r="F17" s="204"/>
      <c r="G17" s="134"/>
      <c r="H17" s="205"/>
      <c r="I17" s="206"/>
      <c r="J17" s="205"/>
      <c r="K17" s="207"/>
    </row>
    <row r="18" spans="2:11" ht="23" customHeight="1">
      <c r="B18" s="204"/>
      <c r="C18" s="204"/>
      <c r="D18" s="134"/>
      <c r="E18" s="134"/>
      <c r="F18" s="204"/>
      <c r="G18" s="134"/>
      <c r="H18" s="205"/>
      <c r="I18" s="206"/>
      <c r="J18" s="205"/>
      <c r="K18" s="207"/>
    </row>
    <row r="19" spans="2:11" s="85" customFormat="1" ht="30">
      <c r="B19" s="208"/>
      <c r="C19" s="208"/>
      <c r="D19" s="154"/>
      <c r="F19" s="192"/>
      <c r="G19" s="120" t="s">
        <v>422</v>
      </c>
      <c r="H19" s="209"/>
      <c r="I19" s="120" t="s">
        <v>423</v>
      </c>
      <c r="J19" s="177"/>
      <c r="K19" s="120" t="s">
        <v>424</v>
      </c>
    </row>
    <row r="20" spans="2:11" ht="23" customHeight="1">
      <c r="B20" s="204"/>
      <c r="C20" s="204"/>
      <c r="D20" s="134"/>
      <c r="F20" s="3"/>
      <c r="H20" s="187"/>
      <c r="I20" s="146"/>
      <c r="J20" s="141"/>
      <c r="K20" s="146"/>
    </row>
    <row r="21" spans="2:11" ht="23" customHeight="1">
      <c r="B21" s="204"/>
      <c r="C21" s="204"/>
      <c r="D21" s="181"/>
      <c r="E21" s="178" t="s">
        <v>185</v>
      </c>
      <c r="F21" s="179" t="str">
        <f>Cuentas!B6</f>
        <v>31XX29</v>
      </c>
      <c r="G21" s="199">
        <f t="shared" ref="G21:G41" si="2">SUMIF($B$8:$B$533,F21,$G$8:$G$533)</f>
        <v>0</v>
      </c>
      <c r="H21" s="200"/>
      <c r="I21" s="199">
        <f t="shared" ref="I21:I41" si="3">SUMIF($B$8:$B$533,F21,$I$8:$I$533)</f>
        <v>0</v>
      </c>
      <c r="J21" s="201"/>
      <c r="K21" s="199">
        <f t="shared" ref="K21:K41" si="4">SUMIF($B$8:$B$533,F21,$K$8:$K$533)</f>
        <v>0</v>
      </c>
    </row>
    <row r="22" spans="2:11" ht="23" customHeight="1">
      <c r="B22" s="204"/>
      <c r="C22" s="204"/>
      <c r="D22" s="181"/>
      <c r="E22" s="178" t="s">
        <v>185</v>
      </c>
      <c r="F22" s="179" t="str">
        <f>Cuentas!B7</f>
        <v>11XX300</v>
      </c>
      <c r="G22" s="199">
        <f t="shared" si="2"/>
        <v>0</v>
      </c>
      <c r="H22" s="200"/>
      <c r="I22" s="199">
        <f t="shared" si="3"/>
        <v>0</v>
      </c>
      <c r="J22" s="201"/>
      <c r="K22" s="199">
        <f t="shared" si="4"/>
        <v>0</v>
      </c>
    </row>
    <row r="23" spans="2:11" ht="23" customHeight="1">
      <c r="B23" s="204"/>
      <c r="C23" s="204"/>
      <c r="D23" s="181"/>
      <c r="E23" s="178" t="s">
        <v>185</v>
      </c>
      <c r="F23" s="179" t="str">
        <f>Cuentas!B8</f>
        <v>1XXX100</v>
      </c>
      <c r="G23" s="199">
        <f t="shared" si="2"/>
        <v>0</v>
      </c>
      <c r="H23" s="200"/>
      <c r="I23" s="199">
        <f t="shared" si="3"/>
        <v>0</v>
      </c>
      <c r="J23" s="201"/>
      <c r="K23" s="199">
        <f t="shared" si="4"/>
        <v>0</v>
      </c>
    </row>
    <row r="24" spans="2:11" ht="23" customHeight="1">
      <c r="B24" s="204"/>
      <c r="C24" s="204"/>
      <c r="D24" s="181"/>
      <c r="E24" s="178" t="s">
        <v>185</v>
      </c>
      <c r="F24" s="179" t="str">
        <f>Cuentas!B9</f>
        <v>B467XXX05</v>
      </c>
      <c r="G24" s="199">
        <f t="shared" si="2"/>
        <v>0</v>
      </c>
      <c r="H24" s="200"/>
      <c r="I24" s="199">
        <f t="shared" si="3"/>
        <v>0</v>
      </c>
      <c r="J24" s="201"/>
      <c r="K24" s="199">
        <f t="shared" si="4"/>
        <v>0</v>
      </c>
    </row>
    <row r="25" spans="2:11" ht="23" customHeight="1">
      <c r="B25" s="204"/>
      <c r="C25" s="204"/>
      <c r="D25" s="181"/>
      <c r="E25" s="178" t="s">
        <v>185</v>
      </c>
      <c r="F25" s="179" t="str">
        <f>Cuentas!B10</f>
        <v>677-0XXX52-670</v>
      </c>
      <c r="G25" s="199">
        <f t="shared" si="2"/>
        <v>0</v>
      </c>
      <c r="H25" s="200"/>
      <c r="I25" s="199">
        <f t="shared" si="3"/>
        <v>0</v>
      </c>
      <c r="J25" s="201"/>
      <c r="K25" s="199">
        <f t="shared" si="4"/>
        <v>0</v>
      </c>
    </row>
    <row r="26" spans="2:11" ht="23" customHeight="1">
      <c r="B26" s="204"/>
      <c r="C26" s="204"/>
      <c r="D26" s="181"/>
      <c r="E26" s="178" t="s">
        <v>185</v>
      </c>
      <c r="F26" s="179" t="str">
        <f>Cuentas!B11</f>
        <v>677-0XXX53-471</v>
      </c>
      <c r="G26" s="199">
        <f t="shared" si="2"/>
        <v>0</v>
      </c>
      <c r="H26" s="200"/>
      <c r="I26" s="199">
        <f t="shared" si="3"/>
        <v>0</v>
      </c>
      <c r="J26" s="201"/>
      <c r="K26" s="199">
        <f t="shared" si="4"/>
        <v>0</v>
      </c>
    </row>
    <row r="27" spans="2:11" ht="23" customHeight="1">
      <c r="B27" s="204"/>
      <c r="C27" s="204"/>
      <c r="D27" s="181"/>
      <c r="E27" s="178" t="s">
        <v>185</v>
      </c>
      <c r="F27" s="179" t="str">
        <f>Cuentas!B12</f>
        <v>4H 0XXX0 RB</v>
      </c>
      <c r="G27" s="199">
        <f t="shared" si="2"/>
        <v>0</v>
      </c>
      <c r="H27" s="200"/>
      <c r="I27" s="199">
        <f t="shared" si="3"/>
        <v>0</v>
      </c>
      <c r="J27" s="201"/>
      <c r="K27" s="199">
        <f t="shared" si="4"/>
        <v>0</v>
      </c>
    </row>
    <row r="28" spans="2:11" ht="23" customHeight="1">
      <c r="B28" s="204"/>
      <c r="C28" s="204"/>
      <c r="D28" s="181"/>
      <c r="E28" s="178" t="s">
        <v>185</v>
      </c>
      <c r="F28" s="179" t="str">
        <f>Cuentas!B13</f>
        <v>H</v>
      </c>
      <c r="G28" s="199">
        <f t="shared" si="2"/>
        <v>0</v>
      </c>
      <c r="H28" s="200"/>
      <c r="I28" s="199">
        <f t="shared" si="3"/>
        <v>0</v>
      </c>
      <c r="J28" s="201"/>
      <c r="K28" s="199">
        <f t="shared" si="4"/>
        <v>0</v>
      </c>
    </row>
    <row r="29" spans="2:11" ht="23" customHeight="1">
      <c r="B29" s="204"/>
      <c r="C29" s="204"/>
      <c r="D29" s="181"/>
      <c r="E29" s="178" t="s">
        <v>185</v>
      </c>
      <c r="F29" s="179" t="str">
        <f>Cuentas!B14</f>
        <v>I</v>
      </c>
      <c r="G29" s="199">
        <f t="shared" si="2"/>
        <v>0</v>
      </c>
      <c r="H29" s="200"/>
      <c r="I29" s="199">
        <f t="shared" si="3"/>
        <v>0</v>
      </c>
      <c r="J29" s="201"/>
      <c r="K29" s="199">
        <f t="shared" si="4"/>
        <v>0</v>
      </c>
    </row>
    <row r="30" spans="2:11" ht="23" customHeight="1">
      <c r="B30" s="204"/>
      <c r="C30" s="204"/>
      <c r="D30" s="181"/>
      <c r="E30" s="178" t="s">
        <v>185</v>
      </c>
      <c r="F30" s="179" t="str">
        <f>Cuentas!B15</f>
        <v>J</v>
      </c>
      <c r="G30" s="199">
        <f t="shared" si="2"/>
        <v>0</v>
      </c>
      <c r="H30" s="200"/>
      <c r="I30" s="199">
        <f t="shared" si="3"/>
        <v>0</v>
      </c>
      <c r="J30" s="201"/>
      <c r="K30" s="199">
        <f t="shared" si="4"/>
        <v>0</v>
      </c>
    </row>
    <row r="31" spans="2:11" ht="23" customHeight="1">
      <c r="B31" s="204"/>
      <c r="C31" s="204"/>
      <c r="D31" s="181"/>
      <c r="E31" s="178" t="s">
        <v>185</v>
      </c>
      <c r="F31" s="179" t="str">
        <f>Cuentas!B16</f>
        <v>K</v>
      </c>
      <c r="G31" s="199">
        <f t="shared" si="2"/>
        <v>0</v>
      </c>
      <c r="H31" s="200"/>
      <c r="I31" s="199">
        <f t="shared" si="3"/>
        <v>0</v>
      </c>
      <c r="J31" s="201"/>
      <c r="K31" s="199">
        <f t="shared" si="4"/>
        <v>0</v>
      </c>
    </row>
    <row r="32" spans="2:11" ht="23" customHeight="1">
      <c r="B32" s="204"/>
      <c r="C32" s="204"/>
      <c r="D32" s="181"/>
      <c r="E32" s="178" t="s">
        <v>185</v>
      </c>
      <c r="F32" s="179" t="str">
        <f>Cuentas!B17</f>
        <v>L</v>
      </c>
      <c r="G32" s="199">
        <f t="shared" si="2"/>
        <v>0</v>
      </c>
      <c r="H32" s="200"/>
      <c r="I32" s="199">
        <f t="shared" si="3"/>
        <v>0</v>
      </c>
      <c r="J32" s="201"/>
      <c r="K32" s="199">
        <f t="shared" si="4"/>
        <v>0</v>
      </c>
    </row>
    <row r="33" spans="2:11" ht="23" customHeight="1">
      <c r="B33" s="204"/>
      <c r="C33" s="204"/>
      <c r="D33" s="181"/>
      <c r="E33" s="178" t="s">
        <v>185</v>
      </c>
      <c r="F33" s="179" t="str">
        <f>Cuentas!B18</f>
        <v>M</v>
      </c>
      <c r="G33" s="199">
        <f t="shared" si="2"/>
        <v>0</v>
      </c>
      <c r="H33" s="200"/>
      <c r="I33" s="199">
        <f t="shared" si="3"/>
        <v>0</v>
      </c>
      <c r="J33" s="201"/>
      <c r="K33" s="199">
        <f t="shared" si="4"/>
        <v>0</v>
      </c>
    </row>
    <row r="34" spans="2:11" ht="23" customHeight="1">
      <c r="B34" s="204"/>
      <c r="C34" s="204"/>
      <c r="D34" s="181"/>
      <c r="E34" s="178" t="s">
        <v>185</v>
      </c>
      <c r="F34" s="179" t="str">
        <f>Cuentas!B19</f>
        <v>N</v>
      </c>
      <c r="G34" s="199">
        <f t="shared" si="2"/>
        <v>0</v>
      </c>
      <c r="H34" s="200"/>
      <c r="I34" s="199">
        <f t="shared" si="3"/>
        <v>0</v>
      </c>
      <c r="J34" s="201"/>
      <c r="K34" s="199">
        <f t="shared" si="4"/>
        <v>0</v>
      </c>
    </row>
    <row r="35" spans="2:11" ht="23" customHeight="1">
      <c r="B35" s="204"/>
      <c r="C35" s="204"/>
      <c r="D35" s="181"/>
      <c r="E35" s="178" t="s">
        <v>185</v>
      </c>
      <c r="F35" s="179" t="str">
        <f>Cuentas!B20</f>
        <v>O</v>
      </c>
      <c r="G35" s="199">
        <f t="shared" si="2"/>
        <v>0</v>
      </c>
      <c r="H35" s="200"/>
      <c r="I35" s="199">
        <f t="shared" si="3"/>
        <v>0</v>
      </c>
      <c r="J35" s="201"/>
      <c r="K35" s="199">
        <f t="shared" si="4"/>
        <v>0</v>
      </c>
    </row>
    <row r="36" spans="2:11" ht="23" customHeight="1">
      <c r="B36" s="204"/>
      <c r="C36" s="204"/>
      <c r="D36" s="181"/>
      <c r="E36" s="178" t="s">
        <v>185</v>
      </c>
      <c r="F36" s="179" t="str">
        <f>Cuentas!B21</f>
        <v>P</v>
      </c>
      <c r="G36" s="199">
        <f t="shared" si="2"/>
        <v>0</v>
      </c>
      <c r="H36" s="200"/>
      <c r="I36" s="199">
        <f t="shared" si="3"/>
        <v>0</v>
      </c>
      <c r="J36" s="201"/>
      <c r="K36" s="199">
        <f t="shared" si="4"/>
        <v>0</v>
      </c>
    </row>
    <row r="37" spans="2:11" ht="23" customHeight="1">
      <c r="B37" s="204"/>
      <c r="C37" s="204"/>
      <c r="D37" s="181"/>
      <c r="E37" s="178" t="s">
        <v>185</v>
      </c>
      <c r="F37" s="179" t="str">
        <f>Cuentas!B22</f>
        <v>Q</v>
      </c>
      <c r="G37" s="199">
        <f t="shared" si="2"/>
        <v>0</v>
      </c>
      <c r="H37" s="200"/>
      <c r="I37" s="199">
        <f t="shared" si="3"/>
        <v>0</v>
      </c>
      <c r="J37" s="201"/>
      <c r="K37" s="199">
        <f t="shared" si="4"/>
        <v>0</v>
      </c>
    </row>
    <row r="38" spans="2:11" ht="23" customHeight="1">
      <c r="B38" s="204"/>
      <c r="C38" s="204"/>
      <c r="D38" s="181"/>
      <c r="E38" s="178" t="s">
        <v>185</v>
      </c>
      <c r="F38" s="179" t="str">
        <f>Cuentas!B23</f>
        <v>R</v>
      </c>
      <c r="G38" s="199">
        <f t="shared" si="2"/>
        <v>0</v>
      </c>
      <c r="H38" s="200"/>
      <c r="I38" s="199">
        <f t="shared" si="3"/>
        <v>0</v>
      </c>
      <c r="J38" s="201"/>
      <c r="K38" s="199">
        <f t="shared" si="4"/>
        <v>0</v>
      </c>
    </row>
    <row r="39" spans="2:11" ht="23" customHeight="1">
      <c r="B39" s="204"/>
      <c r="C39" s="204"/>
      <c r="D39" s="181"/>
      <c r="E39" s="178" t="s">
        <v>185</v>
      </c>
      <c r="F39" s="179" t="str">
        <f>Cuentas!B24</f>
        <v>S</v>
      </c>
      <c r="G39" s="199">
        <f t="shared" si="2"/>
        <v>0</v>
      </c>
      <c r="H39" s="200"/>
      <c r="I39" s="199">
        <f t="shared" si="3"/>
        <v>0</v>
      </c>
      <c r="J39" s="201"/>
      <c r="K39" s="199">
        <f t="shared" si="4"/>
        <v>0</v>
      </c>
    </row>
    <row r="40" spans="2:11" ht="23" customHeight="1">
      <c r="B40" s="204"/>
      <c r="C40" s="204"/>
      <c r="D40" s="181"/>
      <c r="E40" s="178" t="s">
        <v>185</v>
      </c>
      <c r="F40" s="179" t="str">
        <f>Cuentas!B25</f>
        <v>T</v>
      </c>
      <c r="G40" s="199">
        <f t="shared" si="2"/>
        <v>0</v>
      </c>
      <c r="H40" s="200"/>
      <c r="I40" s="199">
        <f t="shared" si="3"/>
        <v>0</v>
      </c>
      <c r="J40" s="201"/>
      <c r="K40" s="199">
        <f t="shared" si="4"/>
        <v>0</v>
      </c>
    </row>
    <row r="41" spans="2:11" ht="23" customHeight="1">
      <c r="B41" s="204"/>
      <c r="C41" s="204"/>
      <c r="D41" s="181"/>
      <c r="E41" s="178" t="s">
        <v>185</v>
      </c>
      <c r="F41" s="179" t="str">
        <f>Cuentas!B26</f>
        <v>U</v>
      </c>
      <c r="G41" s="199">
        <f t="shared" si="2"/>
        <v>0</v>
      </c>
      <c r="H41" s="200"/>
      <c r="I41" s="199">
        <f t="shared" si="3"/>
        <v>0</v>
      </c>
      <c r="J41" s="201"/>
      <c r="K41" s="199">
        <f t="shared" si="4"/>
        <v>0</v>
      </c>
    </row>
    <row r="42" spans="2:11" ht="23" customHeight="1">
      <c r="B42" s="204"/>
      <c r="C42" s="204"/>
      <c r="D42" s="134"/>
    </row>
    <row r="43" spans="2:11" ht="23" customHeight="1">
      <c r="B43" s="204"/>
      <c r="C43" s="204"/>
      <c r="D43" s="134"/>
      <c r="E43" s="103"/>
      <c r="F43" s="119" t="s">
        <v>368</v>
      </c>
      <c r="G43" s="183">
        <f>SUM(G21:G42)</f>
        <v>0</v>
      </c>
      <c r="H43" s="103"/>
      <c r="I43" s="183">
        <f>SUM(I21:I42)</f>
        <v>0</v>
      </c>
      <c r="J43" s="103"/>
      <c r="K43" s="183">
        <f>SUM(K21:K42)</f>
        <v>0</v>
      </c>
    </row>
    <row r="46" spans="2:11" ht="23" customHeight="1">
      <c r="B46" s="2" t="s">
        <v>12</v>
      </c>
      <c r="C46" s="2"/>
    </row>
  </sheetData>
  <sheetProtection algorithmName="SHA-512" hashValue="Mgu/n9Z4+gsxo6BvQr1raUuhv6v4qSqO9InzvQE4YXWP0u3wddtYKfxlKv/dDwbtKVa2auT/GCVIwtHTISD+ew==" saltValue="nM/Ji0MVG1YOWtjMTb9GBA==" spinCount="100000" sheet="1" formatCells="0" formatColumns="0" formatRows="0" insertColumns="0" insertRows="0" deleteColumns="0" deleteRows="0" autoFilter="0"/>
  <autoFilter ref="B7:K14" xr:uid="{396BA0CB-2288-BA4B-9466-47A59415FF9A}"/>
  <mergeCells count="2">
    <mergeCell ref="B3:K3"/>
    <mergeCell ref="B2:K2"/>
  </mergeCells>
  <phoneticPr fontId="8" type="noConversion"/>
  <dataValidations count="1">
    <dataValidation type="list" allowBlank="1" showInputMessage="1" showErrorMessage="1" sqref="C9:C14" xr:uid="{82C27607-B8CD-7540-A3AC-8028AFD43979}">
      <formula1>$T$2:$T$7</formula1>
    </dataValidation>
  </dataValidations>
  <printOptions horizontalCentered="1"/>
  <pageMargins left="0.70000000000000007" right="0.70000000000000007" top="0.75000000000000011" bottom="0.75000000000000011" header="0.30000000000000004" footer="0.30000000000000004"/>
  <pageSetup scale="38" fitToHeight="3"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Instrucciones:" prompt="Selecciona una opción" xr:uid="{D7954890-3F33-0E43-9259-6AB01EF56540}">
          <x14:formula1>
            <xm:f>Equivalencia!$A$4:$A$23</xm:f>
          </x14:formula1>
          <xm:sqref>F9:F14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B8BD2-6960-D242-AC0A-33064AD36EAE}">
  <sheetPr>
    <pageSetUpPr fitToPage="1"/>
  </sheetPr>
  <dimension ref="A2:W57"/>
  <sheetViews>
    <sheetView view="pageBreakPreview" zoomScaleNormal="110" zoomScaleSheetLayoutView="100" workbookViewId="0">
      <selection activeCell="W51" sqref="W51"/>
    </sheetView>
  </sheetViews>
  <sheetFormatPr baseColWidth="10" defaultColWidth="10.83203125" defaultRowHeight="16"/>
  <cols>
    <col min="1" max="1" width="4.1640625" customWidth="1"/>
    <col min="2" max="2" width="4" customWidth="1"/>
    <col min="3" max="3" width="16.5" customWidth="1"/>
    <col min="4" max="4" width="22.33203125" customWidth="1"/>
    <col min="5" max="5" width="17.1640625" customWidth="1"/>
    <col min="6" max="6" width="22.33203125" customWidth="1"/>
    <col min="7" max="7" width="6" customWidth="1"/>
    <col min="8" max="8" width="22.33203125" customWidth="1"/>
    <col min="9" max="9" width="15.5" customWidth="1"/>
    <col min="10" max="10" width="22.33203125" customWidth="1"/>
    <col min="14" max="14" width="0" hidden="1" customWidth="1"/>
    <col min="15" max="15" width="4" customWidth="1"/>
    <col min="16" max="16" width="16.5" customWidth="1"/>
    <col min="17" max="17" width="22.33203125" customWidth="1"/>
    <col min="18" max="18" width="15.5" customWidth="1"/>
    <col min="19" max="19" width="22.33203125" customWidth="1"/>
    <col min="20" max="20" width="6" customWidth="1"/>
    <col min="21" max="21" width="22.33203125" customWidth="1"/>
    <col min="22" max="22" width="15.5" customWidth="1"/>
    <col min="23" max="23" width="22.33203125" customWidth="1"/>
  </cols>
  <sheetData>
    <row r="2" spans="1:23" ht="23">
      <c r="A2" s="1"/>
      <c r="B2" s="1"/>
      <c r="C2" s="739" t="s">
        <v>592</v>
      </c>
      <c r="D2" s="739"/>
      <c r="E2" s="739"/>
      <c r="F2" s="739"/>
      <c r="G2" s="739"/>
      <c r="H2" s="739"/>
      <c r="I2" s="739"/>
      <c r="J2" s="739"/>
      <c r="N2" s="1"/>
      <c r="O2" s="1"/>
      <c r="P2" s="739" t="s">
        <v>593</v>
      </c>
      <c r="Q2" s="739"/>
      <c r="R2" s="739"/>
      <c r="S2" s="739"/>
      <c r="T2" s="739"/>
      <c r="U2" s="739"/>
      <c r="V2" s="739"/>
      <c r="W2" s="739"/>
    </row>
    <row r="3" spans="1:23">
      <c r="A3" s="1"/>
      <c r="B3" s="1"/>
      <c r="C3" s="1"/>
      <c r="D3" s="1"/>
      <c r="E3" s="1"/>
      <c r="F3" s="1"/>
      <c r="G3" s="1"/>
      <c r="H3" s="1"/>
      <c r="I3" s="1"/>
      <c r="J3" s="1"/>
      <c r="N3" s="1"/>
      <c r="O3" s="1"/>
      <c r="P3" s="1"/>
      <c r="Q3" s="1"/>
      <c r="R3" s="1"/>
      <c r="S3" s="1"/>
      <c r="T3" s="1"/>
      <c r="U3" s="1"/>
      <c r="V3" s="1"/>
      <c r="W3" s="1"/>
    </row>
    <row r="4" spans="1:23" ht="52" customHeight="1">
      <c r="A4" s="1"/>
      <c r="B4" s="53"/>
      <c r="C4" s="738" t="s">
        <v>650</v>
      </c>
      <c r="D4" s="738"/>
      <c r="E4" s="738"/>
      <c r="F4" s="738"/>
      <c r="G4" s="328"/>
      <c r="H4" s="738" t="s">
        <v>635</v>
      </c>
      <c r="I4" s="738"/>
      <c r="J4" s="738"/>
      <c r="N4" s="1"/>
      <c r="O4" s="53"/>
      <c r="P4" s="738" t="s">
        <v>650</v>
      </c>
      <c r="Q4" s="738"/>
      <c r="R4" s="738"/>
      <c r="S4" s="738"/>
      <c r="T4" s="558"/>
      <c r="U4" s="738" t="s">
        <v>635</v>
      </c>
      <c r="V4" s="738"/>
      <c r="W4" s="738"/>
    </row>
    <row r="5" spans="1:23">
      <c r="A5" s="1"/>
      <c r="B5" s="1"/>
      <c r="C5" s="489" t="s">
        <v>648</v>
      </c>
      <c r="D5" s="1"/>
      <c r="E5" s="1"/>
      <c r="F5" s="1"/>
      <c r="G5" s="1"/>
      <c r="H5" s="1"/>
      <c r="I5" s="1"/>
      <c r="J5" s="1"/>
      <c r="N5" s="1"/>
      <c r="O5" s="1"/>
      <c r="P5" s="489" t="s">
        <v>648</v>
      </c>
      <c r="Q5" s="1"/>
      <c r="R5" s="1"/>
      <c r="S5" s="1"/>
      <c r="T5" s="1"/>
      <c r="U5" s="1"/>
      <c r="V5" s="1"/>
      <c r="W5" s="1"/>
    </row>
    <row r="6" spans="1:23">
      <c r="A6" s="1"/>
      <c r="B6" s="490"/>
      <c r="C6" s="491" t="s">
        <v>462</v>
      </c>
      <c r="D6" s="491" t="s">
        <v>679</v>
      </c>
      <c r="E6" s="492"/>
      <c r="F6" s="492"/>
      <c r="G6" s="557"/>
      <c r="H6" s="492"/>
      <c r="I6" s="492"/>
      <c r="J6" s="492"/>
      <c r="N6" s="1"/>
      <c r="O6" s="490"/>
      <c r="P6" s="491" t="s">
        <v>462</v>
      </c>
      <c r="Q6" s="491" t="s">
        <v>679</v>
      </c>
      <c r="R6" s="492"/>
      <c r="S6" s="492"/>
      <c r="T6" s="557"/>
      <c r="U6" s="492"/>
      <c r="V6" s="492"/>
      <c r="W6" s="492"/>
    </row>
    <row r="7" spans="1:23">
      <c r="A7" s="1"/>
      <c r="B7" s="1"/>
      <c r="C7" s="133"/>
      <c r="D7" s="133"/>
      <c r="E7" s="133"/>
      <c r="F7" s="133"/>
      <c r="G7" s="1"/>
      <c r="H7" s="133"/>
      <c r="I7" s="133"/>
      <c r="J7" s="133"/>
      <c r="N7" s="1"/>
      <c r="O7" s="1"/>
      <c r="P7" s="133"/>
      <c r="Q7" s="133"/>
      <c r="R7" s="133"/>
      <c r="S7" s="133"/>
      <c r="T7" s="1"/>
      <c r="U7" s="133"/>
      <c r="V7" s="133"/>
      <c r="W7" s="133"/>
    </row>
    <row r="8" spans="1:23" ht="30">
      <c r="A8" s="1"/>
      <c r="B8" s="1"/>
      <c r="C8" s="1"/>
      <c r="D8" s="120" t="s">
        <v>211</v>
      </c>
      <c r="E8" s="120" t="s">
        <v>212</v>
      </c>
      <c r="F8" s="120" t="s">
        <v>213</v>
      </c>
      <c r="G8" s="493"/>
      <c r="H8" s="120" t="s">
        <v>214</v>
      </c>
      <c r="I8" s="120" t="s">
        <v>215</v>
      </c>
      <c r="J8" s="120" t="s">
        <v>216</v>
      </c>
      <c r="N8" s="1"/>
      <c r="O8" s="1"/>
      <c r="P8" s="1"/>
      <c r="Q8" s="120" t="s">
        <v>211</v>
      </c>
      <c r="R8" s="120" t="s">
        <v>212</v>
      </c>
      <c r="S8" s="120" t="s">
        <v>213</v>
      </c>
      <c r="T8" s="559"/>
      <c r="U8" s="120" t="s">
        <v>214</v>
      </c>
      <c r="V8" s="120" t="s">
        <v>212</v>
      </c>
      <c r="W8" s="120" t="s">
        <v>216</v>
      </c>
    </row>
    <row r="9" spans="1:23">
      <c r="A9" s="1"/>
      <c r="B9" s="4"/>
      <c r="C9" s="4"/>
      <c r="D9" s="41"/>
      <c r="E9" s="494"/>
      <c r="F9" s="213"/>
      <c r="G9" s="213"/>
      <c r="H9" s="4"/>
      <c r="I9" s="495">
        <f>+TC!AD37</f>
        <v>20.583500000000001</v>
      </c>
      <c r="J9" s="4"/>
      <c r="N9" s="1"/>
      <c r="O9" s="4"/>
      <c r="P9" s="4"/>
      <c r="Q9" s="41"/>
      <c r="R9" s="494"/>
      <c r="S9" s="213"/>
      <c r="T9" s="213"/>
      <c r="U9" s="4"/>
      <c r="V9" s="495">
        <f>+TC!AD7</f>
        <v>21.7333</v>
      </c>
      <c r="W9" s="4"/>
    </row>
    <row r="10" spans="1:23">
      <c r="A10" s="1">
        <v>1</v>
      </c>
      <c r="B10" s="4"/>
      <c r="C10" s="53" t="s">
        <v>65</v>
      </c>
      <c r="D10" s="213">
        <f>+'Saldos Cash'!L17+'Saldos Cash'!L36+'Saldos Cash'!L55+'Saldos Cash'!L112+'Saldos Cash'!L131</f>
        <v>1390146.52</v>
      </c>
      <c r="E10" s="496" cm="1">
        <f t="array" ref="E10:E21">TRANSPOSE(TC!C7:N7)</f>
        <v>20.515699999999999</v>
      </c>
      <c r="F10" s="42">
        <f>(D10*E10)+'Saldos Cash'!$L$74+'Saldos Cash'!$L$93</f>
        <v>28957527.970364001</v>
      </c>
      <c r="G10" s="497"/>
      <c r="H10" s="42">
        <f t="shared" ref="H10:H21" si="0">D10</f>
        <v>1390146.52</v>
      </c>
      <c r="I10" s="496">
        <f>+TC!C37</f>
        <v>20.738299999999999</v>
      </c>
      <c r="J10" s="42">
        <f t="shared" ref="J10:J21" si="1">(I10*H10)-(I9*H10)</f>
        <v>215194.68129599839</v>
      </c>
      <c r="N10" s="1">
        <v>1</v>
      </c>
      <c r="O10" s="4"/>
      <c r="P10" s="53" t="s">
        <v>65</v>
      </c>
      <c r="Q10" s="213">
        <f>D10</f>
        <v>1390146.52</v>
      </c>
      <c r="R10" s="496">
        <f>E10</f>
        <v>20.515699999999999</v>
      </c>
      <c r="S10" s="42">
        <f>(Q10*R10)+'Saldos Cash'!$L$74+'Saldos Cash'!$L$93</f>
        <v>28957527.970364001</v>
      </c>
      <c r="T10" s="497"/>
      <c r="U10" s="42">
        <f t="shared" ref="U10:U21" si="2">Q10</f>
        <v>1390146.52</v>
      </c>
      <c r="V10" s="496" cm="1">
        <f t="array" ref="V10:V21">+TRANSPOSE(TC!C7:N7)</f>
        <v>20.515699999999999</v>
      </c>
      <c r="W10" s="42">
        <f t="shared" ref="W10:W21" si="3">(V10*U10)-(V9*U10)</f>
        <v>-1692642.4027520008</v>
      </c>
    </row>
    <row r="11" spans="1:23">
      <c r="A11" s="1">
        <v>2</v>
      </c>
      <c r="B11" s="4"/>
      <c r="C11" s="53" t="s">
        <v>67</v>
      </c>
      <c r="D11" s="213">
        <f>+'Saldos Cash'!L18+'Saldos Cash'!L37+'Saldos Cash'!L56+'Saldos Cash'!L113+'Saldos Cash'!L132</f>
        <v>1380436.4300000002</v>
      </c>
      <c r="E11" s="496">
        <v>20.8597</v>
      </c>
      <c r="F11" s="42">
        <f>(D11*E11)+'Saldos Cash'!$L$75+'Saldos Cash'!$L$94</f>
        <v>29061138.028871004</v>
      </c>
      <c r="G11" s="497"/>
      <c r="H11" s="42">
        <f t="shared" si="0"/>
        <v>1380436.4300000002</v>
      </c>
      <c r="I11" s="496">
        <f>TC!D34</f>
        <v>20.6525</v>
      </c>
      <c r="J11" s="42">
        <f t="shared" si="1"/>
        <v>-118441.44569399953</v>
      </c>
      <c r="N11" s="1">
        <v>2</v>
      </c>
      <c r="O11" s="4"/>
      <c r="P11" s="53" t="s">
        <v>67</v>
      </c>
      <c r="Q11" s="213">
        <f t="shared" ref="Q11:Q21" si="4">D11</f>
        <v>1380436.4300000002</v>
      </c>
      <c r="R11" s="496">
        <f t="shared" ref="R11:R18" si="5">E11</f>
        <v>20.8597</v>
      </c>
      <c r="S11" s="42">
        <f>(Q11*R11)+'Saldos Cash'!$L$75+'Saldos Cash'!$L$94</f>
        <v>29061138.028871004</v>
      </c>
      <c r="T11" s="497"/>
      <c r="U11" s="42">
        <f t="shared" si="2"/>
        <v>1380436.4300000002</v>
      </c>
      <c r="V11" s="496">
        <v>20.8597</v>
      </c>
      <c r="W11" s="42">
        <f t="shared" si="3"/>
        <v>474870.1319200024</v>
      </c>
    </row>
    <row r="12" spans="1:23">
      <c r="A12" s="1">
        <v>3</v>
      </c>
      <c r="B12" s="4"/>
      <c r="C12" s="53" t="s">
        <v>70</v>
      </c>
      <c r="D12" s="213">
        <f>+'Saldos Cash'!L19+'Saldos Cash'!L38+'Saldos Cash'!L57+'Saldos Cash'!L114+'Saldos Cash'!L133</f>
        <v>1496304.61</v>
      </c>
      <c r="E12" s="496">
        <v>20.4465</v>
      </c>
      <c r="F12" s="42">
        <f>(D12*E12)+'Saldos Cash'!$L$76+'Saldos Cash'!$L$95</f>
        <v>30859840.438365001</v>
      </c>
      <c r="G12" s="497"/>
      <c r="H12" s="42">
        <f t="shared" si="0"/>
        <v>1496304.61</v>
      </c>
      <c r="I12" s="496">
        <f>TC!E37</f>
        <v>19.994199999999999</v>
      </c>
      <c r="J12" s="42">
        <f t="shared" si="1"/>
        <v>-985017.32476300001</v>
      </c>
      <c r="N12" s="1">
        <v>3</v>
      </c>
      <c r="O12" s="4"/>
      <c r="P12" s="53" t="s">
        <v>70</v>
      </c>
      <c r="Q12" s="213">
        <f t="shared" si="4"/>
        <v>1496304.61</v>
      </c>
      <c r="R12" s="496">
        <f t="shared" si="5"/>
        <v>20.4465</v>
      </c>
      <c r="S12" s="42">
        <f>(Q12*R12)+'Saldos Cash'!$L$76+'Saldos Cash'!$L$95</f>
        <v>30859840.438365001</v>
      </c>
      <c r="T12" s="497"/>
      <c r="U12" s="42">
        <f t="shared" si="2"/>
        <v>1496304.61</v>
      </c>
      <c r="V12" s="496">
        <v>20.4465</v>
      </c>
      <c r="W12" s="42">
        <f t="shared" si="3"/>
        <v>-618273.06485200301</v>
      </c>
    </row>
    <row r="13" spans="1:23">
      <c r="A13" s="1">
        <v>4</v>
      </c>
      <c r="B13" s="4"/>
      <c r="C13" s="53" t="s">
        <v>71</v>
      </c>
      <c r="D13" s="213">
        <f>+'Saldos Cash'!L20+'Saldos Cash'!L39+'Saldos Cash'!L58+'Saldos Cash'!L115+'Saldos Cash'!L134</f>
        <v>1707207.9900000002</v>
      </c>
      <c r="E13" s="496">
        <v>19.863199999999999</v>
      </c>
      <c r="F13" s="42">
        <f>(D13*E13)+'Saldos Cash'!$L$77+'Saldos Cash'!$L$96</f>
        <v>34176262.006967999</v>
      </c>
      <c r="G13" s="497"/>
      <c r="H13" s="42">
        <f t="shared" si="0"/>
        <v>1707207.9900000002</v>
      </c>
      <c r="I13" s="496">
        <f>TC!F36</f>
        <v>20.567</v>
      </c>
      <c r="J13" s="42">
        <f t="shared" si="1"/>
        <v>977888.7366719991</v>
      </c>
      <c r="N13" s="1">
        <v>4</v>
      </c>
      <c r="O13" s="4"/>
      <c r="P13" s="53" t="s">
        <v>71</v>
      </c>
      <c r="Q13" s="213">
        <f t="shared" si="4"/>
        <v>1707207.9900000002</v>
      </c>
      <c r="R13" s="496">
        <f t="shared" si="5"/>
        <v>19.863199999999999</v>
      </c>
      <c r="S13" s="42">
        <f>(Q13*R13)+'Saldos Cash'!$L$77+'Saldos Cash'!$L$96</f>
        <v>34176262.006967999</v>
      </c>
      <c r="T13" s="497"/>
      <c r="U13" s="42">
        <f t="shared" si="2"/>
        <v>1707207.9900000002</v>
      </c>
      <c r="V13" s="496">
        <v>19.863199999999999</v>
      </c>
      <c r="W13" s="42">
        <f t="shared" si="3"/>
        <v>-995814.42056700587</v>
      </c>
    </row>
    <row r="14" spans="1:23">
      <c r="A14" s="1">
        <v>5</v>
      </c>
      <c r="B14" s="4"/>
      <c r="C14" s="53" t="s">
        <v>72</v>
      </c>
      <c r="D14" s="213">
        <f>+'Saldos Cash'!L21+'Saldos Cash'!L40+'Saldos Cash'!L59+'Saldos Cash'!L116+'Saldos Cash'!L135</f>
        <v>4078489.9200000004</v>
      </c>
      <c r="E14" s="496">
        <v>20.567</v>
      </c>
      <c r="F14" s="42">
        <f>(D14*E14)+'Saldos Cash'!$L$78+'Saldos Cash'!$L$97</f>
        <v>83887510.31464</v>
      </c>
      <c r="G14" s="497"/>
      <c r="H14" s="42">
        <f t="shared" si="0"/>
        <v>4078489.9200000004</v>
      </c>
      <c r="I14" s="496">
        <f>+TC!G37</f>
        <v>19.596499999999999</v>
      </c>
      <c r="J14" s="42">
        <f t="shared" si="1"/>
        <v>-3958174.4673600048</v>
      </c>
      <c r="N14" s="1">
        <v>5</v>
      </c>
      <c r="O14" s="4"/>
      <c r="P14" s="53" t="s">
        <v>72</v>
      </c>
      <c r="Q14" s="213">
        <f t="shared" si="4"/>
        <v>4078489.9200000004</v>
      </c>
      <c r="R14" s="496">
        <f t="shared" si="5"/>
        <v>20.567</v>
      </c>
      <c r="S14" s="42">
        <f>(Q14*R14)+'Saldos Cash'!$L$78+'Saldos Cash'!$L$97</f>
        <v>83887510.31464</v>
      </c>
      <c r="T14" s="497"/>
      <c r="U14" s="42">
        <f t="shared" si="2"/>
        <v>4078489.9200000004</v>
      </c>
      <c r="V14" s="496">
        <v>20.567</v>
      </c>
      <c r="W14" s="42">
        <f t="shared" si="3"/>
        <v>2870441.2056960016</v>
      </c>
    </row>
    <row r="15" spans="1:23">
      <c r="A15" s="1">
        <v>6</v>
      </c>
      <c r="B15" s="4"/>
      <c r="C15" s="53" t="s">
        <v>73</v>
      </c>
      <c r="D15" s="213">
        <f>+'Saldos Cash'!L22+'Saldos Cash'!L41+'Saldos Cash'!L60+'Saldos Cash'!L117+'Saldos Cash'!L136</f>
        <v>4122910.2000000007</v>
      </c>
      <c r="E15" s="496">
        <v>19.4953</v>
      </c>
      <c r="F15" s="42">
        <f>(D15*E15)+'Saldos Cash'!$L$79+'Saldos Cash'!$L$98</f>
        <v>80382579.392060012</v>
      </c>
      <c r="G15" s="497"/>
      <c r="H15" s="42">
        <f t="shared" si="0"/>
        <v>4122910.2000000007</v>
      </c>
      <c r="I15" s="496">
        <f>+TC!H36</f>
        <v>19.9847</v>
      </c>
      <c r="J15" s="42">
        <f t="shared" si="1"/>
        <v>1600513.7396400124</v>
      </c>
      <c r="N15" s="1">
        <v>6</v>
      </c>
      <c r="O15" s="4"/>
      <c r="P15" s="53" t="s">
        <v>73</v>
      </c>
      <c r="Q15" s="213">
        <f t="shared" si="4"/>
        <v>4122910.2000000007</v>
      </c>
      <c r="R15" s="496">
        <f t="shared" si="5"/>
        <v>19.4953</v>
      </c>
      <c r="S15" s="42">
        <f>(Q15*R15)+'Saldos Cash'!$L$79+'Saldos Cash'!$L$98</f>
        <v>80382579.392060012</v>
      </c>
      <c r="T15" s="497"/>
      <c r="U15" s="42">
        <f t="shared" si="2"/>
        <v>4122910.2000000007</v>
      </c>
      <c r="V15" s="496">
        <v>19.4953</v>
      </c>
      <c r="W15" s="42">
        <f t="shared" si="3"/>
        <v>-4418522.8613400012</v>
      </c>
    </row>
    <row r="16" spans="1:23">
      <c r="A16" s="1">
        <v>7</v>
      </c>
      <c r="B16" s="4"/>
      <c r="C16" s="53" t="s">
        <v>74</v>
      </c>
      <c r="D16" s="213">
        <f>+'Saldos Cash'!L23+'Saldos Cash'!L42+'Saldos Cash'!L61+'Saldos Cash'!L118+'Saldos Cash'!L137</f>
        <v>2294057.8600000003</v>
      </c>
      <c r="E16" s="496">
        <v>20.144300000000001</v>
      </c>
      <c r="F16" s="42">
        <f>(D16*E16)+'Saldos Cash'!$L$80+'Saldos Cash'!$L$99</f>
        <v>46274508.999198012</v>
      </c>
      <c r="G16" s="497"/>
      <c r="H16" s="42">
        <f t="shared" si="0"/>
        <v>2294057.8600000003</v>
      </c>
      <c r="I16" s="496">
        <f>TC!I37</f>
        <v>20.377800000000001</v>
      </c>
      <c r="J16" s="42">
        <f t="shared" si="1"/>
        <v>901794.14476600289</v>
      </c>
      <c r="N16" s="1">
        <v>7</v>
      </c>
      <c r="O16" s="4"/>
      <c r="P16" s="53" t="s">
        <v>74</v>
      </c>
      <c r="Q16" s="213">
        <f t="shared" si="4"/>
        <v>2294057.8600000003</v>
      </c>
      <c r="R16" s="496">
        <f t="shared" si="5"/>
        <v>20.144300000000001</v>
      </c>
      <c r="S16" s="42">
        <f>(Q16*R16)+'Saldos Cash'!$L$80+'Saldos Cash'!$L$99</f>
        <v>46274508.999198012</v>
      </c>
      <c r="T16" s="497"/>
      <c r="U16" s="42">
        <f t="shared" si="2"/>
        <v>2294057.8600000003</v>
      </c>
      <c r="V16" s="496">
        <v>20.144300000000001</v>
      </c>
      <c r="W16" s="42">
        <f t="shared" si="3"/>
        <v>1488843.5511400029</v>
      </c>
    </row>
    <row r="17" spans="1:23">
      <c r="A17" s="1">
        <v>8</v>
      </c>
      <c r="B17" s="4"/>
      <c r="C17" s="53" t="s">
        <v>75</v>
      </c>
      <c r="D17" s="213">
        <f>+'Saldos Cash'!L24+'Saldos Cash'!L43+'Saldos Cash'!L62+'Saldos Cash'!L119+'Saldos Cash'!L138</f>
        <v>6186315.6200000001</v>
      </c>
      <c r="E17" s="496">
        <v>20.377800000000001</v>
      </c>
      <c r="F17" s="42">
        <f>(D17*E17)+'Saldos Cash'!$L$81+'Saldos Cash'!$L$100</f>
        <v>203975044.301236</v>
      </c>
      <c r="G17" s="497"/>
      <c r="H17" s="42">
        <f t="shared" si="0"/>
        <v>6186315.6200000001</v>
      </c>
      <c r="I17" s="496">
        <f>+TC!J37</f>
        <v>19.994499999999999</v>
      </c>
      <c r="J17" s="42">
        <f t="shared" si="1"/>
        <v>-2371214.7771460116</v>
      </c>
      <c r="N17" s="1">
        <v>8</v>
      </c>
      <c r="O17" s="4"/>
      <c r="P17" s="53" t="s">
        <v>75</v>
      </c>
      <c r="Q17" s="213">
        <f t="shared" si="4"/>
        <v>6186315.6200000001</v>
      </c>
      <c r="R17" s="496">
        <f t="shared" si="5"/>
        <v>20.377800000000001</v>
      </c>
      <c r="S17" s="42">
        <f>(Q17*R17)+'Saldos Cash'!$L$81+'Saldos Cash'!$L$100</f>
        <v>203975044.301236</v>
      </c>
      <c r="T17" s="497"/>
      <c r="U17" s="42">
        <f t="shared" si="2"/>
        <v>6186315.6200000001</v>
      </c>
      <c r="V17" s="496">
        <v>20.377800000000001</v>
      </c>
      <c r="W17" s="42">
        <f t="shared" si="3"/>
        <v>1444504.697269991</v>
      </c>
    </row>
    <row r="18" spans="1:23">
      <c r="A18" s="1">
        <v>9</v>
      </c>
      <c r="B18" s="4"/>
      <c r="C18" s="53" t="s">
        <v>76</v>
      </c>
      <c r="D18" s="213">
        <f>+'Saldos Cash'!L25+'Saldos Cash'!L44+'Saldos Cash'!L63+'Saldos Cash'!L120+'Saldos Cash'!L139</f>
        <v>8161585.2000000002</v>
      </c>
      <c r="E18" s="496">
        <v>20.1465</v>
      </c>
      <c r="F18" s="42">
        <f>(D18*E18)+'Saldos Cash'!$L$82+'Saldos Cash'!$L$101</f>
        <v>164432584.12179998</v>
      </c>
      <c r="G18" s="497"/>
      <c r="H18" s="42">
        <f t="shared" si="0"/>
        <v>8161585.2000000002</v>
      </c>
      <c r="I18" s="496">
        <f>+TC!K36</f>
        <v>20.305800000000001</v>
      </c>
      <c r="J18" s="42">
        <f t="shared" si="1"/>
        <v>2540701.4727600217</v>
      </c>
      <c r="N18" s="1">
        <v>9</v>
      </c>
      <c r="O18" s="4"/>
      <c r="P18" s="53" t="s">
        <v>76</v>
      </c>
      <c r="Q18" s="213">
        <f t="shared" si="4"/>
        <v>8161585.2000000002</v>
      </c>
      <c r="R18" s="496">
        <f t="shared" si="5"/>
        <v>20.1465</v>
      </c>
      <c r="S18" s="42">
        <f>(Q18*R18)+'Saldos Cash'!$L$82+'Saldos Cash'!$L$101</f>
        <v>164432584.12179998</v>
      </c>
      <c r="T18" s="497"/>
      <c r="U18" s="42">
        <f t="shared" si="2"/>
        <v>8161585.2000000002</v>
      </c>
      <c r="V18" s="496">
        <v>20.1465</v>
      </c>
      <c r="W18" s="42">
        <f t="shared" si="3"/>
        <v>-1887774.6567600071</v>
      </c>
    </row>
    <row r="19" spans="1:23">
      <c r="A19" s="1">
        <v>10</v>
      </c>
      <c r="B19" s="4"/>
      <c r="C19" s="53" t="s">
        <v>77</v>
      </c>
      <c r="D19" s="213">
        <f>+'Saldos Cash'!L26+'Saldos Cash'!L45+'Saldos Cash'!L64+'Saldos Cash'!L121+'Saldos Cash'!L140</f>
        <v>1281247.25</v>
      </c>
      <c r="E19" s="496">
        <v>20.192699999999999</v>
      </c>
      <c r="F19" s="42">
        <f>(D19*E19)+'Saldos Cash'!$L$83+'Saldos Cash'!$L$102</f>
        <v>25877049.235074997</v>
      </c>
      <c r="G19" s="497"/>
      <c r="H19" s="42">
        <f t="shared" si="0"/>
        <v>1281247.25</v>
      </c>
      <c r="I19" s="496">
        <f>+TC!L37</f>
        <v>19.836500000000001</v>
      </c>
      <c r="J19" s="42">
        <f t="shared" si="1"/>
        <v>-601289.33442500234</v>
      </c>
      <c r="N19" s="1">
        <v>10</v>
      </c>
      <c r="O19" s="4"/>
      <c r="P19" s="53" t="s">
        <v>77</v>
      </c>
      <c r="Q19" s="213">
        <f t="shared" si="4"/>
        <v>1281247.25</v>
      </c>
      <c r="R19" s="496">
        <f>E19</f>
        <v>20.192699999999999</v>
      </c>
      <c r="S19" s="42">
        <f>(Q19*R19)+'Saldos Cash'!$L$83+'Saldos Cash'!$L$102</f>
        <v>25877049.235074997</v>
      </c>
      <c r="T19" s="497"/>
      <c r="U19" s="42">
        <f t="shared" si="2"/>
        <v>1281247.25</v>
      </c>
      <c r="V19" s="496">
        <v>20.192699999999999</v>
      </c>
      <c r="W19" s="42">
        <f t="shared" si="3"/>
        <v>59193.6229499951</v>
      </c>
    </row>
    <row r="20" spans="1:23">
      <c r="A20" s="1">
        <v>11</v>
      </c>
      <c r="B20" s="4"/>
      <c r="C20" s="53" t="s">
        <v>78</v>
      </c>
      <c r="D20" s="213">
        <f>+'Saldos Cash'!L27+'Saldos Cash'!L46+'Saldos Cash'!L65+'Saldos Cash'!L122+'Saldos Cash'!L141</f>
        <v>1.0000000000000001E-5</v>
      </c>
      <c r="E20" s="496">
        <v>19.830300000000001</v>
      </c>
      <c r="F20" s="42">
        <f>(D20*E20)+'Saldos Cash'!$L$84+'Saldos Cash'!$L$103</f>
        <v>1.9830300000000002E-4</v>
      </c>
      <c r="G20" s="497"/>
      <c r="H20" s="42">
        <f t="shared" si="0"/>
        <v>1.0000000000000001E-5</v>
      </c>
      <c r="I20" s="496">
        <f>+TC!M36</f>
        <v>19.746300000000002</v>
      </c>
      <c r="J20" s="42">
        <f t="shared" si="1"/>
        <v>-9.0199999999997205E-7</v>
      </c>
      <c r="N20" s="1">
        <v>11</v>
      </c>
      <c r="O20" s="4"/>
      <c r="P20" s="53" t="s">
        <v>78</v>
      </c>
      <c r="Q20" s="213">
        <f t="shared" si="4"/>
        <v>1.0000000000000001E-5</v>
      </c>
      <c r="R20" s="496">
        <f>E20</f>
        <v>19.830300000000001</v>
      </c>
      <c r="S20" s="42">
        <f>(Q20*R20)+'Saldos Cash'!$L$84+'Saldos Cash'!$L$103</f>
        <v>1.9830300000000002E-4</v>
      </c>
      <c r="T20" s="497"/>
      <c r="U20" s="42">
        <f t="shared" si="2"/>
        <v>1.0000000000000001E-5</v>
      </c>
      <c r="V20" s="496">
        <v>19.830300000000001</v>
      </c>
      <c r="W20" s="42">
        <f t="shared" si="3"/>
        <v>-3.6239999999999775E-6</v>
      </c>
    </row>
    <row r="21" spans="1:23">
      <c r="A21" s="1">
        <v>12</v>
      </c>
      <c r="B21" s="4"/>
      <c r="C21" s="53" t="s">
        <v>79</v>
      </c>
      <c r="D21" s="213">
        <f>+'Saldos Cash'!L28+'Saldos Cash'!L47+'Saldos Cash'!L66+'Saldos Cash'!L123+'Saldos Cash'!L142</f>
        <v>1.0000000000000001E-5</v>
      </c>
      <c r="E21" s="496">
        <v>19.746300000000002</v>
      </c>
      <c r="F21" s="42">
        <f>(D21*E21)+'Saldos Cash'!$L$85+'Saldos Cash'!$L$104</f>
        <v>1.9746300000000004E-4</v>
      </c>
      <c r="G21" s="497"/>
      <c r="H21" s="42">
        <f t="shared" si="0"/>
        <v>1.0000000000000001E-5</v>
      </c>
      <c r="I21" s="496">
        <f>+TC!N37</f>
        <v>19.746300000000002</v>
      </c>
      <c r="J21" s="42">
        <f t="shared" si="1"/>
        <v>0</v>
      </c>
      <c r="N21" s="1">
        <v>12</v>
      </c>
      <c r="O21" s="4"/>
      <c r="P21" s="53" t="s">
        <v>79</v>
      </c>
      <c r="Q21" s="213">
        <f t="shared" si="4"/>
        <v>1.0000000000000001E-5</v>
      </c>
      <c r="R21" s="496">
        <f>E21</f>
        <v>19.746300000000002</v>
      </c>
      <c r="S21" s="42">
        <f>(Q21*R21)+'Saldos Cash'!$L$85+'Saldos Cash'!$L$104</f>
        <v>1.9746300000000004E-4</v>
      </c>
      <c r="T21" s="497"/>
      <c r="U21" s="42">
        <f t="shared" si="2"/>
        <v>1.0000000000000001E-5</v>
      </c>
      <c r="V21" s="496">
        <v>19.746300000000002</v>
      </c>
      <c r="W21" s="42">
        <f t="shared" si="3"/>
        <v>-8.3999999999997163E-7</v>
      </c>
    </row>
    <row r="22" spans="1:23">
      <c r="A22" s="1"/>
      <c r="B22" s="4"/>
      <c r="C22" s="4"/>
      <c r="D22" s="213"/>
      <c r="E22" s="498"/>
      <c r="F22" s="213"/>
      <c r="G22" s="213"/>
      <c r="H22" s="4"/>
      <c r="I22" s="4"/>
      <c r="J22" s="213"/>
      <c r="N22" s="1"/>
      <c r="O22" s="4"/>
      <c r="P22" s="4"/>
      <c r="Q22" s="213"/>
      <c r="R22" s="498"/>
      <c r="S22" s="213"/>
      <c r="T22" s="213"/>
      <c r="U22" s="4"/>
      <c r="V22" s="4"/>
      <c r="W22" s="213"/>
    </row>
    <row r="23" spans="1:23">
      <c r="A23" s="1"/>
      <c r="B23" s="4"/>
      <c r="C23" s="90"/>
      <c r="D23" s="90"/>
      <c r="E23" s="499" t="s">
        <v>80</v>
      </c>
      <c r="F23" s="500">
        <f>SUM(F10:F22)</f>
        <v>727884044.8089726</v>
      </c>
      <c r="G23" s="501"/>
      <c r="H23" s="502"/>
      <c r="I23" s="119" t="s">
        <v>81</v>
      </c>
      <c r="J23" s="503">
        <f>SUM(J10:J22)</f>
        <v>-1798044.5742548858</v>
      </c>
      <c r="N23" s="1"/>
      <c r="O23" s="4"/>
      <c r="P23" s="90"/>
      <c r="Q23" s="90"/>
      <c r="R23" s="499" t="s">
        <v>80</v>
      </c>
      <c r="S23" s="500">
        <f>SUM(S10:S22)</f>
        <v>727884044.8089726</v>
      </c>
      <c r="T23" s="501"/>
      <c r="U23" s="502"/>
      <c r="V23" s="119" t="s">
        <v>81</v>
      </c>
      <c r="W23" s="503">
        <f>SUM(W10:W22)</f>
        <v>-3275174.1972994888</v>
      </c>
    </row>
    <row r="24" spans="1:23">
      <c r="A24" s="1"/>
      <c r="B24" s="4"/>
      <c r="C24" s="4"/>
      <c r="D24" s="4"/>
      <c r="E24" s="504" t="s">
        <v>82</v>
      </c>
      <c r="F24" s="213">
        <f>IF(I47+I48=0,0,I48-I47+1)</f>
        <v>12</v>
      </c>
      <c r="G24" s="213"/>
      <c r="H24" s="4"/>
      <c r="I24" s="4"/>
      <c r="J24" s="4"/>
      <c r="N24" s="1"/>
      <c r="O24" s="4"/>
      <c r="P24" s="4"/>
      <c r="Q24" s="4"/>
      <c r="R24" s="504" t="s">
        <v>82</v>
      </c>
      <c r="S24" s="213">
        <f>IF(V47+V48=0,0,V48-V47+1)</f>
        <v>12</v>
      </c>
      <c r="T24" s="213"/>
      <c r="U24" s="4"/>
      <c r="V24" s="4"/>
      <c r="W24" s="4"/>
    </row>
    <row r="25" spans="1:23">
      <c r="A25" s="1"/>
      <c r="B25" s="4"/>
      <c r="C25" s="90"/>
      <c r="D25" s="90"/>
      <c r="E25" s="499" t="s">
        <v>83</v>
      </c>
      <c r="F25" s="500">
        <f>IF(F24=0,0,F23/F24)</f>
        <v>60657003.734081052</v>
      </c>
      <c r="G25" s="213"/>
      <c r="H25" s="4"/>
      <c r="I25" s="4"/>
      <c r="J25" s="4"/>
      <c r="N25" s="1"/>
      <c r="O25" s="4"/>
      <c r="P25" s="90"/>
      <c r="Q25" s="90"/>
      <c r="R25" s="499" t="s">
        <v>83</v>
      </c>
      <c r="S25" s="500">
        <f>IF(S24=0,0,S23/S24)</f>
        <v>60657003.734081052</v>
      </c>
      <c r="T25" s="213"/>
      <c r="U25" s="4"/>
      <c r="V25" s="4"/>
      <c r="W25" s="4"/>
    </row>
    <row r="26" spans="1:23">
      <c r="A26" s="1"/>
      <c r="B26" s="4"/>
      <c r="C26" s="4"/>
      <c r="D26" s="4"/>
      <c r="E26" s="504" t="s">
        <v>84</v>
      </c>
      <c r="F26" s="498">
        <f>IF(TRUNC(J50/J51,4)-1&lt;0,0,TRUNC(J50/J51,4)-1)</f>
        <v>6.7900000000000071E-2</v>
      </c>
      <c r="G26" s="213"/>
      <c r="H26" s="4"/>
      <c r="I26" s="4"/>
      <c r="J26" s="4"/>
      <c r="N26" s="1"/>
      <c r="O26" s="4"/>
      <c r="P26" s="4"/>
      <c r="Q26" s="4"/>
      <c r="R26" s="504" t="s">
        <v>84</v>
      </c>
      <c r="S26" s="498">
        <f>IF(TRUNC(W50/W51,4)-1&lt;0,0,TRUNC(W50/W51,4)-1)</f>
        <v>6.7900000000000071E-2</v>
      </c>
      <c r="T26" s="213"/>
      <c r="U26" s="4"/>
      <c r="V26" s="4"/>
      <c r="W26" s="4"/>
    </row>
    <row r="27" spans="1:23">
      <c r="A27" s="1"/>
      <c r="B27" s="4"/>
      <c r="C27" s="505"/>
      <c r="D27" s="505"/>
      <c r="E27" s="119" t="s">
        <v>352</v>
      </c>
      <c r="F27" s="503">
        <f>-F25*F26</f>
        <v>-4118610.5535441078</v>
      </c>
      <c r="G27" s="497"/>
      <c r="H27" s="4"/>
      <c r="I27" s="4"/>
      <c r="J27" s="4"/>
      <c r="N27" s="1"/>
      <c r="O27" s="4"/>
      <c r="P27" s="505"/>
      <c r="Q27" s="505"/>
      <c r="R27" s="119" t="s">
        <v>352</v>
      </c>
      <c r="S27" s="503">
        <f>-S25*S26</f>
        <v>-4118610.5535441078</v>
      </c>
      <c r="T27" s="497"/>
      <c r="U27" s="4"/>
      <c r="V27" s="4"/>
      <c r="W27" s="4"/>
    </row>
    <row r="28" spans="1:23">
      <c r="A28" s="1"/>
      <c r="B28" s="1"/>
      <c r="C28" s="1"/>
      <c r="D28" s="1"/>
      <c r="E28" s="1"/>
      <c r="F28" s="1"/>
      <c r="G28" s="1"/>
      <c r="H28" s="1"/>
      <c r="I28" s="1"/>
      <c r="J28" s="1"/>
      <c r="N28" s="1"/>
      <c r="O28" s="1"/>
      <c r="P28" s="1"/>
      <c r="Q28" s="1"/>
      <c r="R28" s="1"/>
      <c r="S28" s="1"/>
      <c r="T28" s="1"/>
      <c r="U28" s="1"/>
      <c r="V28" s="1"/>
      <c r="W28" s="1"/>
    </row>
    <row r="29" spans="1:23">
      <c r="A29" s="1"/>
      <c r="B29" s="1"/>
      <c r="C29" s="1"/>
      <c r="D29" s="1"/>
      <c r="E29" s="1"/>
      <c r="F29" s="1"/>
      <c r="G29" s="1"/>
      <c r="H29" s="1"/>
      <c r="I29" s="1"/>
      <c r="J29" s="1"/>
      <c r="N29" s="1"/>
      <c r="O29" s="1"/>
      <c r="P29" s="1"/>
      <c r="Q29" s="1"/>
      <c r="R29" s="1"/>
      <c r="S29" s="1"/>
      <c r="T29" s="1"/>
      <c r="U29" s="1"/>
      <c r="V29" s="1"/>
      <c r="W29" s="1"/>
    </row>
    <row r="30" spans="1:23">
      <c r="A30" s="1"/>
      <c r="B30" s="1"/>
      <c r="C30" s="1"/>
      <c r="D30" s="1"/>
      <c r="E30" s="1"/>
      <c r="F30" s="1"/>
      <c r="G30" s="1"/>
      <c r="H30" s="1"/>
      <c r="I30" s="1"/>
      <c r="J30" s="1"/>
      <c r="N30" s="1"/>
      <c r="O30" s="1"/>
      <c r="P30" s="1"/>
      <c r="Q30" s="1"/>
      <c r="R30" s="1"/>
      <c r="S30" s="1"/>
      <c r="T30" s="1"/>
      <c r="U30" s="1"/>
      <c r="V30" s="1"/>
      <c r="W30" s="1"/>
    </row>
    <row r="31" spans="1:23">
      <c r="A31" s="1"/>
      <c r="B31" s="1"/>
      <c r="C31" s="1"/>
      <c r="D31" s="1"/>
      <c r="E31" s="1"/>
      <c r="F31" s="1"/>
      <c r="G31" s="1"/>
      <c r="H31" s="1"/>
      <c r="I31" s="1"/>
      <c r="J31" s="1"/>
      <c r="N31" s="1"/>
      <c r="O31" s="1"/>
      <c r="P31" s="1"/>
      <c r="Q31" s="1"/>
      <c r="R31" s="1"/>
      <c r="S31" s="1"/>
      <c r="T31" s="1"/>
      <c r="U31" s="1"/>
      <c r="V31" s="1"/>
      <c r="W31" s="1"/>
    </row>
    <row r="32" spans="1:23">
      <c r="A32" s="1"/>
      <c r="B32" s="1"/>
      <c r="C32" s="1"/>
      <c r="D32" s="1"/>
      <c r="E32" s="1"/>
      <c r="F32" s="1"/>
      <c r="G32" s="1"/>
      <c r="H32" s="1"/>
      <c r="I32" s="1"/>
      <c r="J32" s="1"/>
      <c r="N32" s="1"/>
      <c r="O32" s="1"/>
      <c r="P32" s="1"/>
      <c r="Q32" s="1"/>
      <c r="R32" s="1"/>
      <c r="S32" s="1"/>
      <c r="T32" s="1"/>
      <c r="U32" s="1"/>
      <c r="V32" s="1"/>
      <c r="W32" s="1"/>
    </row>
    <row r="33" spans="1:23">
      <c r="A33" s="1"/>
      <c r="B33" s="1"/>
      <c r="C33" s="1"/>
      <c r="D33" s="1"/>
      <c r="E33" s="1"/>
      <c r="F33" s="1"/>
      <c r="G33" s="1"/>
      <c r="H33" s="1"/>
      <c r="I33" s="1"/>
      <c r="J33" s="1"/>
      <c r="N33" s="1"/>
      <c r="O33" s="1"/>
      <c r="P33" s="1"/>
      <c r="Q33" s="1"/>
      <c r="R33" s="1"/>
      <c r="S33" s="1"/>
      <c r="T33" s="1"/>
      <c r="U33" s="1"/>
      <c r="V33" s="1"/>
      <c r="W33" s="1"/>
    </row>
    <row r="34" spans="1:23">
      <c r="A34" s="1"/>
      <c r="B34" s="1"/>
      <c r="C34" s="1"/>
      <c r="D34" s="1"/>
      <c r="E34" s="1"/>
      <c r="F34" s="1"/>
      <c r="G34" s="1"/>
      <c r="H34" s="506">
        <f>IF(F10=0,"NO",A10)</f>
        <v>1</v>
      </c>
      <c r="I34" s="507">
        <f>IF(H34="NO",0,1)</f>
        <v>1</v>
      </c>
      <c r="J34" s="1"/>
      <c r="N34" s="1"/>
      <c r="O34" s="1"/>
      <c r="Q34" s="1"/>
      <c r="R34" s="1"/>
      <c r="S34" s="1"/>
      <c r="T34" s="1"/>
      <c r="U34" s="506">
        <f t="shared" ref="U34:U45" si="6">IF(S10=0,"NO",N10)</f>
        <v>1</v>
      </c>
      <c r="V34" s="507">
        <f t="shared" ref="V34:V45" si="7">IF(U34="NO",0,1)</f>
        <v>1</v>
      </c>
      <c r="W34" s="1"/>
    </row>
    <row r="35" spans="1:23">
      <c r="A35" s="1"/>
      <c r="B35" s="1"/>
      <c r="C35" s="1"/>
      <c r="D35" s="1"/>
      <c r="E35" s="1"/>
      <c r="F35" s="1"/>
      <c r="G35" s="1"/>
      <c r="H35" s="506">
        <f t="shared" ref="H35:H45" si="8">IF(F11=0,"NO",A11)</f>
        <v>2</v>
      </c>
      <c r="I35" s="507">
        <f t="shared" ref="I35:I45" si="9">IF(H35="NO",0,1)</f>
        <v>1</v>
      </c>
      <c r="J35" s="1"/>
      <c r="N35" s="1"/>
      <c r="O35" s="1"/>
      <c r="Q35" s="1"/>
      <c r="R35" s="1"/>
      <c r="S35" s="1"/>
      <c r="T35" s="1"/>
      <c r="U35" s="506">
        <f t="shared" si="6"/>
        <v>2</v>
      </c>
      <c r="V35" s="507">
        <f t="shared" si="7"/>
        <v>1</v>
      </c>
      <c r="W35" s="1"/>
    </row>
    <row r="36" spans="1:23">
      <c r="A36" s="1"/>
      <c r="B36" s="1"/>
      <c r="C36" s="1"/>
      <c r="D36" s="1"/>
      <c r="E36" s="1"/>
      <c r="F36" s="1"/>
      <c r="G36" s="1"/>
      <c r="H36" s="506">
        <f t="shared" si="8"/>
        <v>3</v>
      </c>
      <c r="I36" s="507">
        <f t="shared" si="9"/>
        <v>1</v>
      </c>
      <c r="J36" s="1"/>
      <c r="N36" s="1"/>
      <c r="O36" s="1"/>
      <c r="P36" s="1"/>
      <c r="Q36" s="1"/>
      <c r="R36" s="1"/>
      <c r="S36" s="1"/>
      <c r="T36" s="1"/>
      <c r="U36" s="506">
        <f t="shared" si="6"/>
        <v>3</v>
      </c>
      <c r="V36" s="507">
        <f t="shared" si="7"/>
        <v>1</v>
      </c>
      <c r="W36" s="1"/>
    </row>
    <row r="37" spans="1:23">
      <c r="A37" s="1"/>
      <c r="B37" s="1"/>
      <c r="C37" s="1"/>
      <c r="D37" s="1"/>
      <c r="E37" s="1"/>
      <c r="F37" s="1"/>
      <c r="G37" s="1"/>
      <c r="H37" s="506">
        <f t="shared" si="8"/>
        <v>4</v>
      </c>
      <c r="I37" s="507">
        <f t="shared" si="9"/>
        <v>1</v>
      </c>
      <c r="J37" s="1"/>
      <c r="N37" s="1"/>
      <c r="O37" s="1"/>
      <c r="P37" s="1"/>
      <c r="Q37" s="1"/>
      <c r="R37" s="1"/>
      <c r="S37" s="1"/>
      <c r="T37" s="1"/>
      <c r="U37" s="506">
        <f t="shared" si="6"/>
        <v>4</v>
      </c>
      <c r="V37" s="507">
        <f t="shared" si="7"/>
        <v>1</v>
      </c>
      <c r="W37" s="1"/>
    </row>
    <row r="38" spans="1:23">
      <c r="A38" s="1"/>
      <c r="B38" s="1"/>
      <c r="C38" s="1"/>
      <c r="D38" s="1"/>
      <c r="E38" s="1"/>
      <c r="F38" s="1"/>
      <c r="G38" s="1"/>
      <c r="H38" s="506">
        <f t="shared" si="8"/>
        <v>5</v>
      </c>
      <c r="I38" s="507">
        <f t="shared" si="9"/>
        <v>1</v>
      </c>
      <c r="J38" s="1"/>
      <c r="N38" s="1"/>
      <c r="O38" s="1"/>
      <c r="P38" s="1"/>
      <c r="Q38" s="1"/>
      <c r="R38" s="1"/>
      <c r="S38" s="1"/>
      <c r="T38" s="1"/>
      <c r="U38" s="506">
        <f t="shared" si="6"/>
        <v>5</v>
      </c>
      <c r="V38" s="507">
        <f t="shared" si="7"/>
        <v>1</v>
      </c>
      <c r="W38" s="1"/>
    </row>
    <row r="39" spans="1:23">
      <c r="A39" s="1"/>
      <c r="B39" s="1"/>
      <c r="C39" s="1"/>
      <c r="D39" s="1"/>
      <c r="E39" s="1"/>
      <c r="F39" s="1"/>
      <c r="G39" s="1"/>
      <c r="H39" s="506">
        <f t="shared" si="8"/>
        <v>6</v>
      </c>
      <c r="I39" s="507">
        <f t="shared" si="9"/>
        <v>1</v>
      </c>
      <c r="J39" s="1"/>
      <c r="N39" s="1"/>
      <c r="O39" s="1"/>
      <c r="P39" s="1"/>
      <c r="Q39" s="1"/>
      <c r="R39" s="1"/>
      <c r="S39" s="1"/>
      <c r="T39" s="1"/>
      <c r="U39" s="506">
        <f t="shared" si="6"/>
        <v>6</v>
      </c>
      <c r="V39" s="507">
        <f t="shared" si="7"/>
        <v>1</v>
      </c>
      <c r="W39" s="1"/>
    </row>
    <row r="40" spans="1:23">
      <c r="A40" s="1"/>
      <c r="B40" s="1"/>
      <c r="C40" s="1"/>
      <c r="D40" s="1"/>
      <c r="E40" s="1"/>
      <c r="F40" s="1"/>
      <c r="G40" s="1"/>
      <c r="H40" s="506">
        <f t="shared" si="8"/>
        <v>7</v>
      </c>
      <c r="I40" s="507">
        <f t="shared" si="9"/>
        <v>1</v>
      </c>
      <c r="J40" s="1"/>
      <c r="N40" s="1"/>
      <c r="O40" s="1"/>
      <c r="P40" s="1"/>
      <c r="Q40" s="1"/>
      <c r="R40" s="1"/>
      <c r="S40" s="1"/>
      <c r="T40" s="1"/>
      <c r="U40" s="506">
        <f t="shared" si="6"/>
        <v>7</v>
      </c>
      <c r="V40" s="507">
        <f t="shared" si="7"/>
        <v>1</v>
      </c>
      <c r="W40" s="1"/>
    </row>
    <row r="41" spans="1:23">
      <c r="A41" s="1"/>
      <c r="B41" s="1"/>
      <c r="C41" s="1"/>
      <c r="D41" s="1"/>
      <c r="E41" s="1"/>
      <c r="F41" s="1"/>
      <c r="G41" s="1"/>
      <c r="H41" s="506">
        <f t="shared" si="8"/>
        <v>8</v>
      </c>
      <c r="I41" s="507">
        <f t="shared" si="9"/>
        <v>1</v>
      </c>
      <c r="J41" s="4"/>
      <c r="N41" s="1"/>
      <c r="O41" s="1"/>
      <c r="P41" s="1"/>
      <c r="Q41" s="1"/>
      <c r="R41" s="1"/>
      <c r="S41" s="1"/>
      <c r="T41" s="1"/>
      <c r="U41" s="506">
        <f t="shared" si="6"/>
        <v>8</v>
      </c>
      <c r="V41" s="507">
        <f t="shared" si="7"/>
        <v>1</v>
      </c>
      <c r="W41" s="4"/>
    </row>
    <row r="42" spans="1:23">
      <c r="A42" s="1"/>
      <c r="B42" s="1"/>
      <c r="C42" s="1"/>
      <c r="D42" s="1"/>
      <c r="E42" s="1"/>
      <c r="F42" s="1"/>
      <c r="G42" s="1"/>
      <c r="H42" s="506">
        <f t="shared" si="8"/>
        <v>9</v>
      </c>
      <c r="I42" s="507">
        <f t="shared" si="9"/>
        <v>1</v>
      </c>
      <c r="J42" s="1"/>
      <c r="N42" s="1"/>
      <c r="O42" s="1"/>
      <c r="P42" s="1"/>
      <c r="Q42" s="1"/>
      <c r="R42" s="1"/>
      <c r="S42" s="1"/>
      <c r="T42" s="1"/>
      <c r="U42" s="506">
        <f t="shared" si="6"/>
        <v>9</v>
      </c>
      <c r="V42" s="507">
        <f t="shared" si="7"/>
        <v>1</v>
      </c>
      <c r="W42" s="1"/>
    </row>
    <row r="43" spans="1:23">
      <c r="A43" s="1"/>
      <c r="B43" s="1"/>
      <c r="C43" s="1"/>
      <c r="D43" s="1"/>
      <c r="E43" s="1"/>
      <c r="F43" s="1"/>
      <c r="G43" s="1"/>
      <c r="H43" s="506">
        <f t="shared" si="8"/>
        <v>10</v>
      </c>
      <c r="I43" s="507">
        <f t="shared" si="9"/>
        <v>1</v>
      </c>
      <c r="J43" s="1"/>
      <c r="N43" s="1"/>
      <c r="O43" s="1"/>
      <c r="P43" s="1"/>
      <c r="Q43" s="1"/>
      <c r="R43" s="1"/>
      <c r="S43" s="1"/>
      <c r="T43" s="1"/>
      <c r="U43" s="506">
        <f t="shared" si="6"/>
        <v>10</v>
      </c>
      <c r="V43" s="507">
        <f t="shared" si="7"/>
        <v>1</v>
      </c>
      <c r="W43" s="1"/>
    </row>
    <row r="44" spans="1:23">
      <c r="A44" s="1"/>
      <c r="B44" s="1"/>
      <c r="C44" s="1"/>
      <c r="D44" s="1"/>
      <c r="E44" s="1"/>
      <c r="F44" s="1"/>
      <c r="G44" s="1"/>
      <c r="H44" s="506">
        <f t="shared" si="8"/>
        <v>11</v>
      </c>
      <c r="I44" s="507">
        <f t="shared" si="9"/>
        <v>1</v>
      </c>
      <c r="J44" s="1"/>
      <c r="N44" s="1"/>
      <c r="O44" s="1"/>
      <c r="P44" s="1"/>
      <c r="Q44" s="1"/>
      <c r="R44" s="1"/>
      <c r="S44" s="1"/>
      <c r="T44" s="1"/>
      <c r="U44" s="506">
        <f t="shared" si="6"/>
        <v>11</v>
      </c>
      <c r="V44" s="507">
        <f t="shared" si="7"/>
        <v>1</v>
      </c>
      <c r="W44" s="1"/>
    </row>
    <row r="45" spans="1:23">
      <c r="A45" s="1"/>
      <c r="B45" s="1"/>
      <c r="C45" s="1"/>
      <c r="D45" s="1"/>
      <c r="E45" s="1"/>
      <c r="F45" s="1"/>
      <c r="G45" s="1"/>
      <c r="H45" s="506">
        <f t="shared" si="8"/>
        <v>12</v>
      </c>
      <c r="I45" s="507">
        <f t="shared" si="9"/>
        <v>1</v>
      </c>
      <c r="J45" s="1"/>
      <c r="N45" s="1"/>
      <c r="O45" s="1"/>
      <c r="P45" s="1"/>
      <c r="Q45" s="1"/>
      <c r="R45" s="1"/>
      <c r="S45" s="1"/>
      <c r="T45" s="1"/>
      <c r="U45" s="506">
        <f t="shared" si="6"/>
        <v>12</v>
      </c>
      <c r="V45" s="507">
        <f t="shared" si="7"/>
        <v>1</v>
      </c>
      <c r="W45" s="1"/>
    </row>
    <row r="46" spans="1:23">
      <c r="A46" s="1"/>
      <c r="B46" s="1"/>
      <c r="C46" s="1"/>
      <c r="D46" s="1"/>
      <c r="E46" s="1"/>
      <c r="F46" s="1"/>
      <c r="G46" s="1"/>
      <c r="H46" s="4"/>
      <c r="I46" s="4"/>
      <c r="J46" s="1"/>
      <c r="N46" s="1"/>
      <c r="O46" s="1"/>
      <c r="P46" s="1"/>
      <c r="Q46" s="1"/>
      <c r="R46" s="1"/>
      <c r="S46" s="1"/>
      <c r="T46" s="1"/>
      <c r="U46" s="4"/>
      <c r="V46" s="4"/>
      <c r="W46" s="1"/>
    </row>
    <row r="47" spans="1:23">
      <c r="A47" s="1"/>
      <c r="B47" s="1"/>
      <c r="C47" s="1"/>
      <c r="D47" s="1"/>
      <c r="E47" s="1"/>
      <c r="F47" s="1"/>
      <c r="G47" s="1"/>
      <c r="H47" s="508" t="s">
        <v>190</v>
      </c>
      <c r="I47" s="507">
        <f>MIN(H34:H45)</f>
        <v>1</v>
      </c>
      <c r="J47" s="509"/>
      <c r="N47" s="1"/>
      <c r="O47" s="1"/>
      <c r="P47" s="1"/>
      <c r="Q47" s="1"/>
      <c r="R47" s="1"/>
      <c r="S47" s="1"/>
      <c r="T47" s="1"/>
      <c r="U47" s="508" t="s">
        <v>190</v>
      </c>
      <c r="V47" s="507">
        <f>MIN(U34:U45)</f>
        <v>1</v>
      </c>
      <c r="W47" s="509"/>
    </row>
    <row r="48" spans="1:23">
      <c r="A48" s="1"/>
      <c r="B48" s="1"/>
      <c r="C48" s="1"/>
      <c r="D48" s="1"/>
      <c r="E48" s="1"/>
      <c r="F48" s="1"/>
      <c r="G48" s="1"/>
      <c r="H48" s="508" t="s">
        <v>191</v>
      </c>
      <c r="I48" s="507">
        <f>MAX(H34:H45)</f>
        <v>12</v>
      </c>
      <c r="J48" s="509"/>
      <c r="N48" s="1"/>
      <c r="O48" s="1"/>
      <c r="P48" s="1"/>
      <c r="Q48" s="1"/>
      <c r="R48" s="1"/>
      <c r="S48" s="1"/>
      <c r="T48" s="1"/>
      <c r="U48" s="508" t="s">
        <v>191</v>
      </c>
      <c r="V48" s="507">
        <f>MAX(U34:U45)</f>
        <v>12</v>
      </c>
      <c r="W48" s="509"/>
    </row>
    <row r="49" spans="1:23">
      <c r="A49" s="1"/>
      <c r="B49" s="1"/>
      <c r="C49" s="1"/>
      <c r="D49" s="1"/>
      <c r="E49" s="1"/>
      <c r="F49" s="1"/>
      <c r="G49" s="1"/>
      <c r="H49" s="130"/>
      <c r="I49" s="1"/>
      <c r="J49" s="1"/>
      <c r="N49" s="1"/>
      <c r="O49" s="1"/>
      <c r="P49" s="1"/>
      <c r="Q49" s="1"/>
      <c r="R49" s="1"/>
      <c r="S49" s="1"/>
      <c r="T49" s="1"/>
      <c r="U49" s="130"/>
      <c r="V49" s="1"/>
      <c r="W49" s="1"/>
    </row>
    <row r="50" spans="1:23">
      <c r="A50" s="1"/>
      <c r="B50" s="1"/>
      <c r="C50" s="1"/>
      <c r="D50" s="1"/>
      <c r="E50" s="1"/>
      <c r="F50" s="1"/>
      <c r="G50" s="1"/>
      <c r="H50" s="508" t="s">
        <v>192</v>
      </c>
      <c r="I50" s="512">
        <v>2022</v>
      </c>
      <c r="J50" s="510">
        <f>VLOOKUP(I50,INPC!$B$6:$O$30,MAX(H34:H45)+2)</f>
        <v>125.276</v>
      </c>
      <c r="N50" s="1"/>
      <c r="O50" s="1"/>
      <c r="P50" s="1"/>
      <c r="Q50" s="1"/>
      <c r="R50" s="1"/>
      <c r="S50" s="1"/>
      <c r="T50" s="1"/>
      <c r="U50" s="508" t="s">
        <v>192</v>
      </c>
      <c r="V50" s="512">
        <v>2022</v>
      </c>
      <c r="W50" s="510">
        <f>VLOOKUP(V50,INPC!$B$6:$O$30,MAX(U34:U45)+2)</f>
        <v>125.276</v>
      </c>
    </row>
    <row r="51" spans="1:23">
      <c r="A51" s="1"/>
      <c r="B51" s="1"/>
      <c r="C51" s="1"/>
      <c r="D51" s="1"/>
      <c r="E51" s="1"/>
      <c r="F51" s="1"/>
      <c r="G51" s="1"/>
      <c r="H51" s="508" t="s">
        <v>193</v>
      </c>
      <c r="I51" s="512">
        <v>2021</v>
      </c>
      <c r="J51" s="510">
        <f>VLOOKUP(I51,INPC!$B$6:$O$32,14)</f>
        <v>117.30800000000001</v>
      </c>
      <c r="N51" s="1"/>
      <c r="O51" s="1"/>
      <c r="P51" s="1"/>
      <c r="Q51" s="1"/>
      <c r="R51" s="1"/>
      <c r="S51" s="1"/>
      <c r="T51" s="1"/>
      <c r="U51" s="508" t="s">
        <v>193</v>
      </c>
      <c r="V51" s="512">
        <v>2021</v>
      </c>
      <c r="W51" s="510">
        <f>VLOOKUP(V51,INPC!$B$6:$O$32,14)</f>
        <v>117.30800000000001</v>
      </c>
    </row>
    <row r="52" spans="1:23">
      <c r="A52" s="1"/>
      <c r="B52" s="1"/>
      <c r="C52" s="1"/>
      <c r="D52" s="1"/>
      <c r="E52" s="1"/>
      <c r="F52" s="1"/>
      <c r="G52" s="1"/>
      <c r="H52" s="1"/>
      <c r="I52" s="511" t="s">
        <v>532</v>
      </c>
      <c r="J52" s="1"/>
      <c r="N52" s="1"/>
      <c r="O52" s="1"/>
      <c r="P52" s="1"/>
      <c r="Q52" s="1"/>
      <c r="R52" s="1"/>
      <c r="S52" s="1"/>
      <c r="T52" s="1"/>
      <c r="U52" s="1"/>
      <c r="V52" s="511" t="s">
        <v>532</v>
      </c>
      <c r="W52" s="1"/>
    </row>
    <row r="55" spans="1:23" ht="22" customHeight="1">
      <c r="H55" s="513" t="s">
        <v>596</v>
      </c>
      <c r="I55" s="513"/>
    </row>
    <row r="56" spans="1:23" ht="22" customHeight="1">
      <c r="H56" t="s">
        <v>594</v>
      </c>
    </row>
    <row r="57" spans="1:23" ht="22" customHeight="1">
      <c r="H57" t="s">
        <v>595</v>
      </c>
    </row>
  </sheetData>
  <sheetProtection algorithmName="SHA-512" hashValue="egQJeIvm9zksPIcbKxapvk4l0Rh4bevc0rjwdpT1grxxR11vDzA6ojXmjlmBL42H2ePvnZf3T3+1BAWCdaE8SQ==" saltValue="Noj+nqZNTVxfy2ZaLPittw==" spinCount="100000" sheet="1" objects="1" scenarios="1"/>
  <mergeCells count="6">
    <mergeCell ref="C2:J2"/>
    <mergeCell ref="P2:W2"/>
    <mergeCell ref="C4:F4"/>
    <mergeCell ref="H4:J4"/>
    <mergeCell ref="P4:S4"/>
    <mergeCell ref="U4:W4"/>
  </mergeCells>
  <printOptions horizontalCentered="1" verticalCentered="1"/>
  <pageMargins left="0.7" right="0.7" top="0.75" bottom="0.75" header="0.3" footer="0.3"/>
  <pageSetup scale="58"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B3:N143"/>
  <sheetViews>
    <sheetView view="pageBreakPreview" zoomScale="60" zoomScaleNormal="80" workbookViewId="0">
      <selection activeCell="C17" sqref="C17"/>
    </sheetView>
  </sheetViews>
  <sheetFormatPr baseColWidth="10" defaultColWidth="10.83203125" defaultRowHeight="23" customHeight="1"/>
  <cols>
    <col min="1" max="1" width="10.83203125" style="134"/>
    <col min="2" max="2" width="21.33203125" style="134" customWidth="1"/>
    <col min="3" max="9" width="23" style="134" customWidth="1"/>
    <col min="10" max="11" width="23" style="134" hidden="1" customWidth="1"/>
    <col min="12" max="12" width="21.33203125" style="134" customWidth="1"/>
    <col min="13" max="13" width="10.83203125" style="134"/>
    <col min="14" max="14" width="21" style="134" customWidth="1"/>
    <col min="15" max="22" width="18.83203125" style="134" customWidth="1"/>
    <col min="23" max="16384" width="10.83203125" style="134"/>
  </cols>
  <sheetData>
    <row r="3" spans="2:14" ht="23" hidden="1" customHeight="1">
      <c r="B3" s="212" t="s">
        <v>202</v>
      </c>
    </row>
    <row r="4" spans="2:14" ht="23" hidden="1" customHeight="1">
      <c r="B4" s="134" t="s">
        <v>203</v>
      </c>
    </row>
    <row r="5" spans="2:14" ht="23" hidden="1" customHeight="1">
      <c r="B5" s="134" t="s">
        <v>204</v>
      </c>
    </row>
    <row r="6" spans="2:14" ht="23" hidden="1" customHeight="1">
      <c r="B6" s="134" t="s">
        <v>205</v>
      </c>
    </row>
    <row r="7" spans="2:14" ht="23" hidden="1" customHeight="1">
      <c r="B7" s="134" t="s">
        <v>64</v>
      </c>
    </row>
    <row r="8" spans="2:14" ht="23" hidden="1" customHeight="1">
      <c r="M8" s="140"/>
    </row>
    <row r="9" spans="2:14" ht="23" customHeight="1">
      <c r="M9" s="140"/>
    </row>
    <row r="10" spans="2:14" ht="23" customHeight="1">
      <c r="B10" s="738" t="str">
        <f>+AAI!C4</f>
        <v>DETERMINACIÓN DEL AJUSTE ANUAL POR INFLACIÓN CONFORME AL TÍTULO IV DE LA LISR</v>
      </c>
      <c r="C10" s="738"/>
      <c r="D10" s="738"/>
      <c r="E10" s="738"/>
      <c r="F10" s="738"/>
      <c r="G10" s="738"/>
      <c r="H10" s="738"/>
      <c r="I10" s="738"/>
      <c r="J10" s="738"/>
      <c r="K10" s="738"/>
      <c r="L10" s="738"/>
      <c r="M10" s="140"/>
    </row>
    <row r="11" spans="2:14" ht="23" customHeight="1">
      <c r="B11" s="741" t="str">
        <f>+AAI!C5</f>
        <v>INGRESOS ACUMULABLES CONFORME AL TÍTULO IV, CAPÍTULO VI DE LA LISR</v>
      </c>
      <c r="C11" s="741"/>
      <c r="D11" s="741"/>
      <c r="E11" s="741"/>
      <c r="F11" s="741"/>
      <c r="M11" s="140"/>
    </row>
    <row r="12" spans="2:14" ht="23" customHeight="1">
      <c r="B12" s="332" t="s">
        <v>462</v>
      </c>
      <c r="C12" s="22" t="s">
        <v>679</v>
      </c>
      <c r="D12" s="332"/>
      <c r="E12" s="332"/>
      <c r="F12" s="332"/>
      <c r="G12" s="332"/>
      <c r="H12" s="332"/>
      <c r="I12" s="332"/>
      <c r="J12" s="332"/>
      <c r="K12" s="332"/>
      <c r="L12" s="332"/>
      <c r="M12" s="140"/>
    </row>
    <row r="13" spans="2:14" ht="23" customHeight="1">
      <c r="B13" s="140"/>
      <c r="C13" s="742" t="s">
        <v>219</v>
      </c>
      <c r="D13" s="742"/>
      <c r="E13" s="742"/>
      <c r="F13" s="742"/>
      <c r="G13" s="742"/>
      <c r="H13" s="742"/>
      <c r="I13" s="742"/>
      <c r="J13" s="742"/>
      <c r="K13" s="742"/>
      <c r="L13" s="742"/>
      <c r="M13" s="140"/>
      <c r="N13" s="740" t="s">
        <v>356</v>
      </c>
    </row>
    <row r="14" spans="2:14" ht="23" customHeight="1">
      <c r="B14" s="214"/>
      <c r="C14" s="217" t="s">
        <v>1246</v>
      </c>
      <c r="D14" s="217" t="s">
        <v>1256</v>
      </c>
      <c r="E14" s="217" t="s">
        <v>1260</v>
      </c>
      <c r="F14" s="217" t="s">
        <v>1263</v>
      </c>
      <c r="G14" s="217" t="s">
        <v>1266</v>
      </c>
      <c r="H14" s="217" t="s">
        <v>1250</v>
      </c>
      <c r="I14" s="217" t="s">
        <v>1254</v>
      </c>
      <c r="J14" s="217" t="s">
        <v>66</v>
      </c>
      <c r="K14" s="217" t="s">
        <v>66</v>
      </c>
      <c r="L14" s="743" t="s">
        <v>69</v>
      </c>
      <c r="M14" s="140"/>
      <c r="N14" s="740"/>
    </row>
    <row r="15" spans="2:14" ht="23" customHeight="1">
      <c r="C15" s="217" t="s">
        <v>692</v>
      </c>
      <c r="D15" s="217" t="s">
        <v>692</v>
      </c>
      <c r="E15" s="217" t="s">
        <v>692</v>
      </c>
      <c r="F15" s="217" t="s">
        <v>692</v>
      </c>
      <c r="G15" s="217" t="s">
        <v>692</v>
      </c>
      <c r="H15" s="217" t="s">
        <v>692</v>
      </c>
      <c r="I15" s="217" t="s">
        <v>692</v>
      </c>
      <c r="J15" s="217" t="s">
        <v>68</v>
      </c>
      <c r="K15" s="217" t="s">
        <v>68</v>
      </c>
      <c r="L15" s="743"/>
      <c r="M15" s="140"/>
      <c r="N15" s="220">
        <f>+L16+L35+L54+L111+L130</f>
        <v>1286362.6500000001</v>
      </c>
    </row>
    <row r="16" spans="2:14" ht="23" customHeight="1">
      <c r="B16" s="218" t="s">
        <v>353</v>
      </c>
      <c r="C16" s="219">
        <v>149201.10999999999</v>
      </c>
      <c r="D16" s="219">
        <v>351699.19</v>
      </c>
      <c r="E16" s="219">
        <v>491.84</v>
      </c>
      <c r="F16" s="219">
        <v>267304.69</v>
      </c>
      <c r="G16" s="219">
        <v>214838.08</v>
      </c>
      <c r="H16" s="163">
        <v>154705.16</v>
      </c>
      <c r="I16" s="219">
        <v>148122.57999999999</v>
      </c>
      <c r="J16" s="219"/>
      <c r="K16" s="219"/>
      <c r="L16" s="219">
        <f t="shared" ref="L16:L28" si="0">SUM(C16:K16)</f>
        <v>1286362.6500000001</v>
      </c>
      <c r="M16" s="140"/>
    </row>
    <row r="17" spans="2:14" ht="23" customHeight="1">
      <c r="B17" s="218" t="s">
        <v>65</v>
      </c>
      <c r="C17" s="219">
        <v>150271.21</v>
      </c>
      <c r="D17" s="219">
        <v>349256</v>
      </c>
      <c r="E17" s="219">
        <v>491.84</v>
      </c>
      <c r="F17" s="219">
        <v>389895.08</v>
      </c>
      <c r="G17" s="219">
        <v>187432.87</v>
      </c>
      <c r="H17" s="219">
        <v>143471.46</v>
      </c>
      <c r="I17" s="219">
        <v>169328.06</v>
      </c>
      <c r="J17" s="219"/>
      <c r="K17" s="219"/>
      <c r="L17" s="219">
        <f t="shared" si="0"/>
        <v>1390146.52</v>
      </c>
      <c r="M17" s="140"/>
    </row>
    <row r="18" spans="2:14" ht="23" customHeight="1">
      <c r="B18" s="218" t="s">
        <v>67</v>
      </c>
      <c r="C18" s="219">
        <v>153963.85</v>
      </c>
      <c r="D18" s="219">
        <v>350311.25</v>
      </c>
      <c r="E18" s="219">
        <v>491.84</v>
      </c>
      <c r="F18" s="219">
        <v>390101.19</v>
      </c>
      <c r="G18" s="219">
        <v>189932.49</v>
      </c>
      <c r="H18" s="219">
        <v>143478.06</v>
      </c>
      <c r="I18" s="219">
        <v>152157.75</v>
      </c>
      <c r="J18" s="219"/>
      <c r="K18" s="219"/>
      <c r="L18" s="219">
        <f t="shared" si="0"/>
        <v>1380436.4300000002</v>
      </c>
      <c r="M18" s="140"/>
    </row>
    <row r="19" spans="2:14" ht="23" customHeight="1">
      <c r="B19" s="218" t="s">
        <v>70</v>
      </c>
      <c r="C19" s="219">
        <v>80633.429999999993</v>
      </c>
      <c r="D19" s="219">
        <v>447087.02</v>
      </c>
      <c r="E19" s="219">
        <v>491.84</v>
      </c>
      <c r="F19" s="219">
        <v>416833.6</v>
      </c>
      <c r="G19" s="219">
        <v>222960.8</v>
      </c>
      <c r="H19" s="219">
        <v>143489.37</v>
      </c>
      <c r="I19" s="219">
        <v>184808.55</v>
      </c>
      <c r="J19" s="219"/>
      <c r="K19" s="219"/>
      <c r="L19" s="219">
        <f t="shared" si="0"/>
        <v>1496304.61</v>
      </c>
      <c r="M19" s="140"/>
    </row>
    <row r="20" spans="2:14" ht="23" customHeight="1">
      <c r="B20" s="218" t="s">
        <v>71</v>
      </c>
      <c r="C20" s="219">
        <v>77975.3</v>
      </c>
      <c r="D20" s="219">
        <v>47745.78</v>
      </c>
      <c r="E20" s="219">
        <v>491.84</v>
      </c>
      <c r="F20" s="219">
        <v>827259.33</v>
      </c>
      <c r="G20" s="219">
        <v>150740.89000000001</v>
      </c>
      <c r="H20" s="219">
        <v>290515.71000000002</v>
      </c>
      <c r="I20" s="219">
        <v>312479.14</v>
      </c>
      <c r="J20" s="219"/>
      <c r="K20" s="219"/>
      <c r="L20" s="219">
        <f t="shared" si="0"/>
        <v>1707207.9900000002</v>
      </c>
      <c r="M20" s="140"/>
    </row>
    <row r="21" spans="2:14" ht="23" customHeight="1">
      <c r="B21" s="218" t="s">
        <v>72</v>
      </c>
      <c r="C21" s="219">
        <v>66735.02</v>
      </c>
      <c r="D21" s="219">
        <v>49130.77</v>
      </c>
      <c r="E21" s="219">
        <v>2373273.1800000002</v>
      </c>
      <c r="F21" s="219">
        <v>956269.16</v>
      </c>
      <c r="G21" s="219">
        <v>148634.5</v>
      </c>
      <c r="H21" s="219">
        <v>290658.94</v>
      </c>
      <c r="I21" s="219">
        <v>193788.35</v>
      </c>
      <c r="J21" s="219"/>
      <c r="K21" s="219"/>
      <c r="L21" s="219">
        <f t="shared" si="0"/>
        <v>4078489.9200000004</v>
      </c>
      <c r="M21" s="140"/>
    </row>
    <row r="22" spans="2:14" ht="23" customHeight="1">
      <c r="B22" s="218" t="s">
        <v>73</v>
      </c>
      <c r="C22" s="219">
        <v>94028.98</v>
      </c>
      <c r="D22" s="219">
        <v>148408</v>
      </c>
      <c r="E22" s="219">
        <v>2373292.6800000002</v>
      </c>
      <c r="F22" s="219">
        <v>1059045.07</v>
      </c>
      <c r="G22" s="219">
        <v>211238.52</v>
      </c>
      <c r="H22" s="219">
        <v>86135.35</v>
      </c>
      <c r="I22" s="219">
        <v>150761.60000000001</v>
      </c>
      <c r="J22" s="219"/>
      <c r="K22" s="219"/>
      <c r="L22" s="219">
        <f t="shared" si="0"/>
        <v>4122910.2000000007</v>
      </c>
      <c r="M22" s="140"/>
    </row>
    <row r="23" spans="2:14" ht="23" customHeight="1">
      <c r="B23" s="218" t="s">
        <v>74</v>
      </c>
      <c r="C23" s="219">
        <v>127664.19</v>
      </c>
      <c r="D23" s="219">
        <v>146845.85</v>
      </c>
      <c r="E23" s="219">
        <v>308.95</v>
      </c>
      <c r="F23" s="219">
        <v>1456774.35</v>
      </c>
      <c r="G23" s="219">
        <v>183427.35</v>
      </c>
      <c r="H23" s="219">
        <v>48932.09</v>
      </c>
      <c r="I23" s="219">
        <v>330105.08</v>
      </c>
      <c r="J23" s="219"/>
      <c r="K23" s="219"/>
      <c r="L23" s="219">
        <f t="shared" si="0"/>
        <v>2294057.8600000003</v>
      </c>
      <c r="M23" s="140"/>
    </row>
    <row r="24" spans="2:14" ht="23" customHeight="1">
      <c r="B24" s="218" t="s">
        <v>75</v>
      </c>
      <c r="C24" s="219">
        <v>128388.78</v>
      </c>
      <c r="D24" s="219">
        <v>17100.759999999998</v>
      </c>
      <c r="E24" s="219">
        <v>308.95999999999998</v>
      </c>
      <c r="F24" s="219">
        <v>5619133.0800000001</v>
      </c>
      <c r="G24" s="219">
        <v>213460.46</v>
      </c>
      <c r="H24" s="219">
        <v>27271.11</v>
      </c>
      <c r="I24" s="219">
        <v>180652.47</v>
      </c>
      <c r="J24" s="219"/>
      <c r="K24" s="219"/>
      <c r="L24" s="219">
        <f t="shared" si="0"/>
        <v>6186315.6200000001</v>
      </c>
      <c r="M24" s="140"/>
    </row>
    <row r="25" spans="2:14" ht="23" customHeight="1">
      <c r="B25" s="218" t="s">
        <v>76</v>
      </c>
      <c r="C25" s="219">
        <v>4931.24</v>
      </c>
      <c r="D25" s="219">
        <v>75969.05</v>
      </c>
      <c r="E25" s="219">
        <v>308.95999999999998</v>
      </c>
      <c r="F25" s="219">
        <v>5667525.4500000002</v>
      </c>
      <c r="G25" s="219">
        <v>225949.65</v>
      </c>
      <c r="H25" s="219">
        <v>2097437.89</v>
      </c>
      <c r="I25" s="219">
        <v>89462.96</v>
      </c>
      <c r="J25" s="219"/>
      <c r="K25" s="219"/>
      <c r="L25" s="219">
        <f t="shared" si="0"/>
        <v>8161585.2000000002</v>
      </c>
      <c r="M25" s="140"/>
      <c r="N25" s="140"/>
    </row>
    <row r="26" spans="2:14" ht="23" customHeight="1">
      <c r="B26" s="218" t="s">
        <v>77</v>
      </c>
      <c r="C26" s="219">
        <v>3049.4</v>
      </c>
      <c r="D26" s="219">
        <v>63805.82</v>
      </c>
      <c r="E26" s="219">
        <v>308.97000000000003</v>
      </c>
      <c r="F26" s="219">
        <v>677416.74</v>
      </c>
      <c r="G26" s="219">
        <v>201911.48</v>
      </c>
      <c r="H26" s="219">
        <v>65820.14</v>
      </c>
      <c r="I26" s="219">
        <v>268934.7</v>
      </c>
      <c r="J26" s="219"/>
      <c r="K26" s="219"/>
      <c r="L26" s="219">
        <f t="shared" si="0"/>
        <v>1281247.25</v>
      </c>
      <c r="M26" s="140"/>
      <c r="N26" s="140"/>
    </row>
    <row r="27" spans="2:14" ht="23" customHeight="1">
      <c r="B27" s="218" t="s">
        <v>78</v>
      </c>
      <c r="C27" s="668">
        <v>1.0000000000000001E-5</v>
      </c>
      <c r="D27" s="668"/>
      <c r="E27" s="668"/>
      <c r="F27" s="668"/>
      <c r="G27" s="668"/>
      <c r="H27" s="668"/>
      <c r="I27" s="668"/>
      <c r="J27" s="219"/>
      <c r="K27" s="219"/>
      <c r="L27" s="219">
        <f t="shared" si="0"/>
        <v>1.0000000000000001E-5</v>
      </c>
    </row>
    <row r="28" spans="2:14" ht="23" customHeight="1">
      <c r="B28" s="218" t="s">
        <v>79</v>
      </c>
      <c r="C28" s="668">
        <v>1.0000000000000001E-5</v>
      </c>
      <c r="D28" s="668"/>
      <c r="E28" s="668"/>
      <c r="F28" s="668"/>
      <c r="G28" s="668"/>
      <c r="H28" s="668"/>
      <c r="I28" s="668"/>
      <c r="J28" s="219"/>
      <c r="K28" s="219"/>
      <c r="L28" s="219">
        <f t="shared" si="0"/>
        <v>1.0000000000000001E-5</v>
      </c>
    </row>
    <row r="29" spans="2:14" ht="23" customHeight="1">
      <c r="B29" s="1"/>
      <c r="C29" s="140"/>
      <c r="D29" s="140"/>
      <c r="E29" s="140"/>
      <c r="F29" s="140"/>
      <c r="G29" s="140"/>
      <c r="H29" s="140"/>
      <c r="I29" s="140"/>
      <c r="J29" s="140"/>
      <c r="K29" s="140"/>
      <c r="L29" s="221">
        <f>SUM(L17:L28)</f>
        <v>32098701.600019999</v>
      </c>
    </row>
    <row r="30" spans="2:14" ht="23" customHeight="1">
      <c r="C30" s="140"/>
      <c r="D30" s="140"/>
      <c r="E30" s="140"/>
      <c r="F30" s="140"/>
      <c r="G30" s="140"/>
      <c r="H30" s="140"/>
      <c r="I30" s="140"/>
      <c r="J30" s="140"/>
      <c r="K30" s="140"/>
      <c r="L30" s="140"/>
    </row>
    <row r="31" spans="2:14" ht="23" hidden="1" customHeight="1">
      <c r="C31" s="140"/>
      <c r="D31" s="140"/>
      <c r="E31" s="140"/>
      <c r="F31" s="140"/>
      <c r="G31" s="140"/>
      <c r="H31" s="140"/>
      <c r="I31" s="140"/>
      <c r="J31" s="140"/>
      <c r="K31" s="140"/>
      <c r="L31" s="140"/>
    </row>
    <row r="32" spans="2:14" ht="23" hidden="1" customHeight="1">
      <c r="B32" s="140"/>
      <c r="C32" s="742" t="s">
        <v>219</v>
      </c>
      <c r="D32" s="742"/>
      <c r="E32" s="742"/>
      <c r="F32" s="742"/>
      <c r="G32" s="742"/>
      <c r="H32" s="742"/>
      <c r="I32" s="742"/>
      <c r="J32" s="742"/>
      <c r="K32" s="742"/>
      <c r="L32" s="742"/>
    </row>
    <row r="33" spans="2:12" ht="23" hidden="1" customHeight="1">
      <c r="B33" s="214"/>
      <c r="C33" s="217" t="s">
        <v>66</v>
      </c>
      <c r="D33" s="217" t="s">
        <v>66</v>
      </c>
      <c r="E33" s="217" t="s">
        <v>66</v>
      </c>
      <c r="F33" s="217" t="s">
        <v>66</v>
      </c>
      <c r="G33" s="217" t="s">
        <v>66</v>
      </c>
      <c r="H33" s="217" t="s">
        <v>66</v>
      </c>
      <c r="I33" s="217" t="s">
        <v>66</v>
      </c>
      <c r="J33" s="217" t="s">
        <v>66</v>
      </c>
      <c r="K33" s="217" t="s">
        <v>66</v>
      </c>
      <c r="L33" s="743" t="s">
        <v>69</v>
      </c>
    </row>
    <row r="34" spans="2:12" ht="23" hidden="1" customHeight="1">
      <c r="C34" s="217" t="s">
        <v>68</v>
      </c>
      <c r="D34" s="217" t="s">
        <v>68</v>
      </c>
      <c r="E34" s="217" t="s">
        <v>68</v>
      </c>
      <c r="F34" s="217" t="s">
        <v>68</v>
      </c>
      <c r="G34" s="217" t="s">
        <v>68</v>
      </c>
      <c r="H34" s="217" t="s">
        <v>68</v>
      </c>
      <c r="I34" s="217" t="s">
        <v>68</v>
      </c>
      <c r="J34" s="217" t="s">
        <v>68</v>
      </c>
      <c r="K34" s="217" t="s">
        <v>68</v>
      </c>
      <c r="L34" s="743"/>
    </row>
    <row r="35" spans="2:12" ht="23" hidden="1" customHeight="1">
      <c r="B35" s="218" t="s">
        <v>353</v>
      </c>
      <c r="C35" s="219"/>
      <c r="D35" s="219"/>
      <c r="E35" s="219"/>
      <c r="F35" s="219"/>
      <c r="G35" s="219"/>
      <c r="H35" s="219"/>
      <c r="I35" s="219"/>
      <c r="J35" s="219"/>
      <c r="K35" s="219"/>
      <c r="L35" s="219">
        <f t="shared" ref="L35:L47" si="1">SUM(C35:K35)</f>
        <v>0</v>
      </c>
    </row>
    <row r="36" spans="2:12" ht="23" hidden="1" customHeight="1">
      <c r="B36" s="218" t="s">
        <v>65</v>
      </c>
      <c r="C36" s="219"/>
      <c r="D36" s="219"/>
      <c r="E36" s="219"/>
      <c r="F36" s="219"/>
      <c r="G36" s="219"/>
      <c r="H36" s="219"/>
      <c r="I36" s="219"/>
      <c r="J36" s="219"/>
      <c r="K36" s="219"/>
      <c r="L36" s="219">
        <f t="shared" si="1"/>
        <v>0</v>
      </c>
    </row>
    <row r="37" spans="2:12" ht="23" hidden="1" customHeight="1">
      <c r="B37" s="218" t="s">
        <v>67</v>
      </c>
      <c r="C37" s="219"/>
      <c r="D37" s="219"/>
      <c r="E37" s="219"/>
      <c r="F37" s="219"/>
      <c r="G37" s="219"/>
      <c r="H37" s="219"/>
      <c r="I37" s="219"/>
      <c r="J37" s="219"/>
      <c r="K37" s="219"/>
      <c r="L37" s="219">
        <f t="shared" si="1"/>
        <v>0</v>
      </c>
    </row>
    <row r="38" spans="2:12" ht="23" hidden="1" customHeight="1">
      <c r="B38" s="218" t="s">
        <v>70</v>
      </c>
      <c r="C38" s="219"/>
      <c r="D38" s="219"/>
      <c r="E38" s="219"/>
      <c r="F38" s="219"/>
      <c r="G38" s="219"/>
      <c r="H38" s="219"/>
      <c r="I38" s="219"/>
      <c r="J38" s="219"/>
      <c r="K38" s="219"/>
      <c r="L38" s="219">
        <f t="shared" si="1"/>
        <v>0</v>
      </c>
    </row>
    <row r="39" spans="2:12" ht="23" hidden="1" customHeight="1">
      <c r="B39" s="218" t="s">
        <v>71</v>
      </c>
      <c r="C39" s="219"/>
      <c r="D39" s="219"/>
      <c r="E39" s="219"/>
      <c r="F39" s="219"/>
      <c r="G39" s="219"/>
      <c r="H39" s="219"/>
      <c r="I39" s="219"/>
      <c r="J39" s="219"/>
      <c r="K39" s="219"/>
      <c r="L39" s="219">
        <f t="shared" si="1"/>
        <v>0</v>
      </c>
    </row>
    <row r="40" spans="2:12" ht="23" hidden="1" customHeight="1">
      <c r="B40" s="218" t="s">
        <v>72</v>
      </c>
      <c r="C40" s="219"/>
      <c r="D40" s="219"/>
      <c r="E40" s="219"/>
      <c r="F40" s="219"/>
      <c r="G40" s="219"/>
      <c r="H40" s="219"/>
      <c r="I40" s="219"/>
      <c r="J40" s="219"/>
      <c r="K40" s="219"/>
      <c r="L40" s="219">
        <f t="shared" si="1"/>
        <v>0</v>
      </c>
    </row>
    <row r="41" spans="2:12" ht="23" hidden="1" customHeight="1">
      <c r="B41" s="218" t="s">
        <v>73</v>
      </c>
      <c r="C41" s="219"/>
      <c r="D41" s="219"/>
      <c r="E41" s="219"/>
      <c r="F41" s="219"/>
      <c r="G41" s="219"/>
      <c r="H41" s="219"/>
      <c r="I41" s="219"/>
      <c r="J41" s="219"/>
      <c r="K41" s="219"/>
      <c r="L41" s="219">
        <f t="shared" si="1"/>
        <v>0</v>
      </c>
    </row>
    <row r="42" spans="2:12" ht="23" hidden="1" customHeight="1">
      <c r="B42" s="218" t="s">
        <v>74</v>
      </c>
      <c r="C42" s="219"/>
      <c r="D42" s="219"/>
      <c r="E42" s="219"/>
      <c r="F42" s="219"/>
      <c r="G42" s="219"/>
      <c r="H42" s="219"/>
      <c r="I42" s="219"/>
      <c r="J42" s="219"/>
      <c r="K42" s="219"/>
      <c r="L42" s="219">
        <f t="shared" si="1"/>
        <v>0</v>
      </c>
    </row>
    <row r="43" spans="2:12" ht="23" hidden="1" customHeight="1">
      <c r="B43" s="218" t="s">
        <v>75</v>
      </c>
      <c r="C43" s="219"/>
      <c r="D43" s="219"/>
      <c r="E43" s="219"/>
      <c r="F43" s="219"/>
      <c r="G43" s="219"/>
      <c r="H43" s="219"/>
      <c r="I43" s="219"/>
      <c r="J43" s="219"/>
      <c r="K43" s="219"/>
      <c r="L43" s="219">
        <f t="shared" si="1"/>
        <v>0</v>
      </c>
    </row>
    <row r="44" spans="2:12" ht="23" hidden="1" customHeight="1">
      <c r="B44" s="218" t="s">
        <v>76</v>
      </c>
      <c r="C44" s="219"/>
      <c r="D44" s="219"/>
      <c r="E44" s="219"/>
      <c r="F44" s="219"/>
      <c r="G44" s="219"/>
      <c r="H44" s="219"/>
      <c r="I44" s="219"/>
      <c r="J44" s="219"/>
      <c r="K44" s="219"/>
      <c r="L44" s="219">
        <f t="shared" si="1"/>
        <v>0</v>
      </c>
    </row>
    <row r="45" spans="2:12" ht="23" hidden="1" customHeight="1">
      <c r="B45" s="218" t="s">
        <v>77</v>
      </c>
      <c r="C45" s="219"/>
      <c r="D45" s="219"/>
      <c r="E45" s="219"/>
      <c r="F45" s="219"/>
      <c r="G45" s="219"/>
      <c r="H45" s="219"/>
      <c r="I45" s="219"/>
      <c r="J45" s="219"/>
      <c r="K45" s="219"/>
      <c r="L45" s="219">
        <f t="shared" si="1"/>
        <v>0</v>
      </c>
    </row>
    <row r="46" spans="2:12" ht="23" hidden="1" customHeight="1">
      <c r="B46" s="218" t="s">
        <v>78</v>
      </c>
      <c r="C46" s="219"/>
      <c r="D46" s="219"/>
      <c r="E46" s="219"/>
      <c r="F46" s="219"/>
      <c r="G46" s="219"/>
      <c r="H46" s="219"/>
      <c r="I46" s="219"/>
      <c r="J46" s="219"/>
      <c r="K46" s="219"/>
      <c r="L46" s="219">
        <f t="shared" si="1"/>
        <v>0</v>
      </c>
    </row>
    <row r="47" spans="2:12" ht="23" hidden="1" customHeight="1">
      <c r="B47" s="218" t="s">
        <v>79</v>
      </c>
      <c r="C47" s="219"/>
      <c r="D47" s="219"/>
      <c r="E47" s="219"/>
      <c r="F47" s="219"/>
      <c r="G47" s="219"/>
      <c r="H47" s="219"/>
      <c r="I47" s="219"/>
      <c r="J47" s="219"/>
      <c r="K47" s="219"/>
      <c r="L47" s="219">
        <f t="shared" si="1"/>
        <v>0</v>
      </c>
    </row>
    <row r="48" spans="2:12" ht="23" hidden="1" customHeight="1">
      <c r="B48" s="1"/>
      <c r="C48" s="140"/>
      <c r="D48" s="140"/>
      <c r="E48" s="140"/>
      <c r="F48" s="140"/>
      <c r="G48" s="140"/>
      <c r="H48" s="140"/>
      <c r="I48" s="140"/>
      <c r="J48" s="140"/>
      <c r="K48" s="140"/>
      <c r="L48" s="221">
        <f>SUM(L36:L47)</f>
        <v>0</v>
      </c>
    </row>
    <row r="49" spans="2:12" ht="23" hidden="1" customHeight="1">
      <c r="C49" s="140"/>
      <c r="D49" s="140"/>
      <c r="E49" s="140"/>
      <c r="F49" s="140"/>
      <c r="G49" s="140"/>
      <c r="H49" s="140"/>
      <c r="I49" s="140"/>
      <c r="J49" s="140"/>
      <c r="K49" s="140"/>
      <c r="L49" s="140"/>
    </row>
    <row r="50" spans="2:12" ht="23" hidden="1" customHeight="1">
      <c r="C50" s="140"/>
      <c r="D50" s="140"/>
      <c r="E50" s="140"/>
      <c r="F50" s="140"/>
      <c r="G50" s="140"/>
      <c r="H50" s="140"/>
      <c r="I50" s="140"/>
      <c r="J50" s="140"/>
      <c r="K50" s="140"/>
      <c r="L50" s="140"/>
    </row>
    <row r="51" spans="2:12" ht="23" hidden="1" customHeight="1">
      <c r="B51" s="140"/>
      <c r="C51" s="742" t="s">
        <v>219</v>
      </c>
      <c r="D51" s="742"/>
      <c r="E51" s="742"/>
      <c r="F51" s="742"/>
      <c r="G51" s="742"/>
      <c r="H51" s="742"/>
      <c r="I51" s="742"/>
      <c r="J51" s="742"/>
      <c r="K51" s="742"/>
      <c r="L51" s="742"/>
    </row>
    <row r="52" spans="2:12" ht="23" hidden="1" customHeight="1">
      <c r="B52" s="214"/>
      <c r="C52" s="217" t="s">
        <v>66</v>
      </c>
      <c r="D52" s="217" t="s">
        <v>66</v>
      </c>
      <c r="E52" s="217" t="s">
        <v>66</v>
      </c>
      <c r="F52" s="217" t="s">
        <v>66</v>
      </c>
      <c r="G52" s="217" t="s">
        <v>66</v>
      </c>
      <c r="H52" s="217" t="s">
        <v>66</v>
      </c>
      <c r="I52" s="217" t="s">
        <v>66</v>
      </c>
      <c r="J52" s="217" t="s">
        <v>66</v>
      </c>
      <c r="K52" s="217" t="s">
        <v>66</v>
      </c>
      <c r="L52" s="743" t="s">
        <v>69</v>
      </c>
    </row>
    <row r="53" spans="2:12" ht="23" hidden="1" customHeight="1">
      <c r="C53" s="217" t="s">
        <v>68</v>
      </c>
      <c r="D53" s="217" t="s">
        <v>68</v>
      </c>
      <c r="E53" s="217" t="s">
        <v>68</v>
      </c>
      <c r="F53" s="217" t="s">
        <v>68</v>
      </c>
      <c r="G53" s="217" t="s">
        <v>68</v>
      </c>
      <c r="H53" s="217" t="s">
        <v>68</v>
      </c>
      <c r="I53" s="217" t="s">
        <v>68</v>
      </c>
      <c r="J53" s="217" t="s">
        <v>68</v>
      </c>
      <c r="K53" s="217" t="s">
        <v>68</v>
      </c>
      <c r="L53" s="743"/>
    </row>
    <row r="54" spans="2:12" ht="23" hidden="1" customHeight="1">
      <c r="B54" s="218" t="s">
        <v>353</v>
      </c>
      <c r="C54" s="219"/>
      <c r="D54" s="219"/>
      <c r="E54" s="219"/>
      <c r="F54" s="219"/>
      <c r="G54" s="219"/>
      <c r="H54" s="219"/>
      <c r="I54" s="219"/>
      <c r="J54" s="219"/>
      <c r="K54" s="219"/>
      <c r="L54" s="219">
        <f t="shared" ref="L54:L66" si="2">SUM(C54:K54)</f>
        <v>0</v>
      </c>
    </row>
    <row r="55" spans="2:12" ht="23" hidden="1" customHeight="1">
      <c r="B55" s="218" t="s">
        <v>65</v>
      </c>
      <c r="C55" s="219"/>
      <c r="D55" s="219"/>
      <c r="E55" s="219"/>
      <c r="F55" s="219"/>
      <c r="G55" s="219"/>
      <c r="H55" s="219"/>
      <c r="I55" s="219"/>
      <c r="J55" s="219"/>
      <c r="K55" s="219"/>
      <c r="L55" s="219">
        <f t="shared" si="2"/>
        <v>0</v>
      </c>
    </row>
    <row r="56" spans="2:12" ht="23" hidden="1" customHeight="1">
      <c r="B56" s="218" t="s">
        <v>67</v>
      </c>
      <c r="C56" s="219"/>
      <c r="D56" s="219"/>
      <c r="E56" s="219"/>
      <c r="F56" s="219"/>
      <c r="G56" s="219"/>
      <c r="H56" s="219"/>
      <c r="I56" s="219"/>
      <c r="J56" s="219"/>
      <c r="K56" s="219"/>
      <c r="L56" s="219">
        <f t="shared" si="2"/>
        <v>0</v>
      </c>
    </row>
    <row r="57" spans="2:12" ht="23" hidden="1" customHeight="1">
      <c r="B57" s="218" t="s">
        <v>70</v>
      </c>
      <c r="C57" s="219"/>
      <c r="D57" s="219"/>
      <c r="E57" s="219"/>
      <c r="F57" s="219"/>
      <c r="G57" s="219"/>
      <c r="H57" s="219"/>
      <c r="I57" s="219"/>
      <c r="J57" s="219"/>
      <c r="K57" s="219"/>
      <c r="L57" s="219">
        <f t="shared" si="2"/>
        <v>0</v>
      </c>
    </row>
    <row r="58" spans="2:12" ht="23" hidden="1" customHeight="1">
      <c r="B58" s="218" t="s">
        <v>71</v>
      </c>
      <c r="C58" s="219"/>
      <c r="D58" s="219"/>
      <c r="E58" s="219"/>
      <c r="F58" s="219"/>
      <c r="G58" s="219"/>
      <c r="H58" s="219"/>
      <c r="I58" s="219"/>
      <c r="J58" s="219"/>
      <c r="K58" s="219"/>
      <c r="L58" s="219">
        <f t="shared" si="2"/>
        <v>0</v>
      </c>
    </row>
    <row r="59" spans="2:12" ht="23" hidden="1" customHeight="1">
      <c r="B59" s="218" t="s">
        <v>72</v>
      </c>
      <c r="C59" s="219"/>
      <c r="D59" s="219"/>
      <c r="E59" s="219"/>
      <c r="F59" s="219"/>
      <c r="G59" s="219"/>
      <c r="H59" s="219"/>
      <c r="I59" s="219"/>
      <c r="J59" s="219"/>
      <c r="K59" s="219"/>
      <c r="L59" s="219">
        <f t="shared" si="2"/>
        <v>0</v>
      </c>
    </row>
    <row r="60" spans="2:12" ht="23" hidden="1" customHeight="1">
      <c r="B60" s="218" t="s">
        <v>73</v>
      </c>
      <c r="C60" s="219"/>
      <c r="D60" s="219"/>
      <c r="E60" s="219"/>
      <c r="F60" s="219"/>
      <c r="G60" s="219"/>
      <c r="H60" s="219"/>
      <c r="I60" s="219"/>
      <c r="J60" s="219"/>
      <c r="K60" s="219"/>
      <c r="L60" s="219">
        <f t="shared" si="2"/>
        <v>0</v>
      </c>
    </row>
    <row r="61" spans="2:12" ht="23" hidden="1" customHeight="1">
      <c r="B61" s="218" t="s">
        <v>74</v>
      </c>
      <c r="C61" s="219"/>
      <c r="D61" s="219"/>
      <c r="E61" s="219"/>
      <c r="F61" s="219"/>
      <c r="G61" s="219"/>
      <c r="H61" s="219"/>
      <c r="I61" s="219"/>
      <c r="J61" s="219"/>
      <c r="K61" s="219"/>
      <c r="L61" s="219">
        <f t="shared" si="2"/>
        <v>0</v>
      </c>
    </row>
    <row r="62" spans="2:12" ht="23" hidden="1" customHeight="1">
      <c r="B62" s="218" t="s">
        <v>75</v>
      </c>
      <c r="C62" s="219"/>
      <c r="D62" s="219"/>
      <c r="E62" s="219"/>
      <c r="F62" s="219"/>
      <c r="G62" s="219"/>
      <c r="H62" s="219"/>
      <c r="I62" s="219"/>
      <c r="J62" s="219"/>
      <c r="K62" s="219"/>
      <c r="L62" s="219">
        <f t="shared" si="2"/>
        <v>0</v>
      </c>
    </row>
    <row r="63" spans="2:12" ht="23" hidden="1" customHeight="1">
      <c r="B63" s="218" t="s">
        <v>76</v>
      </c>
      <c r="C63" s="219"/>
      <c r="D63" s="219"/>
      <c r="E63" s="219"/>
      <c r="F63" s="219"/>
      <c r="G63" s="219"/>
      <c r="H63" s="219"/>
      <c r="I63" s="219"/>
      <c r="J63" s="219"/>
      <c r="K63" s="219"/>
      <c r="L63" s="219">
        <f t="shared" si="2"/>
        <v>0</v>
      </c>
    </row>
    <row r="64" spans="2:12" ht="23" hidden="1" customHeight="1">
      <c r="B64" s="218" t="s">
        <v>77</v>
      </c>
      <c r="C64" s="219"/>
      <c r="D64" s="219"/>
      <c r="E64" s="219"/>
      <c r="F64" s="219"/>
      <c r="G64" s="219"/>
      <c r="H64" s="219"/>
      <c r="I64" s="219"/>
      <c r="J64" s="219"/>
      <c r="K64" s="219"/>
      <c r="L64" s="219">
        <f t="shared" si="2"/>
        <v>0</v>
      </c>
    </row>
    <row r="65" spans="2:12" ht="23" hidden="1" customHeight="1">
      <c r="B65" s="218" t="s">
        <v>78</v>
      </c>
      <c r="C65" s="219"/>
      <c r="D65" s="219"/>
      <c r="E65" s="219"/>
      <c r="F65" s="219"/>
      <c r="G65" s="219"/>
      <c r="H65" s="219"/>
      <c r="I65" s="219"/>
      <c r="J65" s="219"/>
      <c r="K65" s="219"/>
      <c r="L65" s="219">
        <f t="shared" si="2"/>
        <v>0</v>
      </c>
    </row>
    <row r="66" spans="2:12" ht="23" hidden="1" customHeight="1">
      <c r="B66" s="218" t="s">
        <v>79</v>
      </c>
      <c r="C66" s="219"/>
      <c r="D66" s="219"/>
      <c r="E66" s="219"/>
      <c r="F66" s="219"/>
      <c r="G66" s="219"/>
      <c r="H66" s="219"/>
      <c r="I66" s="219"/>
      <c r="J66" s="219"/>
      <c r="K66" s="219"/>
      <c r="L66" s="219">
        <f t="shared" si="2"/>
        <v>0</v>
      </c>
    </row>
    <row r="67" spans="2:12" ht="23" hidden="1" customHeight="1">
      <c r="B67" s="1"/>
      <c r="C67" s="140"/>
      <c r="D67" s="140"/>
      <c r="E67" s="140"/>
      <c r="F67" s="140"/>
      <c r="G67" s="140"/>
      <c r="H67" s="140"/>
      <c r="I67" s="140"/>
      <c r="J67" s="140"/>
      <c r="K67" s="140"/>
      <c r="L67" s="221">
        <f>SUM(L55:L66)</f>
        <v>0</v>
      </c>
    </row>
    <row r="68" spans="2:12" ht="23" hidden="1" customHeight="1">
      <c r="C68" s="140"/>
      <c r="D68" s="140"/>
      <c r="E68" s="140"/>
      <c r="F68" s="140"/>
      <c r="G68" s="140"/>
      <c r="H68" s="140"/>
      <c r="I68" s="140"/>
      <c r="J68" s="140"/>
      <c r="K68" s="140"/>
      <c r="L68" s="140"/>
    </row>
    <row r="69" spans="2:12" ht="23" customHeight="1">
      <c r="C69" s="140"/>
      <c r="D69" s="140"/>
      <c r="E69" s="140"/>
      <c r="F69" s="140"/>
      <c r="G69" s="140"/>
      <c r="H69" s="140"/>
      <c r="I69" s="140"/>
      <c r="J69" s="140"/>
      <c r="K69" s="140"/>
      <c r="L69" s="140"/>
    </row>
    <row r="70" spans="2:12" ht="23" customHeight="1">
      <c r="B70" s="140"/>
      <c r="C70" s="742" t="s">
        <v>220</v>
      </c>
      <c r="D70" s="742"/>
      <c r="E70" s="742"/>
      <c r="F70" s="742"/>
      <c r="G70" s="742"/>
      <c r="H70" s="742"/>
      <c r="I70" s="742"/>
      <c r="J70" s="742"/>
      <c r="K70" s="742"/>
      <c r="L70" s="742"/>
    </row>
    <row r="71" spans="2:12" ht="23" customHeight="1">
      <c r="B71" s="214"/>
      <c r="C71" s="217" t="s">
        <v>1246</v>
      </c>
      <c r="D71" s="217" t="s">
        <v>1256</v>
      </c>
      <c r="E71" s="217" t="s">
        <v>1260</v>
      </c>
      <c r="F71" s="217" t="s">
        <v>1263</v>
      </c>
      <c r="G71" s="217" t="s">
        <v>1266</v>
      </c>
      <c r="H71" s="217" t="s">
        <v>1250</v>
      </c>
      <c r="I71" s="217" t="s">
        <v>1254</v>
      </c>
      <c r="J71" s="217" t="s">
        <v>66</v>
      </c>
      <c r="K71" s="217" t="s">
        <v>66</v>
      </c>
      <c r="L71" s="743" t="s">
        <v>69</v>
      </c>
    </row>
    <row r="72" spans="2:12" ht="23" customHeight="1">
      <c r="C72" s="217" t="s">
        <v>692</v>
      </c>
      <c r="D72" s="217" t="s">
        <v>692</v>
      </c>
      <c r="E72" s="217" t="s">
        <v>692</v>
      </c>
      <c r="F72" s="217" t="s">
        <v>692</v>
      </c>
      <c r="G72" s="217" t="s">
        <v>692</v>
      </c>
      <c r="H72" s="217" t="s">
        <v>692</v>
      </c>
      <c r="I72" s="217" t="s">
        <v>692</v>
      </c>
      <c r="J72" s="217" t="s">
        <v>68</v>
      </c>
      <c r="K72" s="217" t="s">
        <v>68</v>
      </c>
      <c r="L72" s="743"/>
    </row>
    <row r="73" spans="2:12" ht="23" customHeight="1">
      <c r="B73" s="218" t="s">
        <v>353</v>
      </c>
      <c r="C73" s="163">
        <v>0</v>
      </c>
      <c r="D73" s="668"/>
      <c r="E73" s="668"/>
      <c r="F73" s="668"/>
      <c r="G73" s="668"/>
      <c r="H73" s="163">
        <v>3157870.74</v>
      </c>
      <c r="I73" s="668"/>
      <c r="J73" s="219"/>
      <c r="K73" s="219"/>
      <c r="L73" s="219">
        <f t="shared" ref="L73:L85" si="3">SUM(C73:K73)</f>
        <v>3157870.74</v>
      </c>
    </row>
    <row r="74" spans="2:12" ht="23" customHeight="1">
      <c r="B74" s="218" t="s">
        <v>65</v>
      </c>
      <c r="C74" s="163">
        <v>0</v>
      </c>
      <c r="D74" s="668"/>
      <c r="E74" s="668"/>
      <c r="F74" s="668"/>
      <c r="G74" s="668"/>
      <c r="H74" s="219">
        <v>437699.01</v>
      </c>
      <c r="I74" s="668"/>
      <c r="J74" s="219"/>
      <c r="K74" s="219"/>
      <c r="L74" s="219">
        <f t="shared" si="3"/>
        <v>437699.01</v>
      </c>
    </row>
    <row r="75" spans="2:12" ht="23" customHeight="1">
      <c r="B75" s="218" t="s">
        <v>67</v>
      </c>
      <c r="C75" s="163">
        <v>0</v>
      </c>
      <c r="D75" s="668"/>
      <c r="E75" s="668"/>
      <c r="F75" s="668"/>
      <c r="G75" s="668"/>
      <c r="H75" s="219">
        <v>265648.23</v>
      </c>
      <c r="I75" s="668"/>
      <c r="J75" s="219"/>
      <c r="K75" s="219"/>
      <c r="L75" s="219">
        <f t="shared" si="3"/>
        <v>265648.23</v>
      </c>
    </row>
    <row r="76" spans="2:12" ht="23" customHeight="1">
      <c r="B76" s="218" t="s">
        <v>70</v>
      </c>
      <c r="C76" s="163">
        <v>0</v>
      </c>
      <c r="D76" s="668"/>
      <c r="E76" s="668"/>
      <c r="F76" s="668"/>
      <c r="G76" s="668"/>
      <c r="H76" s="219">
        <v>265648.23</v>
      </c>
      <c r="I76" s="668"/>
      <c r="J76" s="219"/>
      <c r="K76" s="219"/>
      <c r="L76" s="219">
        <f t="shared" si="3"/>
        <v>265648.23</v>
      </c>
    </row>
    <row r="77" spans="2:12" ht="23" customHeight="1">
      <c r="B77" s="218" t="s">
        <v>71</v>
      </c>
      <c r="C77" s="163">
        <v>0</v>
      </c>
      <c r="D77" s="668"/>
      <c r="E77" s="668"/>
      <c r="F77" s="668"/>
      <c r="G77" s="668"/>
      <c r="H77" s="219">
        <v>265648.26</v>
      </c>
      <c r="I77" s="668"/>
      <c r="J77" s="219"/>
      <c r="K77" s="219"/>
      <c r="L77" s="219">
        <f t="shared" si="3"/>
        <v>265648.26</v>
      </c>
    </row>
    <row r="78" spans="2:12" ht="23" customHeight="1">
      <c r="B78" s="218" t="s">
        <v>72</v>
      </c>
      <c r="C78" s="163">
        <v>0</v>
      </c>
      <c r="D78" s="668"/>
      <c r="E78" s="668"/>
      <c r="F78" s="668"/>
      <c r="G78" s="668"/>
      <c r="H78" s="219">
        <v>5208.13</v>
      </c>
      <c r="I78" s="668"/>
      <c r="J78" s="219"/>
      <c r="K78" s="219"/>
      <c r="L78" s="219">
        <f t="shared" si="3"/>
        <v>5208.13</v>
      </c>
    </row>
    <row r="79" spans="2:12" ht="23" customHeight="1">
      <c r="B79" s="218" t="s">
        <v>73</v>
      </c>
      <c r="C79" s="163">
        <v>0</v>
      </c>
      <c r="D79" s="668"/>
      <c r="E79" s="668"/>
      <c r="F79" s="668"/>
      <c r="G79" s="668"/>
      <c r="H79" s="219">
        <v>5208.17</v>
      </c>
      <c r="I79" s="668"/>
      <c r="J79" s="219"/>
      <c r="K79" s="219"/>
      <c r="L79" s="219">
        <f t="shared" si="3"/>
        <v>5208.17</v>
      </c>
    </row>
    <row r="80" spans="2:12" ht="23" customHeight="1">
      <c r="B80" s="218" t="s">
        <v>74</v>
      </c>
      <c r="C80" s="163">
        <v>57111.08</v>
      </c>
      <c r="D80" s="668"/>
      <c r="E80" s="668"/>
      <c r="F80" s="668"/>
      <c r="G80" s="668"/>
      <c r="H80" s="219">
        <v>5208.17</v>
      </c>
      <c r="I80" s="668"/>
      <c r="J80" s="219"/>
      <c r="K80" s="219"/>
      <c r="L80" s="219">
        <f t="shared" si="3"/>
        <v>62319.25</v>
      </c>
    </row>
    <row r="81" spans="2:12" ht="23" customHeight="1">
      <c r="B81" s="218" t="s">
        <v>75</v>
      </c>
      <c r="C81" s="163">
        <v>77906333.840000004</v>
      </c>
      <c r="D81" s="668"/>
      <c r="E81" s="668"/>
      <c r="F81" s="668"/>
      <c r="G81" s="668"/>
      <c r="H81" s="219">
        <v>5208.0200000000004</v>
      </c>
      <c r="I81" s="668"/>
      <c r="J81" s="219"/>
      <c r="K81" s="219"/>
      <c r="L81" s="219">
        <f t="shared" si="3"/>
        <v>77911541.859999999</v>
      </c>
    </row>
    <row r="82" spans="2:12" ht="23" customHeight="1">
      <c r="B82" s="218" t="s">
        <v>76</v>
      </c>
      <c r="C82" s="163">
        <v>0</v>
      </c>
      <c r="D82" s="668"/>
      <c r="E82" s="668"/>
      <c r="F82" s="668"/>
      <c r="G82" s="668"/>
      <c r="H82" s="219">
        <v>5207.8900000000003</v>
      </c>
      <c r="I82" s="668"/>
      <c r="J82" s="219"/>
      <c r="K82" s="219"/>
      <c r="L82" s="219">
        <f t="shared" si="3"/>
        <v>5207.8900000000003</v>
      </c>
    </row>
    <row r="83" spans="2:12" ht="23" customHeight="1">
      <c r="B83" s="218" t="s">
        <v>77</v>
      </c>
      <c r="C83" s="163">
        <v>0</v>
      </c>
      <c r="D83" s="668"/>
      <c r="E83" s="668"/>
      <c r="F83" s="668"/>
      <c r="G83" s="668"/>
      <c r="H83" s="219">
        <v>5207.8900000000003</v>
      </c>
      <c r="I83" s="668"/>
      <c r="J83" s="219"/>
      <c r="K83" s="219"/>
      <c r="L83" s="219">
        <f t="shared" si="3"/>
        <v>5207.8900000000003</v>
      </c>
    </row>
    <row r="84" spans="2:12" ht="23" customHeight="1">
      <c r="B84" s="218" t="s">
        <v>78</v>
      </c>
      <c r="C84" s="668"/>
      <c r="D84" s="668"/>
      <c r="E84" s="668"/>
      <c r="F84" s="668"/>
      <c r="G84" s="668"/>
      <c r="H84" s="668"/>
      <c r="I84" s="668"/>
      <c r="J84" s="219"/>
      <c r="K84" s="219"/>
      <c r="L84" s="219">
        <f t="shared" si="3"/>
        <v>0</v>
      </c>
    </row>
    <row r="85" spans="2:12" ht="23" customHeight="1">
      <c r="B85" s="218" t="s">
        <v>79</v>
      </c>
      <c r="C85" s="668"/>
      <c r="D85" s="668"/>
      <c r="E85" s="668"/>
      <c r="F85" s="668"/>
      <c r="G85" s="668"/>
      <c r="H85" s="668"/>
      <c r="I85" s="668"/>
      <c r="J85" s="219"/>
      <c r="K85" s="219"/>
      <c r="L85" s="219">
        <f t="shared" si="3"/>
        <v>0</v>
      </c>
    </row>
    <row r="86" spans="2:12" ht="23" customHeight="1">
      <c r="B86" s="1"/>
      <c r="C86" s="140"/>
      <c r="D86" s="140"/>
      <c r="E86" s="140"/>
      <c r="F86" s="140"/>
      <c r="G86" s="140"/>
      <c r="H86" s="140"/>
      <c r="I86" s="140"/>
      <c r="J86" s="140"/>
      <c r="K86" s="140"/>
      <c r="L86" s="221">
        <f>SUM(L74:L85)</f>
        <v>79229336.920000002</v>
      </c>
    </row>
    <row r="88" spans="2:12" ht="23" hidden="1" customHeight="1"/>
    <row r="89" spans="2:12" ht="23" hidden="1" customHeight="1">
      <c r="B89" s="140"/>
      <c r="C89" s="742" t="s">
        <v>220</v>
      </c>
      <c r="D89" s="742"/>
      <c r="E89" s="742"/>
      <c r="F89" s="742"/>
      <c r="G89" s="742"/>
      <c r="H89" s="742"/>
      <c r="I89" s="742"/>
      <c r="J89" s="742"/>
      <c r="K89" s="742"/>
      <c r="L89" s="742"/>
    </row>
    <row r="90" spans="2:12" ht="23" hidden="1" customHeight="1">
      <c r="B90" s="214"/>
      <c r="C90" s="217" t="s">
        <v>66</v>
      </c>
      <c r="D90" s="217" t="s">
        <v>66</v>
      </c>
      <c r="E90" s="217" t="s">
        <v>66</v>
      </c>
      <c r="F90" s="217" t="s">
        <v>66</v>
      </c>
      <c r="G90" s="217" t="s">
        <v>66</v>
      </c>
      <c r="H90" s="217" t="s">
        <v>66</v>
      </c>
      <c r="I90" s="217" t="s">
        <v>66</v>
      </c>
      <c r="J90" s="217" t="s">
        <v>66</v>
      </c>
      <c r="K90" s="217" t="s">
        <v>66</v>
      </c>
      <c r="L90" s="743" t="s">
        <v>69</v>
      </c>
    </row>
    <row r="91" spans="2:12" ht="23" hidden="1" customHeight="1">
      <c r="C91" s="217" t="s">
        <v>68</v>
      </c>
      <c r="D91" s="217" t="s">
        <v>68</v>
      </c>
      <c r="E91" s="217" t="s">
        <v>68</v>
      </c>
      <c r="F91" s="217" t="s">
        <v>68</v>
      </c>
      <c r="G91" s="217" t="s">
        <v>68</v>
      </c>
      <c r="H91" s="217" t="s">
        <v>68</v>
      </c>
      <c r="I91" s="217" t="s">
        <v>68</v>
      </c>
      <c r="J91" s="217" t="s">
        <v>68</v>
      </c>
      <c r="K91" s="217" t="s">
        <v>68</v>
      </c>
      <c r="L91" s="743"/>
    </row>
    <row r="92" spans="2:12" ht="23" hidden="1" customHeight="1">
      <c r="B92" s="218" t="s">
        <v>353</v>
      </c>
      <c r="C92" s="219"/>
      <c r="D92" s="219"/>
      <c r="E92" s="219"/>
      <c r="F92" s="219"/>
      <c r="G92" s="219"/>
      <c r="H92" s="219"/>
      <c r="I92" s="219"/>
      <c r="J92" s="219"/>
      <c r="K92" s="219"/>
      <c r="L92" s="219">
        <f t="shared" ref="L92:L104" si="4">SUM(C92:K92)</f>
        <v>0</v>
      </c>
    </row>
    <row r="93" spans="2:12" ht="23" hidden="1" customHeight="1">
      <c r="B93" s="218" t="s">
        <v>65</v>
      </c>
      <c r="C93" s="219"/>
      <c r="D93" s="219"/>
      <c r="E93" s="219"/>
      <c r="F93" s="219"/>
      <c r="G93" s="219"/>
      <c r="H93" s="219"/>
      <c r="I93" s="219"/>
      <c r="J93" s="219"/>
      <c r="K93" s="219"/>
      <c r="L93" s="219">
        <f t="shared" si="4"/>
        <v>0</v>
      </c>
    </row>
    <row r="94" spans="2:12" ht="23" hidden="1" customHeight="1">
      <c r="B94" s="218" t="s">
        <v>67</v>
      </c>
      <c r="C94" s="219"/>
      <c r="D94" s="219"/>
      <c r="E94" s="219"/>
      <c r="F94" s="219"/>
      <c r="G94" s="219"/>
      <c r="H94" s="219"/>
      <c r="I94" s="219"/>
      <c r="J94" s="219"/>
      <c r="K94" s="219"/>
      <c r="L94" s="219">
        <f t="shared" si="4"/>
        <v>0</v>
      </c>
    </row>
    <row r="95" spans="2:12" ht="23" hidden="1" customHeight="1">
      <c r="B95" s="218" t="s">
        <v>70</v>
      </c>
      <c r="C95" s="219"/>
      <c r="D95" s="219"/>
      <c r="E95" s="219"/>
      <c r="F95" s="219"/>
      <c r="G95" s="219"/>
      <c r="H95" s="219"/>
      <c r="I95" s="219"/>
      <c r="J95" s="219"/>
      <c r="K95" s="219"/>
      <c r="L95" s="219">
        <f t="shared" si="4"/>
        <v>0</v>
      </c>
    </row>
    <row r="96" spans="2:12" ht="23" hidden="1" customHeight="1">
      <c r="B96" s="218" t="s">
        <v>71</v>
      </c>
      <c r="C96" s="219"/>
      <c r="D96" s="219"/>
      <c r="E96" s="219"/>
      <c r="F96" s="219"/>
      <c r="G96" s="219"/>
      <c r="H96" s="219"/>
      <c r="I96" s="219"/>
      <c r="J96" s="219"/>
      <c r="K96" s="219"/>
      <c r="L96" s="219">
        <f t="shared" si="4"/>
        <v>0</v>
      </c>
    </row>
    <row r="97" spans="2:12" ht="23" hidden="1" customHeight="1">
      <c r="B97" s="218" t="s">
        <v>72</v>
      </c>
      <c r="C97" s="219"/>
      <c r="D97" s="219"/>
      <c r="E97" s="219"/>
      <c r="F97" s="219"/>
      <c r="G97" s="219"/>
      <c r="H97" s="219"/>
      <c r="I97" s="219"/>
      <c r="J97" s="219"/>
      <c r="K97" s="219"/>
      <c r="L97" s="219">
        <f t="shared" si="4"/>
        <v>0</v>
      </c>
    </row>
    <row r="98" spans="2:12" ht="23" hidden="1" customHeight="1">
      <c r="B98" s="218" t="s">
        <v>73</v>
      </c>
      <c r="C98" s="219"/>
      <c r="D98" s="219"/>
      <c r="E98" s="219"/>
      <c r="F98" s="219"/>
      <c r="G98" s="219"/>
      <c r="H98" s="219"/>
      <c r="I98" s="219"/>
      <c r="J98" s="219"/>
      <c r="K98" s="219"/>
      <c r="L98" s="219">
        <f t="shared" si="4"/>
        <v>0</v>
      </c>
    </row>
    <row r="99" spans="2:12" ht="23" hidden="1" customHeight="1">
      <c r="B99" s="218" t="s">
        <v>74</v>
      </c>
      <c r="C99" s="219"/>
      <c r="D99" s="219"/>
      <c r="E99" s="219"/>
      <c r="F99" s="219"/>
      <c r="G99" s="219"/>
      <c r="H99" s="219"/>
      <c r="I99" s="219"/>
      <c r="J99" s="219"/>
      <c r="K99" s="219"/>
      <c r="L99" s="219">
        <f t="shared" si="4"/>
        <v>0</v>
      </c>
    </row>
    <row r="100" spans="2:12" ht="23" hidden="1" customHeight="1">
      <c r="B100" s="218" t="s">
        <v>75</v>
      </c>
      <c r="C100" s="219"/>
      <c r="D100" s="219"/>
      <c r="E100" s="219"/>
      <c r="F100" s="219"/>
      <c r="G100" s="219"/>
      <c r="H100" s="219"/>
      <c r="I100" s="219"/>
      <c r="J100" s="219"/>
      <c r="K100" s="219"/>
      <c r="L100" s="219">
        <f t="shared" si="4"/>
        <v>0</v>
      </c>
    </row>
    <row r="101" spans="2:12" ht="23" hidden="1" customHeight="1">
      <c r="B101" s="218" t="s">
        <v>76</v>
      </c>
      <c r="C101" s="219"/>
      <c r="D101" s="219"/>
      <c r="E101" s="219"/>
      <c r="F101" s="219"/>
      <c r="G101" s="219"/>
      <c r="H101" s="219"/>
      <c r="I101" s="219"/>
      <c r="J101" s="219"/>
      <c r="K101" s="219"/>
      <c r="L101" s="219">
        <f t="shared" si="4"/>
        <v>0</v>
      </c>
    </row>
    <row r="102" spans="2:12" ht="23" hidden="1" customHeight="1">
      <c r="B102" s="218" t="s">
        <v>77</v>
      </c>
      <c r="C102" s="219"/>
      <c r="D102" s="219"/>
      <c r="E102" s="219"/>
      <c r="F102" s="219"/>
      <c r="G102" s="219"/>
      <c r="H102" s="219"/>
      <c r="I102" s="219"/>
      <c r="J102" s="219"/>
      <c r="K102" s="219"/>
      <c r="L102" s="219">
        <f t="shared" si="4"/>
        <v>0</v>
      </c>
    </row>
    <row r="103" spans="2:12" ht="23" hidden="1" customHeight="1">
      <c r="B103" s="218" t="s">
        <v>78</v>
      </c>
      <c r="C103" s="219"/>
      <c r="D103" s="219"/>
      <c r="E103" s="219"/>
      <c r="F103" s="219"/>
      <c r="G103" s="219"/>
      <c r="H103" s="219"/>
      <c r="I103" s="219"/>
      <c r="J103" s="219"/>
      <c r="K103" s="219"/>
      <c r="L103" s="219">
        <f t="shared" si="4"/>
        <v>0</v>
      </c>
    </row>
    <row r="104" spans="2:12" ht="23" hidden="1" customHeight="1">
      <c r="B104" s="218" t="s">
        <v>79</v>
      </c>
      <c r="C104" s="219"/>
      <c r="D104" s="219"/>
      <c r="E104" s="219"/>
      <c r="F104" s="219"/>
      <c r="G104" s="219"/>
      <c r="H104" s="219"/>
      <c r="I104" s="219"/>
      <c r="J104" s="219"/>
      <c r="K104" s="219"/>
      <c r="L104" s="219">
        <f t="shared" si="4"/>
        <v>0</v>
      </c>
    </row>
    <row r="105" spans="2:12" ht="23" hidden="1" customHeight="1">
      <c r="B105" s="1"/>
      <c r="C105" s="140"/>
      <c r="D105" s="140"/>
      <c r="E105" s="140"/>
      <c r="F105" s="140"/>
      <c r="G105" s="140"/>
      <c r="H105" s="140"/>
      <c r="I105" s="140"/>
      <c r="J105" s="140"/>
      <c r="K105" s="140"/>
      <c r="L105" s="221">
        <f>SUM(L93:L104)</f>
        <v>0</v>
      </c>
    </row>
    <row r="106" spans="2:12" ht="23" hidden="1" customHeight="1"/>
    <row r="107" spans="2:12" ht="23" hidden="1" customHeight="1"/>
    <row r="108" spans="2:12" ht="23" hidden="1" customHeight="1">
      <c r="B108" s="140"/>
      <c r="C108" s="742" t="s">
        <v>354</v>
      </c>
      <c r="D108" s="742"/>
      <c r="E108" s="742"/>
      <c r="F108" s="742"/>
      <c r="G108" s="742"/>
      <c r="H108" s="742"/>
      <c r="I108" s="742"/>
      <c r="J108" s="742"/>
      <c r="K108" s="742"/>
      <c r="L108" s="742"/>
    </row>
    <row r="109" spans="2:12" ht="23" hidden="1" customHeight="1">
      <c r="B109" s="214"/>
      <c r="C109" s="217" t="s">
        <v>66</v>
      </c>
      <c r="D109" s="217" t="s">
        <v>66</v>
      </c>
      <c r="E109" s="217" t="s">
        <v>66</v>
      </c>
      <c r="F109" s="217" t="s">
        <v>66</v>
      </c>
      <c r="G109" s="217" t="s">
        <v>66</v>
      </c>
      <c r="H109" s="217" t="s">
        <v>66</v>
      </c>
      <c r="I109" s="217" t="s">
        <v>66</v>
      </c>
      <c r="J109" s="217" t="s">
        <v>66</v>
      </c>
      <c r="K109" s="217" t="s">
        <v>66</v>
      </c>
      <c r="L109" s="743" t="s">
        <v>69</v>
      </c>
    </row>
    <row r="110" spans="2:12" ht="23" hidden="1" customHeight="1">
      <c r="C110" s="217" t="s">
        <v>68</v>
      </c>
      <c r="D110" s="217" t="s">
        <v>68</v>
      </c>
      <c r="E110" s="217" t="s">
        <v>68</v>
      </c>
      <c r="F110" s="217" t="s">
        <v>68</v>
      </c>
      <c r="G110" s="217" t="s">
        <v>68</v>
      </c>
      <c r="H110" s="217" t="s">
        <v>68</v>
      </c>
      <c r="I110" s="217" t="s">
        <v>68</v>
      </c>
      <c r="J110" s="217" t="s">
        <v>68</v>
      </c>
      <c r="K110" s="217" t="s">
        <v>68</v>
      </c>
      <c r="L110" s="743"/>
    </row>
    <row r="111" spans="2:12" ht="23" hidden="1" customHeight="1">
      <c r="B111" s="218" t="s">
        <v>353</v>
      </c>
      <c r="C111" s="219"/>
      <c r="D111" s="219"/>
      <c r="E111" s="219"/>
      <c r="F111" s="219"/>
      <c r="G111" s="219"/>
      <c r="H111" s="219"/>
      <c r="I111" s="219"/>
      <c r="J111" s="219"/>
      <c r="K111" s="219"/>
      <c r="L111" s="219">
        <f t="shared" ref="L111:L123" si="5">SUM(C111:K111)</f>
        <v>0</v>
      </c>
    </row>
    <row r="112" spans="2:12" ht="23" hidden="1" customHeight="1">
      <c r="B112" s="218" t="s">
        <v>65</v>
      </c>
      <c r="C112" s="219"/>
      <c r="D112" s="219"/>
      <c r="E112" s="219"/>
      <c r="F112" s="219"/>
      <c r="G112" s="219"/>
      <c r="H112" s="219"/>
      <c r="I112" s="219"/>
      <c r="J112" s="219"/>
      <c r="K112" s="219"/>
      <c r="L112" s="219">
        <f t="shared" si="5"/>
        <v>0</v>
      </c>
    </row>
    <row r="113" spans="2:12" ht="23" hidden="1" customHeight="1">
      <c r="B113" s="218" t="s">
        <v>67</v>
      </c>
      <c r="C113" s="219"/>
      <c r="D113" s="219"/>
      <c r="E113" s="219"/>
      <c r="F113" s="219"/>
      <c r="G113" s="219"/>
      <c r="H113" s="219"/>
      <c r="I113" s="219"/>
      <c r="J113" s="219"/>
      <c r="K113" s="219"/>
      <c r="L113" s="219">
        <f t="shared" si="5"/>
        <v>0</v>
      </c>
    </row>
    <row r="114" spans="2:12" ht="23" hidden="1" customHeight="1">
      <c r="B114" s="218" t="s">
        <v>70</v>
      </c>
      <c r="C114" s="219"/>
      <c r="D114" s="219"/>
      <c r="E114" s="219"/>
      <c r="F114" s="219"/>
      <c r="G114" s="219"/>
      <c r="H114" s="219"/>
      <c r="I114" s="219"/>
      <c r="J114" s="219"/>
      <c r="K114" s="219"/>
      <c r="L114" s="219">
        <f t="shared" si="5"/>
        <v>0</v>
      </c>
    </row>
    <row r="115" spans="2:12" ht="23" hidden="1" customHeight="1">
      <c r="B115" s="218" t="s">
        <v>71</v>
      </c>
      <c r="C115" s="219"/>
      <c r="D115" s="219"/>
      <c r="E115" s="219"/>
      <c r="F115" s="219"/>
      <c r="G115" s="219"/>
      <c r="H115" s="219"/>
      <c r="I115" s="219"/>
      <c r="J115" s="219"/>
      <c r="K115" s="219"/>
      <c r="L115" s="219">
        <f t="shared" si="5"/>
        <v>0</v>
      </c>
    </row>
    <row r="116" spans="2:12" ht="23" hidden="1" customHeight="1">
      <c r="B116" s="218" t="s">
        <v>72</v>
      </c>
      <c r="C116" s="219"/>
      <c r="D116" s="219"/>
      <c r="E116" s="219"/>
      <c r="F116" s="219"/>
      <c r="G116" s="219"/>
      <c r="H116" s="219"/>
      <c r="I116" s="219"/>
      <c r="J116" s="219"/>
      <c r="K116" s="219"/>
      <c r="L116" s="219">
        <f t="shared" si="5"/>
        <v>0</v>
      </c>
    </row>
    <row r="117" spans="2:12" ht="23" hidden="1" customHeight="1">
      <c r="B117" s="218" t="s">
        <v>73</v>
      </c>
      <c r="C117" s="219"/>
      <c r="D117" s="219"/>
      <c r="E117" s="219"/>
      <c r="F117" s="219"/>
      <c r="G117" s="219"/>
      <c r="H117" s="219"/>
      <c r="I117" s="219"/>
      <c r="J117" s="219"/>
      <c r="K117" s="219"/>
      <c r="L117" s="219">
        <f t="shared" si="5"/>
        <v>0</v>
      </c>
    </row>
    <row r="118" spans="2:12" ht="23" hidden="1" customHeight="1">
      <c r="B118" s="218" t="s">
        <v>74</v>
      </c>
      <c r="C118" s="219"/>
      <c r="D118" s="219"/>
      <c r="E118" s="219"/>
      <c r="F118" s="219"/>
      <c r="G118" s="219"/>
      <c r="H118" s="219"/>
      <c r="I118" s="219"/>
      <c r="J118" s="219"/>
      <c r="K118" s="219"/>
      <c r="L118" s="219">
        <f t="shared" si="5"/>
        <v>0</v>
      </c>
    </row>
    <row r="119" spans="2:12" ht="23" hidden="1" customHeight="1">
      <c r="B119" s="218" t="s">
        <v>75</v>
      </c>
      <c r="C119" s="219"/>
      <c r="D119" s="219"/>
      <c r="E119" s="219"/>
      <c r="F119" s="219"/>
      <c r="G119" s="219"/>
      <c r="H119" s="219"/>
      <c r="I119" s="219"/>
      <c r="J119" s="219"/>
      <c r="K119" s="219"/>
      <c r="L119" s="219">
        <f t="shared" si="5"/>
        <v>0</v>
      </c>
    </row>
    <row r="120" spans="2:12" ht="23" hidden="1" customHeight="1">
      <c r="B120" s="218" t="s">
        <v>76</v>
      </c>
      <c r="C120" s="219"/>
      <c r="D120" s="219"/>
      <c r="E120" s="219"/>
      <c r="F120" s="219"/>
      <c r="G120" s="219"/>
      <c r="H120" s="219"/>
      <c r="I120" s="219"/>
      <c r="J120" s="219"/>
      <c r="K120" s="219"/>
      <c r="L120" s="219">
        <f t="shared" si="5"/>
        <v>0</v>
      </c>
    </row>
    <row r="121" spans="2:12" ht="23" hidden="1" customHeight="1">
      <c r="B121" s="218" t="s">
        <v>77</v>
      </c>
      <c r="C121" s="219"/>
      <c r="D121" s="219"/>
      <c r="E121" s="219"/>
      <c r="F121" s="219"/>
      <c r="G121" s="219"/>
      <c r="H121" s="219"/>
      <c r="I121" s="219"/>
      <c r="J121" s="219"/>
      <c r="K121" s="219"/>
      <c r="L121" s="219">
        <f t="shared" si="5"/>
        <v>0</v>
      </c>
    </row>
    <row r="122" spans="2:12" ht="23" hidden="1" customHeight="1">
      <c r="B122" s="218" t="s">
        <v>78</v>
      </c>
      <c r="C122" s="219"/>
      <c r="D122" s="219"/>
      <c r="E122" s="219"/>
      <c r="F122" s="219"/>
      <c r="G122" s="219"/>
      <c r="H122" s="219"/>
      <c r="I122" s="219"/>
      <c r="J122" s="219"/>
      <c r="K122" s="219"/>
      <c r="L122" s="219">
        <f t="shared" si="5"/>
        <v>0</v>
      </c>
    </row>
    <row r="123" spans="2:12" ht="23" hidden="1" customHeight="1">
      <c r="B123" s="218" t="s">
        <v>79</v>
      </c>
      <c r="C123" s="219"/>
      <c r="D123" s="219"/>
      <c r="E123" s="219"/>
      <c r="F123" s="219"/>
      <c r="G123" s="219"/>
      <c r="H123" s="219"/>
      <c r="I123" s="219"/>
      <c r="J123" s="219"/>
      <c r="K123" s="219"/>
      <c r="L123" s="219">
        <f t="shared" si="5"/>
        <v>0</v>
      </c>
    </row>
    <row r="124" spans="2:12" ht="23" hidden="1" customHeight="1">
      <c r="B124" s="1"/>
      <c r="C124" s="140"/>
      <c r="D124" s="140"/>
      <c r="E124" s="140"/>
      <c r="F124" s="140"/>
      <c r="G124" s="140"/>
      <c r="H124" s="140"/>
      <c r="I124" s="140"/>
      <c r="J124" s="140"/>
      <c r="K124" s="140"/>
      <c r="L124" s="221">
        <f>SUM(L112:L123)</f>
        <v>0</v>
      </c>
    </row>
    <row r="125" spans="2:12" ht="23" hidden="1" customHeight="1"/>
    <row r="126" spans="2:12" ht="23" hidden="1" customHeight="1"/>
    <row r="127" spans="2:12" ht="23" hidden="1" customHeight="1">
      <c r="B127" s="140"/>
      <c r="C127" s="742" t="s">
        <v>355</v>
      </c>
      <c r="D127" s="742"/>
      <c r="E127" s="742"/>
      <c r="F127" s="742"/>
      <c r="G127" s="742"/>
      <c r="H127" s="742"/>
      <c r="I127" s="742"/>
      <c r="J127" s="742"/>
      <c r="K127" s="742"/>
      <c r="L127" s="742"/>
    </row>
    <row r="128" spans="2:12" ht="23" hidden="1" customHeight="1">
      <c r="B128" s="214"/>
      <c r="C128" s="217" t="s">
        <v>66</v>
      </c>
      <c r="D128" s="217" t="s">
        <v>66</v>
      </c>
      <c r="E128" s="217" t="s">
        <v>66</v>
      </c>
      <c r="F128" s="217" t="s">
        <v>66</v>
      </c>
      <c r="G128" s="217" t="s">
        <v>66</v>
      </c>
      <c r="H128" s="217" t="s">
        <v>66</v>
      </c>
      <c r="I128" s="217" t="s">
        <v>66</v>
      </c>
      <c r="J128" s="217" t="s">
        <v>66</v>
      </c>
      <c r="K128" s="217" t="s">
        <v>66</v>
      </c>
      <c r="L128" s="743" t="s">
        <v>69</v>
      </c>
    </row>
    <row r="129" spans="2:12" ht="23" hidden="1" customHeight="1">
      <c r="C129" s="217" t="s">
        <v>68</v>
      </c>
      <c r="D129" s="217" t="s">
        <v>68</v>
      </c>
      <c r="E129" s="217" t="s">
        <v>68</v>
      </c>
      <c r="F129" s="217" t="s">
        <v>68</v>
      </c>
      <c r="G129" s="217" t="s">
        <v>68</v>
      </c>
      <c r="H129" s="217" t="s">
        <v>68</v>
      </c>
      <c r="I129" s="217" t="s">
        <v>68</v>
      </c>
      <c r="J129" s="217" t="s">
        <v>68</v>
      </c>
      <c r="K129" s="217" t="s">
        <v>68</v>
      </c>
      <c r="L129" s="743"/>
    </row>
    <row r="130" spans="2:12" ht="23" hidden="1" customHeight="1">
      <c r="B130" s="218" t="s">
        <v>353</v>
      </c>
      <c r="C130" s="219"/>
      <c r="D130" s="219"/>
      <c r="E130" s="219"/>
      <c r="F130" s="219"/>
      <c r="G130" s="219"/>
      <c r="H130" s="219"/>
      <c r="I130" s="219"/>
      <c r="J130" s="219"/>
      <c r="K130" s="219"/>
      <c r="L130" s="219">
        <f t="shared" ref="L130:L142" si="6">SUM(C130:K130)</f>
        <v>0</v>
      </c>
    </row>
    <row r="131" spans="2:12" ht="23" hidden="1" customHeight="1">
      <c r="B131" s="218" t="s">
        <v>65</v>
      </c>
      <c r="C131" s="219"/>
      <c r="D131" s="219"/>
      <c r="E131" s="219"/>
      <c r="F131" s="219"/>
      <c r="G131" s="219"/>
      <c r="H131" s="219"/>
      <c r="I131" s="219"/>
      <c r="J131" s="219"/>
      <c r="K131" s="219"/>
      <c r="L131" s="219">
        <f t="shared" si="6"/>
        <v>0</v>
      </c>
    </row>
    <row r="132" spans="2:12" ht="23" hidden="1" customHeight="1">
      <c r="B132" s="218" t="s">
        <v>67</v>
      </c>
      <c r="C132" s="219"/>
      <c r="D132" s="219"/>
      <c r="E132" s="219"/>
      <c r="F132" s="219"/>
      <c r="G132" s="219"/>
      <c r="H132" s="219"/>
      <c r="I132" s="219"/>
      <c r="J132" s="219"/>
      <c r="K132" s="219"/>
      <c r="L132" s="219">
        <f t="shared" si="6"/>
        <v>0</v>
      </c>
    </row>
    <row r="133" spans="2:12" ht="23" hidden="1" customHeight="1">
      <c r="B133" s="218" t="s">
        <v>70</v>
      </c>
      <c r="C133" s="219"/>
      <c r="D133" s="219"/>
      <c r="E133" s="219"/>
      <c r="F133" s="219"/>
      <c r="G133" s="219"/>
      <c r="H133" s="219"/>
      <c r="I133" s="219"/>
      <c r="J133" s="219"/>
      <c r="K133" s="219"/>
      <c r="L133" s="219">
        <f t="shared" si="6"/>
        <v>0</v>
      </c>
    </row>
    <row r="134" spans="2:12" ht="23" hidden="1" customHeight="1">
      <c r="B134" s="218" t="s">
        <v>71</v>
      </c>
      <c r="C134" s="219"/>
      <c r="D134" s="219"/>
      <c r="E134" s="219"/>
      <c r="F134" s="219"/>
      <c r="G134" s="219"/>
      <c r="H134" s="219"/>
      <c r="I134" s="219"/>
      <c r="J134" s="219"/>
      <c r="K134" s="219"/>
      <c r="L134" s="219">
        <f t="shared" si="6"/>
        <v>0</v>
      </c>
    </row>
    <row r="135" spans="2:12" ht="23" hidden="1" customHeight="1">
      <c r="B135" s="218" t="s">
        <v>72</v>
      </c>
      <c r="C135" s="219"/>
      <c r="D135" s="219"/>
      <c r="E135" s="219"/>
      <c r="F135" s="219"/>
      <c r="G135" s="219"/>
      <c r="H135" s="219"/>
      <c r="I135" s="219"/>
      <c r="J135" s="219"/>
      <c r="K135" s="219"/>
      <c r="L135" s="219">
        <f t="shared" si="6"/>
        <v>0</v>
      </c>
    </row>
    <row r="136" spans="2:12" ht="23" hidden="1" customHeight="1">
      <c r="B136" s="218" t="s">
        <v>73</v>
      </c>
      <c r="C136" s="219"/>
      <c r="D136" s="219"/>
      <c r="E136" s="219"/>
      <c r="F136" s="219"/>
      <c r="G136" s="219"/>
      <c r="H136" s="219"/>
      <c r="I136" s="219"/>
      <c r="J136" s="219"/>
      <c r="K136" s="219"/>
      <c r="L136" s="219">
        <f t="shared" si="6"/>
        <v>0</v>
      </c>
    </row>
    <row r="137" spans="2:12" ht="23" hidden="1" customHeight="1">
      <c r="B137" s="218" t="s">
        <v>74</v>
      </c>
      <c r="C137" s="219"/>
      <c r="D137" s="219"/>
      <c r="E137" s="219"/>
      <c r="F137" s="219"/>
      <c r="G137" s="219"/>
      <c r="H137" s="219"/>
      <c r="I137" s="219"/>
      <c r="J137" s="219"/>
      <c r="K137" s="219"/>
      <c r="L137" s="219">
        <f t="shared" si="6"/>
        <v>0</v>
      </c>
    </row>
    <row r="138" spans="2:12" ht="23" hidden="1" customHeight="1">
      <c r="B138" s="218" t="s">
        <v>75</v>
      </c>
      <c r="C138" s="219"/>
      <c r="D138" s="219"/>
      <c r="E138" s="219"/>
      <c r="F138" s="219"/>
      <c r="G138" s="219"/>
      <c r="H138" s="219"/>
      <c r="I138" s="219"/>
      <c r="J138" s="219"/>
      <c r="K138" s="219"/>
      <c r="L138" s="219">
        <f t="shared" si="6"/>
        <v>0</v>
      </c>
    </row>
    <row r="139" spans="2:12" ht="23" hidden="1" customHeight="1">
      <c r="B139" s="218" t="s">
        <v>76</v>
      </c>
      <c r="C139" s="219"/>
      <c r="D139" s="219"/>
      <c r="E139" s="219"/>
      <c r="F139" s="219"/>
      <c r="G139" s="219"/>
      <c r="H139" s="219"/>
      <c r="I139" s="219"/>
      <c r="J139" s="219"/>
      <c r="K139" s="219"/>
      <c r="L139" s="219">
        <f t="shared" si="6"/>
        <v>0</v>
      </c>
    </row>
    <row r="140" spans="2:12" ht="23" hidden="1" customHeight="1">
      <c r="B140" s="218" t="s">
        <v>77</v>
      </c>
      <c r="C140" s="219"/>
      <c r="D140" s="219"/>
      <c r="E140" s="219"/>
      <c r="F140" s="219"/>
      <c r="G140" s="219"/>
      <c r="H140" s="219"/>
      <c r="I140" s="219"/>
      <c r="J140" s="219"/>
      <c r="K140" s="219"/>
      <c r="L140" s="219">
        <f t="shared" si="6"/>
        <v>0</v>
      </c>
    </row>
    <row r="141" spans="2:12" ht="23" hidden="1" customHeight="1">
      <c r="B141" s="218" t="s">
        <v>78</v>
      </c>
      <c r="C141" s="219"/>
      <c r="D141" s="219"/>
      <c r="E141" s="219"/>
      <c r="F141" s="219"/>
      <c r="G141" s="219"/>
      <c r="H141" s="219"/>
      <c r="I141" s="219"/>
      <c r="J141" s="219"/>
      <c r="K141" s="219"/>
      <c r="L141" s="219">
        <f t="shared" si="6"/>
        <v>0</v>
      </c>
    </row>
    <row r="142" spans="2:12" ht="23" hidden="1" customHeight="1">
      <c r="B142" s="218" t="s">
        <v>79</v>
      </c>
      <c r="C142" s="219"/>
      <c r="D142" s="219"/>
      <c r="E142" s="219"/>
      <c r="F142" s="219"/>
      <c r="G142" s="219"/>
      <c r="H142" s="219"/>
      <c r="I142" s="219"/>
      <c r="J142" s="219"/>
      <c r="K142" s="219"/>
      <c r="L142" s="219">
        <f t="shared" si="6"/>
        <v>0</v>
      </c>
    </row>
    <row r="143" spans="2:12" ht="23" hidden="1" customHeight="1">
      <c r="B143" s="1"/>
      <c r="C143" s="140"/>
      <c r="D143" s="140"/>
      <c r="E143" s="140"/>
      <c r="F143" s="140"/>
      <c r="G143" s="140"/>
      <c r="H143" s="140"/>
      <c r="I143" s="140"/>
      <c r="J143" s="140"/>
      <c r="K143" s="140"/>
      <c r="L143" s="221">
        <f>SUM(L131:L142)</f>
        <v>0</v>
      </c>
    </row>
  </sheetData>
  <sheetProtection formatCells="0" formatColumns="0" formatRows="0" insertColumns="0" insertRows="0" deleteColumns="0" deleteRows="0"/>
  <mergeCells count="17">
    <mergeCell ref="C127:L127"/>
    <mergeCell ref="L128:L129"/>
    <mergeCell ref="C89:L89"/>
    <mergeCell ref="L90:L91"/>
    <mergeCell ref="L71:L72"/>
    <mergeCell ref="N13:N14"/>
    <mergeCell ref="B11:F11"/>
    <mergeCell ref="B10:L10"/>
    <mergeCell ref="C108:L108"/>
    <mergeCell ref="L109:L110"/>
    <mergeCell ref="C32:L32"/>
    <mergeCell ref="L33:L34"/>
    <mergeCell ref="C51:L51"/>
    <mergeCell ref="L52:L53"/>
    <mergeCell ref="L14:L15"/>
    <mergeCell ref="C70:L70"/>
    <mergeCell ref="C13:L13"/>
  </mergeCells>
  <phoneticPr fontId="8" type="noConversion"/>
  <printOptions horizontalCentered="1"/>
  <pageMargins left="0.7" right="0.7" top="0.75" bottom="0.75" header="0.3" footer="0.3"/>
  <pageSetup scale="34" orientation="portrait" horizontalDpi="1200" verticalDpi="1200" r:id="rId1"/>
  <rowBreaks count="1" manualBreakCount="1">
    <brk id="124" max="1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E7B16-8255-F643-B53F-4D6C436EADE3}">
  <sheetPr>
    <pageSetUpPr fitToPage="1"/>
  </sheetPr>
  <dimension ref="B2:N74"/>
  <sheetViews>
    <sheetView view="pageBreakPreview" zoomScale="110" zoomScaleNormal="100" zoomScaleSheetLayoutView="110" workbookViewId="0">
      <selection activeCell="C15" sqref="C15"/>
    </sheetView>
  </sheetViews>
  <sheetFormatPr baseColWidth="10" defaultColWidth="10.83203125" defaultRowHeight="16"/>
  <cols>
    <col min="1" max="1" width="10.83203125" style="385"/>
    <col min="2" max="2" width="41.5" style="385" customWidth="1"/>
    <col min="3" max="14" width="12.5" style="385" customWidth="1"/>
    <col min="15" max="16384" width="10.83203125" style="385"/>
  </cols>
  <sheetData>
    <row r="2" spans="2:14" ht="31" customHeight="1">
      <c r="B2" s="745" t="s">
        <v>536</v>
      </c>
      <c r="C2" s="745"/>
      <c r="D2" s="745"/>
      <c r="E2" s="745"/>
      <c r="F2" s="745"/>
      <c r="G2" s="745"/>
      <c r="H2" s="745"/>
      <c r="I2" s="745"/>
      <c r="J2" s="745"/>
      <c r="K2" s="745"/>
      <c r="L2" s="745"/>
    </row>
    <row r="3" spans="2:14">
      <c r="B3" s="746"/>
      <c r="C3" s="746"/>
      <c r="D3" s="746"/>
      <c r="E3" s="746"/>
      <c r="F3" s="746"/>
      <c r="G3" s="746"/>
      <c r="H3" s="746"/>
      <c r="I3" s="746"/>
    </row>
    <row r="4" spans="2:14">
      <c r="B4" s="386" t="s">
        <v>446</v>
      </c>
      <c r="C4" s="386" t="s">
        <v>679</v>
      </c>
      <c r="D4" s="386"/>
      <c r="E4" s="387"/>
      <c r="F4" s="387"/>
      <c r="G4" s="387"/>
      <c r="H4" s="387"/>
      <c r="I4" s="387"/>
      <c r="J4" s="387"/>
      <c r="K4" s="387"/>
      <c r="L4" s="387"/>
      <c r="M4" s="387"/>
      <c r="N4" s="387"/>
    </row>
    <row r="5" spans="2:14">
      <c r="B5" s="744" t="s">
        <v>533</v>
      </c>
      <c r="C5" s="744"/>
      <c r="D5" s="744"/>
      <c r="E5" s="744"/>
      <c r="F5" s="744"/>
      <c r="G5" s="744"/>
      <c r="H5" s="744"/>
      <c r="I5" s="744"/>
      <c r="J5" s="744"/>
      <c r="K5" s="744"/>
      <c r="L5" s="744"/>
      <c r="M5" s="744"/>
      <c r="N5" s="744"/>
    </row>
    <row r="7" spans="2:14">
      <c r="B7" s="388" t="s">
        <v>534</v>
      </c>
      <c r="C7" s="388" t="s">
        <v>115</v>
      </c>
      <c r="D7" s="388" t="s">
        <v>67</v>
      </c>
      <c r="E7" s="388" t="s">
        <v>70</v>
      </c>
      <c r="F7" s="388" t="s">
        <v>71</v>
      </c>
      <c r="G7" s="388" t="s">
        <v>72</v>
      </c>
      <c r="H7" s="388" t="s">
        <v>73</v>
      </c>
      <c r="I7" s="388" t="s">
        <v>74</v>
      </c>
      <c r="J7" s="388" t="s">
        <v>75</v>
      </c>
      <c r="K7" s="388" t="s">
        <v>76</v>
      </c>
      <c r="L7" s="388" t="s">
        <v>77</v>
      </c>
      <c r="M7" s="388" t="s">
        <v>78</v>
      </c>
      <c r="N7" s="388" t="s">
        <v>79</v>
      </c>
    </row>
    <row r="8" spans="2:14">
      <c r="B8" s="389"/>
      <c r="C8" s="389"/>
      <c r="D8" s="389"/>
      <c r="E8" s="389"/>
      <c r="F8" s="389"/>
      <c r="G8" s="389"/>
      <c r="H8" s="389"/>
      <c r="I8" s="389"/>
      <c r="J8" s="389"/>
      <c r="K8" s="389"/>
      <c r="L8" s="389"/>
      <c r="M8" s="389"/>
      <c r="N8" s="389"/>
    </row>
    <row r="9" spans="2:14">
      <c r="B9" s="389"/>
      <c r="C9" s="389"/>
      <c r="D9" s="389"/>
      <c r="E9" s="389"/>
      <c r="F9" s="389"/>
      <c r="G9" s="389"/>
      <c r="H9" s="389"/>
      <c r="I9" s="389"/>
      <c r="J9" s="389"/>
      <c r="K9" s="389"/>
      <c r="L9" s="389"/>
      <c r="M9" s="389"/>
      <c r="N9" s="389"/>
    </row>
    <row r="10" spans="2:14">
      <c r="B10" s="389"/>
      <c r="C10" s="389"/>
      <c r="D10" s="389"/>
      <c r="E10" s="389"/>
      <c r="F10" s="389"/>
      <c r="G10" s="389"/>
      <c r="H10" s="389"/>
      <c r="I10" s="389"/>
      <c r="J10" s="389"/>
      <c r="K10" s="389"/>
      <c r="L10" s="389"/>
      <c r="M10" s="389"/>
      <c r="N10" s="389"/>
    </row>
    <row r="11" spans="2:14">
      <c r="B11" s="389"/>
      <c r="C11" s="389"/>
      <c r="D11" s="389"/>
      <c r="E11" s="389"/>
      <c r="F11" s="389"/>
      <c r="G11" s="389"/>
      <c r="H11" s="389"/>
      <c r="I11" s="389"/>
      <c r="J11" s="389"/>
      <c r="K11" s="389"/>
      <c r="L11" s="389"/>
      <c r="M11" s="389"/>
      <c r="N11" s="389"/>
    </row>
    <row r="12" spans="2:14">
      <c r="B12" s="389"/>
      <c r="C12" s="389"/>
      <c r="D12" s="389"/>
      <c r="E12" s="389"/>
      <c r="F12" s="389"/>
      <c r="G12" s="389"/>
      <c r="H12" s="389"/>
      <c r="I12" s="389"/>
      <c r="J12" s="389"/>
      <c r="K12" s="389"/>
      <c r="L12" s="389"/>
      <c r="M12" s="389"/>
      <c r="N12" s="389"/>
    </row>
    <row r="13" spans="2:14">
      <c r="B13" s="389"/>
      <c r="C13" s="389"/>
      <c r="D13" s="389"/>
      <c r="E13" s="389"/>
      <c r="F13" s="389"/>
      <c r="G13" s="389"/>
      <c r="H13" s="389"/>
      <c r="I13" s="389"/>
      <c r="J13" s="389"/>
      <c r="K13" s="389"/>
      <c r="L13" s="389"/>
      <c r="M13" s="389"/>
      <c r="N13" s="389"/>
    </row>
    <row r="14" spans="2:14">
      <c r="B14" s="390" t="s">
        <v>535</v>
      </c>
      <c r="C14" s="391">
        <f>SUM(C9:C13)</f>
        <v>0</v>
      </c>
      <c r="D14" s="391">
        <f t="shared" ref="D14:N14" si="0">SUM(D9:D13)</f>
        <v>0</v>
      </c>
      <c r="E14" s="391">
        <f t="shared" si="0"/>
        <v>0</v>
      </c>
      <c r="F14" s="391">
        <f t="shared" si="0"/>
        <v>0</v>
      </c>
      <c r="G14" s="391">
        <f t="shared" si="0"/>
        <v>0</v>
      </c>
      <c r="H14" s="391">
        <f t="shared" si="0"/>
        <v>0</v>
      </c>
      <c r="I14" s="391">
        <f t="shared" si="0"/>
        <v>0</v>
      </c>
      <c r="J14" s="391">
        <f t="shared" si="0"/>
        <v>0</v>
      </c>
      <c r="K14" s="391">
        <f t="shared" si="0"/>
        <v>0</v>
      </c>
      <c r="L14" s="391">
        <f t="shared" si="0"/>
        <v>0</v>
      </c>
      <c r="M14" s="391">
        <f t="shared" si="0"/>
        <v>0</v>
      </c>
      <c r="N14" s="391">
        <f t="shared" si="0"/>
        <v>0</v>
      </c>
    </row>
    <row r="16" spans="2:14">
      <c r="B16" s="744" t="s">
        <v>533</v>
      </c>
      <c r="C16" s="744"/>
      <c r="D16" s="744"/>
      <c r="E16" s="744"/>
      <c r="F16" s="744"/>
      <c r="G16" s="744"/>
      <c r="H16" s="744"/>
      <c r="I16" s="744"/>
      <c r="J16" s="744"/>
      <c r="K16" s="744"/>
      <c r="L16" s="744"/>
      <c r="M16" s="744"/>
      <c r="N16" s="744"/>
    </row>
    <row r="17" spans="2:14">
      <c r="B17" s="388" t="s">
        <v>534</v>
      </c>
      <c r="C17" s="388" t="s">
        <v>115</v>
      </c>
      <c r="D17" s="388" t="s">
        <v>67</v>
      </c>
      <c r="E17" s="388" t="s">
        <v>70</v>
      </c>
      <c r="F17" s="388" t="s">
        <v>71</v>
      </c>
      <c r="G17" s="388" t="s">
        <v>72</v>
      </c>
      <c r="H17" s="388" t="s">
        <v>73</v>
      </c>
      <c r="I17" s="388" t="s">
        <v>74</v>
      </c>
      <c r="J17" s="388" t="s">
        <v>75</v>
      </c>
      <c r="K17" s="388" t="s">
        <v>76</v>
      </c>
      <c r="L17" s="388" t="s">
        <v>77</v>
      </c>
      <c r="M17" s="388" t="s">
        <v>78</v>
      </c>
      <c r="N17" s="388" t="s">
        <v>79</v>
      </c>
    </row>
    <row r="18" spans="2:14">
      <c r="B18" s="389"/>
      <c r="C18" s="389"/>
      <c r="D18" s="389"/>
      <c r="E18" s="389"/>
      <c r="F18" s="389"/>
      <c r="G18" s="389"/>
      <c r="H18" s="389"/>
      <c r="I18" s="389"/>
      <c r="J18" s="389"/>
      <c r="K18" s="389"/>
      <c r="L18" s="389"/>
      <c r="M18" s="389"/>
      <c r="N18" s="389"/>
    </row>
    <row r="19" spans="2:14">
      <c r="B19" s="389"/>
      <c r="C19" s="389"/>
      <c r="D19" s="389"/>
      <c r="E19" s="389"/>
      <c r="F19" s="389"/>
      <c r="G19" s="389"/>
      <c r="H19" s="389"/>
      <c r="I19" s="389"/>
      <c r="J19" s="389"/>
      <c r="K19" s="389"/>
      <c r="L19" s="389"/>
      <c r="M19" s="389"/>
      <c r="N19" s="389"/>
    </row>
    <row r="20" spans="2:14">
      <c r="B20" s="389"/>
      <c r="C20" s="389"/>
      <c r="D20" s="389"/>
      <c r="E20" s="389"/>
      <c r="F20" s="389"/>
      <c r="G20" s="389"/>
      <c r="H20" s="389"/>
      <c r="I20" s="389"/>
      <c r="J20" s="389"/>
      <c r="K20" s="389"/>
      <c r="L20" s="389"/>
      <c r="M20" s="389"/>
      <c r="N20" s="389"/>
    </row>
    <row r="21" spans="2:14">
      <c r="B21" s="389"/>
      <c r="C21" s="389"/>
      <c r="D21" s="389"/>
      <c r="E21" s="389"/>
      <c r="F21" s="389"/>
      <c r="G21" s="389"/>
      <c r="H21" s="389"/>
      <c r="I21" s="389"/>
      <c r="J21" s="389"/>
      <c r="K21" s="389"/>
      <c r="L21" s="389"/>
      <c r="M21" s="389"/>
      <c r="N21" s="389"/>
    </row>
    <row r="22" spans="2:14">
      <c r="B22" s="389"/>
      <c r="C22" s="389"/>
      <c r="D22" s="389"/>
      <c r="E22" s="389"/>
      <c r="F22" s="389"/>
      <c r="G22" s="389"/>
      <c r="H22" s="389"/>
      <c r="I22" s="389"/>
      <c r="J22" s="389"/>
      <c r="K22" s="389"/>
      <c r="L22" s="389"/>
      <c r="M22" s="389"/>
      <c r="N22" s="389"/>
    </row>
    <row r="23" spans="2:14">
      <c r="B23" s="389"/>
      <c r="C23" s="389"/>
      <c r="D23" s="389"/>
      <c r="E23" s="389"/>
      <c r="F23" s="389"/>
      <c r="G23" s="389"/>
      <c r="H23" s="389"/>
      <c r="I23" s="389"/>
      <c r="J23" s="389"/>
      <c r="K23" s="389"/>
      <c r="L23" s="389"/>
      <c r="M23" s="389"/>
      <c r="N23" s="389"/>
    </row>
    <row r="24" spans="2:14">
      <c r="B24" s="390" t="s">
        <v>535</v>
      </c>
      <c r="C24" s="391">
        <f>SUM(C19:C23)</f>
        <v>0</v>
      </c>
      <c r="D24" s="391">
        <f t="shared" ref="D24:N24" si="1">SUM(D19:D23)</f>
        <v>0</v>
      </c>
      <c r="E24" s="391">
        <f t="shared" si="1"/>
        <v>0</v>
      </c>
      <c r="F24" s="391">
        <f t="shared" si="1"/>
        <v>0</v>
      </c>
      <c r="G24" s="391">
        <f t="shared" si="1"/>
        <v>0</v>
      </c>
      <c r="H24" s="391">
        <f t="shared" si="1"/>
        <v>0</v>
      </c>
      <c r="I24" s="391">
        <f t="shared" si="1"/>
        <v>0</v>
      </c>
      <c r="J24" s="391">
        <f t="shared" si="1"/>
        <v>0</v>
      </c>
      <c r="K24" s="391">
        <f t="shared" si="1"/>
        <v>0</v>
      </c>
      <c r="L24" s="391">
        <f t="shared" si="1"/>
        <v>0</v>
      </c>
      <c r="M24" s="391">
        <f t="shared" si="1"/>
        <v>0</v>
      </c>
      <c r="N24" s="391">
        <f t="shared" si="1"/>
        <v>0</v>
      </c>
    </row>
    <row r="26" spans="2:14">
      <c r="B26" s="744" t="s">
        <v>533</v>
      </c>
      <c r="C26" s="744"/>
      <c r="D26" s="744"/>
      <c r="E26" s="744"/>
      <c r="F26" s="744"/>
      <c r="G26" s="744"/>
      <c r="H26" s="744"/>
      <c r="I26" s="744"/>
      <c r="J26" s="744"/>
      <c r="K26" s="744"/>
      <c r="L26" s="744"/>
      <c r="M26" s="744"/>
      <c r="N26" s="744"/>
    </row>
    <row r="27" spans="2:14">
      <c r="B27" s="388" t="s">
        <v>534</v>
      </c>
      <c r="C27" s="388" t="s">
        <v>115</v>
      </c>
      <c r="D27" s="388" t="s">
        <v>67</v>
      </c>
      <c r="E27" s="388" t="s">
        <v>70</v>
      </c>
      <c r="F27" s="388" t="s">
        <v>71</v>
      </c>
      <c r="G27" s="388" t="s">
        <v>72</v>
      </c>
      <c r="H27" s="388" t="s">
        <v>73</v>
      </c>
      <c r="I27" s="388" t="s">
        <v>74</v>
      </c>
      <c r="J27" s="388" t="s">
        <v>75</v>
      </c>
      <c r="K27" s="388" t="s">
        <v>76</v>
      </c>
      <c r="L27" s="388" t="s">
        <v>77</v>
      </c>
      <c r="M27" s="388" t="s">
        <v>78</v>
      </c>
      <c r="N27" s="388" t="s">
        <v>79</v>
      </c>
    </row>
    <row r="28" spans="2:14">
      <c r="B28" s="389"/>
      <c r="C28" s="389"/>
      <c r="D28" s="389"/>
      <c r="E28" s="389"/>
      <c r="F28" s="389"/>
      <c r="G28" s="389"/>
      <c r="H28" s="389"/>
      <c r="I28" s="389"/>
      <c r="J28" s="389"/>
      <c r="K28" s="389"/>
      <c r="L28" s="389"/>
      <c r="M28" s="389"/>
      <c r="N28" s="389"/>
    </row>
    <row r="29" spans="2:14">
      <c r="B29" s="389"/>
      <c r="C29" s="389"/>
      <c r="D29" s="389"/>
      <c r="E29" s="389"/>
      <c r="F29" s="389"/>
      <c r="G29" s="389"/>
      <c r="H29" s="389"/>
      <c r="I29" s="389"/>
      <c r="J29" s="389"/>
      <c r="K29" s="389"/>
      <c r="L29" s="389"/>
      <c r="M29" s="389"/>
      <c r="N29" s="389"/>
    </row>
    <row r="30" spans="2:14">
      <c r="B30" s="389"/>
      <c r="C30" s="389"/>
      <c r="D30" s="389"/>
      <c r="E30" s="389"/>
      <c r="F30" s="389"/>
      <c r="G30" s="389"/>
      <c r="H30" s="389"/>
      <c r="I30" s="389"/>
      <c r="J30" s="389"/>
      <c r="K30" s="389"/>
      <c r="L30" s="389"/>
      <c r="M30" s="389"/>
      <c r="N30" s="389"/>
    </row>
    <row r="31" spans="2:14">
      <c r="B31" s="389"/>
      <c r="C31" s="389"/>
      <c r="D31" s="389"/>
      <c r="E31" s="389"/>
      <c r="F31" s="389"/>
      <c r="G31" s="389"/>
      <c r="H31" s="389"/>
      <c r="I31" s="389"/>
      <c r="J31" s="389"/>
      <c r="K31" s="389"/>
      <c r="L31" s="389"/>
      <c r="M31" s="389"/>
      <c r="N31" s="389"/>
    </row>
    <row r="32" spans="2:14">
      <c r="B32" s="389"/>
      <c r="C32" s="389"/>
      <c r="D32" s="389"/>
      <c r="E32" s="389"/>
      <c r="F32" s="389"/>
      <c r="G32" s="389"/>
      <c r="H32" s="389"/>
      <c r="I32" s="389"/>
      <c r="J32" s="389"/>
      <c r="K32" s="389"/>
      <c r="L32" s="389"/>
      <c r="M32" s="389"/>
      <c r="N32" s="389"/>
    </row>
    <row r="33" spans="2:14">
      <c r="B33" s="389"/>
      <c r="C33" s="389"/>
      <c r="D33" s="389"/>
      <c r="E33" s="389"/>
      <c r="F33" s="389"/>
      <c r="G33" s="389"/>
      <c r="H33" s="389"/>
      <c r="I33" s="389"/>
      <c r="J33" s="389"/>
      <c r="K33" s="389"/>
      <c r="L33" s="389"/>
      <c r="M33" s="389"/>
      <c r="N33" s="389"/>
    </row>
    <row r="34" spans="2:14">
      <c r="B34" s="390" t="s">
        <v>535</v>
      </c>
      <c r="C34" s="391">
        <f t="shared" ref="C34:N34" si="2">SUM(C29:C33)</f>
        <v>0</v>
      </c>
      <c r="D34" s="391">
        <f t="shared" si="2"/>
        <v>0</v>
      </c>
      <c r="E34" s="391">
        <f t="shared" si="2"/>
        <v>0</v>
      </c>
      <c r="F34" s="391">
        <f t="shared" si="2"/>
        <v>0</v>
      </c>
      <c r="G34" s="391">
        <f t="shared" si="2"/>
        <v>0</v>
      </c>
      <c r="H34" s="391">
        <f t="shared" si="2"/>
        <v>0</v>
      </c>
      <c r="I34" s="391">
        <f t="shared" si="2"/>
        <v>0</v>
      </c>
      <c r="J34" s="391">
        <f t="shared" si="2"/>
        <v>0</v>
      </c>
      <c r="K34" s="391">
        <f t="shared" si="2"/>
        <v>0</v>
      </c>
      <c r="L34" s="391">
        <f t="shared" si="2"/>
        <v>0</v>
      </c>
      <c r="M34" s="391">
        <f t="shared" si="2"/>
        <v>0</v>
      </c>
      <c r="N34" s="391">
        <f t="shared" si="2"/>
        <v>0</v>
      </c>
    </row>
    <row r="36" spans="2:14">
      <c r="B36" s="744" t="s">
        <v>533</v>
      </c>
      <c r="C36" s="744"/>
      <c r="D36" s="744"/>
      <c r="E36" s="744"/>
      <c r="F36" s="744"/>
      <c r="G36" s="744"/>
      <c r="H36" s="744"/>
      <c r="I36" s="744"/>
      <c r="J36" s="744"/>
      <c r="K36" s="744"/>
      <c r="L36" s="744"/>
      <c r="M36" s="744"/>
      <c r="N36" s="744"/>
    </row>
    <row r="37" spans="2:14">
      <c r="B37" s="388" t="s">
        <v>534</v>
      </c>
      <c r="C37" s="388" t="s">
        <v>115</v>
      </c>
      <c r="D37" s="388" t="s">
        <v>67</v>
      </c>
      <c r="E37" s="388" t="s">
        <v>70</v>
      </c>
      <c r="F37" s="388" t="s">
        <v>71</v>
      </c>
      <c r="G37" s="388" t="s">
        <v>72</v>
      </c>
      <c r="H37" s="388" t="s">
        <v>73</v>
      </c>
      <c r="I37" s="388" t="s">
        <v>74</v>
      </c>
      <c r="J37" s="388" t="s">
        <v>75</v>
      </c>
      <c r="K37" s="388" t="s">
        <v>76</v>
      </c>
      <c r="L37" s="388" t="s">
        <v>77</v>
      </c>
      <c r="M37" s="388" t="s">
        <v>78</v>
      </c>
      <c r="N37" s="388" t="s">
        <v>79</v>
      </c>
    </row>
    <row r="38" spans="2:14">
      <c r="B38" s="389"/>
      <c r="C38" s="389"/>
      <c r="D38" s="389"/>
      <c r="E38" s="389"/>
      <c r="F38" s="389"/>
      <c r="G38" s="389"/>
      <c r="H38" s="389"/>
      <c r="I38" s="389"/>
      <c r="J38" s="389"/>
      <c r="K38" s="389"/>
      <c r="L38" s="389"/>
      <c r="M38" s="389"/>
      <c r="N38" s="389"/>
    </row>
    <row r="39" spans="2:14">
      <c r="B39" s="389"/>
      <c r="C39" s="389"/>
      <c r="D39" s="389"/>
      <c r="E39" s="389"/>
      <c r="F39" s="389"/>
      <c r="G39" s="389"/>
      <c r="H39" s="389"/>
      <c r="I39" s="389"/>
      <c r="J39" s="389"/>
      <c r="K39" s="389"/>
      <c r="L39" s="389"/>
      <c r="M39" s="389"/>
      <c r="N39" s="389"/>
    </row>
    <row r="40" spans="2:14">
      <c r="B40" s="389"/>
      <c r="C40" s="389"/>
      <c r="D40" s="389"/>
      <c r="E40" s="389"/>
      <c r="F40" s="389"/>
      <c r="G40" s="389"/>
      <c r="H40" s="389"/>
      <c r="I40" s="389"/>
      <c r="J40" s="389"/>
      <c r="K40" s="389"/>
      <c r="L40" s="389"/>
      <c r="M40" s="389"/>
      <c r="N40" s="389"/>
    </row>
    <row r="41" spans="2:14">
      <c r="B41" s="389"/>
      <c r="C41" s="389"/>
      <c r="D41" s="389"/>
      <c r="E41" s="389"/>
      <c r="F41" s="389"/>
      <c r="G41" s="389"/>
      <c r="H41" s="389"/>
      <c r="I41" s="389"/>
      <c r="J41" s="389"/>
      <c r="K41" s="389"/>
      <c r="L41" s="389"/>
      <c r="M41" s="389"/>
      <c r="N41" s="389"/>
    </row>
    <row r="42" spans="2:14">
      <c r="B42" s="389"/>
      <c r="C42" s="389"/>
      <c r="D42" s="389"/>
      <c r="E42" s="389"/>
      <c r="F42" s="389"/>
      <c r="G42" s="389"/>
      <c r="H42" s="389"/>
      <c r="I42" s="389"/>
      <c r="J42" s="389"/>
      <c r="K42" s="389"/>
      <c r="L42" s="389"/>
      <c r="M42" s="389"/>
      <c r="N42" s="389"/>
    </row>
    <row r="43" spans="2:14">
      <c r="B43" s="389"/>
      <c r="C43" s="389"/>
      <c r="D43" s="389"/>
      <c r="E43" s="389"/>
      <c r="F43" s="389"/>
      <c r="G43" s="389"/>
      <c r="H43" s="389"/>
      <c r="I43" s="389"/>
      <c r="J43" s="389"/>
      <c r="K43" s="389"/>
      <c r="L43" s="389"/>
      <c r="M43" s="389"/>
      <c r="N43" s="389"/>
    </row>
    <row r="44" spans="2:14">
      <c r="B44" s="390" t="s">
        <v>535</v>
      </c>
      <c r="C44" s="391">
        <f>SUM(C39:C43)</f>
        <v>0</v>
      </c>
      <c r="D44" s="391">
        <f t="shared" ref="D44:N44" si="3">SUM(D39:D43)</f>
        <v>0</v>
      </c>
      <c r="E44" s="391">
        <f t="shared" si="3"/>
        <v>0</v>
      </c>
      <c r="F44" s="391">
        <f t="shared" si="3"/>
        <v>0</v>
      </c>
      <c r="G44" s="391">
        <f t="shared" si="3"/>
        <v>0</v>
      </c>
      <c r="H44" s="391">
        <f t="shared" si="3"/>
        <v>0</v>
      </c>
      <c r="I44" s="391">
        <f t="shared" si="3"/>
        <v>0</v>
      </c>
      <c r="J44" s="391">
        <f t="shared" si="3"/>
        <v>0</v>
      </c>
      <c r="K44" s="391">
        <f t="shared" si="3"/>
        <v>0</v>
      </c>
      <c r="L44" s="391">
        <f t="shared" si="3"/>
        <v>0</v>
      </c>
      <c r="M44" s="391">
        <f t="shared" si="3"/>
        <v>0</v>
      </c>
      <c r="N44" s="391">
        <f t="shared" si="3"/>
        <v>0</v>
      </c>
    </row>
    <row r="46" spans="2:14">
      <c r="B46" s="744" t="s">
        <v>533</v>
      </c>
      <c r="C46" s="744"/>
      <c r="D46" s="744"/>
      <c r="E46" s="744"/>
      <c r="F46" s="744"/>
      <c r="G46" s="744"/>
      <c r="H46" s="744"/>
      <c r="I46" s="744"/>
      <c r="J46" s="744"/>
      <c r="K46" s="744"/>
      <c r="L46" s="744"/>
      <c r="M46" s="744"/>
      <c r="N46" s="744"/>
    </row>
    <row r="47" spans="2:14">
      <c r="B47" s="388" t="s">
        <v>534</v>
      </c>
      <c r="C47" s="388" t="s">
        <v>115</v>
      </c>
      <c r="D47" s="388" t="s">
        <v>67</v>
      </c>
      <c r="E47" s="388" t="s">
        <v>70</v>
      </c>
      <c r="F47" s="388" t="s">
        <v>71</v>
      </c>
      <c r="G47" s="388" t="s">
        <v>72</v>
      </c>
      <c r="H47" s="388" t="s">
        <v>73</v>
      </c>
      <c r="I47" s="388" t="s">
        <v>74</v>
      </c>
      <c r="J47" s="388" t="s">
        <v>75</v>
      </c>
      <c r="K47" s="388" t="s">
        <v>76</v>
      </c>
      <c r="L47" s="388" t="s">
        <v>77</v>
      </c>
      <c r="M47" s="388" t="s">
        <v>78</v>
      </c>
      <c r="N47" s="388" t="s">
        <v>79</v>
      </c>
    </row>
    <row r="48" spans="2:14">
      <c r="B48" s="389"/>
      <c r="C48" s="389"/>
      <c r="D48" s="389"/>
      <c r="E48" s="389"/>
      <c r="F48" s="389"/>
      <c r="G48" s="389"/>
      <c r="H48" s="389"/>
      <c r="I48" s="389"/>
      <c r="J48" s="389"/>
      <c r="K48" s="389"/>
      <c r="L48" s="389"/>
      <c r="M48" s="389"/>
      <c r="N48" s="389"/>
    </row>
    <row r="49" spans="2:14">
      <c r="B49" s="389"/>
      <c r="C49" s="389"/>
      <c r="D49" s="389"/>
      <c r="E49" s="389"/>
      <c r="F49" s="389"/>
      <c r="G49" s="389"/>
      <c r="H49" s="389"/>
      <c r="I49" s="389"/>
      <c r="J49" s="389"/>
      <c r="K49" s="389"/>
      <c r="L49" s="389"/>
      <c r="M49" s="389"/>
      <c r="N49" s="389"/>
    </row>
    <row r="50" spans="2:14">
      <c r="B50" s="389"/>
      <c r="C50" s="389"/>
      <c r="D50" s="389"/>
      <c r="E50" s="389"/>
      <c r="F50" s="389"/>
      <c r="G50" s="389"/>
      <c r="H50" s="389"/>
      <c r="I50" s="389"/>
      <c r="J50" s="389"/>
      <c r="K50" s="389"/>
      <c r="L50" s="389"/>
      <c r="M50" s="389"/>
      <c r="N50" s="389"/>
    </row>
    <row r="51" spans="2:14">
      <c r="B51" s="389"/>
      <c r="C51" s="389"/>
      <c r="D51" s="389"/>
      <c r="E51" s="389"/>
      <c r="F51" s="389"/>
      <c r="G51" s="389"/>
      <c r="H51" s="389"/>
      <c r="I51" s="389"/>
      <c r="J51" s="389"/>
      <c r="K51" s="389"/>
      <c r="L51" s="389"/>
      <c r="M51" s="389"/>
      <c r="N51" s="389"/>
    </row>
    <row r="52" spans="2:14">
      <c r="B52" s="389"/>
      <c r="C52" s="389"/>
      <c r="D52" s="389"/>
      <c r="E52" s="389"/>
      <c r="F52" s="389"/>
      <c r="G52" s="389"/>
      <c r="H52" s="389"/>
      <c r="I52" s="389"/>
      <c r="J52" s="389"/>
      <c r="K52" s="389"/>
      <c r="L52" s="389"/>
      <c r="M52" s="389"/>
      <c r="N52" s="389"/>
    </row>
    <row r="53" spans="2:14">
      <c r="B53" s="389"/>
      <c r="C53" s="389"/>
      <c r="D53" s="389"/>
      <c r="E53" s="389"/>
      <c r="F53" s="389"/>
      <c r="G53" s="389"/>
      <c r="H53" s="389"/>
      <c r="I53" s="389"/>
      <c r="J53" s="389"/>
      <c r="K53" s="389"/>
      <c r="L53" s="389"/>
      <c r="M53" s="389"/>
      <c r="N53" s="389"/>
    </row>
    <row r="54" spans="2:14">
      <c r="B54" s="390" t="s">
        <v>535</v>
      </c>
      <c r="C54" s="391">
        <f>SUM(C49:C53)</f>
        <v>0</v>
      </c>
      <c r="D54" s="391">
        <f t="shared" ref="D54:N54" si="4">SUM(D49:D53)</f>
        <v>0</v>
      </c>
      <c r="E54" s="391">
        <f t="shared" si="4"/>
        <v>0</v>
      </c>
      <c r="F54" s="391">
        <f t="shared" si="4"/>
        <v>0</v>
      </c>
      <c r="G54" s="391">
        <f t="shared" si="4"/>
        <v>0</v>
      </c>
      <c r="H54" s="391">
        <f t="shared" si="4"/>
        <v>0</v>
      </c>
      <c r="I54" s="391">
        <f t="shared" si="4"/>
        <v>0</v>
      </c>
      <c r="J54" s="391">
        <f t="shared" si="4"/>
        <v>0</v>
      </c>
      <c r="K54" s="391">
        <f t="shared" si="4"/>
        <v>0</v>
      </c>
      <c r="L54" s="391">
        <f t="shared" si="4"/>
        <v>0</v>
      </c>
      <c r="M54" s="391">
        <f t="shared" si="4"/>
        <v>0</v>
      </c>
      <c r="N54" s="391">
        <f t="shared" si="4"/>
        <v>0</v>
      </c>
    </row>
    <row r="56" spans="2:14">
      <c r="B56" s="744" t="s">
        <v>533</v>
      </c>
      <c r="C56" s="744"/>
      <c r="D56" s="744"/>
      <c r="E56" s="744"/>
      <c r="F56" s="744"/>
      <c r="G56" s="744"/>
      <c r="H56" s="744"/>
      <c r="I56" s="744"/>
      <c r="J56" s="744"/>
      <c r="K56" s="744"/>
      <c r="L56" s="744"/>
      <c r="M56" s="744"/>
      <c r="N56" s="744"/>
    </row>
    <row r="57" spans="2:14">
      <c r="B57" s="388" t="s">
        <v>534</v>
      </c>
      <c r="C57" s="388" t="s">
        <v>115</v>
      </c>
      <c r="D57" s="388" t="s">
        <v>67</v>
      </c>
      <c r="E57" s="388" t="s">
        <v>70</v>
      </c>
      <c r="F57" s="388" t="s">
        <v>71</v>
      </c>
      <c r="G57" s="388" t="s">
        <v>72</v>
      </c>
      <c r="H57" s="388" t="s">
        <v>73</v>
      </c>
      <c r="I57" s="388" t="s">
        <v>74</v>
      </c>
      <c r="J57" s="388" t="s">
        <v>75</v>
      </c>
      <c r="K57" s="388" t="s">
        <v>76</v>
      </c>
      <c r="L57" s="388" t="s">
        <v>77</v>
      </c>
      <c r="M57" s="388" t="s">
        <v>78</v>
      </c>
      <c r="N57" s="388" t="s">
        <v>79</v>
      </c>
    </row>
    <row r="58" spans="2:14">
      <c r="B58" s="389"/>
      <c r="C58" s="389"/>
      <c r="D58" s="389"/>
      <c r="E58" s="389"/>
      <c r="F58" s="389"/>
      <c r="G58" s="389"/>
      <c r="H58" s="389"/>
      <c r="I58" s="389"/>
      <c r="J58" s="389"/>
      <c r="K58" s="389"/>
      <c r="L58" s="389"/>
      <c r="M58" s="389"/>
      <c r="N58" s="389"/>
    </row>
    <row r="59" spans="2:14">
      <c r="B59" s="389"/>
      <c r="C59" s="389"/>
      <c r="D59" s="389"/>
      <c r="E59" s="389"/>
      <c r="F59" s="389"/>
      <c r="G59" s="389"/>
      <c r="H59" s="389"/>
      <c r="I59" s="389"/>
      <c r="J59" s="389"/>
      <c r="K59" s="389"/>
      <c r="L59" s="389"/>
      <c r="M59" s="389"/>
      <c r="N59" s="389"/>
    </row>
    <row r="60" spans="2:14">
      <c r="B60" s="389"/>
      <c r="C60" s="389"/>
      <c r="D60" s="389"/>
      <c r="E60" s="389"/>
      <c r="F60" s="389"/>
      <c r="G60" s="389"/>
      <c r="H60" s="389"/>
      <c r="I60" s="389"/>
      <c r="J60" s="389"/>
      <c r="K60" s="389"/>
      <c r="L60" s="389"/>
      <c r="M60" s="389"/>
      <c r="N60" s="389"/>
    </row>
    <row r="61" spans="2:14">
      <c r="B61" s="389"/>
      <c r="C61" s="389"/>
      <c r="D61" s="389"/>
      <c r="E61" s="389"/>
      <c r="F61" s="389"/>
      <c r="G61" s="389"/>
      <c r="H61" s="389"/>
      <c r="I61" s="389"/>
      <c r="J61" s="389"/>
      <c r="K61" s="389"/>
      <c r="L61" s="389"/>
      <c r="M61" s="389"/>
      <c r="N61" s="389"/>
    </row>
    <row r="62" spans="2:14">
      <c r="B62" s="389"/>
      <c r="C62" s="389"/>
      <c r="D62" s="389"/>
      <c r="E62" s="389"/>
      <c r="F62" s="389"/>
      <c r="G62" s="389"/>
      <c r="H62" s="389"/>
      <c r="I62" s="389"/>
      <c r="J62" s="389"/>
      <c r="K62" s="389"/>
      <c r="L62" s="389"/>
      <c r="M62" s="389"/>
      <c r="N62" s="389"/>
    </row>
    <row r="63" spans="2:14">
      <c r="B63" s="389"/>
      <c r="C63" s="389"/>
      <c r="D63" s="389"/>
      <c r="E63" s="389"/>
      <c r="F63" s="389"/>
      <c r="G63" s="389"/>
      <c r="H63" s="389"/>
      <c r="I63" s="389"/>
      <c r="J63" s="389"/>
      <c r="K63" s="389"/>
      <c r="L63" s="389"/>
      <c r="M63" s="389"/>
      <c r="N63" s="389"/>
    </row>
    <row r="64" spans="2:14">
      <c r="B64" s="390" t="s">
        <v>535</v>
      </c>
      <c r="C64" s="391">
        <f>SUM(C59:C63)</f>
        <v>0</v>
      </c>
      <c r="D64" s="391">
        <f t="shared" ref="D64:N64" si="5">SUM(D59:D63)</f>
        <v>0</v>
      </c>
      <c r="E64" s="391">
        <f t="shared" si="5"/>
        <v>0</v>
      </c>
      <c r="F64" s="391">
        <f t="shared" si="5"/>
        <v>0</v>
      </c>
      <c r="G64" s="391">
        <f t="shared" si="5"/>
        <v>0</v>
      </c>
      <c r="H64" s="391">
        <f t="shared" si="5"/>
        <v>0</v>
      </c>
      <c r="I64" s="391">
        <f t="shared" si="5"/>
        <v>0</v>
      </c>
      <c r="J64" s="391">
        <f t="shared" si="5"/>
        <v>0</v>
      </c>
      <c r="K64" s="391">
        <f t="shared" si="5"/>
        <v>0</v>
      </c>
      <c r="L64" s="391">
        <f t="shared" si="5"/>
        <v>0</v>
      </c>
      <c r="M64" s="391">
        <f t="shared" si="5"/>
        <v>0</v>
      </c>
      <c r="N64" s="391">
        <f t="shared" si="5"/>
        <v>0</v>
      </c>
    </row>
    <row r="66" spans="2:14">
      <c r="B66" s="744" t="s">
        <v>533</v>
      </c>
      <c r="C66" s="744"/>
      <c r="D66" s="744"/>
      <c r="E66" s="744"/>
      <c r="F66" s="744"/>
      <c r="G66" s="744"/>
      <c r="H66" s="744"/>
      <c r="I66" s="744"/>
      <c r="J66" s="744"/>
      <c r="K66" s="744"/>
      <c r="L66" s="744"/>
      <c r="M66" s="744"/>
      <c r="N66" s="744"/>
    </row>
    <row r="67" spans="2:14">
      <c r="B67" s="388" t="s">
        <v>534</v>
      </c>
      <c r="C67" s="388" t="s">
        <v>115</v>
      </c>
      <c r="D67" s="388" t="s">
        <v>67</v>
      </c>
      <c r="E67" s="388" t="s">
        <v>70</v>
      </c>
      <c r="F67" s="388" t="s">
        <v>71</v>
      </c>
      <c r="G67" s="388" t="s">
        <v>72</v>
      </c>
      <c r="H67" s="388" t="s">
        <v>73</v>
      </c>
      <c r="I67" s="388" t="s">
        <v>74</v>
      </c>
      <c r="J67" s="388" t="s">
        <v>75</v>
      </c>
      <c r="K67" s="388" t="s">
        <v>76</v>
      </c>
      <c r="L67" s="388" t="s">
        <v>77</v>
      </c>
      <c r="M67" s="388" t="s">
        <v>78</v>
      </c>
      <c r="N67" s="388" t="s">
        <v>79</v>
      </c>
    </row>
    <row r="68" spans="2:14">
      <c r="B68" s="389"/>
      <c r="C68" s="389"/>
      <c r="D68" s="389"/>
      <c r="E68" s="389"/>
      <c r="F68" s="389"/>
      <c r="G68" s="389"/>
      <c r="H68" s="389"/>
      <c r="I68" s="389"/>
      <c r="J68" s="389"/>
      <c r="K68" s="389"/>
      <c r="L68" s="389"/>
      <c r="M68" s="389"/>
      <c r="N68" s="389"/>
    </row>
    <row r="69" spans="2:14">
      <c r="B69" s="389"/>
      <c r="C69" s="389"/>
      <c r="D69" s="389"/>
      <c r="E69" s="389"/>
      <c r="F69" s="389"/>
      <c r="G69" s="389"/>
      <c r="H69" s="389"/>
      <c r="I69" s="389"/>
      <c r="J69" s="389"/>
      <c r="K69" s="389"/>
      <c r="L69" s="389"/>
      <c r="M69" s="389"/>
      <c r="N69" s="389"/>
    </row>
    <row r="70" spans="2:14">
      <c r="B70" s="389"/>
      <c r="C70" s="389"/>
      <c r="D70" s="389"/>
      <c r="E70" s="389"/>
      <c r="F70" s="389"/>
      <c r="G70" s="389"/>
      <c r="H70" s="389"/>
      <c r="I70" s="389"/>
      <c r="J70" s="389"/>
      <c r="K70" s="389"/>
      <c r="L70" s="389"/>
      <c r="M70" s="389"/>
      <c r="N70" s="389"/>
    </row>
    <row r="71" spans="2:14">
      <c r="B71" s="389"/>
      <c r="C71" s="389"/>
      <c r="D71" s="389"/>
      <c r="E71" s="389"/>
      <c r="F71" s="389"/>
      <c r="G71" s="389"/>
      <c r="H71" s="389"/>
      <c r="I71" s="389"/>
      <c r="J71" s="389"/>
      <c r="K71" s="389"/>
      <c r="L71" s="389"/>
      <c r="M71" s="389"/>
      <c r="N71" s="389"/>
    </row>
    <row r="72" spans="2:14">
      <c r="B72" s="389"/>
      <c r="C72" s="389"/>
      <c r="D72" s="389"/>
      <c r="E72" s="389"/>
      <c r="F72" s="389"/>
      <c r="G72" s="389"/>
      <c r="H72" s="389"/>
      <c r="I72" s="389"/>
      <c r="J72" s="389"/>
      <c r="K72" s="389"/>
      <c r="L72" s="389"/>
      <c r="M72" s="389"/>
      <c r="N72" s="389"/>
    </row>
    <row r="73" spans="2:14">
      <c r="B73" s="389"/>
      <c r="C73" s="389"/>
      <c r="D73" s="389"/>
      <c r="E73" s="389"/>
      <c r="F73" s="389"/>
      <c r="G73" s="389"/>
      <c r="H73" s="389"/>
      <c r="I73" s="389"/>
      <c r="J73" s="389"/>
      <c r="K73" s="389"/>
      <c r="L73" s="389"/>
      <c r="M73" s="389"/>
      <c r="N73" s="389"/>
    </row>
    <row r="74" spans="2:14">
      <c r="B74" s="390" t="s">
        <v>535</v>
      </c>
      <c r="C74" s="391">
        <f>SUM(C69:C73)</f>
        <v>0</v>
      </c>
      <c r="D74" s="391">
        <f t="shared" ref="D74:N74" si="6">SUM(D69:D73)</f>
        <v>0</v>
      </c>
      <c r="E74" s="391">
        <f t="shared" si="6"/>
        <v>0</v>
      </c>
      <c r="F74" s="391">
        <f t="shared" si="6"/>
        <v>0</v>
      </c>
      <c r="G74" s="391">
        <f t="shared" si="6"/>
        <v>0</v>
      </c>
      <c r="H74" s="391">
        <f t="shared" si="6"/>
        <v>0</v>
      </c>
      <c r="I74" s="391">
        <f t="shared" si="6"/>
        <v>0</v>
      </c>
      <c r="J74" s="391">
        <f t="shared" si="6"/>
        <v>0</v>
      </c>
      <c r="K74" s="391">
        <f t="shared" si="6"/>
        <v>0</v>
      </c>
      <c r="L74" s="391">
        <f t="shared" si="6"/>
        <v>0</v>
      </c>
      <c r="M74" s="391">
        <f t="shared" si="6"/>
        <v>0</v>
      </c>
      <c r="N74" s="391">
        <f t="shared" si="6"/>
        <v>0</v>
      </c>
    </row>
  </sheetData>
  <mergeCells count="9">
    <mergeCell ref="B46:N46"/>
    <mergeCell ref="B56:N56"/>
    <mergeCell ref="B66:N66"/>
    <mergeCell ref="B2:L2"/>
    <mergeCell ref="B3:I3"/>
    <mergeCell ref="B5:N5"/>
    <mergeCell ref="B16:N16"/>
    <mergeCell ref="B26:N26"/>
    <mergeCell ref="B36:N36"/>
  </mergeCells>
  <pageMargins left="0.7" right="0.7" top="0.75" bottom="0.75" header="0.3" footer="0.3"/>
  <pageSetup scale="44"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B1:D17"/>
  <sheetViews>
    <sheetView view="pageBreakPreview" zoomScale="150" zoomScaleNormal="100" zoomScaleSheetLayoutView="150" workbookViewId="0">
      <selection activeCell="D9" sqref="D9"/>
    </sheetView>
  </sheetViews>
  <sheetFormatPr baseColWidth="10" defaultColWidth="10.83203125" defaultRowHeight="20" customHeight="1"/>
  <cols>
    <col min="1" max="1" width="10.83203125" style="1"/>
    <col min="2" max="2" width="4.33203125" style="1" customWidth="1"/>
    <col min="3" max="3" width="94.6640625" style="1" customWidth="1"/>
    <col min="4" max="4" width="21.83203125" style="1" customWidth="1"/>
    <col min="5" max="16384" width="10.83203125" style="1"/>
  </cols>
  <sheetData>
    <row r="1" spans="2:4" ht="23" customHeight="1"/>
    <row r="2" spans="2:4" ht="45" customHeight="1">
      <c r="C2" s="729" t="s">
        <v>461</v>
      </c>
      <c r="D2" s="729"/>
    </row>
    <row r="3" spans="2:4" ht="23" customHeight="1">
      <c r="C3" s="736" t="s">
        <v>675</v>
      </c>
      <c r="D3" s="736"/>
    </row>
    <row r="4" spans="2:4" ht="14" customHeight="1">
      <c r="C4" s="24" t="s">
        <v>678</v>
      </c>
      <c r="D4" s="24"/>
    </row>
    <row r="5" spans="2:4" ht="23" customHeight="1">
      <c r="C5" s="133"/>
      <c r="D5" s="133"/>
    </row>
    <row r="6" spans="2:4" ht="23" customHeight="1">
      <c r="C6" s="222" t="s">
        <v>85</v>
      </c>
      <c r="D6" s="223">
        <f>'Saldos Cash'!N15</f>
        <v>1286362.6500000001</v>
      </c>
    </row>
    <row r="7" spans="2:4" ht="23" customHeight="1">
      <c r="C7" s="519" t="s">
        <v>86</v>
      </c>
      <c r="D7" s="518">
        <f>+TC!C7</f>
        <v>20.515699999999999</v>
      </c>
    </row>
    <row r="8" spans="2:4" ht="23" customHeight="1">
      <c r="C8" s="329" t="s">
        <v>87</v>
      </c>
      <c r="D8" s="330">
        <f>+D6*D7</f>
        <v>26390630.218605001</v>
      </c>
    </row>
    <row r="9" spans="2:4" ht="23" customHeight="1">
      <c r="C9" s="222" t="s">
        <v>683</v>
      </c>
      <c r="D9" s="520">
        <v>0</v>
      </c>
    </row>
    <row r="10" spans="2:4" ht="46" customHeight="1">
      <c r="B10" s="224"/>
      <c r="C10" s="226" t="s">
        <v>88</v>
      </c>
      <c r="D10" s="227">
        <f>D8*D9</f>
        <v>0</v>
      </c>
    </row>
    <row r="11" spans="2:4" ht="23" customHeight="1"/>
    <row r="12" spans="2:4" ht="23" customHeight="1"/>
    <row r="13" spans="2:4" ht="23" customHeight="1"/>
    <row r="14" spans="2:4" ht="23" customHeight="1">
      <c r="B14" s="225" t="s">
        <v>89</v>
      </c>
    </row>
    <row r="15" spans="2:4" ht="23" customHeight="1">
      <c r="B15" s="222" t="s">
        <v>90</v>
      </c>
    </row>
    <row r="16" spans="2:4" ht="23" customHeight="1">
      <c r="B16" s="222" t="s">
        <v>683</v>
      </c>
      <c r="C16" s="41"/>
    </row>
    <row r="17" spans="2:4" ht="43" customHeight="1">
      <c r="B17" s="747" t="s">
        <v>88</v>
      </c>
      <c r="C17" s="747"/>
      <c r="D17" s="747"/>
    </row>
  </sheetData>
  <sheetProtection algorithmName="SHA-512" hashValue="XaneLe/OCARiszhK8W1HtYLsXEYvHdMjOiuF5to6ViJdHcqivC+yd4betE2CV3YfpuaEyWQ2qLWQPTC34QPgoQ==" saltValue="GxccxFNgzHQjGSr/401O+A==" spinCount="100000" sheet="1" formatCells="0"/>
  <mergeCells count="3">
    <mergeCell ref="C3:D3"/>
    <mergeCell ref="B17:D17"/>
    <mergeCell ref="C2:D2"/>
  </mergeCells>
  <phoneticPr fontId="8" type="noConversion"/>
  <printOptions horizontalCentered="1"/>
  <pageMargins left="0.7" right="0.7" top="0.75" bottom="0.75" header="0.3" footer="0.3"/>
  <pageSetup scale="98" orientation="landscape"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B2:P46"/>
  <sheetViews>
    <sheetView view="pageBreakPreview" zoomScale="110" zoomScaleNormal="100" zoomScaleSheetLayoutView="110" workbookViewId="0">
      <pane ySplit="6" topLeftCell="A7" activePane="bottomLeft" state="frozen"/>
      <selection pane="bottomLeft" activeCell="J8" sqref="J8"/>
    </sheetView>
  </sheetViews>
  <sheetFormatPr baseColWidth="10" defaultColWidth="10.83203125" defaultRowHeight="23" customHeight="1"/>
  <cols>
    <col min="1" max="1" width="10.83203125" style="134"/>
    <col min="2" max="2" width="14.83203125" style="134" customWidth="1"/>
    <col min="3" max="3" width="18.5" style="134" customWidth="1"/>
    <col min="4" max="4" width="14.83203125" style="134" customWidth="1"/>
    <col min="5" max="5" width="64.6640625" style="134" customWidth="1"/>
    <col min="6" max="7" width="18.83203125" style="134" customWidth="1"/>
    <col min="8" max="8" width="21.1640625" style="134" customWidth="1"/>
    <col min="9" max="9" width="20.5" style="134" customWidth="1"/>
    <col min="10" max="10" width="18.83203125" style="134" customWidth="1"/>
    <col min="11" max="11" width="19.6640625" style="134" customWidth="1"/>
    <col min="12" max="15" width="10.83203125" style="134"/>
    <col min="16" max="16" width="26.6640625" style="134" customWidth="1"/>
    <col min="17" max="16384" width="10.83203125" style="134"/>
  </cols>
  <sheetData>
    <row r="2" spans="2:16" ht="23" customHeight="1">
      <c r="B2" s="748" t="s">
        <v>651</v>
      </c>
      <c r="C2" s="748"/>
      <c r="D2" s="748"/>
      <c r="E2" s="748"/>
      <c r="F2" s="748"/>
      <c r="G2" s="748"/>
      <c r="H2" s="748"/>
      <c r="I2" s="748"/>
      <c r="J2" s="748"/>
      <c r="K2" s="748"/>
      <c r="P2" s="204" t="s">
        <v>643</v>
      </c>
    </row>
    <row r="3" spans="2:16" ht="23" customHeight="1">
      <c r="B3" s="736" t="s">
        <v>652</v>
      </c>
      <c r="C3" s="736"/>
      <c r="D3" s="736"/>
      <c r="E3" s="736"/>
      <c r="F3" s="736"/>
      <c r="G3" s="736"/>
      <c r="H3" s="736"/>
      <c r="I3" s="736"/>
      <c r="J3" s="736"/>
      <c r="K3" s="736"/>
      <c r="P3" s="228" t="s">
        <v>644</v>
      </c>
    </row>
    <row r="4" spans="2:16" ht="14" customHeight="1">
      <c r="B4" s="24" t="s">
        <v>446</v>
      </c>
      <c r="C4" s="24" t="s">
        <v>679</v>
      </c>
      <c r="D4" s="24"/>
      <c r="E4" s="24"/>
      <c r="F4" s="24"/>
      <c r="G4" s="24"/>
      <c r="H4" s="24"/>
      <c r="I4" s="24"/>
      <c r="J4" s="24"/>
      <c r="K4" s="24"/>
      <c r="P4" s="228"/>
    </row>
    <row r="5" spans="2:16" ht="23" customHeight="1">
      <c r="B5" s="156"/>
      <c r="C5" s="156"/>
      <c r="D5" s="157"/>
      <c r="E5" s="157"/>
      <c r="F5" s="156"/>
      <c r="G5" s="157"/>
      <c r="H5" s="157"/>
      <c r="I5" s="157"/>
      <c r="J5" s="157"/>
      <c r="K5" s="157"/>
      <c r="P5" s="228"/>
    </row>
    <row r="6" spans="2:16" s="154" customFormat="1" ht="30">
      <c r="B6" s="153" t="s">
        <v>178</v>
      </c>
      <c r="C6" s="153" t="s">
        <v>53</v>
      </c>
      <c r="D6" s="120" t="s">
        <v>54</v>
      </c>
      <c r="E6" s="120" t="s">
        <v>63</v>
      </c>
      <c r="F6" s="120" t="s">
        <v>208</v>
      </c>
      <c r="G6" s="120" t="s">
        <v>209</v>
      </c>
      <c r="H6" s="120" t="s">
        <v>56</v>
      </c>
      <c r="I6" s="120" t="s">
        <v>57</v>
      </c>
      <c r="J6" s="120" t="s">
        <v>364</v>
      </c>
      <c r="K6" s="120" t="s">
        <v>58</v>
      </c>
      <c r="P6" s="244"/>
    </row>
    <row r="7" spans="2:16" ht="23" customHeight="1">
      <c r="B7" s="76"/>
      <c r="C7" s="76"/>
      <c r="D7" s="145"/>
      <c r="E7" s="140"/>
      <c r="F7" s="76"/>
      <c r="G7" s="141"/>
      <c r="H7" s="143"/>
      <c r="I7" s="144"/>
      <c r="J7" s="143"/>
      <c r="K7" s="144"/>
      <c r="P7" s="228"/>
    </row>
    <row r="8" spans="2:16" ht="23" customHeight="1">
      <c r="B8" s="7" t="s">
        <v>3</v>
      </c>
      <c r="C8" s="7"/>
      <c r="D8" s="159"/>
      <c r="E8" s="229"/>
      <c r="F8" s="7"/>
      <c r="G8" s="163"/>
      <c r="H8" s="162">
        <f>IF(F8=0,0,IF(F8="MXN",1/HLOOKUP(YEAR(D8)+(MONTH(D8)/100),TC!$5:$37,DAY(D8)+2,FALSE),VLOOKUP(F8,Equivalencia!$1:$23,((MAX(Equivalencia!$3:$3)-YEAR(D8))*14)+MONTH(D8)+2,FALSE)))</f>
        <v>0</v>
      </c>
      <c r="I8" s="163">
        <f t="shared" ref="I8:I13" si="0">+H8*G8</f>
        <v>0</v>
      </c>
      <c r="J8" s="162">
        <f>IF(D8=0,0,HLOOKUP(YEAR(D8)+(MONTH(D8)/100),TC!$5:$37,DAY(D8)+2,FALSE))</f>
        <v>0</v>
      </c>
      <c r="K8" s="163">
        <f t="shared" ref="K8:K13" si="1">+I8*J8</f>
        <v>0</v>
      </c>
      <c r="P8" s="228"/>
    </row>
    <row r="9" spans="2:16" ht="23" customHeight="1">
      <c r="B9" s="7" t="s">
        <v>4</v>
      </c>
      <c r="C9" s="7"/>
      <c r="D9" s="159"/>
      <c r="E9" s="229"/>
      <c r="F9" s="7"/>
      <c r="G9" s="163"/>
      <c r="H9" s="162">
        <f>IF(F9=0,0,IF(F9="MXN",1/HLOOKUP(YEAR(D9)+(MONTH(D9)/100),TC!$5:$37,DAY(D9)+2,FALSE),VLOOKUP(F9,Equivalencia!$1:$23,((MAX(Equivalencia!$3:$3)-YEAR(D9))*14)+MONTH(D9)+2,FALSE)))</f>
        <v>0</v>
      </c>
      <c r="I9" s="163">
        <f t="shared" si="0"/>
        <v>0</v>
      </c>
      <c r="J9" s="162">
        <f>IF(D9=0,0,HLOOKUP(YEAR(D9)+(MONTH(D9)/100),TC!$5:$37,DAY(D9)+2,FALSE))</f>
        <v>0</v>
      </c>
      <c r="K9" s="163">
        <f t="shared" si="1"/>
        <v>0</v>
      </c>
      <c r="P9" s="228"/>
    </row>
    <row r="10" spans="2:16" ht="23" customHeight="1">
      <c r="B10" s="7" t="s">
        <v>5</v>
      </c>
      <c r="C10" s="7"/>
      <c r="D10" s="159"/>
      <c r="E10" s="229"/>
      <c r="F10" s="7"/>
      <c r="G10" s="163"/>
      <c r="H10" s="162">
        <f>IF(F10=0,0,IF(F10="MXN",1/HLOOKUP(YEAR(D10)+(MONTH(D10)/100),TC!$5:$37,DAY(D10)+2,FALSE),VLOOKUP(F10,Equivalencia!$1:$23,((MAX(Equivalencia!$3:$3)-YEAR(D10))*14)+MONTH(D10)+2,FALSE)))</f>
        <v>0</v>
      </c>
      <c r="I10" s="163">
        <f t="shared" si="0"/>
        <v>0</v>
      </c>
      <c r="J10" s="162">
        <f>IF(D10=0,0,HLOOKUP(YEAR(D10)+(MONTH(D10)/100),TC!$5:$37,DAY(D10)+2,FALSE))</f>
        <v>0</v>
      </c>
      <c r="K10" s="163">
        <f t="shared" si="1"/>
        <v>0</v>
      </c>
      <c r="P10" s="228"/>
    </row>
    <row r="11" spans="2:16" ht="23" customHeight="1">
      <c r="B11" s="7" t="s">
        <v>6</v>
      </c>
      <c r="C11" s="7"/>
      <c r="D11" s="159"/>
      <c r="E11" s="229"/>
      <c r="F11" s="7"/>
      <c r="G11" s="163"/>
      <c r="H11" s="162">
        <f>IF(F11=0,0,IF(F11="MXN",1/HLOOKUP(YEAR(D11)+(MONTH(D11)/100),TC!$5:$37,DAY(D11)+2,FALSE),VLOOKUP(F11,Equivalencia!$1:$23,((MAX(Equivalencia!$3:$3)-YEAR(D11))*14)+MONTH(D11)+2,FALSE)))</f>
        <v>0</v>
      </c>
      <c r="I11" s="163">
        <f t="shared" si="0"/>
        <v>0</v>
      </c>
      <c r="J11" s="162">
        <f>IF(D11=0,0,HLOOKUP(YEAR(D11)+(MONTH(D11)/100),TC!$5:$37,DAY(D11)+2,FALSE))</f>
        <v>0</v>
      </c>
      <c r="K11" s="163">
        <f t="shared" si="1"/>
        <v>0</v>
      </c>
      <c r="P11" s="228"/>
    </row>
    <row r="12" spans="2:16" ht="23" customHeight="1">
      <c r="B12" s="7" t="s">
        <v>7</v>
      </c>
      <c r="C12" s="7"/>
      <c r="D12" s="159"/>
      <c r="E12" s="229"/>
      <c r="F12" s="7"/>
      <c r="G12" s="163"/>
      <c r="H12" s="162">
        <f>IF(F12=0,0,IF(F12="MXN",1/HLOOKUP(YEAR(D12)+(MONTH(D12)/100),TC!$5:$37,DAY(D12)+2,FALSE),VLOOKUP(F12,Equivalencia!$1:$23,((MAX(Equivalencia!$3:$3)-YEAR(D12))*14)+MONTH(D12)+2,FALSE)))</f>
        <v>0</v>
      </c>
      <c r="I12" s="163">
        <f t="shared" si="0"/>
        <v>0</v>
      </c>
      <c r="J12" s="162">
        <f>IF(D12=0,0,HLOOKUP(YEAR(D12)+(MONTH(D12)/100),TC!$5:$37,DAY(D12)+2,FALSE))</f>
        <v>0</v>
      </c>
      <c r="K12" s="163">
        <f t="shared" si="1"/>
        <v>0</v>
      </c>
    </row>
    <row r="13" spans="2:16" ht="23" customHeight="1">
      <c r="B13" s="7" t="s">
        <v>8</v>
      </c>
      <c r="C13" s="7"/>
      <c r="D13" s="159"/>
      <c r="E13" s="229"/>
      <c r="F13" s="7"/>
      <c r="G13" s="163"/>
      <c r="H13" s="162">
        <f>IF(F13=0,0,IF(F13="MXN",1/HLOOKUP(YEAR(D13)+(MONTH(D13)/100),TC!$5:$37,DAY(D13)+2,FALSE),VLOOKUP(F13,Equivalencia!$1:$23,((MAX(Equivalencia!$3:$3)-YEAR(D13))*14)+MONTH(D13)+2,FALSE)))</f>
        <v>0</v>
      </c>
      <c r="I13" s="163">
        <f t="shared" si="0"/>
        <v>0</v>
      </c>
      <c r="J13" s="162">
        <f>IF(D13=0,0,HLOOKUP(YEAR(D13)+(MONTH(D13)/100),TC!$5:$37,DAY(D13)+2,FALSE))</f>
        <v>0</v>
      </c>
      <c r="K13" s="163">
        <f t="shared" si="1"/>
        <v>0</v>
      </c>
    </row>
    <row r="14" spans="2:16" ht="23" customHeight="1">
      <c r="B14" s="45"/>
      <c r="C14" s="45"/>
      <c r="D14" s="76"/>
      <c r="E14" s="140"/>
      <c r="F14" s="76"/>
      <c r="G14" s="142"/>
      <c r="H14" s="143"/>
      <c r="I14" s="142"/>
      <c r="J14" s="143"/>
      <c r="K14" s="144"/>
    </row>
    <row r="15" spans="2:16" ht="23" customHeight="1">
      <c r="B15" s="164" t="s">
        <v>94</v>
      </c>
      <c r="C15" s="164"/>
      <c r="D15" s="230"/>
      <c r="E15" s="231"/>
      <c r="F15" s="230"/>
      <c r="G15" s="231">
        <f>SUM(G7:G14)</f>
        <v>0</v>
      </c>
      <c r="H15" s="231"/>
      <c r="I15" s="231">
        <f>SUM(I7:I14)</f>
        <v>0</v>
      </c>
      <c r="J15" s="231"/>
      <c r="K15" s="231">
        <f>SUM(K7:K14)</f>
        <v>0</v>
      </c>
    </row>
    <row r="16" spans="2:16" ht="23" customHeight="1">
      <c r="B16" s="204"/>
      <c r="C16" s="204"/>
      <c r="F16" s="204"/>
      <c r="G16" s="206"/>
    </row>
    <row r="17" spans="2:11" ht="46" customHeight="1">
      <c r="B17" s="204"/>
      <c r="C17" s="204"/>
      <c r="F17" s="204"/>
      <c r="G17" s="206"/>
    </row>
    <row r="18" spans="2:11" ht="30">
      <c r="B18" s="204"/>
      <c r="C18" s="204"/>
      <c r="F18" s="204"/>
      <c r="G18" s="188"/>
      <c r="H18" s="1"/>
      <c r="I18" s="175" t="s">
        <v>357</v>
      </c>
      <c r="J18" s="177"/>
      <c r="K18" s="175" t="s">
        <v>358</v>
      </c>
    </row>
    <row r="19" spans="2:11" ht="23" customHeight="1">
      <c r="B19" s="204"/>
      <c r="C19" s="204"/>
      <c r="F19" s="204"/>
      <c r="G19" s="188"/>
      <c r="H19" s="1"/>
      <c r="I19" s="146"/>
      <c r="J19" s="141"/>
      <c r="K19" s="146"/>
    </row>
    <row r="20" spans="2:11" ht="23" customHeight="1">
      <c r="B20" s="204"/>
      <c r="C20" s="204"/>
      <c r="E20" s="178" t="s">
        <v>187</v>
      </c>
      <c r="F20" s="179" t="str">
        <f>Cuentas!B6</f>
        <v>31XX29</v>
      </c>
      <c r="G20" s="180">
        <f>SUMIF($B$7:$B$532,F20,$G$7:$G$532)</f>
        <v>0</v>
      </c>
      <c r="H20" s="181"/>
      <c r="I20" s="180">
        <f t="shared" ref="I20:I40" si="2">SUMIF($B$7:$B$532,F20,$I$7:$I$532)</f>
        <v>0</v>
      </c>
      <c r="J20" s="200"/>
      <c r="K20" s="180">
        <f t="shared" ref="K20:K40" si="3">SUMIF($B$7:$B$532,F20,$K$7:$K$532)</f>
        <v>0</v>
      </c>
    </row>
    <row r="21" spans="2:11" ht="23" customHeight="1">
      <c r="B21" s="204"/>
      <c r="C21" s="204"/>
      <c r="E21" s="178" t="s">
        <v>187</v>
      </c>
      <c r="F21" s="179" t="str">
        <f>Cuentas!B7</f>
        <v>11XX300</v>
      </c>
      <c r="G21" s="180">
        <f t="shared" ref="G21:G40" si="4">SUMIF($B$7:$B$532,F21,$G$7:$G$532)</f>
        <v>0</v>
      </c>
      <c r="H21" s="181"/>
      <c r="I21" s="180">
        <f t="shared" si="2"/>
        <v>0</v>
      </c>
      <c r="J21" s="200"/>
      <c r="K21" s="180">
        <f t="shared" si="3"/>
        <v>0</v>
      </c>
    </row>
    <row r="22" spans="2:11" ht="23" customHeight="1">
      <c r="B22" s="204"/>
      <c r="C22" s="204"/>
      <c r="E22" s="178" t="s">
        <v>187</v>
      </c>
      <c r="F22" s="179" t="str">
        <f>Cuentas!B8</f>
        <v>1XXX100</v>
      </c>
      <c r="G22" s="180">
        <f t="shared" si="4"/>
        <v>0</v>
      </c>
      <c r="H22" s="181"/>
      <c r="I22" s="180">
        <f t="shared" si="2"/>
        <v>0</v>
      </c>
      <c r="J22" s="200"/>
      <c r="K22" s="180">
        <f t="shared" si="3"/>
        <v>0</v>
      </c>
    </row>
    <row r="23" spans="2:11" ht="23" customHeight="1">
      <c r="B23" s="204"/>
      <c r="C23" s="204"/>
      <c r="E23" s="178" t="s">
        <v>187</v>
      </c>
      <c r="F23" s="179" t="str">
        <f>Cuentas!B9</f>
        <v>B467XXX05</v>
      </c>
      <c r="G23" s="180">
        <f t="shared" si="4"/>
        <v>0</v>
      </c>
      <c r="H23" s="181"/>
      <c r="I23" s="180">
        <f t="shared" si="2"/>
        <v>0</v>
      </c>
      <c r="J23" s="200"/>
      <c r="K23" s="180">
        <f t="shared" si="3"/>
        <v>0</v>
      </c>
    </row>
    <row r="24" spans="2:11" ht="23" customHeight="1">
      <c r="B24" s="204"/>
      <c r="C24" s="204"/>
      <c r="E24" s="178" t="s">
        <v>187</v>
      </c>
      <c r="F24" s="179" t="str">
        <f>Cuentas!B10</f>
        <v>677-0XXX52-670</v>
      </c>
      <c r="G24" s="180">
        <f t="shared" si="4"/>
        <v>0</v>
      </c>
      <c r="H24" s="181"/>
      <c r="I24" s="180">
        <f t="shared" si="2"/>
        <v>0</v>
      </c>
      <c r="J24" s="200"/>
      <c r="K24" s="180">
        <f t="shared" si="3"/>
        <v>0</v>
      </c>
    </row>
    <row r="25" spans="2:11" ht="23" customHeight="1">
      <c r="B25" s="204"/>
      <c r="C25" s="204"/>
      <c r="E25" s="178" t="s">
        <v>187</v>
      </c>
      <c r="F25" s="179" t="str">
        <f>Cuentas!B11</f>
        <v>677-0XXX53-471</v>
      </c>
      <c r="G25" s="180">
        <f t="shared" si="4"/>
        <v>0</v>
      </c>
      <c r="H25" s="181"/>
      <c r="I25" s="180">
        <f t="shared" si="2"/>
        <v>0</v>
      </c>
      <c r="J25" s="200"/>
      <c r="K25" s="180">
        <f t="shared" si="3"/>
        <v>0</v>
      </c>
    </row>
    <row r="26" spans="2:11" ht="23" customHeight="1">
      <c r="B26" s="204"/>
      <c r="C26" s="204"/>
      <c r="E26" s="178" t="s">
        <v>187</v>
      </c>
      <c r="F26" s="179" t="str">
        <f>Cuentas!B12</f>
        <v>4H 0XXX0 RB</v>
      </c>
      <c r="G26" s="180">
        <f t="shared" si="4"/>
        <v>0</v>
      </c>
      <c r="H26" s="181"/>
      <c r="I26" s="180">
        <f t="shared" si="2"/>
        <v>0</v>
      </c>
      <c r="J26" s="200"/>
      <c r="K26" s="180">
        <f t="shared" si="3"/>
        <v>0</v>
      </c>
    </row>
    <row r="27" spans="2:11" ht="23" customHeight="1">
      <c r="B27" s="204"/>
      <c r="C27" s="204"/>
      <c r="E27" s="178" t="s">
        <v>187</v>
      </c>
      <c r="F27" s="179" t="str">
        <f>Cuentas!B13</f>
        <v>H</v>
      </c>
      <c r="G27" s="180">
        <f t="shared" si="4"/>
        <v>0</v>
      </c>
      <c r="H27" s="181"/>
      <c r="I27" s="180">
        <f t="shared" si="2"/>
        <v>0</v>
      </c>
      <c r="J27" s="200"/>
      <c r="K27" s="180">
        <f t="shared" si="3"/>
        <v>0</v>
      </c>
    </row>
    <row r="28" spans="2:11" ht="23" customHeight="1">
      <c r="B28" s="204"/>
      <c r="C28" s="204"/>
      <c r="E28" s="178" t="s">
        <v>187</v>
      </c>
      <c r="F28" s="179" t="str">
        <f>Cuentas!B14</f>
        <v>I</v>
      </c>
      <c r="G28" s="180">
        <f t="shared" si="4"/>
        <v>0</v>
      </c>
      <c r="H28" s="181"/>
      <c r="I28" s="180">
        <f t="shared" si="2"/>
        <v>0</v>
      </c>
      <c r="J28" s="200"/>
      <c r="K28" s="180">
        <f t="shared" si="3"/>
        <v>0</v>
      </c>
    </row>
    <row r="29" spans="2:11" ht="23" customHeight="1">
      <c r="B29" s="204"/>
      <c r="C29" s="204"/>
      <c r="E29" s="178" t="s">
        <v>187</v>
      </c>
      <c r="F29" s="179" t="str">
        <f>Cuentas!B15</f>
        <v>J</v>
      </c>
      <c r="G29" s="180">
        <f t="shared" si="4"/>
        <v>0</v>
      </c>
      <c r="H29" s="181"/>
      <c r="I29" s="180">
        <f t="shared" si="2"/>
        <v>0</v>
      </c>
      <c r="J29" s="200"/>
      <c r="K29" s="180">
        <f t="shared" si="3"/>
        <v>0</v>
      </c>
    </row>
    <row r="30" spans="2:11" ht="23" customHeight="1">
      <c r="B30" s="204"/>
      <c r="C30" s="204"/>
      <c r="E30" s="178" t="s">
        <v>187</v>
      </c>
      <c r="F30" s="179" t="str">
        <f>Cuentas!B16</f>
        <v>K</v>
      </c>
      <c r="G30" s="180">
        <f t="shared" si="4"/>
        <v>0</v>
      </c>
      <c r="H30" s="181"/>
      <c r="I30" s="180">
        <f t="shared" si="2"/>
        <v>0</v>
      </c>
      <c r="J30" s="200"/>
      <c r="K30" s="180">
        <f t="shared" si="3"/>
        <v>0</v>
      </c>
    </row>
    <row r="31" spans="2:11" ht="23" customHeight="1">
      <c r="B31" s="204"/>
      <c r="C31" s="204"/>
      <c r="E31" s="178" t="s">
        <v>187</v>
      </c>
      <c r="F31" s="179" t="str">
        <f>Cuentas!B17</f>
        <v>L</v>
      </c>
      <c r="G31" s="180">
        <f t="shared" si="4"/>
        <v>0</v>
      </c>
      <c r="H31" s="181"/>
      <c r="I31" s="180">
        <f t="shared" si="2"/>
        <v>0</v>
      </c>
      <c r="J31" s="200"/>
      <c r="K31" s="180">
        <f t="shared" si="3"/>
        <v>0</v>
      </c>
    </row>
    <row r="32" spans="2:11" ht="23" customHeight="1">
      <c r="B32" s="204"/>
      <c r="C32" s="204"/>
      <c r="E32" s="178" t="s">
        <v>187</v>
      </c>
      <c r="F32" s="179" t="str">
        <f>Cuentas!B18</f>
        <v>M</v>
      </c>
      <c r="G32" s="180">
        <f t="shared" si="4"/>
        <v>0</v>
      </c>
      <c r="H32" s="181"/>
      <c r="I32" s="180">
        <f t="shared" si="2"/>
        <v>0</v>
      </c>
      <c r="J32" s="200"/>
      <c r="K32" s="180">
        <f t="shared" si="3"/>
        <v>0</v>
      </c>
    </row>
    <row r="33" spans="2:11" ht="23" customHeight="1">
      <c r="B33" s="204"/>
      <c r="C33" s="204"/>
      <c r="E33" s="178" t="s">
        <v>187</v>
      </c>
      <c r="F33" s="179" t="str">
        <f>Cuentas!B19</f>
        <v>N</v>
      </c>
      <c r="G33" s="180">
        <f t="shared" si="4"/>
        <v>0</v>
      </c>
      <c r="H33" s="181"/>
      <c r="I33" s="180">
        <f t="shared" si="2"/>
        <v>0</v>
      </c>
      <c r="J33" s="200"/>
      <c r="K33" s="180">
        <f t="shared" si="3"/>
        <v>0</v>
      </c>
    </row>
    <row r="34" spans="2:11" ht="23" customHeight="1">
      <c r="B34" s="204"/>
      <c r="C34" s="204"/>
      <c r="E34" s="178" t="s">
        <v>187</v>
      </c>
      <c r="F34" s="179" t="str">
        <f>Cuentas!B20</f>
        <v>O</v>
      </c>
      <c r="G34" s="180">
        <f t="shared" si="4"/>
        <v>0</v>
      </c>
      <c r="H34" s="181"/>
      <c r="I34" s="180">
        <f t="shared" si="2"/>
        <v>0</v>
      </c>
      <c r="J34" s="200"/>
      <c r="K34" s="180">
        <f t="shared" si="3"/>
        <v>0</v>
      </c>
    </row>
    <row r="35" spans="2:11" ht="23" customHeight="1">
      <c r="B35" s="204"/>
      <c r="C35" s="204"/>
      <c r="E35" s="178" t="s">
        <v>187</v>
      </c>
      <c r="F35" s="179" t="str">
        <f>Cuentas!B21</f>
        <v>P</v>
      </c>
      <c r="G35" s="180">
        <f t="shared" si="4"/>
        <v>0</v>
      </c>
      <c r="H35" s="181"/>
      <c r="I35" s="180">
        <f t="shared" si="2"/>
        <v>0</v>
      </c>
      <c r="J35" s="200"/>
      <c r="K35" s="180">
        <f t="shared" si="3"/>
        <v>0</v>
      </c>
    </row>
    <row r="36" spans="2:11" ht="23" customHeight="1">
      <c r="B36" s="204"/>
      <c r="C36" s="204"/>
      <c r="E36" s="178" t="s">
        <v>187</v>
      </c>
      <c r="F36" s="179" t="str">
        <f>Cuentas!B22</f>
        <v>Q</v>
      </c>
      <c r="G36" s="180">
        <f t="shared" si="4"/>
        <v>0</v>
      </c>
      <c r="H36" s="181"/>
      <c r="I36" s="180">
        <f t="shared" si="2"/>
        <v>0</v>
      </c>
      <c r="J36" s="200"/>
      <c r="K36" s="180">
        <f t="shared" si="3"/>
        <v>0</v>
      </c>
    </row>
    <row r="37" spans="2:11" ht="23" customHeight="1">
      <c r="B37" s="204"/>
      <c r="C37" s="204"/>
      <c r="E37" s="178" t="s">
        <v>187</v>
      </c>
      <c r="F37" s="179" t="str">
        <f>Cuentas!B23</f>
        <v>R</v>
      </c>
      <c r="G37" s="180">
        <f t="shared" si="4"/>
        <v>0</v>
      </c>
      <c r="H37" s="181"/>
      <c r="I37" s="180">
        <f t="shared" si="2"/>
        <v>0</v>
      </c>
      <c r="J37" s="200"/>
      <c r="K37" s="180">
        <f t="shared" si="3"/>
        <v>0</v>
      </c>
    </row>
    <row r="38" spans="2:11" ht="23" customHeight="1">
      <c r="B38" s="204"/>
      <c r="C38" s="204"/>
      <c r="E38" s="178" t="s">
        <v>187</v>
      </c>
      <c r="F38" s="179" t="str">
        <f>Cuentas!B24</f>
        <v>S</v>
      </c>
      <c r="G38" s="180">
        <f t="shared" si="4"/>
        <v>0</v>
      </c>
      <c r="H38" s="181"/>
      <c r="I38" s="180">
        <f t="shared" si="2"/>
        <v>0</v>
      </c>
      <c r="J38" s="200"/>
      <c r="K38" s="180">
        <f t="shared" si="3"/>
        <v>0</v>
      </c>
    </row>
    <row r="39" spans="2:11" ht="23" customHeight="1">
      <c r="B39" s="204"/>
      <c r="C39" s="204"/>
      <c r="E39" s="178" t="s">
        <v>187</v>
      </c>
      <c r="F39" s="179" t="str">
        <f>Cuentas!B25</f>
        <v>T</v>
      </c>
      <c r="G39" s="180">
        <f t="shared" si="4"/>
        <v>0</v>
      </c>
      <c r="H39" s="181"/>
      <c r="I39" s="180">
        <f t="shared" si="2"/>
        <v>0</v>
      </c>
      <c r="J39" s="200"/>
      <c r="K39" s="180">
        <f t="shared" si="3"/>
        <v>0</v>
      </c>
    </row>
    <row r="40" spans="2:11" ht="23" customHeight="1">
      <c r="B40" s="204"/>
      <c r="C40" s="204"/>
      <c r="E40" s="178" t="s">
        <v>187</v>
      </c>
      <c r="F40" s="179" t="str">
        <f>Cuentas!B26</f>
        <v>U</v>
      </c>
      <c r="G40" s="180">
        <f t="shared" si="4"/>
        <v>0</v>
      </c>
      <c r="H40" s="181"/>
      <c r="I40" s="180">
        <f t="shared" si="2"/>
        <v>0</v>
      </c>
      <c r="J40" s="200"/>
      <c r="K40" s="180">
        <f t="shared" si="3"/>
        <v>0</v>
      </c>
    </row>
    <row r="41" spans="2:11" ht="23" customHeight="1">
      <c r="B41" s="204"/>
      <c r="C41" s="204"/>
      <c r="G41" s="41"/>
      <c r="H41" s="1"/>
      <c r="I41" s="148"/>
      <c r="J41" s="1"/>
      <c r="K41" s="148"/>
    </row>
    <row r="42" spans="2:11" ht="23" customHeight="1">
      <c r="B42" s="204"/>
      <c r="C42" s="204"/>
      <c r="E42" s="184"/>
      <c r="F42" s="119" t="s">
        <v>369</v>
      </c>
      <c r="G42" s="232">
        <f>SUM(G19:G41)</f>
        <v>0</v>
      </c>
      <c r="H42" s="184"/>
      <c r="I42" s="232">
        <f>SUM(I19:I41)</f>
        <v>0</v>
      </c>
      <c r="J42" s="233"/>
      <c r="K42" s="232">
        <f>SUM(K19:K41)</f>
        <v>0</v>
      </c>
    </row>
    <row r="46" spans="2:11" ht="23" customHeight="1">
      <c r="B46" s="212" t="s">
        <v>232</v>
      </c>
      <c r="C46" s="212"/>
    </row>
  </sheetData>
  <sheetProtection algorithmName="SHA-512" hashValue="rcdj+Y4kNnB21h+iwBlm3sTQDrfDiGJ75fDq2LjyNfrwGyyHjBDXbC/HFUiB9LwmcASsrIkGtDtyCleChi09DA==" saltValue="rzBWFE+G5XDm6q9jzcOjoQ==" spinCount="100000" sheet="1" formatCells="0" formatColumns="0" formatRows="0" insertColumns="0" insertRows="0" deleteColumns="0" deleteRows="0"/>
  <autoFilter ref="B6:K13" xr:uid="{858EC88D-96B8-E842-8F0B-0D4CE5DF6EB3}"/>
  <mergeCells count="2">
    <mergeCell ref="B2:K2"/>
    <mergeCell ref="B3:K3"/>
  </mergeCells>
  <phoneticPr fontId="8" type="noConversion"/>
  <dataValidations disablePrompts="1" count="1">
    <dataValidation type="list" allowBlank="1" showInputMessage="1" showErrorMessage="1" sqref="C8:C13" xr:uid="{D24E8E9D-AF18-9542-A3C9-AAB9AFD55598}">
      <formula1>Otros_Ingresos</formula1>
    </dataValidation>
  </dataValidations>
  <printOptions horizontalCentered="1"/>
  <pageMargins left="0.70000000000000007" right="0.70000000000000007" top="0.75000000000000011" bottom="0.75000000000000011" header="0.30000000000000004" footer="0.30000000000000004"/>
  <pageSetup scale="49" fitToHeight="3" orientation="landscape" horizontalDpi="1200" verticalDpi="1200"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promptTitle="OJO:" prompt="Selecciona una moneda" xr:uid="{5033CFDF-CC54-C04B-962F-7B4931411A1F}">
          <x14:formula1>
            <xm:f>Equivalencia!$A$4:$A$23</xm:f>
          </x14:formula1>
          <xm:sqref>F8:F13</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B2:R60"/>
  <sheetViews>
    <sheetView view="pageBreakPreview" zoomScale="50" zoomScaleNormal="90" zoomScaleSheetLayoutView="50" workbookViewId="0">
      <pane ySplit="6" topLeftCell="A7" activePane="bottomLeft" state="frozen"/>
      <selection pane="bottomLeft" activeCell="A12" sqref="A12:XFD28"/>
    </sheetView>
  </sheetViews>
  <sheetFormatPr baseColWidth="10" defaultColWidth="11.5" defaultRowHeight="23" customHeight="1"/>
  <cols>
    <col min="1" max="1" width="11.5" style="1"/>
    <col min="2" max="2" width="28.33203125" style="1" customWidth="1"/>
    <col min="3" max="3" width="10.5" style="1" customWidth="1"/>
    <col min="4" max="4" width="45.6640625" style="1" customWidth="1"/>
    <col min="5" max="5" width="18.5" style="1" customWidth="1"/>
    <col min="6" max="6" width="21.33203125" style="1" customWidth="1"/>
    <col min="7" max="7" width="14.6640625" style="1" customWidth="1"/>
    <col min="8" max="8" width="21.1640625" style="1" customWidth="1"/>
    <col min="9" max="9" width="20.6640625" style="1" customWidth="1"/>
    <col min="10" max="10" width="3.83203125" style="1" customWidth="1"/>
    <col min="11" max="11" width="17.83203125" style="1" customWidth="1"/>
    <col min="12" max="12" width="3.5" style="1" customWidth="1"/>
    <col min="13" max="14" width="20.83203125" style="1" customWidth="1"/>
    <col min="15" max="15" width="16.33203125" style="1" customWidth="1"/>
    <col min="16" max="17" width="20.83203125" style="1" customWidth="1"/>
    <col min="18" max="18" width="2.1640625" style="1" customWidth="1"/>
    <col min="19" max="16384" width="11.5" style="1"/>
  </cols>
  <sheetData>
    <row r="2" spans="2:18" ht="23" customHeight="1">
      <c r="B2" s="735" t="s">
        <v>645</v>
      </c>
      <c r="C2" s="735"/>
      <c r="D2" s="735"/>
      <c r="E2" s="735"/>
      <c r="F2" s="735"/>
      <c r="G2" s="735"/>
      <c r="H2" s="735"/>
      <c r="I2" s="735"/>
      <c r="J2" s="735"/>
      <c r="K2" s="735"/>
      <c r="L2" s="735"/>
      <c r="M2" s="735"/>
      <c r="N2" s="735"/>
      <c r="O2" s="735"/>
      <c r="P2" s="735"/>
      <c r="Q2" s="735"/>
      <c r="R2" s="735"/>
    </row>
    <row r="3" spans="2:18" ht="23" customHeight="1">
      <c r="B3" s="736" t="s">
        <v>653</v>
      </c>
      <c r="C3" s="736"/>
      <c r="D3" s="736"/>
      <c r="E3" s="736"/>
      <c r="F3" s="736"/>
      <c r="G3" s="736"/>
      <c r="H3" s="736"/>
      <c r="I3" s="736"/>
      <c r="J3" s="736"/>
      <c r="K3" s="736"/>
      <c r="L3" s="736"/>
      <c r="M3" s="736"/>
      <c r="N3" s="736"/>
      <c r="O3" s="736"/>
      <c r="P3" s="736"/>
      <c r="Q3" s="736"/>
      <c r="R3" s="736"/>
    </row>
    <row r="4" spans="2:18" ht="14" customHeight="1">
      <c r="B4" s="24" t="s">
        <v>446</v>
      </c>
      <c r="C4" s="24" t="s">
        <v>679</v>
      </c>
      <c r="D4" s="24"/>
      <c r="E4" s="24"/>
      <c r="F4" s="24"/>
      <c r="G4" s="24"/>
      <c r="H4" s="24"/>
      <c r="I4" s="24"/>
      <c r="J4" s="24"/>
      <c r="K4" s="24"/>
      <c r="L4" s="24"/>
      <c r="M4" s="24"/>
      <c r="N4" s="24"/>
      <c r="O4" s="24"/>
      <c r="P4" s="24"/>
      <c r="Q4" s="24"/>
      <c r="R4" s="60"/>
    </row>
    <row r="5" spans="2:18" ht="23" customHeight="1">
      <c r="B5" s="116"/>
      <c r="C5" s="116"/>
      <c r="D5" s="116"/>
      <c r="E5" s="116"/>
      <c r="F5" s="116"/>
      <c r="G5" s="239"/>
      <c r="H5" s="239"/>
      <c r="I5" s="239"/>
      <c r="J5" s="239"/>
      <c r="K5" s="116"/>
      <c r="L5" s="116"/>
      <c r="M5" s="116"/>
      <c r="N5" s="239"/>
      <c r="O5" s="239"/>
      <c r="P5" s="239"/>
      <c r="Q5" s="239"/>
      <c r="R5" s="4"/>
    </row>
    <row r="6" spans="2:18" s="85" customFormat="1" ht="30">
      <c r="B6" s="153" t="s">
        <v>178</v>
      </c>
      <c r="C6" s="120" t="s">
        <v>54</v>
      </c>
      <c r="D6" s="120" t="s">
        <v>91</v>
      </c>
      <c r="E6" s="120" t="s">
        <v>208</v>
      </c>
      <c r="F6" s="120" t="s">
        <v>170</v>
      </c>
      <c r="G6" s="120" t="s">
        <v>92</v>
      </c>
      <c r="H6" s="120" t="s">
        <v>362</v>
      </c>
      <c r="I6" s="120" t="s">
        <v>363</v>
      </c>
      <c r="J6" s="120"/>
      <c r="K6" s="120" t="s">
        <v>364</v>
      </c>
      <c r="L6" s="120"/>
      <c r="M6" s="120" t="s">
        <v>426</v>
      </c>
      <c r="N6" s="120" t="s">
        <v>373</v>
      </c>
      <c r="O6" s="120" t="s">
        <v>93</v>
      </c>
      <c r="P6" s="120" t="s">
        <v>427</v>
      </c>
      <c r="Q6" s="120" t="s">
        <v>425</v>
      </c>
      <c r="R6" s="120"/>
    </row>
    <row r="7" spans="2:18" ht="23" customHeight="1">
      <c r="B7" s="203"/>
      <c r="C7" s="12"/>
      <c r="D7" s="12"/>
      <c r="E7" s="12"/>
      <c r="F7" s="12"/>
      <c r="G7" s="12"/>
      <c r="H7" s="12"/>
      <c r="I7" s="12"/>
      <c r="J7" s="12"/>
      <c r="K7" s="12"/>
      <c r="L7" s="12"/>
      <c r="M7" s="12"/>
      <c r="N7" s="12"/>
      <c r="O7" s="12"/>
      <c r="P7" s="12"/>
      <c r="Q7" s="12"/>
      <c r="R7" s="12"/>
    </row>
    <row r="8" spans="2:18" s="134" customFormat="1" ht="23" customHeight="1">
      <c r="B8" s="7" t="s">
        <v>1256</v>
      </c>
      <c r="C8" s="159">
        <v>44623</v>
      </c>
      <c r="D8" s="249" t="s">
        <v>816</v>
      </c>
      <c r="E8" s="252" t="s">
        <v>59</v>
      </c>
      <c r="F8" s="250">
        <v>102937.5</v>
      </c>
      <c r="G8" s="7">
        <v>1.4286000000000001</v>
      </c>
      <c r="H8" s="251">
        <f t="shared" ref="H8:H28" si="0">IF(E8="USD",G8*F8,IF(E8="MXN",0,0))</f>
        <v>147056.51250000001</v>
      </c>
      <c r="I8" s="251">
        <f>IF(E8="USD",0,IF(E8="MXN",F8*G8,0))</f>
        <v>0</v>
      </c>
      <c r="J8" s="251"/>
      <c r="K8" s="162">
        <f>IF(C8=0,0,HLOOKUP(YEAR(C8)+(MONTH(C8)/100),TC!$5:$37,DAY(C8)+2,FALSE))</f>
        <v>20.527200000000001</v>
      </c>
      <c r="L8" s="253"/>
      <c r="M8" s="163">
        <f>+IF(E8="USD",H8,IF(E8="MXN",I8/K8,0))</f>
        <v>147056.51250000001</v>
      </c>
      <c r="N8" s="250">
        <f>IF(E8="USD",H8*K8,IF(E8="MXN",I8,0))</f>
        <v>3018658.4433900001</v>
      </c>
      <c r="O8" s="254">
        <v>0.3</v>
      </c>
      <c r="P8" s="255">
        <f>+M8*O8</f>
        <v>44116.953750000001</v>
      </c>
      <c r="Q8" s="255">
        <f>N8*O8</f>
        <v>905597.53301700007</v>
      </c>
      <c r="R8" s="236"/>
    </row>
    <row r="9" spans="2:18" s="134" customFormat="1" ht="23" customHeight="1">
      <c r="B9" s="7" t="s">
        <v>1256</v>
      </c>
      <c r="C9" s="159">
        <v>44735</v>
      </c>
      <c r="D9" s="249" t="s">
        <v>816</v>
      </c>
      <c r="E9" s="252" t="s">
        <v>59</v>
      </c>
      <c r="F9" s="250">
        <v>103095</v>
      </c>
      <c r="G9" s="7">
        <v>1.4286000000000001</v>
      </c>
      <c r="H9" s="251">
        <f t="shared" si="0"/>
        <v>147281.51700000002</v>
      </c>
      <c r="I9" s="251">
        <f t="shared" ref="I9:I28" si="1">IF(E9="USD",0,IF(E9="MXN",F9*G9,0))</f>
        <v>0</v>
      </c>
      <c r="J9" s="251"/>
      <c r="K9" s="162">
        <f>IF(C9=0,0,HLOOKUP(YEAR(C9)+(MONTH(C9)/100),TC!$5:$37,DAY(C9)+2,FALSE))</f>
        <v>20.196300000000001</v>
      </c>
      <c r="L9" s="253"/>
      <c r="M9" s="163">
        <f t="shared" ref="M9:M28" si="2">+IF(E9="USD",H9,IF(E9="MXN",I9/K9,0))</f>
        <v>147281.51700000002</v>
      </c>
      <c r="N9" s="250">
        <f>IF(E9="USD",H9*K9,IF(E9="MXN",I9,0))</f>
        <v>2974541.7017871006</v>
      </c>
      <c r="O9" s="254">
        <v>0.3</v>
      </c>
      <c r="P9" s="255">
        <f>+M9*O9</f>
        <v>44184.455100000006</v>
      </c>
      <c r="Q9" s="255">
        <f t="shared" ref="Q9:Q28" si="3">N9*O9</f>
        <v>892362.51053613017</v>
      </c>
      <c r="R9" s="236"/>
    </row>
    <row r="10" spans="2:18" s="134" customFormat="1" ht="23" customHeight="1">
      <c r="B10" s="7" t="s">
        <v>1256</v>
      </c>
      <c r="C10" s="159">
        <v>44740</v>
      </c>
      <c r="D10" s="249" t="s">
        <v>816</v>
      </c>
      <c r="E10" s="252" t="s">
        <v>59</v>
      </c>
      <c r="F10" s="250">
        <v>4.5</v>
      </c>
      <c r="G10" s="7">
        <v>1.4286000000000001</v>
      </c>
      <c r="H10" s="251">
        <f t="shared" si="0"/>
        <v>6.4287000000000001</v>
      </c>
      <c r="I10" s="251">
        <f t="shared" si="1"/>
        <v>0</v>
      </c>
      <c r="J10" s="251"/>
      <c r="K10" s="162">
        <f>IF(C10=0,0,HLOOKUP(YEAR(C10)+(MONTH(C10)/100),TC!$5:$37,DAY(C10)+2,FALSE))</f>
        <v>19.870699999999999</v>
      </c>
      <c r="L10" s="253"/>
      <c r="M10" s="163">
        <f t="shared" si="2"/>
        <v>6.4287000000000001</v>
      </c>
      <c r="N10" s="250">
        <f t="shared" ref="N10:N27" si="4">IF(E10="USD",H10*K10,IF(E10="MXN",I10,0))</f>
        <v>127.74276909</v>
      </c>
      <c r="O10" s="254">
        <v>0.3</v>
      </c>
      <c r="P10" s="255">
        <f t="shared" ref="P10:P28" si="5">+M10*O10</f>
        <v>1.9286099999999999</v>
      </c>
      <c r="Q10" s="255">
        <f t="shared" si="3"/>
        <v>38.322830726999996</v>
      </c>
      <c r="R10" s="236"/>
    </row>
    <row r="11" spans="2:18" s="134" customFormat="1" ht="23" customHeight="1">
      <c r="B11" s="7" t="s">
        <v>1256</v>
      </c>
      <c r="C11" s="159">
        <v>44812</v>
      </c>
      <c r="D11" s="249" t="s">
        <v>816</v>
      </c>
      <c r="E11" s="252" t="s">
        <v>59</v>
      </c>
      <c r="F11" s="250">
        <v>60142.5</v>
      </c>
      <c r="G11" s="7">
        <v>1.4286000000000001</v>
      </c>
      <c r="H11" s="251">
        <f t="shared" si="0"/>
        <v>85919.575500000006</v>
      </c>
      <c r="I11" s="251">
        <f t="shared" si="1"/>
        <v>0</v>
      </c>
      <c r="J11" s="251"/>
      <c r="K11" s="162">
        <f>IF(C11=0,0,HLOOKUP(YEAR(C11)+(MONTH(C11)/100),TC!$5:$37,DAY(C11)+2,FALSE))</f>
        <v>20.138000000000002</v>
      </c>
      <c r="L11" s="253"/>
      <c r="M11" s="163">
        <f t="shared" si="2"/>
        <v>85919.575500000006</v>
      </c>
      <c r="N11" s="250">
        <f t="shared" si="4"/>
        <v>1730248.4114190002</v>
      </c>
      <c r="O11" s="254">
        <v>0.3</v>
      </c>
      <c r="P11" s="255">
        <f t="shared" si="5"/>
        <v>25775.872650000001</v>
      </c>
      <c r="Q11" s="255">
        <f t="shared" si="3"/>
        <v>519074.52342570003</v>
      </c>
      <c r="R11" s="236"/>
    </row>
    <row r="12" spans="2:18" s="134" customFormat="1" ht="23" hidden="1" customHeight="1">
      <c r="B12" s="7" t="str">
        <f>Cuentas!$B$7</f>
        <v>11XX300</v>
      </c>
      <c r="C12" s="159"/>
      <c r="D12" s="249"/>
      <c r="E12" s="252"/>
      <c r="F12" s="250"/>
      <c r="G12" s="7">
        <v>1.4286000000000001</v>
      </c>
      <c r="H12" s="251">
        <f t="shared" si="0"/>
        <v>0</v>
      </c>
      <c r="I12" s="251">
        <f t="shared" si="1"/>
        <v>0</v>
      </c>
      <c r="J12" s="251"/>
      <c r="K12" s="162">
        <f>IF(C12=0,0,HLOOKUP(YEAR(C12)+(MONTH(C12)/100),TC!$5:$37,DAY(C12)+2,FALSE))</f>
        <v>0</v>
      </c>
      <c r="L12" s="253"/>
      <c r="M12" s="163">
        <f t="shared" si="2"/>
        <v>0</v>
      </c>
      <c r="N12" s="250">
        <f t="shared" si="4"/>
        <v>0</v>
      </c>
      <c r="O12" s="254">
        <v>0.3</v>
      </c>
      <c r="P12" s="255">
        <f t="shared" si="5"/>
        <v>0</v>
      </c>
      <c r="Q12" s="255">
        <f t="shared" si="3"/>
        <v>0</v>
      </c>
      <c r="R12" s="236"/>
    </row>
    <row r="13" spans="2:18" s="134" customFormat="1" ht="23" hidden="1" customHeight="1">
      <c r="B13" s="7" t="str">
        <f>Cuentas!$B$7</f>
        <v>11XX300</v>
      </c>
      <c r="C13" s="159"/>
      <c r="D13" s="249"/>
      <c r="E13" s="252"/>
      <c r="F13" s="250"/>
      <c r="G13" s="7">
        <v>1.4286000000000001</v>
      </c>
      <c r="H13" s="251">
        <f t="shared" si="0"/>
        <v>0</v>
      </c>
      <c r="I13" s="251">
        <f t="shared" si="1"/>
        <v>0</v>
      </c>
      <c r="J13" s="251"/>
      <c r="K13" s="162">
        <f>IF(C13=0,0,HLOOKUP(YEAR(C13)+(MONTH(C13)/100),TC!$5:$37,DAY(C13)+2,FALSE))</f>
        <v>0</v>
      </c>
      <c r="L13" s="253"/>
      <c r="M13" s="163">
        <f t="shared" si="2"/>
        <v>0</v>
      </c>
      <c r="N13" s="250">
        <f t="shared" si="4"/>
        <v>0</v>
      </c>
      <c r="O13" s="254">
        <v>0.3</v>
      </c>
      <c r="P13" s="255">
        <f t="shared" si="5"/>
        <v>0</v>
      </c>
      <c r="Q13" s="255">
        <f t="shared" si="3"/>
        <v>0</v>
      </c>
      <c r="R13" s="236"/>
    </row>
    <row r="14" spans="2:18" s="134" customFormat="1" ht="23" hidden="1" customHeight="1">
      <c r="B14" s="7" t="str">
        <f>Cuentas!$B$8</f>
        <v>1XXX100</v>
      </c>
      <c r="C14" s="159"/>
      <c r="D14" s="249"/>
      <c r="E14" s="252"/>
      <c r="F14" s="250"/>
      <c r="G14" s="7">
        <v>1.4286000000000001</v>
      </c>
      <c r="H14" s="251">
        <f t="shared" si="0"/>
        <v>0</v>
      </c>
      <c r="I14" s="251">
        <f t="shared" si="1"/>
        <v>0</v>
      </c>
      <c r="J14" s="251"/>
      <c r="K14" s="162">
        <f>IF(C14=0,0,HLOOKUP(YEAR(C14)+(MONTH(C14)/100),TC!$5:$37,DAY(C14)+2,FALSE))</f>
        <v>0</v>
      </c>
      <c r="L14" s="253"/>
      <c r="M14" s="163">
        <f t="shared" si="2"/>
        <v>0</v>
      </c>
      <c r="N14" s="250">
        <f t="shared" si="4"/>
        <v>0</v>
      </c>
      <c r="O14" s="254">
        <v>0.3</v>
      </c>
      <c r="P14" s="255">
        <f t="shared" si="5"/>
        <v>0</v>
      </c>
      <c r="Q14" s="255">
        <f t="shared" si="3"/>
        <v>0</v>
      </c>
      <c r="R14" s="236"/>
    </row>
    <row r="15" spans="2:18" s="134" customFormat="1" ht="23" hidden="1" customHeight="1">
      <c r="B15" s="7" t="str">
        <f>Cuentas!$B$8</f>
        <v>1XXX100</v>
      </c>
      <c r="C15" s="159"/>
      <c r="D15" s="249"/>
      <c r="E15" s="252"/>
      <c r="F15" s="250"/>
      <c r="G15" s="7">
        <v>1.4286000000000001</v>
      </c>
      <c r="H15" s="251">
        <f t="shared" si="0"/>
        <v>0</v>
      </c>
      <c r="I15" s="251">
        <f t="shared" si="1"/>
        <v>0</v>
      </c>
      <c r="J15" s="251"/>
      <c r="K15" s="162">
        <f>IF(C15=0,0,HLOOKUP(YEAR(C15)+(MONTH(C15)/100),TC!$5:$37,DAY(C15)+2,FALSE))</f>
        <v>0</v>
      </c>
      <c r="L15" s="253"/>
      <c r="M15" s="163">
        <f t="shared" si="2"/>
        <v>0</v>
      </c>
      <c r="N15" s="250">
        <f t="shared" si="4"/>
        <v>0</v>
      </c>
      <c r="O15" s="254">
        <v>0.3</v>
      </c>
      <c r="P15" s="255">
        <f t="shared" si="5"/>
        <v>0</v>
      </c>
      <c r="Q15" s="255">
        <f t="shared" si="3"/>
        <v>0</v>
      </c>
      <c r="R15" s="236"/>
    </row>
    <row r="16" spans="2:18" s="134" customFormat="1" ht="23" hidden="1" customHeight="1">
      <c r="B16" s="7" t="str">
        <f>Cuentas!$B$8</f>
        <v>1XXX100</v>
      </c>
      <c r="C16" s="159"/>
      <c r="D16" s="249"/>
      <c r="E16" s="252"/>
      <c r="F16" s="250"/>
      <c r="G16" s="7">
        <v>1.4286000000000001</v>
      </c>
      <c r="H16" s="251">
        <f t="shared" si="0"/>
        <v>0</v>
      </c>
      <c r="I16" s="251">
        <f t="shared" si="1"/>
        <v>0</v>
      </c>
      <c r="J16" s="251"/>
      <c r="K16" s="162">
        <f>IF(C16=0,0,HLOOKUP(YEAR(C16)+(MONTH(C16)/100),TC!$5:$37,DAY(C16)+2,FALSE))</f>
        <v>0</v>
      </c>
      <c r="L16" s="253"/>
      <c r="M16" s="163">
        <f t="shared" si="2"/>
        <v>0</v>
      </c>
      <c r="N16" s="250">
        <f t="shared" si="4"/>
        <v>0</v>
      </c>
      <c r="O16" s="254">
        <v>0.3</v>
      </c>
      <c r="P16" s="255">
        <f t="shared" si="5"/>
        <v>0</v>
      </c>
      <c r="Q16" s="255">
        <f t="shared" si="3"/>
        <v>0</v>
      </c>
      <c r="R16" s="236"/>
    </row>
    <row r="17" spans="2:18" s="134" customFormat="1" ht="23" hidden="1" customHeight="1">
      <c r="B17" s="7" t="str">
        <f>Cuentas!$B$9</f>
        <v>B467XXX05</v>
      </c>
      <c r="C17" s="159"/>
      <c r="D17" s="249"/>
      <c r="E17" s="252"/>
      <c r="F17" s="250"/>
      <c r="G17" s="7">
        <v>1.4286000000000001</v>
      </c>
      <c r="H17" s="251">
        <f t="shared" si="0"/>
        <v>0</v>
      </c>
      <c r="I17" s="251">
        <f t="shared" si="1"/>
        <v>0</v>
      </c>
      <c r="J17" s="251"/>
      <c r="K17" s="162">
        <f>IF(C17=0,0,HLOOKUP(YEAR(C17)+(MONTH(C17)/100),TC!$5:$37,DAY(C17)+2,FALSE))</f>
        <v>0</v>
      </c>
      <c r="L17" s="253"/>
      <c r="M17" s="163">
        <f t="shared" si="2"/>
        <v>0</v>
      </c>
      <c r="N17" s="250">
        <f t="shared" si="4"/>
        <v>0</v>
      </c>
      <c r="O17" s="254">
        <v>0.3</v>
      </c>
      <c r="P17" s="255">
        <f t="shared" si="5"/>
        <v>0</v>
      </c>
      <c r="Q17" s="255">
        <f t="shared" si="3"/>
        <v>0</v>
      </c>
      <c r="R17" s="236"/>
    </row>
    <row r="18" spans="2:18" s="134" customFormat="1" ht="23" hidden="1" customHeight="1">
      <c r="B18" s="7" t="str">
        <f>Cuentas!$B$9</f>
        <v>B467XXX05</v>
      </c>
      <c r="C18" s="159"/>
      <c r="D18" s="249"/>
      <c r="E18" s="252"/>
      <c r="F18" s="250"/>
      <c r="G18" s="7">
        <v>1.4286000000000001</v>
      </c>
      <c r="H18" s="251">
        <f t="shared" si="0"/>
        <v>0</v>
      </c>
      <c r="I18" s="251">
        <f t="shared" si="1"/>
        <v>0</v>
      </c>
      <c r="J18" s="251"/>
      <c r="K18" s="162">
        <f>IF(C18=0,0,HLOOKUP(YEAR(C18)+(MONTH(C18)/100),TC!$5:$37,DAY(C18)+2,FALSE))</f>
        <v>0</v>
      </c>
      <c r="L18" s="253"/>
      <c r="M18" s="163">
        <f t="shared" si="2"/>
        <v>0</v>
      </c>
      <c r="N18" s="250">
        <f t="shared" si="4"/>
        <v>0</v>
      </c>
      <c r="O18" s="254">
        <v>0.3</v>
      </c>
      <c r="P18" s="255">
        <f t="shared" si="5"/>
        <v>0</v>
      </c>
      <c r="Q18" s="255">
        <f t="shared" si="3"/>
        <v>0</v>
      </c>
      <c r="R18" s="236"/>
    </row>
    <row r="19" spans="2:18" s="134" customFormat="1" ht="23" hidden="1" customHeight="1">
      <c r="B19" s="7" t="str">
        <f>Cuentas!$B$9</f>
        <v>B467XXX05</v>
      </c>
      <c r="C19" s="159"/>
      <c r="D19" s="249"/>
      <c r="E19" s="252"/>
      <c r="F19" s="250"/>
      <c r="G19" s="7">
        <v>1.4286000000000001</v>
      </c>
      <c r="H19" s="251">
        <f t="shared" si="0"/>
        <v>0</v>
      </c>
      <c r="I19" s="251">
        <f t="shared" si="1"/>
        <v>0</v>
      </c>
      <c r="J19" s="251"/>
      <c r="K19" s="162">
        <f>IF(C19=0,0,HLOOKUP(YEAR(C19)+(MONTH(C19)/100),TC!$5:$37,DAY(C19)+2,FALSE))</f>
        <v>0</v>
      </c>
      <c r="L19" s="253"/>
      <c r="M19" s="163">
        <f t="shared" si="2"/>
        <v>0</v>
      </c>
      <c r="N19" s="250">
        <f t="shared" si="4"/>
        <v>0</v>
      </c>
      <c r="O19" s="254">
        <v>0.3</v>
      </c>
      <c r="P19" s="255">
        <f t="shared" si="5"/>
        <v>0</v>
      </c>
      <c r="Q19" s="255">
        <f t="shared" si="3"/>
        <v>0</v>
      </c>
      <c r="R19" s="236"/>
    </row>
    <row r="20" spans="2:18" s="134" customFormat="1" ht="23" hidden="1" customHeight="1">
      <c r="B20" s="7" t="str">
        <f>Cuentas!$B$10</f>
        <v>677-0XXX52-670</v>
      </c>
      <c r="C20" s="159"/>
      <c r="D20" s="249"/>
      <c r="E20" s="252"/>
      <c r="F20" s="250"/>
      <c r="G20" s="7">
        <v>1.4286000000000001</v>
      </c>
      <c r="H20" s="251">
        <f t="shared" si="0"/>
        <v>0</v>
      </c>
      <c r="I20" s="251">
        <f t="shared" si="1"/>
        <v>0</v>
      </c>
      <c r="J20" s="251"/>
      <c r="K20" s="162">
        <f>IF(C20=0,0,HLOOKUP(YEAR(C20)+(MONTH(C20)/100),TC!$5:$37,DAY(C20)+2,FALSE))</f>
        <v>0</v>
      </c>
      <c r="L20" s="253"/>
      <c r="M20" s="163">
        <f t="shared" si="2"/>
        <v>0</v>
      </c>
      <c r="N20" s="250">
        <f t="shared" si="4"/>
        <v>0</v>
      </c>
      <c r="O20" s="254">
        <v>0.3</v>
      </c>
      <c r="P20" s="255">
        <f t="shared" si="5"/>
        <v>0</v>
      </c>
      <c r="Q20" s="255">
        <f t="shared" si="3"/>
        <v>0</v>
      </c>
      <c r="R20" s="236"/>
    </row>
    <row r="21" spans="2:18" s="134" customFormat="1" ht="23" hidden="1" customHeight="1">
      <c r="B21" s="7" t="str">
        <f>Cuentas!$B$10</f>
        <v>677-0XXX52-670</v>
      </c>
      <c r="C21" s="159"/>
      <c r="D21" s="249"/>
      <c r="E21" s="252"/>
      <c r="F21" s="250"/>
      <c r="G21" s="7">
        <v>1.4286000000000001</v>
      </c>
      <c r="H21" s="251">
        <f t="shared" si="0"/>
        <v>0</v>
      </c>
      <c r="I21" s="251">
        <f t="shared" si="1"/>
        <v>0</v>
      </c>
      <c r="J21" s="251"/>
      <c r="K21" s="162">
        <f>IF(C21=0,0,HLOOKUP(YEAR(C21)+(MONTH(C21)/100),TC!$5:$37,DAY(C21)+2,FALSE))</f>
        <v>0</v>
      </c>
      <c r="L21" s="253"/>
      <c r="M21" s="163">
        <f t="shared" si="2"/>
        <v>0</v>
      </c>
      <c r="N21" s="250">
        <f t="shared" si="4"/>
        <v>0</v>
      </c>
      <c r="O21" s="254">
        <v>0.3</v>
      </c>
      <c r="P21" s="255">
        <f t="shared" si="5"/>
        <v>0</v>
      </c>
      <c r="Q21" s="255">
        <f t="shared" si="3"/>
        <v>0</v>
      </c>
      <c r="R21" s="236"/>
    </row>
    <row r="22" spans="2:18" s="134" customFormat="1" ht="23" hidden="1" customHeight="1">
      <c r="B22" s="7" t="str">
        <f>Cuentas!$B$10</f>
        <v>677-0XXX52-670</v>
      </c>
      <c r="C22" s="159"/>
      <c r="D22" s="249"/>
      <c r="E22" s="252"/>
      <c r="F22" s="250"/>
      <c r="G22" s="7">
        <v>1.4286000000000001</v>
      </c>
      <c r="H22" s="251">
        <f t="shared" si="0"/>
        <v>0</v>
      </c>
      <c r="I22" s="251">
        <f t="shared" si="1"/>
        <v>0</v>
      </c>
      <c r="J22" s="251"/>
      <c r="K22" s="162">
        <f>IF(C22=0,0,HLOOKUP(YEAR(C22)+(MONTH(C22)/100),TC!$5:$37,DAY(C22)+2,FALSE))</f>
        <v>0</v>
      </c>
      <c r="L22" s="253"/>
      <c r="M22" s="163">
        <f t="shared" si="2"/>
        <v>0</v>
      </c>
      <c r="N22" s="250">
        <f t="shared" si="4"/>
        <v>0</v>
      </c>
      <c r="O22" s="254">
        <v>0.3</v>
      </c>
      <c r="P22" s="255">
        <f t="shared" si="5"/>
        <v>0</v>
      </c>
      <c r="Q22" s="255">
        <f t="shared" si="3"/>
        <v>0</v>
      </c>
      <c r="R22" s="236"/>
    </row>
    <row r="23" spans="2:18" s="134" customFormat="1" ht="23" hidden="1" customHeight="1">
      <c r="B23" s="7" t="str">
        <f>Cuentas!$B$11</f>
        <v>677-0XXX53-471</v>
      </c>
      <c r="C23" s="159"/>
      <c r="D23" s="249"/>
      <c r="E23" s="252"/>
      <c r="F23" s="250"/>
      <c r="G23" s="7">
        <v>1.4286000000000001</v>
      </c>
      <c r="H23" s="251">
        <f t="shared" si="0"/>
        <v>0</v>
      </c>
      <c r="I23" s="251">
        <f t="shared" si="1"/>
        <v>0</v>
      </c>
      <c r="J23" s="251"/>
      <c r="K23" s="162">
        <f>IF(C23=0,0,HLOOKUP(YEAR(C23)+(MONTH(C23)/100),TC!$5:$37,DAY(C23)+2,FALSE))</f>
        <v>0</v>
      </c>
      <c r="L23" s="253"/>
      <c r="M23" s="163">
        <f t="shared" si="2"/>
        <v>0</v>
      </c>
      <c r="N23" s="250">
        <f t="shared" si="4"/>
        <v>0</v>
      </c>
      <c r="O23" s="254">
        <v>0.3</v>
      </c>
      <c r="P23" s="255">
        <f t="shared" si="5"/>
        <v>0</v>
      </c>
      <c r="Q23" s="255">
        <f t="shared" si="3"/>
        <v>0</v>
      </c>
      <c r="R23" s="236"/>
    </row>
    <row r="24" spans="2:18" s="134" customFormat="1" ht="23" hidden="1" customHeight="1">
      <c r="B24" s="7" t="str">
        <f>Cuentas!$B$11</f>
        <v>677-0XXX53-471</v>
      </c>
      <c r="C24" s="159"/>
      <c r="D24" s="249"/>
      <c r="E24" s="252"/>
      <c r="F24" s="250"/>
      <c r="G24" s="7">
        <v>1.4286000000000001</v>
      </c>
      <c r="H24" s="251">
        <f t="shared" si="0"/>
        <v>0</v>
      </c>
      <c r="I24" s="251">
        <f t="shared" si="1"/>
        <v>0</v>
      </c>
      <c r="J24" s="251"/>
      <c r="K24" s="162">
        <f>IF(C24=0,0,HLOOKUP(YEAR(C24)+(MONTH(C24)/100),TC!$5:$37,DAY(C24)+2,FALSE))</f>
        <v>0</v>
      </c>
      <c r="L24" s="253"/>
      <c r="M24" s="163">
        <f t="shared" si="2"/>
        <v>0</v>
      </c>
      <c r="N24" s="250">
        <f t="shared" si="4"/>
        <v>0</v>
      </c>
      <c r="O24" s="254">
        <v>0.3</v>
      </c>
      <c r="P24" s="255">
        <f t="shared" si="5"/>
        <v>0</v>
      </c>
      <c r="Q24" s="255">
        <f t="shared" si="3"/>
        <v>0</v>
      </c>
      <c r="R24" s="236"/>
    </row>
    <row r="25" spans="2:18" s="134" customFormat="1" ht="23" hidden="1" customHeight="1">
      <c r="B25" s="7" t="str">
        <f>Cuentas!$B$11</f>
        <v>677-0XXX53-471</v>
      </c>
      <c r="C25" s="159"/>
      <c r="D25" s="249"/>
      <c r="E25" s="252"/>
      <c r="F25" s="250"/>
      <c r="G25" s="7">
        <v>1.4286000000000001</v>
      </c>
      <c r="H25" s="251">
        <f t="shared" si="0"/>
        <v>0</v>
      </c>
      <c r="I25" s="251">
        <f t="shared" si="1"/>
        <v>0</v>
      </c>
      <c r="J25" s="251"/>
      <c r="K25" s="162">
        <f>IF(C25=0,0,HLOOKUP(YEAR(C25)+(MONTH(C25)/100),TC!$5:$37,DAY(C25)+2,FALSE))</f>
        <v>0</v>
      </c>
      <c r="L25" s="253"/>
      <c r="M25" s="163">
        <f t="shared" si="2"/>
        <v>0</v>
      </c>
      <c r="N25" s="250">
        <f t="shared" si="4"/>
        <v>0</v>
      </c>
      <c r="O25" s="254">
        <v>0.3</v>
      </c>
      <c r="P25" s="255">
        <f t="shared" si="5"/>
        <v>0</v>
      </c>
      <c r="Q25" s="255">
        <f t="shared" si="3"/>
        <v>0</v>
      </c>
      <c r="R25" s="236"/>
    </row>
    <row r="26" spans="2:18" s="134" customFormat="1" ht="23" hidden="1" customHeight="1">
      <c r="B26" s="7" t="str">
        <f>Cuentas!$B$12</f>
        <v>4H 0XXX0 RB</v>
      </c>
      <c r="C26" s="159"/>
      <c r="D26" s="249"/>
      <c r="E26" s="252"/>
      <c r="F26" s="250"/>
      <c r="G26" s="7">
        <v>1.4286000000000001</v>
      </c>
      <c r="H26" s="251">
        <f t="shared" si="0"/>
        <v>0</v>
      </c>
      <c r="I26" s="251">
        <f t="shared" si="1"/>
        <v>0</v>
      </c>
      <c r="J26" s="251"/>
      <c r="K26" s="162">
        <f>IF(C26=0,0,HLOOKUP(YEAR(C26)+(MONTH(C26)/100),TC!$5:$37,DAY(C26)+2,FALSE))</f>
        <v>0</v>
      </c>
      <c r="L26" s="253"/>
      <c r="M26" s="163">
        <f t="shared" si="2"/>
        <v>0</v>
      </c>
      <c r="N26" s="250">
        <f t="shared" si="4"/>
        <v>0</v>
      </c>
      <c r="O26" s="254">
        <v>0.3</v>
      </c>
      <c r="P26" s="255">
        <f t="shared" si="5"/>
        <v>0</v>
      </c>
      <c r="Q26" s="255">
        <f t="shared" si="3"/>
        <v>0</v>
      </c>
      <c r="R26" s="236"/>
    </row>
    <row r="27" spans="2:18" s="134" customFormat="1" ht="23" hidden="1" customHeight="1">
      <c r="B27" s="7" t="str">
        <f>Cuentas!$B$12</f>
        <v>4H 0XXX0 RB</v>
      </c>
      <c r="C27" s="159"/>
      <c r="D27" s="249"/>
      <c r="E27" s="252"/>
      <c r="F27" s="250"/>
      <c r="G27" s="7">
        <v>1.4286000000000001</v>
      </c>
      <c r="H27" s="251">
        <f t="shared" si="0"/>
        <v>0</v>
      </c>
      <c r="I27" s="251">
        <f t="shared" si="1"/>
        <v>0</v>
      </c>
      <c r="J27" s="251"/>
      <c r="K27" s="162">
        <f>IF(C27=0,0,HLOOKUP(YEAR(C27)+(MONTH(C27)/100),TC!$5:$37,DAY(C27)+2,FALSE))</f>
        <v>0</v>
      </c>
      <c r="L27" s="253"/>
      <c r="M27" s="163">
        <f t="shared" si="2"/>
        <v>0</v>
      </c>
      <c r="N27" s="250">
        <f t="shared" si="4"/>
        <v>0</v>
      </c>
      <c r="O27" s="254">
        <v>0.3</v>
      </c>
      <c r="P27" s="255">
        <f t="shared" si="5"/>
        <v>0</v>
      </c>
      <c r="Q27" s="255">
        <f t="shared" si="3"/>
        <v>0</v>
      </c>
      <c r="R27" s="236"/>
    </row>
    <row r="28" spans="2:18" s="134" customFormat="1" ht="23" hidden="1" customHeight="1">
      <c r="B28" s="7" t="str">
        <f>Cuentas!$B$12</f>
        <v>4H 0XXX0 RB</v>
      </c>
      <c r="C28" s="159"/>
      <c r="D28" s="249"/>
      <c r="E28" s="252"/>
      <c r="F28" s="250"/>
      <c r="G28" s="7">
        <v>1.4286000000000001</v>
      </c>
      <c r="H28" s="251">
        <f t="shared" si="0"/>
        <v>0</v>
      </c>
      <c r="I28" s="251">
        <f t="shared" si="1"/>
        <v>0</v>
      </c>
      <c r="J28" s="251"/>
      <c r="K28" s="162">
        <f>IF(C28=0,0,HLOOKUP(YEAR(C28)+(MONTH(C28)/100),TC!$5:$37,DAY(C28)+2,FALSE))</f>
        <v>0</v>
      </c>
      <c r="L28" s="253"/>
      <c r="M28" s="163">
        <f t="shared" si="2"/>
        <v>0</v>
      </c>
      <c r="N28" s="250">
        <f>IF(E28="USD",H28*K28,IF(E28="MXN",I28,0))</f>
        <v>0</v>
      </c>
      <c r="O28" s="254">
        <v>0.3</v>
      </c>
      <c r="P28" s="255">
        <f t="shared" si="5"/>
        <v>0</v>
      </c>
      <c r="Q28" s="255">
        <f t="shared" si="3"/>
        <v>0</v>
      </c>
      <c r="R28" s="236"/>
    </row>
    <row r="29" spans="2:18" s="134" customFormat="1" ht="23" customHeight="1">
      <c r="B29" s="76"/>
      <c r="C29" s="145"/>
      <c r="D29" s="45"/>
      <c r="E29" s="234"/>
      <c r="F29" s="144"/>
      <c r="G29" s="76"/>
      <c r="H29" s="235"/>
      <c r="I29" s="235"/>
      <c r="J29" s="235"/>
      <c r="K29" s="143"/>
      <c r="L29" s="143"/>
      <c r="M29" s="143"/>
      <c r="N29" s="144"/>
      <c r="O29" s="236"/>
      <c r="P29" s="236"/>
      <c r="Q29" s="237"/>
      <c r="R29" s="236"/>
    </row>
    <row r="30" spans="2:18" ht="23" customHeight="1">
      <c r="B30" s="164" t="s">
        <v>370</v>
      </c>
      <c r="C30" s="240"/>
      <c r="D30" s="231"/>
      <c r="E30" s="230"/>
      <c r="F30" s="241">
        <f>SUM(F7:F29)</f>
        <v>266179.5</v>
      </c>
      <c r="G30" s="168"/>
      <c r="H30" s="241">
        <f>SUM(H7:H29)</f>
        <v>380264.03370000003</v>
      </c>
      <c r="I30" s="241">
        <f>SUM(I7:I29)</f>
        <v>0</v>
      </c>
      <c r="J30" s="241"/>
      <c r="K30" s="231"/>
      <c r="L30" s="231"/>
      <c r="M30" s="241">
        <f>SUM(M7:M29)</f>
        <v>380264.03370000003</v>
      </c>
      <c r="N30" s="241">
        <f>SUM(N7:N29)</f>
        <v>7723576.2993651917</v>
      </c>
      <c r="O30" s="168"/>
      <c r="P30" s="241">
        <f>SUM(P7:P29)</f>
        <v>114079.21011000001</v>
      </c>
      <c r="Q30" s="241">
        <f>SUM(Q7:Q29)</f>
        <v>2317072.8898095572</v>
      </c>
      <c r="R30" s="140"/>
    </row>
    <row r="33" spans="3:17" s="85" customFormat="1" ht="45">
      <c r="F33" s="120" t="s">
        <v>359</v>
      </c>
      <c r="H33" s="120" t="s">
        <v>360</v>
      </c>
      <c r="I33" s="120" t="s">
        <v>361</v>
      </c>
      <c r="M33" s="120" t="s">
        <v>360</v>
      </c>
      <c r="N33" s="120" t="s">
        <v>361</v>
      </c>
      <c r="P33" s="120" t="s">
        <v>429</v>
      </c>
      <c r="Q33" s="120" t="s">
        <v>428</v>
      </c>
    </row>
    <row r="35" spans="3:17" ht="23" customHeight="1">
      <c r="C35" s="200"/>
      <c r="D35" s="245" t="s">
        <v>371</v>
      </c>
      <c r="E35" s="179" t="str">
        <f>Cuentas!B6</f>
        <v>31XX29</v>
      </c>
      <c r="F35" s="246">
        <f>+SUMIF($B$7:$B$701,E35,$F$7:$F$701)</f>
        <v>0</v>
      </c>
      <c r="G35" s="200"/>
      <c r="H35" s="246">
        <f>+SUMIF($B$7:$B$701,E35,$H$7:$H$701)</f>
        <v>0</v>
      </c>
      <c r="I35" s="246">
        <f>+SUMIF($B$7:$B$701,E35,$I$7:$I$701)</f>
        <v>0</v>
      </c>
      <c r="J35" s="200"/>
      <c r="K35" s="200"/>
      <c r="L35" s="200"/>
      <c r="M35" s="246">
        <f>+SUMIF($B$7:$B$701,E35,$M$7:$M$701)</f>
        <v>0</v>
      </c>
      <c r="N35" s="246">
        <f>+SUMIF($B$7:$B$701,E35,$N$7:$N$701)</f>
        <v>0</v>
      </c>
      <c r="O35" s="200"/>
      <c r="P35" s="246">
        <f>+SUMIF($B$7:$B$701,E35,$P$7:$P$701)</f>
        <v>0</v>
      </c>
      <c r="Q35" s="246">
        <f>+SUMIF($B$7:$B$701,E35,$Q$7:$Q$701)</f>
        <v>0</v>
      </c>
    </row>
    <row r="36" spans="3:17" ht="23" customHeight="1">
      <c r="C36" s="200"/>
      <c r="D36" s="245" t="s">
        <v>371</v>
      </c>
      <c r="E36" s="179" t="str">
        <f>Cuentas!B7</f>
        <v>11XX300</v>
      </c>
      <c r="F36" s="246">
        <f t="shared" ref="F36:F55" si="6">+SUMIF($B$7:$B$701,E36,$F$7:$F$701)</f>
        <v>0</v>
      </c>
      <c r="G36" s="200"/>
      <c r="H36" s="246">
        <f t="shared" ref="H36:H55" si="7">+SUMIF($B$7:$B$701,E36,$H$7:$H$701)</f>
        <v>0</v>
      </c>
      <c r="I36" s="246">
        <f t="shared" ref="I36:I55" si="8">+SUMIF($B$7:$B$701,E36,$I$7:$I$701)</f>
        <v>0</v>
      </c>
      <c r="J36" s="200"/>
      <c r="K36" s="200"/>
      <c r="L36" s="200"/>
      <c r="M36" s="246">
        <f t="shared" ref="M36:M55" si="9">+SUMIF($B$7:$B$701,E36,$M$7:$M$701)</f>
        <v>0</v>
      </c>
      <c r="N36" s="246">
        <f t="shared" ref="N36:N55" si="10">+SUMIF($B$7:$B$701,E36,$N$7:$N$701)</f>
        <v>0</v>
      </c>
      <c r="O36" s="200"/>
      <c r="P36" s="246">
        <f t="shared" ref="P36:P55" si="11">+SUMIF($B$7:$B$701,E36,$P$7:$P$701)</f>
        <v>0</v>
      </c>
      <c r="Q36" s="246">
        <f t="shared" ref="Q36:Q55" si="12">+SUMIF($B$7:$B$701,E36,$Q$7:$Q$701)</f>
        <v>0</v>
      </c>
    </row>
    <row r="37" spans="3:17" ht="23" customHeight="1">
      <c r="C37" s="200"/>
      <c r="D37" s="245" t="s">
        <v>371</v>
      </c>
      <c r="E37" s="179" t="str">
        <f>Cuentas!B8</f>
        <v>1XXX100</v>
      </c>
      <c r="F37" s="246">
        <f t="shared" si="6"/>
        <v>0</v>
      </c>
      <c r="G37" s="200"/>
      <c r="H37" s="246">
        <f t="shared" si="7"/>
        <v>0</v>
      </c>
      <c r="I37" s="246">
        <f t="shared" si="8"/>
        <v>0</v>
      </c>
      <c r="J37" s="200"/>
      <c r="K37" s="200"/>
      <c r="L37" s="200"/>
      <c r="M37" s="246">
        <f t="shared" si="9"/>
        <v>0</v>
      </c>
      <c r="N37" s="246">
        <f t="shared" si="10"/>
        <v>0</v>
      </c>
      <c r="O37" s="200"/>
      <c r="P37" s="246">
        <f t="shared" si="11"/>
        <v>0</v>
      </c>
      <c r="Q37" s="246">
        <f t="shared" si="12"/>
        <v>0</v>
      </c>
    </row>
    <row r="38" spans="3:17" ht="23" customHeight="1">
      <c r="C38" s="200"/>
      <c r="D38" s="245" t="s">
        <v>371</v>
      </c>
      <c r="E38" s="179" t="str">
        <f>Cuentas!B9</f>
        <v>B467XXX05</v>
      </c>
      <c r="F38" s="246">
        <f t="shared" si="6"/>
        <v>266179.5</v>
      </c>
      <c r="G38" s="200"/>
      <c r="H38" s="246">
        <f t="shared" si="7"/>
        <v>380264.03370000003</v>
      </c>
      <c r="I38" s="246">
        <f t="shared" si="8"/>
        <v>0</v>
      </c>
      <c r="J38" s="200"/>
      <c r="K38" s="200"/>
      <c r="L38" s="200"/>
      <c r="M38" s="246">
        <f t="shared" si="9"/>
        <v>380264.03370000003</v>
      </c>
      <c r="N38" s="246">
        <f t="shared" si="10"/>
        <v>7723576.2993651917</v>
      </c>
      <c r="O38" s="200"/>
      <c r="P38" s="246">
        <f t="shared" si="11"/>
        <v>114079.21011000001</v>
      </c>
      <c r="Q38" s="246">
        <f t="shared" si="12"/>
        <v>2317072.8898095572</v>
      </c>
    </row>
    <row r="39" spans="3:17" ht="23" customHeight="1">
      <c r="C39" s="200"/>
      <c r="D39" s="245" t="s">
        <v>371</v>
      </c>
      <c r="E39" s="179" t="str">
        <f>Cuentas!B10</f>
        <v>677-0XXX52-670</v>
      </c>
      <c r="F39" s="246">
        <f t="shared" si="6"/>
        <v>0</v>
      </c>
      <c r="G39" s="200"/>
      <c r="H39" s="246">
        <f t="shared" si="7"/>
        <v>0</v>
      </c>
      <c r="I39" s="246">
        <f t="shared" si="8"/>
        <v>0</v>
      </c>
      <c r="J39" s="200"/>
      <c r="K39" s="200"/>
      <c r="L39" s="200"/>
      <c r="M39" s="246">
        <f t="shared" si="9"/>
        <v>0</v>
      </c>
      <c r="N39" s="246">
        <f t="shared" si="10"/>
        <v>0</v>
      </c>
      <c r="O39" s="200"/>
      <c r="P39" s="246">
        <f t="shared" si="11"/>
        <v>0</v>
      </c>
      <c r="Q39" s="246">
        <f t="shared" si="12"/>
        <v>0</v>
      </c>
    </row>
    <row r="40" spans="3:17" ht="23" customHeight="1">
      <c r="C40" s="200"/>
      <c r="D40" s="245" t="s">
        <v>371</v>
      </c>
      <c r="E40" s="179" t="str">
        <f>Cuentas!B11</f>
        <v>677-0XXX53-471</v>
      </c>
      <c r="F40" s="246">
        <f t="shared" si="6"/>
        <v>0</v>
      </c>
      <c r="G40" s="200"/>
      <c r="H40" s="246">
        <f t="shared" si="7"/>
        <v>0</v>
      </c>
      <c r="I40" s="246">
        <f t="shared" si="8"/>
        <v>0</v>
      </c>
      <c r="J40" s="200"/>
      <c r="K40" s="200"/>
      <c r="L40" s="200"/>
      <c r="M40" s="246">
        <f t="shared" si="9"/>
        <v>0</v>
      </c>
      <c r="N40" s="246">
        <f t="shared" si="10"/>
        <v>0</v>
      </c>
      <c r="O40" s="200"/>
      <c r="P40" s="246">
        <f t="shared" si="11"/>
        <v>0</v>
      </c>
      <c r="Q40" s="246">
        <f t="shared" si="12"/>
        <v>0</v>
      </c>
    </row>
    <row r="41" spans="3:17" ht="23" customHeight="1">
      <c r="C41" s="200"/>
      <c r="D41" s="245" t="s">
        <v>371</v>
      </c>
      <c r="E41" s="179" t="str">
        <f>Cuentas!B12</f>
        <v>4H 0XXX0 RB</v>
      </c>
      <c r="F41" s="246">
        <f t="shared" si="6"/>
        <v>0</v>
      </c>
      <c r="G41" s="200"/>
      <c r="H41" s="246">
        <f t="shared" si="7"/>
        <v>0</v>
      </c>
      <c r="I41" s="246">
        <f t="shared" si="8"/>
        <v>0</v>
      </c>
      <c r="J41" s="200"/>
      <c r="K41" s="200"/>
      <c r="L41" s="200"/>
      <c r="M41" s="246">
        <f t="shared" si="9"/>
        <v>0</v>
      </c>
      <c r="N41" s="246">
        <f t="shared" si="10"/>
        <v>0</v>
      </c>
      <c r="O41" s="200"/>
      <c r="P41" s="246">
        <f t="shared" si="11"/>
        <v>0</v>
      </c>
      <c r="Q41" s="246">
        <f t="shared" si="12"/>
        <v>0</v>
      </c>
    </row>
    <row r="42" spans="3:17" ht="23" hidden="1" customHeight="1">
      <c r="C42" s="200"/>
      <c r="D42" s="245" t="s">
        <v>371</v>
      </c>
      <c r="E42" s="179" t="str">
        <f>Cuentas!B13</f>
        <v>H</v>
      </c>
      <c r="F42" s="246">
        <f t="shared" si="6"/>
        <v>0</v>
      </c>
      <c r="G42" s="200"/>
      <c r="H42" s="246">
        <f t="shared" si="7"/>
        <v>0</v>
      </c>
      <c r="I42" s="246">
        <f t="shared" si="8"/>
        <v>0</v>
      </c>
      <c r="J42" s="200"/>
      <c r="K42" s="200"/>
      <c r="L42" s="200"/>
      <c r="M42" s="246">
        <f t="shared" si="9"/>
        <v>0</v>
      </c>
      <c r="N42" s="246">
        <f t="shared" si="10"/>
        <v>0</v>
      </c>
      <c r="O42" s="200"/>
      <c r="P42" s="246">
        <f t="shared" si="11"/>
        <v>0</v>
      </c>
      <c r="Q42" s="246">
        <f t="shared" si="12"/>
        <v>0</v>
      </c>
    </row>
    <row r="43" spans="3:17" ht="23" hidden="1" customHeight="1">
      <c r="C43" s="200"/>
      <c r="D43" s="245" t="s">
        <v>371</v>
      </c>
      <c r="E43" s="179" t="str">
        <f>Cuentas!B14</f>
        <v>I</v>
      </c>
      <c r="F43" s="246">
        <f t="shared" si="6"/>
        <v>0</v>
      </c>
      <c r="G43" s="200"/>
      <c r="H43" s="246">
        <f t="shared" si="7"/>
        <v>0</v>
      </c>
      <c r="I43" s="246">
        <f t="shared" si="8"/>
        <v>0</v>
      </c>
      <c r="J43" s="200"/>
      <c r="K43" s="200"/>
      <c r="L43" s="200"/>
      <c r="M43" s="246">
        <f t="shared" si="9"/>
        <v>0</v>
      </c>
      <c r="N43" s="246">
        <f t="shared" si="10"/>
        <v>0</v>
      </c>
      <c r="O43" s="200"/>
      <c r="P43" s="246">
        <f t="shared" si="11"/>
        <v>0</v>
      </c>
      <c r="Q43" s="246">
        <f t="shared" si="12"/>
        <v>0</v>
      </c>
    </row>
    <row r="44" spans="3:17" ht="23" hidden="1" customHeight="1">
      <c r="C44" s="200"/>
      <c r="D44" s="245" t="s">
        <v>371</v>
      </c>
      <c r="E44" s="179" t="str">
        <f>Cuentas!B15</f>
        <v>J</v>
      </c>
      <c r="F44" s="246">
        <f t="shared" si="6"/>
        <v>0</v>
      </c>
      <c r="G44" s="200"/>
      <c r="H44" s="246">
        <f t="shared" si="7"/>
        <v>0</v>
      </c>
      <c r="I44" s="246">
        <f t="shared" si="8"/>
        <v>0</v>
      </c>
      <c r="J44" s="200"/>
      <c r="K44" s="200"/>
      <c r="L44" s="200"/>
      <c r="M44" s="246">
        <f t="shared" si="9"/>
        <v>0</v>
      </c>
      <c r="N44" s="246">
        <f t="shared" si="10"/>
        <v>0</v>
      </c>
      <c r="O44" s="200"/>
      <c r="P44" s="246">
        <f t="shared" si="11"/>
        <v>0</v>
      </c>
      <c r="Q44" s="246">
        <f t="shared" si="12"/>
        <v>0</v>
      </c>
    </row>
    <row r="45" spans="3:17" ht="23" hidden="1" customHeight="1">
      <c r="C45" s="200"/>
      <c r="D45" s="245" t="s">
        <v>371</v>
      </c>
      <c r="E45" s="179" t="str">
        <f>Cuentas!B16</f>
        <v>K</v>
      </c>
      <c r="F45" s="246">
        <f t="shared" si="6"/>
        <v>0</v>
      </c>
      <c r="G45" s="200"/>
      <c r="H45" s="246">
        <f t="shared" si="7"/>
        <v>0</v>
      </c>
      <c r="I45" s="246">
        <f t="shared" si="8"/>
        <v>0</v>
      </c>
      <c r="J45" s="200"/>
      <c r="K45" s="200"/>
      <c r="L45" s="200"/>
      <c r="M45" s="246">
        <f t="shared" si="9"/>
        <v>0</v>
      </c>
      <c r="N45" s="246">
        <f t="shared" si="10"/>
        <v>0</v>
      </c>
      <c r="O45" s="200"/>
      <c r="P45" s="246">
        <f t="shared" si="11"/>
        <v>0</v>
      </c>
      <c r="Q45" s="246">
        <f t="shared" si="12"/>
        <v>0</v>
      </c>
    </row>
    <row r="46" spans="3:17" ht="23" hidden="1" customHeight="1">
      <c r="C46" s="200"/>
      <c r="D46" s="245" t="s">
        <v>371</v>
      </c>
      <c r="E46" s="179" t="str">
        <f>Cuentas!B17</f>
        <v>L</v>
      </c>
      <c r="F46" s="246">
        <f t="shared" si="6"/>
        <v>0</v>
      </c>
      <c r="G46" s="200"/>
      <c r="H46" s="246">
        <f t="shared" si="7"/>
        <v>0</v>
      </c>
      <c r="I46" s="246">
        <f t="shared" si="8"/>
        <v>0</v>
      </c>
      <c r="J46" s="200"/>
      <c r="K46" s="200"/>
      <c r="L46" s="200"/>
      <c r="M46" s="246">
        <f t="shared" si="9"/>
        <v>0</v>
      </c>
      <c r="N46" s="246">
        <f t="shared" si="10"/>
        <v>0</v>
      </c>
      <c r="O46" s="200"/>
      <c r="P46" s="246">
        <f t="shared" si="11"/>
        <v>0</v>
      </c>
      <c r="Q46" s="246">
        <f t="shared" si="12"/>
        <v>0</v>
      </c>
    </row>
    <row r="47" spans="3:17" ht="23" hidden="1" customHeight="1">
      <c r="C47" s="200"/>
      <c r="D47" s="245" t="s">
        <v>371</v>
      </c>
      <c r="E47" s="179" t="str">
        <f>Cuentas!B18</f>
        <v>M</v>
      </c>
      <c r="F47" s="246">
        <f t="shared" si="6"/>
        <v>0</v>
      </c>
      <c r="G47" s="200"/>
      <c r="H47" s="246">
        <f t="shared" si="7"/>
        <v>0</v>
      </c>
      <c r="I47" s="246">
        <f t="shared" si="8"/>
        <v>0</v>
      </c>
      <c r="J47" s="200"/>
      <c r="K47" s="200"/>
      <c r="L47" s="200"/>
      <c r="M47" s="246">
        <f t="shared" si="9"/>
        <v>0</v>
      </c>
      <c r="N47" s="246">
        <f t="shared" si="10"/>
        <v>0</v>
      </c>
      <c r="O47" s="200"/>
      <c r="P47" s="246">
        <f t="shared" si="11"/>
        <v>0</v>
      </c>
      <c r="Q47" s="246">
        <f t="shared" si="12"/>
        <v>0</v>
      </c>
    </row>
    <row r="48" spans="3:17" ht="23" hidden="1" customHeight="1">
      <c r="C48" s="200"/>
      <c r="D48" s="245" t="s">
        <v>371</v>
      </c>
      <c r="E48" s="179" t="str">
        <f>Cuentas!B19</f>
        <v>N</v>
      </c>
      <c r="F48" s="246">
        <f t="shared" si="6"/>
        <v>0</v>
      </c>
      <c r="G48" s="200"/>
      <c r="H48" s="246">
        <f t="shared" si="7"/>
        <v>0</v>
      </c>
      <c r="I48" s="246">
        <f t="shared" si="8"/>
        <v>0</v>
      </c>
      <c r="J48" s="200"/>
      <c r="K48" s="200"/>
      <c r="L48" s="200"/>
      <c r="M48" s="246">
        <f t="shared" si="9"/>
        <v>0</v>
      </c>
      <c r="N48" s="246">
        <f t="shared" si="10"/>
        <v>0</v>
      </c>
      <c r="O48" s="200"/>
      <c r="P48" s="246">
        <f t="shared" si="11"/>
        <v>0</v>
      </c>
      <c r="Q48" s="246">
        <f t="shared" si="12"/>
        <v>0</v>
      </c>
    </row>
    <row r="49" spans="2:17" ht="23" hidden="1" customHeight="1">
      <c r="C49" s="200"/>
      <c r="D49" s="245" t="s">
        <v>371</v>
      </c>
      <c r="E49" s="179" t="str">
        <f>Cuentas!B20</f>
        <v>O</v>
      </c>
      <c r="F49" s="246">
        <f t="shared" si="6"/>
        <v>0</v>
      </c>
      <c r="G49" s="200"/>
      <c r="H49" s="246">
        <f t="shared" si="7"/>
        <v>0</v>
      </c>
      <c r="I49" s="246">
        <f t="shared" si="8"/>
        <v>0</v>
      </c>
      <c r="J49" s="200"/>
      <c r="K49" s="200"/>
      <c r="L49" s="200"/>
      <c r="M49" s="246">
        <f t="shared" si="9"/>
        <v>0</v>
      </c>
      <c r="N49" s="246">
        <f t="shared" si="10"/>
        <v>0</v>
      </c>
      <c r="O49" s="200"/>
      <c r="P49" s="246">
        <f t="shared" si="11"/>
        <v>0</v>
      </c>
      <c r="Q49" s="246">
        <f t="shared" si="12"/>
        <v>0</v>
      </c>
    </row>
    <row r="50" spans="2:17" ht="23" hidden="1" customHeight="1">
      <c r="C50" s="200"/>
      <c r="D50" s="245" t="s">
        <v>371</v>
      </c>
      <c r="E50" s="179" t="str">
        <f>Cuentas!B21</f>
        <v>P</v>
      </c>
      <c r="F50" s="246">
        <f t="shared" si="6"/>
        <v>0</v>
      </c>
      <c r="G50" s="200"/>
      <c r="H50" s="246">
        <f t="shared" si="7"/>
        <v>0</v>
      </c>
      <c r="I50" s="246">
        <f t="shared" si="8"/>
        <v>0</v>
      </c>
      <c r="J50" s="200"/>
      <c r="K50" s="200"/>
      <c r="L50" s="200"/>
      <c r="M50" s="246">
        <f t="shared" si="9"/>
        <v>0</v>
      </c>
      <c r="N50" s="246">
        <f t="shared" si="10"/>
        <v>0</v>
      </c>
      <c r="O50" s="200"/>
      <c r="P50" s="246">
        <f t="shared" si="11"/>
        <v>0</v>
      </c>
      <c r="Q50" s="246">
        <f t="shared" si="12"/>
        <v>0</v>
      </c>
    </row>
    <row r="51" spans="2:17" ht="23" hidden="1" customHeight="1">
      <c r="C51" s="200"/>
      <c r="D51" s="245" t="s">
        <v>371</v>
      </c>
      <c r="E51" s="179" t="str">
        <f>Cuentas!B22</f>
        <v>Q</v>
      </c>
      <c r="F51" s="246">
        <f t="shared" si="6"/>
        <v>0</v>
      </c>
      <c r="G51" s="200"/>
      <c r="H51" s="246">
        <f t="shared" si="7"/>
        <v>0</v>
      </c>
      <c r="I51" s="246">
        <f t="shared" si="8"/>
        <v>0</v>
      </c>
      <c r="J51" s="200"/>
      <c r="K51" s="200"/>
      <c r="L51" s="200"/>
      <c r="M51" s="246">
        <f t="shared" si="9"/>
        <v>0</v>
      </c>
      <c r="N51" s="246">
        <f t="shared" si="10"/>
        <v>0</v>
      </c>
      <c r="O51" s="200"/>
      <c r="P51" s="246">
        <f t="shared" si="11"/>
        <v>0</v>
      </c>
      <c r="Q51" s="246">
        <f t="shared" si="12"/>
        <v>0</v>
      </c>
    </row>
    <row r="52" spans="2:17" ht="23" hidden="1" customHeight="1">
      <c r="C52" s="200"/>
      <c r="D52" s="245" t="s">
        <v>371</v>
      </c>
      <c r="E52" s="179" t="str">
        <f>Cuentas!B23</f>
        <v>R</v>
      </c>
      <c r="F52" s="246">
        <f t="shared" si="6"/>
        <v>0</v>
      </c>
      <c r="G52" s="200"/>
      <c r="H52" s="246">
        <f t="shared" si="7"/>
        <v>0</v>
      </c>
      <c r="I52" s="246">
        <f t="shared" si="8"/>
        <v>0</v>
      </c>
      <c r="J52" s="200"/>
      <c r="K52" s="200"/>
      <c r="L52" s="200"/>
      <c r="M52" s="246">
        <f t="shared" si="9"/>
        <v>0</v>
      </c>
      <c r="N52" s="246">
        <f t="shared" si="10"/>
        <v>0</v>
      </c>
      <c r="O52" s="200"/>
      <c r="P52" s="246">
        <f t="shared" si="11"/>
        <v>0</v>
      </c>
      <c r="Q52" s="246">
        <f t="shared" si="12"/>
        <v>0</v>
      </c>
    </row>
    <row r="53" spans="2:17" ht="23" hidden="1" customHeight="1">
      <c r="C53" s="200"/>
      <c r="D53" s="245" t="s">
        <v>371</v>
      </c>
      <c r="E53" s="179" t="str">
        <f>Cuentas!B24</f>
        <v>S</v>
      </c>
      <c r="F53" s="246">
        <f t="shared" si="6"/>
        <v>0</v>
      </c>
      <c r="G53" s="200"/>
      <c r="H53" s="246">
        <f t="shared" si="7"/>
        <v>0</v>
      </c>
      <c r="I53" s="246">
        <f t="shared" si="8"/>
        <v>0</v>
      </c>
      <c r="J53" s="200"/>
      <c r="K53" s="200"/>
      <c r="L53" s="200"/>
      <c r="M53" s="246">
        <f t="shared" si="9"/>
        <v>0</v>
      </c>
      <c r="N53" s="246">
        <f t="shared" si="10"/>
        <v>0</v>
      </c>
      <c r="O53" s="200"/>
      <c r="P53" s="246">
        <f t="shared" si="11"/>
        <v>0</v>
      </c>
      <c r="Q53" s="246">
        <f t="shared" si="12"/>
        <v>0</v>
      </c>
    </row>
    <row r="54" spans="2:17" ht="23" hidden="1" customHeight="1">
      <c r="C54" s="200"/>
      <c r="D54" s="245" t="s">
        <v>371</v>
      </c>
      <c r="E54" s="179" t="str">
        <f>Cuentas!B25</f>
        <v>T</v>
      </c>
      <c r="F54" s="246">
        <f t="shared" si="6"/>
        <v>0</v>
      </c>
      <c r="G54" s="200"/>
      <c r="H54" s="246">
        <f t="shared" si="7"/>
        <v>0</v>
      </c>
      <c r="I54" s="246">
        <f t="shared" si="8"/>
        <v>0</v>
      </c>
      <c r="J54" s="200"/>
      <c r="K54" s="200"/>
      <c r="L54" s="200"/>
      <c r="M54" s="246">
        <f t="shared" si="9"/>
        <v>0</v>
      </c>
      <c r="N54" s="246">
        <f t="shared" si="10"/>
        <v>0</v>
      </c>
      <c r="O54" s="200"/>
      <c r="P54" s="246">
        <f t="shared" si="11"/>
        <v>0</v>
      </c>
      <c r="Q54" s="246">
        <f t="shared" si="12"/>
        <v>0</v>
      </c>
    </row>
    <row r="55" spans="2:17" ht="23" hidden="1" customHeight="1">
      <c r="C55" s="200"/>
      <c r="D55" s="245" t="s">
        <v>371</v>
      </c>
      <c r="E55" s="179" t="str">
        <f>Cuentas!B26</f>
        <v>U</v>
      </c>
      <c r="F55" s="246">
        <f t="shared" si="6"/>
        <v>0</v>
      </c>
      <c r="G55" s="200"/>
      <c r="H55" s="246">
        <f t="shared" si="7"/>
        <v>0</v>
      </c>
      <c r="I55" s="246">
        <f t="shared" si="8"/>
        <v>0</v>
      </c>
      <c r="J55" s="200"/>
      <c r="K55" s="200"/>
      <c r="L55" s="200"/>
      <c r="M55" s="246">
        <f t="shared" si="9"/>
        <v>0</v>
      </c>
      <c r="N55" s="246">
        <f t="shared" si="10"/>
        <v>0</v>
      </c>
      <c r="O55" s="200"/>
      <c r="P55" s="246">
        <f t="shared" si="11"/>
        <v>0</v>
      </c>
      <c r="Q55" s="246">
        <f t="shared" si="12"/>
        <v>0</v>
      </c>
    </row>
    <row r="56" spans="2:17" ht="23" customHeight="1">
      <c r="F56" s="238"/>
      <c r="H56" s="238"/>
      <c r="I56" s="238"/>
      <c r="M56" s="118"/>
      <c r="N56" s="238"/>
      <c r="Q56" s="238"/>
    </row>
    <row r="57" spans="2:17" ht="23" customHeight="1">
      <c r="D57" s="103"/>
      <c r="E57" s="242" t="s">
        <v>372</v>
      </c>
      <c r="F57" s="243">
        <f>SUM(F35:F55)</f>
        <v>266179.5</v>
      </c>
      <c r="G57" s="103"/>
      <c r="H57" s="243">
        <f>SUM(H35:H55)</f>
        <v>380264.03370000003</v>
      </c>
      <c r="I57" s="243">
        <f>SUM(I35:I55)</f>
        <v>0</v>
      </c>
      <c r="J57" s="103"/>
      <c r="K57" s="103"/>
      <c r="L57" s="103"/>
      <c r="M57" s="243">
        <f>SUM(M35:M55)</f>
        <v>380264.03370000003</v>
      </c>
      <c r="N57" s="243">
        <f>SUM(N35:N55)</f>
        <v>7723576.2993651917</v>
      </c>
      <c r="O57" s="103"/>
      <c r="P57" s="243">
        <f>SUM(P35:P55)</f>
        <v>114079.21011000001</v>
      </c>
      <c r="Q57" s="243">
        <f>SUM(Q35:Q55)</f>
        <v>2317072.8898095572</v>
      </c>
    </row>
    <row r="60" spans="2:17" ht="23" customHeight="1">
      <c r="B60" s="2" t="s">
        <v>12</v>
      </c>
    </row>
  </sheetData>
  <sheetProtection algorithmName="SHA-512" hashValue="fmXydvMn7x6+JWZxjmWROj6HA06UAMUSkVLOFiLpfxfutj+PCsQ4jWNwcBUJEHtE2MCBSJgbfEqShE1LQpYrnQ==" saltValue="TQlV/6TuCXEjt183XqbOsA==" spinCount="100000" sheet="1" formatCells="0" formatColumns="0" formatRows="0" insertColumns="0" insertRows="0" deleteColumns="0" deleteRows="0" autoFilter="0"/>
  <autoFilter ref="B6:Q28" xr:uid="{4FD0E62E-B096-6E4E-999E-D73E22018AF9}"/>
  <mergeCells count="2">
    <mergeCell ref="B2:R2"/>
    <mergeCell ref="B3:R3"/>
  </mergeCells>
  <phoneticPr fontId="8" type="noConversion"/>
  <dataValidations count="1">
    <dataValidation type="list" allowBlank="1" showInputMessage="1" showErrorMessage="1" promptTitle="OJO:" prompt="Selecciona una moneda" sqref="E29" xr:uid="{00000000-0002-0000-0900-000000000000}">
      <formula1>Monedas_Dividendos</formula1>
    </dataValidation>
  </dataValidations>
  <printOptions horizontalCentered="1"/>
  <pageMargins left="0.25" right="0.25" top="0.75" bottom="0.75" header="0.3" footer="0.3"/>
  <pageSetup scale="40" fitToHeight="10"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OJO:" prompt="Selecciona una moneda" xr:uid="{525A2F86-AAF6-1B4F-88D8-2044CDF47EE4}">
          <x14:formula1>
            <xm:f>Equivalencia!$A$4:$A$23</xm:f>
          </x14:formula1>
          <xm:sqref>E8:E28</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82C2F-7AEA-4E49-977F-A6E3B06153A5}">
  <sheetPr>
    <pageSetUpPr fitToPage="1"/>
  </sheetPr>
  <dimension ref="B2:K60"/>
  <sheetViews>
    <sheetView view="pageBreakPreview" zoomScale="80" zoomScaleNormal="90" zoomScaleSheetLayoutView="80" workbookViewId="0">
      <pane ySplit="6" topLeftCell="A7" activePane="bottomLeft" state="frozen"/>
      <selection pane="bottomLeft" activeCell="C5" sqref="C5"/>
    </sheetView>
  </sheetViews>
  <sheetFormatPr baseColWidth="10" defaultColWidth="11.5" defaultRowHeight="23" customHeight="1"/>
  <cols>
    <col min="1" max="1" width="11.5" style="1"/>
    <col min="2" max="3" width="28.33203125" style="1" customWidth="1"/>
    <col min="4" max="4" width="17.6640625" style="1" customWidth="1"/>
    <col min="5" max="5" width="45.6640625" style="1" customWidth="1"/>
    <col min="6" max="6" width="18.5" style="1" customWidth="1"/>
    <col min="7" max="8" width="21.33203125" style="1" customWidth="1"/>
    <col min="9" max="9" width="17.83203125" style="1" customWidth="1"/>
    <col min="10" max="10" width="20.83203125" style="1" customWidth="1"/>
    <col min="11" max="11" width="2.1640625" style="1" customWidth="1"/>
    <col min="12" max="16384" width="11.5" style="1"/>
  </cols>
  <sheetData>
    <row r="2" spans="2:11" ht="23" customHeight="1">
      <c r="B2" s="328"/>
      <c r="C2" s="328"/>
      <c r="D2" s="328"/>
      <c r="E2" s="328"/>
      <c r="F2" s="328"/>
      <c r="G2" s="328"/>
      <c r="H2" s="328"/>
      <c r="I2" s="328"/>
      <c r="J2" s="328"/>
      <c r="K2" s="328"/>
    </row>
    <row r="3" spans="2:11" ht="23" customHeight="1">
      <c r="B3" s="564" t="s">
        <v>654</v>
      </c>
      <c r="C3" s="564"/>
      <c r="D3" s="53"/>
      <c r="E3" s="53"/>
      <c r="F3" s="53"/>
      <c r="G3" s="53"/>
      <c r="H3" s="53"/>
      <c r="I3" s="53"/>
      <c r="J3" s="53"/>
      <c r="K3" s="53"/>
    </row>
    <row r="4" spans="2:11" ht="14" customHeight="1">
      <c r="B4" s="24" t="s">
        <v>446</v>
      </c>
      <c r="C4" s="24" t="s">
        <v>679</v>
      </c>
      <c r="D4" s="24"/>
      <c r="E4" s="24"/>
      <c r="F4" s="24"/>
      <c r="G4" s="24"/>
      <c r="H4" s="24"/>
      <c r="I4" s="24"/>
      <c r="J4" s="24"/>
      <c r="K4" s="60"/>
    </row>
    <row r="5" spans="2:11" ht="23" customHeight="1">
      <c r="B5" s="116"/>
      <c r="C5" s="116"/>
      <c r="D5" s="116"/>
      <c r="E5" s="116"/>
      <c r="F5" s="116"/>
      <c r="G5" s="116"/>
      <c r="H5" s="116"/>
      <c r="I5" s="116"/>
      <c r="J5" s="116"/>
      <c r="K5" s="4"/>
    </row>
    <row r="6" spans="2:11" s="85" customFormat="1" ht="30">
      <c r="B6" s="153" t="s">
        <v>178</v>
      </c>
      <c r="C6" s="153" t="s">
        <v>53</v>
      </c>
      <c r="D6" s="120" t="s">
        <v>54</v>
      </c>
      <c r="E6" s="120" t="s">
        <v>91</v>
      </c>
      <c r="F6" s="120" t="s">
        <v>208</v>
      </c>
      <c r="G6" s="120" t="s">
        <v>546</v>
      </c>
      <c r="H6" s="120" t="s">
        <v>56</v>
      </c>
      <c r="I6" s="120" t="s">
        <v>364</v>
      </c>
      <c r="J6" s="120" t="s">
        <v>547</v>
      </c>
      <c r="K6" s="120"/>
    </row>
    <row r="7" spans="2:11" ht="23" customHeight="1">
      <c r="B7" s="203"/>
      <c r="C7" s="203"/>
      <c r="D7" s="12"/>
      <c r="E7" s="12"/>
      <c r="F7" s="12"/>
      <c r="G7" s="12"/>
      <c r="H7" s="12"/>
      <c r="I7" s="12"/>
      <c r="J7" s="12"/>
      <c r="K7" s="12"/>
    </row>
    <row r="8" spans="2:11" s="134" customFormat="1" ht="23" customHeight="1">
      <c r="B8" s="7" t="str">
        <f>Cuentas!$B$6</f>
        <v>31XX29</v>
      </c>
      <c r="C8" s="7"/>
      <c r="D8" s="159"/>
      <c r="E8" s="249"/>
      <c r="F8" s="252"/>
      <c r="G8" s="250"/>
      <c r="H8" s="162">
        <f>IF(F8=0,0,IF(F8="MXN",1/HLOOKUP(YEAR(D8)+(MONTH(D8)/100),TC!$5:$437,DAY(D8)+2,FALSE),VLOOKUP(F8,Equivalencia!$1:$23,((MAX(Equivalencia!$3:$3)-YEAR(D8))*14)+MONTH(D8)+2,FALSE)))</f>
        <v>0</v>
      </c>
      <c r="I8" s="162">
        <f>IF(D8=0,0,HLOOKUP(YEAR(D8)+(MONTH(D8)/100),TC!$5:$37,DAY(D8)+2,FALSE))</f>
        <v>0</v>
      </c>
      <c r="J8" s="163">
        <f>G8*H8*I8</f>
        <v>0</v>
      </c>
      <c r="K8" s="236"/>
    </row>
    <row r="9" spans="2:11" s="134" customFormat="1" ht="23" customHeight="1">
      <c r="B9" s="7" t="str">
        <f>Cuentas!$B$6</f>
        <v>31XX29</v>
      </c>
      <c r="C9" s="7"/>
      <c r="D9" s="159"/>
      <c r="E9" s="249"/>
      <c r="F9" s="252"/>
      <c r="G9" s="250"/>
      <c r="H9" s="162">
        <f>IF(F9=0,0,IF(F9="MXN",1/HLOOKUP(YEAR(D9)+(MONTH(D9)/100),TC!$5:$437,DAY(D9)+2,FALSE),VLOOKUP(F9,Equivalencia!$1:$23,((MAX(Equivalencia!$3:$3)-YEAR(D9))*14)+MONTH(D9)+2,FALSE)))</f>
        <v>0</v>
      </c>
      <c r="I9" s="162">
        <f>IF(D9=0,0,HLOOKUP(YEAR(D9)+(MONTH(D9)/100),TC!$5:$37,DAY(D9)+2,FALSE))</f>
        <v>0</v>
      </c>
      <c r="J9" s="163">
        <f t="shared" ref="J9:J28" si="0">G9*H9*I9</f>
        <v>0</v>
      </c>
      <c r="K9" s="236"/>
    </row>
    <row r="10" spans="2:11" s="134" customFormat="1" ht="23" customHeight="1">
      <c r="B10" s="7" t="str">
        <f>Cuentas!$B$6</f>
        <v>31XX29</v>
      </c>
      <c r="C10" s="7"/>
      <c r="D10" s="159"/>
      <c r="E10" s="249"/>
      <c r="F10" s="252"/>
      <c r="G10" s="250"/>
      <c r="H10" s="162">
        <f>IF(F10=0,0,IF(F10="MXN",1/HLOOKUP(YEAR(D10)+(MONTH(D10)/100),TC!$5:$437,DAY(D10)+2,FALSE),VLOOKUP(F10,Equivalencia!$1:$23,((MAX(Equivalencia!$3:$3)-YEAR(D10))*14)+MONTH(D10)+2,FALSE)))</f>
        <v>0</v>
      </c>
      <c r="I10" s="162">
        <f>IF(D10=0,0,HLOOKUP(YEAR(D10)+(MONTH(D10)/100),TC!$5:$37,DAY(D10)+2,FALSE))</f>
        <v>0</v>
      </c>
      <c r="J10" s="163">
        <f t="shared" si="0"/>
        <v>0</v>
      </c>
      <c r="K10" s="236"/>
    </row>
    <row r="11" spans="2:11" s="134" customFormat="1" ht="23" customHeight="1">
      <c r="B11" s="7" t="str">
        <f>Cuentas!$B$7</f>
        <v>11XX300</v>
      </c>
      <c r="C11" s="7"/>
      <c r="D11" s="159"/>
      <c r="E11" s="249"/>
      <c r="F11" s="252"/>
      <c r="G11" s="250"/>
      <c r="H11" s="162">
        <f>IF(F11=0,0,IF(F11="MXN",1/HLOOKUP(YEAR(D11)+(MONTH(D11)/100),TC!$5:$437,DAY(D11)+2,FALSE),VLOOKUP(F11,Equivalencia!$1:$23,((MAX(Equivalencia!$3:$3)-YEAR(D11))*14)+MONTH(D11)+2,FALSE)))</f>
        <v>0</v>
      </c>
      <c r="I11" s="162">
        <f>IF(D11=0,0,HLOOKUP(YEAR(D11)+(MONTH(D11)/100),TC!$5:$37,DAY(D11)+2,FALSE))</f>
        <v>0</v>
      </c>
      <c r="J11" s="163">
        <f t="shared" si="0"/>
        <v>0</v>
      </c>
      <c r="K11" s="236"/>
    </row>
    <row r="12" spans="2:11" s="134" customFormat="1" ht="23" customHeight="1">
      <c r="B12" s="7" t="str">
        <f>Cuentas!$B$7</f>
        <v>11XX300</v>
      </c>
      <c r="C12" s="7"/>
      <c r="D12" s="159"/>
      <c r="E12" s="249"/>
      <c r="F12" s="252"/>
      <c r="G12" s="250"/>
      <c r="H12" s="162">
        <f>IF(F12=0,0,IF(F12="MXN",1/HLOOKUP(YEAR(D12)+(MONTH(D12)/100),TC!$5:$437,DAY(D12)+2,FALSE),VLOOKUP(F12,Equivalencia!$1:$23,((MAX(Equivalencia!$3:$3)-YEAR(D12))*14)+MONTH(D12)+2,FALSE)))</f>
        <v>0</v>
      </c>
      <c r="I12" s="162">
        <f>IF(D12=0,0,HLOOKUP(YEAR(D12)+(MONTH(D12)/100),TC!$5:$37,DAY(D12)+2,FALSE))</f>
        <v>0</v>
      </c>
      <c r="J12" s="163">
        <f t="shared" si="0"/>
        <v>0</v>
      </c>
      <c r="K12" s="236"/>
    </row>
    <row r="13" spans="2:11" s="134" customFormat="1" ht="23" customHeight="1">
      <c r="B13" s="7" t="str">
        <f>Cuentas!$B$7</f>
        <v>11XX300</v>
      </c>
      <c r="C13" s="7"/>
      <c r="D13" s="159"/>
      <c r="E13" s="249"/>
      <c r="F13" s="252"/>
      <c r="G13" s="250"/>
      <c r="H13" s="162">
        <f>IF(F13=0,0,IF(F13="MXN",1/HLOOKUP(YEAR(D13)+(MONTH(D13)/100),TC!$5:$437,DAY(D13)+2,FALSE),VLOOKUP(F13,Equivalencia!$1:$23,((MAX(Equivalencia!$3:$3)-YEAR(D13))*14)+MONTH(D13)+2,FALSE)))</f>
        <v>0</v>
      </c>
      <c r="I13" s="162">
        <f>IF(D13=0,0,HLOOKUP(YEAR(D13)+(MONTH(D13)/100),TC!$5:$37,DAY(D13)+2,FALSE))</f>
        <v>0</v>
      </c>
      <c r="J13" s="163">
        <f t="shared" si="0"/>
        <v>0</v>
      </c>
      <c r="K13" s="236"/>
    </row>
    <row r="14" spans="2:11" s="134" customFormat="1" ht="23" customHeight="1">
      <c r="B14" s="7" t="str">
        <f>Cuentas!$B$8</f>
        <v>1XXX100</v>
      </c>
      <c r="C14" s="7"/>
      <c r="D14" s="159"/>
      <c r="E14" s="249"/>
      <c r="F14" s="252"/>
      <c r="G14" s="250"/>
      <c r="H14" s="162">
        <f>IF(F14=0,0,IF(F14="MXN",1/HLOOKUP(YEAR(D14)+(MONTH(D14)/100),TC!$5:$437,DAY(D14)+2,FALSE),VLOOKUP(F14,Equivalencia!$1:$23,((MAX(Equivalencia!$3:$3)-YEAR(D14))*14)+MONTH(D14)+2,FALSE)))</f>
        <v>0</v>
      </c>
      <c r="I14" s="162">
        <f>IF(D14=0,0,HLOOKUP(YEAR(D14)+(MONTH(D14)/100),TC!$5:$37,DAY(D14)+2,FALSE))</f>
        <v>0</v>
      </c>
      <c r="J14" s="163">
        <f t="shared" si="0"/>
        <v>0</v>
      </c>
      <c r="K14" s="236"/>
    </row>
    <row r="15" spans="2:11" s="134" customFormat="1" ht="23" customHeight="1">
      <c r="B15" s="7" t="str">
        <f>Cuentas!$B$8</f>
        <v>1XXX100</v>
      </c>
      <c r="C15" s="7"/>
      <c r="D15" s="159"/>
      <c r="E15" s="249"/>
      <c r="F15" s="252"/>
      <c r="G15" s="250"/>
      <c r="H15" s="162">
        <f>IF(F15=0,0,IF(F15="MXN",1/HLOOKUP(YEAR(D15)+(MONTH(D15)/100),TC!$5:$437,DAY(D15)+2,FALSE),VLOOKUP(F15,Equivalencia!$1:$23,((MAX(Equivalencia!$3:$3)-YEAR(D15))*14)+MONTH(D15)+2,FALSE)))</f>
        <v>0</v>
      </c>
      <c r="I15" s="162">
        <f>IF(D15=0,0,HLOOKUP(YEAR(D15)+(MONTH(D15)/100),TC!$5:$37,DAY(D15)+2,FALSE))</f>
        <v>0</v>
      </c>
      <c r="J15" s="163">
        <f t="shared" si="0"/>
        <v>0</v>
      </c>
      <c r="K15" s="236"/>
    </row>
    <row r="16" spans="2:11" s="134" customFormat="1" ht="23" customHeight="1">
      <c r="B16" s="7" t="str">
        <f>Cuentas!$B$8</f>
        <v>1XXX100</v>
      </c>
      <c r="C16" s="7"/>
      <c r="D16" s="159"/>
      <c r="E16" s="249"/>
      <c r="F16" s="252"/>
      <c r="G16" s="250"/>
      <c r="H16" s="162">
        <f>IF(F16=0,0,IF(F16="MXN",1/HLOOKUP(YEAR(D16)+(MONTH(D16)/100),TC!$5:$437,DAY(D16)+2,FALSE),VLOOKUP(F16,Equivalencia!$1:$23,((MAX(Equivalencia!$3:$3)-YEAR(D16))*14)+MONTH(D16)+2,FALSE)))</f>
        <v>0</v>
      </c>
      <c r="I16" s="162">
        <f>IF(D16=0,0,HLOOKUP(YEAR(D16)+(MONTH(D16)/100),TC!$5:$37,DAY(D16)+2,FALSE))</f>
        <v>0</v>
      </c>
      <c r="J16" s="163">
        <f t="shared" si="0"/>
        <v>0</v>
      </c>
      <c r="K16" s="236"/>
    </row>
    <row r="17" spans="2:11" s="134" customFormat="1" ht="23" customHeight="1">
      <c r="B17" s="7" t="str">
        <f>Cuentas!$B$9</f>
        <v>B467XXX05</v>
      </c>
      <c r="C17" s="7"/>
      <c r="D17" s="159"/>
      <c r="E17" s="249"/>
      <c r="F17" s="252"/>
      <c r="G17" s="250"/>
      <c r="H17" s="162">
        <f>IF(F17=0,0,IF(F17="MXN",1/HLOOKUP(YEAR(D17)+(MONTH(D17)/100),TC!$5:$437,DAY(D17)+2,FALSE),VLOOKUP(F17,Equivalencia!$1:$23,((MAX(Equivalencia!$3:$3)-YEAR(D17))*14)+MONTH(D17)+2,FALSE)))</f>
        <v>0</v>
      </c>
      <c r="I17" s="162">
        <f>IF(D17=0,0,HLOOKUP(YEAR(D17)+(MONTH(D17)/100),TC!$5:$37,DAY(D17)+2,FALSE))</f>
        <v>0</v>
      </c>
      <c r="J17" s="163">
        <f t="shared" si="0"/>
        <v>0</v>
      </c>
      <c r="K17" s="236"/>
    </row>
    <row r="18" spans="2:11" s="134" customFormat="1" ht="23" customHeight="1">
      <c r="B18" s="7" t="str">
        <f>Cuentas!$B$9</f>
        <v>B467XXX05</v>
      </c>
      <c r="C18" s="7"/>
      <c r="D18" s="159"/>
      <c r="E18" s="249"/>
      <c r="F18" s="252"/>
      <c r="G18" s="250"/>
      <c r="H18" s="162">
        <f>IF(F18=0,0,IF(F18="MXN",1/HLOOKUP(YEAR(D18)+(MONTH(D18)/100),TC!$5:$437,DAY(D18)+2,FALSE),VLOOKUP(F18,Equivalencia!$1:$23,((MAX(Equivalencia!$3:$3)-YEAR(D18))*14)+MONTH(D18)+2,FALSE)))</f>
        <v>0</v>
      </c>
      <c r="I18" s="162">
        <f>IF(D18=0,0,HLOOKUP(YEAR(D18)+(MONTH(D18)/100),TC!$5:$37,DAY(D18)+2,FALSE))</f>
        <v>0</v>
      </c>
      <c r="J18" s="163">
        <f t="shared" si="0"/>
        <v>0</v>
      </c>
      <c r="K18" s="236"/>
    </row>
    <row r="19" spans="2:11" s="134" customFormat="1" ht="23" customHeight="1">
      <c r="B19" s="7" t="str">
        <f>Cuentas!$B$9</f>
        <v>B467XXX05</v>
      </c>
      <c r="C19" s="7"/>
      <c r="D19" s="159"/>
      <c r="E19" s="249"/>
      <c r="F19" s="252"/>
      <c r="G19" s="250"/>
      <c r="H19" s="162">
        <f>IF(F19=0,0,IF(F19="MXN",1/HLOOKUP(YEAR(D19)+(MONTH(D19)/100),TC!$5:$437,DAY(D19)+2,FALSE),VLOOKUP(F19,Equivalencia!$1:$23,((MAX(Equivalencia!$3:$3)-YEAR(D19))*14)+MONTH(D19)+2,FALSE)))</f>
        <v>0</v>
      </c>
      <c r="I19" s="162">
        <f>IF(D19=0,0,HLOOKUP(YEAR(D19)+(MONTH(D19)/100),TC!$5:$37,DAY(D19)+2,FALSE))</f>
        <v>0</v>
      </c>
      <c r="J19" s="163">
        <f t="shared" si="0"/>
        <v>0</v>
      </c>
      <c r="K19" s="236"/>
    </row>
    <row r="20" spans="2:11" s="134" customFormat="1" ht="23" customHeight="1">
      <c r="B20" s="7" t="str">
        <f>Cuentas!$B$10</f>
        <v>677-0XXX52-670</v>
      </c>
      <c r="C20" s="7"/>
      <c r="D20" s="159"/>
      <c r="E20" s="249"/>
      <c r="F20" s="252"/>
      <c r="G20" s="250"/>
      <c r="H20" s="162">
        <f>IF(F20=0,0,IF(F20="MXN",1/HLOOKUP(YEAR(D20)+(MONTH(D20)/100),TC!$5:$437,DAY(D20)+2,FALSE),VLOOKUP(F20,Equivalencia!$1:$23,((MAX(Equivalencia!$3:$3)-YEAR(D20))*14)+MONTH(D20)+2,FALSE)))</f>
        <v>0</v>
      </c>
      <c r="I20" s="162">
        <f>IF(D20=0,0,HLOOKUP(YEAR(D20)+(MONTH(D20)/100),TC!$5:$37,DAY(D20)+2,FALSE))</f>
        <v>0</v>
      </c>
      <c r="J20" s="163">
        <f t="shared" si="0"/>
        <v>0</v>
      </c>
      <c r="K20" s="236"/>
    </row>
    <row r="21" spans="2:11" s="134" customFormat="1" ht="23" customHeight="1">
      <c r="B21" s="7" t="str">
        <f>Cuentas!$B$10</f>
        <v>677-0XXX52-670</v>
      </c>
      <c r="C21" s="7"/>
      <c r="D21" s="159"/>
      <c r="E21" s="249"/>
      <c r="F21" s="252"/>
      <c r="G21" s="250"/>
      <c r="H21" s="162">
        <f>IF(F21=0,0,IF(F21="MXN",1/HLOOKUP(YEAR(D21)+(MONTH(D21)/100),TC!$5:$437,DAY(D21)+2,FALSE),VLOOKUP(F21,Equivalencia!$1:$23,((MAX(Equivalencia!$3:$3)-YEAR(D21))*14)+MONTH(D21)+2,FALSE)))</f>
        <v>0</v>
      </c>
      <c r="I21" s="162">
        <f>IF(D21=0,0,HLOOKUP(YEAR(D21)+(MONTH(D21)/100),TC!$5:$37,DAY(D21)+2,FALSE))</f>
        <v>0</v>
      </c>
      <c r="J21" s="163">
        <f t="shared" si="0"/>
        <v>0</v>
      </c>
      <c r="K21" s="236"/>
    </row>
    <row r="22" spans="2:11" s="134" customFormat="1" ht="23" customHeight="1">
      <c r="B22" s="7" t="str">
        <f>Cuentas!$B$10</f>
        <v>677-0XXX52-670</v>
      </c>
      <c r="C22" s="7"/>
      <c r="D22" s="159"/>
      <c r="E22" s="249"/>
      <c r="F22" s="252"/>
      <c r="G22" s="250"/>
      <c r="H22" s="162">
        <f>IF(F22=0,0,IF(F22="MXN",1/HLOOKUP(YEAR(D22)+(MONTH(D22)/100),TC!$5:$437,DAY(D22)+2,FALSE),VLOOKUP(F22,Equivalencia!$1:$23,((MAX(Equivalencia!$3:$3)-YEAR(D22))*14)+MONTH(D22)+2,FALSE)))</f>
        <v>0</v>
      </c>
      <c r="I22" s="162">
        <f>IF(D22=0,0,HLOOKUP(YEAR(D22)+(MONTH(D22)/100),TC!$5:$37,DAY(D22)+2,FALSE))</f>
        <v>0</v>
      </c>
      <c r="J22" s="163">
        <f t="shared" si="0"/>
        <v>0</v>
      </c>
      <c r="K22" s="236"/>
    </row>
    <row r="23" spans="2:11" s="134" customFormat="1" ht="23" customHeight="1">
      <c r="B23" s="7" t="str">
        <f>Cuentas!$B$11</f>
        <v>677-0XXX53-471</v>
      </c>
      <c r="C23" s="7"/>
      <c r="D23" s="159"/>
      <c r="E23" s="249"/>
      <c r="F23" s="252"/>
      <c r="G23" s="250"/>
      <c r="H23" s="162">
        <f>IF(F23=0,0,IF(F23="MXN",1/HLOOKUP(YEAR(D23)+(MONTH(D23)/100),TC!$5:$437,DAY(D23)+2,FALSE),VLOOKUP(F23,Equivalencia!$1:$23,((MAX(Equivalencia!$3:$3)-YEAR(D23))*14)+MONTH(D23)+2,FALSE)))</f>
        <v>0</v>
      </c>
      <c r="I23" s="162">
        <f>IF(D23=0,0,HLOOKUP(YEAR(D23)+(MONTH(D23)/100),TC!$5:$37,DAY(D23)+2,FALSE))</f>
        <v>0</v>
      </c>
      <c r="J23" s="163">
        <f t="shared" si="0"/>
        <v>0</v>
      </c>
      <c r="K23" s="236"/>
    </row>
    <row r="24" spans="2:11" s="134" customFormat="1" ht="23" customHeight="1">
      <c r="B24" s="7" t="str">
        <f>Cuentas!$B$11</f>
        <v>677-0XXX53-471</v>
      </c>
      <c r="C24" s="7"/>
      <c r="D24" s="159"/>
      <c r="E24" s="249"/>
      <c r="F24" s="252"/>
      <c r="G24" s="250"/>
      <c r="H24" s="162">
        <f>IF(F24=0,0,IF(F24="MXN",1/HLOOKUP(YEAR(D24)+(MONTH(D24)/100),TC!$5:$437,DAY(D24)+2,FALSE),VLOOKUP(F24,Equivalencia!$1:$23,((MAX(Equivalencia!$3:$3)-YEAR(D24))*14)+MONTH(D24)+2,FALSE)))</f>
        <v>0</v>
      </c>
      <c r="I24" s="162">
        <f>IF(D24=0,0,HLOOKUP(YEAR(D24)+(MONTH(D24)/100),TC!$5:$37,DAY(D24)+2,FALSE))</f>
        <v>0</v>
      </c>
      <c r="J24" s="163">
        <f t="shared" si="0"/>
        <v>0</v>
      </c>
      <c r="K24" s="236"/>
    </row>
    <row r="25" spans="2:11" s="134" customFormat="1" ht="23" customHeight="1">
      <c r="B25" s="7" t="str">
        <f>Cuentas!$B$11</f>
        <v>677-0XXX53-471</v>
      </c>
      <c r="C25" s="7"/>
      <c r="D25" s="159"/>
      <c r="E25" s="249"/>
      <c r="F25" s="252"/>
      <c r="G25" s="250"/>
      <c r="H25" s="162">
        <f>IF(F25=0,0,IF(F25="MXN",1/HLOOKUP(YEAR(D25)+(MONTH(D25)/100),TC!$5:$437,DAY(D25)+2,FALSE),VLOOKUP(F25,Equivalencia!$1:$23,((MAX(Equivalencia!$3:$3)-YEAR(D25))*14)+MONTH(D25)+2,FALSE)))</f>
        <v>0</v>
      </c>
      <c r="I25" s="162">
        <f>IF(D25=0,0,HLOOKUP(YEAR(D25)+(MONTH(D25)/100),TC!$5:$37,DAY(D25)+2,FALSE))</f>
        <v>0</v>
      </c>
      <c r="J25" s="163">
        <f t="shared" si="0"/>
        <v>0</v>
      </c>
      <c r="K25" s="236"/>
    </row>
    <row r="26" spans="2:11" s="134" customFormat="1" ht="23" customHeight="1">
      <c r="B26" s="7" t="str">
        <f>Cuentas!$B$12</f>
        <v>4H 0XXX0 RB</v>
      </c>
      <c r="C26" s="7"/>
      <c r="D26" s="159"/>
      <c r="E26" s="249"/>
      <c r="F26" s="252"/>
      <c r="G26" s="250"/>
      <c r="H26" s="162">
        <f>IF(F26=0,0,IF(F26="MXN",1/HLOOKUP(YEAR(D26)+(MONTH(D26)/100),TC!$5:$437,DAY(D26)+2,FALSE),VLOOKUP(F26,Equivalencia!$1:$23,((MAX(Equivalencia!$3:$3)-YEAR(D26))*14)+MONTH(D26)+2,FALSE)))</f>
        <v>0</v>
      </c>
      <c r="I26" s="162">
        <f>IF(D26=0,0,HLOOKUP(YEAR(D26)+(MONTH(D26)/100),TC!$5:$37,DAY(D26)+2,FALSE))</f>
        <v>0</v>
      </c>
      <c r="J26" s="163">
        <f t="shared" si="0"/>
        <v>0</v>
      </c>
      <c r="K26" s="236"/>
    </row>
    <row r="27" spans="2:11" s="134" customFormat="1" ht="23" customHeight="1">
      <c r="B27" s="7" t="str">
        <f>Cuentas!$B$12</f>
        <v>4H 0XXX0 RB</v>
      </c>
      <c r="C27" s="7"/>
      <c r="D27" s="159"/>
      <c r="E27" s="249"/>
      <c r="F27" s="252"/>
      <c r="G27" s="250"/>
      <c r="H27" s="162">
        <f>IF(F27=0,0,IF(F27="MXN",1/HLOOKUP(YEAR(D27)+(MONTH(D27)/100),TC!$5:$437,DAY(D27)+2,FALSE),VLOOKUP(F27,Equivalencia!$1:$23,((MAX(Equivalencia!$3:$3)-YEAR(D27))*14)+MONTH(D27)+2,FALSE)))</f>
        <v>0</v>
      </c>
      <c r="I27" s="162">
        <f>IF(D27=0,0,HLOOKUP(YEAR(D27)+(MONTH(D27)/100),TC!$5:$37,DAY(D27)+2,FALSE))</f>
        <v>0</v>
      </c>
      <c r="J27" s="163">
        <f t="shared" si="0"/>
        <v>0</v>
      </c>
      <c r="K27" s="236"/>
    </row>
    <row r="28" spans="2:11" s="134" customFormat="1" ht="23" customHeight="1">
      <c r="B28" s="7" t="str">
        <f>Cuentas!$B$12</f>
        <v>4H 0XXX0 RB</v>
      </c>
      <c r="C28" s="7"/>
      <c r="D28" s="159"/>
      <c r="E28" s="249"/>
      <c r="F28" s="252"/>
      <c r="G28" s="250"/>
      <c r="H28" s="162">
        <f>IF(F28=0,0,IF(F28="MXN",1/HLOOKUP(YEAR(D28)+(MONTH(D28)/100),TC!$5:$437,DAY(D28)+2,FALSE),VLOOKUP(F28,Equivalencia!$1:$23,((MAX(Equivalencia!$3:$3)-YEAR(D28))*14)+MONTH(D28)+2,FALSE)))</f>
        <v>0</v>
      </c>
      <c r="I28" s="162">
        <f>IF(D28=0,0,HLOOKUP(YEAR(D28)+(MONTH(D28)/100),TC!$5:$37,DAY(D28)+2,FALSE))</f>
        <v>0</v>
      </c>
      <c r="J28" s="163">
        <f t="shared" si="0"/>
        <v>0</v>
      </c>
      <c r="K28" s="236"/>
    </row>
    <row r="29" spans="2:11" s="134" customFormat="1" ht="23" customHeight="1">
      <c r="B29" s="76"/>
      <c r="C29" s="76"/>
      <c r="D29" s="145"/>
      <c r="E29" s="45"/>
      <c r="F29" s="234"/>
      <c r="G29" s="144"/>
      <c r="H29" s="144"/>
      <c r="I29" s="143"/>
      <c r="J29" s="143"/>
      <c r="K29" s="236"/>
    </row>
    <row r="30" spans="2:11" ht="23" customHeight="1">
      <c r="B30" s="164" t="s">
        <v>370</v>
      </c>
      <c r="C30" s="164"/>
      <c r="D30" s="240"/>
      <c r="E30" s="231"/>
      <c r="F30" s="230"/>
      <c r="G30" s="241">
        <f>SUM(G7:G29)</f>
        <v>0</v>
      </c>
      <c r="H30" s="241"/>
      <c r="I30" s="231"/>
      <c r="J30" s="241">
        <f>SUM(J7:J29)</f>
        <v>0</v>
      </c>
      <c r="K30" s="140"/>
    </row>
    <row r="33" spans="4:10" s="85" customFormat="1" ht="45">
      <c r="G33" s="120" t="s">
        <v>359</v>
      </c>
      <c r="H33" s="120"/>
      <c r="J33" s="120" t="s">
        <v>360</v>
      </c>
    </row>
    <row r="35" spans="4:10" ht="23" customHeight="1">
      <c r="D35" s="200"/>
      <c r="E35" s="245" t="s">
        <v>371</v>
      </c>
      <c r="F35" s="179" t="str">
        <f>Cuentas!B6</f>
        <v>31XX29</v>
      </c>
      <c r="G35" s="246">
        <f>+SUMIF($B$7:$B$701,F35,$G$7:$G$701)</f>
        <v>0</v>
      </c>
      <c r="H35" s="246"/>
      <c r="I35" s="200"/>
      <c r="J35" s="246">
        <f t="shared" ref="J35:J55" si="1">+SUMIF($B$7:$B$701,F35,$J$7:$J$701)</f>
        <v>0</v>
      </c>
    </row>
    <row r="36" spans="4:10" ht="23" customHeight="1">
      <c r="D36" s="200"/>
      <c r="E36" s="245" t="s">
        <v>371</v>
      </c>
      <c r="F36" s="179" t="str">
        <f>Cuentas!B7</f>
        <v>11XX300</v>
      </c>
      <c r="G36" s="246">
        <f t="shared" ref="G36:G55" si="2">+SUMIF($B$7:$B$701,F36,$G$7:$G$701)</f>
        <v>0</v>
      </c>
      <c r="H36" s="246"/>
      <c r="I36" s="200"/>
      <c r="J36" s="246">
        <f t="shared" si="1"/>
        <v>0</v>
      </c>
    </row>
    <row r="37" spans="4:10" ht="23" customHeight="1">
      <c r="D37" s="200"/>
      <c r="E37" s="245" t="s">
        <v>371</v>
      </c>
      <c r="F37" s="179" t="str">
        <f>Cuentas!B8</f>
        <v>1XXX100</v>
      </c>
      <c r="G37" s="246">
        <f t="shared" si="2"/>
        <v>0</v>
      </c>
      <c r="H37" s="246"/>
      <c r="I37" s="200"/>
      <c r="J37" s="246">
        <f t="shared" si="1"/>
        <v>0</v>
      </c>
    </row>
    <row r="38" spans="4:10" ht="23" customHeight="1">
      <c r="D38" s="200"/>
      <c r="E38" s="245" t="s">
        <v>371</v>
      </c>
      <c r="F38" s="179" t="str">
        <f>Cuentas!B9</f>
        <v>B467XXX05</v>
      </c>
      <c r="G38" s="246">
        <f t="shared" si="2"/>
        <v>0</v>
      </c>
      <c r="H38" s="246"/>
      <c r="I38" s="200"/>
      <c r="J38" s="246">
        <f t="shared" si="1"/>
        <v>0</v>
      </c>
    </row>
    <row r="39" spans="4:10" ht="23" customHeight="1">
      <c r="D39" s="200"/>
      <c r="E39" s="245" t="s">
        <v>371</v>
      </c>
      <c r="F39" s="179" t="str">
        <f>Cuentas!B10</f>
        <v>677-0XXX52-670</v>
      </c>
      <c r="G39" s="246">
        <f t="shared" si="2"/>
        <v>0</v>
      </c>
      <c r="H39" s="246"/>
      <c r="I39" s="200"/>
      <c r="J39" s="246">
        <f t="shared" si="1"/>
        <v>0</v>
      </c>
    </row>
    <row r="40" spans="4:10" ht="23" customHeight="1">
      <c r="D40" s="200"/>
      <c r="E40" s="245" t="s">
        <v>371</v>
      </c>
      <c r="F40" s="179" t="str">
        <f>Cuentas!B11</f>
        <v>677-0XXX53-471</v>
      </c>
      <c r="G40" s="246">
        <f t="shared" si="2"/>
        <v>0</v>
      </c>
      <c r="H40" s="246"/>
      <c r="I40" s="200"/>
      <c r="J40" s="246">
        <f t="shared" si="1"/>
        <v>0</v>
      </c>
    </row>
    <row r="41" spans="4:10" ht="23" customHeight="1">
      <c r="D41" s="200"/>
      <c r="E41" s="245" t="s">
        <v>371</v>
      </c>
      <c r="F41" s="179" t="str">
        <f>Cuentas!B12</f>
        <v>4H 0XXX0 RB</v>
      </c>
      <c r="G41" s="246">
        <f t="shared" si="2"/>
        <v>0</v>
      </c>
      <c r="H41" s="246"/>
      <c r="I41" s="200"/>
      <c r="J41" s="246">
        <f t="shared" si="1"/>
        <v>0</v>
      </c>
    </row>
    <row r="42" spans="4:10" ht="23" customHeight="1">
      <c r="D42" s="200"/>
      <c r="E42" s="245" t="s">
        <v>371</v>
      </c>
      <c r="F42" s="179" t="str">
        <f>Cuentas!B13</f>
        <v>H</v>
      </c>
      <c r="G42" s="246">
        <f t="shared" si="2"/>
        <v>0</v>
      </c>
      <c r="H42" s="246"/>
      <c r="I42" s="200"/>
      <c r="J42" s="246">
        <f t="shared" si="1"/>
        <v>0</v>
      </c>
    </row>
    <row r="43" spans="4:10" ht="23" customHeight="1">
      <c r="D43" s="200"/>
      <c r="E43" s="245" t="s">
        <v>371</v>
      </c>
      <c r="F43" s="179" t="str">
        <f>Cuentas!B14</f>
        <v>I</v>
      </c>
      <c r="G43" s="246">
        <f t="shared" si="2"/>
        <v>0</v>
      </c>
      <c r="H43" s="246"/>
      <c r="I43" s="200"/>
      <c r="J43" s="246">
        <f t="shared" si="1"/>
        <v>0</v>
      </c>
    </row>
    <row r="44" spans="4:10" ht="23" customHeight="1">
      <c r="D44" s="200"/>
      <c r="E44" s="245" t="s">
        <v>371</v>
      </c>
      <c r="F44" s="179" t="str">
        <f>Cuentas!B15</f>
        <v>J</v>
      </c>
      <c r="G44" s="246">
        <f t="shared" si="2"/>
        <v>0</v>
      </c>
      <c r="H44" s="246"/>
      <c r="I44" s="200"/>
      <c r="J44" s="246">
        <f t="shared" si="1"/>
        <v>0</v>
      </c>
    </row>
    <row r="45" spans="4:10" ht="23" customHeight="1">
      <c r="D45" s="200"/>
      <c r="E45" s="245" t="s">
        <v>371</v>
      </c>
      <c r="F45" s="179" t="str">
        <f>Cuentas!B16</f>
        <v>K</v>
      </c>
      <c r="G45" s="246">
        <f t="shared" si="2"/>
        <v>0</v>
      </c>
      <c r="H45" s="246"/>
      <c r="I45" s="200"/>
      <c r="J45" s="246">
        <f t="shared" si="1"/>
        <v>0</v>
      </c>
    </row>
    <row r="46" spans="4:10" ht="23" customHeight="1">
      <c r="D46" s="200"/>
      <c r="E46" s="245" t="s">
        <v>371</v>
      </c>
      <c r="F46" s="179" t="str">
        <f>Cuentas!B17</f>
        <v>L</v>
      </c>
      <c r="G46" s="246">
        <f t="shared" si="2"/>
        <v>0</v>
      </c>
      <c r="H46" s="246"/>
      <c r="I46" s="200"/>
      <c r="J46" s="246">
        <f t="shared" si="1"/>
        <v>0</v>
      </c>
    </row>
    <row r="47" spans="4:10" ht="23" customHeight="1">
      <c r="D47" s="200"/>
      <c r="E47" s="245" t="s">
        <v>371</v>
      </c>
      <c r="F47" s="179" t="str">
        <f>Cuentas!B18</f>
        <v>M</v>
      </c>
      <c r="G47" s="246">
        <f t="shared" si="2"/>
        <v>0</v>
      </c>
      <c r="H47" s="246"/>
      <c r="I47" s="200"/>
      <c r="J47" s="246">
        <f t="shared" si="1"/>
        <v>0</v>
      </c>
    </row>
    <row r="48" spans="4:10" ht="23" customHeight="1">
      <c r="D48" s="200"/>
      <c r="E48" s="245" t="s">
        <v>371</v>
      </c>
      <c r="F48" s="179" t="str">
        <f>Cuentas!B19</f>
        <v>N</v>
      </c>
      <c r="G48" s="246">
        <f t="shared" si="2"/>
        <v>0</v>
      </c>
      <c r="H48" s="246"/>
      <c r="I48" s="200"/>
      <c r="J48" s="246">
        <f t="shared" si="1"/>
        <v>0</v>
      </c>
    </row>
    <row r="49" spans="2:10" ht="23" customHeight="1">
      <c r="D49" s="200"/>
      <c r="E49" s="245" t="s">
        <v>371</v>
      </c>
      <c r="F49" s="179" t="str">
        <f>Cuentas!B20</f>
        <v>O</v>
      </c>
      <c r="G49" s="246">
        <f t="shared" si="2"/>
        <v>0</v>
      </c>
      <c r="H49" s="246"/>
      <c r="I49" s="200"/>
      <c r="J49" s="246">
        <f t="shared" si="1"/>
        <v>0</v>
      </c>
    </row>
    <row r="50" spans="2:10" ht="23" customHeight="1">
      <c r="D50" s="200"/>
      <c r="E50" s="245" t="s">
        <v>371</v>
      </c>
      <c r="F50" s="179" t="str">
        <f>Cuentas!B21</f>
        <v>P</v>
      </c>
      <c r="G50" s="246">
        <f t="shared" si="2"/>
        <v>0</v>
      </c>
      <c r="H50" s="246"/>
      <c r="I50" s="200"/>
      <c r="J50" s="246">
        <f t="shared" si="1"/>
        <v>0</v>
      </c>
    </row>
    <row r="51" spans="2:10" ht="23" customHeight="1">
      <c r="D51" s="200"/>
      <c r="E51" s="245" t="s">
        <v>371</v>
      </c>
      <c r="F51" s="179" t="str">
        <f>Cuentas!B22</f>
        <v>Q</v>
      </c>
      <c r="G51" s="246">
        <f t="shared" si="2"/>
        <v>0</v>
      </c>
      <c r="H51" s="246"/>
      <c r="I51" s="200"/>
      <c r="J51" s="246">
        <f t="shared" si="1"/>
        <v>0</v>
      </c>
    </row>
    <row r="52" spans="2:10" ht="23" customHeight="1">
      <c r="D52" s="200"/>
      <c r="E52" s="245" t="s">
        <v>371</v>
      </c>
      <c r="F52" s="179" t="str">
        <f>Cuentas!B23</f>
        <v>R</v>
      </c>
      <c r="G52" s="246">
        <f t="shared" si="2"/>
        <v>0</v>
      </c>
      <c r="H52" s="246"/>
      <c r="I52" s="200"/>
      <c r="J52" s="246">
        <f t="shared" si="1"/>
        <v>0</v>
      </c>
    </row>
    <row r="53" spans="2:10" ht="23" customHeight="1">
      <c r="D53" s="200"/>
      <c r="E53" s="245" t="s">
        <v>371</v>
      </c>
      <c r="F53" s="179" t="str">
        <f>Cuentas!B24</f>
        <v>S</v>
      </c>
      <c r="G53" s="246">
        <f t="shared" si="2"/>
        <v>0</v>
      </c>
      <c r="H53" s="246"/>
      <c r="I53" s="200"/>
      <c r="J53" s="246">
        <f t="shared" si="1"/>
        <v>0</v>
      </c>
    </row>
    <row r="54" spans="2:10" ht="23" customHeight="1">
      <c r="D54" s="200"/>
      <c r="E54" s="245" t="s">
        <v>371</v>
      </c>
      <c r="F54" s="179" t="str">
        <f>Cuentas!B25</f>
        <v>T</v>
      </c>
      <c r="G54" s="246">
        <f t="shared" si="2"/>
        <v>0</v>
      </c>
      <c r="H54" s="246"/>
      <c r="I54" s="200"/>
      <c r="J54" s="246">
        <f t="shared" si="1"/>
        <v>0</v>
      </c>
    </row>
    <row r="55" spans="2:10" ht="23" customHeight="1">
      <c r="D55" s="200"/>
      <c r="E55" s="245" t="s">
        <v>371</v>
      </c>
      <c r="F55" s="179" t="str">
        <f>Cuentas!B26</f>
        <v>U</v>
      </c>
      <c r="G55" s="246">
        <f t="shared" si="2"/>
        <v>0</v>
      </c>
      <c r="H55" s="246"/>
      <c r="I55" s="200"/>
      <c r="J55" s="246">
        <f t="shared" si="1"/>
        <v>0</v>
      </c>
    </row>
    <row r="56" spans="2:10" ht="23" customHeight="1">
      <c r="G56" s="238"/>
      <c r="H56" s="238"/>
      <c r="J56" s="118"/>
    </row>
    <row r="57" spans="2:10" ht="23" customHeight="1">
      <c r="E57" s="103"/>
      <c r="F57" s="242" t="s">
        <v>372</v>
      </c>
      <c r="G57" s="243">
        <f>SUM(G35:G55)</f>
        <v>0</v>
      </c>
      <c r="H57" s="243"/>
      <c r="I57" s="103"/>
      <c r="J57" s="243">
        <f>SUM(J35:J55)</f>
        <v>0</v>
      </c>
    </row>
    <row r="60" spans="2:10" ht="23" customHeight="1">
      <c r="B60" s="2" t="s">
        <v>12</v>
      </c>
      <c r="C60" s="2"/>
    </row>
  </sheetData>
  <sheetProtection algorithmName="SHA-512" hashValue="dI5FNAY/2Zytbfw9JzKV8Ad2+nE0uViecTbEH06w1MxOeNYUHD/AtuMGl80AUyFWVmka93JyPiK1QDYtAA6AeQ==" saltValue="Od001mO2tayyPPoET7PhdQ==" spinCount="100000" sheet="1" formatCells="0" formatColumns="0" formatRows="0" insertColumns="0" insertRows="0" deleteColumns="0" deleteRows="0" autoFilter="0"/>
  <autoFilter ref="B6:J28" xr:uid="{348BB6E9-B155-7945-9D6A-EEB1790407F1}"/>
  <dataValidations count="1">
    <dataValidation type="list" allowBlank="1" showInputMessage="1" showErrorMessage="1" promptTitle="OJO:" prompt="Selecciona una moneda" sqref="F29" xr:uid="{A44B55D7-80EE-BE48-B819-97CE2290DF60}">
      <formula1>Monedas_Dividendos</formula1>
    </dataValidation>
  </dataValidations>
  <printOptions horizontalCentered="1"/>
  <pageMargins left="0.25" right="0.25" top="0.75" bottom="0.75" header="0.3" footer="0.3"/>
  <pageSetup scale="56" fitToHeight="10"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OJO:" prompt="Selecciona una moneda" xr:uid="{0010CAF9-24D6-E34E-AFD9-728AC606101F}">
          <x14:formula1>
            <xm:f>Equivalencia!$A$4:$A$23</xm:f>
          </x14:formula1>
          <xm:sqref>F8:F28</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B2:N573"/>
  <sheetViews>
    <sheetView view="pageBreakPreview" zoomScale="50" zoomScaleNormal="90" zoomScaleSheetLayoutView="50" workbookViewId="0">
      <pane ySplit="6" topLeftCell="A515" activePane="bottomLeft" state="frozen"/>
      <selection pane="bottomLeft" activeCell="A535" sqref="A535:XFD540"/>
    </sheetView>
  </sheetViews>
  <sheetFormatPr baseColWidth="10" defaultColWidth="11.5" defaultRowHeight="23" customHeight="1"/>
  <cols>
    <col min="1" max="1" width="11.5" style="1"/>
    <col min="2" max="3" width="27.33203125" style="1" customWidth="1"/>
    <col min="4" max="4" width="16.33203125" style="1" customWidth="1"/>
    <col min="5" max="5" width="48.1640625" style="1" customWidth="1"/>
    <col min="6" max="6" width="20.6640625" style="1" customWidth="1"/>
    <col min="7" max="7" width="21.5" style="1" customWidth="1"/>
    <col min="8" max="8" width="21.33203125" style="1" customWidth="1"/>
    <col min="9" max="9" width="24.33203125" style="1" customWidth="1"/>
    <col min="10" max="10" width="19.1640625" style="1" customWidth="1"/>
    <col min="11" max="11" width="25.1640625" style="1" customWidth="1"/>
    <col min="12" max="16384" width="11.5" style="1"/>
  </cols>
  <sheetData>
    <row r="2" spans="2:14" ht="46" customHeight="1">
      <c r="B2" s="738" t="s">
        <v>656</v>
      </c>
      <c r="C2" s="738"/>
      <c r="D2" s="738"/>
      <c r="E2" s="738"/>
      <c r="F2" s="738"/>
      <c r="G2" s="738"/>
      <c r="H2" s="738"/>
      <c r="I2" s="738"/>
      <c r="J2" s="738"/>
      <c r="K2" s="738"/>
    </row>
    <row r="3" spans="2:14" ht="23" customHeight="1">
      <c r="B3" s="736" t="s">
        <v>657</v>
      </c>
      <c r="C3" s="736"/>
      <c r="D3" s="736"/>
      <c r="E3" s="736"/>
      <c r="F3" s="736"/>
      <c r="G3" s="736"/>
      <c r="H3" s="736"/>
      <c r="I3" s="736"/>
      <c r="J3" s="736"/>
      <c r="K3" s="736"/>
    </row>
    <row r="4" spans="2:14" ht="14" customHeight="1">
      <c r="B4" s="24" t="s">
        <v>446</v>
      </c>
      <c r="C4" s="24" t="s">
        <v>679</v>
      </c>
      <c r="D4" s="24"/>
      <c r="E4" s="24"/>
      <c r="F4" s="24"/>
      <c r="G4" s="24"/>
      <c r="H4" s="24"/>
      <c r="I4" s="24"/>
      <c r="J4" s="24"/>
      <c r="K4" s="24"/>
      <c r="L4" s="25"/>
      <c r="M4" s="25"/>
      <c r="N4" s="25"/>
    </row>
    <row r="5" spans="2:14" ht="23" customHeight="1">
      <c r="B5" s="116"/>
      <c r="C5" s="116"/>
      <c r="D5" s="116"/>
      <c r="E5" s="116"/>
      <c r="F5" s="116"/>
      <c r="G5" s="116"/>
      <c r="H5" s="116"/>
      <c r="I5" s="239"/>
      <c r="J5" s="116"/>
      <c r="K5" s="239"/>
    </row>
    <row r="6" spans="2:14" s="85" customFormat="1" ht="30">
      <c r="B6" s="153" t="s">
        <v>178</v>
      </c>
      <c r="C6" s="153" t="s">
        <v>53</v>
      </c>
      <c r="D6" s="120" t="s">
        <v>54</v>
      </c>
      <c r="E6" s="120" t="s">
        <v>91</v>
      </c>
      <c r="F6" s="120" t="s">
        <v>208</v>
      </c>
      <c r="G6" s="120" t="s">
        <v>170</v>
      </c>
      <c r="H6" s="120" t="s">
        <v>56</v>
      </c>
      <c r="I6" s="120" t="s">
        <v>171</v>
      </c>
      <c r="J6" s="120" t="s">
        <v>364</v>
      </c>
      <c r="K6" s="120" t="s">
        <v>172</v>
      </c>
    </row>
    <row r="7" spans="2:14" ht="23" customHeight="1">
      <c r="B7" s="203"/>
      <c r="C7" s="203"/>
      <c r="D7" s="12"/>
      <c r="E7" s="12"/>
      <c r="F7" s="12"/>
      <c r="G7" s="12"/>
      <c r="H7" s="12"/>
      <c r="I7" s="12"/>
      <c r="J7" s="12"/>
      <c r="K7" s="12"/>
    </row>
    <row r="8" spans="2:14" s="134" customFormat="1" ht="23" customHeight="1">
      <c r="B8" s="7" t="s">
        <v>1246</v>
      </c>
      <c r="C8" s="7" t="s">
        <v>693</v>
      </c>
      <c r="D8" s="159">
        <v>44567</v>
      </c>
      <c r="E8" s="249" t="s">
        <v>694</v>
      </c>
      <c r="F8" s="7" t="s">
        <v>59</v>
      </c>
      <c r="G8" s="250">
        <v>861.53</v>
      </c>
      <c r="H8" s="162">
        <f>IF(F8=0,0,IF(F8="MXN",1/HLOOKUP(YEAR(D8)+(MONTH(D8)/100),TC!$5:$437,DAY(D8)+2,FALSE),VLOOKUP(F8,Equivalencia!$1:$23,((MAX(Equivalencia!$3:$3)-YEAR(D8))*14)+MONTH(D8)+2,FALSE)))</f>
        <v>1</v>
      </c>
      <c r="I8" s="251">
        <f t="shared" ref="I8:I23" si="0">G8*H8</f>
        <v>861.53</v>
      </c>
      <c r="J8" s="162">
        <f>IF(D8=0,0,HLOOKUP(YEAR(D8)+(MONTH(D8)/100),TC!$5:$37,DAY(D8)+2,FALSE))</f>
        <v>20.4742</v>
      </c>
      <c r="K8" s="250">
        <f t="shared" ref="K8:K23" si="1">I8*J8</f>
        <v>17639.137525999999</v>
      </c>
    </row>
    <row r="9" spans="2:14" s="134" customFormat="1" ht="23" customHeight="1">
      <c r="B9" s="7" t="s">
        <v>1246</v>
      </c>
      <c r="C9" s="7" t="s">
        <v>693</v>
      </c>
      <c r="D9" s="159">
        <v>44567</v>
      </c>
      <c r="E9" s="249" t="s">
        <v>695</v>
      </c>
      <c r="F9" s="7" t="s">
        <v>59</v>
      </c>
      <c r="G9" s="250">
        <v>208.57</v>
      </c>
      <c r="H9" s="162">
        <f>IF(F9=0,0,IF(F9="MXN",1/HLOOKUP(YEAR(D9)+(MONTH(D9)/100),TC!$5:$437,DAY(D9)+2,FALSE),VLOOKUP(F9,Equivalencia!$1:$23,((MAX(Equivalencia!$3:$3)-YEAR(D9))*14)+MONTH(D9)+2,FALSE)))</f>
        <v>1</v>
      </c>
      <c r="I9" s="251">
        <f t="shared" si="0"/>
        <v>208.57</v>
      </c>
      <c r="J9" s="162">
        <f>IF(D9=0,0,HLOOKUP(YEAR(D9)+(MONTH(D9)/100),TC!$5:$37,DAY(D9)+2,FALSE))</f>
        <v>20.4742</v>
      </c>
      <c r="K9" s="250">
        <f t="shared" si="1"/>
        <v>4270.3038939999997</v>
      </c>
    </row>
    <row r="10" spans="2:14" s="134" customFormat="1" ht="23" customHeight="1">
      <c r="B10" s="7" t="s">
        <v>1246</v>
      </c>
      <c r="C10" s="7" t="s">
        <v>693</v>
      </c>
      <c r="D10" s="159">
        <v>44594</v>
      </c>
      <c r="E10" s="249" t="s">
        <v>696</v>
      </c>
      <c r="F10" s="7" t="s">
        <v>59</v>
      </c>
      <c r="G10" s="250">
        <v>12011.73</v>
      </c>
      <c r="H10" s="162">
        <f>IF(F10=0,0,IF(F10="MXN",1/HLOOKUP(YEAR(D10)+(MONTH(D10)/100),TC!$5:$437,DAY(D10)+2,FALSE),VLOOKUP(F10,Equivalencia!$1:$23,((MAX(Equivalencia!$3:$3)-YEAR(D10))*14)+MONTH(D10)+2,FALSE)))</f>
        <v>1</v>
      </c>
      <c r="I10" s="251">
        <f t="shared" si="0"/>
        <v>12011.73</v>
      </c>
      <c r="J10" s="162">
        <f>IF(D10=0,0,HLOOKUP(YEAR(D10)+(MONTH(D10)/100),TC!$5:$37,DAY(D10)+2,FALSE))</f>
        <v>20.635200000000001</v>
      </c>
      <c r="K10" s="250">
        <f t="shared" si="1"/>
        <v>247864.45089599999</v>
      </c>
    </row>
    <row r="11" spans="2:14" s="134" customFormat="1" ht="23" customHeight="1">
      <c r="B11" s="7" t="s">
        <v>1246</v>
      </c>
      <c r="C11" s="7" t="s">
        <v>693</v>
      </c>
      <c r="D11" s="159">
        <v>44648</v>
      </c>
      <c r="E11" s="249" t="s">
        <v>697</v>
      </c>
      <c r="F11" s="7" t="s">
        <v>59</v>
      </c>
      <c r="G11" s="250">
        <v>2415.0500000000002</v>
      </c>
      <c r="H11" s="162">
        <f>IF(F11=0,0,IF(F11="MXN",1/HLOOKUP(YEAR(D11)+(MONTH(D11)/100),TC!$5:$437,DAY(D11)+2,FALSE),VLOOKUP(F11,Equivalencia!$1:$23,((MAX(Equivalencia!$3:$3)-YEAR(D11))*14)+MONTH(D11)+2,FALSE)))</f>
        <v>1</v>
      </c>
      <c r="I11" s="251">
        <f t="shared" si="0"/>
        <v>2415.0500000000002</v>
      </c>
      <c r="J11" s="162">
        <f>IF(D11=0,0,HLOOKUP(YEAR(D11)+(MONTH(D11)/100),TC!$5:$37,DAY(D11)+2,FALSE))</f>
        <v>20.1313</v>
      </c>
      <c r="K11" s="250">
        <f t="shared" si="1"/>
        <v>48618.096065000005</v>
      </c>
    </row>
    <row r="12" spans="2:14" s="134" customFormat="1" ht="23" customHeight="1">
      <c r="B12" s="7" t="s">
        <v>1246</v>
      </c>
      <c r="C12" s="7" t="s">
        <v>693</v>
      </c>
      <c r="D12" s="159">
        <v>44648</v>
      </c>
      <c r="E12" s="249" t="s">
        <v>698</v>
      </c>
      <c r="F12" s="7" t="s">
        <v>59</v>
      </c>
      <c r="G12" s="250">
        <v>2450.08</v>
      </c>
      <c r="H12" s="162">
        <f>IF(F12=0,0,IF(F12="MXN",1/HLOOKUP(YEAR(D12)+(MONTH(D12)/100),TC!$5:$437,DAY(D12)+2,FALSE),VLOOKUP(F12,Equivalencia!$1:$23,((MAX(Equivalencia!$3:$3)-YEAR(D12))*14)+MONTH(D12)+2,FALSE)))</f>
        <v>1</v>
      </c>
      <c r="I12" s="251">
        <f t="shared" si="0"/>
        <v>2450.08</v>
      </c>
      <c r="J12" s="162">
        <f>IF(D12=0,0,HLOOKUP(YEAR(D12)+(MONTH(D12)/100),TC!$5:$37,DAY(D12)+2,FALSE))</f>
        <v>20.1313</v>
      </c>
      <c r="K12" s="250">
        <f t="shared" si="1"/>
        <v>49323.295503999994</v>
      </c>
    </row>
    <row r="13" spans="2:14" s="134" customFormat="1" ht="23" customHeight="1">
      <c r="B13" s="7" t="s">
        <v>1246</v>
      </c>
      <c r="C13" s="7" t="s">
        <v>693</v>
      </c>
      <c r="D13" s="159">
        <v>44648</v>
      </c>
      <c r="E13" s="249" t="s">
        <v>699</v>
      </c>
      <c r="F13" s="7" t="s">
        <v>59</v>
      </c>
      <c r="G13" s="250">
        <v>1052.9000000000001</v>
      </c>
      <c r="H13" s="162">
        <f>IF(F13=0,0,IF(F13="MXN",1/HLOOKUP(YEAR(D13)+(MONTH(D13)/100),TC!$5:$437,DAY(D13)+2,FALSE),VLOOKUP(F13,Equivalencia!$1:$23,((MAX(Equivalencia!$3:$3)-YEAR(D13))*14)+MONTH(D13)+2,FALSE)))</f>
        <v>1</v>
      </c>
      <c r="I13" s="251">
        <f t="shared" si="0"/>
        <v>1052.9000000000001</v>
      </c>
      <c r="J13" s="162">
        <f>IF(D13=0,0,HLOOKUP(YEAR(D13)+(MONTH(D13)/100),TC!$5:$37,DAY(D13)+2,FALSE))</f>
        <v>20.1313</v>
      </c>
      <c r="K13" s="250">
        <f t="shared" si="1"/>
        <v>21196.245770000001</v>
      </c>
    </row>
    <row r="14" spans="2:14" s="134" customFormat="1" ht="23" customHeight="1">
      <c r="B14" s="7" t="s">
        <v>1246</v>
      </c>
      <c r="C14" s="7" t="s">
        <v>693</v>
      </c>
      <c r="D14" s="159">
        <v>44649</v>
      </c>
      <c r="E14" s="249" t="s">
        <v>700</v>
      </c>
      <c r="F14" s="7" t="s">
        <v>59</v>
      </c>
      <c r="G14" s="250">
        <v>526.98</v>
      </c>
      <c r="H14" s="162">
        <f>IF(F14=0,0,IF(F14="MXN",1/HLOOKUP(YEAR(D14)+(MONTH(D14)/100),TC!$5:$437,DAY(D14)+2,FALSE),VLOOKUP(F14,Equivalencia!$1:$23,((MAX(Equivalencia!$3:$3)-YEAR(D14))*14)+MONTH(D14)+2,FALSE)))</f>
        <v>1</v>
      </c>
      <c r="I14" s="251">
        <f t="shared" si="0"/>
        <v>526.98</v>
      </c>
      <c r="J14" s="162">
        <f>IF(D14=0,0,HLOOKUP(YEAR(D14)+(MONTH(D14)/100),TC!$5:$37,DAY(D14)+2,FALSE))</f>
        <v>19.957699999999999</v>
      </c>
      <c r="K14" s="250">
        <f t="shared" si="1"/>
        <v>10517.308746000001</v>
      </c>
    </row>
    <row r="15" spans="2:14" s="134" customFormat="1" ht="23" customHeight="1">
      <c r="B15" s="7" t="s">
        <v>1246</v>
      </c>
      <c r="C15" s="7" t="s">
        <v>693</v>
      </c>
      <c r="D15" s="159">
        <v>44650</v>
      </c>
      <c r="E15" s="249" t="s">
        <v>701</v>
      </c>
      <c r="F15" s="7" t="s">
        <v>59</v>
      </c>
      <c r="G15" s="250">
        <v>490.52</v>
      </c>
      <c r="H15" s="162">
        <f>IF(F15=0,0,IF(F15="MXN",1/HLOOKUP(YEAR(D15)+(MONTH(D15)/100),TC!$5:$437,DAY(D15)+2,FALSE),VLOOKUP(F15,Equivalencia!$1:$23,((MAX(Equivalencia!$3:$3)-YEAR(D15))*14)+MONTH(D15)+2,FALSE)))</f>
        <v>1</v>
      </c>
      <c r="I15" s="251">
        <f t="shared" si="0"/>
        <v>490.52</v>
      </c>
      <c r="J15" s="162">
        <f>IF(D15=0,0,HLOOKUP(YEAR(D15)+(MONTH(D15)/100),TC!$5:$37,DAY(D15)+2,FALSE))</f>
        <v>20.119499999999999</v>
      </c>
      <c r="K15" s="250">
        <f t="shared" si="1"/>
        <v>9869.0171399999981</v>
      </c>
    </row>
    <row r="16" spans="2:14" s="134" customFormat="1" ht="23" customHeight="1">
      <c r="B16" s="7" t="s">
        <v>1246</v>
      </c>
      <c r="C16" s="7" t="s">
        <v>693</v>
      </c>
      <c r="D16" s="159">
        <v>44650</v>
      </c>
      <c r="E16" s="249" t="s">
        <v>702</v>
      </c>
      <c r="F16" s="7" t="s">
        <v>59</v>
      </c>
      <c r="G16" s="250">
        <v>2233.79</v>
      </c>
      <c r="H16" s="162">
        <f>IF(F16=0,0,IF(F16="MXN",1/HLOOKUP(YEAR(D16)+(MONTH(D16)/100),TC!$5:$437,DAY(D16)+2,FALSE),VLOOKUP(F16,Equivalencia!$1:$23,((MAX(Equivalencia!$3:$3)-YEAR(D16))*14)+MONTH(D16)+2,FALSE)))</f>
        <v>1</v>
      </c>
      <c r="I16" s="251">
        <f t="shared" si="0"/>
        <v>2233.79</v>
      </c>
      <c r="J16" s="162">
        <f>IF(D16=0,0,HLOOKUP(YEAR(D16)+(MONTH(D16)/100),TC!$5:$37,DAY(D16)+2,FALSE))</f>
        <v>20.119499999999999</v>
      </c>
      <c r="K16" s="250">
        <f t="shared" si="1"/>
        <v>44942.737904999994</v>
      </c>
    </row>
    <row r="17" spans="2:11" s="134" customFormat="1" ht="23" customHeight="1">
      <c r="B17" s="7" t="s">
        <v>1246</v>
      </c>
      <c r="C17" s="7" t="s">
        <v>693</v>
      </c>
      <c r="D17" s="159">
        <v>44651</v>
      </c>
      <c r="E17" s="249" t="s">
        <v>701</v>
      </c>
      <c r="F17" s="7" t="s">
        <v>59</v>
      </c>
      <c r="G17" s="250">
        <v>490.52</v>
      </c>
      <c r="H17" s="162">
        <f>IF(F17=0,0,IF(F17="MXN",1/HLOOKUP(YEAR(D17)+(MONTH(D17)/100),TC!$5:$437,DAY(D17)+2,FALSE),VLOOKUP(F17,Equivalencia!$1:$23,((MAX(Equivalencia!$3:$3)-YEAR(D17))*14)+MONTH(D17)+2,FALSE)))</f>
        <v>1</v>
      </c>
      <c r="I17" s="251">
        <f t="shared" si="0"/>
        <v>490.52</v>
      </c>
      <c r="J17" s="162">
        <f>IF(D17=0,0,HLOOKUP(YEAR(D17)+(MONTH(D17)/100),TC!$5:$37,DAY(D17)+2,FALSE))</f>
        <v>19.994199999999999</v>
      </c>
      <c r="K17" s="250">
        <f t="shared" si="1"/>
        <v>9807.5549839999985</v>
      </c>
    </row>
    <row r="18" spans="2:11" s="134" customFormat="1" ht="23" customHeight="1">
      <c r="B18" s="7" t="s">
        <v>1246</v>
      </c>
      <c r="C18" s="7" t="s">
        <v>693</v>
      </c>
      <c r="D18" s="159">
        <v>44651</v>
      </c>
      <c r="E18" s="249" t="s">
        <v>702</v>
      </c>
      <c r="F18" s="7" t="s">
        <v>59</v>
      </c>
      <c r="G18" s="250">
        <v>2233.79</v>
      </c>
      <c r="H18" s="162">
        <f>IF(F18=0,0,IF(F18="MXN",1/HLOOKUP(YEAR(D18)+(MONTH(D18)/100),TC!$5:$437,DAY(D18)+2,FALSE),VLOOKUP(F18,Equivalencia!$1:$23,((MAX(Equivalencia!$3:$3)-YEAR(D18))*14)+MONTH(D18)+2,FALSE)))</f>
        <v>1</v>
      </c>
      <c r="I18" s="251">
        <f t="shared" si="0"/>
        <v>2233.79</v>
      </c>
      <c r="J18" s="162">
        <f>IF(D18=0,0,HLOOKUP(YEAR(D18)+(MONTH(D18)/100),TC!$5:$37,DAY(D18)+2,FALSE))</f>
        <v>19.994199999999999</v>
      </c>
      <c r="K18" s="250">
        <f t="shared" si="1"/>
        <v>44662.844017999996</v>
      </c>
    </row>
    <row r="19" spans="2:11" s="134" customFormat="1" ht="23" customHeight="1">
      <c r="B19" s="7" t="s">
        <v>1246</v>
      </c>
      <c r="C19" s="7" t="s">
        <v>693</v>
      </c>
      <c r="D19" s="159">
        <v>44652</v>
      </c>
      <c r="E19" s="249" t="s">
        <v>703</v>
      </c>
      <c r="F19" s="7" t="s">
        <v>59</v>
      </c>
      <c r="G19" s="250">
        <v>66.180000000000007</v>
      </c>
      <c r="H19" s="162">
        <f>IF(F19=0,0,IF(F19="MXN",1/HLOOKUP(YEAR(D19)+(MONTH(D19)/100),TC!$5:$437,DAY(D19)+2,FALSE),VLOOKUP(F19,Equivalencia!$1:$23,((MAX(Equivalencia!$3:$3)-YEAR(D19))*14)+MONTH(D19)+2,FALSE)))</f>
        <v>1</v>
      </c>
      <c r="I19" s="251">
        <f t="shared" si="0"/>
        <v>66.180000000000007</v>
      </c>
      <c r="J19" s="162">
        <f>IF(D19=0,0,HLOOKUP(YEAR(D19)+(MONTH(D19)/100),TC!$5:$37,DAY(D19)+2,FALSE))</f>
        <v>19.863199999999999</v>
      </c>
      <c r="K19" s="250">
        <f t="shared" si="1"/>
        <v>1314.5465760000002</v>
      </c>
    </row>
    <row r="20" spans="2:11" s="134" customFormat="1" ht="23" customHeight="1">
      <c r="B20" s="7" t="s">
        <v>1246</v>
      </c>
      <c r="C20" s="7" t="s">
        <v>693</v>
      </c>
      <c r="D20" s="159">
        <v>44657</v>
      </c>
      <c r="E20" s="249" t="s">
        <v>704</v>
      </c>
      <c r="F20" s="7" t="s">
        <v>59</v>
      </c>
      <c r="G20" s="250">
        <v>-490.52</v>
      </c>
      <c r="H20" s="162">
        <f>IF(F20=0,0,IF(F20="MXN",1/HLOOKUP(YEAR(D20)+(MONTH(D20)/100),TC!$5:$437,DAY(D20)+2,FALSE),VLOOKUP(F20,Equivalencia!$1:$23,((MAX(Equivalencia!$3:$3)-YEAR(D20))*14)+MONTH(D20)+2,FALSE)))</f>
        <v>1</v>
      </c>
      <c r="I20" s="251">
        <f t="shared" si="0"/>
        <v>-490.52</v>
      </c>
      <c r="J20" s="162">
        <f>IF(D20=0,0,HLOOKUP(YEAR(D20)+(MONTH(D20)/100),TC!$5:$37,DAY(D20)+2,FALSE))</f>
        <v>19.744299999999999</v>
      </c>
      <c r="K20" s="250">
        <f t="shared" si="1"/>
        <v>-9684.9740359999996</v>
      </c>
    </row>
    <row r="21" spans="2:11" s="134" customFormat="1" ht="23" customHeight="1">
      <c r="B21" s="7" t="s">
        <v>1246</v>
      </c>
      <c r="C21" s="7" t="s">
        <v>693</v>
      </c>
      <c r="D21" s="159">
        <v>44657</v>
      </c>
      <c r="E21" s="249" t="s">
        <v>704</v>
      </c>
      <c r="F21" s="7" t="s">
        <v>59</v>
      </c>
      <c r="G21" s="250">
        <v>-2233.79</v>
      </c>
      <c r="H21" s="162">
        <f>IF(F21=0,0,IF(F21="MXN",1/HLOOKUP(YEAR(D21)+(MONTH(D21)/100),TC!$5:$437,DAY(D21)+2,FALSE),VLOOKUP(F21,Equivalencia!$1:$23,((MAX(Equivalencia!$3:$3)-YEAR(D21))*14)+MONTH(D21)+2,FALSE)))</f>
        <v>1</v>
      </c>
      <c r="I21" s="251">
        <f t="shared" si="0"/>
        <v>-2233.79</v>
      </c>
      <c r="J21" s="162">
        <f>IF(D21=0,0,HLOOKUP(YEAR(D21)+(MONTH(D21)/100),TC!$5:$37,DAY(D21)+2,FALSE))</f>
        <v>19.744299999999999</v>
      </c>
      <c r="K21" s="250">
        <f t="shared" si="1"/>
        <v>-44104.619896999997</v>
      </c>
    </row>
    <row r="22" spans="2:11" s="134" customFormat="1" ht="23" customHeight="1">
      <c r="B22" s="7" t="s">
        <v>1246</v>
      </c>
      <c r="C22" s="7" t="s">
        <v>693</v>
      </c>
      <c r="D22" s="159">
        <v>44683</v>
      </c>
      <c r="E22" s="249" t="s">
        <v>705</v>
      </c>
      <c r="F22" s="7" t="s">
        <v>59</v>
      </c>
      <c r="G22" s="250">
        <v>8148.79</v>
      </c>
      <c r="H22" s="162">
        <f>IF(F22=0,0,IF(F22="MXN",1/HLOOKUP(YEAR(D22)+(MONTH(D22)/100),TC!$5:$437,DAY(D22)+2,FALSE),VLOOKUP(F22,Equivalencia!$1:$23,((MAX(Equivalencia!$3:$3)-YEAR(D22))*14)+MONTH(D22)+2,FALSE)))</f>
        <v>1</v>
      </c>
      <c r="I22" s="251">
        <f t="shared" si="0"/>
        <v>8148.79</v>
      </c>
      <c r="J22" s="162">
        <f>IF(D22=0,0,HLOOKUP(YEAR(D22)+(MONTH(D22)/100),TC!$5:$37,DAY(D22)+2,FALSE))</f>
        <v>20.567</v>
      </c>
      <c r="K22" s="250">
        <f t="shared" si="1"/>
        <v>167596.16393000001</v>
      </c>
    </row>
    <row r="23" spans="2:11" s="134" customFormat="1" ht="23" customHeight="1">
      <c r="B23" s="7" t="s">
        <v>1246</v>
      </c>
      <c r="C23" s="7" t="s">
        <v>693</v>
      </c>
      <c r="D23" s="159">
        <v>44694</v>
      </c>
      <c r="E23" s="249" t="s">
        <v>706</v>
      </c>
      <c r="F23" s="7" t="s">
        <v>59</v>
      </c>
      <c r="G23" s="250">
        <v>1033.3</v>
      </c>
      <c r="H23" s="162">
        <f>IF(F23=0,0,IF(F23="MXN",1/HLOOKUP(YEAR(D23)+(MONTH(D23)/100),TC!$5:$437,DAY(D23)+2,FALSE),VLOOKUP(F23,Equivalencia!$1:$23,((MAX(Equivalencia!$3:$3)-YEAR(D23))*14)+MONTH(D23)+2,FALSE)))</f>
        <v>1</v>
      </c>
      <c r="I23" s="251">
        <f t="shared" si="0"/>
        <v>1033.3</v>
      </c>
      <c r="J23" s="162">
        <f>IF(D23=0,0,HLOOKUP(YEAR(D23)+(MONTH(D23)/100),TC!$5:$37,DAY(D23)+2,FALSE))</f>
        <v>20.2592</v>
      </c>
      <c r="K23" s="250">
        <f t="shared" si="1"/>
        <v>20933.83136</v>
      </c>
    </row>
    <row r="24" spans="2:11" s="134" customFormat="1" ht="23" customHeight="1">
      <c r="B24" s="7" t="s">
        <v>1246</v>
      </c>
      <c r="C24" s="7" t="s">
        <v>693</v>
      </c>
      <c r="D24" s="159">
        <v>44728</v>
      </c>
      <c r="E24" s="249" t="s">
        <v>862</v>
      </c>
      <c r="F24" s="7" t="s">
        <v>59</v>
      </c>
      <c r="G24" s="250">
        <v>6422.41</v>
      </c>
      <c r="H24" s="162">
        <f>IF(F24=0,0,IF(F24="MXN",1/HLOOKUP(YEAR(D24)+(MONTH(D24)/100),TC!$5:$437,DAY(D24)+2,FALSE),VLOOKUP(F24,Equivalencia!$1:$23,((MAX(Equivalencia!$3:$3)-YEAR(D24))*14)+MONTH(D24)+2,FALSE)))</f>
        <v>1</v>
      </c>
      <c r="I24" s="251">
        <f t="shared" ref="I24:I37" si="2">G24*H24</f>
        <v>6422.41</v>
      </c>
      <c r="J24" s="162">
        <f>IF(D24=0,0,HLOOKUP(YEAR(D24)+(MONTH(D24)/100),TC!$5:$37,DAY(D24)+2,FALSE))</f>
        <v>20.658300000000001</v>
      </c>
      <c r="K24" s="250">
        <f t="shared" ref="K24:K35" si="3">I24*J24</f>
        <v>132676.072503</v>
      </c>
    </row>
    <row r="25" spans="2:11" s="134" customFormat="1" ht="23" customHeight="1">
      <c r="B25" s="7" t="s">
        <v>1246</v>
      </c>
      <c r="C25" s="7" t="s">
        <v>693</v>
      </c>
      <c r="D25" s="159">
        <v>44728</v>
      </c>
      <c r="E25" s="249" t="s">
        <v>863</v>
      </c>
      <c r="F25" s="7" t="s">
        <v>59</v>
      </c>
      <c r="G25" s="250">
        <v>3446.04</v>
      </c>
      <c r="H25" s="162">
        <f>IF(F25=0,0,IF(F25="MXN",1/HLOOKUP(YEAR(D25)+(MONTH(D25)/100),TC!$5:$437,DAY(D25)+2,FALSE),VLOOKUP(F25,Equivalencia!$1:$23,((MAX(Equivalencia!$3:$3)-YEAR(D25))*14)+MONTH(D25)+2,FALSE)))</f>
        <v>1</v>
      </c>
      <c r="I25" s="251">
        <f t="shared" si="2"/>
        <v>3446.04</v>
      </c>
      <c r="J25" s="162">
        <f>IF(D25=0,0,HLOOKUP(YEAR(D25)+(MONTH(D25)/100),TC!$5:$37,DAY(D25)+2,FALSE))</f>
        <v>20.658300000000001</v>
      </c>
      <c r="K25" s="250">
        <f t="shared" si="3"/>
        <v>71189.328131999995</v>
      </c>
    </row>
    <row r="26" spans="2:11" s="134" customFormat="1" ht="23" customHeight="1">
      <c r="B26" s="7" t="s">
        <v>1246</v>
      </c>
      <c r="C26" s="7" t="s">
        <v>693</v>
      </c>
      <c r="D26" s="159">
        <v>44728</v>
      </c>
      <c r="E26" s="249" t="s">
        <v>864</v>
      </c>
      <c r="F26" s="7" t="s">
        <v>59</v>
      </c>
      <c r="G26" s="250">
        <v>13462.83</v>
      </c>
      <c r="H26" s="162">
        <f>IF(F26=0,0,IF(F26="MXN",1/HLOOKUP(YEAR(D26)+(MONTH(D26)/100),TC!$5:$437,DAY(D26)+2,FALSE),VLOOKUP(F26,Equivalencia!$1:$23,((MAX(Equivalencia!$3:$3)-YEAR(D26))*14)+MONTH(D26)+2,FALSE)))</f>
        <v>1</v>
      </c>
      <c r="I26" s="251">
        <f t="shared" si="2"/>
        <v>13462.83</v>
      </c>
      <c r="J26" s="162">
        <f>IF(D26=0,0,HLOOKUP(YEAR(D26)+(MONTH(D26)/100),TC!$5:$37,DAY(D26)+2,FALSE))</f>
        <v>20.658300000000001</v>
      </c>
      <c r="K26" s="250">
        <f t="shared" si="3"/>
        <v>278119.18098900001</v>
      </c>
    </row>
    <row r="27" spans="2:11" s="134" customFormat="1" ht="23" customHeight="1">
      <c r="B27" s="7" t="s">
        <v>1246</v>
      </c>
      <c r="C27" s="7" t="s">
        <v>693</v>
      </c>
      <c r="D27" s="159">
        <v>44728</v>
      </c>
      <c r="E27" s="249" t="s">
        <v>865</v>
      </c>
      <c r="F27" s="7" t="s">
        <v>59</v>
      </c>
      <c r="G27" s="250">
        <v>1141.6099999999999</v>
      </c>
      <c r="H27" s="162">
        <f>IF(F27=0,0,IF(F27="MXN",1/HLOOKUP(YEAR(D27)+(MONTH(D27)/100),TC!$5:$437,DAY(D27)+2,FALSE),VLOOKUP(F27,Equivalencia!$1:$23,((MAX(Equivalencia!$3:$3)-YEAR(D27))*14)+MONTH(D27)+2,FALSE)))</f>
        <v>1</v>
      </c>
      <c r="I27" s="251">
        <f t="shared" si="2"/>
        <v>1141.6099999999999</v>
      </c>
      <c r="J27" s="162">
        <f>IF(D27=0,0,HLOOKUP(YEAR(D27)+(MONTH(D27)/100),TC!$5:$37,DAY(D27)+2,FALSE))</f>
        <v>20.658300000000001</v>
      </c>
      <c r="K27" s="250">
        <f t="shared" si="3"/>
        <v>23583.721862999999</v>
      </c>
    </row>
    <row r="28" spans="2:11" s="134" customFormat="1" ht="23" customHeight="1">
      <c r="B28" s="7" t="s">
        <v>1246</v>
      </c>
      <c r="C28" s="7" t="s">
        <v>693</v>
      </c>
      <c r="D28" s="159">
        <v>44728</v>
      </c>
      <c r="E28" s="249" t="s">
        <v>702</v>
      </c>
      <c r="F28" s="7" t="s">
        <v>59</v>
      </c>
      <c r="G28" s="250">
        <v>2047.83</v>
      </c>
      <c r="H28" s="162">
        <f>IF(F28=0,0,IF(F28="MXN",1/HLOOKUP(YEAR(D28)+(MONTH(D28)/100),TC!$5:$437,DAY(D28)+2,FALSE),VLOOKUP(F28,Equivalencia!$1:$23,((MAX(Equivalencia!$3:$3)-YEAR(D28))*14)+MONTH(D28)+2,FALSE)))</f>
        <v>1</v>
      </c>
      <c r="I28" s="251">
        <f t="shared" si="2"/>
        <v>2047.83</v>
      </c>
      <c r="J28" s="162">
        <f>IF(D28=0,0,HLOOKUP(YEAR(D28)+(MONTH(D28)/100),TC!$5:$37,DAY(D28)+2,FALSE))</f>
        <v>20.658300000000001</v>
      </c>
      <c r="K28" s="250">
        <f t="shared" si="3"/>
        <v>42304.686489</v>
      </c>
    </row>
    <row r="29" spans="2:11" s="134" customFormat="1" ht="23" customHeight="1">
      <c r="B29" s="7" t="s">
        <v>1246</v>
      </c>
      <c r="C29" s="7" t="s">
        <v>693</v>
      </c>
      <c r="D29" s="159">
        <v>44728</v>
      </c>
      <c r="E29" s="249" t="s">
        <v>701</v>
      </c>
      <c r="F29" s="7" t="s">
        <v>59</v>
      </c>
      <c r="G29" s="250">
        <v>476.66</v>
      </c>
      <c r="H29" s="162">
        <f>IF(F29=0,0,IF(F29="MXN",1/HLOOKUP(YEAR(D29)+(MONTH(D29)/100),TC!$5:$437,DAY(D29)+2,FALSE),VLOOKUP(F29,Equivalencia!$1:$23,((MAX(Equivalencia!$3:$3)-YEAR(D29))*14)+MONTH(D29)+2,FALSE)))</f>
        <v>1</v>
      </c>
      <c r="I29" s="251">
        <f t="shared" si="2"/>
        <v>476.66</v>
      </c>
      <c r="J29" s="162">
        <f>IF(D29=0,0,HLOOKUP(YEAR(D29)+(MONTH(D29)/100),TC!$5:$37,DAY(D29)+2,FALSE))</f>
        <v>20.658300000000001</v>
      </c>
      <c r="K29" s="250">
        <f t="shared" si="3"/>
        <v>9846.9852780000001</v>
      </c>
    </row>
    <row r="30" spans="2:11" s="134" customFormat="1" ht="23" customHeight="1">
      <c r="B30" s="7" t="s">
        <v>1246</v>
      </c>
      <c r="C30" s="7" t="s">
        <v>693</v>
      </c>
      <c r="D30" s="159">
        <v>44728</v>
      </c>
      <c r="E30" s="249" t="s">
        <v>866</v>
      </c>
      <c r="F30" s="7" t="s">
        <v>59</v>
      </c>
      <c r="G30" s="250">
        <v>2023.39</v>
      </c>
      <c r="H30" s="162">
        <f>IF(F30=0,0,IF(F30="MXN",1/HLOOKUP(YEAR(D30)+(MONTH(D30)/100),TC!$5:$437,DAY(D30)+2,FALSE),VLOOKUP(F30,Equivalencia!$1:$23,((MAX(Equivalencia!$3:$3)-YEAR(D30))*14)+MONTH(D30)+2,FALSE)))</f>
        <v>1</v>
      </c>
      <c r="I30" s="251">
        <f t="shared" si="2"/>
        <v>2023.39</v>
      </c>
      <c r="J30" s="162">
        <f>IF(D30=0,0,HLOOKUP(YEAR(D30)+(MONTH(D30)/100),TC!$5:$37,DAY(D30)+2,FALSE))</f>
        <v>20.658300000000001</v>
      </c>
      <c r="K30" s="250">
        <f t="shared" si="3"/>
        <v>41799.797637000003</v>
      </c>
    </row>
    <row r="31" spans="2:11" s="134" customFormat="1" ht="23" customHeight="1">
      <c r="B31" s="7" t="s">
        <v>1246</v>
      </c>
      <c r="C31" s="7" t="s">
        <v>693</v>
      </c>
      <c r="D31" s="159">
        <v>44728</v>
      </c>
      <c r="E31" s="249" t="s">
        <v>867</v>
      </c>
      <c r="F31" s="7" t="s">
        <v>59</v>
      </c>
      <c r="G31" s="250">
        <v>3734.56</v>
      </c>
      <c r="H31" s="162">
        <f>IF(F31=0,0,IF(F31="MXN",1/HLOOKUP(YEAR(D31)+(MONTH(D31)/100),TC!$5:$437,DAY(D31)+2,FALSE),VLOOKUP(F31,Equivalencia!$1:$23,((MAX(Equivalencia!$3:$3)-YEAR(D31))*14)+MONTH(D31)+2,FALSE)))</f>
        <v>1</v>
      </c>
      <c r="I31" s="251">
        <f t="shared" si="2"/>
        <v>3734.56</v>
      </c>
      <c r="J31" s="162">
        <f>IF(D31=0,0,HLOOKUP(YEAR(D31)+(MONTH(D31)/100),TC!$5:$37,DAY(D31)+2,FALSE))</f>
        <v>20.658300000000001</v>
      </c>
      <c r="K31" s="250">
        <f t="shared" si="3"/>
        <v>77149.660848</v>
      </c>
    </row>
    <row r="32" spans="2:11" s="134" customFormat="1" ht="23" customHeight="1">
      <c r="B32" s="7" t="s">
        <v>1246</v>
      </c>
      <c r="C32" s="7" t="s">
        <v>693</v>
      </c>
      <c r="D32" s="159">
        <v>44739</v>
      </c>
      <c r="E32" s="249" t="s">
        <v>699</v>
      </c>
      <c r="F32" s="7" t="s">
        <v>59</v>
      </c>
      <c r="G32" s="250">
        <v>2634.06</v>
      </c>
      <c r="H32" s="162">
        <f>IF(F32=0,0,IF(F32="MXN",1/HLOOKUP(YEAR(D32)+(MONTH(D32)/100),TC!$5:$437,DAY(D32)+2,FALSE),VLOOKUP(F32,Equivalencia!$1:$23,((MAX(Equivalencia!$3:$3)-YEAR(D32))*14)+MONTH(D32)+2,FALSE)))</f>
        <v>1</v>
      </c>
      <c r="I32" s="251">
        <f t="shared" si="2"/>
        <v>2634.06</v>
      </c>
      <c r="J32" s="162">
        <f>IF(D32=0,0,HLOOKUP(YEAR(D32)+(MONTH(D32)/100),TC!$5:$37,DAY(D32)+2,FALSE))</f>
        <v>20.0365</v>
      </c>
      <c r="K32" s="250">
        <f t="shared" si="3"/>
        <v>52777.34319</v>
      </c>
    </row>
    <row r="33" spans="2:11" s="134" customFormat="1" ht="23" customHeight="1">
      <c r="B33" s="7" t="s">
        <v>1246</v>
      </c>
      <c r="C33" s="7" t="s">
        <v>693</v>
      </c>
      <c r="D33" s="159">
        <v>44739</v>
      </c>
      <c r="E33" s="249" t="s">
        <v>697</v>
      </c>
      <c r="F33" s="7" t="s">
        <v>59</v>
      </c>
      <c r="G33" s="250">
        <v>2418.5300000000002</v>
      </c>
      <c r="H33" s="162">
        <f>IF(F33=0,0,IF(F33="MXN",1/HLOOKUP(YEAR(D33)+(MONTH(D33)/100),TC!$5:$437,DAY(D33)+2,FALSE),VLOOKUP(F33,Equivalencia!$1:$23,((MAX(Equivalencia!$3:$3)-YEAR(D33))*14)+MONTH(D33)+2,FALSE)))</f>
        <v>1</v>
      </c>
      <c r="I33" s="251">
        <f t="shared" si="2"/>
        <v>2418.5300000000002</v>
      </c>
      <c r="J33" s="162">
        <f>IF(D33=0,0,HLOOKUP(YEAR(D33)+(MONTH(D33)/100),TC!$5:$37,DAY(D33)+2,FALSE))</f>
        <v>20.0365</v>
      </c>
      <c r="K33" s="250">
        <f t="shared" si="3"/>
        <v>48458.876345000004</v>
      </c>
    </row>
    <row r="34" spans="2:11" s="134" customFormat="1" ht="23" customHeight="1">
      <c r="B34" s="7" t="s">
        <v>1246</v>
      </c>
      <c r="C34" s="7" t="s">
        <v>693</v>
      </c>
      <c r="D34" s="159">
        <v>44739</v>
      </c>
      <c r="E34" s="249" t="s">
        <v>698</v>
      </c>
      <c r="F34" s="7" t="s">
        <v>59</v>
      </c>
      <c r="G34" s="250">
        <v>18497.419999999998</v>
      </c>
      <c r="H34" s="162">
        <f>IF(F34=0,0,IF(F34="MXN",1/HLOOKUP(YEAR(D34)+(MONTH(D34)/100),TC!$5:$437,DAY(D34)+2,FALSE),VLOOKUP(F34,Equivalencia!$1:$23,((MAX(Equivalencia!$3:$3)-YEAR(D34))*14)+MONTH(D34)+2,FALSE)))</f>
        <v>1</v>
      </c>
      <c r="I34" s="251">
        <f t="shared" si="2"/>
        <v>18497.419999999998</v>
      </c>
      <c r="J34" s="162">
        <f>IF(D34=0,0,HLOOKUP(YEAR(D34)+(MONTH(D34)/100),TC!$5:$37,DAY(D34)+2,FALSE))</f>
        <v>20.0365</v>
      </c>
      <c r="K34" s="250">
        <f t="shared" si="3"/>
        <v>370623.55582999997</v>
      </c>
    </row>
    <row r="35" spans="2:11" s="134" customFormat="1" ht="23" customHeight="1">
      <c r="B35" s="7" t="s">
        <v>1246</v>
      </c>
      <c r="C35" s="7" t="s">
        <v>693</v>
      </c>
      <c r="D35" s="159">
        <v>44741</v>
      </c>
      <c r="E35" s="249" t="s">
        <v>700</v>
      </c>
      <c r="F35" s="7" t="s">
        <v>59</v>
      </c>
      <c r="G35" s="250">
        <v>871.44</v>
      </c>
      <c r="H35" s="162">
        <f>IF(F35=0,0,IF(F35="MXN",1/HLOOKUP(YEAR(D35)+(MONTH(D35)/100),TC!$5:$437,DAY(D35)+2,FALSE),VLOOKUP(F35,Equivalencia!$1:$23,((MAX(Equivalencia!$3:$3)-YEAR(D35))*14)+MONTH(D35)+2,FALSE)))</f>
        <v>1</v>
      </c>
      <c r="I35" s="251">
        <f t="shared" si="2"/>
        <v>871.44</v>
      </c>
      <c r="J35" s="162">
        <f>IF(D35=0,0,HLOOKUP(YEAR(D35)+(MONTH(D35)/100),TC!$5:$37,DAY(D35)+2,FALSE))</f>
        <v>19.8797</v>
      </c>
      <c r="K35" s="250">
        <f t="shared" si="3"/>
        <v>17323.965768000002</v>
      </c>
    </row>
    <row r="36" spans="2:11" s="134" customFormat="1" ht="23" customHeight="1">
      <c r="B36" s="7" t="s">
        <v>1246</v>
      </c>
      <c r="C36" s="7" t="s">
        <v>693</v>
      </c>
      <c r="D36" s="159">
        <v>44743</v>
      </c>
      <c r="E36" s="249" t="s">
        <v>912</v>
      </c>
      <c r="F36" s="7" t="s">
        <v>59</v>
      </c>
      <c r="G36" s="251">
        <v>10.71</v>
      </c>
      <c r="H36" s="162">
        <f>IF(F36=0,0,IF(F36="MXN",1/HLOOKUP(YEAR(D36)+(MONTH(D36)/100),TC!$5:$437,DAY(D36)+2,FALSE),VLOOKUP(F36,Equivalencia!$1:$23,((MAX(Equivalencia!$3:$3)-YEAR(D36))*14)+MONTH(D36)+2,FALSE)))</f>
        <v>1</v>
      </c>
      <c r="I36" s="251">
        <f t="shared" si="2"/>
        <v>10.71</v>
      </c>
      <c r="J36" s="162">
        <f>IF(D36=0,0,HLOOKUP(YEAR(D36)+(MONTH(D36)/100),TC!$5:$37,DAY(D36)+2,FALSE))</f>
        <v>20.144300000000001</v>
      </c>
      <c r="K36" s="250">
        <f t="shared" ref="K36:K49" si="4">I36*J36</f>
        <v>215.74545300000003</v>
      </c>
    </row>
    <row r="37" spans="2:11" s="134" customFormat="1" ht="23" customHeight="1">
      <c r="B37" s="7" t="s">
        <v>1246</v>
      </c>
      <c r="C37" s="7" t="s">
        <v>693</v>
      </c>
      <c r="D37" s="159">
        <v>44753</v>
      </c>
      <c r="E37" s="249" t="s">
        <v>913</v>
      </c>
      <c r="F37" s="7" t="s">
        <v>59</v>
      </c>
      <c r="G37" s="251">
        <v>284.23</v>
      </c>
      <c r="H37" s="162">
        <f>IF(F37=0,0,IF(F37="MXN",1/HLOOKUP(YEAR(D37)+(MONTH(D37)/100),TC!$5:$437,DAY(D37)+2,FALSE),VLOOKUP(F37,Equivalencia!$1:$23,((MAX(Equivalencia!$3:$3)-YEAR(D37))*14)+MONTH(D37)+2,FALSE)))</f>
        <v>1</v>
      </c>
      <c r="I37" s="251">
        <f t="shared" si="2"/>
        <v>284.23</v>
      </c>
      <c r="J37" s="162">
        <f>IF(D37=0,0,HLOOKUP(YEAR(D37)+(MONTH(D37)/100),TC!$5:$37,DAY(D37)+2,FALSE))</f>
        <v>20.6022</v>
      </c>
      <c r="K37" s="250">
        <f t="shared" si="4"/>
        <v>5855.7633060000007</v>
      </c>
    </row>
    <row r="38" spans="2:11" s="134" customFormat="1" ht="23" customHeight="1">
      <c r="B38" s="7" t="s">
        <v>1246</v>
      </c>
      <c r="C38" s="7" t="s">
        <v>693</v>
      </c>
      <c r="D38" s="159">
        <v>44774</v>
      </c>
      <c r="E38" s="249" t="s">
        <v>705</v>
      </c>
      <c r="F38" s="7" t="s">
        <v>59</v>
      </c>
      <c r="G38" s="251">
        <v>9406.66</v>
      </c>
      <c r="H38" s="162">
        <f>IF(F38=0,0,IF(F38="MXN",1/HLOOKUP(YEAR(D38)+(MONTH(D38)/100),TC!$5:$437,DAY(D38)+2,FALSE),VLOOKUP(F38,Equivalencia!$1:$23,((MAX(Equivalencia!$3:$3)-YEAR(D38))*14)+MONTH(D38)+2,FALSE)))</f>
        <v>1</v>
      </c>
      <c r="I38" s="251">
        <f t="shared" ref="I38" si="5">G38*H38</f>
        <v>9406.66</v>
      </c>
      <c r="J38" s="162">
        <f>IF(D38=0,0,HLOOKUP(YEAR(D38)+(MONTH(D38)/100),TC!$5:$37,DAY(D38)+2,FALSE))</f>
        <v>20.377800000000001</v>
      </c>
      <c r="K38" s="250">
        <f t="shared" ref="K38" si="6">I38*J38</f>
        <v>191687.03614800001</v>
      </c>
    </row>
    <row r="39" spans="2:11" s="134" customFormat="1" ht="23" customHeight="1">
      <c r="B39" s="7" t="s">
        <v>1246</v>
      </c>
      <c r="C39" s="7" t="s">
        <v>693</v>
      </c>
      <c r="D39" s="159">
        <v>44830</v>
      </c>
      <c r="E39" s="249" t="s">
        <v>697</v>
      </c>
      <c r="F39" s="7" t="s">
        <v>59</v>
      </c>
      <c r="G39" s="250">
        <v>1897.9</v>
      </c>
      <c r="H39" s="162">
        <f>IF(F39=0,0,IF(F39="MXN",1/HLOOKUP(YEAR(D39)+(MONTH(D39)/100),TC!$5:$437,DAY(D39)+2,FALSE),VLOOKUP(F39,Equivalencia!$1:$23,((MAX(Equivalencia!$3:$3)-YEAR(D39))*14)+MONTH(D39)+2,FALSE)))</f>
        <v>1</v>
      </c>
      <c r="I39" s="251">
        <f t="shared" ref="I39:I42" si="7">G39*H39</f>
        <v>1897.9</v>
      </c>
      <c r="J39" s="162">
        <f>IF(D39=0,0,HLOOKUP(YEAR(D39)+(MONTH(D39)/100),TC!$5:$37,DAY(D39)+2,FALSE))</f>
        <v>19.960799999999999</v>
      </c>
      <c r="K39" s="250">
        <f t="shared" ref="K39:K42" si="8">I39*J39</f>
        <v>37883.602319999998</v>
      </c>
    </row>
    <row r="40" spans="2:11" s="134" customFormat="1" ht="23" customHeight="1">
      <c r="B40" s="7" t="s">
        <v>1246</v>
      </c>
      <c r="C40" s="7" t="s">
        <v>693</v>
      </c>
      <c r="D40" s="159">
        <v>44830</v>
      </c>
      <c r="E40" s="249" t="s">
        <v>698</v>
      </c>
      <c r="F40" s="7" t="s">
        <v>59</v>
      </c>
      <c r="G40" s="250">
        <v>3208.16</v>
      </c>
      <c r="H40" s="162">
        <f>IF(F40=0,0,IF(F40="MXN",1/HLOOKUP(YEAR(D40)+(MONTH(D40)/100),TC!$5:$437,DAY(D40)+2,FALSE),VLOOKUP(F40,Equivalencia!$1:$23,((MAX(Equivalencia!$3:$3)-YEAR(D40))*14)+MONTH(D40)+2,FALSE)))</f>
        <v>1</v>
      </c>
      <c r="I40" s="251">
        <f t="shared" si="7"/>
        <v>3208.16</v>
      </c>
      <c r="J40" s="162">
        <f>IF(D40=0,0,HLOOKUP(YEAR(D40)+(MONTH(D40)/100),TC!$5:$37,DAY(D40)+2,FALSE))</f>
        <v>19.960799999999999</v>
      </c>
      <c r="K40" s="250">
        <f t="shared" si="8"/>
        <v>64037.440127999995</v>
      </c>
    </row>
    <row r="41" spans="2:11" s="134" customFormat="1" ht="23" customHeight="1">
      <c r="B41" s="7" t="s">
        <v>1246</v>
      </c>
      <c r="C41" s="7" t="s">
        <v>693</v>
      </c>
      <c r="D41" s="159">
        <v>44830</v>
      </c>
      <c r="E41" s="249" t="s">
        <v>699</v>
      </c>
      <c r="F41" s="7" t="s">
        <v>59</v>
      </c>
      <c r="G41" s="250">
        <v>625.83000000000004</v>
      </c>
      <c r="H41" s="162">
        <f>IF(F41=0,0,IF(F41="MXN",1/HLOOKUP(YEAR(D41)+(MONTH(D41)/100),TC!$5:$437,DAY(D41)+2,FALSE),VLOOKUP(F41,Equivalencia!$1:$23,((MAX(Equivalencia!$3:$3)-YEAR(D41))*14)+MONTH(D41)+2,FALSE)))</f>
        <v>1</v>
      </c>
      <c r="I41" s="251">
        <f t="shared" si="7"/>
        <v>625.83000000000004</v>
      </c>
      <c r="J41" s="162">
        <f>IF(D41=0,0,HLOOKUP(YEAR(D41)+(MONTH(D41)/100),TC!$5:$37,DAY(D41)+2,FALSE))</f>
        <v>19.960799999999999</v>
      </c>
      <c r="K41" s="250">
        <f t="shared" si="8"/>
        <v>12492.067464</v>
      </c>
    </row>
    <row r="42" spans="2:11" s="134" customFormat="1" ht="23" customHeight="1">
      <c r="B42" s="7" t="s">
        <v>1246</v>
      </c>
      <c r="C42" s="7" t="s">
        <v>693</v>
      </c>
      <c r="D42" s="159">
        <v>44834</v>
      </c>
      <c r="E42" s="249" t="s">
        <v>983</v>
      </c>
      <c r="F42" s="7" t="s">
        <v>59</v>
      </c>
      <c r="G42" s="250">
        <v>1252.01</v>
      </c>
      <c r="H42" s="162">
        <f>IF(F42=0,0,IF(F42="MXN",1/HLOOKUP(YEAR(D42)+(MONTH(D42)/100),TC!$5:$437,DAY(D42)+2,FALSE),VLOOKUP(F42,Equivalencia!$1:$23,((MAX(Equivalencia!$3:$3)-YEAR(D42))*14)+MONTH(D42)+2,FALSE)))</f>
        <v>1</v>
      </c>
      <c r="I42" s="251">
        <f t="shared" si="7"/>
        <v>1252.01</v>
      </c>
      <c r="J42" s="162">
        <f>IF(D42=0,0,HLOOKUP(YEAR(D42)+(MONTH(D42)/100),TC!$5:$37,DAY(D42)+2,FALSE))</f>
        <v>20.305800000000001</v>
      </c>
      <c r="K42" s="250">
        <f t="shared" si="8"/>
        <v>25423.064658000003</v>
      </c>
    </row>
    <row r="43" spans="2:11" s="134" customFormat="1" ht="23" customHeight="1">
      <c r="B43" s="7" t="s">
        <v>1246</v>
      </c>
      <c r="C43" s="7" t="s">
        <v>693</v>
      </c>
      <c r="D43" s="159">
        <v>44838</v>
      </c>
      <c r="E43" s="249" t="s">
        <v>1020</v>
      </c>
      <c r="F43" s="7" t="s">
        <v>59</v>
      </c>
      <c r="G43" s="250">
        <v>1120.05</v>
      </c>
      <c r="H43" s="162">
        <f>IF(F43=0,0,IF(F43="MXN",1/HLOOKUP(YEAR(D43)+(MONTH(D43)/100),TC!$5:$437,DAY(D43)+2,FALSE),VLOOKUP(F43,Equivalencia!$1:$23,((MAX(Equivalencia!$3:$3)-YEAR(D43))*14)+MONTH(D43)+2,FALSE)))</f>
        <v>1</v>
      </c>
      <c r="I43" s="251">
        <f t="shared" ref="I43:I45" si="9">G43*H43</f>
        <v>1120.05</v>
      </c>
      <c r="J43" s="162">
        <f>IF(D43=0,0,HLOOKUP(YEAR(D43)+(MONTH(D43)/100),TC!$5:$37,DAY(D43)+2,FALSE))</f>
        <v>20.092500000000001</v>
      </c>
      <c r="K43" s="250">
        <f t="shared" ref="K43:K45" si="10">I43*J43</f>
        <v>22504.604625</v>
      </c>
    </row>
    <row r="44" spans="2:11" s="134" customFormat="1" ht="23" customHeight="1">
      <c r="B44" s="7" t="s">
        <v>1246</v>
      </c>
      <c r="C44" s="7" t="s">
        <v>693</v>
      </c>
      <c r="D44" s="159">
        <v>44839</v>
      </c>
      <c r="E44" s="249" t="s">
        <v>701</v>
      </c>
      <c r="F44" s="7" t="s">
        <v>59</v>
      </c>
      <c r="G44" s="250">
        <v>548.91</v>
      </c>
      <c r="H44" s="162">
        <f>IF(F44=0,0,IF(F44="MXN",1/HLOOKUP(YEAR(D44)+(MONTH(D44)/100),TC!$5:$437,DAY(D44)+2,FALSE),VLOOKUP(F44,Equivalencia!$1:$23,((MAX(Equivalencia!$3:$3)-YEAR(D44))*14)+MONTH(D44)+2,FALSE)))</f>
        <v>1</v>
      </c>
      <c r="I44" s="251">
        <f t="shared" si="9"/>
        <v>548.91</v>
      </c>
      <c r="J44" s="162">
        <f>IF(D44=0,0,HLOOKUP(YEAR(D44)+(MONTH(D44)/100),TC!$5:$37,DAY(D44)+2,FALSE))</f>
        <v>20.000800000000002</v>
      </c>
      <c r="K44" s="250">
        <f t="shared" si="10"/>
        <v>10978.639128000001</v>
      </c>
    </row>
    <row r="45" spans="2:11" s="134" customFormat="1" ht="23" customHeight="1">
      <c r="B45" s="7" t="s">
        <v>1246</v>
      </c>
      <c r="C45" s="7" t="s">
        <v>693</v>
      </c>
      <c r="D45" s="159">
        <v>44839</v>
      </c>
      <c r="E45" s="249" t="s">
        <v>702</v>
      </c>
      <c r="F45" s="7" t="s">
        <v>59</v>
      </c>
      <c r="G45" s="250">
        <v>2283.86</v>
      </c>
      <c r="H45" s="162">
        <f>IF(F45=0,0,IF(F45="MXN",1/HLOOKUP(YEAR(D45)+(MONTH(D45)/100),TC!$5:$437,DAY(D45)+2,FALSE),VLOOKUP(F45,Equivalencia!$1:$23,((MAX(Equivalencia!$3:$3)-YEAR(D45))*14)+MONTH(D45)+2,FALSE)))</f>
        <v>1</v>
      </c>
      <c r="I45" s="251">
        <f t="shared" si="9"/>
        <v>2283.86</v>
      </c>
      <c r="J45" s="162">
        <f>IF(D45=0,0,HLOOKUP(YEAR(D45)+(MONTH(D45)/100),TC!$5:$37,DAY(D45)+2,FALSE))</f>
        <v>20.000800000000002</v>
      </c>
      <c r="K45" s="250">
        <f t="shared" si="10"/>
        <v>45679.02708800001</v>
      </c>
    </row>
    <row r="46" spans="2:11" s="134" customFormat="1" ht="23" customHeight="1">
      <c r="B46" s="7" t="s">
        <v>1254</v>
      </c>
      <c r="C46" s="7" t="s">
        <v>693</v>
      </c>
      <c r="D46" s="159">
        <v>44564</v>
      </c>
      <c r="E46" s="249" t="s">
        <v>707</v>
      </c>
      <c r="F46" s="7" t="s">
        <v>59</v>
      </c>
      <c r="G46" s="250">
        <v>179.65</v>
      </c>
      <c r="H46" s="162">
        <f>IF(F46=0,0,IF(F46="MXN",1/HLOOKUP(YEAR(D46)+(MONTH(D46)/100),TC!$5:$437,DAY(D46)+2,FALSE),VLOOKUP(F46,Equivalencia!$1:$23,((MAX(Equivalencia!$3:$3)-YEAR(D46))*14)+MONTH(D46)+2,FALSE)))</f>
        <v>1</v>
      </c>
      <c r="I46" s="251">
        <f>G46*H46</f>
        <v>179.65</v>
      </c>
      <c r="J46" s="162">
        <f>IF(D46=0,0,HLOOKUP(YEAR(D46)+(MONTH(D46)/100),TC!$5:$37,DAY(D46)+2,FALSE))</f>
        <v>20.515699999999999</v>
      </c>
      <c r="K46" s="250">
        <f t="shared" si="4"/>
        <v>3685.645505</v>
      </c>
    </row>
    <row r="47" spans="2:11" s="134" customFormat="1" ht="23" customHeight="1">
      <c r="B47" s="7" t="s">
        <v>1254</v>
      </c>
      <c r="C47" s="7" t="s">
        <v>693</v>
      </c>
      <c r="D47" s="159">
        <v>44564</v>
      </c>
      <c r="E47" s="249" t="s">
        <v>708</v>
      </c>
      <c r="F47" s="7" t="s">
        <v>59</v>
      </c>
      <c r="G47" s="250">
        <v>11.38</v>
      </c>
      <c r="H47" s="162">
        <f>IF(F47=0,0,IF(F47="MXN",1/HLOOKUP(YEAR(D47)+(MONTH(D47)/100),TC!$5:$437,DAY(D47)+2,FALSE),VLOOKUP(F47,Equivalencia!$1:$23,((MAX(Equivalencia!$3:$3)-YEAR(D47))*14)+MONTH(D47)+2,FALSE)))</f>
        <v>1</v>
      </c>
      <c r="I47" s="251">
        <f>G47*H47</f>
        <v>11.38</v>
      </c>
      <c r="J47" s="162">
        <f>IF(D47=0,0,HLOOKUP(YEAR(D47)+(MONTH(D47)/100),TC!$5:$37,DAY(D47)+2,FALSE))</f>
        <v>20.515699999999999</v>
      </c>
      <c r="K47" s="250">
        <f t="shared" si="4"/>
        <v>233.46866600000001</v>
      </c>
    </row>
    <row r="48" spans="2:11" s="134" customFormat="1" ht="23" customHeight="1">
      <c r="B48" s="7" t="s">
        <v>1254</v>
      </c>
      <c r="C48" s="7" t="s">
        <v>693</v>
      </c>
      <c r="D48" s="159">
        <v>44568</v>
      </c>
      <c r="E48" s="249" t="s">
        <v>709</v>
      </c>
      <c r="F48" s="7" t="s">
        <v>59</v>
      </c>
      <c r="G48" s="250">
        <v>332.07</v>
      </c>
      <c r="H48" s="162">
        <f>IF(F48=0,0,IF(F48="MXN",1/HLOOKUP(YEAR(D48)+(MONTH(D48)/100),TC!$5:$437,DAY(D48)+2,FALSE),VLOOKUP(F48,Equivalencia!$1:$23,((MAX(Equivalencia!$3:$3)-YEAR(D48))*14)+MONTH(D48)+2,FALSE)))</f>
        <v>1</v>
      </c>
      <c r="I48" s="251">
        <f>G48*H48</f>
        <v>332.07</v>
      </c>
      <c r="J48" s="162">
        <f>IF(D48=0,0,HLOOKUP(YEAR(D48)+(MONTH(D48)/100),TC!$5:$37,DAY(D48)+2,FALSE))</f>
        <v>20.3977</v>
      </c>
      <c r="K48" s="250">
        <f t="shared" si="4"/>
        <v>6773.4642389999999</v>
      </c>
    </row>
    <row r="49" spans="2:11" s="134" customFormat="1" ht="23" customHeight="1">
      <c r="B49" s="7" t="s">
        <v>1254</v>
      </c>
      <c r="C49" s="7" t="s">
        <v>693</v>
      </c>
      <c r="D49" s="159">
        <v>44575</v>
      </c>
      <c r="E49" s="249" t="s">
        <v>710</v>
      </c>
      <c r="F49" s="7" t="s">
        <v>59</v>
      </c>
      <c r="G49" s="250">
        <v>278.76</v>
      </c>
      <c r="H49" s="162">
        <f>IF(F49=0,0,IF(F49="MXN",1/HLOOKUP(YEAR(D49)+(MONTH(D49)/100),TC!$5:$437,DAY(D49)+2,FALSE),VLOOKUP(F49,Equivalencia!$1:$23,((MAX(Equivalencia!$3:$3)-YEAR(D49))*14)+MONTH(D49)+2,FALSE)))</f>
        <v>1</v>
      </c>
      <c r="I49" s="251">
        <f>G49*H49</f>
        <v>278.76</v>
      </c>
      <c r="J49" s="162">
        <f>IF(D49=0,0,HLOOKUP(YEAR(D49)+(MONTH(D49)/100),TC!$5:$37,DAY(D49)+2,FALSE))</f>
        <v>20.366</v>
      </c>
      <c r="K49" s="250">
        <f t="shared" si="4"/>
        <v>5677.2261600000002</v>
      </c>
    </row>
    <row r="50" spans="2:11" s="134" customFormat="1" ht="23" customHeight="1">
      <c r="B50" s="7" t="s">
        <v>1254</v>
      </c>
      <c r="C50" s="7" t="s">
        <v>693</v>
      </c>
      <c r="D50" s="159">
        <v>44575</v>
      </c>
      <c r="E50" s="249" t="s">
        <v>711</v>
      </c>
      <c r="F50" s="7" t="s">
        <v>59</v>
      </c>
      <c r="G50" s="250">
        <v>63.91</v>
      </c>
      <c r="H50" s="162">
        <f>IF(F50=0,0,IF(F50="MXN",1/HLOOKUP(YEAR(D50)+(MONTH(D50)/100),TC!$5:$437,DAY(D50)+2,FALSE),VLOOKUP(F50,Equivalencia!$1:$23,((MAX(Equivalencia!$3:$3)-YEAR(D50))*14)+MONTH(D50)+2,FALSE)))</f>
        <v>1</v>
      </c>
      <c r="I50" s="251">
        <f t="shared" ref="I50:I113" si="11">G50*H50</f>
        <v>63.91</v>
      </c>
      <c r="J50" s="162">
        <f>IF(D50=0,0,HLOOKUP(YEAR(D50)+(MONTH(D50)/100),TC!$5:$37,DAY(D50)+2,FALSE))</f>
        <v>20.366</v>
      </c>
      <c r="K50" s="250">
        <f t="shared" ref="K50:K113" si="12">I50*J50</f>
        <v>1301.59106</v>
      </c>
    </row>
    <row r="51" spans="2:11" s="134" customFormat="1" ht="23" customHeight="1">
      <c r="B51" s="7" t="s">
        <v>1254</v>
      </c>
      <c r="C51" s="7" t="s">
        <v>693</v>
      </c>
      <c r="D51" s="159">
        <v>44578</v>
      </c>
      <c r="E51" s="249" t="s">
        <v>712</v>
      </c>
      <c r="F51" s="7" t="s">
        <v>59</v>
      </c>
      <c r="G51" s="250">
        <v>17.53</v>
      </c>
      <c r="H51" s="162">
        <f>IF(F51=0,0,IF(F51="MXN",1/HLOOKUP(YEAR(D51)+(MONTH(D51)/100),TC!$5:$437,DAY(D51)+2,FALSE),VLOOKUP(F51,Equivalencia!$1:$23,((MAX(Equivalencia!$3:$3)-YEAR(D51))*14)+MONTH(D51)+2,FALSE)))</f>
        <v>1</v>
      </c>
      <c r="I51" s="251">
        <f t="shared" si="11"/>
        <v>17.53</v>
      </c>
      <c r="J51" s="162">
        <f>IF(D51=0,0,HLOOKUP(YEAR(D51)+(MONTH(D51)/100),TC!$5:$37,DAY(D51)+2,FALSE))</f>
        <v>20.360700000000001</v>
      </c>
      <c r="K51" s="250">
        <f t="shared" si="12"/>
        <v>356.92307100000005</v>
      </c>
    </row>
    <row r="52" spans="2:11" s="134" customFormat="1" ht="23" customHeight="1">
      <c r="B52" s="7" t="s">
        <v>1254</v>
      </c>
      <c r="C52" s="7" t="s">
        <v>693</v>
      </c>
      <c r="D52" s="159">
        <v>44588</v>
      </c>
      <c r="E52" s="249" t="s">
        <v>713</v>
      </c>
      <c r="F52" s="7" t="s">
        <v>59</v>
      </c>
      <c r="G52" s="250">
        <v>39.14</v>
      </c>
      <c r="H52" s="162">
        <f>IF(F52=0,0,IF(F52="MXN",1/HLOOKUP(YEAR(D52)+(MONTH(D52)/100),TC!$5:$437,DAY(D52)+2,FALSE),VLOOKUP(F52,Equivalencia!$1:$23,((MAX(Equivalencia!$3:$3)-YEAR(D52))*14)+MONTH(D52)+2,FALSE)))</f>
        <v>1</v>
      </c>
      <c r="I52" s="251">
        <f t="shared" si="11"/>
        <v>39.14</v>
      </c>
      <c r="J52" s="162">
        <f>IF(D52=0,0,HLOOKUP(YEAR(D52)+(MONTH(D52)/100),TC!$5:$37,DAY(D52)+2,FALSE))</f>
        <v>20.668299999999999</v>
      </c>
      <c r="K52" s="250">
        <f t="shared" si="12"/>
        <v>808.9572619999999</v>
      </c>
    </row>
    <row r="53" spans="2:11" s="134" customFormat="1" ht="23" customHeight="1">
      <c r="B53" s="7" t="s">
        <v>1254</v>
      </c>
      <c r="C53" s="7" t="s">
        <v>693</v>
      </c>
      <c r="D53" s="159">
        <v>44592</v>
      </c>
      <c r="E53" s="249" t="s">
        <v>714</v>
      </c>
      <c r="F53" s="7" t="s">
        <v>59</v>
      </c>
      <c r="G53" s="250">
        <v>109.2</v>
      </c>
      <c r="H53" s="162">
        <f>IF(F53=0,0,IF(F53="MXN",1/HLOOKUP(YEAR(D53)+(MONTH(D53)/100),TC!$5:$437,DAY(D53)+2,FALSE),VLOOKUP(F53,Equivalencia!$1:$23,((MAX(Equivalencia!$3:$3)-YEAR(D53))*14)+MONTH(D53)+2,FALSE)))</f>
        <v>1</v>
      </c>
      <c r="I53" s="251">
        <f t="shared" si="11"/>
        <v>109.2</v>
      </c>
      <c r="J53" s="162">
        <f>IF(D53=0,0,HLOOKUP(YEAR(D53)+(MONTH(D53)/100),TC!$5:$37,DAY(D53)+2,FALSE))</f>
        <v>20.738299999999999</v>
      </c>
      <c r="K53" s="250">
        <f t="shared" si="12"/>
        <v>2264.6223599999998</v>
      </c>
    </row>
    <row r="54" spans="2:11" s="134" customFormat="1" ht="23" customHeight="1">
      <c r="B54" s="7" t="s">
        <v>1254</v>
      </c>
      <c r="C54" s="7" t="s">
        <v>693</v>
      </c>
      <c r="D54" s="159">
        <v>44602</v>
      </c>
      <c r="E54" s="249" t="s">
        <v>715</v>
      </c>
      <c r="F54" s="7" t="s">
        <v>59</v>
      </c>
      <c r="G54" s="250">
        <v>153.32</v>
      </c>
      <c r="H54" s="162">
        <f>IF(F54=0,0,IF(F54="MXN",1/HLOOKUP(YEAR(D54)+(MONTH(D54)/100),TC!$5:$437,DAY(D54)+2,FALSE),VLOOKUP(F54,Equivalencia!$1:$23,((MAX(Equivalencia!$3:$3)-YEAR(D54))*14)+MONTH(D54)+2,FALSE)))</f>
        <v>1</v>
      </c>
      <c r="I54" s="251">
        <f t="shared" si="11"/>
        <v>153.32</v>
      </c>
      <c r="J54" s="162">
        <f>IF(D54=0,0,HLOOKUP(YEAR(D54)+(MONTH(D54)/100),TC!$5:$37,DAY(D54)+2,FALSE))</f>
        <v>20.641300000000001</v>
      </c>
      <c r="K54" s="250">
        <f t="shared" si="12"/>
        <v>3164.7241159999999</v>
      </c>
    </row>
    <row r="55" spans="2:11" s="134" customFormat="1" ht="23" customHeight="1">
      <c r="B55" s="7" t="s">
        <v>1254</v>
      </c>
      <c r="C55" s="7" t="s">
        <v>693</v>
      </c>
      <c r="D55" s="159">
        <v>44603</v>
      </c>
      <c r="E55" s="249" t="s">
        <v>716</v>
      </c>
      <c r="F55" s="7" t="s">
        <v>59</v>
      </c>
      <c r="G55" s="250">
        <v>90.71</v>
      </c>
      <c r="H55" s="162">
        <f>IF(F55=0,0,IF(F55="MXN",1/HLOOKUP(YEAR(D55)+(MONTH(D55)/100),TC!$5:$437,DAY(D55)+2,FALSE),VLOOKUP(F55,Equivalencia!$1:$23,((MAX(Equivalencia!$3:$3)-YEAR(D55))*14)+MONTH(D55)+2,FALSE)))</f>
        <v>1</v>
      </c>
      <c r="I55" s="251">
        <f t="shared" si="11"/>
        <v>90.71</v>
      </c>
      <c r="J55" s="162">
        <f>IF(D55=0,0,HLOOKUP(YEAR(D55)+(MONTH(D55)/100),TC!$5:$37,DAY(D55)+2,FALSE))</f>
        <v>20.500800000000002</v>
      </c>
      <c r="K55" s="250">
        <f t="shared" si="12"/>
        <v>1859.6275680000001</v>
      </c>
    </row>
    <row r="56" spans="2:11" s="134" customFormat="1" ht="23" customHeight="1">
      <c r="B56" s="7" t="s">
        <v>1254</v>
      </c>
      <c r="C56" s="7" t="s">
        <v>693</v>
      </c>
      <c r="D56" s="159">
        <v>44616</v>
      </c>
      <c r="E56" s="249" t="s">
        <v>717</v>
      </c>
      <c r="F56" s="7" t="s">
        <v>59</v>
      </c>
      <c r="G56" s="250">
        <v>119.07</v>
      </c>
      <c r="H56" s="162">
        <f>IF(F56=0,0,IF(F56="MXN",1/HLOOKUP(YEAR(D56)+(MONTH(D56)/100),TC!$5:$437,DAY(D56)+2,FALSE),VLOOKUP(F56,Equivalencia!$1:$23,((MAX(Equivalencia!$3:$3)-YEAR(D56))*14)+MONTH(D56)+2,FALSE)))</f>
        <v>1</v>
      </c>
      <c r="I56" s="251">
        <f t="shared" si="11"/>
        <v>119.07</v>
      </c>
      <c r="J56" s="162">
        <f>IF(D56=0,0,HLOOKUP(YEAR(D56)+(MONTH(D56)/100),TC!$5:$37,DAY(D56)+2,FALSE))</f>
        <v>20.297699999999999</v>
      </c>
      <c r="K56" s="250">
        <f t="shared" si="12"/>
        <v>2416.8471389999995</v>
      </c>
    </row>
    <row r="57" spans="2:11" s="134" customFormat="1" ht="23" customHeight="1">
      <c r="B57" s="7" t="s">
        <v>1254</v>
      </c>
      <c r="C57" s="7" t="s">
        <v>693</v>
      </c>
      <c r="D57" s="159">
        <v>44621</v>
      </c>
      <c r="E57" s="249" t="s">
        <v>718</v>
      </c>
      <c r="F57" s="7" t="s">
        <v>59</v>
      </c>
      <c r="G57" s="250">
        <v>395.81</v>
      </c>
      <c r="H57" s="162">
        <f>IF(F57=0,0,IF(F57="MXN",1/HLOOKUP(YEAR(D57)+(MONTH(D57)/100),TC!$5:$437,DAY(D57)+2,FALSE),VLOOKUP(F57,Equivalencia!$1:$23,((MAX(Equivalencia!$3:$3)-YEAR(D57))*14)+MONTH(D57)+2,FALSE)))</f>
        <v>1</v>
      </c>
      <c r="I57" s="251">
        <f t="shared" si="11"/>
        <v>395.81</v>
      </c>
      <c r="J57" s="162">
        <f>IF(D57=0,0,HLOOKUP(YEAR(D57)+(MONTH(D57)/100),TC!$5:$37,DAY(D57)+2,FALSE))</f>
        <v>20.4465</v>
      </c>
      <c r="K57" s="250">
        <f t="shared" si="12"/>
        <v>8092.9291650000005</v>
      </c>
    </row>
    <row r="58" spans="2:11" s="134" customFormat="1" ht="23" customHeight="1">
      <c r="B58" s="7" t="s">
        <v>1254</v>
      </c>
      <c r="C58" s="7" t="s">
        <v>693</v>
      </c>
      <c r="D58" s="159">
        <v>44622</v>
      </c>
      <c r="E58" s="249" t="s">
        <v>719</v>
      </c>
      <c r="F58" s="7" t="s">
        <v>59</v>
      </c>
      <c r="G58" s="250">
        <v>64.61</v>
      </c>
      <c r="H58" s="162">
        <f>IF(F58=0,0,IF(F58="MXN",1/HLOOKUP(YEAR(D58)+(MONTH(D58)/100),TC!$5:$437,DAY(D58)+2,FALSE),VLOOKUP(F58,Equivalencia!$1:$23,((MAX(Equivalencia!$3:$3)-YEAR(D58))*14)+MONTH(D58)+2,FALSE)))</f>
        <v>1</v>
      </c>
      <c r="I58" s="251">
        <f t="shared" si="11"/>
        <v>64.61</v>
      </c>
      <c r="J58" s="162">
        <f>IF(D58=0,0,HLOOKUP(YEAR(D58)+(MONTH(D58)/100),TC!$5:$37,DAY(D58)+2,FALSE))</f>
        <v>20.425699999999999</v>
      </c>
      <c r="K58" s="250">
        <f t="shared" si="12"/>
        <v>1319.704477</v>
      </c>
    </row>
    <row r="59" spans="2:11" s="134" customFormat="1" ht="23" customHeight="1">
      <c r="B59" s="7" t="s">
        <v>1254</v>
      </c>
      <c r="C59" s="7" t="s">
        <v>693</v>
      </c>
      <c r="D59" s="159">
        <v>44623</v>
      </c>
      <c r="E59" s="249" t="s">
        <v>720</v>
      </c>
      <c r="F59" s="7" t="s">
        <v>59</v>
      </c>
      <c r="G59" s="250">
        <v>-276.36</v>
      </c>
      <c r="H59" s="162">
        <f>IF(F59=0,0,IF(F59="MXN",1/HLOOKUP(YEAR(D59)+(MONTH(D59)/100),TC!$5:$437,DAY(D59)+2,FALSE),VLOOKUP(F59,Equivalencia!$1:$23,((MAX(Equivalencia!$3:$3)-YEAR(D59))*14)+MONTH(D59)+2,FALSE)))</f>
        <v>1</v>
      </c>
      <c r="I59" s="251">
        <f t="shared" si="11"/>
        <v>-276.36</v>
      </c>
      <c r="J59" s="162">
        <f>IF(D59=0,0,HLOOKUP(YEAR(D59)+(MONTH(D59)/100),TC!$5:$37,DAY(D59)+2,FALSE))</f>
        <v>20.527200000000001</v>
      </c>
      <c r="K59" s="250">
        <f t="shared" si="12"/>
        <v>-5672.8969920000009</v>
      </c>
    </row>
    <row r="60" spans="2:11" s="134" customFormat="1" ht="23" customHeight="1">
      <c r="B60" s="7" t="s">
        <v>1254</v>
      </c>
      <c r="C60" s="7" t="s">
        <v>693</v>
      </c>
      <c r="D60" s="159">
        <v>44623</v>
      </c>
      <c r="E60" s="249" t="s">
        <v>720</v>
      </c>
      <c r="F60" s="7" t="s">
        <v>59</v>
      </c>
      <c r="G60" s="250">
        <v>276.36</v>
      </c>
      <c r="H60" s="162">
        <f>IF(F60=0,0,IF(F60="MXN",1/HLOOKUP(YEAR(D60)+(MONTH(D60)/100),TC!$5:$437,DAY(D60)+2,FALSE),VLOOKUP(F60,Equivalencia!$1:$23,((MAX(Equivalencia!$3:$3)-YEAR(D60))*14)+MONTH(D60)+2,FALSE)))</f>
        <v>1</v>
      </c>
      <c r="I60" s="251">
        <f t="shared" si="11"/>
        <v>276.36</v>
      </c>
      <c r="J60" s="162">
        <f>IF(D60=0,0,HLOOKUP(YEAR(D60)+(MONTH(D60)/100),TC!$5:$37,DAY(D60)+2,FALSE))</f>
        <v>20.527200000000001</v>
      </c>
      <c r="K60" s="250">
        <f t="shared" si="12"/>
        <v>5672.8969920000009</v>
      </c>
    </row>
    <row r="61" spans="2:11" s="134" customFormat="1" ht="23" customHeight="1">
      <c r="B61" s="7" t="s">
        <v>1254</v>
      </c>
      <c r="C61" s="7" t="s">
        <v>693</v>
      </c>
      <c r="D61" s="159">
        <v>44623</v>
      </c>
      <c r="E61" s="249" t="s">
        <v>721</v>
      </c>
      <c r="F61" s="7" t="s">
        <v>59</v>
      </c>
      <c r="G61" s="250">
        <v>136.1</v>
      </c>
      <c r="H61" s="162">
        <f>IF(F61=0,0,IF(F61="MXN",1/HLOOKUP(YEAR(D61)+(MONTH(D61)/100),TC!$5:$437,DAY(D61)+2,FALSE),VLOOKUP(F61,Equivalencia!$1:$23,((MAX(Equivalencia!$3:$3)-YEAR(D61))*14)+MONTH(D61)+2,FALSE)))</f>
        <v>1</v>
      </c>
      <c r="I61" s="251">
        <f t="shared" si="11"/>
        <v>136.1</v>
      </c>
      <c r="J61" s="162">
        <f>IF(D61=0,0,HLOOKUP(YEAR(D61)+(MONTH(D61)/100),TC!$5:$37,DAY(D61)+2,FALSE))</f>
        <v>20.527200000000001</v>
      </c>
      <c r="K61" s="250">
        <f t="shared" si="12"/>
        <v>2793.7519200000002</v>
      </c>
    </row>
    <row r="62" spans="2:11" s="134" customFormat="1" ht="23" customHeight="1">
      <c r="B62" s="7" t="s">
        <v>1254</v>
      </c>
      <c r="C62" s="7" t="s">
        <v>693</v>
      </c>
      <c r="D62" s="159">
        <v>44623</v>
      </c>
      <c r="E62" s="249" t="s">
        <v>721</v>
      </c>
      <c r="F62" s="7" t="s">
        <v>59</v>
      </c>
      <c r="G62" s="250">
        <v>-136.1</v>
      </c>
      <c r="H62" s="162">
        <f>IF(F62=0,0,IF(F62="MXN",1/HLOOKUP(YEAR(D62)+(MONTH(D62)/100),TC!$5:$437,DAY(D62)+2,FALSE),VLOOKUP(F62,Equivalencia!$1:$23,((MAX(Equivalencia!$3:$3)-YEAR(D62))*14)+MONTH(D62)+2,FALSE)))</f>
        <v>1</v>
      </c>
      <c r="I62" s="251">
        <f t="shared" si="11"/>
        <v>-136.1</v>
      </c>
      <c r="J62" s="162">
        <f>IF(D62=0,0,HLOOKUP(YEAR(D62)+(MONTH(D62)/100),TC!$5:$37,DAY(D62)+2,FALSE))</f>
        <v>20.527200000000001</v>
      </c>
      <c r="K62" s="250">
        <f t="shared" si="12"/>
        <v>-2793.7519200000002</v>
      </c>
    </row>
    <row r="63" spans="2:11" s="134" customFormat="1" ht="23" customHeight="1">
      <c r="B63" s="7" t="s">
        <v>1254</v>
      </c>
      <c r="C63" s="7" t="s">
        <v>693</v>
      </c>
      <c r="D63" s="159">
        <v>44623</v>
      </c>
      <c r="E63" s="249" t="s">
        <v>722</v>
      </c>
      <c r="F63" s="7" t="s">
        <v>59</v>
      </c>
      <c r="G63" s="250">
        <v>15.9</v>
      </c>
      <c r="H63" s="162">
        <f>IF(F63=0,0,IF(F63="MXN",1/HLOOKUP(YEAR(D63)+(MONTH(D63)/100),TC!$5:$437,DAY(D63)+2,FALSE),VLOOKUP(F63,Equivalencia!$1:$23,((MAX(Equivalencia!$3:$3)-YEAR(D63))*14)+MONTH(D63)+2,FALSE)))</f>
        <v>1</v>
      </c>
      <c r="I63" s="251">
        <f t="shared" si="11"/>
        <v>15.9</v>
      </c>
      <c r="J63" s="162">
        <f>IF(D63=0,0,HLOOKUP(YEAR(D63)+(MONTH(D63)/100),TC!$5:$37,DAY(D63)+2,FALSE))</f>
        <v>20.527200000000001</v>
      </c>
      <c r="K63" s="250">
        <f t="shared" si="12"/>
        <v>326.38248000000004</v>
      </c>
    </row>
    <row r="64" spans="2:11" s="134" customFormat="1" ht="23" customHeight="1">
      <c r="B64" s="7" t="s">
        <v>1254</v>
      </c>
      <c r="C64" s="7" t="s">
        <v>693</v>
      </c>
      <c r="D64" s="159">
        <v>44623</v>
      </c>
      <c r="E64" s="249" t="s">
        <v>722</v>
      </c>
      <c r="F64" s="7" t="s">
        <v>59</v>
      </c>
      <c r="G64" s="250">
        <v>-15.9</v>
      </c>
      <c r="H64" s="162">
        <f>IF(F64=0,0,IF(F64="MXN",1/HLOOKUP(YEAR(D64)+(MONTH(D64)/100),TC!$5:$437,DAY(D64)+2,FALSE),VLOOKUP(F64,Equivalencia!$1:$23,((MAX(Equivalencia!$3:$3)-YEAR(D64))*14)+MONTH(D64)+2,FALSE)))</f>
        <v>1</v>
      </c>
      <c r="I64" s="251">
        <f t="shared" si="11"/>
        <v>-15.9</v>
      </c>
      <c r="J64" s="162">
        <f>IF(D64=0,0,HLOOKUP(YEAR(D64)+(MONTH(D64)/100),TC!$5:$37,DAY(D64)+2,FALSE))</f>
        <v>20.527200000000001</v>
      </c>
      <c r="K64" s="250">
        <f t="shared" si="12"/>
        <v>-326.38248000000004</v>
      </c>
    </row>
    <row r="65" spans="2:11" s="134" customFormat="1" ht="23" customHeight="1">
      <c r="B65" s="7" t="s">
        <v>1254</v>
      </c>
      <c r="C65" s="7" t="s">
        <v>693</v>
      </c>
      <c r="D65" s="159">
        <v>44623</v>
      </c>
      <c r="E65" s="249" t="s">
        <v>709</v>
      </c>
      <c r="F65" s="7" t="s">
        <v>59</v>
      </c>
      <c r="G65" s="250">
        <v>353.72</v>
      </c>
      <c r="H65" s="162">
        <f>IF(F65=0,0,IF(F65="MXN",1/HLOOKUP(YEAR(D65)+(MONTH(D65)/100),TC!$5:$437,DAY(D65)+2,FALSE),VLOOKUP(F65,Equivalencia!$1:$23,((MAX(Equivalencia!$3:$3)-YEAR(D65))*14)+MONTH(D65)+2,FALSE)))</f>
        <v>1</v>
      </c>
      <c r="I65" s="251">
        <f t="shared" si="11"/>
        <v>353.72</v>
      </c>
      <c r="J65" s="162">
        <f>IF(D65=0,0,HLOOKUP(YEAR(D65)+(MONTH(D65)/100),TC!$5:$37,DAY(D65)+2,FALSE))</f>
        <v>20.527200000000001</v>
      </c>
      <c r="K65" s="250">
        <f t="shared" si="12"/>
        <v>7260.8811840000008</v>
      </c>
    </row>
    <row r="66" spans="2:11" s="134" customFormat="1" ht="23" customHeight="1">
      <c r="B66" s="7" t="s">
        <v>1254</v>
      </c>
      <c r="C66" s="7" t="s">
        <v>693</v>
      </c>
      <c r="D66" s="159">
        <v>44623</v>
      </c>
      <c r="E66" s="249" t="s">
        <v>709</v>
      </c>
      <c r="F66" s="7" t="s">
        <v>59</v>
      </c>
      <c r="G66" s="250">
        <v>-353.72</v>
      </c>
      <c r="H66" s="162">
        <f>IF(F66=0,0,IF(F66="MXN",1/HLOOKUP(YEAR(D66)+(MONTH(D66)/100),TC!$5:$437,DAY(D66)+2,FALSE),VLOOKUP(F66,Equivalencia!$1:$23,((MAX(Equivalencia!$3:$3)-YEAR(D66))*14)+MONTH(D66)+2,FALSE)))</f>
        <v>1</v>
      </c>
      <c r="I66" s="251">
        <f t="shared" si="11"/>
        <v>-353.72</v>
      </c>
      <c r="J66" s="162">
        <f>IF(D66=0,0,HLOOKUP(YEAR(D66)+(MONTH(D66)/100),TC!$5:$37,DAY(D66)+2,FALSE))</f>
        <v>20.527200000000001</v>
      </c>
      <c r="K66" s="250">
        <f t="shared" si="12"/>
        <v>-7260.8811840000008</v>
      </c>
    </row>
    <row r="67" spans="2:11" s="134" customFormat="1" ht="23" customHeight="1">
      <c r="B67" s="7" t="s">
        <v>1254</v>
      </c>
      <c r="C67" s="7" t="s">
        <v>693</v>
      </c>
      <c r="D67" s="159">
        <v>44623</v>
      </c>
      <c r="E67" s="249" t="s">
        <v>723</v>
      </c>
      <c r="F67" s="7" t="s">
        <v>59</v>
      </c>
      <c r="G67" s="250">
        <v>136.08000000000001</v>
      </c>
      <c r="H67" s="162">
        <f>IF(F67=0,0,IF(F67="MXN",1/HLOOKUP(YEAR(D67)+(MONTH(D67)/100),TC!$5:$437,DAY(D67)+2,FALSE),VLOOKUP(F67,Equivalencia!$1:$23,((MAX(Equivalencia!$3:$3)-YEAR(D67))*14)+MONTH(D67)+2,FALSE)))</f>
        <v>1</v>
      </c>
      <c r="I67" s="251">
        <f t="shared" si="11"/>
        <v>136.08000000000001</v>
      </c>
      <c r="J67" s="162">
        <f>IF(D67=0,0,HLOOKUP(YEAR(D67)+(MONTH(D67)/100),TC!$5:$37,DAY(D67)+2,FALSE))</f>
        <v>20.527200000000001</v>
      </c>
      <c r="K67" s="250">
        <f t="shared" si="12"/>
        <v>2793.3413760000003</v>
      </c>
    </row>
    <row r="68" spans="2:11" s="134" customFormat="1" ht="23" customHeight="1">
      <c r="B68" s="7" t="s">
        <v>1254</v>
      </c>
      <c r="C68" s="7" t="s">
        <v>693</v>
      </c>
      <c r="D68" s="159">
        <v>44623</v>
      </c>
      <c r="E68" s="249" t="s">
        <v>723</v>
      </c>
      <c r="F68" s="7" t="s">
        <v>59</v>
      </c>
      <c r="G68" s="250">
        <v>-136.08000000000001</v>
      </c>
      <c r="H68" s="162">
        <f>IF(F68=0,0,IF(F68="MXN",1/HLOOKUP(YEAR(D68)+(MONTH(D68)/100),TC!$5:$437,DAY(D68)+2,FALSE),VLOOKUP(F68,Equivalencia!$1:$23,((MAX(Equivalencia!$3:$3)-YEAR(D68))*14)+MONTH(D68)+2,FALSE)))</f>
        <v>1</v>
      </c>
      <c r="I68" s="251">
        <f t="shared" si="11"/>
        <v>-136.08000000000001</v>
      </c>
      <c r="J68" s="162">
        <f>IF(D68=0,0,HLOOKUP(YEAR(D68)+(MONTH(D68)/100),TC!$5:$37,DAY(D68)+2,FALSE))</f>
        <v>20.527200000000001</v>
      </c>
      <c r="K68" s="250">
        <f t="shared" si="12"/>
        <v>-2793.3413760000003</v>
      </c>
    </row>
    <row r="69" spans="2:11" s="134" customFormat="1" ht="23" customHeight="1">
      <c r="B69" s="7" t="s">
        <v>1254</v>
      </c>
      <c r="C69" s="7" t="s">
        <v>693</v>
      </c>
      <c r="D69" s="159">
        <v>44623</v>
      </c>
      <c r="E69" s="249" t="s">
        <v>712</v>
      </c>
      <c r="F69" s="7" t="s">
        <v>59</v>
      </c>
      <c r="G69" s="250">
        <v>21.77</v>
      </c>
      <c r="H69" s="162">
        <f>IF(F69=0,0,IF(F69="MXN",1/HLOOKUP(YEAR(D69)+(MONTH(D69)/100),TC!$5:$437,DAY(D69)+2,FALSE),VLOOKUP(F69,Equivalencia!$1:$23,((MAX(Equivalencia!$3:$3)-YEAR(D69))*14)+MONTH(D69)+2,FALSE)))</f>
        <v>1</v>
      </c>
      <c r="I69" s="251">
        <f t="shared" si="11"/>
        <v>21.77</v>
      </c>
      <c r="J69" s="162">
        <f>IF(D69=0,0,HLOOKUP(YEAR(D69)+(MONTH(D69)/100),TC!$5:$37,DAY(D69)+2,FALSE))</f>
        <v>20.527200000000001</v>
      </c>
      <c r="K69" s="250">
        <f t="shared" si="12"/>
        <v>446.87714399999999</v>
      </c>
    </row>
    <row r="70" spans="2:11" s="134" customFormat="1" ht="23" customHeight="1">
      <c r="B70" s="7" t="s">
        <v>1254</v>
      </c>
      <c r="C70" s="7" t="s">
        <v>693</v>
      </c>
      <c r="D70" s="159">
        <v>44623</v>
      </c>
      <c r="E70" s="249" t="s">
        <v>712</v>
      </c>
      <c r="F70" s="7" t="s">
        <v>59</v>
      </c>
      <c r="G70" s="250">
        <v>-21.77</v>
      </c>
      <c r="H70" s="162">
        <f>IF(F70=0,0,IF(F70="MXN",1/HLOOKUP(YEAR(D70)+(MONTH(D70)/100),TC!$5:$437,DAY(D70)+2,FALSE),VLOOKUP(F70,Equivalencia!$1:$23,((MAX(Equivalencia!$3:$3)-YEAR(D70))*14)+MONTH(D70)+2,FALSE)))</f>
        <v>1</v>
      </c>
      <c r="I70" s="251">
        <f t="shared" si="11"/>
        <v>-21.77</v>
      </c>
      <c r="J70" s="162">
        <f>IF(D70=0,0,HLOOKUP(YEAR(D70)+(MONTH(D70)/100),TC!$5:$37,DAY(D70)+2,FALSE))</f>
        <v>20.527200000000001</v>
      </c>
      <c r="K70" s="250">
        <f t="shared" si="12"/>
        <v>-446.87714399999999</v>
      </c>
    </row>
    <row r="71" spans="2:11" s="134" customFormat="1" ht="23" customHeight="1">
      <c r="B71" s="7" t="s">
        <v>1254</v>
      </c>
      <c r="C71" s="7" t="s">
        <v>693</v>
      </c>
      <c r="D71" s="159">
        <v>44623</v>
      </c>
      <c r="E71" s="249" t="s">
        <v>711</v>
      </c>
      <c r="F71" s="7" t="s">
        <v>59</v>
      </c>
      <c r="G71" s="250">
        <v>56.7</v>
      </c>
      <c r="H71" s="162">
        <f>IF(F71=0,0,IF(F71="MXN",1/HLOOKUP(YEAR(D71)+(MONTH(D71)/100),TC!$5:$437,DAY(D71)+2,FALSE),VLOOKUP(F71,Equivalencia!$1:$23,((MAX(Equivalencia!$3:$3)-YEAR(D71))*14)+MONTH(D71)+2,FALSE)))</f>
        <v>1</v>
      </c>
      <c r="I71" s="251">
        <f t="shared" si="11"/>
        <v>56.7</v>
      </c>
      <c r="J71" s="162">
        <f>IF(D71=0,0,HLOOKUP(YEAR(D71)+(MONTH(D71)/100),TC!$5:$37,DAY(D71)+2,FALSE))</f>
        <v>20.527200000000001</v>
      </c>
      <c r="K71" s="250">
        <f t="shared" si="12"/>
        <v>1163.8922400000001</v>
      </c>
    </row>
    <row r="72" spans="2:11" s="134" customFormat="1" ht="23" customHeight="1">
      <c r="B72" s="7" t="s">
        <v>1254</v>
      </c>
      <c r="C72" s="7" t="s">
        <v>693</v>
      </c>
      <c r="D72" s="159">
        <v>44623</v>
      </c>
      <c r="E72" s="249" t="s">
        <v>711</v>
      </c>
      <c r="F72" s="7" t="s">
        <v>59</v>
      </c>
      <c r="G72" s="250">
        <v>-56.7</v>
      </c>
      <c r="H72" s="162">
        <f>IF(F72=0,0,IF(F72="MXN",1/HLOOKUP(YEAR(D72)+(MONTH(D72)/100),TC!$5:$437,DAY(D72)+2,FALSE),VLOOKUP(F72,Equivalencia!$1:$23,((MAX(Equivalencia!$3:$3)-YEAR(D72))*14)+MONTH(D72)+2,FALSE)))</f>
        <v>1</v>
      </c>
      <c r="I72" s="251">
        <f t="shared" si="11"/>
        <v>-56.7</v>
      </c>
      <c r="J72" s="162">
        <f>IF(D72=0,0,HLOOKUP(YEAR(D72)+(MONTH(D72)/100),TC!$5:$37,DAY(D72)+2,FALSE))</f>
        <v>20.527200000000001</v>
      </c>
      <c r="K72" s="250">
        <f t="shared" si="12"/>
        <v>-1163.8922400000001</v>
      </c>
    </row>
    <row r="73" spans="2:11" s="134" customFormat="1" ht="23" customHeight="1">
      <c r="B73" s="7" t="s">
        <v>1254</v>
      </c>
      <c r="C73" s="7" t="s">
        <v>693</v>
      </c>
      <c r="D73" s="159">
        <v>44623</v>
      </c>
      <c r="E73" s="249" t="s">
        <v>714</v>
      </c>
      <c r="F73" s="7" t="s">
        <v>59</v>
      </c>
      <c r="G73" s="250">
        <v>122.98</v>
      </c>
      <c r="H73" s="162">
        <f>IF(F73=0,0,IF(F73="MXN",1/HLOOKUP(YEAR(D73)+(MONTH(D73)/100),TC!$5:$437,DAY(D73)+2,FALSE),VLOOKUP(F73,Equivalencia!$1:$23,((MAX(Equivalencia!$3:$3)-YEAR(D73))*14)+MONTH(D73)+2,FALSE)))</f>
        <v>1</v>
      </c>
      <c r="I73" s="251">
        <f t="shared" si="11"/>
        <v>122.98</v>
      </c>
      <c r="J73" s="162">
        <f>IF(D73=0,0,HLOOKUP(YEAR(D73)+(MONTH(D73)/100),TC!$5:$37,DAY(D73)+2,FALSE))</f>
        <v>20.527200000000001</v>
      </c>
      <c r="K73" s="250">
        <f t="shared" si="12"/>
        <v>2524.4350560000003</v>
      </c>
    </row>
    <row r="74" spans="2:11" s="134" customFormat="1" ht="23" customHeight="1">
      <c r="B74" s="7" t="s">
        <v>1254</v>
      </c>
      <c r="C74" s="7" t="s">
        <v>693</v>
      </c>
      <c r="D74" s="159">
        <v>44623</v>
      </c>
      <c r="E74" s="249" t="s">
        <v>714</v>
      </c>
      <c r="F74" s="7" t="s">
        <v>59</v>
      </c>
      <c r="G74" s="250">
        <v>-122.98</v>
      </c>
      <c r="H74" s="162">
        <f>IF(F74=0,0,IF(F74="MXN",1/HLOOKUP(YEAR(D74)+(MONTH(D74)/100),TC!$5:$437,DAY(D74)+2,FALSE),VLOOKUP(F74,Equivalencia!$1:$23,((MAX(Equivalencia!$3:$3)-YEAR(D74))*14)+MONTH(D74)+2,FALSE)))</f>
        <v>1</v>
      </c>
      <c r="I74" s="251">
        <f t="shared" si="11"/>
        <v>-122.98</v>
      </c>
      <c r="J74" s="162">
        <f>IF(D74=0,0,HLOOKUP(YEAR(D74)+(MONTH(D74)/100),TC!$5:$37,DAY(D74)+2,FALSE))</f>
        <v>20.527200000000001</v>
      </c>
      <c r="K74" s="250">
        <f t="shared" si="12"/>
        <v>-2524.4350560000003</v>
      </c>
    </row>
    <row r="75" spans="2:11" s="134" customFormat="1" ht="23" customHeight="1">
      <c r="B75" s="7" t="s">
        <v>1254</v>
      </c>
      <c r="C75" s="7" t="s">
        <v>693</v>
      </c>
      <c r="D75" s="159">
        <v>44623</v>
      </c>
      <c r="E75" s="249" t="s">
        <v>715</v>
      </c>
      <c r="F75" s="7" t="s">
        <v>59</v>
      </c>
      <c r="G75" s="250">
        <v>155.54</v>
      </c>
      <c r="H75" s="162">
        <f>IF(F75=0,0,IF(F75="MXN",1/HLOOKUP(YEAR(D75)+(MONTH(D75)/100),TC!$5:$437,DAY(D75)+2,FALSE),VLOOKUP(F75,Equivalencia!$1:$23,((MAX(Equivalencia!$3:$3)-YEAR(D75))*14)+MONTH(D75)+2,FALSE)))</f>
        <v>1</v>
      </c>
      <c r="I75" s="251">
        <f t="shared" si="11"/>
        <v>155.54</v>
      </c>
      <c r="J75" s="162">
        <f>IF(D75=0,0,HLOOKUP(YEAR(D75)+(MONTH(D75)/100),TC!$5:$37,DAY(D75)+2,FALSE))</f>
        <v>20.527200000000001</v>
      </c>
      <c r="K75" s="250">
        <f t="shared" si="12"/>
        <v>3192.8006879999998</v>
      </c>
    </row>
    <row r="76" spans="2:11" s="134" customFormat="1" ht="23" customHeight="1">
      <c r="B76" s="7" t="s">
        <v>1254</v>
      </c>
      <c r="C76" s="7" t="s">
        <v>693</v>
      </c>
      <c r="D76" s="159">
        <v>44623</v>
      </c>
      <c r="E76" s="249" t="s">
        <v>715</v>
      </c>
      <c r="F76" s="7" t="s">
        <v>59</v>
      </c>
      <c r="G76" s="250">
        <v>-155.54</v>
      </c>
      <c r="H76" s="162">
        <f>IF(F76=0,0,IF(F76="MXN",1/HLOOKUP(YEAR(D76)+(MONTH(D76)/100),TC!$5:$437,DAY(D76)+2,FALSE),VLOOKUP(F76,Equivalencia!$1:$23,((MAX(Equivalencia!$3:$3)-YEAR(D76))*14)+MONTH(D76)+2,FALSE)))</f>
        <v>1</v>
      </c>
      <c r="I76" s="251">
        <f t="shared" si="11"/>
        <v>-155.54</v>
      </c>
      <c r="J76" s="162">
        <f>IF(D76=0,0,HLOOKUP(YEAR(D76)+(MONTH(D76)/100),TC!$5:$37,DAY(D76)+2,FALSE))</f>
        <v>20.527200000000001</v>
      </c>
      <c r="K76" s="250">
        <f t="shared" si="12"/>
        <v>-3192.8006879999998</v>
      </c>
    </row>
    <row r="77" spans="2:11" s="134" customFormat="1" ht="23" customHeight="1">
      <c r="B77" s="7" t="s">
        <v>1254</v>
      </c>
      <c r="C77" s="7" t="s">
        <v>693</v>
      </c>
      <c r="D77" s="159">
        <v>44623</v>
      </c>
      <c r="E77" s="249" t="s">
        <v>716</v>
      </c>
      <c r="F77" s="7" t="s">
        <v>59</v>
      </c>
      <c r="G77" s="250">
        <v>113.04</v>
      </c>
      <c r="H77" s="162">
        <f>IF(F77=0,0,IF(F77="MXN",1/HLOOKUP(YEAR(D77)+(MONTH(D77)/100),TC!$5:$437,DAY(D77)+2,FALSE),VLOOKUP(F77,Equivalencia!$1:$23,((MAX(Equivalencia!$3:$3)-YEAR(D77))*14)+MONTH(D77)+2,FALSE)))</f>
        <v>1</v>
      </c>
      <c r="I77" s="251">
        <f t="shared" si="11"/>
        <v>113.04</v>
      </c>
      <c r="J77" s="162">
        <f>IF(D77=0,0,HLOOKUP(YEAR(D77)+(MONTH(D77)/100),TC!$5:$37,DAY(D77)+2,FALSE))</f>
        <v>20.527200000000001</v>
      </c>
      <c r="K77" s="250">
        <f t="shared" si="12"/>
        <v>2320.3946880000003</v>
      </c>
    </row>
    <row r="78" spans="2:11" s="134" customFormat="1" ht="23" customHeight="1">
      <c r="B78" s="7" t="s">
        <v>1254</v>
      </c>
      <c r="C78" s="7" t="s">
        <v>693</v>
      </c>
      <c r="D78" s="159">
        <v>44623</v>
      </c>
      <c r="E78" s="249" t="s">
        <v>716</v>
      </c>
      <c r="F78" s="7" t="s">
        <v>59</v>
      </c>
      <c r="G78" s="250">
        <v>-113.04</v>
      </c>
      <c r="H78" s="162">
        <f>IF(F78=0,0,IF(F78="MXN",1/HLOOKUP(YEAR(D78)+(MONTH(D78)/100),TC!$5:$437,DAY(D78)+2,FALSE),VLOOKUP(F78,Equivalencia!$1:$23,((MAX(Equivalencia!$3:$3)-YEAR(D78))*14)+MONTH(D78)+2,FALSE)))</f>
        <v>1</v>
      </c>
      <c r="I78" s="251">
        <f t="shared" si="11"/>
        <v>-113.04</v>
      </c>
      <c r="J78" s="162">
        <f>IF(D78=0,0,HLOOKUP(YEAR(D78)+(MONTH(D78)/100),TC!$5:$37,DAY(D78)+2,FALSE))</f>
        <v>20.527200000000001</v>
      </c>
      <c r="K78" s="250">
        <f t="shared" si="12"/>
        <v>-2320.3946880000003</v>
      </c>
    </row>
    <row r="79" spans="2:11" s="134" customFormat="1" ht="23" customHeight="1">
      <c r="B79" s="7" t="s">
        <v>1254</v>
      </c>
      <c r="C79" s="7" t="s">
        <v>693</v>
      </c>
      <c r="D79" s="159">
        <v>44623</v>
      </c>
      <c r="E79" s="249" t="s">
        <v>724</v>
      </c>
      <c r="F79" s="7" t="s">
        <v>59</v>
      </c>
      <c r="G79" s="250">
        <v>159.24</v>
      </c>
      <c r="H79" s="162">
        <f>IF(F79=0,0,IF(F79="MXN",1/HLOOKUP(YEAR(D79)+(MONTH(D79)/100),TC!$5:$437,DAY(D79)+2,FALSE),VLOOKUP(F79,Equivalencia!$1:$23,((MAX(Equivalencia!$3:$3)-YEAR(D79))*14)+MONTH(D79)+2,FALSE)))</f>
        <v>1</v>
      </c>
      <c r="I79" s="251">
        <f t="shared" si="11"/>
        <v>159.24</v>
      </c>
      <c r="J79" s="162">
        <f>IF(D79=0,0,HLOOKUP(YEAR(D79)+(MONTH(D79)/100),TC!$5:$37,DAY(D79)+2,FALSE))</f>
        <v>20.527200000000001</v>
      </c>
      <c r="K79" s="250">
        <f t="shared" si="12"/>
        <v>3268.7513280000003</v>
      </c>
    </row>
    <row r="80" spans="2:11" s="134" customFormat="1" ht="23" customHeight="1">
      <c r="B80" s="7" t="s">
        <v>1254</v>
      </c>
      <c r="C80" s="7" t="s">
        <v>693</v>
      </c>
      <c r="D80" s="159">
        <v>44623</v>
      </c>
      <c r="E80" s="249" t="s">
        <v>724</v>
      </c>
      <c r="F80" s="7" t="s">
        <v>59</v>
      </c>
      <c r="G80" s="250">
        <v>-159.24</v>
      </c>
      <c r="H80" s="162">
        <f>IF(F80=0,0,IF(F80="MXN",1/HLOOKUP(YEAR(D80)+(MONTH(D80)/100),TC!$5:$437,DAY(D80)+2,FALSE),VLOOKUP(F80,Equivalencia!$1:$23,((MAX(Equivalencia!$3:$3)-YEAR(D80))*14)+MONTH(D80)+2,FALSE)))</f>
        <v>1</v>
      </c>
      <c r="I80" s="251">
        <f t="shared" si="11"/>
        <v>-159.24</v>
      </c>
      <c r="J80" s="162">
        <f>IF(D80=0,0,HLOOKUP(YEAR(D80)+(MONTH(D80)/100),TC!$5:$37,DAY(D80)+2,FALSE))</f>
        <v>20.527200000000001</v>
      </c>
      <c r="K80" s="250">
        <f t="shared" si="12"/>
        <v>-3268.7513280000003</v>
      </c>
    </row>
    <row r="81" spans="2:11" s="134" customFormat="1" ht="23" customHeight="1">
      <c r="B81" s="7" t="s">
        <v>1254</v>
      </c>
      <c r="C81" s="7" t="s">
        <v>693</v>
      </c>
      <c r="D81" s="159">
        <v>44623</v>
      </c>
      <c r="E81" s="249" t="s">
        <v>717</v>
      </c>
      <c r="F81" s="7" t="s">
        <v>59</v>
      </c>
      <c r="G81" s="250">
        <v>104.87</v>
      </c>
      <c r="H81" s="162">
        <f>IF(F81=0,0,IF(F81="MXN",1/HLOOKUP(YEAR(D81)+(MONTH(D81)/100),TC!$5:$437,DAY(D81)+2,FALSE),VLOOKUP(F81,Equivalencia!$1:$23,((MAX(Equivalencia!$3:$3)-YEAR(D81))*14)+MONTH(D81)+2,FALSE)))</f>
        <v>1</v>
      </c>
      <c r="I81" s="251">
        <f t="shared" si="11"/>
        <v>104.87</v>
      </c>
      <c r="J81" s="162">
        <f>IF(D81=0,0,HLOOKUP(YEAR(D81)+(MONTH(D81)/100),TC!$5:$37,DAY(D81)+2,FALSE))</f>
        <v>20.527200000000001</v>
      </c>
      <c r="K81" s="250">
        <f t="shared" si="12"/>
        <v>2152.6874640000001</v>
      </c>
    </row>
    <row r="82" spans="2:11" s="134" customFormat="1" ht="23" customHeight="1">
      <c r="B82" s="7" t="s">
        <v>1254</v>
      </c>
      <c r="C82" s="7" t="s">
        <v>693</v>
      </c>
      <c r="D82" s="159">
        <v>44623</v>
      </c>
      <c r="E82" s="249" t="s">
        <v>717</v>
      </c>
      <c r="F82" s="7" t="s">
        <v>59</v>
      </c>
      <c r="G82" s="250">
        <v>-104.87</v>
      </c>
      <c r="H82" s="162">
        <f>IF(F82=0,0,IF(F82="MXN",1/HLOOKUP(YEAR(D82)+(MONTH(D82)/100),TC!$5:$437,DAY(D82)+2,FALSE),VLOOKUP(F82,Equivalencia!$1:$23,((MAX(Equivalencia!$3:$3)-YEAR(D82))*14)+MONTH(D82)+2,FALSE)))</f>
        <v>1</v>
      </c>
      <c r="I82" s="251">
        <f t="shared" si="11"/>
        <v>-104.87</v>
      </c>
      <c r="J82" s="162">
        <f>IF(D82=0,0,HLOOKUP(YEAR(D82)+(MONTH(D82)/100),TC!$5:$37,DAY(D82)+2,FALSE))</f>
        <v>20.527200000000001</v>
      </c>
      <c r="K82" s="250">
        <f t="shared" si="12"/>
        <v>-2152.6874640000001</v>
      </c>
    </row>
    <row r="83" spans="2:11" s="134" customFormat="1" ht="23" customHeight="1">
      <c r="B83" s="7" t="s">
        <v>1254</v>
      </c>
      <c r="C83" s="7" t="s">
        <v>693</v>
      </c>
      <c r="D83" s="159">
        <v>44623</v>
      </c>
      <c r="E83" s="249" t="s">
        <v>725</v>
      </c>
      <c r="F83" s="7" t="s">
        <v>59</v>
      </c>
      <c r="G83" s="250">
        <v>235.69</v>
      </c>
      <c r="H83" s="162">
        <f>IF(F83=0,0,IF(F83="MXN",1/HLOOKUP(YEAR(D83)+(MONTH(D83)/100),TC!$5:$437,DAY(D83)+2,FALSE),VLOOKUP(F83,Equivalencia!$1:$23,((MAX(Equivalencia!$3:$3)-YEAR(D83))*14)+MONTH(D83)+2,FALSE)))</f>
        <v>1</v>
      </c>
      <c r="I83" s="251">
        <f t="shared" si="11"/>
        <v>235.69</v>
      </c>
      <c r="J83" s="162">
        <f>IF(D83=0,0,HLOOKUP(YEAR(D83)+(MONTH(D83)/100),TC!$5:$37,DAY(D83)+2,FALSE))</f>
        <v>20.527200000000001</v>
      </c>
      <c r="K83" s="250">
        <f t="shared" si="12"/>
        <v>4838.0557680000002</v>
      </c>
    </row>
    <row r="84" spans="2:11" s="134" customFormat="1" ht="23" customHeight="1">
      <c r="B84" s="7" t="s">
        <v>1254</v>
      </c>
      <c r="C84" s="7" t="s">
        <v>693</v>
      </c>
      <c r="D84" s="159">
        <v>44623</v>
      </c>
      <c r="E84" s="249" t="s">
        <v>725</v>
      </c>
      <c r="F84" s="7" t="s">
        <v>59</v>
      </c>
      <c r="G84" s="250">
        <v>-235.69</v>
      </c>
      <c r="H84" s="162">
        <f>IF(F84=0,0,IF(F84="MXN",1/HLOOKUP(YEAR(D84)+(MONTH(D84)/100),TC!$5:$437,DAY(D84)+2,FALSE),VLOOKUP(F84,Equivalencia!$1:$23,((MAX(Equivalencia!$3:$3)-YEAR(D84))*14)+MONTH(D84)+2,FALSE)))</f>
        <v>1</v>
      </c>
      <c r="I84" s="251">
        <f t="shared" si="11"/>
        <v>-235.69</v>
      </c>
      <c r="J84" s="162">
        <f>IF(D84=0,0,HLOOKUP(YEAR(D84)+(MONTH(D84)/100),TC!$5:$37,DAY(D84)+2,FALSE))</f>
        <v>20.527200000000001</v>
      </c>
      <c r="K84" s="250">
        <f t="shared" si="12"/>
        <v>-4838.0557680000002</v>
      </c>
    </row>
    <row r="85" spans="2:11" s="134" customFormat="1" ht="23" customHeight="1">
      <c r="B85" s="7" t="s">
        <v>1254</v>
      </c>
      <c r="C85" s="7" t="s">
        <v>693</v>
      </c>
      <c r="D85" s="159">
        <v>44623</v>
      </c>
      <c r="E85" s="249" t="s">
        <v>719</v>
      </c>
      <c r="F85" s="7" t="s">
        <v>59</v>
      </c>
      <c r="G85" s="250">
        <v>62.12</v>
      </c>
      <c r="H85" s="162">
        <f>IF(F85=0,0,IF(F85="MXN",1/HLOOKUP(YEAR(D85)+(MONTH(D85)/100),TC!$5:$437,DAY(D85)+2,FALSE),VLOOKUP(F85,Equivalencia!$1:$23,((MAX(Equivalencia!$3:$3)-YEAR(D85))*14)+MONTH(D85)+2,FALSE)))</f>
        <v>1</v>
      </c>
      <c r="I85" s="251">
        <f t="shared" si="11"/>
        <v>62.12</v>
      </c>
      <c r="J85" s="162">
        <f>IF(D85=0,0,HLOOKUP(YEAR(D85)+(MONTH(D85)/100),TC!$5:$37,DAY(D85)+2,FALSE))</f>
        <v>20.527200000000001</v>
      </c>
      <c r="K85" s="250">
        <f t="shared" si="12"/>
        <v>1275.149664</v>
      </c>
    </row>
    <row r="86" spans="2:11" s="134" customFormat="1" ht="23" customHeight="1">
      <c r="B86" s="7" t="s">
        <v>1254</v>
      </c>
      <c r="C86" s="7" t="s">
        <v>693</v>
      </c>
      <c r="D86" s="159">
        <v>44623</v>
      </c>
      <c r="E86" s="249" t="s">
        <v>719</v>
      </c>
      <c r="F86" s="7" t="s">
        <v>59</v>
      </c>
      <c r="G86" s="250">
        <v>-62.12</v>
      </c>
      <c r="H86" s="162">
        <f>IF(F86=0,0,IF(F86="MXN",1/HLOOKUP(YEAR(D86)+(MONTH(D86)/100),TC!$5:$437,DAY(D86)+2,FALSE),VLOOKUP(F86,Equivalencia!$1:$23,((MAX(Equivalencia!$3:$3)-YEAR(D86))*14)+MONTH(D86)+2,FALSE)))</f>
        <v>1</v>
      </c>
      <c r="I86" s="251">
        <f t="shared" si="11"/>
        <v>-62.12</v>
      </c>
      <c r="J86" s="162">
        <f>IF(D86=0,0,HLOOKUP(YEAR(D86)+(MONTH(D86)/100),TC!$5:$37,DAY(D86)+2,FALSE))</f>
        <v>20.527200000000001</v>
      </c>
      <c r="K86" s="250">
        <f t="shared" si="12"/>
        <v>-1275.149664</v>
      </c>
    </row>
    <row r="87" spans="2:11" s="134" customFormat="1" ht="23" customHeight="1">
      <c r="B87" s="7" t="s">
        <v>1254</v>
      </c>
      <c r="C87" s="7" t="s">
        <v>693</v>
      </c>
      <c r="D87" s="159">
        <v>44623</v>
      </c>
      <c r="E87" s="249" t="s">
        <v>718</v>
      </c>
      <c r="F87" s="7" t="s">
        <v>59</v>
      </c>
      <c r="G87" s="250">
        <v>492.24</v>
      </c>
      <c r="H87" s="162">
        <f>IF(F87=0,0,IF(F87="MXN",1/HLOOKUP(YEAR(D87)+(MONTH(D87)/100),TC!$5:$437,DAY(D87)+2,FALSE),VLOOKUP(F87,Equivalencia!$1:$23,((MAX(Equivalencia!$3:$3)-YEAR(D87))*14)+MONTH(D87)+2,FALSE)))</f>
        <v>1</v>
      </c>
      <c r="I87" s="251">
        <f t="shared" si="11"/>
        <v>492.24</v>
      </c>
      <c r="J87" s="162">
        <f>IF(D87=0,0,HLOOKUP(YEAR(D87)+(MONTH(D87)/100),TC!$5:$37,DAY(D87)+2,FALSE))</f>
        <v>20.527200000000001</v>
      </c>
      <c r="K87" s="250">
        <f t="shared" si="12"/>
        <v>10104.308928</v>
      </c>
    </row>
    <row r="88" spans="2:11" s="134" customFormat="1" ht="23" customHeight="1">
      <c r="B88" s="7" t="s">
        <v>1254</v>
      </c>
      <c r="C88" s="7" t="s">
        <v>693</v>
      </c>
      <c r="D88" s="159">
        <v>44623</v>
      </c>
      <c r="E88" s="249" t="s">
        <v>718</v>
      </c>
      <c r="F88" s="7" t="s">
        <v>59</v>
      </c>
      <c r="G88" s="250">
        <v>-492.24</v>
      </c>
      <c r="H88" s="162">
        <f>IF(F88=0,0,IF(F88="MXN",1/HLOOKUP(YEAR(D88)+(MONTH(D88)/100),TC!$5:$437,DAY(D88)+2,FALSE),VLOOKUP(F88,Equivalencia!$1:$23,((MAX(Equivalencia!$3:$3)-YEAR(D88))*14)+MONTH(D88)+2,FALSE)))</f>
        <v>1</v>
      </c>
      <c r="I88" s="251">
        <f t="shared" si="11"/>
        <v>-492.24</v>
      </c>
      <c r="J88" s="162">
        <f>IF(D88=0,0,HLOOKUP(YEAR(D88)+(MONTH(D88)/100),TC!$5:$37,DAY(D88)+2,FALSE))</f>
        <v>20.527200000000001</v>
      </c>
      <c r="K88" s="250">
        <f t="shared" si="12"/>
        <v>-10104.308928</v>
      </c>
    </row>
    <row r="89" spans="2:11" s="134" customFormat="1" ht="23" customHeight="1">
      <c r="B89" s="7" t="s">
        <v>1254</v>
      </c>
      <c r="C89" s="7" t="s">
        <v>693</v>
      </c>
      <c r="D89" s="159">
        <v>44623</v>
      </c>
      <c r="E89" s="249" t="s">
        <v>726</v>
      </c>
      <c r="F89" s="7" t="s">
        <v>59</v>
      </c>
      <c r="G89" s="250">
        <v>399.25</v>
      </c>
      <c r="H89" s="162">
        <f>IF(F89=0,0,IF(F89="MXN",1/HLOOKUP(YEAR(D89)+(MONTH(D89)/100),TC!$5:$437,DAY(D89)+2,FALSE),VLOOKUP(F89,Equivalencia!$1:$23,((MAX(Equivalencia!$3:$3)-YEAR(D89))*14)+MONTH(D89)+2,FALSE)))</f>
        <v>1</v>
      </c>
      <c r="I89" s="251">
        <f t="shared" si="11"/>
        <v>399.25</v>
      </c>
      <c r="J89" s="162">
        <f>IF(D89=0,0,HLOOKUP(YEAR(D89)+(MONTH(D89)/100),TC!$5:$37,DAY(D89)+2,FALSE))</f>
        <v>20.527200000000001</v>
      </c>
      <c r="K89" s="250">
        <f t="shared" si="12"/>
        <v>8195.4845999999998</v>
      </c>
    </row>
    <row r="90" spans="2:11" s="134" customFormat="1" ht="23" customHeight="1">
      <c r="B90" s="7" t="s">
        <v>1254</v>
      </c>
      <c r="C90" s="7" t="s">
        <v>693</v>
      </c>
      <c r="D90" s="159">
        <v>44623</v>
      </c>
      <c r="E90" s="249" t="s">
        <v>726</v>
      </c>
      <c r="F90" s="7" t="s">
        <v>59</v>
      </c>
      <c r="G90" s="250">
        <v>-399.25</v>
      </c>
      <c r="H90" s="162">
        <f>IF(F90=0,0,IF(F90="MXN",1/HLOOKUP(YEAR(D90)+(MONTH(D90)/100),TC!$5:$437,DAY(D90)+2,FALSE),VLOOKUP(F90,Equivalencia!$1:$23,((MAX(Equivalencia!$3:$3)-YEAR(D90))*14)+MONTH(D90)+2,FALSE)))</f>
        <v>1</v>
      </c>
      <c r="I90" s="251">
        <f t="shared" si="11"/>
        <v>-399.25</v>
      </c>
      <c r="J90" s="162">
        <f>IF(D90=0,0,HLOOKUP(YEAR(D90)+(MONTH(D90)/100),TC!$5:$37,DAY(D90)+2,FALSE))</f>
        <v>20.527200000000001</v>
      </c>
      <c r="K90" s="250">
        <f t="shared" si="12"/>
        <v>-8195.4845999999998</v>
      </c>
    </row>
    <row r="91" spans="2:11" s="134" customFormat="1" ht="23" customHeight="1">
      <c r="B91" s="7" t="s">
        <v>1254</v>
      </c>
      <c r="C91" s="7" t="s">
        <v>693</v>
      </c>
      <c r="D91" s="159">
        <v>44623</v>
      </c>
      <c r="E91" s="249" t="s">
        <v>727</v>
      </c>
      <c r="F91" s="7" t="s">
        <v>59</v>
      </c>
      <c r="G91" s="250">
        <v>158.41</v>
      </c>
      <c r="H91" s="162">
        <f>IF(F91=0,0,IF(F91="MXN",1/HLOOKUP(YEAR(D91)+(MONTH(D91)/100),TC!$5:$437,DAY(D91)+2,FALSE),VLOOKUP(F91,Equivalencia!$1:$23,((MAX(Equivalencia!$3:$3)-YEAR(D91))*14)+MONTH(D91)+2,FALSE)))</f>
        <v>1</v>
      </c>
      <c r="I91" s="251">
        <f t="shared" si="11"/>
        <v>158.41</v>
      </c>
      <c r="J91" s="162">
        <f>IF(D91=0,0,HLOOKUP(YEAR(D91)+(MONTH(D91)/100),TC!$5:$37,DAY(D91)+2,FALSE))</f>
        <v>20.527200000000001</v>
      </c>
      <c r="K91" s="250">
        <f t="shared" si="12"/>
        <v>3251.7137520000001</v>
      </c>
    </row>
    <row r="92" spans="2:11" s="134" customFormat="1" ht="23" customHeight="1">
      <c r="B92" s="7" t="s">
        <v>1254</v>
      </c>
      <c r="C92" s="7" t="s">
        <v>693</v>
      </c>
      <c r="D92" s="159">
        <v>44623</v>
      </c>
      <c r="E92" s="249" t="s">
        <v>727</v>
      </c>
      <c r="F92" s="7" t="s">
        <v>59</v>
      </c>
      <c r="G92" s="250">
        <v>-158.41</v>
      </c>
      <c r="H92" s="162">
        <f>IF(F92=0,0,IF(F92="MXN",1/HLOOKUP(YEAR(D92)+(MONTH(D92)/100),TC!$5:$437,DAY(D92)+2,FALSE),VLOOKUP(F92,Equivalencia!$1:$23,((MAX(Equivalencia!$3:$3)-YEAR(D92))*14)+MONTH(D92)+2,FALSE)))</f>
        <v>1</v>
      </c>
      <c r="I92" s="251">
        <f t="shared" si="11"/>
        <v>-158.41</v>
      </c>
      <c r="J92" s="162">
        <f>IF(D92=0,0,HLOOKUP(YEAR(D92)+(MONTH(D92)/100),TC!$5:$37,DAY(D92)+2,FALSE))</f>
        <v>20.527200000000001</v>
      </c>
      <c r="K92" s="250">
        <f t="shared" si="12"/>
        <v>-3251.7137520000001</v>
      </c>
    </row>
    <row r="93" spans="2:11" s="134" customFormat="1" ht="23" customHeight="1">
      <c r="B93" s="7" t="s">
        <v>1254</v>
      </c>
      <c r="C93" s="7" t="s">
        <v>693</v>
      </c>
      <c r="D93" s="159">
        <v>44623</v>
      </c>
      <c r="E93" s="249" t="s">
        <v>728</v>
      </c>
      <c r="F93" s="7" t="s">
        <v>59</v>
      </c>
      <c r="G93" s="250">
        <v>239.95</v>
      </c>
      <c r="H93" s="162">
        <f>IF(F93=0,0,IF(F93="MXN",1/HLOOKUP(YEAR(D93)+(MONTH(D93)/100),TC!$5:$437,DAY(D93)+2,FALSE),VLOOKUP(F93,Equivalencia!$1:$23,((MAX(Equivalencia!$3:$3)-YEAR(D93))*14)+MONTH(D93)+2,FALSE)))</f>
        <v>1</v>
      </c>
      <c r="I93" s="251">
        <f t="shared" si="11"/>
        <v>239.95</v>
      </c>
      <c r="J93" s="162">
        <f>IF(D93=0,0,HLOOKUP(YEAR(D93)+(MONTH(D93)/100),TC!$5:$37,DAY(D93)+2,FALSE))</f>
        <v>20.527200000000001</v>
      </c>
      <c r="K93" s="250">
        <f t="shared" si="12"/>
        <v>4925.5016399999995</v>
      </c>
    </row>
    <row r="94" spans="2:11" s="134" customFormat="1" ht="23" customHeight="1">
      <c r="B94" s="7" t="s">
        <v>1254</v>
      </c>
      <c r="C94" s="7" t="s">
        <v>693</v>
      </c>
      <c r="D94" s="159">
        <v>44623</v>
      </c>
      <c r="E94" s="249" t="s">
        <v>728</v>
      </c>
      <c r="F94" s="7" t="s">
        <v>59</v>
      </c>
      <c r="G94" s="250">
        <v>-239.95</v>
      </c>
      <c r="H94" s="162">
        <f>IF(F94=0,0,IF(F94="MXN",1/HLOOKUP(YEAR(D94)+(MONTH(D94)/100),TC!$5:$437,DAY(D94)+2,FALSE),VLOOKUP(F94,Equivalencia!$1:$23,((MAX(Equivalencia!$3:$3)-YEAR(D94))*14)+MONTH(D94)+2,FALSE)))</f>
        <v>1</v>
      </c>
      <c r="I94" s="251">
        <f t="shared" si="11"/>
        <v>-239.95</v>
      </c>
      <c r="J94" s="162">
        <f>IF(D94=0,0,HLOOKUP(YEAR(D94)+(MONTH(D94)/100),TC!$5:$37,DAY(D94)+2,FALSE))</f>
        <v>20.527200000000001</v>
      </c>
      <c r="K94" s="250">
        <f t="shared" si="12"/>
        <v>-4925.5016399999995</v>
      </c>
    </row>
    <row r="95" spans="2:11" s="134" customFormat="1" ht="23" customHeight="1">
      <c r="B95" s="7" t="s">
        <v>1254</v>
      </c>
      <c r="C95" s="7" t="s">
        <v>693</v>
      </c>
      <c r="D95" s="159">
        <v>44623</v>
      </c>
      <c r="E95" s="249" t="s">
        <v>729</v>
      </c>
      <c r="F95" s="7" t="s">
        <v>59</v>
      </c>
      <c r="G95" s="250">
        <v>179.09</v>
      </c>
      <c r="H95" s="162">
        <f>IF(F95=0,0,IF(F95="MXN",1/HLOOKUP(YEAR(D95)+(MONTH(D95)/100),TC!$5:$437,DAY(D95)+2,FALSE),VLOOKUP(F95,Equivalencia!$1:$23,((MAX(Equivalencia!$3:$3)-YEAR(D95))*14)+MONTH(D95)+2,FALSE)))</f>
        <v>1</v>
      </c>
      <c r="I95" s="251">
        <f t="shared" si="11"/>
        <v>179.09</v>
      </c>
      <c r="J95" s="162">
        <f>IF(D95=0,0,HLOOKUP(YEAR(D95)+(MONTH(D95)/100),TC!$5:$37,DAY(D95)+2,FALSE))</f>
        <v>20.527200000000001</v>
      </c>
      <c r="K95" s="250">
        <f t="shared" si="12"/>
        <v>3676.2162480000002</v>
      </c>
    </row>
    <row r="96" spans="2:11" s="134" customFormat="1" ht="23" customHeight="1">
      <c r="B96" s="7" t="s">
        <v>1254</v>
      </c>
      <c r="C96" s="7" t="s">
        <v>693</v>
      </c>
      <c r="D96" s="159">
        <v>44623</v>
      </c>
      <c r="E96" s="249" t="s">
        <v>729</v>
      </c>
      <c r="F96" s="7" t="s">
        <v>59</v>
      </c>
      <c r="G96" s="250">
        <v>-179.09</v>
      </c>
      <c r="H96" s="162">
        <f>IF(F96=0,0,IF(F96="MXN",1/HLOOKUP(YEAR(D96)+(MONTH(D96)/100),TC!$5:$437,DAY(D96)+2,FALSE),VLOOKUP(F96,Equivalencia!$1:$23,((MAX(Equivalencia!$3:$3)-YEAR(D96))*14)+MONTH(D96)+2,FALSE)))</f>
        <v>1</v>
      </c>
      <c r="I96" s="251">
        <f t="shared" si="11"/>
        <v>-179.09</v>
      </c>
      <c r="J96" s="162">
        <f>IF(D96=0,0,HLOOKUP(YEAR(D96)+(MONTH(D96)/100),TC!$5:$37,DAY(D96)+2,FALSE))</f>
        <v>20.527200000000001</v>
      </c>
      <c r="K96" s="250">
        <f t="shared" si="12"/>
        <v>-3676.2162480000002</v>
      </c>
    </row>
    <row r="97" spans="2:11" s="134" customFormat="1" ht="23" customHeight="1">
      <c r="B97" s="7" t="s">
        <v>1254</v>
      </c>
      <c r="C97" s="7" t="s">
        <v>693</v>
      </c>
      <c r="D97" s="159">
        <v>44623</v>
      </c>
      <c r="E97" s="249" t="s">
        <v>730</v>
      </c>
      <c r="F97" s="7" t="s">
        <v>59</v>
      </c>
      <c r="G97" s="250">
        <v>110.88</v>
      </c>
      <c r="H97" s="162">
        <f>IF(F97=0,0,IF(F97="MXN",1/HLOOKUP(YEAR(D97)+(MONTH(D97)/100),TC!$5:$437,DAY(D97)+2,FALSE),VLOOKUP(F97,Equivalencia!$1:$23,((MAX(Equivalencia!$3:$3)-YEAR(D97))*14)+MONTH(D97)+2,FALSE)))</f>
        <v>1</v>
      </c>
      <c r="I97" s="251">
        <f t="shared" si="11"/>
        <v>110.88</v>
      </c>
      <c r="J97" s="162">
        <f>IF(D97=0,0,HLOOKUP(YEAR(D97)+(MONTH(D97)/100),TC!$5:$37,DAY(D97)+2,FALSE))</f>
        <v>20.527200000000001</v>
      </c>
      <c r="K97" s="250">
        <f t="shared" si="12"/>
        <v>2276.0559359999997</v>
      </c>
    </row>
    <row r="98" spans="2:11" s="134" customFormat="1" ht="23" customHeight="1">
      <c r="B98" s="7" t="s">
        <v>1254</v>
      </c>
      <c r="C98" s="7" t="s">
        <v>693</v>
      </c>
      <c r="D98" s="159">
        <v>44623</v>
      </c>
      <c r="E98" s="249" t="s">
        <v>730</v>
      </c>
      <c r="F98" s="7" t="s">
        <v>59</v>
      </c>
      <c r="G98" s="250">
        <v>-110.88</v>
      </c>
      <c r="H98" s="162">
        <f>IF(F98=0,0,IF(F98="MXN",1/HLOOKUP(YEAR(D98)+(MONTH(D98)/100),TC!$5:$437,DAY(D98)+2,FALSE),VLOOKUP(F98,Equivalencia!$1:$23,((MAX(Equivalencia!$3:$3)-YEAR(D98))*14)+MONTH(D98)+2,FALSE)))</f>
        <v>1</v>
      </c>
      <c r="I98" s="251">
        <f t="shared" si="11"/>
        <v>-110.88</v>
      </c>
      <c r="J98" s="162">
        <f>IF(D98=0,0,HLOOKUP(YEAR(D98)+(MONTH(D98)/100),TC!$5:$37,DAY(D98)+2,FALSE))</f>
        <v>20.527200000000001</v>
      </c>
      <c r="K98" s="250">
        <f t="shared" si="12"/>
        <v>-2276.0559359999997</v>
      </c>
    </row>
    <row r="99" spans="2:11" s="134" customFormat="1" ht="23" customHeight="1">
      <c r="B99" s="7" t="s">
        <v>1254</v>
      </c>
      <c r="C99" s="7" t="s">
        <v>693</v>
      </c>
      <c r="D99" s="159">
        <v>44623</v>
      </c>
      <c r="E99" s="249" t="s">
        <v>731</v>
      </c>
      <c r="F99" s="7" t="s">
        <v>59</v>
      </c>
      <c r="G99" s="250">
        <v>295.37</v>
      </c>
      <c r="H99" s="162">
        <f>IF(F99=0,0,IF(F99="MXN",1/HLOOKUP(YEAR(D99)+(MONTH(D99)/100),TC!$5:$437,DAY(D99)+2,FALSE),VLOOKUP(F99,Equivalencia!$1:$23,((MAX(Equivalencia!$3:$3)-YEAR(D99))*14)+MONTH(D99)+2,FALSE)))</f>
        <v>1</v>
      </c>
      <c r="I99" s="251">
        <f t="shared" si="11"/>
        <v>295.37</v>
      </c>
      <c r="J99" s="162">
        <f>IF(D99=0,0,HLOOKUP(YEAR(D99)+(MONTH(D99)/100),TC!$5:$37,DAY(D99)+2,FALSE))</f>
        <v>20.527200000000001</v>
      </c>
      <c r="K99" s="250">
        <f t="shared" si="12"/>
        <v>6063.1190640000004</v>
      </c>
    </row>
    <row r="100" spans="2:11" s="134" customFormat="1" ht="23" customHeight="1">
      <c r="B100" s="7" t="s">
        <v>1254</v>
      </c>
      <c r="C100" s="7" t="s">
        <v>693</v>
      </c>
      <c r="D100" s="159">
        <v>44623</v>
      </c>
      <c r="E100" s="249" t="s">
        <v>731</v>
      </c>
      <c r="F100" s="7" t="s">
        <v>59</v>
      </c>
      <c r="G100" s="250">
        <v>-295.37</v>
      </c>
      <c r="H100" s="162">
        <f>IF(F100=0,0,IF(F100="MXN",1/HLOOKUP(YEAR(D100)+(MONTH(D100)/100),TC!$5:$437,DAY(D100)+2,FALSE),VLOOKUP(F100,Equivalencia!$1:$23,((MAX(Equivalencia!$3:$3)-YEAR(D100))*14)+MONTH(D100)+2,FALSE)))</f>
        <v>1</v>
      </c>
      <c r="I100" s="251">
        <f t="shared" si="11"/>
        <v>-295.37</v>
      </c>
      <c r="J100" s="162">
        <f>IF(D100=0,0,HLOOKUP(YEAR(D100)+(MONTH(D100)/100),TC!$5:$37,DAY(D100)+2,FALSE))</f>
        <v>20.527200000000001</v>
      </c>
      <c r="K100" s="250">
        <f t="shared" si="12"/>
        <v>-6063.1190640000004</v>
      </c>
    </row>
    <row r="101" spans="2:11" s="134" customFormat="1" ht="23" customHeight="1">
      <c r="B101" s="7" t="s">
        <v>1254</v>
      </c>
      <c r="C101" s="7" t="s">
        <v>693</v>
      </c>
      <c r="D101" s="159">
        <v>44623</v>
      </c>
      <c r="E101" s="249" t="s">
        <v>721</v>
      </c>
      <c r="F101" s="7" t="s">
        <v>59</v>
      </c>
      <c r="G101" s="250">
        <v>138.77000000000001</v>
      </c>
      <c r="H101" s="162">
        <f>IF(F101=0,0,IF(F101="MXN",1/HLOOKUP(YEAR(D101)+(MONTH(D101)/100),TC!$5:$437,DAY(D101)+2,FALSE),VLOOKUP(F101,Equivalencia!$1:$23,((MAX(Equivalencia!$3:$3)-YEAR(D101))*14)+MONTH(D101)+2,FALSE)))</f>
        <v>1</v>
      </c>
      <c r="I101" s="251">
        <f t="shared" si="11"/>
        <v>138.77000000000001</v>
      </c>
      <c r="J101" s="162">
        <f>IF(D101=0,0,HLOOKUP(YEAR(D101)+(MONTH(D101)/100),TC!$5:$37,DAY(D101)+2,FALSE))</f>
        <v>20.527200000000001</v>
      </c>
      <c r="K101" s="250">
        <f t="shared" si="12"/>
        <v>2848.5595440000002</v>
      </c>
    </row>
    <row r="102" spans="2:11" s="134" customFormat="1" ht="23" customHeight="1">
      <c r="B102" s="7" t="s">
        <v>1254</v>
      </c>
      <c r="C102" s="7" t="s">
        <v>693</v>
      </c>
      <c r="D102" s="159">
        <v>44623</v>
      </c>
      <c r="E102" s="249" t="s">
        <v>721</v>
      </c>
      <c r="F102" s="7" t="s">
        <v>59</v>
      </c>
      <c r="G102" s="250">
        <v>-138.77000000000001</v>
      </c>
      <c r="H102" s="162">
        <f>IF(F102=0,0,IF(F102="MXN",1/HLOOKUP(YEAR(D102)+(MONTH(D102)/100),TC!$5:$437,DAY(D102)+2,FALSE),VLOOKUP(F102,Equivalencia!$1:$23,((MAX(Equivalencia!$3:$3)-YEAR(D102))*14)+MONTH(D102)+2,FALSE)))</f>
        <v>1</v>
      </c>
      <c r="I102" s="251">
        <f t="shared" si="11"/>
        <v>-138.77000000000001</v>
      </c>
      <c r="J102" s="162">
        <f>IF(D102=0,0,HLOOKUP(YEAR(D102)+(MONTH(D102)/100),TC!$5:$37,DAY(D102)+2,FALSE))</f>
        <v>20.527200000000001</v>
      </c>
      <c r="K102" s="250">
        <f t="shared" si="12"/>
        <v>-2848.5595440000002</v>
      </c>
    </row>
    <row r="103" spans="2:11" s="134" customFormat="1" ht="23" customHeight="1">
      <c r="B103" s="7" t="s">
        <v>1254</v>
      </c>
      <c r="C103" s="7" t="s">
        <v>693</v>
      </c>
      <c r="D103" s="159">
        <v>44623</v>
      </c>
      <c r="E103" s="249" t="s">
        <v>711</v>
      </c>
      <c r="F103" s="7" t="s">
        <v>59</v>
      </c>
      <c r="G103" s="250">
        <v>958.65</v>
      </c>
      <c r="H103" s="162">
        <f>IF(F103=0,0,IF(F103="MXN",1/HLOOKUP(YEAR(D103)+(MONTH(D103)/100),TC!$5:$437,DAY(D103)+2,FALSE),VLOOKUP(F103,Equivalencia!$1:$23,((MAX(Equivalencia!$3:$3)-YEAR(D103))*14)+MONTH(D103)+2,FALSE)))</f>
        <v>1</v>
      </c>
      <c r="I103" s="251">
        <f t="shared" si="11"/>
        <v>958.65</v>
      </c>
      <c r="J103" s="162">
        <f>IF(D103=0,0,HLOOKUP(YEAR(D103)+(MONTH(D103)/100),TC!$5:$37,DAY(D103)+2,FALSE))</f>
        <v>20.527200000000001</v>
      </c>
      <c r="K103" s="250">
        <f t="shared" si="12"/>
        <v>19678.400280000002</v>
      </c>
    </row>
    <row r="104" spans="2:11" s="134" customFormat="1" ht="23" customHeight="1">
      <c r="B104" s="7" t="s">
        <v>1254</v>
      </c>
      <c r="C104" s="7" t="s">
        <v>693</v>
      </c>
      <c r="D104" s="159">
        <v>44623</v>
      </c>
      <c r="E104" s="249" t="s">
        <v>711</v>
      </c>
      <c r="F104" s="7" t="s">
        <v>59</v>
      </c>
      <c r="G104" s="250">
        <v>-958.65</v>
      </c>
      <c r="H104" s="162">
        <f>IF(F104=0,0,IF(F104="MXN",1/HLOOKUP(YEAR(D104)+(MONTH(D104)/100),TC!$5:$437,DAY(D104)+2,FALSE),VLOOKUP(F104,Equivalencia!$1:$23,((MAX(Equivalencia!$3:$3)-YEAR(D104))*14)+MONTH(D104)+2,FALSE)))</f>
        <v>1</v>
      </c>
      <c r="I104" s="251">
        <f t="shared" si="11"/>
        <v>-958.65</v>
      </c>
      <c r="J104" s="162">
        <f>IF(D104=0,0,HLOOKUP(YEAR(D104)+(MONTH(D104)/100),TC!$5:$37,DAY(D104)+2,FALSE))</f>
        <v>20.527200000000001</v>
      </c>
      <c r="K104" s="250">
        <f t="shared" si="12"/>
        <v>-19678.400280000002</v>
      </c>
    </row>
    <row r="105" spans="2:11" s="134" customFormat="1" ht="23" customHeight="1">
      <c r="B105" s="7" t="s">
        <v>1254</v>
      </c>
      <c r="C105" s="7" t="s">
        <v>693</v>
      </c>
      <c r="D105" s="159">
        <v>44623</v>
      </c>
      <c r="E105" s="249" t="s">
        <v>720</v>
      </c>
      <c r="F105" s="7" t="s">
        <v>59</v>
      </c>
      <c r="G105" s="250">
        <v>258.47000000000003</v>
      </c>
      <c r="H105" s="162">
        <f>IF(F105=0,0,IF(F105="MXN",1/HLOOKUP(YEAR(D105)+(MONTH(D105)/100),TC!$5:$437,DAY(D105)+2,FALSE),VLOOKUP(F105,Equivalencia!$1:$23,((MAX(Equivalencia!$3:$3)-YEAR(D105))*14)+MONTH(D105)+2,FALSE)))</f>
        <v>1</v>
      </c>
      <c r="I105" s="251">
        <f t="shared" si="11"/>
        <v>258.47000000000003</v>
      </c>
      <c r="J105" s="162">
        <f>IF(D105=0,0,HLOOKUP(YEAR(D105)+(MONTH(D105)/100),TC!$5:$37,DAY(D105)+2,FALSE))</f>
        <v>20.527200000000001</v>
      </c>
      <c r="K105" s="250">
        <f t="shared" si="12"/>
        <v>5305.6653840000008</v>
      </c>
    </row>
    <row r="106" spans="2:11" s="134" customFormat="1" ht="23" customHeight="1">
      <c r="B106" s="7" t="s">
        <v>1254</v>
      </c>
      <c r="C106" s="7" t="s">
        <v>693</v>
      </c>
      <c r="D106" s="159">
        <v>44623</v>
      </c>
      <c r="E106" s="249" t="s">
        <v>720</v>
      </c>
      <c r="F106" s="7" t="s">
        <v>59</v>
      </c>
      <c r="G106" s="250">
        <v>-258.47000000000003</v>
      </c>
      <c r="H106" s="162">
        <f>IF(F106=0,0,IF(F106="MXN",1/HLOOKUP(YEAR(D106)+(MONTH(D106)/100),TC!$5:$437,DAY(D106)+2,FALSE),VLOOKUP(F106,Equivalencia!$1:$23,((MAX(Equivalencia!$3:$3)-YEAR(D106))*14)+MONTH(D106)+2,FALSE)))</f>
        <v>1</v>
      </c>
      <c r="I106" s="251">
        <f t="shared" si="11"/>
        <v>-258.47000000000003</v>
      </c>
      <c r="J106" s="162">
        <f>IF(D106=0,0,HLOOKUP(YEAR(D106)+(MONTH(D106)/100),TC!$5:$37,DAY(D106)+2,FALSE))</f>
        <v>20.527200000000001</v>
      </c>
      <c r="K106" s="250">
        <f t="shared" si="12"/>
        <v>-5305.6653840000008</v>
      </c>
    </row>
    <row r="107" spans="2:11" s="134" customFormat="1" ht="23" customHeight="1">
      <c r="B107" s="7" t="s">
        <v>1254</v>
      </c>
      <c r="C107" s="7" t="s">
        <v>693</v>
      </c>
      <c r="D107" s="159">
        <v>44629</v>
      </c>
      <c r="E107" s="249" t="s">
        <v>725</v>
      </c>
      <c r="F107" s="7" t="s">
        <v>59</v>
      </c>
      <c r="G107" s="250">
        <v>121.21</v>
      </c>
      <c r="H107" s="162">
        <f>IF(F107=0,0,IF(F107="MXN",1/HLOOKUP(YEAR(D107)+(MONTH(D107)/100),TC!$5:$437,DAY(D107)+2,FALSE),VLOOKUP(F107,Equivalencia!$1:$23,((MAX(Equivalencia!$3:$3)-YEAR(D107))*14)+MONTH(D107)+2,FALSE)))</f>
        <v>1</v>
      </c>
      <c r="I107" s="251">
        <f t="shared" si="11"/>
        <v>121.21</v>
      </c>
      <c r="J107" s="162">
        <f>IF(D107=0,0,HLOOKUP(YEAR(D107)+(MONTH(D107)/100),TC!$5:$37,DAY(D107)+2,FALSE))</f>
        <v>21.194700000000001</v>
      </c>
      <c r="K107" s="250">
        <f t="shared" si="12"/>
        <v>2569.009587</v>
      </c>
    </row>
    <row r="108" spans="2:11" s="134" customFormat="1" ht="23" customHeight="1">
      <c r="B108" s="7" t="s">
        <v>1254</v>
      </c>
      <c r="C108" s="7" t="s">
        <v>693</v>
      </c>
      <c r="D108" s="159">
        <v>44630</v>
      </c>
      <c r="E108" s="249" t="s">
        <v>727</v>
      </c>
      <c r="F108" s="7" t="s">
        <v>59</v>
      </c>
      <c r="G108" s="250">
        <v>158.41</v>
      </c>
      <c r="H108" s="162">
        <f>IF(F108=0,0,IF(F108="MXN",1/HLOOKUP(YEAR(D108)+(MONTH(D108)/100),TC!$5:$437,DAY(D108)+2,FALSE),VLOOKUP(F108,Equivalencia!$1:$23,((MAX(Equivalencia!$3:$3)-YEAR(D108))*14)+MONTH(D108)+2,FALSE)))</f>
        <v>1</v>
      </c>
      <c r="I108" s="251">
        <f t="shared" si="11"/>
        <v>158.41</v>
      </c>
      <c r="J108" s="162">
        <f>IF(D108=0,0,HLOOKUP(YEAR(D108)+(MONTH(D108)/100),TC!$5:$37,DAY(D108)+2,FALSE))</f>
        <v>21.377500000000001</v>
      </c>
      <c r="K108" s="250">
        <f t="shared" si="12"/>
        <v>3386.4097750000001</v>
      </c>
    </row>
    <row r="109" spans="2:11" s="134" customFormat="1" ht="23" customHeight="1">
      <c r="B109" s="7" t="s">
        <v>1254</v>
      </c>
      <c r="C109" s="7" t="s">
        <v>693</v>
      </c>
      <c r="D109" s="159">
        <v>44631</v>
      </c>
      <c r="E109" s="249" t="s">
        <v>729</v>
      </c>
      <c r="F109" s="7" t="s">
        <v>59</v>
      </c>
      <c r="G109" s="250">
        <v>222.95</v>
      </c>
      <c r="H109" s="162">
        <f>IF(F109=0,0,IF(F109="MXN",1/HLOOKUP(YEAR(D109)+(MONTH(D109)/100),TC!$5:$437,DAY(D109)+2,FALSE),VLOOKUP(F109,Equivalencia!$1:$23,((MAX(Equivalencia!$3:$3)-YEAR(D109))*14)+MONTH(D109)+2,FALSE)))</f>
        <v>1</v>
      </c>
      <c r="I109" s="251">
        <f t="shared" si="11"/>
        <v>222.95</v>
      </c>
      <c r="J109" s="162">
        <f>IF(D109=0,0,HLOOKUP(YEAR(D109)+(MONTH(D109)/100),TC!$5:$37,DAY(D109)+2,FALSE))</f>
        <v>20.967700000000001</v>
      </c>
      <c r="K109" s="250">
        <f t="shared" si="12"/>
        <v>4674.7487149999997</v>
      </c>
    </row>
    <row r="110" spans="2:11" s="134" customFormat="1" ht="23" customHeight="1">
      <c r="B110" s="7" t="s">
        <v>1254</v>
      </c>
      <c r="C110" s="7" t="s">
        <v>693</v>
      </c>
      <c r="D110" s="159">
        <v>44631</v>
      </c>
      <c r="E110" s="249" t="s">
        <v>728</v>
      </c>
      <c r="F110" s="7" t="s">
        <v>59</v>
      </c>
      <c r="G110" s="250">
        <v>159</v>
      </c>
      <c r="H110" s="162">
        <f>IF(F110=0,0,IF(F110="MXN",1/HLOOKUP(YEAR(D110)+(MONTH(D110)/100),TC!$5:$437,DAY(D110)+2,FALSE),VLOOKUP(F110,Equivalencia!$1:$23,((MAX(Equivalencia!$3:$3)-YEAR(D110))*14)+MONTH(D110)+2,FALSE)))</f>
        <v>1</v>
      </c>
      <c r="I110" s="251">
        <f t="shared" si="11"/>
        <v>159</v>
      </c>
      <c r="J110" s="162">
        <f>IF(D110=0,0,HLOOKUP(YEAR(D110)+(MONTH(D110)/100),TC!$5:$37,DAY(D110)+2,FALSE))</f>
        <v>20.967700000000001</v>
      </c>
      <c r="K110" s="250">
        <f t="shared" si="12"/>
        <v>3333.8643000000002</v>
      </c>
    </row>
    <row r="111" spans="2:11" s="134" customFormat="1" ht="23" customHeight="1">
      <c r="B111" s="7" t="s">
        <v>1254</v>
      </c>
      <c r="C111" s="7" t="s">
        <v>693</v>
      </c>
      <c r="D111" s="159">
        <v>44634</v>
      </c>
      <c r="E111" s="249" t="s">
        <v>726</v>
      </c>
      <c r="F111" s="7" t="s">
        <v>59</v>
      </c>
      <c r="G111" s="250">
        <v>347.8</v>
      </c>
      <c r="H111" s="162">
        <f>IF(F111=0,0,IF(F111="MXN",1/HLOOKUP(YEAR(D111)+(MONTH(D111)/100),TC!$5:$437,DAY(D111)+2,FALSE),VLOOKUP(F111,Equivalencia!$1:$23,((MAX(Equivalencia!$3:$3)-YEAR(D111))*14)+MONTH(D111)+2,FALSE)))</f>
        <v>1</v>
      </c>
      <c r="I111" s="251">
        <f t="shared" si="11"/>
        <v>347.8</v>
      </c>
      <c r="J111" s="162">
        <f>IF(D111=0,0,HLOOKUP(YEAR(D111)+(MONTH(D111)/100),TC!$5:$37,DAY(D111)+2,FALSE))</f>
        <v>20.974299999999999</v>
      </c>
      <c r="K111" s="250">
        <f t="shared" si="12"/>
        <v>7294.8615399999999</v>
      </c>
    </row>
    <row r="112" spans="2:11" s="134" customFormat="1" ht="23" customHeight="1">
      <c r="B112" s="7" t="s">
        <v>1254</v>
      </c>
      <c r="C112" s="7" t="s">
        <v>693</v>
      </c>
      <c r="D112" s="159">
        <v>44635</v>
      </c>
      <c r="E112" s="249" t="s">
        <v>730</v>
      </c>
      <c r="F112" s="7" t="s">
        <v>59</v>
      </c>
      <c r="G112" s="250">
        <v>84.84</v>
      </c>
      <c r="H112" s="162">
        <f>IF(F112=0,0,IF(F112="MXN",1/HLOOKUP(YEAR(D112)+(MONTH(D112)/100),TC!$5:$437,DAY(D112)+2,FALSE),VLOOKUP(F112,Equivalencia!$1:$23,((MAX(Equivalencia!$3:$3)-YEAR(D112))*14)+MONTH(D112)+2,FALSE)))</f>
        <v>1</v>
      </c>
      <c r="I112" s="251">
        <f t="shared" si="11"/>
        <v>84.84</v>
      </c>
      <c r="J112" s="162">
        <f>IF(D112=0,0,HLOOKUP(YEAR(D112)+(MONTH(D112)/100),TC!$5:$37,DAY(D112)+2,FALSE))</f>
        <v>20.9695</v>
      </c>
      <c r="K112" s="250">
        <f t="shared" si="12"/>
        <v>1779.0523800000001</v>
      </c>
    </row>
    <row r="113" spans="2:11" s="134" customFormat="1" ht="23" customHeight="1">
      <c r="B113" s="7" t="s">
        <v>1254</v>
      </c>
      <c r="C113" s="7" t="s">
        <v>693</v>
      </c>
      <c r="D113" s="159">
        <v>44635</v>
      </c>
      <c r="E113" s="249" t="s">
        <v>731</v>
      </c>
      <c r="F113" s="7" t="s">
        <v>59</v>
      </c>
      <c r="G113" s="250">
        <v>355.81</v>
      </c>
      <c r="H113" s="162">
        <f>IF(F113=0,0,IF(F113="MXN",1/HLOOKUP(YEAR(D113)+(MONTH(D113)/100),TC!$5:$437,DAY(D113)+2,FALSE),VLOOKUP(F113,Equivalencia!$1:$23,((MAX(Equivalencia!$3:$3)-YEAR(D113))*14)+MONTH(D113)+2,FALSE)))</f>
        <v>1</v>
      </c>
      <c r="I113" s="251">
        <f t="shared" si="11"/>
        <v>355.81</v>
      </c>
      <c r="J113" s="162">
        <f>IF(D113=0,0,HLOOKUP(YEAR(D113)+(MONTH(D113)/100),TC!$5:$37,DAY(D113)+2,FALSE))</f>
        <v>20.9695</v>
      </c>
      <c r="K113" s="250">
        <f t="shared" si="12"/>
        <v>7461.1577950000001</v>
      </c>
    </row>
    <row r="114" spans="2:11" s="134" customFormat="1" ht="23" customHeight="1">
      <c r="B114" s="7" t="s">
        <v>1254</v>
      </c>
      <c r="C114" s="7" t="s">
        <v>693</v>
      </c>
      <c r="D114" s="159">
        <v>44645</v>
      </c>
      <c r="E114" s="249" t="s">
        <v>732</v>
      </c>
      <c r="F114" s="7" t="s">
        <v>59</v>
      </c>
      <c r="G114" s="250">
        <v>127.79</v>
      </c>
      <c r="H114" s="162">
        <f>IF(F114=0,0,IF(F114="MXN",1/HLOOKUP(YEAR(D114)+(MONTH(D114)/100),TC!$5:$437,DAY(D114)+2,FALSE),VLOOKUP(F114,Equivalencia!$1:$23,((MAX(Equivalencia!$3:$3)-YEAR(D114))*14)+MONTH(D114)+2,FALSE)))</f>
        <v>1</v>
      </c>
      <c r="I114" s="251">
        <f t="shared" ref="I114:I226" si="13">G114*H114</f>
        <v>127.79</v>
      </c>
      <c r="J114" s="162">
        <f>IF(D114=0,0,HLOOKUP(YEAR(D114)+(MONTH(D114)/100),TC!$5:$37,DAY(D114)+2,FALSE))</f>
        <v>20.18</v>
      </c>
      <c r="K114" s="250">
        <f t="shared" ref="K114:K226" si="14">I114*J114</f>
        <v>2578.8022000000001</v>
      </c>
    </row>
    <row r="115" spans="2:11" s="134" customFormat="1" ht="23" customHeight="1">
      <c r="B115" s="7" t="s">
        <v>1254</v>
      </c>
      <c r="C115" s="7" t="s">
        <v>693</v>
      </c>
      <c r="D115" s="159">
        <v>44651</v>
      </c>
      <c r="E115" s="249" t="s">
        <v>720</v>
      </c>
      <c r="F115" s="7" t="s">
        <v>59</v>
      </c>
      <c r="G115" s="250">
        <v>142.80000000000001</v>
      </c>
      <c r="H115" s="162">
        <f>IF(F115=0,0,IF(F115="MXN",1/HLOOKUP(YEAR(D115)+(MONTH(D115)/100),TC!$5:$437,DAY(D115)+2,FALSE),VLOOKUP(F115,Equivalencia!$1:$23,((MAX(Equivalencia!$3:$3)-YEAR(D115))*14)+MONTH(D115)+2,FALSE)))</f>
        <v>1</v>
      </c>
      <c r="I115" s="251">
        <f t="shared" si="13"/>
        <v>142.80000000000001</v>
      </c>
      <c r="J115" s="162">
        <f>IF(D115=0,0,HLOOKUP(YEAR(D115)+(MONTH(D115)/100),TC!$5:$37,DAY(D115)+2,FALSE))</f>
        <v>19.994199999999999</v>
      </c>
      <c r="K115" s="250">
        <f t="shared" si="14"/>
        <v>2855.1717600000002</v>
      </c>
    </row>
    <row r="116" spans="2:11" s="134" customFormat="1" ht="23" customHeight="1">
      <c r="B116" s="7" t="s">
        <v>1254</v>
      </c>
      <c r="C116" s="7" t="s">
        <v>693</v>
      </c>
      <c r="D116" s="159">
        <v>44652</v>
      </c>
      <c r="E116" s="249" t="s">
        <v>707</v>
      </c>
      <c r="F116" s="7" t="s">
        <v>59</v>
      </c>
      <c r="G116" s="250">
        <v>254.26</v>
      </c>
      <c r="H116" s="162">
        <f>IF(F116=0,0,IF(F116="MXN",1/HLOOKUP(YEAR(D116)+(MONTH(D116)/100),TC!$5:$437,DAY(D116)+2,FALSE),VLOOKUP(F116,Equivalencia!$1:$23,((MAX(Equivalencia!$3:$3)-YEAR(D116))*14)+MONTH(D116)+2,FALSE)))</f>
        <v>1</v>
      </c>
      <c r="I116" s="251">
        <f t="shared" si="13"/>
        <v>254.26</v>
      </c>
      <c r="J116" s="162">
        <f>IF(D116=0,0,HLOOKUP(YEAR(D116)+(MONTH(D116)/100),TC!$5:$37,DAY(D116)+2,FALSE))</f>
        <v>19.863199999999999</v>
      </c>
      <c r="K116" s="250">
        <f t="shared" si="14"/>
        <v>5050.4172319999998</v>
      </c>
    </row>
    <row r="117" spans="2:11" s="134" customFormat="1" ht="23" customHeight="1">
      <c r="B117" s="7" t="s">
        <v>1254</v>
      </c>
      <c r="C117" s="7" t="s">
        <v>693</v>
      </c>
      <c r="D117" s="159">
        <v>44655</v>
      </c>
      <c r="E117" s="249" t="s">
        <v>721</v>
      </c>
      <c r="F117" s="7" t="s">
        <v>59</v>
      </c>
      <c r="G117" s="250">
        <v>138.77000000000001</v>
      </c>
      <c r="H117" s="162">
        <f>IF(F117=0,0,IF(F117="MXN",1/HLOOKUP(YEAR(D117)+(MONTH(D117)/100),TC!$5:$437,DAY(D117)+2,FALSE),VLOOKUP(F117,Equivalencia!$1:$23,((MAX(Equivalencia!$3:$3)-YEAR(D117))*14)+MONTH(D117)+2,FALSE)))</f>
        <v>1</v>
      </c>
      <c r="I117" s="251">
        <f t="shared" si="13"/>
        <v>138.77000000000001</v>
      </c>
      <c r="J117" s="162">
        <f>IF(D117=0,0,HLOOKUP(YEAR(D117)+(MONTH(D117)/100),TC!$5:$37,DAY(D117)+2,FALSE))</f>
        <v>19.911200000000001</v>
      </c>
      <c r="K117" s="250">
        <f t="shared" si="14"/>
        <v>2763.0772240000001</v>
      </c>
    </row>
    <row r="118" spans="2:11" s="134" customFormat="1" ht="23" customHeight="1">
      <c r="B118" s="7" t="s">
        <v>1254</v>
      </c>
      <c r="C118" s="7" t="s">
        <v>693</v>
      </c>
      <c r="D118" s="159">
        <v>44659</v>
      </c>
      <c r="E118" s="249" t="s">
        <v>722</v>
      </c>
      <c r="F118" s="7" t="s">
        <v>59</v>
      </c>
      <c r="G118" s="250">
        <v>7.61</v>
      </c>
      <c r="H118" s="162">
        <f>IF(F118=0,0,IF(F118="MXN",1/HLOOKUP(YEAR(D118)+(MONTH(D118)/100),TC!$5:$437,DAY(D118)+2,FALSE),VLOOKUP(F118,Equivalencia!$1:$23,((MAX(Equivalencia!$3:$3)-YEAR(D118))*14)+MONTH(D118)+2,FALSE)))</f>
        <v>1</v>
      </c>
      <c r="I118" s="251">
        <f t="shared" si="13"/>
        <v>7.61</v>
      </c>
      <c r="J118" s="162">
        <f>IF(D118=0,0,HLOOKUP(YEAR(D118)+(MONTH(D118)/100),TC!$5:$37,DAY(D118)+2,FALSE))</f>
        <v>20.066500000000001</v>
      </c>
      <c r="K118" s="250">
        <f t="shared" si="14"/>
        <v>152.70606500000002</v>
      </c>
    </row>
    <row r="119" spans="2:11" s="134" customFormat="1" ht="23" customHeight="1">
      <c r="B119" s="7" t="s">
        <v>1254</v>
      </c>
      <c r="C119" s="7" t="s">
        <v>693</v>
      </c>
      <c r="D119" s="159">
        <v>44665</v>
      </c>
      <c r="E119" s="249" t="s">
        <v>711</v>
      </c>
      <c r="F119" s="7" t="s">
        <v>59</v>
      </c>
      <c r="G119" s="250">
        <v>34.020000000000003</v>
      </c>
      <c r="H119" s="162">
        <f>IF(F119=0,0,IF(F119="MXN",1/HLOOKUP(YEAR(D119)+(MONTH(D119)/100),TC!$5:$437,DAY(D119)+2,FALSE),VLOOKUP(F119,Equivalencia!$1:$23,((MAX(Equivalencia!$3:$3)-YEAR(D119))*14)+MONTH(D119)+2,FALSE)))</f>
        <v>1</v>
      </c>
      <c r="I119" s="251">
        <f t="shared" si="13"/>
        <v>34.020000000000003</v>
      </c>
      <c r="J119" s="162">
        <f>IF(D119=0,0,HLOOKUP(YEAR(D119)+(MONTH(D119)/100),TC!$5:$37,DAY(D119)+2,FALSE))</f>
        <v>19.840699999999998</v>
      </c>
      <c r="K119" s="250">
        <f t="shared" si="14"/>
        <v>674.98061399999995</v>
      </c>
    </row>
    <row r="120" spans="2:11" s="134" customFormat="1" ht="23" customHeight="1">
      <c r="B120" s="7" t="s">
        <v>1254</v>
      </c>
      <c r="C120" s="7" t="s">
        <v>693</v>
      </c>
      <c r="D120" s="159">
        <v>44666</v>
      </c>
      <c r="E120" s="249" t="s">
        <v>710</v>
      </c>
      <c r="F120" s="7" t="s">
        <v>59</v>
      </c>
      <c r="G120" s="250">
        <v>266.77999999999997</v>
      </c>
      <c r="H120" s="162">
        <f>IF(F120=0,0,IF(F120="MXN",1/HLOOKUP(YEAR(D120)+(MONTH(D120)/100),TC!$5:$437,DAY(D120)+2,FALSE),VLOOKUP(F120,Equivalencia!$1:$23,((MAX(Equivalencia!$3:$3)-YEAR(D120))*14)+MONTH(D120)+2,FALSE)))</f>
        <v>1</v>
      </c>
      <c r="I120" s="251">
        <f t="shared" si="13"/>
        <v>266.77999999999997</v>
      </c>
      <c r="J120" s="162">
        <f>IF(D120=0,0,HLOOKUP(YEAR(D120)+(MONTH(D120)/100),TC!$5:$37,DAY(D120)+2,FALSE))</f>
        <v>19.840699999999998</v>
      </c>
      <c r="K120" s="250">
        <f t="shared" si="14"/>
        <v>5293.1019459999989</v>
      </c>
    </row>
    <row r="121" spans="2:11" s="134" customFormat="1" ht="23" customHeight="1">
      <c r="B121" s="7" t="s">
        <v>1254</v>
      </c>
      <c r="C121" s="7" t="s">
        <v>693</v>
      </c>
      <c r="D121" s="159">
        <v>44666</v>
      </c>
      <c r="E121" s="249" t="s">
        <v>712</v>
      </c>
      <c r="F121" s="7" t="s">
        <v>59</v>
      </c>
      <c r="G121" s="250">
        <v>34.94</v>
      </c>
      <c r="H121" s="162">
        <f>IF(F121=0,0,IF(F121="MXN",1/HLOOKUP(YEAR(D121)+(MONTH(D121)/100),TC!$5:$437,DAY(D121)+2,FALSE),VLOOKUP(F121,Equivalencia!$1:$23,((MAX(Equivalencia!$3:$3)-YEAR(D121))*14)+MONTH(D121)+2,FALSE)))</f>
        <v>1</v>
      </c>
      <c r="I121" s="251">
        <f t="shared" si="13"/>
        <v>34.94</v>
      </c>
      <c r="J121" s="162">
        <f>IF(D121=0,0,HLOOKUP(YEAR(D121)+(MONTH(D121)/100),TC!$5:$37,DAY(D121)+2,FALSE))</f>
        <v>19.840699999999998</v>
      </c>
      <c r="K121" s="250">
        <f t="shared" si="14"/>
        <v>693.23405799999989</v>
      </c>
    </row>
    <row r="122" spans="2:11" s="134" customFormat="1" ht="23" customHeight="1">
      <c r="B122" s="7" t="s">
        <v>1254</v>
      </c>
      <c r="C122" s="7" t="s">
        <v>693</v>
      </c>
      <c r="D122" s="159">
        <v>44666</v>
      </c>
      <c r="E122" s="249" t="s">
        <v>709</v>
      </c>
      <c r="F122" s="7" t="s">
        <v>59</v>
      </c>
      <c r="G122" s="250">
        <v>186.24</v>
      </c>
      <c r="H122" s="162">
        <f>IF(F122=0,0,IF(F122="MXN",1/HLOOKUP(YEAR(D122)+(MONTH(D122)/100),TC!$5:$437,DAY(D122)+2,FALSE),VLOOKUP(F122,Equivalencia!$1:$23,((MAX(Equivalencia!$3:$3)-YEAR(D122))*14)+MONTH(D122)+2,FALSE)))</f>
        <v>1</v>
      </c>
      <c r="I122" s="251">
        <f t="shared" si="13"/>
        <v>186.24</v>
      </c>
      <c r="J122" s="162">
        <f>IF(D122=0,0,HLOOKUP(YEAR(D122)+(MONTH(D122)/100),TC!$5:$37,DAY(D122)+2,FALSE))</f>
        <v>19.840699999999998</v>
      </c>
      <c r="K122" s="250">
        <f t="shared" si="14"/>
        <v>3695.1319679999997</v>
      </c>
    </row>
    <row r="123" spans="2:11" s="134" customFormat="1" ht="23" customHeight="1">
      <c r="B123" s="7" t="s">
        <v>1254</v>
      </c>
      <c r="C123" s="7" t="s">
        <v>693</v>
      </c>
      <c r="D123" s="159">
        <v>44678</v>
      </c>
      <c r="E123" s="249" t="s">
        <v>713</v>
      </c>
      <c r="F123" s="7" t="s">
        <v>59</v>
      </c>
      <c r="G123" s="250">
        <v>39.14</v>
      </c>
      <c r="H123" s="162">
        <f>IF(F123=0,0,IF(F123="MXN",1/HLOOKUP(YEAR(D123)+(MONTH(D123)/100),TC!$5:$437,DAY(D123)+2,FALSE),VLOOKUP(F123,Equivalencia!$1:$23,((MAX(Equivalencia!$3:$3)-YEAR(D123))*14)+MONTH(D123)+2,FALSE)))</f>
        <v>1</v>
      </c>
      <c r="I123" s="251">
        <f t="shared" si="13"/>
        <v>39.14</v>
      </c>
      <c r="J123" s="162">
        <f>IF(D123=0,0,HLOOKUP(YEAR(D123)+(MONTH(D123)/100),TC!$5:$37,DAY(D123)+2,FALSE))</f>
        <v>20.299199999999999</v>
      </c>
      <c r="K123" s="250">
        <f t="shared" si="14"/>
        <v>794.51068799999996</v>
      </c>
    </row>
    <row r="124" spans="2:11" s="134" customFormat="1" ht="23" customHeight="1">
      <c r="B124" s="7" t="s">
        <v>1254</v>
      </c>
      <c r="C124" s="7" t="s">
        <v>693</v>
      </c>
      <c r="D124" s="159">
        <v>44680</v>
      </c>
      <c r="E124" s="249" t="s">
        <v>733</v>
      </c>
      <c r="F124" s="7" t="s">
        <v>59</v>
      </c>
      <c r="G124" s="250">
        <v>122.93</v>
      </c>
      <c r="H124" s="162">
        <f>IF(F124=0,0,IF(F124="MXN",1/HLOOKUP(YEAR(D124)+(MONTH(D124)/100),TC!$5:$437,DAY(D124)+2,FALSE),VLOOKUP(F124,Equivalencia!$1:$23,((MAX(Equivalencia!$3:$3)-YEAR(D124))*14)+MONTH(D124)+2,FALSE)))</f>
        <v>1</v>
      </c>
      <c r="I124" s="251">
        <f t="shared" si="13"/>
        <v>122.93</v>
      </c>
      <c r="J124" s="162">
        <f>IF(D124=0,0,HLOOKUP(YEAR(D124)+(MONTH(D124)/100),TC!$5:$37,DAY(D124)+2,FALSE))</f>
        <v>20.470700000000001</v>
      </c>
      <c r="K124" s="250">
        <f t="shared" si="14"/>
        <v>2516.4631510000004</v>
      </c>
    </row>
    <row r="125" spans="2:11" s="134" customFormat="1" ht="23" customHeight="1">
      <c r="B125" s="7" t="s">
        <v>1254</v>
      </c>
      <c r="C125" s="7" t="s">
        <v>693</v>
      </c>
      <c r="D125" s="159">
        <v>44683</v>
      </c>
      <c r="E125" s="249" t="s">
        <v>714</v>
      </c>
      <c r="F125" s="7" t="s">
        <v>59</v>
      </c>
      <c r="G125" s="250">
        <v>109.2</v>
      </c>
      <c r="H125" s="162">
        <f>IF(F125=0,0,IF(F125="MXN",1/HLOOKUP(YEAR(D125)+(MONTH(D125)/100),TC!$5:$437,DAY(D125)+2,FALSE),VLOOKUP(F125,Equivalencia!$1:$23,((MAX(Equivalencia!$3:$3)-YEAR(D125))*14)+MONTH(D125)+2,FALSE)))</f>
        <v>1</v>
      </c>
      <c r="I125" s="251">
        <f t="shared" si="13"/>
        <v>109.2</v>
      </c>
      <c r="J125" s="162">
        <f>IF(D125=0,0,HLOOKUP(YEAR(D125)+(MONTH(D125)/100),TC!$5:$37,DAY(D125)+2,FALSE))</f>
        <v>20.567</v>
      </c>
      <c r="K125" s="250">
        <f t="shared" si="14"/>
        <v>2245.9164000000001</v>
      </c>
    </row>
    <row r="126" spans="2:11" s="134" customFormat="1" ht="23" customHeight="1">
      <c r="B126" s="7" t="s">
        <v>1254</v>
      </c>
      <c r="C126" s="7" t="s">
        <v>693</v>
      </c>
      <c r="D126" s="159">
        <v>44691</v>
      </c>
      <c r="E126" s="249" t="s">
        <v>715</v>
      </c>
      <c r="F126" s="7" t="s">
        <v>59</v>
      </c>
      <c r="G126" s="250">
        <v>139.26</v>
      </c>
      <c r="H126" s="162">
        <f>IF(F126=0,0,IF(F126="MXN",1/HLOOKUP(YEAR(D126)+(MONTH(D126)/100),TC!$5:$437,DAY(D126)+2,FALSE),VLOOKUP(F126,Equivalencia!$1:$23,((MAX(Equivalencia!$3:$3)-YEAR(D126))*14)+MONTH(D126)+2,FALSE)))</f>
        <v>1</v>
      </c>
      <c r="I126" s="251">
        <f t="shared" si="13"/>
        <v>139.26</v>
      </c>
      <c r="J126" s="162">
        <f>IF(D126=0,0,HLOOKUP(YEAR(D126)+(MONTH(D126)/100),TC!$5:$37,DAY(D126)+2,FALSE))</f>
        <v>20.108499999999999</v>
      </c>
      <c r="K126" s="250">
        <f t="shared" si="14"/>
        <v>2800.3097099999995</v>
      </c>
    </row>
    <row r="127" spans="2:11" s="134" customFormat="1" ht="23" customHeight="1">
      <c r="B127" s="7" t="s">
        <v>1254</v>
      </c>
      <c r="C127" s="7" t="s">
        <v>693</v>
      </c>
      <c r="D127" s="159">
        <v>44694</v>
      </c>
      <c r="E127" s="249" t="s">
        <v>716</v>
      </c>
      <c r="F127" s="7" t="s">
        <v>59</v>
      </c>
      <c r="G127" s="250">
        <v>94.83</v>
      </c>
      <c r="H127" s="162">
        <f>IF(F127=0,0,IF(F127="MXN",1/HLOOKUP(YEAR(D127)+(MONTH(D127)/100),TC!$5:$437,DAY(D127)+2,FALSE),VLOOKUP(F127,Equivalencia!$1:$23,((MAX(Equivalencia!$3:$3)-YEAR(D127))*14)+MONTH(D127)+2,FALSE)))</f>
        <v>1</v>
      </c>
      <c r="I127" s="251">
        <f t="shared" si="13"/>
        <v>94.83</v>
      </c>
      <c r="J127" s="162">
        <f>IF(D127=0,0,HLOOKUP(YEAR(D127)+(MONTH(D127)/100),TC!$5:$37,DAY(D127)+2,FALSE))</f>
        <v>20.2592</v>
      </c>
      <c r="K127" s="250">
        <f t="shared" si="14"/>
        <v>1921.179936</v>
      </c>
    </row>
    <row r="128" spans="2:11" s="134" customFormat="1" ht="23" customHeight="1">
      <c r="B128" s="7" t="s">
        <v>1254</v>
      </c>
      <c r="C128" s="7" t="s">
        <v>693</v>
      </c>
      <c r="D128" s="159">
        <v>44694</v>
      </c>
      <c r="E128" s="249" t="s">
        <v>734</v>
      </c>
      <c r="F128" s="7" t="s">
        <v>59</v>
      </c>
      <c r="G128" s="250">
        <v>268.37</v>
      </c>
      <c r="H128" s="162">
        <f>IF(F128=0,0,IF(F128="MXN",1/HLOOKUP(YEAR(D128)+(MONTH(D128)/100),TC!$5:$437,DAY(D128)+2,FALSE),VLOOKUP(F128,Equivalencia!$1:$23,((MAX(Equivalencia!$3:$3)-YEAR(D128))*14)+MONTH(D128)+2,FALSE)))</f>
        <v>1</v>
      </c>
      <c r="I128" s="251">
        <f t="shared" si="13"/>
        <v>268.37</v>
      </c>
      <c r="J128" s="162">
        <f>IF(D128=0,0,HLOOKUP(YEAR(D128)+(MONTH(D128)/100),TC!$5:$37,DAY(D128)+2,FALSE))</f>
        <v>20.2592</v>
      </c>
      <c r="K128" s="250">
        <f t="shared" si="14"/>
        <v>5436.9615039999999</v>
      </c>
    </row>
    <row r="129" spans="2:11" s="134" customFormat="1" ht="23" customHeight="1">
      <c r="B129" s="7" t="s">
        <v>1254</v>
      </c>
      <c r="C129" s="7" t="s">
        <v>693</v>
      </c>
      <c r="D129" s="159">
        <v>44708</v>
      </c>
      <c r="E129" s="249" t="s">
        <v>725</v>
      </c>
      <c r="F129" s="7" t="s">
        <v>59</v>
      </c>
      <c r="G129" s="250">
        <v>121.21</v>
      </c>
      <c r="H129" s="162">
        <f>IF(F129=0,0,IF(F129="MXN",1/HLOOKUP(YEAR(D129)+(MONTH(D129)/100),TC!$5:$437,DAY(D129)+2,FALSE),VLOOKUP(F129,Equivalencia!$1:$23,((MAX(Equivalencia!$3:$3)-YEAR(D129))*14)+MONTH(D129)+2,FALSE)))</f>
        <v>1</v>
      </c>
      <c r="I129" s="251">
        <f t="shared" si="13"/>
        <v>121.21</v>
      </c>
      <c r="J129" s="162">
        <f>IF(D129=0,0,HLOOKUP(YEAR(D129)+(MONTH(D129)/100),TC!$5:$37,DAY(D129)+2,FALSE))</f>
        <v>19.837700000000002</v>
      </c>
      <c r="K129" s="250">
        <f t="shared" si="14"/>
        <v>2404.5276170000002</v>
      </c>
    </row>
    <row r="130" spans="2:11" s="134" customFormat="1" ht="23" customHeight="1">
      <c r="B130" s="7" t="s">
        <v>1254</v>
      </c>
      <c r="C130" s="7" t="s">
        <v>693</v>
      </c>
      <c r="D130" s="159">
        <v>44713</v>
      </c>
      <c r="E130" s="249" t="s">
        <v>719</v>
      </c>
      <c r="F130" s="7" t="s">
        <v>59</v>
      </c>
      <c r="G130" s="250">
        <v>64.61</v>
      </c>
      <c r="H130" s="162">
        <f>IF(F130=0,0,IF(F130="MXN",1/HLOOKUP(YEAR(D130)+(MONTH(D130)/100),TC!$5:$437,DAY(D130)+2,FALSE),VLOOKUP(F130,Equivalencia!$1:$23,((MAX(Equivalencia!$3:$3)-YEAR(D130))*14)+MONTH(D130)+2,FALSE)))</f>
        <v>1</v>
      </c>
      <c r="I130" s="251">
        <f t="shared" ref="I130:I151" si="15">G130*H130</f>
        <v>64.61</v>
      </c>
      <c r="J130" s="162">
        <f>IF(D130=0,0,HLOOKUP(YEAR(D130)+(MONTH(D130)/100),TC!$5:$37,DAY(D130)+2,FALSE))</f>
        <v>19.4953</v>
      </c>
      <c r="K130" s="250">
        <f t="shared" ref="K130:K151" si="16">I130*J130</f>
        <v>1259.5913330000001</v>
      </c>
    </row>
    <row r="131" spans="2:11" s="134" customFormat="1" ht="23" customHeight="1">
      <c r="B131" s="7" t="s">
        <v>1254</v>
      </c>
      <c r="C131" s="7" t="s">
        <v>693</v>
      </c>
      <c r="D131" s="159">
        <v>44713</v>
      </c>
      <c r="E131" s="249" t="s">
        <v>718</v>
      </c>
      <c r="F131" s="7" t="s">
        <v>59</v>
      </c>
      <c r="G131" s="250">
        <v>488.88</v>
      </c>
      <c r="H131" s="162">
        <f>IF(F131=0,0,IF(F131="MXN",1/HLOOKUP(YEAR(D131)+(MONTH(D131)/100),TC!$5:$437,DAY(D131)+2,FALSE),VLOOKUP(F131,Equivalencia!$1:$23,((MAX(Equivalencia!$3:$3)-YEAR(D131))*14)+MONTH(D131)+2,FALSE)))</f>
        <v>1</v>
      </c>
      <c r="I131" s="251">
        <f t="shared" si="15"/>
        <v>488.88</v>
      </c>
      <c r="J131" s="162">
        <f>IF(D131=0,0,HLOOKUP(YEAR(D131)+(MONTH(D131)/100),TC!$5:$37,DAY(D131)+2,FALSE))</f>
        <v>19.4953</v>
      </c>
      <c r="K131" s="250">
        <f t="shared" si="16"/>
        <v>9530.8622639999994</v>
      </c>
    </row>
    <row r="132" spans="2:11" s="134" customFormat="1" ht="23" customHeight="1">
      <c r="B132" s="7" t="s">
        <v>1254</v>
      </c>
      <c r="C132" s="7" t="s">
        <v>693</v>
      </c>
      <c r="D132" s="159">
        <v>44718</v>
      </c>
      <c r="E132" s="249" t="s">
        <v>726</v>
      </c>
      <c r="F132" s="7" t="s">
        <v>59</v>
      </c>
      <c r="G132" s="250">
        <v>291.55</v>
      </c>
      <c r="H132" s="162">
        <f>IF(F132=0,0,IF(F132="MXN",1/HLOOKUP(YEAR(D132)+(MONTH(D132)/100),TC!$5:$437,DAY(D132)+2,FALSE),VLOOKUP(F132,Equivalencia!$1:$23,((MAX(Equivalencia!$3:$3)-YEAR(D132))*14)+MONTH(D132)+2,FALSE)))</f>
        <v>1</v>
      </c>
      <c r="I132" s="251">
        <f t="shared" si="15"/>
        <v>291.55</v>
      </c>
      <c r="J132" s="162">
        <f>IF(D132=0,0,HLOOKUP(YEAR(D132)+(MONTH(D132)/100),TC!$5:$37,DAY(D132)+2,FALSE))</f>
        <v>19.558499999999999</v>
      </c>
      <c r="K132" s="250">
        <f t="shared" si="16"/>
        <v>5702.280675</v>
      </c>
    </row>
    <row r="133" spans="2:11" s="134" customFormat="1" ht="23" customHeight="1">
      <c r="B133" s="7" t="s">
        <v>1254</v>
      </c>
      <c r="C133" s="7" t="s">
        <v>693</v>
      </c>
      <c r="D133" s="159">
        <v>44721</v>
      </c>
      <c r="E133" s="249" t="s">
        <v>727</v>
      </c>
      <c r="F133" s="7" t="s">
        <v>59</v>
      </c>
      <c r="G133" s="250">
        <v>158.41</v>
      </c>
      <c r="H133" s="162">
        <f>IF(F133=0,0,IF(F133="MXN",1/HLOOKUP(YEAR(D133)+(MONTH(D133)/100),TC!$5:$437,DAY(D133)+2,FALSE),VLOOKUP(F133,Equivalencia!$1:$23,((MAX(Equivalencia!$3:$3)-YEAR(D133))*14)+MONTH(D133)+2,FALSE)))</f>
        <v>1</v>
      </c>
      <c r="I133" s="251">
        <f t="shared" si="15"/>
        <v>158.41</v>
      </c>
      <c r="J133" s="162">
        <f>IF(D133=0,0,HLOOKUP(YEAR(D133)+(MONTH(D133)/100),TC!$5:$37,DAY(D133)+2,FALSE))</f>
        <v>19.599799999999998</v>
      </c>
      <c r="K133" s="250">
        <f t="shared" si="16"/>
        <v>3104.8043179999995</v>
      </c>
    </row>
    <row r="134" spans="2:11" s="134" customFormat="1" ht="23" customHeight="1">
      <c r="B134" s="7" t="s">
        <v>1254</v>
      </c>
      <c r="C134" s="7" t="s">
        <v>693</v>
      </c>
      <c r="D134" s="159">
        <v>44722</v>
      </c>
      <c r="E134" s="249" t="s">
        <v>728</v>
      </c>
      <c r="F134" s="7" t="s">
        <v>59</v>
      </c>
      <c r="G134" s="250">
        <v>200.3</v>
      </c>
      <c r="H134" s="162">
        <f>IF(F134=0,0,IF(F134="MXN",1/HLOOKUP(YEAR(D134)+(MONTH(D134)/100),TC!$5:$437,DAY(D134)+2,FALSE),VLOOKUP(F134,Equivalencia!$1:$23,((MAX(Equivalencia!$3:$3)-YEAR(D134))*14)+MONTH(D134)+2,FALSE)))</f>
        <v>1</v>
      </c>
      <c r="I134" s="251">
        <f t="shared" si="15"/>
        <v>200.3</v>
      </c>
      <c r="J134" s="162">
        <f>IF(D134=0,0,HLOOKUP(YEAR(D134)+(MONTH(D134)/100),TC!$5:$37,DAY(D134)+2,FALSE))</f>
        <v>19.59</v>
      </c>
      <c r="K134" s="250">
        <f t="shared" si="16"/>
        <v>3923.8770000000004</v>
      </c>
    </row>
    <row r="135" spans="2:11" s="134" customFormat="1" ht="23" customHeight="1">
      <c r="B135" s="7" t="s">
        <v>1254</v>
      </c>
      <c r="C135" s="7" t="s">
        <v>693</v>
      </c>
      <c r="D135" s="159">
        <v>44722</v>
      </c>
      <c r="E135" s="249" t="s">
        <v>729</v>
      </c>
      <c r="F135" s="7" t="s">
        <v>59</v>
      </c>
      <c r="G135" s="250">
        <v>124.85</v>
      </c>
      <c r="H135" s="162">
        <f>IF(F135=0,0,IF(F135="MXN",1/HLOOKUP(YEAR(D135)+(MONTH(D135)/100),TC!$5:$437,DAY(D135)+2,FALSE),VLOOKUP(F135,Equivalencia!$1:$23,((MAX(Equivalencia!$3:$3)-YEAR(D135))*14)+MONTH(D135)+2,FALSE)))</f>
        <v>1</v>
      </c>
      <c r="I135" s="251">
        <f t="shared" si="15"/>
        <v>124.85</v>
      </c>
      <c r="J135" s="162">
        <f>IF(D135=0,0,HLOOKUP(YEAR(D135)+(MONTH(D135)/100),TC!$5:$37,DAY(D135)+2,FALSE))</f>
        <v>19.59</v>
      </c>
      <c r="K135" s="250">
        <f t="shared" si="16"/>
        <v>2445.8114999999998</v>
      </c>
    </row>
    <row r="136" spans="2:11" s="134" customFormat="1" ht="23" customHeight="1">
      <c r="B136" s="7" t="s">
        <v>1254</v>
      </c>
      <c r="C136" s="7" t="s">
        <v>693</v>
      </c>
      <c r="D136" s="159">
        <v>44725</v>
      </c>
      <c r="E136" s="249" t="s">
        <v>914</v>
      </c>
      <c r="F136" s="7" t="s">
        <v>59</v>
      </c>
      <c r="G136" s="250">
        <v>108.29</v>
      </c>
      <c r="H136" s="162">
        <f>IF(F136=0,0,IF(F136="MXN",1/HLOOKUP(YEAR(D136)+(MONTH(D136)/100),TC!$5:$437,DAY(D136)+2,FALSE),VLOOKUP(F136,Equivalencia!$1:$23,((MAX(Equivalencia!$3:$3)-YEAR(D136))*14)+MONTH(D136)+2,FALSE)))</f>
        <v>1</v>
      </c>
      <c r="I136" s="251">
        <f t="shared" si="15"/>
        <v>108.29</v>
      </c>
      <c r="J136" s="162">
        <f>IF(D136=0,0,HLOOKUP(YEAR(D136)+(MONTH(D136)/100),TC!$5:$37,DAY(D136)+2,FALSE))</f>
        <v>19.6128</v>
      </c>
      <c r="K136" s="250">
        <f t="shared" si="16"/>
        <v>2123.8701120000001</v>
      </c>
    </row>
    <row r="137" spans="2:11" s="134" customFormat="1" ht="23" customHeight="1">
      <c r="B137" s="7" t="s">
        <v>1254</v>
      </c>
      <c r="C137" s="7" t="s">
        <v>693</v>
      </c>
      <c r="D137" s="159">
        <v>44727</v>
      </c>
      <c r="E137" s="249" t="s">
        <v>730</v>
      </c>
      <c r="F137" s="7" t="s">
        <v>59</v>
      </c>
      <c r="G137" s="250">
        <v>101.64</v>
      </c>
      <c r="H137" s="162">
        <f>IF(F137=0,0,IF(F137="MXN",1/HLOOKUP(YEAR(D137)+(MONTH(D137)/100),TC!$5:$437,DAY(D137)+2,FALSE),VLOOKUP(F137,Equivalencia!$1:$23,((MAX(Equivalencia!$3:$3)-YEAR(D137))*14)+MONTH(D137)+2,FALSE)))</f>
        <v>1</v>
      </c>
      <c r="I137" s="251">
        <f t="shared" si="15"/>
        <v>101.64</v>
      </c>
      <c r="J137" s="162">
        <f>IF(D137=0,0,HLOOKUP(YEAR(D137)+(MONTH(D137)/100),TC!$5:$37,DAY(D137)+2,FALSE))</f>
        <v>20.4527</v>
      </c>
      <c r="K137" s="250">
        <f t="shared" si="16"/>
        <v>2078.8124280000002</v>
      </c>
    </row>
    <row r="138" spans="2:11" s="134" customFormat="1" ht="23" customHeight="1">
      <c r="B138" s="7" t="s">
        <v>1254</v>
      </c>
      <c r="C138" s="7" t="s">
        <v>693</v>
      </c>
      <c r="D138" s="159">
        <v>44727</v>
      </c>
      <c r="E138" s="249" t="s">
        <v>731</v>
      </c>
      <c r="F138" s="7" t="s">
        <v>59</v>
      </c>
      <c r="G138" s="250">
        <v>390.91</v>
      </c>
      <c r="H138" s="162">
        <f>IF(F138=0,0,IF(F138="MXN",1/HLOOKUP(YEAR(D138)+(MONTH(D138)/100),TC!$5:$437,DAY(D138)+2,FALSE),VLOOKUP(F138,Equivalencia!$1:$23,((MAX(Equivalencia!$3:$3)-YEAR(D138))*14)+MONTH(D138)+2,FALSE)))</f>
        <v>1</v>
      </c>
      <c r="I138" s="251">
        <f t="shared" si="15"/>
        <v>390.91</v>
      </c>
      <c r="J138" s="162">
        <f>IF(D138=0,0,HLOOKUP(YEAR(D138)+(MONTH(D138)/100),TC!$5:$37,DAY(D138)+2,FALSE))</f>
        <v>20.4527</v>
      </c>
      <c r="K138" s="250">
        <f t="shared" si="16"/>
        <v>7995.1649570000009</v>
      </c>
    </row>
    <row r="139" spans="2:11" s="134" customFormat="1" ht="23" customHeight="1">
      <c r="B139" s="7" t="s">
        <v>1254</v>
      </c>
      <c r="C139" s="7" t="s">
        <v>693</v>
      </c>
      <c r="D139" s="159">
        <v>44732</v>
      </c>
      <c r="E139" s="249" t="s">
        <v>732</v>
      </c>
      <c r="F139" s="7" t="s">
        <v>59</v>
      </c>
      <c r="G139" s="250">
        <v>174.05</v>
      </c>
      <c r="H139" s="162">
        <f>IF(F139=0,0,IF(F139="MXN",1/HLOOKUP(YEAR(D139)+(MONTH(D139)/100),TC!$5:$437,DAY(D139)+2,FALSE),VLOOKUP(F139,Equivalencia!$1:$23,((MAX(Equivalencia!$3:$3)-YEAR(D139))*14)+MONTH(D139)+2,FALSE)))</f>
        <v>1</v>
      </c>
      <c r="I139" s="251">
        <f t="shared" si="15"/>
        <v>174.05</v>
      </c>
      <c r="J139" s="162">
        <f>IF(D139=0,0,HLOOKUP(YEAR(D139)+(MONTH(D139)/100),TC!$5:$37,DAY(D139)+2,FALSE))</f>
        <v>20.572800000000001</v>
      </c>
      <c r="K139" s="250">
        <f t="shared" si="16"/>
        <v>3580.6958400000003</v>
      </c>
    </row>
    <row r="140" spans="2:11" s="134" customFormat="1" ht="23" customHeight="1">
      <c r="B140" s="7" t="s">
        <v>1254</v>
      </c>
      <c r="C140" s="7" t="s">
        <v>693</v>
      </c>
      <c r="D140" s="159">
        <v>44736</v>
      </c>
      <c r="E140" s="249" t="s">
        <v>915</v>
      </c>
      <c r="F140" s="7" t="s">
        <v>59</v>
      </c>
      <c r="G140" s="250">
        <v>72.58</v>
      </c>
      <c r="H140" s="162">
        <f>IF(F140=0,0,IF(F140="MXN",1/HLOOKUP(YEAR(D140)+(MONTH(D140)/100),TC!$5:$437,DAY(D140)+2,FALSE),VLOOKUP(F140,Equivalencia!$1:$23,((MAX(Equivalencia!$3:$3)-YEAR(D140))*14)+MONTH(D140)+2,FALSE)))</f>
        <v>1</v>
      </c>
      <c r="I140" s="251">
        <f t="shared" si="15"/>
        <v>72.58</v>
      </c>
      <c r="J140" s="162">
        <f>IF(D140=0,0,HLOOKUP(YEAR(D140)+(MONTH(D140)/100),TC!$5:$37,DAY(D140)+2,FALSE))</f>
        <v>20.046500000000002</v>
      </c>
      <c r="K140" s="250">
        <f t="shared" si="16"/>
        <v>1454.97497</v>
      </c>
    </row>
    <row r="141" spans="2:11" s="134" customFormat="1" ht="23" customHeight="1">
      <c r="B141" s="7" t="s">
        <v>1254</v>
      </c>
      <c r="C141" s="7" t="s">
        <v>693</v>
      </c>
      <c r="D141" s="159">
        <v>44742</v>
      </c>
      <c r="E141" s="249" t="s">
        <v>916</v>
      </c>
      <c r="F141" s="7" t="s">
        <v>59</v>
      </c>
      <c r="G141" s="250">
        <v>80.849999999999994</v>
      </c>
      <c r="H141" s="162">
        <f>IF(F141=0,0,IF(F141="MXN",1/HLOOKUP(YEAR(D141)+(MONTH(D141)/100),TC!$5:$437,DAY(D141)+2,FALSE),VLOOKUP(F141,Equivalencia!$1:$23,((MAX(Equivalencia!$3:$3)-YEAR(D141))*14)+MONTH(D141)+2,FALSE)))</f>
        <v>1</v>
      </c>
      <c r="I141" s="251">
        <f t="shared" si="15"/>
        <v>80.849999999999994</v>
      </c>
      <c r="J141" s="162">
        <f>IF(D141=0,0,HLOOKUP(YEAR(D141)+(MONTH(D141)/100),TC!$5:$37,DAY(D141)+2,FALSE))</f>
        <v>19.9847</v>
      </c>
      <c r="K141" s="250">
        <f t="shared" si="16"/>
        <v>1615.7629949999998</v>
      </c>
    </row>
    <row r="142" spans="2:11" s="134" customFormat="1" ht="23" customHeight="1">
      <c r="B142" s="7" t="s">
        <v>1254</v>
      </c>
      <c r="C142" s="7" t="s">
        <v>693</v>
      </c>
      <c r="D142" s="159">
        <v>44742</v>
      </c>
      <c r="E142" s="249" t="s">
        <v>917</v>
      </c>
      <c r="F142" s="7" t="s">
        <v>59</v>
      </c>
      <c r="G142" s="250">
        <v>30.38</v>
      </c>
      <c r="H142" s="162">
        <f>IF(F142=0,0,IF(F142="MXN",1/HLOOKUP(YEAR(D142)+(MONTH(D142)/100),TC!$5:$437,DAY(D142)+2,FALSE),VLOOKUP(F142,Equivalencia!$1:$23,((MAX(Equivalencia!$3:$3)-YEAR(D142))*14)+MONTH(D142)+2,FALSE)))</f>
        <v>1</v>
      </c>
      <c r="I142" s="251">
        <f t="shared" si="15"/>
        <v>30.38</v>
      </c>
      <c r="J142" s="162">
        <f>IF(D142=0,0,HLOOKUP(YEAR(D142)+(MONTH(D142)/100),TC!$5:$37,DAY(D142)+2,FALSE))</f>
        <v>19.9847</v>
      </c>
      <c r="K142" s="250">
        <f t="shared" si="16"/>
        <v>607.13518599999998</v>
      </c>
    </row>
    <row r="143" spans="2:11" s="134" customFormat="1" ht="23" customHeight="1">
      <c r="B143" s="7" t="s">
        <v>1254</v>
      </c>
      <c r="C143" s="7" t="s">
        <v>693</v>
      </c>
      <c r="D143" s="159">
        <v>44743</v>
      </c>
      <c r="E143" s="249" t="s">
        <v>720</v>
      </c>
      <c r="F143" s="7" t="s">
        <v>59</v>
      </c>
      <c r="G143" s="250">
        <v>187.88</v>
      </c>
      <c r="H143" s="162">
        <f>IF(F143=0,0,IF(F143="MXN",1/HLOOKUP(YEAR(D143)+(MONTH(D143)/100),TC!$5:$437,DAY(D143)+2,FALSE),VLOOKUP(F143,Equivalencia!$1:$23,((MAX(Equivalencia!$3:$3)-YEAR(D143))*14)+MONTH(D143)+2,FALSE)))</f>
        <v>1</v>
      </c>
      <c r="I143" s="251">
        <f t="shared" si="15"/>
        <v>187.88</v>
      </c>
      <c r="J143" s="162">
        <f>IF(D143=0,0,HLOOKUP(YEAR(D143)+(MONTH(D143)/100),TC!$5:$37,DAY(D143)+2,FALSE))</f>
        <v>20.144300000000001</v>
      </c>
      <c r="K143" s="250">
        <f t="shared" si="16"/>
        <v>3784.711084</v>
      </c>
    </row>
    <row r="144" spans="2:11" s="134" customFormat="1" ht="23" customHeight="1">
      <c r="B144" s="7" t="s">
        <v>1254</v>
      </c>
      <c r="C144" s="7" t="s">
        <v>693</v>
      </c>
      <c r="D144" s="159">
        <v>44743</v>
      </c>
      <c r="E144" s="249" t="s">
        <v>707</v>
      </c>
      <c r="F144" s="7" t="s">
        <v>59</v>
      </c>
      <c r="G144" s="250">
        <v>254.26</v>
      </c>
      <c r="H144" s="162">
        <f>IF(F144=0,0,IF(F144="MXN",1/HLOOKUP(YEAR(D144)+(MONTH(D144)/100),TC!$5:$437,DAY(D144)+2,FALSE),VLOOKUP(F144,Equivalencia!$1:$23,((MAX(Equivalencia!$3:$3)-YEAR(D144))*14)+MONTH(D144)+2,FALSE)))</f>
        <v>1</v>
      </c>
      <c r="I144" s="251">
        <f t="shared" si="15"/>
        <v>254.26</v>
      </c>
      <c r="J144" s="162">
        <f>IF(D144=0,0,HLOOKUP(YEAR(D144)+(MONTH(D144)/100),TC!$5:$37,DAY(D144)+2,FALSE))</f>
        <v>20.144300000000001</v>
      </c>
      <c r="K144" s="250">
        <f t="shared" si="16"/>
        <v>5121.8897180000004</v>
      </c>
    </row>
    <row r="145" spans="2:11" s="134" customFormat="1" ht="23" customHeight="1">
      <c r="B145" s="7" t="s">
        <v>1254</v>
      </c>
      <c r="C145" s="7" t="s">
        <v>693</v>
      </c>
      <c r="D145" s="159">
        <v>44746</v>
      </c>
      <c r="E145" s="249" t="s">
        <v>918</v>
      </c>
      <c r="F145" s="7" t="s">
        <v>59</v>
      </c>
      <c r="G145" s="250">
        <v>6.78</v>
      </c>
      <c r="H145" s="162">
        <f>IF(F145=0,0,IF(F145="MXN",1/HLOOKUP(YEAR(D145)+(MONTH(D145)/100),TC!$5:$437,DAY(D145)+2,FALSE),VLOOKUP(F145,Equivalencia!$1:$23,((MAX(Equivalencia!$3:$3)-YEAR(D145))*14)+MONTH(D145)+2,FALSE)))</f>
        <v>1</v>
      </c>
      <c r="I145" s="251">
        <f t="shared" si="15"/>
        <v>6.78</v>
      </c>
      <c r="J145" s="162">
        <f>IF(D145=0,0,HLOOKUP(YEAR(D145)+(MONTH(D145)/100),TC!$5:$37,DAY(D145)+2,FALSE))</f>
        <v>20.133500000000002</v>
      </c>
      <c r="K145" s="250">
        <f t="shared" si="16"/>
        <v>136.50513000000001</v>
      </c>
    </row>
    <row r="146" spans="2:11" s="134" customFormat="1" ht="23" customHeight="1">
      <c r="B146" s="7" t="s">
        <v>1254</v>
      </c>
      <c r="C146" s="7" t="s">
        <v>693</v>
      </c>
      <c r="D146" s="159">
        <v>44746</v>
      </c>
      <c r="E146" s="249" t="s">
        <v>721</v>
      </c>
      <c r="F146" s="7" t="s">
        <v>59</v>
      </c>
      <c r="G146" s="250">
        <v>81.98</v>
      </c>
      <c r="H146" s="162">
        <f>IF(F146=0,0,IF(F146="MXN",1/HLOOKUP(YEAR(D146)+(MONTH(D146)/100),TC!$5:$437,DAY(D146)+2,FALSE),VLOOKUP(F146,Equivalencia!$1:$23,((MAX(Equivalencia!$3:$3)-YEAR(D146))*14)+MONTH(D146)+2,FALSE)))</f>
        <v>1</v>
      </c>
      <c r="I146" s="251">
        <f t="shared" si="15"/>
        <v>81.98</v>
      </c>
      <c r="J146" s="162">
        <f>IF(D146=0,0,HLOOKUP(YEAR(D146)+(MONTH(D146)/100),TC!$5:$37,DAY(D146)+2,FALSE))</f>
        <v>20.133500000000002</v>
      </c>
      <c r="K146" s="250">
        <f t="shared" si="16"/>
        <v>1650.5443300000002</v>
      </c>
    </row>
    <row r="147" spans="2:11" s="134" customFormat="1" ht="23" customHeight="1">
      <c r="B147" s="7" t="s">
        <v>1254</v>
      </c>
      <c r="C147" s="7" t="s">
        <v>693</v>
      </c>
      <c r="D147" s="159">
        <v>44760</v>
      </c>
      <c r="E147" s="249" t="s">
        <v>710</v>
      </c>
      <c r="F147" s="7" t="s">
        <v>59</v>
      </c>
      <c r="G147" s="250">
        <v>317.97000000000003</v>
      </c>
      <c r="H147" s="162">
        <f>IF(F147=0,0,IF(F147="MXN",1/HLOOKUP(YEAR(D147)+(MONTH(D147)/100),TC!$5:$437,DAY(D147)+2,FALSE),VLOOKUP(F147,Equivalencia!$1:$23,((MAX(Equivalencia!$3:$3)-YEAR(D147))*14)+MONTH(D147)+2,FALSE)))</f>
        <v>1</v>
      </c>
      <c r="I147" s="251">
        <f t="shared" si="15"/>
        <v>317.97000000000003</v>
      </c>
      <c r="J147" s="162">
        <f>IF(D147=0,0,HLOOKUP(YEAR(D147)+(MONTH(D147)/100),TC!$5:$37,DAY(D147)+2,FALSE))</f>
        <v>20.941500000000001</v>
      </c>
      <c r="K147" s="250">
        <f t="shared" si="16"/>
        <v>6658.768755000001</v>
      </c>
    </row>
    <row r="148" spans="2:11" s="134" customFormat="1" ht="23" customHeight="1">
      <c r="B148" s="7" t="s">
        <v>1254</v>
      </c>
      <c r="C148" s="7" t="s">
        <v>693</v>
      </c>
      <c r="D148" s="159">
        <v>44757</v>
      </c>
      <c r="E148" s="249" t="s">
        <v>711</v>
      </c>
      <c r="F148" s="7" t="s">
        <v>59</v>
      </c>
      <c r="G148" s="250">
        <v>34.020000000000003</v>
      </c>
      <c r="H148" s="162">
        <f>IF(F148=0,0,IF(F148="MXN",1/HLOOKUP(YEAR(D148)+(MONTH(D148)/100),TC!$5:$437,DAY(D148)+2,FALSE),VLOOKUP(F148,Equivalencia!$1:$23,((MAX(Equivalencia!$3:$3)-YEAR(D148))*14)+MONTH(D148)+2,FALSE)))</f>
        <v>1</v>
      </c>
      <c r="I148" s="251">
        <f t="shared" si="15"/>
        <v>34.020000000000003</v>
      </c>
      <c r="J148" s="162">
        <f>IF(D148=0,0,HLOOKUP(YEAR(D148)+(MONTH(D148)/100),TC!$5:$37,DAY(D148)+2,FALSE))</f>
        <v>20.761299999999999</v>
      </c>
      <c r="K148" s="250">
        <f t="shared" si="16"/>
        <v>706.29942600000004</v>
      </c>
    </row>
    <row r="149" spans="2:11" s="134" customFormat="1" ht="23" customHeight="1">
      <c r="B149" s="7" t="s">
        <v>1254</v>
      </c>
      <c r="C149" s="7" t="s">
        <v>693</v>
      </c>
      <c r="D149" s="159">
        <v>44769</v>
      </c>
      <c r="E149" s="249" t="s">
        <v>713</v>
      </c>
      <c r="F149" s="7" t="s">
        <v>59</v>
      </c>
      <c r="G149" s="250">
        <v>39.14</v>
      </c>
      <c r="H149" s="162">
        <f>IF(F149=0,0,IF(F149="MXN",1/HLOOKUP(YEAR(D149)+(MONTH(D149)/100),TC!$5:$437,DAY(D149)+2,FALSE),VLOOKUP(F149,Equivalencia!$1:$23,((MAX(Equivalencia!$3:$3)-YEAR(D149))*14)+MONTH(D149)+2,FALSE)))</f>
        <v>1</v>
      </c>
      <c r="I149" s="251">
        <f t="shared" si="15"/>
        <v>39.14</v>
      </c>
      <c r="J149" s="162">
        <f>IF(D149=0,0,HLOOKUP(YEAR(D149)+(MONTH(D149)/100),TC!$5:$37,DAY(D149)+2,FALSE))</f>
        <v>20.465199999999999</v>
      </c>
      <c r="K149" s="250">
        <f t="shared" si="16"/>
        <v>801.00792799999999</v>
      </c>
    </row>
    <row r="150" spans="2:11" s="134" customFormat="1" ht="23" customHeight="1">
      <c r="B150" s="7" t="s">
        <v>1254</v>
      </c>
      <c r="C150" s="7" t="s">
        <v>693</v>
      </c>
      <c r="D150" s="159">
        <v>44771</v>
      </c>
      <c r="E150" s="249" t="s">
        <v>733</v>
      </c>
      <c r="F150" s="7" t="s">
        <v>59</v>
      </c>
      <c r="G150" s="250">
        <v>122.93</v>
      </c>
      <c r="H150" s="162">
        <f>IF(F150=0,0,IF(F150="MXN",1/HLOOKUP(YEAR(D150)+(MONTH(D150)/100),TC!$5:$437,DAY(D150)+2,FALSE),VLOOKUP(F150,Equivalencia!$1:$23,((MAX(Equivalencia!$3:$3)-YEAR(D150))*14)+MONTH(D150)+2,FALSE)))</f>
        <v>1</v>
      </c>
      <c r="I150" s="251">
        <f t="shared" si="15"/>
        <v>122.93</v>
      </c>
      <c r="J150" s="162">
        <f>IF(D150=0,0,HLOOKUP(YEAR(D150)+(MONTH(D150)/100),TC!$5:$37,DAY(D150)+2,FALSE))</f>
        <v>20.512</v>
      </c>
      <c r="K150" s="250">
        <f t="shared" si="16"/>
        <v>2521.54016</v>
      </c>
    </row>
    <row r="151" spans="2:11" s="134" customFormat="1" ht="23" customHeight="1">
      <c r="B151" s="7" t="s">
        <v>1254</v>
      </c>
      <c r="C151" s="7" t="s">
        <v>693</v>
      </c>
      <c r="D151" s="159">
        <v>44771</v>
      </c>
      <c r="E151" s="249" t="s">
        <v>714</v>
      </c>
      <c r="F151" s="7" t="s">
        <v>59</v>
      </c>
      <c r="G151" s="250">
        <v>91.56</v>
      </c>
      <c r="H151" s="162">
        <f>IF(F151=0,0,IF(F151="MXN",1/HLOOKUP(YEAR(D151)+(MONTH(D151)/100),TC!$5:$437,DAY(D151)+2,FALSE),VLOOKUP(F151,Equivalencia!$1:$23,((MAX(Equivalencia!$3:$3)-YEAR(D151))*14)+MONTH(D151)+2,FALSE)))</f>
        <v>1</v>
      </c>
      <c r="I151" s="251">
        <f t="shared" si="15"/>
        <v>91.56</v>
      </c>
      <c r="J151" s="162">
        <f>IF(D151=0,0,HLOOKUP(YEAR(D151)+(MONTH(D151)/100),TC!$5:$37,DAY(D151)+2,FALSE))</f>
        <v>20.512</v>
      </c>
      <c r="K151" s="250">
        <f t="shared" si="16"/>
        <v>1878.07872</v>
      </c>
    </row>
    <row r="152" spans="2:11" s="134" customFormat="1" ht="23" customHeight="1">
      <c r="B152" s="7" t="s">
        <v>1254</v>
      </c>
      <c r="C152" s="7" t="s">
        <v>693</v>
      </c>
      <c r="D152" s="159">
        <v>44783</v>
      </c>
      <c r="E152" s="249" t="s">
        <v>880</v>
      </c>
      <c r="F152" s="7" t="s">
        <v>59</v>
      </c>
      <c r="G152" s="250">
        <v>124.85</v>
      </c>
      <c r="H152" s="162">
        <f>IF(F152=0,0,IF(F152="MXN",1/HLOOKUP(YEAR(D152)+(MONTH(D152)/100),TC!$5:$437,DAY(D152)+2,FALSE),VLOOKUP(F152,Equivalencia!$1:$23,((MAX(Equivalencia!$3:$3)-YEAR(D152))*14)+MONTH(D152)+2,FALSE)))</f>
        <v>1</v>
      </c>
      <c r="I152" s="251">
        <f t="shared" ref="I152:I157" si="17">G152*H152</f>
        <v>124.85</v>
      </c>
      <c r="J152" s="162">
        <f>IF(D152=0,0,HLOOKUP(YEAR(D152)+(MONTH(D152)/100),TC!$5:$37,DAY(D152)+2,FALSE))</f>
        <v>20.2789</v>
      </c>
      <c r="K152" s="250">
        <f t="shared" ref="K152:K157" si="18">I152*J152</f>
        <v>2531.8206649999997</v>
      </c>
    </row>
    <row r="153" spans="2:11" s="134" customFormat="1" ht="23" customHeight="1">
      <c r="B153" s="7" t="s">
        <v>1254</v>
      </c>
      <c r="C153" s="7" t="s">
        <v>693</v>
      </c>
      <c r="D153" s="159">
        <v>44795</v>
      </c>
      <c r="E153" s="249" t="s">
        <v>716</v>
      </c>
      <c r="F153" s="7" t="s">
        <v>59</v>
      </c>
      <c r="G153" s="250">
        <v>94.83</v>
      </c>
      <c r="H153" s="162">
        <f>IF(F153=0,0,IF(F153="MXN",1/HLOOKUP(YEAR(D153)+(MONTH(D153)/100),TC!$5:$437,DAY(D153)+2,FALSE),VLOOKUP(F153,Equivalencia!$1:$23,((MAX(Equivalencia!$3:$3)-YEAR(D153))*14)+MONTH(D153)+2,FALSE)))</f>
        <v>1</v>
      </c>
      <c r="I153" s="251">
        <f t="shared" si="17"/>
        <v>94.83</v>
      </c>
      <c r="J153" s="162">
        <f>IF(D153=0,0,HLOOKUP(YEAR(D153)+(MONTH(D153)/100),TC!$5:$37,DAY(D153)+2,FALSE))</f>
        <v>20.083500000000001</v>
      </c>
      <c r="K153" s="250">
        <f t="shared" si="18"/>
        <v>1904.5183050000001</v>
      </c>
    </row>
    <row r="154" spans="2:11" s="134" customFormat="1" ht="23" customHeight="1">
      <c r="B154" s="7" t="s">
        <v>1254</v>
      </c>
      <c r="C154" s="7" t="s">
        <v>693</v>
      </c>
      <c r="D154" s="159">
        <v>44788</v>
      </c>
      <c r="E154" s="249" t="s">
        <v>734</v>
      </c>
      <c r="F154" s="7" t="s">
        <v>59</v>
      </c>
      <c r="G154" s="250">
        <v>96.11</v>
      </c>
      <c r="H154" s="162">
        <f>IF(F154=0,0,IF(F154="MXN",1/HLOOKUP(YEAR(D154)+(MONTH(D154)/100),TC!$5:$437,DAY(D154)+2,FALSE),VLOOKUP(F154,Equivalencia!$1:$23,((MAX(Equivalencia!$3:$3)-YEAR(D154))*14)+MONTH(D154)+2,FALSE)))</f>
        <v>1</v>
      </c>
      <c r="I154" s="251">
        <f t="shared" si="17"/>
        <v>96.11</v>
      </c>
      <c r="J154" s="162">
        <f>IF(D154=0,0,HLOOKUP(YEAR(D154)+(MONTH(D154)/100),TC!$5:$37,DAY(D154)+2,FALSE))</f>
        <v>19.959499999999998</v>
      </c>
      <c r="K154" s="250">
        <f t="shared" si="18"/>
        <v>1918.3075449999999</v>
      </c>
    </row>
    <row r="155" spans="2:11" s="134" customFormat="1" ht="23" customHeight="1">
      <c r="B155" s="7" t="s">
        <v>1254</v>
      </c>
      <c r="C155" s="7" t="s">
        <v>693</v>
      </c>
      <c r="D155" s="159">
        <v>44790</v>
      </c>
      <c r="E155" s="249" t="s">
        <v>717</v>
      </c>
      <c r="F155" s="7" t="s">
        <v>59</v>
      </c>
      <c r="G155" s="250">
        <v>29.4</v>
      </c>
      <c r="H155" s="162">
        <f>IF(F155=0,0,IF(F155="MXN",1/HLOOKUP(YEAR(D155)+(MONTH(D155)/100),TC!$5:$437,DAY(D155)+2,FALSE),VLOOKUP(F155,Equivalencia!$1:$23,((MAX(Equivalencia!$3:$3)-YEAR(D155))*14)+MONTH(D155)+2,FALSE)))</f>
        <v>1</v>
      </c>
      <c r="I155" s="251">
        <f t="shared" si="17"/>
        <v>29.4</v>
      </c>
      <c r="J155" s="162">
        <f>IF(D155=0,0,HLOOKUP(YEAR(D155)+(MONTH(D155)/100),TC!$5:$37,DAY(D155)+2,FALSE))</f>
        <v>19.861799999999999</v>
      </c>
      <c r="K155" s="250">
        <f t="shared" si="18"/>
        <v>583.93691999999999</v>
      </c>
    </row>
    <row r="156" spans="2:11" s="134" customFormat="1" ht="23" customHeight="1">
      <c r="B156" s="7" t="s">
        <v>1254</v>
      </c>
      <c r="C156" s="7" t="s">
        <v>693</v>
      </c>
      <c r="D156" s="159">
        <v>44803</v>
      </c>
      <c r="E156" s="249" t="s">
        <v>725</v>
      </c>
      <c r="F156" s="7" t="s">
        <v>59</v>
      </c>
      <c r="G156" s="250">
        <v>141.93</v>
      </c>
      <c r="H156" s="162">
        <f>IF(F156=0,0,IF(F156="MXN",1/HLOOKUP(YEAR(D156)+(MONTH(D156)/100),TC!$5:$437,DAY(D156)+2,FALSE),VLOOKUP(F156,Equivalencia!$1:$23,((MAX(Equivalencia!$3:$3)-YEAR(D156))*14)+MONTH(D156)+2,FALSE)))</f>
        <v>1</v>
      </c>
      <c r="I156" s="251">
        <f t="shared" si="17"/>
        <v>141.93</v>
      </c>
      <c r="J156" s="162">
        <f>IF(D156=0,0,HLOOKUP(YEAR(D156)+(MONTH(D156)/100),TC!$5:$37,DAY(D156)+2,FALSE))</f>
        <v>19.9268</v>
      </c>
      <c r="K156" s="250">
        <f t="shared" si="18"/>
        <v>2828.210724</v>
      </c>
    </row>
    <row r="157" spans="2:11" s="134" customFormat="1" ht="23" customHeight="1">
      <c r="B157" s="7" t="s">
        <v>1254</v>
      </c>
      <c r="C157" s="7" t="s">
        <v>693</v>
      </c>
      <c r="D157" s="159">
        <v>44805</v>
      </c>
      <c r="E157" s="249" t="s">
        <v>718</v>
      </c>
      <c r="F157" s="7" t="s">
        <v>59</v>
      </c>
      <c r="G157" s="250">
        <v>529.62</v>
      </c>
      <c r="H157" s="162">
        <f>IF(F157=0,0,IF(F157="MXN",1/HLOOKUP(YEAR(D157)+(MONTH(D157)/100),TC!$5:$437,DAY(D157)+2,FALSE),VLOOKUP(F157,Equivalencia!$1:$23,((MAX(Equivalencia!$3:$3)-YEAR(D157))*14)+MONTH(D157)+2,FALSE)))</f>
        <v>1</v>
      </c>
      <c r="I157" s="251">
        <f t="shared" si="17"/>
        <v>529.62</v>
      </c>
      <c r="J157" s="162">
        <f>IF(D157=0,0,HLOOKUP(YEAR(D157)+(MONTH(D157)/100),TC!$5:$37,DAY(D157)+2,FALSE))</f>
        <v>20.1465</v>
      </c>
      <c r="K157" s="250">
        <f t="shared" si="18"/>
        <v>10669.98933</v>
      </c>
    </row>
    <row r="158" spans="2:11" s="134" customFormat="1" ht="23" customHeight="1">
      <c r="B158" s="7" t="s">
        <v>1254</v>
      </c>
      <c r="C158" s="7" t="s">
        <v>693</v>
      </c>
      <c r="D158" s="159">
        <v>44805</v>
      </c>
      <c r="E158" s="249" t="s">
        <v>719</v>
      </c>
      <c r="F158" s="7" t="s">
        <v>59</v>
      </c>
      <c r="G158" s="250">
        <v>64.61</v>
      </c>
      <c r="H158" s="162">
        <f>IF(F158=0,0,IF(F158="MXN",1/HLOOKUP(YEAR(D158)+(MONTH(D158)/100),TC!$5:$437,DAY(D158)+2,FALSE),VLOOKUP(F158,Equivalencia!$1:$23,((MAX(Equivalencia!$3:$3)-YEAR(D158))*14)+MONTH(D158)+2,FALSE)))</f>
        <v>1</v>
      </c>
      <c r="I158" s="251">
        <f t="shared" ref="I158:I170" si="19">G158*H158</f>
        <v>64.61</v>
      </c>
      <c r="J158" s="162">
        <f>IF(D158=0,0,HLOOKUP(YEAR(D158)+(MONTH(D158)/100),TC!$5:$37,DAY(D158)+2,FALSE))</f>
        <v>20.1465</v>
      </c>
      <c r="K158" s="250">
        <f t="shared" ref="K158:K170" si="20">I158*J158</f>
        <v>1301.6653650000001</v>
      </c>
    </row>
    <row r="159" spans="2:11" s="134" customFormat="1" ht="23" customHeight="1">
      <c r="B159" s="7" t="s">
        <v>1254</v>
      </c>
      <c r="C159" s="7" t="s">
        <v>693</v>
      </c>
      <c r="D159" s="159">
        <v>44806</v>
      </c>
      <c r="E159" s="249" t="s">
        <v>726</v>
      </c>
      <c r="F159" s="7" t="s">
        <v>59</v>
      </c>
      <c r="G159" s="250">
        <v>291.55</v>
      </c>
      <c r="H159" s="162">
        <f>IF(F159=0,0,IF(F159="MXN",1/HLOOKUP(YEAR(D159)+(MONTH(D159)/100),TC!$5:$437,DAY(D159)+2,FALSE),VLOOKUP(F159,Equivalencia!$1:$23,((MAX(Equivalencia!$3:$3)-YEAR(D159))*14)+MONTH(D159)+2,FALSE)))</f>
        <v>1</v>
      </c>
      <c r="I159" s="251">
        <f t="shared" si="19"/>
        <v>291.55</v>
      </c>
      <c r="J159" s="162">
        <f>IF(D159=0,0,HLOOKUP(YEAR(D159)+(MONTH(D159)/100),TC!$5:$37,DAY(D159)+2,FALSE))</f>
        <v>20.0962</v>
      </c>
      <c r="K159" s="250">
        <f t="shared" si="20"/>
        <v>5859.0471100000004</v>
      </c>
    </row>
    <row r="160" spans="2:11" s="134" customFormat="1" ht="23" customHeight="1">
      <c r="B160" s="7" t="s">
        <v>1254</v>
      </c>
      <c r="C160" s="7" t="s">
        <v>693</v>
      </c>
      <c r="D160" s="159">
        <v>44812</v>
      </c>
      <c r="E160" s="249" t="s">
        <v>727</v>
      </c>
      <c r="F160" s="7" t="s">
        <v>59</v>
      </c>
      <c r="G160" s="250">
        <v>158.41</v>
      </c>
      <c r="H160" s="162">
        <f>IF(F160=0,0,IF(F160="MXN",1/HLOOKUP(YEAR(D160)+(MONTH(D160)/100),TC!$5:$437,DAY(D160)+2,FALSE),VLOOKUP(F160,Equivalencia!$1:$23,((MAX(Equivalencia!$3:$3)-YEAR(D160))*14)+MONTH(D160)+2,FALSE)))</f>
        <v>1</v>
      </c>
      <c r="I160" s="251">
        <f t="shared" si="19"/>
        <v>158.41</v>
      </c>
      <c r="J160" s="162">
        <f>IF(D160=0,0,HLOOKUP(YEAR(D160)+(MONTH(D160)/100),TC!$5:$37,DAY(D160)+2,FALSE))</f>
        <v>20.138000000000002</v>
      </c>
      <c r="K160" s="250">
        <f t="shared" si="20"/>
        <v>3190.0605800000003</v>
      </c>
    </row>
    <row r="161" spans="2:11" s="134" customFormat="1" ht="23" customHeight="1">
      <c r="B161" s="7" t="s">
        <v>1254</v>
      </c>
      <c r="C161" s="7" t="s">
        <v>693</v>
      </c>
      <c r="D161" s="159">
        <v>44813</v>
      </c>
      <c r="E161" s="249" t="s">
        <v>729</v>
      </c>
      <c r="F161" s="7" t="s">
        <v>59</v>
      </c>
      <c r="G161" s="250">
        <v>97.41</v>
      </c>
      <c r="H161" s="162">
        <f>IF(F161=0,0,IF(F161="MXN",1/HLOOKUP(YEAR(D161)+(MONTH(D161)/100),TC!$5:$437,DAY(D161)+2,FALSE),VLOOKUP(F161,Equivalencia!$1:$23,((MAX(Equivalencia!$3:$3)-YEAR(D161))*14)+MONTH(D161)+2,FALSE)))</f>
        <v>1</v>
      </c>
      <c r="I161" s="251">
        <f t="shared" si="19"/>
        <v>97.41</v>
      </c>
      <c r="J161" s="162">
        <f>IF(D161=0,0,HLOOKUP(YEAR(D161)+(MONTH(D161)/100),TC!$5:$37,DAY(D161)+2,FALSE))</f>
        <v>20.029699999999998</v>
      </c>
      <c r="K161" s="250">
        <f t="shared" si="20"/>
        <v>1951.0930769999998</v>
      </c>
    </row>
    <row r="162" spans="2:11" s="134" customFormat="1" ht="23" customHeight="1">
      <c r="B162" s="7" t="s">
        <v>1254</v>
      </c>
      <c r="C162" s="7" t="s">
        <v>693</v>
      </c>
      <c r="D162" s="159">
        <v>44816</v>
      </c>
      <c r="E162" s="249" t="s">
        <v>728</v>
      </c>
      <c r="F162" s="7" t="s">
        <v>59</v>
      </c>
      <c r="G162" s="250">
        <v>140.62</v>
      </c>
      <c r="H162" s="162">
        <f>IF(F162=0,0,IF(F162="MXN",1/HLOOKUP(YEAR(D162)+(MONTH(D162)/100),TC!$5:$437,DAY(D162)+2,FALSE),VLOOKUP(F162,Equivalencia!$1:$23,((MAX(Equivalencia!$3:$3)-YEAR(D162))*14)+MONTH(D162)+2,FALSE)))</f>
        <v>1</v>
      </c>
      <c r="I162" s="251">
        <f t="shared" si="19"/>
        <v>140.62</v>
      </c>
      <c r="J162" s="162">
        <f>IF(D162=0,0,HLOOKUP(YEAR(D162)+(MONTH(D162)/100),TC!$5:$37,DAY(D162)+2,FALSE))</f>
        <v>20.020299999999999</v>
      </c>
      <c r="K162" s="250">
        <f t="shared" si="20"/>
        <v>2815.254586</v>
      </c>
    </row>
    <row r="163" spans="2:11" s="134" customFormat="1" ht="23" customHeight="1">
      <c r="B163" s="7" t="s">
        <v>1254</v>
      </c>
      <c r="C163" s="7" t="s">
        <v>693</v>
      </c>
      <c r="D163" s="159">
        <v>44817</v>
      </c>
      <c r="E163" s="249" t="s">
        <v>914</v>
      </c>
      <c r="F163" s="7" t="s">
        <v>59</v>
      </c>
      <c r="G163" s="250">
        <v>108.29</v>
      </c>
      <c r="H163" s="162">
        <f>IF(F163=0,0,IF(F163="MXN",1/HLOOKUP(YEAR(D163)+(MONTH(D163)/100),TC!$5:$437,DAY(D163)+2,FALSE),VLOOKUP(F163,Equivalencia!$1:$23,((MAX(Equivalencia!$3:$3)-YEAR(D163))*14)+MONTH(D163)+2,FALSE)))</f>
        <v>1</v>
      </c>
      <c r="I163" s="251">
        <f t="shared" si="19"/>
        <v>108.29</v>
      </c>
      <c r="J163" s="162">
        <f>IF(D163=0,0,HLOOKUP(YEAR(D163)+(MONTH(D163)/100),TC!$5:$37,DAY(D163)+2,FALSE))</f>
        <v>19.902699999999999</v>
      </c>
      <c r="K163" s="250">
        <f t="shared" si="20"/>
        <v>2155.263383</v>
      </c>
    </row>
    <row r="164" spans="2:11" s="134" customFormat="1" ht="23" customHeight="1">
      <c r="B164" s="7" t="s">
        <v>1254</v>
      </c>
      <c r="C164" s="7" t="s">
        <v>693</v>
      </c>
      <c r="D164" s="159">
        <v>44819</v>
      </c>
      <c r="E164" s="249" t="s">
        <v>730</v>
      </c>
      <c r="F164" s="7" t="s">
        <v>59</v>
      </c>
      <c r="G164" s="250">
        <v>110.46</v>
      </c>
      <c r="H164" s="162">
        <f>IF(F164=0,0,IF(F164="MXN",1/HLOOKUP(YEAR(D164)+(MONTH(D164)/100),TC!$5:$437,DAY(D164)+2,FALSE),VLOOKUP(F164,Equivalencia!$1:$23,((MAX(Equivalencia!$3:$3)-YEAR(D164))*14)+MONTH(D164)+2,FALSE)))</f>
        <v>1</v>
      </c>
      <c r="I164" s="251">
        <f t="shared" si="19"/>
        <v>110.46</v>
      </c>
      <c r="J164" s="162">
        <f>IF(D164=0,0,HLOOKUP(YEAR(D164)+(MONTH(D164)/100),TC!$5:$37,DAY(D164)+2,FALSE))</f>
        <v>20.055</v>
      </c>
      <c r="K164" s="250">
        <f t="shared" si="20"/>
        <v>2215.2752999999998</v>
      </c>
    </row>
    <row r="165" spans="2:11" s="134" customFormat="1" ht="23" customHeight="1">
      <c r="B165" s="7" t="s">
        <v>1254</v>
      </c>
      <c r="C165" s="7" t="s">
        <v>693</v>
      </c>
      <c r="D165" s="159">
        <v>44820</v>
      </c>
      <c r="E165" s="249" t="s">
        <v>732</v>
      </c>
      <c r="F165" s="7" t="s">
        <v>59</v>
      </c>
      <c r="G165" s="250">
        <v>205.41</v>
      </c>
      <c r="H165" s="162">
        <f>IF(F165=0,0,IF(F165="MXN",1/HLOOKUP(YEAR(D165)+(MONTH(D165)/100),TC!$5:$437,DAY(D165)+2,FALSE),VLOOKUP(F165,Equivalencia!$1:$23,((MAX(Equivalencia!$3:$3)-YEAR(D165))*14)+MONTH(D165)+2,FALSE)))</f>
        <v>1</v>
      </c>
      <c r="I165" s="251">
        <f t="shared" si="19"/>
        <v>205.41</v>
      </c>
      <c r="J165" s="162">
        <f>IF(D165=0,0,HLOOKUP(YEAR(D165)+(MONTH(D165)/100),TC!$5:$37,DAY(D165)+2,FALSE))</f>
        <v>19.976800000000001</v>
      </c>
      <c r="K165" s="250">
        <f t="shared" si="20"/>
        <v>4103.4344879999999</v>
      </c>
    </row>
    <row r="166" spans="2:11" s="134" customFormat="1" ht="23" customHeight="1">
      <c r="B166" s="7" t="s">
        <v>1254</v>
      </c>
      <c r="C166" s="7" t="s">
        <v>693</v>
      </c>
      <c r="D166" s="159">
        <v>44827</v>
      </c>
      <c r="E166" s="249" t="s">
        <v>915</v>
      </c>
      <c r="F166" s="7" t="s">
        <v>59</v>
      </c>
      <c r="G166" s="250">
        <v>144.26</v>
      </c>
      <c r="H166" s="162">
        <f>IF(F166=0,0,IF(F166="MXN",1/HLOOKUP(YEAR(D166)+(MONTH(D166)/100),TC!$5:$437,DAY(D166)+2,FALSE),VLOOKUP(F166,Equivalencia!$1:$23,((MAX(Equivalencia!$3:$3)-YEAR(D166))*14)+MONTH(D166)+2,FALSE)))</f>
        <v>1</v>
      </c>
      <c r="I166" s="251">
        <f t="shared" si="19"/>
        <v>144.26</v>
      </c>
      <c r="J166" s="162">
        <f>IF(D166=0,0,HLOOKUP(YEAR(D166)+(MONTH(D166)/100),TC!$5:$37,DAY(D166)+2,FALSE))</f>
        <v>20.002700000000001</v>
      </c>
      <c r="K166" s="250">
        <f t="shared" si="20"/>
        <v>2885.5895019999998</v>
      </c>
    </row>
    <row r="167" spans="2:11" s="134" customFormat="1" ht="23" customHeight="1">
      <c r="B167" s="7" t="s">
        <v>1254</v>
      </c>
      <c r="C167" s="7" t="s">
        <v>693</v>
      </c>
      <c r="D167" s="159">
        <v>44834</v>
      </c>
      <c r="E167" s="249" t="s">
        <v>918</v>
      </c>
      <c r="F167" s="7" t="s">
        <v>59</v>
      </c>
      <c r="G167" s="250">
        <v>10.75</v>
      </c>
      <c r="H167" s="162">
        <f>IF(F167=0,0,IF(F167="MXN",1/HLOOKUP(YEAR(D167)+(MONTH(D167)/100),TC!$5:$437,DAY(D167)+2,FALSE),VLOOKUP(F167,Equivalencia!$1:$23,((MAX(Equivalencia!$3:$3)-YEAR(D167))*14)+MONTH(D167)+2,FALSE)))</f>
        <v>1</v>
      </c>
      <c r="I167" s="251">
        <f t="shared" si="19"/>
        <v>10.75</v>
      </c>
      <c r="J167" s="162">
        <f>IF(D167=0,0,HLOOKUP(YEAR(D167)+(MONTH(D167)/100),TC!$5:$37,DAY(D167)+2,FALSE))</f>
        <v>20.305800000000001</v>
      </c>
      <c r="K167" s="250">
        <f t="shared" si="20"/>
        <v>218.28735</v>
      </c>
    </row>
    <row r="168" spans="2:11" s="134" customFormat="1" ht="23" customHeight="1">
      <c r="B168" s="7" t="s">
        <v>1254</v>
      </c>
      <c r="C168" s="7" t="s">
        <v>693</v>
      </c>
      <c r="D168" s="159">
        <v>44834</v>
      </c>
      <c r="E168" s="249" t="s">
        <v>916</v>
      </c>
      <c r="F168" s="7" t="s">
        <v>59</v>
      </c>
      <c r="G168" s="250">
        <v>80.849999999999994</v>
      </c>
      <c r="H168" s="162">
        <f>IF(F168=0,0,IF(F168="MXN",1/HLOOKUP(YEAR(D168)+(MONTH(D168)/100),TC!$5:$437,DAY(D168)+2,FALSE),VLOOKUP(F168,Equivalencia!$1:$23,((MAX(Equivalencia!$3:$3)-YEAR(D168))*14)+MONTH(D168)+2,FALSE)))</f>
        <v>1</v>
      </c>
      <c r="I168" s="251">
        <f t="shared" si="19"/>
        <v>80.849999999999994</v>
      </c>
      <c r="J168" s="162">
        <f>IF(D168=0,0,HLOOKUP(YEAR(D168)+(MONTH(D168)/100),TC!$5:$37,DAY(D168)+2,FALSE))</f>
        <v>20.305800000000001</v>
      </c>
      <c r="K168" s="250">
        <f t="shared" si="20"/>
        <v>1641.7239300000001</v>
      </c>
    </row>
    <row r="169" spans="2:11" s="134" customFormat="1" ht="23" customHeight="1">
      <c r="B169" s="7" t="s">
        <v>1254</v>
      </c>
      <c r="C169" s="7" t="s">
        <v>693</v>
      </c>
      <c r="D169" s="159">
        <v>44834</v>
      </c>
      <c r="E169" s="249" t="s">
        <v>720</v>
      </c>
      <c r="F169" s="7" t="s">
        <v>59</v>
      </c>
      <c r="G169" s="250">
        <v>187.88</v>
      </c>
      <c r="H169" s="162">
        <f>IF(F169=0,0,IF(F169="MXN",1/HLOOKUP(YEAR(D169)+(MONTH(D169)/100),TC!$5:$437,DAY(D169)+2,FALSE),VLOOKUP(F169,Equivalencia!$1:$23,((MAX(Equivalencia!$3:$3)-YEAR(D169))*14)+MONTH(D169)+2,FALSE)))</f>
        <v>1</v>
      </c>
      <c r="I169" s="251">
        <f t="shared" si="19"/>
        <v>187.88</v>
      </c>
      <c r="J169" s="162">
        <f>IF(D169=0,0,HLOOKUP(YEAR(D169)+(MONTH(D169)/100),TC!$5:$37,DAY(D169)+2,FALSE))</f>
        <v>20.305800000000001</v>
      </c>
      <c r="K169" s="250">
        <f t="shared" si="20"/>
        <v>3815.0537040000004</v>
      </c>
    </row>
    <row r="170" spans="2:11" s="134" customFormat="1" ht="23" customHeight="1">
      <c r="B170" s="7" t="s">
        <v>1254</v>
      </c>
      <c r="C170" s="7" t="s">
        <v>693</v>
      </c>
      <c r="D170" s="159">
        <v>44834</v>
      </c>
      <c r="E170" s="249" t="s">
        <v>917</v>
      </c>
      <c r="F170" s="7" t="s">
        <v>59</v>
      </c>
      <c r="G170" s="250">
        <v>39.28</v>
      </c>
      <c r="H170" s="162">
        <f>IF(F170=0,0,IF(F170="MXN",1/HLOOKUP(YEAR(D170)+(MONTH(D170)/100),TC!$5:$437,DAY(D170)+2,FALSE),VLOOKUP(F170,Equivalencia!$1:$23,((MAX(Equivalencia!$3:$3)-YEAR(D170))*14)+MONTH(D170)+2,FALSE)))</f>
        <v>1</v>
      </c>
      <c r="I170" s="251">
        <f t="shared" si="19"/>
        <v>39.28</v>
      </c>
      <c r="J170" s="162">
        <f>IF(D170=0,0,HLOOKUP(YEAR(D170)+(MONTH(D170)/100),TC!$5:$37,DAY(D170)+2,FALSE))</f>
        <v>20.305800000000001</v>
      </c>
      <c r="K170" s="250">
        <f t="shared" si="20"/>
        <v>797.61182400000007</v>
      </c>
    </row>
    <row r="171" spans="2:11" s="134" customFormat="1" ht="23" customHeight="1">
      <c r="B171" s="7" t="s">
        <v>1254</v>
      </c>
      <c r="C171" s="7" t="s">
        <v>693</v>
      </c>
      <c r="D171" s="159">
        <v>44848</v>
      </c>
      <c r="E171" s="249" t="s">
        <v>731</v>
      </c>
      <c r="F171" s="7" t="s">
        <v>59</v>
      </c>
      <c r="G171" s="250">
        <v>336.48</v>
      </c>
      <c r="H171" s="162">
        <f>IF(F171=0,0,IF(F171="MXN",1/HLOOKUP(YEAR(D171)+(MONTH(D171)/100),TC!$5:$437,DAY(D171)+2,FALSE),VLOOKUP(F171,Equivalencia!$1:$23,((MAX(Equivalencia!$3:$3)-YEAR(D171))*14)+MONTH(D171)+2,FALSE)))</f>
        <v>1</v>
      </c>
      <c r="I171" s="251">
        <f t="shared" ref="I171:I178" si="21">G171*H171</f>
        <v>336.48</v>
      </c>
      <c r="J171" s="162">
        <f>IF(D171=0,0,HLOOKUP(YEAR(D171)+(MONTH(D171)/100),TC!$5:$37,DAY(D171)+2,FALSE))</f>
        <v>20.0352</v>
      </c>
      <c r="K171" s="250">
        <f t="shared" ref="K171:K178" si="22">I171*J171</f>
        <v>6741.4440960000002</v>
      </c>
    </row>
    <row r="172" spans="2:11" s="134" customFormat="1" ht="23" customHeight="1">
      <c r="B172" s="7" t="s">
        <v>1254</v>
      </c>
      <c r="C172" s="7" t="s">
        <v>693</v>
      </c>
      <c r="D172" s="159">
        <v>44837</v>
      </c>
      <c r="E172" s="249" t="s">
        <v>707</v>
      </c>
      <c r="F172" s="7" t="s">
        <v>59</v>
      </c>
      <c r="G172" s="250">
        <v>254.26</v>
      </c>
      <c r="H172" s="162">
        <f>IF(F172=0,0,IF(F172="MXN",1/HLOOKUP(YEAR(D172)+(MONTH(D172)/100),TC!$5:$437,DAY(D172)+2,FALSE),VLOOKUP(F172,Equivalencia!$1:$23,((MAX(Equivalencia!$3:$3)-YEAR(D172))*14)+MONTH(D172)+2,FALSE)))</f>
        <v>1</v>
      </c>
      <c r="I172" s="251">
        <f t="shared" si="21"/>
        <v>254.26</v>
      </c>
      <c r="J172" s="162">
        <f>IF(D172=0,0,HLOOKUP(YEAR(D172)+(MONTH(D172)/100),TC!$5:$37,DAY(D172)+2,FALSE))</f>
        <v>20.192699999999999</v>
      </c>
      <c r="K172" s="250">
        <f t="shared" si="22"/>
        <v>5134.1959019999995</v>
      </c>
    </row>
    <row r="173" spans="2:11" s="134" customFormat="1" ht="23" customHeight="1">
      <c r="B173" s="7" t="s">
        <v>1254</v>
      </c>
      <c r="C173" s="7" t="s">
        <v>693</v>
      </c>
      <c r="D173" s="159">
        <v>44838</v>
      </c>
      <c r="E173" s="249" t="s">
        <v>721</v>
      </c>
      <c r="F173" s="7" t="s">
        <v>59</v>
      </c>
      <c r="G173" s="250">
        <v>99.28</v>
      </c>
      <c r="H173" s="162">
        <f>IF(F173=0,0,IF(F173="MXN",1/HLOOKUP(YEAR(D173)+(MONTH(D173)/100),TC!$5:$437,DAY(D173)+2,FALSE),VLOOKUP(F173,Equivalencia!$1:$23,((MAX(Equivalencia!$3:$3)-YEAR(D173))*14)+MONTH(D173)+2,FALSE)))</f>
        <v>1</v>
      </c>
      <c r="I173" s="251">
        <f t="shared" si="21"/>
        <v>99.28</v>
      </c>
      <c r="J173" s="162">
        <f>IF(D173=0,0,HLOOKUP(YEAR(D173)+(MONTH(D173)/100),TC!$5:$37,DAY(D173)+2,FALSE))</f>
        <v>20.092500000000001</v>
      </c>
      <c r="K173" s="250">
        <f t="shared" si="22"/>
        <v>1994.7834</v>
      </c>
    </row>
    <row r="174" spans="2:11" s="134" customFormat="1" ht="23" customHeight="1">
      <c r="B174" s="7" t="s">
        <v>1254</v>
      </c>
      <c r="C174" s="7" t="s">
        <v>693</v>
      </c>
      <c r="D174" s="159">
        <v>44848</v>
      </c>
      <c r="E174" s="249" t="s">
        <v>710</v>
      </c>
      <c r="F174" s="7" t="s">
        <v>59</v>
      </c>
      <c r="G174" s="250">
        <v>299.58999999999997</v>
      </c>
      <c r="H174" s="162">
        <f>IF(F174=0,0,IF(F174="MXN",1/HLOOKUP(YEAR(D174)+(MONTH(D174)/100),TC!$5:$437,DAY(D174)+2,FALSE),VLOOKUP(F174,Equivalencia!$1:$23,((MAX(Equivalencia!$3:$3)-YEAR(D174))*14)+MONTH(D174)+2,FALSE)))</f>
        <v>1</v>
      </c>
      <c r="I174" s="251">
        <f t="shared" si="21"/>
        <v>299.58999999999997</v>
      </c>
      <c r="J174" s="162">
        <f>IF(D174=0,0,HLOOKUP(YEAR(D174)+(MONTH(D174)/100),TC!$5:$37,DAY(D174)+2,FALSE))</f>
        <v>20.0352</v>
      </c>
      <c r="K174" s="250">
        <f t="shared" si="22"/>
        <v>6002.3455679999997</v>
      </c>
    </row>
    <row r="175" spans="2:11" s="134" customFormat="1" ht="23" customHeight="1">
      <c r="B175" s="7" t="s">
        <v>1254</v>
      </c>
      <c r="C175" s="7" t="s">
        <v>693</v>
      </c>
      <c r="D175" s="159">
        <v>44848</v>
      </c>
      <c r="E175" s="249" t="s">
        <v>711</v>
      </c>
      <c r="F175" s="7" t="s">
        <v>59</v>
      </c>
      <c r="G175" s="250">
        <v>34.020000000000003</v>
      </c>
      <c r="H175" s="162">
        <f>IF(F175=0,0,IF(F175="MXN",1/HLOOKUP(YEAR(D175)+(MONTH(D175)/100),TC!$5:$437,DAY(D175)+2,FALSE),VLOOKUP(F175,Equivalencia!$1:$23,((MAX(Equivalencia!$3:$3)-YEAR(D175))*14)+MONTH(D175)+2,FALSE)))</f>
        <v>1</v>
      </c>
      <c r="I175" s="251">
        <f t="shared" si="21"/>
        <v>34.020000000000003</v>
      </c>
      <c r="J175" s="162">
        <f>IF(D175=0,0,HLOOKUP(YEAR(D175)+(MONTH(D175)/100),TC!$5:$37,DAY(D175)+2,FALSE))</f>
        <v>20.0352</v>
      </c>
      <c r="K175" s="250">
        <f t="shared" si="22"/>
        <v>681.59750400000007</v>
      </c>
    </row>
    <row r="176" spans="2:11" s="134" customFormat="1" ht="23" customHeight="1">
      <c r="B176" s="7" t="s">
        <v>1254</v>
      </c>
      <c r="C176" s="7" t="s">
        <v>693</v>
      </c>
      <c r="D176" s="159">
        <v>44860</v>
      </c>
      <c r="E176" s="249" t="s">
        <v>713</v>
      </c>
      <c r="F176" s="7" t="s">
        <v>59</v>
      </c>
      <c r="G176" s="250">
        <v>39.14</v>
      </c>
      <c r="H176" s="162">
        <f>IF(F176=0,0,IF(F176="MXN",1/HLOOKUP(YEAR(D176)+(MONTH(D176)/100),TC!$5:$437,DAY(D176)+2,FALSE),VLOOKUP(F176,Equivalencia!$1:$23,((MAX(Equivalencia!$3:$3)-YEAR(D176))*14)+MONTH(D176)+2,FALSE)))</f>
        <v>1</v>
      </c>
      <c r="I176" s="251">
        <f t="shared" si="21"/>
        <v>39.14</v>
      </c>
      <c r="J176" s="162">
        <f>IF(D176=0,0,HLOOKUP(YEAR(D176)+(MONTH(D176)/100),TC!$5:$37,DAY(D176)+2,FALSE))</f>
        <v>19.953499999999998</v>
      </c>
      <c r="K176" s="250">
        <f t="shared" si="22"/>
        <v>780.97998999999993</v>
      </c>
    </row>
    <row r="177" spans="2:11" s="134" customFormat="1" ht="23" customHeight="1">
      <c r="B177" s="7" t="s">
        <v>1254</v>
      </c>
      <c r="C177" s="7" t="s">
        <v>693</v>
      </c>
      <c r="D177" s="159">
        <v>44862</v>
      </c>
      <c r="E177" s="249" t="s">
        <v>733</v>
      </c>
      <c r="F177" s="7" t="s">
        <v>59</v>
      </c>
      <c r="G177" s="250">
        <v>66.7</v>
      </c>
      <c r="H177" s="162">
        <f>IF(F177=0,0,IF(F177="MXN",1/HLOOKUP(YEAR(D177)+(MONTH(D177)/100),TC!$5:$437,DAY(D177)+2,FALSE),VLOOKUP(F177,Equivalencia!$1:$23,((MAX(Equivalencia!$3:$3)-YEAR(D177))*14)+MONTH(D177)+2,FALSE)))</f>
        <v>1</v>
      </c>
      <c r="I177" s="251">
        <f t="shared" si="21"/>
        <v>66.7</v>
      </c>
      <c r="J177" s="162">
        <f>IF(D177=0,0,HLOOKUP(YEAR(D177)+(MONTH(D177)/100),TC!$5:$37,DAY(D177)+2,FALSE))</f>
        <v>19.8553</v>
      </c>
      <c r="K177" s="250">
        <f t="shared" si="22"/>
        <v>1324.34851</v>
      </c>
    </row>
    <row r="178" spans="2:11" s="134" customFormat="1" ht="23" customHeight="1">
      <c r="B178" s="7" t="s">
        <v>1254</v>
      </c>
      <c r="C178" s="7" t="s">
        <v>693</v>
      </c>
      <c r="D178" s="159">
        <v>44865</v>
      </c>
      <c r="E178" s="249" t="s">
        <v>1021</v>
      </c>
      <c r="F178" s="7" t="s">
        <v>59</v>
      </c>
      <c r="G178" s="250">
        <v>88.54</v>
      </c>
      <c r="H178" s="162">
        <f>IF(F178=0,0,IF(F178="MXN",1/HLOOKUP(YEAR(D178)+(MONTH(D178)/100),TC!$5:$437,DAY(D178)+2,FALSE),VLOOKUP(F178,Equivalencia!$1:$23,((MAX(Equivalencia!$3:$3)-YEAR(D178))*14)+MONTH(D178)+2,FALSE)))</f>
        <v>1</v>
      </c>
      <c r="I178" s="251">
        <f t="shared" si="21"/>
        <v>88.54</v>
      </c>
      <c r="J178" s="162">
        <f>IF(D178=0,0,HLOOKUP(YEAR(D178)+(MONTH(D178)/100),TC!$5:$37,DAY(D178)+2,FALSE))</f>
        <v>19.836500000000001</v>
      </c>
      <c r="K178" s="250">
        <f t="shared" si="22"/>
        <v>1756.3237100000001</v>
      </c>
    </row>
    <row r="179" spans="2:11" s="134" customFormat="1" ht="23" customHeight="1">
      <c r="B179" s="7" t="s">
        <v>1266</v>
      </c>
      <c r="C179" s="7" t="s">
        <v>693</v>
      </c>
      <c r="D179" s="159">
        <v>44564</v>
      </c>
      <c r="E179" s="249" t="s">
        <v>735</v>
      </c>
      <c r="F179" s="7" t="s">
        <v>59</v>
      </c>
      <c r="G179" s="250">
        <v>285.45</v>
      </c>
      <c r="H179" s="162">
        <f>IF(F179=0,0,IF(F179="MXN",1/HLOOKUP(YEAR(D179)+(MONTH(D179)/100),TC!$5:$437,DAY(D179)+2,FALSE),VLOOKUP(F179,Equivalencia!$1:$23,((MAX(Equivalencia!$3:$3)-YEAR(D179))*14)+MONTH(D179)+2,FALSE)))</f>
        <v>1</v>
      </c>
      <c r="I179" s="251">
        <f t="shared" si="13"/>
        <v>285.45</v>
      </c>
      <c r="J179" s="162">
        <f>IF(D179=0,0,HLOOKUP(YEAR(D179)+(MONTH(D179)/100),TC!$5:$37,DAY(D179)+2,FALSE))</f>
        <v>20.515699999999999</v>
      </c>
      <c r="K179" s="250">
        <f t="shared" si="14"/>
        <v>5856.2065649999995</v>
      </c>
    </row>
    <row r="180" spans="2:11" s="134" customFormat="1" ht="23" customHeight="1">
      <c r="B180" s="7" t="s">
        <v>1266</v>
      </c>
      <c r="C180" s="7" t="s">
        <v>693</v>
      </c>
      <c r="D180" s="159">
        <v>44575</v>
      </c>
      <c r="E180" s="249" t="s">
        <v>736</v>
      </c>
      <c r="F180" s="7" t="s">
        <v>59</v>
      </c>
      <c r="G180" s="250">
        <v>433.68</v>
      </c>
      <c r="H180" s="162">
        <f>IF(F180=0,0,IF(F180="MXN",1/HLOOKUP(YEAR(D180)+(MONTH(D180)/100),TC!$5:$437,DAY(D180)+2,FALSE),VLOOKUP(F180,Equivalencia!$1:$23,((MAX(Equivalencia!$3:$3)-YEAR(D180))*14)+MONTH(D180)+2,FALSE)))</f>
        <v>1</v>
      </c>
      <c r="I180" s="251">
        <f t="shared" si="13"/>
        <v>433.68</v>
      </c>
      <c r="J180" s="162">
        <f>IF(D180=0,0,HLOOKUP(YEAR(D180)+(MONTH(D180)/100),TC!$5:$37,DAY(D180)+2,FALSE))</f>
        <v>20.366</v>
      </c>
      <c r="K180" s="250">
        <f t="shared" si="14"/>
        <v>8832.3268800000005</v>
      </c>
    </row>
    <row r="181" spans="2:11" s="134" customFormat="1" ht="23" customHeight="1">
      <c r="B181" s="7" t="s">
        <v>1266</v>
      </c>
      <c r="C181" s="7" t="s">
        <v>693</v>
      </c>
      <c r="D181" s="159">
        <v>44575</v>
      </c>
      <c r="E181" s="249" t="s">
        <v>737</v>
      </c>
      <c r="F181" s="7" t="s">
        <v>59</v>
      </c>
      <c r="G181" s="250">
        <v>747.5</v>
      </c>
      <c r="H181" s="162">
        <f>IF(F181=0,0,IF(F181="MXN",1/HLOOKUP(YEAR(D181)+(MONTH(D181)/100),TC!$5:$437,DAY(D181)+2,FALSE),VLOOKUP(F181,Equivalencia!$1:$23,((MAX(Equivalencia!$3:$3)-YEAR(D181))*14)+MONTH(D181)+2,FALSE)))</f>
        <v>1</v>
      </c>
      <c r="I181" s="251">
        <f t="shared" si="13"/>
        <v>747.5</v>
      </c>
      <c r="J181" s="162">
        <f>IF(D181=0,0,HLOOKUP(YEAR(D181)+(MONTH(D181)/100),TC!$5:$37,DAY(D181)+2,FALSE))</f>
        <v>20.366</v>
      </c>
      <c r="K181" s="250">
        <f t="shared" si="14"/>
        <v>15223.584999999999</v>
      </c>
    </row>
    <row r="182" spans="2:11" s="134" customFormat="1" ht="23" customHeight="1">
      <c r="B182" s="7" t="s">
        <v>1266</v>
      </c>
      <c r="C182" s="7" t="s">
        <v>693</v>
      </c>
      <c r="D182" s="159">
        <v>44575</v>
      </c>
      <c r="E182" s="249" t="s">
        <v>738</v>
      </c>
      <c r="F182" s="7" t="s">
        <v>59</v>
      </c>
      <c r="G182" s="250">
        <v>313.8</v>
      </c>
      <c r="H182" s="162">
        <f>IF(F182=0,0,IF(F182="MXN",1/HLOOKUP(YEAR(D182)+(MONTH(D182)/100),TC!$5:$437,DAY(D182)+2,FALSE),VLOOKUP(F182,Equivalencia!$1:$23,((MAX(Equivalencia!$3:$3)-YEAR(D182))*14)+MONTH(D182)+2,FALSE)))</f>
        <v>1</v>
      </c>
      <c r="I182" s="251">
        <f t="shared" si="13"/>
        <v>313.8</v>
      </c>
      <c r="J182" s="162">
        <f>IF(D182=0,0,HLOOKUP(YEAR(D182)+(MONTH(D182)/100),TC!$5:$37,DAY(D182)+2,FALSE))</f>
        <v>20.366</v>
      </c>
      <c r="K182" s="250">
        <f t="shared" si="14"/>
        <v>6390.8508000000002</v>
      </c>
    </row>
    <row r="183" spans="2:11" s="134" customFormat="1" ht="23" customHeight="1">
      <c r="B183" s="7" t="s">
        <v>1266</v>
      </c>
      <c r="C183" s="7" t="s">
        <v>693</v>
      </c>
      <c r="D183" s="159">
        <v>44575</v>
      </c>
      <c r="E183" s="249" t="s">
        <v>739</v>
      </c>
      <c r="F183" s="7" t="s">
        <v>59</v>
      </c>
      <c r="G183" s="250">
        <v>332.64</v>
      </c>
      <c r="H183" s="162">
        <f>IF(F183=0,0,IF(F183="MXN",1/HLOOKUP(YEAR(D183)+(MONTH(D183)/100),TC!$5:$437,DAY(D183)+2,FALSE),VLOOKUP(F183,Equivalencia!$1:$23,((MAX(Equivalencia!$3:$3)-YEAR(D183))*14)+MONTH(D183)+2,FALSE)))</f>
        <v>1</v>
      </c>
      <c r="I183" s="251">
        <f t="shared" si="13"/>
        <v>332.64</v>
      </c>
      <c r="J183" s="162">
        <f>IF(D183=0,0,HLOOKUP(YEAR(D183)+(MONTH(D183)/100),TC!$5:$37,DAY(D183)+2,FALSE))</f>
        <v>20.366</v>
      </c>
      <c r="K183" s="250">
        <f t="shared" si="14"/>
        <v>6774.5462399999997</v>
      </c>
    </row>
    <row r="184" spans="2:11" s="134" customFormat="1" ht="23" customHeight="1">
      <c r="B184" s="7" t="s">
        <v>1266</v>
      </c>
      <c r="C184" s="7" t="s">
        <v>693</v>
      </c>
      <c r="D184" s="159">
        <v>44575</v>
      </c>
      <c r="E184" s="249" t="s">
        <v>740</v>
      </c>
      <c r="F184" s="7" t="s">
        <v>59</v>
      </c>
      <c r="G184" s="250">
        <v>30.94</v>
      </c>
      <c r="H184" s="162">
        <f>IF(F184=0,0,IF(F184="MXN",1/HLOOKUP(YEAR(D184)+(MONTH(D184)/100),TC!$5:$437,DAY(D184)+2,FALSE),VLOOKUP(F184,Equivalencia!$1:$23,((MAX(Equivalencia!$3:$3)-YEAR(D184))*14)+MONTH(D184)+2,FALSE)))</f>
        <v>1</v>
      </c>
      <c r="I184" s="251">
        <f t="shared" si="13"/>
        <v>30.94</v>
      </c>
      <c r="J184" s="162">
        <f>IF(D184=0,0,HLOOKUP(YEAR(D184)+(MONTH(D184)/100),TC!$5:$37,DAY(D184)+2,FALSE))</f>
        <v>20.366</v>
      </c>
      <c r="K184" s="250">
        <f t="shared" si="14"/>
        <v>630.12404000000004</v>
      </c>
    </row>
    <row r="185" spans="2:11" s="134" customFormat="1" ht="23" customHeight="1">
      <c r="B185" s="7" t="s">
        <v>1266</v>
      </c>
      <c r="C185" s="7" t="s">
        <v>693</v>
      </c>
      <c r="D185" s="159">
        <v>44579</v>
      </c>
      <c r="E185" s="249" t="s">
        <v>741</v>
      </c>
      <c r="F185" s="7" t="s">
        <v>59</v>
      </c>
      <c r="G185" s="250">
        <v>132.72</v>
      </c>
      <c r="H185" s="162">
        <f>IF(F185=0,0,IF(F185="MXN",1/HLOOKUP(YEAR(D185)+(MONTH(D185)/100),TC!$5:$437,DAY(D185)+2,FALSE),VLOOKUP(F185,Equivalencia!$1:$23,((MAX(Equivalencia!$3:$3)-YEAR(D185))*14)+MONTH(D185)+2,FALSE)))</f>
        <v>1</v>
      </c>
      <c r="I185" s="251">
        <f t="shared" si="13"/>
        <v>132.72</v>
      </c>
      <c r="J185" s="162">
        <f>IF(D185=0,0,HLOOKUP(YEAR(D185)+(MONTH(D185)/100),TC!$5:$37,DAY(D185)+2,FALSE))</f>
        <v>20.311800000000002</v>
      </c>
      <c r="K185" s="250">
        <f t="shared" si="14"/>
        <v>2695.7820960000004</v>
      </c>
    </row>
    <row r="186" spans="2:11" s="134" customFormat="1" ht="23" customHeight="1">
      <c r="B186" s="7" t="s">
        <v>1266</v>
      </c>
      <c r="C186" s="7" t="s">
        <v>693</v>
      </c>
      <c r="D186" s="159">
        <v>44587</v>
      </c>
      <c r="E186" s="249" t="s">
        <v>742</v>
      </c>
      <c r="F186" s="7" t="s">
        <v>59</v>
      </c>
      <c r="G186" s="250">
        <v>389.75</v>
      </c>
      <c r="H186" s="162">
        <f>IF(F186=0,0,IF(F186="MXN",1/HLOOKUP(YEAR(D186)+(MONTH(D186)/100),TC!$5:$437,DAY(D186)+2,FALSE),VLOOKUP(F186,Equivalencia!$1:$23,((MAX(Equivalencia!$3:$3)-YEAR(D186))*14)+MONTH(D186)+2,FALSE)))</f>
        <v>1</v>
      </c>
      <c r="I186" s="251">
        <f t="shared" si="13"/>
        <v>389.75</v>
      </c>
      <c r="J186" s="162">
        <f>IF(D186=0,0,HLOOKUP(YEAR(D186)+(MONTH(D186)/100),TC!$5:$37,DAY(D186)+2,FALSE))</f>
        <v>20.630800000000001</v>
      </c>
      <c r="K186" s="250">
        <f t="shared" si="14"/>
        <v>8040.8543</v>
      </c>
    </row>
    <row r="187" spans="2:11" s="134" customFormat="1" ht="23" customHeight="1">
      <c r="B187" s="7" t="s">
        <v>1266</v>
      </c>
      <c r="C187" s="7" t="s">
        <v>693</v>
      </c>
      <c r="D187" s="159">
        <v>44587</v>
      </c>
      <c r="E187" s="249" t="s">
        <v>743</v>
      </c>
      <c r="F187" s="7" t="s">
        <v>59</v>
      </c>
      <c r="G187" s="250">
        <v>589.78</v>
      </c>
      <c r="H187" s="162">
        <f>IF(F187=0,0,IF(F187="MXN",1/HLOOKUP(YEAR(D187)+(MONTH(D187)/100),TC!$5:$437,DAY(D187)+2,FALSE),VLOOKUP(F187,Equivalencia!$1:$23,((MAX(Equivalencia!$3:$3)-YEAR(D187))*14)+MONTH(D187)+2,FALSE)))</f>
        <v>1</v>
      </c>
      <c r="I187" s="251">
        <f t="shared" si="13"/>
        <v>589.78</v>
      </c>
      <c r="J187" s="162">
        <f>IF(D187=0,0,HLOOKUP(YEAR(D187)+(MONTH(D187)/100),TC!$5:$37,DAY(D187)+2,FALSE))</f>
        <v>20.630800000000001</v>
      </c>
      <c r="K187" s="250">
        <f t="shared" si="14"/>
        <v>12167.633223999999</v>
      </c>
    </row>
    <row r="188" spans="2:11" s="134" customFormat="1" ht="23" customHeight="1">
      <c r="B188" s="7" t="s">
        <v>1266</v>
      </c>
      <c r="C188" s="7" t="s">
        <v>693</v>
      </c>
      <c r="D188" s="159">
        <v>44589</v>
      </c>
      <c r="E188" s="249" t="s">
        <v>744</v>
      </c>
      <c r="F188" s="7" t="s">
        <v>59</v>
      </c>
      <c r="G188" s="250">
        <v>50.4</v>
      </c>
      <c r="H188" s="162">
        <f>IF(F188=0,0,IF(F188="MXN",1/HLOOKUP(YEAR(D188)+(MONTH(D188)/100),TC!$5:$437,DAY(D188)+2,FALSE),VLOOKUP(F188,Equivalencia!$1:$23,((MAX(Equivalencia!$3:$3)-YEAR(D188))*14)+MONTH(D188)+2,FALSE)))</f>
        <v>1</v>
      </c>
      <c r="I188" s="251">
        <f t="shared" si="13"/>
        <v>50.4</v>
      </c>
      <c r="J188" s="162">
        <f>IF(D188=0,0,HLOOKUP(YEAR(D188)+(MONTH(D188)/100),TC!$5:$37,DAY(D188)+2,FALSE))</f>
        <v>20.641500000000001</v>
      </c>
      <c r="K188" s="250">
        <f t="shared" si="14"/>
        <v>1040.3316</v>
      </c>
    </row>
    <row r="189" spans="2:11" s="134" customFormat="1" ht="23" customHeight="1">
      <c r="B189" s="7" t="s">
        <v>1266</v>
      </c>
      <c r="C189" s="7" t="s">
        <v>693</v>
      </c>
      <c r="D189" s="159">
        <v>44589</v>
      </c>
      <c r="E189" s="249" t="s">
        <v>745</v>
      </c>
      <c r="F189" s="7" t="s">
        <v>59</v>
      </c>
      <c r="G189" s="250">
        <v>374.12</v>
      </c>
      <c r="H189" s="162">
        <f>IF(F189=0,0,IF(F189="MXN",1/HLOOKUP(YEAR(D189)+(MONTH(D189)/100),TC!$5:$437,DAY(D189)+2,FALSE),VLOOKUP(F189,Equivalencia!$1:$23,((MAX(Equivalencia!$3:$3)-YEAR(D189))*14)+MONTH(D189)+2,FALSE)))</f>
        <v>1</v>
      </c>
      <c r="I189" s="251">
        <f t="shared" si="13"/>
        <v>374.12</v>
      </c>
      <c r="J189" s="162">
        <f>IF(D189=0,0,HLOOKUP(YEAR(D189)+(MONTH(D189)/100),TC!$5:$37,DAY(D189)+2,FALSE))</f>
        <v>20.641500000000001</v>
      </c>
      <c r="K189" s="250">
        <f t="shared" si="14"/>
        <v>7722.3979800000006</v>
      </c>
    </row>
    <row r="190" spans="2:11" s="134" customFormat="1" ht="23" customHeight="1">
      <c r="B190" s="7" t="s">
        <v>1266</v>
      </c>
      <c r="C190" s="7" t="s">
        <v>693</v>
      </c>
      <c r="D190" s="159">
        <v>44589</v>
      </c>
      <c r="E190" s="249" t="s">
        <v>746</v>
      </c>
      <c r="F190" s="7" t="s">
        <v>59</v>
      </c>
      <c r="G190" s="250">
        <v>622</v>
      </c>
      <c r="H190" s="162">
        <f>IF(F190=0,0,IF(F190="MXN",1/HLOOKUP(YEAR(D190)+(MONTH(D190)/100),TC!$5:$437,DAY(D190)+2,FALSE),VLOOKUP(F190,Equivalencia!$1:$23,((MAX(Equivalencia!$3:$3)-YEAR(D190))*14)+MONTH(D190)+2,FALSE)))</f>
        <v>1</v>
      </c>
      <c r="I190" s="251">
        <f t="shared" si="13"/>
        <v>622</v>
      </c>
      <c r="J190" s="162">
        <f>IF(D190=0,0,HLOOKUP(YEAR(D190)+(MONTH(D190)/100),TC!$5:$37,DAY(D190)+2,FALSE))</f>
        <v>20.641500000000001</v>
      </c>
      <c r="K190" s="250">
        <f t="shared" si="14"/>
        <v>12839.013000000001</v>
      </c>
    </row>
    <row r="191" spans="2:11" s="134" customFormat="1" ht="23" customHeight="1">
      <c r="B191" s="7" t="s">
        <v>1266</v>
      </c>
      <c r="C191" s="7" t="s">
        <v>693</v>
      </c>
      <c r="D191" s="159">
        <v>44593</v>
      </c>
      <c r="E191" s="249" t="s">
        <v>747</v>
      </c>
      <c r="F191" s="7" t="s">
        <v>59</v>
      </c>
      <c r="G191" s="250">
        <v>323.95</v>
      </c>
      <c r="H191" s="162">
        <f>IF(F191=0,0,IF(F191="MXN",1/HLOOKUP(YEAR(D191)+(MONTH(D191)/100),TC!$5:$437,DAY(D191)+2,FALSE),VLOOKUP(F191,Equivalencia!$1:$23,((MAX(Equivalencia!$3:$3)-YEAR(D191))*14)+MONTH(D191)+2,FALSE)))</f>
        <v>1</v>
      </c>
      <c r="I191" s="251">
        <f t="shared" si="13"/>
        <v>323.95</v>
      </c>
      <c r="J191" s="162">
        <f>IF(D191=0,0,HLOOKUP(YEAR(D191)+(MONTH(D191)/100),TC!$5:$37,DAY(D191)+2,FALSE))</f>
        <v>20.8597</v>
      </c>
      <c r="K191" s="250">
        <f t="shared" si="14"/>
        <v>6757.4998150000001</v>
      </c>
    </row>
    <row r="192" spans="2:11" s="134" customFormat="1" ht="23" customHeight="1">
      <c r="B192" s="7" t="s">
        <v>1266</v>
      </c>
      <c r="C192" s="7" t="s">
        <v>693</v>
      </c>
      <c r="D192" s="159">
        <v>44594</v>
      </c>
      <c r="E192" s="249" t="s">
        <v>748</v>
      </c>
      <c r="F192" s="7" t="s">
        <v>59</v>
      </c>
      <c r="G192" s="250">
        <v>480.8</v>
      </c>
      <c r="H192" s="162">
        <f>IF(F192=0,0,IF(F192="MXN",1/HLOOKUP(YEAR(D192)+(MONTH(D192)/100),TC!$5:$437,DAY(D192)+2,FALSE),VLOOKUP(F192,Equivalencia!$1:$23,((MAX(Equivalencia!$3:$3)-YEAR(D192))*14)+MONTH(D192)+2,FALSE)))</f>
        <v>1</v>
      </c>
      <c r="I192" s="251">
        <f t="shared" si="13"/>
        <v>480.8</v>
      </c>
      <c r="J192" s="162">
        <f>IF(D192=0,0,HLOOKUP(YEAR(D192)+(MONTH(D192)/100),TC!$5:$37,DAY(D192)+2,FALSE))</f>
        <v>20.635200000000001</v>
      </c>
      <c r="K192" s="250">
        <f t="shared" si="14"/>
        <v>9921.40416</v>
      </c>
    </row>
    <row r="193" spans="2:11" s="134" customFormat="1" ht="23" customHeight="1">
      <c r="B193" s="7" t="s">
        <v>1266</v>
      </c>
      <c r="C193" s="7" t="s">
        <v>693</v>
      </c>
      <c r="D193" s="159">
        <v>44599</v>
      </c>
      <c r="E193" s="249" t="s">
        <v>749</v>
      </c>
      <c r="F193" s="7" t="s">
        <v>59</v>
      </c>
      <c r="G193" s="250">
        <v>702.65</v>
      </c>
      <c r="H193" s="162">
        <f>IF(F193=0,0,IF(F193="MXN",1/HLOOKUP(YEAR(D193)+(MONTH(D193)/100),TC!$5:$437,DAY(D193)+2,FALSE),VLOOKUP(F193,Equivalencia!$1:$23,((MAX(Equivalencia!$3:$3)-YEAR(D193))*14)+MONTH(D193)+2,FALSE)))</f>
        <v>1</v>
      </c>
      <c r="I193" s="251">
        <f t="shared" si="13"/>
        <v>702.65</v>
      </c>
      <c r="J193" s="162">
        <f>IF(D193=0,0,HLOOKUP(YEAR(D193)+(MONTH(D193)/100),TC!$5:$37,DAY(D193)+2,FALSE))</f>
        <v>20.5562</v>
      </c>
      <c r="K193" s="250">
        <f t="shared" si="14"/>
        <v>14443.81393</v>
      </c>
    </row>
    <row r="194" spans="2:11" s="134" customFormat="1" ht="23" customHeight="1">
      <c r="B194" s="7" t="s">
        <v>1266</v>
      </c>
      <c r="C194" s="7" t="s">
        <v>693</v>
      </c>
      <c r="D194" s="159">
        <v>44602</v>
      </c>
      <c r="E194" s="249" t="s">
        <v>750</v>
      </c>
      <c r="F194" s="7" t="s">
        <v>59</v>
      </c>
      <c r="G194" s="250">
        <v>196.51</v>
      </c>
      <c r="H194" s="162">
        <f>IF(F194=0,0,IF(F194="MXN",1/HLOOKUP(YEAR(D194)+(MONTH(D194)/100),TC!$5:$437,DAY(D194)+2,FALSE),VLOOKUP(F194,Equivalencia!$1:$23,((MAX(Equivalencia!$3:$3)-YEAR(D194))*14)+MONTH(D194)+2,FALSE)))</f>
        <v>1</v>
      </c>
      <c r="I194" s="251">
        <f t="shared" si="13"/>
        <v>196.51</v>
      </c>
      <c r="J194" s="162">
        <f>IF(D194=0,0,HLOOKUP(YEAR(D194)+(MONTH(D194)/100),TC!$5:$37,DAY(D194)+2,FALSE))</f>
        <v>20.641300000000001</v>
      </c>
      <c r="K194" s="250">
        <f t="shared" si="14"/>
        <v>4056.2218630000002</v>
      </c>
    </row>
    <row r="195" spans="2:11" s="134" customFormat="1" ht="23" customHeight="1">
      <c r="B195" s="7" t="s">
        <v>1266</v>
      </c>
      <c r="C195" s="7" t="s">
        <v>693</v>
      </c>
      <c r="D195" s="159">
        <v>44602</v>
      </c>
      <c r="E195" s="249" t="s">
        <v>716</v>
      </c>
      <c r="F195" s="7" t="s">
        <v>59</v>
      </c>
      <c r="G195" s="250">
        <v>484.22</v>
      </c>
      <c r="H195" s="162">
        <f>IF(F195=0,0,IF(F195="MXN",1/HLOOKUP(YEAR(D195)+(MONTH(D195)/100),TC!$5:$437,DAY(D195)+2,FALSE),VLOOKUP(F195,Equivalencia!$1:$23,((MAX(Equivalencia!$3:$3)-YEAR(D195))*14)+MONTH(D195)+2,FALSE)))</f>
        <v>1</v>
      </c>
      <c r="I195" s="251">
        <f t="shared" si="13"/>
        <v>484.22</v>
      </c>
      <c r="J195" s="162">
        <f>IF(D195=0,0,HLOOKUP(YEAR(D195)+(MONTH(D195)/100),TC!$5:$37,DAY(D195)+2,FALSE))</f>
        <v>20.641300000000001</v>
      </c>
      <c r="K195" s="250">
        <f t="shared" si="14"/>
        <v>9994.9302860000007</v>
      </c>
    </row>
    <row r="196" spans="2:11" s="134" customFormat="1" ht="23" customHeight="1">
      <c r="B196" s="7" t="s">
        <v>1266</v>
      </c>
      <c r="C196" s="7" t="s">
        <v>693</v>
      </c>
      <c r="D196" s="159">
        <v>44607</v>
      </c>
      <c r="E196" s="249" t="s">
        <v>751</v>
      </c>
      <c r="F196" s="7" t="s">
        <v>59</v>
      </c>
      <c r="G196" s="250">
        <v>482.22</v>
      </c>
      <c r="H196" s="162">
        <f>IF(F196=0,0,IF(F196="MXN",1/HLOOKUP(YEAR(D196)+(MONTH(D196)/100),TC!$5:$437,DAY(D196)+2,FALSE),VLOOKUP(F196,Equivalencia!$1:$23,((MAX(Equivalencia!$3:$3)-YEAR(D196))*14)+MONTH(D196)+2,FALSE)))</f>
        <v>1</v>
      </c>
      <c r="I196" s="251">
        <f t="shared" si="13"/>
        <v>482.22</v>
      </c>
      <c r="J196" s="162">
        <f>IF(D196=0,0,HLOOKUP(YEAR(D196)+(MONTH(D196)/100),TC!$5:$37,DAY(D196)+2,FALSE))</f>
        <v>20.418800000000001</v>
      </c>
      <c r="K196" s="250">
        <f t="shared" si="14"/>
        <v>9846.3537360000009</v>
      </c>
    </row>
    <row r="197" spans="2:11" s="134" customFormat="1" ht="23" customHeight="1">
      <c r="B197" s="7" t="s">
        <v>1266</v>
      </c>
      <c r="C197" s="7" t="s">
        <v>693</v>
      </c>
      <c r="D197" s="159">
        <v>44607</v>
      </c>
      <c r="E197" s="249" t="s">
        <v>752</v>
      </c>
      <c r="F197" s="7" t="s">
        <v>59</v>
      </c>
      <c r="G197" s="250">
        <v>957.39</v>
      </c>
      <c r="H197" s="162">
        <f>IF(F197=0,0,IF(F197="MXN",1/HLOOKUP(YEAR(D197)+(MONTH(D197)/100),TC!$5:$437,DAY(D197)+2,FALSE),VLOOKUP(F197,Equivalencia!$1:$23,((MAX(Equivalencia!$3:$3)-YEAR(D197))*14)+MONTH(D197)+2,FALSE)))</f>
        <v>1</v>
      </c>
      <c r="I197" s="251">
        <f t="shared" si="13"/>
        <v>957.39</v>
      </c>
      <c r="J197" s="162">
        <f>IF(D197=0,0,HLOOKUP(YEAR(D197)+(MONTH(D197)/100),TC!$5:$37,DAY(D197)+2,FALSE))</f>
        <v>20.418800000000001</v>
      </c>
      <c r="K197" s="250">
        <f t="shared" si="14"/>
        <v>19548.754932</v>
      </c>
    </row>
    <row r="198" spans="2:11" s="134" customFormat="1" ht="23" customHeight="1">
      <c r="B198" s="7" t="s">
        <v>1266</v>
      </c>
      <c r="C198" s="7" t="s">
        <v>693</v>
      </c>
      <c r="D198" s="159">
        <v>44607</v>
      </c>
      <c r="E198" s="249" t="s">
        <v>753</v>
      </c>
      <c r="F198" s="7" t="s">
        <v>59</v>
      </c>
      <c r="G198" s="250">
        <v>727.3</v>
      </c>
      <c r="H198" s="162">
        <f>IF(F198=0,0,IF(F198="MXN",1/HLOOKUP(YEAR(D198)+(MONTH(D198)/100),TC!$5:$437,DAY(D198)+2,FALSE),VLOOKUP(F198,Equivalencia!$1:$23,((MAX(Equivalencia!$3:$3)-YEAR(D198))*14)+MONTH(D198)+2,FALSE)))</f>
        <v>1</v>
      </c>
      <c r="I198" s="251">
        <f t="shared" si="13"/>
        <v>727.3</v>
      </c>
      <c r="J198" s="162">
        <f>IF(D198=0,0,HLOOKUP(YEAR(D198)+(MONTH(D198)/100),TC!$5:$37,DAY(D198)+2,FALSE))</f>
        <v>20.418800000000001</v>
      </c>
      <c r="K198" s="250">
        <f t="shared" si="14"/>
        <v>14850.59324</v>
      </c>
    </row>
    <row r="199" spans="2:11" s="134" customFormat="1" ht="23" customHeight="1">
      <c r="B199" s="7" t="s">
        <v>1266</v>
      </c>
      <c r="C199" s="7" t="s">
        <v>693</v>
      </c>
      <c r="D199" s="159">
        <v>44607</v>
      </c>
      <c r="E199" s="249" t="s">
        <v>754</v>
      </c>
      <c r="F199" s="7" t="s">
        <v>59</v>
      </c>
      <c r="G199" s="250">
        <v>292.25</v>
      </c>
      <c r="H199" s="162">
        <f>IF(F199=0,0,IF(F199="MXN",1/HLOOKUP(YEAR(D199)+(MONTH(D199)/100),TC!$5:$437,DAY(D199)+2,FALSE),VLOOKUP(F199,Equivalencia!$1:$23,((MAX(Equivalencia!$3:$3)-YEAR(D199))*14)+MONTH(D199)+2,FALSE)))</f>
        <v>1</v>
      </c>
      <c r="I199" s="251">
        <f t="shared" si="13"/>
        <v>292.25</v>
      </c>
      <c r="J199" s="162">
        <f>IF(D199=0,0,HLOOKUP(YEAR(D199)+(MONTH(D199)/100),TC!$5:$37,DAY(D199)+2,FALSE))</f>
        <v>20.418800000000001</v>
      </c>
      <c r="K199" s="250">
        <f t="shared" si="14"/>
        <v>5967.3942999999999</v>
      </c>
    </row>
    <row r="200" spans="2:11" s="134" customFormat="1" ht="23" customHeight="1">
      <c r="B200" s="7" t="s">
        <v>1266</v>
      </c>
      <c r="C200" s="7" t="s">
        <v>693</v>
      </c>
      <c r="D200" s="159">
        <v>44610</v>
      </c>
      <c r="E200" s="249" t="s">
        <v>755</v>
      </c>
      <c r="F200" s="7" t="s">
        <v>59</v>
      </c>
      <c r="G200" s="250">
        <v>160.37</v>
      </c>
      <c r="H200" s="162">
        <f>IF(F200=0,0,IF(F200="MXN",1/HLOOKUP(YEAR(D200)+(MONTH(D200)/100),TC!$5:$437,DAY(D200)+2,FALSE),VLOOKUP(F200,Equivalencia!$1:$23,((MAX(Equivalencia!$3:$3)-YEAR(D200))*14)+MONTH(D200)+2,FALSE)))</f>
        <v>1</v>
      </c>
      <c r="I200" s="251">
        <f t="shared" si="13"/>
        <v>160.37</v>
      </c>
      <c r="J200" s="162">
        <f>IF(D200=0,0,HLOOKUP(YEAR(D200)+(MONTH(D200)/100),TC!$5:$37,DAY(D200)+2,FALSE))</f>
        <v>20.333500000000001</v>
      </c>
      <c r="K200" s="250">
        <f t="shared" si="14"/>
        <v>3260.8833950000003</v>
      </c>
    </row>
    <row r="201" spans="2:11" s="134" customFormat="1" ht="23" customHeight="1">
      <c r="B201" s="7" t="s">
        <v>1266</v>
      </c>
      <c r="C201" s="7" t="s">
        <v>693</v>
      </c>
      <c r="D201" s="159">
        <v>44614</v>
      </c>
      <c r="E201" s="249" t="s">
        <v>756</v>
      </c>
      <c r="F201" s="7" t="s">
        <v>59</v>
      </c>
      <c r="G201" s="250">
        <v>365.8</v>
      </c>
      <c r="H201" s="162">
        <f>IF(F201=0,0,IF(F201="MXN",1/HLOOKUP(YEAR(D201)+(MONTH(D201)/100),TC!$5:$437,DAY(D201)+2,FALSE),VLOOKUP(F201,Equivalencia!$1:$23,((MAX(Equivalencia!$3:$3)-YEAR(D201))*14)+MONTH(D201)+2,FALSE)))</f>
        <v>1</v>
      </c>
      <c r="I201" s="251">
        <f t="shared" si="13"/>
        <v>365.8</v>
      </c>
      <c r="J201" s="162">
        <f>IF(D201=0,0,HLOOKUP(YEAR(D201)+(MONTH(D201)/100),TC!$5:$37,DAY(D201)+2,FALSE))</f>
        <v>20.3063</v>
      </c>
      <c r="K201" s="250">
        <f t="shared" si="14"/>
        <v>7428.0445399999999</v>
      </c>
    </row>
    <row r="202" spans="2:11" s="134" customFormat="1" ht="23" customHeight="1">
      <c r="B202" s="7" t="s">
        <v>1266</v>
      </c>
      <c r="C202" s="7" t="s">
        <v>693</v>
      </c>
      <c r="D202" s="159">
        <v>44617</v>
      </c>
      <c r="E202" s="249" t="s">
        <v>757</v>
      </c>
      <c r="F202" s="7" t="s">
        <v>59</v>
      </c>
      <c r="G202" s="250">
        <v>513.02</v>
      </c>
      <c r="H202" s="162">
        <f>IF(F202=0,0,IF(F202="MXN",1/HLOOKUP(YEAR(D202)+(MONTH(D202)/100),TC!$5:$437,DAY(D202)+2,FALSE),VLOOKUP(F202,Equivalencia!$1:$23,((MAX(Equivalencia!$3:$3)-YEAR(D202))*14)+MONTH(D202)+2,FALSE)))</f>
        <v>1</v>
      </c>
      <c r="I202" s="251">
        <f t="shared" si="13"/>
        <v>513.02</v>
      </c>
      <c r="J202" s="162">
        <f>IF(D202=0,0,HLOOKUP(YEAR(D202)+(MONTH(D202)/100),TC!$5:$37,DAY(D202)+2,FALSE))</f>
        <v>20.243500000000001</v>
      </c>
      <c r="K202" s="250">
        <f t="shared" si="14"/>
        <v>10385.320369999999</v>
      </c>
    </row>
    <row r="203" spans="2:11" s="134" customFormat="1" ht="23" customHeight="1">
      <c r="B203" s="7" t="s">
        <v>1266</v>
      </c>
      <c r="C203" s="7" t="s">
        <v>693</v>
      </c>
      <c r="D203" s="159">
        <v>44621</v>
      </c>
      <c r="E203" s="249" t="s">
        <v>738</v>
      </c>
      <c r="F203" s="7" t="s">
        <v>59</v>
      </c>
      <c r="G203" s="250">
        <v>589.26</v>
      </c>
      <c r="H203" s="162">
        <f>IF(F203=0,0,IF(F203="MXN",1/HLOOKUP(YEAR(D203)+(MONTH(D203)/100),TC!$5:$437,DAY(D203)+2,FALSE),VLOOKUP(F203,Equivalencia!$1:$23,((MAX(Equivalencia!$3:$3)-YEAR(D203))*14)+MONTH(D203)+2,FALSE)))</f>
        <v>1</v>
      </c>
      <c r="I203" s="251">
        <f t="shared" si="13"/>
        <v>589.26</v>
      </c>
      <c r="J203" s="162">
        <f>IF(D203=0,0,HLOOKUP(YEAR(D203)+(MONTH(D203)/100),TC!$5:$37,DAY(D203)+2,FALSE))</f>
        <v>20.4465</v>
      </c>
      <c r="K203" s="250">
        <f t="shared" si="14"/>
        <v>12048.30459</v>
      </c>
    </row>
    <row r="204" spans="2:11" s="134" customFormat="1" ht="23" customHeight="1">
      <c r="B204" s="7" t="s">
        <v>1266</v>
      </c>
      <c r="C204" s="7" t="s">
        <v>693</v>
      </c>
      <c r="D204" s="159">
        <v>44621</v>
      </c>
      <c r="E204" s="249" t="s">
        <v>758</v>
      </c>
      <c r="F204" s="7" t="s">
        <v>59</v>
      </c>
      <c r="G204" s="250">
        <v>589.11</v>
      </c>
      <c r="H204" s="162">
        <f>IF(F204=0,0,IF(F204="MXN",1/HLOOKUP(YEAR(D204)+(MONTH(D204)/100),TC!$5:$437,DAY(D204)+2,FALSE),VLOOKUP(F204,Equivalencia!$1:$23,((MAX(Equivalencia!$3:$3)-YEAR(D204))*14)+MONTH(D204)+2,FALSE)))</f>
        <v>1</v>
      </c>
      <c r="I204" s="251">
        <f t="shared" si="13"/>
        <v>589.11</v>
      </c>
      <c r="J204" s="162">
        <f>IF(D204=0,0,HLOOKUP(YEAR(D204)+(MONTH(D204)/100),TC!$5:$37,DAY(D204)+2,FALSE))</f>
        <v>20.4465</v>
      </c>
      <c r="K204" s="250">
        <f t="shared" si="14"/>
        <v>12045.237615</v>
      </c>
    </row>
    <row r="205" spans="2:11" s="134" customFormat="1" ht="23" customHeight="1">
      <c r="B205" s="7" t="s">
        <v>1266</v>
      </c>
      <c r="C205" s="7" t="s">
        <v>693</v>
      </c>
      <c r="D205" s="159">
        <v>44621</v>
      </c>
      <c r="E205" s="249" t="s">
        <v>759</v>
      </c>
      <c r="F205" s="7" t="s">
        <v>59</v>
      </c>
      <c r="G205" s="250">
        <v>383.63</v>
      </c>
      <c r="H205" s="162">
        <f>IF(F205=0,0,IF(F205="MXN",1/HLOOKUP(YEAR(D205)+(MONTH(D205)/100),TC!$5:$437,DAY(D205)+2,FALSE),VLOOKUP(F205,Equivalencia!$1:$23,((MAX(Equivalencia!$3:$3)-YEAR(D205))*14)+MONTH(D205)+2,FALSE)))</f>
        <v>1</v>
      </c>
      <c r="I205" s="251">
        <f t="shared" si="13"/>
        <v>383.63</v>
      </c>
      <c r="J205" s="162">
        <f>IF(D205=0,0,HLOOKUP(YEAR(D205)+(MONTH(D205)/100),TC!$5:$37,DAY(D205)+2,FALSE))</f>
        <v>20.4465</v>
      </c>
      <c r="K205" s="250">
        <f t="shared" si="14"/>
        <v>7843.8907950000003</v>
      </c>
    </row>
    <row r="206" spans="2:11" s="134" customFormat="1" ht="23" customHeight="1">
      <c r="B206" s="7" t="s">
        <v>1266</v>
      </c>
      <c r="C206" s="7" t="s">
        <v>693</v>
      </c>
      <c r="D206" s="159">
        <v>44621</v>
      </c>
      <c r="E206" s="249" t="s">
        <v>760</v>
      </c>
      <c r="F206" s="7" t="s">
        <v>59</v>
      </c>
      <c r="G206" s="250">
        <v>198.25</v>
      </c>
      <c r="H206" s="162">
        <f>IF(F206=0,0,IF(F206="MXN",1/HLOOKUP(YEAR(D206)+(MONTH(D206)/100),TC!$5:$437,DAY(D206)+2,FALSE),VLOOKUP(F206,Equivalencia!$1:$23,((MAX(Equivalencia!$3:$3)-YEAR(D206))*14)+MONTH(D206)+2,FALSE)))</f>
        <v>1</v>
      </c>
      <c r="I206" s="251">
        <f t="shared" si="13"/>
        <v>198.25</v>
      </c>
      <c r="J206" s="162">
        <f>IF(D206=0,0,HLOOKUP(YEAR(D206)+(MONTH(D206)/100),TC!$5:$37,DAY(D206)+2,FALSE))</f>
        <v>20.4465</v>
      </c>
      <c r="K206" s="250">
        <f t="shared" si="14"/>
        <v>4053.5186250000002</v>
      </c>
    </row>
    <row r="207" spans="2:11" s="134" customFormat="1" ht="23" customHeight="1">
      <c r="B207" s="7" t="s">
        <v>1266</v>
      </c>
      <c r="C207" s="7" t="s">
        <v>693</v>
      </c>
      <c r="D207" s="159">
        <v>44623</v>
      </c>
      <c r="E207" s="249" t="s">
        <v>761</v>
      </c>
      <c r="F207" s="7" t="s">
        <v>59</v>
      </c>
      <c r="G207" s="250">
        <v>617.76</v>
      </c>
      <c r="H207" s="162">
        <f>IF(F207=0,0,IF(F207="MXN",1/HLOOKUP(YEAR(D207)+(MONTH(D207)/100),TC!$5:$437,DAY(D207)+2,FALSE),VLOOKUP(F207,Equivalencia!$1:$23,((MAX(Equivalencia!$3:$3)-YEAR(D207))*14)+MONTH(D207)+2,FALSE)))</f>
        <v>1</v>
      </c>
      <c r="I207" s="251">
        <f t="shared" si="13"/>
        <v>617.76</v>
      </c>
      <c r="J207" s="162">
        <f>IF(D207=0,0,HLOOKUP(YEAR(D207)+(MONTH(D207)/100),TC!$5:$37,DAY(D207)+2,FALSE))</f>
        <v>20.527200000000001</v>
      </c>
      <c r="K207" s="250">
        <f t="shared" si="14"/>
        <v>12680.883072000001</v>
      </c>
    </row>
    <row r="208" spans="2:11" s="134" customFormat="1" ht="23" customHeight="1">
      <c r="B208" s="7" t="s">
        <v>1266</v>
      </c>
      <c r="C208" s="7" t="s">
        <v>693</v>
      </c>
      <c r="D208" s="159">
        <v>44624</v>
      </c>
      <c r="E208" s="249" t="s">
        <v>762</v>
      </c>
      <c r="F208" s="7" t="s">
        <v>59</v>
      </c>
      <c r="G208" s="250">
        <v>407.88</v>
      </c>
      <c r="H208" s="162">
        <f>IF(F208=0,0,IF(F208="MXN",1/HLOOKUP(YEAR(D208)+(MONTH(D208)/100),TC!$5:$437,DAY(D208)+2,FALSE),VLOOKUP(F208,Equivalencia!$1:$23,((MAX(Equivalencia!$3:$3)-YEAR(D208))*14)+MONTH(D208)+2,FALSE)))</f>
        <v>1</v>
      </c>
      <c r="I208" s="251">
        <f t="shared" si="13"/>
        <v>407.88</v>
      </c>
      <c r="J208" s="162">
        <f>IF(D208=0,0,HLOOKUP(YEAR(D208)+(MONTH(D208)/100),TC!$5:$37,DAY(D208)+2,FALSE))</f>
        <v>20.7193</v>
      </c>
      <c r="K208" s="250">
        <f t="shared" si="14"/>
        <v>8450.9880840000005</v>
      </c>
    </row>
    <row r="209" spans="2:11" s="134" customFormat="1" ht="23" customHeight="1">
      <c r="B209" s="7" t="s">
        <v>1266</v>
      </c>
      <c r="C209" s="7" t="s">
        <v>693</v>
      </c>
      <c r="D209" s="159">
        <v>44630</v>
      </c>
      <c r="E209" s="249" t="s">
        <v>763</v>
      </c>
      <c r="F209" s="7" t="s">
        <v>59</v>
      </c>
      <c r="G209" s="250">
        <v>418.7</v>
      </c>
      <c r="H209" s="162">
        <f>IF(F209=0,0,IF(F209="MXN",1/HLOOKUP(YEAR(D209)+(MONTH(D209)/100),TC!$5:$437,DAY(D209)+2,FALSE),VLOOKUP(F209,Equivalencia!$1:$23,((MAX(Equivalencia!$3:$3)-YEAR(D209))*14)+MONTH(D209)+2,FALSE)))</f>
        <v>1</v>
      </c>
      <c r="I209" s="251">
        <f t="shared" si="13"/>
        <v>418.7</v>
      </c>
      <c r="J209" s="162">
        <f>IF(D209=0,0,HLOOKUP(YEAR(D209)+(MONTH(D209)/100),TC!$5:$37,DAY(D209)+2,FALSE))</f>
        <v>21.377500000000001</v>
      </c>
      <c r="K209" s="250">
        <f t="shared" si="14"/>
        <v>8950.759250000001</v>
      </c>
    </row>
    <row r="210" spans="2:11" s="134" customFormat="1" ht="23" customHeight="1">
      <c r="B210" s="7" t="s">
        <v>1266</v>
      </c>
      <c r="C210" s="7" t="s">
        <v>693</v>
      </c>
      <c r="D210" s="159">
        <v>44630</v>
      </c>
      <c r="E210" s="249" t="s">
        <v>727</v>
      </c>
      <c r="F210" s="7" t="s">
        <v>59</v>
      </c>
      <c r="G210" s="250">
        <v>1401.2</v>
      </c>
      <c r="H210" s="162">
        <f>IF(F210=0,0,IF(F210="MXN",1/HLOOKUP(YEAR(D210)+(MONTH(D210)/100),TC!$5:$437,DAY(D210)+2,FALSE),VLOOKUP(F210,Equivalencia!$1:$23,((MAX(Equivalencia!$3:$3)-YEAR(D210))*14)+MONTH(D210)+2,FALSE)))</f>
        <v>1</v>
      </c>
      <c r="I210" s="251">
        <f t="shared" si="13"/>
        <v>1401.2</v>
      </c>
      <c r="J210" s="162">
        <f>IF(D210=0,0,HLOOKUP(YEAR(D210)+(MONTH(D210)/100),TC!$5:$37,DAY(D210)+2,FALSE))</f>
        <v>21.377500000000001</v>
      </c>
      <c r="K210" s="250">
        <f t="shared" si="14"/>
        <v>29954.153000000002</v>
      </c>
    </row>
    <row r="211" spans="2:11" s="134" customFormat="1" ht="23" customHeight="1">
      <c r="B211" s="7" t="s">
        <v>1266</v>
      </c>
      <c r="C211" s="7" t="s">
        <v>693</v>
      </c>
      <c r="D211" s="159">
        <v>44630</v>
      </c>
      <c r="E211" s="249" t="s">
        <v>764</v>
      </c>
      <c r="F211" s="7" t="s">
        <v>59</v>
      </c>
      <c r="G211" s="250">
        <v>202.72</v>
      </c>
      <c r="H211" s="162">
        <f>IF(F211=0,0,IF(F211="MXN",1/HLOOKUP(YEAR(D211)+(MONTH(D211)/100),TC!$5:$437,DAY(D211)+2,FALSE),VLOOKUP(F211,Equivalencia!$1:$23,((MAX(Equivalencia!$3:$3)-YEAR(D211))*14)+MONTH(D211)+2,FALSE)))</f>
        <v>1</v>
      </c>
      <c r="I211" s="251">
        <f t="shared" si="13"/>
        <v>202.72</v>
      </c>
      <c r="J211" s="162">
        <f>IF(D211=0,0,HLOOKUP(YEAR(D211)+(MONTH(D211)/100),TC!$5:$37,DAY(D211)+2,FALSE))</f>
        <v>21.377500000000001</v>
      </c>
      <c r="K211" s="250">
        <f t="shared" si="14"/>
        <v>4333.6468000000004</v>
      </c>
    </row>
    <row r="212" spans="2:11" s="134" customFormat="1" ht="23" customHeight="1">
      <c r="B212" s="7" t="s">
        <v>1266</v>
      </c>
      <c r="C212" s="7" t="s">
        <v>693</v>
      </c>
      <c r="D212" s="159">
        <v>44630</v>
      </c>
      <c r="E212" s="249" t="s">
        <v>765</v>
      </c>
      <c r="F212" s="7" t="s">
        <v>59</v>
      </c>
      <c r="G212" s="250">
        <v>101.64</v>
      </c>
      <c r="H212" s="162">
        <f>IF(F212=0,0,IF(F212="MXN",1/HLOOKUP(YEAR(D212)+(MONTH(D212)/100),TC!$5:$437,DAY(D212)+2,FALSE),VLOOKUP(F212,Equivalencia!$1:$23,((MAX(Equivalencia!$3:$3)-YEAR(D212))*14)+MONTH(D212)+2,FALSE)))</f>
        <v>1</v>
      </c>
      <c r="I212" s="251">
        <f t="shared" si="13"/>
        <v>101.64</v>
      </c>
      <c r="J212" s="162">
        <f>IF(D212=0,0,HLOOKUP(YEAR(D212)+(MONTH(D212)/100),TC!$5:$37,DAY(D212)+2,FALSE))</f>
        <v>21.377500000000001</v>
      </c>
      <c r="K212" s="250">
        <f t="shared" si="14"/>
        <v>2172.8090999999999</v>
      </c>
    </row>
    <row r="213" spans="2:11" s="134" customFormat="1" ht="23" customHeight="1">
      <c r="B213" s="7" t="s">
        <v>1266</v>
      </c>
      <c r="C213" s="7" t="s">
        <v>693</v>
      </c>
      <c r="D213" s="159">
        <v>44630</v>
      </c>
      <c r="E213" s="249" t="s">
        <v>766</v>
      </c>
      <c r="F213" s="7" t="s">
        <v>59</v>
      </c>
      <c r="G213" s="250">
        <v>246.6</v>
      </c>
      <c r="H213" s="162">
        <f>IF(F213=0,0,IF(F213="MXN",1/HLOOKUP(YEAR(D213)+(MONTH(D213)/100),TC!$5:$437,DAY(D213)+2,FALSE),VLOOKUP(F213,Equivalencia!$1:$23,((MAX(Equivalencia!$3:$3)-YEAR(D213))*14)+MONTH(D213)+2,FALSE)))</f>
        <v>1</v>
      </c>
      <c r="I213" s="251">
        <f t="shared" si="13"/>
        <v>246.6</v>
      </c>
      <c r="J213" s="162">
        <f>IF(D213=0,0,HLOOKUP(YEAR(D213)+(MONTH(D213)/100),TC!$5:$37,DAY(D213)+2,FALSE))</f>
        <v>21.377500000000001</v>
      </c>
      <c r="K213" s="250">
        <f t="shared" si="14"/>
        <v>5271.6914999999999</v>
      </c>
    </row>
    <row r="214" spans="2:11" s="134" customFormat="1" ht="23" customHeight="1">
      <c r="B214" s="7" t="s">
        <v>1266</v>
      </c>
      <c r="C214" s="7" t="s">
        <v>693</v>
      </c>
      <c r="D214" s="159">
        <v>44630</v>
      </c>
      <c r="E214" s="249" t="s">
        <v>767</v>
      </c>
      <c r="F214" s="7" t="s">
        <v>59</v>
      </c>
      <c r="G214" s="250">
        <v>413.44</v>
      </c>
      <c r="H214" s="162">
        <f>IF(F214=0,0,IF(F214="MXN",1/HLOOKUP(YEAR(D214)+(MONTH(D214)/100),TC!$5:$437,DAY(D214)+2,FALSE),VLOOKUP(F214,Equivalencia!$1:$23,((MAX(Equivalencia!$3:$3)-YEAR(D214))*14)+MONTH(D214)+2,FALSE)))</f>
        <v>1</v>
      </c>
      <c r="I214" s="251">
        <f t="shared" si="13"/>
        <v>413.44</v>
      </c>
      <c r="J214" s="162">
        <f>IF(D214=0,0,HLOOKUP(YEAR(D214)+(MONTH(D214)/100),TC!$5:$37,DAY(D214)+2,FALSE))</f>
        <v>21.377500000000001</v>
      </c>
      <c r="K214" s="250">
        <f t="shared" si="14"/>
        <v>8838.3136000000013</v>
      </c>
    </row>
    <row r="215" spans="2:11" s="134" customFormat="1" ht="23" customHeight="1">
      <c r="B215" s="7" t="s">
        <v>1266</v>
      </c>
      <c r="C215" s="7" t="s">
        <v>693</v>
      </c>
      <c r="D215" s="159">
        <v>44631</v>
      </c>
      <c r="E215" s="249" t="s">
        <v>768</v>
      </c>
      <c r="F215" s="7" t="s">
        <v>59</v>
      </c>
      <c r="G215" s="250">
        <v>332.22</v>
      </c>
      <c r="H215" s="162">
        <f>IF(F215=0,0,IF(F215="MXN",1/HLOOKUP(YEAR(D215)+(MONTH(D215)/100),TC!$5:$437,DAY(D215)+2,FALSE),VLOOKUP(F215,Equivalencia!$1:$23,((MAX(Equivalencia!$3:$3)-YEAR(D215))*14)+MONTH(D215)+2,FALSE)))</f>
        <v>1</v>
      </c>
      <c r="I215" s="251">
        <f t="shared" si="13"/>
        <v>332.22</v>
      </c>
      <c r="J215" s="162">
        <f>IF(D215=0,0,HLOOKUP(YEAR(D215)+(MONTH(D215)/100),TC!$5:$37,DAY(D215)+2,FALSE))</f>
        <v>20.967700000000001</v>
      </c>
      <c r="K215" s="250">
        <f t="shared" si="14"/>
        <v>6965.8892940000005</v>
      </c>
    </row>
    <row r="216" spans="2:11" s="134" customFormat="1" ht="23" customHeight="1">
      <c r="B216" s="7" t="s">
        <v>1266</v>
      </c>
      <c r="C216" s="7" t="s">
        <v>693</v>
      </c>
      <c r="D216" s="159">
        <v>44631</v>
      </c>
      <c r="E216" s="249" t="s">
        <v>769</v>
      </c>
      <c r="F216" s="7" t="s">
        <v>59</v>
      </c>
      <c r="G216" s="250">
        <v>199.8</v>
      </c>
      <c r="H216" s="162">
        <f>IF(F216=0,0,IF(F216="MXN",1/HLOOKUP(YEAR(D216)+(MONTH(D216)/100),TC!$5:$437,DAY(D216)+2,FALSE),VLOOKUP(F216,Equivalencia!$1:$23,((MAX(Equivalencia!$3:$3)-YEAR(D216))*14)+MONTH(D216)+2,FALSE)))</f>
        <v>1</v>
      </c>
      <c r="I216" s="251">
        <f t="shared" si="13"/>
        <v>199.8</v>
      </c>
      <c r="J216" s="162">
        <f>IF(D216=0,0,HLOOKUP(YEAR(D216)+(MONTH(D216)/100),TC!$5:$37,DAY(D216)+2,FALSE))</f>
        <v>20.967700000000001</v>
      </c>
      <c r="K216" s="250">
        <f t="shared" si="14"/>
        <v>4189.3464600000007</v>
      </c>
    </row>
    <row r="217" spans="2:11" s="134" customFormat="1" ht="23" customHeight="1">
      <c r="B217" s="7" t="s">
        <v>1266</v>
      </c>
      <c r="C217" s="7" t="s">
        <v>693</v>
      </c>
      <c r="D217" s="159">
        <v>44635</v>
      </c>
      <c r="E217" s="249" t="s">
        <v>770</v>
      </c>
      <c r="F217" s="7" t="s">
        <v>59</v>
      </c>
      <c r="G217" s="250">
        <v>109.2</v>
      </c>
      <c r="H217" s="162">
        <f>IF(F217=0,0,IF(F217="MXN",1/HLOOKUP(YEAR(D217)+(MONTH(D217)/100),TC!$5:$437,DAY(D217)+2,FALSE),VLOOKUP(F217,Equivalencia!$1:$23,((MAX(Equivalencia!$3:$3)-YEAR(D217))*14)+MONTH(D217)+2,FALSE)))</f>
        <v>1</v>
      </c>
      <c r="I217" s="251">
        <f t="shared" si="13"/>
        <v>109.2</v>
      </c>
      <c r="J217" s="162">
        <f>IF(D217=0,0,HLOOKUP(YEAR(D217)+(MONTH(D217)/100),TC!$5:$37,DAY(D217)+2,FALSE))</f>
        <v>20.9695</v>
      </c>
      <c r="K217" s="250">
        <f t="shared" si="14"/>
        <v>2289.8694</v>
      </c>
    </row>
    <row r="218" spans="2:11" s="134" customFormat="1" ht="23" customHeight="1">
      <c r="B218" s="7" t="s">
        <v>1266</v>
      </c>
      <c r="C218" s="7" t="s">
        <v>693</v>
      </c>
      <c r="D218" s="159">
        <v>44635</v>
      </c>
      <c r="E218" s="249" t="s">
        <v>771</v>
      </c>
      <c r="F218" s="7" t="s">
        <v>59</v>
      </c>
      <c r="G218" s="250">
        <v>465.06</v>
      </c>
      <c r="H218" s="162">
        <f>IF(F218=0,0,IF(F218="MXN",1/HLOOKUP(YEAR(D218)+(MONTH(D218)/100),TC!$5:$437,DAY(D218)+2,FALSE),VLOOKUP(F218,Equivalencia!$1:$23,((MAX(Equivalencia!$3:$3)-YEAR(D218))*14)+MONTH(D218)+2,FALSE)))</f>
        <v>1</v>
      </c>
      <c r="I218" s="251">
        <f t="shared" si="13"/>
        <v>465.06</v>
      </c>
      <c r="J218" s="162">
        <f>IF(D218=0,0,HLOOKUP(YEAR(D218)+(MONTH(D218)/100),TC!$5:$37,DAY(D218)+2,FALSE))</f>
        <v>20.9695</v>
      </c>
      <c r="K218" s="250">
        <f t="shared" si="14"/>
        <v>9752.0756700000002</v>
      </c>
    </row>
    <row r="219" spans="2:11" s="134" customFormat="1" ht="23" customHeight="1">
      <c r="B219" s="7" t="s">
        <v>1266</v>
      </c>
      <c r="C219" s="7" t="s">
        <v>693</v>
      </c>
      <c r="D219" s="159">
        <v>44635</v>
      </c>
      <c r="E219" s="249" t="s">
        <v>731</v>
      </c>
      <c r="F219" s="7" t="s">
        <v>59</v>
      </c>
      <c r="G219" s="250">
        <v>212.93</v>
      </c>
      <c r="H219" s="162">
        <f>IF(F219=0,0,IF(F219="MXN",1/HLOOKUP(YEAR(D219)+(MONTH(D219)/100),TC!$5:$437,DAY(D219)+2,FALSE),VLOOKUP(F219,Equivalencia!$1:$23,((MAX(Equivalencia!$3:$3)-YEAR(D219))*14)+MONTH(D219)+2,FALSE)))</f>
        <v>1</v>
      </c>
      <c r="I219" s="251">
        <f t="shared" si="13"/>
        <v>212.93</v>
      </c>
      <c r="J219" s="162">
        <f>IF(D219=0,0,HLOOKUP(YEAR(D219)+(MONTH(D219)/100),TC!$5:$37,DAY(D219)+2,FALSE))</f>
        <v>20.9695</v>
      </c>
      <c r="K219" s="250">
        <f t="shared" si="14"/>
        <v>4465.0356350000002</v>
      </c>
    </row>
    <row r="220" spans="2:11" s="134" customFormat="1" ht="23" customHeight="1">
      <c r="B220" s="7" t="s">
        <v>1266</v>
      </c>
      <c r="C220" s="7" t="s">
        <v>693</v>
      </c>
      <c r="D220" s="159">
        <v>44636</v>
      </c>
      <c r="E220" s="249" t="s">
        <v>772</v>
      </c>
      <c r="F220" s="7" t="s">
        <v>59</v>
      </c>
      <c r="G220" s="250">
        <v>188.88</v>
      </c>
      <c r="H220" s="162">
        <f>IF(F220=0,0,IF(F220="MXN",1/HLOOKUP(YEAR(D220)+(MONTH(D220)/100),TC!$5:$437,DAY(D220)+2,FALSE),VLOOKUP(F220,Equivalencia!$1:$23,((MAX(Equivalencia!$3:$3)-YEAR(D220))*14)+MONTH(D220)+2,FALSE)))</f>
        <v>1</v>
      </c>
      <c r="I220" s="251">
        <f t="shared" si="13"/>
        <v>188.88</v>
      </c>
      <c r="J220" s="162">
        <f>IF(D220=0,0,HLOOKUP(YEAR(D220)+(MONTH(D220)/100),TC!$5:$37,DAY(D220)+2,FALSE))</f>
        <v>20.890799999999999</v>
      </c>
      <c r="K220" s="250">
        <f t="shared" si="14"/>
        <v>3945.8543039999995</v>
      </c>
    </row>
    <row r="221" spans="2:11" s="134" customFormat="1" ht="23" customHeight="1">
      <c r="B221" s="7" t="s">
        <v>1266</v>
      </c>
      <c r="C221" s="7" t="s">
        <v>693</v>
      </c>
      <c r="D221" s="159">
        <v>44641</v>
      </c>
      <c r="E221" s="249" t="s">
        <v>773</v>
      </c>
      <c r="F221" s="7" t="s">
        <v>59</v>
      </c>
      <c r="G221" s="250">
        <v>402.5</v>
      </c>
      <c r="H221" s="162">
        <f>IF(F221=0,0,IF(F221="MXN",1/HLOOKUP(YEAR(D221)+(MONTH(D221)/100),TC!$5:$437,DAY(D221)+2,FALSE),VLOOKUP(F221,Equivalencia!$1:$23,((MAX(Equivalencia!$3:$3)-YEAR(D221))*14)+MONTH(D221)+2,FALSE)))</f>
        <v>1</v>
      </c>
      <c r="I221" s="251">
        <f t="shared" si="13"/>
        <v>402.5</v>
      </c>
      <c r="J221" s="162">
        <f>IF(D221=0,0,HLOOKUP(YEAR(D221)+(MONTH(D221)/100),TC!$5:$37,DAY(D221)+2,FALSE))</f>
        <v>20.558499999999999</v>
      </c>
      <c r="K221" s="250">
        <f t="shared" si="14"/>
        <v>8274.7962499999994</v>
      </c>
    </row>
    <row r="222" spans="2:11" s="134" customFormat="1" ht="23" customHeight="1">
      <c r="B222" s="7" t="s">
        <v>1266</v>
      </c>
      <c r="C222" s="7" t="s">
        <v>693</v>
      </c>
      <c r="D222" s="159">
        <v>44642</v>
      </c>
      <c r="E222" s="249" t="s">
        <v>774</v>
      </c>
      <c r="F222" s="7" t="s">
        <v>59</v>
      </c>
      <c r="G222" s="250">
        <v>311.75</v>
      </c>
      <c r="H222" s="162">
        <f>IF(F222=0,0,IF(F222="MXN",1/HLOOKUP(YEAR(D222)+(MONTH(D222)/100),TC!$5:$437,DAY(D222)+2,FALSE),VLOOKUP(F222,Equivalencia!$1:$23,((MAX(Equivalencia!$3:$3)-YEAR(D222))*14)+MONTH(D222)+2,FALSE)))</f>
        <v>1</v>
      </c>
      <c r="I222" s="251">
        <f t="shared" si="13"/>
        <v>311.75</v>
      </c>
      <c r="J222" s="162">
        <f>IF(D222=0,0,HLOOKUP(YEAR(D222)+(MONTH(D222)/100),TC!$5:$37,DAY(D222)+2,FALSE))</f>
        <v>20.558499999999999</v>
      </c>
      <c r="K222" s="250">
        <f t="shared" si="14"/>
        <v>6409.1123749999997</v>
      </c>
    </row>
    <row r="223" spans="2:11" s="134" customFormat="1" ht="23" customHeight="1">
      <c r="B223" s="7" t="s">
        <v>1266</v>
      </c>
      <c r="C223" s="7" t="s">
        <v>693</v>
      </c>
      <c r="D223" s="159">
        <v>44644</v>
      </c>
      <c r="E223" s="249" t="s">
        <v>775</v>
      </c>
      <c r="F223" s="7" t="s">
        <v>59</v>
      </c>
      <c r="G223" s="250">
        <v>712.5</v>
      </c>
      <c r="H223" s="162">
        <f>IF(F223=0,0,IF(F223="MXN",1/HLOOKUP(YEAR(D223)+(MONTH(D223)/100),TC!$5:$437,DAY(D223)+2,FALSE),VLOOKUP(F223,Equivalencia!$1:$23,((MAX(Equivalencia!$3:$3)-YEAR(D223))*14)+MONTH(D223)+2,FALSE)))</f>
        <v>1</v>
      </c>
      <c r="I223" s="251">
        <f t="shared" si="13"/>
        <v>712.5</v>
      </c>
      <c r="J223" s="162">
        <f>IF(D223=0,0,HLOOKUP(YEAR(D223)+(MONTH(D223)/100),TC!$5:$37,DAY(D223)+2,FALSE))</f>
        <v>20.278199999999998</v>
      </c>
      <c r="K223" s="250">
        <f t="shared" si="14"/>
        <v>14448.217499999999</v>
      </c>
    </row>
    <row r="224" spans="2:11" s="134" customFormat="1" ht="23" customHeight="1">
      <c r="B224" s="7" t="s">
        <v>1266</v>
      </c>
      <c r="C224" s="7" t="s">
        <v>693</v>
      </c>
      <c r="D224" s="159">
        <v>44644</v>
      </c>
      <c r="E224" s="249" t="s">
        <v>776</v>
      </c>
      <c r="F224" s="7" t="s">
        <v>59</v>
      </c>
      <c r="G224" s="250">
        <v>508.98</v>
      </c>
      <c r="H224" s="162">
        <f>IF(F224=0,0,IF(F224="MXN",1/HLOOKUP(YEAR(D224)+(MONTH(D224)/100),TC!$5:$437,DAY(D224)+2,FALSE),VLOOKUP(F224,Equivalencia!$1:$23,((MAX(Equivalencia!$3:$3)-YEAR(D224))*14)+MONTH(D224)+2,FALSE)))</f>
        <v>1</v>
      </c>
      <c r="I224" s="251">
        <f t="shared" si="13"/>
        <v>508.98</v>
      </c>
      <c r="J224" s="162">
        <f>IF(D224=0,0,HLOOKUP(YEAR(D224)+(MONTH(D224)/100),TC!$5:$37,DAY(D224)+2,FALSE))</f>
        <v>20.278199999999998</v>
      </c>
      <c r="K224" s="250">
        <f t="shared" si="14"/>
        <v>10321.198236</v>
      </c>
    </row>
    <row r="225" spans="2:11" s="134" customFormat="1" ht="23" customHeight="1">
      <c r="B225" s="7" t="s">
        <v>1266</v>
      </c>
      <c r="C225" s="7" t="s">
        <v>693</v>
      </c>
      <c r="D225" s="159">
        <v>44645</v>
      </c>
      <c r="E225" s="249" t="s">
        <v>737</v>
      </c>
      <c r="F225" s="7" t="s">
        <v>59</v>
      </c>
      <c r="G225" s="250">
        <v>230</v>
      </c>
      <c r="H225" s="162">
        <f>IF(F225=0,0,IF(F225="MXN",1/HLOOKUP(YEAR(D225)+(MONTH(D225)/100),TC!$5:$437,DAY(D225)+2,FALSE),VLOOKUP(F225,Equivalencia!$1:$23,((MAX(Equivalencia!$3:$3)-YEAR(D225))*14)+MONTH(D225)+2,FALSE)))</f>
        <v>1</v>
      </c>
      <c r="I225" s="251">
        <f t="shared" si="13"/>
        <v>230</v>
      </c>
      <c r="J225" s="162">
        <f>IF(D225=0,0,HLOOKUP(YEAR(D225)+(MONTH(D225)/100),TC!$5:$37,DAY(D225)+2,FALSE))</f>
        <v>20.18</v>
      </c>
      <c r="K225" s="250">
        <f t="shared" si="14"/>
        <v>4641.3999999999996</v>
      </c>
    </row>
    <row r="226" spans="2:11" s="134" customFormat="1" ht="23" customHeight="1">
      <c r="B226" s="7" t="s">
        <v>1266</v>
      </c>
      <c r="C226" s="7" t="s">
        <v>693</v>
      </c>
      <c r="D226" s="159">
        <v>44645</v>
      </c>
      <c r="E226" s="249" t="s">
        <v>777</v>
      </c>
      <c r="F226" s="7" t="s">
        <v>59</v>
      </c>
      <c r="G226" s="250">
        <v>459.19</v>
      </c>
      <c r="H226" s="162">
        <f>IF(F226=0,0,IF(F226="MXN",1/HLOOKUP(YEAR(D226)+(MONTH(D226)/100),TC!$5:$437,DAY(D226)+2,FALSE),VLOOKUP(F226,Equivalencia!$1:$23,((MAX(Equivalencia!$3:$3)-YEAR(D226))*14)+MONTH(D226)+2,FALSE)))</f>
        <v>1</v>
      </c>
      <c r="I226" s="251">
        <f t="shared" si="13"/>
        <v>459.19</v>
      </c>
      <c r="J226" s="162">
        <f>IF(D226=0,0,HLOOKUP(YEAR(D226)+(MONTH(D226)/100),TC!$5:$37,DAY(D226)+2,FALSE))</f>
        <v>20.18</v>
      </c>
      <c r="K226" s="250">
        <f t="shared" si="14"/>
        <v>9266.4542000000001</v>
      </c>
    </row>
    <row r="227" spans="2:11" s="134" customFormat="1" ht="23" customHeight="1">
      <c r="B227" s="7" t="s">
        <v>1266</v>
      </c>
      <c r="C227" s="7" t="s">
        <v>693</v>
      </c>
      <c r="D227" s="159">
        <v>44645</v>
      </c>
      <c r="E227" s="249" t="s">
        <v>778</v>
      </c>
      <c r="F227" s="7" t="s">
        <v>59</v>
      </c>
      <c r="G227" s="250">
        <v>296.01</v>
      </c>
      <c r="H227" s="162">
        <f>IF(F227=0,0,IF(F227="MXN",1/HLOOKUP(YEAR(D227)+(MONTH(D227)/100),TC!$5:$437,DAY(D227)+2,FALSE),VLOOKUP(F227,Equivalencia!$1:$23,((MAX(Equivalencia!$3:$3)-YEAR(D227))*14)+MONTH(D227)+2,FALSE)))</f>
        <v>1</v>
      </c>
      <c r="I227" s="251">
        <f t="shared" ref="I227:I261" si="23">G227*H227</f>
        <v>296.01</v>
      </c>
      <c r="J227" s="162">
        <f>IF(D227=0,0,HLOOKUP(YEAR(D227)+(MONTH(D227)/100),TC!$5:$37,DAY(D227)+2,FALSE))</f>
        <v>20.18</v>
      </c>
      <c r="K227" s="250">
        <f t="shared" ref="K227:K261" si="24">I227*J227</f>
        <v>5973.4817999999996</v>
      </c>
    </row>
    <row r="228" spans="2:11" s="134" customFormat="1" ht="23" customHeight="1">
      <c r="B228" s="7" t="s">
        <v>1266</v>
      </c>
      <c r="C228" s="7" t="s">
        <v>693</v>
      </c>
      <c r="D228" s="159">
        <v>44645</v>
      </c>
      <c r="E228" s="249" t="s">
        <v>779</v>
      </c>
      <c r="F228" s="7" t="s">
        <v>59</v>
      </c>
      <c r="G228" s="250">
        <v>333.2</v>
      </c>
      <c r="H228" s="162">
        <f>IF(F228=0,0,IF(F228="MXN",1/HLOOKUP(YEAR(D228)+(MONTH(D228)/100),TC!$5:$437,DAY(D228)+2,FALSE),VLOOKUP(F228,Equivalencia!$1:$23,((MAX(Equivalencia!$3:$3)-YEAR(D228))*14)+MONTH(D228)+2,FALSE)))</f>
        <v>1</v>
      </c>
      <c r="I228" s="251">
        <f t="shared" si="23"/>
        <v>333.2</v>
      </c>
      <c r="J228" s="162">
        <f>IF(D228=0,0,HLOOKUP(YEAR(D228)+(MONTH(D228)/100),TC!$5:$37,DAY(D228)+2,FALSE))</f>
        <v>20.18</v>
      </c>
      <c r="K228" s="250">
        <f t="shared" si="24"/>
        <v>6723.9759999999997</v>
      </c>
    </row>
    <row r="229" spans="2:11" s="134" customFormat="1" ht="23" customHeight="1">
      <c r="B229" s="7" t="s">
        <v>1266</v>
      </c>
      <c r="C229" s="7" t="s">
        <v>693</v>
      </c>
      <c r="D229" s="159">
        <v>44650</v>
      </c>
      <c r="E229" s="249" t="s">
        <v>780</v>
      </c>
      <c r="F229" s="7" t="s">
        <v>59</v>
      </c>
      <c r="G229" s="250">
        <v>240.99</v>
      </c>
      <c r="H229" s="162">
        <f>IF(F229=0,0,IF(F229="MXN",1/HLOOKUP(YEAR(D229)+(MONTH(D229)/100),TC!$5:$437,DAY(D229)+2,FALSE),VLOOKUP(F229,Equivalencia!$1:$23,((MAX(Equivalencia!$3:$3)-YEAR(D229))*14)+MONTH(D229)+2,FALSE)))</f>
        <v>1</v>
      </c>
      <c r="I229" s="251">
        <f t="shared" si="23"/>
        <v>240.99</v>
      </c>
      <c r="J229" s="162">
        <f>IF(D229=0,0,HLOOKUP(YEAR(D229)+(MONTH(D229)/100),TC!$5:$37,DAY(D229)+2,FALSE))</f>
        <v>20.119499999999999</v>
      </c>
      <c r="K229" s="250">
        <f t="shared" si="24"/>
        <v>4848.5983049999995</v>
      </c>
    </row>
    <row r="230" spans="2:11" s="134" customFormat="1" ht="23" customHeight="1">
      <c r="B230" s="7" t="s">
        <v>1266</v>
      </c>
      <c r="C230" s="7" t="s">
        <v>693</v>
      </c>
      <c r="D230" s="159">
        <v>44650</v>
      </c>
      <c r="E230" s="249" t="s">
        <v>781</v>
      </c>
      <c r="F230" s="7" t="s">
        <v>59</v>
      </c>
      <c r="G230" s="250">
        <v>339.57</v>
      </c>
      <c r="H230" s="162">
        <f>IF(F230=0,0,IF(F230="MXN",1/HLOOKUP(YEAR(D230)+(MONTH(D230)/100),TC!$5:$437,DAY(D230)+2,FALSE),VLOOKUP(F230,Equivalencia!$1:$23,((MAX(Equivalencia!$3:$3)-YEAR(D230))*14)+MONTH(D230)+2,FALSE)))</f>
        <v>1</v>
      </c>
      <c r="I230" s="251">
        <f t="shared" si="23"/>
        <v>339.57</v>
      </c>
      <c r="J230" s="162">
        <f>IF(D230=0,0,HLOOKUP(YEAR(D230)+(MONTH(D230)/100),TC!$5:$37,DAY(D230)+2,FALSE))</f>
        <v>20.119499999999999</v>
      </c>
      <c r="K230" s="250">
        <f t="shared" si="24"/>
        <v>6831.9786149999991</v>
      </c>
    </row>
    <row r="231" spans="2:11" s="134" customFormat="1" ht="23" customHeight="1">
      <c r="B231" s="7" t="s">
        <v>1266</v>
      </c>
      <c r="C231" s="7" t="s">
        <v>693</v>
      </c>
      <c r="D231" s="159">
        <v>44650</v>
      </c>
      <c r="E231" s="249" t="s">
        <v>782</v>
      </c>
      <c r="F231" s="7" t="s">
        <v>59</v>
      </c>
      <c r="G231" s="250">
        <v>598.6</v>
      </c>
      <c r="H231" s="162">
        <f>IF(F231=0,0,IF(F231="MXN",1/HLOOKUP(YEAR(D231)+(MONTH(D231)/100),TC!$5:$437,DAY(D231)+2,FALSE),VLOOKUP(F231,Equivalencia!$1:$23,((MAX(Equivalencia!$3:$3)-YEAR(D231))*14)+MONTH(D231)+2,FALSE)))</f>
        <v>1</v>
      </c>
      <c r="I231" s="251">
        <f t="shared" si="23"/>
        <v>598.6</v>
      </c>
      <c r="J231" s="162">
        <f>IF(D231=0,0,HLOOKUP(YEAR(D231)+(MONTH(D231)/100),TC!$5:$37,DAY(D231)+2,FALSE))</f>
        <v>20.119499999999999</v>
      </c>
      <c r="K231" s="250">
        <f t="shared" si="24"/>
        <v>12043.5327</v>
      </c>
    </row>
    <row r="232" spans="2:11" s="134" customFormat="1" ht="23" customHeight="1">
      <c r="B232" s="7" t="s">
        <v>1266</v>
      </c>
      <c r="C232" s="7" t="s">
        <v>693</v>
      </c>
      <c r="D232" s="159">
        <v>44650</v>
      </c>
      <c r="E232" s="249" t="s">
        <v>783</v>
      </c>
      <c r="F232" s="7" t="s">
        <v>59</v>
      </c>
      <c r="G232" s="250">
        <v>454</v>
      </c>
      <c r="H232" s="162">
        <f>IF(F232=0,0,IF(F232="MXN",1/HLOOKUP(YEAR(D232)+(MONTH(D232)/100),TC!$5:$437,DAY(D232)+2,FALSE),VLOOKUP(F232,Equivalencia!$1:$23,((MAX(Equivalencia!$3:$3)-YEAR(D232))*14)+MONTH(D232)+2,FALSE)))</f>
        <v>1</v>
      </c>
      <c r="I232" s="251">
        <f t="shared" si="23"/>
        <v>454</v>
      </c>
      <c r="J232" s="162">
        <f>IF(D232=0,0,HLOOKUP(YEAR(D232)+(MONTH(D232)/100),TC!$5:$37,DAY(D232)+2,FALSE))</f>
        <v>20.119499999999999</v>
      </c>
      <c r="K232" s="250">
        <f t="shared" si="24"/>
        <v>9134.2529999999988</v>
      </c>
    </row>
    <row r="233" spans="2:11" s="134" customFormat="1" ht="23" customHeight="1">
      <c r="B233" s="7" t="s">
        <v>1266</v>
      </c>
      <c r="C233" s="7" t="s">
        <v>693</v>
      </c>
      <c r="D233" s="159">
        <v>44650</v>
      </c>
      <c r="E233" s="249" t="s">
        <v>784</v>
      </c>
      <c r="F233" s="7" t="s">
        <v>59</v>
      </c>
      <c r="G233" s="250">
        <v>250.42</v>
      </c>
      <c r="H233" s="162">
        <f>IF(F233=0,0,IF(F233="MXN",1/HLOOKUP(YEAR(D233)+(MONTH(D233)/100),TC!$5:$437,DAY(D233)+2,FALSE),VLOOKUP(F233,Equivalencia!$1:$23,((MAX(Equivalencia!$3:$3)-YEAR(D233))*14)+MONTH(D233)+2,FALSE)))</f>
        <v>1</v>
      </c>
      <c r="I233" s="251">
        <f t="shared" si="23"/>
        <v>250.42</v>
      </c>
      <c r="J233" s="162">
        <f>IF(D233=0,0,HLOOKUP(YEAR(D233)+(MONTH(D233)/100),TC!$5:$37,DAY(D233)+2,FALSE))</f>
        <v>20.119499999999999</v>
      </c>
      <c r="K233" s="250">
        <f t="shared" si="24"/>
        <v>5038.3251899999996</v>
      </c>
    </row>
    <row r="234" spans="2:11" s="134" customFormat="1" ht="23" customHeight="1">
      <c r="B234" s="7" t="s">
        <v>1266</v>
      </c>
      <c r="C234" s="7" t="s">
        <v>693</v>
      </c>
      <c r="D234" s="159">
        <v>44650</v>
      </c>
      <c r="E234" s="249" t="s">
        <v>785</v>
      </c>
      <c r="F234" s="7" t="s">
        <v>59</v>
      </c>
      <c r="G234" s="250">
        <v>304.14999999999998</v>
      </c>
      <c r="H234" s="162">
        <f>IF(F234=0,0,IF(F234="MXN",1/HLOOKUP(YEAR(D234)+(MONTH(D234)/100),TC!$5:$437,DAY(D234)+2,FALSE),VLOOKUP(F234,Equivalencia!$1:$23,((MAX(Equivalencia!$3:$3)-YEAR(D234))*14)+MONTH(D234)+2,FALSE)))</f>
        <v>1</v>
      </c>
      <c r="I234" s="251">
        <f t="shared" si="23"/>
        <v>304.14999999999998</v>
      </c>
      <c r="J234" s="162">
        <f>IF(D234=0,0,HLOOKUP(YEAR(D234)+(MONTH(D234)/100),TC!$5:$37,DAY(D234)+2,FALSE))</f>
        <v>20.119499999999999</v>
      </c>
      <c r="K234" s="250">
        <f t="shared" si="24"/>
        <v>6119.3459249999987</v>
      </c>
    </row>
    <row r="235" spans="2:11" s="134" customFormat="1" ht="23" customHeight="1">
      <c r="B235" s="7" t="s">
        <v>1266</v>
      </c>
      <c r="C235" s="7" t="s">
        <v>693</v>
      </c>
      <c r="D235" s="159">
        <v>44650</v>
      </c>
      <c r="E235" s="249" t="s">
        <v>786</v>
      </c>
      <c r="F235" s="7" t="s">
        <v>59</v>
      </c>
      <c r="G235" s="250">
        <v>335.28</v>
      </c>
      <c r="H235" s="162">
        <f>IF(F235=0,0,IF(F235="MXN",1/HLOOKUP(YEAR(D235)+(MONTH(D235)/100),TC!$5:$437,DAY(D235)+2,FALSE),VLOOKUP(F235,Equivalencia!$1:$23,((MAX(Equivalencia!$3:$3)-YEAR(D235))*14)+MONTH(D235)+2,FALSE)))</f>
        <v>1</v>
      </c>
      <c r="I235" s="251">
        <f t="shared" si="23"/>
        <v>335.28</v>
      </c>
      <c r="J235" s="162">
        <f>IF(D235=0,0,HLOOKUP(YEAR(D235)+(MONTH(D235)/100),TC!$5:$37,DAY(D235)+2,FALSE))</f>
        <v>20.119499999999999</v>
      </c>
      <c r="K235" s="250">
        <f t="shared" si="24"/>
        <v>6745.6659599999994</v>
      </c>
    </row>
    <row r="236" spans="2:11" s="134" customFormat="1" ht="23" customHeight="1">
      <c r="B236" s="7" t="s">
        <v>1266</v>
      </c>
      <c r="C236" s="7" t="s">
        <v>693</v>
      </c>
      <c r="D236" s="159">
        <v>44650</v>
      </c>
      <c r="E236" s="249" t="s">
        <v>787</v>
      </c>
      <c r="F236" s="7" t="s">
        <v>59</v>
      </c>
      <c r="G236" s="250">
        <v>673.78</v>
      </c>
      <c r="H236" s="162">
        <f>IF(F236=0,0,IF(F236="MXN",1/HLOOKUP(YEAR(D236)+(MONTH(D236)/100),TC!$5:$437,DAY(D236)+2,FALSE),VLOOKUP(F236,Equivalencia!$1:$23,((MAX(Equivalencia!$3:$3)-YEAR(D236))*14)+MONTH(D236)+2,FALSE)))</f>
        <v>1</v>
      </c>
      <c r="I236" s="251">
        <f t="shared" si="23"/>
        <v>673.78</v>
      </c>
      <c r="J236" s="162">
        <f>IF(D236=0,0,HLOOKUP(YEAR(D236)+(MONTH(D236)/100),TC!$5:$37,DAY(D236)+2,FALSE))</f>
        <v>20.119499999999999</v>
      </c>
      <c r="K236" s="250">
        <f t="shared" si="24"/>
        <v>13556.116709999998</v>
      </c>
    </row>
    <row r="237" spans="2:11" s="134" customFormat="1" ht="23" customHeight="1">
      <c r="B237" s="7" t="s">
        <v>1266</v>
      </c>
      <c r="C237" s="7" t="s">
        <v>693</v>
      </c>
      <c r="D237" s="159">
        <v>44652</v>
      </c>
      <c r="E237" s="249" t="s">
        <v>721</v>
      </c>
      <c r="F237" s="7" t="s">
        <v>59</v>
      </c>
      <c r="G237" s="250">
        <v>166.84</v>
      </c>
      <c r="H237" s="162">
        <f>IF(F237=0,0,IF(F237="MXN",1/HLOOKUP(YEAR(D237)+(MONTH(D237)/100),TC!$5:$437,DAY(D237)+2,FALSE),VLOOKUP(F237,Equivalencia!$1:$23,((MAX(Equivalencia!$3:$3)-YEAR(D237))*14)+MONTH(D237)+2,FALSE)))</f>
        <v>1</v>
      </c>
      <c r="I237" s="251">
        <f t="shared" si="23"/>
        <v>166.84</v>
      </c>
      <c r="J237" s="162">
        <f>IF(D237=0,0,HLOOKUP(YEAR(D237)+(MONTH(D237)/100),TC!$5:$37,DAY(D237)+2,FALSE))</f>
        <v>19.863199999999999</v>
      </c>
      <c r="K237" s="250">
        <f t="shared" si="24"/>
        <v>3313.9762879999998</v>
      </c>
    </row>
    <row r="238" spans="2:11" s="134" customFormat="1" ht="23" customHeight="1">
      <c r="B238" s="7" t="s">
        <v>1266</v>
      </c>
      <c r="C238" s="7" t="s">
        <v>693</v>
      </c>
      <c r="D238" s="159">
        <v>44655</v>
      </c>
      <c r="E238" s="249" t="s">
        <v>735</v>
      </c>
      <c r="F238" s="7" t="s">
        <v>59</v>
      </c>
      <c r="G238" s="250">
        <v>290.64</v>
      </c>
      <c r="H238" s="162">
        <f>IF(F238=0,0,IF(F238="MXN",1/HLOOKUP(YEAR(D238)+(MONTH(D238)/100),TC!$5:$437,DAY(D238)+2,FALSE),VLOOKUP(F238,Equivalencia!$1:$23,((MAX(Equivalencia!$3:$3)-YEAR(D238))*14)+MONTH(D238)+2,FALSE)))</f>
        <v>1</v>
      </c>
      <c r="I238" s="251">
        <f t="shared" si="23"/>
        <v>290.64</v>
      </c>
      <c r="J238" s="162">
        <f>IF(D238=0,0,HLOOKUP(YEAR(D238)+(MONTH(D238)/100),TC!$5:$37,DAY(D238)+2,FALSE))</f>
        <v>19.911200000000001</v>
      </c>
      <c r="K238" s="250">
        <f t="shared" si="24"/>
        <v>5786.9911679999996</v>
      </c>
    </row>
    <row r="239" spans="2:11" s="134" customFormat="1" ht="23" customHeight="1">
      <c r="B239" s="7" t="s">
        <v>1266</v>
      </c>
      <c r="C239" s="7" t="s">
        <v>693</v>
      </c>
      <c r="D239" s="159">
        <v>44665</v>
      </c>
      <c r="E239" s="249" t="s">
        <v>738</v>
      </c>
      <c r="F239" s="7" t="s">
        <v>59</v>
      </c>
      <c r="G239" s="250">
        <v>384.3</v>
      </c>
      <c r="H239" s="162">
        <f>IF(F239=0,0,IF(F239="MXN",1/HLOOKUP(YEAR(D239)+(MONTH(D239)/100),TC!$5:$437,DAY(D239)+2,FALSE),VLOOKUP(F239,Equivalencia!$1:$23,((MAX(Equivalencia!$3:$3)-YEAR(D239))*14)+MONTH(D239)+2,FALSE)))</f>
        <v>1</v>
      </c>
      <c r="I239" s="251">
        <f t="shared" si="23"/>
        <v>384.3</v>
      </c>
      <c r="J239" s="162">
        <f>IF(D239=0,0,HLOOKUP(YEAR(D239)+(MONTH(D239)/100),TC!$5:$37,DAY(D239)+2,FALSE))</f>
        <v>19.840699999999998</v>
      </c>
      <c r="K239" s="250">
        <f t="shared" si="24"/>
        <v>7624.7810099999997</v>
      </c>
    </row>
    <row r="240" spans="2:11" s="134" customFormat="1" ht="23" customHeight="1">
      <c r="B240" s="7" t="s">
        <v>1266</v>
      </c>
      <c r="C240" s="7" t="s">
        <v>693</v>
      </c>
      <c r="D240" s="159">
        <v>44665</v>
      </c>
      <c r="E240" s="249" t="s">
        <v>740</v>
      </c>
      <c r="F240" s="7" t="s">
        <v>59</v>
      </c>
      <c r="G240" s="250">
        <v>35.700000000000003</v>
      </c>
      <c r="H240" s="162">
        <f>IF(F240=0,0,IF(F240="MXN",1/HLOOKUP(YEAR(D240)+(MONTH(D240)/100),TC!$5:$437,DAY(D240)+2,FALSE),VLOOKUP(F240,Equivalencia!$1:$23,((MAX(Equivalencia!$3:$3)-YEAR(D240))*14)+MONTH(D240)+2,FALSE)))</f>
        <v>1</v>
      </c>
      <c r="I240" s="251">
        <f t="shared" si="23"/>
        <v>35.700000000000003</v>
      </c>
      <c r="J240" s="162">
        <f>IF(D240=0,0,HLOOKUP(YEAR(D240)+(MONTH(D240)/100),TC!$5:$37,DAY(D240)+2,FALSE))</f>
        <v>19.840699999999998</v>
      </c>
      <c r="K240" s="250">
        <f t="shared" si="24"/>
        <v>708.31299000000001</v>
      </c>
    </row>
    <row r="241" spans="2:11" s="134" customFormat="1" ht="23" customHeight="1">
      <c r="B241" s="7" t="s">
        <v>1266</v>
      </c>
      <c r="C241" s="7" t="s">
        <v>693</v>
      </c>
      <c r="D241" s="159">
        <v>44670</v>
      </c>
      <c r="E241" s="249" t="s">
        <v>741</v>
      </c>
      <c r="F241" s="7" t="s">
        <v>59</v>
      </c>
      <c r="G241" s="250">
        <v>173.8</v>
      </c>
      <c r="H241" s="162">
        <f>IF(F241=0,0,IF(F241="MXN",1/HLOOKUP(YEAR(D241)+(MONTH(D241)/100),TC!$5:$437,DAY(D241)+2,FALSE),VLOOKUP(F241,Equivalencia!$1:$23,((MAX(Equivalencia!$3:$3)-YEAR(D241))*14)+MONTH(D241)+2,FALSE)))</f>
        <v>1</v>
      </c>
      <c r="I241" s="251">
        <f t="shared" si="23"/>
        <v>173.8</v>
      </c>
      <c r="J241" s="162">
        <f>IF(D241=0,0,HLOOKUP(YEAR(D241)+(MONTH(D241)/100),TC!$5:$37,DAY(D241)+2,FALSE))</f>
        <v>19.796700000000001</v>
      </c>
      <c r="K241" s="250">
        <f t="shared" si="24"/>
        <v>3440.6664600000004</v>
      </c>
    </row>
    <row r="242" spans="2:11" s="134" customFormat="1" ht="23" customHeight="1">
      <c r="B242" s="7" t="s">
        <v>1266</v>
      </c>
      <c r="C242" s="7" t="s">
        <v>693</v>
      </c>
      <c r="D242" s="159">
        <v>44673</v>
      </c>
      <c r="E242" s="249" t="s">
        <v>739</v>
      </c>
      <c r="F242" s="7" t="s">
        <v>59</v>
      </c>
      <c r="G242" s="250">
        <v>332.64</v>
      </c>
      <c r="H242" s="162">
        <f>IF(F242=0,0,IF(F242="MXN",1/HLOOKUP(YEAR(D242)+(MONTH(D242)/100),TC!$5:$437,DAY(D242)+2,FALSE),VLOOKUP(F242,Equivalencia!$1:$23,((MAX(Equivalencia!$3:$3)-YEAR(D242))*14)+MONTH(D242)+2,FALSE)))</f>
        <v>1</v>
      </c>
      <c r="I242" s="251">
        <f t="shared" si="23"/>
        <v>332.64</v>
      </c>
      <c r="J242" s="162">
        <f>IF(D242=0,0,HLOOKUP(YEAR(D242)+(MONTH(D242)/100),TC!$5:$37,DAY(D242)+2,FALSE))</f>
        <v>20.0383</v>
      </c>
      <c r="K242" s="250">
        <f t="shared" si="24"/>
        <v>6665.5401119999997</v>
      </c>
    </row>
    <row r="243" spans="2:11" s="134" customFormat="1" ht="23" customHeight="1">
      <c r="B243" s="7" t="s">
        <v>1266</v>
      </c>
      <c r="C243" s="7" t="s">
        <v>693</v>
      </c>
      <c r="D243" s="159">
        <v>44673</v>
      </c>
      <c r="E243" s="249" t="s">
        <v>745</v>
      </c>
      <c r="F243" s="7" t="s">
        <v>59</v>
      </c>
      <c r="G243" s="250">
        <v>374.12</v>
      </c>
      <c r="H243" s="162">
        <f>IF(F243=0,0,IF(F243="MXN",1/HLOOKUP(YEAR(D243)+(MONTH(D243)/100),TC!$5:$437,DAY(D243)+2,FALSE),VLOOKUP(F243,Equivalencia!$1:$23,((MAX(Equivalencia!$3:$3)-YEAR(D243))*14)+MONTH(D243)+2,FALSE)))</f>
        <v>1</v>
      </c>
      <c r="I243" s="251">
        <f t="shared" si="23"/>
        <v>374.12</v>
      </c>
      <c r="J243" s="162">
        <f>IF(D243=0,0,HLOOKUP(YEAR(D243)+(MONTH(D243)/100),TC!$5:$37,DAY(D243)+2,FALSE))</f>
        <v>20.0383</v>
      </c>
      <c r="K243" s="250">
        <f t="shared" si="24"/>
        <v>7496.7287960000003</v>
      </c>
    </row>
    <row r="244" spans="2:11" s="134" customFormat="1" ht="23" customHeight="1">
      <c r="B244" s="7" t="s">
        <v>1266</v>
      </c>
      <c r="C244" s="7" t="s">
        <v>693</v>
      </c>
      <c r="D244" s="159">
        <v>44678</v>
      </c>
      <c r="E244" s="249" t="s">
        <v>742</v>
      </c>
      <c r="F244" s="7" t="s">
        <v>59</v>
      </c>
      <c r="G244" s="250">
        <v>486.81</v>
      </c>
      <c r="H244" s="162">
        <f>IF(F244=0,0,IF(F244="MXN",1/HLOOKUP(YEAR(D244)+(MONTH(D244)/100),TC!$5:$437,DAY(D244)+2,FALSE),VLOOKUP(F244,Equivalencia!$1:$23,((MAX(Equivalencia!$3:$3)-YEAR(D244))*14)+MONTH(D244)+2,FALSE)))</f>
        <v>1</v>
      </c>
      <c r="I244" s="251">
        <f t="shared" si="23"/>
        <v>486.81</v>
      </c>
      <c r="J244" s="162">
        <f>IF(D244=0,0,HLOOKUP(YEAR(D244)+(MONTH(D244)/100),TC!$5:$37,DAY(D244)+2,FALSE))</f>
        <v>20.299199999999999</v>
      </c>
      <c r="K244" s="250">
        <f t="shared" si="24"/>
        <v>9881.8535519999987</v>
      </c>
    </row>
    <row r="245" spans="2:11" s="134" customFormat="1" ht="23" customHeight="1">
      <c r="B245" s="7" t="s">
        <v>1266</v>
      </c>
      <c r="C245" s="7" t="s">
        <v>693</v>
      </c>
      <c r="D245" s="159">
        <v>44678</v>
      </c>
      <c r="E245" s="249" t="s">
        <v>743</v>
      </c>
      <c r="F245" s="7" t="s">
        <v>59</v>
      </c>
      <c r="G245" s="250">
        <v>605.72</v>
      </c>
      <c r="H245" s="162">
        <f>IF(F245=0,0,IF(F245="MXN",1/HLOOKUP(YEAR(D245)+(MONTH(D245)/100),TC!$5:$437,DAY(D245)+2,FALSE),VLOOKUP(F245,Equivalencia!$1:$23,((MAX(Equivalencia!$3:$3)-YEAR(D245))*14)+MONTH(D245)+2,FALSE)))</f>
        <v>1</v>
      </c>
      <c r="I245" s="251">
        <f t="shared" si="23"/>
        <v>605.72</v>
      </c>
      <c r="J245" s="162">
        <f>IF(D245=0,0,HLOOKUP(YEAR(D245)+(MONTH(D245)/100),TC!$5:$37,DAY(D245)+2,FALSE))</f>
        <v>20.299199999999999</v>
      </c>
      <c r="K245" s="250">
        <f t="shared" si="24"/>
        <v>12295.631423999999</v>
      </c>
    </row>
    <row r="246" spans="2:11" s="134" customFormat="1" ht="23" customHeight="1">
      <c r="B246" s="7" t="s">
        <v>1266</v>
      </c>
      <c r="C246" s="7" t="s">
        <v>693</v>
      </c>
      <c r="D246" s="159">
        <v>44679</v>
      </c>
      <c r="E246" s="249" t="s">
        <v>736</v>
      </c>
      <c r="F246" s="7" t="s">
        <v>59</v>
      </c>
      <c r="G246" s="250">
        <v>436.8</v>
      </c>
      <c r="H246" s="162">
        <f>IF(F246=0,0,IF(F246="MXN",1/HLOOKUP(YEAR(D246)+(MONTH(D246)/100),TC!$5:$437,DAY(D246)+2,FALSE),VLOOKUP(F246,Equivalencia!$1:$23,((MAX(Equivalencia!$3:$3)-YEAR(D246))*14)+MONTH(D246)+2,FALSE)))</f>
        <v>1</v>
      </c>
      <c r="I246" s="251">
        <f t="shared" si="23"/>
        <v>436.8</v>
      </c>
      <c r="J246" s="162">
        <f>IF(D246=0,0,HLOOKUP(YEAR(D246)+(MONTH(D246)/100),TC!$5:$37,DAY(D246)+2,FALSE))</f>
        <v>20.356000000000002</v>
      </c>
      <c r="K246" s="250">
        <f t="shared" si="24"/>
        <v>8891.5008000000016</v>
      </c>
    </row>
    <row r="247" spans="2:11" s="134" customFormat="1" ht="23" customHeight="1">
      <c r="B247" s="7" t="s">
        <v>1266</v>
      </c>
      <c r="C247" s="7" t="s">
        <v>693</v>
      </c>
      <c r="D247" s="159">
        <v>44679</v>
      </c>
      <c r="E247" s="249" t="s">
        <v>744</v>
      </c>
      <c r="F247" s="7" t="s">
        <v>59</v>
      </c>
      <c r="G247" s="250">
        <v>60</v>
      </c>
      <c r="H247" s="162">
        <f>IF(F247=0,0,IF(F247="MXN",1/HLOOKUP(YEAR(D247)+(MONTH(D247)/100),TC!$5:$437,DAY(D247)+2,FALSE),VLOOKUP(F247,Equivalencia!$1:$23,((MAX(Equivalencia!$3:$3)-YEAR(D247))*14)+MONTH(D247)+2,FALSE)))</f>
        <v>1</v>
      </c>
      <c r="I247" s="251">
        <f t="shared" si="23"/>
        <v>60</v>
      </c>
      <c r="J247" s="162">
        <f>IF(D247=0,0,HLOOKUP(YEAR(D247)+(MONTH(D247)/100),TC!$5:$37,DAY(D247)+2,FALSE))</f>
        <v>20.356000000000002</v>
      </c>
      <c r="K247" s="250">
        <f t="shared" si="24"/>
        <v>1221.3600000000001</v>
      </c>
    </row>
    <row r="248" spans="2:11" s="134" customFormat="1" ht="23" customHeight="1">
      <c r="B248" s="7" t="s">
        <v>1266</v>
      </c>
      <c r="C248" s="7" t="s">
        <v>693</v>
      </c>
      <c r="D248" s="159">
        <v>44683</v>
      </c>
      <c r="E248" s="249" t="s">
        <v>747</v>
      </c>
      <c r="F248" s="7" t="s">
        <v>59</v>
      </c>
      <c r="G248" s="250">
        <v>445.5</v>
      </c>
      <c r="H248" s="162">
        <f>IF(F248=0,0,IF(F248="MXN",1/HLOOKUP(YEAR(D248)+(MONTH(D248)/100),TC!$5:$437,DAY(D248)+2,FALSE),VLOOKUP(F248,Equivalencia!$1:$23,((MAX(Equivalencia!$3:$3)-YEAR(D248))*14)+MONTH(D248)+2,FALSE)))</f>
        <v>1</v>
      </c>
      <c r="I248" s="251">
        <f t="shared" si="23"/>
        <v>445.5</v>
      </c>
      <c r="J248" s="162">
        <f>IF(D248=0,0,HLOOKUP(YEAR(D248)+(MONTH(D248)/100),TC!$5:$37,DAY(D248)+2,FALSE))</f>
        <v>20.567</v>
      </c>
      <c r="K248" s="250">
        <f t="shared" si="24"/>
        <v>9162.5985000000001</v>
      </c>
    </row>
    <row r="249" spans="2:11" s="134" customFormat="1" ht="23" customHeight="1">
      <c r="B249" s="7" t="s">
        <v>1266</v>
      </c>
      <c r="C249" s="7" t="s">
        <v>693</v>
      </c>
      <c r="D249" s="159">
        <v>44683</v>
      </c>
      <c r="E249" s="249" t="s">
        <v>788</v>
      </c>
      <c r="F249" s="7" t="s">
        <v>59</v>
      </c>
      <c r="G249" s="250">
        <v>474</v>
      </c>
      <c r="H249" s="162">
        <f>IF(F249=0,0,IF(F249="MXN",1/HLOOKUP(YEAR(D249)+(MONTH(D249)/100),TC!$5:$437,DAY(D249)+2,FALSE),VLOOKUP(F249,Equivalencia!$1:$23,((MAX(Equivalencia!$3:$3)-YEAR(D249))*14)+MONTH(D249)+2,FALSE)))</f>
        <v>1</v>
      </c>
      <c r="I249" s="251">
        <f t="shared" si="23"/>
        <v>474</v>
      </c>
      <c r="J249" s="162">
        <f>IF(D249=0,0,HLOOKUP(YEAR(D249)+(MONTH(D249)/100),TC!$5:$37,DAY(D249)+2,FALSE))</f>
        <v>20.567</v>
      </c>
      <c r="K249" s="250">
        <f t="shared" si="24"/>
        <v>9748.7579999999998</v>
      </c>
    </row>
    <row r="250" spans="2:11" s="134" customFormat="1" ht="23" customHeight="1">
      <c r="B250" s="7" t="s">
        <v>1266</v>
      </c>
      <c r="C250" s="7" t="s">
        <v>693</v>
      </c>
      <c r="D250" s="159">
        <v>44685</v>
      </c>
      <c r="E250" s="249" t="s">
        <v>748</v>
      </c>
      <c r="F250" s="7" t="s">
        <v>59</v>
      </c>
      <c r="G250" s="250">
        <v>480.8</v>
      </c>
      <c r="H250" s="162">
        <f>IF(F250=0,0,IF(F250="MXN",1/HLOOKUP(YEAR(D250)+(MONTH(D250)/100),TC!$5:$437,DAY(D250)+2,FALSE),VLOOKUP(F250,Equivalencia!$1:$23,((MAX(Equivalencia!$3:$3)-YEAR(D250))*14)+MONTH(D250)+2,FALSE)))</f>
        <v>1</v>
      </c>
      <c r="I250" s="251">
        <f t="shared" si="23"/>
        <v>480.8</v>
      </c>
      <c r="J250" s="162">
        <f>IF(D250=0,0,HLOOKUP(YEAR(D250)+(MONTH(D250)/100),TC!$5:$37,DAY(D250)+2,FALSE))</f>
        <v>20.407499999999999</v>
      </c>
      <c r="K250" s="250">
        <f t="shared" si="24"/>
        <v>9811.9259999999995</v>
      </c>
    </row>
    <row r="251" spans="2:11" s="134" customFormat="1" ht="23" customHeight="1">
      <c r="B251" s="7" t="s">
        <v>1266</v>
      </c>
      <c r="C251" s="7" t="s">
        <v>693</v>
      </c>
      <c r="D251" s="159">
        <v>44691</v>
      </c>
      <c r="E251" s="249" t="s">
        <v>750</v>
      </c>
      <c r="F251" s="7" t="s">
        <v>59</v>
      </c>
      <c r="G251" s="250">
        <v>237.64</v>
      </c>
      <c r="H251" s="162">
        <f>IF(F251=0,0,IF(F251="MXN",1/HLOOKUP(YEAR(D251)+(MONTH(D251)/100),TC!$5:$437,DAY(D251)+2,FALSE),VLOOKUP(F251,Equivalencia!$1:$23,((MAX(Equivalencia!$3:$3)-YEAR(D251))*14)+MONTH(D251)+2,FALSE)))</f>
        <v>1</v>
      </c>
      <c r="I251" s="251">
        <f t="shared" si="23"/>
        <v>237.64</v>
      </c>
      <c r="J251" s="162">
        <f>IF(D251=0,0,HLOOKUP(YEAR(D251)+(MONTH(D251)/100),TC!$5:$37,DAY(D251)+2,FALSE))</f>
        <v>20.108499999999999</v>
      </c>
      <c r="K251" s="250">
        <f t="shared" si="24"/>
        <v>4778.5839399999995</v>
      </c>
    </row>
    <row r="252" spans="2:11" s="134" customFormat="1" ht="23" customHeight="1">
      <c r="B252" s="7" t="s">
        <v>1266</v>
      </c>
      <c r="C252" s="7" t="s">
        <v>693</v>
      </c>
      <c r="D252" s="159">
        <v>44693</v>
      </c>
      <c r="E252" s="249" t="s">
        <v>716</v>
      </c>
      <c r="F252" s="7" t="s">
        <v>59</v>
      </c>
      <c r="G252" s="250">
        <v>506.23</v>
      </c>
      <c r="H252" s="162">
        <f>IF(F252=0,0,IF(F252="MXN",1/HLOOKUP(YEAR(D252)+(MONTH(D252)/100),TC!$5:$437,DAY(D252)+2,FALSE),VLOOKUP(F252,Equivalencia!$1:$23,((MAX(Equivalencia!$3:$3)-YEAR(D252))*14)+MONTH(D252)+2,FALSE)))</f>
        <v>1</v>
      </c>
      <c r="I252" s="251">
        <f t="shared" si="23"/>
        <v>506.23</v>
      </c>
      <c r="J252" s="162">
        <f>IF(D252=0,0,HLOOKUP(YEAR(D252)+(MONTH(D252)/100),TC!$5:$37,DAY(D252)+2,FALSE))</f>
        <v>20.372</v>
      </c>
      <c r="K252" s="250">
        <f t="shared" si="24"/>
        <v>10312.91756</v>
      </c>
    </row>
    <row r="253" spans="2:11" s="134" customFormat="1" ht="23" customHeight="1">
      <c r="B253" s="7" t="s">
        <v>1266</v>
      </c>
      <c r="C253" s="7" t="s">
        <v>693</v>
      </c>
      <c r="D253" s="159">
        <v>44694</v>
      </c>
      <c r="E253" s="249" t="s">
        <v>789</v>
      </c>
      <c r="F253" s="7" t="s">
        <v>59</v>
      </c>
      <c r="G253" s="250">
        <v>138.6</v>
      </c>
      <c r="H253" s="162">
        <f>IF(F253=0,0,IF(F253="MXN",1/HLOOKUP(YEAR(D253)+(MONTH(D253)/100),TC!$5:$437,DAY(D253)+2,FALSE),VLOOKUP(F253,Equivalencia!$1:$23,((MAX(Equivalencia!$3:$3)-YEAR(D253))*14)+MONTH(D253)+2,FALSE)))</f>
        <v>1</v>
      </c>
      <c r="I253" s="251">
        <f t="shared" si="23"/>
        <v>138.6</v>
      </c>
      <c r="J253" s="162">
        <f>IF(D253=0,0,HLOOKUP(YEAR(D253)+(MONTH(D253)/100),TC!$5:$37,DAY(D253)+2,FALSE))</f>
        <v>20.2592</v>
      </c>
      <c r="K253" s="250">
        <f t="shared" si="24"/>
        <v>2807.9251199999999</v>
      </c>
    </row>
    <row r="254" spans="2:11" s="134" customFormat="1" ht="23" customHeight="1">
      <c r="B254" s="7" t="s">
        <v>1266</v>
      </c>
      <c r="C254" s="7" t="s">
        <v>693</v>
      </c>
      <c r="D254" s="159">
        <v>44694</v>
      </c>
      <c r="E254" s="249" t="s">
        <v>753</v>
      </c>
      <c r="F254" s="7" t="s">
        <v>59</v>
      </c>
      <c r="G254" s="250">
        <v>567</v>
      </c>
      <c r="H254" s="162">
        <f>IF(F254=0,0,IF(F254="MXN",1/HLOOKUP(YEAR(D254)+(MONTH(D254)/100),TC!$5:$437,DAY(D254)+2,FALSE),VLOOKUP(F254,Equivalencia!$1:$23,((MAX(Equivalencia!$3:$3)-YEAR(D254))*14)+MONTH(D254)+2,FALSE)))</f>
        <v>1</v>
      </c>
      <c r="I254" s="251">
        <f t="shared" si="23"/>
        <v>567</v>
      </c>
      <c r="J254" s="162">
        <f>IF(D254=0,0,HLOOKUP(YEAR(D254)+(MONTH(D254)/100),TC!$5:$37,DAY(D254)+2,FALSE))</f>
        <v>20.2592</v>
      </c>
      <c r="K254" s="250">
        <f t="shared" si="24"/>
        <v>11486.966399999999</v>
      </c>
    </row>
    <row r="255" spans="2:11" s="134" customFormat="1" ht="23" customHeight="1">
      <c r="B255" s="7" t="s">
        <v>1266</v>
      </c>
      <c r="C255" s="7" t="s">
        <v>693</v>
      </c>
      <c r="D255" s="159">
        <v>44697</v>
      </c>
      <c r="E255" s="249" t="s">
        <v>751</v>
      </c>
      <c r="F255" s="7" t="s">
        <v>59</v>
      </c>
      <c r="G255" s="250">
        <v>482.22</v>
      </c>
      <c r="H255" s="162">
        <f>IF(F255=0,0,IF(F255="MXN",1/HLOOKUP(YEAR(D255)+(MONTH(D255)/100),TC!$5:$437,DAY(D255)+2,FALSE),VLOOKUP(F255,Equivalencia!$1:$23,((MAX(Equivalencia!$3:$3)-YEAR(D255))*14)+MONTH(D255)+2,FALSE)))</f>
        <v>1</v>
      </c>
      <c r="I255" s="251">
        <f t="shared" si="23"/>
        <v>482.22</v>
      </c>
      <c r="J255" s="162">
        <f>IF(D255=0,0,HLOOKUP(YEAR(D255)+(MONTH(D255)/100),TC!$5:$37,DAY(D255)+2,FALSE))</f>
        <v>20.32</v>
      </c>
      <c r="K255" s="250">
        <f t="shared" si="24"/>
        <v>9798.7103999999999</v>
      </c>
    </row>
    <row r="256" spans="2:11" s="134" customFormat="1" ht="23" customHeight="1">
      <c r="B256" s="7" t="s">
        <v>1266</v>
      </c>
      <c r="C256" s="7" t="s">
        <v>693</v>
      </c>
      <c r="D256" s="159">
        <v>44697</v>
      </c>
      <c r="E256" s="249" t="s">
        <v>752</v>
      </c>
      <c r="F256" s="7" t="s">
        <v>59</v>
      </c>
      <c r="G256" s="250">
        <v>846</v>
      </c>
      <c r="H256" s="162">
        <f>IF(F256=0,0,IF(F256="MXN",1/HLOOKUP(YEAR(D256)+(MONTH(D256)/100),TC!$5:$437,DAY(D256)+2,FALSE),VLOOKUP(F256,Equivalencia!$1:$23,((MAX(Equivalencia!$3:$3)-YEAR(D256))*14)+MONTH(D256)+2,FALSE)))</f>
        <v>1</v>
      </c>
      <c r="I256" s="251">
        <f t="shared" si="23"/>
        <v>846</v>
      </c>
      <c r="J256" s="162">
        <f>IF(D256=0,0,HLOOKUP(YEAR(D256)+(MONTH(D256)/100),TC!$5:$37,DAY(D256)+2,FALSE))</f>
        <v>20.32</v>
      </c>
      <c r="K256" s="250">
        <f t="shared" si="24"/>
        <v>17190.72</v>
      </c>
    </row>
    <row r="257" spans="2:11" s="134" customFormat="1" ht="23" customHeight="1">
      <c r="B257" s="7" t="s">
        <v>1266</v>
      </c>
      <c r="C257" s="7" t="s">
        <v>693</v>
      </c>
      <c r="D257" s="159">
        <v>44697</v>
      </c>
      <c r="E257" s="249" t="s">
        <v>754</v>
      </c>
      <c r="F257" s="7" t="s">
        <v>59</v>
      </c>
      <c r="G257" s="250">
        <v>306.87</v>
      </c>
      <c r="H257" s="162">
        <f>IF(F257=0,0,IF(F257="MXN",1/HLOOKUP(YEAR(D257)+(MONTH(D257)/100),TC!$5:$437,DAY(D257)+2,FALSE),VLOOKUP(F257,Equivalencia!$1:$23,((MAX(Equivalencia!$3:$3)-YEAR(D257))*14)+MONTH(D257)+2,FALSE)))</f>
        <v>1</v>
      </c>
      <c r="I257" s="251">
        <f t="shared" si="23"/>
        <v>306.87</v>
      </c>
      <c r="J257" s="162">
        <f>IF(D257=0,0,HLOOKUP(YEAR(D257)+(MONTH(D257)/100),TC!$5:$37,DAY(D257)+2,FALSE))</f>
        <v>20.32</v>
      </c>
      <c r="K257" s="250">
        <f t="shared" si="24"/>
        <v>6235.5983999999999</v>
      </c>
    </row>
    <row r="258" spans="2:11" s="134" customFormat="1" ht="23" customHeight="1">
      <c r="B258" s="7" t="s">
        <v>1266</v>
      </c>
      <c r="C258" s="7" t="s">
        <v>693</v>
      </c>
      <c r="D258" s="159">
        <v>44698</v>
      </c>
      <c r="E258" s="249" t="s">
        <v>749</v>
      </c>
      <c r="F258" s="7" t="s">
        <v>59</v>
      </c>
      <c r="G258" s="250">
        <v>702.65</v>
      </c>
      <c r="H258" s="162">
        <f>IF(F258=0,0,IF(F258="MXN",1/HLOOKUP(YEAR(D258)+(MONTH(D258)/100),TC!$5:$437,DAY(D258)+2,FALSE),VLOOKUP(F258,Equivalencia!$1:$23,((MAX(Equivalencia!$3:$3)-YEAR(D258))*14)+MONTH(D258)+2,FALSE)))</f>
        <v>1</v>
      </c>
      <c r="I258" s="251">
        <f t="shared" si="23"/>
        <v>702.65</v>
      </c>
      <c r="J258" s="162">
        <f>IF(D258=0,0,HLOOKUP(YEAR(D258)+(MONTH(D258)/100),TC!$5:$37,DAY(D258)+2,FALSE))</f>
        <v>20.144300000000001</v>
      </c>
      <c r="K258" s="250">
        <f t="shared" si="24"/>
        <v>14154.392395000001</v>
      </c>
    </row>
    <row r="259" spans="2:11" s="134" customFormat="1" ht="23" customHeight="1">
      <c r="B259" s="7" t="s">
        <v>1266</v>
      </c>
      <c r="C259" s="7" t="s">
        <v>693</v>
      </c>
      <c r="D259" s="159">
        <v>44701</v>
      </c>
      <c r="E259" s="249" t="s">
        <v>757</v>
      </c>
      <c r="F259" s="7" t="s">
        <v>59</v>
      </c>
      <c r="G259" s="250">
        <v>441.25</v>
      </c>
      <c r="H259" s="162">
        <f>IF(F259=0,0,IF(F259="MXN",1/HLOOKUP(YEAR(D259)+(MONTH(D259)/100),TC!$5:$437,DAY(D259)+2,FALSE),VLOOKUP(F259,Equivalencia!$1:$23,((MAX(Equivalencia!$3:$3)-YEAR(D259))*14)+MONTH(D259)+2,FALSE)))</f>
        <v>1</v>
      </c>
      <c r="I259" s="251">
        <f t="shared" si="23"/>
        <v>441.25</v>
      </c>
      <c r="J259" s="162">
        <f>IF(D259=0,0,HLOOKUP(YEAR(D259)+(MONTH(D259)/100),TC!$5:$37,DAY(D259)+2,FALSE))</f>
        <v>19.9663</v>
      </c>
      <c r="K259" s="250">
        <f t="shared" si="24"/>
        <v>8810.1298750000005</v>
      </c>
    </row>
    <row r="260" spans="2:11" s="134" customFormat="1" ht="23" customHeight="1">
      <c r="B260" s="7" t="s">
        <v>1266</v>
      </c>
      <c r="C260" s="7" t="s">
        <v>693</v>
      </c>
      <c r="D260" s="159">
        <v>44701</v>
      </c>
      <c r="E260" s="249" t="s">
        <v>756</v>
      </c>
      <c r="F260" s="7" t="s">
        <v>59</v>
      </c>
      <c r="G260" s="250">
        <v>303.8</v>
      </c>
      <c r="H260" s="162">
        <f>IF(F260=0,0,IF(F260="MXN",1/HLOOKUP(YEAR(D260)+(MONTH(D260)/100),TC!$5:$437,DAY(D260)+2,FALSE),VLOOKUP(F260,Equivalencia!$1:$23,((MAX(Equivalencia!$3:$3)-YEAR(D260))*14)+MONTH(D260)+2,FALSE)))</f>
        <v>1</v>
      </c>
      <c r="I260" s="251">
        <f t="shared" si="23"/>
        <v>303.8</v>
      </c>
      <c r="J260" s="162">
        <f>IF(D260=0,0,HLOOKUP(YEAR(D260)+(MONTH(D260)/100),TC!$5:$37,DAY(D260)+2,FALSE))</f>
        <v>19.9663</v>
      </c>
      <c r="K260" s="250">
        <f t="shared" si="24"/>
        <v>6065.7619400000003</v>
      </c>
    </row>
    <row r="261" spans="2:11" s="134" customFormat="1" ht="23" customHeight="1">
      <c r="B261" s="7" t="s">
        <v>1266</v>
      </c>
      <c r="C261" s="7" t="s">
        <v>693</v>
      </c>
      <c r="D261" s="159">
        <v>44708</v>
      </c>
      <c r="E261" s="249" t="s">
        <v>735</v>
      </c>
      <c r="F261" s="7" t="s">
        <v>59</v>
      </c>
      <c r="G261" s="250">
        <v>290.64</v>
      </c>
      <c r="H261" s="162">
        <f>IF(F261=0,0,IF(F261="MXN",1/HLOOKUP(YEAR(D261)+(MONTH(D261)/100),TC!$5:$437,DAY(D261)+2,FALSE),VLOOKUP(F261,Equivalencia!$1:$23,((MAX(Equivalencia!$3:$3)-YEAR(D261))*14)+MONTH(D261)+2,FALSE)))</f>
        <v>1</v>
      </c>
      <c r="I261" s="251">
        <f t="shared" si="23"/>
        <v>290.64</v>
      </c>
      <c r="J261" s="162">
        <f>IF(D261=0,0,HLOOKUP(YEAR(D261)+(MONTH(D261)/100),TC!$5:$37,DAY(D261)+2,FALSE))</f>
        <v>19.837700000000002</v>
      </c>
      <c r="K261" s="250">
        <f t="shared" si="24"/>
        <v>5765.6291280000005</v>
      </c>
    </row>
    <row r="262" spans="2:11" s="134" customFormat="1" ht="23" customHeight="1">
      <c r="B262" s="7" t="s">
        <v>1266</v>
      </c>
      <c r="C262" s="7" t="s">
        <v>693</v>
      </c>
      <c r="D262" s="159">
        <v>44713</v>
      </c>
      <c r="E262" s="249" t="s">
        <v>738</v>
      </c>
      <c r="F262" s="7" t="s">
        <v>59</v>
      </c>
      <c r="G262" s="250">
        <v>528.08000000000004</v>
      </c>
      <c r="H262" s="162">
        <f>IF(F262=0,0,IF(F262="MXN",1/HLOOKUP(YEAR(D262)+(MONTH(D262)/100),TC!$5:$437,DAY(D262)+2,FALSE),VLOOKUP(F262,Equivalencia!$1:$23,((MAX(Equivalencia!$3:$3)-YEAR(D262))*14)+MONTH(D262)+2,FALSE)))</f>
        <v>1</v>
      </c>
      <c r="I262" s="251">
        <f t="shared" ref="I262:I301" si="25">G262*H262</f>
        <v>528.08000000000004</v>
      </c>
      <c r="J262" s="162">
        <f>IF(D262=0,0,HLOOKUP(YEAR(D262)+(MONTH(D262)/100),TC!$5:$37,DAY(D262)+2,FALSE))</f>
        <v>19.4953</v>
      </c>
      <c r="K262" s="250">
        <f t="shared" ref="K262:K301" si="26">I262*J262</f>
        <v>10295.078024</v>
      </c>
    </row>
    <row r="263" spans="2:11" s="134" customFormat="1" ht="23" customHeight="1">
      <c r="B263" s="7" t="s">
        <v>1266</v>
      </c>
      <c r="C263" s="7" t="s">
        <v>693</v>
      </c>
      <c r="D263" s="159">
        <v>44713</v>
      </c>
      <c r="E263" s="249" t="s">
        <v>758</v>
      </c>
      <c r="F263" s="7" t="s">
        <v>59</v>
      </c>
      <c r="G263" s="250">
        <v>589.11</v>
      </c>
      <c r="H263" s="162">
        <f>IF(F263=0,0,IF(F263="MXN",1/HLOOKUP(YEAR(D263)+(MONTH(D263)/100),TC!$5:$437,DAY(D263)+2,FALSE),VLOOKUP(F263,Equivalencia!$1:$23,((MAX(Equivalencia!$3:$3)-YEAR(D263))*14)+MONTH(D263)+2,FALSE)))</f>
        <v>1</v>
      </c>
      <c r="I263" s="251">
        <f t="shared" si="25"/>
        <v>589.11</v>
      </c>
      <c r="J263" s="162">
        <f>IF(D263=0,0,HLOOKUP(YEAR(D263)+(MONTH(D263)/100),TC!$5:$37,DAY(D263)+2,FALSE))</f>
        <v>19.4953</v>
      </c>
      <c r="K263" s="250">
        <f t="shared" si="26"/>
        <v>11484.876183</v>
      </c>
    </row>
    <row r="264" spans="2:11" s="134" customFormat="1" ht="23" customHeight="1">
      <c r="B264" s="7" t="s">
        <v>1266</v>
      </c>
      <c r="C264" s="7" t="s">
        <v>693</v>
      </c>
      <c r="D264" s="159">
        <v>44713</v>
      </c>
      <c r="E264" s="249" t="s">
        <v>759</v>
      </c>
      <c r="F264" s="7" t="s">
        <v>59</v>
      </c>
      <c r="G264" s="250">
        <v>383.63</v>
      </c>
      <c r="H264" s="162">
        <f>IF(F264=0,0,IF(F264="MXN",1/HLOOKUP(YEAR(D264)+(MONTH(D264)/100),TC!$5:$437,DAY(D264)+2,FALSE),VLOOKUP(F264,Equivalencia!$1:$23,((MAX(Equivalencia!$3:$3)-YEAR(D264))*14)+MONTH(D264)+2,FALSE)))</f>
        <v>1</v>
      </c>
      <c r="I264" s="251">
        <f t="shared" si="25"/>
        <v>383.63</v>
      </c>
      <c r="J264" s="162">
        <f>IF(D264=0,0,HLOOKUP(YEAR(D264)+(MONTH(D264)/100),TC!$5:$37,DAY(D264)+2,FALSE))</f>
        <v>19.4953</v>
      </c>
      <c r="K264" s="250">
        <f t="shared" si="26"/>
        <v>7478.9819390000002</v>
      </c>
    </row>
    <row r="265" spans="2:11" s="134" customFormat="1" ht="23" customHeight="1">
      <c r="B265" s="7" t="s">
        <v>1266</v>
      </c>
      <c r="C265" s="7" t="s">
        <v>693</v>
      </c>
      <c r="D265" s="159">
        <v>44713</v>
      </c>
      <c r="E265" s="249" t="s">
        <v>760</v>
      </c>
      <c r="F265" s="7" t="s">
        <v>59</v>
      </c>
      <c r="G265" s="250">
        <v>414.75</v>
      </c>
      <c r="H265" s="162">
        <f>IF(F265=0,0,IF(F265="MXN",1/HLOOKUP(YEAR(D265)+(MONTH(D265)/100),TC!$5:$437,DAY(D265)+2,FALSE),VLOOKUP(F265,Equivalencia!$1:$23,((MAX(Equivalencia!$3:$3)-YEAR(D265))*14)+MONTH(D265)+2,FALSE)))</f>
        <v>1</v>
      </c>
      <c r="I265" s="251">
        <f t="shared" si="25"/>
        <v>414.75</v>
      </c>
      <c r="J265" s="162">
        <f>IF(D265=0,0,HLOOKUP(YEAR(D265)+(MONTH(D265)/100),TC!$5:$37,DAY(D265)+2,FALSE))</f>
        <v>19.4953</v>
      </c>
      <c r="K265" s="250">
        <f t="shared" si="26"/>
        <v>8085.6756750000004</v>
      </c>
    </row>
    <row r="266" spans="2:11" s="134" customFormat="1" ht="23" customHeight="1">
      <c r="B266" s="7" t="s">
        <v>1266</v>
      </c>
      <c r="C266" s="7" t="s">
        <v>693</v>
      </c>
      <c r="D266" s="159">
        <v>44714</v>
      </c>
      <c r="E266" s="249" t="s">
        <v>761</v>
      </c>
      <c r="F266" s="7" t="s">
        <v>59</v>
      </c>
      <c r="G266" s="250">
        <v>636.61</v>
      </c>
      <c r="H266" s="162">
        <f>IF(F266=0,0,IF(F266="MXN",1/HLOOKUP(YEAR(D266)+(MONTH(D266)/100),TC!$5:$437,DAY(D266)+2,FALSE),VLOOKUP(F266,Equivalencia!$1:$23,((MAX(Equivalencia!$3:$3)-YEAR(D266))*14)+MONTH(D266)+2,FALSE)))</f>
        <v>1</v>
      </c>
      <c r="I266" s="251">
        <f t="shared" si="25"/>
        <v>636.61</v>
      </c>
      <c r="J266" s="162">
        <f>IF(D266=0,0,HLOOKUP(YEAR(D266)+(MONTH(D266)/100),TC!$5:$37,DAY(D266)+2,FALSE))</f>
        <v>19.693999999999999</v>
      </c>
      <c r="K266" s="250">
        <f t="shared" si="26"/>
        <v>12537.39734</v>
      </c>
    </row>
    <row r="267" spans="2:11" s="134" customFormat="1" ht="23" customHeight="1">
      <c r="B267" s="7" t="s">
        <v>1266</v>
      </c>
      <c r="C267" s="7" t="s">
        <v>693</v>
      </c>
      <c r="D267" s="159">
        <v>44714</v>
      </c>
      <c r="E267" s="249" t="s">
        <v>767</v>
      </c>
      <c r="F267" s="7" t="s">
        <v>59</v>
      </c>
      <c r="G267" s="250">
        <v>500.08</v>
      </c>
      <c r="H267" s="162">
        <f>IF(F267=0,0,IF(F267="MXN",1/HLOOKUP(YEAR(D267)+(MONTH(D267)/100),TC!$5:$437,DAY(D267)+2,FALSE),VLOOKUP(F267,Equivalencia!$1:$23,((MAX(Equivalencia!$3:$3)-YEAR(D267))*14)+MONTH(D267)+2,FALSE)))</f>
        <v>1</v>
      </c>
      <c r="I267" s="251">
        <f t="shared" si="25"/>
        <v>500.08</v>
      </c>
      <c r="J267" s="162">
        <f>IF(D267=0,0,HLOOKUP(YEAR(D267)+(MONTH(D267)/100),TC!$5:$37,DAY(D267)+2,FALSE))</f>
        <v>19.693999999999999</v>
      </c>
      <c r="K267" s="250">
        <f t="shared" si="26"/>
        <v>9848.5755199999985</v>
      </c>
    </row>
    <row r="268" spans="2:11" s="134" customFormat="1" ht="23" customHeight="1">
      <c r="B268" s="7" t="s">
        <v>1266</v>
      </c>
      <c r="C268" s="7" t="s">
        <v>693</v>
      </c>
      <c r="D268" s="159">
        <v>44715</v>
      </c>
      <c r="E268" s="249" t="s">
        <v>851</v>
      </c>
      <c r="F268" s="7" t="s">
        <v>59</v>
      </c>
      <c r="G268" s="250">
        <v>512.54</v>
      </c>
      <c r="H268" s="162">
        <f>IF(F268=0,0,IF(F268="MXN",1/HLOOKUP(YEAR(D268)+(MONTH(D268)/100),TC!$5:$437,DAY(D268)+2,FALSE),VLOOKUP(F268,Equivalencia!$1:$23,((MAX(Equivalencia!$3:$3)-YEAR(D268))*14)+MONTH(D268)+2,FALSE)))</f>
        <v>1</v>
      </c>
      <c r="I268" s="251">
        <f t="shared" si="25"/>
        <v>512.54</v>
      </c>
      <c r="J268" s="162">
        <f>IF(D268=0,0,HLOOKUP(YEAR(D268)+(MONTH(D268)/100),TC!$5:$37,DAY(D268)+2,FALSE))</f>
        <v>19.738800000000001</v>
      </c>
      <c r="K268" s="250">
        <f t="shared" si="26"/>
        <v>10116.924552</v>
      </c>
    </row>
    <row r="269" spans="2:11" s="134" customFormat="1" ht="23" customHeight="1">
      <c r="B269" s="7" t="s">
        <v>1266</v>
      </c>
      <c r="C269" s="7" t="s">
        <v>693</v>
      </c>
      <c r="D269" s="159">
        <v>44715</v>
      </c>
      <c r="E269" s="249" t="s">
        <v>762</v>
      </c>
      <c r="F269" s="7" t="s">
        <v>59</v>
      </c>
      <c r="G269" s="250">
        <v>496.09</v>
      </c>
      <c r="H269" s="162">
        <f>IF(F269=0,0,IF(F269="MXN",1/HLOOKUP(YEAR(D269)+(MONTH(D269)/100),TC!$5:$437,DAY(D269)+2,FALSE),VLOOKUP(F269,Equivalencia!$1:$23,((MAX(Equivalencia!$3:$3)-YEAR(D269))*14)+MONTH(D269)+2,FALSE)))</f>
        <v>1</v>
      </c>
      <c r="I269" s="251">
        <f t="shared" si="25"/>
        <v>496.09</v>
      </c>
      <c r="J269" s="162">
        <f>IF(D269=0,0,HLOOKUP(YEAR(D269)+(MONTH(D269)/100),TC!$5:$37,DAY(D269)+2,FALSE))</f>
        <v>19.738800000000001</v>
      </c>
      <c r="K269" s="250">
        <f t="shared" si="26"/>
        <v>9792.2212920000002</v>
      </c>
    </row>
    <row r="270" spans="2:11" s="134" customFormat="1" ht="23" customHeight="1">
      <c r="B270" s="7" t="s">
        <v>1266</v>
      </c>
      <c r="C270" s="7" t="s">
        <v>693</v>
      </c>
      <c r="D270" s="159">
        <v>44715</v>
      </c>
      <c r="E270" s="249" t="s">
        <v>769</v>
      </c>
      <c r="F270" s="7" t="s">
        <v>59</v>
      </c>
      <c r="G270" s="250">
        <v>199.8</v>
      </c>
      <c r="H270" s="162">
        <f>IF(F270=0,0,IF(F270="MXN",1/HLOOKUP(YEAR(D270)+(MONTH(D270)/100),TC!$5:$437,DAY(D270)+2,FALSE),VLOOKUP(F270,Equivalencia!$1:$23,((MAX(Equivalencia!$3:$3)-YEAR(D270))*14)+MONTH(D270)+2,FALSE)))</f>
        <v>1</v>
      </c>
      <c r="I270" s="251">
        <f t="shared" si="25"/>
        <v>199.8</v>
      </c>
      <c r="J270" s="162">
        <f>IF(D270=0,0,HLOOKUP(YEAR(D270)+(MONTH(D270)/100),TC!$5:$37,DAY(D270)+2,FALSE))</f>
        <v>19.738800000000001</v>
      </c>
      <c r="K270" s="250">
        <f t="shared" si="26"/>
        <v>3943.8122400000007</v>
      </c>
    </row>
    <row r="271" spans="2:11" s="134" customFormat="1" ht="23" customHeight="1">
      <c r="B271" s="7" t="s">
        <v>1266</v>
      </c>
      <c r="C271" s="7" t="s">
        <v>693</v>
      </c>
      <c r="D271" s="159">
        <v>44721</v>
      </c>
      <c r="E271" s="249" t="s">
        <v>727</v>
      </c>
      <c r="F271" s="7" t="s">
        <v>59</v>
      </c>
      <c r="G271" s="250">
        <v>1401.2</v>
      </c>
      <c r="H271" s="162">
        <f>IF(F271=0,0,IF(F271="MXN",1/HLOOKUP(YEAR(D271)+(MONTH(D271)/100),TC!$5:$437,DAY(D271)+2,FALSE),VLOOKUP(F271,Equivalencia!$1:$23,((MAX(Equivalencia!$3:$3)-YEAR(D271))*14)+MONTH(D271)+2,FALSE)))</f>
        <v>1</v>
      </c>
      <c r="I271" s="251">
        <f t="shared" si="25"/>
        <v>1401.2</v>
      </c>
      <c r="J271" s="162">
        <f>IF(D271=0,0,HLOOKUP(YEAR(D271)+(MONTH(D271)/100),TC!$5:$37,DAY(D271)+2,FALSE))</f>
        <v>19.599799999999998</v>
      </c>
      <c r="K271" s="250">
        <f t="shared" si="26"/>
        <v>27463.239759999997</v>
      </c>
    </row>
    <row r="272" spans="2:11" s="134" customFormat="1" ht="23" customHeight="1">
      <c r="B272" s="7" t="s">
        <v>1266</v>
      </c>
      <c r="C272" s="7" t="s">
        <v>693</v>
      </c>
      <c r="D272" s="159">
        <v>44722</v>
      </c>
      <c r="E272" s="249" t="s">
        <v>852</v>
      </c>
      <c r="F272" s="7" t="s">
        <v>59</v>
      </c>
      <c r="G272" s="250">
        <v>479.6</v>
      </c>
      <c r="H272" s="162">
        <f>IF(F272=0,0,IF(F272="MXN",1/HLOOKUP(YEAR(D272)+(MONTH(D272)/100),TC!$5:$437,DAY(D272)+2,FALSE),VLOOKUP(F272,Equivalencia!$1:$23,((MAX(Equivalencia!$3:$3)-YEAR(D272))*14)+MONTH(D272)+2,FALSE)))</f>
        <v>1</v>
      </c>
      <c r="I272" s="251">
        <f t="shared" si="25"/>
        <v>479.6</v>
      </c>
      <c r="J272" s="162">
        <f>IF(D272=0,0,HLOOKUP(YEAR(D272)+(MONTH(D272)/100),TC!$5:$37,DAY(D272)+2,FALSE))</f>
        <v>19.59</v>
      </c>
      <c r="K272" s="250">
        <f t="shared" si="26"/>
        <v>9395.3639999999996</v>
      </c>
    </row>
    <row r="273" spans="2:11" s="134" customFormat="1" ht="23" customHeight="1">
      <c r="B273" s="7" t="s">
        <v>1266</v>
      </c>
      <c r="C273" s="7" t="s">
        <v>693</v>
      </c>
      <c r="D273" s="159">
        <v>44722</v>
      </c>
      <c r="E273" s="249" t="s">
        <v>763</v>
      </c>
      <c r="F273" s="7" t="s">
        <v>59</v>
      </c>
      <c r="G273" s="250">
        <v>418.7</v>
      </c>
      <c r="H273" s="162">
        <f>IF(F273=0,0,IF(F273="MXN",1/HLOOKUP(YEAR(D273)+(MONTH(D273)/100),TC!$5:$437,DAY(D273)+2,FALSE),VLOOKUP(F273,Equivalencia!$1:$23,((MAX(Equivalencia!$3:$3)-YEAR(D273))*14)+MONTH(D273)+2,FALSE)))</f>
        <v>1</v>
      </c>
      <c r="I273" s="251">
        <f t="shared" si="25"/>
        <v>418.7</v>
      </c>
      <c r="J273" s="162">
        <f>IF(D273=0,0,HLOOKUP(YEAR(D273)+(MONTH(D273)/100),TC!$5:$37,DAY(D273)+2,FALSE))</f>
        <v>19.59</v>
      </c>
      <c r="K273" s="250">
        <f t="shared" si="26"/>
        <v>8202.3330000000005</v>
      </c>
    </row>
    <row r="274" spans="2:11" s="134" customFormat="1" ht="23" customHeight="1">
      <c r="B274" s="7" t="s">
        <v>1266</v>
      </c>
      <c r="C274" s="7" t="s">
        <v>693</v>
      </c>
      <c r="D274" s="159">
        <v>44722</v>
      </c>
      <c r="E274" s="249" t="s">
        <v>764</v>
      </c>
      <c r="F274" s="7" t="s">
        <v>59</v>
      </c>
      <c r="G274" s="250">
        <v>202.72</v>
      </c>
      <c r="H274" s="162">
        <f>IF(F274=0,0,IF(F274="MXN",1/HLOOKUP(YEAR(D274)+(MONTH(D274)/100),TC!$5:$437,DAY(D274)+2,FALSE),VLOOKUP(F274,Equivalencia!$1:$23,((MAX(Equivalencia!$3:$3)-YEAR(D274))*14)+MONTH(D274)+2,FALSE)))</f>
        <v>1</v>
      </c>
      <c r="I274" s="251">
        <f t="shared" si="25"/>
        <v>202.72</v>
      </c>
      <c r="J274" s="162">
        <f>IF(D274=0,0,HLOOKUP(YEAR(D274)+(MONTH(D274)/100),TC!$5:$37,DAY(D274)+2,FALSE))</f>
        <v>19.59</v>
      </c>
      <c r="K274" s="250">
        <f t="shared" si="26"/>
        <v>3971.2847999999999</v>
      </c>
    </row>
    <row r="275" spans="2:11" s="134" customFormat="1" ht="23" customHeight="1">
      <c r="B275" s="7" t="s">
        <v>1266</v>
      </c>
      <c r="C275" s="7" t="s">
        <v>693</v>
      </c>
      <c r="D275" s="159">
        <v>44722</v>
      </c>
      <c r="E275" s="249" t="s">
        <v>765</v>
      </c>
      <c r="F275" s="7" t="s">
        <v>59</v>
      </c>
      <c r="G275" s="250">
        <v>191.25</v>
      </c>
      <c r="H275" s="162">
        <f>IF(F275=0,0,IF(F275="MXN",1/HLOOKUP(YEAR(D275)+(MONTH(D275)/100),TC!$5:$437,DAY(D275)+2,FALSE),VLOOKUP(F275,Equivalencia!$1:$23,((MAX(Equivalencia!$3:$3)-YEAR(D275))*14)+MONTH(D275)+2,FALSE)))</f>
        <v>1</v>
      </c>
      <c r="I275" s="251">
        <f t="shared" si="25"/>
        <v>191.25</v>
      </c>
      <c r="J275" s="162">
        <f>IF(D275=0,0,HLOOKUP(YEAR(D275)+(MONTH(D275)/100),TC!$5:$37,DAY(D275)+2,FALSE))</f>
        <v>19.59</v>
      </c>
      <c r="K275" s="250">
        <f t="shared" si="26"/>
        <v>3746.5875000000001</v>
      </c>
    </row>
    <row r="276" spans="2:11" s="134" customFormat="1" ht="23" customHeight="1">
      <c r="B276" s="7" t="s">
        <v>1266</v>
      </c>
      <c r="C276" s="7" t="s">
        <v>693</v>
      </c>
      <c r="D276" s="159">
        <v>44722</v>
      </c>
      <c r="E276" s="249" t="s">
        <v>766</v>
      </c>
      <c r="F276" s="7" t="s">
        <v>59</v>
      </c>
      <c r="G276" s="250">
        <v>290.7</v>
      </c>
      <c r="H276" s="162">
        <f>IF(F276=0,0,IF(F276="MXN",1/HLOOKUP(YEAR(D276)+(MONTH(D276)/100),TC!$5:$437,DAY(D276)+2,FALSE),VLOOKUP(F276,Equivalencia!$1:$23,((MAX(Equivalencia!$3:$3)-YEAR(D276))*14)+MONTH(D276)+2,FALSE)))</f>
        <v>1</v>
      </c>
      <c r="I276" s="251">
        <f t="shared" si="25"/>
        <v>290.7</v>
      </c>
      <c r="J276" s="162">
        <f>IF(D276=0,0,HLOOKUP(YEAR(D276)+(MONTH(D276)/100),TC!$5:$37,DAY(D276)+2,FALSE))</f>
        <v>19.59</v>
      </c>
      <c r="K276" s="250">
        <f t="shared" si="26"/>
        <v>5694.8130000000001</v>
      </c>
    </row>
    <row r="277" spans="2:11" s="134" customFormat="1" ht="23" customHeight="1">
      <c r="B277" s="7" t="s">
        <v>1266</v>
      </c>
      <c r="C277" s="7" t="s">
        <v>693</v>
      </c>
      <c r="D277" s="159">
        <v>44727</v>
      </c>
      <c r="E277" s="249" t="s">
        <v>853</v>
      </c>
      <c r="F277" s="7" t="s">
        <v>59</v>
      </c>
      <c r="G277" s="250">
        <v>6201.84</v>
      </c>
      <c r="H277" s="162">
        <f>IF(F277=0,0,IF(F277="MXN",1/HLOOKUP(YEAR(D277)+(MONTH(D277)/100),TC!$5:$437,DAY(D277)+2,FALSE),VLOOKUP(F277,Equivalencia!$1:$23,((MAX(Equivalencia!$3:$3)-YEAR(D277))*14)+MONTH(D277)+2,FALSE)))</f>
        <v>1</v>
      </c>
      <c r="I277" s="251">
        <f t="shared" si="25"/>
        <v>6201.84</v>
      </c>
      <c r="J277" s="162">
        <f>IF(D277=0,0,HLOOKUP(YEAR(D277)+(MONTH(D277)/100),TC!$5:$37,DAY(D277)+2,FALSE))</f>
        <v>20.4527</v>
      </c>
      <c r="K277" s="250">
        <f t="shared" si="26"/>
        <v>126844.37296800001</v>
      </c>
    </row>
    <row r="278" spans="2:11" s="134" customFormat="1" ht="23" customHeight="1">
      <c r="B278" s="7" t="s">
        <v>1266</v>
      </c>
      <c r="C278" s="7" t="s">
        <v>693</v>
      </c>
      <c r="D278" s="159">
        <v>44727</v>
      </c>
      <c r="E278" s="249" t="s">
        <v>854</v>
      </c>
      <c r="F278" s="7" t="s">
        <v>59</v>
      </c>
      <c r="G278" s="250">
        <v>159.6</v>
      </c>
      <c r="H278" s="162">
        <f>IF(F278=0,0,IF(F278="MXN",1/HLOOKUP(YEAR(D278)+(MONTH(D278)/100),TC!$5:$437,DAY(D278)+2,FALSE),VLOOKUP(F278,Equivalencia!$1:$23,((MAX(Equivalencia!$3:$3)-YEAR(D278))*14)+MONTH(D278)+2,FALSE)))</f>
        <v>1</v>
      </c>
      <c r="I278" s="251">
        <f t="shared" si="25"/>
        <v>159.6</v>
      </c>
      <c r="J278" s="162">
        <f>IF(D278=0,0,HLOOKUP(YEAR(D278)+(MONTH(D278)/100),TC!$5:$37,DAY(D278)+2,FALSE))</f>
        <v>20.4527</v>
      </c>
      <c r="K278" s="250">
        <f t="shared" si="26"/>
        <v>3264.25092</v>
      </c>
    </row>
    <row r="279" spans="2:11" s="134" customFormat="1" ht="23" customHeight="1">
      <c r="B279" s="7" t="s">
        <v>1266</v>
      </c>
      <c r="C279" s="7" t="s">
        <v>693</v>
      </c>
      <c r="D279" s="159">
        <v>44727</v>
      </c>
      <c r="E279" s="249" t="s">
        <v>855</v>
      </c>
      <c r="F279" s="7" t="s">
        <v>59</v>
      </c>
      <c r="G279" s="250">
        <v>0.14000000000000001</v>
      </c>
      <c r="H279" s="162">
        <f>IF(F279=0,0,IF(F279="MXN",1/HLOOKUP(YEAR(D279)+(MONTH(D279)/100),TC!$5:$437,DAY(D279)+2,FALSE),VLOOKUP(F279,Equivalencia!$1:$23,((MAX(Equivalencia!$3:$3)-YEAR(D279))*14)+MONTH(D279)+2,FALSE)))</f>
        <v>1</v>
      </c>
      <c r="I279" s="251">
        <f t="shared" si="25"/>
        <v>0.14000000000000001</v>
      </c>
      <c r="J279" s="162">
        <f>IF(D279=0,0,HLOOKUP(YEAR(D279)+(MONTH(D279)/100),TC!$5:$37,DAY(D279)+2,FALSE))</f>
        <v>20.4527</v>
      </c>
      <c r="K279" s="250">
        <f t="shared" si="26"/>
        <v>2.8633780000000004</v>
      </c>
    </row>
    <row r="280" spans="2:11" s="134" customFormat="1" ht="23" customHeight="1">
      <c r="B280" s="7" t="s">
        <v>1266</v>
      </c>
      <c r="C280" s="7" t="s">
        <v>693</v>
      </c>
      <c r="D280" s="159">
        <v>44727</v>
      </c>
      <c r="E280" s="249" t="s">
        <v>731</v>
      </c>
      <c r="F280" s="7" t="s">
        <v>59</v>
      </c>
      <c r="G280" s="250">
        <v>212.93</v>
      </c>
      <c r="H280" s="162">
        <f>IF(F280=0,0,IF(F280="MXN",1/HLOOKUP(YEAR(D280)+(MONTH(D280)/100),TC!$5:$437,DAY(D280)+2,FALSE),VLOOKUP(F280,Equivalencia!$1:$23,((MAX(Equivalencia!$3:$3)-YEAR(D280))*14)+MONTH(D280)+2,FALSE)))</f>
        <v>1</v>
      </c>
      <c r="I280" s="251">
        <f t="shared" si="25"/>
        <v>212.93</v>
      </c>
      <c r="J280" s="162">
        <f>IF(D280=0,0,HLOOKUP(YEAR(D280)+(MONTH(D280)/100),TC!$5:$37,DAY(D280)+2,FALSE))</f>
        <v>20.4527</v>
      </c>
      <c r="K280" s="250">
        <f t="shared" si="26"/>
        <v>4354.9934110000004</v>
      </c>
    </row>
    <row r="281" spans="2:11" s="134" customFormat="1" ht="23" customHeight="1">
      <c r="B281" s="7" t="s">
        <v>1266</v>
      </c>
      <c r="C281" s="7" t="s">
        <v>693</v>
      </c>
      <c r="D281" s="159">
        <v>44728</v>
      </c>
      <c r="E281" s="249" t="s">
        <v>772</v>
      </c>
      <c r="F281" s="7" t="s">
        <v>59</v>
      </c>
      <c r="G281" s="250">
        <v>255.58</v>
      </c>
      <c r="H281" s="162">
        <f>IF(F281=0,0,IF(F281="MXN",1/HLOOKUP(YEAR(D281)+(MONTH(D281)/100),TC!$5:$437,DAY(D281)+2,FALSE),VLOOKUP(F281,Equivalencia!$1:$23,((MAX(Equivalencia!$3:$3)-YEAR(D281))*14)+MONTH(D281)+2,FALSE)))</f>
        <v>1</v>
      </c>
      <c r="I281" s="251">
        <f t="shared" si="25"/>
        <v>255.58</v>
      </c>
      <c r="J281" s="162">
        <f>IF(D281=0,0,HLOOKUP(YEAR(D281)+(MONTH(D281)/100),TC!$5:$37,DAY(D281)+2,FALSE))</f>
        <v>20.658300000000001</v>
      </c>
      <c r="K281" s="250">
        <f t="shared" si="26"/>
        <v>5279.8483140000008</v>
      </c>
    </row>
    <row r="282" spans="2:11" s="134" customFormat="1" ht="23" customHeight="1">
      <c r="B282" s="7" t="s">
        <v>1266</v>
      </c>
      <c r="C282" s="7" t="s">
        <v>693</v>
      </c>
      <c r="D282" s="159">
        <v>44728</v>
      </c>
      <c r="E282" s="249" t="s">
        <v>775</v>
      </c>
      <c r="F282" s="7" t="s">
        <v>59</v>
      </c>
      <c r="G282" s="250">
        <v>712.5</v>
      </c>
      <c r="H282" s="162">
        <f>IF(F282=0,0,IF(F282="MXN",1/HLOOKUP(YEAR(D282)+(MONTH(D282)/100),TC!$5:$437,DAY(D282)+2,FALSE),VLOOKUP(F282,Equivalencia!$1:$23,((MAX(Equivalencia!$3:$3)-YEAR(D282))*14)+MONTH(D282)+2,FALSE)))</f>
        <v>1</v>
      </c>
      <c r="I282" s="251">
        <f t="shared" si="25"/>
        <v>712.5</v>
      </c>
      <c r="J282" s="162">
        <f>IF(D282=0,0,HLOOKUP(YEAR(D282)+(MONTH(D282)/100),TC!$5:$37,DAY(D282)+2,FALSE))</f>
        <v>20.658300000000001</v>
      </c>
      <c r="K282" s="250">
        <f t="shared" si="26"/>
        <v>14719.03875</v>
      </c>
    </row>
    <row r="283" spans="2:11" s="134" customFormat="1" ht="23" customHeight="1">
      <c r="B283" s="7" t="s">
        <v>1266</v>
      </c>
      <c r="C283" s="7" t="s">
        <v>693</v>
      </c>
      <c r="D283" s="159">
        <v>44728</v>
      </c>
      <c r="E283" s="249" t="s">
        <v>776</v>
      </c>
      <c r="F283" s="7" t="s">
        <v>59</v>
      </c>
      <c r="G283" s="250">
        <v>464.2</v>
      </c>
      <c r="H283" s="162">
        <f>IF(F283=0,0,IF(F283="MXN",1/HLOOKUP(YEAR(D283)+(MONTH(D283)/100),TC!$5:$437,DAY(D283)+2,FALSE),VLOOKUP(F283,Equivalencia!$1:$23,((MAX(Equivalencia!$3:$3)-YEAR(D283))*14)+MONTH(D283)+2,FALSE)))</f>
        <v>1</v>
      </c>
      <c r="I283" s="251">
        <f t="shared" si="25"/>
        <v>464.2</v>
      </c>
      <c r="J283" s="162">
        <f>IF(D283=0,0,HLOOKUP(YEAR(D283)+(MONTH(D283)/100),TC!$5:$37,DAY(D283)+2,FALSE))</f>
        <v>20.658300000000001</v>
      </c>
      <c r="K283" s="250">
        <f t="shared" si="26"/>
        <v>9589.5828600000004</v>
      </c>
    </row>
    <row r="284" spans="2:11" s="134" customFormat="1" ht="23" customHeight="1">
      <c r="B284" s="7" t="s">
        <v>1266</v>
      </c>
      <c r="C284" s="7" t="s">
        <v>693</v>
      </c>
      <c r="D284" s="159">
        <v>44729</v>
      </c>
      <c r="E284" s="249" t="s">
        <v>778</v>
      </c>
      <c r="F284" s="7" t="s">
        <v>59</v>
      </c>
      <c r="G284" s="250">
        <v>296.01</v>
      </c>
      <c r="H284" s="162">
        <f>IF(F284=0,0,IF(F284="MXN",1/HLOOKUP(YEAR(D284)+(MONTH(D284)/100),TC!$5:$437,DAY(D284)+2,FALSE),VLOOKUP(F284,Equivalencia!$1:$23,((MAX(Equivalencia!$3:$3)-YEAR(D284))*14)+MONTH(D284)+2,FALSE)))</f>
        <v>1</v>
      </c>
      <c r="I284" s="251">
        <f t="shared" si="25"/>
        <v>296.01</v>
      </c>
      <c r="J284" s="162">
        <f>IF(D284=0,0,HLOOKUP(YEAR(D284)+(MONTH(D284)/100),TC!$5:$37,DAY(D284)+2,FALSE))</f>
        <v>20.6675</v>
      </c>
      <c r="K284" s="250">
        <f t="shared" si="26"/>
        <v>6117.7866750000003</v>
      </c>
    </row>
    <row r="285" spans="2:11" s="134" customFormat="1" ht="23" customHeight="1">
      <c r="B285" s="7" t="s">
        <v>1266</v>
      </c>
      <c r="C285" s="7" t="s">
        <v>693</v>
      </c>
      <c r="D285" s="159">
        <v>44733</v>
      </c>
      <c r="E285" s="249" t="s">
        <v>771</v>
      </c>
      <c r="F285" s="7" t="s">
        <v>59</v>
      </c>
      <c r="G285" s="250">
        <v>465.06</v>
      </c>
      <c r="H285" s="162">
        <f>IF(F285=0,0,IF(F285="MXN",1/HLOOKUP(YEAR(D285)+(MONTH(D285)/100),TC!$5:$437,DAY(D285)+2,FALSE),VLOOKUP(F285,Equivalencia!$1:$23,((MAX(Equivalencia!$3:$3)-YEAR(D285))*14)+MONTH(D285)+2,FALSE)))</f>
        <v>1</v>
      </c>
      <c r="I285" s="251">
        <f t="shared" si="25"/>
        <v>465.06</v>
      </c>
      <c r="J285" s="162">
        <f>IF(D285=0,0,HLOOKUP(YEAR(D285)+(MONTH(D285)/100),TC!$5:$37,DAY(D285)+2,FALSE))</f>
        <v>20.475999999999999</v>
      </c>
      <c r="K285" s="250">
        <f t="shared" si="26"/>
        <v>9522.5685599999997</v>
      </c>
    </row>
    <row r="286" spans="2:11" s="134" customFormat="1" ht="23" customHeight="1">
      <c r="B286" s="7" t="s">
        <v>1266</v>
      </c>
      <c r="C286" s="7" t="s">
        <v>693</v>
      </c>
      <c r="D286" s="159">
        <v>44733</v>
      </c>
      <c r="E286" s="249" t="s">
        <v>773</v>
      </c>
      <c r="F286" s="7" t="s">
        <v>59</v>
      </c>
      <c r="G286" s="250">
        <v>402.5</v>
      </c>
      <c r="H286" s="162">
        <f>IF(F286=0,0,IF(F286="MXN",1/HLOOKUP(YEAR(D286)+(MONTH(D286)/100),TC!$5:$437,DAY(D286)+2,FALSE),VLOOKUP(F286,Equivalencia!$1:$23,((MAX(Equivalencia!$3:$3)-YEAR(D286))*14)+MONTH(D286)+2,FALSE)))</f>
        <v>1</v>
      </c>
      <c r="I286" s="251">
        <f t="shared" si="25"/>
        <v>402.5</v>
      </c>
      <c r="J286" s="162">
        <f>IF(D286=0,0,HLOOKUP(YEAR(D286)+(MONTH(D286)/100),TC!$5:$37,DAY(D286)+2,FALSE))</f>
        <v>20.475999999999999</v>
      </c>
      <c r="K286" s="250">
        <f t="shared" si="26"/>
        <v>8241.59</v>
      </c>
    </row>
    <row r="287" spans="2:11" s="134" customFormat="1" ht="23" customHeight="1">
      <c r="B287" s="7" t="s">
        <v>1266</v>
      </c>
      <c r="C287" s="7" t="s">
        <v>693</v>
      </c>
      <c r="D287" s="159">
        <v>44736</v>
      </c>
      <c r="E287" s="249" t="s">
        <v>777</v>
      </c>
      <c r="F287" s="7" t="s">
        <v>59</v>
      </c>
      <c r="G287" s="250">
        <v>459.19</v>
      </c>
      <c r="H287" s="162">
        <f>IF(F287=0,0,IF(F287="MXN",1/HLOOKUP(YEAR(D287)+(MONTH(D287)/100),TC!$5:$437,DAY(D287)+2,FALSE),VLOOKUP(F287,Equivalencia!$1:$23,((MAX(Equivalencia!$3:$3)-YEAR(D287))*14)+MONTH(D287)+2,FALSE)))</f>
        <v>1</v>
      </c>
      <c r="I287" s="251">
        <f t="shared" si="25"/>
        <v>459.19</v>
      </c>
      <c r="J287" s="162">
        <f>IF(D287=0,0,HLOOKUP(YEAR(D287)+(MONTH(D287)/100),TC!$5:$37,DAY(D287)+2,FALSE))</f>
        <v>20.046500000000002</v>
      </c>
      <c r="K287" s="250">
        <f t="shared" si="26"/>
        <v>9205.1523350000007</v>
      </c>
    </row>
    <row r="288" spans="2:11" s="134" customFormat="1" ht="23" customHeight="1">
      <c r="B288" s="7" t="s">
        <v>1266</v>
      </c>
      <c r="C288" s="7" t="s">
        <v>693</v>
      </c>
      <c r="D288" s="159">
        <v>44736</v>
      </c>
      <c r="E288" s="249" t="s">
        <v>779</v>
      </c>
      <c r="F288" s="7" t="s">
        <v>59</v>
      </c>
      <c r="G288" s="250">
        <v>333.2</v>
      </c>
      <c r="H288" s="162">
        <f>IF(F288=0,0,IF(F288="MXN",1/HLOOKUP(YEAR(D288)+(MONTH(D288)/100),TC!$5:$437,DAY(D288)+2,FALSE),VLOOKUP(F288,Equivalencia!$1:$23,((MAX(Equivalencia!$3:$3)-YEAR(D288))*14)+MONTH(D288)+2,FALSE)))</f>
        <v>1</v>
      </c>
      <c r="I288" s="251">
        <f t="shared" si="25"/>
        <v>333.2</v>
      </c>
      <c r="J288" s="162">
        <f>IF(D288=0,0,HLOOKUP(YEAR(D288)+(MONTH(D288)/100),TC!$5:$37,DAY(D288)+2,FALSE))</f>
        <v>20.046500000000002</v>
      </c>
      <c r="K288" s="250">
        <f t="shared" si="26"/>
        <v>6679.4938000000002</v>
      </c>
    </row>
    <row r="289" spans="2:11" s="134" customFormat="1" ht="23" customHeight="1">
      <c r="B289" s="7" t="s">
        <v>1266</v>
      </c>
      <c r="C289" s="7" t="s">
        <v>693</v>
      </c>
      <c r="D289" s="159">
        <v>44740</v>
      </c>
      <c r="E289" s="249" t="s">
        <v>737</v>
      </c>
      <c r="F289" s="7" t="s">
        <v>59</v>
      </c>
      <c r="G289" s="250">
        <v>290</v>
      </c>
      <c r="H289" s="162">
        <f>IF(F289=0,0,IF(F289="MXN",1/HLOOKUP(YEAR(D289)+(MONTH(D289)/100),TC!$5:$437,DAY(D289)+2,FALSE),VLOOKUP(F289,Equivalencia!$1:$23,((MAX(Equivalencia!$3:$3)-YEAR(D289))*14)+MONTH(D289)+2,FALSE)))</f>
        <v>1</v>
      </c>
      <c r="I289" s="251">
        <f t="shared" si="25"/>
        <v>290</v>
      </c>
      <c r="J289" s="162">
        <f>IF(D289=0,0,HLOOKUP(YEAR(D289)+(MONTH(D289)/100),TC!$5:$37,DAY(D289)+2,FALSE))</f>
        <v>19.870699999999999</v>
      </c>
      <c r="K289" s="250">
        <f t="shared" si="26"/>
        <v>5762.5029999999997</v>
      </c>
    </row>
    <row r="290" spans="2:11" s="134" customFormat="1" ht="23" customHeight="1">
      <c r="B290" s="7" t="s">
        <v>1266</v>
      </c>
      <c r="C290" s="7" t="s">
        <v>693</v>
      </c>
      <c r="D290" s="159">
        <v>44740</v>
      </c>
      <c r="E290" s="249" t="s">
        <v>774</v>
      </c>
      <c r="F290" s="7" t="s">
        <v>59</v>
      </c>
      <c r="G290" s="250">
        <v>184.8</v>
      </c>
      <c r="H290" s="162">
        <f>IF(F290=0,0,IF(F290="MXN",1/HLOOKUP(YEAR(D290)+(MONTH(D290)/100),TC!$5:$437,DAY(D290)+2,FALSE),VLOOKUP(F290,Equivalencia!$1:$23,((MAX(Equivalencia!$3:$3)-YEAR(D290))*14)+MONTH(D290)+2,FALSE)))</f>
        <v>1</v>
      </c>
      <c r="I290" s="251">
        <f t="shared" si="25"/>
        <v>184.8</v>
      </c>
      <c r="J290" s="162">
        <f>IF(D290=0,0,HLOOKUP(YEAR(D290)+(MONTH(D290)/100),TC!$5:$37,DAY(D290)+2,FALSE))</f>
        <v>19.870699999999999</v>
      </c>
      <c r="K290" s="250">
        <f t="shared" si="26"/>
        <v>3672.10536</v>
      </c>
    </row>
    <row r="291" spans="2:11" s="134" customFormat="1" ht="23" customHeight="1">
      <c r="B291" s="7" t="s">
        <v>1266</v>
      </c>
      <c r="C291" s="7" t="s">
        <v>693</v>
      </c>
      <c r="D291" s="159">
        <v>44741</v>
      </c>
      <c r="E291" s="249" t="s">
        <v>856</v>
      </c>
      <c r="F291" s="7" t="s">
        <v>59</v>
      </c>
      <c r="G291" s="250">
        <v>16.64</v>
      </c>
      <c r="H291" s="162">
        <f>IF(F291=0,0,IF(F291="MXN",1/HLOOKUP(YEAR(D291)+(MONTH(D291)/100),TC!$5:$437,DAY(D291)+2,FALSE),VLOOKUP(F291,Equivalencia!$1:$23,((MAX(Equivalencia!$3:$3)-YEAR(D291))*14)+MONTH(D291)+2,FALSE)))</f>
        <v>1</v>
      </c>
      <c r="I291" s="251">
        <f t="shared" si="25"/>
        <v>16.64</v>
      </c>
      <c r="J291" s="162">
        <f>IF(D291=0,0,HLOOKUP(YEAR(D291)+(MONTH(D291)/100),TC!$5:$37,DAY(D291)+2,FALSE))</f>
        <v>19.8797</v>
      </c>
      <c r="K291" s="250">
        <f t="shared" si="26"/>
        <v>330.79820799999999</v>
      </c>
    </row>
    <row r="292" spans="2:11" s="134" customFormat="1" ht="23" customHeight="1">
      <c r="B292" s="7" t="s">
        <v>1266</v>
      </c>
      <c r="C292" s="7" t="s">
        <v>693</v>
      </c>
      <c r="D292" s="159">
        <v>44741</v>
      </c>
      <c r="E292" s="249" t="s">
        <v>780</v>
      </c>
      <c r="F292" s="7" t="s">
        <v>59</v>
      </c>
      <c r="G292" s="250">
        <v>240.99</v>
      </c>
      <c r="H292" s="162">
        <f>IF(F292=0,0,IF(F292="MXN",1/HLOOKUP(YEAR(D292)+(MONTH(D292)/100),TC!$5:$437,DAY(D292)+2,FALSE),VLOOKUP(F292,Equivalencia!$1:$23,((MAX(Equivalencia!$3:$3)-YEAR(D292))*14)+MONTH(D292)+2,FALSE)))</f>
        <v>1</v>
      </c>
      <c r="I292" s="251">
        <f t="shared" si="25"/>
        <v>240.99</v>
      </c>
      <c r="J292" s="162">
        <f>IF(D292=0,0,HLOOKUP(YEAR(D292)+(MONTH(D292)/100),TC!$5:$37,DAY(D292)+2,FALSE))</f>
        <v>19.8797</v>
      </c>
      <c r="K292" s="250">
        <f t="shared" si="26"/>
        <v>4790.8089030000001</v>
      </c>
    </row>
    <row r="293" spans="2:11" s="134" customFormat="1" ht="23" customHeight="1">
      <c r="B293" s="7" t="s">
        <v>1266</v>
      </c>
      <c r="C293" s="7" t="s">
        <v>693</v>
      </c>
      <c r="D293" s="159">
        <v>44741</v>
      </c>
      <c r="E293" s="249" t="s">
        <v>857</v>
      </c>
      <c r="F293" s="7" t="s">
        <v>59</v>
      </c>
      <c r="G293" s="250">
        <v>682.08</v>
      </c>
      <c r="H293" s="162">
        <f>IF(F293=0,0,IF(F293="MXN",1/HLOOKUP(YEAR(D293)+(MONTH(D293)/100),TC!$5:$437,DAY(D293)+2,FALSE),VLOOKUP(F293,Equivalencia!$1:$23,((MAX(Equivalencia!$3:$3)-YEAR(D293))*14)+MONTH(D293)+2,FALSE)))</f>
        <v>1</v>
      </c>
      <c r="I293" s="251">
        <f t="shared" si="25"/>
        <v>682.08</v>
      </c>
      <c r="J293" s="162">
        <f>IF(D293=0,0,HLOOKUP(YEAR(D293)+(MONTH(D293)/100),TC!$5:$37,DAY(D293)+2,FALSE))</f>
        <v>19.8797</v>
      </c>
      <c r="K293" s="250">
        <f t="shared" si="26"/>
        <v>13559.545776000001</v>
      </c>
    </row>
    <row r="294" spans="2:11" s="134" customFormat="1" ht="23" customHeight="1">
      <c r="B294" s="7" t="s">
        <v>1266</v>
      </c>
      <c r="C294" s="7" t="s">
        <v>693</v>
      </c>
      <c r="D294" s="159">
        <v>44741</v>
      </c>
      <c r="E294" s="249" t="s">
        <v>858</v>
      </c>
      <c r="F294" s="7" t="s">
        <v>59</v>
      </c>
      <c r="G294" s="250">
        <v>52.8</v>
      </c>
      <c r="H294" s="162">
        <f>IF(F294=0,0,IF(F294="MXN",1/HLOOKUP(YEAR(D294)+(MONTH(D294)/100),TC!$5:$437,DAY(D294)+2,FALSE),VLOOKUP(F294,Equivalencia!$1:$23,((MAX(Equivalencia!$3:$3)-YEAR(D294))*14)+MONTH(D294)+2,FALSE)))</f>
        <v>1</v>
      </c>
      <c r="I294" s="251">
        <f t="shared" si="25"/>
        <v>52.8</v>
      </c>
      <c r="J294" s="162">
        <f>IF(D294=0,0,HLOOKUP(YEAR(D294)+(MONTH(D294)/100),TC!$5:$37,DAY(D294)+2,FALSE))</f>
        <v>19.8797</v>
      </c>
      <c r="K294" s="250">
        <f t="shared" si="26"/>
        <v>1049.64816</v>
      </c>
    </row>
    <row r="295" spans="2:11" s="134" customFormat="1" ht="23" customHeight="1">
      <c r="B295" s="7" t="s">
        <v>1266</v>
      </c>
      <c r="C295" s="7" t="s">
        <v>693</v>
      </c>
      <c r="D295" s="159">
        <v>44741</v>
      </c>
      <c r="E295" s="249" t="s">
        <v>782</v>
      </c>
      <c r="F295" s="7" t="s">
        <v>59</v>
      </c>
      <c r="G295" s="250">
        <v>918.4</v>
      </c>
      <c r="H295" s="162">
        <f>IF(F295=0,0,IF(F295="MXN",1/HLOOKUP(YEAR(D295)+(MONTH(D295)/100),TC!$5:$437,DAY(D295)+2,FALSE),VLOOKUP(F295,Equivalencia!$1:$23,((MAX(Equivalencia!$3:$3)-YEAR(D295))*14)+MONTH(D295)+2,FALSE)))</f>
        <v>1</v>
      </c>
      <c r="I295" s="251">
        <f t="shared" si="25"/>
        <v>918.4</v>
      </c>
      <c r="J295" s="162">
        <f>IF(D295=0,0,HLOOKUP(YEAR(D295)+(MONTH(D295)/100),TC!$5:$37,DAY(D295)+2,FALSE))</f>
        <v>19.8797</v>
      </c>
      <c r="K295" s="250">
        <f t="shared" si="26"/>
        <v>18257.516479999998</v>
      </c>
    </row>
    <row r="296" spans="2:11" s="134" customFormat="1" ht="23" customHeight="1">
      <c r="B296" s="7" t="s">
        <v>1266</v>
      </c>
      <c r="C296" s="7" t="s">
        <v>693</v>
      </c>
      <c r="D296" s="159">
        <v>44741</v>
      </c>
      <c r="E296" s="249" t="s">
        <v>859</v>
      </c>
      <c r="F296" s="7" t="s">
        <v>59</v>
      </c>
      <c r="G296" s="250">
        <v>394</v>
      </c>
      <c r="H296" s="162">
        <f>IF(F296=0,0,IF(F296="MXN",1/HLOOKUP(YEAR(D296)+(MONTH(D296)/100),TC!$5:$437,DAY(D296)+2,FALSE),VLOOKUP(F296,Equivalencia!$1:$23,((MAX(Equivalencia!$3:$3)-YEAR(D296))*14)+MONTH(D296)+2,FALSE)))</f>
        <v>1</v>
      </c>
      <c r="I296" s="251">
        <f t="shared" si="25"/>
        <v>394</v>
      </c>
      <c r="J296" s="162">
        <f>IF(D296=0,0,HLOOKUP(YEAR(D296)+(MONTH(D296)/100),TC!$5:$37,DAY(D296)+2,FALSE))</f>
        <v>19.8797</v>
      </c>
      <c r="K296" s="250">
        <f t="shared" si="26"/>
        <v>7832.6017999999995</v>
      </c>
    </row>
    <row r="297" spans="2:11" s="134" customFormat="1" ht="23" customHeight="1">
      <c r="B297" s="7" t="s">
        <v>1266</v>
      </c>
      <c r="C297" s="7" t="s">
        <v>693</v>
      </c>
      <c r="D297" s="159">
        <v>44741</v>
      </c>
      <c r="E297" s="249" t="s">
        <v>860</v>
      </c>
      <c r="F297" s="7" t="s">
        <v>59</v>
      </c>
      <c r="G297" s="250">
        <v>26.88</v>
      </c>
      <c r="H297" s="162">
        <f>IF(F297=0,0,IF(F297="MXN",1/HLOOKUP(YEAR(D297)+(MONTH(D297)/100),TC!$5:$437,DAY(D297)+2,FALSE),VLOOKUP(F297,Equivalencia!$1:$23,((MAX(Equivalencia!$3:$3)-YEAR(D297))*14)+MONTH(D297)+2,FALSE)))</f>
        <v>1</v>
      </c>
      <c r="I297" s="251">
        <f t="shared" si="25"/>
        <v>26.88</v>
      </c>
      <c r="J297" s="162">
        <f>IF(D297=0,0,HLOOKUP(YEAR(D297)+(MONTH(D297)/100),TC!$5:$37,DAY(D297)+2,FALSE))</f>
        <v>19.8797</v>
      </c>
      <c r="K297" s="250">
        <f t="shared" si="26"/>
        <v>534.36633599999993</v>
      </c>
    </row>
    <row r="298" spans="2:11" s="134" customFormat="1" ht="23" customHeight="1">
      <c r="B298" s="7" t="s">
        <v>1266</v>
      </c>
      <c r="C298" s="7" t="s">
        <v>693</v>
      </c>
      <c r="D298" s="159">
        <v>44741</v>
      </c>
      <c r="E298" s="249" t="s">
        <v>784</v>
      </c>
      <c r="F298" s="7" t="s">
        <v>59</v>
      </c>
      <c r="G298" s="250">
        <v>215.08</v>
      </c>
      <c r="H298" s="162">
        <f>IF(F298=0,0,IF(F298="MXN",1/HLOOKUP(YEAR(D298)+(MONTH(D298)/100),TC!$5:$437,DAY(D298)+2,FALSE),VLOOKUP(F298,Equivalencia!$1:$23,((MAX(Equivalencia!$3:$3)-YEAR(D298))*14)+MONTH(D298)+2,FALSE)))</f>
        <v>1</v>
      </c>
      <c r="I298" s="251">
        <f t="shared" si="25"/>
        <v>215.08</v>
      </c>
      <c r="J298" s="162">
        <f>IF(D298=0,0,HLOOKUP(YEAR(D298)+(MONTH(D298)/100),TC!$5:$37,DAY(D298)+2,FALSE))</f>
        <v>19.8797</v>
      </c>
      <c r="K298" s="250">
        <f t="shared" si="26"/>
        <v>4275.7258760000004</v>
      </c>
    </row>
    <row r="299" spans="2:11" s="134" customFormat="1" ht="23" customHeight="1">
      <c r="B299" s="7" t="s">
        <v>1266</v>
      </c>
      <c r="C299" s="7" t="s">
        <v>693</v>
      </c>
      <c r="D299" s="159">
        <v>44741</v>
      </c>
      <c r="E299" s="249" t="s">
        <v>785</v>
      </c>
      <c r="F299" s="7" t="s">
        <v>59</v>
      </c>
      <c r="G299" s="250">
        <v>480.32</v>
      </c>
      <c r="H299" s="162">
        <f>IF(F299=0,0,IF(F299="MXN",1/HLOOKUP(YEAR(D299)+(MONTH(D299)/100),TC!$5:$437,DAY(D299)+2,FALSE),VLOOKUP(F299,Equivalencia!$1:$23,((MAX(Equivalencia!$3:$3)-YEAR(D299))*14)+MONTH(D299)+2,FALSE)))</f>
        <v>1</v>
      </c>
      <c r="I299" s="251">
        <f t="shared" si="25"/>
        <v>480.32</v>
      </c>
      <c r="J299" s="162">
        <f>IF(D299=0,0,HLOOKUP(YEAR(D299)+(MONTH(D299)/100),TC!$5:$37,DAY(D299)+2,FALSE))</f>
        <v>19.8797</v>
      </c>
      <c r="K299" s="250">
        <f t="shared" si="26"/>
        <v>9548.6175039999998</v>
      </c>
    </row>
    <row r="300" spans="2:11" s="134" customFormat="1" ht="23" customHeight="1">
      <c r="B300" s="7" t="s">
        <v>1266</v>
      </c>
      <c r="C300" s="7" t="s">
        <v>693</v>
      </c>
      <c r="D300" s="159">
        <v>44741</v>
      </c>
      <c r="E300" s="249" t="s">
        <v>837</v>
      </c>
      <c r="F300" s="7" t="s">
        <v>59</v>
      </c>
      <c r="G300" s="250">
        <v>292.02</v>
      </c>
      <c r="H300" s="162">
        <f>IF(F300=0,0,IF(F300="MXN",1/HLOOKUP(YEAR(D300)+(MONTH(D300)/100),TC!$5:$437,DAY(D300)+2,FALSE),VLOOKUP(F300,Equivalencia!$1:$23,((MAX(Equivalencia!$3:$3)-YEAR(D300))*14)+MONTH(D300)+2,FALSE)))</f>
        <v>1</v>
      </c>
      <c r="I300" s="251">
        <f t="shared" si="25"/>
        <v>292.02</v>
      </c>
      <c r="J300" s="162">
        <f>IF(D300=0,0,HLOOKUP(YEAR(D300)+(MONTH(D300)/100),TC!$5:$37,DAY(D300)+2,FALSE))</f>
        <v>19.8797</v>
      </c>
      <c r="K300" s="250">
        <f t="shared" si="26"/>
        <v>5805.2699939999993</v>
      </c>
    </row>
    <row r="301" spans="2:11" s="134" customFormat="1" ht="23" customHeight="1">
      <c r="B301" s="7" t="s">
        <v>1266</v>
      </c>
      <c r="C301" s="7" t="s">
        <v>693</v>
      </c>
      <c r="D301" s="159">
        <v>44741</v>
      </c>
      <c r="E301" s="249" t="s">
        <v>787</v>
      </c>
      <c r="F301" s="7" t="s">
        <v>59</v>
      </c>
      <c r="G301" s="250">
        <v>549.9</v>
      </c>
      <c r="H301" s="162">
        <f>IF(F301=0,0,IF(F301="MXN",1/HLOOKUP(YEAR(D301)+(MONTH(D301)/100),TC!$5:$437,DAY(D301)+2,FALSE),VLOOKUP(F301,Equivalencia!$1:$23,((MAX(Equivalencia!$3:$3)-YEAR(D301))*14)+MONTH(D301)+2,FALSE)))</f>
        <v>1</v>
      </c>
      <c r="I301" s="251">
        <f t="shared" si="25"/>
        <v>549.9</v>
      </c>
      <c r="J301" s="162">
        <f>IF(D301=0,0,HLOOKUP(YEAR(D301)+(MONTH(D301)/100),TC!$5:$37,DAY(D301)+2,FALSE))</f>
        <v>19.8797</v>
      </c>
      <c r="K301" s="250">
        <f t="shared" si="26"/>
        <v>10931.847029999999</v>
      </c>
    </row>
    <row r="302" spans="2:11" s="134" customFormat="1" ht="23" customHeight="1">
      <c r="B302" s="7" t="s">
        <v>1266</v>
      </c>
      <c r="C302" s="7" t="s">
        <v>693</v>
      </c>
      <c r="D302" s="159">
        <v>44743</v>
      </c>
      <c r="E302" s="249" t="s">
        <v>924</v>
      </c>
      <c r="F302" s="7" t="s">
        <v>59</v>
      </c>
      <c r="G302" s="250">
        <v>75.48</v>
      </c>
      <c r="H302" s="162">
        <f>IF(F302=0,0,IF(F302="MXN",1/HLOOKUP(YEAR(D302)+(MONTH(D302)/100),TC!$5:$437,DAY(D302)+2,FALSE),VLOOKUP(F302,Equivalencia!$1:$23,((MAX(Equivalencia!$3:$3)-YEAR(D302))*14)+MONTH(D302)+2,FALSE)))</f>
        <v>1</v>
      </c>
      <c r="I302" s="251">
        <f t="shared" ref="I302:I443" si="27">G302*H302</f>
        <v>75.48</v>
      </c>
      <c r="J302" s="162">
        <f>IF(D302=0,0,HLOOKUP(YEAR(D302)+(MONTH(D302)/100),TC!$5:$37,DAY(D302)+2,FALSE))</f>
        <v>20.144300000000001</v>
      </c>
      <c r="K302" s="250">
        <f t="shared" ref="K302:K443" si="28">I302*J302</f>
        <v>1520.4917640000001</v>
      </c>
    </row>
    <row r="303" spans="2:11" s="134" customFormat="1" ht="23" customHeight="1">
      <c r="B303" s="7" t="s">
        <v>1266</v>
      </c>
      <c r="C303" s="7" t="s">
        <v>693</v>
      </c>
      <c r="D303" s="159">
        <v>44743</v>
      </c>
      <c r="E303" s="249" t="s">
        <v>721</v>
      </c>
      <c r="F303" s="7" t="s">
        <v>59</v>
      </c>
      <c r="G303" s="250">
        <v>227.84</v>
      </c>
      <c r="H303" s="162">
        <f>IF(F303=0,0,IF(F303="MXN",1/HLOOKUP(YEAR(D303)+(MONTH(D303)/100),TC!$5:$437,DAY(D303)+2,FALSE),VLOOKUP(F303,Equivalencia!$1:$23,((MAX(Equivalencia!$3:$3)-YEAR(D303))*14)+MONTH(D303)+2,FALSE)))</f>
        <v>1</v>
      </c>
      <c r="I303" s="251">
        <f t="shared" si="27"/>
        <v>227.84</v>
      </c>
      <c r="J303" s="162">
        <f>IF(D303=0,0,HLOOKUP(YEAR(D303)+(MONTH(D303)/100),TC!$5:$37,DAY(D303)+2,FALSE))</f>
        <v>20.144300000000001</v>
      </c>
      <c r="K303" s="250">
        <f t="shared" si="28"/>
        <v>4589.6773120000007</v>
      </c>
    </row>
    <row r="304" spans="2:11" s="134" customFormat="1" ht="23" customHeight="1">
      <c r="B304" s="7" t="s">
        <v>1266</v>
      </c>
      <c r="C304" s="7" t="s">
        <v>693</v>
      </c>
      <c r="D304" s="159">
        <v>44747</v>
      </c>
      <c r="E304" s="249" t="s">
        <v>925</v>
      </c>
      <c r="F304" s="7" t="s">
        <v>59</v>
      </c>
      <c r="G304" s="250">
        <v>65.12</v>
      </c>
      <c r="H304" s="162">
        <f>IF(F304=0,0,IF(F304="MXN",1/HLOOKUP(YEAR(D304)+(MONTH(D304)/100),TC!$5:$437,DAY(D304)+2,FALSE),VLOOKUP(F304,Equivalencia!$1:$23,((MAX(Equivalencia!$3:$3)-YEAR(D304))*14)+MONTH(D304)+2,FALSE)))</f>
        <v>1</v>
      </c>
      <c r="I304" s="251">
        <f t="shared" si="27"/>
        <v>65.12</v>
      </c>
      <c r="J304" s="162">
        <f>IF(D304=0,0,HLOOKUP(YEAR(D304)+(MONTH(D304)/100),TC!$5:$37,DAY(D304)+2,FALSE))</f>
        <v>20.381699999999999</v>
      </c>
      <c r="K304" s="250">
        <f t="shared" si="28"/>
        <v>1327.256304</v>
      </c>
    </row>
    <row r="305" spans="2:11" s="134" customFormat="1" ht="23" customHeight="1">
      <c r="B305" s="7" t="s">
        <v>1266</v>
      </c>
      <c r="C305" s="7" t="s">
        <v>693</v>
      </c>
      <c r="D305" s="159">
        <v>44747</v>
      </c>
      <c r="E305" s="249" t="s">
        <v>926</v>
      </c>
      <c r="F305" s="7" t="s">
        <v>59</v>
      </c>
      <c r="G305" s="250">
        <v>43.8</v>
      </c>
      <c r="H305" s="162">
        <f>IF(F305=0,0,IF(F305="MXN",1/HLOOKUP(YEAR(D305)+(MONTH(D305)/100),TC!$5:$437,DAY(D305)+2,FALSE),VLOOKUP(F305,Equivalencia!$1:$23,((MAX(Equivalencia!$3:$3)-YEAR(D305))*14)+MONTH(D305)+2,FALSE)))</f>
        <v>1</v>
      </c>
      <c r="I305" s="251">
        <f t="shared" si="27"/>
        <v>43.8</v>
      </c>
      <c r="J305" s="162">
        <f>IF(D305=0,0,HLOOKUP(YEAR(D305)+(MONTH(D305)/100),TC!$5:$37,DAY(D305)+2,FALSE))</f>
        <v>20.381699999999999</v>
      </c>
      <c r="K305" s="250">
        <f t="shared" si="28"/>
        <v>892.71845999999994</v>
      </c>
    </row>
    <row r="306" spans="2:11" s="134" customFormat="1" ht="23" customHeight="1">
      <c r="B306" s="7" t="s">
        <v>1266</v>
      </c>
      <c r="C306" s="7" t="s">
        <v>693</v>
      </c>
      <c r="D306" s="159">
        <v>44748</v>
      </c>
      <c r="E306" s="249" t="s">
        <v>927</v>
      </c>
      <c r="F306" s="7" t="s">
        <v>59</v>
      </c>
      <c r="G306" s="250">
        <v>83.75</v>
      </c>
      <c r="H306" s="162">
        <f>IF(F306=0,0,IF(F306="MXN",1/HLOOKUP(YEAR(D306)+(MONTH(D306)/100),TC!$5:$437,DAY(D306)+2,FALSE),VLOOKUP(F306,Equivalencia!$1:$23,((MAX(Equivalencia!$3:$3)-YEAR(D306))*14)+MONTH(D306)+2,FALSE)))</f>
        <v>1</v>
      </c>
      <c r="I306" s="251">
        <f t="shared" si="27"/>
        <v>83.75</v>
      </c>
      <c r="J306" s="162">
        <f>IF(D306=0,0,HLOOKUP(YEAR(D306)+(MONTH(D306)/100),TC!$5:$37,DAY(D306)+2,FALSE))</f>
        <v>20.287700000000001</v>
      </c>
      <c r="K306" s="250">
        <f t="shared" si="28"/>
        <v>1699.094875</v>
      </c>
    </row>
    <row r="307" spans="2:11" s="134" customFormat="1" ht="23" customHeight="1">
      <c r="B307" s="7" t="s">
        <v>1266</v>
      </c>
      <c r="C307" s="7" t="s">
        <v>693</v>
      </c>
      <c r="D307" s="159">
        <v>44749</v>
      </c>
      <c r="E307" s="249" t="s">
        <v>928</v>
      </c>
      <c r="F307" s="7" t="s">
        <v>59</v>
      </c>
      <c r="G307" s="250">
        <v>14.37</v>
      </c>
      <c r="H307" s="162">
        <f>IF(F307=0,0,IF(F307="MXN",1/HLOOKUP(YEAR(D307)+(MONTH(D307)/100),TC!$5:$437,DAY(D307)+2,FALSE),VLOOKUP(F307,Equivalencia!$1:$23,((MAX(Equivalencia!$3:$3)-YEAR(D307))*14)+MONTH(D307)+2,FALSE)))</f>
        <v>1</v>
      </c>
      <c r="I307" s="251">
        <f t="shared" si="27"/>
        <v>14.37</v>
      </c>
      <c r="J307" s="162">
        <f>IF(D307=0,0,HLOOKUP(YEAR(D307)+(MONTH(D307)/100),TC!$5:$37,DAY(D307)+2,FALSE))</f>
        <v>20.559799999999999</v>
      </c>
      <c r="K307" s="250">
        <f t="shared" si="28"/>
        <v>295.44432599999999</v>
      </c>
    </row>
    <row r="308" spans="2:11" s="134" customFormat="1" ht="23" customHeight="1">
      <c r="B308" s="7" t="s">
        <v>1266</v>
      </c>
      <c r="C308" s="7" t="s">
        <v>693</v>
      </c>
      <c r="D308" s="159">
        <v>44749</v>
      </c>
      <c r="E308" s="249" t="s">
        <v>929</v>
      </c>
      <c r="F308" s="7" t="s">
        <v>59</v>
      </c>
      <c r="G308" s="250">
        <v>22.4</v>
      </c>
      <c r="H308" s="162">
        <f>IF(F308=0,0,IF(F308="MXN",1/HLOOKUP(YEAR(D308)+(MONTH(D308)/100),TC!$5:$437,DAY(D308)+2,FALSE),VLOOKUP(F308,Equivalencia!$1:$23,((MAX(Equivalencia!$3:$3)-YEAR(D308))*14)+MONTH(D308)+2,FALSE)))</f>
        <v>1</v>
      </c>
      <c r="I308" s="251">
        <f t="shared" si="27"/>
        <v>22.4</v>
      </c>
      <c r="J308" s="162">
        <f>IF(D308=0,0,HLOOKUP(YEAR(D308)+(MONTH(D308)/100),TC!$5:$37,DAY(D308)+2,FALSE))</f>
        <v>20.559799999999999</v>
      </c>
      <c r="K308" s="250">
        <f t="shared" si="28"/>
        <v>460.53951999999992</v>
      </c>
    </row>
    <row r="309" spans="2:11" s="134" customFormat="1" ht="23" customHeight="1">
      <c r="B309" s="7" t="s">
        <v>1266</v>
      </c>
      <c r="C309" s="7" t="s">
        <v>693</v>
      </c>
      <c r="D309" s="159">
        <v>44750</v>
      </c>
      <c r="E309" s="249" t="s">
        <v>736</v>
      </c>
      <c r="F309" s="7" t="s">
        <v>59</v>
      </c>
      <c r="G309" s="250">
        <v>563.41999999999996</v>
      </c>
      <c r="H309" s="162">
        <f>IF(F309=0,0,IF(F309="MXN",1/HLOOKUP(YEAR(D309)+(MONTH(D309)/100),TC!$5:$437,DAY(D309)+2,FALSE),VLOOKUP(F309,Equivalencia!$1:$23,((MAX(Equivalencia!$3:$3)-YEAR(D309))*14)+MONTH(D309)+2,FALSE)))</f>
        <v>1</v>
      </c>
      <c r="I309" s="251">
        <f t="shared" si="27"/>
        <v>563.41999999999996</v>
      </c>
      <c r="J309" s="162">
        <f>IF(D309=0,0,HLOOKUP(YEAR(D309)+(MONTH(D309)/100),TC!$5:$37,DAY(D309)+2,FALSE))</f>
        <v>20.722799999999999</v>
      </c>
      <c r="K309" s="250">
        <f t="shared" si="28"/>
        <v>11675.639975999999</v>
      </c>
    </row>
    <row r="310" spans="2:11" s="134" customFormat="1" ht="23" customHeight="1">
      <c r="B310" s="7" t="s">
        <v>1266</v>
      </c>
      <c r="C310" s="7" t="s">
        <v>693</v>
      </c>
      <c r="D310" s="159">
        <v>44750</v>
      </c>
      <c r="E310" s="249" t="s">
        <v>930</v>
      </c>
      <c r="F310" s="7" t="s">
        <v>59</v>
      </c>
      <c r="G310" s="250">
        <v>59.28</v>
      </c>
      <c r="H310" s="162">
        <f>IF(F310=0,0,IF(F310="MXN",1/HLOOKUP(YEAR(D310)+(MONTH(D310)/100),TC!$5:$437,DAY(D310)+2,FALSE),VLOOKUP(F310,Equivalencia!$1:$23,((MAX(Equivalencia!$3:$3)-YEAR(D310))*14)+MONTH(D310)+2,FALSE)))</f>
        <v>1</v>
      </c>
      <c r="I310" s="251">
        <f t="shared" si="27"/>
        <v>59.28</v>
      </c>
      <c r="J310" s="162">
        <f>IF(D310=0,0,HLOOKUP(YEAR(D310)+(MONTH(D310)/100),TC!$5:$37,DAY(D310)+2,FALSE))</f>
        <v>20.722799999999999</v>
      </c>
      <c r="K310" s="250">
        <f t="shared" si="28"/>
        <v>1228.447584</v>
      </c>
    </row>
    <row r="311" spans="2:11" s="134" customFormat="1" ht="23" customHeight="1">
      <c r="B311" s="7" t="s">
        <v>1266</v>
      </c>
      <c r="C311" s="7" t="s">
        <v>693</v>
      </c>
      <c r="D311" s="159">
        <v>44753</v>
      </c>
      <c r="E311" s="249" t="s">
        <v>931</v>
      </c>
      <c r="F311" s="7" t="s">
        <v>59</v>
      </c>
      <c r="G311" s="250">
        <v>447.3</v>
      </c>
      <c r="H311" s="162">
        <f>IF(F311=0,0,IF(F311="MXN",1/HLOOKUP(YEAR(D311)+(MONTH(D311)/100),TC!$5:$437,DAY(D311)+2,FALSE),VLOOKUP(F311,Equivalencia!$1:$23,((MAX(Equivalencia!$3:$3)-YEAR(D311))*14)+MONTH(D311)+2,FALSE)))</f>
        <v>1</v>
      </c>
      <c r="I311" s="251">
        <f t="shared" si="27"/>
        <v>447.3</v>
      </c>
      <c r="J311" s="162">
        <f>IF(D311=0,0,HLOOKUP(YEAR(D311)+(MONTH(D311)/100),TC!$5:$37,DAY(D311)+2,FALSE))</f>
        <v>20.6022</v>
      </c>
      <c r="K311" s="250">
        <f t="shared" si="28"/>
        <v>9215.3640599999999</v>
      </c>
    </row>
    <row r="312" spans="2:11" s="134" customFormat="1" ht="23" customHeight="1">
      <c r="B312" s="7" t="s">
        <v>1266</v>
      </c>
      <c r="C312" s="7" t="s">
        <v>693</v>
      </c>
      <c r="D312" s="159">
        <v>44757</v>
      </c>
      <c r="E312" s="249" t="s">
        <v>932</v>
      </c>
      <c r="F312" s="7" t="s">
        <v>59</v>
      </c>
      <c r="G312" s="250">
        <v>121.45</v>
      </c>
      <c r="H312" s="162">
        <f>IF(F312=0,0,IF(F312="MXN",1/HLOOKUP(YEAR(D312)+(MONTH(D312)/100),TC!$5:$437,DAY(D312)+2,FALSE),VLOOKUP(F312,Equivalencia!$1:$23,((MAX(Equivalencia!$3:$3)-YEAR(D312))*14)+MONTH(D312)+2,FALSE)))</f>
        <v>1</v>
      </c>
      <c r="I312" s="251">
        <f t="shared" si="27"/>
        <v>121.45</v>
      </c>
      <c r="J312" s="162">
        <f>IF(D312=0,0,HLOOKUP(YEAR(D312)+(MONTH(D312)/100),TC!$5:$37,DAY(D312)+2,FALSE))</f>
        <v>20.761299999999999</v>
      </c>
      <c r="K312" s="250">
        <f t="shared" si="28"/>
        <v>2521.4598849999998</v>
      </c>
    </row>
    <row r="313" spans="2:11" s="134" customFormat="1" ht="23" customHeight="1">
      <c r="B313" s="7" t="s">
        <v>1266</v>
      </c>
      <c r="C313" s="7" t="s">
        <v>693</v>
      </c>
      <c r="D313" s="159">
        <v>44757</v>
      </c>
      <c r="E313" s="249" t="s">
        <v>738</v>
      </c>
      <c r="F313" s="7" t="s">
        <v>59</v>
      </c>
      <c r="G313" s="250">
        <v>1051.4000000000001</v>
      </c>
      <c r="H313" s="162">
        <f>IF(F313=0,0,IF(F313="MXN",1/HLOOKUP(YEAR(D313)+(MONTH(D313)/100),TC!$5:$437,DAY(D313)+2,FALSE),VLOOKUP(F313,Equivalencia!$1:$23,((MAX(Equivalencia!$3:$3)-YEAR(D313))*14)+MONTH(D313)+2,FALSE)))</f>
        <v>1</v>
      </c>
      <c r="I313" s="251">
        <f t="shared" si="27"/>
        <v>1051.4000000000001</v>
      </c>
      <c r="J313" s="162">
        <f>IF(D313=0,0,HLOOKUP(YEAR(D313)+(MONTH(D313)/100),TC!$5:$37,DAY(D313)+2,FALSE))</f>
        <v>20.761299999999999</v>
      </c>
      <c r="K313" s="250">
        <f t="shared" si="28"/>
        <v>21828.430820000001</v>
      </c>
    </row>
    <row r="314" spans="2:11" s="134" customFormat="1" ht="23" customHeight="1">
      <c r="B314" s="7" t="s">
        <v>1266</v>
      </c>
      <c r="C314" s="7" t="s">
        <v>693</v>
      </c>
      <c r="D314" s="159">
        <v>44757</v>
      </c>
      <c r="E314" s="249" t="s">
        <v>933</v>
      </c>
      <c r="F314" s="7" t="s">
        <v>59</v>
      </c>
      <c r="G314" s="250">
        <v>49</v>
      </c>
      <c r="H314" s="162">
        <f>IF(F314=0,0,IF(F314="MXN",1/HLOOKUP(YEAR(D314)+(MONTH(D314)/100),TC!$5:$437,DAY(D314)+2,FALSE),VLOOKUP(F314,Equivalencia!$1:$23,((MAX(Equivalencia!$3:$3)-YEAR(D314))*14)+MONTH(D314)+2,FALSE)))</f>
        <v>1</v>
      </c>
      <c r="I314" s="251">
        <f t="shared" si="27"/>
        <v>49</v>
      </c>
      <c r="J314" s="162">
        <f>IF(D314=0,0,HLOOKUP(YEAR(D314)+(MONTH(D314)/100),TC!$5:$37,DAY(D314)+2,FALSE))</f>
        <v>20.761299999999999</v>
      </c>
      <c r="K314" s="250">
        <f t="shared" si="28"/>
        <v>1017.3036999999999</v>
      </c>
    </row>
    <row r="315" spans="2:11" s="134" customFormat="1" ht="23" customHeight="1">
      <c r="B315" s="7" t="s">
        <v>1266</v>
      </c>
      <c r="C315" s="7" t="s">
        <v>693</v>
      </c>
      <c r="D315" s="159">
        <v>44757</v>
      </c>
      <c r="E315" s="249" t="s">
        <v>739</v>
      </c>
      <c r="F315" s="7" t="s">
        <v>59</v>
      </c>
      <c r="G315" s="250">
        <v>567.12</v>
      </c>
      <c r="H315" s="162">
        <f>IF(F315=0,0,IF(F315="MXN",1/HLOOKUP(YEAR(D315)+(MONTH(D315)/100),TC!$5:$437,DAY(D315)+2,FALSE),VLOOKUP(F315,Equivalencia!$1:$23,((MAX(Equivalencia!$3:$3)-YEAR(D315))*14)+MONTH(D315)+2,FALSE)))</f>
        <v>1</v>
      </c>
      <c r="I315" s="251">
        <f t="shared" si="27"/>
        <v>567.12</v>
      </c>
      <c r="J315" s="162">
        <f>IF(D315=0,0,HLOOKUP(YEAR(D315)+(MONTH(D315)/100),TC!$5:$37,DAY(D315)+2,FALSE))</f>
        <v>20.761299999999999</v>
      </c>
      <c r="K315" s="250">
        <f t="shared" si="28"/>
        <v>11774.148455999999</v>
      </c>
    </row>
    <row r="316" spans="2:11" s="134" customFormat="1" ht="23" customHeight="1">
      <c r="B316" s="7" t="s">
        <v>1266</v>
      </c>
      <c r="C316" s="7" t="s">
        <v>693</v>
      </c>
      <c r="D316" s="159">
        <v>44757</v>
      </c>
      <c r="E316" s="249" t="s">
        <v>711</v>
      </c>
      <c r="F316" s="7" t="s">
        <v>59</v>
      </c>
      <c r="G316" s="250">
        <v>6</v>
      </c>
      <c r="H316" s="162">
        <f>IF(F316=0,0,IF(F316="MXN",1/HLOOKUP(YEAR(D316)+(MONTH(D316)/100),TC!$5:$437,DAY(D316)+2,FALSE),VLOOKUP(F316,Equivalencia!$1:$23,((MAX(Equivalencia!$3:$3)-YEAR(D316))*14)+MONTH(D316)+2,FALSE)))</f>
        <v>1</v>
      </c>
      <c r="I316" s="251">
        <f t="shared" si="27"/>
        <v>6</v>
      </c>
      <c r="J316" s="162">
        <f>IF(D316=0,0,HLOOKUP(YEAR(D316)+(MONTH(D316)/100),TC!$5:$37,DAY(D316)+2,FALSE))</f>
        <v>20.761299999999999</v>
      </c>
      <c r="K316" s="250">
        <f t="shared" si="28"/>
        <v>124.56779999999999</v>
      </c>
    </row>
    <row r="317" spans="2:11" s="134" customFormat="1" ht="23" customHeight="1">
      <c r="B317" s="7" t="s">
        <v>1266</v>
      </c>
      <c r="C317" s="7" t="s">
        <v>693</v>
      </c>
      <c r="D317" s="159">
        <v>44757</v>
      </c>
      <c r="E317" s="249" t="s">
        <v>740</v>
      </c>
      <c r="F317" s="7" t="s">
        <v>59</v>
      </c>
      <c r="G317" s="250">
        <v>31.8</v>
      </c>
      <c r="H317" s="162">
        <f>IF(F317=0,0,IF(F317="MXN",1/HLOOKUP(YEAR(D317)+(MONTH(D317)/100),TC!$5:$437,DAY(D317)+2,FALSE),VLOOKUP(F317,Equivalencia!$1:$23,((MAX(Equivalencia!$3:$3)-YEAR(D317))*14)+MONTH(D317)+2,FALSE)))</f>
        <v>1</v>
      </c>
      <c r="I317" s="251">
        <f t="shared" si="27"/>
        <v>31.8</v>
      </c>
      <c r="J317" s="162">
        <f>IF(D317=0,0,HLOOKUP(YEAR(D317)+(MONTH(D317)/100),TC!$5:$37,DAY(D317)+2,FALSE))</f>
        <v>20.761299999999999</v>
      </c>
      <c r="K317" s="250">
        <f t="shared" si="28"/>
        <v>660.20934</v>
      </c>
    </row>
    <row r="318" spans="2:11" s="134" customFormat="1" ht="23" customHeight="1">
      <c r="B318" s="7" t="s">
        <v>1266</v>
      </c>
      <c r="C318" s="7" t="s">
        <v>693</v>
      </c>
      <c r="D318" s="159">
        <v>44761</v>
      </c>
      <c r="E318" s="249" t="s">
        <v>741</v>
      </c>
      <c r="F318" s="7" t="s">
        <v>59</v>
      </c>
      <c r="G318" s="250">
        <v>147.94999999999999</v>
      </c>
      <c r="H318" s="162">
        <f>IF(F318=0,0,IF(F318="MXN",1/HLOOKUP(YEAR(D318)+(MONTH(D318)/100),TC!$5:$437,DAY(D318)+2,FALSE),VLOOKUP(F318,Equivalencia!$1:$23,((MAX(Equivalencia!$3:$3)-YEAR(D318))*14)+MONTH(D318)+2,FALSE)))</f>
        <v>1</v>
      </c>
      <c r="I318" s="251">
        <f t="shared" si="27"/>
        <v>147.94999999999999</v>
      </c>
      <c r="J318" s="162">
        <f>IF(D318=0,0,HLOOKUP(YEAR(D318)+(MONTH(D318)/100),TC!$5:$37,DAY(D318)+2,FALSE))</f>
        <v>20.611000000000001</v>
      </c>
      <c r="K318" s="250">
        <f t="shared" si="28"/>
        <v>3049.3974499999999</v>
      </c>
    </row>
    <row r="319" spans="2:11" s="134" customFormat="1" ht="23" customHeight="1">
      <c r="B319" s="7" t="s">
        <v>1266</v>
      </c>
      <c r="C319" s="7" t="s">
        <v>693</v>
      </c>
      <c r="D319" s="159">
        <v>44762</v>
      </c>
      <c r="E319" s="249" t="s">
        <v>934</v>
      </c>
      <c r="F319" s="7" t="s">
        <v>59</v>
      </c>
      <c r="G319" s="250">
        <v>130.68</v>
      </c>
      <c r="H319" s="162">
        <f>IF(F319=0,0,IF(F319="MXN",1/HLOOKUP(YEAR(D319)+(MONTH(D319)/100),TC!$5:$437,DAY(D319)+2,FALSE),VLOOKUP(F319,Equivalencia!$1:$23,((MAX(Equivalencia!$3:$3)-YEAR(D319))*14)+MONTH(D319)+2,FALSE)))</f>
        <v>1</v>
      </c>
      <c r="I319" s="251">
        <f t="shared" si="27"/>
        <v>130.68</v>
      </c>
      <c r="J319" s="162">
        <f>IF(D319=0,0,HLOOKUP(YEAR(D319)+(MONTH(D319)/100),TC!$5:$37,DAY(D319)+2,FALSE))</f>
        <v>20.395700000000001</v>
      </c>
      <c r="K319" s="250">
        <f t="shared" si="28"/>
        <v>2665.3100760000002</v>
      </c>
    </row>
    <row r="320" spans="2:11" s="134" customFormat="1" ht="23" customHeight="1">
      <c r="B320" s="7" t="s">
        <v>1266</v>
      </c>
      <c r="C320" s="7" t="s">
        <v>693</v>
      </c>
      <c r="D320" s="159">
        <v>44767</v>
      </c>
      <c r="E320" s="249" t="s">
        <v>745</v>
      </c>
      <c r="F320" s="7" t="s">
        <v>59</v>
      </c>
      <c r="G320" s="250">
        <v>573.29999999999995</v>
      </c>
      <c r="H320" s="162">
        <f>IF(F320=0,0,IF(F320="MXN",1/HLOOKUP(YEAR(D320)+(MONTH(D320)/100),TC!$5:$437,DAY(D320)+2,FALSE),VLOOKUP(F320,Equivalencia!$1:$23,((MAX(Equivalencia!$3:$3)-YEAR(D320))*14)+MONTH(D320)+2,FALSE)))</f>
        <v>1</v>
      </c>
      <c r="I320" s="251">
        <f t="shared" si="27"/>
        <v>573.29999999999995</v>
      </c>
      <c r="J320" s="162">
        <f>IF(D320=0,0,HLOOKUP(YEAR(D320)+(MONTH(D320)/100),TC!$5:$37,DAY(D320)+2,FALSE))</f>
        <v>20.656199999999998</v>
      </c>
      <c r="K320" s="250">
        <f t="shared" si="28"/>
        <v>11842.199459999998</v>
      </c>
    </row>
    <row r="321" spans="2:11" s="134" customFormat="1" ht="23" customHeight="1">
      <c r="B321" s="7" t="s">
        <v>1266</v>
      </c>
      <c r="C321" s="7" t="s">
        <v>693</v>
      </c>
      <c r="D321" s="159">
        <v>44768</v>
      </c>
      <c r="E321" s="249" t="s">
        <v>935</v>
      </c>
      <c r="F321" s="7" t="s">
        <v>59</v>
      </c>
      <c r="G321" s="250">
        <v>90.24</v>
      </c>
      <c r="H321" s="162">
        <f>IF(F321=0,0,IF(F321="MXN",1/HLOOKUP(YEAR(D321)+(MONTH(D321)/100),TC!$5:$437,DAY(D321)+2,FALSE),VLOOKUP(F321,Equivalencia!$1:$23,((MAX(Equivalencia!$3:$3)-YEAR(D321))*14)+MONTH(D321)+2,FALSE)))</f>
        <v>1</v>
      </c>
      <c r="I321" s="251">
        <f t="shared" si="27"/>
        <v>90.24</v>
      </c>
      <c r="J321" s="162">
        <f>IF(D321=0,0,HLOOKUP(YEAR(D321)+(MONTH(D321)/100),TC!$5:$37,DAY(D321)+2,FALSE))</f>
        <v>20.515000000000001</v>
      </c>
      <c r="K321" s="250">
        <f t="shared" si="28"/>
        <v>1851.2736</v>
      </c>
    </row>
    <row r="322" spans="2:11" s="134" customFormat="1" ht="23" customHeight="1">
      <c r="B322" s="7" t="s">
        <v>1266</v>
      </c>
      <c r="C322" s="7" t="s">
        <v>693</v>
      </c>
      <c r="D322" s="159">
        <v>44769</v>
      </c>
      <c r="E322" s="249" t="s">
        <v>742</v>
      </c>
      <c r="F322" s="7" t="s">
        <v>59</v>
      </c>
      <c r="G322" s="250">
        <v>554.85</v>
      </c>
      <c r="H322" s="162">
        <f>IF(F322=0,0,IF(F322="MXN",1/HLOOKUP(YEAR(D322)+(MONTH(D322)/100),TC!$5:$437,DAY(D322)+2,FALSE),VLOOKUP(F322,Equivalencia!$1:$23,((MAX(Equivalencia!$3:$3)-YEAR(D322))*14)+MONTH(D322)+2,FALSE)))</f>
        <v>1</v>
      </c>
      <c r="I322" s="251">
        <f t="shared" si="27"/>
        <v>554.85</v>
      </c>
      <c r="J322" s="162">
        <f>IF(D322=0,0,HLOOKUP(YEAR(D322)+(MONTH(D322)/100),TC!$5:$37,DAY(D322)+2,FALSE))</f>
        <v>20.465199999999999</v>
      </c>
      <c r="K322" s="250">
        <f t="shared" si="28"/>
        <v>11355.11622</v>
      </c>
    </row>
    <row r="323" spans="2:11" s="134" customFormat="1" ht="23" customHeight="1">
      <c r="B323" s="7" t="s">
        <v>1266</v>
      </c>
      <c r="C323" s="7" t="s">
        <v>693</v>
      </c>
      <c r="D323" s="159">
        <v>44769</v>
      </c>
      <c r="E323" s="249" t="s">
        <v>743</v>
      </c>
      <c r="F323" s="7" t="s">
        <v>59</v>
      </c>
      <c r="G323" s="250">
        <v>820.04</v>
      </c>
      <c r="H323" s="162">
        <f>IF(F323=0,0,IF(F323="MXN",1/HLOOKUP(YEAR(D323)+(MONTH(D323)/100),TC!$5:$437,DAY(D323)+2,FALSE),VLOOKUP(F323,Equivalencia!$1:$23,((MAX(Equivalencia!$3:$3)-YEAR(D323))*14)+MONTH(D323)+2,FALSE)))</f>
        <v>1</v>
      </c>
      <c r="I323" s="251">
        <f t="shared" si="27"/>
        <v>820.04</v>
      </c>
      <c r="J323" s="162">
        <f>IF(D323=0,0,HLOOKUP(YEAR(D323)+(MONTH(D323)/100),TC!$5:$37,DAY(D323)+2,FALSE))</f>
        <v>20.465199999999999</v>
      </c>
      <c r="K323" s="250">
        <f t="shared" si="28"/>
        <v>16782.282607999998</v>
      </c>
    </row>
    <row r="324" spans="2:11" s="134" customFormat="1" ht="23" customHeight="1">
      <c r="B324" s="7" t="s">
        <v>1266</v>
      </c>
      <c r="C324" s="7" t="s">
        <v>693</v>
      </c>
      <c r="D324" s="159">
        <v>44770</v>
      </c>
      <c r="E324" s="249" t="s">
        <v>936</v>
      </c>
      <c r="F324" s="7" t="s">
        <v>59</v>
      </c>
      <c r="G324" s="250">
        <v>198</v>
      </c>
      <c r="H324" s="162">
        <f>IF(F324=0,0,IF(F324="MXN",1/HLOOKUP(YEAR(D324)+(MONTH(D324)/100),TC!$5:$437,DAY(D324)+2,FALSE),VLOOKUP(F324,Equivalencia!$1:$23,((MAX(Equivalencia!$3:$3)-YEAR(D324))*14)+MONTH(D324)+2,FALSE)))</f>
        <v>1</v>
      </c>
      <c r="I324" s="251">
        <f t="shared" si="27"/>
        <v>198</v>
      </c>
      <c r="J324" s="162">
        <f>IF(D324=0,0,HLOOKUP(YEAR(D324)+(MONTH(D324)/100),TC!$5:$37,DAY(D324)+2,FALSE))</f>
        <v>20.433</v>
      </c>
      <c r="K324" s="250">
        <f t="shared" si="28"/>
        <v>4045.7339999999999</v>
      </c>
    </row>
    <row r="325" spans="2:11" s="134" customFormat="1" ht="23" customHeight="1">
      <c r="B325" s="7" t="s">
        <v>1266</v>
      </c>
      <c r="C325" s="7" t="s">
        <v>693</v>
      </c>
      <c r="D325" s="159">
        <v>44770</v>
      </c>
      <c r="E325" s="249" t="s">
        <v>937</v>
      </c>
      <c r="F325" s="7" t="s">
        <v>59</v>
      </c>
      <c r="G325" s="250">
        <v>39.200000000000003</v>
      </c>
      <c r="H325" s="162">
        <f>IF(F325=0,0,IF(F325="MXN",1/HLOOKUP(YEAR(D325)+(MONTH(D325)/100),TC!$5:$437,DAY(D325)+2,FALSE),VLOOKUP(F325,Equivalencia!$1:$23,((MAX(Equivalencia!$3:$3)-YEAR(D325))*14)+MONTH(D325)+2,FALSE)))</f>
        <v>1</v>
      </c>
      <c r="I325" s="251">
        <f t="shared" si="27"/>
        <v>39.200000000000003</v>
      </c>
      <c r="J325" s="162">
        <f>IF(D325=0,0,HLOOKUP(YEAR(D325)+(MONTH(D325)/100),TC!$5:$37,DAY(D325)+2,FALSE))</f>
        <v>20.433</v>
      </c>
      <c r="K325" s="250">
        <f t="shared" si="28"/>
        <v>800.97360000000003</v>
      </c>
    </row>
    <row r="326" spans="2:11" s="134" customFormat="1" ht="23" customHeight="1">
      <c r="B326" s="7" t="s">
        <v>1266</v>
      </c>
      <c r="C326" s="7" t="s">
        <v>693</v>
      </c>
      <c r="D326" s="159">
        <v>44770</v>
      </c>
      <c r="E326" s="249" t="s">
        <v>744</v>
      </c>
      <c r="F326" s="7" t="s">
        <v>59</v>
      </c>
      <c r="G326" s="250">
        <v>73</v>
      </c>
      <c r="H326" s="162">
        <f>IF(F326=0,0,IF(F326="MXN",1/HLOOKUP(YEAR(D326)+(MONTH(D326)/100),TC!$5:$437,DAY(D326)+2,FALSE),VLOOKUP(F326,Equivalencia!$1:$23,((MAX(Equivalencia!$3:$3)-YEAR(D326))*14)+MONTH(D326)+2,FALSE)))</f>
        <v>1</v>
      </c>
      <c r="I326" s="251">
        <f t="shared" si="27"/>
        <v>73</v>
      </c>
      <c r="J326" s="162">
        <f>IF(D326=0,0,HLOOKUP(YEAR(D326)+(MONTH(D326)/100),TC!$5:$37,DAY(D326)+2,FALSE))</f>
        <v>20.433</v>
      </c>
      <c r="K326" s="250">
        <f t="shared" si="28"/>
        <v>1491.6089999999999</v>
      </c>
    </row>
    <row r="327" spans="2:11" s="134" customFormat="1" ht="23" customHeight="1">
      <c r="B327" s="7" t="s">
        <v>1266</v>
      </c>
      <c r="C327" s="7" t="s">
        <v>693</v>
      </c>
      <c r="D327" s="159">
        <v>44774</v>
      </c>
      <c r="E327" s="249" t="s">
        <v>960</v>
      </c>
      <c r="F327" s="7" t="s">
        <v>59</v>
      </c>
      <c r="G327" s="250">
        <v>154.01</v>
      </c>
      <c r="H327" s="162">
        <f>IF(F327=0,0,IF(F327="MXN",1/HLOOKUP(YEAR(D327)+(MONTH(D327)/100),TC!$5:$437,DAY(D327)+2,FALSE),VLOOKUP(F327,Equivalencia!$1:$23,((MAX(Equivalencia!$3:$3)-YEAR(D327))*14)+MONTH(D327)+2,FALSE)))</f>
        <v>1</v>
      </c>
      <c r="I327" s="251">
        <f t="shared" si="27"/>
        <v>154.01</v>
      </c>
      <c r="J327" s="162">
        <f>IF(D327=0,0,HLOOKUP(YEAR(D327)+(MONTH(D327)/100),TC!$5:$37,DAY(D327)+2,FALSE))</f>
        <v>20.377800000000001</v>
      </c>
      <c r="K327" s="250">
        <f t="shared" si="28"/>
        <v>3138.384978</v>
      </c>
    </row>
    <row r="328" spans="2:11" s="134" customFormat="1" ht="23" customHeight="1">
      <c r="B328" s="7" t="s">
        <v>1266</v>
      </c>
      <c r="C328" s="7" t="s">
        <v>693</v>
      </c>
      <c r="D328" s="159">
        <v>44774</v>
      </c>
      <c r="E328" s="249" t="s">
        <v>747</v>
      </c>
      <c r="F328" s="7" t="s">
        <v>59</v>
      </c>
      <c r="G328" s="250">
        <v>710.05</v>
      </c>
      <c r="H328" s="162">
        <f>IF(F328=0,0,IF(F328="MXN",1/HLOOKUP(YEAR(D328)+(MONTH(D328)/100),TC!$5:$437,DAY(D328)+2,FALSE),VLOOKUP(F328,Equivalencia!$1:$23,((MAX(Equivalencia!$3:$3)-YEAR(D328))*14)+MONTH(D328)+2,FALSE)))</f>
        <v>1</v>
      </c>
      <c r="I328" s="251">
        <f t="shared" si="27"/>
        <v>710.05</v>
      </c>
      <c r="J328" s="162">
        <f>IF(D328=0,0,HLOOKUP(YEAR(D328)+(MONTH(D328)/100),TC!$5:$37,DAY(D328)+2,FALSE))</f>
        <v>20.377800000000001</v>
      </c>
      <c r="K328" s="250">
        <f t="shared" si="28"/>
        <v>14469.256889999999</v>
      </c>
    </row>
    <row r="329" spans="2:11" s="134" customFormat="1" ht="23" customHeight="1">
      <c r="B329" s="7" t="s">
        <v>1266</v>
      </c>
      <c r="C329" s="7" t="s">
        <v>693</v>
      </c>
      <c r="D329" s="159">
        <v>44774</v>
      </c>
      <c r="E329" s="249" t="s">
        <v>788</v>
      </c>
      <c r="F329" s="7" t="s">
        <v>59</v>
      </c>
      <c r="G329" s="250">
        <v>751</v>
      </c>
      <c r="H329" s="162">
        <f>IF(F329=0,0,IF(F329="MXN",1/HLOOKUP(YEAR(D329)+(MONTH(D329)/100),TC!$5:$437,DAY(D329)+2,FALSE),VLOOKUP(F329,Equivalencia!$1:$23,((MAX(Equivalencia!$3:$3)-YEAR(D329))*14)+MONTH(D329)+2,FALSE)))</f>
        <v>1</v>
      </c>
      <c r="I329" s="251">
        <f t="shared" si="27"/>
        <v>751</v>
      </c>
      <c r="J329" s="162">
        <f>IF(D329=0,0,HLOOKUP(YEAR(D329)+(MONTH(D329)/100),TC!$5:$37,DAY(D329)+2,FALSE))</f>
        <v>20.377800000000001</v>
      </c>
      <c r="K329" s="250">
        <f t="shared" si="28"/>
        <v>15303.727800000001</v>
      </c>
    </row>
    <row r="330" spans="2:11" s="134" customFormat="1" ht="23" customHeight="1">
      <c r="B330" s="7" t="s">
        <v>1266</v>
      </c>
      <c r="C330" s="7" t="s">
        <v>693</v>
      </c>
      <c r="D330" s="159">
        <v>44774</v>
      </c>
      <c r="E330" s="249" t="s">
        <v>965</v>
      </c>
      <c r="F330" s="7" t="s">
        <v>59</v>
      </c>
      <c r="G330" s="250">
        <v>35.090000000000003</v>
      </c>
      <c r="H330" s="162">
        <f>IF(F330=0,0,IF(F330="MXN",1/HLOOKUP(YEAR(D330)+(MONTH(D330)/100),TC!$5:$437,DAY(D330)+2,FALSE),VLOOKUP(F330,Equivalencia!$1:$23,((MAX(Equivalencia!$3:$3)-YEAR(D330))*14)+MONTH(D330)+2,FALSE)))</f>
        <v>1</v>
      </c>
      <c r="I330" s="251">
        <f t="shared" si="27"/>
        <v>35.090000000000003</v>
      </c>
      <c r="J330" s="162">
        <f>IF(D330=0,0,HLOOKUP(YEAR(D330)+(MONTH(D330)/100),TC!$5:$37,DAY(D330)+2,FALSE))</f>
        <v>20.377800000000001</v>
      </c>
      <c r="K330" s="250">
        <f t="shared" si="28"/>
        <v>715.05700200000013</v>
      </c>
    </row>
    <row r="331" spans="2:11" s="134" customFormat="1" ht="23" customHeight="1">
      <c r="B331" s="7" t="s">
        <v>1266</v>
      </c>
      <c r="C331" s="7" t="s">
        <v>693</v>
      </c>
      <c r="D331" s="159">
        <v>44776</v>
      </c>
      <c r="E331" s="249" t="s">
        <v>748</v>
      </c>
      <c r="F331" s="7" t="s">
        <v>59</v>
      </c>
      <c r="G331" s="250">
        <v>478.8</v>
      </c>
      <c r="H331" s="162">
        <f>IF(F331=0,0,IF(F331="MXN",1/HLOOKUP(YEAR(D331)+(MONTH(D331)/100),TC!$5:$437,DAY(D331)+2,FALSE),VLOOKUP(F331,Equivalencia!$1:$23,((MAX(Equivalencia!$3:$3)-YEAR(D331))*14)+MONTH(D331)+2,FALSE)))</f>
        <v>1</v>
      </c>
      <c r="I331" s="251">
        <f t="shared" si="27"/>
        <v>478.8</v>
      </c>
      <c r="J331" s="162">
        <f>IF(D331=0,0,HLOOKUP(YEAR(D331)+(MONTH(D331)/100),TC!$5:$37,DAY(D331)+2,FALSE))</f>
        <v>20.263300000000001</v>
      </c>
      <c r="K331" s="250">
        <f t="shared" si="28"/>
        <v>9702.0680400000001</v>
      </c>
    </row>
    <row r="332" spans="2:11" s="134" customFormat="1" ht="23" customHeight="1">
      <c r="B332" s="7" t="s">
        <v>1266</v>
      </c>
      <c r="C332" s="7" t="s">
        <v>693</v>
      </c>
      <c r="D332" s="159">
        <v>44778</v>
      </c>
      <c r="E332" s="249" t="s">
        <v>961</v>
      </c>
      <c r="F332" s="7" t="s">
        <v>59</v>
      </c>
      <c r="G332" s="250">
        <v>62.9</v>
      </c>
      <c r="H332" s="162">
        <f>IF(F332=0,0,IF(F332="MXN",1/HLOOKUP(YEAR(D332)+(MONTH(D332)/100),TC!$5:$437,DAY(D332)+2,FALSE),VLOOKUP(F332,Equivalencia!$1:$23,((MAX(Equivalencia!$3:$3)-YEAR(D332))*14)+MONTH(D332)+2,FALSE)))</f>
        <v>1</v>
      </c>
      <c r="I332" s="251">
        <f t="shared" si="27"/>
        <v>62.9</v>
      </c>
      <c r="J332" s="162">
        <f>IF(D332=0,0,HLOOKUP(YEAR(D332)+(MONTH(D332)/100),TC!$5:$37,DAY(D332)+2,FALSE))</f>
        <v>20.630500000000001</v>
      </c>
      <c r="K332" s="250">
        <f t="shared" si="28"/>
        <v>1297.6584500000001</v>
      </c>
    </row>
    <row r="333" spans="2:11" s="134" customFormat="1" ht="23" customHeight="1">
      <c r="B333" s="7" t="s">
        <v>1266</v>
      </c>
      <c r="C333" s="7" t="s">
        <v>693</v>
      </c>
      <c r="D333" s="159">
        <v>44781</v>
      </c>
      <c r="E333" s="249" t="s">
        <v>962</v>
      </c>
      <c r="F333" s="7" t="s">
        <v>59</v>
      </c>
      <c r="G333" s="250">
        <v>103.36</v>
      </c>
      <c r="H333" s="162">
        <f>IF(F333=0,0,IF(F333="MXN",1/HLOOKUP(YEAR(D333)+(MONTH(D333)/100),TC!$5:$437,DAY(D333)+2,FALSE),VLOOKUP(F333,Equivalencia!$1:$23,((MAX(Equivalencia!$3:$3)-YEAR(D333))*14)+MONTH(D333)+2,FALSE)))</f>
        <v>1</v>
      </c>
      <c r="I333" s="251">
        <f t="shared" si="27"/>
        <v>103.36</v>
      </c>
      <c r="J333" s="162">
        <f>IF(D333=0,0,HLOOKUP(YEAR(D333)+(MONTH(D333)/100),TC!$5:$37,DAY(D333)+2,FALSE))</f>
        <v>20.335799999999999</v>
      </c>
      <c r="K333" s="250">
        <f t="shared" si="28"/>
        <v>2101.9082880000001</v>
      </c>
    </row>
    <row r="334" spans="2:11" s="134" customFormat="1" ht="23" customHeight="1">
      <c r="B334" s="7" t="s">
        <v>1266</v>
      </c>
      <c r="C334" s="7" t="s">
        <v>693</v>
      </c>
      <c r="D334" s="159">
        <v>44783</v>
      </c>
      <c r="E334" s="249" t="s">
        <v>750</v>
      </c>
      <c r="F334" s="7" t="s">
        <v>59</v>
      </c>
      <c r="G334" s="250">
        <v>269.88</v>
      </c>
      <c r="H334" s="162">
        <f>IF(F334=0,0,IF(F334="MXN",1/HLOOKUP(YEAR(D334)+(MONTH(D334)/100),TC!$5:$437,DAY(D334)+2,FALSE),VLOOKUP(F334,Equivalencia!$1:$23,((MAX(Equivalencia!$3:$3)-YEAR(D334))*14)+MONTH(D334)+2,FALSE)))</f>
        <v>1</v>
      </c>
      <c r="I334" s="251">
        <f t="shared" si="27"/>
        <v>269.88</v>
      </c>
      <c r="J334" s="162">
        <f>IF(D334=0,0,HLOOKUP(YEAR(D334)+(MONTH(D334)/100),TC!$5:$37,DAY(D334)+2,FALSE))</f>
        <v>20.2789</v>
      </c>
      <c r="K334" s="250">
        <f t="shared" si="28"/>
        <v>5472.8695319999997</v>
      </c>
    </row>
    <row r="335" spans="2:11" s="134" customFormat="1" ht="23" customHeight="1">
      <c r="B335" s="7" t="s">
        <v>1266</v>
      </c>
      <c r="C335" s="7" t="s">
        <v>693</v>
      </c>
      <c r="D335" s="159">
        <v>44784</v>
      </c>
      <c r="E335" s="249" t="s">
        <v>716</v>
      </c>
      <c r="F335" s="7" t="s">
        <v>59</v>
      </c>
      <c r="G335" s="250">
        <v>508.07</v>
      </c>
      <c r="H335" s="162">
        <f>IF(F335=0,0,IF(F335="MXN",1/HLOOKUP(YEAR(D335)+(MONTH(D335)/100),TC!$5:$437,DAY(D335)+2,FALSE),VLOOKUP(F335,Equivalencia!$1:$23,((MAX(Equivalencia!$3:$3)-YEAR(D335))*14)+MONTH(D335)+2,FALSE)))</f>
        <v>1</v>
      </c>
      <c r="I335" s="251">
        <f t="shared" si="27"/>
        <v>508.07</v>
      </c>
      <c r="J335" s="162">
        <f>IF(D335=0,0,HLOOKUP(YEAR(D335)+(MONTH(D335)/100),TC!$5:$37,DAY(D335)+2,FALSE))</f>
        <v>20.2715</v>
      </c>
      <c r="K335" s="250">
        <f t="shared" si="28"/>
        <v>10299.341005</v>
      </c>
    </row>
    <row r="336" spans="2:11" s="134" customFormat="1" ht="23" customHeight="1">
      <c r="B336" s="7" t="s">
        <v>1266</v>
      </c>
      <c r="C336" s="7" t="s">
        <v>693</v>
      </c>
      <c r="D336" s="159">
        <v>44784</v>
      </c>
      <c r="E336" s="249" t="s">
        <v>963</v>
      </c>
      <c r="F336" s="7" t="s">
        <v>59</v>
      </c>
      <c r="G336" s="250">
        <v>82.8</v>
      </c>
      <c r="H336" s="162">
        <f>IF(F336=0,0,IF(F336="MXN",1/HLOOKUP(YEAR(D336)+(MONTH(D336)/100),TC!$5:$437,DAY(D336)+2,FALSE),VLOOKUP(F336,Equivalencia!$1:$23,((MAX(Equivalencia!$3:$3)-YEAR(D336))*14)+MONTH(D336)+2,FALSE)))</f>
        <v>1</v>
      </c>
      <c r="I336" s="251">
        <f t="shared" si="27"/>
        <v>82.8</v>
      </c>
      <c r="J336" s="162">
        <f>IF(D336=0,0,HLOOKUP(YEAR(D336)+(MONTH(D336)/100),TC!$5:$37,DAY(D336)+2,FALSE))</f>
        <v>20.2715</v>
      </c>
      <c r="K336" s="250">
        <f t="shared" si="28"/>
        <v>1678.4802</v>
      </c>
    </row>
    <row r="337" spans="2:11" s="134" customFormat="1" ht="23" customHeight="1">
      <c r="B337" s="7" t="s">
        <v>1266</v>
      </c>
      <c r="C337" s="7" t="s">
        <v>693</v>
      </c>
      <c r="D337" s="159">
        <v>44785</v>
      </c>
      <c r="E337" s="249" t="s">
        <v>755</v>
      </c>
      <c r="F337" s="7" t="s">
        <v>59</v>
      </c>
      <c r="G337" s="250">
        <v>142.19999999999999</v>
      </c>
      <c r="H337" s="162">
        <f>IF(F337=0,0,IF(F337="MXN",1/HLOOKUP(YEAR(D337)+(MONTH(D337)/100),TC!$5:$437,DAY(D337)+2,FALSE),VLOOKUP(F337,Equivalencia!$1:$23,((MAX(Equivalencia!$3:$3)-YEAR(D337))*14)+MONTH(D337)+2,FALSE)))</f>
        <v>1</v>
      </c>
      <c r="I337" s="251">
        <f t="shared" si="27"/>
        <v>142.19999999999999</v>
      </c>
      <c r="J337" s="162">
        <f>IF(D337=0,0,HLOOKUP(YEAR(D337)+(MONTH(D337)/100),TC!$5:$37,DAY(D337)+2,FALSE))</f>
        <v>19.956199999999999</v>
      </c>
      <c r="K337" s="250">
        <f t="shared" si="28"/>
        <v>2837.7716399999995</v>
      </c>
    </row>
    <row r="338" spans="2:11" s="134" customFormat="1" ht="23" customHeight="1">
      <c r="B338" s="7" t="s">
        <v>1266</v>
      </c>
      <c r="C338" s="7" t="s">
        <v>693</v>
      </c>
      <c r="D338" s="159">
        <v>44788</v>
      </c>
      <c r="E338" s="249" t="s">
        <v>751</v>
      </c>
      <c r="F338" s="7" t="s">
        <v>59</v>
      </c>
      <c r="G338" s="250">
        <v>490.21</v>
      </c>
      <c r="H338" s="162">
        <f>IF(F338=0,0,IF(F338="MXN",1/HLOOKUP(YEAR(D338)+(MONTH(D338)/100),TC!$5:$437,DAY(D338)+2,FALSE),VLOOKUP(F338,Equivalencia!$1:$23,((MAX(Equivalencia!$3:$3)-YEAR(D338))*14)+MONTH(D338)+2,FALSE)))</f>
        <v>1</v>
      </c>
      <c r="I338" s="251">
        <f t="shared" si="27"/>
        <v>490.21</v>
      </c>
      <c r="J338" s="162">
        <f>IF(D338=0,0,HLOOKUP(YEAR(D338)+(MONTH(D338)/100),TC!$5:$37,DAY(D338)+2,FALSE))</f>
        <v>19.959499999999998</v>
      </c>
      <c r="K338" s="250">
        <f t="shared" si="28"/>
        <v>9784.346494999998</v>
      </c>
    </row>
    <row r="339" spans="2:11" s="134" customFormat="1" ht="23" customHeight="1">
      <c r="B339" s="7" t="s">
        <v>1266</v>
      </c>
      <c r="C339" s="7" t="s">
        <v>693</v>
      </c>
      <c r="D339" s="159">
        <v>44788</v>
      </c>
      <c r="E339" s="249" t="s">
        <v>964</v>
      </c>
      <c r="F339" s="7" t="s">
        <v>59</v>
      </c>
      <c r="G339" s="250">
        <v>24</v>
      </c>
      <c r="H339" s="162">
        <f>IF(F339=0,0,IF(F339="MXN",1/HLOOKUP(YEAR(D339)+(MONTH(D339)/100),TC!$5:$437,DAY(D339)+2,FALSE),VLOOKUP(F339,Equivalencia!$1:$23,((MAX(Equivalencia!$3:$3)-YEAR(D339))*14)+MONTH(D339)+2,FALSE)))</f>
        <v>1</v>
      </c>
      <c r="I339" s="251">
        <f t="shared" si="27"/>
        <v>24</v>
      </c>
      <c r="J339" s="162">
        <f>IF(D339=0,0,HLOOKUP(YEAR(D339)+(MONTH(D339)/100),TC!$5:$37,DAY(D339)+2,FALSE))</f>
        <v>19.959499999999998</v>
      </c>
      <c r="K339" s="250">
        <f t="shared" si="28"/>
        <v>479.02799999999996</v>
      </c>
    </row>
    <row r="340" spans="2:11" s="134" customFormat="1" ht="23" customHeight="1">
      <c r="B340" s="7" t="s">
        <v>1266</v>
      </c>
      <c r="C340" s="7" t="s">
        <v>693</v>
      </c>
      <c r="D340" s="159">
        <v>44788</v>
      </c>
      <c r="E340" s="249" t="s">
        <v>940</v>
      </c>
      <c r="F340" s="7" t="s">
        <v>59</v>
      </c>
      <c r="G340" s="250">
        <v>15.2</v>
      </c>
      <c r="H340" s="162">
        <f>IF(F340=0,0,IF(F340="MXN",1/HLOOKUP(YEAR(D340)+(MONTH(D340)/100),TC!$5:$437,DAY(D340)+2,FALSE),VLOOKUP(F340,Equivalencia!$1:$23,((MAX(Equivalencia!$3:$3)-YEAR(D340))*14)+MONTH(D340)+2,FALSE)))</f>
        <v>1</v>
      </c>
      <c r="I340" s="251">
        <f t="shared" si="27"/>
        <v>15.2</v>
      </c>
      <c r="J340" s="162">
        <f>IF(D340=0,0,HLOOKUP(YEAR(D340)+(MONTH(D340)/100),TC!$5:$37,DAY(D340)+2,FALSE))</f>
        <v>19.959499999999998</v>
      </c>
      <c r="K340" s="250">
        <f t="shared" si="28"/>
        <v>303.38439999999997</v>
      </c>
    </row>
    <row r="341" spans="2:11" s="134" customFormat="1" ht="23" customHeight="1">
      <c r="B341" s="7" t="s">
        <v>1266</v>
      </c>
      <c r="C341" s="7" t="s">
        <v>693</v>
      </c>
      <c r="D341" s="159">
        <v>44788</v>
      </c>
      <c r="E341" s="249" t="s">
        <v>941</v>
      </c>
      <c r="F341" s="7" t="s">
        <v>59</v>
      </c>
      <c r="G341" s="250">
        <v>77.7</v>
      </c>
      <c r="H341" s="162">
        <f>IF(F341=0,0,IF(F341="MXN",1/HLOOKUP(YEAR(D341)+(MONTH(D341)/100),TC!$5:$437,DAY(D341)+2,FALSE),VLOOKUP(F341,Equivalencia!$1:$23,((MAX(Equivalencia!$3:$3)-YEAR(D341))*14)+MONTH(D341)+2,FALSE)))</f>
        <v>1</v>
      </c>
      <c r="I341" s="251">
        <f t="shared" si="27"/>
        <v>77.7</v>
      </c>
      <c r="J341" s="162">
        <f>IF(D341=0,0,HLOOKUP(YEAR(D341)+(MONTH(D341)/100),TC!$5:$37,DAY(D341)+2,FALSE))</f>
        <v>19.959499999999998</v>
      </c>
      <c r="K341" s="250">
        <f t="shared" si="28"/>
        <v>1550.8531499999999</v>
      </c>
    </row>
    <row r="342" spans="2:11" s="134" customFormat="1" ht="23" customHeight="1">
      <c r="B342" s="7" t="s">
        <v>1266</v>
      </c>
      <c r="C342" s="7" t="s">
        <v>693</v>
      </c>
      <c r="D342" s="159">
        <v>44788</v>
      </c>
      <c r="E342" s="249" t="s">
        <v>752</v>
      </c>
      <c r="F342" s="7" t="s">
        <v>59</v>
      </c>
      <c r="G342" s="250">
        <v>1353.6</v>
      </c>
      <c r="H342" s="162">
        <f>IF(F342=0,0,IF(F342="MXN",1/HLOOKUP(YEAR(D342)+(MONTH(D342)/100),TC!$5:$437,DAY(D342)+2,FALSE),VLOOKUP(F342,Equivalencia!$1:$23,((MAX(Equivalencia!$3:$3)-YEAR(D342))*14)+MONTH(D342)+2,FALSE)))</f>
        <v>1</v>
      </c>
      <c r="I342" s="251">
        <f t="shared" si="27"/>
        <v>1353.6</v>
      </c>
      <c r="J342" s="162">
        <f>IF(D342=0,0,HLOOKUP(YEAR(D342)+(MONTH(D342)/100),TC!$5:$37,DAY(D342)+2,FALSE))</f>
        <v>19.959499999999998</v>
      </c>
      <c r="K342" s="250">
        <f t="shared" si="28"/>
        <v>27017.179199999995</v>
      </c>
    </row>
    <row r="343" spans="2:11" s="134" customFormat="1" ht="23" customHeight="1">
      <c r="B343" s="7" t="s">
        <v>1266</v>
      </c>
      <c r="C343" s="7" t="s">
        <v>693</v>
      </c>
      <c r="D343" s="159">
        <v>44788</v>
      </c>
      <c r="E343" s="249" t="s">
        <v>753</v>
      </c>
      <c r="F343" s="7" t="s">
        <v>59</v>
      </c>
      <c r="G343" s="250">
        <v>974.95</v>
      </c>
      <c r="H343" s="162">
        <f>IF(F343=0,0,IF(F343="MXN",1/HLOOKUP(YEAR(D343)+(MONTH(D343)/100),TC!$5:$437,DAY(D343)+2,FALSE),VLOOKUP(F343,Equivalencia!$1:$23,((MAX(Equivalencia!$3:$3)-YEAR(D343))*14)+MONTH(D343)+2,FALSE)))</f>
        <v>1</v>
      </c>
      <c r="I343" s="251">
        <f t="shared" si="27"/>
        <v>974.95</v>
      </c>
      <c r="J343" s="162">
        <f>IF(D343=0,0,HLOOKUP(YEAR(D343)+(MONTH(D343)/100),TC!$5:$37,DAY(D343)+2,FALSE))</f>
        <v>19.959499999999998</v>
      </c>
      <c r="K343" s="250">
        <f t="shared" si="28"/>
        <v>19459.514524999999</v>
      </c>
    </row>
    <row r="344" spans="2:11" s="134" customFormat="1" ht="23" customHeight="1">
      <c r="B344" s="7" t="s">
        <v>1266</v>
      </c>
      <c r="C344" s="7" t="s">
        <v>693</v>
      </c>
      <c r="D344" s="159">
        <v>44788</v>
      </c>
      <c r="E344" s="249" t="s">
        <v>754</v>
      </c>
      <c r="F344" s="7" t="s">
        <v>59</v>
      </c>
      <c r="G344" s="250">
        <v>708.72</v>
      </c>
      <c r="H344" s="162">
        <f>IF(F344=0,0,IF(F344="MXN",1/HLOOKUP(YEAR(D344)+(MONTH(D344)/100),TC!$5:$437,DAY(D344)+2,FALSE),VLOOKUP(F344,Equivalencia!$1:$23,((MAX(Equivalencia!$3:$3)-YEAR(D344))*14)+MONTH(D344)+2,FALSE)))</f>
        <v>1</v>
      </c>
      <c r="I344" s="251">
        <f t="shared" si="27"/>
        <v>708.72</v>
      </c>
      <c r="J344" s="162">
        <f>IF(D344=0,0,HLOOKUP(YEAR(D344)+(MONTH(D344)/100),TC!$5:$37,DAY(D344)+2,FALSE))</f>
        <v>19.959499999999998</v>
      </c>
      <c r="K344" s="250">
        <f t="shared" si="28"/>
        <v>14145.696839999999</v>
      </c>
    </row>
    <row r="345" spans="2:11" s="134" customFormat="1" ht="23" customHeight="1">
      <c r="B345" s="7" t="s">
        <v>1266</v>
      </c>
      <c r="C345" s="7" t="s">
        <v>693</v>
      </c>
      <c r="D345" s="159">
        <v>44789</v>
      </c>
      <c r="E345" s="249" t="s">
        <v>749</v>
      </c>
      <c r="F345" s="7" t="s">
        <v>59</v>
      </c>
      <c r="G345" s="250">
        <v>715.3</v>
      </c>
      <c r="H345" s="162">
        <f>IF(F345=0,0,IF(F345="MXN",1/HLOOKUP(YEAR(D345)+(MONTH(D345)/100),TC!$5:$437,DAY(D345)+2,FALSE),VLOOKUP(F345,Equivalencia!$1:$23,((MAX(Equivalencia!$3:$3)-YEAR(D345))*14)+MONTH(D345)+2,FALSE)))</f>
        <v>1</v>
      </c>
      <c r="I345" s="251">
        <f t="shared" si="27"/>
        <v>715.3</v>
      </c>
      <c r="J345" s="162">
        <f>IF(D345=0,0,HLOOKUP(YEAR(D345)+(MONTH(D345)/100),TC!$5:$37,DAY(D345)+2,FALSE))</f>
        <v>19.873999999999999</v>
      </c>
      <c r="K345" s="250">
        <f t="shared" si="28"/>
        <v>14215.872199999998</v>
      </c>
    </row>
    <row r="346" spans="2:11" s="134" customFormat="1" ht="23" customHeight="1">
      <c r="B346" s="7" t="s">
        <v>1266</v>
      </c>
      <c r="C346" s="7" t="s">
        <v>693</v>
      </c>
      <c r="D346" s="159">
        <v>44792</v>
      </c>
      <c r="E346" s="249" t="s">
        <v>757</v>
      </c>
      <c r="F346" s="7" t="s">
        <v>59</v>
      </c>
      <c r="G346" s="250">
        <v>550</v>
      </c>
      <c r="H346" s="162">
        <f>IF(F346=0,0,IF(F346="MXN",1/HLOOKUP(YEAR(D346)+(MONTH(D346)/100),TC!$5:$437,DAY(D346)+2,FALSE),VLOOKUP(F346,Equivalencia!$1:$23,((MAX(Equivalencia!$3:$3)-YEAR(D346))*14)+MONTH(D346)+2,FALSE)))</f>
        <v>1</v>
      </c>
      <c r="I346" s="251">
        <f t="shared" si="27"/>
        <v>550</v>
      </c>
      <c r="J346" s="162">
        <f>IF(D346=0,0,HLOOKUP(YEAR(D346)+(MONTH(D346)/100),TC!$5:$37,DAY(D346)+2,FALSE))</f>
        <v>20.038699999999999</v>
      </c>
      <c r="K346" s="250">
        <f t="shared" si="28"/>
        <v>11021.285</v>
      </c>
    </row>
    <row r="347" spans="2:11" s="134" customFormat="1" ht="23" customHeight="1">
      <c r="B347" s="7" t="s">
        <v>1266</v>
      </c>
      <c r="C347" s="7" t="s">
        <v>693</v>
      </c>
      <c r="D347" s="159">
        <v>44792</v>
      </c>
      <c r="E347" s="249" t="s">
        <v>966</v>
      </c>
      <c r="F347" s="7" t="s">
        <v>59</v>
      </c>
      <c r="G347" s="250">
        <v>21</v>
      </c>
      <c r="H347" s="162">
        <f>IF(F347=0,0,IF(F347="MXN",1/HLOOKUP(YEAR(D347)+(MONTH(D347)/100),TC!$5:$437,DAY(D347)+2,FALSE),VLOOKUP(F347,Equivalencia!$1:$23,((MAX(Equivalencia!$3:$3)-YEAR(D347))*14)+MONTH(D347)+2,FALSE)))</f>
        <v>1</v>
      </c>
      <c r="I347" s="251">
        <f t="shared" si="27"/>
        <v>21</v>
      </c>
      <c r="J347" s="162">
        <f>IF(D347=0,0,HLOOKUP(YEAR(D347)+(MONTH(D347)/100),TC!$5:$37,DAY(D347)+2,FALSE))</f>
        <v>20.038699999999999</v>
      </c>
      <c r="K347" s="250">
        <f t="shared" si="28"/>
        <v>420.81269999999995</v>
      </c>
    </row>
    <row r="348" spans="2:11" s="134" customFormat="1" ht="23" customHeight="1">
      <c r="B348" s="7" t="s">
        <v>1266</v>
      </c>
      <c r="C348" s="7" t="s">
        <v>693</v>
      </c>
      <c r="D348" s="159">
        <v>44795</v>
      </c>
      <c r="E348" s="249" t="s">
        <v>967</v>
      </c>
      <c r="F348" s="7" t="s">
        <v>59</v>
      </c>
      <c r="G348" s="250">
        <v>19.75</v>
      </c>
      <c r="H348" s="162">
        <f>IF(F348=0,0,IF(F348="MXN",1/HLOOKUP(YEAR(D348)+(MONTH(D348)/100),TC!$5:$437,DAY(D348)+2,FALSE),VLOOKUP(F348,Equivalencia!$1:$23,((MAX(Equivalencia!$3:$3)-YEAR(D348))*14)+MONTH(D348)+2,FALSE)))</f>
        <v>1</v>
      </c>
      <c r="I348" s="251">
        <f t="shared" si="27"/>
        <v>19.75</v>
      </c>
      <c r="J348" s="162">
        <f>IF(D348=0,0,HLOOKUP(YEAR(D348)+(MONTH(D348)/100),TC!$5:$37,DAY(D348)+2,FALSE))</f>
        <v>20.083500000000001</v>
      </c>
      <c r="K348" s="250">
        <f t="shared" si="28"/>
        <v>396.64912500000003</v>
      </c>
    </row>
    <row r="349" spans="2:11" s="134" customFormat="1" ht="23" customHeight="1">
      <c r="B349" s="7" t="s">
        <v>1266</v>
      </c>
      <c r="C349" s="7" t="s">
        <v>693</v>
      </c>
      <c r="D349" s="159">
        <v>44795</v>
      </c>
      <c r="E349" s="249" t="s">
        <v>756</v>
      </c>
      <c r="F349" s="7" t="s">
        <v>59</v>
      </c>
      <c r="G349" s="250">
        <v>484.84</v>
      </c>
      <c r="H349" s="162">
        <f>IF(F349=0,0,IF(F349="MXN",1/HLOOKUP(YEAR(D349)+(MONTH(D349)/100),TC!$5:$437,DAY(D349)+2,FALSE),VLOOKUP(F349,Equivalencia!$1:$23,((MAX(Equivalencia!$3:$3)-YEAR(D349))*14)+MONTH(D349)+2,FALSE)))</f>
        <v>1</v>
      </c>
      <c r="I349" s="251">
        <f t="shared" ref="I349:I353" si="29">G349*H349</f>
        <v>484.84</v>
      </c>
      <c r="J349" s="162">
        <f>IF(D349=0,0,HLOOKUP(YEAR(D349)+(MONTH(D349)/100),TC!$5:$37,DAY(D349)+2,FALSE))</f>
        <v>20.083500000000001</v>
      </c>
      <c r="K349" s="250">
        <f t="shared" ref="K349:K353" si="30">I349*J349</f>
        <v>9737.2841399999998</v>
      </c>
    </row>
    <row r="350" spans="2:11" s="134" customFormat="1" ht="23" customHeight="1">
      <c r="B350" s="7" t="s">
        <v>1266</v>
      </c>
      <c r="C350" s="7" t="s">
        <v>693</v>
      </c>
      <c r="D350" s="159">
        <v>44798</v>
      </c>
      <c r="E350" s="249" t="s">
        <v>968</v>
      </c>
      <c r="F350" s="7" t="s">
        <v>59</v>
      </c>
      <c r="G350" s="250">
        <v>5.94</v>
      </c>
      <c r="H350" s="162">
        <f>IF(F350=0,0,IF(F350="MXN",1/HLOOKUP(YEAR(D350)+(MONTH(D350)/100),TC!$5:$437,DAY(D350)+2,FALSE),VLOOKUP(F350,Equivalencia!$1:$23,((MAX(Equivalencia!$3:$3)-YEAR(D350))*14)+MONTH(D350)+2,FALSE)))</f>
        <v>1</v>
      </c>
      <c r="I350" s="251">
        <f t="shared" si="29"/>
        <v>5.94</v>
      </c>
      <c r="J350" s="162">
        <f>IF(D350=0,0,HLOOKUP(YEAR(D350)+(MONTH(D350)/100),TC!$5:$37,DAY(D350)+2,FALSE))</f>
        <v>19.998200000000001</v>
      </c>
      <c r="K350" s="250">
        <f t="shared" si="30"/>
        <v>118.78930800000001</v>
      </c>
    </row>
    <row r="351" spans="2:11" s="134" customFormat="1" ht="23" customHeight="1">
      <c r="B351" s="7" t="s">
        <v>1266</v>
      </c>
      <c r="C351" s="7" t="s">
        <v>693</v>
      </c>
      <c r="D351" s="159">
        <v>44799</v>
      </c>
      <c r="E351" s="249" t="s">
        <v>808</v>
      </c>
      <c r="F351" s="7" t="s">
        <v>59</v>
      </c>
      <c r="G351" s="250">
        <v>326.39999999999998</v>
      </c>
      <c r="H351" s="162">
        <f>IF(F351=0,0,IF(F351="MXN",1/HLOOKUP(YEAR(D351)+(MONTH(D351)/100),TC!$5:$437,DAY(D351)+2,FALSE),VLOOKUP(F351,Equivalencia!$1:$23,((MAX(Equivalencia!$3:$3)-YEAR(D351))*14)+MONTH(D351)+2,FALSE)))</f>
        <v>1</v>
      </c>
      <c r="I351" s="251">
        <f t="shared" si="29"/>
        <v>326.39999999999998</v>
      </c>
      <c r="J351" s="162">
        <f>IF(D351=0,0,HLOOKUP(YEAR(D351)+(MONTH(D351)/100),TC!$5:$37,DAY(D351)+2,FALSE))</f>
        <v>19.919799999999999</v>
      </c>
      <c r="K351" s="250">
        <f t="shared" si="30"/>
        <v>6501.8227199999992</v>
      </c>
    </row>
    <row r="352" spans="2:11" s="134" customFormat="1" ht="23" customHeight="1">
      <c r="B352" s="7" t="s">
        <v>1266</v>
      </c>
      <c r="C352" s="7" t="s">
        <v>693</v>
      </c>
      <c r="D352" s="159">
        <v>44802</v>
      </c>
      <c r="E352" s="249" t="s">
        <v>969</v>
      </c>
      <c r="F352" s="7" t="s">
        <v>59</v>
      </c>
      <c r="G352" s="250">
        <v>59.92</v>
      </c>
      <c r="H352" s="162">
        <f>IF(F352=0,0,IF(F352="MXN",1/HLOOKUP(YEAR(D352)+(MONTH(D352)/100),TC!$5:$437,DAY(D352)+2,FALSE),VLOOKUP(F352,Equivalencia!$1:$23,((MAX(Equivalencia!$3:$3)-YEAR(D352))*14)+MONTH(D352)+2,FALSE)))</f>
        <v>1</v>
      </c>
      <c r="I352" s="251">
        <f t="shared" si="29"/>
        <v>59.92</v>
      </c>
      <c r="J352" s="162">
        <f>IF(D352=0,0,HLOOKUP(YEAR(D352)+(MONTH(D352)/100),TC!$5:$37,DAY(D352)+2,FALSE))</f>
        <v>19.9437</v>
      </c>
      <c r="K352" s="250">
        <f t="shared" si="30"/>
        <v>1195.0265039999999</v>
      </c>
    </row>
    <row r="353" spans="2:11" s="134" customFormat="1" ht="23" customHeight="1">
      <c r="B353" s="7" t="s">
        <v>1266</v>
      </c>
      <c r="C353" s="7" t="s">
        <v>693</v>
      </c>
      <c r="D353" s="159">
        <v>44803</v>
      </c>
      <c r="E353" s="249" t="s">
        <v>970</v>
      </c>
      <c r="F353" s="7" t="s">
        <v>59</v>
      </c>
      <c r="G353" s="250">
        <v>21.19</v>
      </c>
      <c r="H353" s="162">
        <f>IF(F353=0,0,IF(F353="MXN",1/HLOOKUP(YEAR(D353)+(MONTH(D353)/100),TC!$5:$437,DAY(D353)+2,FALSE),VLOOKUP(F353,Equivalencia!$1:$23,((MAX(Equivalencia!$3:$3)-YEAR(D353))*14)+MONTH(D353)+2,FALSE)))</f>
        <v>1</v>
      </c>
      <c r="I353" s="251">
        <f t="shared" si="29"/>
        <v>21.19</v>
      </c>
      <c r="J353" s="162">
        <f>IF(D353=0,0,HLOOKUP(YEAR(D353)+(MONTH(D353)/100),TC!$5:$37,DAY(D353)+2,FALSE))</f>
        <v>19.9268</v>
      </c>
      <c r="K353" s="250">
        <f t="shared" si="30"/>
        <v>422.24889200000001</v>
      </c>
    </row>
    <row r="354" spans="2:11" s="134" customFormat="1" ht="23" customHeight="1">
      <c r="B354" s="7" t="s">
        <v>1266</v>
      </c>
      <c r="C354" s="7" t="s">
        <v>693</v>
      </c>
      <c r="D354" s="159">
        <v>44805</v>
      </c>
      <c r="E354" s="249" t="s">
        <v>738</v>
      </c>
      <c r="F354" s="7" t="s">
        <v>59</v>
      </c>
      <c r="G354" s="250">
        <v>607.20000000000005</v>
      </c>
      <c r="H354" s="162">
        <f>IF(F354=0,0,IF(F354="MXN",1/HLOOKUP(YEAR(D354)+(MONTH(D354)/100),TC!$5:$437,DAY(D354)+2,FALSE),VLOOKUP(F354,Equivalencia!$1:$23,((MAX(Equivalencia!$3:$3)-YEAR(D354))*14)+MONTH(D354)+2,FALSE)))</f>
        <v>1</v>
      </c>
      <c r="I354" s="251">
        <f t="shared" ref="I354:I413" si="31">G354*H354</f>
        <v>607.20000000000005</v>
      </c>
      <c r="J354" s="162">
        <f>IF(D354=0,0,HLOOKUP(YEAR(D354)+(MONTH(D354)/100),TC!$5:$37,DAY(D354)+2,FALSE))</f>
        <v>20.1465</v>
      </c>
      <c r="K354" s="250">
        <f t="shared" ref="K354:K413" si="32">I354*J354</f>
        <v>12232.954800000001</v>
      </c>
    </row>
    <row r="355" spans="2:11" s="134" customFormat="1" ht="23" customHeight="1">
      <c r="B355" s="7" t="s">
        <v>1266</v>
      </c>
      <c r="C355" s="7" t="s">
        <v>693</v>
      </c>
      <c r="D355" s="159">
        <v>44805</v>
      </c>
      <c r="E355" s="249" t="s">
        <v>758</v>
      </c>
      <c r="F355" s="7" t="s">
        <v>59</v>
      </c>
      <c r="G355" s="250">
        <v>777.45</v>
      </c>
      <c r="H355" s="162">
        <f>IF(F355=0,0,IF(F355="MXN",1/HLOOKUP(YEAR(D355)+(MONTH(D355)/100),TC!$5:$437,DAY(D355)+2,FALSE),VLOOKUP(F355,Equivalencia!$1:$23,((MAX(Equivalencia!$3:$3)-YEAR(D355))*14)+MONTH(D355)+2,FALSE)))</f>
        <v>1</v>
      </c>
      <c r="I355" s="251">
        <f t="shared" si="31"/>
        <v>777.45</v>
      </c>
      <c r="J355" s="162">
        <f>IF(D355=0,0,HLOOKUP(YEAR(D355)+(MONTH(D355)/100),TC!$5:$37,DAY(D355)+2,FALSE))</f>
        <v>20.1465</v>
      </c>
      <c r="K355" s="250">
        <f t="shared" si="32"/>
        <v>15662.896425000001</v>
      </c>
    </row>
    <row r="356" spans="2:11" s="134" customFormat="1" ht="23" customHeight="1">
      <c r="B356" s="7" t="s">
        <v>1266</v>
      </c>
      <c r="C356" s="7" t="s">
        <v>693</v>
      </c>
      <c r="D356" s="159">
        <v>44805</v>
      </c>
      <c r="E356" s="249" t="s">
        <v>942</v>
      </c>
      <c r="F356" s="7" t="s">
        <v>59</v>
      </c>
      <c r="G356" s="250">
        <v>15.6</v>
      </c>
      <c r="H356" s="162">
        <f>IF(F356=0,0,IF(F356="MXN",1/HLOOKUP(YEAR(D356)+(MONTH(D356)/100),TC!$5:$437,DAY(D356)+2,FALSE),VLOOKUP(F356,Equivalencia!$1:$23,((MAX(Equivalencia!$3:$3)-YEAR(D356))*14)+MONTH(D356)+2,FALSE)))</f>
        <v>1</v>
      </c>
      <c r="I356" s="251">
        <f t="shared" si="31"/>
        <v>15.6</v>
      </c>
      <c r="J356" s="162">
        <f>IF(D356=0,0,HLOOKUP(YEAR(D356)+(MONTH(D356)/100),TC!$5:$37,DAY(D356)+2,FALSE))</f>
        <v>20.1465</v>
      </c>
      <c r="K356" s="250">
        <f t="shared" si="32"/>
        <v>314.28539999999998</v>
      </c>
    </row>
    <row r="357" spans="2:11" s="134" customFormat="1" ht="23" customHeight="1">
      <c r="B357" s="7" t="s">
        <v>1266</v>
      </c>
      <c r="C357" s="7" t="s">
        <v>693</v>
      </c>
      <c r="D357" s="159">
        <v>44805</v>
      </c>
      <c r="E357" s="249" t="s">
        <v>984</v>
      </c>
      <c r="F357" s="7" t="s">
        <v>59</v>
      </c>
      <c r="G357" s="250">
        <v>84.66</v>
      </c>
      <c r="H357" s="162">
        <f>IF(F357=0,0,IF(F357="MXN",1/HLOOKUP(YEAR(D357)+(MONTH(D357)/100),TC!$5:$437,DAY(D357)+2,FALSE),VLOOKUP(F357,Equivalencia!$1:$23,((MAX(Equivalencia!$3:$3)-YEAR(D357))*14)+MONTH(D357)+2,FALSE)))</f>
        <v>1</v>
      </c>
      <c r="I357" s="251">
        <f t="shared" si="31"/>
        <v>84.66</v>
      </c>
      <c r="J357" s="162">
        <f>IF(D357=0,0,HLOOKUP(YEAR(D357)+(MONTH(D357)/100),TC!$5:$37,DAY(D357)+2,FALSE))</f>
        <v>20.1465</v>
      </c>
      <c r="K357" s="250">
        <f t="shared" si="32"/>
        <v>1705.6026899999999</v>
      </c>
    </row>
    <row r="358" spans="2:11" s="134" customFormat="1" ht="23" customHeight="1">
      <c r="B358" s="7" t="s">
        <v>1266</v>
      </c>
      <c r="C358" s="7" t="s">
        <v>693</v>
      </c>
      <c r="D358" s="159">
        <v>44805</v>
      </c>
      <c r="E358" s="249" t="s">
        <v>761</v>
      </c>
      <c r="F358" s="7" t="s">
        <v>59</v>
      </c>
      <c r="G358" s="250">
        <v>424.51</v>
      </c>
      <c r="H358" s="162">
        <f>IF(F358=0,0,IF(F358="MXN",1/HLOOKUP(YEAR(D358)+(MONTH(D358)/100),TC!$5:$437,DAY(D358)+2,FALSE),VLOOKUP(F358,Equivalencia!$1:$23,((MAX(Equivalencia!$3:$3)-YEAR(D358))*14)+MONTH(D358)+2,FALSE)))</f>
        <v>1</v>
      </c>
      <c r="I358" s="251">
        <f t="shared" si="31"/>
        <v>424.51</v>
      </c>
      <c r="J358" s="162">
        <f>IF(D358=0,0,HLOOKUP(YEAR(D358)+(MONTH(D358)/100),TC!$5:$37,DAY(D358)+2,FALSE))</f>
        <v>20.1465</v>
      </c>
      <c r="K358" s="250">
        <f t="shared" si="32"/>
        <v>8552.3907149999995</v>
      </c>
    </row>
    <row r="359" spans="2:11" s="134" customFormat="1" ht="23" customHeight="1">
      <c r="B359" s="7" t="s">
        <v>1266</v>
      </c>
      <c r="C359" s="7" t="s">
        <v>693</v>
      </c>
      <c r="D359" s="159">
        <v>44805</v>
      </c>
      <c r="E359" s="249" t="s">
        <v>767</v>
      </c>
      <c r="F359" s="7" t="s">
        <v>59</v>
      </c>
      <c r="G359" s="250">
        <v>799.52</v>
      </c>
      <c r="H359" s="162">
        <f>IF(F359=0,0,IF(F359="MXN",1/HLOOKUP(YEAR(D359)+(MONTH(D359)/100),TC!$5:$437,DAY(D359)+2,FALSE),VLOOKUP(F359,Equivalencia!$1:$23,((MAX(Equivalencia!$3:$3)-YEAR(D359))*14)+MONTH(D359)+2,FALSE)))</f>
        <v>1</v>
      </c>
      <c r="I359" s="251">
        <f t="shared" si="31"/>
        <v>799.52</v>
      </c>
      <c r="J359" s="162">
        <f>IF(D359=0,0,HLOOKUP(YEAR(D359)+(MONTH(D359)/100),TC!$5:$37,DAY(D359)+2,FALSE))</f>
        <v>20.1465</v>
      </c>
      <c r="K359" s="250">
        <f t="shared" si="32"/>
        <v>16107.52968</v>
      </c>
    </row>
    <row r="360" spans="2:11" s="134" customFormat="1" ht="23" customHeight="1">
      <c r="B360" s="7" t="s">
        <v>1266</v>
      </c>
      <c r="C360" s="7" t="s">
        <v>693</v>
      </c>
      <c r="D360" s="159">
        <v>44805</v>
      </c>
      <c r="E360" s="249" t="s">
        <v>759</v>
      </c>
      <c r="F360" s="7" t="s">
        <v>59</v>
      </c>
      <c r="G360" s="250">
        <v>392.25</v>
      </c>
      <c r="H360" s="162">
        <f>IF(F360=0,0,IF(F360="MXN",1/HLOOKUP(YEAR(D360)+(MONTH(D360)/100),TC!$5:$437,DAY(D360)+2,FALSE),VLOOKUP(F360,Equivalencia!$1:$23,((MAX(Equivalencia!$3:$3)-YEAR(D360))*14)+MONTH(D360)+2,FALSE)))</f>
        <v>1</v>
      </c>
      <c r="I360" s="251">
        <f t="shared" si="31"/>
        <v>392.25</v>
      </c>
      <c r="J360" s="162">
        <f>IF(D360=0,0,HLOOKUP(YEAR(D360)+(MONTH(D360)/100),TC!$5:$37,DAY(D360)+2,FALSE))</f>
        <v>20.1465</v>
      </c>
      <c r="K360" s="250">
        <f t="shared" si="32"/>
        <v>7902.4646249999996</v>
      </c>
    </row>
    <row r="361" spans="2:11" s="134" customFormat="1" ht="23" customHeight="1">
      <c r="B361" s="7" t="s">
        <v>1266</v>
      </c>
      <c r="C361" s="7" t="s">
        <v>693</v>
      </c>
      <c r="D361" s="159">
        <v>44805</v>
      </c>
      <c r="E361" s="249" t="s">
        <v>760</v>
      </c>
      <c r="F361" s="7" t="s">
        <v>59</v>
      </c>
      <c r="G361" s="250">
        <v>845.7</v>
      </c>
      <c r="H361" s="162">
        <f>IF(F361=0,0,IF(F361="MXN",1/HLOOKUP(YEAR(D361)+(MONTH(D361)/100),TC!$5:$437,DAY(D361)+2,FALSE),VLOOKUP(F361,Equivalencia!$1:$23,((MAX(Equivalencia!$3:$3)-YEAR(D361))*14)+MONTH(D361)+2,FALSE)))</f>
        <v>1</v>
      </c>
      <c r="I361" s="251">
        <f t="shared" si="31"/>
        <v>845.7</v>
      </c>
      <c r="J361" s="162">
        <f>IF(D361=0,0,HLOOKUP(YEAR(D361)+(MONTH(D361)/100),TC!$5:$37,DAY(D361)+2,FALSE))</f>
        <v>20.1465</v>
      </c>
      <c r="K361" s="250">
        <f t="shared" si="32"/>
        <v>17037.895049999999</v>
      </c>
    </row>
    <row r="362" spans="2:11" s="134" customFormat="1" ht="23" customHeight="1">
      <c r="B362" s="7" t="s">
        <v>1266</v>
      </c>
      <c r="C362" s="7" t="s">
        <v>693</v>
      </c>
      <c r="D362" s="159">
        <v>44806</v>
      </c>
      <c r="E362" s="249" t="s">
        <v>768</v>
      </c>
      <c r="F362" s="7" t="s">
        <v>59</v>
      </c>
      <c r="G362" s="250">
        <v>484.12</v>
      </c>
      <c r="H362" s="162">
        <f>IF(F362=0,0,IF(F362="MXN",1/HLOOKUP(YEAR(D362)+(MONTH(D362)/100),TC!$5:$437,DAY(D362)+2,FALSE),VLOOKUP(F362,Equivalencia!$1:$23,((MAX(Equivalencia!$3:$3)-YEAR(D362))*14)+MONTH(D362)+2,FALSE)))</f>
        <v>1</v>
      </c>
      <c r="I362" s="251">
        <f t="shared" si="31"/>
        <v>484.12</v>
      </c>
      <c r="J362" s="162">
        <f>IF(D362=0,0,HLOOKUP(YEAR(D362)+(MONTH(D362)/100),TC!$5:$37,DAY(D362)+2,FALSE))</f>
        <v>20.0962</v>
      </c>
      <c r="K362" s="250">
        <f t="shared" si="32"/>
        <v>9728.9723439999998</v>
      </c>
    </row>
    <row r="363" spans="2:11" s="134" customFormat="1" ht="23" customHeight="1">
      <c r="B363" s="7" t="s">
        <v>1266</v>
      </c>
      <c r="C363" s="7" t="s">
        <v>693</v>
      </c>
      <c r="D363" s="159">
        <v>44806</v>
      </c>
      <c r="E363" s="249" t="s">
        <v>985</v>
      </c>
      <c r="F363" s="7" t="s">
        <v>59</v>
      </c>
      <c r="G363" s="250">
        <v>12.8</v>
      </c>
      <c r="H363" s="162">
        <f>IF(F363=0,0,IF(F363="MXN",1/HLOOKUP(YEAR(D363)+(MONTH(D363)/100),TC!$5:$437,DAY(D363)+2,FALSE),VLOOKUP(F363,Equivalencia!$1:$23,((MAX(Equivalencia!$3:$3)-YEAR(D363))*14)+MONTH(D363)+2,FALSE)))</f>
        <v>1</v>
      </c>
      <c r="I363" s="251">
        <f t="shared" si="31"/>
        <v>12.8</v>
      </c>
      <c r="J363" s="162">
        <f>IF(D363=0,0,HLOOKUP(YEAR(D363)+(MONTH(D363)/100),TC!$5:$37,DAY(D363)+2,FALSE))</f>
        <v>20.0962</v>
      </c>
      <c r="K363" s="250">
        <f t="shared" si="32"/>
        <v>257.23136</v>
      </c>
    </row>
    <row r="364" spans="2:11" s="134" customFormat="1" ht="23" customHeight="1">
      <c r="B364" s="7" t="s">
        <v>1266</v>
      </c>
      <c r="C364" s="7" t="s">
        <v>693</v>
      </c>
      <c r="D364" s="159">
        <v>44810</v>
      </c>
      <c r="E364" s="249" t="s">
        <v>735</v>
      </c>
      <c r="F364" s="7" t="s">
        <v>59</v>
      </c>
      <c r="G364" s="250">
        <v>564.48</v>
      </c>
      <c r="H364" s="162">
        <f>IF(F364=0,0,IF(F364="MXN",1/HLOOKUP(YEAR(D364)+(MONTH(D364)/100),TC!$5:$437,DAY(D364)+2,FALSE),VLOOKUP(F364,Equivalencia!$1:$23,((MAX(Equivalencia!$3:$3)-YEAR(D364))*14)+MONTH(D364)+2,FALSE)))</f>
        <v>1</v>
      </c>
      <c r="I364" s="251">
        <f t="shared" si="31"/>
        <v>564.48</v>
      </c>
      <c r="J364" s="162">
        <f>IF(D364=0,0,HLOOKUP(YEAR(D364)+(MONTH(D364)/100),TC!$5:$37,DAY(D364)+2,FALSE))</f>
        <v>19.975300000000001</v>
      </c>
      <c r="K364" s="250">
        <f t="shared" si="32"/>
        <v>11275.657344000001</v>
      </c>
    </row>
    <row r="365" spans="2:11" s="134" customFormat="1" ht="23" customHeight="1">
      <c r="B365" s="7" t="s">
        <v>1266</v>
      </c>
      <c r="C365" s="7" t="s">
        <v>693</v>
      </c>
      <c r="D365" s="159">
        <v>44812</v>
      </c>
      <c r="E365" s="249" t="s">
        <v>986</v>
      </c>
      <c r="F365" s="7" t="s">
        <v>59</v>
      </c>
      <c r="G365" s="250">
        <v>124.16</v>
      </c>
      <c r="H365" s="162">
        <f>IF(F365=0,0,IF(F365="MXN",1/HLOOKUP(YEAR(D365)+(MONTH(D365)/100),TC!$5:$437,DAY(D365)+2,FALSE),VLOOKUP(F365,Equivalencia!$1:$23,((MAX(Equivalencia!$3:$3)-YEAR(D365))*14)+MONTH(D365)+2,FALSE)))</f>
        <v>1</v>
      </c>
      <c r="I365" s="251">
        <f t="shared" si="31"/>
        <v>124.16</v>
      </c>
      <c r="J365" s="162">
        <f>IF(D365=0,0,HLOOKUP(YEAR(D365)+(MONTH(D365)/100),TC!$5:$37,DAY(D365)+2,FALSE))</f>
        <v>20.138000000000002</v>
      </c>
      <c r="K365" s="250">
        <f t="shared" si="32"/>
        <v>2500.3340800000001</v>
      </c>
    </row>
    <row r="366" spans="2:11" s="134" customFormat="1" ht="23" customHeight="1">
      <c r="B366" s="7" t="s">
        <v>1266</v>
      </c>
      <c r="C366" s="7" t="s">
        <v>693</v>
      </c>
      <c r="D366" s="159">
        <v>44812</v>
      </c>
      <c r="E366" s="249" t="s">
        <v>987</v>
      </c>
      <c r="F366" s="7" t="s">
        <v>59</v>
      </c>
      <c r="G366" s="250">
        <v>73.8</v>
      </c>
      <c r="H366" s="162">
        <f>IF(F366=0,0,IF(F366="MXN",1/HLOOKUP(YEAR(D366)+(MONTH(D366)/100),TC!$5:$437,DAY(D366)+2,FALSE),VLOOKUP(F366,Equivalencia!$1:$23,((MAX(Equivalencia!$3:$3)-YEAR(D366))*14)+MONTH(D366)+2,FALSE)))</f>
        <v>1</v>
      </c>
      <c r="I366" s="251">
        <f t="shared" si="31"/>
        <v>73.8</v>
      </c>
      <c r="J366" s="162">
        <f>IF(D366=0,0,HLOOKUP(YEAR(D366)+(MONTH(D366)/100),TC!$5:$37,DAY(D366)+2,FALSE))</f>
        <v>20.138000000000002</v>
      </c>
      <c r="K366" s="250">
        <f t="shared" si="32"/>
        <v>1486.1844000000001</v>
      </c>
    </row>
    <row r="367" spans="2:11" s="134" customFormat="1" ht="23" customHeight="1">
      <c r="B367" s="7" t="s">
        <v>1266</v>
      </c>
      <c r="C367" s="7" t="s">
        <v>693</v>
      </c>
      <c r="D367" s="159">
        <v>44812</v>
      </c>
      <c r="E367" s="249" t="s">
        <v>727</v>
      </c>
      <c r="F367" s="7" t="s">
        <v>59</v>
      </c>
      <c r="G367" s="250">
        <v>1455.76</v>
      </c>
      <c r="H367" s="162">
        <f>IF(F367=0,0,IF(F367="MXN",1/HLOOKUP(YEAR(D367)+(MONTH(D367)/100),TC!$5:$437,DAY(D367)+2,FALSE),VLOOKUP(F367,Equivalencia!$1:$23,((MAX(Equivalencia!$3:$3)-YEAR(D367))*14)+MONTH(D367)+2,FALSE)))</f>
        <v>1</v>
      </c>
      <c r="I367" s="251">
        <f t="shared" si="31"/>
        <v>1455.76</v>
      </c>
      <c r="J367" s="162">
        <f>IF(D367=0,0,HLOOKUP(YEAR(D367)+(MONTH(D367)/100),TC!$5:$37,DAY(D367)+2,FALSE))</f>
        <v>20.138000000000002</v>
      </c>
      <c r="K367" s="250">
        <f t="shared" si="32"/>
        <v>29316.094880000001</v>
      </c>
    </row>
    <row r="368" spans="2:11" s="134" customFormat="1" ht="23" customHeight="1">
      <c r="B368" s="7" t="s">
        <v>1266</v>
      </c>
      <c r="C368" s="7" t="s">
        <v>693</v>
      </c>
      <c r="D368" s="159">
        <v>44812</v>
      </c>
      <c r="E368" s="249" t="s">
        <v>835</v>
      </c>
      <c r="F368" s="7" t="s">
        <v>59</v>
      </c>
      <c r="G368" s="250">
        <v>957.55</v>
      </c>
      <c r="H368" s="162">
        <f>IF(F368=0,0,IF(F368="MXN",1/HLOOKUP(YEAR(D368)+(MONTH(D368)/100),TC!$5:$437,DAY(D368)+2,FALSE),VLOOKUP(F368,Equivalencia!$1:$23,((MAX(Equivalencia!$3:$3)-YEAR(D368))*14)+MONTH(D368)+2,FALSE)))</f>
        <v>1</v>
      </c>
      <c r="I368" s="251">
        <f t="shared" si="31"/>
        <v>957.55</v>
      </c>
      <c r="J368" s="162">
        <f>IF(D368=0,0,HLOOKUP(YEAR(D368)+(MONTH(D368)/100),TC!$5:$37,DAY(D368)+2,FALSE))</f>
        <v>20.138000000000002</v>
      </c>
      <c r="K368" s="250">
        <f t="shared" si="32"/>
        <v>19283.141900000002</v>
      </c>
    </row>
    <row r="369" spans="2:11" s="134" customFormat="1" ht="23" customHeight="1">
      <c r="B369" s="7" t="s">
        <v>1266</v>
      </c>
      <c r="C369" s="7" t="s">
        <v>693</v>
      </c>
      <c r="D369" s="159">
        <v>44813</v>
      </c>
      <c r="E369" s="249" t="s">
        <v>988</v>
      </c>
      <c r="F369" s="7" t="s">
        <v>59</v>
      </c>
      <c r="G369" s="250">
        <v>1398.32</v>
      </c>
      <c r="H369" s="162">
        <f>IF(F369=0,0,IF(F369="MXN",1/HLOOKUP(YEAR(D369)+(MONTH(D369)/100),TC!$5:$437,DAY(D369)+2,FALSE),VLOOKUP(F369,Equivalencia!$1:$23,((MAX(Equivalencia!$3:$3)-YEAR(D369))*14)+MONTH(D369)+2,FALSE)))</f>
        <v>1</v>
      </c>
      <c r="I369" s="251">
        <f t="shared" si="31"/>
        <v>1398.32</v>
      </c>
      <c r="J369" s="162">
        <f>IF(D369=0,0,HLOOKUP(YEAR(D369)+(MONTH(D369)/100),TC!$5:$37,DAY(D369)+2,FALSE))</f>
        <v>20.029699999999998</v>
      </c>
      <c r="K369" s="250">
        <f t="shared" si="32"/>
        <v>28007.930103999995</v>
      </c>
    </row>
    <row r="370" spans="2:11" s="134" customFormat="1" ht="23" customHeight="1">
      <c r="B370" s="7" t="s">
        <v>1266</v>
      </c>
      <c r="C370" s="7" t="s">
        <v>693</v>
      </c>
      <c r="D370" s="159">
        <v>44813</v>
      </c>
      <c r="E370" s="249" t="s">
        <v>989</v>
      </c>
      <c r="F370" s="7" t="s">
        <v>59</v>
      </c>
      <c r="G370" s="250">
        <v>659.72</v>
      </c>
      <c r="H370" s="162">
        <f>IF(F370=0,0,IF(F370="MXN",1/HLOOKUP(YEAR(D370)+(MONTH(D370)/100),TC!$5:$437,DAY(D370)+2,FALSE),VLOOKUP(F370,Equivalencia!$1:$23,((MAX(Equivalencia!$3:$3)-YEAR(D370))*14)+MONTH(D370)+2,FALSE)))</f>
        <v>1</v>
      </c>
      <c r="I370" s="251">
        <f t="shared" si="31"/>
        <v>659.72</v>
      </c>
      <c r="J370" s="162">
        <f>IF(D370=0,0,HLOOKUP(YEAR(D370)+(MONTH(D370)/100),TC!$5:$37,DAY(D370)+2,FALSE))</f>
        <v>20.029699999999998</v>
      </c>
      <c r="K370" s="250">
        <f t="shared" si="32"/>
        <v>13213.993683999999</v>
      </c>
    </row>
    <row r="371" spans="2:11" s="134" customFormat="1" ht="23" customHeight="1">
      <c r="B371" s="7" t="s">
        <v>1266</v>
      </c>
      <c r="C371" s="7" t="s">
        <v>693</v>
      </c>
      <c r="D371" s="159">
        <v>44813</v>
      </c>
      <c r="E371" s="249" t="s">
        <v>990</v>
      </c>
      <c r="F371" s="7" t="s">
        <v>59</v>
      </c>
      <c r="G371" s="250">
        <v>57.4</v>
      </c>
      <c r="H371" s="162">
        <f>IF(F371=0,0,IF(F371="MXN",1/HLOOKUP(YEAR(D371)+(MONTH(D371)/100),TC!$5:$437,DAY(D371)+2,FALSE),VLOOKUP(F371,Equivalencia!$1:$23,((MAX(Equivalencia!$3:$3)-YEAR(D371))*14)+MONTH(D371)+2,FALSE)))</f>
        <v>1</v>
      </c>
      <c r="I371" s="251">
        <f t="shared" si="31"/>
        <v>57.4</v>
      </c>
      <c r="J371" s="162">
        <f>IF(D371=0,0,HLOOKUP(YEAR(D371)+(MONTH(D371)/100),TC!$5:$37,DAY(D371)+2,FALSE))</f>
        <v>20.029699999999998</v>
      </c>
      <c r="K371" s="250">
        <f t="shared" si="32"/>
        <v>1149.7047799999998</v>
      </c>
    </row>
    <row r="372" spans="2:11" s="134" customFormat="1" ht="23" customHeight="1">
      <c r="B372" s="7" t="s">
        <v>1266</v>
      </c>
      <c r="C372" s="7" t="s">
        <v>693</v>
      </c>
      <c r="D372" s="159">
        <v>44813</v>
      </c>
      <c r="E372" s="249" t="s">
        <v>991</v>
      </c>
      <c r="F372" s="7" t="s">
        <v>59</v>
      </c>
      <c r="G372" s="250">
        <v>698.5</v>
      </c>
      <c r="H372" s="162">
        <f>IF(F372=0,0,IF(F372="MXN",1/HLOOKUP(YEAR(D372)+(MONTH(D372)/100),TC!$5:$437,DAY(D372)+2,FALSE),VLOOKUP(F372,Equivalencia!$1:$23,((MAX(Equivalencia!$3:$3)-YEAR(D372))*14)+MONTH(D372)+2,FALSE)))</f>
        <v>1</v>
      </c>
      <c r="I372" s="251">
        <f t="shared" si="31"/>
        <v>698.5</v>
      </c>
      <c r="J372" s="162">
        <f>IF(D372=0,0,HLOOKUP(YEAR(D372)+(MONTH(D372)/100),TC!$5:$37,DAY(D372)+2,FALSE))</f>
        <v>20.029699999999998</v>
      </c>
      <c r="K372" s="250">
        <f t="shared" si="32"/>
        <v>13990.745449999999</v>
      </c>
    </row>
    <row r="373" spans="2:11" s="134" customFormat="1" ht="23" customHeight="1">
      <c r="B373" s="7" t="s">
        <v>1266</v>
      </c>
      <c r="C373" s="7" t="s">
        <v>693</v>
      </c>
      <c r="D373" s="159">
        <v>44813</v>
      </c>
      <c r="E373" s="249" t="s">
        <v>762</v>
      </c>
      <c r="F373" s="7" t="s">
        <v>59</v>
      </c>
      <c r="G373" s="250">
        <v>347.13</v>
      </c>
      <c r="H373" s="162">
        <f>IF(F373=0,0,IF(F373="MXN",1/HLOOKUP(YEAR(D373)+(MONTH(D373)/100),TC!$5:$437,DAY(D373)+2,FALSE),VLOOKUP(F373,Equivalencia!$1:$23,((MAX(Equivalencia!$3:$3)-YEAR(D373))*14)+MONTH(D373)+2,FALSE)))</f>
        <v>1</v>
      </c>
      <c r="I373" s="251">
        <f t="shared" si="31"/>
        <v>347.13</v>
      </c>
      <c r="J373" s="162">
        <f>IF(D373=0,0,HLOOKUP(YEAR(D373)+(MONTH(D373)/100),TC!$5:$37,DAY(D373)+2,FALSE))</f>
        <v>20.029699999999998</v>
      </c>
      <c r="K373" s="250">
        <f t="shared" si="32"/>
        <v>6952.909760999999</v>
      </c>
    </row>
    <row r="374" spans="2:11" s="134" customFormat="1" ht="23" customHeight="1">
      <c r="B374" s="7" t="s">
        <v>1266</v>
      </c>
      <c r="C374" s="7" t="s">
        <v>693</v>
      </c>
      <c r="D374" s="159">
        <v>44813</v>
      </c>
      <c r="E374" s="249" t="s">
        <v>992</v>
      </c>
      <c r="F374" s="7" t="s">
        <v>59</v>
      </c>
      <c r="G374" s="250">
        <v>186.6</v>
      </c>
      <c r="H374" s="162">
        <f>IF(F374=0,0,IF(F374="MXN",1/HLOOKUP(YEAR(D374)+(MONTH(D374)/100),TC!$5:$437,DAY(D374)+2,FALSE),VLOOKUP(F374,Equivalencia!$1:$23,((MAX(Equivalencia!$3:$3)-YEAR(D374))*14)+MONTH(D374)+2,FALSE)))</f>
        <v>1</v>
      </c>
      <c r="I374" s="251">
        <f t="shared" si="31"/>
        <v>186.6</v>
      </c>
      <c r="J374" s="162">
        <f>IF(D374=0,0,HLOOKUP(YEAR(D374)+(MONTH(D374)/100),TC!$5:$37,DAY(D374)+2,FALSE))</f>
        <v>20.029699999999998</v>
      </c>
      <c r="K374" s="250">
        <f t="shared" si="32"/>
        <v>3737.5420199999994</v>
      </c>
    </row>
    <row r="375" spans="2:11" s="134" customFormat="1" ht="23" customHeight="1">
      <c r="B375" s="7" t="s">
        <v>1266</v>
      </c>
      <c r="C375" s="7" t="s">
        <v>693</v>
      </c>
      <c r="D375" s="159">
        <v>44816</v>
      </c>
      <c r="E375" s="249" t="s">
        <v>993</v>
      </c>
      <c r="F375" s="7" t="s">
        <v>59</v>
      </c>
      <c r="G375" s="250">
        <v>22.48</v>
      </c>
      <c r="H375" s="162">
        <f>IF(F375=0,0,IF(F375="MXN",1/HLOOKUP(YEAR(D375)+(MONTH(D375)/100),TC!$5:$437,DAY(D375)+2,FALSE),VLOOKUP(F375,Equivalencia!$1:$23,((MAX(Equivalencia!$3:$3)-YEAR(D375))*14)+MONTH(D375)+2,FALSE)))</f>
        <v>1</v>
      </c>
      <c r="I375" s="251">
        <f t="shared" si="31"/>
        <v>22.48</v>
      </c>
      <c r="J375" s="162">
        <f>IF(D375=0,0,HLOOKUP(YEAR(D375)+(MONTH(D375)/100),TC!$5:$37,DAY(D375)+2,FALSE))</f>
        <v>20.020299999999999</v>
      </c>
      <c r="K375" s="250">
        <f t="shared" si="32"/>
        <v>450.05634399999997</v>
      </c>
    </row>
    <row r="376" spans="2:11" s="134" customFormat="1" ht="23" customHeight="1">
      <c r="B376" s="7" t="s">
        <v>1266</v>
      </c>
      <c r="C376" s="7" t="s">
        <v>693</v>
      </c>
      <c r="D376" s="159">
        <v>44816</v>
      </c>
      <c r="E376" s="249" t="s">
        <v>994</v>
      </c>
      <c r="F376" s="7" t="s">
        <v>59</v>
      </c>
      <c r="G376" s="250">
        <v>156.02000000000001</v>
      </c>
      <c r="H376" s="162">
        <f>IF(F376=0,0,IF(F376="MXN",1/HLOOKUP(YEAR(D376)+(MONTH(D376)/100),TC!$5:$437,DAY(D376)+2,FALSE),VLOOKUP(F376,Equivalencia!$1:$23,((MAX(Equivalencia!$3:$3)-YEAR(D376))*14)+MONTH(D376)+2,FALSE)))</f>
        <v>1</v>
      </c>
      <c r="I376" s="251">
        <f t="shared" si="31"/>
        <v>156.02000000000001</v>
      </c>
      <c r="J376" s="162">
        <f>IF(D376=0,0,HLOOKUP(YEAR(D376)+(MONTH(D376)/100),TC!$5:$37,DAY(D376)+2,FALSE))</f>
        <v>20.020299999999999</v>
      </c>
      <c r="K376" s="250">
        <f t="shared" si="32"/>
        <v>3123.5672060000002</v>
      </c>
    </row>
    <row r="377" spans="2:11" s="134" customFormat="1" ht="23" customHeight="1">
      <c r="B377" s="7" t="s">
        <v>1266</v>
      </c>
      <c r="C377" s="7" t="s">
        <v>693</v>
      </c>
      <c r="D377" s="159">
        <v>44816</v>
      </c>
      <c r="E377" s="249" t="s">
        <v>764</v>
      </c>
      <c r="F377" s="7" t="s">
        <v>59</v>
      </c>
      <c r="G377" s="250">
        <v>203.84</v>
      </c>
      <c r="H377" s="162">
        <f>IF(F377=0,0,IF(F377="MXN",1/HLOOKUP(YEAR(D377)+(MONTH(D377)/100),TC!$5:$437,DAY(D377)+2,FALSE),VLOOKUP(F377,Equivalencia!$1:$23,((MAX(Equivalencia!$3:$3)-YEAR(D377))*14)+MONTH(D377)+2,FALSE)))</f>
        <v>1</v>
      </c>
      <c r="I377" s="251">
        <f t="shared" si="31"/>
        <v>203.84</v>
      </c>
      <c r="J377" s="162">
        <f>IF(D377=0,0,HLOOKUP(YEAR(D377)+(MONTH(D377)/100),TC!$5:$37,DAY(D377)+2,FALSE))</f>
        <v>20.020299999999999</v>
      </c>
      <c r="K377" s="250">
        <f t="shared" si="32"/>
        <v>4080.9379519999998</v>
      </c>
    </row>
    <row r="378" spans="2:11" s="134" customFormat="1" ht="23" customHeight="1">
      <c r="B378" s="7" t="s">
        <v>1266</v>
      </c>
      <c r="C378" s="7" t="s">
        <v>693</v>
      </c>
      <c r="D378" s="159">
        <v>44816</v>
      </c>
      <c r="E378" s="249" t="s">
        <v>766</v>
      </c>
      <c r="F378" s="7" t="s">
        <v>59</v>
      </c>
      <c r="G378" s="250">
        <v>556.20000000000005</v>
      </c>
      <c r="H378" s="162">
        <f>IF(F378=0,0,IF(F378="MXN",1/HLOOKUP(YEAR(D378)+(MONTH(D378)/100),TC!$5:$437,DAY(D378)+2,FALSE),VLOOKUP(F378,Equivalencia!$1:$23,((MAX(Equivalencia!$3:$3)-YEAR(D378))*14)+MONTH(D378)+2,FALSE)))</f>
        <v>1</v>
      </c>
      <c r="I378" s="251">
        <f t="shared" si="31"/>
        <v>556.20000000000005</v>
      </c>
      <c r="J378" s="162">
        <f>IF(D378=0,0,HLOOKUP(YEAR(D378)+(MONTH(D378)/100),TC!$5:$37,DAY(D378)+2,FALSE))</f>
        <v>20.020299999999999</v>
      </c>
      <c r="K378" s="250">
        <f t="shared" si="32"/>
        <v>11135.290860000001</v>
      </c>
    </row>
    <row r="379" spans="2:11" s="134" customFormat="1" ht="23" customHeight="1">
      <c r="B379" s="7" t="s">
        <v>1266</v>
      </c>
      <c r="C379" s="7" t="s">
        <v>693</v>
      </c>
      <c r="D379" s="159">
        <v>44816</v>
      </c>
      <c r="E379" s="249" t="s">
        <v>765</v>
      </c>
      <c r="F379" s="7" t="s">
        <v>59</v>
      </c>
      <c r="G379" s="250">
        <v>183.6</v>
      </c>
      <c r="H379" s="162">
        <f>IF(F379=0,0,IF(F379="MXN",1/HLOOKUP(YEAR(D379)+(MONTH(D379)/100),TC!$5:$437,DAY(D379)+2,FALSE),VLOOKUP(F379,Equivalencia!$1:$23,((MAX(Equivalencia!$3:$3)-YEAR(D379))*14)+MONTH(D379)+2,FALSE)))</f>
        <v>1</v>
      </c>
      <c r="I379" s="251">
        <f t="shared" si="31"/>
        <v>183.6</v>
      </c>
      <c r="J379" s="162">
        <f>IF(D379=0,0,HLOOKUP(YEAR(D379)+(MONTH(D379)/100),TC!$5:$37,DAY(D379)+2,FALSE))</f>
        <v>20.020299999999999</v>
      </c>
      <c r="K379" s="250">
        <f t="shared" si="32"/>
        <v>3675.7270799999997</v>
      </c>
    </row>
    <row r="380" spans="2:11" s="134" customFormat="1" ht="23" customHeight="1">
      <c r="B380" s="7" t="s">
        <v>1266</v>
      </c>
      <c r="C380" s="7" t="s">
        <v>693</v>
      </c>
      <c r="D380" s="159">
        <v>44818</v>
      </c>
      <c r="E380" s="249" t="s">
        <v>995</v>
      </c>
      <c r="F380" s="7" t="s">
        <v>59</v>
      </c>
      <c r="G380" s="250">
        <v>11.5</v>
      </c>
      <c r="H380" s="162">
        <f>IF(F380=0,0,IF(F380="MXN",1/HLOOKUP(YEAR(D380)+(MONTH(D380)/100),TC!$5:$437,DAY(D380)+2,FALSE),VLOOKUP(F380,Equivalencia!$1:$23,((MAX(Equivalencia!$3:$3)-YEAR(D380))*14)+MONTH(D380)+2,FALSE)))</f>
        <v>1</v>
      </c>
      <c r="I380" s="251">
        <f t="shared" si="31"/>
        <v>11.5</v>
      </c>
      <c r="J380" s="162">
        <f>IF(D380=0,0,HLOOKUP(YEAR(D380)+(MONTH(D380)/100),TC!$5:$37,DAY(D380)+2,FALSE))</f>
        <v>19.7957</v>
      </c>
      <c r="K380" s="250">
        <f t="shared" si="32"/>
        <v>227.65055000000001</v>
      </c>
    </row>
    <row r="381" spans="2:11" s="134" customFormat="1" ht="23" customHeight="1">
      <c r="B381" s="7" t="s">
        <v>1266</v>
      </c>
      <c r="C381" s="7" t="s">
        <v>693</v>
      </c>
      <c r="D381" s="159">
        <v>44818</v>
      </c>
      <c r="E381" s="249" t="s">
        <v>944</v>
      </c>
      <c r="F381" s="7" t="s">
        <v>59</v>
      </c>
      <c r="G381" s="250">
        <v>58.82</v>
      </c>
      <c r="H381" s="162">
        <f>IF(F381=0,0,IF(F381="MXN",1/HLOOKUP(YEAR(D381)+(MONTH(D381)/100),TC!$5:$437,DAY(D381)+2,FALSE),VLOOKUP(F381,Equivalencia!$1:$23,((MAX(Equivalencia!$3:$3)-YEAR(D381))*14)+MONTH(D381)+2,FALSE)))</f>
        <v>1</v>
      </c>
      <c r="I381" s="251">
        <f t="shared" si="31"/>
        <v>58.82</v>
      </c>
      <c r="J381" s="162">
        <f>IF(D381=0,0,HLOOKUP(YEAR(D381)+(MONTH(D381)/100),TC!$5:$37,DAY(D381)+2,FALSE))</f>
        <v>19.7957</v>
      </c>
      <c r="K381" s="250">
        <f t="shared" si="32"/>
        <v>1164.3830740000001</v>
      </c>
    </row>
    <row r="382" spans="2:11" s="134" customFormat="1" ht="23" customHeight="1">
      <c r="B382" s="7" t="s">
        <v>1266</v>
      </c>
      <c r="C382" s="7" t="s">
        <v>693</v>
      </c>
      <c r="D382" s="159">
        <v>44819</v>
      </c>
      <c r="E382" s="249" t="s">
        <v>772</v>
      </c>
      <c r="F382" s="7" t="s">
        <v>59</v>
      </c>
      <c r="G382" s="250">
        <v>273.52</v>
      </c>
      <c r="H382" s="162">
        <f>IF(F382=0,0,IF(F382="MXN",1/HLOOKUP(YEAR(D382)+(MONTH(D382)/100),TC!$5:$437,DAY(D382)+2,FALSE),VLOOKUP(F382,Equivalencia!$1:$23,((MAX(Equivalencia!$3:$3)-YEAR(D382))*14)+MONTH(D382)+2,FALSE)))</f>
        <v>1</v>
      </c>
      <c r="I382" s="251">
        <f t="shared" si="31"/>
        <v>273.52</v>
      </c>
      <c r="J382" s="162">
        <f>IF(D382=0,0,HLOOKUP(YEAR(D382)+(MONTH(D382)/100),TC!$5:$37,DAY(D382)+2,FALSE))</f>
        <v>20.055</v>
      </c>
      <c r="K382" s="250">
        <f t="shared" si="32"/>
        <v>5485.4435999999996</v>
      </c>
    </row>
    <row r="383" spans="2:11" s="134" customFormat="1" ht="23" customHeight="1">
      <c r="B383" s="7" t="s">
        <v>1266</v>
      </c>
      <c r="C383" s="7" t="s">
        <v>693</v>
      </c>
      <c r="D383" s="159">
        <v>44819</v>
      </c>
      <c r="E383" s="249" t="s">
        <v>775</v>
      </c>
      <c r="F383" s="7" t="s">
        <v>59</v>
      </c>
      <c r="G383" s="250">
        <v>537.70000000000005</v>
      </c>
      <c r="H383" s="162">
        <f>IF(F383=0,0,IF(F383="MXN",1/HLOOKUP(YEAR(D383)+(MONTH(D383)/100),TC!$5:$437,DAY(D383)+2,FALSE),VLOOKUP(F383,Equivalencia!$1:$23,((MAX(Equivalencia!$3:$3)-YEAR(D383))*14)+MONTH(D383)+2,FALSE)))</f>
        <v>1</v>
      </c>
      <c r="I383" s="251">
        <f t="shared" si="31"/>
        <v>537.70000000000005</v>
      </c>
      <c r="J383" s="162">
        <f>IF(D383=0,0,HLOOKUP(YEAR(D383)+(MONTH(D383)/100),TC!$5:$37,DAY(D383)+2,FALSE))</f>
        <v>20.055</v>
      </c>
      <c r="K383" s="250">
        <f t="shared" si="32"/>
        <v>10783.5735</v>
      </c>
    </row>
    <row r="384" spans="2:11" s="134" customFormat="1" ht="23" customHeight="1">
      <c r="B384" s="7" t="s">
        <v>1266</v>
      </c>
      <c r="C384" s="7" t="s">
        <v>693</v>
      </c>
      <c r="D384" s="159">
        <v>44819</v>
      </c>
      <c r="E384" s="249" t="s">
        <v>996</v>
      </c>
      <c r="F384" s="7" t="s">
        <v>59</v>
      </c>
      <c r="G384" s="250">
        <v>61.51</v>
      </c>
      <c r="H384" s="162">
        <f>IF(F384=0,0,IF(F384="MXN",1/HLOOKUP(YEAR(D384)+(MONTH(D384)/100),TC!$5:$437,DAY(D384)+2,FALSE),VLOOKUP(F384,Equivalencia!$1:$23,((MAX(Equivalencia!$3:$3)-YEAR(D384))*14)+MONTH(D384)+2,FALSE)))</f>
        <v>1</v>
      </c>
      <c r="I384" s="251">
        <f t="shared" si="31"/>
        <v>61.51</v>
      </c>
      <c r="J384" s="162">
        <f>IF(D384=0,0,HLOOKUP(YEAR(D384)+(MONTH(D384)/100),TC!$5:$37,DAY(D384)+2,FALSE))</f>
        <v>20.055</v>
      </c>
      <c r="K384" s="250">
        <f t="shared" si="32"/>
        <v>1233.58305</v>
      </c>
    </row>
    <row r="385" spans="2:11" s="134" customFormat="1" ht="23" customHeight="1">
      <c r="B385" s="7" t="s">
        <v>1266</v>
      </c>
      <c r="C385" s="7" t="s">
        <v>693</v>
      </c>
      <c r="D385" s="159">
        <v>44819</v>
      </c>
      <c r="E385" s="249" t="s">
        <v>997</v>
      </c>
      <c r="F385" s="7" t="s">
        <v>59</v>
      </c>
      <c r="G385" s="250">
        <v>196.56</v>
      </c>
      <c r="H385" s="162">
        <f>IF(F385=0,0,IF(F385="MXN",1/HLOOKUP(YEAR(D385)+(MONTH(D385)/100),TC!$5:$437,DAY(D385)+2,FALSE),VLOOKUP(F385,Equivalencia!$1:$23,((MAX(Equivalencia!$3:$3)-YEAR(D385))*14)+MONTH(D385)+2,FALSE)))</f>
        <v>1</v>
      </c>
      <c r="I385" s="251">
        <f t="shared" si="31"/>
        <v>196.56</v>
      </c>
      <c r="J385" s="162">
        <f>IF(D385=0,0,HLOOKUP(YEAR(D385)+(MONTH(D385)/100),TC!$5:$37,DAY(D385)+2,FALSE))</f>
        <v>20.055</v>
      </c>
      <c r="K385" s="250">
        <f t="shared" si="32"/>
        <v>3942.0108</v>
      </c>
    </row>
    <row r="386" spans="2:11" s="134" customFormat="1" ht="23" customHeight="1">
      <c r="B386" s="7" t="s">
        <v>1266</v>
      </c>
      <c r="C386" s="7" t="s">
        <v>693</v>
      </c>
      <c r="D386" s="159">
        <v>44819</v>
      </c>
      <c r="E386" s="249" t="s">
        <v>770</v>
      </c>
      <c r="F386" s="7" t="s">
        <v>59</v>
      </c>
      <c r="G386" s="250">
        <v>178.2</v>
      </c>
      <c r="H386" s="162">
        <f>IF(F386=0,0,IF(F386="MXN",1/HLOOKUP(YEAR(D386)+(MONTH(D386)/100),TC!$5:$437,DAY(D386)+2,FALSE),VLOOKUP(F386,Equivalencia!$1:$23,((MAX(Equivalencia!$3:$3)-YEAR(D386))*14)+MONTH(D386)+2,FALSE)))</f>
        <v>1</v>
      </c>
      <c r="I386" s="251">
        <f t="shared" si="31"/>
        <v>178.2</v>
      </c>
      <c r="J386" s="162">
        <f>IF(D386=0,0,HLOOKUP(YEAR(D386)+(MONTH(D386)/100),TC!$5:$37,DAY(D386)+2,FALSE))</f>
        <v>20.055</v>
      </c>
      <c r="K386" s="250">
        <f t="shared" si="32"/>
        <v>3573.8009999999999</v>
      </c>
    </row>
    <row r="387" spans="2:11" s="134" customFormat="1" ht="23" customHeight="1">
      <c r="B387" s="7" t="s">
        <v>1266</v>
      </c>
      <c r="C387" s="7" t="s">
        <v>693</v>
      </c>
      <c r="D387" s="159">
        <v>44819</v>
      </c>
      <c r="E387" s="249" t="s">
        <v>998</v>
      </c>
      <c r="F387" s="7" t="s">
        <v>59</v>
      </c>
      <c r="G387" s="250">
        <v>0.3</v>
      </c>
      <c r="H387" s="162">
        <f>IF(F387=0,0,IF(F387="MXN",1/HLOOKUP(YEAR(D387)+(MONTH(D387)/100),TC!$5:$437,DAY(D387)+2,FALSE),VLOOKUP(F387,Equivalencia!$1:$23,((MAX(Equivalencia!$3:$3)-YEAR(D387))*14)+MONTH(D387)+2,FALSE)))</f>
        <v>1</v>
      </c>
      <c r="I387" s="251">
        <f t="shared" si="31"/>
        <v>0.3</v>
      </c>
      <c r="J387" s="162">
        <f>IF(D387=0,0,HLOOKUP(YEAR(D387)+(MONTH(D387)/100),TC!$5:$37,DAY(D387)+2,FALSE))</f>
        <v>20.055</v>
      </c>
      <c r="K387" s="250">
        <f t="shared" si="32"/>
        <v>6.0164999999999997</v>
      </c>
    </row>
    <row r="388" spans="2:11" s="134" customFormat="1" ht="23" customHeight="1">
      <c r="B388" s="7" t="s">
        <v>1266</v>
      </c>
      <c r="C388" s="7" t="s">
        <v>693</v>
      </c>
      <c r="D388" s="159">
        <v>44819</v>
      </c>
      <c r="E388" s="249" t="s">
        <v>731</v>
      </c>
      <c r="F388" s="7" t="s">
        <v>59</v>
      </c>
      <c r="G388" s="250">
        <v>705.93</v>
      </c>
      <c r="H388" s="162">
        <f>IF(F388=0,0,IF(F388="MXN",1/HLOOKUP(YEAR(D388)+(MONTH(D388)/100),TC!$5:$437,DAY(D388)+2,FALSE),VLOOKUP(F388,Equivalencia!$1:$23,((MAX(Equivalencia!$3:$3)-YEAR(D388))*14)+MONTH(D388)+2,FALSE)))</f>
        <v>1</v>
      </c>
      <c r="I388" s="251">
        <f t="shared" si="31"/>
        <v>705.93</v>
      </c>
      <c r="J388" s="162">
        <f>IF(D388=0,0,HLOOKUP(YEAR(D388)+(MONTH(D388)/100),TC!$5:$37,DAY(D388)+2,FALSE))</f>
        <v>20.055</v>
      </c>
      <c r="K388" s="250">
        <f t="shared" si="32"/>
        <v>14157.426149999999</v>
      </c>
    </row>
    <row r="389" spans="2:11" s="134" customFormat="1" ht="23" customHeight="1">
      <c r="B389" s="7" t="s">
        <v>1266</v>
      </c>
      <c r="C389" s="7" t="s">
        <v>693</v>
      </c>
      <c r="D389" s="159">
        <v>44819</v>
      </c>
      <c r="E389" s="249" t="s">
        <v>999</v>
      </c>
      <c r="F389" s="7" t="s">
        <v>59</v>
      </c>
      <c r="G389" s="250">
        <v>109.2</v>
      </c>
      <c r="H389" s="162">
        <f>IF(F389=0,0,IF(F389="MXN",1/HLOOKUP(YEAR(D389)+(MONTH(D389)/100),TC!$5:$437,DAY(D389)+2,FALSE),VLOOKUP(F389,Equivalencia!$1:$23,((MAX(Equivalencia!$3:$3)-YEAR(D389))*14)+MONTH(D389)+2,FALSE)))</f>
        <v>1</v>
      </c>
      <c r="I389" s="251">
        <f t="shared" si="31"/>
        <v>109.2</v>
      </c>
      <c r="J389" s="162">
        <f>IF(D389=0,0,HLOOKUP(YEAR(D389)+(MONTH(D389)/100),TC!$5:$37,DAY(D389)+2,FALSE))</f>
        <v>20.055</v>
      </c>
      <c r="K389" s="250">
        <f t="shared" si="32"/>
        <v>2190.0059999999999</v>
      </c>
    </row>
    <row r="390" spans="2:11" s="134" customFormat="1" ht="23" customHeight="1">
      <c r="B390" s="7" t="s">
        <v>1266</v>
      </c>
      <c r="C390" s="7" t="s">
        <v>693</v>
      </c>
      <c r="D390" s="159">
        <v>44819</v>
      </c>
      <c r="E390" s="249" t="s">
        <v>1000</v>
      </c>
      <c r="F390" s="7" t="s">
        <v>59</v>
      </c>
      <c r="G390" s="250">
        <v>91</v>
      </c>
      <c r="H390" s="162">
        <f>IF(F390=0,0,IF(F390="MXN",1/HLOOKUP(YEAR(D390)+(MONTH(D390)/100),TC!$5:$437,DAY(D390)+2,FALSE),VLOOKUP(F390,Equivalencia!$1:$23,((MAX(Equivalencia!$3:$3)-YEAR(D390))*14)+MONTH(D390)+2,FALSE)))</f>
        <v>1</v>
      </c>
      <c r="I390" s="251">
        <f t="shared" si="31"/>
        <v>91</v>
      </c>
      <c r="J390" s="162">
        <f>IF(D390=0,0,HLOOKUP(YEAR(D390)+(MONTH(D390)/100),TC!$5:$37,DAY(D390)+2,FALSE))</f>
        <v>20.055</v>
      </c>
      <c r="K390" s="250">
        <f t="shared" si="32"/>
        <v>1825.0049999999999</v>
      </c>
    </row>
    <row r="391" spans="2:11" s="134" customFormat="1" ht="23" customHeight="1">
      <c r="B391" s="7" t="s">
        <v>1266</v>
      </c>
      <c r="C391" s="7" t="s">
        <v>693</v>
      </c>
      <c r="D391" s="159">
        <v>44820</v>
      </c>
      <c r="E391" s="249" t="s">
        <v>943</v>
      </c>
      <c r="F391" s="7" t="s">
        <v>59</v>
      </c>
      <c r="G391" s="250">
        <v>6.72</v>
      </c>
      <c r="H391" s="162">
        <f>IF(F391=0,0,IF(F391="MXN",1/HLOOKUP(YEAR(D391)+(MONTH(D391)/100),TC!$5:$437,DAY(D391)+2,FALSE),VLOOKUP(F391,Equivalencia!$1:$23,((MAX(Equivalencia!$3:$3)-YEAR(D391))*14)+MONTH(D391)+2,FALSE)))</f>
        <v>1</v>
      </c>
      <c r="I391" s="251">
        <f t="shared" si="31"/>
        <v>6.72</v>
      </c>
      <c r="J391" s="162">
        <f>IF(D391=0,0,HLOOKUP(YEAR(D391)+(MONTH(D391)/100),TC!$5:$37,DAY(D391)+2,FALSE))</f>
        <v>19.976800000000001</v>
      </c>
      <c r="K391" s="250">
        <f t="shared" si="32"/>
        <v>134.24409600000001</v>
      </c>
    </row>
    <row r="392" spans="2:11" s="134" customFormat="1" ht="23" customHeight="1">
      <c r="B392" s="7" t="s">
        <v>1266</v>
      </c>
      <c r="C392" s="7" t="s">
        <v>693</v>
      </c>
      <c r="D392" s="159">
        <v>44820</v>
      </c>
      <c r="E392" s="249" t="s">
        <v>778</v>
      </c>
      <c r="F392" s="7" t="s">
        <v>59</v>
      </c>
      <c r="G392" s="250">
        <v>620.1</v>
      </c>
      <c r="H392" s="162">
        <f>IF(F392=0,0,IF(F392="MXN",1/HLOOKUP(YEAR(D392)+(MONTH(D392)/100),TC!$5:$437,DAY(D392)+2,FALSE),VLOOKUP(F392,Equivalencia!$1:$23,((MAX(Equivalencia!$3:$3)-YEAR(D392))*14)+MONTH(D392)+2,FALSE)))</f>
        <v>1</v>
      </c>
      <c r="I392" s="251">
        <f t="shared" si="31"/>
        <v>620.1</v>
      </c>
      <c r="J392" s="162">
        <f>IF(D392=0,0,HLOOKUP(YEAR(D392)+(MONTH(D392)/100),TC!$5:$37,DAY(D392)+2,FALSE))</f>
        <v>19.976800000000001</v>
      </c>
      <c r="K392" s="250">
        <f t="shared" si="32"/>
        <v>12387.61368</v>
      </c>
    </row>
    <row r="393" spans="2:11" s="134" customFormat="1" ht="23" customHeight="1">
      <c r="B393" s="7" t="s">
        <v>1266</v>
      </c>
      <c r="C393" s="7" t="s">
        <v>693</v>
      </c>
      <c r="D393" s="159">
        <v>44820</v>
      </c>
      <c r="E393" s="249" t="s">
        <v>771</v>
      </c>
      <c r="F393" s="7" t="s">
        <v>59</v>
      </c>
      <c r="G393" s="250">
        <v>996.36</v>
      </c>
      <c r="H393" s="162">
        <f>IF(F393=0,0,IF(F393="MXN",1/HLOOKUP(YEAR(D393)+(MONTH(D393)/100),TC!$5:$437,DAY(D393)+2,FALSE),VLOOKUP(F393,Equivalencia!$1:$23,((MAX(Equivalencia!$3:$3)-YEAR(D393))*14)+MONTH(D393)+2,FALSE)))</f>
        <v>1</v>
      </c>
      <c r="I393" s="251">
        <f t="shared" si="31"/>
        <v>996.36</v>
      </c>
      <c r="J393" s="162">
        <f>IF(D393=0,0,HLOOKUP(YEAR(D393)+(MONTH(D393)/100),TC!$5:$37,DAY(D393)+2,FALSE))</f>
        <v>19.976800000000001</v>
      </c>
      <c r="K393" s="250">
        <f t="shared" si="32"/>
        <v>19904.084448000001</v>
      </c>
    </row>
    <row r="394" spans="2:11" s="134" customFormat="1" ht="23" customHeight="1">
      <c r="B394" s="7" t="s">
        <v>1266</v>
      </c>
      <c r="C394" s="7" t="s">
        <v>693</v>
      </c>
      <c r="D394" s="159">
        <v>44820</v>
      </c>
      <c r="E394" s="249" t="s">
        <v>1001</v>
      </c>
      <c r="F394" s="7" t="s">
        <v>59</v>
      </c>
      <c r="G394" s="250">
        <v>187.92</v>
      </c>
      <c r="H394" s="162">
        <f>IF(F394=0,0,IF(F394="MXN",1/HLOOKUP(YEAR(D394)+(MONTH(D394)/100),TC!$5:$437,DAY(D394)+2,FALSE),VLOOKUP(F394,Equivalencia!$1:$23,((MAX(Equivalencia!$3:$3)-YEAR(D394))*14)+MONTH(D394)+2,FALSE)))</f>
        <v>1</v>
      </c>
      <c r="I394" s="251">
        <f t="shared" si="31"/>
        <v>187.92</v>
      </c>
      <c r="J394" s="162">
        <f>IF(D394=0,0,HLOOKUP(YEAR(D394)+(MONTH(D394)/100),TC!$5:$37,DAY(D394)+2,FALSE))</f>
        <v>19.976800000000001</v>
      </c>
      <c r="K394" s="250">
        <f t="shared" si="32"/>
        <v>3754.0402559999998</v>
      </c>
    </row>
    <row r="395" spans="2:11" s="134" customFormat="1" ht="23" customHeight="1">
      <c r="B395" s="7" t="s">
        <v>1266</v>
      </c>
      <c r="C395" s="7" t="s">
        <v>693</v>
      </c>
      <c r="D395" s="159">
        <v>44824</v>
      </c>
      <c r="E395" s="249" t="s">
        <v>774</v>
      </c>
      <c r="F395" s="7" t="s">
        <v>59</v>
      </c>
      <c r="G395" s="250">
        <v>504.9</v>
      </c>
      <c r="H395" s="162">
        <f>IF(F395=0,0,IF(F395="MXN",1/HLOOKUP(YEAR(D395)+(MONTH(D395)/100),TC!$5:$437,DAY(D395)+2,FALSE),VLOOKUP(F395,Equivalencia!$1:$23,((MAX(Equivalencia!$3:$3)-YEAR(D395))*14)+MONTH(D395)+2,FALSE)))</f>
        <v>1</v>
      </c>
      <c r="I395" s="251">
        <f t="shared" si="31"/>
        <v>504.9</v>
      </c>
      <c r="J395" s="162">
        <f>IF(D395=0,0,HLOOKUP(YEAR(D395)+(MONTH(D395)/100),TC!$5:$37,DAY(D395)+2,FALSE))</f>
        <v>20.052499999999998</v>
      </c>
      <c r="K395" s="250">
        <f t="shared" si="32"/>
        <v>10124.507249999999</v>
      </c>
    </row>
    <row r="396" spans="2:11" s="134" customFormat="1" ht="23" customHeight="1">
      <c r="B396" s="7" t="s">
        <v>1266</v>
      </c>
      <c r="C396" s="7" t="s">
        <v>693</v>
      </c>
      <c r="D396" s="159">
        <v>44824</v>
      </c>
      <c r="E396" s="249" t="s">
        <v>773</v>
      </c>
      <c r="F396" s="7" t="s">
        <v>59</v>
      </c>
      <c r="G396" s="250">
        <v>855.5</v>
      </c>
      <c r="H396" s="162">
        <f>IF(F396=0,0,IF(F396="MXN",1/HLOOKUP(YEAR(D396)+(MONTH(D396)/100),TC!$5:$437,DAY(D396)+2,FALSE),VLOOKUP(F396,Equivalencia!$1:$23,((MAX(Equivalencia!$3:$3)-YEAR(D396))*14)+MONTH(D396)+2,FALSE)))</f>
        <v>1</v>
      </c>
      <c r="I396" s="251">
        <f t="shared" si="31"/>
        <v>855.5</v>
      </c>
      <c r="J396" s="162">
        <f>IF(D396=0,0,HLOOKUP(YEAR(D396)+(MONTH(D396)/100),TC!$5:$37,DAY(D396)+2,FALSE))</f>
        <v>20.052499999999998</v>
      </c>
      <c r="K396" s="250">
        <f t="shared" si="32"/>
        <v>17154.91375</v>
      </c>
    </row>
    <row r="397" spans="2:11" s="134" customFormat="1" ht="23" customHeight="1">
      <c r="B397" s="7" t="s">
        <v>1266</v>
      </c>
      <c r="C397" s="7" t="s">
        <v>693</v>
      </c>
      <c r="D397" s="159">
        <v>44827</v>
      </c>
      <c r="E397" s="249" t="s">
        <v>779</v>
      </c>
      <c r="F397" s="7" t="s">
        <v>59</v>
      </c>
      <c r="G397" s="250">
        <v>568.4</v>
      </c>
      <c r="H397" s="162">
        <f>IF(F397=0,0,IF(F397="MXN",1/HLOOKUP(YEAR(D397)+(MONTH(D397)/100),TC!$5:$437,DAY(D397)+2,FALSE),VLOOKUP(F397,Equivalencia!$1:$23,((MAX(Equivalencia!$3:$3)-YEAR(D397))*14)+MONTH(D397)+2,FALSE)))</f>
        <v>1</v>
      </c>
      <c r="I397" s="251">
        <f t="shared" si="31"/>
        <v>568.4</v>
      </c>
      <c r="J397" s="162">
        <f>IF(D397=0,0,HLOOKUP(YEAR(D397)+(MONTH(D397)/100),TC!$5:$37,DAY(D397)+2,FALSE))</f>
        <v>20.002700000000001</v>
      </c>
      <c r="K397" s="250">
        <f t="shared" si="32"/>
        <v>11369.534680000001</v>
      </c>
    </row>
    <row r="398" spans="2:11" s="134" customFormat="1" ht="23" customHeight="1">
      <c r="B398" s="7" t="s">
        <v>1266</v>
      </c>
      <c r="C398" s="7" t="s">
        <v>693</v>
      </c>
      <c r="D398" s="159">
        <v>44831</v>
      </c>
      <c r="E398" s="249" t="s">
        <v>737</v>
      </c>
      <c r="F398" s="7" t="s">
        <v>59</v>
      </c>
      <c r="G398" s="250">
        <v>681</v>
      </c>
      <c r="H398" s="162">
        <f>IF(F398=0,0,IF(F398="MXN",1/HLOOKUP(YEAR(D398)+(MONTH(D398)/100),TC!$5:$437,DAY(D398)+2,FALSE),VLOOKUP(F398,Equivalencia!$1:$23,((MAX(Equivalencia!$3:$3)-YEAR(D398))*14)+MONTH(D398)+2,FALSE)))</f>
        <v>1</v>
      </c>
      <c r="I398" s="251">
        <f t="shared" si="31"/>
        <v>681</v>
      </c>
      <c r="J398" s="162">
        <f>IF(D398=0,0,HLOOKUP(YEAR(D398)+(MONTH(D398)/100),TC!$5:$37,DAY(D398)+2,FALSE))</f>
        <v>20.162700000000001</v>
      </c>
      <c r="K398" s="250">
        <f t="shared" si="32"/>
        <v>13730.798700000001</v>
      </c>
    </row>
    <row r="399" spans="2:11" s="134" customFormat="1" ht="23" customHeight="1">
      <c r="B399" s="7" t="s">
        <v>1266</v>
      </c>
      <c r="C399" s="7" t="s">
        <v>693</v>
      </c>
      <c r="D399" s="159">
        <v>44832</v>
      </c>
      <c r="E399" s="249" t="s">
        <v>939</v>
      </c>
      <c r="F399" s="7" t="s">
        <v>59</v>
      </c>
      <c r="G399" s="250">
        <v>132.12</v>
      </c>
      <c r="H399" s="162">
        <f>IF(F399=0,0,IF(F399="MXN",1/HLOOKUP(YEAR(D399)+(MONTH(D399)/100),TC!$5:$437,DAY(D399)+2,FALSE),VLOOKUP(F399,Equivalencia!$1:$23,((MAX(Equivalencia!$3:$3)-YEAR(D399))*14)+MONTH(D399)+2,FALSE)))</f>
        <v>1</v>
      </c>
      <c r="I399" s="251">
        <f t="shared" si="31"/>
        <v>132.12</v>
      </c>
      <c r="J399" s="162">
        <f>IF(D399=0,0,HLOOKUP(YEAR(D399)+(MONTH(D399)/100),TC!$5:$37,DAY(D399)+2,FALSE))</f>
        <v>20.351700000000001</v>
      </c>
      <c r="K399" s="250">
        <f t="shared" si="32"/>
        <v>2688.8666040000003</v>
      </c>
    </row>
    <row r="400" spans="2:11" s="134" customFormat="1" ht="23" customHeight="1">
      <c r="B400" s="7" t="s">
        <v>1266</v>
      </c>
      <c r="C400" s="7" t="s">
        <v>693</v>
      </c>
      <c r="D400" s="159">
        <v>44833</v>
      </c>
      <c r="E400" s="249" t="s">
        <v>856</v>
      </c>
      <c r="F400" s="7" t="s">
        <v>59</v>
      </c>
      <c r="G400" s="250">
        <v>96</v>
      </c>
      <c r="H400" s="162">
        <f>IF(F400=0,0,IF(F400="MXN",1/HLOOKUP(YEAR(D400)+(MONTH(D400)/100),TC!$5:$437,DAY(D400)+2,FALSE),VLOOKUP(F400,Equivalencia!$1:$23,((MAX(Equivalencia!$3:$3)-YEAR(D400))*14)+MONTH(D400)+2,FALSE)))</f>
        <v>1</v>
      </c>
      <c r="I400" s="251">
        <f t="shared" si="31"/>
        <v>96</v>
      </c>
      <c r="J400" s="162">
        <f>IF(D400=0,0,HLOOKUP(YEAR(D400)+(MONTH(D400)/100),TC!$5:$37,DAY(D400)+2,FALSE))</f>
        <v>20.356999999999999</v>
      </c>
      <c r="K400" s="250">
        <f t="shared" si="32"/>
        <v>1954.2719999999999</v>
      </c>
    </row>
    <row r="401" spans="2:11" s="134" customFormat="1" ht="23" customHeight="1">
      <c r="B401" s="7" t="s">
        <v>1266</v>
      </c>
      <c r="C401" s="7" t="s">
        <v>693</v>
      </c>
      <c r="D401" s="159">
        <v>44833</v>
      </c>
      <c r="E401" s="249" t="s">
        <v>780</v>
      </c>
      <c r="F401" s="7" t="s">
        <v>59</v>
      </c>
      <c r="G401" s="250">
        <v>513.29999999999995</v>
      </c>
      <c r="H401" s="162">
        <f>IF(F401=0,0,IF(F401="MXN",1/HLOOKUP(YEAR(D401)+(MONTH(D401)/100),TC!$5:$437,DAY(D401)+2,FALSE),VLOOKUP(F401,Equivalencia!$1:$23,((MAX(Equivalencia!$3:$3)-YEAR(D401))*14)+MONTH(D401)+2,FALSE)))</f>
        <v>1</v>
      </c>
      <c r="I401" s="251">
        <f t="shared" si="31"/>
        <v>513.29999999999995</v>
      </c>
      <c r="J401" s="162">
        <f>IF(D401=0,0,HLOOKUP(YEAR(D401)+(MONTH(D401)/100),TC!$5:$37,DAY(D401)+2,FALSE))</f>
        <v>20.356999999999999</v>
      </c>
      <c r="K401" s="250">
        <f t="shared" si="32"/>
        <v>10449.248099999999</v>
      </c>
    </row>
    <row r="402" spans="2:11" s="134" customFormat="1" ht="23" customHeight="1">
      <c r="B402" s="7" t="s">
        <v>1266</v>
      </c>
      <c r="C402" s="7" t="s">
        <v>693</v>
      </c>
      <c r="D402" s="159">
        <v>44833</v>
      </c>
      <c r="E402" s="249" t="s">
        <v>1002</v>
      </c>
      <c r="F402" s="7" t="s">
        <v>59</v>
      </c>
      <c r="G402" s="250">
        <v>39.6</v>
      </c>
      <c r="H402" s="162">
        <f>IF(F402=0,0,IF(F402="MXN",1/HLOOKUP(YEAR(D402)+(MONTH(D402)/100),TC!$5:$437,DAY(D402)+2,FALSE),VLOOKUP(F402,Equivalencia!$1:$23,((MAX(Equivalencia!$3:$3)-YEAR(D402))*14)+MONTH(D402)+2,FALSE)))</f>
        <v>1</v>
      </c>
      <c r="I402" s="251">
        <f t="shared" si="31"/>
        <v>39.6</v>
      </c>
      <c r="J402" s="162">
        <f>IF(D402=0,0,HLOOKUP(YEAR(D402)+(MONTH(D402)/100),TC!$5:$37,DAY(D402)+2,FALSE))</f>
        <v>20.356999999999999</v>
      </c>
      <c r="K402" s="250">
        <f t="shared" si="32"/>
        <v>806.13720000000001</v>
      </c>
    </row>
    <row r="403" spans="2:11" s="134" customFormat="1" ht="23" customHeight="1">
      <c r="B403" s="7" t="s">
        <v>1266</v>
      </c>
      <c r="C403" s="7" t="s">
        <v>693</v>
      </c>
      <c r="D403" s="159">
        <v>44833</v>
      </c>
      <c r="E403" s="249" t="s">
        <v>1003</v>
      </c>
      <c r="F403" s="7" t="s">
        <v>59</v>
      </c>
      <c r="G403" s="250">
        <v>1009.89</v>
      </c>
      <c r="H403" s="162">
        <f>IF(F403=0,0,IF(F403="MXN",1/HLOOKUP(YEAR(D403)+(MONTH(D403)/100),TC!$5:$437,DAY(D403)+2,FALSE),VLOOKUP(F403,Equivalencia!$1:$23,((MAX(Equivalencia!$3:$3)-YEAR(D403))*14)+MONTH(D403)+2,FALSE)))</f>
        <v>1</v>
      </c>
      <c r="I403" s="251">
        <f t="shared" si="31"/>
        <v>1009.89</v>
      </c>
      <c r="J403" s="162">
        <f>IF(D403=0,0,HLOOKUP(YEAR(D403)+(MONTH(D403)/100),TC!$5:$37,DAY(D403)+2,FALSE))</f>
        <v>20.356999999999999</v>
      </c>
      <c r="K403" s="250">
        <f t="shared" si="32"/>
        <v>20558.330729999998</v>
      </c>
    </row>
    <row r="404" spans="2:11" s="134" customFormat="1" ht="23" customHeight="1">
      <c r="B404" s="7" t="s">
        <v>1266</v>
      </c>
      <c r="C404" s="7" t="s">
        <v>693</v>
      </c>
      <c r="D404" s="159">
        <v>44833</v>
      </c>
      <c r="E404" s="249" t="s">
        <v>1004</v>
      </c>
      <c r="F404" s="7" t="s">
        <v>59</v>
      </c>
      <c r="G404" s="250">
        <v>226.3</v>
      </c>
      <c r="H404" s="162">
        <f>IF(F404=0,0,IF(F404="MXN",1/HLOOKUP(YEAR(D404)+(MONTH(D404)/100),TC!$5:$437,DAY(D404)+2,FALSE),VLOOKUP(F404,Equivalencia!$1:$23,((MAX(Equivalencia!$3:$3)-YEAR(D404))*14)+MONTH(D404)+2,FALSE)))</f>
        <v>1</v>
      </c>
      <c r="I404" s="251">
        <f t="shared" si="31"/>
        <v>226.3</v>
      </c>
      <c r="J404" s="162">
        <f>IF(D404=0,0,HLOOKUP(YEAR(D404)+(MONTH(D404)/100),TC!$5:$37,DAY(D404)+2,FALSE))</f>
        <v>20.356999999999999</v>
      </c>
      <c r="K404" s="250">
        <f t="shared" si="32"/>
        <v>4606.7891</v>
      </c>
    </row>
    <row r="405" spans="2:11" s="134" customFormat="1" ht="23" customHeight="1">
      <c r="B405" s="7" t="s">
        <v>1266</v>
      </c>
      <c r="C405" s="7" t="s">
        <v>693</v>
      </c>
      <c r="D405" s="159">
        <v>44833</v>
      </c>
      <c r="E405" s="249" t="s">
        <v>1005</v>
      </c>
      <c r="F405" s="7" t="s">
        <v>59</v>
      </c>
      <c r="G405" s="250">
        <v>57.2</v>
      </c>
      <c r="H405" s="162">
        <f>IF(F405=0,0,IF(F405="MXN",1/HLOOKUP(YEAR(D405)+(MONTH(D405)/100),TC!$5:$437,DAY(D405)+2,FALSE),VLOOKUP(F405,Equivalencia!$1:$23,((MAX(Equivalencia!$3:$3)-YEAR(D405))*14)+MONTH(D405)+2,FALSE)))</f>
        <v>1</v>
      </c>
      <c r="I405" s="251">
        <f t="shared" si="31"/>
        <v>57.2</v>
      </c>
      <c r="J405" s="162">
        <f>IF(D405=0,0,HLOOKUP(YEAR(D405)+(MONTH(D405)/100),TC!$5:$37,DAY(D405)+2,FALSE))</f>
        <v>20.356999999999999</v>
      </c>
      <c r="K405" s="250">
        <f t="shared" si="32"/>
        <v>1164.4204</v>
      </c>
    </row>
    <row r="406" spans="2:11" s="134" customFormat="1" ht="23" customHeight="1">
      <c r="B406" s="7" t="s">
        <v>1266</v>
      </c>
      <c r="C406" s="7" t="s">
        <v>693</v>
      </c>
      <c r="D406" s="159">
        <v>44833</v>
      </c>
      <c r="E406" s="249" t="s">
        <v>777</v>
      </c>
      <c r="F406" s="7" t="s">
        <v>59</v>
      </c>
      <c r="G406" s="250">
        <v>438.04</v>
      </c>
      <c r="H406" s="162">
        <f>IF(F406=0,0,IF(F406="MXN",1/HLOOKUP(YEAR(D406)+(MONTH(D406)/100),TC!$5:$437,DAY(D406)+2,FALSE),VLOOKUP(F406,Equivalencia!$1:$23,((MAX(Equivalencia!$3:$3)-YEAR(D406))*14)+MONTH(D406)+2,FALSE)))</f>
        <v>1</v>
      </c>
      <c r="I406" s="251">
        <f t="shared" si="31"/>
        <v>438.04</v>
      </c>
      <c r="J406" s="162">
        <f>IF(D406=0,0,HLOOKUP(YEAR(D406)+(MONTH(D406)/100),TC!$5:$37,DAY(D406)+2,FALSE))</f>
        <v>20.356999999999999</v>
      </c>
      <c r="K406" s="250">
        <f t="shared" si="32"/>
        <v>8917.1802800000005</v>
      </c>
    </row>
    <row r="407" spans="2:11" s="134" customFormat="1" ht="23" customHeight="1">
      <c r="B407" s="7" t="s">
        <v>1266</v>
      </c>
      <c r="C407" s="7" t="s">
        <v>693</v>
      </c>
      <c r="D407" s="159">
        <v>44833</v>
      </c>
      <c r="E407" s="249" t="s">
        <v>782</v>
      </c>
      <c r="F407" s="7" t="s">
        <v>59</v>
      </c>
      <c r="G407" s="250">
        <v>1234.0999999999999</v>
      </c>
      <c r="H407" s="162">
        <f>IF(F407=0,0,IF(F407="MXN",1/HLOOKUP(YEAR(D407)+(MONTH(D407)/100),TC!$5:$437,DAY(D407)+2,FALSE),VLOOKUP(F407,Equivalencia!$1:$23,((MAX(Equivalencia!$3:$3)-YEAR(D407))*14)+MONTH(D407)+2,FALSE)))</f>
        <v>1</v>
      </c>
      <c r="I407" s="251">
        <f t="shared" si="31"/>
        <v>1234.0999999999999</v>
      </c>
      <c r="J407" s="162">
        <f>IF(D407=0,0,HLOOKUP(YEAR(D407)+(MONTH(D407)/100),TC!$5:$37,DAY(D407)+2,FALSE))</f>
        <v>20.356999999999999</v>
      </c>
      <c r="K407" s="250">
        <f t="shared" si="32"/>
        <v>25122.573699999997</v>
      </c>
    </row>
    <row r="408" spans="2:11" s="134" customFormat="1" ht="23" customHeight="1">
      <c r="B408" s="7" t="s">
        <v>1266</v>
      </c>
      <c r="C408" s="7" t="s">
        <v>693</v>
      </c>
      <c r="D408" s="159">
        <v>44833</v>
      </c>
      <c r="E408" s="249" t="s">
        <v>783</v>
      </c>
      <c r="F408" s="7" t="s">
        <v>59</v>
      </c>
      <c r="G408" s="250">
        <v>1037.5</v>
      </c>
      <c r="H408" s="162">
        <f>IF(F408=0,0,IF(F408="MXN",1/HLOOKUP(YEAR(D408)+(MONTH(D408)/100),TC!$5:$437,DAY(D408)+2,FALSE),VLOOKUP(F408,Equivalencia!$1:$23,((MAX(Equivalencia!$3:$3)-YEAR(D408))*14)+MONTH(D408)+2,FALSE)))</f>
        <v>1</v>
      </c>
      <c r="I408" s="251">
        <f t="shared" si="31"/>
        <v>1037.5</v>
      </c>
      <c r="J408" s="162">
        <f>IF(D408=0,0,HLOOKUP(YEAR(D408)+(MONTH(D408)/100),TC!$5:$37,DAY(D408)+2,FALSE))</f>
        <v>20.356999999999999</v>
      </c>
      <c r="K408" s="250">
        <f t="shared" si="32"/>
        <v>21120.387500000001</v>
      </c>
    </row>
    <row r="409" spans="2:11" s="134" customFormat="1" ht="23" customHeight="1">
      <c r="B409" s="7" t="s">
        <v>1266</v>
      </c>
      <c r="C409" s="7" t="s">
        <v>693</v>
      </c>
      <c r="D409" s="159">
        <v>44833</v>
      </c>
      <c r="E409" s="249" t="s">
        <v>1006</v>
      </c>
      <c r="F409" s="7" t="s">
        <v>59</v>
      </c>
      <c r="G409" s="250">
        <v>29.68</v>
      </c>
      <c r="H409" s="162">
        <f>IF(F409=0,0,IF(F409="MXN",1/HLOOKUP(YEAR(D409)+(MONTH(D409)/100),TC!$5:$437,DAY(D409)+2,FALSE),VLOOKUP(F409,Equivalencia!$1:$23,((MAX(Equivalencia!$3:$3)-YEAR(D409))*14)+MONTH(D409)+2,FALSE)))</f>
        <v>1</v>
      </c>
      <c r="I409" s="251">
        <f t="shared" si="31"/>
        <v>29.68</v>
      </c>
      <c r="J409" s="162">
        <f>IF(D409=0,0,HLOOKUP(YEAR(D409)+(MONTH(D409)/100),TC!$5:$37,DAY(D409)+2,FALSE))</f>
        <v>20.356999999999999</v>
      </c>
      <c r="K409" s="250">
        <f t="shared" si="32"/>
        <v>604.19575999999995</v>
      </c>
    </row>
    <row r="410" spans="2:11" s="134" customFormat="1" ht="23" customHeight="1">
      <c r="B410" s="7" t="s">
        <v>1266</v>
      </c>
      <c r="C410" s="7" t="s">
        <v>693</v>
      </c>
      <c r="D410" s="159">
        <v>44833</v>
      </c>
      <c r="E410" s="249" t="s">
        <v>785</v>
      </c>
      <c r="F410" s="7" t="s">
        <v>59</v>
      </c>
      <c r="G410" s="250">
        <v>842.14</v>
      </c>
      <c r="H410" s="162">
        <f>IF(F410=0,0,IF(F410="MXN",1/HLOOKUP(YEAR(D410)+(MONTH(D410)/100),TC!$5:$437,DAY(D410)+2,FALSE),VLOOKUP(F410,Equivalencia!$1:$23,((MAX(Equivalencia!$3:$3)-YEAR(D410))*14)+MONTH(D410)+2,FALSE)))</f>
        <v>1</v>
      </c>
      <c r="I410" s="251">
        <f t="shared" si="31"/>
        <v>842.14</v>
      </c>
      <c r="J410" s="162">
        <f>IF(D410=0,0,HLOOKUP(YEAR(D410)+(MONTH(D410)/100),TC!$5:$37,DAY(D410)+2,FALSE))</f>
        <v>20.356999999999999</v>
      </c>
      <c r="K410" s="250">
        <f t="shared" si="32"/>
        <v>17143.44398</v>
      </c>
    </row>
    <row r="411" spans="2:11" s="134" customFormat="1" ht="23" customHeight="1">
      <c r="B411" s="7" t="s">
        <v>1266</v>
      </c>
      <c r="C411" s="7" t="s">
        <v>693</v>
      </c>
      <c r="D411" s="159">
        <v>44833</v>
      </c>
      <c r="E411" s="249" t="s">
        <v>1007</v>
      </c>
      <c r="F411" s="7" t="s">
        <v>59</v>
      </c>
      <c r="G411" s="250">
        <v>234.5</v>
      </c>
      <c r="H411" s="162">
        <f>IF(F411=0,0,IF(F411="MXN",1/HLOOKUP(YEAR(D411)+(MONTH(D411)/100),TC!$5:$437,DAY(D411)+2,FALSE),VLOOKUP(F411,Equivalencia!$1:$23,((MAX(Equivalencia!$3:$3)-YEAR(D411))*14)+MONTH(D411)+2,FALSE)))</f>
        <v>1</v>
      </c>
      <c r="I411" s="251">
        <f t="shared" si="31"/>
        <v>234.5</v>
      </c>
      <c r="J411" s="162">
        <f>IF(D411=0,0,HLOOKUP(YEAR(D411)+(MONTH(D411)/100),TC!$5:$37,DAY(D411)+2,FALSE))</f>
        <v>20.356999999999999</v>
      </c>
      <c r="K411" s="250">
        <f t="shared" si="32"/>
        <v>4773.7164999999995</v>
      </c>
    </row>
    <row r="412" spans="2:11" s="134" customFormat="1" ht="23" customHeight="1">
      <c r="B412" s="7" t="s">
        <v>1266</v>
      </c>
      <c r="C412" s="7" t="s">
        <v>693</v>
      </c>
      <c r="D412" s="159">
        <v>44833</v>
      </c>
      <c r="E412" s="249" t="s">
        <v>786</v>
      </c>
      <c r="F412" s="7" t="s">
        <v>59</v>
      </c>
      <c r="G412" s="250">
        <v>626.82000000000005</v>
      </c>
      <c r="H412" s="162">
        <f>IF(F412=0,0,IF(F412="MXN",1/HLOOKUP(YEAR(D412)+(MONTH(D412)/100),TC!$5:$437,DAY(D412)+2,FALSE),VLOOKUP(F412,Equivalencia!$1:$23,((MAX(Equivalencia!$3:$3)-YEAR(D412))*14)+MONTH(D412)+2,FALSE)))</f>
        <v>1</v>
      </c>
      <c r="I412" s="251">
        <f t="shared" si="31"/>
        <v>626.82000000000005</v>
      </c>
      <c r="J412" s="162">
        <f>IF(D412=0,0,HLOOKUP(YEAR(D412)+(MONTH(D412)/100),TC!$5:$37,DAY(D412)+2,FALSE))</f>
        <v>20.356999999999999</v>
      </c>
      <c r="K412" s="250">
        <f t="shared" si="32"/>
        <v>12760.17474</v>
      </c>
    </row>
    <row r="413" spans="2:11" s="134" customFormat="1" ht="23" customHeight="1">
      <c r="B413" s="7" t="s">
        <v>1266</v>
      </c>
      <c r="C413" s="7" t="s">
        <v>693</v>
      </c>
      <c r="D413" s="159">
        <v>44833</v>
      </c>
      <c r="E413" s="249" t="s">
        <v>787</v>
      </c>
      <c r="F413" s="7" t="s">
        <v>59</v>
      </c>
      <c r="G413" s="250">
        <v>653.9</v>
      </c>
      <c r="H413" s="162">
        <f>IF(F413=0,0,IF(F413="MXN",1/HLOOKUP(YEAR(D413)+(MONTH(D413)/100),TC!$5:$437,DAY(D413)+2,FALSE),VLOOKUP(F413,Equivalencia!$1:$23,((MAX(Equivalencia!$3:$3)-YEAR(D413))*14)+MONTH(D413)+2,FALSE)))</f>
        <v>1</v>
      </c>
      <c r="I413" s="251">
        <f t="shared" si="31"/>
        <v>653.9</v>
      </c>
      <c r="J413" s="162">
        <f>IF(D413=0,0,HLOOKUP(YEAR(D413)+(MONTH(D413)/100),TC!$5:$37,DAY(D413)+2,FALSE))</f>
        <v>20.356999999999999</v>
      </c>
      <c r="K413" s="250">
        <f t="shared" si="32"/>
        <v>13311.442299999999</v>
      </c>
    </row>
    <row r="414" spans="2:11" s="134" customFormat="1" ht="23" customHeight="1">
      <c r="B414" s="7" t="s">
        <v>1266</v>
      </c>
      <c r="C414" s="7" t="s">
        <v>693</v>
      </c>
      <c r="D414" s="159">
        <v>44837</v>
      </c>
      <c r="E414" s="249" t="s">
        <v>924</v>
      </c>
      <c r="F414" s="7" t="s">
        <v>59</v>
      </c>
      <c r="G414" s="250">
        <v>97.92</v>
      </c>
      <c r="H414" s="162">
        <f>IF(F414=0,0,IF(F414="MXN",1/HLOOKUP(YEAR(D414)+(MONTH(D414)/100),TC!$5:$437,DAY(D414)+2,FALSE),VLOOKUP(F414,Equivalencia!$1:$23,((MAX(Equivalencia!$3:$3)-YEAR(D414))*14)+MONTH(D414)+2,FALSE)))</f>
        <v>1</v>
      </c>
      <c r="I414" s="251">
        <f t="shared" ref="I414:I442" si="33">G414*H414</f>
        <v>97.92</v>
      </c>
      <c r="J414" s="162">
        <f>IF(D414=0,0,HLOOKUP(YEAR(D414)+(MONTH(D414)/100),TC!$5:$37,DAY(D414)+2,FALSE))</f>
        <v>20.192699999999999</v>
      </c>
      <c r="K414" s="250">
        <f t="shared" ref="K414:K442" si="34">I414*J414</f>
        <v>1977.269184</v>
      </c>
    </row>
    <row r="415" spans="2:11" s="134" customFormat="1" ht="23" customHeight="1">
      <c r="B415" s="7" t="s">
        <v>1266</v>
      </c>
      <c r="C415" s="7" t="s">
        <v>693</v>
      </c>
      <c r="D415" s="159">
        <v>44837</v>
      </c>
      <c r="E415" s="249" t="s">
        <v>1009</v>
      </c>
      <c r="F415" s="7" t="s">
        <v>59</v>
      </c>
      <c r="G415" s="250">
        <v>22.14</v>
      </c>
      <c r="H415" s="162">
        <f>IF(F415=0,0,IF(F415="MXN",1/HLOOKUP(YEAR(D415)+(MONTH(D415)/100),TC!$5:$437,DAY(D415)+2,FALSE),VLOOKUP(F415,Equivalencia!$1:$23,((MAX(Equivalencia!$3:$3)-YEAR(D415))*14)+MONTH(D415)+2,FALSE)))</f>
        <v>1</v>
      </c>
      <c r="I415" s="251">
        <f t="shared" si="33"/>
        <v>22.14</v>
      </c>
      <c r="J415" s="162">
        <f>IF(D415=0,0,HLOOKUP(YEAR(D415)+(MONTH(D415)/100),TC!$5:$37,DAY(D415)+2,FALSE))</f>
        <v>20.192699999999999</v>
      </c>
      <c r="K415" s="250">
        <f t="shared" si="34"/>
        <v>447.06637799999999</v>
      </c>
    </row>
    <row r="416" spans="2:11" s="134" customFormat="1" ht="23" customHeight="1">
      <c r="B416" s="7" t="s">
        <v>1266</v>
      </c>
      <c r="C416" s="7" t="s">
        <v>693</v>
      </c>
      <c r="D416" s="159">
        <v>44837</v>
      </c>
      <c r="E416" s="249" t="s">
        <v>721</v>
      </c>
      <c r="F416" s="7" t="s">
        <v>59</v>
      </c>
      <c r="G416" s="250">
        <v>218.08</v>
      </c>
      <c r="H416" s="162">
        <f>IF(F416=0,0,IF(F416="MXN",1/HLOOKUP(YEAR(D416)+(MONTH(D416)/100),TC!$5:$437,DAY(D416)+2,FALSE),VLOOKUP(F416,Equivalencia!$1:$23,((MAX(Equivalencia!$3:$3)-YEAR(D416))*14)+MONTH(D416)+2,FALSE)))</f>
        <v>1</v>
      </c>
      <c r="I416" s="251">
        <f t="shared" si="33"/>
        <v>218.08</v>
      </c>
      <c r="J416" s="162">
        <f>IF(D416=0,0,HLOOKUP(YEAR(D416)+(MONTH(D416)/100),TC!$5:$37,DAY(D416)+2,FALSE))</f>
        <v>20.192699999999999</v>
      </c>
      <c r="K416" s="250">
        <f t="shared" si="34"/>
        <v>4403.6240159999998</v>
      </c>
    </row>
    <row r="417" spans="2:11" s="134" customFormat="1" ht="23" customHeight="1">
      <c r="B417" s="7" t="s">
        <v>1266</v>
      </c>
      <c r="C417" s="7" t="s">
        <v>693</v>
      </c>
      <c r="D417" s="159">
        <v>44838</v>
      </c>
      <c r="E417" s="249" t="s">
        <v>1010</v>
      </c>
      <c r="F417" s="7" t="s">
        <v>59</v>
      </c>
      <c r="G417" s="250">
        <v>22.72</v>
      </c>
      <c r="H417" s="162">
        <f>IF(F417=0,0,IF(F417="MXN",1/HLOOKUP(YEAR(D417)+(MONTH(D417)/100),TC!$5:$437,DAY(D417)+2,FALSE),VLOOKUP(F417,Equivalencia!$1:$23,((MAX(Equivalencia!$3:$3)-YEAR(D417))*14)+MONTH(D417)+2,FALSE)))</f>
        <v>1</v>
      </c>
      <c r="I417" s="251">
        <f t="shared" si="33"/>
        <v>22.72</v>
      </c>
      <c r="J417" s="162">
        <f>IF(D417=0,0,HLOOKUP(YEAR(D417)+(MONTH(D417)/100),TC!$5:$37,DAY(D417)+2,FALSE))</f>
        <v>20.092500000000001</v>
      </c>
      <c r="K417" s="250">
        <f t="shared" si="34"/>
        <v>456.5016</v>
      </c>
    </row>
    <row r="418" spans="2:11" s="134" customFormat="1" ht="23" customHeight="1">
      <c r="B418" s="7" t="s">
        <v>1266</v>
      </c>
      <c r="C418" s="7" t="s">
        <v>693</v>
      </c>
      <c r="D418" s="159">
        <v>44838</v>
      </c>
      <c r="E418" s="249" t="s">
        <v>926</v>
      </c>
      <c r="F418" s="7" t="s">
        <v>59</v>
      </c>
      <c r="G418" s="250">
        <v>37.950000000000003</v>
      </c>
      <c r="H418" s="162">
        <f>IF(F418=0,0,IF(F418="MXN",1/HLOOKUP(YEAR(D418)+(MONTH(D418)/100),TC!$5:$437,DAY(D418)+2,FALSE),VLOOKUP(F418,Equivalencia!$1:$23,((MAX(Equivalencia!$3:$3)-YEAR(D418))*14)+MONTH(D418)+2,FALSE)))</f>
        <v>1</v>
      </c>
      <c r="I418" s="251">
        <f t="shared" si="33"/>
        <v>37.950000000000003</v>
      </c>
      <c r="J418" s="162">
        <f>IF(D418=0,0,HLOOKUP(YEAR(D418)+(MONTH(D418)/100),TC!$5:$37,DAY(D418)+2,FALSE))</f>
        <v>20.092500000000001</v>
      </c>
      <c r="K418" s="250">
        <f t="shared" si="34"/>
        <v>762.51037500000007</v>
      </c>
    </row>
    <row r="419" spans="2:11" s="134" customFormat="1" ht="23" customHeight="1">
      <c r="B419" s="7" t="s">
        <v>1266</v>
      </c>
      <c r="C419" s="7" t="s">
        <v>693</v>
      </c>
      <c r="D419" s="159">
        <v>44838</v>
      </c>
      <c r="E419" s="249" t="s">
        <v>927</v>
      </c>
      <c r="F419" s="7" t="s">
        <v>59</v>
      </c>
      <c r="G419" s="250">
        <v>131.88</v>
      </c>
      <c r="H419" s="162">
        <f>IF(F419=0,0,IF(F419="MXN",1/HLOOKUP(YEAR(D419)+(MONTH(D419)/100),TC!$5:$437,DAY(D419)+2,FALSE),VLOOKUP(F419,Equivalencia!$1:$23,((MAX(Equivalencia!$3:$3)-YEAR(D419))*14)+MONTH(D419)+2,FALSE)))</f>
        <v>1</v>
      </c>
      <c r="I419" s="251">
        <f t="shared" si="33"/>
        <v>131.88</v>
      </c>
      <c r="J419" s="162">
        <f>IF(D419=0,0,HLOOKUP(YEAR(D419)+(MONTH(D419)/100),TC!$5:$37,DAY(D419)+2,FALSE))</f>
        <v>20.092500000000001</v>
      </c>
      <c r="K419" s="250">
        <f t="shared" si="34"/>
        <v>2649.7989000000002</v>
      </c>
    </row>
    <row r="420" spans="2:11" s="134" customFormat="1" ht="23" customHeight="1">
      <c r="B420" s="7" t="s">
        <v>1266</v>
      </c>
      <c r="C420" s="7" t="s">
        <v>693</v>
      </c>
      <c r="D420" s="159">
        <v>44839</v>
      </c>
      <c r="E420" s="249" t="s">
        <v>1011</v>
      </c>
      <c r="F420" s="7" t="s">
        <v>59</v>
      </c>
      <c r="G420" s="250">
        <v>193</v>
      </c>
      <c r="H420" s="162">
        <f>IF(F420=0,0,IF(F420="MXN",1/HLOOKUP(YEAR(D420)+(MONTH(D420)/100),TC!$5:$437,DAY(D420)+2,FALSE),VLOOKUP(F420,Equivalencia!$1:$23,((MAX(Equivalencia!$3:$3)-YEAR(D420))*14)+MONTH(D420)+2,FALSE)))</f>
        <v>1</v>
      </c>
      <c r="I420" s="251">
        <f t="shared" si="33"/>
        <v>193</v>
      </c>
      <c r="J420" s="162">
        <f>IF(D420=0,0,HLOOKUP(YEAR(D420)+(MONTH(D420)/100),TC!$5:$37,DAY(D420)+2,FALSE))</f>
        <v>20.000800000000002</v>
      </c>
      <c r="K420" s="250">
        <f t="shared" si="34"/>
        <v>3860.1544000000004</v>
      </c>
    </row>
    <row r="421" spans="2:11" s="134" customFormat="1" ht="23" customHeight="1">
      <c r="B421" s="7" t="s">
        <v>1266</v>
      </c>
      <c r="C421" s="7" t="s">
        <v>693</v>
      </c>
      <c r="D421" s="159">
        <v>44839</v>
      </c>
      <c r="E421" s="249" t="s">
        <v>1012</v>
      </c>
      <c r="F421" s="7" t="s">
        <v>59</v>
      </c>
      <c r="G421" s="250">
        <v>22.4</v>
      </c>
      <c r="H421" s="162">
        <f>IF(F421=0,0,IF(F421="MXN",1/HLOOKUP(YEAR(D421)+(MONTH(D421)/100),TC!$5:$437,DAY(D421)+2,FALSE),VLOOKUP(F421,Equivalencia!$1:$23,((MAX(Equivalencia!$3:$3)-YEAR(D421))*14)+MONTH(D421)+2,FALSE)))</f>
        <v>1</v>
      </c>
      <c r="I421" s="251">
        <f t="shared" si="33"/>
        <v>22.4</v>
      </c>
      <c r="J421" s="162">
        <f>IF(D421=0,0,HLOOKUP(YEAR(D421)+(MONTH(D421)/100),TC!$5:$37,DAY(D421)+2,FALSE))</f>
        <v>20.000800000000002</v>
      </c>
      <c r="K421" s="250">
        <f t="shared" si="34"/>
        <v>448.01792</v>
      </c>
    </row>
    <row r="422" spans="2:11" s="134" customFormat="1" ht="23" customHeight="1">
      <c r="B422" s="7" t="s">
        <v>1266</v>
      </c>
      <c r="C422" s="7" t="s">
        <v>693</v>
      </c>
      <c r="D422" s="159">
        <v>44840</v>
      </c>
      <c r="E422" s="249" t="s">
        <v>928</v>
      </c>
      <c r="F422" s="7" t="s">
        <v>59</v>
      </c>
      <c r="G422" s="250">
        <v>14.37</v>
      </c>
      <c r="H422" s="162">
        <f>IF(F422=0,0,IF(F422="MXN",1/HLOOKUP(YEAR(D422)+(MONTH(D422)/100),TC!$5:$437,DAY(D422)+2,FALSE),VLOOKUP(F422,Equivalencia!$1:$23,((MAX(Equivalencia!$3:$3)-YEAR(D422))*14)+MONTH(D422)+2,FALSE)))</f>
        <v>1</v>
      </c>
      <c r="I422" s="251">
        <f t="shared" si="33"/>
        <v>14.37</v>
      </c>
      <c r="J422" s="162">
        <f>IF(D422=0,0,HLOOKUP(YEAR(D422)+(MONTH(D422)/100),TC!$5:$37,DAY(D422)+2,FALSE))</f>
        <v>19.969799999999999</v>
      </c>
      <c r="K422" s="250">
        <f t="shared" si="34"/>
        <v>286.966026</v>
      </c>
    </row>
    <row r="423" spans="2:11" s="134" customFormat="1" ht="23" customHeight="1">
      <c r="B423" s="7" t="s">
        <v>1266</v>
      </c>
      <c r="C423" s="7" t="s">
        <v>693</v>
      </c>
      <c r="D423" s="159">
        <v>44841</v>
      </c>
      <c r="E423" s="249" t="s">
        <v>930</v>
      </c>
      <c r="F423" s="7" t="s">
        <v>59</v>
      </c>
      <c r="G423" s="250">
        <v>107.92</v>
      </c>
      <c r="H423" s="162">
        <f>IF(F423=0,0,IF(F423="MXN",1/HLOOKUP(YEAR(D423)+(MONTH(D423)/100),TC!$5:$437,DAY(D423)+2,FALSE),VLOOKUP(F423,Equivalencia!$1:$23,((MAX(Equivalencia!$3:$3)-YEAR(D423))*14)+MONTH(D423)+2,FALSE)))</f>
        <v>1</v>
      </c>
      <c r="I423" s="251">
        <f t="shared" si="33"/>
        <v>107.92</v>
      </c>
      <c r="J423" s="162">
        <f>IF(D423=0,0,HLOOKUP(YEAR(D423)+(MONTH(D423)/100),TC!$5:$37,DAY(D423)+2,FALSE))</f>
        <v>20.1267</v>
      </c>
      <c r="K423" s="250">
        <f t="shared" si="34"/>
        <v>2172.0734640000001</v>
      </c>
    </row>
    <row r="424" spans="2:11" s="134" customFormat="1" ht="23" customHeight="1">
      <c r="B424" s="7" t="s">
        <v>1266</v>
      </c>
      <c r="C424" s="7" t="s">
        <v>693</v>
      </c>
      <c r="D424" s="159">
        <v>44845</v>
      </c>
      <c r="E424" s="249" t="s">
        <v>931</v>
      </c>
      <c r="F424" s="7" t="s">
        <v>59</v>
      </c>
      <c r="G424" s="250">
        <v>804.64</v>
      </c>
      <c r="H424" s="162">
        <f>IF(F424=0,0,IF(F424="MXN",1/HLOOKUP(YEAR(D424)+(MONTH(D424)/100),TC!$5:$437,DAY(D424)+2,FALSE),VLOOKUP(F424,Equivalencia!$1:$23,((MAX(Equivalencia!$3:$3)-YEAR(D424))*14)+MONTH(D424)+2,FALSE)))</f>
        <v>1</v>
      </c>
      <c r="I424" s="251">
        <f t="shared" si="33"/>
        <v>804.64</v>
      </c>
      <c r="J424" s="162">
        <f>IF(D424=0,0,HLOOKUP(YEAR(D424)+(MONTH(D424)/100),TC!$5:$37,DAY(D424)+2,FALSE))</f>
        <v>20.0502</v>
      </c>
      <c r="K424" s="250">
        <f t="shared" si="34"/>
        <v>16133.192928</v>
      </c>
    </row>
    <row r="425" spans="2:11" s="134" customFormat="1" ht="23" customHeight="1">
      <c r="B425" s="7" t="s">
        <v>1266</v>
      </c>
      <c r="C425" s="7" t="s">
        <v>693</v>
      </c>
      <c r="D425" s="159">
        <v>44845</v>
      </c>
      <c r="E425" s="249" t="s">
        <v>925</v>
      </c>
      <c r="F425" s="7" t="s">
        <v>59</v>
      </c>
      <c r="G425" s="250">
        <v>87.12</v>
      </c>
      <c r="H425" s="162">
        <f>IF(F425=0,0,IF(F425="MXN",1/HLOOKUP(YEAR(D425)+(MONTH(D425)/100),TC!$5:$437,DAY(D425)+2,FALSE),VLOOKUP(F425,Equivalencia!$1:$23,((MAX(Equivalencia!$3:$3)-YEAR(D425))*14)+MONTH(D425)+2,FALSE)))</f>
        <v>1</v>
      </c>
      <c r="I425" s="251">
        <f t="shared" si="33"/>
        <v>87.12</v>
      </c>
      <c r="J425" s="162">
        <f>IF(D425=0,0,HLOOKUP(YEAR(D425)+(MONTH(D425)/100),TC!$5:$37,DAY(D425)+2,FALSE))</f>
        <v>20.0502</v>
      </c>
      <c r="K425" s="250">
        <f t="shared" si="34"/>
        <v>1746.7734240000002</v>
      </c>
    </row>
    <row r="426" spans="2:11" s="134" customFormat="1" ht="23" customHeight="1">
      <c r="B426" s="7" t="s">
        <v>1266</v>
      </c>
      <c r="C426" s="7" t="s">
        <v>693</v>
      </c>
      <c r="D426" s="159">
        <v>44847</v>
      </c>
      <c r="E426" s="249" t="s">
        <v>1013</v>
      </c>
      <c r="F426" s="7" t="s">
        <v>59</v>
      </c>
      <c r="G426" s="250">
        <v>229.95</v>
      </c>
      <c r="H426" s="162">
        <f>IF(F426=0,0,IF(F426="MXN",1/HLOOKUP(YEAR(D426)+(MONTH(D426)/100),TC!$5:$437,DAY(D426)+2,FALSE),VLOOKUP(F426,Equivalencia!$1:$23,((MAX(Equivalencia!$3:$3)-YEAR(D426))*14)+MONTH(D426)+2,FALSE)))</f>
        <v>1</v>
      </c>
      <c r="I426" s="251">
        <f t="shared" si="33"/>
        <v>229.95</v>
      </c>
      <c r="J426" s="162">
        <f>IF(D426=0,0,HLOOKUP(YEAR(D426)+(MONTH(D426)/100),TC!$5:$37,DAY(D426)+2,FALSE))</f>
        <v>19.965199999999999</v>
      </c>
      <c r="K426" s="250">
        <f t="shared" si="34"/>
        <v>4590.9977399999998</v>
      </c>
    </row>
    <row r="427" spans="2:11" s="134" customFormat="1" ht="23" customHeight="1">
      <c r="B427" s="7" t="s">
        <v>1266</v>
      </c>
      <c r="C427" s="7" t="s">
        <v>693</v>
      </c>
      <c r="D427" s="159">
        <v>44848</v>
      </c>
      <c r="E427" s="249" t="s">
        <v>738</v>
      </c>
      <c r="F427" s="7" t="s">
        <v>59</v>
      </c>
      <c r="G427" s="250">
        <v>2489.1999999999998</v>
      </c>
      <c r="H427" s="162">
        <f>IF(F427=0,0,IF(F427="MXN",1/HLOOKUP(YEAR(D427)+(MONTH(D427)/100),TC!$5:$437,DAY(D427)+2,FALSE),VLOOKUP(F427,Equivalencia!$1:$23,((MAX(Equivalencia!$3:$3)-YEAR(D427))*14)+MONTH(D427)+2,FALSE)))</f>
        <v>1</v>
      </c>
      <c r="I427" s="251">
        <f t="shared" si="33"/>
        <v>2489.1999999999998</v>
      </c>
      <c r="J427" s="162">
        <f>IF(D427=0,0,HLOOKUP(YEAR(D427)+(MONTH(D427)/100),TC!$5:$37,DAY(D427)+2,FALSE))</f>
        <v>20.0352</v>
      </c>
      <c r="K427" s="250">
        <f t="shared" si="34"/>
        <v>49871.619839999992</v>
      </c>
    </row>
    <row r="428" spans="2:11" s="134" customFormat="1" ht="23" customHeight="1">
      <c r="B428" s="7" t="s">
        <v>1266</v>
      </c>
      <c r="C428" s="7" t="s">
        <v>693</v>
      </c>
      <c r="D428" s="159">
        <v>44848</v>
      </c>
      <c r="E428" s="249" t="s">
        <v>1014</v>
      </c>
      <c r="F428" s="7" t="s">
        <v>59</v>
      </c>
      <c r="G428" s="250">
        <v>49</v>
      </c>
      <c r="H428" s="162">
        <f>IF(F428=0,0,IF(F428="MXN",1/HLOOKUP(YEAR(D428)+(MONTH(D428)/100),TC!$5:$437,DAY(D428)+2,FALSE),VLOOKUP(F428,Equivalencia!$1:$23,((MAX(Equivalencia!$3:$3)-YEAR(D428))*14)+MONTH(D428)+2,FALSE)))</f>
        <v>1</v>
      </c>
      <c r="I428" s="251">
        <f t="shared" si="33"/>
        <v>49</v>
      </c>
      <c r="J428" s="162">
        <f>IF(D428=0,0,HLOOKUP(YEAR(D428)+(MONTH(D428)/100),TC!$5:$37,DAY(D428)+2,FALSE))</f>
        <v>20.0352</v>
      </c>
      <c r="K428" s="250">
        <f t="shared" si="34"/>
        <v>981.72479999999996</v>
      </c>
    </row>
    <row r="429" spans="2:11" s="134" customFormat="1" ht="23" customHeight="1">
      <c r="B429" s="7" t="s">
        <v>1266</v>
      </c>
      <c r="C429" s="7" t="s">
        <v>693</v>
      </c>
      <c r="D429" s="159">
        <v>44848</v>
      </c>
      <c r="E429" s="249" t="s">
        <v>740</v>
      </c>
      <c r="F429" s="7" t="s">
        <v>59</v>
      </c>
      <c r="G429" s="250">
        <v>37.5</v>
      </c>
      <c r="H429" s="162">
        <f>IF(F429=0,0,IF(F429="MXN",1/HLOOKUP(YEAR(D429)+(MONTH(D429)/100),TC!$5:$437,DAY(D429)+2,FALSE),VLOOKUP(F429,Equivalencia!$1:$23,((MAX(Equivalencia!$3:$3)-YEAR(D429))*14)+MONTH(D429)+2,FALSE)))</f>
        <v>1</v>
      </c>
      <c r="I429" s="251">
        <f t="shared" si="33"/>
        <v>37.5</v>
      </c>
      <c r="J429" s="162">
        <f>IF(D429=0,0,HLOOKUP(YEAR(D429)+(MONTH(D429)/100),TC!$5:$37,DAY(D429)+2,FALSE))</f>
        <v>20.0352</v>
      </c>
      <c r="K429" s="250">
        <f t="shared" si="34"/>
        <v>751.31999999999994</v>
      </c>
    </row>
    <row r="430" spans="2:11" s="134" customFormat="1" ht="23" customHeight="1">
      <c r="B430" s="7" t="s">
        <v>1266</v>
      </c>
      <c r="C430" s="7" t="s">
        <v>693</v>
      </c>
      <c r="D430" s="159">
        <v>44851</v>
      </c>
      <c r="E430" s="249" t="s">
        <v>932</v>
      </c>
      <c r="F430" s="7" t="s">
        <v>59</v>
      </c>
      <c r="G430" s="250">
        <v>121.45</v>
      </c>
      <c r="H430" s="162">
        <f>IF(F430=0,0,IF(F430="MXN",1/HLOOKUP(YEAR(D430)+(MONTH(D430)/100),TC!$5:$437,DAY(D430)+2,FALSE),VLOOKUP(F430,Equivalencia!$1:$23,((MAX(Equivalencia!$3:$3)-YEAR(D430))*14)+MONTH(D430)+2,FALSE)))</f>
        <v>1</v>
      </c>
      <c r="I430" s="251">
        <f t="shared" si="33"/>
        <v>121.45</v>
      </c>
      <c r="J430" s="162">
        <f>IF(D430=0,0,HLOOKUP(YEAR(D430)+(MONTH(D430)/100),TC!$5:$37,DAY(D430)+2,FALSE))</f>
        <v>20.0398</v>
      </c>
      <c r="K430" s="250">
        <f t="shared" si="34"/>
        <v>2433.8337099999999</v>
      </c>
    </row>
    <row r="431" spans="2:11" s="134" customFormat="1" ht="23" customHeight="1">
      <c r="B431" s="7" t="s">
        <v>1266</v>
      </c>
      <c r="C431" s="7" t="s">
        <v>693</v>
      </c>
      <c r="D431" s="159">
        <v>44851</v>
      </c>
      <c r="E431" s="249" t="s">
        <v>1015</v>
      </c>
      <c r="F431" s="7" t="s">
        <v>59</v>
      </c>
      <c r="G431" s="250">
        <v>53.88</v>
      </c>
      <c r="H431" s="162">
        <f>IF(F431=0,0,IF(F431="MXN",1/HLOOKUP(YEAR(D431)+(MONTH(D431)/100),TC!$5:$437,DAY(D431)+2,FALSE),VLOOKUP(F431,Equivalencia!$1:$23,((MAX(Equivalencia!$3:$3)-YEAR(D431))*14)+MONTH(D431)+2,FALSE)))</f>
        <v>1</v>
      </c>
      <c r="I431" s="251">
        <f t="shared" si="33"/>
        <v>53.88</v>
      </c>
      <c r="J431" s="162">
        <f>IF(D431=0,0,HLOOKUP(YEAR(D431)+(MONTH(D431)/100),TC!$5:$37,DAY(D431)+2,FALSE))</f>
        <v>20.0398</v>
      </c>
      <c r="K431" s="250">
        <f t="shared" si="34"/>
        <v>1079.744424</v>
      </c>
    </row>
    <row r="432" spans="2:11" s="134" customFormat="1" ht="23" customHeight="1">
      <c r="B432" s="7" t="s">
        <v>1266</v>
      </c>
      <c r="C432" s="7" t="s">
        <v>693</v>
      </c>
      <c r="D432" s="159">
        <v>44852</v>
      </c>
      <c r="E432" s="249" t="s">
        <v>741</v>
      </c>
      <c r="F432" s="7" t="s">
        <v>59</v>
      </c>
      <c r="G432" s="250">
        <v>147.94999999999999</v>
      </c>
      <c r="H432" s="162">
        <f>IF(F432=0,0,IF(F432="MXN",1/HLOOKUP(YEAR(D432)+(MONTH(D432)/100),TC!$5:$437,DAY(D432)+2,FALSE),VLOOKUP(F432,Equivalencia!$1:$23,((MAX(Equivalencia!$3:$3)-YEAR(D432))*14)+MONTH(D432)+2,FALSE)))</f>
        <v>1</v>
      </c>
      <c r="I432" s="251">
        <f t="shared" si="33"/>
        <v>147.94999999999999</v>
      </c>
      <c r="J432" s="162">
        <f>IF(D432=0,0,HLOOKUP(YEAR(D432)+(MONTH(D432)/100),TC!$5:$37,DAY(D432)+2,FALSE))</f>
        <v>20.0838</v>
      </c>
      <c r="K432" s="250">
        <f t="shared" si="34"/>
        <v>2971.3982099999998</v>
      </c>
    </row>
    <row r="433" spans="2:11" s="134" customFormat="1" ht="23" customHeight="1">
      <c r="B433" s="7" t="s">
        <v>1266</v>
      </c>
      <c r="C433" s="7" t="s">
        <v>693</v>
      </c>
      <c r="D433" s="159">
        <v>44853</v>
      </c>
      <c r="E433" s="249" t="s">
        <v>934</v>
      </c>
      <c r="F433" s="7" t="s">
        <v>59</v>
      </c>
      <c r="G433" s="250">
        <v>141.24</v>
      </c>
      <c r="H433" s="162">
        <f>IF(F433=0,0,IF(F433="MXN",1/HLOOKUP(YEAR(D433)+(MONTH(D433)/100),TC!$5:$437,DAY(D433)+2,FALSE),VLOOKUP(F433,Equivalencia!$1:$23,((MAX(Equivalencia!$3:$3)-YEAR(D433))*14)+MONTH(D433)+2,FALSE)))</f>
        <v>1</v>
      </c>
      <c r="I433" s="251">
        <f t="shared" si="33"/>
        <v>141.24</v>
      </c>
      <c r="J433" s="162">
        <f>IF(D433=0,0,HLOOKUP(YEAR(D433)+(MONTH(D433)/100),TC!$5:$37,DAY(D433)+2,FALSE))</f>
        <v>19.991299999999999</v>
      </c>
      <c r="K433" s="250">
        <f t="shared" si="34"/>
        <v>2823.5712119999998</v>
      </c>
    </row>
    <row r="434" spans="2:11" s="134" customFormat="1" ht="23" customHeight="1">
      <c r="B434" s="7" t="s">
        <v>1266</v>
      </c>
      <c r="C434" s="7" t="s">
        <v>693</v>
      </c>
      <c r="D434" s="159">
        <v>44859</v>
      </c>
      <c r="E434" s="249" t="s">
        <v>935</v>
      </c>
      <c r="F434" s="7" t="s">
        <v>59</v>
      </c>
      <c r="G434" s="250">
        <v>103.68</v>
      </c>
      <c r="H434" s="162">
        <f>IF(F434=0,0,IF(F434="MXN",1/HLOOKUP(YEAR(D434)+(MONTH(D434)/100),TC!$5:$437,DAY(D434)+2,FALSE),VLOOKUP(F434,Equivalencia!$1:$23,((MAX(Equivalencia!$3:$3)-YEAR(D434))*14)+MONTH(D434)+2,FALSE)))</f>
        <v>1</v>
      </c>
      <c r="I434" s="251">
        <f t="shared" si="33"/>
        <v>103.68</v>
      </c>
      <c r="J434" s="162">
        <f>IF(D434=0,0,HLOOKUP(YEAR(D434)+(MONTH(D434)/100),TC!$5:$37,DAY(D434)+2,FALSE))</f>
        <v>19.964700000000001</v>
      </c>
      <c r="K434" s="250">
        <f t="shared" si="34"/>
        <v>2069.9400960000003</v>
      </c>
    </row>
    <row r="435" spans="2:11" s="134" customFormat="1" ht="23" customHeight="1">
      <c r="B435" s="7" t="s">
        <v>1266</v>
      </c>
      <c r="C435" s="7" t="s">
        <v>693</v>
      </c>
      <c r="D435" s="159">
        <v>44860</v>
      </c>
      <c r="E435" s="249" t="s">
        <v>742</v>
      </c>
      <c r="F435" s="7" t="s">
        <v>59</v>
      </c>
      <c r="G435" s="250">
        <v>746.55</v>
      </c>
      <c r="H435" s="162">
        <f>IF(F435=0,0,IF(F435="MXN",1/HLOOKUP(YEAR(D435)+(MONTH(D435)/100),TC!$5:$437,DAY(D435)+2,FALSE),VLOOKUP(F435,Equivalencia!$1:$23,((MAX(Equivalencia!$3:$3)-YEAR(D435))*14)+MONTH(D435)+2,FALSE)))</f>
        <v>1</v>
      </c>
      <c r="I435" s="251">
        <f t="shared" si="33"/>
        <v>746.55</v>
      </c>
      <c r="J435" s="162">
        <f>IF(D435=0,0,HLOOKUP(YEAR(D435)+(MONTH(D435)/100),TC!$5:$37,DAY(D435)+2,FALSE))</f>
        <v>19.953499999999998</v>
      </c>
      <c r="K435" s="250">
        <f t="shared" si="34"/>
        <v>14896.285424999998</v>
      </c>
    </row>
    <row r="436" spans="2:11" s="134" customFormat="1" ht="23" customHeight="1">
      <c r="B436" s="7" t="s">
        <v>1266</v>
      </c>
      <c r="C436" s="7" t="s">
        <v>693</v>
      </c>
      <c r="D436" s="159">
        <v>44860</v>
      </c>
      <c r="E436" s="249" t="s">
        <v>736</v>
      </c>
      <c r="F436" s="7" t="s">
        <v>59</v>
      </c>
      <c r="G436" s="250">
        <v>555.66</v>
      </c>
      <c r="H436" s="162">
        <f>IF(F436=0,0,IF(F436="MXN",1/HLOOKUP(YEAR(D436)+(MONTH(D436)/100),TC!$5:$437,DAY(D436)+2,FALSE),VLOOKUP(F436,Equivalencia!$1:$23,((MAX(Equivalencia!$3:$3)-YEAR(D436))*14)+MONTH(D436)+2,FALSE)))</f>
        <v>1</v>
      </c>
      <c r="I436" s="251">
        <f t="shared" si="33"/>
        <v>555.66</v>
      </c>
      <c r="J436" s="162">
        <f>IF(D436=0,0,HLOOKUP(YEAR(D436)+(MONTH(D436)/100),TC!$5:$37,DAY(D436)+2,FALSE))</f>
        <v>19.953499999999998</v>
      </c>
      <c r="K436" s="250">
        <f t="shared" si="34"/>
        <v>11087.361809999999</v>
      </c>
    </row>
    <row r="437" spans="2:11" s="134" customFormat="1" ht="23" customHeight="1">
      <c r="B437" s="7" t="s">
        <v>1266</v>
      </c>
      <c r="C437" s="7" t="s">
        <v>693</v>
      </c>
      <c r="D437" s="159">
        <v>44860</v>
      </c>
      <c r="E437" s="249" t="s">
        <v>743</v>
      </c>
      <c r="F437" s="7" t="s">
        <v>59</v>
      </c>
      <c r="G437" s="250">
        <v>1103.1400000000001</v>
      </c>
      <c r="H437" s="162">
        <f>IF(F437=0,0,IF(F437="MXN",1/HLOOKUP(YEAR(D437)+(MONTH(D437)/100),TC!$5:$437,DAY(D437)+2,FALSE),VLOOKUP(F437,Equivalencia!$1:$23,((MAX(Equivalencia!$3:$3)-YEAR(D437))*14)+MONTH(D437)+2,FALSE)))</f>
        <v>1</v>
      </c>
      <c r="I437" s="251">
        <f t="shared" si="33"/>
        <v>1103.1400000000001</v>
      </c>
      <c r="J437" s="162">
        <f>IF(D437=0,0,HLOOKUP(YEAR(D437)+(MONTH(D437)/100),TC!$5:$37,DAY(D437)+2,FALSE))</f>
        <v>19.953499999999998</v>
      </c>
      <c r="K437" s="250">
        <f t="shared" si="34"/>
        <v>22011.503990000001</v>
      </c>
    </row>
    <row r="438" spans="2:11" s="134" customFormat="1" ht="23" customHeight="1">
      <c r="B438" s="7" t="s">
        <v>1266</v>
      </c>
      <c r="C438" s="7" t="s">
        <v>693</v>
      </c>
      <c r="D438" s="159">
        <v>44862</v>
      </c>
      <c r="E438" s="249" t="s">
        <v>937</v>
      </c>
      <c r="F438" s="7" t="s">
        <v>59</v>
      </c>
      <c r="G438" s="250">
        <v>56.84</v>
      </c>
      <c r="H438" s="162">
        <f>IF(F438=0,0,IF(F438="MXN",1/HLOOKUP(YEAR(D438)+(MONTH(D438)/100),TC!$5:$437,DAY(D438)+2,FALSE),VLOOKUP(F438,Equivalencia!$1:$23,((MAX(Equivalencia!$3:$3)-YEAR(D438))*14)+MONTH(D438)+2,FALSE)))</f>
        <v>1</v>
      </c>
      <c r="I438" s="251">
        <f t="shared" si="33"/>
        <v>56.84</v>
      </c>
      <c r="J438" s="162">
        <f>IF(D438=0,0,HLOOKUP(YEAR(D438)+(MONTH(D438)/100),TC!$5:$37,DAY(D438)+2,FALSE))</f>
        <v>19.8553</v>
      </c>
      <c r="K438" s="250">
        <f t="shared" si="34"/>
        <v>1128.5752520000001</v>
      </c>
    </row>
    <row r="439" spans="2:11" s="134" customFormat="1" ht="23" customHeight="1">
      <c r="B439" s="7" t="s">
        <v>1266</v>
      </c>
      <c r="C439" s="7" t="s">
        <v>693</v>
      </c>
      <c r="D439" s="159">
        <v>44862</v>
      </c>
      <c r="E439" s="249" t="s">
        <v>744</v>
      </c>
      <c r="F439" s="7" t="s">
        <v>59</v>
      </c>
      <c r="G439" s="250">
        <v>79.5</v>
      </c>
      <c r="H439" s="162">
        <f>IF(F439=0,0,IF(F439="MXN",1/HLOOKUP(YEAR(D439)+(MONTH(D439)/100),TC!$5:$437,DAY(D439)+2,FALSE),VLOOKUP(F439,Equivalencia!$1:$23,((MAX(Equivalencia!$3:$3)-YEAR(D439))*14)+MONTH(D439)+2,FALSE)))</f>
        <v>1</v>
      </c>
      <c r="I439" s="251">
        <f t="shared" si="33"/>
        <v>79.5</v>
      </c>
      <c r="J439" s="162">
        <f>IF(D439=0,0,HLOOKUP(YEAR(D439)+(MONTH(D439)/100),TC!$5:$37,DAY(D439)+2,FALSE))</f>
        <v>19.8553</v>
      </c>
      <c r="K439" s="250">
        <f t="shared" si="34"/>
        <v>1578.4963499999999</v>
      </c>
    </row>
    <row r="440" spans="2:11" s="134" customFormat="1" ht="23" customHeight="1">
      <c r="B440" s="7" t="s">
        <v>1266</v>
      </c>
      <c r="C440" s="7" t="s">
        <v>693</v>
      </c>
      <c r="D440" s="159">
        <v>44862</v>
      </c>
      <c r="E440" s="249" t="s">
        <v>788</v>
      </c>
      <c r="F440" s="7" t="s">
        <v>59</v>
      </c>
      <c r="G440" s="250">
        <v>1010</v>
      </c>
      <c r="H440" s="162">
        <f>IF(F440=0,0,IF(F440="MXN",1/HLOOKUP(YEAR(D440)+(MONTH(D440)/100),TC!$5:$437,DAY(D440)+2,FALSE),VLOOKUP(F440,Equivalencia!$1:$23,((MAX(Equivalencia!$3:$3)-YEAR(D440))*14)+MONTH(D440)+2,FALSE)))</f>
        <v>1</v>
      </c>
      <c r="I440" s="251">
        <f t="shared" si="33"/>
        <v>1010</v>
      </c>
      <c r="J440" s="162">
        <f>IF(D440=0,0,HLOOKUP(YEAR(D440)+(MONTH(D440)/100),TC!$5:$37,DAY(D440)+2,FALSE))</f>
        <v>19.8553</v>
      </c>
      <c r="K440" s="250">
        <f t="shared" si="34"/>
        <v>20053.852999999999</v>
      </c>
    </row>
    <row r="441" spans="2:11" s="134" customFormat="1" ht="23" customHeight="1">
      <c r="B441" s="7" t="s">
        <v>1266</v>
      </c>
      <c r="C441" s="7" t="s">
        <v>693</v>
      </c>
      <c r="D441" s="159">
        <v>44862</v>
      </c>
      <c r="E441" s="249" t="s">
        <v>745</v>
      </c>
      <c r="F441" s="7" t="s">
        <v>59</v>
      </c>
      <c r="G441" s="250">
        <v>771.75</v>
      </c>
      <c r="H441" s="162">
        <f>IF(F441=0,0,IF(F441="MXN",1/HLOOKUP(YEAR(D441)+(MONTH(D441)/100),TC!$5:$437,DAY(D441)+2,FALSE),VLOOKUP(F441,Equivalencia!$1:$23,((MAX(Equivalencia!$3:$3)-YEAR(D441))*14)+MONTH(D441)+2,FALSE)))</f>
        <v>1</v>
      </c>
      <c r="I441" s="251">
        <f t="shared" si="33"/>
        <v>771.75</v>
      </c>
      <c r="J441" s="162">
        <f>IF(D441=0,0,HLOOKUP(YEAR(D441)+(MONTH(D441)/100),TC!$5:$37,DAY(D441)+2,FALSE))</f>
        <v>19.8553</v>
      </c>
      <c r="K441" s="250">
        <f t="shared" si="34"/>
        <v>15323.327775</v>
      </c>
    </row>
    <row r="442" spans="2:11" s="134" customFormat="1" ht="23" customHeight="1">
      <c r="B442" s="7" t="s">
        <v>1266</v>
      </c>
      <c r="C442" s="7" t="s">
        <v>693</v>
      </c>
      <c r="D442" s="159">
        <v>44862</v>
      </c>
      <c r="E442" s="249" t="s">
        <v>1016</v>
      </c>
      <c r="F442" s="7" t="s">
        <v>59</v>
      </c>
      <c r="G442" s="250">
        <v>198</v>
      </c>
      <c r="H442" s="162">
        <f>IF(F442=0,0,IF(F442="MXN",1/HLOOKUP(YEAR(D442)+(MONTH(D442)/100),TC!$5:$437,DAY(D442)+2,FALSE),VLOOKUP(F442,Equivalencia!$1:$23,((MAX(Equivalencia!$3:$3)-YEAR(D442))*14)+MONTH(D442)+2,FALSE)))</f>
        <v>1</v>
      </c>
      <c r="I442" s="251">
        <f t="shared" si="33"/>
        <v>198</v>
      </c>
      <c r="J442" s="162">
        <f>IF(D442=0,0,HLOOKUP(YEAR(D442)+(MONTH(D442)/100),TC!$5:$37,DAY(D442)+2,FALSE))</f>
        <v>19.8553</v>
      </c>
      <c r="K442" s="250">
        <f t="shared" si="34"/>
        <v>3931.3494000000001</v>
      </c>
    </row>
    <row r="443" spans="2:11" s="134" customFormat="1" ht="23" customHeight="1">
      <c r="B443" s="7" t="s">
        <v>1263</v>
      </c>
      <c r="C443" s="7" t="s">
        <v>693</v>
      </c>
      <c r="D443" s="159">
        <v>44564</v>
      </c>
      <c r="E443" s="249" t="s">
        <v>735</v>
      </c>
      <c r="F443" s="7" t="s">
        <v>59</v>
      </c>
      <c r="G443" s="250">
        <v>1210</v>
      </c>
      <c r="H443" s="162">
        <f>IF(F443=0,0,IF(F443="MXN",1/HLOOKUP(YEAR(D443)+(MONTH(D443)/100),TC!$5:$437,DAY(D443)+2,FALSE),VLOOKUP(F443,Equivalencia!$1:$23,((MAX(Equivalencia!$3:$3)-YEAR(D443))*14)+MONTH(D443)+2,FALSE)))</f>
        <v>1</v>
      </c>
      <c r="I443" s="251">
        <f t="shared" si="27"/>
        <v>1210</v>
      </c>
      <c r="J443" s="162">
        <f>IF(D443=0,0,HLOOKUP(YEAR(D443)+(MONTH(D443)/100),TC!$5:$37,DAY(D443)+2,FALSE))</f>
        <v>20.515699999999999</v>
      </c>
      <c r="K443" s="250">
        <f t="shared" si="28"/>
        <v>24823.996999999999</v>
      </c>
    </row>
    <row r="444" spans="2:11" s="134" customFormat="1" ht="23" customHeight="1">
      <c r="B444" s="7" t="s">
        <v>1263</v>
      </c>
      <c r="C444" s="7" t="s">
        <v>693</v>
      </c>
      <c r="D444" s="159">
        <v>44568</v>
      </c>
      <c r="E444" s="249" t="s">
        <v>790</v>
      </c>
      <c r="F444" s="7" t="s">
        <v>59</v>
      </c>
      <c r="G444" s="250">
        <v>9101.1</v>
      </c>
      <c r="H444" s="162">
        <f>IF(F444=0,0,IF(F444="MXN",1/HLOOKUP(YEAR(D444)+(MONTH(D444)/100),TC!$5:$437,DAY(D444)+2,FALSE),VLOOKUP(F444,Equivalencia!$1:$23,((MAX(Equivalencia!$3:$3)-YEAR(D444))*14)+MONTH(D444)+2,FALSE)))</f>
        <v>1</v>
      </c>
      <c r="I444" s="251">
        <f t="shared" ref="I444:I471" si="35">G444*H444</f>
        <v>9101.1</v>
      </c>
      <c r="J444" s="162">
        <f>IF(D444=0,0,HLOOKUP(YEAR(D444)+(MONTH(D444)/100),TC!$5:$37,DAY(D444)+2,FALSE))</f>
        <v>20.3977</v>
      </c>
      <c r="K444" s="250">
        <f t="shared" ref="K444:K471" si="36">I444*J444</f>
        <v>185641.50747000001</v>
      </c>
    </row>
    <row r="445" spans="2:11" s="134" customFormat="1" ht="23" customHeight="1">
      <c r="B445" s="7" t="s">
        <v>1263</v>
      </c>
      <c r="C445" s="7" t="s">
        <v>693</v>
      </c>
      <c r="D445" s="159">
        <v>44568</v>
      </c>
      <c r="E445" s="249" t="s">
        <v>791</v>
      </c>
      <c r="F445" s="7" t="s">
        <v>59</v>
      </c>
      <c r="G445" s="250">
        <v>4568.75</v>
      </c>
      <c r="H445" s="162">
        <f>IF(F445=0,0,IF(F445="MXN",1/HLOOKUP(YEAR(D445)+(MONTH(D445)/100),TC!$5:$437,DAY(D445)+2,FALSE),VLOOKUP(F445,Equivalencia!$1:$23,((MAX(Equivalencia!$3:$3)-YEAR(D445))*14)+MONTH(D445)+2,FALSE)))</f>
        <v>1</v>
      </c>
      <c r="I445" s="251">
        <f t="shared" si="35"/>
        <v>4568.75</v>
      </c>
      <c r="J445" s="162">
        <f>IF(D445=0,0,HLOOKUP(YEAR(D445)+(MONTH(D445)/100),TC!$5:$37,DAY(D445)+2,FALSE))</f>
        <v>20.3977</v>
      </c>
      <c r="K445" s="250">
        <f t="shared" si="36"/>
        <v>93191.991875000007</v>
      </c>
    </row>
    <row r="446" spans="2:11" s="134" customFormat="1" ht="23" customHeight="1">
      <c r="B446" s="7" t="s">
        <v>1263</v>
      </c>
      <c r="C446" s="7" t="s">
        <v>693</v>
      </c>
      <c r="D446" s="159">
        <v>44575</v>
      </c>
      <c r="E446" s="249" t="s">
        <v>792</v>
      </c>
      <c r="F446" s="7" t="s">
        <v>59</v>
      </c>
      <c r="G446" s="250">
        <v>50310</v>
      </c>
      <c r="H446" s="162">
        <f>IF(F446=0,0,IF(F446="MXN",1/HLOOKUP(YEAR(D446)+(MONTH(D446)/100),TC!$5:$437,DAY(D446)+2,FALSE),VLOOKUP(F446,Equivalencia!$1:$23,((MAX(Equivalencia!$3:$3)-YEAR(D446))*14)+MONTH(D446)+2,FALSE)))</f>
        <v>1</v>
      </c>
      <c r="I446" s="251">
        <f t="shared" si="35"/>
        <v>50310</v>
      </c>
      <c r="J446" s="162">
        <f>IF(D446=0,0,HLOOKUP(YEAR(D446)+(MONTH(D446)/100),TC!$5:$37,DAY(D446)+2,FALSE))</f>
        <v>20.366</v>
      </c>
      <c r="K446" s="250">
        <f t="shared" si="36"/>
        <v>1024613.46</v>
      </c>
    </row>
    <row r="447" spans="2:11" s="134" customFormat="1" ht="23" customHeight="1">
      <c r="B447" s="7" t="s">
        <v>1263</v>
      </c>
      <c r="C447" s="7" t="s">
        <v>693</v>
      </c>
      <c r="D447" s="159">
        <v>44575</v>
      </c>
      <c r="E447" s="249" t="s">
        <v>793</v>
      </c>
      <c r="F447" s="7" t="s">
        <v>59</v>
      </c>
      <c r="G447" s="250">
        <v>49600</v>
      </c>
      <c r="H447" s="162">
        <f>IF(F447=0,0,IF(F447="MXN",1/HLOOKUP(YEAR(D447)+(MONTH(D447)/100),TC!$5:$437,DAY(D447)+2,FALSE),VLOOKUP(F447,Equivalencia!$1:$23,((MAX(Equivalencia!$3:$3)-YEAR(D447))*14)+MONTH(D447)+2,FALSE)))</f>
        <v>1</v>
      </c>
      <c r="I447" s="251">
        <f t="shared" si="35"/>
        <v>49600</v>
      </c>
      <c r="J447" s="162">
        <f>IF(D447=0,0,HLOOKUP(YEAR(D447)+(MONTH(D447)/100),TC!$5:$37,DAY(D447)+2,FALSE))</f>
        <v>20.366</v>
      </c>
      <c r="K447" s="250">
        <f t="shared" si="36"/>
        <v>1010153.6</v>
      </c>
    </row>
    <row r="448" spans="2:11" s="134" customFormat="1" ht="23" customHeight="1">
      <c r="B448" s="7" t="s">
        <v>1263</v>
      </c>
      <c r="C448" s="7" t="s">
        <v>693</v>
      </c>
      <c r="D448" s="159">
        <v>44587</v>
      </c>
      <c r="E448" s="249" t="s">
        <v>794</v>
      </c>
      <c r="F448" s="7" t="s">
        <v>59</v>
      </c>
      <c r="G448" s="250">
        <v>4144</v>
      </c>
      <c r="H448" s="162">
        <f>IF(F448=0,0,IF(F448="MXN",1/HLOOKUP(YEAR(D448)+(MONTH(D448)/100),TC!$5:$437,DAY(D448)+2,FALSE),VLOOKUP(F448,Equivalencia!$1:$23,((MAX(Equivalencia!$3:$3)-YEAR(D448))*14)+MONTH(D448)+2,FALSE)))</f>
        <v>1</v>
      </c>
      <c r="I448" s="251">
        <f t="shared" si="35"/>
        <v>4144</v>
      </c>
      <c r="J448" s="162">
        <f>IF(D448=0,0,HLOOKUP(YEAR(D448)+(MONTH(D448)/100),TC!$5:$37,DAY(D448)+2,FALSE))</f>
        <v>20.630800000000001</v>
      </c>
      <c r="K448" s="250">
        <f t="shared" si="36"/>
        <v>85494.035199999998</v>
      </c>
    </row>
    <row r="449" spans="2:11" s="134" customFormat="1" ht="23" customHeight="1">
      <c r="B449" s="7" t="s">
        <v>1263</v>
      </c>
      <c r="C449" s="7" t="s">
        <v>693</v>
      </c>
      <c r="D449" s="159">
        <v>44592</v>
      </c>
      <c r="E449" s="249" t="s">
        <v>795</v>
      </c>
      <c r="F449" s="7" t="s">
        <v>59</v>
      </c>
      <c r="G449" s="250">
        <v>7609.4</v>
      </c>
      <c r="H449" s="162">
        <f>IF(F449=0,0,IF(F449="MXN",1/HLOOKUP(YEAR(D449)+(MONTH(D449)/100),TC!$5:$437,DAY(D449)+2,FALSE),VLOOKUP(F449,Equivalencia!$1:$23,((MAX(Equivalencia!$3:$3)-YEAR(D449))*14)+MONTH(D449)+2,FALSE)))</f>
        <v>1</v>
      </c>
      <c r="I449" s="251">
        <f t="shared" si="35"/>
        <v>7609.4</v>
      </c>
      <c r="J449" s="162">
        <f>IF(D449=0,0,HLOOKUP(YEAR(D449)+(MONTH(D449)/100),TC!$5:$37,DAY(D449)+2,FALSE))</f>
        <v>20.738299999999999</v>
      </c>
      <c r="K449" s="250">
        <f t="shared" si="36"/>
        <v>157806.02002</v>
      </c>
    </row>
    <row r="450" spans="2:11" s="134" customFormat="1" ht="23" customHeight="1">
      <c r="B450" s="7" t="s">
        <v>1263</v>
      </c>
      <c r="C450" s="7" t="s">
        <v>693</v>
      </c>
      <c r="D450" s="159">
        <v>44592</v>
      </c>
      <c r="E450" s="249" t="s">
        <v>796</v>
      </c>
      <c r="F450" s="7" t="s">
        <v>59</v>
      </c>
      <c r="G450" s="250">
        <v>2603.09</v>
      </c>
      <c r="H450" s="162">
        <f>IF(F450=0,0,IF(F450="MXN",1/HLOOKUP(YEAR(D450)+(MONTH(D450)/100),TC!$5:$437,DAY(D450)+2,FALSE),VLOOKUP(F450,Equivalencia!$1:$23,((MAX(Equivalencia!$3:$3)-YEAR(D450))*14)+MONTH(D450)+2,FALSE)))</f>
        <v>1</v>
      </c>
      <c r="I450" s="251">
        <f t="shared" si="35"/>
        <v>2603.09</v>
      </c>
      <c r="J450" s="162">
        <f>IF(D450=0,0,HLOOKUP(YEAR(D450)+(MONTH(D450)/100),TC!$5:$37,DAY(D450)+2,FALSE))</f>
        <v>20.738299999999999</v>
      </c>
      <c r="K450" s="250">
        <f t="shared" si="36"/>
        <v>53983.661347000001</v>
      </c>
    </row>
    <row r="451" spans="2:11" s="134" customFormat="1" ht="23" customHeight="1">
      <c r="B451" s="7" t="s">
        <v>1263</v>
      </c>
      <c r="C451" s="7" t="s">
        <v>693</v>
      </c>
      <c r="D451" s="159">
        <v>44602</v>
      </c>
      <c r="E451" s="249" t="s">
        <v>716</v>
      </c>
      <c r="F451" s="7" t="s">
        <v>59</v>
      </c>
      <c r="G451" s="250">
        <v>2640</v>
      </c>
      <c r="H451" s="162">
        <f>IF(F451=0,0,IF(F451="MXN",1/HLOOKUP(YEAR(D451)+(MONTH(D451)/100),TC!$5:$437,DAY(D451)+2,FALSE),VLOOKUP(F451,Equivalencia!$1:$23,((MAX(Equivalencia!$3:$3)-YEAR(D451))*14)+MONTH(D451)+2,FALSE)))</f>
        <v>1</v>
      </c>
      <c r="I451" s="251">
        <f t="shared" si="35"/>
        <v>2640</v>
      </c>
      <c r="J451" s="162">
        <f>IF(D451=0,0,HLOOKUP(YEAR(D451)+(MONTH(D451)/100),TC!$5:$37,DAY(D451)+2,FALSE))</f>
        <v>20.641300000000001</v>
      </c>
      <c r="K451" s="250">
        <f t="shared" si="36"/>
        <v>54493.032000000007</v>
      </c>
    </row>
    <row r="452" spans="2:11" s="134" customFormat="1" ht="23" customHeight="1">
      <c r="B452" s="7" t="s">
        <v>1263</v>
      </c>
      <c r="C452" s="7" t="s">
        <v>693</v>
      </c>
      <c r="D452" s="159">
        <v>44621</v>
      </c>
      <c r="E452" s="249" t="s">
        <v>758</v>
      </c>
      <c r="F452" s="7" t="s">
        <v>59</v>
      </c>
      <c r="G452" s="250">
        <v>6862</v>
      </c>
      <c r="H452" s="162">
        <f>IF(F452=0,0,IF(F452="MXN",1/HLOOKUP(YEAR(D452)+(MONTH(D452)/100),TC!$5:$437,DAY(D452)+2,FALSE),VLOOKUP(F452,Equivalencia!$1:$23,((MAX(Equivalencia!$3:$3)-YEAR(D452))*14)+MONTH(D452)+2,FALSE)))</f>
        <v>1</v>
      </c>
      <c r="I452" s="251">
        <f t="shared" si="35"/>
        <v>6862</v>
      </c>
      <c r="J452" s="162">
        <f>IF(D452=0,0,HLOOKUP(YEAR(D452)+(MONTH(D452)/100),TC!$5:$37,DAY(D452)+2,FALSE))</f>
        <v>20.4465</v>
      </c>
      <c r="K452" s="250">
        <f t="shared" si="36"/>
        <v>140303.883</v>
      </c>
    </row>
    <row r="453" spans="2:11" s="134" customFormat="1" ht="23" customHeight="1">
      <c r="B453" s="7" t="s">
        <v>1263</v>
      </c>
      <c r="C453" s="7" t="s">
        <v>693</v>
      </c>
      <c r="D453" s="159">
        <v>44624</v>
      </c>
      <c r="E453" s="249" t="s">
        <v>797</v>
      </c>
      <c r="F453" s="7" t="s">
        <v>59</v>
      </c>
      <c r="G453" s="250">
        <v>10260</v>
      </c>
      <c r="H453" s="162">
        <f>IF(F453=0,0,IF(F453="MXN",1/HLOOKUP(YEAR(D453)+(MONTH(D453)/100),TC!$5:$437,DAY(D453)+2,FALSE),VLOOKUP(F453,Equivalencia!$1:$23,((MAX(Equivalencia!$3:$3)-YEAR(D453))*14)+MONTH(D453)+2,FALSE)))</f>
        <v>1</v>
      </c>
      <c r="I453" s="251">
        <f t="shared" si="35"/>
        <v>10260</v>
      </c>
      <c r="J453" s="162">
        <f>IF(D453=0,0,HLOOKUP(YEAR(D453)+(MONTH(D453)/100),TC!$5:$37,DAY(D453)+2,FALSE))</f>
        <v>20.7193</v>
      </c>
      <c r="K453" s="250">
        <f t="shared" si="36"/>
        <v>212580.01800000001</v>
      </c>
    </row>
    <row r="454" spans="2:11" s="134" customFormat="1" ht="23" customHeight="1">
      <c r="B454" s="7" t="s">
        <v>1263</v>
      </c>
      <c r="C454" s="7" t="s">
        <v>693</v>
      </c>
      <c r="D454" s="159">
        <v>44642</v>
      </c>
      <c r="E454" s="249" t="s">
        <v>798</v>
      </c>
      <c r="F454" s="7" t="s">
        <v>59</v>
      </c>
      <c r="G454" s="250">
        <v>8625.2099999999991</v>
      </c>
      <c r="H454" s="162">
        <f>IF(F454=0,0,IF(F454="MXN",1/HLOOKUP(YEAR(D454)+(MONTH(D454)/100),TC!$5:$437,DAY(D454)+2,FALSE),VLOOKUP(F454,Equivalencia!$1:$23,((MAX(Equivalencia!$3:$3)-YEAR(D454))*14)+MONTH(D454)+2,FALSE)))</f>
        <v>1</v>
      </c>
      <c r="I454" s="251">
        <f t="shared" si="35"/>
        <v>8625.2099999999991</v>
      </c>
      <c r="J454" s="162">
        <f>IF(D454=0,0,HLOOKUP(YEAR(D454)+(MONTH(D454)/100),TC!$5:$37,DAY(D454)+2,FALSE))</f>
        <v>20.558499999999999</v>
      </c>
      <c r="K454" s="250">
        <f t="shared" si="36"/>
        <v>177321.37978499997</v>
      </c>
    </row>
    <row r="455" spans="2:11" s="134" customFormat="1" ht="23" customHeight="1">
      <c r="B455" s="7" t="s">
        <v>1263</v>
      </c>
      <c r="C455" s="7" t="s">
        <v>693</v>
      </c>
      <c r="D455" s="159">
        <v>44644</v>
      </c>
      <c r="E455" s="249" t="s">
        <v>799</v>
      </c>
      <c r="F455" s="7" t="s">
        <v>59</v>
      </c>
      <c r="G455" s="250">
        <v>4642.9799999999996</v>
      </c>
      <c r="H455" s="162">
        <f>IF(F455=0,0,IF(F455="MXN",1/HLOOKUP(YEAR(D455)+(MONTH(D455)/100),TC!$5:$437,DAY(D455)+2,FALSE),VLOOKUP(F455,Equivalencia!$1:$23,((MAX(Equivalencia!$3:$3)-YEAR(D455))*14)+MONTH(D455)+2,FALSE)))</f>
        <v>1</v>
      </c>
      <c r="I455" s="251">
        <f t="shared" si="35"/>
        <v>4642.9799999999996</v>
      </c>
      <c r="J455" s="162">
        <f>IF(D455=0,0,HLOOKUP(YEAR(D455)+(MONTH(D455)/100),TC!$5:$37,DAY(D455)+2,FALSE))</f>
        <v>20.278199999999998</v>
      </c>
      <c r="K455" s="250">
        <f t="shared" si="36"/>
        <v>94151.277035999985</v>
      </c>
    </row>
    <row r="456" spans="2:11" s="134" customFormat="1" ht="23" customHeight="1">
      <c r="B456" s="7" t="s">
        <v>1263</v>
      </c>
      <c r="C456" s="7" t="s">
        <v>693</v>
      </c>
      <c r="D456" s="159">
        <v>44644</v>
      </c>
      <c r="E456" s="249" t="s">
        <v>800</v>
      </c>
      <c r="F456" s="7" t="s">
        <v>59</v>
      </c>
      <c r="G456" s="250">
        <v>1779.63</v>
      </c>
      <c r="H456" s="162">
        <f>IF(F456=0,0,IF(F456="MXN",1/HLOOKUP(YEAR(D456)+(MONTH(D456)/100),TC!$5:$437,DAY(D456)+2,FALSE),VLOOKUP(F456,Equivalencia!$1:$23,((MAX(Equivalencia!$3:$3)-YEAR(D456))*14)+MONTH(D456)+2,FALSE)))</f>
        <v>1</v>
      </c>
      <c r="I456" s="251">
        <f t="shared" si="35"/>
        <v>1779.63</v>
      </c>
      <c r="J456" s="162">
        <f>IF(D456=0,0,HLOOKUP(YEAR(D456)+(MONTH(D456)/100),TC!$5:$37,DAY(D456)+2,FALSE))</f>
        <v>20.278199999999998</v>
      </c>
      <c r="K456" s="250">
        <f t="shared" si="36"/>
        <v>36087.693066</v>
      </c>
    </row>
    <row r="457" spans="2:11" s="134" customFormat="1" ht="23" customHeight="1">
      <c r="B457" s="7" t="s">
        <v>1263</v>
      </c>
      <c r="C457" s="7" t="s">
        <v>693</v>
      </c>
      <c r="D457" s="159">
        <v>44645</v>
      </c>
      <c r="E457" s="249" t="s">
        <v>801</v>
      </c>
      <c r="F457" s="7" t="s">
        <v>59</v>
      </c>
      <c r="G457" s="250">
        <v>6069</v>
      </c>
      <c r="H457" s="162">
        <f>IF(F457=0,0,IF(F457="MXN",1/HLOOKUP(YEAR(D457)+(MONTH(D457)/100),TC!$5:$437,DAY(D457)+2,FALSE),VLOOKUP(F457,Equivalencia!$1:$23,((MAX(Equivalencia!$3:$3)-YEAR(D457))*14)+MONTH(D457)+2,FALSE)))</f>
        <v>1</v>
      </c>
      <c r="I457" s="251">
        <f t="shared" si="35"/>
        <v>6069</v>
      </c>
      <c r="J457" s="162">
        <f>IF(D457=0,0,HLOOKUP(YEAR(D457)+(MONTH(D457)/100),TC!$5:$37,DAY(D457)+2,FALSE))</f>
        <v>20.18</v>
      </c>
      <c r="K457" s="250">
        <f t="shared" si="36"/>
        <v>122472.42</v>
      </c>
    </row>
    <row r="458" spans="2:11" s="134" customFormat="1" ht="23" customHeight="1">
      <c r="B458" s="7" t="s">
        <v>1263</v>
      </c>
      <c r="C458" s="7" t="s">
        <v>693</v>
      </c>
      <c r="D458" s="159">
        <v>44651</v>
      </c>
      <c r="E458" s="249" t="s">
        <v>802</v>
      </c>
      <c r="F458" s="7" t="s">
        <v>59</v>
      </c>
      <c r="G458" s="250">
        <v>4568.75</v>
      </c>
      <c r="H458" s="162">
        <f>IF(F458=0,0,IF(F458="MXN",1/HLOOKUP(YEAR(D458)+(MONTH(D458)/100),TC!$5:$437,DAY(D458)+2,FALSE),VLOOKUP(F458,Equivalencia!$1:$23,((MAX(Equivalencia!$3:$3)-YEAR(D458))*14)+MONTH(D458)+2,FALSE)))</f>
        <v>1</v>
      </c>
      <c r="I458" s="251">
        <f t="shared" si="35"/>
        <v>4568.75</v>
      </c>
      <c r="J458" s="162">
        <f>IF(D458=0,0,HLOOKUP(YEAR(D458)+(MONTH(D458)/100),TC!$5:$37,DAY(D458)+2,FALSE))</f>
        <v>19.994199999999999</v>
      </c>
      <c r="K458" s="250">
        <f t="shared" si="36"/>
        <v>91348.501250000001</v>
      </c>
    </row>
    <row r="459" spans="2:11" s="134" customFormat="1" ht="23" customHeight="1">
      <c r="B459" s="7" t="s">
        <v>1263</v>
      </c>
      <c r="C459" s="7" t="s">
        <v>693</v>
      </c>
      <c r="D459" s="159">
        <v>44652</v>
      </c>
      <c r="E459" s="249" t="s">
        <v>803</v>
      </c>
      <c r="F459" s="7" t="s">
        <v>59</v>
      </c>
      <c r="G459" s="250">
        <v>4500</v>
      </c>
      <c r="H459" s="162">
        <f>IF(F459=0,0,IF(F459="MXN",1/HLOOKUP(YEAR(D459)+(MONTH(D459)/100),TC!$5:$437,DAY(D459)+2,FALSE),VLOOKUP(F459,Equivalencia!$1:$23,((MAX(Equivalencia!$3:$3)-YEAR(D459))*14)+MONTH(D459)+2,FALSE)))</f>
        <v>1</v>
      </c>
      <c r="I459" s="251">
        <f t="shared" si="35"/>
        <v>4500</v>
      </c>
      <c r="J459" s="162">
        <f>IF(D459=0,0,HLOOKUP(YEAR(D459)+(MONTH(D459)/100),TC!$5:$37,DAY(D459)+2,FALSE))</f>
        <v>19.863199999999999</v>
      </c>
      <c r="K459" s="250">
        <f t="shared" si="36"/>
        <v>89384.4</v>
      </c>
    </row>
    <row r="460" spans="2:11" s="134" customFormat="1" ht="23" customHeight="1">
      <c r="B460" s="7" t="s">
        <v>1263</v>
      </c>
      <c r="C460" s="7" t="s">
        <v>693</v>
      </c>
      <c r="D460" s="159">
        <v>44655</v>
      </c>
      <c r="E460" s="249" t="s">
        <v>735</v>
      </c>
      <c r="F460" s="7" t="s">
        <v>59</v>
      </c>
      <c r="G460" s="250">
        <v>1232</v>
      </c>
      <c r="H460" s="162">
        <f>IF(F460=0,0,IF(F460="MXN",1/HLOOKUP(YEAR(D460)+(MONTH(D460)/100),TC!$5:$437,DAY(D460)+2,FALSE),VLOOKUP(F460,Equivalencia!$1:$23,((MAX(Equivalencia!$3:$3)-YEAR(D460))*14)+MONTH(D460)+2,FALSE)))</f>
        <v>1</v>
      </c>
      <c r="I460" s="251">
        <f t="shared" si="35"/>
        <v>1232</v>
      </c>
      <c r="J460" s="162">
        <f>IF(D460=0,0,HLOOKUP(YEAR(D460)+(MONTH(D460)/100),TC!$5:$37,DAY(D460)+2,FALSE))</f>
        <v>19.911200000000001</v>
      </c>
      <c r="K460" s="250">
        <f t="shared" si="36"/>
        <v>24530.598400000003</v>
      </c>
    </row>
    <row r="461" spans="2:11" s="134" customFormat="1" ht="23" customHeight="1">
      <c r="B461" s="7" t="s">
        <v>1263</v>
      </c>
      <c r="C461" s="7" t="s">
        <v>693</v>
      </c>
      <c r="D461" s="159">
        <v>44658</v>
      </c>
      <c r="E461" s="249" t="s">
        <v>790</v>
      </c>
      <c r="F461" s="7" t="s">
        <v>59</v>
      </c>
      <c r="G461" s="250">
        <v>9101.1</v>
      </c>
      <c r="H461" s="162">
        <f>IF(F461=0,0,IF(F461="MXN",1/HLOOKUP(YEAR(D461)+(MONTH(D461)/100),TC!$5:$437,DAY(D461)+2,FALSE),VLOOKUP(F461,Equivalencia!$1:$23,((MAX(Equivalencia!$3:$3)-YEAR(D461))*14)+MONTH(D461)+2,FALSE)))</f>
        <v>1</v>
      </c>
      <c r="I461" s="251">
        <f t="shared" si="35"/>
        <v>9101.1</v>
      </c>
      <c r="J461" s="162">
        <f>IF(D461=0,0,HLOOKUP(YEAR(D461)+(MONTH(D461)/100),TC!$5:$37,DAY(D461)+2,FALSE))</f>
        <v>19.901199999999999</v>
      </c>
      <c r="K461" s="250">
        <f t="shared" si="36"/>
        <v>181122.81132000001</v>
      </c>
    </row>
    <row r="462" spans="2:11" s="134" customFormat="1" ht="23" customHeight="1">
      <c r="B462" s="7" t="s">
        <v>1263</v>
      </c>
      <c r="C462" s="7" t="s">
        <v>693</v>
      </c>
      <c r="D462" s="159">
        <v>44665</v>
      </c>
      <c r="E462" s="249" t="s">
        <v>793</v>
      </c>
      <c r="F462" s="7" t="s">
        <v>59</v>
      </c>
      <c r="G462" s="250">
        <v>49600</v>
      </c>
      <c r="H462" s="162">
        <f>IF(F462=0,0,IF(F462="MXN",1/HLOOKUP(YEAR(D462)+(MONTH(D462)/100),TC!$5:$437,DAY(D462)+2,FALSE),VLOOKUP(F462,Equivalencia!$1:$23,((MAX(Equivalencia!$3:$3)-YEAR(D462))*14)+MONTH(D462)+2,FALSE)))</f>
        <v>1</v>
      </c>
      <c r="I462" s="251">
        <f t="shared" si="35"/>
        <v>49600</v>
      </c>
      <c r="J462" s="162">
        <f>IF(D462=0,0,HLOOKUP(YEAR(D462)+(MONTH(D462)/100),TC!$5:$37,DAY(D462)+2,FALSE))</f>
        <v>19.840699999999998</v>
      </c>
      <c r="K462" s="250">
        <f t="shared" si="36"/>
        <v>984098.71999999986</v>
      </c>
    </row>
    <row r="463" spans="2:11" s="134" customFormat="1" ht="23" customHeight="1">
      <c r="B463" s="7" t="s">
        <v>1263</v>
      </c>
      <c r="C463" s="7" t="s">
        <v>693</v>
      </c>
      <c r="D463" s="159">
        <v>44669</v>
      </c>
      <c r="E463" s="249" t="s">
        <v>792</v>
      </c>
      <c r="F463" s="7" t="s">
        <v>59</v>
      </c>
      <c r="G463" s="250">
        <v>50310</v>
      </c>
      <c r="H463" s="162">
        <f>IF(F463=0,0,IF(F463="MXN",1/HLOOKUP(YEAR(D463)+(MONTH(D463)/100),TC!$5:$437,DAY(D463)+2,FALSE),VLOOKUP(F463,Equivalencia!$1:$23,((MAX(Equivalencia!$3:$3)-YEAR(D463))*14)+MONTH(D463)+2,FALSE)))</f>
        <v>1</v>
      </c>
      <c r="I463" s="251">
        <f t="shared" si="35"/>
        <v>50310</v>
      </c>
      <c r="J463" s="162">
        <f>IF(D463=0,0,HLOOKUP(YEAR(D463)+(MONTH(D463)/100),TC!$5:$37,DAY(D463)+2,FALSE))</f>
        <v>19.840699999999998</v>
      </c>
      <c r="K463" s="250">
        <f t="shared" si="36"/>
        <v>998185.61699999985</v>
      </c>
    </row>
    <row r="464" spans="2:11" s="134" customFormat="1" ht="23" customHeight="1">
      <c r="B464" s="7" t="s">
        <v>1263</v>
      </c>
      <c r="C464" s="7" t="s">
        <v>693</v>
      </c>
      <c r="D464" s="159">
        <v>44678</v>
      </c>
      <c r="E464" s="249" t="s">
        <v>794</v>
      </c>
      <c r="F464" s="7" t="s">
        <v>59</v>
      </c>
      <c r="G464" s="250">
        <v>4256</v>
      </c>
      <c r="H464" s="162">
        <f>IF(F464=0,0,IF(F464="MXN",1/HLOOKUP(YEAR(D464)+(MONTH(D464)/100),TC!$5:$437,DAY(D464)+2,FALSE),VLOOKUP(F464,Equivalencia!$1:$23,((MAX(Equivalencia!$3:$3)-YEAR(D464))*14)+MONTH(D464)+2,FALSE)))</f>
        <v>1</v>
      </c>
      <c r="I464" s="251">
        <f t="shared" si="35"/>
        <v>4256</v>
      </c>
      <c r="J464" s="162">
        <f>IF(D464=0,0,HLOOKUP(YEAR(D464)+(MONTH(D464)/100),TC!$5:$37,DAY(D464)+2,FALSE))</f>
        <v>20.299199999999999</v>
      </c>
      <c r="K464" s="250">
        <f t="shared" si="36"/>
        <v>86393.395199999999</v>
      </c>
    </row>
    <row r="465" spans="2:11" s="134" customFormat="1" ht="23" customHeight="1">
      <c r="B465" s="7" t="s">
        <v>1263</v>
      </c>
      <c r="C465" s="7" t="s">
        <v>693</v>
      </c>
      <c r="D465" s="159">
        <v>44680</v>
      </c>
      <c r="E465" s="249" t="s">
        <v>795</v>
      </c>
      <c r="F465" s="7" t="s">
        <v>59</v>
      </c>
      <c r="G465" s="250">
        <v>6351.94</v>
      </c>
      <c r="H465" s="162">
        <f>IF(F465=0,0,IF(F465="MXN",1/HLOOKUP(YEAR(D465)+(MONTH(D465)/100),TC!$5:$437,DAY(D465)+2,FALSE),VLOOKUP(F465,Equivalencia!$1:$23,((MAX(Equivalencia!$3:$3)-YEAR(D465))*14)+MONTH(D465)+2,FALSE)))</f>
        <v>1</v>
      </c>
      <c r="I465" s="251">
        <f t="shared" si="35"/>
        <v>6351.94</v>
      </c>
      <c r="J465" s="162">
        <f>IF(D465=0,0,HLOOKUP(YEAR(D465)+(MONTH(D465)/100),TC!$5:$37,DAY(D465)+2,FALSE))</f>
        <v>20.470700000000001</v>
      </c>
      <c r="K465" s="250">
        <f t="shared" si="36"/>
        <v>130028.65815799999</v>
      </c>
    </row>
    <row r="466" spans="2:11" s="134" customFormat="1" ht="23" customHeight="1">
      <c r="B466" s="7" t="s">
        <v>1263</v>
      </c>
      <c r="C466" s="7" t="s">
        <v>693</v>
      </c>
      <c r="D466" s="159">
        <v>44680</v>
      </c>
      <c r="E466" s="249" t="s">
        <v>796</v>
      </c>
      <c r="F466" s="7" t="s">
        <v>59</v>
      </c>
      <c r="G466" s="250">
        <v>2015.18</v>
      </c>
      <c r="H466" s="162">
        <f>IF(F466=0,0,IF(F466="MXN",1/HLOOKUP(YEAR(D466)+(MONTH(D466)/100),TC!$5:$437,DAY(D466)+2,FALSE),VLOOKUP(F466,Equivalencia!$1:$23,((MAX(Equivalencia!$3:$3)-YEAR(D466))*14)+MONTH(D466)+2,FALSE)))</f>
        <v>1</v>
      </c>
      <c r="I466" s="251">
        <f t="shared" si="35"/>
        <v>2015.18</v>
      </c>
      <c r="J466" s="162">
        <f>IF(D466=0,0,HLOOKUP(YEAR(D466)+(MONTH(D466)/100),TC!$5:$37,DAY(D466)+2,FALSE))</f>
        <v>20.470700000000001</v>
      </c>
      <c r="K466" s="250">
        <f t="shared" si="36"/>
        <v>41252.145226000001</v>
      </c>
    </row>
    <row r="467" spans="2:11" s="134" customFormat="1" ht="23" customHeight="1">
      <c r="B467" s="7" t="s">
        <v>1263</v>
      </c>
      <c r="C467" s="7" t="s">
        <v>693</v>
      </c>
      <c r="D467" s="159">
        <v>44693</v>
      </c>
      <c r="E467" s="249" t="s">
        <v>716</v>
      </c>
      <c r="F467" s="7" t="s">
        <v>59</v>
      </c>
      <c r="G467" s="250">
        <v>2760</v>
      </c>
      <c r="H467" s="162">
        <f>IF(F467=0,0,IF(F467="MXN",1/HLOOKUP(YEAR(D467)+(MONTH(D467)/100),TC!$5:$437,DAY(D467)+2,FALSE),VLOOKUP(F467,Equivalencia!$1:$23,((MAX(Equivalencia!$3:$3)-YEAR(D467))*14)+MONTH(D467)+2,FALSE)))</f>
        <v>1</v>
      </c>
      <c r="I467" s="251">
        <f t="shared" si="35"/>
        <v>2760</v>
      </c>
      <c r="J467" s="162">
        <f>IF(D467=0,0,HLOOKUP(YEAR(D467)+(MONTH(D467)/100),TC!$5:$37,DAY(D467)+2,FALSE))</f>
        <v>20.372</v>
      </c>
      <c r="K467" s="250">
        <f t="shared" si="36"/>
        <v>56226.720000000001</v>
      </c>
    </row>
    <row r="468" spans="2:11" s="134" customFormat="1" ht="23" customHeight="1">
      <c r="B468" s="7" t="s">
        <v>1263</v>
      </c>
      <c r="C468" s="7" t="s">
        <v>693</v>
      </c>
      <c r="D468" s="159">
        <v>44694</v>
      </c>
      <c r="E468" s="249" t="s">
        <v>804</v>
      </c>
      <c r="F468" s="7" t="s">
        <v>59</v>
      </c>
      <c r="G468" s="250">
        <v>30735.759999999998</v>
      </c>
      <c r="H468" s="162">
        <f>IF(F468=0,0,IF(F468="MXN",1/HLOOKUP(YEAR(D468)+(MONTH(D468)/100),TC!$5:$437,DAY(D468)+2,FALSE),VLOOKUP(F468,Equivalencia!$1:$23,((MAX(Equivalencia!$3:$3)-YEAR(D468))*14)+MONTH(D468)+2,FALSE)))</f>
        <v>1</v>
      </c>
      <c r="I468" s="251">
        <f t="shared" si="35"/>
        <v>30735.759999999998</v>
      </c>
      <c r="J468" s="162">
        <f>IF(D468=0,0,HLOOKUP(YEAR(D468)+(MONTH(D468)/100),TC!$5:$37,DAY(D468)+2,FALSE))</f>
        <v>20.2592</v>
      </c>
      <c r="K468" s="250">
        <f t="shared" si="36"/>
        <v>622681.90899199992</v>
      </c>
    </row>
    <row r="469" spans="2:11" s="134" customFormat="1" ht="23" customHeight="1">
      <c r="B469" s="7" t="s">
        <v>1263</v>
      </c>
      <c r="C469" s="7" t="s">
        <v>693</v>
      </c>
      <c r="D469" s="159">
        <v>44697</v>
      </c>
      <c r="E469" s="249" t="s">
        <v>805</v>
      </c>
      <c r="F469" s="7" t="s">
        <v>59</v>
      </c>
      <c r="G469" s="250">
        <v>10954.66</v>
      </c>
      <c r="H469" s="162">
        <f>IF(F469=0,0,IF(F469="MXN",1/HLOOKUP(YEAR(D469)+(MONTH(D469)/100),TC!$5:$437,DAY(D469)+2,FALSE),VLOOKUP(F469,Equivalencia!$1:$23,((MAX(Equivalencia!$3:$3)-YEAR(D469))*14)+MONTH(D469)+2,FALSE)))</f>
        <v>1</v>
      </c>
      <c r="I469" s="251">
        <f t="shared" si="35"/>
        <v>10954.66</v>
      </c>
      <c r="J469" s="162">
        <f>IF(D469=0,0,HLOOKUP(YEAR(D469)+(MONTH(D469)/100),TC!$5:$37,DAY(D469)+2,FALSE))</f>
        <v>20.32</v>
      </c>
      <c r="K469" s="250">
        <f t="shared" si="36"/>
        <v>222598.6912</v>
      </c>
    </row>
    <row r="470" spans="2:11" s="134" customFormat="1" ht="23" customHeight="1">
      <c r="B470" s="7" t="s">
        <v>1263</v>
      </c>
      <c r="C470" s="7" t="s">
        <v>693</v>
      </c>
      <c r="D470" s="159">
        <v>44697</v>
      </c>
      <c r="E470" s="249" t="s">
        <v>805</v>
      </c>
      <c r="F470" s="7" t="s">
        <v>59</v>
      </c>
      <c r="G470" s="250">
        <v>30579.59</v>
      </c>
      <c r="H470" s="162">
        <f>IF(F470=0,0,IF(F470="MXN",1/HLOOKUP(YEAR(D470)+(MONTH(D470)/100),TC!$5:$437,DAY(D470)+2,FALSE),VLOOKUP(F470,Equivalencia!$1:$23,((MAX(Equivalencia!$3:$3)-YEAR(D470))*14)+MONTH(D470)+2,FALSE)))</f>
        <v>1</v>
      </c>
      <c r="I470" s="251">
        <f t="shared" si="35"/>
        <v>30579.59</v>
      </c>
      <c r="J470" s="162">
        <f>IF(D470=0,0,HLOOKUP(YEAR(D470)+(MONTH(D470)/100),TC!$5:$37,DAY(D470)+2,FALSE))</f>
        <v>20.32</v>
      </c>
      <c r="K470" s="250">
        <f t="shared" si="36"/>
        <v>621377.26879999996</v>
      </c>
    </row>
    <row r="471" spans="2:11" s="134" customFormat="1" ht="23" customHeight="1">
      <c r="B471" s="7" t="s">
        <v>1263</v>
      </c>
      <c r="C471" s="7" t="s">
        <v>693</v>
      </c>
      <c r="D471" s="159">
        <v>44708</v>
      </c>
      <c r="E471" s="249" t="s">
        <v>806</v>
      </c>
      <c r="F471" s="7" t="s">
        <v>59</v>
      </c>
      <c r="G471" s="250">
        <v>3430</v>
      </c>
      <c r="H471" s="162">
        <f>IF(F471=0,0,IF(F471="MXN",1/HLOOKUP(YEAR(D471)+(MONTH(D471)/100),TC!$5:$437,DAY(D471)+2,FALSE),VLOOKUP(F471,Equivalencia!$1:$23,((MAX(Equivalencia!$3:$3)-YEAR(D471))*14)+MONTH(D471)+2,FALSE)))</f>
        <v>1</v>
      </c>
      <c r="I471" s="251">
        <f t="shared" si="35"/>
        <v>3430</v>
      </c>
      <c r="J471" s="162">
        <f>IF(D471=0,0,HLOOKUP(YEAR(D471)+(MONTH(D471)/100),TC!$5:$37,DAY(D471)+2,FALSE))</f>
        <v>19.837700000000002</v>
      </c>
      <c r="K471" s="250">
        <f t="shared" si="36"/>
        <v>68043.311000000002</v>
      </c>
    </row>
    <row r="472" spans="2:11" s="134" customFormat="1" ht="23" customHeight="1">
      <c r="B472" s="7" t="s">
        <v>1263</v>
      </c>
      <c r="C472" s="7" t="s">
        <v>693</v>
      </c>
      <c r="D472" s="159">
        <v>44713</v>
      </c>
      <c r="E472" s="249" t="s">
        <v>758</v>
      </c>
      <c r="F472" s="7" t="s">
        <v>59</v>
      </c>
      <c r="G472" s="250">
        <v>6862</v>
      </c>
      <c r="H472" s="162">
        <f>IF(F472=0,0,IF(F472="MXN",1/HLOOKUP(YEAR(D472)+(MONTH(D472)/100),TC!$5:$437,DAY(D472)+2,FALSE),VLOOKUP(F472,Equivalencia!$1:$23,((MAX(Equivalencia!$3:$3)-YEAR(D472))*14)+MONTH(D472)+2,FALSE)))</f>
        <v>1</v>
      </c>
      <c r="I472" s="251">
        <f t="shared" ref="I472:I484" si="37">G472*H472</f>
        <v>6862</v>
      </c>
      <c r="J472" s="162">
        <f>IF(D472=0,0,HLOOKUP(YEAR(D472)+(MONTH(D472)/100),TC!$5:$37,DAY(D472)+2,FALSE))</f>
        <v>19.4953</v>
      </c>
      <c r="K472" s="250">
        <f t="shared" ref="K472:K484" si="38">I472*J472</f>
        <v>133776.74859999999</v>
      </c>
    </row>
    <row r="473" spans="2:11" s="134" customFormat="1" ht="23" customHeight="1">
      <c r="B473" s="7" t="s">
        <v>1263</v>
      </c>
      <c r="C473" s="7" t="s">
        <v>693</v>
      </c>
      <c r="D473" s="159">
        <v>44714</v>
      </c>
      <c r="E473" s="249" t="s">
        <v>870</v>
      </c>
      <c r="F473" s="7" t="s">
        <v>59</v>
      </c>
      <c r="G473" s="250">
        <v>9989.41</v>
      </c>
      <c r="H473" s="162">
        <f>IF(F473=0,0,IF(F473="MXN",1/HLOOKUP(YEAR(D473)+(MONTH(D473)/100),TC!$5:$437,DAY(D473)+2,FALSE),VLOOKUP(F473,Equivalencia!$1:$23,((MAX(Equivalencia!$3:$3)-YEAR(D473))*14)+MONTH(D473)+2,FALSE)))</f>
        <v>1</v>
      </c>
      <c r="I473" s="251">
        <f t="shared" si="37"/>
        <v>9989.41</v>
      </c>
      <c r="J473" s="162">
        <f>IF(D473=0,0,HLOOKUP(YEAR(D473)+(MONTH(D473)/100),TC!$5:$37,DAY(D473)+2,FALSE))</f>
        <v>19.693999999999999</v>
      </c>
      <c r="K473" s="250">
        <f t="shared" si="38"/>
        <v>196731.44053999998</v>
      </c>
    </row>
    <row r="474" spans="2:11" s="134" customFormat="1" ht="23" customHeight="1">
      <c r="B474" s="7" t="s">
        <v>1263</v>
      </c>
      <c r="C474" s="7" t="s">
        <v>693</v>
      </c>
      <c r="D474" s="159">
        <v>44722</v>
      </c>
      <c r="E474" s="249" t="s">
        <v>797</v>
      </c>
      <c r="F474" s="7" t="s">
        <v>59</v>
      </c>
      <c r="G474" s="250">
        <v>10260</v>
      </c>
      <c r="H474" s="162">
        <f>IF(F474=0,0,IF(F474="MXN",1/HLOOKUP(YEAR(D474)+(MONTH(D474)/100),TC!$5:$437,DAY(D474)+2,FALSE),VLOOKUP(F474,Equivalencia!$1:$23,((MAX(Equivalencia!$3:$3)-YEAR(D474))*14)+MONTH(D474)+2,FALSE)))</f>
        <v>1</v>
      </c>
      <c r="I474" s="251">
        <f t="shared" si="37"/>
        <v>10260</v>
      </c>
      <c r="J474" s="162">
        <f>IF(D474=0,0,HLOOKUP(YEAR(D474)+(MONTH(D474)/100),TC!$5:$37,DAY(D474)+2,FALSE))</f>
        <v>19.59</v>
      </c>
      <c r="K474" s="250">
        <f t="shared" si="38"/>
        <v>200993.4</v>
      </c>
    </row>
    <row r="475" spans="2:11" s="134" customFormat="1" ht="23" customHeight="1">
      <c r="B475" s="7" t="s">
        <v>1263</v>
      </c>
      <c r="C475" s="7" t="s">
        <v>693</v>
      </c>
      <c r="D475" s="159">
        <v>44727</v>
      </c>
      <c r="E475" s="249" t="s">
        <v>871</v>
      </c>
      <c r="F475" s="7" t="s">
        <v>59</v>
      </c>
      <c r="G475" s="250">
        <v>31289.33</v>
      </c>
      <c r="H475" s="162">
        <f>IF(F475=0,0,IF(F475="MXN",1/HLOOKUP(YEAR(D475)+(MONTH(D475)/100),TC!$5:$437,DAY(D475)+2,FALSE),VLOOKUP(F475,Equivalencia!$1:$23,((MAX(Equivalencia!$3:$3)-YEAR(D475))*14)+MONTH(D475)+2,FALSE)))</f>
        <v>1</v>
      </c>
      <c r="I475" s="251">
        <f t="shared" si="37"/>
        <v>31289.33</v>
      </c>
      <c r="J475" s="162">
        <f>IF(D475=0,0,HLOOKUP(YEAR(D475)+(MONTH(D475)/100),TC!$5:$37,DAY(D475)+2,FALSE))</f>
        <v>20.4527</v>
      </c>
      <c r="K475" s="250">
        <f t="shared" si="38"/>
        <v>639951.279691</v>
      </c>
    </row>
    <row r="476" spans="2:11" s="134" customFormat="1" ht="23" customHeight="1">
      <c r="B476" s="7" t="s">
        <v>1263</v>
      </c>
      <c r="C476" s="7" t="s">
        <v>693</v>
      </c>
      <c r="D476" s="159">
        <v>44727</v>
      </c>
      <c r="E476" s="249" t="s">
        <v>814</v>
      </c>
      <c r="F476" s="7" t="s">
        <v>59</v>
      </c>
      <c r="G476" s="250">
        <v>16540.740000000002</v>
      </c>
      <c r="H476" s="162">
        <f>IF(F476=0,0,IF(F476="MXN",1/HLOOKUP(YEAR(D476)+(MONTH(D476)/100),TC!$5:$437,DAY(D476)+2,FALSE),VLOOKUP(F476,Equivalencia!$1:$23,((MAX(Equivalencia!$3:$3)-YEAR(D476))*14)+MONTH(D476)+2,FALSE)))</f>
        <v>1</v>
      </c>
      <c r="I476" s="251">
        <f t="shared" si="37"/>
        <v>16540.740000000002</v>
      </c>
      <c r="J476" s="162">
        <f>IF(D476=0,0,HLOOKUP(YEAR(D476)+(MONTH(D476)/100),TC!$5:$37,DAY(D476)+2,FALSE))</f>
        <v>20.4527</v>
      </c>
      <c r="K476" s="250">
        <f t="shared" si="38"/>
        <v>338302.79299800005</v>
      </c>
    </row>
    <row r="477" spans="2:11" s="134" customFormat="1" ht="23" customHeight="1">
      <c r="B477" s="7" t="s">
        <v>1263</v>
      </c>
      <c r="C477" s="7" t="s">
        <v>693</v>
      </c>
      <c r="D477" s="159">
        <v>44727</v>
      </c>
      <c r="E477" s="249" t="s">
        <v>813</v>
      </c>
      <c r="F477" s="7" t="s">
        <v>59</v>
      </c>
      <c r="G477" s="250">
        <v>5226</v>
      </c>
      <c r="H477" s="162">
        <f>IF(F477=0,0,IF(F477="MXN",1/HLOOKUP(YEAR(D477)+(MONTH(D477)/100),TC!$5:$437,DAY(D477)+2,FALSE),VLOOKUP(F477,Equivalencia!$1:$23,((MAX(Equivalencia!$3:$3)-YEAR(D477))*14)+MONTH(D477)+2,FALSE)))</f>
        <v>1</v>
      </c>
      <c r="I477" s="251">
        <f t="shared" si="37"/>
        <v>5226</v>
      </c>
      <c r="J477" s="162">
        <f>IF(D477=0,0,HLOOKUP(YEAR(D477)+(MONTH(D477)/100),TC!$5:$37,DAY(D477)+2,FALSE))</f>
        <v>20.4527</v>
      </c>
      <c r="K477" s="250">
        <f t="shared" si="38"/>
        <v>106885.81020000001</v>
      </c>
    </row>
    <row r="478" spans="2:11" s="134" customFormat="1" ht="23" customHeight="1">
      <c r="B478" s="7" t="s">
        <v>1263</v>
      </c>
      <c r="C478" s="7" t="s">
        <v>693</v>
      </c>
      <c r="D478" s="159">
        <v>44727</v>
      </c>
      <c r="E478" s="249" t="s">
        <v>872</v>
      </c>
      <c r="F478" s="7" t="s">
        <v>59</v>
      </c>
      <c r="G478" s="250">
        <v>1554.34</v>
      </c>
      <c r="H478" s="162">
        <f>IF(F478=0,0,IF(F478="MXN",1/HLOOKUP(YEAR(D478)+(MONTH(D478)/100),TC!$5:$437,DAY(D478)+2,FALSE),VLOOKUP(F478,Equivalencia!$1:$23,((MAX(Equivalencia!$3:$3)-YEAR(D478))*14)+MONTH(D478)+2,FALSE)))</f>
        <v>1</v>
      </c>
      <c r="I478" s="251">
        <f t="shared" si="37"/>
        <v>1554.34</v>
      </c>
      <c r="J478" s="162">
        <f>IF(D478=0,0,HLOOKUP(YEAR(D478)+(MONTH(D478)/100),TC!$5:$37,DAY(D478)+2,FALSE))</f>
        <v>20.4527</v>
      </c>
      <c r="K478" s="250">
        <f t="shared" si="38"/>
        <v>31790.449718</v>
      </c>
    </row>
    <row r="479" spans="2:11" s="134" customFormat="1" ht="23" customHeight="1">
      <c r="B479" s="7" t="s">
        <v>1263</v>
      </c>
      <c r="C479" s="7" t="s">
        <v>693</v>
      </c>
      <c r="D479" s="159">
        <v>44728</v>
      </c>
      <c r="E479" s="249" t="s">
        <v>873</v>
      </c>
      <c r="F479" s="7" t="s">
        <v>59</v>
      </c>
      <c r="G479" s="250">
        <v>8062.35</v>
      </c>
      <c r="H479" s="162">
        <f>IF(F479=0,0,IF(F479="MXN",1/HLOOKUP(YEAR(D479)+(MONTH(D479)/100),TC!$5:$437,DAY(D479)+2,FALSE),VLOOKUP(F479,Equivalencia!$1:$23,((MAX(Equivalencia!$3:$3)-YEAR(D479))*14)+MONTH(D479)+2,FALSE)))</f>
        <v>1</v>
      </c>
      <c r="I479" s="251">
        <f t="shared" si="37"/>
        <v>8062.35</v>
      </c>
      <c r="J479" s="162">
        <f>IF(D479=0,0,HLOOKUP(YEAR(D479)+(MONTH(D479)/100),TC!$5:$37,DAY(D479)+2,FALSE))</f>
        <v>20.658300000000001</v>
      </c>
      <c r="K479" s="250">
        <f t="shared" si="38"/>
        <v>166554.44500500002</v>
      </c>
    </row>
    <row r="480" spans="2:11" s="134" customFormat="1" ht="23" customHeight="1">
      <c r="B480" s="7" t="s">
        <v>1263</v>
      </c>
      <c r="C480" s="7" t="s">
        <v>693</v>
      </c>
      <c r="D480" s="159">
        <v>44736</v>
      </c>
      <c r="E480" s="249" t="s">
        <v>799</v>
      </c>
      <c r="F480" s="7" t="s">
        <v>59</v>
      </c>
      <c r="G480" s="250">
        <v>16163.89</v>
      </c>
      <c r="H480" s="162">
        <f>IF(F480=0,0,IF(F480="MXN",1/HLOOKUP(YEAR(D480)+(MONTH(D480)/100),TC!$5:$437,DAY(D480)+2,FALSE),VLOOKUP(F480,Equivalencia!$1:$23,((MAX(Equivalencia!$3:$3)-YEAR(D480))*14)+MONTH(D480)+2,FALSE)))</f>
        <v>1</v>
      </c>
      <c r="I480" s="251">
        <f t="shared" si="37"/>
        <v>16163.89</v>
      </c>
      <c r="J480" s="162">
        <f>IF(D480=0,0,HLOOKUP(YEAR(D480)+(MONTH(D480)/100),TC!$5:$37,DAY(D480)+2,FALSE))</f>
        <v>20.046500000000002</v>
      </c>
      <c r="K480" s="250">
        <f t="shared" si="38"/>
        <v>324029.42088500003</v>
      </c>
    </row>
    <row r="481" spans="2:11" s="134" customFormat="1" ht="23" customHeight="1">
      <c r="B481" s="7" t="s">
        <v>1263</v>
      </c>
      <c r="C481" s="7" t="s">
        <v>693</v>
      </c>
      <c r="D481" s="159">
        <v>44736</v>
      </c>
      <c r="E481" s="249" t="s">
        <v>800</v>
      </c>
      <c r="F481" s="7" t="s">
        <v>59</v>
      </c>
      <c r="G481" s="250">
        <v>13587.71</v>
      </c>
      <c r="H481" s="162">
        <f>IF(F481=0,0,IF(F481="MXN",1/HLOOKUP(YEAR(D481)+(MONTH(D481)/100),TC!$5:$437,DAY(D481)+2,FALSE),VLOOKUP(F481,Equivalencia!$1:$23,((MAX(Equivalencia!$3:$3)-YEAR(D481))*14)+MONTH(D481)+2,FALSE)))</f>
        <v>1</v>
      </c>
      <c r="I481" s="251">
        <f t="shared" si="37"/>
        <v>13587.71</v>
      </c>
      <c r="J481" s="162">
        <f>IF(D481=0,0,HLOOKUP(YEAR(D481)+(MONTH(D481)/100),TC!$5:$37,DAY(D481)+2,FALSE))</f>
        <v>20.046500000000002</v>
      </c>
      <c r="K481" s="250">
        <f t="shared" si="38"/>
        <v>272386.02851500001</v>
      </c>
    </row>
    <row r="482" spans="2:11" s="134" customFormat="1" ht="23" customHeight="1">
      <c r="B482" s="7" t="s">
        <v>1263</v>
      </c>
      <c r="C482" s="7" t="s">
        <v>693</v>
      </c>
      <c r="D482" s="159">
        <v>44736</v>
      </c>
      <c r="E482" s="249" t="s">
        <v>801</v>
      </c>
      <c r="F482" s="7" t="s">
        <v>59</v>
      </c>
      <c r="G482" s="250">
        <v>6069</v>
      </c>
      <c r="H482" s="162">
        <f>IF(F482=0,0,IF(F482="MXN",1/HLOOKUP(YEAR(D482)+(MONTH(D482)/100),TC!$5:$437,DAY(D482)+2,FALSE),VLOOKUP(F482,Equivalencia!$1:$23,((MAX(Equivalencia!$3:$3)-YEAR(D482))*14)+MONTH(D482)+2,FALSE)))</f>
        <v>1</v>
      </c>
      <c r="I482" s="251">
        <f t="shared" si="37"/>
        <v>6069</v>
      </c>
      <c r="J482" s="162">
        <f>IF(D482=0,0,HLOOKUP(YEAR(D482)+(MONTH(D482)/100),TC!$5:$37,DAY(D482)+2,FALSE))</f>
        <v>20.046500000000002</v>
      </c>
      <c r="K482" s="250">
        <f t="shared" si="38"/>
        <v>121662.20850000001</v>
      </c>
    </row>
    <row r="483" spans="2:11" s="134" customFormat="1" ht="23" customHeight="1">
      <c r="B483" s="7" t="s">
        <v>1263</v>
      </c>
      <c r="C483" s="7" t="s">
        <v>693</v>
      </c>
      <c r="D483" s="159">
        <v>44742</v>
      </c>
      <c r="E483" s="249" t="s">
        <v>791</v>
      </c>
      <c r="F483" s="7" t="s">
        <v>59</v>
      </c>
      <c r="G483" s="250">
        <v>4887.5</v>
      </c>
      <c r="H483" s="162">
        <f>IF(F483=0,0,IF(F483="MXN",1/HLOOKUP(YEAR(D483)+(MONTH(D483)/100),TC!$5:$437,DAY(D483)+2,FALSE),VLOOKUP(F483,Equivalencia!$1:$23,((MAX(Equivalencia!$3:$3)-YEAR(D483))*14)+MONTH(D483)+2,FALSE)))</f>
        <v>1</v>
      </c>
      <c r="I483" s="251">
        <f t="shared" si="37"/>
        <v>4887.5</v>
      </c>
      <c r="J483" s="162">
        <f>IF(D483=0,0,HLOOKUP(YEAR(D483)+(MONTH(D483)/100),TC!$5:$37,DAY(D483)+2,FALSE))</f>
        <v>19.9847</v>
      </c>
      <c r="K483" s="250">
        <f t="shared" si="38"/>
        <v>97675.221250000002</v>
      </c>
    </row>
    <row r="484" spans="2:11" s="134" customFormat="1" ht="23" customHeight="1">
      <c r="B484" s="7" t="s">
        <v>1263</v>
      </c>
      <c r="C484" s="7" t="s">
        <v>693</v>
      </c>
      <c r="D484" s="159">
        <v>44743</v>
      </c>
      <c r="E484" s="249" t="s">
        <v>921</v>
      </c>
      <c r="F484" s="7" t="s">
        <v>59</v>
      </c>
      <c r="G484" s="250">
        <v>1708</v>
      </c>
      <c r="H484" s="162">
        <f>IF(F484=0,0,IF(F484="MXN",1/HLOOKUP(YEAR(D484)+(MONTH(D484)/100),TC!$5:$437,DAY(D484)+2,FALSE),VLOOKUP(F484,Equivalencia!$1:$23,((MAX(Equivalencia!$3:$3)-YEAR(D484))*14)+MONTH(D484)+2,FALSE)))</f>
        <v>1</v>
      </c>
      <c r="I484" s="251">
        <f t="shared" si="37"/>
        <v>1708</v>
      </c>
      <c r="J484" s="162">
        <f>IF(D484=0,0,HLOOKUP(YEAR(D484)+(MONTH(D484)/100),TC!$5:$37,DAY(D484)+2,FALSE))</f>
        <v>20.144300000000001</v>
      </c>
      <c r="K484" s="250">
        <f t="shared" si="38"/>
        <v>34406.464400000004</v>
      </c>
    </row>
    <row r="485" spans="2:11" s="134" customFormat="1" ht="23" customHeight="1">
      <c r="B485" s="7" t="s">
        <v>1263</v>
      </c>
      <c r="C485" s="7" t="s">
        <v>693</v>
      </c>
      <c r="D485" s="159">
        <v>44753</v>
      </c>
      <c r="E485" s="249" t="s">
        <v>803</v>
      </c>
      <c r="F485" s="7" t="s">
        <v>59</v>
      </c>
      <c r="G485" s="250">
        <v>6900</v>
      </c>
      <c r="H485" s="162">
        <f>IF(F485=0,0,IF(F485="MXN",1/HLOOKUP(YEAR(D485)+(MONTH(D485)/100),TC!$5:$437,DAY(D485)+2,FALSE),VLOOKUP(F485,Equivalencia!$1:$23,((MAX(Equivalencia!$3:$3)-YEAR(D485))*14)+MONTH(D485)+2,FALSE)))</f>
        <v>1</v>
      </c>
      <c r="I485" s="251">
        <f>G485*H485</f>
        <v>6900</v>
      </c>
      <c r="J485" s="162">
        <f>IF(D485=0,0,HLOOKUP(YEAR(D485)+(MONTH(D485)/100),TC!$5:$37,DAY(D485)+2,FALSE))</f>
        <v>20.6022</v>
      </c>
      <c r="K485" s="250">
        <f>I485*J485</f>
        <v>142155.18</v>
      </c>
    </row>
    <row r="486" spans="2:11" s="134" customFormat="1" ht="23" customHeight="1">
      <c r="B486" s="7" t="s">
        <v>1263</v>
      </c>
      <c r="C486" s="7" t="s">
        <v>693</v>
      </c>
      <c r="D486" s="159">
        <v>44757</v>
      </c>
      <c r="E486" s="249" t="s">
        <v>792</v>
      </c>
      <c r="F486" s="7" t="s">
        <v>59</v>
      </c>
      <c r="G486" s="250">
        <v>33454</v>
      </c>
      <c r="H486" s="162">
        <f>IF(F486=0,0,IF(F486="MXN",1/HLOOKUP(YEAR(D486)+(MONTH(D486)/100),TC!$5:$437,DAY(D486)+2,FALSE),VLOOKUP(F486,Equivalencia!$1:$23,((MAX(Equivalencia!$3:$3)-YEAR(D486))*14)+MONTH(D486)+2,FALSE)))</f>
        <v>1</v>
      </c>
      <c r="I486" s="251">
        <f>G486*H486</f>
        <v>33454</v>
      </c>
      <c r="J486" s="162">
        <f>IF(D486=0,0,HLOOKUP(YEAR(D486)+(MONTH(D486)/100),TC!$5:$37,DAY(D486)+2,FALSE))</f>
        <v>20.761299999999999</v>
      </c>
      <c r="K486" s="250">
        <f>I486*J486</f>
        <v>694548.53019999992</v>
      </c>
    </row>
    <row r="487" spans="2:11" s="134" customFormat="1" ht="23" customHeight="1">
      <c r="B487" s="7" t="s">
        <v>1263</v>
      </c>
      <c r="C487" s="7" t="s">
        <v>693</v>
      </c>
      <c r="D487" s="159">
        <v>44769</v>
      </c>
      <c r="E487" s="249" t="s">
        <v>794</v>
      </c>
      <c r="F487" s="7" t="s">
        <v>59</v>
      </c>
      <c r="G487" s="250">
        <v>4256</v>
      </c>
      <c r="H487" s="162">
        <f>IF(F487=0,0,IF(F487="MXN",1/HLOOKUP(YEAR(D487)+(MONTH(D487)/100),TC!$5:$437,DAY(D487)+2,FALSE),VLOOKUP(F487,Equivalencia!$1:$23,((MAX(Equivalencia!$3:$3)-YEAR(D487))*14)+MONTH(D487)+2,FALSE)))</f>
        <v>1</v>
      </c>
      <c r="I487" s="251">
        <f>G487*H487</f>
        <v>4256</v>
      </c>
      <c r="J487" s="162">
        <f>IF(D487=0,0,HLOOKUP(YEAR(D487)+(MONTH(D487)/100),TC!$5:$37,DAY(D487)+2,FALSE))</f>
        <v>20.465199999999999</v>
      </c>
      <c r="K487" s="250">
        <f>I487*J487</f>
        <v>87099.891199999998</v>
      </c>
    </row>
    <row r="488" spans="2:11" s="134" customFormat="1" ht="23" customHeight="1">
      <c r="B488" s="7" t="s">
        <v>1263</v>
      </c>
      <c r="C488" s="7" t="s">
        <v>693</v>
      </c>
      <c r="D488" s="159">
        <v>44771</v>
      </c>
      <c r="E488" s="249" t="s">
        <v>828</v>
      </c>
      <c r="F488" s="7" t="s">
        <v>59</v>
      </c>
      <c r="G488" s="250">
        <v>7805.51</v>
      </c>
      <c r="H488" s="162">
        <f>IF(F488=0,0,IF(F488="MXN",1/HLOOKUP(YEAR(D488)+(MONTH(D488)/100),TC!$5:$437,DAY(D488)+2,FALSE),VLOOKUP(F488,Equivalencia!$1:$23,((MAX(Equivalencia!$3:$3)-YEAR(D488))*14)+MONTH(D488)+2,FALSE)))</f>
        <v>1</v>
      </c>
      <c r="I488" s="251">
        <f>G488*H488</f>
        <v>7805.51</v>
      </c>
      <c r="J488" s="162">
        <f>IF(D488=0,0,HLOOKUP(YEAR(D488)+(MONTH(D488)/100),TC!$5:$37,DAY(D488)+2,FALSE))</f>
        <v>20.512</v>
      </c>
      <c r="K488" s="250">
        <f>I488*J488</f>
        <v>160106.62112</v>
      </c>
    </row>
    <row r="489" spans="2:11" s="134" customFormat="1" ht="23" customHeight="1">
      <c r="B489" s="7" t="s">
        <v>1263</v>
      </c>
      <c r="C489" s="7" t="s">
        <v>693</v>
      </c>
      <c r="D489" s="159">
        <v>44771</v>
      </c>
      <c r="E489" s="249" t="s">
        <v>796</v>
      </c>
      <c r="F489" s="7" t="s">
        <v>59</v>
      </c>
      <c r="G489" s="250">
        <v>6237.34</v>
      </c>
      <c r="H489" s="162">
        <f>IF(F489=0,0,IF(F489="MXN",1/HLOOKUP(YEAR(D489)+(MONTH(D489)/100),TC!$5:$437,DAY(D489)+2,FALSE),VLOOKUP(F489,Equivalencia!$1:$23,((MAX(Equivalencia!$3:$3)-YEAR(D489))*14)+MONTH(D489)+2,FALSE)))</f>
        <v>1</v>
      </c>
      <c r="I489" s="251">
        <f>G489*H489</f>
        <v>6237.34</v>
      </c>
      <c r="J489" s="162">
        <f>IF(D489=0,0,HLOOKUP(YEAR(D489)+(MONTH(D489)/100),TC!$5:$37,DAY(D489)+2,FALSE))</f>
        <v>20.512</v>
      </c>
      <c r="K489" s="250">
        <f>I489*J489</f>
        <v>127940.31808000001</v>
      </c>
    </row>
    <row r="490" spans="2:11" s="134" customFormat="1" ht="23" customHeight="1">
      <c r="B490" s="7" t="s">
        <v>1263</v>
      </c>
      <c r="C490" s="7" t="s">
        <v>693</v>
      </c>
      <c r="D490" s="159">
        <v>44774</v>
      </c>
      <c r="E490" s="249" t="s">
        <v>788</v>
      </c>
      <c r="F490" s="7" t="s">
        <v>59</v>
      </c>
      <c r="G490" s="250">
        <v>4100</v>
      </c>
      <c r="H490" s="162">
        <f>IF(F490=0,0,IF(F490="MXN",1/HLOOKUP(YEAR(D490)+(MONTH(D490)/100),TC!$5:$437,DAY(D490)+2,FALSE),VLOOKUP(F490,Equivalencia!$1:$23,((MAX(Equivalencia!$3:$3)-YEAR(D490))*14)+MONTH(D490)+2,FALSE)))</f>
        <v>1</v>
      </c>
      <c r="I490" s="251">
        <f t="shared" ref="I490:I492" si="39">G490*H490</f>
        <v>4100</v>
      </c>
      <c r="J490" s="162">
        <f>IF(D490=0,0,HLOOKUP(YEAR(D490)+(MONTH(D490)/100),TC!$5:$37,DAY(D490)+2,FALSE))</f>
        <v>20.377800000000001</v>
      </c>
      <c r="K490" s="250">
        <f t="shared" ref="K490:K492" si="40">I490*J490</f>
        <v>83548.98</v>
      </c>
    </row>
    <row r="491" spans="2:11" s="134" customFormat="1" ht="23" customHeight="1">
      <c r="B491" s="7" t="s">
        <v>1263</v>
      </c>
      <c r="C491" s="7" t="s">
        <v>693</v>
      </c>
      <c r="D491" s="159">
        <v>44784</v>
      </c>
      <c r="E491" s="249" t="s">
        <v>716</v>
      </c>
      <c r="F491" s="7" t="s">
        <v>59</v>
      </c>
      <c r="G491" s="250">
        <v>2760</v>
      </c>
      <c r="H491" s="162">
        <f>IF(F491=0,0,IF(F491="MXN",1/HLOOKUP(YEAR(D491)+(MONTH(D491)/100),TC!$5:$437,DAY(D491)+2,FALSE),VLOOKUP(F491,Equivalencia!$1:$23,((MAX(Equivalencia!$3:$3)-YEAR(D491))*14)+MONTH(D491)+2,FALSE)))</f>
        <v>1</v>
      </c>
      <c r="I491" s="251">
        <f t="shared" si="39"/>
        <v>2760</v>
      </c>
      <c r="J491" s="162">
        <f>IF(D491=0,0,HLOOKUP(YEAR(D491)+(MONTH(D491)/100),TC!$5:$37,DAY(D491)+2,FALSE))</f>
        <v>20.2715</v>
      </c>
      <c r="K491" s="250">
        <f t="shared" si="40"/>
        <v>55949.34</v>
      </c>
    </row>
    <row r="492" spans="2:11" s="134" customFormat="1" ht="23" customHeight="1">
      <c r="B492" s="7" t="s">
        <v>1263</v>
      </c>
      <c r="C492" s="7" t="s">
        <v>693</v>
      </c>
      <c r="D492" s="159">
        <v>44799</v>
      </c>
      <c r="E492" s="249" t="s">
        <v>806</v>
      </c>
      <c r="F492" s="7" t="s">
        <v>59</v>
      </c>
      <c r="G492" s="250">
        <v>4263</v>
      </c>
      <c r="H492" s="162">
        <f>IF(F492=0,0,IF(F492="MXN",1/HLOOKUP(YEAR(D492)+(MONTH(D492)/100),TC!$5:$437,DAY(D492)+2,FALSE),VLOOKUP(F492,Equivalencia!$1:$23,((MAX(Equivalencia!$3:$3)-YEAR(D492))*14)+MONTH(D492)+2,FALSE)))</f>
        <v>1</v>
      </c>
      <c r="I492" s="251">
        <f t="shared" si="39"/>
        <v>4263</v>
      </c>
      <c r="J492" s="162">
        <f>IF(D492=0,0,HLOOKUP(YEAR(D492)+(MONTH(D492)/100),TC!$5:$37,DAY(D492)+2,FALSE))</f>
        <v>19.919799999999999</v>
      </c>
      <c r="K492" s="250">
        <f t="shared" si="40"/>
        <v>84918.107399999994</v>
      </c>
    </row>
    <row r="493" spans="2:11" s="134" customFormat="1" ht="23" customHeight="1">
      <c r="B493" s="7" t="s">
        <v>1263</v>
      </c>
      <c r="C493" s="7" t="s">
        <v>693</v>
      </c>
      <c r="D493" s="159">
        <v>44805</v>
      </c>
      <c r="E493" s="249" t="s">
        <v>798</v>
      </c>
      <c r="F493" s="7" t="s">
        <v>59</v>
      </c>
      <c r="G493" s="250">
        <v>7687.11</v>
      </c>
      <c r="H493" s="162">
        <f>IF(F493=0,0,IF(F493="MXN",1/HLOOKUP(YEAR(D493)+(MONTH(D493)/100),TC!$5:$437,DAY(D493)+2,FALSE),VLOOKUP(F493,Equivalencia!$1:$23,((MAX(Equivalencia!$3:$3)-YEAR(D493))*14)+MONTH(D493)+2,FALSE)))</f>
        <v>1</v>
      </c>
      <c r="I493" s="251">
        <f t="shared" ref="I493:I501" si="41">G493*H493</f>
        <v>7687.11</v>
      </c>
      <c r="J493" s="162">
        <f>IF(D493=0,0,HLOOKUP(YEAR(D493)+(MONTH(D493)/100),TC!$5:$37,DAY(D493)+2,FALSE))</f>
        <v>20.1465</v>
      </c>
      <c r="K493" s="250">
        <f t="shared" ref="K493:K501" si="42">I493*J493</f>
        <v>154868.361615</v>
      </c>
    </row>
    <row r="494" spans="2:11" s="134" customFormat="1" ht="23" customHeight="1">
      <c r="B494" s="7" t="s">
        <v>1263</v>
      </c>
      <c r="C494" s="7" t="s">
        <v>693</v>
      </c>
      <c r="D494" s="159">
        <v>44805</v>
      </c>
      <c r="E494" s="249" t="s">
        <v>758</v>
      </c>
      <c r="F494" s="7" t="s">
        <v>59</v>
      </c>
      <c r="G494" s="250">
        <v>6862</v>
      </c>
      <c r="H494" s="162">
        <f>IF(F494=0,0,IF(F494="MXN",1/HLOOKUP(YEAR(D494)+(MONTH(D494)/100),TC!$5:$437,DAY(D494)+2,FALSE),VLOOKUP(F494,Equivalencia!$1:$23,((MAX(Equivalencia!$3:$3)-YEAR(D494))*14)+MONTH(D494)+2,FALSE)))</f>
        <v>1</v>
      </c>
      <c r="I494" s="251">
        <f t="shared" si="41"/>
        <v>6862</v>
      </c>
      <c r="J494" s="162">
        <f>IF(D494=0,0,HLOOKUP(YEAR(D494)+(MONTH(D494)/100),TC!$5:$37,DAY(D494)+2,FALSE))</f>
        <v>20.1465</v>
      </c>
      <c r="K494" s="250">
        <f t="shared" si="42"/>
        <v>138245.283</v>
      </c>
    </row>
    <row r="495" spans="2:11" s="134" customFormat="1" ht="23" customHeight="1">
      <c r="B495" s="7" t="s">
        <v>1263</v>
      </c>
      <c r="C495" s="7" t="s">
        <v>693</v>
      </c>
      <c r="D495" s="159">
        <v>44810</v>
      </c>
      <c r="E495" s="249" t="s">
        <v>797</v>
      </c>
      <c r="F495" s="7" t="s">
        <v>59</v>
      </c>
      <c r="G495" s="250">
        <v>5120</v>
      </c>
      <c r="H495" s="162">
        <f>IF(F495=0,0,IF(F495="MXN",1/HLOOKUP(YEAR(D495)+(MONTH(D495)/100),TC!$5:$437,DAY(D495)+2,FALSE),VLOOKUP(F495,Equivalencia!$1:$23,((MAX(Equivalencia!$3:$3)-YEAR(D495))*14)+MONTH(D495)+2,FALSE)))</f>
        <v>1</v>
      </c>
      <c r="I495" s="251">
        <f t="shared" si="41"/>
        <v>5120</v>
      </c>
      <c r="J495" s="162">
        <f>IF(D495=0,0,HLOOKUP(YEAR(D495)+(MONTH(D495)/100),TC!$5:$37,DAY(D495)+2,FALSE))</f>
        <v>19.975300000000001</v>
      </c>
      <c r="K495" s="250">
        <f t="shared" si="42"/>
        <v>102273.53600000001</v>
      </c>
    </row>
    <row r="496" spans="2:11" s="134" customFormat="1" ht="23" customHeight="1">
      <c r="B496" s="7" t="s">
        <v>1263</v>
      </c>
      <c r="C496" s="7" t="s">
        <v>693</v>
      </c>
      <c r="D496" s="159">
        <v>44810</v>
      </c>
      <c r="E496" s="249" t="s">
        <v>735</v>
      </c>
      <c r="F496" s="7" t="s">
        <v>59</v>
      </c>
      <c r="G496" s="250">
        <v>2240</v>
      </c>
      <c r="H496" s="162">
        <f>IF(F496=0,0,IF(F496="MXN",1/HLOOKUP(YEAR(D496)+(MONTH(D496)/100),TC!$5:$437,DAY(D496)+2,FALSE),VLOOKUP(F496,Equivalencia!$1:$23,((MAX(Equivalencia!$3:$3)-YEAR(D496))*14)+MONTH(D496)+2,FALSE)))</f>
        <v>1</v>
      </c>
      <c r="I496" s="251">
        <f t="shared" si="41"/>
        <v>2240</v>
      </c>
      <c r="J496" s="162">
        <f>IF(D496=0,0,HLOOKUP(YEAR(D496)+(MONTH(D496)/100),TC!$5:$37,DAY(D496)+2,FALSE))</f>
        <v>19.975300000000001</v>
      </c>
      <c r="K496" s="250">
        <f t="shared" si="42"/>
        <v>44744.671999999999</v>
      </c>
    </row>
    <row r="497" spans="2:11" s="134" customFormat="1" ht="23" customHeight="1">
      <c r="B497" s="7" t="s">
        <v>1263</v>
      </c>
      <c r="C497" s="7" t="s">
        <v>693</v>
      </c>
      <c r="D497" s="159">
        <v>44826</v>
      </c>
      <c r="E497" s="249" t="s">
        <v>799</v>
      </c>
      <c r="F497" s="7" t="s">
        <v>59</v>
      </c>
      <c r="G497" s="250">
        <v>27992.03</v>
      </c>
      <c r="H497" s="162">
        <f>IF(F497=0,0,IF(F497="MXN",1/HLOOKUP(YEAR(D497)+(MONTH(D497)/100),TC!$5:$437,DAY(D497)+2,FALSE),VLOOKUP(F497,Equivalencia!$1:$23,((MAX(Equivalencia!$3:$3)-YEAR(D497))*14)+MONTH(D497)+2,FALSE)))</f>
        <v>1</v>
      </c>
      <c r="I497" s="251">
        <f t="shared" si="41"/>
        <v>27992.03</v>
      </c>
      <c r="J497" s="162">
        <f>IF(D497=0,0,HLOOKUP(YEAR(D497)+(MONTH(D497)/100),TC!$5:$37,DAY(D497)+2,FALSE))</f>
        <v>20</v>
      </c>
      <c r="K497" s="250">
        <f t="shared" si="42"/>
        <v>559840.6</v>
      </c>
    </row>
    <row r="498" spans="2:11" s="134" customFormat="1" ht="23" customHeight="1">
      <c r="B498" s="7" t="s">
        <v>1263</v>
      </c>
      <c r="C498" s="7" t="s">
        <v>693</v>
      </c>
      <c r="D498" s="159">
        <v>44826</v>
      </c>
      <c r="E498" s="249" t="s">
        <v>800</v>
      </c>
      <c r="F498" s="7" t="s">
        <v>59</v>
      </c>
      <c r="G498" s="250">
        <v>3029.9</v>
      </c>
      <c r="H498" s="162">
        <f>IF(F498=0,0,IF(F498="MXN",1/HLOOKUP(YEAR(D498)+(MONTH(D498)/100),TC!$5:$437,DAY(D498)+2,FALSE),VLOOKUP(F498,Equivalencia!$1:$23,((MAX(Equivalencia!$3:$3)-YEAR(D498))*14)+MONTH(D498)+2,FALSE)))</f>
        <v>1</v>
      </c>
      <c r="I498" s="251">
        <f t="shared" si="41"/>
        <v>3029.9</v>
      </c>
      <c r="J498" s="162">
        <f>IF(D498=0,0,HLOOKUP(YEAR(D498)+(MONTH(D498)/100),TC!$5:$37,DAY(D498)+2,FALSE))</f>
        <v>20</v>
      </c>
      <c r="K498" s="250">
        <f t="shared" si="42"/>
        <v>60598</v>
      </c>
    </row>
    <row r="499" spans="2:11" s="134" customFormat="1" ht="23" customHeight="1">
      <c r="B499" s="7" t="s">
        <v>1263</v>
      </c>
      <c r="C499" s="7" t="s">
        <v>693</v>
      </c>
      <c r="D499" s="159">
        <v>44834</v>
      </c>
      <c r="E499" s="249" t="s">
        <v>872</v>
      </c>
      <c r="F499" s="7" t="s">
        <v>59</v>
      </c>
      <c r="G499" s="250">
        <v>2341.64</v>
      </c>
      <c r="H499" s="162">
        <f>IF(F499=0,0,IF(F499="MXN",1/HLOOKUP(YEAR(D499)+(MONTH(D499)/100),TC!$5:$437,DAY(D499)+2,FALSE),VLOOKUP(F499,Equivalencia!$1:$23,((MAX(Equivalencia!$3:$3)-YEAR(D499))*14)+MONTH(D499)+2,FALSE)))</f>
        <v>1</v>
      </c>
      <c r="I499" s="251">
        <f t="shared" si="41"/>
        <v>2341.64</v>
      </c>
      <c r="J499" s="162">
        <f>IF(D499=0,0,HLOOKUP(YEAR(D499)+(MONTH(D499)/100),TC!$5:$37,DAY(D499)+2,FALSE))</f>
        <v>20.305800000000001</v>
      </c>
      <c r="K499" s="250">
        <f t="shared" si="42"/>
        <v>47548.873511999998</v>
      </c>
    </row>
    <row r="500" spans="2:11" s="134" customFormat="1" ht="23" customHeight="1">
      <c r="B500" s="7" t="s">
        <v>1263</v>
      </c>
      <c r="C500" s="7" t="s">
        <v>693</v>
      </c>
      <c r="D500" s="159">
        <v>44834</v>
      </c>
      <c r="E500" s="249" t="s">
        <v>801</v>
      </c>
      <c r="F500" s="7" t="s">
        <v>59</v>
      </c>
      <c r="G500" s="250">
        <v>6358</v>
      </c>
      <c r="H500" s="162">
        <f>IF(F500=0,0,IF(F500="MXN",1/HLOOKUP(YEAR(D500)+(MONTH(D500)/100),TC!$5:$437,DAY(D500)+2,FALSE),VLOOKUP(F500,Equivalencia!$1:$23,((MAX(Equivalencia!$3:$3)-YEAR(D500))*14)+MONTH(D500)+2,FALSE)))</f>
        <v>1</v>
      </c>
      <c r="I500" s="251">
        <f t="shared" si="41"/>
        <v>6358</v>
      </c>
      <c r="J500" s="162">
        <f>IF(D500=0,0,HLOOKUP(YEAR(D500)+(MONTH(D500)/100),TC!$5:$37,DAY(D500)+2,FALSE))</f>
        <v>20.305800000000001</v>
      </c>
      <c r="K500" s="250">
        <f t="shared" si="42"/>
        <v>129104.2764</v>
      </c>
    </row>
    <row r="501" spans="2:11" s="134" customFormat="1" ht="23" customHeight="1">
      <c r="B501" s="7" t="s">
        <v>1263</v>
      </c>
      <c r="C501" s="7" t="s">
        <v>693</v>
      </c>
      <c r="D501" s="159">
        <v>44834</v>
      </c>
      <c r="E501" s="249" t="s">
        <v>802</v>
      </c>
      <c r="F501" s="7" t="s">
        <v>59</v>
      </c>
      <c r="G501" s="250">
        <v>4887.5</v>
      </c>
      <c r="H501" s="162">
        <f>IF(F501=0,0,IF(F501="MXN",1/HLOOKUP(YEAR(D501)+(MONTH(D501)/100),TC!$5:$437,DAY(D501)+2,FALSE),VLOOKUP(F501,Equivalencia!$1:$23,((MAX(Equivalencia!$3:$3)-YEAR(D501))*14)+MONTH(D501)+2,FALSE)))</f>
        <v>1</v>
      </c>
      <c r="I501" s="251">
        <f t="shared" si="41"/>
        <v>4887.5</v>
      </c>
      <c r="J501" s="162">
        <f>IF(D501=0,0,HLOOKUP(YEAR(D501)+(MONTH(D501)/100),TC!$5:$37,DAY(D501)+2,FALSE))</f>
        <v>20.305800000000001</v>
      </c>
      <c r="K501" s="250">
        <f t="shared" si="42"/>
        <v>99244.597500000003</v>
      </c>
    </row>
    <row r="502" spans="2:11" s="134" customFormat="1" ht="23" customHeight="1">
      <c r="B502" s="7" t="s">
        <v>1263</v>
      </c>
      <c r="C502" s="7" t="s">
        <v>693</v>
      </c>
      <c r="D502" s="159">
        <v>44837</v>
      </c>
      <c r="E502" s="249" t="s">
        <v>803</v>
      </c>
      <c r="F502" s="7" t="s">
        <v>59</v>
      </c>
      <c r="G502" s="250">
        <v>6900</v>
      </c>
      <c r="H502" s="162">
        <f>IF(F502=0,0,IF(F502="MXN",1/HLOOKUP(YEAR(D502)+(MONTH(D502)/100),TC!$5:$437,DAY(D502)+2,FALSE),VLOOKUP(F502,Equivalencia!$1:$23,((MAX(Equivalencia!$3:$3)-YEAR(D502))*14)+MONTH(D502)+2,FALSE)))</f>
        <v>1</v>
      </c>
      <c r="I502" s="251">
        <f t="shared" ref="I502:I508" si="43">G502*H502</f>
        <v>6900</v>
      </c>
      <c r="J502" s="162">
        <f>IF(D502=0,0,HLOOKUP(YEAR(D502)+(MONTH(D502)/100),TC!$5:$37,DAY(D502)+2,FALSE))</f>
        <v>20.192699999999999</v>
      </c>
      <c r="K502" s="250">
        <f t="shared" ref="K502:K508" si="44">I502*J502</f>
        <v>139329.62999999998</v>
      </c>
    </row>
    <row r="503" spans="2:11" s="134" customFormat="1" ht="23" customHeight="1">
      <c r="B503" s="7" t="s">
        <v>1263</v>
      </c>
      <c r="C503" s="7" t="s">
        <v>693</v>
      </c>
      <c r="D503" s="159">
        <v>44837</v>
      </c>
      <c r="E503" s="249" t="s">
        <v>921</v>
      </c>
      <c r="F503" s="7" t="s">
        <v>59</v>
      </c>
      <c r="G503" s="250">
        <v>1708</v>
      </c>
      <c r="H503" s="162">
        <f>IF(F503=0,0,IF(F503="MXN",1/HLOOKUP(YEAR(D503)+(MONTH(D503)/100),TC!$5:$437,DAY(D503)+2,FALSE),VLOOKUP(F503,Equivalencia!$1:$23,((MAX(Equivalencia!$3:$3)-YEAR(D503))*14)+MONTH(D503)+2,FALSE)))</f>
        <v>1</v>
      </c>
      <c r="I503" s="251">
        <f t="shared" si="43"/>
        <v>1708</v>
      </c>
      <c r="J503" s="162">
        <f>IF(D503=0,0,HLOOKUP(YEAR(D503)+(MONTH(D503)/100),TC!$5:$37,DAY(D503)+2,FALSE))</f>
        <v>20.192699999999999</v>
      </c>
      <c r="K503" s="250">
        <f t="shared" si="44"/>
        <v>34489.131600000001</v>
      </c>
    </row>
    <row r="504" spans="2:11" s="134" customFormat="1" ht="23" customHeight="1">
      <c r="B504" s="7" t="s">
        <v>1263</v>
      </c>
      <c r="C504" s="7" t="s">
        <v>693</v>
      </c>
      <c r="D504" s="159">
        <v>44848</v>
      </c>
      <c r="E504" s="249" t="s">
        <v>792</v>
      </c>
      <c r="F504" s="7" t="s">
        <v>59</v>
      </c>
      <c r="G504" s="250">
        <v>33454</v>
      </c>
      <c r="H504" s="162">
        <f>IF(F504=0,0,IF(F504="MXN",1/HLOOKUP(YEAR(D504)+(MONTH(D504)/100),TC!$5:$437,DAY(D504)+2,FALSE),VLOOKUP(F504,Equivalencia!$1:$23,((MAX(Equivalencia!$3:$3)-YEAR(D504))*14)+MONTH(D504)+2,FALSE)))</f>
        <v>1</v>
      </c>
      <c r="I504" s="251">
        <f t="shared" si="43"/>
        <v>33454</v>
      </c>
      <c r="J504" s="162">
        <f>IF(D504=0,0,HLOOKUP(YEAR(D504)+(MONTH(D504)/100),TC!$5:$37,DAY(D504)+2,FALSE))</f>
        <v>20.0352</v>
      </c>
      <c r="K504" s="250">
        <f t="shared" si="44"/>
        <v>670257.5808</v>
      </c>
    </row>
    <row r="505" spans="2:11" s="134" customFormat="1" ht="23" customHeight="1">
      <c r="B505" s="7" t="s">
        <v>1263</v>
      </c>
      <c r="C505" s="7" t="s">
        <v>693</v>
      </c>
      <c r="D505" s="159">
        <v>44860</v>
      </c>
      <c r="E505" s="249" t="s">
        <v>794</v>
      </c>
      <c r="F505" s="7" t="s">
        <v>59</v>
      </c>
      <c r="G505" s="250">
        <v>4256</v>
      </c>
      <c r="H505" s="162">
        <f>IF(F505=0,0,IF(F505="MXN",1/HLOOKUP(YEAR(D505)+(MONTH(D505)/100),TC!$5:$437,DAY(D505)+2,FALSE),VLOOKUP(F505,Equivalencia!$1:$23,((MAX(Equivalencia!$3:$3)-YEAR(D505))*14)+MONTH(D505)+2,FALSE)))</f>
        <v>1</v>
      </c>
      <c r="I505" s="251">
        <f t="shared" si="43"/>
        <v>4256</v>
      </c>
      <c r="J505" s="162">
        <f>IF(D505=0,0,HLOOKUP(YEAR(D505)+(MONTH(D505)/100),TC!$5:$37,DAY(D505)+2,FALSE))</f>
        <v>19.953499999999998</v>
      </c>
      <c r="K505" s="250">
        <f t="shared" si="44"/>
        <v>84922.09599999999</v>
      </c>
    </row>
    <row r="506" spans="2:11" s="134" customFormat="1" ht="23" customHeight="1">
      <c r="B506" s="7" t="s">
        <v>1263</v>
      </c>
      <c r="C506" s="7" t="s">
        <v>693</v>
      </c>
      <c r="D506" s="159">
        <v>44865</v>
      </c>
      <c r="E506" s="249" t="s">
        <v>958</v>
      </c>
      <c r="F506" s="7" t="s">
        <v>59</v>
      </c>
      <c r="G506" s="250">
        <v>4067.92</v>
      </c>
      <c r="H506" s="162">
        <f>IF(F506=0,0,IF(F506="MXN",1/HLOOKUP(YEAR(D506)+(MONTH(D506)/100),TC!$5:$437,DAY(D506)+2,FALSE),VLOOKUP(F506,Equivalencia!$1:$23,((MAX(Equivalencia!$3:$3)-YEAR(D506))*14)+MONTH(D506)+2,FALSE)))</f>
        <v>1</v>
      </c>
      <c r="I506" s="251">
        <f t="shared" si="43"/>
        <v>4067.92</v>
      </c>
      <c r="J506" s="162">
        <f>IF(D506=0,0,HLOOKUP(YEAR(D506)+(MONTH(D506)/100),TC!$5:$37,DAY(D506)+2,FALSE))</f>
        <v>19.836500000000001</v>
      </c>
      <c r="K506" s="250">
        <f t="shared" si="44"/>
        <v>80693.295080000011</v>
      </c>
    </row>
    <row r="507" spans="2:11" s="134" customFormat="1" ht="23" customHeight="1">
      <c r="B507" s="7" t="s">
        <v>1263</v>
      </c>
      <c r="C507" s="7" t="s">
        <v>693</v>
      </c>
      <c r="D507" s="159">
        <v>44865</v>
      </c>
      <c r="E507" s="249" t="s">
        <v>828</v>
      </c>
      <c r="F507" s="7" t="s">
        <v>59</v>
      </c>
      <c r="G507" s="250">
        <v>3951.09</v>
      </c>
      <c r="H507" s="162">
        <f>IF(F507=0,0,IF(F507="MXN",1/HLOOKUP(YEAR(D507)+(MONTH(D507)/100),TC!$5:$437,DAY(D507)+2,FALSE),VLOOKUP(F507,Equivalencia!$1:$23,((MAX(Equivalencia!$3:$3)-YEAR(D507))*14)+MONTH(D507)+2,FALSE)))</f>
        <v>1</v>
      </c>
      <c r="I507" s="251">
        <f t="shared" si="43"/>
        <v>3951.09</v>
      </c>
      <c r="J507" s="162">
        <f>IF(D507=0,0,HLOOKUP(YEAR(D507)+(MONTH(D507)/100),TC!$5:$37,DAY(D507)+2,FALSE))</f>
        <v>19.836500000000001</v>
      </c>
      <c r="K507" s="250">
        <f t="shared" si="44"/>
        <v>78375.796785000013</v>
      </c>
    </row>
    <row r="508" spans="2:11" s="134" customFormat="1" ht="23" customHeight="1">
      <c r="B508" s="7" t="s">
        <v>1263</v>
      </c>
      <c r="C508" s="7" t="s">
        <v>693</v>
      </c>
      <c r="D508" s="159">
        <v>44865</v>
      </c>
      <c r="E508" s="249" t="s">
        <v>788</v>
      </c>
      <c r="F508" s="7" t="s">
        <v>59</v>
      </c>
      <c r="G508" s="250">
        <v>4100</v>
      </c>
      <c r="H508" s="162">
        <f>IF(F508=0,0,IF(F508="MXN",1/HLOOKUP(YEAR(D508)+(MONTH(D508)/100),TC!$5:$437,DAY(D508)+2,FALSE),VLOOKUP(F508,Equivalencia!$1:$23,((MAX(Equivalencia!$3:$3)-YEAR(D508))*14)+MONTH(D508)+2,FALSE)))</f>
        <v>1</v>
      </c>
      <c r="I508" s="251">
        <f t="shared" si="43"/>
        <v>4100</v>
      </c>
      <c r="J508" s="162">
        <f>IF(D508=0,0,HLOOKUP(YEAR(D508)+(MONTH(D508)/100),TC!$5:$37,DAY(D508)+2,FALSE))</f>
        <v>19.836500000000001</v>
      </c>
      <c r="K508" s="250">
        <f t="shared" si="44"/>
        <v>81329.650000000009</v>
      </c>
    </row>
    <row r="509" spans="2:11" s="134" customFormat="1" ht="23" customHeight="1">
      <c r="B509" s="7" t="s">
        <v>1256</v>
      </c>
      <c r="C509" s="7" t="s">
        <v>693</v>
      </c>
      <c r="D509" s="159">
        <v>44574</v>
      </c>
      <c r="E509" s="249" t="s">
        <v>807</v>
      </c>
      <c r="F509" s="7" t="s">
        <v>59</v>
      </c>
      <c r="G509" s="250">
        <v>673.91</v>
      </c>
      <c r="H509" s="162">
        <f>IF(F509=0,0,IF(F509="MXN",1/HLOOKUP(YEAR(D509)+(MONTH(D509)/100),TC!$5:$437,DAY(D509)+2,FALSE),VLOOKUP(F509,Equivalencia!$1:$23,((MAX(Equivalencia!$3:$3)-YEAR(D509))*14)+MONTH(D509)+2,FALSE)))</f>
        <v>1</v>
      </c>
      <c r="I509" s="251">
        <f t="shared" ref="I509:I520" si="45">G509*H509</f>
        <v>673.91</v>
      </c>
      <c r="J509" s="162">
        <f>IF(D509=0,0,HLOOKUP(YEAR(D509)+(MONTH(D509)/100),TC!$5:$37,DAY(D509)+2,FALSE))</f>
        <v>20.378499999999999</v>
      </c>
      <c r="K509" s="250">
        <f t="shared" ref="K509:K520" si="46">I509*J509</f>
        <v>13733.274934999999</v>
      </c>
    </row>
    <row r="510" spans="2:11" s="134" customFormat="1" ht="23" customHeight="1">
      <c r="B510" s="7" t="s">
        <v>1256</v>
      </c>
      <c r="C510" s="7" t="s">
        <v>693</v>
      </c>
      <c r="D510" s="159">
        <v>44592</v>
      </c>
      <c r="E510" s="249" t="s">
        <v>788</v>
      </c>
      <c r="F510" s="7" t="s">
        <v>59</v>
      </c>
      <c r="G510" s="250">
        <v>660</v>
      </c>
      <c r="H510" s="162">
        <f>IF(F510=0,0,IF(F510="MXN",1/HLOOKUP(YEAR(D510)+(MONTH(D510)/100),TC!$5:$437,DAY(D510)+2,FALSE),VLOOKUP(F510,Equivalencia!$1:$23,((MAX(Equivalencia!$3:$3)-YEAR(D510))*14)+MONTH(D510)+2,FALSE)))</f>
        <v>1</v>
      </c>
      <c r="I510" s="251">
        <f t="shared" si="45"/>
        <v>660</v>
      </c>
      <c r="J510" s="162">
        <f>IF(D510=0,0,HLOOKUP(YEAR(D510)+(MONTH(D510)/100),TC!$5:$37,DAY(D510)+2,FALSE))</f>
        <v>20.738299999999999</v>
      </c>
      <c r="K510" s="250">
        <f t="shared" si="46"/>
        <v>13687.277999999998</v>
      </c>
    </row>
    <row r="511" spans="2:11" s="134" customFormat="1" ht="23" customHeight="1">
      <c r="B511" s="7" t="s">
        <v>1256</v>
      </c>
      <c r="C511" s="7" t="s">
        <v>693</v>
      </c>
      <c r="D511" s="159">
        <v>44607</v>
      </c>
      <c r="E511" s="249" t="s">
        <v>753</v>
      </c>
      <c r="F511" s="7" t="s">
        <v>59</v>
      </c>
      <c r="G511" s="250">
        <v>770</v>
      </c>
      <c r="H511" s="162">
        <f>IF(F511=0,0,IF(F511="MXN",1/HLOOKUP(YEAR(D511)+(MONTH(D511)/100),TC!$5:$437,DAY(D511)+2,FALSE),VLOOKUP(F511,Equivalencia!$1:$23,((MAX(Equivalencia!$3:$3)-YEAR(D511))*14)+MONTH(D511)+2,FALSE)))</f>
        <v>1</v>
      </c>
      <c r="I511" s="251">
        <f t="shared" si="45"/>
        <v>770</v>
      </c>
      <c r="J511" s="162">
        <f>IF(D511=0,0,HLOOKUP(YEAR(D511)+(MONTH(D511)/100),TC!$5:$37,DAY(D511)+2,FALSE))</f>
        <v>20.418800000000001</v>
      </c>
      <c r="K511" s="250">
        <f t="shared" si="46"/>
        <v>15722.476000000001</v>
      </c>
    </row>
    <row r="512" spans="2:11" s="134" customFormat="1" ht="23" customHeight="1">
      <c r="B512" s="7" t="s">
        <v>1256</v>
      </c>
      <c r="C512" s="7" t="s">
        <v>693</v>
      </c>
      <c r="D512" s="159">
        <v>44617</v>
      </c>
      <c r="E512" s="249" t="s">
        <v>808</v>
      </c>
      <c r="F512" s="7" t="s">
        <v>59</v>
      </c>
      <c r="G512" s="250">
        <v>765</v>
      </c>
      <c r="H512" s="162">
        <f>IF(F512=0,0,IF(F512="MXN",1/HLOOKUP(YEAR(D512)+(MONTH(D512)/100),TC!$5:$437,DAY(D512)+2,FALSE),VLOOKUP(F512,Equivalencia!$1:$23,((MAX(Equivalencia!$3:$3)-YEAR(D512))*14)+MONTH(D512)+2,FALSE)))</f>
        <v>1</v>
      </c>
      <c r="I512" s="251">
        <f t="shared" si="45"/>
        <v>765</v>
      </c>
      <c r="J512" s="162">
        <f>IF(D512=0,0,HLOOKUP(YEAR(D512)+(MONTH(D512)/100),TC!$5:$37,DAY(D512)+2,FALSE))</f>
        <v>20.243500000000001</v>
      </c>
      <c r="K512" s="250">
        <f t="shared" si="46"/>
        <v>15486.2775</v>
      </c>
    </row>
    <row r="513" spans="2:11" s="134" customFormat="1" ht="23" customHeight="1">
      <c r="B513" s="7" t="s">
        <v>1256</v>
      </c>
      <c r="C513" s="7" t="s">
        <v>693</v>
      </c>
      <c r="D513" s="159">
        <v>44644</v>
      </c>
      <c r="E513" s="249" t="s">
        <v>809</v>
      </c>
      <c r="F513" s="7" t="s">
        <v>59</v>
      </c>
      <c r="G513" s="250">
        <v>4816.28</v>
      </c>
      <c r="H513" s="162">
        <f>IF(F513=0,0,IF(F513="MXN",1/HLOOKUP(YEAR(D513)+(MONTH(D513)/100),TC!$5:$437,DAY(D513)+2,FALSE),VLOOKUP(F513,Equivalencia!$1:$23,((MAX(Equivalencia!$3:$3)-YEAR(D513))*14)+MONTH(D513)+2,FALSE)))</f>
        <v>1</v>
      </c>
      <c r="I513" s="251">
        <f t="shared" si="45"/>
        <v>4816.28</v>
      </c>
      <c r="J513" s="162">
        <f>IF(D513=0,0,HLOOKUP(YEAR(D513)+(MONTH(D513)/100),TC!$5:$37,DAY(D513)+2,FALSE))</f>
        <v>20.278199999999998</v>
      </c>
      <c r="K513" s="250">
        <f t="shared" si="46"/>
        <v>97665.48909599999</v>
      </c>
    </row>
    <row r="514" spans="2:11" s="134" customFormat="1" ht="23" customHeight="1">
      <c r="B514" s="7" t="s">
        <v>1256</v>
      </c>
      <c r="C514" s="7" t="s">
        <v>693</v>
      </c>
      <c r="D514" s="159">
        <v>44645</v>
      </c>
      <c r="E514" s="249" t="s">
        <v>801</v>
      </c>
      <c r="F514" s="7" t="s">
        <v>59</v>
      </c>
      <c r="G514" s="250">
        <v>525</v>
      </c>
      <c r="H514" s="162">
        <f>IF(F514=0,0,IF(F514="MXN",1/HLOOKUP(YEAR(D514)+(MONTH(D514)/100),TC!$5:$437,DAY(D514)+2,FALSE),VLOOKUP(F514,Equivalencia!$1:$23,((MAX(Equivalencia!$3:$3)-YEAR(D514))*14)+MONTH(D514)+2,FALSE)))</f>
        <v>1</v>
      </c>
      <c r="I514" s="251">
        <f t="shared" si="45"/>
        <v>525</v>
      </c>
      <c r="J514" s="162">
        <f>IF(D514=0,0,HLOOKUP(YEAR(D514)+(MONTH(D514)/100),TC!$5:$37,DAY(D514)+2,FALSE))</f>
        <v>20.18</v>
      </c>
      <c r="K514" s="250">
        <f t="shared" si="46"/>
        <v>10594.5</v>
      </c>
    </row>
    <row r="515" spans="2:11" s="134" customFormat="1" ht="23" customHeight="1">
      <c r="B515" s="7" t="s">
        <v>1256</v>
      </c>
      <c r="C515" s="7" t="s">
        <v>693</v>
      </c>
      <c r="D515" s="159">
        <v>44650</v>
      </c>
      <c r="E515" s="249" t="s">
        <v>783</v>
      </c>
      <c r="F515" s="7" t="s">
        <v>59</v>
      </c>
      <c r="G515" s="250">
        <v>550</v>
      </c>
      <c r="H515" s="162">
        <f>IF(F515=0,0,IF(F515="MXN",1/HLOOKUP(YEAR(D515)+(MONTH(D515)/100),TC!$5:$437,DAY(D515)+2,FALSE),VLOOKUP(F515,Equivalencia!$1:$23,((MAX(Equivalencia!$3:$3)-YEAR(D515))*14)+MONTH(D515)+2,FALSE)))</f>
        <v>1</v>
      </c>
      <c r="I515" s="251">
        <f t="shared" si="45"/>
        <v>550</v>
      </c>
      <c r="J515" s="162">
        <f>IF(D515=0,0,HLOOKUP(YEAR(D515)+(MONTH(D515)/100),TC!$5:$37,DAY(D515)+2,FALSE))</f>
        <v>20.119499999999999</v>
      </c>
      <c r="K515" s="250">
        <f t="shared" si="46"/>
        <v>11065.724999999999</v>
      </c>
    </row>
    <row r="516" spans="2:11" s="134" customFormat="1" ht="23" customHeight="1">
      <c r="B516" s="7" t="s">
        <v>1256</v>
      </c>
      <c r="C516" s="7" t="s">
        <v>693</v>
      </c>
      <c r="D516" s="159">
        <v>44664</v>
      </c>
      <c r="E516" s="249" t="s">
        <v>810</v>
      </c>
      <c r="F516" s="7" t="s">
        <v>59</v>
      </c>
      <c r="G516" s="250">
        <v>3291.36</v>
      </c>
      <c r="H516" s="162">
        <f>IF(F516=0,0,IF(F516="MXN",1/HLOOKUP(YEAR(D516)+(MONTH(D516)/100),TC!$5:$437,DAY(D516)+2,FALSE),VLOOKUP(F516,Equivalencia!$1:$23,((MAX(Equivalencia!$3:$3)-YEAR(D516))*14)+MONTH(D516)+2,FALSE)))</f>
        <v>1</v>
      </c>
      <c r="I516" s="251">
        <f t="shared" si="45"/>
        <v>3291.36</v>
      </c>
      <c r="J516" s="162">
        <f>IF(D516=0,0,HLOOKUP(YEAR(D516)+(MONTH(D516)/100),TC!$5:$37,DAY(D516)+2,FALSE))</f>
        <v>20.0093</v>
      </c>
      <c r="K516" s="250">
        <f t="shared" si="46"/>
        <v>65857.809647999995</v>
      </c>
    </row>
    <row r="517" spans="2:11" s="134" customFormat="1" ht="23" customHeight="1">
      <c r="B517" s="7" t="s">
        <v>1256</v>
      </c>
      <c r="C517" s="7" t="s">
        <v>693</v>
      </c>
      <c r="D517" s="159">
        <v>44665</v>
      </c>
      <c r="E517" s="249" t="s">
        <v>811</v>
      </c>
      <c r="F517" s="7" t="s">
        <v>59</v>
      </c>
      <c r="G517" s="250">
        <v>644.92999999999995</v>
      </c>
      <c r="H517" s="162">
        <f>IF(F517=0,0,IF(F517="MXN",1/HLOOKUP(YEAR(D517)+(MONTH(D517)/100),TC!$5:$437,DAY(D517)+2,FALSE),VLOOKUP(F517,Equivalencia!$1:$23,((MAX(Equivalencia!$3:$3)-YEAR(D517))*14)+MONTH(D517)+2,FALSE)))</f>
        <v>1</v>
      </c>
      <c r="I517" s="251">
        <f t="shared" si="45"/>
        <v>644.92999999999995</v>
      </c>
      <c r="J517" s="162">
        <f>IF(D517=0,0,HLOOKUP(YEAR(D517)+(MONTH(D517)/100),TC!$5:$37,DAY(D517)+2,FALSE))</f>
        <v>19.840699999999998</v>
      </c>
      <c r="K517" s="250">
        <f t="shared" si="46"/>
        <v>12795.862650999998</v>
      </c>
    </row>
    <row r="518" spans="2:11" s="134" customFormat="1" ht="23" customHeight="1">
      <c r="B518" s="7" t="s">
        <v>1256</v>
      </c>
      <c r="C518" s="7" t="s">
        <v>693</v>
      </c>
      <c r="D518" s="159">
        <v>44683</v>
      </c>
      <c r="E518" s="249" t="s">
        <v>788</v>
      </c>
      <c r="F518" s="7" t="s">
        <v>59</v>
      </c>
      <c r="G518" s="250">
        <v>660</v>
      </c>
      <c r="H518" s="162">
        <f>IF(F518=0,0,IF(F518="MXN",1/HLOOKUP(YEAR(D518)+(MONTH(D518)/100),TC!$5:$437,DAY(D518)+2,FALSE),VLOOKUP(F518,Equivalencia!$1:$23,((MAX(Equivalencia!$3:$3)-YEAR(D518))*14)+MONTH(D518)+2,FALSE)))</f>
        <v>1</v>
      </c>
      <c r="I518" s="251">
        <f t="shared" si="45"/>
        <v>660</v>
      </c>
      <c r="J518" s="162">
        <f>IF(D518=0,0,HLOOKUP(YEAR(D518)+(MONTH(D518)/100),TC!$5:$37,DAY(D518)+2,FALSE))</f>
        <v>20.567</v>
      </c>
      <c r="K518" s="250">
        <f t="shared" si="46"/>
        <v>13574.22</v>
      </c>
    </row>
    <row r="519" spans="2:11" s="134" customFormat="1" ht="23" customHeight="1">
      <c r="B519" s="7" t="s">
        <v>1256</v>
      </c>
      <c r="C519" s="7" t="s">
        <v>693</v>
      </c>
      <c r="D519" s="159">
        <v>44694</v>
      </c>
      <c r="E519" s="249" t="s">
        <v>753</v>
      </c>
      <c r="F519" s="7" t="s">
        <v>59</v>
      </c>
      <c r="G519" s="250">
        <v>770</v>
      </c>
      <c r="H519" s="162">
        <f>IF(F519=0,0,IF(F519="MXN",1/HLOOKUP(YEAR(D519)+(MONTH(D519)/100),TC!$5:$437,DAY(D519)+2,FALSE),VLOOKUP(F519,Equivalencia!$1:$23,((MAX(Equivalencia!$3:$3)-YEAR(D519))*14)+MONTH(D519)+2,FALSE)))</f>
        <v>1</v>
      </c>
      <c r="I519" s="251">
        <f t="shared" si="45"/>
        <v>770</v>
      </c>
      <c r="J519" s="162">
        <f>IF(D519=0,0,HLOOKUP(YEAR(D519)+(MONTH(D519)/100),TC!$5:$37,DAY(D519)+2,FALSE))</f>
        <v>20.2592</v>
      </c>
      <c r="K519" s="250">
        <f t="shared" si="46"/>
        <v>15599.584000000001</v>
      </c>
    </row>
    <row r="520" spans="2:11" s="134" customFormat="1" ht="23" customHeight="1">
      <c r="B520" s="7" t="s">
        <v>1256</v>
      </c>
      <c r="C520" s="7" t="s">
        <v>693</v>
      </c>
      <c r="D520" s="159">
        <v>44708</v>
      </c>
      <c r="E520" s="249" t="s">
        <v>808</v>
      </c>
      <c r="F520" s="7" t="s">
        <v>59</v>
      </c>
      <c r="G520" s="250">
        <v>765</v>
      </c>
      <c r="H520" s="162">
        <f>IF(F520=0,0,IF(F520="MXN",1/HLOOKUP(YEAR(D520)+(MONTH(D520)/100),TC!$5:$437,DAY(D520)+2,FALSE),VLOOKUP(F520,Equivalencia!$1:$23,((MAX(Equivalencia!$3:$3)-YEAR(D520))*14)+MONTH(D520)+2,FALSE)))</f>
        <v>1</v>
      </c>
      <c r="I520" s="251">
        <f t="shared" si="45"/>
        <v>765</v>
      </c>
      <c r="J520" s="162">
        <f>IF(D520=0,0,HLOOKUP(YEAR(D520)+(MONTH(D520)/100),TC!$5:$37,DAY(D520)+2,FALSE))</f>
        <v>19.837700000000002</v>
      </c>
      <c r="K520" s="250">
        <f t="shared" si="46"/>
        <v>15175.840500000002</v>
      </c>
    </row>
    <row r="521" spans="2:11" s="134" customFormat="1" ht="23" customHeight="1">
      <c r="B521" s="7" t="s">
        <v>1256</v>
      </c>
      <c r="C521" s="7" t="s">
        <v>693</v>
      </c>
      <c r="D521" s="159">
        <v>44726</v>
      </c>
      <c r="E521" s="249" t="s">
        <v>868</v>
      </c>
      <c r="F521" s="7" t="s">
        <v>59</v>
      </c>
      <c r="G521" s="250">
        <v>1779.12</v>
      </c>
      <c r="H521" s="162">
        <f>IF(F521=0,0,IF(F521="MXN",1/HLOOKUP(YEAR(D521)+(MONTH(D521)/100),TC!$5:$437,DAY(D521)+2,FALSE),VLOOKUP(F521,Equivalencia!$1:$23,((MAX(Equivalencia!$3:$3)-YEAR(D521))*14)+MONTH(D521)+2,FALSE)))</f>
        <v>1</v>
      </c>
      <c r="I521" s="251">
        <f t="shared" ref="I521:I526" si="47">G521*H521</f>
        <v>1779.12</v>
      </c>
      <c r="J521" s="162">
        <f>IF(D521=0,0,HLOOKUP(YEAR(D521)+(MONTH(D521)/100),TC!$5:$37,DAY(D521)+2,FALSE))</f>
        <v>19.9297</v>
      </c>
      <c r="K521" s="250">
        <f t="shared" ref="K521:K526" si="48">I521*J521</f>
        <v>35457.327863999999</v>
      </c>
    </row>
    <row r="522" spans="2:11" s="134" customFormat="1" ht="23" customHeight="1">
      <c r="B522" s="7" t="s">
        <v>1256</v>
      </c>
      <c r="C522" s="7" t="s">
        <v>693</v>
      </c>
      <c r="D522" s="159">
        <v>44733</v>
      </c>
      <c r="E522" s="249" t="s">
        <v>810</v>
      </c>
      <c r="F522" s="7" t="s">
        <v>59</v>
      </c>
      <c r="G522" s="250">
        <v>493.48</v>
      </c>
      <c r="H522" s="162">
        <f>IF(F522=0,0,IF(F522="MXN",1/HLOOKUP(YEAR(D522)+(MONTH(D522)/100),TC!$5:$437,DAY(D522)+2,FALSE),VLOOKUP(F522,Equivalencia!$1:$23,((MAX(Equivalencia!$3:$3)-YEAR(D522))*14)+MONTH(D522)+2,FALSE)))</f>
        <v>1</v>
      </c>
      <c r="I522" s="251">
        <f t="shared" si="47"/>
        <v>493.48</v>
      </c>
      <c r="J522" s="162">
        <f>IF(D522=0,0,HLOOKUP(YEAR(D522)+(MONTH(D522)/100),TC!$5:$37,DAY(D522)+2,FALSE))</f>
        <v>20.475999999999999</v>
      </c>
      <c r="K522" s="250">
        <f t="shared" si="48"/>
        <v>10104.49648</v>
      </c>
    </row>
    <row r="523" spans="2:11" s="134" customFormat="1" ht="23" customHeight="1">
      <c r="B523" s="7" t="s">
        <v>1256</v>
      </c>
      <c r="C523" s="7" t="s">
        <v>693</v>
      </c>
      <c r="D523" s="159">
        <v>44736</v>
      </c>
      <c r="E523" s="249" t="s">
        <v>801</v>
      </c>
      <c r="F523" s="7" t="s">
        <v>59</v>
      </c>
      <c r="G523" s="250">
        <v>525</v>
      </c>
      <c r="H523" s="162">
        <f>IF(F523=0,0,IF(F523="MXN",1/HLOOKUP(YEAR(D523)+(MONTH(D523)/100),TC!$5:$437,DAY(D523)+2,FALSE),VLOOKUP(F523,Equivalencia!$1:$23,((MAX(Equivalencia!$3:$3)-YEAR(D523))*14)+MONTH(D523)+2,FALSE)))</f>
        <v>1</v>
      </c>
      <c r="I523" s="251">
        <f t="shared" si="47"/>
        <v>525</v>
      </c>
      <c r="J523" s="162">
        <f>IF(D523=0,0,HLOOKUP(YEAR(D523)+(MONTH(D523)/100),TC!$5:$37,DAY(D523)+2,FALSE))</f>
        <v>20.046500000000002</v>
      </c>
      <c r="K523" s="250">
        <f t="shared" si="48"/>
        <v>10524.4125</v>
      </c>
    </row>
    <row r="524" spans="2:11" s="134" customFormat="1" ht="23" customHeight="1">
      <c r="B524" s="7" t="s">
        <v>1256</v>
      </c>
      <c r="C524" s="7" t="s">
        <v>693</v>
      </c>
      <c r="D524" s="159">
        <v>44736</v>
      </c>
      <c r="E524" s="249" t="s">
        <v>869</v>
      </c>
      <c r="F524" s="7" t="s">
        <v>59</v>
      </c>
      <c r="G524" s="250">
        <v>5195.5</v>
      </c>
      <c r="H524" s="162">
        <f>IF(F524=0,0,IF(F524="MXN",1/HLOOKUP(YEAR(D524)+(MONTH(D524)/100),TC!$5:$437,DAY(D524)+2,FALSE),VLOOKUP(F524,Equivalencia!$1:$23,((MAX(Equivalencia!$3:$3)-YEAR(D524))*14)+MONTH(D524)+2,FALSE)))</f>
        <v>1</v>
      </c>
      <c r="I524" s="251">
        <f t="shared" si="47"/>
        <v>5195.5</v>
      </c>
      <c r="J524" s="162">
        <f>IF(D524=0,0,HLOOKUP(YEAR(D524)+(MONTH(D524)/100),TC!$5:$37,DAY(D524)+2,FALSE))</f>
        <v>20.046500000000002</v>
      </c>
      <c r="K524" s="250">
        <f t="shared" si="48"/>
        <v>104151.59075</v>
      </c>
    </row>
    <row r="525" spans="2:11" s="134" customFormat="1" ht="23" customHeight="1">
      <c r="B525" s="7" t="s">
        <v>1256</v>
      </c>
      <c r="C525" s="7" t="s">
        <v>693</v>
      </c>
      <c r="D525" s="159">
        <v>44741</v>
      </c>
      <c r="E525" s="249" t="s">
        <v>783</v>
      </c>
      <c r="F525" s="7" t="s">
        <v>59</v>
      </c>
      <c r="G525" s="250">
        <v>550</v>
      </c>
      <c r="H525" s="162">
        <f>IF(F525=0,0,IF(F525="MXN",1/HLOOKUP(YEAR(D525)+(MONTH(D525)/100),TC!$5:$437,DAY(D525)+2,FALSE),VLOOKUP(F525,Equivalencia!$1:$23,((MAX(Equivalencia!$3:$3)-YEAR(D525))*14)+MONTH(D525)+2,FALSE)))</f>
        <v>1</v>
      </c>
      <c r="I525" s="251">
        <f t="shared" si="47"/>
        <v>550</v>
      </c>
      <c r="J525" s="162">
        <f>IF(D525=0,0,HLOOKUP(YEAR(D525)+(MONTH(D525)/100),TC!$5:$37,DAY(D525)+2,FALSE))</f>
        <v>19.8797</v>
      </c>
      <c r="K525" s="250">
        <f t="shared" si="48"/>
        <v>10933.834999999999</v>
      </c>
    </row>
    <row r="526" spans="2:11" s="134" customFormat="1" ht="23" customHeight="1">
      <c r="B526" s="7" t="s">
        <v>1256</v>
      </c>
      <c r="C526" s="7" t="s">
        <v>693</v>
      </c>
      <c r="D526" s="159">
        <v>44756</v>
      </c>
      <c r="E526" s="249" t="s">
        <v>919</v>
      </c>
      <c r="F526" s="7" t="s">
        <v>59</v>
      </c>
      <c r="G526" s="250">
        <v>625.9</v>
      </c>
      <c r="H526" s="162">
        <f>IF(F526=0,0,IF(F526="MXN",1/HLOOKUP(YEAR(D526)+(MONTH(D526)/100),TC!$5:$437,DAY(D526)+2,FALSE),VLOOKUP(F526,Equivalencia!$1:$23,((MAX(Equivalencia!$3:$3)-YEAR(D526))*14)+MONTH(D526)+2,FALSE)))</f>
        <v>1</v>
      </c>
      <c r="I526" s="251">
        <f t="shared" si="47"/>
        <v>625.9</v>
      </c>
      <c r="J526" s="162">
        <f>IF(D526=0,0,HLOOKUP(YEAR(D526)+(MONTH(D526)/100),TC!$5:$37,DAY(D526)+2,FALSE))</f>
        <v>20.7882</v>
      </c>
      <c r="K526" s="250">
        <f t="shared" si="48"/>
        <v>13011.33438</v>
      </c>
    </row>
    <row r="527" spans="2:11" s="134" customFormat="1" ht="23" customHeight="1">
      <c r="B527" s="7" t="s">
        <v>1256</v>
      </c>
      <c r="C527" s="7" t="s">
        <v>693</v>
      </c>
      <c r="D527" s="159">
        <v>44774</v>
      </c>
      <c r="E527" s="249" t="s">
        <v>788</v>
      </c>
      <c r="F527" s="7" t="s">
        <v>59</v>
      </c>
      <c r="G527" s="250">
        <v>660</v>
      </c>
      <c r="H527" s="162">
        <f>IF(F527=0,0,IF(F527="MXN",1/HLOOKUP(YEAR(D527)+(MONTH(D527)/100),TC!$5:$437,DAY(D527)+2,FALSE),VLOOKUP(F527,Equivalencia!$1:$23,((MAX(Equivalencia!$3:$3)-YEAR(D527))*14)+MONTH(D527)+2,FALSE)))</f>
        <v>1</v>
      </c>
      <c r="I527" s="251">
        <f t="shared" ref="I527:I540" si="49">G527*H527</f>
        <v>660</v>
      </c>
      <c r="J527" s="162">
        <f>IF(D527=0,0,HLOOKUP(YEAR(D527)+(MONTH(D527)/100),TC!$5:$37,DAY(D527)+2,FALSE))</f>
        <v>20.377800000000001</v>
      </c>
      <c r="K527" s="250">
        <f t="shared" ref="K527:K540" si="50">I527*J527</f>
        <v>13449.348</v>
      </c>
    </row>
    <row r="528" spans="2:11" s="134" customFormat="1" ht="23" customHeight="1">
      <c r="B528" s="7" t="s">
        <v>1256</v>
      </c>
      <c r="C528" s="7" t="s">
        <v>693</v>
      </c>
      <c r="D528" s="159">
        <v>44788</v>
      </c>
      <c r="E528" s="249" t="s">
        <v>753</v>
      </c>
      <c r="F528" s="7" t="s">
        <v>59</v>
      </c>
      <c r="G528" s="250">
        <v>852.5</v>
      </c>
      <c r="H528" s="162">
        <f>IF(F528=0,0,IF(F528="MXN",1/HLOOKUP(YEAR(D528)+(MONTH(D528)/100),TC!$5:$437,DAY(D528)+2,FALSE),VLOOKUP(F528,Equivalencia!$1:$23,((MAX(Equivalencia!$3:$3)-YEAR(D528))*14)+MONTH(D528)+2,FALSE)))</f>
        <v>1</v>
      </c>
      <c r="I528" s="251">
        <f t="shared" si="49"/>
        <v>852.5</v>
      </c>
      <c r="J528" s="162">
        <f>IF(D528=0,0,HLOOKUP(YEAR(D528)+(MONTH(D528)/100),TC!$5:$37,DAY(D528)+2,FALSE))</f>
        <v>19.959499999999998</v>
      </c>
      <c r="K528" s="250">
        <f t="shared" si="50"/>
        <v>17015.473749999997</v>
      </c>
    </row>
    <row r="529" spans="2:11" s="134" customFormat="1" ht="23" customHeight="1">
      <c r="B529" s="7" t="s">
        <v>1256</v>
      </c>
      <c r="C529" s="7" t="s">
        <v>693</v>
      </c>
      <c r="D529" s="159">
        <v>44799</v>
      </c>
      <c r="E529" s="249" t="s">
        <v>808</v>
      </c>
      <c r="F529" s="7" t="s">
        <v>59</v>
      </c>
      <c r="G529" s="250">
        <v>765</v>
      </c>
      <c r="H529" s="162">
        <f>IF(F529=0,0,IF(F529="MXN",1/HLOOKUP(YEAR(D529)+(MONTH(D529)/100),TC!$5:$437,DAY(D529)+2,FALSE),VLOOKUP(F529,Equivalencia!$1:$23,((MAX(Equivalencia!$3:$3)-YEAR(D529))*14)+MONTH(D529)+2,FALSE)))</f>
        <v>1</v>
      </c>
      <c r="I529" s="251">
        <f t="shared" si="49"/>
        <v>765</v>
      </c>
      <c r="J529" s="162">
        <f>IF(D529=0,0,HLOOKUP(YEAR(D529)+(MONTH(D529)/100),TC!$5:$37,DAY(D529)+2,FALSE))</f>
        <v>19.919799999999999</v>
      </c>
      <c r="K529" s="250">
        <f t="shared" si="50"/>
        <v>15238.646999999999</v>
      </c>
    </row>
    <row r="530" spans="2:11" s="134" customFormat="1" ht="23" customHeight="1">
      <c r="B530" s="7" t="s">
        <v>1256</v>
      </c>
      <c r="C530" s="7" t="s">
        <v>693</v>
      </c>
      <c r="D530" s="159">
        <v>44826</v>
      </c>
      <c r="E530" s="249" t="s">
        <v>869</v>
      </c>
      <c r="F530" s="7" t="s">
        <v>59</v>
      </c>
      <c r="G530" s="250">
        <v>5469.64</v>
      </c>
      <c r="H530" s="162">
        <f>IF(F530=0,0,IF(F530="MXN",1/HLOOKUP(YEAR(D530)+(MONTH(D530)/100),TC!$5:$437,DAY(D530)+2,FALSE),VLOOKUP(F530,Equivalencia!$1:$23,((MAX(Equivalencia!$3:$3)-YEAR(D530))*14)+MONTH(D530)+2,FALSE)))</f>
        <v>1</v>
      </c>
      <c r="I530" s="251">
        <f t="shared" si="49"/>
        <v>5469.64</v>
      </c>
      <c r="J530" s="162">
        <f>IF(D530=0,0,HLOOKUP(YEAR(D530)+(MONTH(D530)/100),TC!$5:$37,DAY(D530)+2,FALSE))</f>
        <v>20</v>
      </c>
      <c r="K530" s="250">
        <f t="shared" si="50"/>
        <v>109392.8</v>
      </c>
    </row>
    <row r="531" spans="2:11" s="134" customFormat="1" ht="23" customHeight="1">
      <c r="B531" s="7" t="s">
        <v>1256</v>
      </c>
      <c r="C531" s="7" t="s">
        <v>693</v>
      </c>
      <c r="D531" s="159">
        <v>44833</v>
      </c>
      <c r="E531" s="249" t="s">
        <v>783</v>
      </c>
      <c r="F531" s="7" t="s">
        <v>59</v>
      </c>
      <c r="G531" s="250">
        <v>687.5</v>
      </c>
      <c r="H531" s="162">
        <f>IF(F531=0,0,IF(F531="MXN",1/HLOOKUP(YEAR(D531)+(MONTH(D531)/100),TC!$5:$437,DAY(D531)+2,FALSE),VLOOKUP(F531,Equivalencia!$1:$23,((MAX(Equivalencia!$3:$3)-YEAR(D531))*14)+MONTH(D531)+2,FALSE)))</f>
        <v>1</v>
      </c>
      <c r="I531" s="251">
        <f t="shared" si="49"/>
        <v>687.5</v>
      </c>
      <c r="J531" s="162">
        <f>IF(D531=0,0,HLOOKUP(YEAR(D531)+(MONTH(D531)/100),TC!$5:$37,DAY(D531)+2,FALSE))</f>
        <v>20.356999999999999</v>
      </c>
      <c r="K531" s="250">
        <f t="shared" si="50"/>
        <v>13995.4375</v>
      </c>
    </row>
    <row r="532" spans="2:11" s="134" customFormat="1" ht="23" customHeight="1">
      <c r="B532" s="7" t="s">
        <v>1256</v>
      </c>
      <c r="C532" s="7" t="s">
        <v>693</v>
      </c>
      <c r="D532" s="159">
        <v>44834</v>
      </c>
      <c r="E532" s="249" t="s">
        <v>801</v>
      </c>
      <c r="F532" s="7" t="s">
        <v>59</v>
      </c>
      <c r="G532" s="250">
        <v>550</v>
      </c>
      <c r="H532" s="162">
        <f>IF(F532=0,0,IF(F532="MXN",1/HLOOKUP(YEAR(D532)+(MONTH(D532)/100),TC!$5:$437,DAY(D532)+2,FALSE),VLOOKUP(F532,Equivalencia!$1:$23,((MAX(Equivalencia!$3:$3)-YEAR(D532))*14)+MONTH(D532)+2,FALSE)))</f>
        <v>1</v>
      </c>
      <c r="I532" s="251">
        <f t="shared" si="49"/>
        <v>550</v>
      </c>
      <c r="J532" s="162">
        <f>IF(D532=0,0,HLOOKUP(YEAR(D532)+(MONTH(D532)/100),TC!$5:$37,DAY(D532)+2,FALSE))</f>
        <v>20.305800000000001</v>
      </c>
      <c r="K532" s="250">
        <f t="shared" si="50"/>
        <v>11168.19</v>
      </c>
    </row>
    <row r="533" spans="2:11" s="134" customFormat="1" ht="23" customHeight="1">
      <c r="B533" s="7" t="s">
        <v>1256</v>
      </c>
      <c r="C533" s="7" t="s">
        <v>693</v>
      </c>
      <c r="D533" s="159">
        <v>44847</v>
      </c>
      <c r="E533" s="249" t="s">
        <v>811</v>
      </c>
      <c r="F533" s="7" t="s">
        <v>59</v>
      </c>
      <c r="G533" s="250">
        <v>589.71</v>
      </c>
      <c r="H533" s="162">
        <f>IF(F533=0,0,IF(F533="MXN",1/HLOOKUP(YEAR(D533)+(MONTH(D533)/100),TC!$5:$437,DAY(D533)+2,FALSE),VLOOKUP(F533,Equivalencia!$1:$23,((MAX(Equivalencia!$3:$3)-YEAR(D533))*14)+MONTH(D533)+2,FALSE)))</f>
        <v>1</v>
      </c>
      <c r="I533" s="251">
        <f t="shared" si="49"/>
        <v>589.71</v>
      </c>
      <c r="J533" s="162">
        <f>IF(D533=0,0,HLOOKUP(YEAR(D533)+(MONTH(D533)/100),TC!$5:$37,DAY(D533)+2,FALSE))</f>
        <v>19.965199999999999</v>
      </c>
      <c r="K533" s="250">
        <f t="shared" si="50"/>
        <v>11773.678092</v>
      </c>
    </row>
    <row r="534" spans="2:11" s="134" customFormat="1" ht="23" customHeight="1">
      <c r="B534" s="7" t="s">
        <v>1256</v>
      </c>
      <c r="C534" s="7" t="s">
        <v>693</v>
      </c>
      <c r="D534" s="159">
        <v>44865</v>
      </c>
      <c r="E534" s="249" t="s">
        <v>788</v>
      </c>
      <c r="F534" s="7" t="s">
        <v>59</v>
      </c>
      <c r="G534" s="250">
        <v>660</v>
      </c>
      <c r="H534" s="162">
        <f>IF(F534=0,0,IF(F534="MXN",1/HLOOKUP(YEAR(D534)+(MONTH(D534)/100),TC!$5:$437,DAY(D534)+2,FALSE),VLOOKUP(F534,Equivalencia!$1:$23,((MAX(Equivalencia!$3:$3)-YEAR(D534))*14)+MONTH(D534)+2,FALSE)))</f>
        <v>1</v>
      </c>
      <c r="I534" s="251">
        <f t="shared" si="49"/>
        <v>660</v>
      </c>
      <c r="J534" s="162">
        <f>IF(D534=0,0,HLOOKUP(YEAR(D534)+(MONTH(D534)/100),TC!$5:$37,DAY(D534)+2,FALSE))</f>
        <v>19.836500000000001</v>
      </c>
      <c r="K534" s="250">
        <f t="shared" si="50"/>
        <v>13092.09</v>
      </c>
    </row>
    <row r="535" spans="2:11" s="134" customFormat="1" ht="23" hidden="1" customHeight="1">
      <c r="B535" s="7"/>
      <c r="C535" s="7"/>
      <c r="D535" s="159"/>
      <c r="E535" s="249"/>
      <c r="F535" s="7"/>
      <c r="G535" s="250"/>
      <c r="H535" s="162">
        <f>IF(F535=0,0,IF(F535="MXN",1/HLOOKUP(YEAR(D535)+(MONTH(D535)/100),TC!$5:$437,DAY(D535)+2,FALSE),VLOOKUP(F535,Equivalencia!$1:$23,((MAX(Equivalencia!$3:$3)-YEAR(D535))*14)+MONTH(D535)+2,FALSE)))</f>
        <v>0</v>
      </c>
      <c r="I535" s="251">
        <f t="shared" si="49"/>
        <v>0</v>
      </c>
      <c r="J535" s="162">
        <f>IF(D535=0,0,HLOOKUP(YEAR(D535)+(MONTH(D535)/100),TC!$5:$37,DAY(D535)+2,FALSE))</f>
        <v>0</v>
      </c>
      <c r="K535" s="250">
        <f t="shared" si="50"/>
        <v>0</v>
      </c>
    </row>
    <row r="536" spans="2:11" s="134" customFormat="1" ht="23" hidden="1" customHeight="1">
      <c r="B536" s="7"/>
      <c r="C536" s="7"/>
      <c r="D536" s="159"/>
      <c r="E536" s="249"/>
      <c r="F536" s="7"/>
      <c r="G536" s="250"/>
      <c r="H536" s="162">
        <f>IF(F536=0,0,IF(F536="MXN",1/HLOOKUP(YEAR(D536)+(MONTH(D536)/100),TC!$5:$437,DAY(D536)+2,FALSE),VLOOKUP(F536,Equivalencia!$1:$23,((MAX(Equivalencia!$3:$3)-YEAR(D536))*14)+MONTH(D536)+2,FALSE)))</f>
        <v>0</v>
      </c>
      <c r="I536" s="251">
        <f t="shared" si="49"/>
        <v>0</v>
      </c>
      <c r="J536" s="162">
        <f>IF(D536=0,0,HLOOKUP(YEAR(D536)+(MONTH(D536)/100),TC!$5:$37,DAY(D536)+2,FALSE))</f>
        <v>0</v>
      </c>
      <c r="K536" s="250">
        <f t="shared" si="50"/>
        <v>0</v>
      </c>
    </row>
    <row r="537" spans="2:11" s="134" customFormat="1" ht="23" hidden="1" customHeight="1">
      <c r="B537" s="7"/>
      <c r="C537" s="7"/>
      <c r="D537" s="159"/>
      <c r="E537" s="249"/>
      <c r="F537" s="7"/>
      <c r="G537" s="250"/>
      <c r="H537" s="162">
        <f>IF(F537=0,0,IF(F537="MXN",1/HLOOKUP(YEAR(D537)+(MONTH(D537)/100),TC!$5:$437,DAY(D537)+2,FALSE),VLOOKUP(F537,Equivalencia!$1:$23,((MAX(Equivalencia!$3:$3)-YEAR(D537))*14)+MONTH(D537)+2,FALSE)))</f>
        <v>0</v>
      </c>
      <c r="I537" s="251">
        <f t="shared" si="49"/>
        <v>0</v>
      </c>
      <c r="J537" s="162">
        <f>IF(D537=0,0,HLOOKUP(YEAR(D537)+(MONTH(D537)/100),TC!$5:$37,DAY(D537)+2,FALSE))</f>
        <v>0</v>
      </c>
      <c r="K537" s="250">
        <f t="shared" si="50"/>
        <v>0</v>
      </c>
    </row>
    <row r="538" spans="2:11" s="134" customFormat="1" ht="23" hidden="1" customHeight="1">
      <c r="B538" s="7"/>
      <c r="C538" s="7"/>
      <c r="D538" s="159"/>
      <c r="E538" s="249"/>
      <c r="F538" s="7"/>
      <c r="G538" s="250"/>
      <c r="H538" s="162">
        <f>IF(F538=0,0,IF(F538="MXN",1/HLOOKUP(YEAR(D538)+(MONTH(D538)/100),TC!$5:$437,DAY(D538)+2,FALSE),VLOOKUP(F538,Equivalencia!$1:$23,((MAX(Equivalencia!$3:$3)-YEAR(D538))*14)+MONTH(D538)+2,FALSE)))</f>
        <v>0</v>
      </c>
      <c r="I538" s="251">
        <f t="shared" si="49"/>
        <v>0</v>
      </c>
      <c r="J538" s="162">
        <f>IF(D538=0,0,HLOOKUP(YEAR(D538)+(MONTH(D538)/100),TC!$5:$37,DAY(D538)+2,FALSE))</f>
        <v>0</v>
      </c>
      <c r="K538" s="250">
        <f t="shared" si="50"/>
        <v>0</v>
      </c>
    </row>
    <row r="539" spans="2:11" s="134" customFormat="1" ht="23" hidden="1" customHeight="1">
      <c r="B539" s="7"/>
      <c r="C539" s="7"/>
      <c r="D539" s="159"/>
      <c r="E539" s="249"/>
      <c r="F539" s="7"/>
      <c r="G539" s="250"/>
      <c r="H539" s="162">
        <f>IF(F539=0,0,IF(F539="MXN",1/HLOOKUP(YEAR(D539)+(MONTH(D539)/100),TC!$5:$437,DAY(D539)+2,FALSE),VLOOKUP(F539,Equivalencia!$1:$23,((MAX(Equivalencia!$3:$3)-YEAR(D539))*14)+MONTH(D539)+2,FALSE)))</f>
        <v>0</v>
      </c>
      <c r="I539" s="251">
        <f t="shared" si="49"/>
        <v>0</v>
      </c>
      <c r="J539" s="162">
        <f>IF(D539=0,0,HLOOKUP(YEAR(D539)+(MONTH(D539)/100),TC!$5:$37,DAY(D539)+2,FALSE))</f>
        <v>0</v>
      </c>
      <c r="K539" s="250">
        <f t="shared" si="50"/>
        <v>0</v>
      </c>
    </row>
    <row r="540" spans="2:11" s="134" customFormat="1" ht="23" hidden="1" customHeight="1">
      <c r="B540" s="7"/>
      <c r="C540" s="7"/>
      <c r="D540" s="159"/>
      <c r="E540" s="249"/>
      <c r="F540" s="7"/>
      <c r="G540" s="250"/>
      <c r="H540" s="162">
        <f>IF(F540=0,0,IF(F540="MXN",1/HLOOKUP(YEAR(D540)+(MONTH(D540)/100),TC!$5:$437,DAY(D540)+2,FALSE),VLOOKUP(F540,Equivalencia!$1:$23,((MAX(Equivalencia!$3:$3)-YEAR(D540))*14)+MONTH(D540)+2,FALSE)))</f>
        <v>0</v>
      </c>
      <c r="I540" s="251">
        <f t="shared" si="49"/>
        <v>0</v>
      </c>
      <c r="J540" s="162">
        <f>IF(D540=0,0,HLOOKUP(YEAR(D540)+(MONTH(D540)/100),TC!$5:$37,DAY(D540)+2,FALSE))</f>
        <v>0</v>
      </c>
      <c r="K540" s="250">
        <f t="shared" si="50"/>
        <v>0</v>
      </c>
    </row>
    <row r="541" spans="2:11" ht="23" customHeight="1">
      <c r="B541" s="76"/>
      <c r="C541" s="76"/>
      <c r="D541" s="145"/>
      <c r="E541" s="45"/>
      <c r="F541" s="76"/>
      <c r="G541" s="144"/>
      <c r="H541" s="144"/>
      <c r="I541" s="235"/>
      <c r="J541" s="143"/>
      <c r="K541" s="144"/>
    </row>
    <row r="542" spans="2:11" ht="23" customHeight="1">
      <c r="B542" s="164" t="s">
        <v>377</v>
      </c>
      <c r="C542" s="164"/>
      <c r="D542" s="240"/>
      <c r="E542" s="231"/>
      <c r="F542" s="230"/>
      <c r="G542" s="241">
        <f>SUM(G7:G541)</f>
        <v>969057.73000000033</v>
      </c>
      <c r="H542" s="241"/>
      <c r="I542" s="241">
        <f>SUM(I7:I541)</f>
        <v>969057.73000000033</v>
      </c>
      <c r="J542" s="231"/>
      <c r="K542" s="241">
        <f>SUM(K7:K541)</f>
        <v>19604561.685420003</v>
      </c>
    </row>
    <row r="545" spans="4:11" s="85" customFormat="1" ht="30">
      <c r="G545" s="120" t="s">
        <v>359</v>
      </c>
      <c r="I545" s="120" t="s">
        <v>380</v>
      </c>
      <c r="K545" s="120" t="s">
        <v>381</v>
      </c>
    </row>
    <row r="547" spans="4:11" ht="23" customHeight="1">
      <c r="D547" s="200"/>
      <c r="E547" s="245" t="s">
        <v>378</v>
      </c>
      <c r="F547" s="179" t="str">
        <f>Cuentas!B6</f>
        <v>31XX29</v>
      </c>
      <c r="G547" s="246">
        <f t="shared" ref="G547:G567" si="51">+SUMIF($B$7:$B$1213,F547,$G$7:$G$1213)</f>
        <v>109314.52000000002</v>
      </c>
      <c r="H547" s="200"/>
      <c r="I547" s="246">
        <f t="shared" ref="I547:I567" si="52">+SUMIF($B$7:$B$1213,F547,$I$7:$I$1213)</f>
        <v>109314.52000000002</v>
      </c>
      <c r="J547" s="247"/>
      <c r="K547" s="246">
        <f t="shared" ref="K547:K567" si="53">+SUMIF($B$7:$B$1213,F547,$K$7:$K$1213)</f>
        <v>2227376.1055710004</v>
      </c>
    </row>
    <row r="548" spans="4:11" ht="23" customHeight="1">
      <c r="D548" s="200"/>
      <c r="E548" s="245" t="s">
        <v>378</v>
      </c>
      <c r="F548" s="179" t="str">
        <f>Cuentas!B7</f>
        <v>11XX300</v>
      </c>
      <c r="G548" s="246">
        <f t="shared" si="51"/>
        <v>0</v>
      </c>
      <c r="H548" s="200"/>
      <c r="I548" s="246">
        <f t="shared" si="52"/>
        <v>0</v>
      </c>
      <c r="J548" s="247"/>
      <c r="K548" s="246">
        <f t="shared" si="53"/>
        <v>0</v>
      </c>
    </row>
    <row r="549" spans="4:11" ht="23" customHeight="1">
      <c r="D549" s="200"/>
      <c r="E549" s="245" t="s">
        <v>378</v>
      </c>
      <c r="F549" s="179" t="str">
        <f>Cuentas!B8</f>
        <v>1XXX100</v>
      </c>
      <c r="G549" s="246">
        <f t="shared" si="51"/>
        <v>12691.680000000006</v>
      </c>
      <c r="H549" s="200"/>
      <c r="I549" s="246">
        <f t="shared" si="52"/>
        <v>12691.680000000006</v>
      </c>
      <c r="J549" s="247"/>
      <c r="K549" s="246">
        <f t="shared" si="53"/>
        <v>256816.47815000007</v>
      </c>
    </row>
    <row r="550" spans="4:11" ht="23" customHeight="1">
      <c r="D550" s="200"/>
      <c r="E550" s="245" t="s">
        <v>378</v>
      </c>
      <c r="F550" s="179" t="str">
        <f>Cuentas!B9</f>
        <v>B467XXX05</v>
      </c>
      <c r="G550" s="246">
        <f t="shared" si="51"/>
        <v>34294.829999999994</v>
      </c>
      <c r="H550" s="200"/>
      <c r="I550" s="246">
        <f t="shared" si="52"/>
        <v>34294.829999999994</v>
      </c>
      <c r="J550" s="247"/>
      <c r="K550" s="246">
        <f t="shared" si="53"/>
        <v>690266.99864599993</v>
      </c>
    </row>
    <row r="551" spans="4:11" ht="23" customHeight="1">
      <c r="D551" s="200"/>
      <c r="E551" s="245" t="s">
        <v>378</v>
      </c>
      <c r="F551" s="179" t="str">
        <f>Cuentas!B10</f>
        <v>677-0XXX52-670</v>
      </c>
      <c r="G551" s="246">
        <f t="shared" si="51"/>
        <v>0</v>
      </c>
      <c r="H551" s="200"/>
      <c r="I551" s="246">
        <f t="shared" si="52"/>
        <v>0</v>
      </c>
      <c r="J551" s="247"/>
      <c r="K551" s="246">
        <f t="shared" si="53"/>
        <v>0</v>
      </c>
    </row>
    <row r="552" spans="4:11" ht="23" customHeight="1">
      <c r="D552" s="200"/>
      <c r="E552" s="245" t="s">
        <v>378</v>
      </c>
      <c r="F552" s="179" t="str">
        <f>Cuentas!B11</f>
        <v>677-0XXX53-471</v>
      </c>
      <c r="G552" s="246">
        <f t="shared" si="51"/>
        <v>707351.45000000007</v>
      </c>
      <c r="H552" s="200"/>
      <c r="I552" s="246">
        <f t="shared" si="52"/>
        <v>707351.45000000007</v>
      </c>
      <c r="J552" s="247"/>
      <c r="K552" s="246">
        <f t="shared" si="53"/>
        <v>14297668.780939003</v>
      </c>
    </row>
    <row r="553" spans="4:11" ht="23" customHeight="1">
      <c r="D553" s="200"/>
      <c r="E553" s="245" t="s">
        <v>378</v>
      </c>
      <c r="F553" s="179" t="str">
        <f>Cuentas!B12</f>
        <v>4H 0XXX0 RB</v>
      </c>
      <c r="G553" s="246">
        <f t="shared" si="51"/>
        <v>105405.24999999997</v>
      </c>
      <c r="H553" s="200"/>
      <c r="I553" s="246">
        <f t="shared" si="52"/>
        <v>105405.24999999997</v>
      </c>
      <c r="J553" s="247"/>
      <c r="K553" s="246">
        <f t="shared" si="53"/>
        <v>2132433.3221139992</v>
      </c>
    </row>
    <row r="554" spans="4:11" ht="23" hidden="1" customHeight="1">
      <c r="D554" s="200"/>
      <c r="E554" s="245" t="s">
        <v>378</v>
      </c>
      <c r="F554" s="179" t="str">
        <f>Cuentas!B13</f>
        <v>H</v>
      </c>
      <c r="G554" s="246">
        <f t="shared" si="51"/>
        <v>0</v>
      </c>
      <c r="H554" s="200"/>
      <c r="I554" s="246">
        <f t="shared" si="52"/>
        <v>0</v>
      </c>
      <c r="J554" s="247"/>
      <c r="K554" s="246">
        <f t="shared" si="53"/>
        <v>0</v>
      </c>
    </row>
    <row r="555" spans="4:11" ht="23" hidden="1" customHeight="1">
      <c r="D555" s="200"/>
      <c r="E555" s="245" t="s">
        <v>378</v>
      </c>
      <c r="F555" s="179" t="str">
        <f>Cuentas!B14</f>
        <v>I</v>
      </c>
      <c r="G555" s="246">
        <f t="shared" si="51"/>
        <v>0</v>
      </c>
      <c r="H555" s="200"/>
      <c r="I555" s="246">
        <f t="shared" si="52"/>
        <v>0</v>
      </c>
      <c r="J555" s="247"/>
      <c r="K555" s="246">
        <f t="shared" si="53"/>
        <v>0</v>
      </c>
    </row>
    <row r="556" spans="4:11" ht="23" hidden="1" customHeight="1">
      <c r="D556" s="200"/>
      <c r="E556" s="245" t="s">
        <v>378</v>
      </c>
      <c r="F556" s="179" t="str">
        <f>Cuentas!B15</f>
        <v>J</v>
      </c>
      <c r="G556" s="246">
        <f t="shared" si="51"/>
        <v>0</v>
      </c>
      <c r="H556" s="200"/>
      <c r="I556" s="246">
        <f t="shared" si="52"/>
        <v>0</v>
      </c>
      <c r="J556" s="247"/>
      <c r="K556" s="246">
        <f t="shared" si="53"/>
        <v>0</v>
      </c>
    </row>
    <row r="557" spans="4:11" ht="23" hidden="1" customHeight="1">
      <c r="D557" s="200"/>
      <c r="E557" s="245" t="s">
        <v>378</v>
      </c>
      <c r="F557" s="179" t="str">
        <f>Cuentas!B16</f>
        <v>K</v>
      </c>
      <c r="G557" s="246">
        <f t="shared" si="51"/>
        <v>0</v>
      </c>
      <c r="H557" s="200"/>
      <c r="I557" s="246">
        <f t="shared" si="52"/>
        <v>0</v>
      </c>
      <c r="J557" s="247"/>
      <c r="K557" s="246">
        <f t="shared" si="53"/>
        <v>0</v>
      </c>
    </row>
    <row r="558" spans="4:11" ht="23" hidden="1" customHeight="1">
      <c r="D558" s="200"/>
      <c r="E558" s="245" t="s">
        <v>378</v>
      </c>
      <c r="F558" s="179" t="str">
        <f>Cuentas!B17</f>
        <v>L</v>
      </c>
      <c r="G558" s="246">
        <f t="shared" si="51"/>
        <v>0</v>
      </c>
      <c r="H558" s="200"/>
      <c r="I558" s="246">
        <f t="shared" si="52"/>
        <v>0</v>
      </c>
      <c r="J558" s="247"/>
      <c r="K558" s="246">
        <f t="shared" si="53"/>
        <v>0</v>
      </c>
    </row>
    <row r="559" spans="4:11" ht="23" hidden="1" customHeight="1">
      <c r="D559" s="200"/>
      <c r="E559" s="245" t="s">
        <v>378</v>
      </c>
      <c r="F559" s="179" t="str">
        <f>Cuentas!B18</f>
        <v>M</v>
      </c>
      <c r="G559" s="246">
        <f t="shared" si="51"/>
        <v>0</v>
      </c>
      <c r="H559" s="200"/>
      <c r="I559" s="246">
        <f t="shared" si="52"/>
        <v>0</v>
      </c>
      <c r="J559" s="247"/>
      <c r="K559" s="246">
        <f t="shared" si="53"/>
        <v>0</v>
      </c>
    </row>
    <row r="560" spans="4:11" ht="23" hidden="1" customHeight="1">
      <c r="D560" s="200"/>
      <c r="E560" s="245" t="s">
        <v>378</v>
      </c>
      <c r="F560" s="179" t="str">
        <f>Cuentas!B19</f>
        <v>N</v>
      </c>
      <c r="G560" s="246">
        <f t="shared" si="51"/>
        <v>0</v>
      </c>
      <c r="H560" s="200"/>
      <c r="I560" s="246">
        <f t="shared" si="52"/>
        <v>0</v>
      </c>
      <c r="J560" s="247"/>
      <c r="K560" s="246">
        <f t="shared" si="53"/>
        <v>0</v>
      </c>
    </row>
    <row r="561" spans="2:11" ht="23" hidden="1" customHeight="1">
      <c r="D561" s="200"/>
      <c r="E561" s="245" t="s">
        <v>378</v>
      </c>
      <c r="F561" s="179" t="str">
        <f>Cuentas!B20</f>
        <v>O</v>
      </c>
      <c r="G561" s="246">
        <f t="shared" si="51"/>
        <v>0</v>
      </c>
      <c r="H561" s="200"/>
      <c r="I561" s="246">
        <f t="shared" si="52"/>
        <v>0</v>
      </c>
      <c r="J561" s="247"/>
      <c r="K561" s="246">
        <f t="shared" si="53"/>
        <v>0</v>
      </c>
    </row>
    <row r="562" spans="2:11" ht="23" hidden="1" customHeight="1">
      <c r="D562" s="200"/>
      <c r="E562" s="245" t="s">
        <v>378</v>
      </c>
      <c r="F562" s="179" t="str">
        <f>Cuentas!B21</f>
        <v>P</v>
      </c>
      <c r="G562" s="246">
        <f t="shared" si="51"/>
        <v>0</v>
      </c>
      <c r="H562" s="200"/>
      <c r="I562" s="246">
        <f t="shared" si="52"/>
        <v>0</v>
      </c>
      <c r="J562" s="247"/>
      <c r="K562" s="246">
        <f t="shared" si="53"/>
        <v>0</v>
      </c>
    </row>
    <row r="563" spans="2:11" ht="23" hidden="1" customHeight="1">
      <c r="D563" s="200"/>
      <c r="E563" s="245" t="s">
        <v>378</v>
      </c>
      <c r="F563" s="179" t="str">
        <f>Cuentas!B22</f>
        <v>Q</v>
      </c>
      <c r="G563" s="246">
        <f t="shared" si="51"/>
        <v>0</v>
      </c>
      <c r="H563" s="200"/>
      <c r="I563" s="246">
        <f t="shared" si="52"/>
        <v>0</v>
      </c>
      <c r="J563" s="247"/>
      <c r="K563" s="246">
        <f t="shared" si="53"/>
        <v>0</v>
      </c>
    </row>
    <row r="564" spans="2:11" ht="23" hidden="1" customHeight="1">
      <c r="D564" s="200"/>
      <c r="E564" s="245" t="s">
        <v>378</v>
      </c>
      <c r="F564" s="179" t="str">
        <f>Cuentas!B23</f>
        <v>R</v>
      </c>
      <c r="G564" s="246">
        <f t="shared" si="51"/>
        <v>0</v>
      </c>
      <c r="H564" s="200"/>
      <c r="I564" s="246">
        <f t="shared" si="52"/>
        <v>0</v>
      </c>
      <c r="J564" s="247"/>
      <c r="K564" s="246">
        <f t="shared" si="53"/>
        <v>0</v>
      </c>
    </row>
    <row r="565" spans="2:11" ht="23" hidden="1" customHeight="1">
      <c r="D565" s="200"/>
      <c r="E565" s="245" t="s">
        <v>378</v>
      </c>
      <c r="F565" s="179" t="str">
        <f>Cuentas!B24</f>
        <v>S</v>
      </c>
      <c r="G565" s="246">
        <f t="shared" si="51"/>
        <v>0</v>
      </c>
      <c r="H565" s="200"/>
      <c r="I565" s="246">
        <f t="shared" si="52"/>
        <v>0</v>
      </c>
      <c r="J565" s="247"/>
      <c r="K565" s="246">
        <f t="shared" si="53"/>
        <v>0</v>
      </c>
    </row>
    <row r="566" spans="2:11" ht="23" hidden="1" customHeight="1">
      <c r="D566" s="200"/>
      <c r="E566" s="245" t="s">
        <v>378</v>
      </c>
      <c r="F566" s="179" t="str">
        <f>Cuentas!B25</f>
        <v>T</v>
      </c>
      <c r="G566" s="246">
        <f t="shared" si="51"/>
        <v>0</v>
      </c>
      <c r="H566" s="200"/>
      <c r="I566" s="246">
        <f t="shared" si="52"/>
        <v>0</v>
      </c>
      <c r="J566" s="247"/>
      <c r="K566" s="246">
        <f t="shared" si="53"/>
        <v>0</v>
      </c>
    </row>
    <row r="567" spans="2:11" ht="23" hidden="1" customHeight="1">
      <c r="D567" s="200"/>
      <c r="E567" s="245" t="s">
        <v>378</v>
      </c>
      <c r="F567" s="179" t="str">
        <f>Cuentas!B26</f>
        <v>U</v>
      </c>
      <c r="G567" s="246">
        <f t="shared" si="51"/>
        <v>0</v>
      </c>
      <c r="H567" s="200"/>
      <c r="I567" s="246">
        <f t="shared" si="52"/>
        <v>0</v>
      </c>
      <c r="J567" s="247"/>
      <c r="K567" s="246">
        <f t="shared" si="53"/>
        <v>0</v>
      </c>
    </row>
    <row r="568" spans="2:11" ht="23" customHeight="1">
      <c r="I568" s="238"/>
      <c r="J568" s="238"/>
      <c r="K568" s="238"/>
    </row>
    <row r="569" spans="2:11" ht="23" customHeight="1">
      <c r="E569" s="103"/>
      <c r="F569" s="242" t="s">
        <v>379</v>
      </c>
      <c r="G569" s="243">
        <f>SUM(G547:G567)</f>
        <v>969057.7300000001</v>
      </c>
      <c r="H569" s="103"/>
      <c r="I569" s="243">
        <f>SUM(I547:I567)</f>
        <v>969057.7300000001</v>
      </c>
      <c r="J569" s="248"/>
      <c r="K569" s="243">
        <f>SUM(K547:K567)</f>
        <v>19604561.685420003</v>
      </c>
    </row>
    <row r="573" spans="2:11" ht="23" customHeight="1">
      <c r="B573" s="2" t="s">
        <v>232</v>
      </c>
      <c r="C573" s="2"/>
    </row>
  </sheetData>
  <sheetProtection algorithmName="SHA-512" hashValue="rDlbmkbyUJ6MZ7mR0AxI3FrCaskE0InnFwsos6MZbmYug1uL9KyE19a/SYn8pLV5tu3a+WzvcJFoOtc3iFA8Aw==" saltValue="p8kL/F7VHkpnybubU+bFnA==" spinCount="100000" sheet="1" formatCells="0" formatColumns="0" formatRows="0" insertColumns="0" insertRows="0" deleteColumns="0" deleteRows="0" autoFilter="0"/>
  <autoFilter ref="B6:K540" xr:uid="{E166C39F-21A5-0B4C-98AA-C0474003085F}"/>
  <mergeCells count="2">
    <mergeCell ref="B3:K3"/>
    <mergeCell ref="B2:K2"/>
  </mergeCells>
  <phoneticPr fontId="8" type="noConversion"/>
  <printOptions horizontalCentered="1"/>
  <pageMargins left="0.70866141732283472" right="0.70866141732283472" top="0.74803149606299213" bottom="0.74803149606299213" header="0.31496062992125984" footer="0.31496062992125984"/>
  <pageSetup scale="45" fitToHeight="20"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OJO:" prompt="Selecciona una moneda" xr:uid="{1CB28841-8808-6A44-8039-CB42C09B7343}">
          <x14:formula1>
            <xm:f>Equivalencia!$A$4:$A$23</xm:f>
          </x14:formula1>
          <xm:sqref>F8:F540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472A0-337B-E043-989F-083D782D27E9}">
  <sheetPr filterMode="1">
    <pageSetUpPr fitToPage="1"/>
  </sheetPr>
  <dimension ref="B2:K417"/>
  <sheetViews>
    <sheetView view="pageBreakPreview" zoomScale="60" zoomScaleNormal="80" workbookViewId="0">
      <selection activeCell="G397" sqref="G397"/>
    </sheetView>
  </sheetViews>
  <sheetFormatPr baseColWidth="10" defaultColWidth="10.83203125" defaultRowHeight="23" customHeight="1"/>
  <cols>
    <col min="1" max="1" width="10.83203125" style="1"/>
    <col min="2" max="2" width="27.83203125" style="1" customWidth="1"/>
    <col min="3" max="3" width="26.1640625" style="1" customWidth="1"/>
    <col min="4" max="4" width="17.6640625" style="1" customWidth="1"/>
    <col min="5" max="5" width="63.1640625" style="1" customWidth="1"/>
    <col min="6" max="6" width="25.6640625" style="1" customWidth="1"/>
    <col min="7" max="11" width="20.83203125" style="1" customWidth="1"/>
    <col min="12" max="12" width="14.1640625" style="1" customWidth="1"/>
    <col min="13" max="16384" width="10.83203125" style="1"/>
  </cols>
  <sheetData>
    <row r="2" spans="2:11" ht="49" customHeight="1">
      <c r="B2" s="738" t="s">
        <v>658</v>
      </c>
      <c r="C2" s="738"/>
      <c r="D2" s="738"/>
      <c r="E2" s="738"/>
      <c r="F2" s="738"/>
      <c r="G2" s="738"/>
      <c r="H2" s="738"/>
      <c r="I2" s="738"/>
      <c r="J2" s="738"/>
      <c r="K2" s="738"/>
    </row>
    <row r="3" spans="2:11" ht="23" customHeight="1">
      <c r="B3" s="736" t="s">
        <v>659</v>
      </c>
      <c r="C3" s="736"/>
      <c r="D3" s="736"/>
      <c r="E3" s="736"/>
      <c r="F3" s="736"/>
      <c r="G3" s="736"/>
      <c r="H3" s="736"/>
      <c r="I3" s="736"/>
      <c r="J3" s="736"/>
      <c r="K3" s="736"/>
    </row>
    <row r="4" spans="2:11" ht="14" customHeight="1">
      <c r="B4" s="24" t="s">
        <v>446</v>
      </c>
      <c r="C4" s="24" t="s">
        <v>679</v>
      </c>
      <c r="D4" s="24"/>
      <c r="E4" s="24"/>
      <c r="F4" s="24"/>
      <c r="G4" s="24"/>
      <c r="H4" s="24"/>
      <c r="I4" s="24"/>
      <c r="J4" s="24"/>
      <c r="K4" s="24"/>
    </row>
    <row r="5" spans="2:11" ht="23" customHeight="1">
      <c r="B5" s="116"/>
      <c r="C5" s="116"/>
      <c r="D5" s="116"/>
      <c r="E5" s="116"/>
      <c r="F5" s="116"/>
      <c r="G5" s="116"/>
      <c r="H5" s="116"/>
      <c r="I5" s="116"/>
      <c r="J5" s="239"/>
      <c r="K5" s="116"/>
    </row>
    <row r="6" spans="2:11" s="85" customFormat="1" ht="30">
      <c r="B6" s="153" t="s">
        <v>178</v>
      </c>
      <c r="C6" s="153" t="s">
        <v>655</v>
      </c>
      <c r="D6" s="120" t="s">
        <v>54</v>
      </c>
      <c r="E6" s="120" t="s">
        <v>91</v>
      </c>
      <c r="F6" s="120" t="s">
        <v>208</v>
      </c>
      <c r="G6" s="120" t="s">
        <v>217</v>
      </c>
      <c r="H6" s="120" t="s">
        <v>56</v>
      </c>
      <c r="I6" s="120" t="s">
        <v>166</v>
      </c>
      <c r="J6" s="120" t="s">
        <v>364</v>
      </c>
      <c r="K6" s="120" t="s">
        <v>218</v>
      </c>
    </row>
    <row r="7" spans="2:11" ht="23" hidden="1" customHeight="1">
      <c r="B7" s="203"/>
      <c r="C7" s="203"/>
      <c r="D7" s="12"/>
      <c r="E7" s="12"/>
      <c r="F7" s="12"/>
      <c r="G7" s="12"/>
      <c r="H7" s="12"/>
      <c r="J7" s="12"/>
      <c r="K7" s="12"/>
    </row>
    <row r="8" spans="2:11" s="134" customFormat="1" ht="23" hidden="1" customHeight="1">
      <c r="B8" s="7" t="s">
        <v>690</v>
      </c>
      <c r="C8" s="7" t="s">
        <v>410</v>
      </c>
      <c r="D8" s="159">
        <v>44564</v>
      </c>
      <c r="E8" s="249" t="s">
        <v>735</v>
      </c>
      <c r="F8" s="7" t="s">
        <v>59</v>
      </c>
      <c r="G8" s="219">
        <v>85.64</v>
      </c>
      <c r="H8" s="162">
        <f>IF(F8=0,0,IF(F8="MXN",1/HLOOKUP(YEAR(D8)+(MONTH(D8)/100),TC!$5:$437,DAY(D8)+2,FALSE),VLOOKUP(F8,Equivalencia!$1:$23,((MAX(Equivalencia!$3:$3)-YEAR(D8))*14)+MONTH(D8)+2,FALSE)))</f>
        <v>1</v>
      </c>
      <c r="I8" s="163">
        <f t="shared" ref="I8:I16" si="0">+H8*G8</f>
        <v>85.64</v>
      </c>
      <c r="J8" s="162">
        <f>IF(D8=0,0,HLOOKUP(YEAR(D8)+(MONTH(D8)/100),TC!$5:$37,DAY(D8)+2,FALSE))</f>
        <v>20.515699999999999</v>
      </c>
      <c r="K8" s="219">
        <f t="shared" ref="K8:K16" si="1">IF(F8="MXN",G8,H8*G8*J8)</f>
        <v>1756.9645479999999</v>
      </c>
    </row>
    <row r="9" spans="2:11" s="134" customFormat="1" ht="23" hidden="1" customHeight="1">
      <c r="B9" s="7" t="s">
        <v>690</v>
      </c>
      <c r="C9" s="7" t="s">
        <v>410</v>
      </c>
      <c r="D9" s="159">
        <v>44575</v>
      </c>
      <c r="E9" s="249" t="s">
        <v>736</v>
      </c>
      <c r="F9" s="7" t="s">
        <v>59</v>
      </c>
      <c r="G9" s="219">
        <v>130.1</v>
      </c>
      <c r="H9" s="162">
        <f>IF(F9=0,0,IF(F9="MXN",1/HLOOKUP(YEAR(D9)+(MONTH(D9)/100),TC!$5:$437,DAY(D9)+2,FALSE),VLOOKUP(F9,Equivalencia!$1:$23,((MAX(Equivalencia!$3:$3)-YEAR(D9))*14)+MONTH(D9)+2,FALSE)))</f>
        <v>1</v>
      </c>
      <c r="I9" s="163">
        <f t="shared" si="0"/>
        <v>130.1</v>
      </c>
      <c r="J9" s="162">
        <f>IF(D9=0,0,HLOOKUP(YEAR(D9)+(MONTH(D9)/100),TC!$5:$37,DAY(D9)+2,FALSE))</f>
        <v>20.366</v>
      </c>
      <c r="K9" s="219">
        <f t="shared" si="1"/>
        <v>2649.6165999999998</v>
      </c>
    </row>
    <row r="10" spans="2:11" s="134" customFormat="1" ht="23" hidden="1" customHeight="1">
      <c r="B10" s="7" t="s">
        <v>690</v>
      </c>
      <c r="C10" s="7" t="s">
        <v>410</v>
      </c>
      <c r="D10" s="159">
        <v>44575</v>
      </c>
      <c r="E10" s="249" t="s">
        <v>737</v>
      </c>
      <c r="F10" s="7" t="s">
        <v>59</v>
      </c>
      <c r="G10" s="219">
        <v>224.25</v>
      </c>
      <c r="H10" s="162">
        <f>IF(F10=0,0,IF(F10="MXN",1/HLOOKUP(YEAR(D10)+(MONTH(D10)/100),TC!$5:$437,DAY(D10)+2,FALSE),VLOOKUP(F10,Equivalencia!$1:$23,((MAX(Equivalencia!$3:$3)-YEAR(D10))*14)+MONTH(D10)+2,FALSE)))</f>
        <v>1</v>
      </c>
      <c r="I10" s="163">
        <f t="shared" si="0"/>
        <v>224.25</v>
      </c>
      <c r="J10" s="162">
        <f>IF(D10=0,0,HLOOKUP(YEAR(D10)+(MONTH(D10)/100),TC!$5:$37,DAY(D10)+2,FALSE))</f>
        <v>20.366</v>
      </c>
      <c r="K10" s="219">
        <f t="shared" si="1"/>
        <v>4567.0754999999999</v>
      </c>
    </row>
    <row r="11" spans="2:11" s="134" customFormat="1" ht="23" hidden="1" customHeight="1">
      <c r="B11" s="7" t="s">
        <v>690</v>
      </c>
      <c r="C11" s="7" t="s">
        <v>410</v>
      </c>
      <c r="D11" s="159">
        <v>44575</v>
      </c>
      <c r="E11" s="249" t="s">
        <v>738</v>
      </c>
      <c r="F11" s="7" t="s">
        <v>59</v>
      </c>
      <c r="G11" s="219">
        <v>94.14</v>
      </c>
      <c r="H11" s="162">
        <f>IF(F11=0,0,IF(F11="MXN",1/HLOOKUP(YEAR(D11)+(MONTH(D11)/100),TC!$5:$437,DAY(D11)+2,FALSE),VLOOKUP(F11,Equivalencia!$1:$23,((MAX(Equivalencia!$3:$3)-YEAR(D11))*14)+MONTH(D11)+2,FALSE)))</f>
        <v>1</v>
      </c>
      <c r="I11" s="163">
        <f t="shared" si="0"/>
        <v>94.14</v>
      </c>
      <c r="J11" s="162">
        <f>IF(D11=0,0,HLOOKUP(YEAR(D11)+(MONTH(D11)/100),TC!$5:$37,DAY(D11)+2,FALSE))</f>
        <v>20.366</v>
      </c>
      <c r="K11" s="219">
        <f t="shared" si="1"/>
        <v>1917.25524</v>
      </c>
    </row>
    <row r="12" spans="2:11" s="134" customFormat="1" ht="23" hidden="1" customHeight="1">
      <c r="B12" s="7" t="s">
        <v>690</v>
      </c>
      <c r="C12" s="7" t="s">
        <v>410</v>
      </c>
      <c r="D12" s="159">
        <v>44575</v>
      </c>
      <c r="E12" s="249" t="s">
        <v>739</v>
      </c>
      <c r="F12" s="7" t="s">
        <v>59</v>
      </c>
      <c r="G12" s="219">
        <v>83.16</v>
      </c>
      <c r="H12" s="162">
        <f>IF(F12=0,0,IF(F12="MXN",1/HLOOKUP(YEAR(D12)+(MONTH(D12)/100),TC!$5:$437,DAY(D12)+2,FALSE),VLOOKUP(F12,Equivalencia!$1:$23,((MAX(Equivalencia!$3:$3)-YEAR(D12))*14)+MONTH(D12)+2,FALSE)))</f>
        <v>1</v>
      </c>
      <c r="I12" s="163">
        <f t="shared" si="0"/>
        <v>83.16</v>
      </c>
      <c r="J12" s="162">
        <f>IF(D12=0,0,HLOOKUP(YEAR(D12)+(MONTH(D12)/100),TC!$5:$37,DAY(D12)+2,FALSE))</f>
        <v>20.366</v>
      </c>
      <c r="K12" s="219">
        <f t="shared" si="1"/>
        <v>1693.6365599999999</v>
      </c>
    </row>
    <row r="13" spans="2:11" s="134" customFormat="1" ht="23" hidden="1" customHeight="1">
      <c r="B13" s="7" t="s">
        <v>690</v>
      </c>
      <c r="C13" s="7" t="s">
        <v>410</v>
      </c>
      <c r="D13" s="159">
        <v>44575</v>
      </c>
      <c r="E13" s="249" t="s">
        <v>740</v>
      </c>
      <c r="F13" s="7" t="s">
        <v>59</v>
      </c>
      <c r="G13" s="219">
        <v>9.2799999999999994</v>
      </c>
      <c r="H13" s="162">
        <f>IF(F13=0,0,IF(F13="MXN",1/HLOOKUP(YEAR(D13)+(MONTH(D13)/100),TC!$5:$437,DAY(D13)+2,FALSE),VLOOKUP(F13,Equivalencia!$1:$23,((MAX(Equivalencia!$3:$3)-YEAR(D13))*14)+MONTH(D13)+2,FALSE)))</f>
        <v>1</v>
      </c>
      <c r="I13" s="163">
        <f t="shared" si="0"/>
        <v>9.2799999999999994</v>
      </c>
      <c r="J13" s="162">
        <f>IF(D13=0,0,HLOOKUP(YEAR(D13)+(MONTH(D13)/100),TC!$5:$37,DAY(D13)+2,FALSE))</f>
        <v>20.366</v>
      </c>
      <c r="K13" s="219">
        <f t="shared" si="1"/>
        <v>188.99647999999999</v>
      </c>
    </row>
    <row r="14" spans="2:11" s="134" customFormat="1" ht="23" hidden="1" customHeight="1">
      <c r="B14" s="7" t="s">
        <v>690</v>
      </c>
      <c r="C14" s="7" t="s">
        <v>410</v>
      </c>
      <c r="D14" s="159">
        <v>44579</v>
      </c>
      <c r="E14" s="249" t="s">
        <v>741</v>
      </c>
      <c r="F14" s="7" t="s">
        <v>59</v>
      </c>
      <c r="G14" s="219">
        <v>39.82</v>
      </c>
      <c r="H14" s="162">
        <f>IF(F14=0,0,IF(F14="MXN",1/HLOOKUP(YEAR(D14)+(MONTH(D14)/100),TC!$5:$437,DAY(D14)+2,FALSE),VLOOKUP(F14,Equivalencia!$1:$23,((MAX(Equivalencia!$3:$3)-YEAR(D14))*14)+MONTH(D14)+2,FALSE)))</f>
        <v>1</v>
      </c>
      <c r="I14" s="163">
        <f t="shared" si="0"/>
        <v>39.82</v>
      </c>
      <c r="J14" s="162">
        <f>IF(D14=0,0,HLOOKUP(YEAR(D14)+(MONTH(D14)/100),TC!$5:$37,DAY(D14)+2,FALSE))</f>
        <v>20.311800000000002</v>
      </c>
      <c r="K14" s="219">
        <f t="shared" si="1"/>
        <v>808.81587600000012</v>
      </c>
    </row>
    <row r="15" spans="2:11" s="134" customFormat="1" ht="23" hidden="1" customHeight="1">
      <c r="B15" s="7" t="s">
        <v>690</v>
      </c>
      <c r="C15" s="7" t="s">
        <v>410</v>
      </c>
      <c r="D15" s="159">
        <v>44587</v>
      </c>
      <c r="E15" s="249" t="s">
        <v>742</v>
      </c>
      <c r="F15" s="7" t="s">
        <v>59</v>
      </c>
      <c r="G15" s="219">
        <v>116.93</v>
      </c>
      <c r="H15" s="162">
        <f>IF(F15=0,0,IF(F15="MXN",1/HLOOKUP(YEAR(D15)+(MONTH(D15)/100),TC!$5:$437,DAY(D15)+2,FALSE),VLOOKUP(F15,Equivalencia!$1:$23,((MAX(Equivalencia!$3:$3)-YEAR(D15))*14)+MONTH(D15)+2,FALSE)))</f>
        <v>1</v>
      </c>
      <c r="I15" s="163">
        <f t="shared" si="0"/>
        <v>116.93</v>
      </c>
      <c r="J15" s="162">
        <f>IF(D15=0,0,HLOOKUP(YEAR(D15)+(MONTH(D15)/100),TC!$5:$37,DAY(D15)+2,FALSE))</f>
        <v>20.630800000000001</v>
      </c>
      <c r="K15" s="219">
        <f t="shared" si="1"/>
        <v>2412.3594440000002</v>
      </c>
    </row>
    <row r="16" spans="2:11" s="134" customFormat="1" ht="23" hidden="1" customHeight="1">
      <c r="B16" s="7" t="s">
        <v>690</v>
      </c>
      <c r="C16" s="7" t="s">
        <v>410</v>
      </c>
      <c r="D16" s="159">
        <v>44587</v>
      </c>
      <c r="E16" s="249" t="s">
        <v>743</v>
      </c>
      <c r="F16" s="7" t="s">
        <v>59</v>
      </c>
      <c r="G16" s="219">
        <v>176.93</v>
      </c>
      <c r="H16" s="162">
        <f>IF(F16=0,0,IF(F16="MXN",1/HLOOKUP(YEAR(D16)+(MONTH(D16)/100),TC!$5:$437,DAY(D16)+2,FALSE),VLOOKUP(F16,Equivalencia!$1:$23,((MAX(Equivalencia!$3:$3)-YEAR(D16))*14)+MONTH(D16)+2,FALSE)))</f>
        <v>1</v>
      </c>
      <c r="I16" s="163">
        <f t="shared" si="0"/>
        <v>176.93</v>
      </c>
      <c r="J16" s="162">
        <f>IF(D16=0,0,HLOOKUP(YEAR(D16)+(MONTH(D16)/100),TC!$5:$37,DAY(D16)+2,FALSE))</f>
        <v>20.630800000000001</v>
      </c>
      <c r="K16" s="219">
        <f t="shared" si="1"/>
        <v>3650.2074440000001</v>
      </c>
    </row>
    <row r="17" spans="2:11" s="134" customFormat="1" ht="23" hidden="1" customHeight="1">
      <c r="B17" s="7" t="s">
        <v>690</v>
      </c>
      <c r="C17" s="7" t="s">
        <v>410</v>
      </c>
      <c r="D17" s="159">
        <v>44589</v>
      </c>
      <c r="E17" s="249" t="s">
        <v>744</v>
      </c>
      <c r="F17" s="7" t="s">
        <v>59</v>
      </c>
      <c r="G17" s="219">
        <v>15.12</v>
      </c>
      <c r="H17" s="162">
        <f>IF(F17=0,0,IF(F17="MXN",1/HLOOKUP(YEAR(D17)+(MONTH(D17)/100),TC!$5:$437,DAY(D17)+2,FALSE),VLOOKUP(F17,Equivalencia!$1:$23,((MAX(Equivalencia!$3:$3)-YEAR(D17))*14)+MONTH(D17)+2,FALSE)))</f>
        <v>1</v>
      </c>
      <c r="I17" s="163">
        <f t="shared" ref="I17:I80" si="2">+H17*G17</f>
        <v>15.12</v>
      </c>
      <c r="J17" s="162">
        <f>IF(D17=0,0,HLOOKUP(YEAR(D17)+(MONTH(D17)/100),TC!$5:$37,DAY(D17)+2,FALSE))</f>
        <v>20.641500000000001</v>
      </c>
      <c r="K17" s="219">
        <f t="shared" ref="K17:K80" si="3">IF(F17="MXN",G17,H17*G17*J17)</f>
        <v>312.09947999999997</v>
      </c>
    </row>
    <row r="18" spans="2:11" s="134" customFormat="1" ht="23" hidden="1" customHeight="1">
      <c r="B18" s="7" t="s">
        <v>690</v>
      </c>
      <c r="C18" s="7" t="s">
        <v>410</v>
      </c>
      <c r="D18" s="159">
        <v>44589</v>
      </c>
      <c r="E18" s="249" t="s">
        <v>745</v>
      </c>
      <c r="F18" s="7" t="s">
        <v>59</v>
      </c>
      <c r="G18" s="219">
        <v>186.6</v>
      </c>
      <c r="H18" s="162">
        <f>IF(F18=0,0,IF(F18="MXN",1/HLOOKUP(YEAR(D18)+(MONTH(D18)/100),TC!$5:$437,DAY(D18)+2,FALSE),VLOOKUP(F18,Equivalencia!$1:$23,((MAX(Equivalencia!$3:$3)-YEAR(D18))*14)+MONTH(D18)+2,FALSE)))</f>
        <v>1</v>
      </c>
      <c r="I18" s="163">
        <f t="shared" si="2"/>
        <v>186.6</v>
      </c>
      <c r="J18" s="162">
        <f>IF(D18=0,0,HLOOKUP(YEAR(D18)+(MONTH(D18)/100),TC!$5:$37,DAY(D18)+2,FALSE))</f>
        <v>20.641500000000001</v>
      </c>
      <c r="K18" s="219">
        <f t="shared" si="3"/>
        <v>3851.7039</v>
      </c>
    </row>
    <row r="19" spans="2:11" s="134" customFormat="1" ht="23" hidden="1" customHeight="1">
      <c r="B19" s="7" t="s">
        <v>690</v>
      </c>
      <c r="C19" s="7" t="s">
        <v>410</v>
      </c>
      <c r="D19" s="159">
        <v>44589</v>
      </c>
      <c r="E19" s="249" t="s">
        <v>746</v>
      </c>
      <c r="F19" s="7" t="s">
        <v>59</v>
      </c>
      <c r="G19" s="219">
        <v>112.24</v>
      </c>
      <c r="H19" s="162">
        <f>IF(F19=0,0,IF(F19="MXN",1/HLOOKUP(YEAR(D19)+(MONTH(D19)/100),TC!$5:$437,DAY(D19)+2,FALSE),VLOOKUP(F19,Equivalencia!$1:$23,((MAX(Equivalencia!$3:$3)-YEAR(D19))*14)+MONTH(D19)+2,FALSE)))</f>
        <v>1</v>
      </c>
      <c r="I19" s="163">
        <f t="shared" si="2"/>
        <v>112.24</v>
      </c>
      <c r="J19" s="162">
        <f>IF(D19=0,0,HLOOKUP(YEAR(D19)+(MONTH(D19)/100),TC!$5:$37,DAY(D19)+2,FALSE))</f>
        <v>20.641500000000001</v>
      </c>
      <c r="K19" s="219">
        <f t="shared" si="3"/>
        <v>2316.8019599999998</v>
      </c>
    </row>
    <row r="20" spans="2:11" s="134" customFormat="1" ht="23" hidden="1" customHeight="1">
      <c r="B20" s="7" t="s">
        <v>690</v>
      </c>
      <c r="C20" s="7" t="s">
        <v>410</v>
      </c>
      <c r="D20" s="159">
        <v>44593</v>
      </c>
      <c r="E20" s="249" t="s">
        <v>747</v>
      </c>
      <c r="F20" s="7" t="s">
        <v>59</v>
      </c>
      <c r="G20" s="219">
        <v>97.19</v>
      </c>
      <c r="H20" s="162">
        <f>IF(F20=0,0,IF(F20="MXN",1/HLOOKUP(YEAR(D20)+(MONTH(D20)/100),TC!$5:$437,DAY(D20)+2,FALSE),VLOOKUP(F20,Equivalencia!$1:$23,((MAX(Equivalencia!$3:$3)-YEAR(D20))*14)+MONTH(D20)+2,FALSE)))</f>
        <v>1</v>
      </c>
      <c r="I20" s="163">
        <f t="shared" si="2"/>
        <v>97.19</v>
      </c>
      <c r="J20" s="162">
        <f>IF(D20=0,0,HLOOKUP(YEAR(D20)+(MONTH(D20)/100),TC!$5:$37,DAY(D20)+2,FALSE))</f>
        <v>20.8597</v>
      </c>
      <c r="K20" s="219">
        <f t="shared" si="3"/>
        <v>2027.354243</v>
      </c>
    </row>
    <row r="21" spans="2:11" s="134" customFormat="1" ht="23" hidden="1" customHeight="1">
      <c r="B21" s="7" t="s">
        <v>690</v>
      </c>
      <c r="C21" s="7" t="s">
        <v>410</v>
      </c>
      <c r="D21" s="159">
        <v>44594</v>
      </c>
      <c r="E21" s="249" t="s">
        <v>748</v>
      </c>
      <c r="F21" s="7" t="s">
        <v>59</v>
      </c>
      <c r="G21" s="219">
        <v>144.24</v>
      </c>
      <c r="H21" s="162">
        <f>IF(F21=0,0,IF(F21="MXN",1/HLOOKUP(YEAR(D21)+(MONTH(D21)/100),TC!$5:$437,DAY(D21)+2,FALSE),VLOOKUP(F21,Equivalencia!$1:$23,((MAX(Equivalencia!$3:$3)-YEAR(D21))*14)+MONTH(D21)+2,FALSE)))</f>
        <v>1</v>
      </c>
      <c r="I21" s="163">
        <f t="shared" si="2"/>
        <v>144.24</v>
      </c>
      <c r="J21" s="162">
        <f>IF(D21=0,0,HLOOKUP(YEAR(D21)+(MONTH(D21)/100),TC!$5:$37,DAY(D21)+2,FALSE))</f>
        <v>20.635200000000001</v>
      </c>
      <c r="K21" s="219">
        <f t="shared" si="3"/>
        <v>2976.4212480000006</v>
      </c>
    </row>
    <row r="22" spans="2:11" s="134" customFormat="1" ht="23" hidden="1" customHeight="1">
      <c r="B22" s="7" t="s">
        <v>690</v>
      </c>
      <c r="C22" s="7" t="s">
        <v>410</v>
      </c>
      <c r="D22" s="159">
        <v>44599</v>
      </c>
      <c r="E22" s="249" t="s">
        <v>749</v>
      </c>
      <c r="F22" s="7" t="s">
        <v>59</v>
      </c>
      <c r="G22" s="219">
        <v>210.8</v>
      </c>
      <c r="H22" s="162">
        <f>IF(F22=0,0,IF(F22="MXN",1/HLOOKUP(YEAR(D22)+(MONTH(D22)/100),TC!$5:$437,DAY(D22)+2,FALSE),VLOOKUP(F22,Equivalencia!$1:$23,((MAX(Equivalencia!$3:$3)-YEAR(D22))*14)+MONTH(D22)+2,FALSE)))</f>
        <v>1</v>
      </c>
      <c r="I22" s="163">
        <f t="shared" si="2"/>
        <v>210.8</v>
      </c>
      <c r="J22" s="162">
        <f>IF(D22=0,0,HLOOKUP(YEAR(D22)+(MONTH(D22)/100),TC!$5:$37,DAY(D22)+2,FALSE))</f>
        <v>20.5562</v>
      </c>
      <c r="K22" s="219">
        <f t="shared" si="3"/>
        <v>4333.2469600000004</v>
      </c>
    </row>
    <row r="23" spans="2:11" s="134" customFormat="1" ht="23" hidden="1" customHeight="1">
      <c r="B23" s="7" t="s">
        <v>690</v>
      </c>
      <c r="C23" s="7" t="s">
        <v>410</v>
      </c>
      <c r="D23" s="159">
        <v>44602</v>
      </c>
      <c r="E23" s="249" t="s">
        <v>750</v>
      </c>
      <c r="F23" s="7" t="s">
        <v>59</v>
      </c>
      <c r="G23" s="219">
        <v>58.95</v>
      </c>
      <c r="H23" s="162">
        <f>IF(F23=0,0,IF(F23="MXN",1/HLOOKUP(YEAR(D23)+(MONTH(D23)/100),TC!$5:$437,DAY(D23)+2,FALSE),VLOOKUP(F23,Equivalencia!$1:$23,((MAX(Equivalencia!$3:$3)-YEAR(D23))*14)+MONTH(D23)+2,FALSE)))</f>
        <v>1</v>
      </c>
      <c r="I23" s="163">
        <f t="shared" si="2"/>
        <v>58.95</v>
      </c>
      <c r="J23" s="162">
        <f>IF(D23=0,0,HLOOKUP(YEAR(D23)+(MONTH(D23)/100),TC!$5:$37,DAY(D23)+2,FALSE))</f>
        <v>20.641300000000001</v>
      </c>
      <c r="K23" s="219">
        <f t="shared" si="3"/>
        <v>1216.8046350000002</v>
      </c>
    </row>
    <row r="24" spans="2:11" s="134" customFormat="1" ht="23" hidden="1" customHeight="1">
      <c r="B24" s="7" t="s">
        <v>690</v>
      </c>
      <c r="C24" s="7" t="s">
        <v>410</v>
      </c>
      <c r="D24" s="159">
        <v>44602</v>
      </c>
      <c r="E24" s="249" t="s">
        <v>716</v>
      </c>
      <c r="F24" s="7" t="s">
        <v>59</v>
      </c>
      <c r="G24" s="219">
        <v>145.27000000000001</v>
      </c>
      <c r="H24" s="162">
        <f>IF(F24=0,0,IF(F24="MXN",1/HLOOKUP(YEAR(D24)+(MONTH(D24)/100),TC!$5:$437,DAY(D24)+2,FALSE),VLOOKUP(F24,Equivalencia!$1:$23,((MAX(Equivalencia!$3:$3)-YEAR(D24))*14)+MONTH(D24)+2,FALSE)))</f>
        <v>1</v>
      </c>
      <c r="I24" s="163">
        <f t="shared" si="2"/>
        <v>145.27000000000001</v>
      </c>
      <c r="J24" s="162">
        <f>IF(D24=0,0,HLOOKUP(YEAR(D24)+(MONTH(D24)/100),TC!$5:$37,DAY(D24)+2,FALSE))</f>
        <v>20.641300000000001</v>
      </c>
      <c r="K24" s="219">
        <f t="shared" si="3"/>
        <v>2998.5616510000004</v>
      </c>
    </row>
    <row r="25" spans="2:11" s="134" customFormat="1" ht="23" hidden="1" customHeight="1">
      <c r="B25" s="7" t="s">
        <v>690</v>
      </c>
      <c r="C25" s="7" t="s">
        <v>410</v>
      </c>
      <c r="D25" s="159">
        <v>44607</v>
      </c>
      <c r="E25" s="249" t="s">
        <v>751</v>
      </c>
      <c r="F25" s="7" t="s">
        <v>59</v>
      </c>
      <c r="G25" s="219">
        <v>144.66999999999999</v>
      </c>
      <c r="H25" s="162">
        <f>IF(F25=0,0,IF(F25="MXN",1/HLOOKUP(YEAR(D25)+(MONTH(D25)/100),TC!$5:$437,DAY(D25)+2,FALSE),VLOOKUP(F25,Equivalencia!$1:$23,((MAX(Equivalencia!$3:$3)-YEAR(D25))*14)+MONTH(D25)+2,FALSE)))</f>
        <v>1</v>
      </c>
      <c r="I25" s="163">
        <f t="shared" si="2"/>
        <v>144.66999999999999</v>
      </c>
      <c r="J25" s="162">
        <f>IF(D25=0,0,HLOOKUP(YEAR(D25)+(MONTH(D25)/100),TC!$5:$37,DAY(D25)+2,FALSE))</f>
        <v>20.418800000000001</v>
      </c>
      <c r="K25" s="219">
        <f t="shared" si="3"/>
        <v>2953.9877959999999</v>
      </c>
    </row>
    <row r="26" spans="2:11" s="134" customFormat="1" ht="23" hidden="1" customHeight="1">
      <c r="B26" s="7" t="s">
        <v>690</v>
      </c>
      <c r="C26" s="7" t="s">
        <v>410</v>
      </c>
      <c r="D26" s="159">
        <v>44607</v>
      </c>
      <c r="E26" s="249" t="s">
        <v>752</v>
      </c>
      <c r="F26" s="7" t="s">
        <v>59</v>
      </c>
      <c r="G26" s="219">
        <v>287.22000000000003</v>
      </c>
      <c r="H26" s="162">
        <f>IF(F26=0,0,IF(F26="MXN",1/HLOOKUP(YEAR(D26)+(MONTH(D26)/100),TC!$5:$437,DAY(D26)+2,FALSE),VLOOKUP(F26,Equivalencia!$1:$23,((MAX(Equivalencia!$3:$3)-YEAR(D26))*14)+MONTH(D26)+2,FALSE)))</f>
        <v>1</v>
      </c>
      <c r="I26" s="163">
        <f t="shared" si="2"/>
        <v>287.22000000000003</v>
      </c>
      <c r="J26" s="162">
        <f>IF(D26=0,0,HLOOKUP(YEAR(D26)+(MONTH(D26)/100),TC!$5:$37,DAY(D26)+2,FALSE))</f>
        <v>20.418800000000001</v>
      </c>
      <c r="K26" s="219">
        <f t="shared" si="3"/>
        <v>5864.6877360000008</v>
      </c>
    </row>
    <row r="27" spans="2:11" s="134" customFormat="1" ht="23" hidden="1" customHeight="1">
      <c r="B27" s="7" t="s">
        <v>690</v>
      </c>
      <c r="C27" s="7" t="s">
        <v>410</v>
      </c>
      <c r="D27" s="159">
        <v>44607</v>
      </c>
      <c r="E27" s="249" t="s">
        <v>753</v>
      </c>
      <c r="F27" s="7" t="s">
        <v>59</v>
      </c>
      <c r="G27" s="219">
        <v>218.19</v>
      </c>
      <c r="H27" s="162">
        <f>IF(F27=0,0,IF(F27="MXN",1/HLOOKUP(YEAR(D27)+(MONTH(D27)/100),TC!$5:$437,DAY(D27)+2,FALSE),VLOOKUP(F27,Equivalencia!$1:$23,((MAX(Equivalencia!$3:$3)-YEAR(D27))*14)+MONTH(D27)+2,FALSE)))</f>
        <v>1</v>
      </c>
      <c r="I27" s="163">
        <f t="shared" si="2"/>
        <v>218.19</v>
      </c>
      <c r="J27" s="162">
        <f>IF(D27=0,0,HLOOKUP(YEAR(D27)+(MONTH(D27)/100),TC!$5:$37,DAY(D27)+2,FALSE))</f>
        <v>20.418800000000001</v>
      </c>
      <c r="K27" s="219">
        <f t="shared" si="3"/>
        <v>4455.1779720000004</v>
      </c>
    </row>
    <row r="28" spans="2:11" s="134" customFormat="1" ht="23" hidden="1" customHeight="1">
      <c r="B28" s="7" t="s">
        <v>690</v>
      </c>
      <c r="C28" s="7" t="s">
        <v>410</v>
      </c>
      <c r="D28" s="159">
        <v>44607</v>
      </c>
      <c r="E28" s="249" t="s">
        <v>754</v>
      </c>
      <c r="F28" s="7" t="s">
        <v>59</v>
      </c>
      <c r="G28" s="219">
        <v>87.68</v>
      </c>
      <c r="H28" s="162">
        <f>IF(F28=0,0,IF(F28="MXN",1/HLOOKUP(YEAR(D28)+(MONTH(D28)/100),TC!$5:$437,DAY(D28)+2,FALSE),VLOOKUP(F28,Equivalencia!$1:$23,((MAX(Equivalencia!$3:$3)-YEAR(D28))*14)+MONTH(D28)+2,FALSE)))</f>
        <v>1</v>
      </c>
      <c r="I28" s="163">
        <f t="shared" si="2"/>
        <v>87.68</v>
      </c>
      <c r="J28" s="162">
        <f>IF(D28=0,0,HLOOKUP(YEAR(D28)+(MONTH(D28)/100),TC!$5:$37,DAY(D28)+2,FALSE))</f>
        <v>20.418800000000001</v>
      </c>
      <c r="K28" s="219">
        <f t="shared" si="3"/>
        <v>1790.3203840000003</v>
      </c>
    </row>
    <row r="29" spans="2:11" s="134" customFormat="1" ht="23" hidden="1" customHeight="1">
      <c r="B29" s="7" t="s">
        <v>690</v>
      </c>
      <c r="C29" s="7" t="s">
        <v>410</v>
      </c>
      <c r="D29" s="159">
        <v>44610</v>
      </c>
      <c r="E29" s="249" t="s">
        <v>755</v>
      </c>
      <c r="F29" s="7" t="s">
        <v>59</v>
      </c>
      <c r="G29" s="219">
        <v>48.11</v>
      </c>
      <c r="H29" s="162">
        <f>IF(F29=0,0,IF(F29="MXN",1/HLOOKUP(YEAR(D29)+(MONTH(D29)/100),TC!$5:$437,DAY(D29)+2,FALSE),VLOOKUP(F29,Equivalencia!$1:$23,((MAX(Equivalencia!$3:$3)-YEAR(D29))*14)+MONTH(D29)+2,FALSE)))</f>
        <v>1</v>
      </c>
      <c r="I29" s="163">
        <f t="shared" si="2"/>
        <v>48.11</v>
      </c>
      <c r="J29" s="162">
        <f>IF(D29=0,0,HLOOKUP(YEAR(D29)+(MONTH(D29)/100),TC!$5:$37,DAY(D29)+2,FALSE))</f>
        <v>20.333500000000001</v>
      </c>
      <c r="K29" s="219">
        <f t="shared" si="3"/>
        <v>978.244685</v>
      </c>
    </row>
    <row r="30" spans="2:11" s="134" customFormat="1" ht="23" hidden="1" customHeight="1">
      <c r="B30" s="7" t="s">
        <v>690</v>
      </c>
      <c r="C30" s="7" t="s">
        <v>410</v>
      </c>
      <c r="D30" s="159">
        <v>44614</v>
      </c>
      <c r="E30" s="249" t="s">
        <v>756</v>
      </c>
      <c r="F30" s="7" t="s">
        <v>59</v>
      </c>
      <c r="G30" s="219">
        <v>109.74</v>
      </c>
      <c r="H30" s="162">
        <f>IF(F30=0,0,IF(F30="MXN",1/HLOOKUP(YEAR(D30)+(MONTH(D30)/100),TC!$5:$437,DAY(D30)+2,FALSE),VLOOKUP(F30,Equivalencia!$1:$23,((MAX(Equivalencia!$3:$3)-YEAR(D30))*14)+MONTH(D30)+2,FALSE)))</f>
        <v>1</v>
      </c>
      <c r="I30" s="163">
        <f t="shared" si="2"/>
        <v>109.74</v>
      </c>
      <c r="J30" s="162">
        <f>IF(D30=0,0,HLOOKUP(YEAR(D30)+(MONTH(D30)/100),TC!$5:$37,DAY(D30)+2,FALSE))</f>
        <v>20.3063</v>
      </c>
      <c r="K30" s="219">
        <f t="shared" si="3"/>
        <v>2228.4133619999998</v>
      </c>
    </row>
    <row r="31" spans="2:11" s="134" customFormat="1" ht="23" hidden="1" customHeight="1">
      <c r="B31" s="7" t="s">
        <v>690</v>
      </c>
      <c r="C31" s="7" t="s">
        <v>410</v>
      </c>
      <c r="D31" s="159">
        <v>44617</v>
      </c>
      <c r="E31" s="249" t="s">
        <v>757</v>
      </c>
      <c r="F31" s="7" t="s">
        <v>59</v>
      </c>
      <c r="G31" s="219">
        <v>153.91</v>
      </c>
      <c r="H31" s="162">
        <f>IF(F31=0,0,IF(F31="MXN",1/HLOOKUP(YEAR(D31)+(MONTH(D31)/100),TC!$5:$437,DAY(D31)+2,FALSE),VLOOKUP(F31,Equivalencia!$1:$23,((MAX(Equivalencia!$3:$3)-YEAR(D31))*14)+MONTH(D31)+2,FALSE)))</f>
        <v>1</v>
      </c>
      <c r="I31" s="163">
        <f t="shared" si="2"/>
        <v>153.91</v>
      </c>
      <c r="J31" s="162">
        <f>IF(D31=0,0,HLOOKUP(YEAR(D31)+(MONTH(D31)/100),TC!$5:$37,DAY(D31)+2,FALSE))</f>
        <v>20.243500000000001</v>
      </c>
      <c r="K31" s="219">
        <f t="shared" si="3"/>
        <v>3115.6770850000003</v>
      </c>
    </row>
    <row r="32" spans="2:11" s="134" customFormat="1" ht="23" hidden="1" customHeight="1">
      <c r="B32" s="7" t="s">
        <v>690</v>
      </c>
      <c r="C32" s="7" t="s">
        <v>410</v>
      </c>
      <c r="D32" s="159">
        <v>44621</v>
      </c>
      <c r="E32" s="249" t="s">
        <v>738</v>
      </c>
      <c r="F32" s="7" t="s">
        <v>59</v>
      </c>
      <c r="G32" s="219">
        <v>176.78</v>
      </c>
      <c r="H32" s="162">
        <f>IF(F32=0,0,IF(F32="MXN",1/HLOOKUP(YEAR(D32)+(MONTH(D32)/100),TC!$5:$437,DAY(D32)+2,FALSE),VLOOKUP(F32,Equivalencia!$1:$23,((MAX(Equivalencia!$3:$3)-YEAR(D32))*14)+MONTH(D32)+2,FALSE)))</f>
        <v>1</v>
      </c>
      <c r="I32" s="163">
        <f t="shared" si="2"/>
        <v>176.78</v>
      </c>
      <c r="J32" s="162">
        <f>IF(D32=0,0,HLOOKUP(YEAR(D32)+(MONTH(D32)/100),TC!$5:$37,DAY(D32)+2,FALSE))</f>
        <v>20.4465</v>
      </c>
      <c r="K32" s="219">
        <f t="shared" si="3"/>
        <v>3614.5322700000002</v>
      </c>
    </row>
    <row r="33" spans="2:11" s="134" customFormat="1" ht="23" hidden="1" customHeight="1">
      <c r="B33" s="7" t="s">
        <v>690</v>
      </c>
      <c r="C33" s="7" t="s">
        <v>410</v>
      </c>
      <c r="D33" s="159">
        <v>44621</v>
      </c>
      <c r="E33" s="249" t="s">
        <v>758</v>
      </c>
      <c r="F33" s="7" t="s">
        <v>59</v>
      </c>
      <c r="G33" s="219">
        <v>176.73</v>
      </c>
      <c r="H33" s="162">
        <f>IF(F33=0,0,IF(F33="MXN",1/HLOOKUP(YEAR(D33)+(MONTH(D33)/100),TC!$5:$437,DAY(D33)+2,FALSE),VLOOKUP(F33,Equivalencia!$1:$23,((MAX(Equivalencia!$3:$3)-YEAR(D33))*14)+MONTH(D33)+2,FALSE)))</f>
        <v>1</v>
      </c>
      <c r="I33" s="163">
        <f t="shared" si="2"/>
        <v>176.73</v>
      </c>
      <c r="J33" s="162">
        <f>IF(D33=0,0,HLOOKUP(YEAR(D33)+(MONTH(D33)/100),TC!$5:$37,DAY(D33)+2,FALSE))</f>
        <v>20.4465</v>
      </c>
      <c r="K33" s="219">
        <f t="shared" si="3"/>
        <v>3613.5099449999998</v>
      </c>
    </row>
    <row r="34" spans="2:11" s="134" customFormat="1" ht="23" hidden="1" customHeight="1">
      <c r="B34" s="7" t="s">
        <v>690</v>
      </c>
      <c r="C34" s="7" t="s">
        <v>410</v>
      </c>
      <c r="D34" s="159">
        <v>44621</v>
      </c>
      <c r="E34" s="249" t="s">
        <v>759</v>
      </c>
      <c r="F34" s="7" t="s">
        <v>59</v>
      </c>
      <c r="G34" s="219">
        <v>115.09</v>
      </c>
      <c r="H34" s="162">
        <f>IF(F34=0,0,IF(F34="MXN",1/HLOOKUP(YEAR(D34)+(MONTH(D34)/100),TC!$5:$437,DAY(D34)+2,FALSE),VLOOKUP(F34,Equivalencia!$1:$23,((MAX(Equivalencia!$3:$3)-YEAR(D34))*14)+MONTH(D34)+2,FALSE)))</f>
        <v>1</v>
      </c>
      <c r="I34" s="163">
        <f t="shared" si="2"/>
        <v>115.09</v>
      </c>
      <c r="J34" s="162">
        <f>IF(D34=0,0,HLOOKUP(YEAR(D34)+(MONTH(D34)/100),TC!$5:$37,DAY(D34)+2,FALSE))</f>
        <v>20.4465</v>
      </c>
      <c r="K34" s="219">
        <f t="shared" si="3"/>
        <v>2353.1876850000003</v>
      </c>
    </row>
    <row r="35" spans="2:11" s="134" customFormat="1" ht="23" hidden="1" customHeight="1">
      <c r="B35" s="7" t="s">
        <v>690</v>
      </c>
      <c r="C35" s="7" t="s">
        <v>410</v>
      </c>
      <c r="D35" s="159">
        <v>44621</v>
      </c>
      <c r="E35" s="249" t="s">
        <v>760</v>
      </c>
      <c r="F35" s="7" t="s">
        <v>59</v>
      </c>
      <c r="G35" s="219">
        <v>59.48</v>
      </c>
      <c r="H35" s="162">
        <f>IF(F35=0,0,IF(F35="MXN",1/HLOOKUP(YEAR(D35)+(MONTH(D35)/100),TC!$5:$437,DAY(D35)+2,FALSE),VLOOKUP(F35,Equivalencia!$1:$23,((MAX(Equivalencia!$3:$3)-YEAR(D35))*14)+MONTH(D35)+2,FALSE)))</f>
        <v>1</v>
      </c>
      <c r="I35" s="163">
        <f t="shared" si="2"/>
        <v>59.48</v>
      </c>
      <c r="J35" s="162">
        <f>IF(D35=0,0,HLOOKUP(YEAR(D35)+(MONTH(D35)/100),TC!$5:$37,DAY(D35)+2,FALSE))</f>
        <v>20.4465</v>
      </c>
      <c r="K35" s="219">
        <f t="shared" si="3"/>
        <v>1216.1578199999999</v>
      </c>
    </row>
    <row r="36" spans="2:11" s="134" customFormat="1" ht="23" hidden="1" customHeight="1">
      <c r="B36" s="7" t="s">
        <v>690</v>
      </c>
      <c r="C36" s="7" t="s">
        <v>410</v>
      </c>
      <c r="D36" s="159">
        <v>44623</v>
      </c>
      <c r="E36" s="249" t="s">
        <v>761</v>
      </c>
      <c r="F36" s="7" t="s">
        <v>59</v>
      </c>
      <c r="G36" s="219">
        <v>185.33</v>
      </c>
      <c r="H36" s="162">
        <f>IF(F36=0,0,IF(F36="MXN",1/HLOOKUP(YEAR(D36)+(MONTH(D36)/100),TC!$5:$437,DAY(D36)+2,FALSE),VLOOKUP(F36,Equivalencia!$1:$23,((MAX(Equivalencia!$3:$3)-YEAR(D36))*14)+MONTH(D36)+2,FALSE)))</f>
        <v>1</v>
      </c>
      <c r="I36" s="163">
        <f t="shared" si="2"/>
        <v>185.33</v>
      </c>
      <c r="J36" s="162">
        <f>IF(D36=0,0,HLOOKUP(YEAR(D36)+(MONTH(D36)/100),TC!$5:$37,DAY(D36)+2,FALSE))</f>
        <v>20.527200000000001</v>
      </c>
      <c r="K36" s="219">
        <f t="shared" si="3"/>
        <v>3804.3059760000006</v>
      </c>
    </row>
    <row r="37" spans="2:11" s="134" customFormat="1" ht="23" hidden="1" customHeight="1">
      <c r="B37" s="7" t="s">
        <v>690</v>
      </c>
      <c r="C37" s="7" t="s">
        <v>410</v>
      </c>
      <c r="D37" s="159">
        <v>44624</v>
      </c>
      <c r="E37" s="249" t="s">
        <v>762</v>
      </c>
      <c r="F37" s="7" t="s">
        <v>59</v>
      </c>
      <c r="G37" s="219">
        <v>122.36</v>
      </c>
      <c r="H37" s="162">
        <f>IF(F37=0,0,IF(F37="MXN",1/HLOOKUP(YEAR(D37)+(MONTH(D37)/100),TC!$5:$437,DAY(D37)+2,FALSE),VLOOKUP(F37,Equivalencia!$1:$23,((MAX(Equivalencia!$3:$3)-YEAR(D37))*14)+MONTH(D37)+2,FALSE)))</f>
        <v>1</v>
      </c>
      <c r="I37" s="163">
        <f t="shared" si="2"/>
        <v>122.36</v>
      </c>
      <c r="J37" s="162">
        <f>IF(D37=0,0,HLOOKUP(YEAR(D37)+(MONTH(D37)/100),TC!$5:$37,DAY(D37)+2,FALSE))</f>
        <v>20.7193</v>
      </c>
      <c r="K37" s="219">
        <f t="shared" si="3"/>
        <v>2535.2135480000002</v>
      </c>
    </row>
    <row r="38" spans="2:11" s="134" customFormat="1" ht="23" hidden="1" customHeight="1">
      <c r="B38" s="7" t="s">
        <v>690</v>
      </c>
      <c r="C38" s="7" t="s">
        <v>410</v>
      </c>
      <c r="D38" s="159">
        <v>44630</v>
      </c>
      <c r="E38" s="249" t="s">
        <v>763</v>
      </c>
      <c r="F38" s="7" t="s">
        <v>59</v>
      </c>
      <c r="G38" s="219">
        <v>125.61</v>
      </c>
      <c r="H38" s="162">
        <f>IF(F38=0,0,IF(F38="MXN",1/HLOOKUP(YEAR(D38)+(MONTH(D38)/100),TC!$5:$437,DAY(D38)+2,FALSE),VLOOKUP(F38,Equivalencia!$1:$23,((MAX(Equivalencia!$3:$3)-YEAR(D38))*14)+MONTH(D38)+2,FALSE)))</f>
        <v>1</v>
      </c>
      <c r="I38" s="163">
        <f t="shared" si="2"/>
        <v>125.61</v>
      </c>
      <c r="J38" s="162">
        <f>IF(D38=0,0,HLOOKUP(YEAR(D38)+(MONTH(D38)/100),TC!$5:$37,DAY(D38)+2,FALSE))</f>
        <v>21.377500000000001</v>
      </c>
      <c r="K38" s="219">
        <f t="shared" si="3"/>
        <v>2685.2277750000003</v>
      </c>
    </row>
    <row r="39" spans="2:11" s="134" customFormat="1" ht="23" hidden="1" customHeight="1">
      <c r="B39" s="7" t="s">
        <v>690</v>
      </c>
      <c r="C39" s="7" t="s">
        <v>410</v>
      </c>
      <c r="D39" s="159">
        <v>44630</v>
      </c>
      <c r="E39" s="249" t="s">
        <v>727</v>
      </c>
      <c r="F39" s="7" t="s">
        <v>59</v>
      </c>
      <c r="G39" s="219">
        <v>420.36</v>
      </c>
      <c r="H39" s="162">
        <f>IF(F39=0,0,IF(F39="MXN",1/HLOOKUP(YEAR(D39)+(MONTH(D39)/100),TC!$5:$437,DAY(D39)+2,FALSE),VLOOKUP(F39,Equivalencia!$1:$23,((MAX(Equivalencia!$3:$3)-YEAR(D39))*14)+MONTH(D39)+2,FALSE)))</f>
        <v>1</v>
      </c>
      <c r="I39" s="163">
        <f t="shared" si="2"/>
        <v>420.36</v>
      </c>
      <c r="J39" s="162">
        <f>IF(D39=0,0,HLOOKUP(YEAR(D39)+(MONTH(D39)/100),TC!$5:$37,DAY(D39)+2,FALSE))</f>
        <v>21.377500000000001</v>
      </c>
      <c r="K39" s="219">
        <f t="shared" si="3"/>
        <v>8986.2459000000017</v>
      </c>
    </row>
    <row r="40" spans="2:11" s="134" customFormat="1" ht="23" hidden="1" customHeight="1">
      <c r="B40" s="7" t="s">
        <v>690</v>
      </c>
      <c r="C40" s="7" t="s">
        <v>410</v>
      </c>
      <c r="D40" s="159">
        <v>44630</v>
      </c>
      <c r="E40" s="249" t="s">
        <v>764</v>
      </c>
      <c r="F40" s="7" t="s">
        <v>59</v>
      </c>
      <c r="G40" s="219">
        <v>60.82</v>
      </c>
      <c r="H40" s="162">
        <f>IF(F40=0,0,IF(F40="MXN",1/HLOOKUP(YEAR(D40)+(MONTH(D40)/100),TC!$5:$437,DAY(D40)+2,FALSE),VLOOKUP(F40,Equivalencia!$1:$23,((MAX(Equivalencia!$3:$3)-YEAR(D40))*14)+MONTH(D40)+2,FALSE)))</f>
        <v>1</v>
      </c>
      <c r="I40" s="163">
        <f t="shared" si="2"/>
        <v>60.82</v>
      </c>
      <c r="J40" s="162">
        <f>IF(D40=0,0,HLOOKUP(YEAR(D40)+(MONTH(D40)/100),TC!$5:$37,DAY(D40)+2,FALSE))</f>
        <v>21.377500000000001</v>
      </c>
      <c r="K40" s="219">
        <f t="shared" si="3"/>
        <v>1300.1795500000001</v>
      </c>
    </row>
    <row r="41" spans="2:11" s="134" customFormat="1" ht="23" hidden="1" customHeight="1">
      <c r="B41" s="7" t="s">
        <v>690</v>
      </c>
      <c r="C41" s="7" t="s">
        <v>410</v>
      </c>
      <c r="D41" s="159">
        <v>44630</v>
      </c>
      <c r="E41" s="249" t="s">
        <v>765</v>
      </c>
      <c r="F41" s="7" t="s">
        <v>59</v>
      </c>
      <c r="G41" s="219">
        <v>30.49</v>
      </c>
      <c r="H41" s="162">
        <f>IF(F41=0,0,IF(F41="MXN",1/HLOOKUP(YEAR(D41)+(MONTH(D41)/100),TC!$5:$437,DAY(D41)+2,FALSE),VLOOKUP(F41,Equivalencia!$1:$23,((MAX(Equivalencia!$3:$3)-YEAR(D41))*14)+MONTH(D41)+2,FALSE)))</f>
        <v>1</v>
      </c>
      <c r="I41" s="163">
        <f t="shared" si="2"/>
        <v>30.49</v>
      </c>
      <c r="J41" s="162">
        <f>IF(D41=0,0,HLOOKUP(YEAR(D41)+(MONTH(D41)/100),TC!$5:$37,DAY(D41)+2,FALSE))</f>
        <v>21.377500000000001</v>
      </c>
      <c r="K41" s="219">
        <f t="shared" si="3"/>
        <v>651.79997500000002</v>
      </c>
    </row>
    <row r="42" spans="2:11" s="134" customFormat="1" ht="23" hidden="1" customHeight="1">
      <c r="B42" s="7" t="s">
        <v>690</v>
      </c>
      <c r="C42" s="7" t="s">
        <v>410</v>
      </c>
      <c r="D42" s="159">
        <v>44630</v>
      </c>
      <c r="E42" s="249" t="s">
        <v>766</v>
      </c>
      <c r="F42" s="7" t="s">
        <v>59</v>
      </c>
      <c r="G42" s="219">
        <v>73.98</v>
      </c>
      <c r="H42" s="162">
        <f>IF(F42=0,0,IF(F42="MXN",1/HLOOKUP(YEAR(D42)+(MONTH(D42)/100),TC!$5:$437,DAY(D42)+2,FALSE),VLOOKUP(F42,Equivalencia!$1:$23,((MAX(Equivalencia!$3:$3)-YEAR(D42))*14)+MONTH(D42)+2,FALSE)))</f>
        <v>1</v>
      </c>
      <c r="I42" s="163">
        <f t="shared" si="2"/>
        <v>73.98</v>
      </c>
      <c r="J42" s="162">
        <f>IF(D42=0,0,HLOOKUP(YEAR(D42)+(MONTH(D42)/100),TC!$5:$37,DAY(D42)+2,FALSE))</f>
        <v>21.377500000000001</v>
      </c>
      <c r="K42" s="219">
        <f t="shared" si="3"/>
        <v>1581.5074500000003</v>
      </c>
    </row>
    <row r="43" spans="2:11" s="134" customFormat="1" ht="23" hidden="1" customHeight="1">
      <c r="B43" s="7" t="s">
        <v>690</v>
      </c>
      <c r="C43" s="7" t="s">
        <v>410</v>
      </c>
      <c r="D43" s="159">
        <v>44630</v>
      </c>
      <c r="E43" s="249" t="s">
        <v>767</v>
      </c>
      <c r="F43" s="7" t="s">
        <v>59</v>
      </c>
      <c r="G43" s="219">
        <v>124.03</v>
      </c>
      <c r="H43" s="162">
        <f>IF(F43=0,0,IF(F43="MXN",1/HLOOKUP(YEAR(D43)+(MONTH(D43)/100),TC!$5:$437,DAY(D43)+2,FALSE),VLOOKUP(F43,Equivalencia!$1:$23,((MAX(Equivalencia!$3:$3)-YEAR(D43))*14)+MONTH(D43)+2,FALSE)))</f>
        <v>1</v>
      </c>
      <c r="I43" s="163">
        <f t="shared" si="2"/>
        <v>124.03</v>
      </c>
      <c r="J43" s="162">
        <f>IF(D43=0,0,HLOOKUP(YEAR(D43)+(MONTH(D43)/100),TC!$5:$37,DAY(D43)+2,FALSE))</f>
        <v>21.377500000000001</v>
      </c>
      <c r="K43" s="219">
        <f t="shared" si="3"/>
        <v>2651.451325</v>
      </c>
    </row>
    <row r="44" spans="2:11" s="134" customFormat="1" ht="23" hidden="1" customHeight="1">
      <c r="B44" s="7" t="s">
        <v>690</v>
      </c>
      <c r="C44" s="7" t="s">
        <v>410</v>
      </c>
      <c r="D44" s="159">
        <v>44631</v>
      </c>
      <c r="E44" s="249" t="s">
        <v>768</v>
      </c>
      <c r="F44" s="7" t="s">
        <v>59</v>
      </c>
      <c r="G44" s="219">
        <v>99.67</v>
      </c>
      <c r="H44" s="162">
        <f>IF(F44=0,0,IF(F44="MXN",1/HLOOKUP(YEAR(D44)+(MONTH(D44)/100),TC!$5:$437,DAY(D44)+2,FALSE),VLOOKUP(F44,Equivalencia!$1:$23,((MAX(Equivalencia!$3:$3)-YEAR(D44))*14)+MONTH(D44)+2,FALSE)))</f>
        <v>1</v>
      </c>
      <c r="I44" s="163">
        <f t="shared" si="2"/>
        <v>99.67</v>
      </c>
      <c r="J44" s="162">
        <f>IF(D44=0,0,HLOOKUP(YEAR(D44)+(MONTH(D44)/100),TC!$5:$37,DAY(D44)+2,FALSE))</f>
        <v>20.967700000000001</v>
      </c>
      <c r="K44" s="219">
        <f t="shared" si="3"/>
        <v>2089.8506590000002</v>
      </c>
    </row>
    <row r="45" spans="2:11" s="134" customFormat="1" ht="23" hidden="1" customHeight="1">
      <c r="B45" s="7" t="s">
        <v>690</v>
      </c>
      <c r="C45" s="7" t="s">
        <v>410</v>
      </c>
      <c r="D45" s="159">
        <v>44631</v>
      </c>
      <c r="E45" s="249" t="s">
        <v>769</v>
      </c>
      <c r="F45" s="7" t="s">
        <v>59</v>
      </c>
      <c r="G45" s="219">
        <v>59.94</v>
      </c>
      <c r="H45" s="162">
        <f>IF(F45=0,0,IF(F45="MXN",1/HLOOKUP(YEAR(D45)+(MONTH(D45)/100),TC!$5:$437,DAY(D45)+2,FALSE),VLOOKUP(F45,Equivalencia!$1:$23,((MAX(Equivalencia!$3:$3)-YEAR(D45))*14)+MONTH(D45)+2,FALSE)))</f>
        <v>1</v>
      </c>
      <c r="I45" s="163">
        <f t="shared" si="2"/>
        <v>59.94</v>
      </c>
      <c r="J45" s="162">
        <f>IF(D45=0,0,HLOOKUP(YEAR(D45)+(MONTH(D45)/100),TC!$5:$37,DAY(D45)+2,FALSE))</f>
        <v>20.967700000000001</v>
      </c>
      <c r="K45" s="219">
        <f t="shared" si="3"/>
        <v>1256.803938</v>
      </c>
    </row>
    <row r="46" spans="2:11" s="134" customFormat="1" ht="23" hidden="1" customHeight="1">
      <c r="B46" s="7" t="s">
        <v>690</v>
      </c>
      <c r="C46" s="7" t="s">
        <v>410</v>
      </c>
      <c r="D46" s="159">
        <v>44635</v>
      </c>
      <c r="E46" s="249" t="s">
        <v>770</v>
      </c>
      <c r="F46" s="7" t="s">
        <v>59</v>
      </c>
      <c r="G46" s="219">
        <v>32.76</v>
      </c>
      <c r="H46" s="162">
        <f>IF(F46=0,0,IF(F46="MXN",1/HLOOKUP(YEAR(D46)+(MONTH(D46)/100),TC!$5:$437,DAY(D46)+2,FALSE),VLOOKUP(F46,Equivalencia!$1:$23,((MAX(Equivalencia!$3:$3)-YEAR(D46))*14)+MONTH(D46)+2,FALSE)))</f>
        <v>1</v>
      </c>
      <c r="I46" s="163">
        <f t="shared" si="2"/>
        <v>32.76</v>
      </c>
      <c r="J46" s="162">
        <f>IF(D46=0,0,HLOOKUP(YEAR(D46)+(MONTH(D46)/100),TC!$5:$37,DAY(D46)+2,FALSE))</f>
        <v>20.9695</v>
      </c>
      <c r="K46" s="219">
        <f t="shared" si="3"/>
        <v>686.96082000000001</v>
      </c>
    </row>
    <row r="47" spans="2:11" s="134" customFormat="1" ht="23" hidden="1" customHeight="1">
      <c r="B47" s="7" t="s">
        <v>690</v>
      </c>
      <c r="C47" s="7" t="s">
        <v>410</v>
      </c>
      <c r="D47" s="159">
        <v>44635</v>
      </c>
      <c r="E47" s="249" t="s">
        <v>771</v>
      </c>
      <c r="F47" s="7" t="s">
        <v>59</v>
      </c>
      <c r="G47" s="219">
        <v>139.52000000000001</v>
      </c>
      <c r="H47" s="162">
        <f>IF(F47=0,0,IF(F47="MXN",1/HLOOKUP(YEAR(D47)+(MONTH(D47)/100),TC!$5:$437,DAY(D47)+2,FALSE),VLOOKUP(F47,Equivalencia!$1:$23,((MAX(Equivalencia!$3:$3)-YEAR(D47))*14)+MONTH(D47)+2,FALSE)))</f>
        <v>1</v>
      </c>
      <c r="I47" s="163">
        <f t="shared" si="2"/>
        <v>139.52000000000001</v>
      </c>
      <c r="J47" s="162">
        <f>IF(D47=0,0,HLOOKUP(YEAR(D47)+(MONTH(D47)/100),TC!$5:$37,DAY(D47)+2,FALSE))</f>
        <v>20.9695</v>
      </c>
      <c r="K47" s="219">
        <f t="shared" si="3"/>
        <v>2925.6646400000004</v>
      </c>
    </row>
    <row r="48" spans="2:11" s="134" customFormat="1" ht="23" hidden="1" customHeight="1">
      <c r="B48" s="7" t="s">
        <v>690</v>
      </c>
      <c r="C48" s="7" t="s">
        <v>410</v>
      </c>
      <c r="D48" s="159">
        <v>44635</v>
      </c>
      <c r="E48" s="249" t="s">
        <v>731</v>
      </c>
      <c r="F48" s="7" t="s">
        <v>59</v>
      </c>
      <c r="G48" s="219">
        <v>63.88</v>
      </c>
      <c r="H48" s="162">
        <f>IF(F48=0,0,IF(F48="MXN",1/HLOOKUP(YEAR(D48)+(MONTH(D48)/100),TC!$5:$437,DAY(D48)+2,FALSE),VLOOKUP(F48,Equivalencia!$1:$23,((MAX(Equivalencia!$3:$3)-YEAR(D48))*14)+MONTH(D48)+2,FALSE)))</f>
        <v>1</v>
      </c>
      <c r="I48" s="163">
        <f t="shared" si="2"/>
        <v>63.88</v>
      </c>
      <c r="J48" s="162">
        <f>IF(D48=0,0,HLOOKUP(YEAR(D48)+(MONTH(D48)/100),TC!$5:$37,DAY(D48)+2,FALSE))</f>
        <v>20.9695</v>
      </c>
      <c r="K48" s="219">
        <f t="shared" si="3"/>
        <v>1339.5316600000001</v>
      </c>
    </row>
    <row r="49" spans="2:11" s="134" customFormat="1" ht="23" hidden="1" customHeight="1">
      <c r="B49" s="7" t="s">
        <v>690</v>
      </c>
      <c r="C49" s="7" t="s">
        <v>410</v>
      </c>
      <c r="D49" s="159">
        <v>44635</v>
      </c>
      <c r="E49" s="249" t="s">
        <v>781</v>
      </c>
      <c r="F49" s="7" t="s">
        <v>59</v>
      </c>
      <c r="G49" s="219">
        <v>54.35</v>
      </c>
      <c r="H49" s="162">
        <f>IF(F49=0,0,IF(F49="MXN",1/HLOOKUP(YEAR(D49)+(MONTH(D49)/100),TC!$5:$437,DAY(D49)+2,FALSE),VLOOKUP(F49,Equivalencia!$1:$23,((MAX(Equivalencia!$3:$3)-YEAR(D49))*14)+MONTH(D49)+2,FALSE)))</f>
        <v>1</v>
      </c>
      <c r="I49" s="163">
        <f t="shared" si="2"/>
        <v>54.35</v>
      </c>
      <c r="J49" s="162">
        <f>IF(D49=0,0,HLOOKUP(YEAR(D49)+(MONTH(D49)/100),TC!$5:$37,DAY(D49)+2,FALSE))</f>
        <v>20.9695</v>
      </c>
      <c r="K49" s="219">
        <f t="shared" si="3"/>
        <v>1139.692325</v>
      </c>
    </row>
    <row r="50" spans="2:11" s="134" customFormat="1" ht="23" hidden="1" customHeight="1">
      <c r="B50" s="7" t="s">
        <v>690</v>
      </c>
      <c r="C50" s="7" t="s">
        <v>410</v>
      </c>
      <c r="D50" s="159">
        <v>44635</v>
      </c>
      <c r="E50" s="249" t="s">
        <v>781</v>
      </c>
      <c r="F50" s="7" t="s">
        <v>59</v>
      </c>
      <c r="G50" s="219">
        <v>54.35</v>
      </c>
      <c r="H50" s="162">
        <f>IF(F50=0,0,IF(F50="MXN",1/HLOOKUP(YEAR(D50)+(MONTH(D50)/100),TC!$5:$437,DAY(D50)+2,FALSE),VLOOKUP(F50,Equivalencia!$1:$23,((MAX(Equivalencia!$3:$3)-YEAR(D50))*14)+MONTH(D50)+2,FALSE)))</f>
        <v>1</v>
      </c>
      <c r="I50" s="163">
        <f t="shared" si="2"/>
        <v>54.35</v>
      </c>
      <c r="J50" s="162">
        <f>IF(D50=0,0,HLOOKUP(YEAR(D50)+(MONTH(D50)/100),TC!$5:$37,DAY(D50)+2,FALSE))</f>
        <v>20.9695</v>
      </c>
      <c r="K50" s="219">
        <f t="shared" si="3"/>
        <v>1139.692325</v>
      </c>
    </row>
    <row r="51" spans="2:11" s="134" customFormat="1" ht="23" hidden="1" customHeight="1">
      <c r="B51" s="7" t="s">
        <v>690</v>
      </c>
      <c r="C51" s="7" t="s">
        <v>410</v>
      </c>
      <c r="D51" s="159">
        <v>44635</v>
      </c>
      <c r="E51" s="249" t="s">
        <v>781</v>
      </c>
      <c r="F51" s="7" t="s">
        <v>59</v>
      </c>
      <c r="G51" s="219">
        <v>54.35</v>
      </c>
      <c r="H51" s="162">
        <f>IF(F51=0,0,IF(F51="MXN",1/HLOOKUP(YEAR(D51)+(MONTH(D51)/100),TC!$5:$437,DAY(D51)+2,FALSE),VLOOKUP(F51,Equivalencia!$1:$23,((MAX(Equivalencia!$3:$3)-YEAR(D51))*14)+MONTH(D51)+2,FALSE)))</f>
        <v>1</v>
      </c>
      <c r="I51" s="163">
        <f t="shared" si="2"/>
        <v>54.35</v>
      </c>
      <c r="J51" s="162">
        <f>IF(D51=0,0,HLOOKUP(YEAR(D51)+(MONTH(D51)/100),TC!$5:$37,DAY(D51)+2,FALSE))</f>
        <v>20.9695</v>
      </c>
      <c r="K51" s="219">
        <f t="shared" si="3"/>
        <v>1139.692325</v>
      </c>
    </row>
    <row r="52" spans="2:11" s="134" customFormat="1" ht="23" hidden="1" customHeight="1">
      <c r="B52" s="7" t="s">
        <v>690</v>
      </c>
      <c r="C52" s="7" t="s">
        <v>410</v>
      </c>
      <c r="D52" s="159">
        <v>44635</v>
      </c>
      <c r="E52" s="249" t="s">
        <v>781</v>
      </c>
      <c r="F52" s="7" t="s">
        <v>59</v>
      </c>
      <c r="G52" s="219">
        <v>60.07</v>
      </c>
      <c r="H52" s="162">
        <f>IF(F52=0,0,IF(F52="MXN",1/HLOOKUP(YEAR(D52)+(MONTH(D52)/100),TC!$5:$437,DAY(D52)+2,FALSE),VLOOKUP(F52,Equivalencia!$1:$23,((MAX(Equivalencia!$3:$3)-YEAR(D52))*14)+MONTH(D52)+2,FALSE)))</f>
        <v>1</v>
      </c>
      <c r="I52" s="163">
        <f t="shared" si="2"/>
        <v>60.07</v>
      </c>
      <c r="J52" s="162">
        <f>IF(D52=0,0,HLOOKUP(YEAR(D52)+(MONTH(D52)/100),TC!$5:$37,DAY(D52)+2,FALSE))</f>
        <v>20.9695</v>
      </c>
      <c r="K52" s="219">
        <f t="shared" si="3"/>
        <v>1259.6378649999999</v>
      </c>
    </row>
    <row r="53" spans="2:11" s="134" customFormat="1" ht="23" hidden="1" customHeight="1">
      <c r="B53" s="7" t="s">
        <v>690</v>
      </c>
      <c r="C53" s="7" t="s">
        <v>410</v>
      </c>
      <c r="D53" s="159">
        <v>44635</v>
      </c>
      <c r="E53" s="249" t="s">
        <v>812</v>
      </c>
      <c r="F53" s="7" t="s">
        <v>59</v>
      </c>
      <c r="G53" s="219">
        <v>-92.17</v>
      </c>
      <c r="H53" s="162">
        <f>IF(F53=0,0,IF(F53="MXN",1/HLOOKUP(YEAR(D53)+(MONTH(D53)/100),TC!$5:$437,DAY(D53)+2,FALSE),VLOOKUP(F53,Equivalencia!$1:$23,((MAX(Equivalencia!$3:$3)-YEAR(D53))*14)+MONTH(D53)+2,FALSE)))</f>
        <v>1</v>
      </c>
      <c r="I53" s="163">
        <f t="shared" si="2"/>
        <v>-92.17</v>
      </c>
      <c r="J53" s="162">
        <f>IF(D53=0,0,HLOOKUP(YEAR(D53)+(MONTH(D53)/100),TC!$5:$37,DAY(D53)+2,FALSE))</f>
        <v>20.9695</v>
      </c>
      <c r="K53" s="219">
        <f t="shared" si="3"/>
        <v>-1932.7588150000001</v>
      </c>
    </row>
    <row r="54" spans="2:11" s="134" customFormat="1" ht="23" hidden="1" customHeight="1">
      <c r="B54" s="7" t="s">
        <v>690</v>
      </c>
      <c r="C54" s="7" t="s">
        <v>410</v>
      </c>
      <c r="D54" s="159">
        <v>44635</v>
      </c>
      <c r="E54" s="249" t="s">
        <v>812</v>
      </c>
      <c r="F54" s="7" t="s">
        <v>59</v>
      </c>
      <c r="G54" s="219">
        <v>-92.17</v>
      </c>
      <c r="H54" s="162">
        <f>IF(F54=0,0,IF(F54="MXN",1/HLOOKUP(YEAR(D54)+(MONTH(D54)/100),TC!$5:$437,DAY(D54)+2,FALSE),VLOOKUP(F54,Equivalencia!$1:$23,((MAX(Equivalencia!$3:$3)-YEAR(D54))*14)+MONTH(D54)+2,FALSE)))</f>
        <v>1</v>
      </c>
      <c r="I54" s="163">
        <f t="shared" si="2"/>
        <v>-92.17</v>
      </c>
      <c r="J54" s="162">
        <f>IF(D54=0,0,HLOOKUP(YEAR(D54)+(MONTH(D54)/100),TC!$5:$37,DAY(D54)+2,FALSE))</f>
        <v>20.9695</v>
      </c>
      <c r="K54" s="219">
        <f t="shared" si="3"/>
        <v>-1932.7588150000001</v>
      </c>
    </row>
    <row r="55" spans="2:11" s="134" customFormat="1" ht="23" hidden="1" customHeight="1">
      <c r="B55" s="7" t="s">
        <v>690</v>
      </c>
      <c r="C55" s="7" t="s">
        <v>410</v>
      </c>
      <c r="D55" s="159">
        <v>44635</v>
      </c>
      <c r="E55" s="249" t="s">
        <v>812</v>
      </c>
      <c r="F55" s="7" t="s">
        <v>59</v>
      </c>
      <c r="G55" s="219">
        <v>-92.17</v>
      </c>
      <c r="H55" s="162">
        <f>IF(F55=0,0,IF(F55="MXN",1/HLOOKUP(YEAR(D55)+(MONTH(D55)/100),TC!$5:$437,DAY(D55)+2,FALSE),VLOOKUP(F55,Equivalencia!$1:$23,((MAX(Equivalencia!$3:$3)-YEAR(D55))*14)+MONTH(D55)+2,FALSE)))</f>
        <v>1</v>
      </c>
      <c r="I55" s="163">
        <f t="shared" si="2"/>
        <v>-92.17</v>
      </c>
      <c r="J55" s="162">
        <f>IF(D55=0,0,HLOOKUP(YEAR(D55)+(MONTH(D55)/100),TC!$5:$37,DAY(D55)+2,FALSE))</f>
        <v>20.9695</v>
      </c>
      <c r="K55" s="219">
        <f t="shared" si="3"/>
        <v>-1932.7588150000001</v>
      </c>
    </row>
    <row r="56" spans="2:11" s="134" customFormat="1" ht="23" hidden="1" customHeight="1">
      <c r="B56" s="7" t="s">
        <v>690</v>
      </c>
      <c r="C56" s="7" t="s">
        <v>410</v>
      </c>
      <c r="D56" s="159">
        <v>44635</v>
      </c>
      <c r="E56" s="249" t="s">
        <v>812</v>
      </c>
      <c r="F56" s="7" t="s">
        <v>59</v>
      </c>
      <c r="G56" s="219">
        <v>-101.87</v>
      </c>
      <c r="H56" s="162">
        <f>IF(F56=0,0,IF(F56="MXN",1/HLOOKUP(YEAR(D56)+(MONTH(D56)/100),TC!$5:$437,DAY(D56)+2,FALSE),VLOOKUP(F56,Equivalencia!$1:$23,((MAX(Equivalencia!$3:$3)-YEAR(D56))*14)+MONTH(D56)+2,FALSE)))</f>
        <v>1</v>
      </c>
      <c r="I56" s="163">
        <f t="shared" si="2"/>
        <v>-101.87</v>
      </c>
      <c r="J56" s="162">
        <f>IF(D56=0,0,HLOOKUP(YEAR(D56)+(MONTH(D56)/100),TC!$5:$37,DAY(D56)+2,FALSE))</f>
        <v>20.9695</v>
      </c>
      <c r="K56" s="219">
        <f t="shared" si="3"/>
        <v>-2136.162965</v>
      </c>
    </row>
    <row r="57" spans="2:11" s="134" customFormat="1" ht="23" hidden="1" customHeight="1">
      <c r="B57" s="7" t="s">
        <v>690</v>
      </c>
      <c r="C57" s="7" t="s">
        <v>410</v>
      </c>
      <c r="D57" s="159">
        <v>44636</v>
      </c>
      <c r="E57" s="249" t="s">
        <v>772</v>
      </c>
      <c r="F57" s="7" t="s">
        <v>59</v>
      </c>
      <c r="G57" s="219">
        <v>56.66</v>
      </c>
      <c r="H57" s="162">
        <f>IF(F57=0,0,IF(F57="MXN",1/HLOOKUP(YEAR(D57)+(MONTH(D57)/100),TC!$5:$437,DAY(D57)+2,FALSE),VLOOKUP(F57,Equivalencia!$1:$23,((MAX(Equivalencia!$3:$3)-YEAR(D57))*14)+MONTH(D57)+2,FALSE)))</f>
        <v>1</v>
      </c>
      <c r="I57" s="163">
        <f t="shared" si="2"/>
        <v>56.66</v>
      </c>
      <c r="J57" s="162">
        <f>IF(D57=0,0,HLOOKUP(YEAR(D57)+(MONTH(D57)/100),TC!$5:$37,DAY(D57)+2,FALSE))</f>
        <v>20.890799999999999</v>
      </c>
      <c r="K57" s="219">
        <f t="shared" si="3"/>
        <v>1183.6727279999998</v>
      </c>
    </row>
    <row r="58" spans="2:11" s="134" customFormat="1" ht="23" hidden="1" customHeight="1">
      <c r="B58" s="7" t="s">
        <v>690</v>
      </c>
      <c r="C58" s="7" t="s">
        <v>410</v>
      </c>
      <c r="D58" s="159">
        <v>44641</v>
      </c>
      <c r="E58" s="249" t="s">
        <v>773</v>
      </c>
      <c r="F58" s="7" t="s">
        <v>59</v>
      </c>
      <c r="G58" s="219">
        <v>120.75</v>
      </c>
      <c r="H58" s="162">
        <f>IF(F58=0,0,IF(F58="MXN",1/HLOOKUP(YEAR(D58)+(MONTH(D58)/100),TC!$5:$437,DAY(D58)+2,FALSE),VLOOKUP(F58,Equivalencia!$1:$23,((MAX(Equivalencia!$3:$3)-YEAR(D58))*14)+MONTH(D58)+2,FALSE)))</f>
        <v>1</v>
      </c>
      <c r="I58" s="163">
        <f t="shared" si="2"/>
        <v>120.75</v>
      </c>
      <c r="J58" s="162">
        <f>IF(D58=0,0,HLOOKUP(YEAR(D58)+(MONTH(D58)/100),TC!$5:$37,DAY(D58)+2,FALSE))</f>
        <v>20.558499999999999</v>
      </c>
      <c r="K58" s="219">
        <f t="shared" si="3"/>
        <v>2482.4388749999998</v>
      </c>
    </row>
    <row r="59" spans="2:11" s="134" customFormat="1" ht="23" hidden="1" customHeight="1">
      <c r="B59" s="7" t="s">
        <v>690</v>
      </c>
      <c r="C59" s="7" t="s">
        <v>410</v>
      </c>
      <c r="D59" s="159">
        <v>44642</v>
      </c>
      <c r="E59" s="249" t="s">
        <v>774</v>
      </c>
      <c r="F59" s="7" t="s">
        <v>59</v>
      </c>
      <c r="G59" s="219">
        <v>93.53</v>
      </c>
      <c r="H59" s="162">
        <f>IF(F59=0,0,IF(F59="MXN",1/HLOOKUP(YEAR(D59)+(MONTH(D59)/100),TC!$5:$437,DAY(D59)+2,FALSE),VLOOKUP(F59,Equivalencia!$1:$23,((MAX(Equivalencia!$3:$3)-YEAR(D59))*14)+MONTH(D59)+2,FALSE)))</f>
        <v>1</v>
      </c>
      <c r="I59" s="163">
        <f t="shared" si="2"/>
        <v>93.53</v>
      </c>
      <c r="J59" s="162">
        <f>IF(D59=0,0,HLOOKUP(YEAR(D59)+(MONTH(D59)/100),TC!$5:$37,DAY(D59)+2,FALSE))</f>
        <v>20.558499999999999</v>
      </c>
      <c r="K59" s="219">
        <f t="shared" si="3"/>
        <v>1922.836505</v>
      </c>
    </row>
    <row r="60" spans="2:11" s="134" customFormat="1" ht="23" hidden="1" customHeight="1">
      <c r="B60" s="7" t="s">
        <v>690</v>
      </c>
      <c r="C60" s="7" t="s">
        <v>410</v>
      </c>
      <c r="D60" s="159">
        <v>44644</v>
      </c>
      <c r="E60" s="249" t="s">
        <v>775</v>
      </c>
      <c r="F60" s="7" t="s">
        <v>59</v>
      </c>
      <c r="G60" s="219">
        <v>213.75</v>
      </c>
      <c r="H60" s="162">
        <f>IF(F60=0,0,IF(F60="MXN",1/HLOOKUP(YEAR(D60)+(MONTH(D60)/100),TC!$5:$437,DAY(D60)+2,FALSE),VLOOKUP(F60,Equivalencia!$1:$23,((MAX(Equivalencia!$3:$3)-YEAR(D60))*14)+MONTH(D60)+2,FALSE)))</f>
        <v>1</v>
      </c>
      <c r="I60" s="163">
        <f t="shared" si="2"/>
        <v>213.75</v>
      </c>
      <c r="J60" s="162">
        <f>IF(D60=0,0,HLOOKUP(YEAR(D60)+(MONTH(D60)/100),TC!$5:$37,DAY(D60)+2,FALSE))</f>
        <v>20.278199999999998</v>
      </c>
      <c r="K60" s="219">
        <f t="shared" si="3"/>
        <v>4334.4652499999993</v>
      </c>
    </row>
    <row r="61" spans="2:11" s="134" customFormat="1" ht="23" hidden="1" customHeight="1">
      <c r="B61" s="7" t="s">
        <v>690</v>
      </c>
      <c r="C61" s="7" t="s">
        <v>410</v>
      </c>
      <c r="D61" s="159">
        <v>44644</v>
      </c>
      <c r="E61" s="249" t="s">
        <v>776</v>
      </c>
      <c r="F61" s="7" t="s">
        <v>59</v>
      </c>
      <c r="G61" s="219">
        <v>152.69</v>
      </c>
      <c r="H61" s="162">
        <f>IF(F61=0,0,IF(F61="MXN",1/HLOOKUP(YEAR(D61)+(MONTH(D61)/100),TC!$5:$437,DAY(D61)+2,FALSE),VLOOKUP(F61,Equivalencia!$1:$23,((MAX(Equivalencia!$3:$3)-YEAR(D61))*14)+MONTH(D61)+2,FALSE)))</f>
        <v>1</v>
      </c>
      <c r="I61" s="163">
        <f t="shared" si="2"/>
        <v>152.69</v>
      </c>
      <c r="J61" s="162">
        <f>IF(D61=0,0,HLOOKUP(YEAR(D61)+(MONTH(D61)/100),TC!$5:$37,DAY(D61)+2,FALSE))</f>
        <v>20.278199999999998</v>
      </c>
      <c r="K61" s="219">
        <f t="shared" si="3"/>
        <v>3096.2783579999996</v>
      </c>
    </row>
    <row r="62" spans="2:11" s="134" customFormat="1" ht="23" hidden="1" customHeight="1">
      <c r="B62" s="7" t="s">
        <v>690</v>
      </c>
      <c r="C62" s="7" t="s">
        <v>410</v>
      </c>
      <c r="D62" s="159">
        <v>44645</v>
      </c>
      <c r="E62" s="249" t="s">
        <v>737</v>
      </c>
      <c r="F62" s="7" t="s">
        <v>59</v>
      </c>
      <c r="G62" s="219">
        <v>69</v>
      </c>
      <c r="H62" s="162">
        <f>IF(F62=0,0,IF(F62="MXN",1/HLOOKUP(YEAR(D62)+(MONTH(D62)/100),TC!$5:$437,DAY(D62)+2,FALSE),VLOOKUP(F62,Equivalencia!$1:$23,((MAX(Equivalencia!$3:$3)-YEAR(D62))*14)+MONTH(D62)+2,FALSE)))</f>
        <v>1</v>
      </c>
      <c r="I62" s="163">
        <f t="shared" si="2"/>
        <v>69</v>
      </c>
      <c r="J62" s="162">
        <f>IF(D62=0,0,HLOOKUP(YEAR(D62)+(MONTH(D62)/100),TC!$5:$37,DAY(D62)+2,FALSE))</f>
        <v>20.18</v>
      </c>
      <c r="K62" s="219">
        <f t="shared" si="3"/>
        <v>1392.42</v>
      </c>
    </row>
    <row r="63" spans="2:11" s="134" customFormat="1" ht="23" hidden="1" customHeight="1">
      <c r="B63" s="7" t="s">
        <v>690</v>
      </c>
      <c r="C63" s="7" t="s">
        <v>410</v>
      </c>
      <c r="D63" s="159">
        <v>44645</v>
      </c>
      <c r="E63" s="249" t="s">
        <v>777</v>
      </c>
      <c r="F63" s="7" t="s">
        <v>59</v>
      </c>
      <c r="G63" s="219">
        <v>137.76</v>
      </c>
      <c r="H63" s="162">
        <f>IF(F63=0,0,IF(F63="MXN",1/HLOOKUP(YEAR(D63)+(MONTH(D63)/100),TC!$5:$437,DAY(D63)+2,FALSE),VLOOKUP(F63,Equivalencia!$1:$23,((MAX(Equivalencia!$3:$3)-YEAR(D63))*14)+MONTH(D63)+2,FALSE)))</f>
        <v>1</v>
      </c>
      <c r="I63" s="163">
        <f t="shared" si="2"/>
        <v>137.76</v>
      </c>
      <c r="J63" s="162">
        <f>IF(D63=0,0,HLOOKUP(YEAR(D63)+(MONTH(D63)/100),TC!$5:$37,DAY(D63)+2,FALSE))</f>
        <v>20.18</v>
      </c>
      <c r="K63" s="219">
        <f t="shared" si="3"/>
        <v>2779.9967999999999</v>
      </c>
    </row>
    <row r="64" spans="2:11" s="134" customFormat="1" ht="23" hidden="1" customHeight="1">
      <c r="B64" s="7" t="s">
        <v>690</v>
      </c>
      <c r="C64" s="7" t="s">
        <v>410</v>
      </c>
      <c r="D64" s="159">
        <v>44645</v>
      </c>
      <c r="E64" s="249" t="s">
        <v>779</v>
      </c>
      <c r="F64" s="7" t="s">
        <v>59</v>
      </c>
      <c r="G64" s="219">
        <v>99.96</v>
      </c>
      <c r="H64" s="162">
        <f>IF(F64=0,0,IF(F64="MXN",1/HLOOKUP(YEAR(D64)+(MONTH(D64)/100),TC!$5:$437,DAY(D64)+2,FALSE),VLOOKUP(F64,Equivalencia!$1:$23,((MAX(Equivalencia!$3:$3)-YEAR(D64))*14)+MONTH(D64)+2,FALSE)))</f>
        <v>1</v>
      </c>
      <c r="I64" s="163">
        <f t="shared" si="2"/>
        <v>99.96</v>
      </c>
      <c r="J64" s="162">
        <f>IF(D64=0,0,HLOOKUP(YEAR(D64)+(MONTH(D64)/100),TC!$5:$37,DAY(D64)+2,FALSE))</f>
        <v>20.18</v>
      </c>
      <c r="K64" s="219">
        <f t="shared" si="3"/>
        <v>2017.1927999999998</v>
      </c>
    </row>
    <row r="65" spans="2:11" s="134" customFormat="1" ht="23" hidden="1" customHeight="1">
      <c r="B65" s="7" t="s">
        <v>690</v>
      </c>
      <c r="C65" s="7" t="s">
        <v>410</v>
      </c>
      <c r="D65" s="159">
        <v>44650</v>
      </c>
      <c r="E65" s="249" t="s">
        <v>780</v>
      </c>
      <c r="F65" s="7" t="s">
        <v>59</v>
      </c>
      <c r="G65" s="219">
        <v>72.3</v>
      </c>
      <c r="H65" s="162">
        <f>IF(F65=0,0,IF(F65="MXN",1/HLOOKUP(YEAR(D65)+(MONTH(D65)/100),TC!$5:$437,DAY(D65)+2,FALSE),VLOOKUP(F65,Equivalencia!$1:$23,((MAX(Equivalencia!$3:$3)-YEAR(D65))*14)+MONTH(D65)+2,FALSE)))</f>
        <v>1</v>
      </c>
      <c r="I65" s="163">
        <f t="shared" si="2"/>
        <v>72.3</v>
      </c>
      <c r="J65" s="162">
        <f>IF(D65=0,0,HLOOKUP(YEAR(D65)+(MONTH(D65)/100),TC!$5:$37,DAY(D65)+2,FALSE))</f>
        <v>20.119499999999999</v>
      </c>
      <c r="K65" s="219">
        <f t="shared" si="3"/>
        <v>1454.6398499999998</v>
      </c>
    </row>
    <row r="66" spans="2:11" s="134" customFormat="1" ht="23" hidden="1" customHeight="1">
      <c r="B66" s="7" t="s">
        <v>690</v>
      </c>
      <c r="C66" s="7" t="s">
        <v>410</v>
      </c>
      <c r="D66" s="159">
        <v>44650</v>
      </c>
      <c r="E66" s="249" t="s">
        <v>781</v>
      </c>
      <c r="F66" s="7" t="s">
        <v>59</v>
      </c>
      <c r="G66" s="219">
        <v>101.87</v>
      </c>
      <c r="H66" s="162">
        <f>IF(F66=0,0,IF(F66="MXN",1/HLOOKUP(YEAR(D66)+(MONTH(D66)/100),TC!$5:$437,DAY(D66)+2,FALSE),VLOOKUP(F66,Equivalencia!$1:$23,((MAX(Equivalencia!$3:$3)-YEAR(D66))*14)+MONTH(D66)+2,FALSE)))</f>
        <v>1</v>
      </c>
      <c r="I66" s="163">
        <f t="shared" si="2"/>
        <v>101.87</v>
      </c>
      <c r="J66" s="162">
        <f>IF(D66=0,0,HLOOKUP(YEAR(D66)+(MONTH(D66)/100),TC!$5:$37,DAY(D66)+2,FALSE))</f>
        <v>20.119499999999999</v>
      </c>
      <c r="K66" s="219">
        <f t="shared" si="3"/>
        <v>2049.5734649999999</v>
      </c>
    </row>
    <row r="67" spans="2:11" s="134" customFormat="1" ht="23" hidden="1" customHeight="1">
      <c r="B67" s="7" t="s">
        <v>690</v>
      </c>
      <c r="C67" s="7" t="s">
        <v>410</v>
      </c>
      <c r="D67" s="159">
        <v>44650</v>
      </c>
      <c r="E67" s="249" t="s">
        <v>782</v>
      </c>
      <c r="F67" s="7" t="s">
        <v>59</v>
      </c>
      <c r="G67" s="219">
        <v>179.58</v>
      </c>
      <c r="H67" s="162">
        <f>IF(F67=0,0,IF(F67="MXN",1/HLOOKUP(YEAR(D67)+(MONTH(D67)/100),TC!$5:$437,DAY(D67)+2,FALSE),VLOOKUP(F67,Equivalencia!$1:$23,((MAX(Equivalencia!$3:$3)-YEAR(D67))*14)+MONTH(D67)+2,FALSE)))</f>
        <v>1</v>
      </c>
      <c r="I67" s="163">
        <f t="shared" si="2"/>
        <v>179.58</v>
      </c>
      <c r="J67" s="162">
        <f>IF(D67=0,0,HLOOKUP(YEAR(D67)+(MONTH(D67)/100),TC!$5:$37,DAY(D67)+2,FALSE))</f>
        <v>20.119499999999999</v>
      </c>
      <c r="K67" s="219">
        <f t="shared" si="3"/>
        <v>3613.0598100000002</v>
      </c>
    </row>
    <row r="68" spans="2:11" s="134" customFormat="1" ht="23" hidden="1" customHeight="1">
      <c r="B68" s="7" t="s">
        <v>690</v>
      </c>
      <c r="C68" s="7" t="s">
        <v>410</v>
      </c>
      <c r="D68" s="159">
        <v>44650</v>
      </c>
      <c r="E68" s="249" t="s">
        <v>783</v>
      </c>
      <c r="F68" s="7" t="s">
        <v>59</v>
      </c>
      <c r="G68" s="219">
        <v>136.19999999999999</v>
      </c>
      <c r="H68" s="162">
        <f>IF(F68=0,0,IF(F68="MXN",1/HLOOKUP(YEAR(D68)+(MONTH(D68)/100),TC!$5:$437,DAY(D68)+2,FALSE),VLOOKUP(F68,Equivalencia!$1:$23,((MAX(Equivalencia!$3:$3)-YEAR(D68))*14)+MONTH(D68)+2,FALSE)))</f>
        <v>1</v>
      </c>
      <c r="I68" s="163">
        <f t="shared" si="2"/>
        <v>136.19999999999999</v>
      </c>
      <c r="J68" s="162">
        <f>IF(D68=0,0,HLOOKUP(YEAR(D68)+(MONTH(D68)/100),TC!$5:$37,DAY(D68)+2,FALSE))</f>
        <v>20.119499999999999</v>
      </c>
      <c r="K68" s="219">
        <f t="shared" si="3"/>
        <v>2740.2758999999996</v>
      </c>
    </row>
    <row r="69" spans="2:11" s="134" customFormat="1" ht="23" hidden="1" customHeight="1">
      <c r="B69" s="7" t="s">
        <v>690</v>
      </c>
      <c r="C69" s="7" t="s">
        <v>410</v>
      </c>
      <c r="D69" s="159">
        <v>44650</v>
      </c>
      <c r="E69" s="249" t="s">
        <v>784</v>
      </c>
      <c r="F69" s="7" t="s">
        <v>59</v>
      </c>
      <c r="G69" s="219">
        <v>75.13</v>
      </c>
      <c r="H69" s="162">
        <f>IF(F69=0,0,IF(F69="MXN",1/HLOOKUP(YEAR(D69)+(MONTH(D69)/100),TC!$5:$437,DAY(D69)+2,FALSE),VLOOKUP(F69,Equivalencia!$1:$23,((MAX(Equivalencia!$3:$3)-YEAR(D69))*14)+MONTH(D69)+2,FALSE)))</f>
        <v>1</v>
      </c>
      <c r="I69" s="163">
        <f t="shared" si="2"/>
        <v>75.13</v>
      </c>
      <c r="J69" s="162">
        <f>IF(D69=0,0,HLOOKUP(YEAR(D69)+(MONTH(D69)/100),TC!$5:$37,DAY(D69)+2,FALSE))</f>
        <v>20.119499999999999</v>
      </c>
      <c r="K69" s="219">
        <f t="shared" si="3"/>
        <v>1511.5780349999998</v>
      </c>
    </row>
    <row r="70" spans="2:11" s="134" customFormat="1" ht="23" hidden="1" customHeight="1">
      <c r="B70" s="7" t="s">
        <v>690</v>
      </c>
      <c r="C70" s="7" t="s">
        <v>410</v>
      </c>
      <c r="D70" s="159">
        <v>44650</v>
      </c>
      <c r="E70" s="249" t="s">
        <v>785</v>
      </c>
      <c r="F70" s="7" t="s">
        <v>59</v>
      </c>
      <c r="G70" s="219">
        <v>91.25</v>
      </c>
      <c r="H70" s="162">
        <f>IF(F70=0,0,IF(F70="MXN",1/HLOOKUP(YEAR(D70)+(MONTH(D70)/100),TC!$5:$437,DAY(D70)+2,FALSE),VLOOKUP(F70,Equivalencia!$1:$23,((MAX(Equivalencia!$3:$3)-YEAR(D70))*14)+MONTH(D70)+2,FALSE)))</f>
        <v>1</v>
      </c>
      <c r="I70" s="163">
        <f t="shared" si="2"/>
        <v>91.25</v>
      </c>
      <c r="J70" s="162">
        <f>IF(D70=0,0,HLOOKUP(YEAR(D70)+(MONTH(D70)/100),TC!$5:$37,DAY(D70)+2,FALSE))</f>
        <v>20.119499999999999</v>
      </c>
      <c r="K70" s="219">
        <f t="shared" si="3"/>
        <v>1835.9043749999998</v>
      </c>
    </row>
    <row r="71" spans="2:11" s="134" customFormat="1" ht="23" hidden="1" customHeight="1">
      <c r="B71" s="7" t="s">
        <v>690</v>
      </c>
      <c r="C71" s="7" t="s">
        <v>410</v>
      </c>
      <c r="D71" s="159">
        <v>44650</v>
      </c>
      <c r="E71" s="249" t="s">
        <v>786</v>
      </c>
      <c r="F71" s="7" t="s">
        <v>59</v>
      </c>
      <c r="G71" s="219">
        <v>100.58</v>
      </c>
      <c r="H71" s="162">
        <f>IF(F71=0,0,IF(F71="MXN",1/HLOOKUP(YEAR(D71)+(MONTH(D71)/100),TC!$5:$437,DAY(D71)+2,FALSE),VLOOKUP(F71,Equivalencia!$1:$23,((MAX(Equivalencia!$3:$3)-YEAR(D71))*14)+MONTH(D71)+2,FALSE)))</f>
        <v>1</v>
      </c>
      <c r="I71" s="163">
        <f t="shared" si="2"/>
        <v>100.58</v>
      </c>
      <c r="J71" s="162">
        <f>IF(D71=0,0,HLOOKUP(YEAR(D71)+(MONTH(D71)/100),TC!$5:$37,DAY(D71)+2,FALSE))</f>
        <v>20.119499999999999</v>
      </c>
      <c r="K71" s="219">
        <f t="shared" si="3"/>
        <v>2023.6193099999998</v>
      </c>
    </row>
    <row r="72" spans="2:11" s="134" customFormat="1" ht="23" hidden="1" customHeight="1">
      <c r="B72" s="7" t="s">
        <v>690</v>
      </c>
      <c r="C72" s="7" t="s">
        <v>410</v>
      </c>
      <c r="D72" s="159">
        <v>44650</v>
      </c>
      <c r="E72" s="249" t="s">
        <v>787</v>
      </c>
      <c r="F72" s="7" t="s">
        <v>59</v>
      </c>
      <c r="G72" s="219">
        <v>202.13</v>
      </c>
      <c r="H72" s="162">
        <f>IF(F72=0,0,IF(F72="MXN",1/HLOOKUP(YEAR(D72)+(MONTH(D72)/100),TC!$5:$437,DAY(D72)+2,FALSE),VLOOKUP(F72,Equivalencia!$1:$23,((MAX(Equivalencia!$3:$3)-YEAR(D72))*14)+MONTH(D72)+2,FALSE)))</f>
        <v>1</v>
      </c>
      <c r="I72" s="163">
        <f t="shared" si="2"/>
        <v>202.13</v>
      </c>
      <c r="J72" s="162">
        <f>IF(D72=0,0,HLOOKUP(YEAR(D72)+(MONTH(D72)/100),TC!$5:$37,DAY(D72)+2,FALSE))</f>
        <v>20.119499999999999</v>
      </c>
      <c r="K72" s="219">
        <f t="shared" si="3"/>
        <v>4066.7545349999996</v>
      </c>
    </row>
    <row r="73" spans="2:11" s="134" customFormat="1" ht="23" hidden="1" customHeight="1">
      <c r="B73" s="7" t="s">
        <v>690</v>
      </c>
      <c r="C73" s="7" t="s">
        <v>410</v>
      </c>
      <c r="D73" s="159">
        <v>44652</v>
      </c>
      <c r="E73" s="249" t="s">
        <v>721</v>
      </c>
      <c r="F73" s="7" t="s">
        <v>59</v>
      </c>
      <c r="G73" s="219">
        <v>50.05</v>
      </c>
      <c r="H73" s="162">
        <f>IF(F73=0,0,IF(F73="MXN",1/HLOOKUP(YEAR(D73)+(MONTH(D73)/100),TC!$5:$437,DAY(D73)+2,FALSE),VLOOKUP(F73,Equivalencia!$1:$23,((MAX(Equivalencia!$3:$3)-YEAR(D73))*14)+MONTH(D73)+2,FALSE)))</f>
        <v>1</v>
      </c>
      <c r="I73" s="163">
        <f t="shared" si="2"/>
        <v>50.05</v>
      </c>
      <c r="J73" s="162">
        <f>IF(D73=0,0,HLOOKUP(YEAR(D73)+(MONTH(D73)/100),TC!$5:$37,DAY(D73)+2,FALSE))</f>
        <v>19.863199999999999</v>
      </c>
      <c r="K73" s="219">
        <f t="shared" si="3"/>
        <v>994.15315999999984</v>
      </c>
    </row>
    <row r="74" spans="2:11" s="134" customFormat="1" ht="23" hidden="1" customHeight="1">
      <c r="B74" s="7" t="s">
        <v>690</v>
      </c>
      <c r="C74" s="7" t="s">
        <v>410</v>
      </c>
      <c r="D74" s="159">
        <v>44655</v>
      </c>
      <c r="E74" s="249" t="s">
        <v>735</v>
      </c>
      <c r="F74" s="7" t="s">
        <v>59</v>
      </c>
      <c r="G74" s="219">
        <v>87.19</v>
      </c>
      <c r="H74" s="162">
        <f>IF(F74=0,0,IF(F74="MXN",1/HLOOKUP(YEAR(D74)+(MONTH(D74)/100),TC!$5:$437,DAY(D74)+2,FALSE),VLOOKUP(F74,Equivalencia!$1:$23,((MAX(Equivalencia!$3:$3)-YEAR(D74))*14)+MONTH(D74)+2,FALSE)))</f>
        <v>1</v>
      </c>
      <c r="I74" s="163">
        <f t="shared" si="2"/>
        <v>87.19</v>
      </c>
      <c r="J74" s="162">
        <f>IF(D74=0,0,HLOOKUP(YEAR(D74)+(MONTH(D74)/100),TC!$5:$37,DAY(D74)+2,FALSE))</f>
        <v>19.911200000000001</v>
      </c>
      <c r="K74" s="219">
        <f t="shared" si="3"/>
        <v>1736.057528</v>
      </c>
    </row>
    <row r="75" spans="2:11" s="134" customFormat="1" ht="23" hidden="1" customHeight="1">
      <c r="B75" s="7" t="s">
        <v>690</v>
      </c>
      <c r="C75" s="7" t="s">
        <v>410</v>
      </c>
      <c r="D75" s="159">
        <v>44665</v>
      </c>
      <c r="E75" s="249" t="s">
        <v>738</v>
      </c>
      <c r="F75" s="7" t="s">
        <v>59</v>
      </c>
      <c r="G75" s="219">
        <v>115.29</v>
      </c>
      <c r="H75" s="162">
        <f>IF(F75=0,0,IF(F75="MXN",1/HLOOKUP(YEAR(D75)+(MONTH(D75)/100),TC!$5:$437,DAY(D75)+2,FALSE),VLOOKUP(F75,Equivalencia!$1:$23,((MAX(Equivalencia!$3:$3)-YEAR(D75))*14)+MONTH(D75)+2,FALSE)))</f>
        <v>1</v>
      </c>
      <c r="I75" s="163">
        <f t="shared" si="2"/>
        <v>115.29</v>
      </c>
      <c r="J75" s="162">
        <f>IF(D75=0,0,HLOOKUP(YEAR(D75)+(MONTH(D75)/100),TC!$5:$37,DAY(D75)+2,FALSE))</f>
        <v>19.840699999999998</v>
      </c>
      <c r="K75" s="219">
        <f t="shared" si="3"/>
        <v>2287.434303</v>
      </c>
    </row>
    <row r="76" spans="2:11" s="134" customFormat="1" ht="23" hidden="1" customHeight="1">
      <c r="B76" s="7" t="s">
        <v>690</v>
      </c>
      <c r="C76" s="7" t="s">
        <v>410</v>
      </c>
      <c r="D76" s="159">
        <v>44665</v>
      </c>
      <c r="E76" s="249" t="s">
        <v>740</v>
      </c>
      <c r="F76" s="7" t="s">
        <v>59</v>
      </c>
      <c r="G76" s="219">
        <v>10.71</v>
      </c>
      <c r="H76" s="162">
        <f>IF(F76=0,0,IF(F76="MXN",1/HLOOKUP(YEAR(D76)+(MONTH(D76)/100),TC!$5:$437,DAY(D76)+2,FALSE),VLOOKUP(F76,Equivalencia!$1:$23,((MAX(Equivalencia!$3:$3)-YEAR(D76))*14)+MONTH(D76)+2,FALSE)))</f>
        <v>1</v>
      </c>
      <c r="I76" s="163">
        <f t="shared" si="2"/>
        <v>10.71</v>
      </c>
      <c r="J76" s="162">
        <f>IF(D76=0,0,HLOOKUP(YEAR(D76)+(MONTH(D76)/100),TC!$5:$37,DAY(D76)+2,FALSE))</f>
        <v>19.840699999999998</v>
      </c>
      <c r="K76" s="219">
        <f t="shared" si="3"/>
        <v>212.493897</v>
      </c>
    </row>
    <row r="77" spans="2:11" s="134" customFormat="1" ht="23" hidden="1" customHeight="1">
      <c r="B77" s="7" t="s">
        <v>690</v>
      </c>
      <c r="C77" s="7" t="s">
        <v>410</v>
      </c>
      <c r="D77" s="159">
        <v>44670</v>
      </c>
      <c r="E77" s="249" t="s">
        <v>741</v>
      </c>
      <c r="F77" s="7" t="s">
        <v>59</v>
      </c>
      <c r="G77" s="219">
        <v>52.14</v>
      </c>
      <c r="H77" s="162">
        <f>IF(F77=0,0,IF(F77="MXN",1/HLOOKUP(YEAR(D77)+(MONTH(D77)/100),TC!$5:$437,DAY(D77)+2,FALSE),VLOOKUP(F77,Equivalencia!$1:$23,((MAX(Equivalencia!$3:$3)-YEAR(D77))*14)+MONTH(D77)+2,FALSE)))</f>
        <v>1</v>
      </c>
      <c r="I77" s="163">
        <f t="shared" si="2"/>
        <v>52.14</v>
      </c>
      <c r="J77" s="162">
        <f>IF(D77=0,0,HLOOKUP(YEAR(D77)+(MONTH(D77)/100),TC!$5:$37,DAY(D77)+2,FALSE))</f>
        <v>19.796700000000001</v>
      </c>
      <c r="K77" s="219">
        <f t="shared" si="3"/>
        <v>1032.199938</v>
      </c>
    </row>
    <row r="78" spans="2:11" s="134" customFormat="1" ht="23" hidden="1" customHeight="1">
      <c r="B78" s="7" t="s">
        <v>690</v>
      </c>
      <c r="C78" s="7" t="s">
        <v>410</v>
      </c>
      <c r="D78" s="159">
        <v>44673</v>
      </c>
      <c r="E78" s="249" t="s">
        <v>739</v>
      </c>
      <c r="F78" s="7" t="s">
        <v>59</v>
      </c>
      <c r="G78" s="219">
        <v>83.16</v>
      </c>
      <c r="H78" s="162">
        <f>IF(F78=0,0,IF(F78="MXN",1/HLOOKUP(YEAR(D78)+(MONTH(D78)/100),TC!$5:$437,DAY(D78)+2,FALSE),VLOOKUP(F78,Equivalencia!$1:$23,((MAX(Equivalencia!$3:$3)-YEAR(D78))*14)+MONTH(D78)+2,FALSE)))</f>
        <v>1</v>
      </c>
      <c r="I78" s="163">
        <f t="shared" si="2"/>
        <v>83.16</v>
      </c>
      <c r="J78" s="162">
        <f>IF(D78=0,0,HLOOKUP(YEAR(D78)+(MONTH(D78)/100),TC!$5:$37,DAY(D78)+2,FALSE))</f>
        <v>20.0383</v>
      </c>
      <c r="K78" s="219">
        <f t="shared" si="3"/>
        <v>1666.3850279999999</v>
      </c>
    </row>
    <row r="79" spans="2:11" s="134" customFormat="1" ht="23" hidden="1" customHeight="1">
      <c r="B79" s="7" t="s">
        <v>690</v>
      </c>
      <c r="C79" s="7" t="s">
        <v>410</v>
      </c>
      <c r="D79" s="159">
        <v>44673</v>
      </c>
      <c r="E79" s="249" t="s">
        <v>745</v>
      </c>
      <c r="F79" s="7" t="s">
        <v>59</v>
      </c>
      <c r="G79" s="219">
        <v>112.24</v>
      </c>
      <c r="H79" s="162">
        <f>IF(F79=0,0,IF(F79="MXN",1/HLOOKUP(YEAR(D79)+(MONTH(D79)/100),TC!$5:$437,DAY(D79)+2,FALSE),VLOOKUP(F79,Equivalencia!$1:$23,((MAX(Equivalencia!$3:$3)-YEAR(D79))*14)+MONTH(D79)+2,FALSE)))</f>
        <v>1</v>
      </c>
      <c r="I79" s="163">
        <f t="shared" si="2"/>
        <v>112.24</v>
      </c>
      <c r="J79" s="162">
        <f>IF(D79=0,0,HLOOKUP(YEAR(D79)+(MONTH(D79)/100),TC!$5:$37,DAY(D79)+2,FALSE))</f>
        <v>20.0383</v>
      </c>
      <c r="K79" s="219">
        <f t="shared" si="3"/>
        <v>2249.0987919999998</v>
      </c>
    </row>
    <row r="80" spans="2:11" s="134" customFormat="1" ht="23" hidden="1" customHeight="1">
      <c r="B80" s="7" t="s">
        <v>690</v>
      </c>
      <c r="C80" s="7" t="s">
        <v>410</v>
      </c>
      <c r="D80" s="159">
        <v>44678</v>
      </c>
      <c r="E80" s="249" t="s">
        <v>742</v>
      </c>
      <c r="F80" s="7" t="s">
        <v>59</v>
      </c>
      <c r="G80" s="219">
        <v>146.04</v>
      </c>
      <c r="H80" s="162">
        <f>IF(F80=0,0,IF(F80="MXN",1/HLOOKUP(YEAR(D80)+(MONTH(D80)/100),TC!$5:$437,DAY(D80)+2,FALSE),VLOOKUP(F80,Equivalencia!$1:$23,((MAX(Equivalencia!$3:$3)-YEAR(D80))*14)+MONTH(D80)+2,FALSE)))</f>
        <v>1</v>
      </c>
      <c r="I80" s="163">
        <f t="shared" si="2"/>
        <v>146.04</v>
      </c>
      <c r="J80" s="162">
        <f>IF(D80=0,0,HLOOKUP(YEAR(D80)+(MONTH(D80)/100),TC!$5:$37,DAY(D80)+2,FALSE))</f>
        <v>20.299199999999999</v>
      </c>
      <c r="K80" s="219">
        <f t="shared" si="3"/>
        <v>2964.4951679999999</v>
      </c>
    </row>
    <row r="81" spans="2:11" s="134" customFormat="1" ht="23" hidden="1" customHeight="1">
      <c r="B81" s="7" t="s">
        <v>690</v>
      </c>
      <c r="C81" s="7" t="s">
        <v>410</v>
      </c>
      <c r="D81" s="159">
        <v>44678</v>
      </c>
      <c r="E81" s="249" t="s">
        <v>743</v>
      </c>
      <c r="F81" s="7" t="s">
        <v>59</v>
      </c>
      <c r="G81" s="219">
        <v>181.72</v>
      </c>
      <c r="H81" s="162">
        <f>IF(F81=0,0,IF(F81="MXN",1/HLOOKUP(YEAR(D81)+(MONTH(D81)/100),TC!$5:$437,DAY(D81)+2,FALSE),VLOOKUP(F81,Equivalencia!$1:$23,((MAX(Equivalencia!$3:$3)-YEAR(D81))*14)+MONTH(D81)+2,FALSE)))</f>
        <v>1</v>
      </c>
      <c r="I81" s="163">
        <f t="shared" ref="I81:I97" si="4">+H81*G81</f>
        <v>181.72</v>
      </c>
      <c r="J81" s="162">
        <f>IF(D81=0,0,HLOOKUP(YEAR(D81)+(MONTH(D81)/100),TC!$5:$37,DAY(D81)+2,FALSE))</f>
        <v>20.299199999999999</v>
      </c>
      <c r="K81" s="219">
        <f t="shared" ref="K81:K97" si="5">IF(F81="MXN",G81,H81*G81*J81)</f>
        <v>3688.7706239999998</v>
      </c>
    </row>
    <row r="82" spans="2:11" s="134" customFormat="1" ht="23" hidden="1" customHeight="1">
      <c r="B82" s="7" t="s">
        <v>690</v>
      </c>
      <c r="C82" s="7" t="s">
        <v>410</v>
      </c>
      <c r="D82" s="159">
        <v>44679</v>
      </c>
      <c r="E82" s="249" t="s">
        <v>736</v>
      </c>
      <c r="F82" s="7" t="s">
        <v>59</v>
      </c>
      <c r="G82" s="219">
        <v>131.04</v>
      </c>
      <c r="H82" s="162">
        <f>IF(F82=0,0,IF(F82="MXN",1/HLOOKUP(YEAR(D82)+(MONTH(D82)/100),TC!$5:$437,DAY(D82)+2,FALSE),VLOOKUP(F82,Equivalencia!$1:$23,((MAX(Equivalencia!$3:$3)-YEAR(D82))*14)+MONTH(D82)+2,FALSE)))</f>
        <v>1</v>
      </c>
      <c r="I82" s="163">
        <f t="shared" si="4"/>
        <v>131.04</v>
      </c>
      <c r="J82" s="162">
        <f>IF(D82=0,0,HLOOKUP(YEAR(D82)+(MONTH(D82)/100),TC!$5:$37,DAY(D82)+2,FALSE))</f>
        <v>20.356000000000002</v>
      </c>
      <c r="K82" s="219">
        <f t="shared" si="5"/>
        <v>2667.4502400000001</v>
      </c>
    </row>
    <row r="83" spans="2:11" s="134" customFormat="1" ht="23" hidden="1" customHeight="1">
      <c r="B83" s="7" t="s">
        <v>690</v>
      </c>
      <c r="C83" s="7" t="s">
        <v>410</v>
      </c>
      <c r="D83" s="159">
        <v>44679</v>
      </c>
      <c r="E83" s="249" t="s">
        <v>744</v>
      </c>
      <c r="F83" s="7" t="s">
        <v>59</v>
      </c>
      <c r="G83" s="219">
        <v>18</v>
      </c>
      <c r="H83" s="162">
        <f>IF(F83=0,0,IF(F83="MXN",1/HLOOKUP(YEAR(D83)+(MONTH(D83)/100),TC!$5:$437,DAY(D83)+2,FALSE),VLOOKUP(F83,Equivalencia!$1:$23,((MAX(Equivalencia!$3:$3)-YEAR(D83))*14)+MONTH(D83)+2,FALSE)))</f>
        <v>1</v>
      </c>
      <c r="I83" s="163">
        <f t="shared" si="4"/>
        <v>18</v>
      </c>
      <c r="J83" s="162">
        <f>IF(D83=0,0,HLOOKUP(YEAR(D83)+(MONTH(D83)/100),TC!$5:$37,DAY(D83)+2,FALSE))</f>
        <v>20.356000000000002</v>
      </c>
      <c r="K83" s="219">
        <f t="shared" si="5"/>
        <v>366.40800000000002</v>
      </c>
    </row>
    <row r="84" spans="2:11" s="134" customFormat="1" ht="23" hidden="1" customHeight="1">
      <c r="B84" s="7" t="s">
        <v>690</v>
      </c>
      <c r="C84" s="7" t="s">
        <v>410</v>
      </c>
      <c r="D84" s="159">
        <v>44683</v>
      </c>
      <c r="E84" s="249" t="s">
        <v>747</v>
      </c>
      <c r="F84" s="7" t="s">
        <v>59</v>
      </c>
      <c r="G84" s="219">
        <v>133.65</v>
      </c>
      <c r="H84" s="162">
        <f>IF(F84=0,0,IF(F84="MXN",1/HLOOKUP(YEAR(D84)+(MONTH(D84)/100),TC!$5:$437,DAY(D84)+2,FALSE),VLOOKUP(F84,Equivalencia!$1:$23,((MAX(Equivalencia!$3:$3)-YEAR(D84))*14)+MONTH(D84)+2,FALSE)))</f>
        <v>1</v>
      </c>
      <c r="I84" s="163">
        <f t="shared" si="4"/>
        <v>133.65</v>
      </c>
      <c r="J84" s="162">
        <f>IF(D84=0,0,HLOOKUP(YEAR(D84)+(MONTH(D84)/100),TC!$5:$37,DAY(D84)+2,FALSE))</f>
        <v>20.567</v>
      </c>
      <c r="K84" s="219">
        <f t="shared" si="5"/>
        <v>2748.7795500000002</v>
      </c>
    </row>
    <row r="85" spans="2:11" s="134" customFormat="1" ht="23" hidden="1" customHeight="1">
      <c r="B85" s="7" t="s">
        <v>690</v>
      </c>
      <c r="C85" s="7" t="s">
        <v>410</v>
      </c>
      <c r="D85" s="159">
        <v>44683</v>
      </c>
      <c r="E85" s="249" t="s">
        <v>788</v>
      </c>
      <c r="F85" s="7" t="s">
        <v>59</v>
      </c>
      <c r="G85" s="219">
        <v>142.19999999999999</v>
      </c>
      <c r="H85" s="162">
        <f>IF(F85=0,0,IF(F85="MXN",1/HLOOKUP(YEAR(D85)+(MONTH(D85)/100),TC!$5:$437,DAY(D85)+2,FALSE),VLOOKUP(F85,Equivalencia!$1:$23,((MAX(Equivalencia!$3:$3)-YEAR(D85))*14)+MONTH(D85)+2,FALSE)))</f>
        <v>1</v>
      </c>
      <c r="I85" s="163">
        <f t="shared" si="4"/>
        <v>142.19999999999999</v>
      </c>
      <c r="J85" s="162">
        <f>IF(D85=0,0,HLOOKUP(YEAR(D85)+(MONTH(D85)/100),TC!$5:$37,DAY(D85)+2,FALSE))</f>
        <v>20.567</v>
      </c>
      <c r="K85" s="219">
        <f t="shared" si="5"/>
        <v>2924.6273999999999</v>
      </c>
    </row>
    <row r="86" spans="2:11" s="134" customFormat="1" ht="23" hidden="1" customHeight="1">
      <c r="B86" s="7" t="s">
        <v>690</v>
      </c>
      <c r="C86" s="7" t="s">
        <v>410</v>
      </c>
      <c r="D86" s="159">
        <v>44685</v>
      </c>
      <c r="E86" s="249" t="s">
        <v>748</v>
      </c>
      <c r="F86" s="7" t="s">
        <v>59</v>
      </c>
      <c r="G86" s="219">
        <v>144.24</v>
      </c>
      <c r="H86" s="162">
        <f>IF(F86=0,0,IF(F86="MXN",1/HLOOKUP(YEAR(D86)+(MONTH(D86)/100),TC!$5:$437,DAY(D86)+2,FALSE),VLOOKUP(F86,Equivalencia!$1:$23,((MAX(Equivalencia!$3:$3)-YEAR(D86))*14)+MONTH(D86)+2,FALSE)))</f>
        <v>1</v>
      </c>
      <c r="I86" s="163">
        <f t="shared" si="4"/>
        <v>144.24</v>
      </c>
      <c r="J86" s="162">
        <f>IF(D86=0,0,HLOOKUP(YEAR(D86)+(MONTH(D86)/100),TC!$5:$37,DAY(D86)+2,FALSE))</f>
        <v>20.407499999999999</v>
      </c>
      <c r="K86" s="219">
        <f t="shared" si="5"/>
        <v>2943.5778</v>
      </c>
    </row>
    <row r="87" spans="2:11" s="134" customFormat="1" ht="23" hidden="1" customHeight="1">
      <c r="B87" s="7" t="s">
        <v>690</v>
      </c>
      <c r="C87" s="7" t="s">
        <v>410</v>
      </c>
      <c r="D87" s="159">
        <v>44691</v>
      </c>
      <c r="E87" s="249" t="s">
        <v>750</v>
      </c>
      <c r="F87" s="7" t="s">
        <v>59</v>
      </c>
      <c r="G87" s="219">
        <v>71.290000000000006</v>
      </c>
      <c r="H87" s="162">
        <f>IF(F87=0,0,IF(F87="MXN",1/HLOOKUP(YEAR(D87)+(MONTH(D87)/100),TC!$5:$437,DAY(D87)+2,FALSE),VLOOKUP(F87,Equivalencia!$1:$23,((MAX(Equivalencia!$3:$3)-YEAR(D87))*14)+MONTH(D87)+2,FALSE)))</f>
        <v>1</v>
      </c>
      <c r="I87" s="163">
        <f t="shared" si="4"/>
        <v>71.290000000000006</v>
      </c>
      <c r="J87" s="162">
        <f>IF(D87=0,0,HLOOKUP(YEAR(D87)+(MONTH(D87)/100),TC!$5:$37,DAY(D87)+2,FALSE))</f>
        <v>20.108499999999999</v>
      </c>
      <c r="K87" s="219">
        <f t="shared" si="5"/>
        <v>1433.5349650000001</v>
      </c>
    </row>
    <row r="88" spans="2:11" s="134" customFormat="1" ht="23" hidden="1" customHeight="1">
      <c r="B88" s="7" t="s">
        <v>690</v>
      </c>
      <c r="C88" s="7" t="s">
        <v>410</v>
      </c>
      <c r="D88" s="159">
        <v>44693</v>
      </c>
      <c r="E88" s="249" t="s">
        <v>716</v>
      </c>
      <c r="F88" s="7" t="s">
        <v>59</v>
      </c>
      <c r="G88" s="219">
        <v>151.87</v>
      </c>
      <c r="H88" s="162">
        <f>IF(F88=0,0,IF(F88="MXN",1/HLOOKUP(YEAR(D88)+(MONTH(D88)/100),TC!$5:$437,DAY(D88)+2,FALSE),VLOOKUP(F88,Equivalencia!$1:$23,((MAX(Equivalencia!$3:$3)-YEAR(D88))*14)+MONTH(D88)+2,FALSE)))</f>
        <v>1</v>
      </c>
      <c r="I88" s="163">
        <f t="shared" si="4"/>
        <v>151.87</v>
      </c>
      <c r="J88" s="162">
        <f>IF(D88=0,0,HLOOKUP(YEAR(D88)+(MONTH(D88)/100),TC!$5:$37,DAY(D88)+2,FALSE))</f>
        <v>20.372</v>
      </c>
      <c r="K88" s="219">
        <f t="shared" si="5"/>
        <v>3093.8956400000002</v>
      </c>
    </row>
    <row r="89" spans="2:11" s="134" customFormat="1" ht="23" hidden="1" customHeight="1">
      <c r="B89" s="7" t="s">
        <v>690</v>
      </c>
      <c r="C89" s="7" t="s">
        <v>410</v>
      </c>
      <c r="D89" s="159">
        <v>44694</v>
      </c>
      <c r="E89" s="249" t="s">
        <v>789</v>
      </c>
      <c r="F89" s="7" t="s">
        <v>59</v>
      </c>
      <c r="G89" s="219">
        <v>41.58</v>
      </c>
      <c r="H89" s="162">
        <f>IF(F89=0,0,IF(F89="MXN",1/HLOOKUP(YEAR(D89)+(MONTH(D89)/100),TC!$5:$437,DAY(D89)+2,FALSE),VLOOKUP(F89,Equivalencia!$1:$23,((MAX(Equivalencia!$3:$3)-YEAR(D89))*14)+MONTH(D89)+2,FALSE)))</f>
        <v>1</v>
      </c>
      <c r="I89" s="163">
        <f t="shared" si="4"/>
        <v>41.58</v>
      </c>
      <c r="J89" s="162">
        <f>IF(D89=0,0,HLOOKUP(YEAR(D89)+(MONTH(D89)/100),TC!$5:$37,DAY(D89)+2,FALSE))</f>
        <v>20.2592</v>
      </c>
      <c r="K89" s="219">
        <f t="shared" si="5"/>
        <v>842.37753599999996</v>
      </c>
    </row>
    <row r="90" spans="2:11" s="134" customFormat="1" ht="23" hidden="1" customHeight="1">
      <c r="B90" s="7" t="s">
        <v>690</v>
      </c>
      <c r="C90" s="7" t="s">
        <v>410</v>
      </c>
      <c r="D90" s="159">
        <v>44694</v>
      </c>
      <c r="E90" s="249" t="s">
        <v>753</v>
      </c>
      <c r="F90" s="7" t="s">
        <v>59</v>
      </c>
      <c r="G90" s="219">
        <v>170.1</v>
      </c>
      <c r="H90" s="162">
        <f>IF(F90=0,0,IF(F90="MXN",1/HLOOKUP(YEAR(D90)+(MONTH(D90)/100),TC!$5:$437,DAY(D90)+2,FALSE),VLOOKUP(F90,Equivalencia!$1:$23,((MAX(Equivalencia!$3:$3)-YEAR(D90))*14)+MONTH(D90)+2,FALSE)))</f>
        <v>1</v>
      </c>
      <c r="I90" s="163">
        <f t="shared" si="4"/>
        <v>170.1</v>
      </c>
      <c r="J90" s="162">
        <f>IF(D90=0,0,HLOOKUP(YEAR(D90)+(MONTH(D90)/100),TC!$5:$37,DAY(D90)+2,FALSE))</f>
        <v>20.2592</v>
      </c>
      <c r="K90" s="219">
        <f t="shared" si="5"/>
        <v>3446.0899199999999</v>
      </c>
    </row>
    <row r="91" spans="2:11" s="134" customFormat="1" ht="23" hidden="1" customHeight="1">
      <c r="B91" s="7" t="s">
        <v>690</v>
      </c>
      <c r="C91" s="7" t="s">
        <v>410</v>
      </c>
      <c r="D91" s="159">
        <v>44697</v>
      </c>
      <c r="E91" s="249" t="s">
        <v>751</v>
      </c>
      <c r="F91" s="7" t="s">
        <v>59</v>
      </c>
      <c r="G91" s="219">
        <v>144.66999999999999</v>
      </c>
      <c r="H91" s="162">
        <f>IF(F91=0,0,IF(F91="MXN",1/HLOOKUP(YEAR(D91)+(MONTH(D91)/100),TC!$5:$437,DAY(D91)+2,FALSE),VLOOKUP(F91,Equivalencia!$1:$23,((MAX(Equivalencia!$3:$3)-YEAR(D91))*14)+MONTH(D91)+2,FALSE)))</f>
        <v>1</v>
      </c>
      <c r="I91" s="163">
        <f t="shared" si="4"/>
        <v>144.66999999999999</v>
      </c>
      <c r="J91" s="162">
        <f>IF(D91=0,0,HLOOKUP(YEAR(D91)+(MONTH(D91)/100),TC!$5:$37,DAY(D91)+2,FALSE))</f>
        <v>20.32</v>
      </c>
      <c r="K91" s="219">
        <f t="shared" si="5"/>
        <v>2939.6943999999999</v>
      </c>
    </row>
    <row r="92" spans="2:11" s="134" customFormat="1" ht="23" hidden="1" customHeight="1">
      <c r="B92" s="7" t="s">
        <v>690</v>
      </c>
      <c r="C92" s="7" t="s">
        <v>410</v>
      </c>
      <c r="D92" s="159">
        <v>44697</v>
      </c>
      <c r="E92" s="249" t="s">
        <v>752</v>
      </c>
      <c r="F92" s="7" t="s">
        <v>59</v>
      </c>
      <c r="G92" s="219">
        <v>253.8</v>
      </c>
      <c r="H92" s="162">
        <f>IF(F92=0,0,IF(F92="MXN",1/HLOOKUP(YEAR(D92)+(MONTH(D92)/100),TC!$5:$437,DAY(D92)+2,FALSE),VLOOKUP(F92,Equivalencia!$1:$23,((MAX(Equivalencia!$3:$3)-YEAR(D92))*14)+MONTH(D92)+2,FALSE)))</f>
        <v>1</v>
      </c>
      <c r="I92" s="163">
        <f t="shared" si="4"/>
        <v>253.8</v>
      </c>
      <c r="J92" s="162">
        <f>IF(D92=0,0,HLOOKUP(YEAR(D92)+(MONTH(D92)/100),TC!$5:$37,DAY(D92)+2,FALSE))</f>
        <v>20.32</v>
      </c>
      <c r="K92" s="219">
        <f t="shared" si="5"/>
        <v>5157.2160000000003</v>
      </c>
    </row>
    <row r="93" spans="2:11" s="134" customFormat="1" ht="23" hidden="1" customHeight="1">
      <c r="B93" s="7" t="s">
        <v>690</v>
      </c>
      <c r="C93" s="7" t="s">
        <v>410</v>
      </c>
      <c r="D93" s="159">
        <v>44697</v>
      </c>
      <c r="E93" s="249" t="s">
        <v>754</v>
      </c>
      <c r="F93" s="7" t="s">
        <v>59</v>
      </c>
      <c r="G93" s="219">
        <v>92.06</v>
      </c>
      <c r="H93" s="162">
        <f>IF(F93=0,0,IF(F93="MXN",1/HLOOKUP(YEAR(D93)+(MONTH(D93)/100),TC!$5:$437,DAY(D93)+2,FALSE),VLOOKUP(F93,Equivalencia!$1:$23,((MAX(Equivalencia!$3:$3)-YEAR(D93))*14)+MONTH(D93)+2,FALSE)))</f>
        <v>1</v>
      </c>
      <c r="I93" s="163">
        <f t="shared" si="4"/>
        <v>92.06</v>
      </c>
      <c r="J93" s="162">
        <f>IF(D93=0,0,HLOOKUP(YEAR(D93)+(MONTH(D93)/100),TC!$5:$37,DAY(D93)+2,FALSE))</f>
        <v>20.32</v>
      </c>
      <c r="K93" s="219">
        <f t="shared" si="5"/>
        <v>1870.6592000000001</v>
      </c>
    </row>
    <row r="94" spans="2:11" s="134" customFormat="1" ht="23" hidden="1" customHeight="1">
      <c r="B94" s="7" t="s">
        <v>690</v>
      </c>
      <c r="C94" s="7" t="s">
        <v>410</v>
      </c>
      <c r="D94" s="159">
        <v>44698</v>
      </c>
      <c r="E94" s="249" t="s">
        <v>749</v>
      </c>
      <c r="F94" s="7" t="s">
        <v>59</v>
      </c>
      <c r="G94" s="219">
        <v>210.8</v>
      </c>
      <c r="H94" s="162">
        <f>IF(F94=0,0,IF(F94="MXN",1/HLOOKUP(YEAR(D94)+(MONTH(D94)/100),TC!$5:$437,DAY(D94)+2,FALSE),VLOOKUP(F94,Equivalencia!$1:$23,((MAX(Equivalencia!$3:$3)-YEAR(D94))*14)+MONTH(D94)+2,FALSE)))</f>
        <v>1</v>
      </c>
      <c r="I94" s="163">
        <f t="shared" si="4"/>
        <v>210.8</v>
      </c>
      <c r="J94" s="162">
        <f>IF(D94=0,0,HLOOKUP(YEAR(D94)+(MONTH(D94)/100),TC!$5:$37,DAY(D94)+2,FALSE))</f>
        <v>20.144300000000001</v>
      </c>
      <c r="K94" s="219">
        <f t="shared" si="5"/>
        <v>4246.4184400000004</v>
      </c>
    </row>
    <row r="95" spans="2:11" s="134" customFormat="1" ht="23" hidden="1" customHeight="1">
      <c r="B95" s="7" t="s">
        <v>690</v>
      </c>
      <c r="C95" s="7" t="s">
        <v>410</v>
      </c>
      <c r="D95" s="159">
        <v>44701</v>
      </c>
      <c r="E95" s="249" t="s">
        <v>757</v>
      </c>
      <c r="F95" s="7" t="s">
        <v>59</v>
      </c>
      <c r="G95" s="219">
        <v>132.38</v>
      </c>
      <c r="H95" s="162">
        <f>IF(F95=0,0,IF(F95="MXN",1/HLOOKUP(YEAR(D95)+(MONTH(D95)/100),TC!$5:$437,DAY(D95)+2,FALSE),VLOOKUP(F95,Equivalencia!$1:$23,((MAX(Equivalencia!$3:$3)-YEAR(D95))*14)+MONTH(D95)+2,FALSE)))</f>
        <v>1</v>
      </c>
      <c r="I95" s="163">
        <f t="shared" si="4"/>
        <v>132.38</v>
      </c>
      <c r="J95" s="162">
        <f>IF(D95=0,0,HLOOKUP(YEAR(D95)+(MONTH(D95)/100),TC!$5:$37,DAY(D95)+2,FALSE))</f>
        <v>19.9663</v>
      </c>
      <c r="K95" s="219">
        <f t="shared" si="5"/>
        <v>2643.138794</v>
      </c>
    </row>
    <row r="96" spans="2:11" s="134" customFormat="1" ht="23" hidden="1" customHeight="1">
      <c r="B96" s="7" t="s">
        <v>690</v>
      </c>
      <c r="C96" s="7" t="s">
        <v>410</v>
      </c>
      <c r="D96" s="159">
        <v>44701</v>
      </c>
      <c r="E96" s="249" t="s">
        <v>756</v>
      </c>
      <c r="F96" s="7" t="s">
        <v>59</v>
      </c>
      <c r="G96" s="219">
        <v>91.14</v>
      </c>
      <c r="H96" s="162">
        <f>IF(F96=0,0,IF(F96="MXN",1/HLOOKUP(YEAR(D96)+(MONTH(D96)/100),TC!$5:$437,DAY(D96)+2,FALSE),VLOOKUP(F96,Equivalencia!$1:$23,((MAX(Equivalencia!$3:$3)-YEAR(D96))*14)+MONTH(D96)+2,FALSE)))</f>
        <v>1</v>
      </c>
      <c r="I96" s="163">
        <f t="shared" si="4"/>
        <v>91.14</v>
      </c>
      <c r="J96" s="162">
        <f>IF(D96=0,0,HLOOKUP(YEAR(D96)+(MONTH(D96)/100),TC!$5:$37,DAY(D96)+2,FALSE))</f>
        <v>19.9663</v>
      </c>
      <c r="K96" s="219">
        <f t="shared" si="5"/>
        <v>1819.728582</v>
      </c>
    </row>
    <row r="97" spans="2:11" s="134" customFormat="1" ht="23" hidden="1" customHeight="1">
      <c r="B97" s="7" t="s">
        <v>690</v>
      </c>
      <c r="C97" s="7" t="s">
        <v>410</v>
      </c>
      <c r="D97" s="159">
        <v>44708</v>
      </c>
      <c r="E97" s="249" t="s">
        <v>735</v>
      </c>
      <c r="F97" s="7" t="s">
        <v>59</v>
      </c>
      <c r="G97" s="219">
        <v>87.19</v>
      </c>
      <c r="H97" s="162">
        <f>IF(F97=0,0,IF(F97="MXN",1/HLOOKUP(YEAR(D97)+(MONTH(D97)/100),TC!$5:$437,DAY(D97)+2,FALSE),VLOOKUP(F97,Equivalencia!$1:$23,((MAX(Equivalencia!$3:$3)-YEAR(D97))*14)+MONTH(D97)+2,FALSE)))</f>
        <v>1</v>
      </c>
      <c r="I97" s="163">
        <f t="shared" si="4"/>
        <v>87.19</v>
      </c>
      <c r="J97" s="162">
        <f>IF(D97=0,0,HLOOKUP(YEAR(D97)+(MONTH(D97)/100),TC!$5:$37,DAY(D97)+2,FALSE))</f>
        <v>19.837700000000002</v>
      </c>
      <c r="K97" s="219">
        <f t="shared" si="5"/>
        <v>1729.6490630000001</v>
      </c>
    </row>
    <row r="98" spans="2:11" s="134" customFormat="1" ht="23" hidden="1" customHeight="1">
      <c r="B98" s="7" t="s">
        <v>690</v>
      </c>
      <c r="C98" s="7" t="s">
        <v>410</v>
      </c>
      <c r="D98" s="159">
        <v>44713</v>
      </c>
      <c r="E98" s="249" t="s">
        <v>738</v>
      </c>
      <c r="F98" s="7" t="s">
        <v>59</v>
      </c>
      <c r="G98" s="219">
        <v>158.41999999999999</v>
      </c>
      <c r="H98" s="162">
        <f>IF(F98=0,0,IF(F98="MXN",1/HLOOKUP(YEAR(D98)+(MONTH(D98)/100),TC!$5:$437,DAY(D98)+2,FALSE),VLOOKUP(F98,Equivalencia!$1:$23,((MAX(Equivalencia!$3:$3)-YEAR(D98))*14)+MONTH(D98)+2,FALSE)))</f>
        <v>1</v>
      </c>
      <c r="I98" s="163">
        <f t="shared" ref="I98:I136" si="6">+H98*G98</f>
        <v>158.41999999999999</v>
      </c>
      <c r="J98" s="162">
        <f>IF(D98=0,0,HLOOKUP(YEAR(D98)+(MONTH(D98)/100),TC!$5:$37,DAY(D98)+2,FALSE))</f>
        <v>19.4953</v>
      </c>
      <c r="K98" s="219">
        <f t="shared" ref="K98:K136" si="7">IF(F98="MXN",G98,H98*G98*J98)</f>
        <v>3088.4454259999998</v>
      </c>
    </row>
    <row r="99" spans="2:11" s="134" customFormat="1" ht="23" hidden="1" customHeight="1">
      <c r="B99" s="7" t="s">
        <v>690</v>
      </c>
      <c r="C99" s="7" t="s">
        <v>410</v>
      </c>
      <c r="D99" s="159">
        <v>44713</v>
      </c>
      <c r="E99" s="249" t="s">
        <v>758</v>
      </c>
      <c r="F99" s="7" t="s">
        <v>59</v>
      </c>
      <c r="G99" s="219">
        <v>176.73</v>
      </c>
      <c r="H99" s="162">
        <f>IF(F99=0,0,IF(F99="MXN",1/HLOOKUP(YEAR(D99)+(MONTH(D99)/100),TC!$5:$437,DAY(D99)+2,FALSE),VLOOKUP(F99,Equivalencia!$1:$23,((MAX(Equivalencia!$3:$3)-YEAR(D99))*14)+MONTH(D99)+2,FALSE)))</f>
        <v>1</v>
      </c>
      <c r="I99" s="163">
        <f t="shared" si="6"/>
        <v>176.73</v>
      </c>
      <c r="J99" s="162">
        <f>IF(D99=0,0,HLOOKUP(YEAR(D99)+(MONTH(D99)/100),TC!$5:$37,DAY(D99)+2,FALSE))</f>
        <v>19.4953</v>
      </c>
      <c r="K99" s="219">
        <f t="shared" si="7"/>
        <v>3445.4043689999999</v>
      </c>
    </row>
    <row r="100" spans="2:11" s="134" customFormat="1" ht="23" hidden="1" customHeight="1">
      <c r="B100" s="7" t="s">
        <v>690</v>
      </c>
      <c r="C100" s="7" t="s">
        <v>410</v>
      </c>
      <c r="D100" s="159">
        <v>44713</v>
      </c>
      <c r="E100" s="249" t="s">
        <v>759</v>
      </c>
      <c r="F100" s="7" t="s">
        <v>59</v>
      </c>
      <c r="G100" s="219">
        <v>115.09</v>
      </c>
      <c r="H100" s="162">
        <f>IF(F100=0,0,IF(F100="MXN",1/HLOOKUP(YEAR(D100)+(MONTH(D100)/100),TC!$5:$437,DAY(D100)+2,FALSE),VLOOKUP(F100,Equivalencia!$1:$23,((MAX(Equivalencia!$3:$3)-YEAR(D100))*14)+MONTH(D100)+2,FALSE)))</f>
        <v>1</v>
      </c>
      <c r="I100" s="163">
        <f t="shared" si="6"/>
        <v>115.09</v>
      </c>
      <c r="J100" s="162">
        <f>IF(D100=0,0,HLOOKUP(YEAR(D100)+(MONTH(D100)/100),TC!$5:$37,DAY(D100)+2,FALSE))</f>
        <v>19.4953</v>
      </c>
      <c r="K100" s="219">
        <f t="shared" si="7"/>
        <v>2243.7140770000001</v>
      </c>
    </row>
    <row r="101" spans="2:11" s="134" customFormat="1" ht="23" hidden="1" customHeight="1">
      <c r="B101" s="7" t="s">
        <v>690</v>
      </c>
      <c r="C101" s="7" t="s">
        <v>410</v>
      </c>
      <c r="D101" s="159">
        <v>44713</v>
      </c>
      <c r="E101" s="249" t="s">
        <v>760</v>
      </c>
      <c r="F101" s="7" t="s">
        <v>59</v>
      </c>
      <c r="G101" s="219">
        <v>124.43</v>
      </c>
      <c r="H101" s="162">
        <f>IF(F101=0,0,IF(F101="MXN",1/HLOOKUP(YEAR(D101)+(MONTH(D101)/100),TC!$5:$437,DAY(D101)+2,FALSE),VLOOKUP(F101,Equivalencia!$1:$23,((MAX(Equivalencia!$3:$3)-YEAR(D101))*14)+MONTH(D101)+2,FALSE)))</f>
        <v>1</v>
      </c>
      <c r="I101" s="163">
        <f t="shared" si="6"/>
        <v>124.43</v>
      </c>
      <c r="J101" s="162">
        <f>IF(D101=0,0,HLOOKUP(YEAR(D101)+(MONTH(D101)/100),TC!$5:$37,DAY(D101)+2,FALSE))</f>
        <v>19.4953</v>
      </c>
      <c r="K101" s="219">
        <f t="shared" si="7"/>
        <v>2425.8001790000003</v>
      </c>
    </row>
    <row r="102" spans="2:11" s="134" customFormat="1" ht="23" hidden="1" customHeight="1">
      <c r="B102" s="7" t="s">
        <v>690</v>
      </c>
      <c r="C102" s="7" t="s">
        <v>410</v>
      </c>
      <c r="D102" s="159">
        <v>44714</v>
      </c>
      <c r="E102" s="249" t="s">
        <v>761</v>
      </c>
      <c r="F102" s="7" t="s">
        <v>59</v>
      </c>
      <c r="G102" s="219">
        <v>190.98</v>
      </c>
      <c r="H102" s="162">
        <f>IF(F102=0,0,IF(F102="MXN",1/HLOOKUP(YEAR(D102)+(MONTH(D102)/100),TC!$5:$437,DAY(D102)+2,FALSE),VLOOKUP(F102,Equivalencia!$1:$23,((MAX(Equivalencia!$3:$3)-YEAR(D102))*14)+MONTH(D102)+2,FALSE)))</f>
        <v>1</v>
      </c>
      <c r="I102" s="163">
        <f t="shared" si="6"/>
        <v>190.98</v>
      </c>
      <c r="J102" s="162">
        <f>IF(D102=0,0,HLOOKUP(YEAR(D102)+(MONTH(D102)/100),TC!$5:$37,DAY(D102)+2,FALSE))</f>
        <v>19.693999999999999</v>
      </c>
      <c r="K102" s="219">
        <f t="shared" si="7"/>
        <v>3761.1601199999996</v>
      </c>
    </row>
    <row r="103" spans="2:11" s="134" customFormat="1" ht="23" hidden="1" customHeight="1">
      <c r="B103" s="7" t="s">
        <v>690</v>
      </c>
      <c r="C103" s="7" t="s">
        <v>410</v>
      </c>
      <c r="D103" s="159">
        <v>44714</v>
      </c>
      <c r="E103" s="249" t="s">
        <v>767</v>
      </c>
      <c r="F103" s="7" t="s">
        <v>59</v>
      </c>
      <c r="G103" s="219">
        <v>150.02000000000001</v>
      </c>
      <c r="H103" s="162">
        <f>IF(F103=0,0,IF(F103="MXN",1/HLOOKUP(YEAR(D103)+(MONTH(D103)/100),TC!$5:$437,DAY(D103)+2,FALSE),VLOOKUP(F103,Equivalencia!$1:$23,((MAX(Equivalencia!$3:$3)-YEAR(D103))*14)+MONTH(D103)+2,FALSE)))</f>
        <v>1</v>
      </c>
      <c r="I103" s="163">
        <f t="shared" si="6"/>
        <v>150.02000000000001</v>
      </c>
      <c r="J103" s="162">
        <f>IF(D103=0,0,HLOOKUP(YEAR(D103)+(MONTH(D103)/100),TC!$5:$37,DAY(D103)+2,FALSE))</f>
        <v>19.693999999999999</v>
      </c>
      <c r="K103" s="219">
        <f t="shared" si="7"/>
        <v>2954.49388</v>
      </c>
    </row>
    <row r="104" spans="2:11" s="134" customFormat="1" ht="23" hidden="1" customHeight="1">
      <c r="B104" s="7" t="s">
        <v>690</v>
      </c>
      <c r="C104" s="7" t="s">
        <v>410</v>
      </c>
      <c r="D104" s="159">
        <v>44715</v>
      </c>
      <c r="E104" s="249" t="s">
        <v>851</v>
      </c>
      <c r="F104" s="7" t="s">
        <v>59</v>
      </c>
      <c r="G104" s="219">
        <v>153.76</v>
      </c>
      <c r="H104" s="162">
        <f>IF(F104=0,0,IF(F104="MXN",1/HLOOKUP(YEAR(D104)+(MONTH(D104)/100),TC!$5:$437,DAY(D104)+2,FALSE),VLOOKUP(F104,Equivalencia!$1:$23,((MAX(Equivalencia!$3:$3)-YEAR(D104))*14)+MONTH(D104)+2,FALSE)))</f>
        <v>1</v>
      </c>
      <c r="I104" s="163">
        <f t="shared" si="6"/>
        <v>153.76</v>
      </c>
      <c r="J104" s="162">
        <f>IF(D104=0,0,HLOOKUP(YEAR(D104)+(MONTH(D104)/100),TC!$5:$37,DAY(D104)+2,FALSE))</f>
        <v>19.738800000000001</v>
      </c>
      <c r="K104" s="219">
        <f t="shared" si="7"/>
        <v>3035.0378879999998</v>
      </c>
    </row>
    <row r="105" spans="2:11" s="134" customFormat="1" ht="23" hidden="1" customHeight="1">
      <c r="B105" s="7" t="s">
        <v>690</v>
      </c>
      <c r="C105" s="7" t="s">
        <v>410</v>
      </c>
      <c r="D105" s="159">
        <v>44715</v>
      </c>
      <c r="E105" s="249" t="s">
        <v>762</v>
      </c>
      <c r="F105" s="7" t="s">
        <v>59</v>
      </c>
      <c r="G105" s="219">
        <v>148.83000000000001</v>
      </c>
      <c r="H105" s="162">
        <f>IF(F105=0,0,IF(F105="MXN",1/HLOOKUP(YEAR(D105)+(MONTH(D105)/100),TC!$5:$437,DAY(D105)+2,FALSE),VLOOKUP(F105,Equivalencia!$1:$23,((MAX(Equivalencia!$3:$3)-YEAR(D105))*14)+MONTH(D105)+2,FALSE)))</f>
        <v>1</v>
      </c>
      <c r="I105" s="163">
        <f t="shared" si="6"/>
        <v>148.83000000000001</v>
      </c>
      <c r="J105" s="162">
        <f>IF(D105=0,0,HLOOKUP(YEAR(D105)+(MONTH(D105)/100),TC!$5:$37,DAY(D105)+2,FALSE))</f>
        <v>19.738800000000001</v>
      </c>
      <c r="K105" s="219">
        <f t="shared" si="7"/>
        <v>2937.7256040000002</v>
      </c>
    </row>
    <row r="106" spans="2:11" s="134" customFormat="1" ht="23" hidden="1" customHeight="1">
      <c r="B106" s="7" t="s">
        <v>690</v>
      </c>
      <c r="C106" s="7" t="s">
        <v>410</v>
      </c>
      <c r="D106" s="159">
        <v>44715</v>
      </c>
      <c r="E106" s="249" t="s">
        <v>769</v>
      </c>
      <c r="F106" s="7" t="s">
        <v>59</v>
      </c>
      <c r="G106" s="219">
        <v>59.94</v>
      </c>
      <c r="H106" s="162">
        <f>IF(F106=0,0,IF(F106="MXN",1/HLOOKUP(YEAR(D106)+(MONTH(D106)/100),TC!$5:$437,DAY(D106)+2,FALSE),VLOOKUP(F106,Equivalencia!$1:$23,((MAX(Equivalencia!$3:$3)-YEAR(D106))*14)+MONTH(D106)+2,FALSE)))</f>
        <v>1</v>
      </c>
      <c r="I106" s="163">
        <f t="shared" si="6"/>
        <v>59.94</v>
      </c>
      <c r="J106" s="162">
        <f>IF(D106=0,0,HLOOKUP(YEAR(D106)+(MONTH(D106)/100),TC!$5:$37,DAY(D106)+2,FALSE))</f>
        <v>19.738800000000001</v>
      </c>
      <c r="K106" s="219">
        <f t="shared" si="7"/>
        <v>1183.1436719999999</v>
      </c>
    </row>
    <row r="107" spans="2:11" s="134" customFormat="1" ht="23" hidden="1" customHeight="1">
      <c r="B107" s="7" t="s">
        <v>690</v>
      </c>
      <c r="C107" s="7" t="s">
        <v>410</v>
      </c>
      <c r="D107" s="159">
        <v>44721</v>
      </c>
      <c r="E107" s="249" t="s">
        <v>727</v>
      </c>
      <c r="F107" s="7" t="s">
        <v>59</v>
      </c>
      <c r="G107" s="219">
        <v>420.36</v>
      </c>
      <c r="H107" s="162">
        <f>IF(F107=0,0,IF(F107="MXN",1/HLOOKUP(YEAR(D107)+(MONTH(D107)/100),TC!$5:$437,DAY(D107)+2,FALSE),VLOOKUP(F107,Equivalencia!$1:$23,((MAX(Equivalencia!$3:$3)-YEAR(D107))*14)+MONTH(D107)+2,FALSE)))</f>
        <v>1</v>
      </c>
      <c r="I107" s="163">
        <f t="shared" si="6"/>
        <v>420.36</v>
      </c>
      <c r="J107" s="162">
        <f>IF(D107=0,0,HLOOKUP(YEAR(D107)+(MONTH(D107)/100),TC!$5:$37,DAY(D107)+2,FALSE))</f>
        <v>19.599799999999998</v>
      </c>
      <c r="K107" s="219">
        <f t="shared" si="7"/>
        <v>8238.971927999999</v>
      </c>
    </row>
    <row r="108" spans="2:11" s="134" customFormat="1" ht="23" hidden="1" customHeight="1">
      <c r="B108" s="7" t="s">
        <v>690</v>
      </c>
      <c r="C108" s="7" t="s">
        <v>410</v>
      </c>
      <c r="D108" s="159">
        <v>44722</v>
      </c>
      <c r="E108" s="249" t="s">
        <v>852</v>
      </c>
      <c r="F108" s="7" t="s">
        <v>59</v>
      </c>
      <c r="G108" s="219">
        <v>143.88</v>
      </c>
      <c r="H108" s="162">
        <f>IF(F108=0,0,IF(F108="MXN",1/HLOOKUP(YEAR(D108)+(MONTH(D108)/100),TC!$5:$437,DAY(D108)+2,FALSE),VLOOKUP(F108,Equivalencia!$1:$23,((MAX(Equivalencia!$3:$3)-YEAR(D108))*14)+MONTH(D108)+2,FALSE)))</f>
        <v>1</v>
      </c>
      <c r="I108" s="163">
        <f t="shared" si="6"/>
        <v>143.88</v>
      </c>
      <c r="J108" s="162">
        <f>IF(D108=0,0,HLOOKUP(YEAR(D108)+(MONTH(D108)/100),TC!$5:$37,DAY(D108)+2,FALSE))</f>
        <v>19.59</v>
      </c>
      <c r="K108" s="219">
        <f t="shared" si="7"/>
        <v>2818.6091999999999</v>
      </c>
    </row>
    <row r="109" spans="2:11" s="134" customFormat="1" ht="23" hidden="1" customHeight="1">
      <c r="B109" s="7" t="s">
        <v>690</v>
      </c>
      <c r="C109" s="7" t="s">
        <v>410</v>
      </c>
      <c r="D109" s="159">
        <v>44722</v>
      </c>
      <c r="E109" s="249" t="s">
        <v>763</v>
      </c>
      <c r="F109" s="7" t="s">
        <v>59</v>
      </c>
      <c r="G109" s="219">
        <v>125.61</v>
      </c>
      <c r="H109" s="162">
        <f>IF(F109=0,0,IF(F109="MXN",1/HLOOKUP(YEAR(D109)+(MONTH(D109)/100),TC!$5:$437,DAY(D109)+2,FALSE),VLOOKUP(F109,Equivalencia!$1:$23,((MAX(Equivalencia!$3:$3)-YEAR(D109))*14)+MONTH(D109)+2,FALSE)))</f>
        <v>1</v>
      </c>
      <c r="I109" s="163">
        <f t="shared" si="6"/>
        <v>125.61</v>
      </c>
      <c r="J109" s="162">
        <f>IF(D109=0,0,HLOOKUP(YEAR(D109)+(MONTH(D109)/100),TC!$5:$37,DAY(D109)+2,FALSE))</f>
        <v>19.59</v>
      </c>
      <c r="K109" s="219">
        <f t="shared" si="7"/>
        <v>2460.6999000000001</v>
      </c>
    </row>
    <row r="110" spans="2:11" s="134" customFormat="1" ht="23" hidden="1" customHeight="1">
      <c r="B110" s="7" t="s">
        <v>690</v>
      </c>
      <c r="C110" s="7" t="s">
        <v>410</v>
      </c>
      <c r="D110" s="159">
        <v>44722</v>
      </c>
      <c r="E110" s="249" t="s">
        <v>764</v>
      </c>
      <c r="F110" s="7" t="s">
        <v>59</v>
      </c>
      <c r="G110" s="219">
        <v>60.82</v>
      </c>
      <c r="H110" s="162">
        <f>IF(F110=0,0,IF(F110="MXN",1/HLOOKUP(YEAR(D110)+(MONTH(D110)/100),TC!$5:$437,DAY(D110)+2,FALSE),VLOOKUP(F110,Equivalencia!$1:$23,((MAX(Equivalencia!$3:$3)-YEAR(D110))*14)+MONTH(D110)+2,FALSE)))</f>
        <v>1</v>
      </c>
      <c r="I110" s="163">
        <f t="shared" si="6"/>
        <v>60.82</v>
      </c>
      <c r="J110" s="162">
        <f>IF(D110=0,0,HLOOKUP(YEAR(D110)+(MONTH(D110)/100),TC!$5:$37,DAY(D110)+2,FALSE))</f>
        <v>19.59</v>
      </c>
      <c r="K110" s="219">
        <f t="shared" si="7"/>
        <v>1191.4638</v>
      </c>
    </row>
    <row r="111" spans="2:11" s="134" customFormat="1" ht="23" hidden="1" customHeight="1">
      <c r="B111" s="7" t="s">
        <v>690</v>
      </c>
      <c r="C111" s="7" t="s">
        <v>410</v>
      </c>
      <c r="D111" s="159">
        <v>44722</v>
      </c>
      <c r="E111" s="249" t="s">
        <v>765</v>
      </c>
      <c r="F111" s="7" t="s">
        <v>59</v>
      </c>
      <c r="G111" s="219">
        <v>57.38</v>
      </c>
      <c r="H111" s="162">
        <f>IF(F111=0,0,IF(F111="MXN",1/HLOOKUP(YEAR(D111)+(MONTH(D111)/100),TC!$5:$437,DAY(D111)+2,FALSE),VLOOKUP(F111,Equivalencia!$1:$23,((MAX(Equivalencia!$3:$3)-YEAR(D111))*14)+MONTH(D111)+2,FALSE)))</f>
        <v>1</v>
      </c>
      <c r="I111" s="163">
        <f t="shared" si="6"/>
        <v>57.38</v>
      </c>
      <c r="J111" s="162">
        <f>IF(D111=0,0,HLOOKUP(YEAR(D111)+(MONTH(D111)/100),TC!$5:$37,DAY(D111)+2,FALSE))</f>
        <v>19.59</v>
      </c>
      <c r="K111" s="219">
        <f t="shared" si="7"/>
        <v>1124.0742</v>
      </c>
    </row>
    <row r="112" spans="2:11" s="134" customFormat="1" ht="23" hidden="1" customHeight="1">
      <c r="B112" s="7" t="s">
        <v>690</v>
      </c>
      <c r="C112" s="7" t="s">
        <v>410</v>
      </c>
      <c r="D112" s="159">
        <v>44722</v>
      </c>
      <c r="E112" s="249" t="s">
        <v>766</v>
      </c>
      <c r="F112" s="7" t="s">
        <v>59</v>
      </c>
      <c r="G112" s="219">
        <v>87.21</v>
      </c>
      <c r="H112" s="162">
        <f>IF(F112=0,0,IF(F112="MXN",1/HLOOKUP(YEAR(D112)+(MONTH(D112)/100),TC!$5:$437,DAY(D112)+2,FALSE),VLOOKUP(F112,Equivalencia!$1:$23,((MAX(Equivalencia!$3:$3)-YEAR(D112))*14)+MONTH(D112)+2,FALSE)))</f>
        <v>1</v>
      </c>
      <c r="I112" s="163">
        <f t="shared" si="6"/>
        <v>87.21</v>
      </c>
      <c r="J112" s="162">
        <f>IF(D112=0,0,HLOOKUP(YEAR(D112)+(MONTH(D112)/100),TC!$5:$37,DAY(D112)+2,FALSE))</f>
        <v>19.59</v>
      </c>
      <c r="K112" s="219">
        <f t="shared" si="7"/>
        <v>1708.4438999999998</v>
      </c>
    </row>
    <row r="113" spans="2:11" s="134" customFormat="1" ht="23" hidden="1" customHeight="1">
      <c r="B113" s="7" t="s">
        <v>690</v>
      </c>
      <c r="C113" s="7" t="s">
        <v>410</v>
      </c>
      <c r="D113" s="159">
        <v>44727</v>
      </c>
      <c r="E113" s="249" t="s">
        <v>853</v>
      </c>
      <c r="F113" s="7" t="s">
        <v>59</v>
      </c>
      <c r="G113" s="219">
        <v>1860.55</v>
      </c>
      <c r="H113" s="162">
        <f>IF(F113=0,0,IF(F113="MXN",1/HLOOKUP(YEAR(D113)+(MONTH(D113)/100),TC!$5:$437,DAY(D113)+2,FALSE),VLOOKUP(F113,Equivalencia!$1:$23,((MAX(Equivalencia!$3:$3)-YEAR(D113))*14)+MONTH(D113)+2,FALSE)))</f>
        <v>1</v>
      </c>
      <c r="I113" s="163">
        <f t="shared" si="6"/>
        <v>1860.55</v>
      </c>
      <c r="J113" s="162">
        <f>IF(D113=0,0,HLOOKUP(YEAR(D113)+(MONTH(D113)/100),TC!$5:$37,DAY(D113)+2,FALSE))</f>
        <v>20.4527</v>
      </c>
      <c r="K113" s="219">
        <f t="shared" si="7"/>
        <v>38053.270985000003</v>
      </c>
    </row>
    <row r="114" spans="2:11" s="134" customFormat="1" ht="23" hidden="1" customHeight="1">
      <c r="B114" s="7" t="s">
        <v>690</v>
      </c>
      <c r="C114" s="7" t="s">
        <v>410</v>
      </c>
      <c r="D114" s="159">
        <v>44727</v>
      </c>
      <c r="E114" s="249" t="s">
        <v>854</v>
      </c>
      <c r="F114" s="7" t="s">
        <v>59</v>
      </c>
      <c r="G114" s="219">
        <v>47.88</v>
      </c>
      <c r="H114" s="162">
        <f>IF(F114=0,0,IF(F114="MXN",1/HLOOKUP(YEAR(D114)+(MONTH(D114)/100),TC!$5:$437,DAY(D114)+2,FALSE),VLOOKUP(F114,Equivalencia!$1:$23,((MAX(Equivalencia!$3:$3)-YEAR(D114))*14)+MONTH(D114)+2,FALSE)))</f>
        <v>1</v>
      </c>
      <c r="I114" s="163">
        <f t="shared" si="6"/>
        <v>47.88</v>
      </c>
      <c r="J114" s="162">
        <f>IF(D114=0,0,HLOOKUP(YEAR(D114)+(MONTH(D114)/100),TC!$5:$37,DAY(D114)+2,FALSE))</f>
        <v>20.4527</v>
      </c>
      <c r="K114" s="219">
        <f t="shared" si="7"/>
        <v>979.27527600000008</v>
      </c>
    </row>
    <row r="115" spans="2:11" s="134" customFormat="1" ht="23" hidden="1" customHeight="1">
      <c r="B115" s="7" t="s">
        <v>690</v>
      </c>
      <c r="C115" s="7" t="s">
        <v>410</v>
      </c>
      <c r="D115" s="159">
        <v>44727</v>
      </c>
      <c r="E115" s="249" t="s">
        <v>855</v>
      </c>
      <c r="F115" s="7" t="s">
        <v>59</v>
      </c>
      <c r="G115" s="219">
        <v>0.04</v>
      </c>
      <c r="H115" s="162">
        <f>IF(F115=0,0,IF(F115="MXN",1/HLOOKUP(YEAR(D115)+(MONTH(D115)/100),TC!$5:$437,DAY(D115)+2,FALSE),VLOOKUP(F115,Equivalencia!$1:$23,((MAX(Equivalencia!$3:$3)-YEAR(D115))*14)+MONTH(D115)+2,FALSE)))</f>
        <v>1</v>
      </c>
      <c r="I115" s="163">
        <f t="shared" si="6"/>
        <v>0.04</v>
      </c>
      <c r="J115" s="162">
        <f>IF(D115=0,0,HLOOKUP(YEAR(D115)+(MONTH(D115)/100),TC!$5:$37,DAY(D115)+2,FALSE))</f>
        <v>20.4527</v>
      </c>
      <c r="K115" s="219">
        <f t="shared" si="7"/>
        <v>0.81810800000000006</v>
      </c>
    </row>
    <row r="116" spans="2:11" s="134" customFormat="1" ht="23" hidden="1" customHeight="1">
      <c r="B116" s="7" t="s">
        <v>690</v>
      </c>
      <c r="C116" s="7" t="s">
        <v>410</v>
      </c>
      <c r="D116" s="159">
        <v>44727</v>
      </c>
      <c r="E116" s="249" t="s">
        <v>731</v>
      </c>
      <c r="F116" s="7" t="s">
        <v>59</v>
      </c>
      <c r="G116" s="219">
        <v>63.88</v>
      </c>
      <c r="H116" s="162">
        <f>IF(F116=0,0,IF(F116="MXN",1/HLOOKUP(YEAR(D116)+(MONTH(D116)/100),TC!$5:$437,DAY(D116)+2,FALSE),VLOOKUP(F116,Equivalencia!$1:$23,((MAX(Equivalencia!$3:$3)-YEAR(D116))*14)+MONTH(D116)+2,FALSE)))</f>
        <v>1</v>
      </c>
      <c r="I116" s="163">
        <f t="shared" si="6"/>
        <v>63.88</v>
      </c>
      <c r="J116" s="162">
        <f>IF(D116=0,0,HLOOKUP(YEAR(D116)+(MONTH(D116)/100),TC!$5:$37,DAY(D116)+2,FALSE))</f>
        <v>20.4527</v>
      </c>
      <c r="K116" s="219">
        <f t="shared" si="7"/>
        <v>1306.518476</v>
      </c>
    </row>
    <row r="117" spans="2:11" s="134" customFormat="1" ht="23" hidden="1" customHeight="1">
      <c r="B117" s="7" t="s">
        <v>690</v>
      </c>
      <c r="C117" s="7" t="s">
        <v>410</v>
      </c>
      <c r="D117" s="159">
        <v>44728</v>
      </c>
      <c r="E117" s="249" t="s">
        <v>772</v>
      </c>
      <c r="F117" s="7" t="s">
        <v>59</v>
      </c>
      <c r="G117" s="219">
        <v>76.67</v>
      </c>
      <c r="H117" s="162">
        <f>IF(F117=0,0,IF(F117="MXN",1/HLOOKUP(YEAR(D117)+(MONTH(D117)/100),TC!$5:$437,DAY(D117)+2,FALSE),VLOOKUP(F117,Equivalencia!$1:$23,((MAX(Equivalencia!$3:$3)-YEAR(D117))*14)+MONTH(D117)+2,FALSE)))</f>
        <v>1</v>
      </c>
      <c r="I117" s="163">
        <f t="shared" si="6"/>
        <v>76.67</v>
      </c>
      <c r="J117" s="162">
        <f>IF(D117=0,0,HLOOKUP(YEAR(D117)+(MONTH(D117)/100),TC!$5:$37,DAY(D117)+2,FALSE))</f>
        <v>20.658300000000001</v>
      </c>
      <c r="K117" s="219">
        <f t="shared" si="7"/>
        <v>1583.8718610000001</v>
      </c>
    </row>
    <row r="118" spans="2:11" s="134" customFormat="1" ht="23" hidden="1" customHeight="1">
      <c r="B118" s="7" t="s">
        <v>690</v>
      </c>
      <c r="C118" s="7" t="s">
        <v>410</v>
      </c>
      <c r="D118" s="159">
        <v>44728</v>
      </c>
      <c r="E118" s="249" t="s">
        <v>775</v>
      </c>
      <c r="F118" s="7" t="s">
        <v>59</v>
      </c>
      <c r="G118" s="219">
        <v>213.75</v>
      </c>
      <c r="H118" s="162">
        <f>IF(F118=0,0,IF(F118="MXN",1/HLOOKUP(YEAR(D118)+(MONTH(D118)/100),TC!$5:$437,DAY(D118)+2,FALSE),VLOOKUP(F118,Equivalencia!$1:$23,((MAX(Equivalencia!$3:$3)-YEAR(D118))*14)+MONTH(D118)+2,FALSE)))</f>
        <v>1</v>
      </c>
      <c r="I118" s="163">
        <f t="shared" si="6"/>
        <v>213.75</v>
      </c>
      <c r="J118" s="162">
        <f>IF(D118=0,0,HLOOKUP(YEAR(D118)+(MONTH(D118)/100),TC!$5:$37,DAY(D118)+2,FALSE))</f>
        <v>20.658300000000001</v>
      </c>
      <c r="K118" s="219">
        <f t="shared" si="7"/>
        <v>4415.7116249999999</v>
      </c>
    </row>
    <row r="119" spans="2:11" s="134" customFormat="1" ht="23" hidden="1" customHeight="1">
      <c r="B119" s="7" t="s">
        <v>690</v>
      </c>
      <c r="C119" s="7" t="s">
        <v>410</v>
      </c>
      <c r="D119" s="159">
        <v>44728</v>
      </c>
      <c r="E119" s="249" t="s">
        <v>776</v>
      </c>
      <c r="F119" s="7" t="s">
        <v>59</v>
      </c>
      <c r="G119" s="219">
        <v>139.26</v>
      </c>
      <c r="H119" s="162">
        <f>IF(F119=0,0,IF(F119="MXN",1/HLOOKUP(YEAR(D119)+(MONTH(D119)/100),TC!$5:$437,DAY(D119)+2,FALSE),VLOOKUP(F119,Equivalencia!$1:$23,((MAX(Equivalencia!$3:$3)-YEAR(D119))*14)+MONTH(D119)+2,FALSE)))</f>
        <v>1</v>
      </c>
      <c r="I119" s="163">
        <f t="shared" si="6"/>
        <v>139.26</v>
      </c>
      <c r="J119" s="162">
        <f>IF(D119=0,0,HLOOKUP(YEAR(D119)+(MONTH(D119)/100),TC!$5:$37,DAY(D119)+2,FALSE))</f>
        <v>20.658300000000001</v>
      </c>
      <c r="K119" s="219">
        <f t="shared" si="7"/>
        <v>2876.8748579999997</v>
      </c>
    </row>
    <row r="120" spans="2:11" s="134" customFormat="1" ht="23" hidden="1" customHeight="1">
      <c r="B120" s="7" t="s">
        <v>690</v>
      </c>
      <c r="C120" s="7" t="s">
        <v>410</v>
      </c>
      <c r="D120" s="159">
        <v>44733</v>
      </c>
      <c r="E120" s="249" t="s">
        <v>771</v>
      </c>
      <c r="F120" s="7" t="s">
        <v>59</v>
      </c>
      <c r="G120" s="219">
        <v>139.52000000000001</v>
      </c>
      <c r="H120" s="162">
        <f>IF(F120=0,0,IF(F120="MXN",1/HLOOKUP(YEAR(D120)+(MONTH(D120)/100),TC!$5:$437,DAY(D120)+2,FALSE),VLOOKUP(F120,Equivalencia!$1:$23,((MAX(Equivalencia!$3:$3)-YEAR(D120))*14)+MONTH(D120)+2,FALSE)))</f>
        <v>1</v>
      </c>
      <c r="I120" s="163">
        <f t="shared" si="6"/>
        <v>139.52000000000001</v>
      </c>
      <c r="J120" s="162">
        <f>IF(D120=0,0,HLOOKUP(YEAR(D120)+(MONTH(D120)/100),TC!$5:$37,DAY(D120)+2,FALSE))</f>
        <v>20.475999999999999</v>
      </c>
      <c r="K120" s="219">
        <f t="shared" si="7"/>
        <v>2856.8115200000002</v>
      </c>
    </row>
    <row r="121" spans="2:11" s="134" customFormat="1" ht="23" hidden="1" customHeight="1">
      <c r="B121" s="7" t="s">
        <v>690</v>
      </c>
      <c r="C121" s="7" t="s">
        <v>410</v>
      </c>
      <c r="D121" s="159">
        <v>44733</v>
      </c>
      <c r="E121" s="249" t="s">
        <v>773</v>
      </c>
      <c r="F121" s="7" t="s">
        <v>59</v>
      </c>
      <c r="G121" s="219">
        <v>120.75</v>
      </c>
      <c r="H121" s="162">
        <f>IF(F121=0,0,IF(F121="MXN",1/HLOOKUP(YEAR(D121)+(MONTH(D121)/100),TC!$5:$437,DAY(D121)+2,FALSE),VLOOKUP(F121,Equivalencia!$1:$23,((MAX(Equivalencia!$3:$3)-YEAR(D121))*14)+MONTH(D121)+2,FALSE)))</f>
        <v>1</v>
      </c>
      <c r="I121" s="163">
        <f t="shared" si="6"/>
        <v>120.75</v>
      </c>
      <c r="J121" s="162">
        <f>IF(D121=0,0,HLOOKUP(YEAR(D121)+(MONTH(D121)/100),TC!$5:$37,DAY(D121)+2,FALSE))</f>
        <v>20.475999999999999</v>
      </c>
      <c r="K121" s="219">
        <f t="shared" si="7"/>
        <v>2472.4769999999999</v>
      </c>
    </row>
    <row r="122" spans="2:11" s="134" customFormat="1" ht="23" hidden="1" customHeight="1">
      <c r="B122" s="7" t="s">
        <v>690</v>
      </c>
      <c r="C122" s="7" t="s">
        <v>410</v>
      </c>
      <c r="D122" s="159">
        <v>44736</v>
      </c>
      <c r="E122" s="249" t="s">
        <v>777</v>
      </c>
      <c r="F122" s="7" t="s">
        <v>59</v>
      </c>
      <c r="G122" s="219">
        <v>137.76</v>
      </c>
      <c r="H122" s="162">
        <f>IF(F122=0,0,IF(F122="MXN",1/HLOOKUP(YEAR(D122)+(MONTH(D122)/100),TC!$5:$437,DAY(D122)+2,FALSE),VLOOKUP(F122,Equivalencia!$1:$23,((MAX(Equivalencia!$3:$3)-YEAR(D122))*14)+MONTH(D122)+2,FALSE)))</f>
        <v>1</v>
      </c>
      <c r="I122" s="163">
        <f t="shared" si="6"/>
        <v>137.76</v>
      </c>
      <c r="J122" s="162">
        <f>IF(D122=0,0,HLOOKUP(YEAR(D122)+(MONTH(D122)/100),TC!$5:$37,DAY(D122)+2,FALSE))</f>
        <v>20.046500000000002</v>
      </c>
      <c r="K122" s="219">
        <f t="shared" si="7"/>
        <v>2761.6058400000002</v>
      </c>
    </row>
    <row r="123" spans="2:11" s="134" customFormat="1" ht="23" hidden="1" customHeight="1">
      <c r="B123" s="7" t="s">
        <v>690</v>
      </c>
      <c r="C123" s="7" t="s">
        <v>410</v>
      </c>
      <c r="D123" s="159">
        <v>44736</v>
      </c>
      <c r="E123" s="249" t="s">
        <v>779</v>
      </c>
      <c r="F123" s="7" t="s">
        <v>59</v>
      </c>
      <c r="G123" s="219">
        <v>99.96</v>
      </c>
      <c r="H123" s="162">
        <f>IF(F123=0,0,IF(F123="MXN",1/HLOOKUP(YEAR(D123)+(MONTH(D123)/100),TC!$5:$437,DAY(D123)+2,FALSE),VLOOKUP(F123,Equivalencia!$1:$23,((MAX(Equivalencia!$3:$3)-YEAR(D123))*14)+MONTH(D123)+2,FALSE)))</f>
        <v>1</v>
      </c>
      <c r="I123" s="163">
        <f t="shared" si="6"/>
        <v>99.96</v>
      </c>
      <c r="J123" s="162">
        <f>IF(D123=0,0,HLOOKUP(YEAR(D123)+(MONTH(D123)/100),TC!$5:$37,DAY(D123)+2,FALSE))</f>
        <v>20.046500000000002</v>
      </c>
      <c r="K123" s="219">
        <f t="shared" si="7"/>
        <v>2003.8481400000001</v>
      </c>
    </row>
    <row r="124" spans="2:11" s="134" customFormat="1" ht="23" hidden="1" customHeight="1">
      <c r="B124" s="7" t="s">
        <v>690</v>
      </c>
      <c r="C124" s="7" t="s">
        <v>410</v>
      </c>
      <c r="D124" s="159">
        <v>44740</v>
      </c>
      <c r="E124" s="249" t="s">
        <v>737</v>
      </c>
      <c r="F124" s="7" t="s">
        <v>59</v>
      </c>
      <c r="G124" s="219">
        <v>87</v>
      </c>
      <c r="H124" s="162">
        <f>IF(F124=0,0,IF(F124="MXN",1/HLOOKUP(YEAR(D124)+(MONTH(D124)/100),TC!$5:$437,DAY(D124)+2,FALSE),VLOOKUP(F124,Equivalencia!$1:$23,((MAX(Equivalencia!$3:$3)-YEAR(D124))*14)+MONTH(D124)+2,FALSE)))</f>
        <v>1</v>
      </c>
      <c r="I124" s="163">
        <f t="shared" si="6"/>
        <v>87</v>
      </c>
      <c r="J124" s="162">
        <f>IF(D124=0,0,HLOOKUP(YEAR(D124)+(MONTH(D124)/100),TC!$5:$37,DAY(D124)+2,FALSE))</f>
        <v>19.870699999999999</v>
      </c>
      <c r="K124" s="219">
        <f t="shared" si="7"/>
        <v>1728.7509</v>
      </c>
    </row>
    <row r="125" spans="2:11" s="134" customFormat="1" ht="23" hidden="1" customHeight="1">
      <c r="B125" s="7" t="s">
        <v>690</v>
      </c>
      <c r="C125" s="7" t="s">
        <v>410</v>
      </c>
      <c r="D125" s="159">
        <v>44740</v>
      </c>
      <c r="E125" s="249" t="s">
        <v>774</v>
      </c>
      <c r="F125" s="7" t="s">
        <v>59</v>
      </c>
      <c r="G125" s="219">
        <v>55.44</v>
      </c>
      <c r="H125" s="162">
        <f>IF(F125=0,0,IF(F125="MXN",1/HLOOKUP(YEAR(D125)+(MONTH(D125)/100),TC!$5:$437,DAY(D125)+2,FALSE),VLOOKUP(F125,Equivalencia!$1:$23,((MAX(Equivalencia!$3:$3)-YEAR(D125))*14)+MONTH(D125)+2,FALSE)))</f>
        <v>1</v>
      </c>
      <c r="I125" s="163">
        <f t="shared" si="6"/>
        <v>55.44</v>
      </c>
      <c r="J125" s="162">
        <f>IF(D125=0,0,HLOOKUP(YEAR(D125)+(MONTH(D125)/100),TC!$5:$37,DAY(D125)+2,FALSE))</f>
        <v>19.870699999999999</v>
      </c>
      <c r="K125" s="219">
        <f t="shared" si="7"/>
        <v>1101.6316079999999</v>
      </c>
    </row>
    <row r="126" spans="2:11" s="134" customFormat="1" ht="23" hidden="1" customHeight="1">
      <c r="B126" s="7" t="s">
        <v>690</v>
      </c>
      <c r="C126" s="7" t="s">
        <v>410</v>
      </c>
      <c r="D126" s="159">
        <v>44741</v>
      </c>
      <c r="E126" s="249" t="s">
        <v>856</v>
      </c>
      <c r="F126" s="7" t="s">
        <v>59</v>
      </c>
      <c r="G126" s="219">
        <v>4.99</v>
      </c>
      <c r="H126" s="162">
        <f>IF(F126=0,0,IF(F126="MXN",1/HLOOKUP(YEAR(D126)+(MONTH(D126)/100),TC!$5:$437,DAY(D126)+2,FALSE),VLOOKUP(F126,Equivalencia!$1:$23,((MAX(Equivalencia!$3:$3)-YEAR(D126))*14)+MONTH(D126)+2,FALSE)))</f>
        <v>1</v>
      </c>
      <c r="I126" s="163">
        <f t="shared" si="6"/>
        <v>4.99</v>
      </c>
      <c r="J126" s="162">
        <f>IF(D126=0,0,HLOOKUP(YEAR(D126)+(MONTH(D126)/100),TC!$5:$37,DAY(D126)+2,FALSE))</f>
        <v>19.8797</v>
      </c>
      <c r="K126" s="219">
        <f t="shared" si="7"/>
        <v>99.199703</v>
      </c>
    </row>
    <row r="127" spans="2:11" s="134" customFormat="1" ht="23" hidden="1" customHeight="1">
      <c r="B127" s="7" t="s">
        <v>690</v>
      </c>
      <c r="C127" s="7" t="s">
        <v>410</v>
      </c>
      <c r="D127" s="159">
        <v>44741</v>
      </c>
      <c r="E127" s="249" t="s">
        <v>780</v>
      </c>
      <c r="F127" s="7" t="s">
        <v>59</v>
      </c>
      <c r="G127" s="219">
        <v>72.3</v>
      </c>
      <c r="H127" s="162">
        <f>IF(F127=0,0,IF(F127="MXN",1/HLOOKUP(YEAR(D127)+(MONTH(D127)/100),TC!$5:$437,DAY(D127)+2,FALSE),VLOOKUP(F127,Equivalencia!$1:$23,((MAX(Equivalencia!$3:$3)-YEAR(D127))*14)+MONTH(D127)+2,FALSE)))</f>
        <v>1</v>
      </c>
      <c r="I127" s="163">
        <f t="shared" si="6"/>
        <v>72.3</v>
      </c>
      <c r="J127" s="162">
        <f>IF(D127=0,0,HLOOKUP(YEAR(D127)+(MONTH(D127)/100),TC!$5:$37,DAY(D127)+2,FALSE))</f>
        <v>19.8797</v>
      </c>
      <c r="K127" s="219">
        <f t="shared" si="7"/>
        <v>1437.30231</v>
      </c>
    </row>
    <row r="128" spans="2:11" s="134" customFormat="1" ht="23" hidden="1" customHeight="1">
      <c r="B128" s="7" t="s">
        <v>690</v>
      </c>
      <c r="C128" s="7" t="s">
        <v>410</v>
      </c>
      <c r="D128" s="159">
        <v>44741</v>
      </c>
      <c r="E128" s="249" t="s">
        <v>857</v>
      </c>
      <c r="F128" s="7" t="s">
        <v>59</v>
      </c>
      <c r="G128" s="219">
        <v>204.62</v>
      </c>
      <c r="H128" s="162">
        <f>IF(F128=0,0,IF(F128="MXN",1/HLOOKUP(YEAR(D128)+(MONTH(D128)/100),TC!$5:$437,DAY(D128)+2,FALSE),VLOOKUP(F128,Equivalencia!$1:$23,((MAX(Equivalencia!$3:$3)-YEAR(D128))*14)+MONTH(D128)+2,FALSE)))</f>
        <v>1</v>
      </c>
      <c r="I128" s="163">
        <f t="shared" si="6"/>
        <v>204.62</v>
      </c>
      <c r="J128" s="162">
        <f>IF(D128=0,0,HLOOKUP(YEAR(D128)+(MONTH(D128)/100),TC!$5:$37,DAY(D128)+2,FALSE))</f>
        <v>19.8797</v>
      </c>
      <c r="K128" s="219">
        <f t="shared" si="7"/>
        <v>4067.7842140000002</v>
      </c>
    </row>
    <row r="129" spans="2:11" s="134" customFormat="1" ht="23" hidden="1" customHeight="1">
      <c r="B129" s="7" t="s">
        <v>690</v>
      </c>
      <c r="C129" s="7" t="s">
        <v>410</v>
      </c>
      <c r="D129" s="159">
        <v>44741</v>
      </c>
      <c r="E129" s="249" t="s">
        <v>858</v>
      </c>
      <c r="F129" s="7" t="s">
        <v>59</v>
      </c>
      <c r="G129" s="219">
        <v>15.84</v>
      </c>
      <c r="H129" s="162">
        <f>IF(F129=0,0,IF(F129="MXN",1/HLOOKUP(YEAR(D129)+(MONTH(D129)/100),TC!$5:$437,DAY(D129)+2,FALSE),VLOOKUP(F129,Equivalencia!$1:$23,((MAX(Equivalencia!$3:$3)-YEAR(D129))*14)+MONTH(D129)+2,FALSE)))</f>
        <v>1</v>
      </c>
      <c r="I129" s="163">
        <f t="shared" si="6"/>
        <v>15.84</v>
      </c>
      <c r="J129" s="162">
        <f>IF(D129=0,0,HLOOKUP(YEAR(D129)+(MONTH(D129)/100),TC!$5:$37,DAY(D129)+2,FALSE))</f>
        <v>19.8797</v>
      </c>
      <c r="K129" s="219">
        <f t="shared" si="7"/>
        <v>314.89444800000001</v>
      </c>
    </row>
    <row r="130" spans="2:11" s="134" customFormat="1" ht="23" hidden="1" customHeight="1">
      <c r="B130" s="7" t="s">
        <v>690</v>
      </c>
      <c r="C130" s="7" t="s">
        <v>410</v>
      </c>
      <c r="D130" s="159">
        <v>44741</v>
      </c>
      <c r="E130" s="249" t="s">
        <v>782</v>
      </c>
      <c r="F130" s="7" t="s">
        <v>59</v>
      </c>
      <c r="G130" s="219">
        <v>275.52</v>
      </c>
      <c r="H130" s="162">
        <f>IF(F130=0,0,IF(F130="MXN",1/HLOOKUP(YEAR(D130)+(MONTH(D130)/100),TC!$5:$437,DAY(D130)+2,FALSE),VLOOKUP(F130,Equivalencia!$1:$23,((MAX(Equivalencia!$3:$3)-YEAR(D130))*14)+MONTH(D130)+2,FALSE)))</f>
        <v>1</v>
      </c>
      <c r="I130" s="163">
        <f t="shared" si="6"/>
        <v>275.52</v>
      </c>
      <c r="J130" s="162">
        <f>IF(D130=0,0,HLOOKUP(YEAR(D130)+(MONTH(D130)/100),TC!$5:$37,DAY(D130)+2,FALSE))</f>
        <v>19.8797</v>
      </c>
      <c r="K130" s="219">
        <f t="shared" si="7"/>
        <v>5477.2549439999993</v>
      </c>
    </row>
    <row r="131" spans="2:11" s="134" customFormat="1" ht="23" hidden="1" customHeight="1">
      <c r="B131" s="7" t="s">
        <v>690</v>
      </c>
      <c r="C131" s="7" t="s">
        <v>410</v>
      </c>
      <c r="D131" s="159">
        <v>44741</v>
      </c>
      <c r="E131" s="249" t="s">
        <v>859</v>
      </c>
      <c r="F131" s="7" t="s">
        <v>59</v>
      </c>
      <c r="G131" s="219">
        <v>118.2</v>
      </c>
      <c r="H131" s="162">
        <f>IF(F131=0,0,IF(F131="MXN",1/HLOOKUP(YEAR(D131)+(MONTH(D131)/100),TC!$5:$437,DAY(D131)+2,FALSE),VLOOKUP(F131,Equivalencia!$1:$23,((MAX(Equivalencia!$3:$3)-YEAR(D131))*14)+MONTH(D131)+2,FALSE)))</f>
        <v>1</v>
      </c>
      <c r="I131" s="163">
        <f t="shared" si="6"/>
        <v>118.2</v>
      </c>
      <c r="J131" s="162">
        <f>IF(D131=0,0,HLOOKUP(YEAR(D131)+(MONTH(D131)/100),TC!$5:$37,DAY(D131)+2,FALSE))</f>
        <v>19.8797</v>
      </c>
      <c r="K131" s="219">
        <f t="shared" si="7"/>
        <v>2349.7805400000002</v>
      </c>
    </row>
    <row r="132" spans="2:11" s="134" customFormat="1" ht="23" hidden="1" customHeight="1">
      <c r="B132" s="7" t="s">
        <v>690</v>
      </c>
      <c r="C132" s="7" t="s">
        <v>410</v>
      </c>
      <c r="D132" s="159">
        <v>44741</v>
      </c>
      <c r="E132" s="249" t="s">
        <v>860</v>
      </c>
      <c r="F132" s="7" t="s">
        <v>59</v>
      </c>
      <c r="G132" s="219">
        <v>8.06</v>
      </c>
      <c r="H132" s="162">
        <f>IF(F132=0,0,IF(F132="MXN",1/HLOOKUP(YEAR(D132)+(MONTH(D132)/100),TC!$5:$437,DAY(D132)+2,FALSE),VLOOKUP(F132,Equivalencia!$1:$23,((MAX(Equivalencia!$3:$3)-YEAR(D132))*14)+MONTH(D132)+2,FALSE)))</f>
        <v>1</v>
      </c>
      <c r="I132" s="163">
        <f t="shared" si="6"/>
        <v>8.06</v>
      </c>
      <c r="J132" s="162">
        <f>IF(D132=0,0,HLOOKUP(YEAR(D132)+(MONTH(D132)/100),TC!$5:$37,DAY(D132)+2,FALSE))</f>
        <v>19.8797</v>
      </c>
      <c r="K132" s="219">
        <f t="shared" si="7"/>
        <v>160.23038200000002</v>
      </c>
    </row>
    <row r="133" spans="2:11" s="134" customFormat="1" ht="23" hidden="1" customHeight="1">
      <c r="B133" s="7" t="s">
        <v>690</v>
      </c>
      <c r="C133" s="7" t="s">
        <v>410</v>
      </c>
      <c r="D133" s="159">
        <v>44741</v>
      </c>
      <c r="E133" s="249" t="s">
        <v>784</v>
      </c>
      <c r="F133" s="7" t="s">
        <v>59</v>
      </c>
      <c r="G133" s="219">
        <v>64.52</v>
      </c>
      <c r="H133" s="162">
        <f>IF(F133=0,0,IF(F133="MXN",1/HLOOKUP(YEAR(D133)+(MONTH(D133)/100),TC!$5:$437,DAY(D133)+2,FALSE),VLOOKUP(F133,Equivalencia!$1:$23,((MAX(Equivalencia!$3:$3)-YEAR(D133))*14)+MONTH(D133)+2,FALSE)))</f>
        <v>1</v>
      </c>
      <c r="I133" s="163">
        <f t="shared" si="6"/>
        <v>64.52</v>
      </c>
      <c r="J133" s="162">
        <f>IF(D133=0,0,HLOOKUP(YEAR(D133)+(MONTH(D133)/100),TC!$5:$37,DAY(D133)+2,FALSE))</f>
        <v>19.8797</v>
      </c>
      <c r="K133" s="219">
        <f t="shared" si="7"/>
        <v>1282.638244</v>
      </c>
    </row>
    <row r="134" spans="2:11" s="134" customFormat="1" ht="23" hidden="1" customHeight="1">
      <c r="B134" s="7" t="s">
        <v>690</v>
      </c>
      <c r="C134" s="7" t="s">
        <v>410</v>
      </c>
      <c r="D134" s="159">
        <v>44741</v>
      </c>
      <c r="E134" s="249" t="s">
        <v>785</v>
      </c>
      <c r="F134" s="7" t="s">
        <v>59</v>
      </c>
      <c r="G134" s="219">
        <v>144.1</v>
      </c>
      <c r="H134" s="162">
        <f>IF(F134=0,0,IF(F134="MXN",1/HLOOKUP(YEAR(D134)+(MONTH(D134)/100),TC!$5:$437,DAY(D134)+2,FALSE),VLOOKUP(F134,Equivalencia!$1:$23,((MAX(Equivalencia!$3:$3)-YEAR(D134))*14)+MONTH(D134)+2,FALSE)))</f>
        <v>1</v>
      </c>
      <c r="I134" s="163">
        <f t="shared" si="6"/>
        <v>144.1</v>
      </c>
      <c r="J134" s="162">
        <f>IF(D134=0,0,HLOOKUP(YEAR(D134)+(MONTH(D134)/100),TC!$5:$37,DAY(D134)+2,FALSE))</f>
        <v>19.8797</v>
      </c>
      <c r="K134" s="219">
        <f t="shared" si="7"/>
        <v>2864.6647699999999</v>
      </c>
    </row>
    <row r="135" spans="2:11" s="134" customFormat="1" ht="23" hidden="1" customHeight="1">
      <c r="B135" s="7" t="s">
        <v>690</v>
      </c>
      <c r="C135" s="7" t="s">
        <v>410</v>
      </c>
      <c r="D135" s="159">
        <v>44741</v>
      </c>
      <c r="E135" s="249" t="s">
        <v>837</v>
      </c>
      <c r="F135" s="7" t="s">
        <v>59</v>
      </c>
      <c r="G135" s="219">
        <v>87.61</v>
      </c>
      <c r="H135" s="162">
        <f>IF(F135=0,0,IF(F135="MXN",1/HLOOKUP(YEAR(D135)+(MONTH(D135)/100),TC!$5:$437,DAY(D135)+2,FALSE),VLOOKUP(F135,Equivalencia!$1:$23,((MAX(Equivalencia!$3:$3)-YEAR(D135))*14)+MONTH(D135)+2,FALSE)))</f>
        <v>1</v>
      </c>
      <c r="I135" s="163">
        <f t="shared" si="6"/>
        <v>87.61</v>
      </c>
      <c r="J135" s="162">
        <f>IF(D135=0,0,HLOOKUP(YEAR(D135)+(MONTH(D135)/100),TC!$5:$37,DAY(D135)+2,FALSE))</f>
        <v>19.8797</v>
      </c>
      <c r="K135" s="219">
        <f t="shared" si="7"/>
        <v>1741.660517</v>
      </c>
    </row>
    <row r="136" spans="2:11" s="134" customFormat="1" ht="23" hidden="1" customHeight="1">
      <c r="B136" s="7" t="s">
        <v>690</v>
      </c>
      <c r="C136" s="7" t="s">
        <v>410</v>
      </c>
      <c r="D136" s="159">
        <v>44741</v>
      </c>
      <c r="E136" s="249" t="s">
        <v>787</v>
      </c>
      <c r="F136" s="7" t="s">
        <v>59</v>
      </c>
      <c r="G136" s="219">
        <v>164.97</v>
      </c>
      <c r="H136" s="162">
        <f>IF(F136=0,0,IF(F136="MXN",1/HLOOKUP(YEAR(D136)+(MONTH(D136)/100),TC!$5:$437,DAY(D136)+2,FALSE),VLOOKUP(F136,Equivalencia!$1:$23,((MAX(Equivalencia!$3:$3)-YEAR(D136))*14)+MONTH(D136)+2,FALSE)))</f>
        <v>1</v>
      </c>
      <c r="I136" s="163">
        <f t="shared" si="6"/>
        <v>164.97</v>
      </c>
      <c r="J136" s="162">
        <f>IF(D136=0,0,HLOOKUP(YEAR(D136)+(MONTH(D136)/100),TC!$5:$37,DAY(D136)+2,FALSE))</f>
        <v>19.8797</v>
      </c>
      <c r="K136" s="219">
        <f t="shared" si="7"/>
        <v>3279.5541090000002</v>
      </c>
    </row>
    <row r="137" spans="2:11" s="134" customFormat="1" ht="23" hidden="1" customHeight="1">
      <c r="B137" s="7" t="s">
        <v>690</v>
      </c>
      <c r="C137" s="7" t="s">
        <v>410</v>
      </c>
      <c r="D137" s="159">
        <v>44743</v>
      </c>
      <c r="E137" s="249" t="s">
        <v>924</v>
      </c>
      <c r="F137" s="7" t="s">
        <v>59</v>
      </c>
      <c r="G137" s="219">
        <v>22.64</v>
      </c>
      <c r="H137" s="162">
        <f>IF(F137=0,0,IF(F137="MXN",1/HLOOKUP(YEAR(D137)+(MONTH(D137)/100),TC!$5:$437,DAY(D137)+2,FALSE),VLOOKUP(F137,Equivalencia!$1:$23,((MAX(Equivalencia!$3:$3)-YEAR(D137))*14)+MONTH(D137)+2,FALSE)))</f>
        <v>1</v>
      </c>
      <c r="I137" s="163">
        <f t="shared" ref="I137:I175" si="8">+H137*G137</f>
        <v>22.64</v>
      </c>
      <c r="J137" s="162">
        <f>IF(D137=0,0,HLOOKUP(YEAR(D137)+(MONTH(D137)/100),TC!$5:$37,DAY(D137)+2,FALSE))</f>
        <v>20.144300000000001</v>
      </c>
      <c r="K137" s="219">
        <f t="shared" ref="K137:K175" si="9">IF(F137="MXN",G137,H137*G137*J137)</f>
        <v>456.06695200000001</v>
      </c>
    </row>
    <row r="138" spans="2:11" s="134" customFormat="1" ht="23" hidden="1" customHeight="1">
      <c r="B138" s="7" t="s">
        <v>690</v>
      </c>
      <c r="C138" s="7" t="s">
        <v>410</v>
      </c>
      <c r="D138" s="159">
        <v>44743</v>
      </c>
      <c r="E138" s="249" t="s">
        <v>721</v>
      </c>
      <c r="F138" s="7" t="s">
        <v>59</v>
      </c>
      <c r="G138" s="219">
        <v>68.349999999999994</v>
      </c>
      <c r="H138" s="162">
        <f>IF(F138=0,0,IF(F138="MXN",1/HLOOKUP(YEAR(D138)+(MONTH(D138)/100),TC!$5:$437,DAY(D138)+2,FALSE),VLOOKUP(F138,Equivalencia!$1:$23,((MAX(Equivalencia!$3:$3)-YEAR(D138))*14)+MONTH(D138)+2,FALSE)))</f>
        <v>1</v>
      </c>
      <c r="I138" s="163">
        <f t="shared" si="8"/>
        <v>68.349999999999994</v>
      </c>
      <c r="J138" s="162">
        <f>IF(D138=0,0,HLOOKUP(YEAR(D138)+(MONTH(D138)/100),TC!$5:$37,DAY(D138)+2,FALSE))</f>
        <v>20.144300000000001</v>
      </c>
      <c r="K138" s="219">
        <f t="shared" si="9"/>
        <v>1376.862905</v>
      </c>
    </row>
    <row r="139" spans="2:11" s="134" customFormat="1" ht="23" hidden="1" customHeight="1">
      <c r="B139" s="7" t="s">
        <v>690</v>
      </c>
      <c r="C139" s="7" t="s">
        <v>410</v>
      </c>
      <c r="D139" s="159">
        <v>44747</v>
      </c>
      <c r="E139" s="249" t="s">
        <v>925</v>
      </c>
      <c r="F139" s="7" t="s">
        <v>59</v>
      </c>
      <c r="G139" s="219">
        <v>19.54</v>
      </c>
      <c r="H139" s="162">
        <f>IF(F139=0,0,IF(F139="MXN",1/HLOOKUP(YEAR(D139)+(MONTH(D139)/100),TC!$5:$437,DAY(D139)+2,FALSE),VLOOKUP(F139,Equivalencia!$1:$23,((MAX(Equivalencia!$3:$3)-YEAR(D139))*14)+MONTH(D139)+2,FALSE)))</f>
        <v>1</v>
      </c>
      <c r="I139" s="163">
        <f t="shared" si="8"/>
        <v>19.54</v>
      </c>
      <c r="J139" s="162">
        <f>IF(D139=0,0,HLOOKUP(YEAR(D139)+(MONTH(D139)/100),TC!$5:$37,DAY(D139)+2,FALSE))</f>
        <v>20.381699999999999</v>
      </c>
      <c r="K139" s="219">
        <f t="shared" si="9"/>
        <v>398.25841799999995</v>
      </c>
    </row>
    <row r="140" spans="2:11" s="134" customFormat="1" ht="23" hidden="1" customHeight="1">
      <c r="B140" s="7" t="s">
        <v>690</v>
      </c>
      <c r="C140" s="7" t="s">
        <v>410</v>
      </c>
      <c r="D140" s="159">
        <v>44747</v>
      </c>
      <c r="E140" s="249" t="s">
        <v>926</v>
      </c>
      <c r="F140" s="7" t="s">
        <v>59</v>
      </c>
      <c r="G140" s="219">
        <v>13.14</v>
      </c>
      <c r="H140" s="162">
        <f>IF(F140=0,0,IF(F140="MXN",1/HLOOKUP(YEAR(D140)+(MONTH(D140)/100),TC!$5:$437,DAY(D140)+2,FALSE),VLOOKUP(F140,Equivalencia!$1:$23,((MAX(Equivalencia!$3:$3)-YEAR(D140))*14)+MONTH(D140)+2,FALSE)))</f>
        <v>1</v>
      </c>
      <c r="I140" s="163">
        <f t="shared" si="8"/>
        <v>13.14</v>
      </c>
      <c r="J140" s="162">
        <f>IF(D140=0,0,HLOOKUP(YEAR(D140)+(MONTH(D140)/100),TC!$5:$37,DAY(D140)+2,FALSE))</f>
        <v>20.381699999999999</v>
      </c>
      <c r="K140" s="219">
        <f t="shared" si="9"/>
        <v>267.815538</v>
      </c>
    </row>
    <row r="141" spans="2:11" s="134" customFormat="1" ht="23" hidden="1" customHeight="1">
      <c r="B141" s="7" t="s">
        <v>690</v>
      </c>
      <c r="C141" s="7" t="s">
        <v>410</v>
      </c>
      <c r="D141" s="159">
        <v>44748</v>
      </c>
      <c r="E141" s="249" t="s">
        <v>927</v>
      </c>
      <c r="F141" s="7" t="s">
        <v>59</v>
      </c>
      <c r="G141" s="219">
        <v>25.13</v>
      </c>
      <c r="H141" s="162">
        <f>IF(F141=0,0,IF(F141="MXN",1/HLOOKUP(YEAR(D141)+(MONTH(D141)/100),TC!$5:$437,DAY(D141)+2,FALSE),VLOOKUP(F141,Equivalencia!$1:$23,((MAX(Equivalencia!$3:$3)-YEAR(D141))*14)+MONTH(D141)+2,FALSE)))</f>
        <v>1</v>
      </c>
      <c r="I141" s="163">
        <f t="shared" si="8"/>
        <v>25.13</v>
      </c>
      <c r="J141" s="162">
        <f>IF(D141=0,0,HLOOKUP(YEAR(D141)+(MONTH(D141)/100),TC!$5:$37,DAY(D141)+2,FALSE))</f>
        <v>20.287700000000001</v>
      </c>
      <c r="K141" s="219">
        <f t="shared" si="9"/>
        <v>509.82990100000001</v>
      </c>
    </row>
    <row r="142" spans="2:11" s="134" customFormat="1" ht="23" hidden="1" customHeight="1">
      <c r="B142" s="7" t="s">
        <v>690</v>
      </c>
      <c r="C142" s="7" t="s">
        <v>410</v>
      </c>
      <c r="D142" s="159">
        <v>44749</v>
      </c>
      <c r="E142" s="249" t="s">
        <v>928</v>
      </c>
      <c r="F142" s="7" t="s">
        <v>59</v>
      </c>
      <c r="G142" s="219">
        <v>2.15</v>
      </c>
      <c r="H142" s="162">
        <f>IF(F142=0,0,IF(F142="MXN",1/HLOOKUP(YEAR(D142)+(MONTH(D142)/100),TC!$5:$437,DAY(D142)+2,FALSE),VLOOKUP(F142,Equivalencia!$1:$23,((MAX(Equivalencia!$3:$3)-YEAR(D142))*14)+MONTH(D142)+2,FALSE)))</f>
        <v>1</v>
      </c>
      <c r="I142" s="163">
        <f t="shared" si="8"/>
        <v>2.15</v>
      </c>
      <c r="J142" s="162">
        <f>IF(D142=0,0,HLOOKUP(YEAR(D142)+(MONTH(D142)/100),TC!$5:$37,DAY(D142)+2,FALSE))</f>
        <v>20.559799999999999</v>
      </c>
      <c r="K142" s="219">
        <f t="shared" si="9"/>
        <v>44.203569999999999</v>
      </c>
    </row>
    <row r="143" spans="2:11" s="134" customFormat="1" ht="23" hidden="1" customHeight="1">
      <c r="B143" s="7" t="s">
        <v>690</v>
      </c>
      <c r="C143" s="7" t="s">
        <v>410</v>
      </c>
      <c r="D143" s="159">
        <v>44749</v>
      </c>
      <c r="E143" s="249" t="s">
        <v>929</v>
      </c>
      <c r="F143" s="7" t="s">
        <v>59</v>
      </c>
      <c r="G143" s="219">
        <v>5.6</v>
      </c>
      <c r="H143" s="162">
        <f>IF(F143=0,0,IF(F143="MXN",1/HLOOKUP(YEAR(D143)+(MONTH(D143)/100),TC!$5:$437,DAY(D143)+2,FALSE),VLOOKUP(F143,Equivalencia!$1:$23,((MAX(Equivalencia!$3:$3)-YEAR(D143))*14)+MONTH(D143)+2,FALSE)))</f>
        <v>1</v>
      </c>
      <c r="I143" s="163">
        <f t="shared" si="8"/>
        <v>5.6</v>
      </c>
      <c r="J143" s="162">
        <f>IF(D143=0,0,HLOOKUP(YEAR(D143)+(MONTH(D143)/100),TC!$5:$37,DAY(D143)+2,FALSE))</f>
        <v>20.559799999999999</v>
      </c>
      <c r="K143" s="219">
        <f t="shared" si="9"/>
        <v>115.13487999999998</v>
      </c>
    </row>
    <row r="144" spans="2:11" s="134" customFormat="1" ht="23" hidden="1" customHeight="1">
      <c r="B144" s="7" t="s">
        <v>690</v>
      </c>
      <c r="C144" s="7" t="s">
        <v>410</v>
      </c>
      <c r="D144" s="159">
        <v>44750</v>
      </c>
      <c r="E144" s="249" t="s">
        <v>736</v>
      </c>
      <c r="F144" s="7" t="s">
        <v>59</v>
      </c>
      <c r="G144" s="219">
        <v>169.03</v>
      </c>
      <c r="H144" s="162">
        <f>IF(F144=0,0,IF(F144="MXN",1/HLOOKUP(YEAR(D144)+(MONTH(D144)/100),TC!$5:$437,DAY(D144)+2,FALSE),VLOOKUP(F144,Equivalencia!$1:$23,((MAX(Equivalencia!$3:$3)-YEAR(D144))*14)+MONTH(D144)+2,FALSE)))</f>
        <v>1</v>
      </c>
      <c r="I144" s="163">
        <f t="shared" si="8"/>
        <v>169.03</v>
      </c>
      <c r="J144" s="162">
        <f>IF(D144=0,0,HLOOKUP(YEAR(D144)+(MONTH(D144)/100),TC!$5:$37,DAY(D144)+2,FALSE))</f>
        <v>20.722799999999999</v>
      </c>
      <c r="K144" s="219">
        <f t="shared" si="9"/>
        <v>3502.7748839999999</v>
      </c>
    </row>
    <row r="145" spans="2:11" s="134" customFormat="1" ht="23" hidden="1" customHeight="1">
      <c r="B145" s="7" t="s">
        <v>690</v>
      </c>
      <c r="C145" s="7" t="s">
        <v>410</v>
      </c>
      <c r="D145" s="159">
        <v>44750</v>
      </c>
      <c r="E145" s="249" t="s">
        <v>930</v>
      </c>
      <c r="F145" s="7" t="s">
        <v>59</v>
      </c>
      <c r="G145" s="219">
        <v>17.78</v>
      </c>
      <c r="H145" s="162">
        <f>IF(F145=0,0,IF(F145="MXN",1/HLOOKUP(YEAR(D145)+(MONTH(D145)/100),TC!$5:$437,DAY(D145)+2,FALSE),VLOOKUP(F145,Equivalencia!$1:$23,((MAX(Equivalencia!$3:$3)-YEAR(D145))*14)+MONTH(D145)+2,FALSE)))</f>
        <v>1</v>
      </c>
      <c r="I145" s="163">
        <f t="shared" si="8"/>
        <v>17.78</v>
      </c>
      <c r="J145" s="162">
        <f>IF(D145=0,0,HLOOKUP(YEAR(D145)+(MONTH(D145)/100),TC!$5:$37,DAY(D145)+2,FALSE))</f>
        <v>20.722799999999999</v>
      </c>
      <c r="K145" s="219">
        <f t="shared" si="9"/>
        <v>368.45138400000002</v>
      </c>
    </row>
    <row r="146" spans="2:11" s="134" customFormat="1" ht="23" hidden="1" customHeight="1">
      <c r="B146" s="7" t="s">
        <v>690</v>
      </c>
      <c r="C146" s="7" t="s">
        <v>410</v>
      </c>
      <c r="D146" s="159">
        <v>44753</v>
      </c>
      <c r="E146" s="249" t="s">
        <v>931</v>
      </c>
      <c r="F146" s="7" t="s">
        <v>59</v>
      </c>
      <c r="G146" s="219">
        <v>134.19</v>
      </c>
      <c r="H146" s="162">
        <f>IF(F146=0,0,IF(F146="MXN",1/HLOOKUP(YEAR(D146)+(MONTH(D146)/100),TC!$5:$437,DAY(D146)+2,FALSE),VLOOKUP(F146,Equivalencia!$1:$23,((MAX(Equivalencia!$3:$3)-YEAR(D146))*14)+MONTH(D146)+2,FALSE)))</f>
        <v>1</v>
      </c>
      <c r="I146" s="163">
        <f t="shared" si="8"/>
        <v>134.19</v>
      </c>
      <c r="J146" s="162">
        <f>IF(D146=0,0,HLOOKUP(YEAR(D146)+(MONTH(D146)/100),TC!$5:$37,DAY(D146)+2,FALSE))</f>
        <v>20.6022</v>
      </c>
      <c r="K146" s="219">
        <f t="shared" si="9"/>
        <v>2764.6092180000001</v>
      </c>
    </row>
    <row r="147" spans="2:11" s="134" customFormat="1" ht="23" hidden="1" customHeight="1">
      <c r="B147" s="7" t="s">
        <v>690</v>
      </c>
      <c r="C147" s="7" t="s">
        <v>410</v>
      </c>
      <c r="D147" s="159">
        <v>44757</v>
      </c>
      <c r="E147" s="249" t="s">
        <v>932</v>
      </c>
      <c r="F147" s="7" t="s">
        <v>59</v>
      </c>
      <c r="G147" s="219">
        <v>36.44</v>
      </c>
      <c r="H147" s="162">
        <f>IF(F147=0,0,IF(F147="MXN",1/HLOOKUP(YEAR(D147)+(MONTH(D147)/100),TC!$5:$437,DAY(D147)+2,FALSE),VLOOKUP(F147,Equivalencia!$1:$23,((MAX(Equivalencia!$3:$3)-YEAR(D147))*14)+MONTH(D147)+2,FALSE)))</f>
        <v>1</v>
      </c>
      <c r="I147" s="163">
        <f t="shared" si="8"/>
        <v>36.44</v>
      </c>
      <c r="J147" s="162">
        <f>IF(D147=0,0,HLOOKUP(YEAR(D147)+(MONTH(D147)/100),TC!$5:$37,DAY(D147)+2,FALSE))</f>
        <v>20.761299999999999</v>
      </c>
      <c r="K147" s="219">
        <f t="shared" si="9"/>
        <v>756.54177199999992</v>
      </c>
    </row>
    <row r="148" spans="2:11" s="134" customFormat="1" ht="23" hidden="1" customHeight="1">
      <c r="B148" s="7" t="s">
        <v>690</v>
      </c>
      <c r="C148" s="7" t="s">
        <v>410</v>
      </c>
      <c r="D148" s="159">
        <v>44757</v>
      </c>
      <c r="E148" s="249" t="s">
        <v>738</v>
      </c>
      <c r="F148" s="7" t="s">
        <v>59</v>
      </c>
      <c r="G148" s="219">
        <v>315.42</v>
      </c>
      <c r="H148" s="162">
        <f>IF(F148=0,0,IF(F148="MXN",1/HLOOKUP(YEAR(D148)+(MONTH(D148)/100),TC!$5:$437,DAY(D148)+2,FALSE),VLOOKUP(F148,Equivalencia!$1:$23,((MAX(Equivalencia!$3:$3)-YEAR(D148))*14)+MONTH(D148)+2,FALSE)))</f>
        <v>1</v>
      </c>
      <c r="I148" s="163">
        <f t="shared" si="8"/>
        <v>315.42</v>
      </c>
      <c r="J148" s="162">
        <f>IF(D148=0,0,HLOOKUP(YEAR(D148)+(MONTH(D148)/100),TC!$5:$37,DAY(D148)+2,FALSE))</f>
        <v>20.761299999999999</v>
      </c>
      <c r="K148" s="219">
        <f t="shared" si="9"/>
        <v>6548.5292460000001</v>
      </c>
    </row>
    <row r="149" spans="2:11" s="134" customFormat="1" ht="23" hidden="1" customHeight="1">
      <c r="B149" s="7" t="s">
        <v>690</v>
      </c>
      <c r="C149" s="7" t="s">
        <v>410</v>
      </c>
      <c r="D149" s="159">
        <v>44757</v>
      </c>
      <c r="E149" s="249" t="s">
        <v>933</v>
      </c>
      <c r="F149" s="7" t="s">
        <v>59</v>
      </c>
      <c r="G149" s="219">
        <v>12.25</v>
      </c>
      <c r="H149" s="162">
        <f>IF(F149=0,0,IF(F149="MXN",1/HLOOKUP(YEAR(D149)+(MONTH(D149)/100),TC!$5:$437,DAY(D149)+2,FALSE),VLOOKUP(F149,Equivalencia!$1:$23,((MAX(Equivalencia!$3:$3)-YEAR(D149))*14)+MONTH(D149)+2,FALSE)))</f>
        <v>1</v>
      </c>
      <c r="I149" s="163">
        <f t="shared" si="8"/>
        <v>12.25</v>
      </c>
      <c r="J149" s="162">
        <f>IF(D149=0,0,HLOOKUP(YEAR(D149)+(MONTH(D149)/100),TC!$5:$37,DAY(D149)+2,FALSE))</f>
        <v>20.761299999999999</v>
      </c>
      <c r="K149" s="219">
        <f t="shared" si="9"/>
        <v>254.32592499999998</v>
      </c>
    </row>
    <row r="150" spans="2:11" s="134" customFormat="1" ht="23" hidden="1" customHeight="1">
      <c r="B150" s="7" t="s">
        <v>690</v>
      </c>
      <c r="C150" s="7" t="s">
        <v>410</v>
      </c>
      <c r="D150" s="159">
        <v>44757</v>
      </c>
      <c r="E150" s="249" t="s">
        <v>739</v>
      </c>
      <c r="F150" s="7" t="s">
        <v>59</v>
      </c>
      <c r="G150" s="219">
        <v>141.78</v>
      </c>
      <c r="H150" s="162">
        <f>IF(F150=0,0,IF(F150="MXN",1/HLOOKUP(YEAR(D150)+(MONTH(D150)/100),TC!$5:$437,DAY(D150)+2,FALSE),VLOOKUP(F150,Equivalencia!$1:$23,((MAX(Equivalencia!$3:$3)-YEAR(D150))*14)+MONTH(D150)+2,FALSE)))</f>
        <v>1</v>
      </c>
      <c r="I150" s="163">
        <f t="shared" si="8"/>
        <v>141.78</v>
      </c>
      <c r="J150" s="162">
        <f>IF(D150=0,0,HLOOKUP(YEAR(D150)+(MONTH(D150)/100),TC!$5:$37,DAY(D150)+2,FALSE))</f>
        <v>20.761299999999999</v>
      </c>
      <c r="K150" s="219">
        <f t="shared" si="9"/>
        <v>2943.5371139999997</v>
      </c>
    </row>
    <row r="151" spans="2:11" s="134" customFormat="1" ht="23" hidden="1" customHeight="1">
      <c r="B151" s="7" t="s">
        <v>690</v>
      </c>
      <c r="C151" s="7" t="s">
        <v>410</v>
      </c>
      <c r="D151" s="159">
        <v>44757</v>
      </c>
      <c r="E151" s="249" t="s">
        <v>711</v>
      </c>
      <c r="F151" s="7" t="s">
        <v>59</v>
      </c>
      <c r="G151" s="219">
        <v>1.8</v>
      </c>
      <c r="H151" s="162">
        <f>IF(F151=0,0,IF(F151="MXN",1/HLOOKUP(YEAR(D151)+(MONTH(D151)/100),TC!$5:$437,DAY(D151)+2,FALSE),VLOOKUP(F151,Equivalencia!$1:$23,((MAX(Equivalencia!$3:$3)-YEAR(D151))*14)+MONTH(D151)+2,FALSE)))</f>
        <v>1</v>
      </c>
      <c r="I151" s="163">
        <f t="shared" si="8"/>
        <v>1.8</v>
      </c>
      <c r="J151" s="162">
        <f>IF(D151=0,0,HLOOKUP(YEAR(D151)+(MONTH(D151)/100),TC!$5:$37,DAY(D151)+2,FALSE))</f>
        <v>20.761299999999999</v>
      </c>
      <c r="K151" s="219">
        <f t="shared" si="9"/>
        <v>37.370339999999999</v>
      </c>
    </row>
    <row r="152" spans="2:11" s="134" customFormat="1" ht="23" hidden="1" customHeight="1">
      <c r="B152" s="7" t="s">
        <v>690</v>
      </c>
      <c r="C152" s="7" t="s">
        <v>410</v>
      </c>
      <c r="D152" s="159">
        <v>44757</v>
      </c>
      <c r="E152" s="249" t="s">
        <v>740</v>
      </c>
      <c r="F152" s="7" t="s">
        <v>59</v>
      </c>
      <c r="G152" s="219">
        <v>9.5399999999999991</v>
      </c>
      <c r="H152" s="162">
        <f>IF(F152=0,0,IF(F152="MXN",1/HLOOKUP(YEAR(D152)+(MONTH(D152)/100),TC!$5:$437,DAY(D152)+2,FALSE),VLOOKUP(F152,Equivalencia!$1:$23,((MAX(Equivalencia!$3:$3)-YEAR(D152))*14)+MONTH(D152)+2,FALSE)))</f>
        <v>1</v>
      </c>
      <c r="I152" s="163">
        <f t="shared" si="8"/>
        <v>9.5399999999999991</v>
      </c>
      <c r="J152" s="162">
        <f>IF(D152=0,0,HLOOKUP(YEAR(D152)+(MONTH(D152)/100),TC!$5:$37,DAY(D152)+2,FALSE))</f>
        <v>20.761299999999999</v>
      </c>
      <c r="K152" s="219">
        <f t="shared" si="9"/>
        <v>198.06280199999998</v>
      </c>
    </row>
    <row r="153" spans="2:11" s="134" customFormat="1" ht="23" hidden="1" customHeight="1">
      <c r="B153" s="7" t="s">
        <v>690</v>
      </c>
      <c r="C153" s="7" t="s">
        <v>410</v>
      </c>
      <c r="D153" s="159">
        <v>44761</v>
      </c>
      <c r="E153" s="249" t="s">
        <v>741</v>
      </c>
      <c r="F153" s="7" t="s">
        <v>59</v>
      </c>
      <c r="G153" s="219">
        <v>44.39</v>
      </c>
      <c r="H153" s="162">
        <f>IF(F153=0,0,IF(F153="MXN",1/HLOOKUP(YEAR(D153)+(MONTH(D153)/100),TC!$5:$437,DAY(D153)+2,FALSE),VLOOKUP(F153,Equivalencia!$1:$23,((MAX(Equivalencia!$3:$3)-YEAR(D153))*14)+MONTH(D153)+2,FALSE)))</f>
        <v>1</v>
      </c>
      <c r="I153" s="163">
        <f t="shared" si="8"/>
        <v>44.39</v>
      </c>
      <c r="J153" s="162">
        <f>IF(D153=0,0,HLOOKUP(YEAR(D153)+(MONTH(D153)/100),TC!$5:$37,DAY(D153)+2,FALSE))</f>
        <v>20.611000000000001</v>
      </c>
      <c r="K153" s="219">
        <f t="shared" si="9"/>
        <v>914.92229000000009</v>
      </c>
    </row>
    <row r="154" spans="2:11" s="134" customFormat="1" ht="23" hidden="1" customHeight="1">
      <c r="B154" s="7" t="s">
        <v>690</v>
      </c>
      <c r="C154" s="7" t="s">
        <v>410</v>
      </c>
      <c r="D154" s="159">
        <v>44762</v>
      </c>
      <c r="E154" s="249" t="s">
        <v>934</v>
      </c>
      <c r="F154" s="7" t="s">
        <v>59</v>
      </c>
      <c r="G154" s="219">
        <v>39.200000000000003</v>
      </c>
      <c r="H154" s="162">
        <f>IF(F154=0,0,IF(F154="MXN",1/HLOOKUP(YEAR(D154)+(MONTH(D154)/100),TC!$5:$437,DAY(D154)+2,FALSE),VLOOKUP(F154,Equivalencia!$1:$23,((MAX(Equivalencia!$3:$3)-YEAR(D154))*14)+MONTH(D154)+2,FALSE)))</f>
        <v>1</v>
      </c>
      <c r="I154" s="163">
        <f t="shared" si="8"/>
        <v>39.200000000000003</v>
      </c>
      <c r="J154" s="162">
        <f>IF(D154=0,0,HLOOKUP(YEAR(D154)+(MONTH(D154)/100),TC!$5:$37,DAY(D154)+2,FALSE))</f>
        <v>20.395700000000001</v>
      </c>
      <c r="K154" s="219">
        <f t="shared" si="9"/>
        <v>799.51144000000011</v>
      </c>
    </row>
    <row r="155" spans="2:11" s="134" customFormat="1" ht="23" hidden="1" customHeight="1">
      <c r="B155" s="7" t="s">
        <v>690</v>
      </c>
      <c r="C155" s="7" t="s">
        <v>410</v>
      </c>
      <c r="D155" s="159">
        <v>44767</v>
      </c>
      <c r="E155" s="249" t="s">
        <v>745</v>
      </c>
      <c r="F155" s="7" t="s">
        <v>59</v>
      </c>
      <c r="G155" s="219">
        <v>171.99</v>
      </c>
      <c r="H155" s="162">
        <f>IF(F155=0,0,IF(F155="MXN",1/HLOOKUP(YEAR(D155)+(MONTH(D155)/100),TC!$5:$437,DAY(D155)+2,FALSE),VLOOKUP(F155,Equivalencia!$1:$23,((MAX(Equivalencia!$3:$3)-YEAR(D155))*14)+MONTH(D155)+2,FALSE)))</f>
        <v>1</v>
      </c>
      <c r="I155" s="163">
        <f t="shared" si="8"/>
        <v>171.99</v>
      </c>
      <c r="J155" s="162">
        <f>IF(D155=0,0,HLOOKUP(YEAR(D155)+(MONTH(D155)/100),TC!$5:$37,DAY(D155)+2,FALSE))</f>
        <v>20.656199999999998</v>
      </c>
      <c r="K155" s="219">
        <f t="shared" si="9"/>
        <v>3552.659838</v>
      </c>
    </row>
    <row r="156" spans="2:11" s="134" customFormat="1" ht="23" hidden="1" customHeight="1">
      <c r="B156" s="7" t="s">
        <v>690</v>
      </c>
      <c r="C156" s="7" t="s">
        <v>410</v>
      </c>
      <c r="D156" s="159">
        <v>44768</v>
      </c>
      <c r="E156" s="249" t="s">
        <v>935</v>
      </c>
      <c r="F156" s="7" t="s">
        <v>59</v>
      </c>
      <c r="G156" s="219">
        <v>27.07</v>
      </c>
      <c r="H156" s="162">
        <f>IF(F156=0,0,IF(F156="MXN",1/HLOOKUP(YEAR(D156)+(MONTH(D156)/100),TC!$5:$437,DAY(D156)+2,FALSE),VLOOKUP(F156,Equivalencia!$1:$23,((MAX(Equivalencia!$3:$3)-YEAR(D156))*14)+MONTH(D156)+2,FALSE)))</f>
        <v>1</v>
      </c>
      <c r="I156" s="163">
        <f t="shared" si="8"/>
        <v>27.07</v>
      </c>
      <c r="J156" s="162">
        <f>IF(D156=0,0,HLOOKUP(YEAR(D156)+(MONTH(D156)/100),TC!$5:$37,DAY(D156)+2,FALSE))</f>
        <v>20.515000000000001</v>
      </c>
      <c r="K156" s="219">
        <f t="shared" si="9"/>
        <v>555.34105</v>
      </c>
    </row>
    <row r="157" spans="2:11" s="134" customFormat="1" ht="23" hidden="1" customHeight="1">
      <c r="B157" s="7" t="s">
        <v>690</v>
      </c>
      <c r="C157" s="7" t="s">
        <v>410</v>
      </c>
      <c r="D157" s="159">
        <v>44769</v>
      </c>
      <c r="E157" s="249" t="s">
        <v>742</v>
      </c>
      <c r="F157" s="7" t="s">
        <v>59</v>
      </c>
      <c r="G157" s="219">
        <v>166.46</v>
      </c>
      <c r="H157" s="162">
        <f>IF(F157=0,0,IF(F157="MXN",1/HLOOKUP(YEAR(D157)+(MONTH(D157)/100),TC!$5:$437,DAY(D157)+2,FALSE),VLOOKUP(F157,Equivalencia!$1:$23,((MAX(Equivalencia!$3:$3)-YEAR(D157))*14)+MONTH(D157)+2,FALSE)))</f>
        <v>1</v>
      </c>
      <c r="I157" s="163">
        <f t="shared" si="8"/>
        <v>166.46</v>
      </c>
      <c r="J157" s="162">
        <f>IF(D157=0,0,HLOOKUP(YEAR(D157)+(MONTH(D157)/100),TC!$5:$37,DAY(D157)+2,FALSE))</f>
        <v>20.465199999999999</v>
      </c>
      <c r="K157" s="219">
        <f t="shared" si="9"/>
        <v>3406.6371920000001</v>
      </c>
    </row>
    <row r="158" spans="2:11" s="134" customFormat="1" ht="23" hidden="1" customHeight="1">
      <c r="B158" s="7" t="s">
        <v>690</v>
      </c>
      <c r="C158" s="7" t="s">
        <v>410</v>
      </c>
      <c r="D158" s="159">
        <v>44769</v>
      </c>
      <c r="E158" s="249" t="s">
        <v>743</v>
      </c>
      <c r="F158" s="7" t="s">
        <v>59</v>
      </c>
      <c r="G158" s="219">
        <v>246.01</v>
      </c>
      <c r="H158" s="162">
        <f>IF(F158=0,0,IF(F158="MXN",1/HLOOKUP(YEAR(D158)+(MONTH(D158)/100),TC!$5:$437,DAY(D158)+2,FALSE),VLOOKUP(F158,Equivalencia!$1:$23,((MAX(Equivalencia!$3:$3)-YEAR(D158))*14)+MONTH(D158)+2,FALSE)))</f>
        <v>1</v>
      </c>
      <c r="I158" s="163">
        <f t="shared" si="8"/>
        <v>246.01</v>
      </c>
      <c r="J158" s="162">
        <f>IF(D158=0,0,HLOOKUP(YEAR(D158)+(MONTH(D158)/100),TC!$5:$37,DAY(D158)+2,FALSE))</f>
        <v>20.465199999999999</v>
      </c>
      <c r="K158" s="219">
        <f t="shared" si="9"/>
        <v>5034.6438519999992</v>
      </c>
    </row>
    <row r="159" spans="2:11" s="134" customFormat="1" ht="23" hidden="1" customHeight="1">
      <c r="B159" s="7" t="s">
        <v>690</v>
      </c>
      <c r="C159" s="7" t="s">
        <v>410</v>
      </c>
      <c r="D159" s="159">
        <v>44770</v>
      </c>
      <c r="E159" s="249" t="s">
        <v>936</v>
      </c>
      <c r="F159" s="7" t="s">
        <v>59</v>
      </c>
      <c r="G159" s="219">
        <v>59.4</v>
      </c>
      <c r="H159" s="162">
        <f>IF(F159=0,0,IF(F159="MXN",1/HLOOKUP(YEAR(D159)+(MONTH(D159)/100),TC!$5:$437,DAY(D159)+2,FALSE),VLOOKUP(F159,Equivalencia!$1:$23,((MAX(Equivalencia!$3:$3)-YEAR(D159))*14)+MONTH(D159)+2,FALSE)))</f>
        <v>1</v>
      </c>
      <c r="I159" s="163">
        <f t="shared" si="8"/>
        <v>59.4</v>
      </c>
      <c r="J159" s="162">
        <f>IF(D159=0,0,HLOOKUP(YEAR(D159)+(MONTH(D159)/100),TC!$5:$37,DAY(D159)+2,FALSE))</f>
        <v>20.433</v>
      </c>
      <c r="K159" s="219">
        <f t="shared" si="9"/>
        <v>1213.7202</v>
      </c>
    </row>
    <row r="160" spans="2:11" s="134" customFormat="1" ht="23" hidden="1" customHeight="1">
      <c r="B160" s="7" t="s">
        <v>690</v>
      </c>
      <c r="C160" s="7" t="s">
        <v>410</v>
      </c>
      <c r="D160" s="159">
        <v>44770</v>
      </c>
      <c r="E160" s="249" t="s">
        <v>937</v>
      </c>
      <c r="F160" s="7" t="s">
        <v>59</v>
      </c>
      <c r="G160" s="219">
        <v>11.76</v>
      </c>
      <c r="H160" s="162">
        <f>IF(F160=0,0,IF(F160="MXN",1/HLOOKUP(YEAR(D160)+(MONTH(D160)/100),TC!$5:$437,DAY(D160)+2,FALSE),VLOOKUP(F160,Equivalencia!$1:$23,((MAX(Equivalencia!$3:$3)-YEAR(D160))*14)+MONTH(D160)+2,FALSE)))</f>
        <v>1</v>
      </c>
      <c r="I160" s="163">
        <f t="shared" si="8"/>
        <v>11.76</v>
      </c>
      <c r="J160" s="162">
        <f>IF(D160=0,0,HLOOKUP(YEAR(D160)+(MONTH(D160)/100),TC!$5:$37,DAY(D160)+2,FALSE))</f>
        <v>20.433</v>
      </c>
      <c r="K160" s="219">
        <f t="shared" si="9"/>
        <v>240.29208</v>
      </c>
    </row>
    <row r="161" spans="2:11" s="134" customFormat="1" ht="23" hidden="1" customHeight="1">
      <c r="B161" s="7" t="s">
        <v>690</v>
      </c>
      <c r="C161" s="7" t="s">
        <v>410</v>
      </c>
      <c r="D161" s="159">
        <v>44770</v>
      </c>
      <c r="E161" s="249" t="s">
        <v>744</v>
      </c>
      <c r="F161" s="7" t="s">
        <v>59</v>
      </c>
      <c r="G161" s="219">
        <v>21.9</v>
      </c>
      <c r="H161" s="162">
        <f>IF(F161=0,0,IF(F161="MXN",1/HLOOKUP(YEAR(D161)+(MONTH(D161)/100),TC!$5:$437,DAY(D161)+2,FALSE),VLOOKUP(F161,Equivalencia!$1:$23,((MAX(Equivalencia!$3:$3)-YEAR(D161))*14)+MONTH(D161)+2,FALSE)))</f>
        <v>1</v>
      </c>
      <c r="I161" s="163">
        <f t="shared" si="8"/>
        <v>21.9</v>
      </c>
      <c r="J161" s="162">
        <f>IF(D161=0,0,HLOOKUP(YEAR(D161)+(MONTH(D161)/100),TC!$5:$37,DAY(D161)+2,FALSE))</f>
        <v>20.433</v>
      </c>
      <c r="K161" s="219">
        <f t="shared" si="9"/>
        <v>447.48269999999997</v>
      </c>
    </row>
    <row r="162" spans="2:11" s="134" customFormat="1" ht="23" hidden="1" customHeight="1">
      <c r="B162" s="7" t="s">
        <v>690</v>
      </c>
      <c r="C162" s="7" t="s">
        <v>410</v>
      </c>
      <c r="D162" s="159">
        <v>44774</v>
      </c>
      <c r="E162" s="249" t="s">
        <v>960</v>
      </c>
      <c r="F162" s="7" t="s">
        <v>59</v>
      </c>
      <c r="G162" s="219">
        <v>46.2</v>
      </c>
      <c r="H162" s="162">
        <f>IF(F162=0,0,IF(F162="MXN",1/HLOOKUP(YEAR(D162)+(MONTH(D162)/100),TC!$5:$437,DAY(D162)+2,FALSE),VLOOKUP(F162,Equivalencia!$1:$23,((MAX(Equivalencia!$3:$3)-YEAR(D162))*14)+MONTH(D162)+2,FALSE)))</f>
        <v>1</v>
      </c>
      <c r="I162" s="163">
        <f t="shared" si="8"/>
        <v>46.2</v>
      </c>
      <c r="J162" s="162">
        <f>IF(D162=0,0,HLOOKUP(YEAR(D162)+(MONTH(D162)/100),TC!$5:$37,DAY(D162)+2,FALSE))</f>
        <v>20.377800000000001</v>
      </c>
      <c r="K162" s="219">
        <f t="shared" si="9"/>
        <v>941.45436000000007</v>
      </c>
    </row>
    <row r="163" spans="2:11" s="134" customFormat="1" ht="23" hidden="1" customHeight="1">
      <c r="B163" s="7" t="s">
        <v>690</v>
      </c>
      <c r="C163" s="7" t="s">
        <v>410</v>
      </c>
      <c r="D163" s="159">
        <v>44774</v>
      </c>
      <c r="E163" s="249" t="s">
        <v>747</v>
      </c>
      <c r="F163" s="7" t="s">
        <v>59</v>
      </c>
      <c r="G163" s="219">
        <v>213.02</v>
      </c>
      <c r="H163" s="162">
        <f>IF(F163=0,0,IF(F163="MXN",1/HLOOKUP(YEAR(D163)+(MONTH(D163)/100),TC!$5:$437,DAY(D163)+2,FALSE),VLOOKUP(F163,Equivalencia!$1:$23,((MAX(Equivalencia!$3:$3)-YEAR(D163))*14)+MONTH(D163)+2,FALSE)))</f>
        <v>1</v>
      </c>
      <c r="I163" s="163">
        <f t="shared" si="8"/>
        <v>213.02</v>
      </c>
      <c r="J163" s="162">
        <f>IF(D163=0,0,HLOOKUP(YEAR(D163)+(MONTH(D163)/100),TC!$5:$37,DAY(D163)+2,FALSE))</f>
        <v>20.377800000000001</v>
      </c>
      <c r="K163" s="219">
        <f t="shared" si="9"/>
        <v>4340.8789560000005</v>
      </c>
    </row>
    <row r="164" spans="2:11" s="134" customFormat="1" ht="23" hidden="1" customHeight="1">
      <c r="B164" s="7" t="s">
        <v>690</v>
      </c>
      <c r="C164" s="7" t="s">
        <v>410</v>
      </c>
      <c r="D164" s="159">
        <v>44774</v>
      </c>
      <c r="E164" s="249" t="s">
        <v>788</v>
      </c>
      <c r="F164" s="7" t="s">
        <v>59</v>
      </c>
      <c r="G164" s="219">
        <v>225.3</v>
      </c>
      <c r="H164" s="162">
        <f>IF(F164=0,0,IF(F164="MXN",1/HLOOKUP(YEAR(D164)+(MONTH(D164)/100),TC!$5:$437,DAY(D164)+2,FALSE),VLOOKUP(F164,Equivalencia!$1:$23,((MAX(Equivalencia!$3:$3)-YEAR(D164))*14)+MONTH(D164)+2,FALSE)))</f>
        <v>1</v>
      </c>
      <c r="I164" s="163">
        <f t="shared" si="8"/>
        <v>225.3</v>
      </c>
      <c r="J164" s="162">
        <f>IF(D164=0,0,HLOOKUP(YEAR(D164)+(MONTH(D164)/100),TC!$5:$37,DAY(D164)+2,FALSE))</f>
        <v>20.377800000000001</v>
      </c>
      <c r="K164" s="219">
        <f t="shared" si="9"/>
        <v>4591.11834</v>
      </c>
    </row>
    <row r="165" spans="2:11" s="134" customFormat="1" ht="23" hidden="1" customHeight="1">
      <c r="B165" s="7" t="s">
        <v>690</v>
      </c>
      <c r="C165" s="7" t="s">
        <v>410</v>
      </c>
      <c r="D165" s="159">
        <v>44774</v>
      </c>
      <c r="E165" s="249" t="s">
        <v>965</v>
      </c>
      <c r="F165" s="7" t="s">
        <v>59</v>
      </c>
      <c r="G165" s="219">
        <v>10.53</v>
      </c>
      <c r="H165" s="162">
        <f>IF(F165=0,0,IF(F165="MXN",1/HLOOKUP(YEAR(D165)+(MONTH(D165)/100),TC!$5:$437,DAY(D165)+2,FALSE),VLOOKUP(F165,Equivalencia!$1:$23,((MAX(Equivalencia!$3:$3)-YEAR(D165))*14)+MONTH(D165)+2,FALSE)))</f>
        <v>1</v>
      </c>
      <c r="I165" s="163">
        <f t="shared" si="8"/>
        <v>10.53</v>
      </c>
      <c r="J165" s="162">
        <f>IF(D165=0,0,HLOOKUP(YEAR(D165)+(MONTH(D165)/100),TC!$5:$37,DAY(D165)+2,FALSE))</f>
        <v>20.377800000000001</v>
      </c>
      <c r="K165" s="219">
        <f t="shared" si="9"/>
        <v>214.57823399999998</v>
      </c>
    </row>
    <row r="166" spans="2:11" s="134" customFormat="1" ht="23" hidden="1" customHeight="1">
      <c r="B166" s="7" t="s">
        <v>690</v>
      </c>
      <c r="C166" s="7" t="s">
        <v>410</v>
      </c>
      <c r="D166" s="159">
        <v>44776</v>
      </c>
      <c r="E166" s="249" t="s">
        <v>748</v>
      </c>
      <c r="F166" s="7" t="s">
        <v>59</v>
      </c>
      <c r="G166" s="219">
        <v>143.63999999999999</v>
      </c>
      <c r="H166" s="162">
        <f>IF(F166=0,0,IF(F166="MXN",1/HLOOKUP(YEAR(D166)+(MONTH(D166)/100),TC!$5:$437,DAY(D166)+2,FALSE),VLOOKUP(F166,Equivalencia!$1:$23,((MAX(Equivalencia!$3:$3)-YEAR(D166))*14)+MONTH(D166)+2,FALSE)))</f>
        <v>1</v>
      </c>
      <c r="I166" s="163">
        <f t="shared" si="8"/>
        <v>143.63999999999999</v>
      </c>
      <c r="J166" s="162">
        <f>IF(D166=0,0,HLOOKUP(YEAR(D166)+(MONTH(D166)/100),TC!$5:$37,DAY(D166)+2,FALSE))</f>
        <v>20.263300000000001</v>
      </c>
      <c r="K166" s="219">
        <f t="shared" si="9"/>
        <v>2910.6204119999998</v>
      </c>
    </row>
    <row r="167" spans="2:11" s="134" customFormat="1" ht="23" hidden="1" customHeight="1">
      <c r="B167" s="7" t="s">
        <v>690</v>
      </c>
      <c r="C167" s="7" t="s">
        <v>410</v>
      </c>
      <c r="D167" s="159">
        <v>44778</v>
      </c>
      <c r="E167" s="249" t="s">
        <v>961</v>
      </c>
      <c r="F167" s="7" t="s">
        <v>59</v>
      </c>
      <c r="G167" s="219">
        <v>18.87</v>
      </c>
      <c r="H167" s="162">
        <f>IF(F167=0,0,IF(F167="MXN",1/HLOOKUP(YEAR(D167)+(MONTH(D167)/100),TC!$5:$437,DAY(D167)+2,FALSE),VLOOKUP(F167,Equivalencia!$1:$23,((MAX(Equivalencia!$3:$3)-YEAR(D167))*14)+MONTH(D167)+2,FALSE)))</f>
        <v>1</v>
      </c>
      <c r="I167" s="163">
        <f t="shared" si="8"/>
        <v>18.87</v>
      </c>
      <c r="J167" s="162">
        <f>IF(D167=0,0,HLOOKUP(YEAR(D167)+(MONTH(D167)/100),TC!$5:$37,DAY(D167)+2,FALSE))</f>
        <v>20.630500000000001</v>
      </c>
      <c r="K167" s="219">
        <f t="shared" si="9"/>
        <v>389.29753500000004</v>
      </c>
    </row>
    <row r="168" spans="2:11" s="134" customFormat="1" ht="23" hidden="1" customHeight="1">
      <c r="B168" s="7" t="s">
        <v>690</v>
      </c>
      <c r="C168" s="7" t="s">
        <v>410</v>
      </c>
      <c r="D168" s="159">
        <v>44781</v>
      </c>
      <c r="E168" s="249" t="s">
        <v>962</v>
      </c>
      <c r="F168" s="7" t="s">
        <v>59</v>
      </c>
      <c r="G168" s="219">
        <v>31.01</v>
      </c>
      <c r="H168" s="162">
        <f>IF(F168=0,0,IF(F168="MXN",1/HLOOKUP(YEAR(D168)+(MONTH(D168)/100),TC!$5:$437,DAY(D168)+2,FALSE),VLOOKUP(F168,Equivalencia!$1:$23,((MAX(Equivalencia!$3:$3)-YEAR(D168))*14)+MONTH(D168)+2,FALSE)))</f>
        <v>1</v>
      </c>
      <c r="I168" s="163">
        <f t="shared" si="8"/>
        <v>31.01</v>
      </c>
      <c r="J168" s="162">
        <f>IF(D168=0,0,HLOOKUP(YEAR(D168)+(MONTH(D168)/100),TC!$5:$37,DAY(D168)+2,FALSE))</f>
        <v>20.335799999999999</v>
      </c>
      <c r="K168" s="219">
        <f t="shared" si="9"/>
        <v>630.613158</v>
      </c>
    </row>
    <row r="169" spans="2:11" s="134" customFormat="1" ht="23" hidden="1" customHeight="1">
      <c r="B169" s="7" t="s">
        <v>690</v>
      </c>
      <c r="C169" s="7" t="s">
        <v>410</v>
      </c>
      <c r="D169" s="159">
        <v>44783</v>
      </c>
      <c r="E169" s="249" t="s">
        <v>750</v>
      </c>
      <c r="F169" s="7" t="s">
        <v>59</v>
      </c>
      <c r="G169" s="219">
        <v>80.959999999999994</v>
      </c>
      <c r="H169" s="162">
        <f>IF(F169=0,0,IF(F169="MXN",1/HLOOKUP(YEAR(D169)+(MONTH(D169)/100),TC!$5:$437,DAY(D169)+2,FALSE),VLOOKUP(F169,Equivalencia!$1:$23,((MAX(Equivalencia!$3:$3)-YEAR(D169))*14)+MONTH(D169)+2,FALSE)))</f>
        <v>1</v>
      </c>
      <c r="I169" s="163">
        <f t="shared" si="8"/>
        <v>80.959999999999994</v>
      </c>
      <c r="J169" s="162">
        <f>IF(D169=0,0,HLOOKUP(YEAR(D169)+(MONTH(D169)/100),TC!$5:$37,DAY(D169)+2,FALSE))</f>
        <v>20.2789</v>
      </c>
      <c r="K169" s="219">
        <f t="shared" si="9"/>
        <v>1641.7797439999999</v>
      </c>
    </row>
    <row r="170" spans="2:11" s="134" customFormat="1" ht="23" hidden="1" customHeight="1">
      <c r="B170" s="7" t="s">
        <v>690</v>
      </c>
      <c r="C170" s="7" t="s">
        <v>410</v>
      </c>
      <c r="D170" s="159">
        <v>44784</v>
      </c>
      <c r="E170" s="249" t="s">
        <v>716</v>
      </c>
      <c r="F170" s="7" t="s">
        <v>59</v>
      </c>
      <c r="G170" s="219">
        <v>152.41999999999999</v>
      </c>
      <c r="H170" s="162">
        <f>IF(F170=0,0,IF(F170="MXN",1/HLOOKUP(YEAR(D170)+(MONTH(D170)/100),TC!$5:$437,DAY(D170)+2,FALSE),VLOOKUP(F170,Equivalencia!$1:$23,((MAX(Equivalencia!$3:$3)-YEAR(D170))*14)+MONTH(D170)+2,FALSE)))</f>
        <v>1</v>
      </c>
      <c r="I170" s="163">
        <f t="shared" si="8"/>
        <v>152.41999999999999</v>
      </c>
      <c r="J170" s="162">
        <f>IF(D170=0,0,HLOOKUP(YEAR(D170)+(MONTH(D170)/100),TC!$5:$37,DAY(D170)+2,FALSE))</f>
        <v>20.2715</v>
      </c>
      <c r="K170" s="219">
        <f t="shared" si="9"/>
        <v>3089.7820299999998</v>
      </c>
    </row>
    <row r="171" spans="2:11" s="134" customFormat="1" ht="23" hidden="1" customHeight="1">
      <c r="B171" s="7" t="s">
        <v>690</v>
      </c>
      <c r="C171" s="7" t="s">
        <v>410</v>
      </c>
      <c r="D171" s="159">
        <v>44784</v>
      </c>
      <c r="E171" s="249" t="s">
        <v>963</v>
      </c>
      <c r="F171" s="7" t="s">
        <v>59</v>
      </c>
      <c r="G171" s="219">
        <v>24.84</v>
      </c>
      <c r="H171" s="162">
        <f>IF(F171=0,0,IF(F171="MXN",1/HLOOKUP(YEAR(D171)+(MONTH(D171)/100),TC!$5:$437,DAY(D171)+2,FALSE),VLOOKUP(F171,Equivalencia!$1:$23,((MAX(Equivalencia!$3:$3)-YEAR(D171))*14)+MONTH(D171)+2,FALSE)))</f>
        <v>1</v>
      </c>
      <c r="I171" s="163">
        <f t="shared" si="8"/>
        <v>24.84</v>
      </c>
      <c r="J171" s="162">
        <f>IF(D171=0,0,HLOOKUP(YEAR(D171)+(MONTH(D171)/100),TC!$5:$37,DAY(D171)+2,FALSE))</f>
        <v>20.2715</v>
      </c>
      <c r="K171" s="219">
        <f t="shared" si="9"/>
        <v>503.54406</v>
      </c>
    </row>
    <row r="172" spans="2:11" s="134" customFormat="1" ht="23" hidden="1" customHeight="1">
      <c r="B172" s="7" t="s">
        <v>690</v>
      </c>
      <c r="C172" s="7" t="s">
        <v>410</v>
      </c>
      <c r="D172" s="159">
        <v>44785</v>
      </c>
      <c r="E172" s="249" t="s">
        <v>755</v>
      </c>
      <c r="F172" s="7" t="s">
        <v>59</v>
      </c>
      <c r="G172" s="219">
        <v>42.66</v>
      </c>
      <c r="H172" s="162">
        <f>IF(F172=0,0,IF(F172="MXN",1/HLOOKUP(YEAR(D172)+(MONTH(D172)/100),TC!$5:$437,DAY(D172)+2,FALSE),VLOOKUP(F172,Equivalencia!$1:$23,((MAX(Equivalencia!$3:$3)-YEAR(D172))*14)+MONTH(D172)+2,FALSE)))</f>
        <v>1</v>
      </c>
      <c r="I172" s="163">
        <f t="shared" si="8"/>
        <v>42.66</v>
      </c>
      <c r="J172" s="162">
        <f>IF(D172=0,0,HLOOKUP(YEAR(D172)+(MONTH(D172)/100),TC!$5:$37,DAY(D172)+2,FALSE))</f>
        <v>19.956199999999999</v>
      </c>
      <c r="K172" s="219">
        <f t="shared" si="9"/>
        <v>851.33149199999991</v>
      </c>
    </row>
    <row r="173" spans="2:11" s="134" customFormat="1" ht="23" hidden="1" customHeight="1">
      <c r="B173" s="7" t="s">
        <v>690</v>
      </c>
      <c r="C173" s="7" t="s">
        <v>410</v>
      </c>
      <c r="D173" s="159">
        <v>44788</v>
      </c>
      <c r="E173" s="249" t="s">
        <v>751</v>
      </c>
      <c r="F173" s="7" t="s">
        <v>59</v>
      </c>
      <c r="G173" s="219">
        <v>147.06</v>
      </c>
      <c r="H173" s="162">
        <f>IF(F173=0,0,IF(F173="MXN",1/HLOOKUP(YEAR(D173)+(MONTH(D173)/100),TC!$5:$437,DAY(D173)+2,FALSE),VLOOKUP(F173,Equivalencia!$1:$23,((MAX(Equivalencia!$3:$3)-YEAR(D173))*14)+MONTH(D173)+2,FALSE)))</f>
        <v>1</v>
      </c>
      <c r="I173" s="163">
        <f t="shared" si="8"/>
        <v>147.06</v>
      </c>
      <c r="J173" s="162">
        <f>IF(D173=0,0,HLOOKUP(YEAR(D173)+(MONTH(D173)/100),TC!$5:$37,DAY(D173)+2,FALSE))</f>
        <v>19.959499999999998</v>
      </c>
      <c r="K173" s="219">
        <f t="shared" si="9"/>
        <v>2935.2440699999997</v>
      </c>
    </row>
    <row r="174" spans="2:11" s="134" customFormat="1" ht="23" hidden="1" customHeight="1">
      <c r="B174" s="7" t="s">
        <v>690</v>
      </c>
      <c r="C174" s="7" t="s">
        <v>410</v>
      </c>
      <c r="D174" s="159">
        <v>44788</v>
      </c>
      <c r="E174" s="249" t="s">
        <v>964</v>
      </c>
      <c r="F174" s="7" t="s">
        <v>59</v>
      </c>
      <c r="G174" s="219">
        <v>7.2</v>
      </c>
      <c r="H174" s="162">
        <f>IF(F174=0,0,IF(F174="MXN",1/HLOOKUP(YEAR(D174)+(MONTH(D174)/100),TC!$5:$437,DAY(D174)+2,FALSE),VLOOKUP(F174,Equivalencia!$1:$23,((MAX(Equivalencia!$3:$3)-YEAR(D174))*14)+MONTH(D174)+2,FALSE)))</f>
        <v>1</v>
      </c>
      <c r="I174" s="163">
        <f t="shared" si="8"/>
        <v>7.2</v>
      </c>
      <c r="J174" s="162">
        <f>IF(D174=0,0,HLOOKUP(YEAR(D174)+(MONTH(D174)/100),TC!$5:$37,DAY(D174)+2,FALSE))</f>
        <v>19.959499999999998</v>
      </c>
      <c r="K174" s="219">
        <f t="shared" si="9"/>
        <v>143.70839999999998</v>
      </c>
    </row>
    <row r="175" spans="2:11" s="134" customFormat="1" ht="23" hidden="1" customHeight="1">
      <c r="B175" s="7" t="s">
        <v>690</v>
      </c>
      <c r="C175" s="7" t="s">
        <v>410</v>
      </c>
      <c r="D175" s="159">
        <v>44788</v>
      </c>
      <c r="E175" s="249" t="s">
        <v>940</v>
      </c>
      <c r="F175" s="7" t="s">
        <v>59</v>
      </c>
      <c r="G175" s="219">
        <v>4.5599999999999996</v>
      </c>
      <c r="H175" s="162">
        <f>IF(F175=0,0,IF(F175="MXN",1/HLOOKUP(YEAR(D175)+(MONTH(D175)/100),TC!$5:$437,DAY(D175)+2,FALSE),VLOOKUP(F175,Equivalencia!$1:$23,((MAX(Equivalencia!$3:$3)-YEAR(D175))*14)+MONTH(D175)+2,FALSE)))</f>
        <v>1</v>
      </c>
      <c r="I175" s="163">
        <f t="shared" si="8"/>
        <v>4.5599999999999996</v>
      </c>
      <c r="J175" s="162">
        <f>IF(D175=0,0,HLOOKUP(YEAR(D175)+(MONTH(D175)/100),TC!$5:$37,DAY(D175)+2,FALSE))</f>
        <v>19.959499999999998</v>
      </c>
      <c r="K175" s="219">
        <f t="shared" si="9"/>
        <v>91.015319999999988</v>
      </c>
    </row>
    <row r="176" spans="2:11" s="134" customFormat="1" ht="23" hidden="1" customHeight="1">
      <c r="B176" s="7" t="s">
        <v>690</v>
      </c>
      <c r="C176" s="7" t="s">
        <v>410</v>
      </c>
      <c r="D176" s="159">
        <v>44788</v>
      </c>
      <c r="E176" s="249" t="s">
        <v>941</v>
      </c>
      <c r="F176" s="7" t="s">
        <v>59</v>
      </c>
      <c r="G176" s="219">
        <v>23.31</v>
      </c>
      <c r="H176" s="162">
        <f>IF(F176=0,0,IF(F176="MXN",1/HLOOKUP(YEAR(D176)+(MONTH(D176)/100),TC!$5:$437,DAY(D176)+2,FALSE),VLOOKUP(F176,Equivalencia!$1:$23,((MAX(Equivalencia!$3:$3)-YEAR(D176))*14)+MONTH(D176)+2,FALSE)))</f>
        <v>1</v>
      </c>
      <c r="I176" s="163">
        <f t="shared" ref="I176:I277" si="10">+H176*G176</f>
        <v>23.31</v>
      </c>
      <c r="J176" s="162">
        <f>IF(D176=0,0,HLOOKUP(YEAR(D176)+(MONTH(D176)/100),TC!$5:$37,DAY(D176)+2,FALSE))</f>
        <v>19.959499999999998</v>
      </c>
      <c r="K176" s="219">
        <f t="shared" ref="K176:K277" si="11">IF(F176="MXN",G176,H176*G176*J176)</f>
        <v>465.25594499999994</v>
      </c>
    </row>
    <row r="177" spans="2:11" s="134" customFormat="1" ht="23" hidden="1" customHeight="1">
      <c r="B177" s="7" t="s">
        <v>690</v>
      </c>
      <c r="C177" s="7" t="s">
        <v>410</v>
      </c>
      <c r="D177" s="159">
        <v>44788</v>
      </c>
      <c r="E177" s="249" t="s">
        <v>752</v>
      </c>
      <c r="F177" s="7" t="s">
        <v>59</v>
      </c>
      <c r="G177" s="219">
        <v>406.08</v>
      </c>
      <c r="H177" s="162">
        <f>IF(F177=0,0,IF(F177="MXN",1/HLOOKUP(YEAR(D177)+(MONTH(D177)/100),TC!$5:$437,DAY(D177)+2,FALSE),VLOOKUP(F177,Equivalencia!$1:$23,((MAX(Equivalencia!$3:$3)-YEAR(D177))*14)+MONTH(D177)+2,FALSE)))</f>
        <v>1</v>
      </c>
      <c r="I177" s="163">
        <f t="shared" si="10"/>
        <v>406.08</v>
      </c>
      <c r="J177" s="162">
        <f>IF(D177=0,0,HLOOKUP(YEAR(D177)+(MONTH(D177)/100),TC!$5:$37,DAY(D177)+2,FALSE))</f>
        <v>19.959499999999998</v>
      </c>
      <c r="K177" s="219">
        <f t="shared" si="11"/>
        <v>8105.1537599999992</v>
      </c>
    </row>
    <row r="178" spans="2:11" s="134" customFormat="1" ht="23" hidden="1" customHeight="1">
      <c r="B178" s="7" t="s">
        <v>690</v>
      </c>
      <c r="C178" s="7" t="s">
        <v>410</v>
      </c>
      <c r="D178" s="159">
        <v>44788</v>
      </c>
      <c r="E178" s="249" t="s">
        <v>753</v>
      </c>
      <c r="F178" s="7" t="s">
        <v>59</v>
      </c>
      <c r="G178" s="219">
        <v>292.49</v>
      </c>
      <c r="H178" s="162">
        <f>IF(F178=0,0,IF(F178="MXN",1/HLOOKUP(YEAR(D178)+(MONTH(D178)/100),TC!$5:$437,DAY(D178)+2,FALSE),VLOOKUP(F178,Equivalencia!$1:$23,((MAX(Equivalencia!$3:$3)-YEAR(D178))*14)+MONTH(D178)+2,FALSE)))</f>
        <v>1</v>
      </c>
      <c r="I178" s="163">
        <f t="shared" si="10"/>
        <v>292.49</v>
      </c>
      <c r="J178" s="162">
        <f>IF(D178=0,0,HLOOKUP(YEAR(D178)+(MONTH(D178)/100),TC!$5:$37,DAY(D178)+2,FALSE))</f>
        <v>19.959499999999998</v>
      </c>
      <c r="K178" s="219">
        <f t="shared" si="11"/>
        <v>5837.9541549999994</v>
      </c>
    </row>
    <row r="179" spans="2:11" s="134" customFormat="1" ht="23" hidden="1" customHeight="1">
      <c r="B179" s="7" t="s">
        <v>690</v>
      </c>
      <c r="C179" s="7" t="s">
        <v>410</v>
      </c>
      <c r="D179" s="159">
        <v>44788</v>
      </c>
      <c r="E179" s="249" t="s">
        <v>754</v>
      </c>
      <c r="F179" s="7" t="s">
        <v>59</v>
      </c>
      <c r="G179" s="219">
        <v>212.62</v>
      </c>
      <c r="H179" s="162">
        <f>IF(F179=0,0,IF(F179="MXN",1/HLOOKUP(YEAR(D179)+(MONTH(D179)/100),TC!$5:$437,DAY(D179)+2,FALSE),VLOOKUP(F179,Equivalencia!$1:$23,((MAX(Equivalencia!$3:$3)-YEAR(D179))*14)+MONTH(D179)+2,FALSE)))</f>
        <v>1</v>
      </c>
      <c r="I179" s="163">
        <f t="shared" si="10"/>
        <v>212.62</v>
      </c>
      <c r="J179" s="162">
        <f>IF(D179=0,0,HLOOKUP(YEAR(D179)+(MONTH(D179)/100),TC!$5:$37,DAY(D179)+2,FALSE))</f>
        <v>19.959499999999998</v>
      </c>
      <c r="K179" s="219">
        <f t="shared" si="11"/>
        <v>4243.7888899999998</v>
      </c>
    </row>
    <row r="180" spans="2:11" s="134" customFormat="1" ht="23" hidden="1" customHeight="1">
      <c r="B180" s="7" t="s">
        <v>690</v>
      </c>
      <c r="C180" s="7" t="s">
        <v>410</v>
      </c>
      <c r="D180" s="159">
        <v>44789</v>
      </c>
      <c r="E180" s="249" t="s">
        <v>749</v>
      </c>
      <c r="F180" s="7" t="s">
        <v>59</v>
      </c>
      <c r="G180" s="219">
        <v>214.59</v>
      </c>
      <c r="H180" s="162">
        <f>IF(F180=0,0,IF(F180="MXN",1/HLOOKUP(YEAR(D180)+(MONTH(D180)/100),TC!$5:$437,DAY(D180)+2,FALSE),VLOOKUP(F180,Equivalencia!$1:$23,((MAX(Equivalencia!$3:$3)-YEAR(D180))*14)+MONTH(D180)+2,FALSE)))</f>
        <v>1</v>
      </c>
      <c r="I180" s="163">
        <f t="shared" si="10"/>
        <v>214.59</v>
      </c>
      <c r="J180" s="162">
        <f>IF(D180=0,0,HLOOKUP(YEAR(D180)+(MONTH(D180)/100),TC!$5:$37,DAY(D180)+2,FALSE))</f>
        <v>19.873999999999999</v>
      </c>
      <c r="K180" s="219">
        <f t="shared" si="11"/>
        <v>4264.7616600000001</v>
      </c>
    </row>
    <row r="181" spans="2:11" s="134" customFormat="1" ht="23" hidden="1" customHeight="1">
      <c r="B181" s="7" t="s">
        <v>690</v>
      </c>
      <c r="C181" s="7" t="s">
        <v>410</v>
      </c>
      <c r="D181" s="159">
        <v>44792</v>
      </c>
      <c r="E181" s="249" t="s">
        <v>757</v>
      </c>
      <c r="F181" s="7" t="s">
        <v>59</v>
      </c>
      <c r="G181" s="219">
        <v>165</v>
      </c>
      <c r="H181" s="162">
        <f>IF(F181=0,0,IF(F181="MXN",1/HLOOKUP(YEAR(D181)+(MONTH(D181)/100),TC!$5:$437,DAY(D181)+2,FALSE),VLOOKUP(F181,Equivalencia!$1:$23,((MAX(Equivalencia!$3:$3)-YEAR(D181))*14)+MONTH(D181)+2,FALSE)))</f>
        <v>1</v>
      </c>
      <c r="I181" s="163">
        <f t="shared" si="10"/>
        <v>165</v>
      </c>
      <c r="J181" s="162">
        <f>IF(D181=0,0,HLOOKUP(YEAR(D181)+(MONTH(D181)/100),TC!$5:$37,DAY(D181)+2,FALSE))</f>
        <v>20.038699999999999</v>
      </c>
      <c r="K181" s="219">
        <f t="shared" si="11"/>
        <v>3306.3854999999999</v>
      </c>
    </row>
    <row r="182" spans="2:11" s="134" customFormat="1" ht="23" hidden="1" customHeight="1">
      <c r="B182" s="7" t="s">
        <v>690</v>
      </c>
      <c r="C182" s="7" t="s">
        <v>410</v>
      </c>
      <c r="D182" s="159">
        <v>44792</v>
      </c>
      <c r="E182" s="249" t="s">
        <v>966</v>
      </c>
      <c r="F182" s="7" t="s">
        <v>59</v>
      </c>
      <c r="G182" s="219">
        <v>6.3</v>
      </c>
      <c r="H182" s="162">
        <f>IF(F182=0,0,IF(F182="MXN",1/HLOOKUP(YEAR(D182)+(MONTH(D182)/100),TC!$5:$437,DAY(D182)+2,FALSE),VLOOKUP(F182,Equivalencia!$1:$23,((MAX(Equivalencia!$3:$3)-YEAR(D182))*14)+MONTH(D182)+2,FALSE)))</f>
        <v>1</v>
      </c>
      <c r="I182" s="163">
        <f t="shared" si="10"/>
        <v>6.3</v>
      </c>
      <c r="J182" s="162">
        <f>IF(D182=0,0,HLOOKUP(YEAR(D182)+(MONTH(D182)/100),TC!$5:$37,DAY(D182)+2,FALSE))</f>
        <v>20.038699999999999</v>
      </c>
      <c r="K182" s="219">
        <f t="shared" si="11"/>
        <v>126.24380999999998</v>
      </c>
    </row>
    <row r="183" spans="2:11" s="134" customFormat="1" ht="23" hidden="1" customHeight="1">
      <c r="B183" s="7" t="s">
        <v>690</v>
      </c>
      <c r="C183" s="7" t="s">
        <v>410</v>
      </c>
      <c r="D183" s="159">
        <v>44795</v>
      </c>
      <c r="E183" s="249" t="s">
        <v>967</v>
      </c>
      <c r="F183" s="7" t="s">
        <v>59</v>
      </c>
      <c r="G183" s="219">
        <v>5.93</v>
      </c>
      <c r="H183" s="162">
        <f>IF(F183=0,0,IF(F183="MXN",1/HLOOKUP(YEAR(D183)+(MONTH(D183)/100),TC!$5:$437,DAY(D183)+2,FALSE),VLOOKUP(F183,Equivalencia!$1:$23,((MAX(Equivalencia!$3:$3)-YEAR(D183))*14)+MONTH(D183)+2,FALSE)))</f>
        <v>1</v>
      </c>
      <c r="I183" s="163">
        <f t="shared" si="10"/>
        <v>5.93</v>
      </c>
      <c r="J183" s="162">
        <f>IF(D183=0,0,HLOOKUP(YEAR(D183)+(MONTH(D183)/100),TC!$5:$37,DAY(D183)+2,FALSE))</f>
        <v>20.083500000000001</v>
      </c>
      <c r="K183" s="219">
        <f t="shared" si="11"/>
        <v>119.09515500000001</v>
      </c>
    </row>
    <row r="184" spans="2:11" s="134" customFormat="1" ht="23" hidden="1" customHeight="1">
      <c r="B184" s="7" t="s">
        <v>690</v>
      </c>
      <c r="C184" s="7" t="s">
        <v>410</v>
      </c>
      <c r="D184" s="159">
        <v>44795</v>
      </c>
      <c r="E184" s="249" t="s">
        <v>756</v>
      </c>
      <c r="F184" s="7" t="s">
        <v>59</v>
      </c>
      <c r="G184" s="219">
        <v>145.44999999999999</v>
      </c>
      <c r="H184" s="162">
        <f>IF(F184=0,0,IF(F184="MXN",1/HLOOKUP(YEAR(D184)+(MONTH(D184)/100),TC!$5:$437,DAY(D184)+2,FALSE),VLOOKUP(F184,Equivalencia!$1:$23,((MAX(Equivalencia!$3:$3)-YEAR(D184))*14)+MONTH(D184)+2,FALSE)))</f>
        <v>1</v>
      </c>
      <c r="I184" s="163">
        <f t="shared" si="10"/>
        <v>145.44999999999999</v>
      </c>
      <c r="J184" s="162">
        <f>IF(D184=0,0,HLOOKUP(YEAR(D184)+(MONTH(D184)/100),TC!$5:$37,DAY(D184)+2,FALSE))</f>
        <v>20.083500000000001</v>
      </c>
      <c r="K184" s="219">
        <f t="shared" si="11"/>
        <v>2921.1450749999999</v>
      </c>
    </row>
    <row r="185" spans="2:11" s="134" customFormat="1" ht="23" hidden="1" customHeight="1">
      <c r="B185" s="7" t="s">
        <v>690</v>
      </c>
      <c r="C185" s="7" t="s">
        <v>410</v>
      </c>
      <c r="D185" s="159">
        <v>44798</v>
      </c>
      <c r="E185" s="249" t="s">
        <v>968</v>
      </c>
      <c r="F185" s="7" t="s">
        <v>59</v>
      </c>
      <c r="G185" s="219">
        <v>1.78</v>
      </c>
      <c r="H185" s="162">
        <f>IF(F185=0,0,IF(F185="MXN",1/HLOOKUP(YEAR(D185)+(MONTH(D185)/100),TC!$5:$437,DAY(D185)+2,FALSE),VLOOKUP(F185,Equivalencia!$1:$23,((MAX(Equivalencia!$3:$3)-YEAR(D185))*14)+MONTH(D185)+2,FALSE)))</f>
        <v>1</v>
      </c>
      <c r="I185" s="163">
        <f t="shared" si="10"/>
        <v>1.78</v>
      </c>
      <c r="J185" s="162">
        <f>IF(D185=0,0,HLOOKUP(YEAR(D185)+(MONTH(D185)/100),TC!$5:$37,DAY(D185)+2,FALSE))</f>
        <v>19.998200000000001</v>
      </c>
      <c r="K185" s="219">
        <f t="shared" si="11"/>
        <v>35.596796000000005</v>
      </c>
    </row>
    <row r="186" spans="2:11" s="134" customFormat="1" ht="23" hidden="1" customHeight="1">
      <c r="B186" s="7" t="s">
        <v>690</v>
      </c>
      <c r="C186" s="7" t="s">
        <v>410</v>
      </c>
      <c r="D186" s="159">
        <v>44799</v>
      </c>
      <c r="E186" s="249" t="s">
        <v>808</v>
      </c>
      <c r="F186" s="7" t="s">
        <v>59</v>
      </c>
      <c r="G186" s="219">
        <v>97.92</v>
      </c>
      <c r="H186" s="162">
        <f>IF(F186=0,0,IF(F186="MXN",1/HLOOKUP(YEAR(D186)+(MONTH(D186)/100),TC!$5:$437,DAY(D186)+2,FALSE),VLOOKUP(F186,Equivalencia!$1:$23,((MAX(Equivalencia!$3:$3)-YEAR(D186))*14)+MONTH(D186)+2,FALSE)))</f>
        <v>1</v>
      </c>
      <c r="I186" s="163">
        <f t="shared" si="10"/>
        <v>97.92</v>
      </c>
      <c r="J186" s="162">
        <f>IF(D186=0,0,HLOOKUP(YEAR(D186)+(MONTH(D186)/100),TC!$5:$37,DAY(D186)+2,FALSE))</f>
        <v>19.919799999999999</v>
      </c>
      <c r="K186" s="219">
        <f t="shared" si="11"/>
        <v>1950.5468159999998</v>
      </c>
    </row>
    <row r="187" spans="2:11" s="134" customFormat="1" ht="23" hidden="1" customHeight="1">
      <c r="B187" s="7" t="s">
        <v>690</v>
      </c>
      <c r="C187" s="7" t="s">
        <v>410</v>
      </c>
      <c r="D187" s="159">
        <v>44802</v>
      </c>
      <c r="E187" s="249" t="s">
        <v>969</v>
      </c>
      <c r="F187" s="7" t="s">
        <v>59</v>
      </c>
      <c r="G187" s="219">
        <v>17.98</v>
      </c>
      <c r="H187" s="162">
        <f>IF(F187=0,0,IF(F187="MXN",1/HLOOKUP(YEAR(D187)+(MONTH(D187)/100),TC!$5:$437,DAY(D187)+2,FALSE),VLOOKUP(F187,Equivalencia!$1:$23,((MAX(Equivalencia!$3:$3)-YEAR(D187))*14)+MONTH(D187)+2,FALSE)))</f>
        <v>1</v>
      </c>
      <c r="I187" s="163">
        <f t="shared" si="10"/>
        <v>17.98</v>
      </c>
      <c r="J187" s="162">
        <f>IF(D187=0,0,HLOOKUP(YEAR(D187)+(MONTH(D187)/100),TC!$5:$37,DAY(D187)+2,FALSE))</f>
        <v>19.9437</v>
      </c>
      <c r="K187" s="219">
        <f t="shared" si="11"/>
        <v>358.58772600000003</v>
      </c>
    </row>
    <row r="188" spans="2:11" s="134" customFormat="1" ht="23" hidden="1" customHeight="1">
      <c r="B188" s="7" t="s">
        <v>690</v>
      </c>
      <c r="C188" s="7" t="s">
        <v>410</v>
      </c>
      <c r="D188" s="159">
        <v>44803</v>
      </c>
      <c r="E188" s="249" t="s">
        <v>970</v>
      </c>
      <c r="F188" s="7" t="s">
        <v>59</v>
      </c>
      <c r="G188" s="219">
        <v>6.36</v>
      </c>
      <c r="H188" s="162">
        <f>IF(F188=0,0,IF(F188="MXN",1/HLOOKUP(YEAR(D188)+(MONTH(D188)/100),TC!$5:$437,DAY(D188)+2,FALSE),VLOOKUP(F188,Equivalencia!$1:$23,((MAX(Equivalencia!$3:$3)-YEAR(D188))*14)+MONTH(D188)+2,FALSE)))</f>
        <v>1</v>
      </c>
      <c r="I188" s="163">
        <f t="shared" si="10"/>
        <v>6.36</v>
      </c>
      <c r="J188" s="162">
        <f>IF(D188=0,0,HLOOKUP(YEAR(D188)+(MONTH(D188)/100),TC!$5:$37,DAY(D188)+2,FALSE))</f>
        <v>19.9268</v>
      </c>
      <c r="K188" s="219">
        <f t="shared" si="11"/>
        <v>126.734448</v>
      </c>
    </row>
    <row r="189" spans="2:11" s="134" customFormat="1" ht="23" customHeight="1">
      <c r="B189" s="7" t="s">
        <v>1266</v>
      </c>
      <c r="C189" s="7" t="s">
        <v>410</v>
      </c>
      <c r="D189" s="159">
        <v>44805</v>
      </c>
      <c r="E189" s="249" t="s">
        <v>738</v>
      </c>
      <c r="F189" s="7" t="s">
        <v>59</v>
      </c>
      <c r="G189" s="250">
        <v>182.16</v>
      </c>
      <c r="H189" s="162">
        <f>IF(F189=0,0,IF(F189="MXN",1/HLOOKUP(YEAR(D189)+(MONTH(D189)/100),TC!$5:$437,DAY(D189)+2,FALSE),VLOOKUP(F189,Equivalencia!$1:$23,((MAX(Equivalencia!$3:$3)-YEAR(D189))*14)+MONTH(D189)+2,FALSE)))</f>
        <v>1</v>
      </c>
      <c r="I189" s="163">
        <f t="shared" ref="I189:I242" si="12">+H189*G189</f>
        <v>182.16</v>
      </c>
      <c r="J189" s="162">
        <f>IF(D189=0,0,HLOOKUP(YEAR(D189)+(MONTH(D189)/100),TC!$5:$37,DAY(D189)+2,FALSE))</f>
        <v>20.1465</v>
      </c>
      <c r="K189" s="219">
        <f t="shared" ref="K189:K242" si="13">IF(F189="MXN",G189,H189*G189*J189)</f>
        <v>3669.8864399999998</v>
      </c>
    </row>
    <row r="190" spans="2:11" s="134" customFormat="1" ht="23" customHeight="1">
      <c r="B190" s="7" t="s">
        <v>1266</v>
      </c>
      <c r="C190" s="7" t="s">
        <v>410</v>
      </c>
      <c r="D190" s="159">
        <v>44805</v>
      </c>
      <c r="E190" s="249" t="s">
        <v>758</v>
      </c>
      <c r="F190" s="7" t="s">
        <v>59</v>
      </c>
      <c r="G190" s="250">
        <v>233.24</v>
      </c>
      <c r="H190" s="162">
        <f>IF(F190=0,0,IF(F190="MXN",1/HLOOKUP(YEAR(D190)+(MONTH(D190)/100),TC!$5:$437,DAY(D190)+2,FALSE),VLOOKUP(F190,Equivalencia!$1:$23,((MAX(Equivalencia!$3:$3)-YEAR(D190))*14)+MONTH(D190)+2,FALSE)))</f>
        <v>1</v>
      </c>
      <c r="I190" s="163">
        <f t="shared" si="12"/>
        <v>233.24</v>
      </c>
      <c r="J190" s="162">
        <f>IF(D190=0,0,HLOOKUP(YEAR(D190)+(MONTH(D190)/100),TC!$5:$37,DAY(D190)+2,FALSE))</f>
        <v>20.1465</v>
      </c>
      <c r="K190" s="219">
        <f t="shared" si="13"/>
        <v>4698.9696599999997</v>
      </c>
    </row>
    <row r="191" spans="2:11" s="134" customFormat="1" ht="23" customHeight="1">
      <c r="B191" s="7" t="s">
        <v>1266</v>
      </c>
      <c r="C191" s="7" t="s">
        <v>410</v>
      </c>
      <c r="D191" s="159">
        <v>44805</v>
      </c>
      <c r="E191" s="249" t="s">
        <v>942</v>
      </c>
      <c r="F191" s="7" t="s">
        <v>59</v>
      </c>
      <c r="G191" s="250">
        <v>4.68</v>
      </c>
      <c r="H191" s="162">
        <f>IF(F191=0,0,IF(F191="MXN",1/HLOOKUP(YEAR(D191)+(MONTH(D191)/100),TC!$5:$437,DAY(D191)+2,FALSE),VLOOKUP(F191,Equivalencia!$1:$23,((MAX(Equivalencia!$3:$3)-YEAR(D191))*14)+MONTH(D191)+2,FALSE)))</f>
        <v>1</v>
      </c>
      <c r="I191" s="163">
        <f t="shared" si="12"/>
        <v>4.68</v>
      </c>
      <c r="J191" s="162">
        <f>IF(D191=0,0,HLOOKUP(YEAR(D191)+(MONTH(D191)/100),TC!$5:$37,DAY(D191)+2,FALSE))</f>
        <v>20.1465</v>
      </c>
      <c r="K191" s="219">
        <f t="shared" si="13"/>
        <v>94.285619999999994</v>
      </c>
    </row>
    <row r="192" spans="2:11" s="134" customFormat="1" ht="23" customHeight="1">
      <c r="B192" s="7" t="s">
        <v>1266</v>
      </c>
      <c r="C192" s="7" t="s">
        <v>410</v>
      </c>
      <c r="D192" s="159">
        <v>44805</v>
      </c>
      <c r="E192" s="249" t="s">
        <v>984</v>
      </c>
      <c r="F192" s="7" t="s">
        <v>59</v>
      </c>
      <c r="G192" s="250">
        <v>25.4</v>
      </c>
      <c r="H192" s="162">
        <f>IF(F192=0,0,IF(F192="MXN",1/HLOOKUP(YEAR(D192)+(MONTH(D192)/100),TC!$5:$437,DAY(D192)+2,FALSE),VLOOKUP(F192,Equivalencia!$1:$23,((MAX(Equivalencia!$3:$3)-YEAR(D192))*14)+MONTH(D192)+2,FALSE)))</f>
        <v>1</v>
      </c>
      <c r="I192" s="163">
        <f t="shared" si="12"/>
        <v>25.4</v>
      </c>
      <c r="J192" s="162">
        <f>IF(D192=0,0,HLOOKUP(YEAR(D192)+(MONTH(D192)/100),TC!$5:$37,DAY(D192)+2,FALSE))</f>
        <v>20.1465</v>
      </c>
      <c r="K192" s="219">
        <f t="shared" si="13"/>
        <v>511.72109999999998</v>
      </c>
    </row>
    <row r="193" spans="2:11" s="134" customFormat="1" ht="23" customHeight="1">
      <c r="B193" s="7" t="s">
        <v>1266</v>
      </c>
      <c r="C193" s="7" t="s">
        <v>410</v>
      </c>
      <c r="D193" s="159">
        <v>44805</v>
      </c>
      <c r="E193" s="249" t="s">
        <v>761</v>
      </c>
      <c r="F193" s="7" t="s">
        <v>59</v>
      </c>
      <c r="G193" s="250">
        <v>127.35</v>
      </c>
      <c r="H193" s="162">
        <f>IF(F193=0,0,IF(F193="MXN",1/HLOOKUP(YEAR(D193)+(MONTH(D193)/100),TC!$5:$437,DAY(D193)+2,FALSE),VLOOKUP(F193,Equivalencia!$1:$23,((MAX(Equivalencia!$3:$3)-YEAR(D193))*14)+MONTH(D193)+2,FALSE)))</f>
        <v>1</v>
      </c>
      <c r="I193" s="163">
        <f t="shared" si="12"/>
        <v>127.35</v>
      </c>
      <c r="J193" s="162">
        <f>IF(D193=0,0,HLOOKUP(YEAR(D193)+(MONTH(D193)/100),TC!$5:$37,DAY(D193)+2,FALSE))</f>
        <v>20.1465</v>
      </c>
      <c r="K193" s="219">
        <f t="shared" si="13"/>
        <v>2565.6567749999999</v>
      </c>
    </row>
    <row r="194" spans="2:11" s="134" customFormat="1" ht="23" customHeight="1">
      <c r="B194" s="7" t="s">
        <v>1266</v>
      </c>
      <c r="C194" s="7" t="s">
        <v>410</v>
      </c>
      <c r="D194" s="159">
        <v>44805</v>
      </c>
      <c r="E194" s="249" t="s">
        <v>767</v>
      </c>
      <c r="F194" s="7" t="s">
        <v>59</v>
      </c>
      <c r="G194" s="250">
        <v>239.86</v>
      </c>
      <c r="H194" s="162">
        <f>IF(F194=0,0,IF(F194="MXN",1/HLOOKUP(YEAR(D194)+(MONTH(D194)/100),TC!$5:$437,DAY(D194)+2,FALSE),VLOOKUP(F194,Equivalencia!$1:$23,((MAX(Equivalencia!$3:$3)-YEAR(D194))*14)+MONTH(D194)+2,FALSE)))</f>
        <v>1</v>
      </c>
      <c r="I194" s="163">
        <f t="shared" si="12"/>
        <v>239.86</v>
      </c>
      <c r="J194" s="162">
        <f>IF(D194=0,0,HLOOKUP(YEAR(D194)+(MONTH(D194)/100),TC!$5:$37,DAY(D194)+2,FALSE))</f>
        <v>20.1465</v>
      </c>
      <c r="K194" s="219">
        <f t="shared" si="13"/>
        <v>4832.3394900000003</v>
      </c>
    </row>
    <row r="195" spans="2:11" s="134" customFormat="1" ht="23" customHeight="1">
      <c r="B195" s="7" t="s">
        <v>1266</v>
      </c>
      <c r="C195" s="7" t="s">
        <v>410</v>
      </c>
      <c r="D195" s="159">
        <v>44805</v>
      </c>
      <c r="E195" s="249" t="s">
        <v>759</v>
      </c>
      <c r="F195" s="7" t="s">
        <v>59</v>
      </c>
      <c r="G195" s="250">
        <v>117.68</v>
      </c>
      <c r="H195" s="162">
        <f>IF(F195=0,0,IF(F195="MXN",1/HLOOKUP(YEAR(D195)+(MONTH(D195)/100),TC!$5:$437,DAY(D195)+2,FALSE),VLOOKUP(F195,Equivalencia!$1:$23,((MAX(Equivalencia!$3:$3)-YEAR(D195))*14)+MONTH(D195)+2,FALSE)))</f>
        <v>1</v>
      </c>
      <c r="I195" s="163">
        <f t="shared" si="12"/>
        <v>117.68</v>
      </c>
      <c r="J195" s="162">
        <f>IF(D195=0,0,HLOOKUP(YEAR(D195)+(MONTH(D195)/100),TC!$5:$37,DAY(D195)+2,FALSE))</f>
        <v>20.1465</v>
      </c>
      <c r="K195" s="219">
        <f t="shared" si="13"/>
        <v>2370.8401200000003</v>
      </c>
    </row>
    <row r="196" spans="2:11" s="134" customFormat="1" ht="23" customHeight="1">
      <c r="B196" s="7" t="s">
        <v>1266</v>
      </c>
      <c r="C196" s="7" t="s">
        <v>410</v>
      </c>
      <c r="D196" s="159">
        <v>44805</v>
      </c>
      <c r="E196" s="249" t="s">
        <v>760</v>
      </c>
      <c r="F196" s="7" t="s">
        <v>59</v>
      </c>
      <c r="G196" s="250">
        <v>253.71</v>
      </c>
      <c r="H196" s="162">
        <f>IF(F196=0,0,IF(F196="MXN",1/HLOOKUP(YEAR(D196)+(MONTH(D196)/100),TC!$5:$437,DAY(D196)+2,FALSE),VLOOKUP(F196,Equivalencia!$1:$23,((MAX(Equivalencia!$3:$3)-YEAR(D196))*14)+MONTH(D196)+2,FALSE)))</f>
        <v>1</v>
      </c>
      <c r="I196" s="163">
        <f t="shared" si="12"/>
        <v>253.71</v>
      </c>
      <c r="J196" s="162">
        <f>IF(D196=0,0,HLOOKUP(YEAR(D196)+(MONTH(D196)/100),TC!$5:$37,DAY(D196)+2,FALSE))</f>
        <v>20.1465</v>
      </c>
      <c r="K196" s="219">
        <f t="shared" si="13"/>
        <v>5111.3685150000001</v>
      </c>
    </row>
    <row r="197" spans="2:11" s="134" customFormat="1" ht="23" customHeight="1">
      <c r="B197" s="7" t="s">
        <v>1266</v>
      </c>
      <c r="C197" s="7" t="s">
        <v>410</v>
      </c>
      <c r="D197" s="159">
        <v>44806</v>
      </c>
      <c r="E197" s="249" t="s">
        <v>768</v>
      </c>
      <c r="F197" s="7" t="s">
        <v>59</v>
      </c>
      <c r="G197" s="250">
        <v>145.24</v>
      </c>
      <c r="H197" s="162">
        <f>IF(F197=0,0,IF(F197="MXN",1/HLOOKUP(YEAR(D197)+(MONTH(D197)/100),TC!$5:$437,DAY(D197)+2,FALSE),VLOOKUP(F197,Equivalencia!$1:$23,((MAX(Equivalencia!$3:$3)-YEAR(D197))*14)+MONTH(D197)+2,FALSE)))</f>
        <v>1</v>
      </c>
      <c r="I197" s="163">
        <f t="shared" si="12"/>
        <v>145.24</v>
      </c>
      <c r="J197" s="162">
        <f>IF(D197=0,0,HLOOKUP(YEAR(D197)+(MONTH(D197)/100),TC!$5:$37,DAY(D197)+2,FALSE))</f>
        <v>20.0962</v>
      </c>
      <c r="K197" s="219">
        <f t="shared" si="13"/>
        <v>2918.7720880000002</v>
      </c>
    </row>
    <row r="198" spans="2:11" s="134" customFormat="1" ht="23" customHeight="1">
      <c r="B198" s="7" t="s">
        <v>1266</v>
      </c>
      <c r="C198" s="7" t="s">
        <v>410</v>
      </c>
      <c r="D198" s="159">
        <v>44806</v>
      </c>
      <c r="E198" s="249" t="s">
        <v>985</v>
      </c>
      <c r="F198" s="7" t="s">
        <v>59</v>
      </c>
      <c r="G198" s="250">
        <v>3.84</v>
      </c>
      <c r="H198" s="162">
        <f>IF(F198=0,0,IF(F198="MXN",1/HLOOKUP(YEAR(D198)+(MONTH(D198)/100),TC!$5:$437,DAY(D198)+2,FALSE),VLOOKUP(F198,Equivalencia!$1:$23,((MAX(Equivalencia!$3:$3)-YEAR(D198))*14)+MONTH(D198)+2,FALSE)))</f>
        <v>1</v>
      </c>
      <c r="I198" s="163">
        <f t="shared" si="12"/>
        <v>3.84</v>
      </c>
      <c r="J198" s="162">
        <f>IF(D198=0,0,HLOOKUP(YEAR(D198)+(MONTH(D198)/100),TC!$5:$37,DAY(D198)+2,FALSE))</f>
        <v>20.0962</v>
      </c>
      <c r="K198" s="219">
        <f t="shared" si="13"/>
        <v>77.16940799999999</v>
      </c>
    </row>
    <row r="199" spans="2:11" s="134" customFormat="1" ht="23" customHeight="1">
      <c r="B199" s="7" t="s">
        <v>1266</v>
      </c>
      <c r="C199" s="7" t="s">
        <v>410</v>
      </c>
      <c r="D199" s="159">
        <v>44810</v>
      </c>
      <c r="E199" s="249" t="s">
        <v>735</v>
      </c>
      <c r="F199" s="7" t="s">
        <v>59</v>
      </c>
      <c r="G199" s="250">
        <v>169.34</v>
      </c>
      <c r="H199" s="162">
        <f>IF(F199=0,0,IF(F199="MXN",1/HLOOKUP(YEAR(D199)+(MONTH(D199)/100),TC!$5:$437,DAY(D199)+2,FALSE),VLOOKUP(F199,Equivalencia!$1:$23,((MAX(Equivalencia!$3:$3)-YEAR(D199))*14)+MONTH(D199)+2,FALSE)))</f>
        <v>1</v>
      </c>
      <c r="I199" s="163">
        <f t="shared" si="12"/>
        <v>169.34</v>
      </c>
      <c r="J199" s="162">
        <f>IF(D199=0,0,HLOOKUP(YEAR(D199)+(MONTH(D199)/100),TC!$5:$37,DAY(D199)+2,FALSE))</f>
        <v>19.975300000000001</v>
      </c>
      <c r="K199" s="219">
        <f t="shared" si="13"/>
        <v>3382.6173020000001</v>
      </c>
    </row>
    <row r="200" spans="2:11" s="134" customFormat="1" ht="23" customHeight="1">
      <c r="B200" s="7" t="s">
        <v>1266</v>
      </c>
      <c r="C200" s="7" t="s">
        <v>410</v>
      </c>
      <c r="D200" s="159">
        <v>44812</v>
      </c>
      <c r="E200" s="249" t="s">
        <v>986</v>
      </c>
      <c r="F200" s="7" t="s">
        <v>59</v>
      </c>
      <c r="G200" s="250">
        <v>37.25</v>
      </c>
      <c r="H200" s="162">
        <f>IF(F200=0,0,IF(F200="MXN",1/HLOOKUP(YEAR(D200)+(MONTH(D200)/100),TC!$5:$437,DAY(D200)+2,FALSE),VLOOKUP(F200,Equivalencia!$1:$23,((MAX(Equivalencia!$3:$3)-YEAR(D200))*14)+MONTH(D200)+2,FALSE)))</f>
        <v>1</v>
      </c>
      <c r="I200" s="163">
        <f t="shared" si="12"/>
        <v>37.25</v>
      </c>
      <c r="J200" s="162">
        <f>IF(D200=0,0,HLOOKUP(YEAR(D200)+(MONTH(D200)/100),TC!$5:$37,DAY(D200)+2,FALSE))</f>
        <v>20.138000000000002</v>
      </c>
      <c r="K200" s="219">
        <f t="shared" si="13"/>
        <v>750.14050000000009</v>
      </c>
    </row>
    <row r="201" spans="2:11" s="134" customFormat="1" ht="23" customHeight="1">
      <c r="B201" s="7" t="s">
        <v>1266</v>
      </c>
      <c r="C201" s="7" t="s">
        <v>410</v>
      </c>
      <c r="D201" s="159">
        <v>44812</v>
      </c>
      <c r="E201" s="249" t="s">
        <v>987</v>
      </c>
      <c r="F201" s="7" t="s">
        <v>59</v>
      </c>
      <c r="G201" s="250">
        <v>22.14</v>
      </c>
      <c r="H201" s="162">
        <f>IF(F201=0,0,IF(F201="MXN",1/HLOOKUP(YEAR(D201)+(MONTH(D201)/100),TC!$5:$437,DAY(D201)+2,FALSE),VLOOKUP(F201,Equivalencia!$1:$23,((MAX(Equivalencia!$3:$3)-YEAR(D201))*14)+MONTH(D201)+2,FALSE)))</f>
        <v>1</v>
      </c>
      <c r="I201" s="163">
        <f t="shared" si="12"/>
        <v>22.14</v>
      </c>
      <c r="J201" s="162">
        <f>IF(D201=0,0,HLOOKUP(YEAR(D201)+(MONTH(D201)/100),TC!$5:$37,DAY(D201)+2,FALSE))</f>
        <v>20.138000000000002</v>
      </c>
      <c r="K201" s="219">
        <f t="shared" si="13"/>
        <v>445.85532000000006</v>
      </c>
    </row>
    <row r="202" spans="2:11" s="134" customFormat="1" ht="23" customHeight="1">
      <c r="B202" s="7" t="s">
        <v>1266</v>
      </c>
      <c r="C202" s="7" t="s">
        <v>410</v>
      </c>
      <c r="D202" s="159">
        <v>44812</v>
      </c>
      <c r="E202" s="249" t="s">
        <v>727</v>
      </c>
      <c r="F202" s="7" t="s">
        <v>59</v>
      </c>
      <c r="G202" s="250">
        <v>436.73</v>
      </c>
      <c r="H202" s="162">
        <f>IF(F202=0,0,IF(F202="MXN",1/HLOOKUP(YEAR(D202)+(MONTH(D202)/100),TC!$5:$437,DAY(D202)+2,FALSE),VLOOKUP(F202,Equivalencia!$1:$23,((MAX(Equivalencia!$3:$3)-YEAR(D202))*14)+MONTH(D202)+2,FALSE)))</f>
        <v>1</v>
      </c>
      <c r="I202" s="163">
        <f t="shared" si="12"/>
        <v>436.73</v>
      </c>
      <c r="J202" s="162">
        <f>IF(D202=0,0,HLOOKUP(YEAR(D202)+(MONTH(D202)/100),TC!$5:$37,DAY(D202)+2,FALSE))</f>
        <v>20.138000000000002</v>
      </c>
      <c r="K202" s="219">
        <f t="shared" si="13"/>
        <v>8794.8687400000017</v>
      </c>
    </row>
    <row r="203" spans="2:11" s="134" customFormat="1" ht="23" customHeight="1">
      <c r="B203" s="7" t="s">
        <v>1266</v>
      </c>
      <c r="C203" s="7" t="s">
        <v>410</v>
      </c>
      <c r="D203" s="159">
        <v>44812</v>
      </c>
      <c r="E203" s="249" t="s">
        <v>835</v>
      </c>
      <c r="F203" s="7" t="s">
        <v>59</v>
      </c>
      <c r="G203" s="250">
        <v>287.27</v>
      </c>
      <c r="H203" s="162">
        <f>IF(F203=0,0,IF(F203="MXN",1/HLOOKUP(YEAR(D203)+(MONTH(D203)/100),TC!$5:$437,DAY(D203)+2,FALSE),VLOOKUP(F203,Equivalencia!$1:$23,((MAX(Equivalencia!$3:$3)-YEAR(D203))*14)+MONTH(D203)+2,FALSE)))</f>
        <v>1</v>
      </c>
      <c r="I203" s="163">
        <f t="shared" si="12"/>
        <v>287.27</v>
      </c>
      <c r="J203" s="162">
        <f>IF(D203=0,0,HLOOKUP(YEAR(D203)+(MONTH(D203)/100),TC!$5:$37,DAY(D203)+2,FALSE))</f>
        <v>20.138000000000002</v>
      </c>
      <c r="K203" s="219">
        <f t="shared" si="13"/>
        <v>5785.0432600000004</v>
      </c>
    </row>
    <row r="204" spans="2:11" s="134" customFormat="1" ht="23" customHeight="1">
      <c r="B204" s="7" t="s">
        <v>1266</v>
      </c>
      <c r="C204" s="7" t="s">
        <v>410</v>
      </c>
      <c r="D204" s="159">
        <v>44813</v>
      </c>
      <c r="E204" s="249" t="s">
        <v>988</v>
      </c>
      <c r="F204" s="7" t="s">
        <v>59</v>
      </c>
      <c r="G204" s="250">
        <v>419.5</v>
      </c>
      <c r="H204" s="162">
        <f>IF(F204=0,0,IF(F204="MXN",1/HLOOKUP(YEAR(D204)+(MONTH(D204)/100),TC!$5:$437,DAY(D204)+2,FALSE),VLOOKUP(F204,Equivalencia!$1:$23,((MAX(Equivalencia!$3:$3)-YEAR(D204))*14)+MONTH(D204)+2,FALSE)))</f>
        <v>1</v>
      </c>
      <c r="I204" s="163">
        <f t="shared" si="12"/>
        <v>419.5</v>
      </c>
      <c r="J204" s="162">
        <f>IF(D204=0,0,HLOOKUP(YEAR(D204)+(MONTH(D204)/100),TC!$5:$37,DAY(D204)+2,FALSE))</f>
        <v>20.029699999999998</v>
      </c>
      <c r="K204" s="219">
        <f t="shared" si="13"/>
        <v>8402.4591499999988</v>
      </c>
    </row>
    <row r="205" spans="2:11" s="134" customFormat="1" ht="23" customHeight="1">
      <c r="B205" s="7" t="s">
        <v>1266</v>
      </c>
      <c r="C205" s="7" t="s">
        <v>410</v>
      </c>
      <c r="D205" s="159">
        <v>44813</v>
      </c>
      <c r="E205" s="249" t="s">
        <v>989</v>
      </c>
      <c r="F205" s="7" t="s">
        <v>59</v>
      </c>
      <c r="G205" s="250">
        <v>197.92</v>
      </c>
      <c r="H205" s="162">
        <f>IF(F205=0,0,IF(F205="MXN",1/HLOOKUP(YEAR(D205)+(MONTH(D205)/100),TC!$5:$437,DAY(D205)+2,FALSE),VLOOKUP(F205,Equivalencia!$1:$23,((MAX(Equivalencia!$3:$3)-YEAR(D205))*14)+MONTH(D205)+2,FALSE)))</f>
        <v>1</v>
      </c>
      <c r="I205" s="163">
        <f t="shared" si="12"/>
        <v>197.92</v>
      </c>
      <c r="J205" s="162">
        <f>IF(D205=0,0,HLOOKUP(YEAR(D205)+(MONTH(D205)/100),TC!$5:$37,DAY(D205)+2,FALSE))</f>
        <v>20.029699999999998</v>
      </c>
      <c r="K205" s="219">
        <f t="shared" si="13"/>
        <v>3964.2782239999992</v>
      </c>
    </row>
    <row r="206" spans="2:11" s="134" customFormat="1" ht="23" customHeight="1">
      <c r="B206" s="7" t="s">
        <v>1266</v>
      </c>
      <c r="C206" s="7" t="s">
        <v>410</v>
      </c>
      <c r="D206" s="159">
        <v>44813</v>
      </c>
      <c r="E206" s="249" t="s">
        <v>990</v>
      </c>
      <c r="F206" s="7" t="s">
        <v>59</v>
      </c>
      <c r="G206" s="250">
        <v>17.22</v>
      </c>
      <c r="H206" s="162">
        <f>IF(F206=0,0,IF(F206="MXN",1/HLOOKUP(YEAR(D206)+(MONTH(D206)/100),TC!$5:$437,DAY(D206)+2,FALSE),VLOOKUP(F206,Equivalencia!$1:$23,((MAX(Equivalencia!$3:$3)-YEAR(D206))*14)+MONTH(D206)+2,FALSE)))</f>
        <v>1</v>
      </c>
      <c r="I206" s="163">
        <f t="shared" si="12"/>
        <v>17.22</v>
      </c>
      <c r="J206" s="162">
        <f>IF(D206=0,0,HLOOKUP(YEAR(D206)+(MONTH(D206)/100),TC!$5:$37,DAY(D206)+2,FALSE))</f>
        <v>20.029699999999998</v>
      </c>
      <c r="K206" s="219">
        <f t="shared" si="13"/>
        <v>344.91143399999993</v>
      </c>
    </row>
    <row r="207" spans="2:11" s="134" customFormat="1" ht="23" customHeight="1">
      <c r="B207" s="7" t="s">
        <v>1266</v>
      </c>
      <c r="C207" s="7" t="s">
        <v>410</v>
      </c>
      <c r="D207" s="159">
        <v>44813</v>
      </c>
      <c r="E207" s="249" t="s">
        <v>991</v>
      </c>
      <c r="F207" s="7" t="s">
        <v>59</v>
      </c>
      <c r="G207" s="250">
        <v>209.55</v>
      </c>
      <c r="H207" s="162">
        <f>IF(F207=0,0,IF(F207="MXN",1/HLOOKUP(YEAR(D207)+(MONTH(D207)/100),TC!$5:$437,DAY(D207)+2,FALSE),VLOOKUP(F207,Equivalencia!$1:$23,((MAX(Equivalencia!$3:$3)-YEAR(D207))*14)+MONTH(D207)+2,FALSE)))</f>
        <v>1</v>
      </c>
      <c r="I207" s="163">
        <f t="shared" si="12"/>
        <v>209.55</v>
      </c>
      <c r="J207" s="162">
        <f>IF(D207=0,0,HLOOKUP(YEAR(D207)+(MONTH(D207)/100),TC!$5:$37,DAY(D207)+2,FALSE))</f>
        <v>20.029699999999998</v>
      </c>
      <c r="K207" s="219">
        <f t="shared" si="13"/>
        <v>4197.2236350000003</v>
      </c>
    </row>
    <row r="208" spans="2:11" s="134" customFormat="1" ht="23" customHeight="1">
      <c r="B208" s="7" t="s">
        <v>1266</v>
      </c>
      <c r="C208" s="7" t="s">
        <v>410</v>
      </c>
      <c r="D208" s="159">
        <v>44813</v>
      </c>
      <c r="E208" s="249" t="s">
        <v>762</v>
      </c>
      <c r="F208" s="7" t="s">
        <v>59</v>
      </c>
      <c r="G208" s="250">
        <v>104.14</v>
      </c>
      <c r="H208" s="162">
        <f>IF(F208=0,0,IF(F208="MXN",1/HLOOKUP(YEAR(D208)+(MONTH(D208)/100),TC!$5:$437,DAY(D208)+2,FALSE),VLOOKUP(F208,Equivalencia!$1:$23,((MAX(Equivalencia!$3:$3)-YEAR(D208))*14)+MONTH(D208)+2,FALSE)))</f>
        <v>1</v>
      </c>
      <c r="I208" s="163">
        <f t="shared" si="12"/>
        <v>104.14</v>
      </c>
      <c r="J208" s="162">
        <f>IF(D208=0,0,HLOOKUP(YEAR(D208)+(MONTH(D208)/100),TC!$5:$37,DAY(D208)+2,FALSE))</f>
        <v>20.029699999999998</v>
      </c>
      <c r="K208" s="219">
        <f t="shared" si="13"/>
        <v>2085.8929579999999</v>
      </c>
    </row>
    <row r="209" spans="2:11" s="134" customFormat="1" ht="23" customHeight="1">
      <c r="B209" s="7" t="s">
        <v>1266</v>
      </c>
      <c r="C209" s="7" t="s">
        <v>410</v>
      </c>
      <c r="D209" s="159">
        <v>44813</v>
      </c>
      <c r="E209" s="249" t="s">
        <v>992</v>
      </c>
      <c r="F209" s="7" t="s">
        <v>59</v>
      </c>
      <c r="G209" s="250">
        <v>55.98</v>
      </c>
      <c r="H209" s="162">
        <f>IF(F209=0,0,IF(F209="MXN",1/HLOOKUP(YEAR(D209)+(MONTH(D209)/100),TC!$5:$437,DAY(D209)+2,FALSE),VLOOKUP(F209,Equivalencia!$1:$23,((MAX(Equivalencia!$3:$3)-YEAR(D209))*14)+MONTH(D209)+2,FALSE)))</f>
        <v>1</v>
      </c>
      <c r="I209" s="163">
        <f t="shared" si="12"/>
        <v>55.98</v>
      </c>
      <c r="J209" s="162">
        <f>IF(D209=0,0,HLOOKUP(YEAR(D209)+(MONTH(D209)/100),TC!$5:$37,DAY(D209)+2,FALSE))</f>
        <v>20.029699999999998</v>
      </c>
      <c r="K209" s="219">
        <f t="shared" si="13"/>
        <v>1121.2626059999998</v>
      </c>
    </row>
    <row r="210" spans="2:11" s="134" customFormat="1" ht="23" customHeight="1">
      <c r="B210" s="7" t="s">
        <v>1266</v>
      </c>
      <c r="C210" s="7" t="s">
        <v>410</v>
      </c>
      <c r="D210" s="159">
        <v>44816</v>
      </c>
      <c r="E210" s="249" t="s">
        <v>993</v>
      </c>
      <c r="F210" s="7" t="s">
        <v>59</v>
      </c>
      <c r="G210" s="250">
        <v>6.74</v>
      </c>
      <c r="H210" s="162">
        <f>IF(F210=0,0,IF(F210="MXN",1/HLOOKUP(YEAR(D210)+(MONTH(D210)/100),TC!$5:$437,DAY(D210)+2,FALSE),VLOOKUP(F210,Equivalencia!$1:$23,((MAX(Equivalencia!$3:$3)-YEAR(D210))*14)+MONTH(D210)+2,FALSE)))</f>
        <v>1</v>
      </c>
      <c r="I210" s="163">
        <f t="shared" si="12"/>
        <v>6.74</v>
      </c>
      <c r="J210" s="162">
        <f>IF(D210=0,0,HLOOKUP(YEAR(D210)+(MONTH(D210)/100),TC!$5:$37,DAY(D210)+2,FALSE))</f>
        <v>20.020299999999999</v>
      </c>
      <c r="K210" s="219">
        <f t="shared" si="13"/>
        <v>134.93682200000001</v>
      </c>
    </row>
    <row r="211" spans="2:11" s="134" customFormat="1" ht="23" customHeight="1">
      <c r="B211" s="7" t="s">
        <v>1266</v>
      </c>
      <c r="C211" s="7" t="s">
        <v>410</v>
      </c>
      <c r="D211" s="159">
        <v>44816</v>
      </c>
      <c r="E211" s="249" t="s">
        <v>994</v>
      </c>
      <c r="F211" s="7" t="s">
        <v>59</v>
      </c>
      <c r="G211" s="250">
        <v>46.81</v>
      </c>
      <c r="H211" s="162">
        <f>IF(F211=0,0,IF(F211="MXN",1/HLOOKUP(YEAR(D211)+(MONTH(D211)/100),TC!$5:$437,DAY(D211)+2,FALSE),VLOOKUP(F211,Equivalencia!$1:$23,((MAX(Equivalencia!$3:$3)-YEAR(D211))*14)+MONTH(D211)+2,FALSE)))</f>
        <v>1</v>
      </c>
      <c r="I211" s="163">
        <f t="shared" si="12"/>
        <v>46.81</v>
      </c>
      <c r="J211" s="162">
        <f>IF(D211=0,0,HLOOKUP(YEAR(D211)+(MONTH(D211)/100),TC!$5:$37,DAY(D211)+2,FALSE))</f>
        <v>20.020299999999999</v>
      </c>
      <c r="K211" s="219">
        <f t="shared" si="13"/>
        <v>937.15024300000005</v>
      </c>
    </row>
    <row r="212" spans="2:11" s="134" customFormat="1" ht="23" customHeight="1">
      <c r="B212" s="7" t="s">
        <v>1266</v>
      </c>
      <c r="C212" s="7" t="s">
        <v>410</v>
      </c>
      <c r="D212" s="159">
        <v>44816</v>
      </c>
      <c r="E212" s="249" t="s">
        <v>764</v>
      </c>
      <c r="F212" s="7" t="s">
        <v>59</v>
      </c>
      <c r="G212" s="250">
        <v>61.15</v>
      </c>
      <c r="H212" s="162">
        <f>IF(F212=0,0,IF(F212="MXN",1/HLOOKUP(YEAR(D212)+(MONTH(D212)/100),TC!$5:$437,DAY(D212)+2,FALSE),VLOOKUP(F212,Equivalencia!$1:$23,((MAX(Equivalencia!$3:$3)-YEAR(D212))*14)+MONTH(D212)+2,FALSE)))</f>
        <v>1</v>
      </c>
      <c r="I212" s="163">
        <f t="shared" si="12"/>
        <v>61.15</v>
      </c>
      <c r="J212" s="162">
        <f>IF(D212=0,0,HLOOKUP(YEAR(D212)+(MONTH(D212)/100),TC!$5:$37,DAY(D212)+2,FALSE))</f>
        <v>20.020299999999999</v>
      </c>
      <c r="K212" s="219">
        <f t="shared" si="13"/>
        <v>1224.2413449999999</v>
      </c>
    </row>
    <row r="213" spans="2:11" s="134" customFormat="1" ht="23" customHeight="1">
      <c r="B213" s="7" t="s">
        <v>1266</v>
      </c>
      <c r="C213" s="7" t="s">
        <v>410</v>
      </c>
      <c r="D213" s="159">
        <v>44816</v>
      </c>
      <c r="E213" s="249" t="s">
        <v>766</v>
      </c>
      <c r="F213" s="7" t="s">
        <v>59</v>
      </c>
      <c r="G213" s="250">
        <v>166.86</v>
      </c>
      <c r="H213" s="162">
        <f>IF(F213=0,0,IF(F213="MXN",1/HLOOKUP(YEAR(D213)+(MONTH(D213)/100),TC!$5:$437,DAY(D213)+2,FALSE),VLOOKUP(F213,Equivalencia!$1:$23,((MAX(Equivalencia!$3:$3)-YEAR(D213))*14)+MONTH(D213)+2,FALSE)))</f>
        <v>1</v>
      </c>
      <c r="I213" s="163">
        <f t="shared" si="12"/>
        <v>166.86</v>
      </c>
      <c r="J213" s="162">
        <f>IF(D213=0,0,HLOOKUP(YEAR(D213)+(MONTH(D213)/100),TC!$5:$37,DAY(D213)+2,FALSE))</f>
        <v>20.020299999999999</v>
      </c>
      <c r="K213" s="219">
        <f t="shared" si="13"/>
        <v>3340.587258</v>
      </c>
    </row>
    <row r="214" spans="2:11" s="134" customFormat="1" ht="23" customHeight="1">
      <c r="B214" s="7" t="s">
        <v>1266</v>
      </c>
      <c r="C214" s="7" t="s">
        <v>410</v>
      </c>
      <c r="D214" s="159">
        <v>44816</v>
      </c>
      <c r="E214" s="249" t="s">
        <v>765</v>
      </c>
      <c r="F214" s="7" t="s">
        <v>59</v>
      </c>
      <c r="G214" s="250">
        <v>55.08</v>
      </c>
      <c r="H214" s="162">
        <f>IF(F214=0,0,IF(F214="MXN",1/HLOOKUP(YEAR(D214)+(MONTH(D214)/100),TC!$5:$437,DAY(D214)+2,FALSE),VLOOKUP(F214,Equivalencia!$1:$23,((MAX(Equivalencia!$3:$3)-YEAR(D214))*14)+MONTH(D214)+2,FALSE)))</f>
        <v>1</v>
      </c>
      <c r="I214" s="163">
        <f t="shared" si="12"/>
        <v>55.08</v>
      </c>
      <c r="J214" s="162">
        <f>IF(D214=0,0,HLOOKUP(YEAR(D214)+(MONTH(D214)/100),TC!$5:$37,DAY(D214)+2,FALSE))</f>
        <v>20.020299999999999</v>
      </c>
      <c r="K214" s="219">
        <f t="shared" si="13"/>
        <v>1102.718124</v>
      </c>
    </row>
    <row r="215" spans="2:11" s="134" customFormat="1" ht="23" customHeight="1">
      <c r="B215" s="7" t="s">
        <v>1266</v>
      </c>
      <c r="C215" s="7" t="s">
        <v>410</v>
      </c>
      <c r="D215" s="159">
        <v>44818</v>
      </c>
      <c r="E215" s="249" t="s">
        <v>995</v>
      </c>
      <c r="F215" s="7" t="s">
        <v>59</v>
      </c>
      <c r="G215" s="250">
        <v>3.45</v>
      </c>
      <c r="H215" s="162">
        <f>IF(F215=0,0,IF(F215="MXN",1/HLOOKUP(YEAR(D215)+(MONTH(D215)/100),TC!$5:$437,DAY(D215)+2,FALSE),VLOOKUP(F215,Equivalencia!$1:$23,((MAX(Equivalencia!$3:$3)-YEAR(D215))*14)+MONTH(D215)+2,FALSE)))</f>
        <v>1</v>
      </c>
      <c r="I215" s="163">
        <f t="shared" si="12"/>
        <v>3.45</v>
      </c>
      <c r="J215" s="162">
        <f>IF(D215=0,0,HLOOKUP(YEAR(D215)+(MONTH(D215)/100),TC!$5:$37,DAY(D215)+2,FALSE))</f>
        <v>19.7957</v>
      </c>
      <c r="K215" s="219">
        <f t="shared" si="13"/>
        <v>68.295164999999997</v>
      </c>
    </row>
    <row r="216" spans="2:11" s="134" customFormat="1" ht="23" customHeight="1">
      <c r="B216" s="7" t="s">
        <v>1266</v>
      </c>
      <c r="C216" s="7" t="s">
        <v>410</v>
      </c>
      <c r="D216" s="159">
        <v>44818</v>
      </c>
      <c r="E216" s="249" t="s">
        <v>944</v>
      </c>
      <c r="F216" s="7" t="s">
        <v>59</v>
      </c>
      <c r="G216" s="250">
        <v>17.649999999999999</v>
      </c>
      <c r="H216" s="162">
        <f>IF(F216=0,0,IF(F216="MXN",1/HLOOKUP(YEAR(D216)+(MONTH(D216)/100),TC!$5:$437,DAY(D216)+2,FALSE),VLOOKUP(F216,Equivalencia!$1:$23,((MAX(Equivalencia!$3:$3)-YEAR(D216))*14)+MONTH(D216)+2,FALSE)))</f>
        <v>1</v>
      </c>
      <c r="I216" s="163">
        <f t="shared" si="12"/>
        <v>17.649999999999999</v>
      </c>
      <c r="J216" s="162">
        <f>IF(D216=0,0,HLOOKUP(YEAR(D216)+(MONTH(D216)/100),TC!$5:$37,DAY(D216)+2,FALSE))</f>
        <v>19.7957</v>
      </c>
      <c r="K216" s="219">
        <f t="shared" si="13"/>
        <v>349.39410499999997</v>
      </c>
    </row>
    <row r="217" spans="2:11" s="134" customFormat="1" ht="23" customHeight="1">
      <c r="B217" s="7" t="s">
        <v>1266</v>
      </c>
      <c r="C217" s="7" t="s">
        <v>410</v>
      </c>
      <c r="D217" s="159">
        <v>44819</v>
      </c>
      <c r="E217" s="249" t="s">
        <v>772</v>
      </c>
      <c r="F217" s="7" t="s">
        <v>59</v>
      </c>
      <c r="G217" s="250">
        <v>82.06</v>
      </c>
      <c r="H217" s="162">
        <f>IF(F217=0,0,IF(F217="MXN",1/HLOOKUP(YEAR(D217)+(MONTH(D217)/100),TC!$5:$437,DAY(D217)+2,FALSE),VLOOKUP(F217,Equivalencia!$1:$23,((MAX(Equivalencia!$3:$3)-YEAR(D217))*14)+MONTH(D217)+2,FALSE)))</f>
        <v>1</v>
      </c>
      <c r="I217" s="163">
        <f t="shared" si="12"/>
        <v>82.06</v>
      </c>
      <c r="J217" s="162">
        <f>IF(D217=0,0,HLOOKUP(YEAR(D217)+(MONTH(D217)/100),TC!$5:$37,DAY(D217)+2,FALSE))</f>
        <v>20.055</v>
      </c>
      <c r="K217" s="219">
        <f t="shared" si="13"/>
        <v>1645.7133000000001</v>
      </c>
    </row>
    <row r="218" spans="2:11" s="134" customFormat="1" ht="23" customHeight="1">
      <c r="B218" s="7" t="s">
        <v>1266</v>
      </c>
      <c r="C218" s="7" t="s">
        <v>410</v>
      </c>
      <c r="D218" s="159">
        <v>44819</v>
      </c>
      <c r="E218" s="249" t="s">
        <v>775</v>
      </c>
      <c r="F218" s="7" t="s">
        <v>59</v>
      </c>
      <c r="G218" s="250">
        <v>161.31</v>
      </c>
      <c r="H218" s="162">
        <f>IF(F218=0,0,IF(F218="MXN",1/HLOOKUP(YEAR(D218)+(MONTH(D218)/100),TC!$5:$437,DAY(D218)+2,FALSE),VLOOKUP(F218,Equivalencia!$1:$23,((MAX(Equivalencia!$3:$3)-YEAR(D218))*14)+MONTH(D218)+2,FALSE)))</f>
        <v>1</v>
      </c>
      <c r="I218" s="163">
        <f t="shared" si="12"/>
        <v>161.31</v>
      </c>
      <c r="J218" s="162">
        <f>IF(D218=0,0,HLOOKUP(YEAR(D218)+(MONTH(D218)/100),TC!$5:$37,DAY(D218)+2,FALSE))</f>
        <v>20.055</v>
      </c>
      <c r="K218" s="219">
        <f t="shared" si="13"/>
        <v>3235.0720500000002</v>
      </c>
    </row>
    <row r="219" spans="2:11" s="134" customFormat="1" ht="23" customHeight="1">
      <c r="B219" s="7" t="s">
        <v>1266</v>
      </c>
      <c r="C219" s="7" t="s">
        <v>410</v>
      </c>
      <c r="D219" s="159">
        <v>44819</v>
      </c>
      <c r="E219" s="249" t="s">
        <v>996</v>
      </c>
      <c r="F219" s="7" t="s">
        <v>59</v>
      </c>
      <c r="G219" s="250">
        <v>18.45</v>
      </c>
      <c r="H219" s="162">
        <f>IF(F219=0,0,IF(F219="MXN",1/HLOOKUP(YEAR(D219)+(MONTH(D219)/100),TC!$5:$437,DAY(D219)+2,FALSE),VLOOKUP(F219,Equivalencia!$1:$23,((MAX(Equivalencia!$3:$3)-YEAR(D219))*14)+MONTH(D219)+2,FALSE)))</f>
        <v>1</v>
      </c>
      <c r="I219" s="163">
        <f t="shared" si="12"/>
        <v>18.45</v>
      </c>
      <c r="J219" s="162">
        <f>IF(D219=0,0,HLOOKUP(YEAR(D219)+(MONTH(D219)/100),TC!$5:$37,DAY(D219)+2,FALSE))</f>
        <v>20.055</v>
      </c>
      <c r="K219" s="219">
        <f t="shared" si="13"/>
        <v>370.01474999999999</v>
      </c>
    </row>
    <row r="220" spans="2:11" s="134" customFormat="1" ht="23" customHeight="1">
      <c r="B220" s="7" t="s">
        <v>1266</v>
      </c>
      <c r="C220" s="7" t="s">
        <v>410</v>
      </c>
      <c r="D220" s="159">
        <v>44819</v>
      </c>
      <c r="E220" s="249" t="s">
        <v>997</v>
      </c>
      <c r="F220" s="7" t="s">
        <v>59</v>
      </c>
      <c r="G220" s="250">
        <v>58.97</v>
      </c>
      <c r="H220" s="162">
        <f>IF(F220=0,0,IF(F220="MXN",1/HLOOKUP(YEAR(D220)+(MONTH(D220)/100),TC!$5:$437,DAY(D220)+2,FALSE),VLOOKUP(F220,Equivalencia!$1:$23,((MAX(Equivalencia!$3:$3)-YEAR(D220))*14)+MONTH(D220)+2,FALSE)))</f>
        <v>1</v>
      </c>
      <c r="I220" s="163">
        <f t="shared" si="12"/>
        <v>58.97</v>
      </c>
      <c r="J220" s="162">
        <f>IF(D220=0,0,HLOOKUP(YEAR(D220)+(MONTH(D220)/100),TC!$5:$37,DAY(D220)+2,FALSE))</f>
        <v>20.055</v>
      </c>
      <c r="K220" s="219">
        <f t="shared" si="13"/>
        <v>1182.6433500000001</v>
      </c>
    </row>
    <row r="221" spans="2:11" s="134" customFormat="1" ht="23" customHeight="1">
      <c r="B221" s="7" t="s">
        <v>1266</v>
      </c>
      <c r="C221" s="7" t="s">
        <v>410</v>
      </c>
      <c r="D221" s="159">
        <v>44819</v>
      </c>
      <c r="E221" s="249" t="s">
        <v>770</v>
      </c>
      <c r="F221" s="7" t="s">
        <v>59</v>
      </c>
      <c r="G221" s="250">
        <v>53.46</v>
      </c>
      <c r="H221" s="162">
        <f>IF(F221=0,0,IF(F221="MXN",1/HLOOKUP(YEAR(D221)+(MONTH(D221)/100),TC!$5:$437,DAY(D221)+2,FALSE),VLOOKUP(F221,Equivalencia!$1:$23,((MAX(Equivalencia!$3:$3)-YEAR(D221))*14)+MONTH(D221)+2,FALSE)))</f>
        <v>1</v>
      </c>
      <c r="I221" s="163">
        <f t="shared" si="12"/>
        <v>53.46</v>
      </c>
      <c r="J221" s="162">
        <f>IF(D221=0,0,HLOOKUP(YEAR(D221)+(MONTH(D221)/100),TC!$5:$37,DAY(D221)+2,FALSE))</f>
        <v>20.055</v>
      </c>
      <c r="K221" s="219">
        <f t="shared" si="13"/>
        <v>1072.1403</v>
      </c>
    </row>
    <row r="222" spans="2:11" s="134" customFormat="1" ht="23" customHeight="1">
      <c r="B222" s="7" t="s">
        <v>1266</v>
      </c>
      <c r="C222" s="7" t="s">
        <v>410</v>
      </c>
      <c r="D222" s="159">
        <v>44819</v>
      </c>
      <c r="E222" s="249" t="s">
        <v>998</v>
      </c>
      <c r="F222" s="7" t="s">
        <v>59</v>
      </c>
      <c r="G222" s="250">
        <v>0.09</v>
      </c>
      <c r="H222" s="162">
        <f>IF(F222=0,0,IF(F222="MXN",1/HLOOKUP(YEAR(D222)+(MONTH(D222)/100),TC!$5:$437,DAY(D222)+2,FALSE),VLOOKUP(F222,Equivalencia!$1:$23,((MAX(Equivalencia!$3:$3)-YEAR(D222))*14)+MONTH(D222)+2,FALSE)))</f>
        <v>1</v>
      </c>
      <c r="I222" s="163">
        <f t="shared" si="12"/>
        <v>0.09</v>
      </c>
      <c r="J222" s="162">
        <f>IF(D222=0,0,HLOOKUP(YEAR(D222)+(MONTH(D222)/100),TC!$5:$37,DAY(D222)+2,FALSE))</f>
        <v>20.055</v>
      </c>
      <c r="K222" s="219">
        <f t="shared" si="13"/>
        <v>1.8049499999999998</v>
      </c>
    </row>
    <row r="223" spans="2:11" s="134" customFormat="1" ht="23" customHeight="1">
      <c r="B223" s="7" t="s">
        <v>1266</v>
      </c>
      <c r="C223" s="7" t="s">
        <v>410</v>
      </c>
      <c r="D223" s="159">
        <v>44819</v>
      </c>
      <c r="E223" s="249" t="s">
        <v>731</v>
      </c>
      <c r="F223" s="7" t="s">
        <v>59</v>
      </c>
      <c r="G223" s="250">
        <v>211.78</v>
      </c>
      <c r="H223" s="162">
        <f>IF(F223=0,0,IF(F223="MXN",1/HLOOKUP(YEAR(D223)+(MONTH(D223)/100),TC!$5:$437,DAY(D223)+2,FALSE),VLOOKUP(F223,Equivalencia!$1:$23,((MAX(Equivalencia!$3:$3)-YEAR(D223))*14)+MONTH(D223)+2,FALSE)))</f>
        <v>1</v>
      </c>
      <c r="I223" s="163">
        <f t="shared" si="12"/>
        <v>211.78</v>
      </c>
      <c r="J223" s="162">
        <f>IF(D223=0,0,HLOOKUP(YEAR(D223)+(MONTH(D223)/100),TC!$5:$37,DAY(D223)+2,FALSE))</f>
        <v>20.055</v>
      </c>
      <c r="K223" s="219">
        <f t="shared" si="13"/>
        <v>4247.2479000000003</v>
      </c>
    </row>
    <row r="224" spans="2:11" s="134" customFormat="1" ht="23" customHeight="1">
      <c r="B224" s="7" t="s">
        <v>1266</v>
      </c>
      <c r="C224" s="7" t="s">
        <v>410</v>
      </c>
      <c r="D224" s="159">
        <v>44819</v>
      </c>
      <c r="E224" s="249" t="s">
        <v>999</v>
      </c>
      <c r="F224" s="7" t="s">
        <v>59</v>
      </c>
      <c r="G224" s="250">
        <v>32.76</v>
      </c>
      <c r="H224" s="162">
        <f>IF(F224=0,0,IF(F224="MXN",1/HLOOKUP(YEAR(D224)+(MONTH(D224)/100),TC!$5:$437,DAY(D224)+2,FALSE),VLOOKUP(F224,Equivalencia!$1:$23,((MAX(Equivalencia!$3:$3)-YEAR(D224))*14)+MONTH(D224)+2,FALSE)))</f>
        <v>1</v>
      </c>
      <c r="I224" s="163">
        <f t="shared" si="12"/>
        <v>32.76</v>
      </c>
      <c r="J224" s="162">
        <f>IF(D224=0,0,HLOOKUP(YEAR(D224)+(MONTH(D224)/100),TC!$5:$37,DAY(D224)+2,FALSE))</f>
        <v>20.055</v>
      </c>
      <c r="K224" s="219">
        <f t="shared" si="13"/>
        <v>657.0018</v>
      </c>
    </row>
    <row r="225" spans="2:11" s="134" customFormat="1" ht="23" customHeight="1">
      <c r="B225" s="7" t="s">
        <v>1266</v>
      </c>
      <c r="C225" s="7" t="s">
        <v>410</v>
      </c>
      <c r="D225" s="159">
        <v>44819</v>
      </c>
      <c r="E225" s="249" t="s">
        <v>1000</v>
      </c>
      <c r="F225" s="7" t="s">
        <v>59</v>
      </c>
      <c r="G225" s="250">
        <v>27.3</v>
      </c>
      <c r="H225" s="162">
        <f>IF(F225=0,0,IF(F225="MXN",1/HLOOKUP(YEAR(D225)+(MONTH(D225)/100),TC!$5:$437,DAY(D225)+2,FALSE),VLOOKUP(F225,Equivalencia!$1:$23,((MAX(Equivalencia!$3:$3)-YEAR(D225))*14)+MONTH(D225)+2,FALSE)))</f>
        <v>1</v>
      </c>
      <c r="I225" s="163">
        <f t="shared" si="12"/>
        <v>27.3</v>
      </c>
      <c r="J225" s="162">
        <f>IF(D225=0,0,HLOOKUP(YEAR(D225)+(MONTH(D225)/100),TC!$5:$37,DAY(D225)+2,FALSE))</f>
        <v>20.055</v>
      </c>
      <c r="K225" s="219">
        <f t="shared" si="13"/>
        <v>547.50149999999996</v>
      </c>
    </row>
    <row r="226" spans="2:11" s="134" customFormat="1" ht="23" customHeight="1">
      <c r="B226" s="7" t="s">
        <v>1266</v>
      </c>
      <c r="C226" s="7" t="s">
        <v>410</v>
      </c>
      <c r="D226" s="159">
        <v>44820</v>
      </c>
      <c r="E226" s="249" t="s">
        <v>943</v>
      </c>
      <c r="F226" s="7" t="s">
        <v>59</v>
      </c>
      <c r="G226" s="250">
        <v>2.02</v>
      </c>
      <c r="H226" s="162">
        <f>IF(F226=0,0,IF(F226="MXN",1/HLOOKUP(YEAR(D226)+(MONTH(D226)/100),TC!$5:$437,DAY(D226)+2,FALSE),VLOOKUP(F226,Equivalencia!$1:$23,((MAX(Equivalencia!$3:$3)-YEAR(D226))*14)+MONTH(D226)+2,FALSE)))</f>
        <v>1</v>
      </c>
      <c r="I226" s="163">
        <f t="shared" si="12"/>
        <v>2.02</v>
      </c>
      <c r="J226" s="162">
        <f>IF(D226=0,0,HLOOKUP(YEAR(D226)+(MONTH(D226)/100),TC!$5:$37,DAY(D226)+2,FALSE))</f>
        <v>19.976800000000001</v>
      </c>
      <c r="K226" s="219">
        <f t="shared" si="13"/>
        <v>40.353135999999999</v>
      </c>
    </row>
    <row r="227" spans="2:11" s="134" customFormat="1" ht="23" customHeight="1">
      <c r="B227" s="7" t="s">
        <v>1266</v>
      </c>
      <c r="C227" s="7" t="s">
        <v>410</v>
      </c>
      <c r="D227" s="159">
        <v>44820</v>
      </c>
      <c r="E227" s="249" t="s">
        <v>771</v>
      </c>
      <c r="F227" s="7" t="s">
        <v>59</v>
      </c>
      <c r="G227" s="250">
        <v>298.91000000000003</v>
      </c>
      <c r="H227" s="162">
        <f>IF(F227=0,0,IF(F227="MXN",1/HLOOKUP(YEAR(D227)+(MONTH(D227)/100),TC!$5:$437,DAY(D227)+2,FALSE),VLOOKUP(F227,Equivalencia!$1:$23,((MAX(Equivalencia!$3:$3)-YEAR(D227))*14)+MONTH(D227)+2,FALSE)))</f>
        <v>1</v>
      </c>
      <c r="I227" s="163">
        <f t="shared" si="12"/>
        <v>298.91000000000003</v>
      </c>
      <c r="J227" s="162">
        <f>IF(D227=0,0,HLOOKUP(YEAR(D227)+(MONTH(D227)/100),TC!$5:$37,DAY(D227)+2,FALSE))</f>
        <v>19.976800000000001</v>
      </c>
      <c r="K227" s="219">
        <f t="shared" si="13"/>
        <v>5971.2652880000005</v>
      </c>
    </row>
    <row r="228" spans="2:11" s="134" customFormat="1" ht="23" customHeight="1">
      <c r="B228" s="7" t="s">
        <v>1266</v>
      </c>
      <c r="C228" s="7" t="s">
        <v>410</v>
      </c>
      <c r="D228" s="159">
        <v>44820</v>
      </c>
      <c r="E228" s="249" t="s">
        <v>1001</v>
      </c>
      <c r="F228" s="7" t="s">
        <v>59</v>
      </c>
      <c r="G228" s="250">
        <v>56.38</v>
      </c>
      <c r="H228" s="162">
        <f>IF(F228=0,0,IF(F228="MXN",1/HLOOKUP(YEAR(D228)+(MONTH(D228)/100),TC!$5:$437,DAY(D228)+2,FALSE),VLOOKUP(F228,Equivalencia!$1:$23,((MAX(Equivalencia!$3:$3)-YEAR(D228))*14)+MONTH(D228)+2,FALSE)))</f>
        <v>1</v>
      </c>
      <c r="I228" s="163">
        <f t="shared" si="12"/>
        <v>56.38</v>
      </c>
      <c r="J228" s="162">
        <f>IF(D228=0,0,HLOOKUP(YEAR(D228)+(MONTH(D228)/100),TC!$5:$37,DAY(D228)+2,FALSE))</f>
        <v>19.976800000000001</v>
      </c>
      <c r="K228" s="219">
        <f t="shared" si="13"/>
        <v>1126.2919840000002</v>
      </c>
    </row>
    <row r="229" spans="2:11" s="134" customFormat="1" ht="23" customHeight="1">
      <c r="B229" s="7" t="s">
        <v>1266</v>
      </c>
      <c r="C229" s="7" t="s">
        <v>410</v>
      </c>
      <c r="D229" s="159">
        <v>44824</v>
      </c>
      <c r="E229" s="249" t="s">
        <v>774</v>
      </c>
      <c r="F229" s="7" t="s">
        <v>59</v>
      </c>
      <c r="G229" s="250">
        <v>151.47</v>
      </c>
      <c r="H229" s="162">
        <f>IF(F229=0,0,IF(F229="MXN",1/HLOOKUP(YEAR(D229)+(MONTH(D229)/100),TC!$5:$437,DAY(D229)+2,FALSE),VLOOKUP(F229,Equivalencia!$1:$23,((MAX(Equivalencia!$3:$3)-YEAR(D229))*14)+MONTH(D229)+2,FALSE)))</f>
        <v>1</v>
      </c>
      <c r="I229" s="163">
        <f t="shared" si="12"/>
        <v>151.47</v>
      </c>
      <c r="J229" s="162">
        <f>IF(D229=0,0,HLOOKUP(YEAR(D229)+(MONTH(D229)/100),TC!$5:$37,DAY(D229)+2,FALSE))</f>
        <v>20.052499999999998</v>
      </c>
      <c r="K229" s="219">
        <f t="shared" si="13"/>
        <v>3037.3521749999995</v>
      </c>
    </row>
    <row r="230" spans="2:11" s="134" customFormat="1" ht="23" customHeight="1">
      <c r="B230" s="7" t="s">
        <v>1266</v>
      </c>
      <c r="C230" s="7" t="s">
        <v>410</v>
      </c>
      <c r="D230" s="159">
        <v>44824</v>
      </c>
      <c r="E230" s="249" t="s">
        <v>773</v>
      </c>
      <c r="F230" s="7" t="s">
        <v>59</v>
      </c>
      <c r="G230" s="250">
        <v>256.64999999999998</v>
      </c>
      <c r="H230" s="162">
        <f>IF(F230=0,0,IF(F230="MXN",1/HLOOKUP(YEAR(D230)+(MONTH(D230)/100),TC!$5:$437,DAY(D230)+2,FALSE),VLOOKUP(F230,Equivalencia!$1:$23,((MAX(Equivalencia!$3:$3)-YEAR(D230))*14)+MONTH(D230)+2,FALSE)))</f>
        <v>1</v>
      </c>
      <c r="I230" s="163">
        <f t="shared" si="12"/>
        <v>256.64999999999998</v>
      </c>
      <c r="J230" s="162">
        <f>IF(D230=0,0,HLOOKUP(YEAR(D230)+(MONTH(D230)/100),TC!$5:$37,DAY(D230)+2,FALSE))</f>
        <v>20.052499999999998</v>
      </c>
      <c r="K230" s="219">
        <f t="shared" si="13"/>
        <v>5146.4741249999988</v>
      </c>
    </row>
    <row r="231" spans="2:11" s="134" customFormat="1" ht="23" customHeight="1">
      <c r="B231" s="7" t="s">
        <v>1266</v>
      </c>
      <c r="C231" s="7" t="s">
        <v>410</v>
      </c>
      <c r="D231" s="159">
        <v>44827</v>
      </c>
      <c r="E231" s="249" t="s">
        <v>779</v>
      </c>
      <c r="F231" s="7" t="s">
        <v>59</v>
      </c>
      <c r="G231" s="250">
        <v>170.52</v>
      </c>
      <c r="H231" s="162">
        <f>IF(F231=0,0,IF(F231="MXN",1/HLOOKUP(YEAR(D231)+(MONTH(D231)/100),TC!$5:$437,DAY(D231)+2,FALSE),VLOOKUP(F231,Equivalencia!$1:$23,((MAX(Equivalencia!$3:$3)-YEAR(D231))*14)+MONTH(D231)+2,FALSE)))</f>
        <v>1</v>
      </c>
      <c r="I231" s="163">
        <f t="shared" si="12"/>
        <v>170.52</v>
      </c>
      <c r="J231" s="162">
        <f>IF(D231=0,0,HLOOKUP(YEAR(D231)+(MONTH(D231)/100),TC!$5:$37,DAY(D231)+2,FALSE))</f>
        <v>20.002700000000001</v>
      </c>
      <c r="K231" s="219">
        <f t="shared" si="13"/>
        <v>3410.8604040000005</v>
      </c>
    </row>
    <row r="232" spans="2:11" s="134" customFormat="1" ht="23" customHeight="1">
      <c r="B232" s="7" t="s">
        <v>1266</v>
      </c>
      <c r="C232" s="7" t="s">
        <v>410</v>
      </c>
      <c r="D232" s="159">
        <v>44831</v>
      </c>
      <c r="E232" s="249" t="s">
        <v>737</v>
      </c>
      <c r="F232" s="7" t="s">
        <v>59</v>
      </c>
      <c r="G232" s="250">
        <v>204.3</v>
      </c>
      <c r="H232" s="162">
        <f>IF(F232=0,0,IF(F232="MXN",1/HLOOKUP(YEAR(D232)+(MONTH(D232)/100),TC!$5:$437,DAY(D232)+2,FALSE),VLOOKUP(F232,Equivalencia!$1:$23,((MAX(Equivalencia!$3:$3)-YEAR(D232))*14)+MONTH(D232)+2,FALSE)))</f>
        <v>1</v>
      </c>
      <c r="I232" s="163">
        <f t="shared" si="12"/>
        <v>204.3</v>
      </c>
      <c r="J232" s="162">
        <f>IF(D232=0,0,HLOOKUP(YEAR(D232)+(MONTH(D232)/100),TC!$5:$37,DAY(D232)+2,FALSE))</f>
        <v>20.162700000000001</v>
      </c>
      <c r="K232" s="219">
        <f t="shared" si="13"/>
        <v>4119.2396100000005</v>
      </c>
    </row>
    <row r="233" spans="2:11" s="134" customFormat="1" ht="23" customHeight="1">
      <c r="B233" s="7" t="s">
        <v>1266</v>
      </c>
      <c r="C233" s="7" t="s">
        <v>410</v>
      </c>
      <c r="D233" s="159">
        <v>44833</v>
      </c>
      <c r="E233" s="249" t="s">
        <v>856</v>
      </c>
      <c r="F233" s="7" t="s">
        <v>59</v>
      </c>
      <c r="G233" s="250">
        <v>28.8</v>
      </c>
      <c r="H233" s="162">
        <f>IF(F233=0,0,IF(F233="MXN",1/HLOOKUP(YEAR(D233)+(MONTH(D233)/100),TC!$5:$437,DAY(D233)+2,FALSE),VLOOKUP(F233,Equivalencia!$1:$23,((MAX(Equivalencia!$3:$3)-YEAR(D233))*14)+MONTH(D233)+2,FALSE)))</f>
        <v>1</v>
      </c>
      <c r="I233" s="163">
        <f t="shared" si="12"/>
        <v>28.8</v>
      </c>
      <c r="J233" s="162">
        <f>IF(D233=0,0,HLOOKUP(YEAR(D233)+(MONTH(D233)/100),TC!$5:$37,DAY(D233)+2,FALSE))</f>
        <v>20.356999999999999</v>
      </c>
      <c r="K233" s="219">
        <f t="shared" si="13"/>
        <v>586.28160000000003</v>
      </c>
    </row>
    <row r="234" spans="2:11" s="134" customFormat="1" ht="23" customHeight="1">
      <c r="B234" s="7" t="s">
        <v>1266</v>
      </c>
      <c r="C234" s="7" t="s">
        <v>410</v>
      </c>
      <c r="D234" s="159">
        <v>44833</v>
      </c>
      <c r="E234" s="249" t="s">
        <v>780</v>
      </c>
      <c r="F234" s="7" t="s">
        <v>59</v>
      </c>
      <c r="G234" s="250">
        <v>153.99</v>
      </c>
      <c r="H234" s="162">
        <f>IF(F234=0,0,IF(F234="MXN",1/HLOOKUP(YEAR(D234)+(MONTH(D234)/100),TC!$5:$437,DAY(D234)+2,FALSE),VLOOKUP(F234,Equivalencia!$1:$23,((MAX(Equivalencia!$3:$3)-YEAR(D234))*14)+MONTH(D234)+2,FALSE)))</f>
        <v>1</v>
      </c>
      <c r="I234" s="163">
        <f t="shared" si="12"/>
        <v>153.99</v>
      </c>
      <c r="J234" s="162">
        <f>IF(D234=0,0,HLOOKUP(YEAR(D234)+(MONTH(D234)/100),TC!$5:$37,DAY(D234)+2,FALSE))</f>
        <v>20.356999999999999</v>
      </c>
      <c r="K234" s="219">
        <f t="shared" si="13"/>
        <v>3134.7744299999999</v>
      </c>
    </row>
    <row r="235" spans="2:11" s="134" customFormat="1" ht="23" customHeight="1">
      <c r="B235" s="7" t="s">
        <v>1266</v>
      </c>
      <c r="C235" s="7" t="s">
        <v>410</v>
      </c>
      <c r="D235" s="159">
        <v>44833</v>
      </c>
      <c r="E235" s="249" t="s">
        <v>1002</v>
      </c>
      <c r="F235" s="7" t="s">
        <v>59</v>
      </c>
      <c r="G235" s="250">
        <v>11.88</v>
      </c>
      <c r="H235" s="162">
        <f>IF(F235=0,0,IF(F235="MXN",1/HLOOKUP(YEAR(D235)+(MONTH(D235)/100),TC!$5:$437,DAY(D235)+2,FALSE),VLOOKUP(F235,Equivalencia!$1:$23,((MAX(Equivalencia!$3:$3)-YEAR(D235))*14)+MONTH(D235)+2,FALSE)))</f>
        <v>1</v>
      </c>
      <c r="I235" s="163">
        <f t="shared" si="12"/>
        <v>11.88</v>
      </c>
      <c r="J235" s="162">
        <f>IF(D235=0,0,HLOOKUP(YEAR(D235)+(MONTH(D235)/100),TC!$5:$37,DAY(D235)+2,FALSE))</f>
        <v>20.356999999999999</v>
      </c>
      <c r="K235" s="219">
        <f t="shared" si="13"/>
        <v>241.84116</v>
      </c>
    </row>
    <row r="236" spans="2:11" s="134" customFormat="1" ht="23" customHeight="1">
      <c r="B236" s="7" t="s">
        <v>1266</v>
      </c>
      <c r="C236" s="7" t="s">
        <v>410</v>
      </c>
      <c r="D236" s="159">
        <v>44833</v>
      </c>
      <c r="E236" s="249" t="s">
        <v>1003</v>
      </c>
      <c r="F236" s="7" t="s">
        <v>59</v>
      </c>
      <c r="G236" s="250">
        <v>302.97000000000003</v>
      </c>
      <c r="H236" s="162">
        <f>IF(F236=0,0,IF(F236="MXN",1/HLOOKUP(YEAR(D236)+(MONTH(D236)/100),TC!$5:$437,DAY(D236)+2,FALSE),VLOOKUP(F236,Equivalencia!$1:$23,((MAX(Equivalencia!$3:$3)-YEAR(D236))*14)+MONTH(D236)+2,FALSE)))</f>
        <v>1</v>
      </c>
      <c r="I236" s="163">
        <f t="shared" si="12"/>
        <v>302.97000000000003</v>
      </c>
      <c r="J236" s="162">
        <f>IF(D236=0,0,HLOOKUP(YEAR(D236)+(MONTH(D236)/100),TC!$5:$37,DAY(D236)+2,FALSE))</f>
        <v>20.356999999999999</v>
      </c>
      <c r="K236" s="219">
        <f t="shared" si="13"/>
        <v>6167.5602900000004</v>
      </c>
    </row>
    <row r="237" spans="2:11" s="134" customFormat="1" ht="23" customHeight="1">
      <c r="B237" s="7" t="s">
        <v>1266</v>
      </c>
      <c r="C237" s="7" t="s">
        <v>410</v>
      </c>
      <c r="D237" s="159">
        <v>44833</v>
      </c>
      <c r="E237" s="249" t="s">
        <v>1004</v>
      </c>
      <c r="F237" s="7" t="s">
        <v>59</v>
      </c>
      <c r="G237" s="250">
        <v>67.89</v>
      </c>
      <c r="H237" s="162">
        <f>IF(F237=0,0,IF(F237="MXN",1/HLOOKUP(YEAR(D237)+(MONTH(D237)/100),TC!$5:$437,DAY(D237)+2,FALSE),VLOOKUP(F237,Equivalencia!$1:$23,((MAX(Equivalencia!$3:$3)-YEAR(D237))*14)+MONTH(D237)+2,FALSE)))</f>
        <v>1</v>
      </c>
      <c r="I237" s="163">
        <f t="shared" si="12"/>
        <v>67.89</v>
      </c>
      <c r="J237" s="162">
        <f>IF(D237=0,0,HLOOKUP(YEAR(D237)+(MONTH(D237)/100),TC!$5:$37,DAY(D237)+2,FALSE))</f>
        <v>20.356999999999999</v>
      </c>
      <c r="K237" s="219">
        <f t="shared" si="13"/>
        <v>1382.03673</v>
      </c>
    </row>
    <row r="238" spans="2:11" s="134" customFormat="1" ht="23" customHeight="1">
      <c r="B238" s="7" t="s">
        <v>1266</v>
      </c>
      <c r="C238" s="7" t="s">
        <v>410</v>
      </c>
      <c r="D238" s="159">
        <v>44833</v>
      </c>
      <c r="E238" s="249" t="s">
        <v>1005</v>
      </c>
      <c r="F238" s="7" t="s">
        <v>59</v>
      </c>
      <c r="G238" s="250">
        <v>17.16</v>
      </c>
      <c r="H238" s="162">
        <f>IF(F238=0,0,IF(F238="MXN",1/HLOOKUP(YEAR(D238)+(MONTH(D238)/100),TC!$5:$437,DAY(D238)+2,FALSE),VLOOKUP(F238,Equivalencia!$1:$23,((MAX(Equivalencia!$3:$3)-YEAR(D238))*14)+MONTH(D238)+2,FALSE)))</f>
        <v>1</v>
      </c>
      <c r="I238" s="163">
        <f t="shared" si="12"/>
        <v>17.16</v>
      </c>
      <c r="J238" s="162">
        <f>IF(D238=0,0,HLOOKUP(YEAR(D238)+(MONTH(D238)/100),TC!$5:$37,DAY(D238)+2,FALSE))</f>
        <v>20.356999999999999</v>
      </c>
      <c r="K238" s="219">
        <f t="shared" si="13"/>
        <v>349.32612</v>
      </c>
    </row>
    <row r="239" spans="2:11" s="134" customFormat="1" ht="23" customHeight="1">
      <c r="B239" s="7" t="s">
        <v>1266</v>
      </c>
      <c r="C239" s="7" t="s">
        <v>410</v>
      </c>
      <c r="D239" s="159">
        <v>44833</v>
      </c>
      <c r="E239" s="249" t="s">
        <v>777</v>
      </c>
      <c r="F239" s="7" t="s">
        <v>59</v>
      </c>
      <c r="G239" s="250">
        <v>131.41</v>
      </c>
      <c r="H239" s="162">
        <f>IF(F239=0,0,IF(F239="MXN",1/HLOOKUP(YEAR(D239)+(MONTH(D239)/100),TC!$5:$437,DAY(D239)+2,FALSE),VLOOKUP(F239,Equivalencia!$1:$23,((MAX(Equivalencia!$3:$3)-YEAR(D239))*14)+MONTH(D239)+2,FALSE)))</f>
        <v>1</v>
      </c>
      <c r="I239" s="163">
        <f t="shared" si="12"/>
        <v>131.41</v>
      </c>
      <c r="J239" s="162">
        <f>IF(D239=0,0,HLOOKUP(YEAR(D239)+(MONTH(D239)/100),TC!$5:$37,DAY(D239)+2,FALSE))</f>
        <v>20.356999999999999</v>
      </c>
      <c r="K239" s="219">
        <f t="shared" si="13"/>
        <v>2675.11337</v>
      </c>
    </row>
    <row r="240" spans="2:11" s="134" customFormat="1" ht="23" customHeight="1">
      <c r="B240" s="7" t="s">
        <v>1266</v>
      </c>
      <c r="C240" s="7" t="s">
        <v>410</v>
      </c>
      <c r="D240" s="159">
        <v>44833</v>
      </c>
      <c r="E240" s="249" t="s">
        <v>782</v>
      </c>
      <c r="F240" s="7" t="s">
        <v>59</v>
      </c>
      <c r="G240" s="250">
        <v>370.23</v>
      </c>
      <c r="H240" s="162">
        <f>IF(F240=0,0,IF(F240="MXN",1/HLOOKUP(YEAR(D240)+(MONTH(D240)/100),TC!$5:$437,DAY(D240)+2,FALSE),VLOOKUP(F240,Equivalencia!$1:$23,((MAX(Equivalencia!$3:$3)-YEAR(D240))*14)+MONTH(D240)+2,FALSE)))</f>
        <v>1</v>
      </c>
      <c r="I240" s="163">
        <f t="shared" si="12"/>
        <v>370.23</v>
      </c>
      <c r="J240" s="162">
        <f>IF(D240=0,0,HLOOKUP(YEAR(D240)+(MONTH(D240)/100),TC!$5:$37,DAY(D240)+2,FALSE))</f>
        <v>20.356999999999999</v>
      </c>
      <c r="K240" s="219">
        <f t="shared" si="13"/>
        <v>7536.7721099999999</v>
      </c>
    </row>
    <row r="241" spans="2:11" s="134" customFormat="1" ht="23" customHeight="1">
      <c r="B241" s="7" t="s">
        <v>1266</v>
      </c>
      <c r="C241" s="7" t="s">
        <v>410</v>
      </c>
      <c r="D241" s="159">
        <v>44833</v>
      </c>
      <c r="E241" s="249" t="s">
        <v>783</v>
      </c>
      <c r="F241" s="7" t="s">
        <v>59</v>
      </c>
      <c r="G241" s="250">
        <v>311.25</v>
      </c>
      <c r="H241" s="162">
        <f>IF(F241=0,0,IF(F241="MXN",1/HLOOKUP(YEAR(D241)+(MONTH(D241)/100),TC!$5:$437,DAY(D241)+2,FALSE),VLOOKUP(F241,Equivalencia!$1:$23,((MAX(Equivalencia!$3:$3)-YEAR(D241))*14)+MONTH(D241)+2,FALSE)))</f>
        <v>1</v>
      </c>
      <c r="I241" s="163">
        <f t="shared" si="12"/>
        <v>311.25</v>
      </c>
      <c r="J241" s="162">
        <f>IF(D241=0,0,HLOOKUP(YEAR(D241)+(MONTH(D241)/100),TC!$5:$37,DAY(D241)+2,FALSE))</f>
        <v>20.356999999999999</v>
      </c>
      <c r="K241" s="219">
        <f t="shared" si="13"/>
        <v>6336.11625</v>
      </c>
    </row>
    <row r="242" spans="2:11" s="134" customFormat="1" ht="23" customHeight="1">
      <c r="B242" s="7" t="s">
        <v>1266</v>
      </c>
      <c r="C242" s="7" t="s">
        <v>410</v>
      </c>
      <c r="D242" s="159">
        <v>44833</v>
      </c>
      <c r="E242" s="249" t="s">
        <v>1006</v>
      </c>
      <c r="F242" s="7" t="s">
        <v>59</v>
      </c>
      <c r="G242" s="250">
        <v>8.9</v>
      </c>
      <c r="H242" s="162">
        <f>IF(F242=0,0,IF(F242="MXN",1/HLOOKUP(YEAR(D242)+(MONTH(D242)/100),TC!$5:$437,DAY(D242)+2,FALSE),VLOOKUP(F242,Equivalencia!$1:$23,((MAX(Equivalencia!$3:$3)-YEAR(D242))*14)+MONTH(D242)+2,FALSE)))</f>
        <v>1</v>
      </c>
      <c r="I242" s="163">
        <f t="shared" si="12"/>
        <v>8.9</v>
      </c>
      <c r="J242" s="162">
        <f>IF(D242=0,0,HLOOKUP(YEAR(D242)+(MONTH(D242)/100),TC!$5:$37,DAY(D242)+2,FALSE))</f>
        <v>20.356999999999999</v>
      </c>
      <c r="K242" s="219">
        <f t="shared" si="13"/>
        <v>181.1773</v>
      </c>
    </row>
    <row r="243" spans="2:11" s="134" customFormat="1" ht="23" customHeight="1">
      <c r="B243" s="7" t="s">
        <v>1266</v>
      </c>
      <c r="C243" s="7" t="s">
        <v>410</v>
      </c>
      <c r="D243" s="159">
        <v>44833</v>
      </c>
      <c r="E243" s="249" t="s">
        <v>785</v>
      </c>
      <c r="F243" s="7" t="s">
        <v>59</v>
      </c>
      <c r="G243" s="250">
        <v>252.64</v>
      </c>
      <c r="H243" s="162">
        <f>IF(F243=0,0,IF(F243="MXN",1/HLOOKUP(YEAR(D243)+(MONTH(D243)/100),TC!$5:$437,DAY(D243)+2,FALSE),VLOOKUP(F243,Equivalencia!$1:$23,((MAX(Equivalencia!$3:$3)-YEAR(D243))*14)+MONTH(D243)+2,FALSE)))</f>
        <v>1</v>
      </c>
      <c r="I243" s="163">
        <f t="shared" si="10"/>
        <v>252.64</v>
      </c>
      <c r="J243" s="162">
        <f>IF(D243=0,0,HLOOKUP(YEAR(D243)+(MONTH(D243)/100),TC!$5:$37,DAY(D243)+2,FALSE))</f>
        <v>20.356999999999999</v>
      </c>
      <c r="K243" s="219">
        <f t="shared" si="11"/>
        <v>5142.9924799999999</v>
      </c>
    </row>
    <row r="244" spans="2:11" s="134" customFormat="1" ht="23" customHeight="1">
      <c r="B244" s="7" t="s">
        <v>1266</v>
      </c>
      <c r="C244" s="7" t="s">
        <v>410</v>
      </c>
      <c r="D244" s="159">
        <v>44833</v>
      </c>
      <c r="E244" s="249" t="s">
        <v>1007</v>
      </c>
      <c r="F244" s="7" t="s">
        <v>59</v>
      </c>
      <c r="G244" s="250">
        <v>70.349999999999994</v>
      </c>
      <c r="H244" s="162">
        <f>IF(F244=0,0,IF(F244="MXN",1/HLOOKUP(YEAR(D244)+(MONTH(D244)/100),TC!$5:$437,DAY(D244)+2,FALSE),VLOOKUP(F244,Equivalencia!$1:$23,((MAX(Equivalencia!$3:$3)-YEAR(D244))*14)+MONTH(D244)+2,FALSE)))</f>
        <v>1</v>
      </c>
      <c r="I244" s="163">
        <f t="shared" si="10"/>
        <v>70.349999999999994</v>
      </c>
      <c r="J244" s="162">
        <f>IF(D244=0,0,HLOOKUP(YEAR(D244)+(MONTH(D244)/100),TC!$5:$37,DAY(D244)+2,FALSE))</f>
        <v>20.356999999999999</v>
      </c>
      <c r="K244" s="219">
        <f t="shared" si="11"/>
        <v>1432.1149499999999</v>
      </c>
    </row>
    <row r="245" spans="2:11" s="134" customFormat="1" ht="23" customHeight="1">
      <c r="B245" s="7" t="s">
        <v>1266</v>
      </c>
      <c r="C245" s="7" t="s">
        <v>410</v>
      </c>
      <c r="D245" s="159">
        <v>44833</v>
      </c>
      <c r="E245" s="249" t="s">
        <v>786</v>
      </c>
      <c r="F245" s="7" t="s">
        <v>59</v>
      </c>
      <c r="G245" s="250">
        <v>188.05</v>
      </c>
      <c r="H245" s="162">
        <f>IF(F245=0,0,IF(F245="MXN",1/HLOOKUP(YEAR(D245)+(MONTH(D245)/100),TC!$5:$437,DAY(D245)+2,FALSE),VLOOKUP(F245,Equivalencia!$1:$23,((MAX(Equivalencia!$3:$3)-YEAR(D245))*14)+MONTH(D245)+2,FALSE)))</f>
        <v>1</v>
      </c>
      <c r="I245" s="163">
        <f t="shared" si="10"/>
        <v>188.05</v>
      </c>
      <c r="J245" s="162">
        <f>IF(D245=0,0,HLOOKUP(YEAR(D245)+(MONTH(D245)/100),TC!$5:$37,DAY(D245)+2,FALSE))</f>
        <v>20.356999999999999</v>
      </c>
      <c r="K245" s="219">
        <f t="shared" si="11"/>
        <v>3828.1338500000002</v>
      </c>
    </row>
    <row r="246" spans="2:11" s="134" customFormat="1" ht="23" customHeight="1">
      <c r="B246" s="7" t="s">
        <v>1266</v>
      </c>
      <c r="C246" s="7" t="s">
        <v>410</v>
      </c>
      <c r="D246" s="159">
        <v>44833</v>
      </c>
      <c r="E246" s="249" t="s">
        <v>787</v>
      </c>
      <c r="F246" s="7" t="s">
        <v>59</v>
      </c>
      <c r="G246" s="250">
        <v>196.17</v>
      </c>
      <c r="H246" s="162">
        <f>IF(F246=0,0,IF(F246="MXN",1/HLOOKUP(YEAR(D246)+(MONTH(D246)/100),TC!$5:$437,DAY(D246)+2,FALSE),VLOOKUP(F246,Equivalencia!$1:$23,((MAX(Equivalencia!$3:$3)-YEAR(D246))*14)+MONTH(D246)+2,FALSE)))</f>
        <v>1</v>
      </c>
      <c r="I246" s="163">
        <f t="shared" si="10"/>
        <v>196.17</v>
      </c>
      <c r="J246" s="162">
        <f>IF(D246=0,0,HLOOKUP(YEAR(D246)+(MONTH(D246)/100),TC!$5:$37,DAY(D246)+2,FALSE))</f>
        <v>20.356999999999999</v>
      </c>
      <c r="K246" s="219">
        <f t="shared" si="11"/>
        <v>3993.4326899999996</v>
      </c>
    </row>
    <row r="247" spans="2:11" s="134" customFormat="1" ht="23" hidden="1" customHeight="1">
      <c r="B247" s="7" t="s">
        <v>690</v>
      </c>
      <c r="C247" s="7" t="s">
        <v>410</v>
      </c>
      <c r="D247" s="159">
        <v>44837</v>
      </c>
      <c r="E247" s="249" t="s">
        <v>924</v>
      </c>
      <c r="F247" s="7" t="s">
        <v>59</v>
      </c>
      <c r="G247" s="250">
        <v>29.38</v>
      </c>
      <c r="H247" s="162">
        <f>IF(F247=0,0,IF(F247="MXN",1/HLOOKUP(YEAR(D247)+(MONTH(D247)/100),TC!$5:$437,DAY(D247)+2,FALSE),VLOOKUP(F247,Equivalencia!$1:$23,((MAX(Equivalencia!$3:$3)-YEAR(D247))*14)+MONTH(D247)+2,FALSE)))</f>
        <v>1</v>
      </c>
      <c r="I247" s="163">
        <f t="shared" ref="I247:I274" si="14">+H247*G247</f>
        <v>29.38</v>
      </c>
      <c r="J247" s="162">
        <f>IF(D247=0,0,HLOOKUP(YEAR(D247)+(MONTH(D247)/100),TC!$5:$37,DAY(D247)+2,FALSE))</f>
        <v>20.192699999999999</v>
      </c>
      <c r="K247" s="219">
        <f t="shared" ref="K247:K274" si="15">IF(F247="MXN",G247,H247*G247*J247)</f>
        <v>593.26152599999989</v>
      </c>
    </row>
    <row r="248" spans="2:11" s="134" customFormat="1" ht="23" hidden="1" customHeight="1">
      <c r="B248" s="7" t="s">
        <v>690</v>
      </c>
      <c r="C248" s="7" t="s">
        <v>410</v>
      </c>
      <c r="D248" s="159">
        <v>44837</v>
      </c>
      <c r="E248" s="249" t="s">
        <v>1009</v>
      </c>
      <c r="F248" s="7" t="s">
        <v>59</v>
      </c>
      <c r="G248" s="250">
        <v>6.64</v>
      </c>
      <c r="H248" s="162">
        <f>IF(F248=0,0,IF(F248="MXN",1/HLOOKUP(YEAR(D248)+(MONTH(D248)/100),TC!$5:$437,DAY(D248)+2,FALSE),VLOOKUP(F248,Equivalencia!$1:$23,((MAX(Equivalencia!$3:$3)-YEAR(D248))*14)+MONTH(D248)+2,FALSE)))</f>
        <v>1</v>
      </c>
      <c r="I248" s="163">
        <f t="shared" si="14"/>
        <v>6.64</v>
      </c>
      <c r="J248" s="162">
        <f>IF(D248=0,0,HLOOKUP(YEAR(D248)+(MONTH(D248)/100),TC!$5:$37,DAY(D248)+2,FALSE))</f>
        <v>20.192699999999999</v>
      </c>
      <c r="K248" s="219">
        <f t="shared" si="15"/>
        <v>134.07952799999998</v>
      </c>
    </row>
    <row r="249" spans="2:11" s="134" customFormat="1" ht="23" hidden="1" customHeight="1">
      <c r="B249" s="7" t="s">
        <v>690</v>
      </c>
      <c r="C249" s="7" t="s">
        <v>410</v>
      </c>
      <c r="D249" s="159">
        <v>44837</v>
      </c>
      <c r="E249" s="249" t="s">
        <v>721</v>
      </c>
      <c r="F249" s="7" t="s">
        <v>59</v>
      </c>
      <c r="G249" s="250">
        <v>65.42</v>
      </c>
      <c r="H249" s="162">
        <f>IF(F249=0,0,IF(F249="MXN",1/HLOOKUP(YEAR(D249)+(MONTH(D249)/100),TC!$5:$437,DAY(D249)+2,FALSE),VLOOKUP(F249,Equivalencia!$1:$23,((MAX(Equivalencia!$3:$3)-YEAR(D249))*14)+MONTH(D249)+2,FALSE)))</f>
        <v>1</v>
      </c>
      <c r="I249" s="163">
        <f t="shared" si="14"/>
        <v>65.42</v>
      </c>
      <c r="J249" s="162">
        <f>IF(D249=0,0,HLOOKUP(YEAR(D249)+(MONTH(D249)/100),TC!$5:$37,DAY(D249)+2,FALSE))</f>
        <v>20.192699999999999</v>
      </c>
      <c r="K249" s="219">
        <f t="shared" si="15"/>
        <v>1321.0064339999999</v>
      </c>
    </row>
    <row r="250" spans="2:11" s="134" customFormat="1" ht="23" hidden="1" customHeight="1">
      <c r="B250" s="7" t="s">
        <v>690</v>
      </c>
      <c r="C250" s="7" t="s">
        <v>410</v>
      </c>
      <c r="D250" s="159">
        <v>44838</v>
      </c>
      <c r="E250" s="249" t="s">
        <v>1010</v>
      </c>
      <c r="F250" s="7" t="s">
        <v>59</v>
      </c>
      <c r="G250" s="250">
        <v>6.82</v>
      </c>
      <c r="H250" s="162">
        <f>IF(F250=0,0,IF(F250="MXN",1/HLOOKUP(YEAR(D250)+(MONTH(D250)/100),TC!$5:$437,DAY(D250)+2,FALSE),VLOOKUP(F250,Equivalencia!$1:$23,((MAX(Equivalencia!$3:$3)-YEAR(D250))*14)+MONTH(D250)+2,FALSE)))</f>
        <v>1</v>
      </c>
      <c r="I250" s="163">
        <f t="shared" si="14"/>
        <v>6.82</v>
      </c>
      <c r="J250" s="162">
        <f>IF(D250=0,0,HLOOKUP(YEAR(D250)+(MONTH(D250)/100),TC!$5:$37,DAY(D250)+2,FALSE))</f>
        <v>20.092500000000001</v>
      </c>
      <c r="K250" s="219">
        <f t="shared" si="15"/>
        <v>137.03085000000002</v>
      </c>
    </row>
    <row r="251" spans="2:11" s="134" customFormat="1" ht="23" hidden="1" customHeight="1">
      <c r="B251" s="7" t="s">
        <v>690</v>
      </c>
      <c r="C251" s="7" t="s">
        <v>410</v>
      </c>
      <c r="D251" s="159">
        <v>44838</v>
      </c>
      <c r="E251" s="249" t="s">
        <v>926</v>
      </c>
      <c r="F251" s="7" t="s">
        <v>59</v>
      </c>
      <c r="G251" s="250">
        <v>11.39</v>
      </c>
      <c r="H251" s="162">
        <f>IF(F251=0,0,IF(F251="MXN",1/HLOOKUP(YEAR(D251)+(MONTH(D251)/100),TC!$5:$437,DAY(D251)+2,FALSE),VLOOKUP(F251,Equivalencia!$1:$23,((MAX(Equivalencia!$3:$3)-YEAR(D251))*14)+MONTH(D251)+2,FALSE)))</f>
        <v>1</v>
      </c>
      <c r="I251" s="163">
        <f t="shared" si="14"/>
        <v>11.39</v>
      </c>
      <c r="J251" s="162">
        <f>IF(D251=0,0,HLOOKUP(YEAR(D251)+(MONTH(D251)/100),TC!$5:$37,DAY(D251)+2,FALSE))</f>
        <v>20.092500000000001</v>
      </c>
      <c r="K251" s="219">
        <f t="shared" si="15"/>
        <v>228.85357500000003</v>
      </c>
    </row>
    <row r="252" spans="2:11" s="134" customFormat="1" ht="23" hidden="1" customHeight="1">
      <c r="B252" s="7" t="s">
        <v>690</v>
      </c>
      <c r="C252" s="7" t="s">
        <v>410</v>
      </c>
      <c r="D252" s="159">
        <v>44838</v>
      </c>
      <c r="E252" s="249" t="s">
        <v>927</v>
      </c>
      <c r="F252" s="7" t="s">
        <v>59</v>
      </c>
      <c r="G252" s="250">
        <v>39.56</v>
      </c>
      <c r="H252" s="162">
        <f>IF(F252=0,0,IF(F252="MXN",1/HLOOKUP(YEAR(D252)+(MONTH(D252)/100),TC!$5:$437,DAY(D252)+2,FALSE),VLOOKUP(F252,Equivalencia!$1:$23,((MAX(Equivalencia!$3:$3)-YEAR(D252))*14)+MONTH(D252)+2,FALSE)))</f>
        <v>1</v>
      </c>
      <c r="I252" s="163">
        <f t="shared" si="14"/>
        <v>39.56</v>
      </c>
      <c r="J252" s="162">
        <f>IF(D252=0,0,HLOOKUP(YEAR(D252)+(MONTH(D252)/100),TC!$5:$37,DAY(D252)+2,FALSE))</f>
        <v>20.092500000000001</v>
      </c>
      <c r="K252" s="219">
        <f t="shared" si="15"/>
        <v>794.85930000000008</v>
      </c>
    </row>
    <row r="253" spans="2:11" s="134" customFormat="1" ht="23" hidden="1" customHeight="1">
      <c r="B253" s="7" t="s">
        <v>690</v>
      </c>
      <c r="C253" s="7" t="s">
        <v>410</v>
      </c>
      <c r="D253" s="159">
        <v>44839</v>
      </c>
      <c r="E253" s="249" t="s">
        <v>1011</v>
      </c>
      <c r="F253" s="7" t="s">
        <v>59</v>
      </c>
      <c r="G253" s="250">
        <v>57.9</v>
      </c>
      <c r="H253" s="162">
        <f>IF(F253=0,0,IF(F253="MXN",1/HLOOKUP(YEAR(D253)+(MONTH(D253)/100),TC!$5:$437,DAY(D253)+2,FALSE),VLOOKUP(F253,Equivalencia!$1:$23,((MAX(Equivalencia!$3:$3)-YEAR(D253))*14)+MONTH(D253)+2,FALSE)))</f>
        <v>1</v>
      </c>
      <c r="I253" s="163">
        <f t="shared" si="14"/>
        <v>57.9</v>
      </c>
      <c r="J253" s="162">
        <f>IF(D253=0,0,HLOOKUP(YEAR(D253)+(MONTH(D253)/100),TC!$5:$37,DAY(D253)+2,FALSE))</f>
        <v>20.000800000000002</v>
      </c>
      <c r="K253" s="219">
        <f t="shared" si="15"/>
        <v>1158.0463200000002</v>
      </c>
    </row>
    <row r="254" spans="2:11" s="134" customFormat="1" ht="23" hidden="1" customHeight="1">
      <c r="B254" s="7" t="s">
        <v>690</v>
      </c>
      <c r="C254" s="7" t="s">
        <v>410</v>
      </c>
      <c r="D254" s="159">
        <v>44839</v>
      </c>
      <c r="E254" s="249" t="s">
        <v>1012</v>
      </c>
      <c r="F254" s="7" t="s">
        <v>59</v>
      </c>
      <c r="G254" s="250">
        <v>5.6</v>
      </c>
      <c r="H254" s="162">
        <f>IF(F254=0,0,IF(F254="MXN",1/HLOOKUP(YEAR(D254)+(MONTH(D254)/100),TC!$5:$437,DAY(D254)+2,FALSE),VLOOKUP(F254,Equivalencia!$1:$23,((MAX(Equivalencia!$3:$3)-YEAR(D254))*14)+MONTH(D254)+2,FALSE)))</f>
        <v>1</v>
      </c>
      <c r="I254" s="163">
        <f t="shared" si="14"/>
        <v>5.6</v>
      </c>
      <c r="J254" s="162">
        <f>IF(D254=0,0,HLOOKUP(YEAR(D254)+(MONTH(D254)/100),TC!$5:$37,DAY(D254)+2,FALSE))</f>
        <v>20.000800000000002</v>
      </c>
      <c r="K254" s="219">
        <f t="shared" si="15"/>
        <v>112.00448</v>
      </c>
    </row>
    <row r="255" spans="2:11" s="134" customFormat="1" ht="23" hidden="1" customHeight="1">
      <c r="B255" s="7" t="s">
        <v>690</v>
      </c>
      <c r="C255" s="7" t="s">
        <v>410</v>
      </c>
      <c r="D255" s="159">
        <v>44840</v>
      </c>
      <c r="E255" s="249" t="s">
        <v>928</v>
      </c>
      <c r="F255" s="7" t="s">
        <v>59</v>
      </c>
      <c r="G255" s="250">
        <v>2.15</v>
      </c>
      <c r="H255" s="162">
        <f>IF(F255=0,0,IF(F255="MXN",1/HLOOKUP(YEAR(D255)+(MONTH(D255)/100),TC!$5:$437,DAY(D255)+2,FALSE),VLOOKUP(F255,Equivalencia!$1:$23,((MAX(Equivalencia!$3:$3)-YEAR(D255))*14)+MONTH(D255)+2,FALSE)))</f>
        <v>1</v>
      </c>
      <c r="I255" s="163">
        <f t="shared" si="14"/>
        <v>2.15</v>
      </c>
      <c r="J255" s="162">
        <f>IF(D255=0,0,HLOOKUP(YEAR(D255)+(MONTH(D255)/100),TC!$5:$37,DAY(D255)+2,FALSE))</f>
        <v>19.969799999999999</v>
      </c>
      <c r="K255" s="219">
        <f t="shared" si="15"/>
        <v>42.935069999999996</v>
      </c>
    </row>
    <row r="256" spans="2:11" s="134" customFormat="1" ht="23" hidden="1" customHeight="1">
      <c r="B256" s="7" t="s">
        <v>690</v>
      </c>
      <c r="C256" s="7" t="s">
        <v>410</v>
      </c>
      <c r="D256" s="159">
        <v>44841</v>
      </c>
      <c r="E256" s="249" t="s">
        <v>930</v>
      </c>
      <c r="F256" s="7" t="s">
        <v>59</v>
      </c>
      <c r="G256" s="250">
        <v>32.380000000000003</v>
      </c>
      <c r="H256" s="162">
        <f>IF(F256=0,0,IF(F256="MXN",1/HLOOKUP(YEAR(D256)+(MONTH(D256)/100),TC!$5:$437,DAY(D256)+2,FALSE),VLOOKUP(F256,Equivalencia!$1:$23,((MAX(Equivalencia!$3:$3)-YEAR(D256))*14)+MONTH(D256)+2,FALSE)))</f>
        <v>1</v>
      </c>
      <c r="I256" s="163">
        <f t="shared" si="14"/>
        <v>32.380000000000003</v>
      </c>
      <c r="J256" s="162">
        <f>IF(D256=0,0,HLOOKUP(YEAR(D256)+(MONTH(D256)/100),TC!$5:$37,DAY(D256)+2,FALSE))</f>
        <v>20.1267</v>
      </c>
      <c r="K256" s="219">
        <f t="shared" si="15"/>
        <v>651.70254599999998</v>
      </c>
    </row>
    <row r="257" spans="2:11" s="134" customFormat="1" ht="23" hidden="1" customHeight="1">
      <c r="B257" s="7" t="s">
        <v>690</v>
      </c>
      <c r="C257" s="7" t="s">
        <v>410</v>
      </c>
      <c r="D257" s="159">
        <v>44845</v>
      </c>
      <c r="E257" s="249" t="s">
        <v>931</v>
      </c>
      <c r="F257" s="7" t="s">
        <v>59</v>
      </c>
      <c r="G257" s="250">
        <v>241.39</v>
      </c>
      <c r="H257" s="162">
        <f>IF(F257=0,0,IF(F257="MXN",1/HLOOKUP(YEAR(D257)+(MONTH(D257)/100),TC!$5:$437,DAY(D257)+2,FALSE),VLOOKUP(F257,Equivalencia!$1:$23,((MAX(Equivalencia!$3:$3)-YEAR(D257))*14)+MONTH(D257)+2,FALSE)))</f>
        <v>1</v>
      </c>
      <c r="I257" s="163">
        <f t="shared" si="14"/>
        <v>241.39</v>
      </c>
      <c r="J257" s="162">
        <f>IF(D257=0,0,HLOOKUP(YEAR(D257)+(MONTH(D257)/100),TC!$5:$37,DAY(D257)+2,FALSE))</f>
        <v>20.0502</v>
      </c>
      <c r="K257" s="219">
        <f t="shared" si="15"/>
        <v>4839.917778</v>
      </c>
    </row>
    <row r="258" spans="2:11" s="134" customFormat="1" ht="23" hidden="1" customHeight="1">
      <c r="B258" s="7" t="s">
        <v>690</v>
      </c>
      <c r="C258" s="7" t="s">
        <v>410</v>
      </c>
      <c r="D258" s="159">
        <v>44845</v>
      </c>
      <c r="E258" s="249" t="s">
        <v>925</v>
      </c>
      <c r="F258" s="7" t="s">
        <v>59</v>
      </c>
      <c r="G258" s="250">
        <v>26.14</v>
      </c>
      <c r="H258" s="162">
        <f>IF(F258=0,0,IF(F258="MXN",1/HLOOKUP(YEAR(D258)+(MONTH(D258)/100),TC!$5:$437,DAY(D258)+2,FALSE),VLOOKUP(F258,Equivalencia!$1:$23,((MAX(Equivalencia!$3:$3)-YEAR(D258))*14)+MONTH(D258)+2,FALSE)))</f>
        <v>1</v>
      </c>
      <c r="I258" s="163">
        <f t="shared" si="14"/>
        <v>26.14</v>
      </c>
      <c r="J258" s="162">
        <f>IF(D258=0,0,HLOOKUP(YEAR(D258)+(MONTH(D258)/100),TC!$5:$37,DAY(D258)+2,FALSE))</f>
        <v>20.0502</v>
      </c>
      <c r="K258" s="219">
        <f t="shared" si="15"/>
        <v>524.11222800000007</v>
      </c>
    </row>
    <row r="259" spans="2:11" s="134" customFormat="1" ht="23" hidden="1" customHeight="1">
      <c r="B259" s="7" t="s">
        <v>690</v>
      </c>
      <c r="C259" s="7" t="s">
        <v>410</v>
      </c>
      <c r="D259" s="159">
        <v>44848</v>
      </c>
      <c r="E259" s="249" t="s">
        <v>738</v>
      </c>
      <c r="F259" s="7" t="s">
        <v>59</v>
      </c>
      <c r="G259" s="250">
        <v>746.76</v>
      </c>
      <c r="H259" s="162">
        <f>IF(F259=0,0,IF(F259="MXN",1/HLOOKUP(YEAR(D259)+(MONTH(D259)/100),TC!$5:$437,DAY(D259)+2,FALSE),VLOOKUP(F259,Equivalencia!$1:$23,((MAX(Equivalencia!$3:$3)-YEAR(D259))*14)+MONTH(D259)+2,FALSE)))</f>
        <v>1</v>
      </c>
      <c r="I259" s="163">
        <f t="shared" si="14"/>
        <v>746.76</v>
      </c>
      <c r="J259" s="162">
        <f>IF(D259=0,0,HLOOKUP(YEAR(D259)+(MONTH(D259)/100),TC!$5:$37,DAY(D259)+2,FALSE))</f>
        <v>20.0352</v>
      </c>
      <c r="K259" s="219">
        <f t="shared" si="15"/>
        <v>14961.485951999999</v>
      </c>
    </row>
    <row r="260" spans="2:11" s="134" customFormat="1" ht="23" hidden="1" customHeight="1">
      <c r="B260" s="7" t="s">
        <v>690</v>
      </c>
      <c r="C260" s="7" t="s">
        <v>410</v>
      </c>
      <c r="D260" s="159">
        <v>44848</v>
      </c>
      <c r="E260" s="249" t="s">
        <v>1014</v>
      </c>
      <c r="F260" s="7" t="s">
        <v>59</v>
      </c>
      <c r="G260" s="250">
        <v>12.25</v>
      </c>
      <c r="H260" s="162">
        <f>IF(F260=0,0,IF(F260="MXN",1/HLOOKUP(YEAR(D260)+(MONTH(D260)/100),TC!$5:$437,DAY(D260)+2,FALSE),VLOOKUP(F260,Equivalencia!$1:$23,((MAX(Equivalencia!$3:$3)-YEAR(D260))*14)+MONTH(D260)+2,FALSE)))</f>
        <v>1</v>
      </c>
      <c r="I260" s="163">
        <f t="shared" si="14"/>
        <v>12.25</v>
      </c>
      <c r="J260" s="162">
        <f>IF(D260=0,0,HLOOKUP(YEAR(D260)+(MONTH(D260)/100),TC!$5:$37,DAY(D260)+2,FALSE))</f>
        <v>20.0352</v>
      </c>
      <c r="K260" s="219">
        <f t="shared" si="15"/>
        <v>245.43119999999999</v>
      </c>
    </row>
    <row r="261" spans="2:11" s="134" customFormat="1" ht="23" hidden="1" customHeight="1">
      <c r="B261" s="7" t="s">
        <v>690</v>
      </c>
      <c r="C261" s="7" t="s">
        <v>410</v>
      </c>
      <c r="D261" s="159">
        <v>44848</v>
      </c>
      <c r="E261" s="249" t="s">
        <v>740</v>
      </c>
      <c r="F261" s="7" t="s">
        <v>59</v>
      </c>
      <c r="G261" s="250">
        <v>11.25</v>
      </c>
      <c r="H261" s="162">
        <f>IF(F261=0,0,IF(F261="MXN",1/HLOOKUP(YEAR(D261)+(MONTH(D261)/100),TC!$5:$437,DAY(D261)+2,FALSE),VLOOKUP(F261,Equivalencia!$1:$23,((MAX(Equivalencia!$3:$3)-YEAR(D261))*14)+MONTH(D261)+2,FALSE)))</f>
        <v>1</v>
      </c>
      <c r="I261" s="163">
        <f t="shared" si="14"/>
        <v>11.25</v>
      </c>
      <c r="J261" s="162">
        <f>IF(D261=0,0,HLOOKUP(YEAR(D261)+(MONTH(D261)/100),TC!$5:$37,DAY(D261)+2,FALSE))</f>
        <v>20.0352</v>
      </c>
      <c r="K261" s="219">
        <f t="shared" si="15"/>
        <v>225.39599999999999</v>
      </c>
    </row>
    <row r="262" spans="2:11" s="134" customFormat="1" ht="23" hidden="1" customHeight="1">
      <c r="B262" s="7" t="s">
        <v>690</v>
      </c>
      <c r="C262" s="7" t="s">
        <v>410</v>
      </c>
      <c r="D262" s="159">
        <v>44851</v>
      </c>
      <c r="E262" s="249" t="s">
        <v>932</v>
      </c>
      <c r="F262" s="7" t="s">
        <v>59</v>
      </c>
      <c r="G262" s="250">
        <v>36.44</v>
      </c>
      <c r="H262" s="162">
        <f>IF(F262=0,0,IF(F262="MXN",1/HLOOKUP(YEAR(D262)+(MONTH(D262)/100),TC!$5:$437,DAY(D262)+2,FALSE),VLOOKUP(F262,Equivalencia!$1:$23,((MAX(Equivalencia!$3:$3)-YEAR(D262))*14)+MONTH(D262)+2,FALSE)))</f>
        <v>1</v>
      </c>
      <c r="I262" s="163">
        <f t="shared" si="14"/>
        <v>36.44</v>
      </c>
      <c r="J262" s="162">
        <f>IF(D262=0,0,HLOOKUP(YEAR(D262)+(MONTH(D262)/100),TC!$5:$37,DAY(D262)+2,FALSE))</f>
        <v>20.0398</v>
      </c>
      <c r="K262" s="219">
        <f t="shared" si="15"/>
        <v>730.25031199999989</v>
      </c>
    </row>
    <row r="263" spans="2:11" s="134" customFormat="1" ht="23" hidden="1" customHeight="1">
      <c r="B263" s="7" t="s">
        <v>690</v>
      </c>
      <c r="C263" s="7" t="s">
        <v>410</v>
      </c>
      <c r="D263" s="159">
        <v>44851</v>
      </c>
      <c r="E263" s="249" t="s">
        <v>1015</v>
      </c>
      <c r="F263" s="7" t="s">
        <v>59</v>
      </c>
      <c r="G263" s="250">
        <v>16.16</v>
      </c>
      <c r="H263" s="162">
        <f>IF(F263=0,0,IF(F263="MXN",1/HLOOKUP(YEAR(D263)+(MONTH(D263)/100),TC!$5:$437,DAY(D263)+2,FALSE),VLOOKUP(F263,Equivalencia!$1:$23,((MAX(Equivalencia!$3:$3)-YEAR(D263))*14)+MONTH(D263)+2,FALSE)))</f>
        <v>1</v>
      </c>
      <c r="I263" s="163">
        <f t="shared" si="14"/>
        <v>16.16</v>
      </c>
      <c r="J263" s="162">
        <f>IF(D263=0,0,HLOOKUP(YEAR(D263)+(MONTH(D263)/100),TC!$5:$37,DAY(D263)+2,FALSE))</f>
        <v>20.0398</v>
      </c>
      <c r="K263" s="219">
        <f t="shared" si="15"/>
        <v>323.84316799999999</v>
      </c>
    </row>
    <row r="264" spans="2:11" s="134" customFormat="1" ht="23" hidden="1" customHeight="1">
      <c r="B264" s="7" t="s">
        <v>690</v>
      </c>
      <c r="C264" s="7" t="s">
        <v>410</v>
      </c>
      <c r="D264" s="159">
        <v>44852</v>
      </c>
      <c r="E264" s="249" t="s">
        <v>741</v>
      </c>
      <c r="F264" s="7" t="s">
        <v>59</v>
      </c>
      <c r="G264" s="250">
        <v>44.39</v>
      </c>
      <c r="H264" s="162">
        <f>IF(F264=0,0,IF(F264="MXN",1/HLOOKUP(YEAR(D264)+(MONTH(D264)/100),TC!$5:$437,DAY(D264)+2,FALSE),VLOOKUP(F264,Equivalencia!$1:$23,((MAX(Equivalencia!$3:$3)-YEAR(D264))*14)+MONTH(D264)+2,FALSE)))</f>
        <v>1</v>
      </c>
      <c r="I264" s="163">
        <f t="shared" si="14"/>
        <v>44.39</v>
      </c>
      <c r="J264" s="162">
        <f>IF(D264=0,0,HLOOKUP(YEAR(D264)+(MONTH(D264)/100),TC!$5:$37,DAY(D264)+2,FALSE))</f>
        <v>20.0838</v>
      </c>
      <c r="K264" s="219">
        <f t="shared" si="15"/>
        <v>891.51988200000005</v>
      </c>
    </row>
    <row r="265" spans="2:11" s="134" customFormat="1" ht="23" hidden="1" customHeight="1">
      <c r="B265" s="7" t="s">
        <v>690</v>
      </c>
      <c r="C265" s="7" t="s">
        <v>410</v>
      </c>
      <c r="D265" s="159">
        <v>44853</v>
      </c>
      <c r="E265" s="249" t="s">
        <v>934</v>
      </c>
      <c r="F265" s="7" t="s">
        <v>59</v>
      </c>
      <c r="G265" s="250">
        <v>42.37</v>
      </c>
      <c r="H265" s="162">
        <f>IF(F265=0,0,IF(F265="MXN",1/HLOOKUP(YEAR(D265)+(MONTH(D265)/100),TC!$5:$437,DAY(D265)+2,FALSE),VLOOKUP(F265,Equivalencia!$1:$23,((MAX(Equivalencia!$3:$3)-YEAR(D265))*14)+MONTH(D265)+2,FALSE)))</f>
        <v>1</v>
      </c>
      <c r="I265" s="163">
        <f t="shared" si="14"/>
        <v>42.37</v>
      </c>
      <c r="J265" s="162">
        <f>IF(D265=0,0,HLOOKUP(YEAR(D265)+(MONTH(D265)/100),TC!$5:$37,DAY(D265)+2,FALSE))</f>
        <v>19.991299999999999</v>
      </c>
      <c r="K265" s="219">
        <f t="shared" si="15"/>
        <v>847.0313809999999</v>
      </c>
    </row>
    <row r="266" spans="2:11" s="134" customFormat="1" ht="23" hidden="1" customHeight="1">
      <c r="B266" s="7" t="s">
        <v>690</v>
      </c>
      <c r="C266" s="7" t="s">
        <v>410</v>
      </c>
      <c r="D266" s="159">
        <v>44859</v>
      </c>
      <c r="E266" s="249" t="s">
        <v>935</v>
      </c>
      <c r="F266" s="7" t="s">
        <v>59</v>
      </c>
      <c r="G266" s="250">
        <v>31.1</v>
      </c>
      <c r="H266" s="162">
        <f>IF(F266=0,0,IF(F266="MXN",1/HLOOKUP(YEAR(D266)+(MONTH(D266)/100),TC!$5:$437,DAY(D266)+2,FALSE),VLOOKUP(F266,Equivalencia!$1:$23,((MAX(Equivalencia!$3:$3)-YEAR(D266))*14)+MONTH(D266)+2,FALSE)))</f>
        <v>1</v>
      </c>
      <c r="I266" s="163">
        <f t="shared" si="14"/>
        <v>31.1</v>
      </c>
      <c r="J266" s="162">
        <f>IF(D266=0,0,HLOOKUP(YEAR(D266)+(MONTH(D266)/100),TC!$5:$37,DAY(D266)+2,FALSE))</f>
        <v>19.964700000000001</v>
      </c>
      <c r="K266" s="219">
        <f t="shared" si="15"/>
        <v>620.90217000000007</v>
      </c>
    </row>
    <row r="267" spans="2:11" s="134" customFormat="1" ht="23" hidden="1" customHeight="1">
      <c r="B267" s="7" t="s">
        <v>690</v>
      </c>
      <c r="C267" s="7" t="s">
        <v>410</v>
      </c>
      <c r="D267" s="159">
        <v>44860</v>
      </c>
      <c r="E267" s="249" t="s">
        <v>742</v>
      </c>
      <c r="F267" s="7" t="s">
        <v>59</v>
      </c>
      <c r="G267" s="250">
        <v>223.97</v>
      </c>
      <c r="H267" s="162">
        <f>IF(F267=0,0,IF(F267="MXN",1/HLOOKUP(YEAR(D267)+(MONTH(D267)/100),TC!$5:$437,DAY(D267)+2,FALSE),VLOOKUP(F267,Equivalencia!$1:$23,((MAX(Equivalencia!$3:$3)-YEAR(D267))*14)+MONTH(D267)+2,FALSE)))</f>
        <v>1</v>
      </c>
      <c r="I267" s="163">
        <f t="shared" si="14"/>
        <v>223.97</v>
      </c>
      <c r="J267" s="162">
        <f>IF(D267=0,0,HLOOKUP(YEAR(D267)+(MONTH(D267)/100),TC!$5:$37,DAY(D267)+2,FALSE))</f>
        <v>19.953499999999998</v>
      </c>
      <c r="K267" s="219">
        <f t="shared" si="15"/>
        <v>4468.9853949999997</v>
      </c>
    </row>
    <row r="268" spans="2:11" s="134" customFormat="1" ht="23" hidden="1" customHeight="1">
      <c r="B268" s="7" t="s">
        <v>690</v>
      </c>
      <c r="C268" s="7" t="s">
        <v>410</v>
      </c>
      <c r="D268" s="159">
        <v>44860</v>
      </c>
      <c r="E268" s="249" t="s">
        <v>736</v>
      </c>
      <c r="F268" s="7" t="s">
        <v>59</v>
      </c>
      <c r="G268" s="250">
        <v>166.7</v>
      </c>
      <c r="H268" s="162">
        <f>IF(F268=0,0,IF(F268="MXN",1/HLOOKUP(YEAR(D268)+(MONTH(D268)/100),TC!$5:$437,DAY(D268)+2,FALSE),VLOOKUP(F268,Equivalencia!$1:$23,((MAX(Equivalencia!$3:$3)-YEAR(D268))*14)+MONTH(D268)+2,FALSE)))</f>
        <v>1</v>
      </c>
      <c r="I268" s="163">
        <f t="shared" si="14"/>
        <v>166.7</v>
      </c>
      <c r="J268" s="162">
        <f>IF(D268=0,0,HLOOKUP(YEAR(D268)+(MONTH(D268)/100),TC!$5:$37,DAY(D268)+2,FALSE))</f>
        <v>19.953499999999998</v>
      </c>
      <c r="K268" s="219">
        <f t="shared" si="15"/>
        <v>3326.2484499999996</v>
      </c>
    </row>
    <row r="269" spans="2:11" s="134" customFormat="1" ht="23" hidden="1" customHeight="1">
      <c r="B269" s="7" t="s">
        <v>690</v>
      </c>
      <c r="C269" s="7" t="s">
        <v>410</v>
      </c>
      <c r="D269" s="159">
        <v>44860</v>
      </c>
      <c r="E269" s="249" t="s">
        <v>743</v>
      </c>
      <c r="F269" s="7" t="s">
        <v>59</v>
      </c>
      <c r="G269" s="250">
        <v>330.94</v>
      </c>
      <c r="H269" s="162">
        <f>IF(F269=0,0,IF(F269="MXN",1/HLOOKUP(YEAR(D269)+(MONTH(D269)/100),TC!$5:$437,DAY(D269)+2,FALSE),VLOOKUP(F269,Equivalencia!$1:$23,((MAX(Equivalencia!$3:$3)-YEAR(D269))*14)+MONTH(D269)+2,FALSE)))</f>
        <v>1</v>
      </c>
      <c r="I269" s="163">
        <f t="shared" si="14"/>
        <v>330.94</v>
      </c>
      <c r="J269" s="162">
        <f>IF(D269=0,0,HLOOKUP(YEAR(D269)+(MONTH(D269)/100),TC!$5:$37,DAY(D269)+2,FALSE))</f>
        <v>19.953499999999998</v>
      </c>
      <c r="K269" s="219">
        <f t="shared" si="15"/>
        <v>6603.4112899999991</v>
      </c>
    </row>
    <row r="270" spans="2:11" s="134" customFormat="1" ht="23" hidden="1" customHeight="1">
      <c r="B270" s="7" t="s">
        <v>690</v>
      </c>
      <c r="C270" s="7" t="s">
        <v>410</v>
      </c>
      <c r="D270" s="159">
        <v>44862</v>
      </c>
      <c r="E270" s="249" t="s">
        <v>937</v>
      </c>
      <c r="F270" s="7" t="s">
        <v>59</v>
      </c>
      <c r="G270" s="250">
        <v>17.05</v>
      </c>
      <c r="H270" s="162">
        <f>IF(F270=0,0,IF(F270="MXN",1/HLOOKUP(YEAR(D270)+(MONTH(D270)/100),TC!$5:$437,DAY(D270)+2,FALSE),VLOOKUP(F270,Equivalencia!$1:$23,((MAX(Equivalencia!$3:$3)-YEAR(D270))*14)+MONTH(D270)+2,FALSE)))</f>
        <v>1</v>
      </c>
      <c r="I270" s="163">
        <f t="shared" si="14"/>
        <v>17.05</v>
      </c>
      <c r="J270" s="162">
        <f>IF(D270=0,0,HLOOKUP(YEAR(D270)+(MONTH(D270)/100),TC!$5:$37,DAY(D270)+2,FALSE))</f>
        <v>19.8553</v>
      </c>
      <c r="K270" s="219">
        <f t="shared" si="15"/>
        <v>338.53286500000002</v>
      </c>
    </row>
    <row r="271" spans="2:11" s="134" customFormat="1" ht="23" hidden="1" customHeight="1">
      <c r="B271" s="7" t="s">
        <v>690</v>
      </c>
      <c r="C271" s="7" t="s">
        <v>410</v>
      </c>
      <c r="D271" s="159">
        <v>44862</v>
      </c>
      <c r="E271" s="249" t="s">
        <v>744</v>
      </c>
      <c r="F271" s="7" t="s">
        <v>59</v>
      </c>
      <c r="G271" s="250">
        <v>23.85</v>
      </c>
      <c r="H271" s="162">
        <f>IF(F271=0,0,IF(F271="MXN",1/HLOOKUP(YEAR(D271)+(MONTH(D271)/100),TC!$5:$437,DAY(D271)+2,FALSE),VLOOKUP(F271,Equivalencia!$1:$23,((MAX(Equivalencia!$3:$3)-YEAR(D271))*14)+MONTH(D271)+2,FALSE)))</f>
        <v>1</v>
      </c>
      <c r="I271" s="163">
        <f t="shared" si="14"/>
        <v>23.85</v>
      </c>
      <c r="J271" s="162">
        <f>IF(D271=0,0,HLOOKUP(YEAR(D271)+(MONTH(D271)/100),TC!$5:$37,DAY(D271)+2,FALSE))</f>
        <v>19.8553</v>
      </c>
      <c r="K271" s="219">
        <f t="shared" si="15"/>
        <v>473.54890500000005</v>
      </c>
    </row>
    <row r="272" spans="2:11" s="134" customFormat="1" ht="23" hidden="1" customHeight="1">
      <c r="B272" s="7" t="s">
        <v>690</v>
      </c>
      <c r="C272" s="7" t="s">
        <v>410</v>
      </c>
      <c r="D272" s="159">
        <v>44862</v>
      </c>
      <c r="E272" s="249" t="s">
        <v>788</v>
      </c>
      <c r="F272" s="7" t="s">
        <v>59</v>
      </c>
      <c r="G272" s="250">
        <v>303</v>
      </c>
      <c r="H272" s="162">
        <f>IF(F272=0,0,IF(F272="MXN",1/HLOOKUP(YEAR(D272)+(MONTH(D272)/100),TC!$5:$437,DAY(D272)+2,FALSE),VLOOKUP(F272,Equivalencia!$1:$23,((MAX(Equivalencia!$3:$3)-YEAR(D272))*14)+MONTH(D272)+2,FALSE)))</f>
        <v>1</v>
      </c>
      <c r="I272" s="163">
        <f t="shared" si="14"/>
        <v>303</v>
      </c>
      <c r="J272" s="162">
        <f>IF(D272=0,0,HLOOKUP(YEAR(D272)+(MONTH(D272)/100),TC!$5:$37,DAY(D272)+2,FALSE))</f>
        <v>19.8553</v>
      </c>
      <c r="K272" s="219">
        <f t="shared" si="15"/>
        <v>6016.1558999999997</v>
      </c>
    </row>
    <row r="273" spans="2:11" s="134" customFormat="1" ht="23" hidden="1" customHeight="1">
      <c r="B273" s="7" t="s">
        <v>690</v>
      </c>
      <c r="C273" s="7" t="s">
        <v>410</v>
      </c>
      <c r="D273" s="159">
        <v>44862</v>
      </c>
      <c r="E273" s="249" t="s">
        <v>745</v>
      </c>
      <c r="F273" s="7" t="s">
        <v>59</v>
      </c>
      <c r="G273" s="250">
        <v>231.53</v>
      </c>
      <c r="H273" s="162">
        <f>IF(F273=0,0,IF(F273="MXN",1/HLOOKUP(YEAR(D273)+(MONTH(D273)/100),TC!$5:$437,DAY(D273)+2,FALSE),VLOOKUP(F273,Equivalencia!$1:$23,((MAX(Equivalencia!$3:$3)-YEAR(D273))*14)+MONTH(D273)+2,FALSE)))</f>
        <v>1</v>
      </c>
      <c r="I273" s="163">
        <f t="shared" si="14"/>
        <v>231.53</v>
      </c>
      <c r="J273" s="162">
        <f>IF(D273=0,0,HLOOKUP(YEAR(D273)+(MONTH(D273)/100),TC!$5:$37,DAY(D273)+2,FALSE))</f>
        <v>19.8553</v>
      </c>
      <c r="K273" s="219">
        <f t="shared" si="15"/>
        <v>4597.0976090000004</v>
      </c>
    </row>
    <row r="274" spans="2:11" s="134" customFormat="1" ht="23" hidden="1" customHeight="1">
      <c r="B274" s="7" t="s">
        <v>690</v>
      </c>
      <c r="C274" s="7" t="s">
        <v>410</v>
      </c>
      <c r="D274" s="159">
        <v>44862</v>
      </c>
      <c r="E274" s="249" t="s">
        <v>1016</v>
      </c>
      <c r="F274" s="7" t="s">
        <v>59</v>
      </c>
      <c r="G274" s="250">
        <v>59.4</v>
      </c>
      <c r="H274" s="162">
        <f>IF(F274=0,0,IF(F274="MXN",1/HLOOKUP(YEAR(D274)+(MONTH(D274)/100),TC!$5:$437,DAY(D274)+2,FALSE),VLOOKUP(F274,Equivalencia!$1:$23,((MAX(Equivalencia!$3:$3)-YEAR(D274))*14)+MONTH(D274)+2,FALSE)))</f>
        <v>1</v>
      </c>
      <c r="I274" s="163">
        <f t="shared" si="14"/>
        <v>59.4</v>
      </c>
      <c r="J274" s="162">
        <f>IF(D274=0,0,HLOOKUP(YEAR(D274)+(MONTH(D274)/100),TC!$5:$37,DAY(D274)+2,FALSE))</f>
        <v>19.8553</v>
      </c>
      <c r="K274" s="219">
        <f t="shared" si="15"/>
        <v>1179.40482</v>
      </c>
    </row>
    <row r="275" spans="2:11" s="134" customFormat="1" ht="23" hidden="1" customHeight="1">
      <c r="B275" s="7"/>
      <c r="C275" s="7"/>
      <c r="D275" s="159"/>
      <c r="E275" s="249"/>
      <c r="F275" s="7"/>
      <c r="G275" s="219"/>
      <c r="H275" s="162">
        <f>IF(F275=0,0,IF(F275="MXN",1/HLOOKUP(YEAR(D275)+(MONTH(D275)/100),TC!$5:$437,DAY(D275)+2,FALSE),VLOOKUP(F275,Equivalencia!$1:$23,((MAX(Equivalencia!$3:$3)-YEAR(D275))*14)+MONTH(D275)+2,FALSE)))</f>
        <v>0</v>
      </c>
      <c r="I275" s="163">
        <f t="shared" si="10"/>
        <v>0</v>
      </c>
      <c r="J275" s="162">
        <f>IF(D275=0,0,HLOOKUP(YEAR(D275)+(MONTH(D275)/100),TC!$5:$37,DAY(D275)+2,FALSE))</f>
        <v>0</v>
      </c>
      <c r="K275" s="219">
        <f t="shared" si="11"/>
        <v>0</v>
      </c>
    </row>
    <row r="276" spans="2:11" s="134" customFormat="1" ht="23" hidden="1" customHeight="1">
      <c r="B276" s="7"/>
      <c r="C276" s="7"/>
      <c r="D276" s="159"/>
      <c r="E276" s="249"/>
      <c r="F276" s="7"/>
      <c r="G276" s="219"/>
      <c r="H276" s="162">
        <f>IF(F276=0,0,IF(F276="MXN",1/HLOOKUP(YEAR(D276)+(MONTH(D276)/100),TC!$5:$437,DAY(D276)+2,FALSE),VLOOKUP(F276,Equivalencia!$1:$23,((MAX(Equivalencia!$3:$3)-YEAR(D276))*14)+MONTH(D276)+2,FALSE)))</f>
        <v>0</v>
      </c>
      <c r="I276" s="163">
        <f t="shared" si="10"/>
        <v>0</v>
      </c>
      <c r="J276" s="162">
        <f>IF(D276=0,0,HLOOKUP(YEAR(D276)+(MONTH(D276)/100),TC!$5:$37,DAY(D276)+2,FALSE))</f>
        <v>0</v>
      </c>
      <c r="K276" s="219">
        <f t="shared" si="11"/>
        <v>0</v>
      </c>
    </row>
    <row r="277" spans="2:11" s="134" customFormat="1" ht="23" hidden="1" customHeight="1">
      <c r="B277" s="7"/>
      <c r="C277" s="7"/>
      <c r="D277" s="159"/>
      <c r="E277" s="249"/>
      <c r="F277" s="7"/>
      <c r="G277" s="219"/>
      <c r="H277" s="162">
        <f>IF(F277=0,0,IF(F277="MXN",1/HLOOKUP(YEAR(D277)+(MONTH(D277)/100),TC!$5:$437,DAY(D277)+2,FALSE),VLOOKUP(F277,Equivalencia!$1:$23,((MAX(Equivalencia!$3:$3)-YEAR(D277))*14)+MONTH(D277)+2,FALSE)))</f>
        <v>0</v>
      </c>
      <c r="I277" s="163">
        <f t="shared" si="10"/>
        <v>0</v>
      </c>
      <c r="J277" s="162">
        <f>IF(D277=0,0,HLOOKUP(YEAR(D277)+(MONTH(D277)/100),TC!$5:$37,DAY(D277)+2,FALSE))</f>
        <v>0</v>
      </c>
      <c r="K277" s="219">
        <f t="shared" si="11"/>
        <v>0</v>
      </c>
    </row>
    <row r="278" spans="2:11" s="134" customFormat="1" ht="23" hidden="1" customHeight="1">
      <c r="B278" s="7" t="s">
        <v>689</v>
      </c>
      <c r="C278" s="7" t="s">
        <v>410</v>
      </c>
      <c r="D278" s="159">
        <v>44564</v>
      </c>
      <c r="E278" s="249" t="s">
        <v>735</v>
      </c>
      <c r="F278" s="7" t="s">
        <v>59</v>
      </c>
      <c r="G278" s="219">
        <v>363</v>
      </c>
      <c r="H278" s="162">
        <f>IF(F278=0,0,IF(F278="MXN",1/HLOOKUP(YEAR(D278)+(MONTH(D278)/100),TC!$5:$437,DAY(D278)+2,FALSE),VLOOKUP(F278,Equivalencia!$1:$23,((MAX(Equivalencia!$3:$3)-YEAR(D278))*14)+MONTH(D278)+2,FALSE)))</f>
        <v>1</v>
      </c>
      <c r="I278" s="163">
        <f t="shared" ref="I278:I319" si="16">+H278*G278</f>
        <v>363</v>
      </c>
      <c r="J278" s="162">
        <f>IF(D278=0,0,HLOOKUP(YEAR(D278)+(MONTH(D278)/100),TC!$5:$37,DAY(D278)+2,FALSE))</f>
        <v>20.515699999999999</v>
      </c>
      <c r="K278" s="219">
        <f t="shared" ref="K278:K319" si="17">IF(F278="MXN",G278,H278*G278*J278)</f>
        <v>7447.1990999999998</v>
      </c>
    </row>
    <row r="279" spans="2:11" s="134" customFormat="1" ht="23" hidden="1" customHeight="1">
      <c r="B279" s="7" t="s">
        <v>689</v>
      </c>
      <c r="C279" s="7" t="s">
        <v>410</v>
      </c>
      <c r="D279" s="159">
        <v>44568</v>
      </c>
      <c r="E279" s="249" t="s">
        <v>790</v>
      </c>
      <c r="F279" s="7" t="s">
        <v>59</v>
      </c>
      <c r="G279" s="219">
        <v>2730.33</v>
      </c>
      <c r="H279" s="162">
        <f>IF(F279=0,0,IF(F279="MXN",1/HLOOKUP(YEAR(D279)+(MONTH(D279)/100),TC!$5:$437,DAY(D279)+2,FALSE),VLOOKUP(F279,Equivalencia!$1:$23,((MAX(Equivalencia!$3:$3)-YEAR(D279))*14)+MONTH(D279)+2,FALSE)))</f>
        <v>1</v>
      </c>
      <c r="I279" s="163">
        <f t="shared" si="16"/>
        <v>2730.33</v>
      </c>
      <c r="J279" s="162">
        <f>IF(D279=0,0,HLOOKUP(YEAR(D279)+(MONTH(D279)/100),TC!$5:$37,DAY(D279)+2,FALSE))</f>
        <v>20.3977</v>
      </c>
      <c r="K279" s="219">
        <f t="shared" si="17"/>
        <v>55692.452240999999</v>
      </c>
    </row>
    <row r="280" spans="2:11" s="134" customFormat="1" ht="23" hidden="1" customHeight="1">
      <c r="B280" s="7" t="s">
        <v>689</v>
      </c>
      <c r="C280" s="7" t="s">
        <v>410</v>
      </c>
      <c r="D280" s="159">
        <v>44568</v>
      </c>
      <c r="E280" s="249" t="s">
        <v>791</v>
      </c>
      <c r="F280" s="7" t="s">
        <v>59</v>
      </c>
      <c r="G280" s="219">
        <v>1370.63</v>
      </c>
      <c r="H280" s="162">
        <f>IF(F280=0,0,IF(F280="MXN",1/HLOOKUP(YEAR(D280)+(MONTH(D280)/100),TC!$5:$437,DAY(D280)+2,FALSE),VLOOKUP(F280,Equivalencia!$1:$23,((MAX(Equivalencia!$3:$3)-YEAR(D280))*14)+MONTH(D280)+2,FALSE)))</f>
        <v>1</v>
      </c>
      <c r="I280" s="163">
        <f t="shared" si="16"/>
        <v>1370.63</v>
      </c>
      <c r="J280" s="162">
        <f>IF(D280=0,0,HLOOKUP(YEAR(D280)+(MONTH(D280)/100),TC!$5:$37,DAY(D280)+2,FALSE))</f>
        <v>20.3977</v>
      </c>
      <c r="K280" s="219">
        <f t="shared" si="17"/>
        <v>27957.699551000002</v>
      </c>
    </row>
    <row r="281" spans="2:11" s="134" customFormat="1" ht="23" hidden="1" customHeight="1">
      <c r="B281" s="7" t="s">
        <v>689</v>
      </c>
      <c r="C281" s="7" t="s">
        <v>410</v>
      </c>
      <c r="D281" s="159">
        <v>44575</v>
      </c>
      <c r="E281" s="249" t="s">
        <v>792</v>
      </c>
      <c r="F281" s="7" t="s">
        <v>59</v>
      </c>
      <c r="G281" s="219">
        <v>15093</v>
      </c>
      <c r="H281" s="162">
        <f>IF(F281=0,0,IF(F281="MXN",1/HLOOKUP(YEAR(D281)+(MONTH(D281)/100),TC!$5:$437,DAY(D281)+2,FALSE),VLOOKUP(F281,Equivalencia!$1:$23,((MAX(Equivalencia!$3:$3)-YEAR(D281))*14)+MONTH(D281)+2,FALSE)))</f>
        <v>1</v>
      </c>
      <c r="I281" s="163">
        <f t="shared" si="16"/>
        <v>15093</v>
      </c>
      <c r="J281" s="162">
        <f>IF(D281=0,0,HLOOKUP(YEAR(D281)+(MONTH(D281)/100),TC!$5:$37,DAY(D281)+2,FALSE))</f>
        <v>20.366</v>
      </c>
      <c r="K281" s="219">
        <f t="shared" si="17"/>
        <v>307384.038</v>
      </c>
    </row>
    <row r="282" spans="2:11" s="134" customFormat="1" ht="23" hidden="1" customHeight="1">
      <c r="B282" s="7" t="s">
        <v>689</v>
      </c>
      <c r="C282" s="7" t="s">
        <v>410</v>
      </c>
      <c r="D282" s="159">
        <v>44575</v>
      </c>
      <c r="E282" s="249" t="s">
        <v>793</v>
      </c>
      <c r="F282" s="7" t="s">
        <v>59</v>
      </c>
      <c r="G282" s="219">
        <v>14880</v>
      </c>
      <c r="H282" s="162">
        <f>IF(F282=0,0,IF(F282="MXN",1/HLOOKUP(YEAR(D282)+(MONTH(D282)/100),TC!$5:$437,DAY(D282)+2,FALSE),VLOOKUP(F282,Equivalencia!$1:$23,((MAX(Equivalencia!$3:$3)-YEAR(D282))*14)+MONTH(D282)+2,FALSE)))</f>
        <v>1</v>
      </c>
      <c r="I282" s="163">
        <f t="shared" si="16"/>
        <v>14880</v>
      </c>
      <c r="J282" s="162">
        <f>IF(D282=0,0,HLOOKUP(YEAR(D282)+(MONTH(D282)/100),TC!$5:$37,DAY(D282)+2,FALSE))</f>
        <v>20.366</v>
      </c>
      <c r="K282" s="219">
        <f t="shared" si="17"/>
        <v>303046.08</v>
      </c>
    </row>
    <row r="283" spans="2:11" s="134" customFormat="1" ht="23" hidden="1" customHeight="1">
      <c r="B283" s="7" t="s">
        <v>689</v>
      </c>
      <c r="C283" s="7" t="s">
        <v>410</v>
      </c>
      <c r="D283" s="159">
        <v>44587</v>
      </c>
      <c r="E283" s="249" t="s">
        <v>794</v>
      </c>
      <c r="F283" s="7" t="s">
        <v>59</v>
      </c>
      <c r="G283" s="219">
        <v>1243.2</v>
      </c>
      <c r="H283" s="162">
        <f>IF(F283=0,0,IF(F283="MXN",1/HLOOKUP(YEAR(D283)+(MONTH(D283)/100),TC!$5:$437,DAY(D283)+2,FALSE),VLOOKUP(F283,Equivalencia!$1:$23,((MAX(Equivalencia!$3:$3)-YEAR(D283))*14)+MONTH(D283)+2,FALSE)))</f>
        <v>1</v>
      </c>
      <c r="I283" s="163">
        <f t="shared" si="16"/>
        <v>1243.2</v>
      </c>
      <c r="J283" s="162">
        <f>IF(D283=0,0,HLOOKUP(YEAR(D283)+(MONTH(D283)/100),TC!$5:$37,DAY(D283)+2,FALSE))</f>
        <v>20.630800000000001</v>
      </c>
      <c r="K283" s="219">
        <f t="shared" si="17"/>
        <v>25648.210560000003</v>
      </c>
    </row>
    <row r="284" spans="2:11" s="134" customFormat="1" ht="23" hidden="1" customHeight="1">
      <c r="B284" s="7" t="s">
        <v>689</v>
      </c>
      <c r="C284" s="7" t="s">
        <v>410</v>
      </c>
      <c r="D284" s="159">
        <v>44592</v>
      </c>
      <c r="E284" s="249" t="s">
        <v>795</v>
      </c>
      <c r="F284" s="7" t="s">
        <v>59</v>
      </c>
      <c r="G284" s="219">
        <v>2282.8200000000002</v>
      </c>
      <c r="H284" s="162">
        <f>IF(F284=0,0,IF(F284="MXN",1/HLOOKUP(YEAR(D284)+(MONTH(D284)/100),TC!$5:$437,DAY(D284)+2,FALSE),VLOOKUP(F284,Equivalencia!$1:$23,((MAX(Equivalencia!$3:$3)-YEAR(D284))*14)+MONTH(D284)+2,FALSE)))</f>
        <v>1</v>
      </c>
      <c r="I284" s="163">
        <f t="shared" si="16"/>
        <v>2282.8200000000002</v>
      </c>
      <c r="J284" s="162">
        <f>IF(D284=0,0,HLOOKUP(YEAR(D284)+(MONTH(D284)/100),TC!$5:$37,DAY(D284)+2,FALSE))</f>
        <v>20.738299999999999</v>
      </c>
      <c r="K284" s="219">
        <f t="shared" si="17"/>
        <v>47341.806005999999</v>
      </c>
    </row>
    <row r="285" spans="2:11" s="134" customFormat="1" ht="23" hidden="1" customHeight="1">
      <c r="B285" s="7" t="s">
        <v>689</v>
      </c>
      <c r="C285" s="7" t="s">
        <v>410</v>
      </c>
      <c r="D285" s="159">
        <v>44592</v>
      </c>
      <c r="E285" s="249" t="s">
        <v>796</v>
      </c>
      <c r="F285" s="7" t="s">
        <v>59</v>
      </c>
      <c r="G285" s="219">
        <v>780.93</v>
      </c>
      <c r="H285" s="162">
        <f>IF(F285=0,0,IF(F285="MXN",1/HLOOKUP(YEAR(D285)+(MONTH(D285)/100),TC!$5:$437,DAY(D285)+2,FALSE),VLOOKUP(F285,Equivalencia!$1:$23,((MAX(Equivalencia!$3:$3)-YEAR(D285))*14)+MONTH(D285)+2,FALSE)))</f>
        <v>1</v>
      </c>
      <c r="I285" s="163">
        <f t="shared" si="16"/>
        <v>780.93</v>
      </c>
      <c r="J285" s="162">
        <f>IF(D285=0,0,HLOOKUP(YEAR(D285)+(MONTH(D285)/100),TC!$5:$37,DAY(D285)+2,FALSE))</f>
        <v>20.738299999999999</v>
      </c>
      <c r="K285" s="219">
        <f t="shared" si="17"/>
        <v>16195.160618999998</v>
      </c>
    </row>
    <row r="286" spans="2:11" s="134" customFormat="1" ht="23" hidden="1" customHeight="1">
      <c r="B286" s="7" t="s">
        <v>689</v>
      </c>
      <c r="C286" s="7" t="s">
        <v>410</v>
      </c>
      <c r="D286" s="159">
        <v>44602</v>
      </c>
      <c r="E286" s="249" t="s">
        <v>716</v>
      </c>
      <c r="F286" s="7" t="s">
        <v>59</v>
      </c>
      <c r="G286" s="219">
        <v>792</v>
      </c>
      <c r="H286" s="162">
        <f>IF(F286=0,0,IF(F286="MXN",1/HLOOKUP(YEAR(D286)+(MONTH(D286)/100),TC!$5:$437,DAY(D286)+2,FALSE),VLOOKUP(F286,Equivalencia!$1:$23,((MAX(Equivalencia!$3:$3)-YEAR(D286))*14)+MONTH(D286)+2,FALSE)))</f>
        <v>1</v>
      </c>
      <c r="I286" s="163">
        <f t="shared" si="16"/>
        <v>792</v>
      </c>
      <c r="J286" s="162">
        <f>IF(D286=0,0,HLOOKUP(YEAR(D286)+(MONTH(D286)/100),TC!$5:$37,DAY(D286)+2,FALSE))</f>
        <v>20.641300000000001</v>
      </c>
      <c r="K286" s="219">
        <f t="shared" si="17"/>
        <v>16347.909600000001</v>
      </c>
    </row>
    <row r="287" spans="2:11" s="134" customFormat="1" ht="23" hidden="1" customHeight="1">
      <c r="B287" s="7" t="s">
        <v>689</v>
      </c>
      <c r="C287" s="7" t="s">
        <v>410</v>
      </c>
      <c r="D287" s="159">
        <v>44621</v>
      </c>
      <c r="E287" s="249" t="s">
        <v>758</v>
      </c>
      <c r="F287" s="7" t="s">
        <v>59</v>
      </c>
      <c r="G287" s="219">
        <v>2058.6</v>
      </c>
      <c r="H287" s="162">
        <f>IF(F287=0,0,IF(F287="MXN",1/HLOOKUP(YEAR(D287)+(MONTH(D287)/100),TC!$5:$437,DAY(D287)+2,FALSE),VLOOKUP(F287,Equivalencia!$1:$23,((MAX(Equivalencia!$3:$3)-YEAR(D287))*14)+MONTH(D287)+2,FALSE)))</f>
        <v>1</v>
      </c>
      <c r="I287" s="163">
        <f t="shared" si="16"/>
        <v>2058.6</v>
      </c>
      <c r="J287" s="162">
        <f>IF(D287=0,0,HLOOKUP(YEAR(D287)+(MONTH(D287)/100),TC!$5:$37,DAY(D287)+2,FALSE))</f>
        <v>20.4465</v>
      </c>
      <c r="K287" s="219">
        <f t="shared" si="17"/>
        <v>42091.164899999996</v>
      </c>
    </row>
    <row r="288" spans="2:11" s="134" customFormat="1" ht="23" hidden="1" customHeight="1">
      <c r="B288" s="7" t="s">
        <v>689</v>
      </c>
      <c r="C288" s="7" t="s">
        <v>410</v>
      </c>
      <c r="D288" s="159">
        <v>44624</v>
      </c>
      <c r="E288" s="249" t="s">
        <v>797</v>
      </c>
      <c r="F288" s="7" t="s">
        <v>59</v>
      </c>
      <c r="G288" s="219">
        <v>3078</v>
      </c>
      <c r="H288" s="162">
        <f>IF(F288=0,0,IF(F288="MXN",1/HLOOKUP(YEAR(D288)+(MONTH(D288)/100),TC!$5:$437,DAY(D288)+2,FALSE),VLOOKUP(F288,Equivalencia!$1:$23,((MAX(Equivalencia!$3:$3)-YEAR(D288))*14)+MONTH(D288)+2,FALSE)))</f>
        <v>1</v>
      </c>
      <c r="I288" s="163">
        <f t="shared" si="16"/>
        <v>3078</v>
      </c>
      <c r="J288" s="162">
        <f>IF(D288=0,0,HLOOKUP(YEAR(D288)+(MONTH(D288)/100),TC!$5:$37,DAY(D288)+2,FALSE))</f>
        <v>20.7193</v>
      </c>
      <c r="K288" s="219">
        <f t="shared" si="17"/>
        <v>63774.005400000002</v>
      </c>
    </row>
    <row r="289" spans="2:11" s="134" customFormat="1" ht="23" hidden="1" customHeight="1">
      <c r="B289" s="7" t="s">
        <v>689</v>
      </c>
      <c r="C289" s="7" t="s">
        <v>410</v>
      </c>
      <c r="D289" s="159">
        <v>44636</v>
      </c>
      <c r="E289" s="249" t="s">
        <v>792</v>
      </c>
      <c r="F289" s="7" t="s">
        <v>59</v>
      </c>
      <c r="G289" s="219">
        <v>-15093</v>
      </c>
      <c r="H289" s="162">
        <f>IF(F289=0,0,IF(F289="MXN",1/HLOOKUP(YEAR(D289)+(MONTH(D289)/100),TC!$5:$437,DAY(D289)+2,FALSE),VLOOKUP(F289,Equivalencia!$1:$23,((MAX(Equivalencia!$3:$3)-YEAR(D289))*14)+MONTH(D289)+2,FALSE)))</f>
        <v>1</v>
      </c>
      <c r="I289" s="163">
        <f t="shared" si="16"/>
        <v>-15093</v>
      </c>
      <c r="J289" s="162">
        <f>IF(D289=0,0,HLOOKUP(YEAR(D289)+(MONTH(D289)/100),TC!$5:$37,DAY(D289)+2,FALSE))</f>
        <v>20.890799999999999</v>
      </c>
      <c r="K289" s="219">
        <f t="shared" si="17"/>
        <v>-315304.8444</v>
      </c>
    </row>
    <row r="290" spans="2:11" s="134" customFormat="1" ht="23" hidden="1" customHeight="1">
      <c r="B290" s="7" t="s">
        <v>689</v>
      </c>
      <c r="C290" s="7" t="s">
        <v>410</v>
      </c>
      <c r="D290" s="159">
        <v>44636</v>
      </c>
      <c r="E290" s="249" t="s">
        <v>792</v>
      </c>
      <c r="F290" s="7" t="s">
        <v>59</v>
      </c>
      <c r="G290" s="219">
        <v>-15093</v>
      </c>
      <c r="H290" s="162">
        <f>IF(F290=0,0,IF(F290="MXN",1/HLOOKUP(YEAR(D290)+(MONTH(D290)/100),TC!$5:$437,DAY(D290)+2,FALSE),VLOOKUP(F290,Equivalencia!$1:$23,((MAX(Equivalencia!$3:$3)-YEAR(D290))*14)+MONTH(D290)+2,FALSE)))</f>
        <v>1</v>
      </c>
      <c r="I290" s="163">
        <f t="shared" si="16"/>
        <v>-15093</v>
      </c>
      <c r="J290" s="162">
        <f>IF(D290=0,0,HLOOKUP(YEAR(D290)+(MONTH(D290)/100),TC!$5:$37,DAY(D290)+2,FALSE))</f>
        <v>20.890799999999999</v>
      </c>
      <c r="K290" s="219">
        <f t="shared" si="17"/>
        <v>-315304.8444</v>
      </c>
    </row>
    <row r="291" spans="2:11" s="134" customFormat="1" ht="23" hidden="1" customHeight="1">
      <c r="B291" s="7" t="s">
        <v>689</v>
      </c>
      <c r="C291" s="7" t="s">
        <v>410</v>
      </c>
      <c r="D291" s="159">
        <v>44636</v>
      </c>
      <c r="E291" s="249" t="s">
        <v>813</v>
      </c>
      <c r="F291" s="7" t="s">
        <v>59</v>
      </c>
      <c r="G291" s="219">
        <v>-7187.81</v>
      </c>
      <c r="H291" s="162">
        <f>IF(F291=0,0,IF(F291="MXN",1/HLOOKUP(YEAR(D291)+(MONTH(D291)/100),TC!$5:$437,DAY(D291)+2,FALSE),VLOOKUP(F291,Equivalencia!$1:$23,((MAX(Equivalencia!$3:$3)-YEAR(D291))*14)+MONTH(D291)+2,FALSE)))</f>
        <v>1</v>
      </c>
      <c r="I291" s="163">
        <f t="shared" si="16"/>
        <v>-7187.81</v>
      </c>
      <c r="J291" s="162">
        <f>IF(D291=0,0,HLOOKUP(YEAR(D291)+(MONTH(D291)/100),TC!$5:$37,DAY(D291)+2,FALSE))</f>
        <v>20.890799999999999</v>
      </c>
      <c r="K291" s="219">
        <f t="shared" si="17"/>
        <v>-150159.10114799999</v>
      </c>
    </row>
    <row r="292" spans="2:11" s="134" customFormat="1" ht="23" hidden="1" customHeight="1">
      <c r="B292" s="7" t="s">
        <v>689</v>
      </c>
      <c r="C292" s="7" t="s">
        <v>410</v>
      </c>
      <c r="D292" s="159">
        <v>44636</v>
      </c>
      <c r="E292" s="249" t="s">
        <v>799</v>
      </c>
      <c r="F292" s="7" t="s">
        <v>59</v>
      </c>
      <c r="G292" s="219">
        <v>-4972.3999999999996</v>
      </c>
      <c r="H292" s="162">
        <f>IF(F292=0,0,IF(F292="MXN",1/HLOOKUP(YEAR(D292)+(MONTH(D292)/100),TC!$5:$437,DAY(D292)+2,FALSE),VLOOKUP(F292,Equivalencia!$1:$23,((MAX(Equivalencia!$3:$3)-YEAR(D292))*14)+MONTH(D292)+2,FALSE)))</f>
        <v>1</v>
      </c>
      <c r="I292" s="163">
        <f t="shared" si="16"/>
        <v>-4972.3999999999996</v>
      </c>
      <c r="J292" s="162">
        <f>IF(D292=0,0,HLOOKUP(YEAR(D292)+(MONTH(D292)/100),TC!$5:$37,DAY(D292)+2,FALSE))</f>
        <v>20.890799999999999</v>
      </c>
      <c r="K292" s="219">
        <f t="shared" si="17"/>
        <v>-103877.41391999999</v>
      </c>
    </row>
    <row r="293" spans="2:11" s="134" customFormat="1" ht="23" hidden="1" customHeight="1">
      <c r="B293" s="7" t="s">
        <v>689</v>
      </c>
      <c r="C293" s="7" t="s">
        <v>410</v>
      </c>
      <c r="D293" s="159">
        <v>44636</v>
      </c>
      <c r="E293" s="249" t="s">
        <v>814</v>
      </c>
      <c r="F293" s="7" t="s">
        <v>59</v>
      </c>
      <c r="G293" s="219">
        <v>-3463.72</v>
      </c>
      <c r="H293" s="162">
        <f>IF(F293=0,0,IF(F293="MXN",1/HLOOKUP(YEAR(D293)+(MONTH(D293)/100),TC!$5:$437,DAY(D293)+2,FALSE),VLOOKUP(F293,Equivalencia!$1:$23,((MAX(Equivalencia!$3:$3)-YEAR(D293))*14)+MONTH(D293)+2,FALSE)))</f>
        <v>1</v>
      </c>
      <c r="I293" s="163">
        <f t="shared" si="16"/>
        <v>-3463.72</v>
      </c>
      <c r="J293" s="162">
        <f>IF(D293=0,0,HLOOKUP(YEAR(D293)+(MONTH(D293)/100),TC!$5:$37,DAY(D293)+2,FALSE))</f>
        <v>20.890799999999999</v>
      </c>
      <c r="K293" s="219">
        <f t="shared" si="17"/>
        <v>-72359.881775999995</v>
      </c>
    </row>
    <row r="294" spans="2:11" s="134" customFormat="1" ht="23" hidden="1" customHeight="1">
      <c r="B294" s="7" t="s">
        <v>689</v>
      </c>
      <c r="C294" s="7" t="s">
        <v>410</v>
      </c>
      <c r="D294" s="159">
        <v>44636</v>
      </c>
      <c r="E294" s="249" t="s">
        <v>800</v>
      </c>
      <c r="F294" s="7" t="s">
        <v>59</v>
      </c>
      <c r="G294" s="219">
        <v>-3104.25</v>
      </c>
      <c r="H294" s="162">
        <f>IF(F294=0,0,IF(F294="MXN",1/HLOOKUP(YEAR(D294)+(MONTH(D294)/100),TC!$5:$437,DAY(D294)+2,FALSE),VLOOKUP(F294,Equivalencia!$1:$23,((MAX(Equivalencia!$3:$3)-YEAR(D294))*14)+MONTH(D294)+2,FALSE)))</f>
        <v>1</v>
      </c>
      <c r="I294" s="163">
        <f t="shared" si="16"/>
        <v>-3104.25</v>
      </c>
      <c r="J294" s="162">
        <f>IF(D294=0,0,HLOOKUP(YEAR(D294)+(MONTH(D294)/100),TC!$5:$37,DAY(D294)+2,FALSE))</f>
        <v>20.890799999999999</v>
      </c>
      <c r="K294" s="219">
        <f t="shared" si="17"/>
        <v>-64850.265899999999</v>
      </c>
    </row>
    <row r="295" spans="2:11" s="134" customFormat="1" ht="23" hidden="1" customHeight="1">
      <c r="B295" s="7" t="s">
        <v>689</v>
      </c>
      <c r="C295" s="7" t="s">
        <v>410</v>
      </c>
      <c r="D295" s="159">
        <v>44636</v>
      </c>
      <c r="E295" s="249" t="s">
        <v>813</v>
      </c>
      <c r="F295" s="7" t="s">
        <v>59</v>
      </c>
      <c r="G295" s="219">
        <v>-1297.24</v>
      </c>
      <c r="H295" s="162">
        <f>IF(F295=0,0,IF(F295="MXN",1/HLOOKUP(YEAR(D295)+(MONTH(D295)/100),TC!$5:$437,DAY(D295)+2,FALSE),VLOOKUP(F295,Equivalencia!$1:$23,((MAX(Equivalencia!$3:$3)-YEAR(D295))*14)+MONTH(D295)+2,FALSE)))</f>
        <v>1</v>
      </c>
      <c r="I295" s="163">
        <f t="shared" si="16"/>
        <v>-1297.24</v>
      </c>
      <c r="J295" s="162">
        <f>IF(D295=0,0,HLOOKUP(YEAR(D295)+(MONTH(D295)/100),TC!$5:$37,DAY(D295)+2,FALSE))</f>
        <v>20.890799999999999</v>
      </c>
      <c r="K295" s="219">
        <f t="shared" si="17"/>
        <v>-27100.381391999999</v>
      </c>
    </row>
    <row r="296" spans="2:11" s="134" customFormat="1" ht="23" hidden="1" customHeight="1">
      <c r="B296" s="7" t="s">
        <v>689</v>
      </c>
      <c r="C296" s="7" t="s">
        <v>410</v>
      </c>
      <c r="D296" s="159">
        <v>44636</v>
      </c>
      <c r="E296" s="249" t="s">
        <v>792</v>
      </c>
      <c r="F296" s="7" t="s">
        <v>59</v>
      </c>
      <c r="G296" s="219">
        <v>15022.82</v>
      </c>
      <c r="H296" s="162">
        <f>IF(F296=0,0,IF(F296="MXN",1/HLOOKUP(YEAR(D296)+(MONTH(D296)/100),TC!$5:$437,DAY(D296)+2,FALSE),VLOOKUP(F296,Equivalencia!$1:$23,((MAX(Equivalencia!$3:$3)-YEAR(D296))*14)+MONTH(D296)+2,FALSE)))</f>
        <v>1</v>
      </c>
      <c r="I296" s="163">
        <f t="shared" si="16"/>
        <v>15022.82</v>
      </c>
      <c r="J296" s="162">
        <f>IF(D296=0,0,HLOOKUP(YEAR(D296)+(MONTH(D296)/100),TC!$5:$37,DAY(D296)+2,FALSE))</f>
        <v>20.890799999999999</v>
      </c>
      <c r="K296" s="219">
        <f t="shared" si="17"/>
        <v>313838.72805599996</v>
      </c>
    </row>
    <row r="297" spans="2:11" s="134" customFormat="1" ht="23" hidden="1" customHeight="1">
      <c r="B297" s="7" t="s">
        <v>689</v>
      </c>
      <c r="C297" s="7" t="s">
        <v>410</v>
      </c>
      <c r="D297" s="159">
        <v>44636</v>
      </c>
      <c r="E297" s="249" t="s">
        <v>792</v>
      </c>
      <c r="F297" s="7" t="s">
        <v>59</v>
      </c>
      <c r="G297" s="219">
        <v>14959.58</v>
      </c>
      <c r="H297" s="162">
        <f>IF(F297=0,0,IF(F297="MXN",1/HLOOKUP(YEAR(D297)+(MONTH(D297)/100),TC!$5:$437,DAY(D297)+2,FALSE),VLOOKUP(F297,Equivalencia!$1:$23,((MAX(Equivalencia!$3:$3)-YEAR(D297))*14)+MONTH(D297)+2,FALSE)))</f>
        <v>1</v>
      </c>
      <c r="I297" s="163">
        <f t="shared" si="16"/>
        <v>14959.58</v>
      </c>
      <c r="J297" s="162">
        <f>IF(D297=0,0,HLOOKUP(YEAR(D297)+(MONTH(D297)/100),TC!$5:$37,DAY(D297)+2,FALSE))</f>
        <v>20.890799999999999</v>
      </c>
      <c r="K297" s="219">
        <f t="shared" si="17"/>
        <v>312517.59386399999</v>
      </c>
    </row>
    <row r="298" spans="2:11" s="134" customFormat="1" ht="23" hidden="1" customHeight="1">
      <c r="B298" s="7" t="s">
        <v>689</v>
      </c>
      <c r="C298" s="7" t="s">
        <v>410</v>
      </c>
      <c r="D298" s="159">
        <v>44636</v>
      </c>
      <c r="E298" s="249" t="s">
        <v>813</v>
      </c>
      <c r="F298" s="7" t="s">
        <v>59</v>
      </c>
      <c r="G298" s="219">
        <v>9612.59</v>
      </c>
      <c r="H298" s="162">
        <f>IF(F298=0,0,IF(F298="MXN",1/HLOOKUP(YEAR(D298)+(MONTH(D298)/100),TC!$5:$437,DAY(D298)+2,FALSE),VLOOKUP(F298,Equivalencia!$1:$23,((MAX(Equivalencia!$3:$3)-YEAR(D298))*14)+MONTH(D298)+2,FALSE)))</f>
        <v>1</v>
      </c>
      <c r="I298" s="163">
        <f t="shared" si="16"/>
        <v>9612.59</v>
      </c>
      <c r="J298" s="162">
        <f>IF(D298=0,0,HLOOKUP(YEAR(D298)+(MONTH(D298)/100),TC!$5:$37,DAY(D298)+2,FALSE))</f>
        <v>20.890799999999999</v>
      </c>
      <c r="K298" s="219">
        <f t="shared" si="17"/>
        <v>200814.69517199998</v>
      </c>
    </row>
    <row r="299" spans="2:11" s="134" customFormat="1" ht="23" hidden="1" customHeight="1">
      <c r="B299" s="7" t="s">
        <v>689</v>
      </c>
      <c r="C299" s="7" t="s">
        <v>410</v>
      </c>
      <c r="D299" s="159">
        <v>44636</v>
      </c>
      <c r="E299" s="249" t="s">
        <v>799</v>
      </c>
      <c r="F299" s="7" t="s">
        <v>59</v>
      </c>
      <c r="G299" s="219">
        <v>5483.27</v>
      </c>
      <c r="H299" s="162">
        <f>IF(F299=0,0,IF(F299="MXN",1/HLOOKUP(YEAR(D299)+(MONTH(D299)/100),TC!$5:$437,DAY(D299)+2,FALSE),VLOOKUP(F299,Equivalencia!$1:$23,((MAX(Equivalencia!$3:$3)-YEAR(D299))*14)+MONTH(D299)+2,FALSE)))</f>
        <v>1</v>
      </c>
      <c r="I299" s="163">
        <f t="shared" si="16"/>
        <v>5483.27</v>
      </c>
      <c r="J299" s="162">
        <f>IF(D299=0,0,HLOOKUP(YEAR(D299)+(MONTH(D299)/100),TC!$5:$37,DAY(D299)+2,FALSE))</f>
        <v>20.890799999999999</v>
      </c>
      <c r="K299" s="219">
        <f t="shared" si="17"/>
        <v>114549.896916</v>
      </c>
    </row>
    <row r="300" spans="2:11" s="134" customFormat="1" ht="23" hidden="1" customHeight="1">
      <c r="B300" s="7" t="s">
        <v>689</v>
      </c>
      <c r="C300" s="7" t="s">
        <v>410</v>
      </c>
      <c r="D300" s="159">
        <v>44636</v>
      </c>
      <c r="E300" s="249" t="s">
        <v>814</v>
      </c>
      <c r="F300" s="7" t="s">
        <v>59</v>
      </c>
      <c r="G300" s="219">
        <v>3669.08</v>
      </c>
      <c r="H300" s="162">
        <f>IF(F300=0,0,IF(F300="MXN",1/HLOOKUP(YEAR(D300)+(MONTH(D300)/100),TC!$5:$437,DAY(D300)+2,FALSE),VLOOKUP(F300,Equivalencia!$1:$23,((MAX(Equivalencia!$3:$3)-YEAR(D300))*14)+MONTH(D300)+2,FALSE)))</f>
        <v>1</v>
      </c>
      <c r="I300" s="163">
        <f t="shared" si="16"/>
        <v>3669.08</v>
      </c>
      <c r="J300" s="162">
        <f>IF(D300=0,0,HLOOKUP(YEAR(D300)+(MONTH(D300)/100),TC!$5:$37,DAY(D300)+2,FALSE))</f>
        <v>20.890799999999999</v>
      </c>
      <c r="K300" s="219">
        <f t="shared" si="17"/>
        <v>76650.016464</v>
      </c>
    </row>
    <row r="301" spans="2:11" s="134" customFormat="1" ht="23" hidden="1" customHeight="1">
      <c r="B301" s="7" t="s">
        <v>689</v>
      </c>
      <c r="C301" s="7" t="s">
        <v>410</v>
      </c>
      <c r="D301" s="159">
        <v>44636</v>
      </c>
      <c r="E301" s="249" t="s">
        <v>800</v>
      </c>
      <c r="F301" s="7" t="s">
        <v>59</v>
      </c>
      <c r="G301" s="219">
        <v>3483.23</v>
      </c>
      <c r="H301" s="162">
        <f>IF(F301=0,0,IF(F301="MXN",1/HLOOKUP(YEAR(D301)+(MONTH(D301)/100),TC!$5:$437,DAY(D301)+2,FALSE),VLOOKUP(F301,Equivalencia!$1:$23,((MAX(Equivalencia!$3:$3)-YEAR(D301))*14)+MONTH(D301)+2,FALSE)))</f>
        <v>1</v>
      </c>
      <c r="I301" s="163">
        <f t="shared" si="16"/>
        <v>3483.23</v>
      </c>
      <c r="J301" s="162">
        <f>IF(D301=0,0,HLOOKUP(YEAR(D301)+(MONTH(D301)/100),TC!$5:$37,DAY(D301)+2,FALSE))</f>
        <v>20.890799999999999</v>
      </c>
      <c r="K301" s="219">
        <f t="shared" si="17"/>
        <v>72767.46128399999</v>
      </c>
    </row>
    <row r="302" spans="2:11" s="134" customFormat="1" ht="23" hidden="1" customHeight="1">
      <c r="B302" s="7" t="s">
        <v>689</v>
      </c>
      <c r="C302" s="7" t="s">
        <v>410</v>
      </c>
      <c r="D302" s="159">
        <v>44636</v>
      </c>
      <c r="E302" s="249" t="s">
        <v>813</v>
      </c>
      <c r="F302" s="7" t="s">
        <v>59</v>
      </c>
      <c r="G302" s="219">
        <v>1734.84</v>
      </c>
      <c r="H302" s="162">
        <f>IF(F302=0,0,IF(F302="MXN",1/HLOOKUP(YEAR(D302)+(MONTH(D302)/100),TC!$5:$437,DAY(D302)+2,FALSE),VLOOKUP(F302,Equivalencia!$1:$23,((MAX(Equivalencia!$3:$3)-YEAR(D302))*14)+MONTH(D302)+2,FALSE)))</f>
        <v>1</v>
      </c>
      <c r="I302" s="163">
        <f t="shared" si="16"/>
        <v>1734.84</v>
      </c>
      <c r="J302" s="162">
        <f>IF(D302=0,0,HLOOKUP(YEAR(D302)+(MONTH(D302)/100),TC!$5:$37,DAY(D302)+2,FALSE))</f>
        <v>20.890799999999999</v>
      </c>
      <c r="K302" s="219">
        <f t="shared" si="17"/>
        <v>36242.195471999999</v>
      </c>
    </row>
    <row r="303" spans="2:11" s="134" customFormat="1" ht="23" hidden="1" customHeight="1">
      <c r="B303" s="7" t="s">
        <v>689</v>
      </c>
      <c r="C303" s="7" t="s">
        <v>410</v>
      </c>
      <c r="D303" s="159">
        <v>44636</v>
      </c>
      <c r="E303" s="249" t="s">
        <v>792</v>
      </c>
      <c r="F303" s="7" t="s">
        <v>59</v>
      </c>
      <c r="G303" s="219">
        <v>133.41999999999999</v>
      </c>
      <c r="H303" s="162">
        <f>IF(F303=0,0,IF(F303="MXN",1/HLOOKUP(YEAR(D303)+(MONTH(D303)/100),TC!$5:$437,DAY(D303)+2,FALSE),VLOOKUP(F303,Equivalencia!$1:$23,((MAX(Equivalencia!$3:$3)-YEAR(D303))*14)+MONTH(D303)+2,FALSE)))</f>
        <v>1</v>
      </c>
      <c r="I303" s="163">
        <f t="shared" si="16"/>
        <v>133.41999999999999</v>
      </c>
      <c r="J303" s="162">
        <f>IF(D303=0,0,HLOOKUP(YEAR(D303)+(MONTH(D303)/100),TC!$5:$37,DAY(D303)+2,FALSE))</f>
        <v>20.890799999999999</v>
      </c>
      <c r="K303" s="219">
        <f t="shared" si="17"/>
        <v>2787.2505359999996</v>
      </c>
    </row>
    <row r="304" spans="2:11" s="134" customFormat="1" ht="23" hidden="1" customHeight="1">
      <c r="B304" s="7" t="s">
        <v>689</v>
      </c>
      <c r="C304" s="7" t="s">
        <v>410</v>
      </c>
      <c r="D304" s="159">
        <v>44636</v>
      </c>
      <c r="E304" s="249" t="s">
        <v>792</v>
      </c>
      <c r="F304" s="7" t="s">
        <v>59</v>
      </c>
      <c r="G304" s="219">
        <v>70.180000000000007</v>
      </c>
      <c r="H304" s="162">
        <f>IF(F304=0,0,IF(F304="MXN",1/HLOOKUP(YEAR(D304)+(MONTH(D304)/100),TC!$5:$437,DAY(D304)+2,FALSE),VLOOKUP(F304,Equivalencia!$1:$23,((MAX(Equivalencia!$3:$3)-YEAR(D304))*14)+MONTH(D304)+2,FALSE)))</f>
        <v>1</v>
      </c>
      <c r="I304" s="163">
        <f t="shared" si="16"/>
        <v>70.180000000000007</v>
      </c>
      <c r="J304" s="162">
        <f>IF(D304=0,0,HLOOKUP(YEAR(D304)+(MONTH(D304)/100),TC!$5:$37,DAY(D304)+2,FALSE))</f>
        <v>20.890799999999999</v>
      </c>
      <c r="K304" s="219">
        <f t="shared" si="17"/>
        <v>1466.116344</v>
      </c>
    </row>
    <row r="305" spans="2:11" s="134" customFormat="1" ht="23" hidden="1" customHeight="1">
      <c r="B305" s="7" t="s">
        <v>689</v>
      </c>
      <c r="C305" s="7" t="s">
        <v>410</v>
      </c>
      <c r="D305" s="159">
        <v>44644</v>
      </c>
      <c r="E305" s="249" t="s">
        <v>799</v>
      </c>
      <c r="F305" s="7" t="s">
        <v>59</v>
      </c>
      <c r="G305" s="219">
        <v>1392.89</v>
      </c>
      <c r="H305" s="162">
        <f>IF(F305=0,0,IF(F305="MXN",1/HLOOKUP(YEAR(D305)+(MONTH(D305)/100),TC!$5:$437,DAY(D305)+2,FALSE),VLOOKUP(F305,Equivalencia!$1:$23,((MAX(Equivalencia!$3:$3)-YEAR(D305))*14)+MONTH(D305)+2,FALSE)))</f>
        <v>1</v>
      </c>
      <c r="I305" s="163">
        <f t="shared" si="16"/>
        <v>1392.89</v>
      </c>
      <c r="J305" s="162">
        <f>IF(D305=0,0,HLOOKUP(YEAR(D305)+(MONTH(D305)/100),TC!$5:$37,DAY(D305)+2,FALSE))</f>
        <v>20.278199999999998</v>
      </c>
      <c r="K305" s="219">
        <f t="shared" si="17"/>
        <v>28245.301997999999</v>
      </c>
    </row>
    <row r="306" spans="2:11" s="134" customFormat="1" ht="23" hidden="1" customHeight="1">
      <c r="B306" s="7" t="s">
        <v>689</v>
      </c>
      <c r="C306" s="7" t="s">
        <v>410</v>
      </c>
      <c r="D306" s="159">
        <v>44644</v>
      </c>
      <c r="E306" s="249" t="s">
        <v>800</v>
      </c>
      <c r="F306" s="7" t="s">
        <v>59</v>
      </c>
      <c r="G306" s="219">
        <v>533.89</v>
      </c>
      <c r="H306" s="162">
        <f>IF(F306=0,0,IF(F306="MXN",1/HLOOKUP(YEAR(D306)+(MONTH(D306)/100),TC!$5:$437,DAY(D306)+2,FALSE),VLOOKUP(F306,Equivalencia!$1:$23,((MAX(Equivalencia!$3:$3)-YEAR(D306))*14)+MONTH(D306)+2,FALSE)))</f>
        <v>1</v>
      </c>
      <c r="I306" s="163">
        <f t="shared" si="16"/>
        <v>533.89</v>
      </c>
      <c r="J306" s="162">
        <f>IF(D306=0,0,HLOOKUP(YEAR(D306)+(MONTH(D306)/100),TC!$5:$37,DAY(D306)+2,FALSE))</f>
        <v>20.278199999999998</v>
      </c>
      <c r="K306" s="219">
        <f t="shared" si="17"/>
        <v>10826.328197999999</v>
      </c>
    </row>
    <row r="307" spans="2:11" s="134" customFormat="1" ht="23" hidden="1" customHeight="1">
      <c r="B307" s="7" t="s">
        <v>689</v>
      </c>
      <c r="C307" s="7" t="s">
        <v>410</v>
      </c>
      <c r="D307" s="159">
        <v>44645</v>
      </c>
      <c r="E307" s="249" t="s">
        <v>801</v>
      </c>
      <c r="F307" s="7" t="s">
        <v>59</v>
      </c>
      <c r="G307" s="219">
        <v>1820.7</v>
      </c>
      <c r="H307" s="162">
        <f>IF(F307=0,0,IF(F307="MXN",1/HLOOKUP(YEAR(D307)+(MONTH(D307)/100),TC!$5:$437,DAY(D307)+2,FALSE),VLOOKUP(F307,Equivalencia!$1:$23,((MAX(Equivalencia!$3:$3)-YEAR(D307))*14)+MONTH(D307)+2,FALSE)))</f>
        <v>1</v>
      </c>
      <c r="I307" s="163">
        <f t="shared" si="16"/>
        <v>1820.7</v>
      </c>
      <c r="J307" s="162">
        <f>IF(D307=0,0,HLOOKUP(YEAR(D307)+(MONTH(D307)/100),TC!$5:$37,DAY(D307)+2,FALSE))</f>
        <v>20.18</v>
      </c>
      <c r="K307" s="219">
        <f t="shared" si="17"/>
        <v>36741.726000000002</v>
      </c>
    </row>
    <row r="308" spans="2:11" s="134" customFormat="1" ht="23" hidden="1" customHeight="1">
      <c r="B308" s="7" t="s">
        <v>689</v>
      </c>
      <c r="C308" s="7" t="s">
        <v>410</v>
      </c>
      <c r="D308" s="159">
        <v>44651</v>
      </c>
      <c r="E308" s="249" t="s">
        <v>802</v>
      </c>
      <c r="F308" s="7" t="s">
        <v>59</v>
      </c>
      <c r="G308" s="219">
        <v>1370.63</v>
      </c>
      <c r="H308" s="162">
        <f>IF(F308=0,0,IF(F308="MXN",1/HLOOKUP(YEAR(D308)+(MONTH(D308)/100),TC!$5:$437,DAY(D308)+2,FALSE),VLOOKUP(F308,Equivalencia!$1:$23,((MAX(Equivalencia!$3:$3)-YEAR(D308))*14)+MONTH(D308)+2,FALSE)))</f>
        <v>1</v>
      </c>
      <c r="I308" s="163">
        <f t="shared" si="16"/>
        <v>1370.63</v>
      </c>
      <c r="J308" s="162">
        <f>IF(D308=0,0,HLOOKUP(YEAR(D308)+(MONTH(D308)/100),TC!$5:$37,DAY(D308)+2,FALSE))</f>
        <v>19.994199999999999</v>
      </c>
      <c r="K308" s="219">
        <f t="shared" si="17"/>
        <v>27404.650346000002</v>
      </c>
    </row>
    <row r="309" spans="2:11" s="134" customFormat="1" ht="23" hidden="1" customHeight="1">
      <c r="B309" s="7" t="s">
        <v>689</v>
      </c>
      <c r="C309" s="7" t="s">
        <v>410</v>
      </c>
      <c r="D309" s="159">
        <v>44652</v>
      </c>
      <c r="E309" s="249" t="s">
        <v>803</v>
      </c>
      <c r="F309" s="7" t="s">
        <v>59</v>
      </c>
      <c r="G309" s="219">
        <v>1350</v>
      </c>
      <c r="H309" s="162">
        <f>IF(F309=0,0,IF(F309="MXN",1/HLOOKUP(YEAR(D309)+(MONTH(D309)/100),TC!$5:$437,DAY(D309)+2,FALSE),VLOOKUP(F309,Equivalencia!$1:$23,((MAX(Equivalencia!$3:$3)-YEAR(D309))*14)+MONTH(D309)+2,FALSE)))</f>
        <v>1</v>
      </c>
      <c r="I309" s="163">
        <f t="shared" si="16"/>
        <v>1350</v>
      </c>
      <c r="J309" s="162">
        <f>IF(D309=0,0,HLOOKUP(YEAR(D309)+(MONTH(D309)/100),TC!$5:$37,DAY(D309)+2,FALSE))</f>
        <v>19.863199999999999</v>
      </c>
      <c r="K309" s="219">
        <f t="shared" si="17"/>
        <v>26815.32</v>
      </c>
    </row>
    <row r="310" spans="2:11" s="134" customFormat="1" ht="23" hidden="1" customHeight="1">
      <c r="B310" s="7" t="s">
        <v>689</v>
      </c>
      <c r="C310" s="7" t="s">
        <v>410</v>
      </c>
      <c r="D310" s="159">
        <v>44655</v>
      </c>
      <c r="E310" s="249" t="s">
        <v>735</v>
      </c>
      <c r="F310" s="7" t="s">
        <v>59</v>
      </c>
      <c r="G310" s="219">
        <v>369.6</v>
      </c>
      <c r="H310" s="162">
        <f>IF(F310=0,0,IF(F310="MXN",1/HLOOKUP(YEAR(D310)+(MONTH(D310)/100),TC!$5:$437,DAY(D310)+2,FALSE),VLOOKUP(F310,Equivalencia!$1:$23,((MAX(Equivalencia!$3:$3)-YEAR(D310))*14)+MONTH(D310)+2,FALSE)))</f>
        <v>1</v>
      </c>
      <c r="I310" s="163">
        <f t="shared" si="16"/>
        <v>369.6</v>
      </c>
      <c r="J310" s="162">
        <f>IF(D310=0,0,HLOOKUP(YEAR(D310)+(MONTH(D310)/100),TC!$5:$37,DAY(D310)+2,FALSE))</f>
        <v>19.911200000000001</v>
      </c>
      <c r="K310" s="219">
        <f t="shared" si="17"/>
        <v>7359.1795200000006</v>
      </c>
    </row>
    <row r="311" spans="2:11" s="134" customFormat="1" ht="23" hidden="1" customHeight="1">
      <c r="B311" s="7" t="s">
        <v>689</v>
      </c>
      <c r="C311" s="7" t="s">
        <v>410</v>
      </c>
      <c r="D311" s="159">
        <v>44658</v>
      </c>
      <c r="E311" s="249" t="s">
        <v>790</v>
      </c>
      <c r="F311" s="7" t="s">
        <v>59</v>
      </c>
      <c r="G311" s="219">
        <v>2730.33</v>
      </c>
      <c r="H311" s="162">
        <f>IF(F311=0,0,IF(F311="MXN",1/HLOOKUP(YEAR(D311)+(MONTH(D311)/100),TC!$5:$437,DAY(D311)+2,FALSE),VLOOKUP(F311,Equivalencia!$1:$23,((MAX(Equivalencia!$3:$3)-YEAR(D311))*14)+MONTH(D311)+2,FALSE)))</f>
        <v>1</v>
      </c>
      <c r="I311" s="163">
        <f t="shared" si="16"/>
        <v>2730.33</v>
      </c>
      <c r="J311" s="162">
        <f>IF(D311=0,0,HLOOKUP(YEAR(D311)+(MONTH(D311)/100),TC!$5:$37,DAY(D311)+2,FALSE))</f>
        <v>19.901199999999999</v>
      </c>
      <c r="K311" s="219">
        <f t="shared" si="17"/>
        <v>54336.843395999997</v>
      </c>
    </row>
    <row r="312" spans="2:11" s="134" customFormat="1" ht="23" hidden="1" customHeight="1">
      <c r="B312" s="7" t="s">
        <v>689</v>
      </c>
      <c r="C312" s="7" t="s">
        <v>410</v>
      </c>
      <c r="D312" s="159">
        <v>44665</v>
      </c>
      <c r="E312" s="249" t="s">
        <v>793</v>
      </c>
      <c r="F312" s="7" t="s">
        <v>59</v>
      </c>
      <c r="G312" s="219">
        <v>14880</v>
      </c>
      <c r="H312" s="162">
        <f>IF(F312=0,0,IF(F312="MXN",1/HLOOKUP(YEAR(D312)+(MONTH(D312)/100),TC!$5:$437,DAY(D312)+2,FALSE),VLOOKUP(F312,Equivalencia!$1:$23,((MAX(Equivalencia!$3:$3)-YEAR(D312))*14)+MONTH(D312)+2,FALSE)))</f>
        <v>1</v>
      </c>
      <c r="I312" s="163">
        <f t="shared" si="16"/>
        <v>14880</v>
      </c>
      <c r="J312" s="162">
        <f>IF(D312=0,0,HLOOKUP(YEAR(D312)+(MONTH(D312)/100),TC!$5:$37,DAY(D312)+2,FALSE))</f>
        <v>19.840699999999998</v>
      </c>
      <c r="K312" s="219">
        <f t="shared" si="17"/>
        <v>295229.61599999998</v>
      </c>
    </row>
    <row r="313" spans="2:11" s="134" customFormat="1" ht="23" hidden="1" customHeight="1">
      <c r="B313" s="7" t="s">
        <v>689</v>
      </c>
      <c r="C313" s="7" t="s">
        <v>410</v>
      </c>
      <c r="D313" s="159">
        <v>44669</v>
      </c>
      <c r="E313" s="249" t="s">
        <v>792</v>
      </c>
      <c r="F313" s="7" t="s">
        <v>59</v>
      </c>
      <c r="G313" s="219">
        <v>15093</v>
      </c>
      <c r="H313" s="162">
        <f>IF(F313=0,0,IF(F313="MXN",1/HLOOKUP(YEAR(D313)+(MONTH(D313)/100),TC!$5:$437,DAY(D313)+2,FALSE),VLOOKUP(F313,Equivalencia!$1:$23,((MAX(Equivalencia!$3:$3)-YEAR(D313))*14)+MONTH(D313)+2,FALSE)))</f>
        <v>1</v>
      </c>
      <c r="I313" s="163">
        <f t="shared" si="16"/>
        <v>15093</v>
      </c>
      <c r="J313" s="162">
        <f>IF(D313=0,0,HLOOKUP(YEAR(D313)+(MONTH(D313)/100),TC!$5:$37,DAY(D313)+2,FALSE))</f>
        <v>19.840699999999998</v>
      </c>
      <c r="K313" s="219">
        <f t="shared" si="17"/>
        <v>299455.68509999994</v>
      </c>
    </row>
    <row r="314" spans="2:11" s="134" customFormat="1" ht="23" hidden="1" customHeight="1">
      <c r="B314" s="7" t="s">
        <v>689</v>
      </c>
      <c r="C314" s="7" t="s">
        <v>410</v>
      </c>
      <c r="D314" s="159">
        <v>44678</v>
      </c>
      <c r="E314" s="249" t="s">
        <v>794</v>
      </c>
      <c r="F314" s="7" t="s">
        <v>59</v>
      </c>
      <c r="G314" s="219">
        <v>1276.8</v>
      </c>
      <c r="H314" s="162">
        <f>IF(F314=0,0,IF(F314="MXN",1/HLOOKUP(YEAR(D314)+(MONTH(D314)/100),TC!$5:$437,DAY(D314)+2,FALSE),VLOOKUP(F314,Equivalencia!$1:$23,((MAX(Equivalencia!$3:$3)-YEAR(D314))*14)+MONTH(D314)+2,FALSE)))</f>
        <v>1</v>
      </c>
      <c r="I314" s="163">
        <f t="shared" si="16"/>
        <v>1276.8</v>
      </c>
      <c r="J314" s="162">
        <f>IF(D314=0,0,HLOOKUP(YEAR(D314)+(MONTH(D314)/100),TC!$5:$37,DAY(D314)+2,FALSE))</f>
        <v>20.299199999999999</v>
      </c>
      <c r="K314" s="219">
        <f t="shared" si="17"/>
        <v>25918.018559999997</v>
      </c>
    </row>
    <row r="315" spans="2:11" s="134" customFormat="1" ht="23" hidden="1" customHeight="1">
      <c r="B315" s="7" t="s">
        <v>689</v>
      </c>
      <c r="C315" s="7" t="s">
        <v>410</v>
      </c>
      <c r="D315" s="159">
        <v>44680</v>
      </c>
      <c r="E315" s="249" t="s">
        <v>795</v>
      </c>
      <c r="F315" s="7" t="s">
        <v>59</v>
      </c>
      <c r="G315" s="219">
        <v>1905.58</v>
      </c>
      <c r="H315" s="162">
        <f>IF(F315=0,0,IF(F315="MXN",1/HLOOKUP(YEAR(D315)+(MONTH(D315)/100),TC!$5:$437,DAY(D315)+2,FALSE),VLOOKUP(F315,Equivalencia!$1:$23,((MAX(Equivalencia!$3:$3)-YEAR(D315))*14)+MONTH(D315)+2,FALSE)))</f>
        <v>1</v>
      </c>
      <c r="I315" s="163">
        <f t="shared" si="16"/>
        <v>1905.58</v>
      </c>
      <c r="J315" s="162">
        <f>IF(D315=0,0,HLOOKUP(YEAR(D315)+(MONTH(D315)/100),TC!$5:$37,DAY(D315)+2,FALSE))</f>
        <v>20.470700000000001</v>
      </c>
      <c r="K315" s="219">
        <f t="shared" si="17"/>
        <v>39008.556506000001</v>
      </c>
    </row>
    <row r="316" spans="2:11" s="134" customFormat="1" ht="23" hidden="1" customHeight="1">
      <c r="B316" s="7" t="s">
        <v>689</v>
      </c>
      <c r="C316" s="7" t="s">
        <v>410</v>
      </c>
      <c r="D316" s="159">
        <v>44680</v>
      </c>
      <c r="E316" s="249" t="s">
        <v>796</v>
      </c>
      <c r="F316" s="7" t="s">
        <v>59</v>
      </c>
      <c r="G316" s="219">
        <v>604.54999999999995</v>
      </c>
      <c r="H316" s="162">
        <f>IF(F316=0,0,IF(F316="MXN",1/HLOOKUP(YEAR(D316)+(MONTH(D316)/100),TC!$5:$437,DAY(D316)+2,FALSE),VLOOKUP(F316,Equivalencia!$1:$23,((MAX(Equivalencia!$3:$3)-YEAR(D316))*14)+MONTH(D316)+2,FALSE)))</f>
        <v>1</v>
      </c>
      <c r="I316" s="163">
        <f t="shared" si="16"/>
        <v>604.54999999999995</v>
      </c>
      <c r="J316" s="162">
        <f>IF(D316=0,0,HLOOKUP(YEAR(D316)+(MONTH(D316)/100),TC!$5:$37,DAY(D316)+2,FALSE))</f>
        <v>20.470700000000001</v>
      </c>
      <c r="K316" s="219">
        <f t="shared" si="17"/>
        <v>12375.561684999999</v>
      </c>
    </row>
    <row r="317" spans="2:11" s="134" customFormat="1" ht="23" hidden="1" customHeight="1">
      <c r="B317" s="7" t="s">
        <v>689</v>
      </c>
      <c r="C317" s="7" t="s">
        <v>410</v>
      </c>
      <c r="D317" s="159">
        <v>44693</v>
      </c>
      <c r="E317" s="249" t="s">
        <v>716</v>
      </c>
      <c r="F317" s="7" t="s">
        <v>59</v>
      </c>
      <c r="G317" s="219">
        <v>828</v>
      </c>
      <c r="H317" s="162">
        <f>IF(F317=0,0,IF(F317="MXN",1/HLOOKUP(YEAR(D317)+(MONTH(D317)/100),TC!$5:$437,DAY(D317)+2,FALSE),VLOOKUP(F317,Equivalencia!$1:$23,((MAX(Equivalencia!$3:$3)-YEAR(D317))*14)+MONTH(D317)+2,FALSE)))</f>
        <v>1</v>
      </c>
      <c r="I317" s="163">
        <f t="shared" si="16"/>
        <v>828</v>
      </c>
      <c r="J317" s="162">
        <f>IF(D317=0,0,HLOOKUP(YEAR(D317)+(MONTH(D317)/100),TC!$5:$37,DAY(D317)+2,FALSE))</f>
        <v>20.372</v>
      </c>
      <c r="K317" s="219">
        <f t="shared" si="17"/>
        <v>16868.016</v>
      </c>
    </row>
    <row r="318" spans="2:11" s="134" customFormat="1" ht="23" hidden="1" customHeight="1">
      <c r="B318" s="7" t="s">
        <v>689</v>
      </c>
      <c r="C318" s="7" t="s">
        <v>410</v>
      </c>
      <c r="D318" s="159">
        <v>44697</v>
      </c>
      <c r="E318" s="249" t="s">
        <v>805</v>
      </c>
      <c r="F318" s="7" t="s">
        <v>59</v>
      </c>
      <c r="G318" s="219">
        <v>10954.66</v>
      </c>
      <c r="H318" s="162">
        <f>IF(F318=0,0,IF(F318="MXN",1/HLOOKUP(YEAR(D318)+(MONTH(D318)/100),TC!$5:$437,DAY(D318)+2,FALSE),VLOOKUP(F318,Equivalencia!$1:$23,((MAX(Equivalencia!$3:$3)-YEAR(D318))*14)+MONTH(D318)+2,FALSE)))</f>
        <v>1</v>
      </c>
      <c r="I318" s="163">
        <f t="shared" si="16"/>
        <v>10954.66</v>
      </c>
      <c r="J318" s="162">
        <f>IF(D318=0,0,HLOOKUP(YEAR(D318)+(MONTH(D318)/100),TC!$5:$37,DAY(D318)+2,FALSE))</f>
        <v>20.32</v>
      </c>
      <c r="K318" s="219">
        <f t="shared" si="17"/>
        <v>222598.6912</v>
      </c>
    </row>
    <row r="319" spans="2:11" s="134" customFormat="1" ht="23" hidden="1" customHeight="1">
      <c r="B319" s="7" t="s">
        <v>689</v>
      </c>
      <c r="C319" s="7" t="s">
        <v>410</v>
      </c>
      <c r="D319" s="159">
        <v>44708</v>
      </c>
      <c r="E319" s="249" t="s">
        <v>806</v>
      </c>
      <c r="F319" s="7" t="s">
        <v>59</v>
      </c>
      <c r="G319" s="219">
        <v>1029</v>
      </c>
      <c r="H319" s="162">
        <f>IF(F319=0,0,IF(F319="MXN",1/HLOOKUP(YEAR(D319)+(MONTH(D319)/100),TC!$5:$437,DAY(D319)+2,FALSE),VLOOKUP(F319,Equivalencia!$1:$23,((MAX(Equivalencia!$3:$3)-YEAR(D319))*14)+MONTH(D319)+2,FALSE)))</f>
        <v>1</v>
      </c>
      <c r="I319" s="163">
        <f t="shared" si="16"/>
        <v>1029</v>
      </c>
      <c r="J319" s="162">
        <f>IF(D319=0,0,HLOOKUP(YEAR(D319)+(MONTH(D319)/100),TC!$5:$37,DAY(D319)+2,FALSE))</f>
        <v>19.837700000000002</v>
      </c>
      <c r="K319" s="219">
        <f t="shared" si="17"/>
        <v>20412.993300000002</v>
      </c>
    </row>
    <row r="320" spans="2:11" s="134" customFormat="1" ht="23" hidden="1" customHeight="1">
      <c r="B320" s="7" t="s">
        <v>689</v>
      </c>
      <c r="C320" s="7" t="s">
        <v>410</v>
      </c>
      <c r="D320" s="159">
        <v>44713</v>
      </c>
      <c r="E320" s="249" t="s">
        <v>758</v>
      </c>
      <c r="F320" s="7" t="s">
        <v>59</v>
      </c>
      <c r="G320" s="219">
        <v>2058.6</v>
      </c>
      <c r="H320" s="162">
        <f>IF(F320=0,0,IF(F320="MXN",1/HLOOKUP(YEAR(D320)+(MONTH(D320)/100),TC!$5:$437,DAY(D320)+2,FALSE),VLOOKUP(F320,Equivalencia!$1:$23,((MAX(Equivalencia!$3:$3)-YEAR(D320))*14)+MONTH(D320)+2,FALSE)))</f>
        <v>1</v>
      </c>
      <c r="I320" s="163">
        <f t="shared" ref="I320:I329" si="18">+H320*G320</f>
        <v>2058.6</v>
      </c>
      <c r="J320" s="162">
        <f>IF(D320=0,0,HLOOKUP(YEAR(D320)+(MONTH(D320)/100),TC!$5:$37,DAY(D320)+2,FALSE))</f>
        <v>19.4953</v>
      </c>
      <c r="K320" s="219">
        <f t="shared" ref="K320:K329" si="19">IF(F320="MXN",G320,H320*G320*J320)</f>
        <v>40133.024579999998</v>
      </c>
    </row>
    <row r="321" spans="2:11" s="134" customFormat="1" ht="23" hidden="1" customHeight="1">
      <c r="B321" s="7" t="s">
        <v>689</v>
      </c>
      <c r="C321" s="7" t="s">
        <v>410</v>
      </c>
      <c r="D321" s="159">
        <v>44722</v>
      </c>
      <c r="E321" s="249" t="s">
        <v>797</v>
      </c>
      <c r="F321" s="7" t="s">
        <v>59</v>
      </c>
      <c r="G321" s="219">
        <v>3078</v>
      </c>
      <c r="H321" s="162">
        <f>IF(F321=0,0,IF(F321="MXN",1/HLOOKUP(YEAR(D321)+(MONTH(D321)/100),TC!$5:$437,DAY(D321)+2,FALSE),VLOOKUP(F321,Equivalencia!$1:$23,((MAX(Equivalencia!$3:$3)-YEAR(D321))*14)+MONTH(D321)+2,FALSE)))</f>
        <v>1</v>
      </c>
      <c r="I321" s="163">
        <f t="shared" si="18"/>
        <v>3078</v>
      </c>
      <c r="J321" s="162">
        <f>IF(D321=0,0,HLOOKUP(YEAR(D321)+(MONTH(D321)/100),TC!$5:$37,DAY(D321)+2,FALSE))</f>
        <v>19.59</v>
      </c>
      <c r="K321" s="219">
        <f t="shared" si="19"/>
        <v>60298.02</v>
      </c>
    </row>
    <row r="322" spans="2:11" s="134" customFormat="1" ht="23" hidden="1" customHeight="1">
      <c r="B322" s="7" t="s">
        <v>689</v>
      </c>
      <c r="C322" s="7" t="s">
        <v>410</v>
      </c>
      <c r="D322" s="159">
        <v>44727</v>
      </c>
      <c r="E322" s="249" t="s">
        <v>871</v>
      </c>
      <c r="F322" s="7" t="s">
        <v>59</v>
      </c>
      <c r="G322" s="219">
        <v>9386.7999999999993</v>
      </c>
      <c r="H322" s="162">
        <f>IF(F322=0,0,IF(F322="MXN",1/HLOOKUP(YEAR(D322)+(MONTH(D322)/100),TC!$5:$437,DAY(D322)+2,FALSE),VLOOKUP(F322,Equivalencia!$1:$23,((MAX(Equivalencia!$3:$3)-YEAR(D322))*14)+MONTH(D322)+2,FALSE)))</f>
        <v>1</v>
      </c>
      <c r="I322" s="163">
        <f t="shared" si="18"/>
        <v>9386.7999999999993</v>
      </c>
      <c r="J322" s="162">
        <f>IF(D322=0,0,HLOOKUP(YEAR(D322)+(MONTH(D322)/100),TC!$5:$37,DAY(D322)+2,FALSE))</f>
        <v>20.4527</v>
      </c>
      <c r="K322" s="219">
        <f t="shared" si="19"/>
        <v>191985.40435999999</v>
      </c>
    </row>
    <row r="323" spans="2:11" s="134" customFormat="1" ht="23" hidden="1" customHeight="1">
      <c r="B323" s="7" t="s">
        <v>689</v>
      </c>
      <c r="C323" s="7" t="s">
        <v>410</v>
      </c>
      <c r="D323" s="159">
        <v>44727</v>
      </c>
      <c r="E323" s="249" t="s">
        <v>814</v>
      </c>
      <c r="F323" s="7" t="s">
        <v>59</v>
      </c>
      <c r="G323" s="219">
        <v>4962.22</v>
      </c>
      <c r="H323" s="162">
        <f>IF(F323=0,0,IF(F323="MXN",1/HLOOKUP(YEAR(D323)+(MONTH(D323)/100),TC!$5:$437,DAY(D323)+2,FALSE),VLOOKUP(F323,Equivalencia!$1:$23,((MAX(Equivalencia!$3:$3)-YEAR(D323))*14)+MONTH(D323)+2,FALSE)))</f>
        <v>1</v>
      </c>
      <c r="I323" s="163">
        <f t="shared" si="18"/>
        <v>4962.22</v>
      </c>
      <c r="J323" s="162">
        <f>IF(D323=0,0,HLOOKUP(YEAR(D323)+(MONTH(D323)/100),TC!$5:$37,DAY(D323)+2,FALSE))</f>
        <v>20.4527</v>
      </c>
      <c r="K323" s="219">
        <f t="shared" si="19"/>
        <v>101490.796994</v>
      </c>
    </row>
    <row r="324" spans="2:11" s="134" customFormat="1" ht="23" hidden="1" customHeight="1">
      <c r="B324" s="7" t="s">
        <v>689</v>
      </c>
      <c r="C324" s="7" t="s">
        <v>410</v>
      </c>
      <c r="D324" s="159">
        <v>44727</v>
      </c>
      <c r="E324" s="249" t="s">
        <v>813</v>
      </c>
      <c r="F324" s="7" t="s">
        <v>59</v>
      </c>
      <c r="G324" s="219">
        <v>1567.8</v>
      </c>
      <c r="H324" s="162">
        <f>IF(F324=0,0,IF(F324="MXN",1/HLOOKUP(YEAR(D324)+(MONTH(D324)/100),TC!$5:$437,DAY(D324)+2,FALSE),VLOOKUP(F324,Equivalencia!$1:$23,((MAX(Equivalencia!$3:$3)-YEAR(D324))*14)+MONTH(D324)+2,FALSE)))</f>
        <v>1</v>
      </c>
      <c r="I324" s="163">
        <f t="shared" si="18"/>
        <v>1567.8</v>
      </c>
      <c r="J324" s="162">
        <f>IF(D324=0,0,HLOOKUP(YEAR(D324)+(MONTH(D324)/100),TC!$5:$37,DAY(D324)+2,FALSE))</f>
        <v>20.4527</v>
      </c>
      <c r="K324" s="219">
        <f t="shared" si="19"/>
        <v>32065.743060000001</v>
      </c>
    </row>
    <row r="325" spans="2:11" s="134" customFormat="1" ht="23" hidden="1" customHeight="1">
      <c r="B325" s="7" t="s">
        <v>689</v>
      </c>
      <c r="C325" s="7" t="s">
        <v>410</v>
      </c>
      <c r="D325" s="159">
        <v>44727</v>
      </c>
      <c r="E325" s="249" t="s">
        <v>872</v>
      </c>
      <c r="F325" s="7" t="s">
        <v>59</v>
      </c>
      <c r="G325" s="219">
        <v>466.3</v>
      </c>
      <c r="H325" s="162">
        <f>IF(F325=0,0,IF(F325="MXN",1/HLOOKUP(YEAR(D325)+(MONTH(D325)/100),TC!$5:$437,DAY(D325)+2,FALSE),VLOOKUP(F325,Equivalencia!$1:$23,((MAX(Equivalencia!$3:$3)-YEAR(D325))*14)+MONTH(D325)+2,FALSE)))</f>
        <v>1</v>
      </c>
      <c r="I325" s="163">
        <f t="shared" si="18"/>
        <v>466.3</v>
      </c>
      <c r="J325" s="162">
        <f>IF(D325=0,0,HLOOKUP(YEAR(D325)+(MONTH(D325)/100),TC!$5:$37,DAY(D325)+2,FALSE))</f>
        <v>20.4527</v>
      </c>
      <c r="K325" s="219">
        <f t="shared" si="19"/>
        <v>9537.0940100000007</v>
      </c>
    </row>
    <row r="326" spans="2:11" s="134" customFormat="1" ht="23" hidden="1" customHeight="1">
      <c r="B326" s="7" t="s">
        <v>689</v>
      </c>
      <c r="C326" s="7" t="s">
        <v>410</v>
      </c>
      <c r="D326" s="159">
        <v>44736</v>
      </c>
      <c r="E326" s="249" t="s">
        <v>799</v>
      </c>
      <c r="F326" s="7" t="s">
        <v>59</v>
      </c>
      <c r="G326" s="219">
        <v>4849.17</v>
      </c>
      <c r="H326" s="162">
        <f>IF(F326=0,0,IF(F326="MXN",1/HLOOKUP(YEAR(D326)+(MONTH(D326)/100),TC!$5:$437,DAY(D326)+2,FALSE),VLOOKUP(F326,Equivalencia!$1:$23,((MAX(Equivalencia!$3:$3)-YEAR(D326))*14)+MONTH(D326)+2,FALSE)))</f>
        <v>1</v>
      </c>
      <c r="I326" s="163">
        <f t="shared" si="18"/>
        <v>4849.17</v>
      </c>
      <c r="J326" s="162">
        <f>IF(D326=0,0,HLOOKUP(YEAR(D326)+(MONTH(D326)/100),TC!$5:$37,DAY(D326)+2,FALSE))</f>
        <v>20.046500000000002</v>
      </c>
      <c r="K326" s="219">
        <f t="shared" si="19"/>
        <v>97208.886405000012</v>
      </c>
    </row>
    <row r="327" spans="2:11" s="134" customFormat="1" ht="23" hidden="1" customHeight="1">
      <c r="B327" s="7" t="s">
        <v>689</v>
      </c>
      <c r="C327" s="7" t="s">
        <v>410</v>
      </c>
      <c r="D327" s="159">
        <v>44736</v>
      </c>
      <c r="E327" s="249" t="s">
        <v>800</v>
      </c>
      <c r="F327" s="7" t="s">
        <v>59</v>
      </c>
      <c r="G327" s="219">
        <v>4076.31</v>
      </c>
      <c r="H327" s="162">
        <f>IF(F327=0,0,IF(F327="MXN",1/HLOOKUP(YEAR(D327)+(MONTH(D327)/100),TC!$5:$437,DAY(D327)+2,FALSE),VLOOKUP(F327,Equivalencia!$1:$23,((MAX(Equivalencia!$3:$3)-YEAR(D327))*14)+MONTH(D327)+2,FALSE)))</f>
        <v>1</v>
      </c>
      <c r="I327" s="163">
        <f t="shared" si="18"/>
        <v>4076.31</v>
      </c>
      <c r="J327" s="162">
        <f>IF(D327=0,0,HLOOKUP(YEAR(D327)+(MONTH(D327)/100),TC!$5:$37,DAY(D327)+2,FALSE))</f>
        <v>20.046500000000002</v>
      </c>
      <c r="K327" s="219">
        <f t="shared" si="19"/>
        <v>81715.748415000009</v>
      </c>
    </row>
    <row r="328" spans="2:11" s="134" customFormat="1" ht="23" hidden="1" customHeight="1">
      <c r="B328" s="7" t="s">
        <v>689</v>
      </c>
      <c r="C328" s="7" t="s">
        <v>410</v>
      </c>
      <c r="D328" s="159">
        <v>44736</v>
      </c>
      <c r="E328" s="249" t="s">
        <v>801</v>
      </c>
      <c r="F328" s="7" t="s">
        <v>59</v>
      </c>
      <c r="G328" s="219">
        <v>1820.7</v>
      </c>
      <c r="H328" s="162">
        <f>IF(F328=0,0,IF(F328="MXN",1/HLOOKUP(YEAR(D328)+(MONTH(D328)/100),TC!$5:$437,DAY(D328)+2,FALSE),VLOOKUP(F328,Equivalencia!$1:$23,((MAX(Equivalencia!$3:$3)-YEAR(D328))*14)+MONTH(D328)+2,FALSE)))</f>
        <v>1</v>
      </c>
      <c r="I328" s="163">
        <f t="shared" si="18"/>
        <v>1820.7</v>
      </c>
      <c r="J328" s="162">
        <f>IF(D328=0,0,HLOOKUP(YEAR(D328)+(MONTH(D328)/100),TC!$5:$37,DAY(D328)+2,FALSE))</f>
        <v>20.046500000000002</v>
      </c>
      <c r="K328" s="219">
        <f t="shared" si="19"/>
        <v>36498.662550000001</v>
      </c>
    </row>
    <row r="329" spans="2:11" s="134" customFormat="1" ht="23" hidden="1" customHeight="1">
      <c r="B329" s="7" t="s">
        <v>689</v>
      </c>
      <c r="C329" s="7" t="s">
        <v>410</v>
      </c>
      <c r="D329" s="159">
        <v>44742</v>
      </c>
      <c r="E329" s="249" t="s">
        <v>791</v>
      </c>
      <c r="F329" s="7" t="s">
        <v>59</v>
      </c>
      <c r="G329" s="219">
        <v>1466.25</v>
      </c>
      <c r="H329" s="162">
        <f>IF(F329=0,0,IF(F329="MXN",1/HLOOKUP(YEAR(D329)+(MONTH(D329)/100),TC!$5:$437,DAY(D329)+2,FALSE),VLOOKUP(F329,Equivalencia!$1:$23,((MAX(Equivalencia!$3:$3)-YEAR(D329))*14)+MONTH(D329)+2,FALSE)))</f>
        <v>1</v>
      </c>
      <c r="I329" s="163">
        <f t="shared" si="18"/>
        <v>1466.25</v>
      </c>
      <c r="J329" s="162">
        <f>IF(D329=0,0,HLOOKUP(YEAR(D329)+(MONTH(D329)/100),TC!$5:$37,DAY(D329)+2,FALSE))</f>
        <v>19.9847</v>
      </c>
      <c r="K329" s="219">
        <f t="shared" si="19"/>
        <v>29302.566374999999</v>
      </c>
    </row>
    <row r="330" spans="2:11" s="134" customFormat="1" ht="23" hidden="1" customHeight="1">
      <c r="B330" s="7" t="s">
        <v>689</v>
      </c>
      <c r="C330" s="7" t="s">
        <v>410</v>
      </c>
      <c r="D330" s="159">
        <v>44743</v>
      </c>
      <c r="E330" s="249" t="s">
        <v>921</v>
      </c>
      <c r="F330" s="7" t="s">
        <v>59</v>
      </c>
      <c r="G330" s="219">
        <v>512.4</v>
      </c>
      <c r="H330" s="162">
        <f>IF(F330=0,0,IF(F330="MXN",1/HLOOKUP(YEAR(D330)+(MONTH(D330)/100),TC!$5:$437,DAY(D330)+2,FALSE),VLOOKUP(F330,Equivalencia!$1:$23,((MAX(Equivalencia!$3:$3)-YEAR(D330))*14)+MONTH(D330)+2,FALSE)))</f>
        <v>1</v>
      </c>
      <c r="I330" s="163">
        <f t="shared" ref="I330:I355" si="20">+H330*G330</f>
        <v>512.4</v>
      </c>
      <c r="J330" s="162">
        <f>IF(D330=0,0,HLOOKUP(YEAR(D330)+(MONTH(D330)/100),TC!$5:$37,DAY(D330)+2,FALSE))</f>
        <v>20.144300000000001</v>
      </c>
      <c r="K330" s="219">
        <f t="shared" ref="K330:K355" si="21">IF(F330="MXN",G330,H330*G330*J330)</f>
        <v>10321.939319999999</v>
      </c>
    </row>
    <row r="331" spans="2:11" s="134" customFormat="1" ht="23" hidden="1" customHeight="1">
      <c r="B331" s="7" t="s">
        <v>689</v>
      </c>
      <c r="C331" s="7" t="s">
        <v>410</v>
      </c>
      <c r="D331" s="159">
        <v>44753</v>
      </c>
      <c r="E331" s="249" t="s">
        <v>803</v>
      </c>
      <c r="F331" s="7" t="s">
        <v>59</v>
      </c>
      <c r="G331" s="219">
        <v>2070</v>
      </c>
      <c r="H331" s="162">
        <f>IF(F331=0,0,IF(F331="MXN",1/HLOOKUP(YEAR(D331)+(MONTH(D331)/100),TC!$5:$437,DAY(D331)+2,FALSE),VLOOKUP(F331,Equivalencia!$1:$23,((MAX(Equivalencia!$3:$3)-YEAR(D331))*14)+MONTH(D331)+2,FALSE)))</f>
        <v>1</v>
      </c>
      <c r="I331" s="163">
        <f t="shared" si="20"/>
        <v>2070</v>
      </c>
      <c r="J331" s="162">
        <f>IF(D331=0,0,HLOOKUP(YEAR(D331)+(MONTH(D331)/100),TC!$5:$37,DAY(D331)+2,FALSE))</f>
        <v>20.6022</v>
      </c>
      <c r="K331" s="219">
        <f t="shared" si="21"/>
        <v>42646.553999999996</v>
      </c>
    </row>
    <row r="332" spans="2:11" s="134" customFormat="1" ht="23" hidden="1" customHeight="1">
      <c r="B332" s="7" t="s">
        <v>689</v>
      </c>
      <c r="C332" s="7" t="s">
        <v>410</v>
      </c>
      <c r="D332" s="159">
        <v>44757</v>
      </c>
      <c r="E332" s="249" t="s">
        <v>792</v>
      </c>
      <c r="F332" s="7" t="s">
        <v>59</v>
      </c>
      <c r="G332" s="219">
        <v>10036.200000000001</v>
      </c>
      <c r="H332" s="162">
        <f>IF(F332=0,0,IF(F332="MXN",1/HLOOKUP(YEAR(D332)+(MONTH(D332)/100),TC!$5:$437,DAY(D332)+2,FALSE),VLOOKUP(F332,Equivalencia!$1:$23,((MAX(Equivalencia!$3:$3)-YEAR(D332))*14)+MONTH(D332)+2,FALSE)))</f>
        <v>1</v>
      </c>
      <c r="I332" s="163">
        <f t="shared" si="20"/>
        <v>10036.200000000001</v>
      </c>
      <c r="J332" s="162">
        <f>IF(D332=0,0,HLOOKUP(YEAR(D332)+(MONTH(D332)/100),TC!$5:$37,DAY(D332)+2,FALSE))</f>
        <v>20.761299999999999</v>
      </c>
      <c r="K332" s="219">
        <f t="shared" si="21"/>
        <v>208364.55906</v>
      </c>
    </row>
    <row r="333" spans="2:11" s="134" customFormat="1" ht="23" hidden="1" customHeight="1">
      <c r="B333" s="7" t="s">
        <v>689</v>
      </c>
      <c r="C333" s="7" t="s">
        <v>410</v>
      </c>
      <c r="D333" s="159">
        <v>44769</v>
      </c>
      <c r="E333" s="249" t="s">
        <v>794</v>
      </c>
      <c r="F333" s="7" t="s">
        <v>59</v>
      </c>
      <c r="G333" s="219">
        <v>1276.8</v>
      </c>
      <c r="H333" s="162">
        <f>IF(F333=0,0,IF(F333="MXN",1/HLOOKUP(YEAR(D333)+(MONTH(D333)/100),TC!$5:$437,DAY(D333)+2,FALSE),VLOOKUP(F333,Equivalencia!$1:$23,((MAX(Equivalencia!$3:$3)-YEAR(D333))*14)+MONTH(D333)+2,FALSE)))</f>
        <v>1</v>
      </c>
      <c r="I333" s="163">
        <f t="shared" si="20"/>
        <v>1276.8</v>
      </c>
      <c r="J333" s="162">
        <f>IF(D333=0,0,HLOOKUP(YEAR(D333)+(MONTH(D333)/100),TC!$5:$37,DAY(D333)+2,FALSE))</f>
        <v>20.465199999999999</v>
      </c>
      <c r="K333" s="219">
        <f t="shared" si="21"/>
        <v>26129.967359999999</v>
      </c>
    </row>
    <row r="334" spans="2:11" s="134" customFormat="1" ht="23" hidden="1" customHeight="1">
      <c r="B334" s="7" t="s">
        <v>689</v>
      </c>
      <c r="C334" s="7" t="s">
        <v>410</v>
      </c>
      <c r="D334" s="159">
        <v>44771</v>
      </c>
      <c r="E334" s="249" t="s">
        <v>828</v>
      </c>
      <c r="F334" s="7" t="s">
        <v>59</v>
      </c>
      <c r="G334" s="219">
        <v>2341.65</v>
      </c>
      <c r="H334" s="162">
        <f>IF(F334=0,0,IF(F334="MXN",1/HLOOKUP(YEAR(D334)+(MONTH(D334)/100),TC!$5:$437,DAY(D334)+2,FALSE),VLOOKUP(F334,Equivalencia!$1:$23,((MAX(Equivalencia!$3:$3)-YEAR(D334))*14)+MONTH(D334)+2,FALSE)))</f>
        <v>1</v>
      </c>
      <c r="I334" s="163">
        <f t="shared" si="20"/>
        <v>2341.65</v>
      </c>
      <c r="J334" s="162">
        <f>IF(D334=0,0,HLOOKUP(YEAR(D334)+(MONTH(D334)/100),TC!$5:$37,DAY(D334)+2,FALSE))</f>
        <v>20.512</v>
      </c>
      <c r="K334" s="219">
        <f t="shared" si="21"/>
        <v>48031.924800000001</v>
      </c>
    </row>
    <row r="335" spans="2:11" s="134" customFormat="1" ht="23" hidden="1" customHeight="1">
      <c r="B335" s="7" t="s">
        <v>689</v>
      </c>
      <c r="C335" s="7" t="s">
        <v>410</v>
      </c>
      <c r="D335" s="159">
        <v>44771</v>
      </c>
      <c r="E335" s="249" t="s">
        <v>796</v>
      </c>
      <c r="F335" s="7" t="s">
        <v>59</v>
      </c>
      <c r="G335" s="219">
        <v>1871.2</v>
      </c>
      <c r="H335" s="162">
        <f>IF(F335=0,0,IF(F335="MXN",1/HLOOKUP(YEAR(D335)+(MONTH(D335)/100),TC!$5:$437,DAY(D335)+2,FALSE),VLOOKUP(F335,Equivalencia!$1:$23,((MAX(Equivalencia!$3:$3)-YEAR(D335))*14)+MONTH(D335)+2,FALSE)))</f>
        <v>1</v>
      </c>
      <c r="I335" s="163">
        <f t="shared" si="20"/>
        <v>1871.2</v>
      </c>
      <c r="J335" s="162">
        <f>IF(D335=0,0,HLOOKUP(YEAR(D335)+(MONTH(D335)/100),TC!$5:$37,DAY(D335)+2,FALSE))</f>
        <v>20.512</v>
      </c>
      <c r="K335" s="219">
        <f t="shared" si="21"/>
        <v>38382.054400000001</v>
      </c>
    </row>
    <row r="336" spans="2:11" s="134" customFormat="1" ht="23" hidden="1" customHeight="1">
      <c r="B336" s="7" t="s">
        <v>689</v>
      </c>
      <c r="C336" s="7" t="s">
        <v>410</v>
      </c>
      <c r="D336" s="159">
        <v>44774</v>
      </c>
      <c r="E336" s="249" t="s">
        <v>788</v>
      </c>
      <c r="F336" s="7" t="s">
        <v>59</v>
      </c>
      <c r="G336" s="219">
        <v>1230</v>
      </c>
      <c r="H336" s="162">
        <f>IF(F336=0,0,IF(F336="MXN",1/HLOOKUP(YEAR(D336)+(MONTH(D336)/100),TC!$5:$437,DAY(D336)+2,FALSE),VLOOKUP(F336,Equivalencia!$1:$23,((MAX(Equivalencia!$3:$3)-YEAR(D336))*14)+MONTH(D336)+2,FALSE)))</f>
        <v>1</v>
      </c>
      <c r="I336" s="163">
        <f>+H336*G336</f>
        <v>1230</v>
      </c>
      <c r="J336" s="162">
        <f>IF(D336=0,0,HLOOKUP(YEAR(D336)+(MONTH(D336)/100),TC!$5:$37,DAY(D336)+2,FALSE))</f>
        <v>20.377800000000001</v>
      </c>
      <c r="K336" s="219">
        <f>IF(F336="MXN",G336,H336*G336*J336)</f>
        <v>25064.694</v>
      </c>
    </row>
    <row r="337" spans="2:11" s="134" customFormat="1" ht="23" hidden="1" customHeight="1">
      <c r="B337" s="7" t="s">
        <v>689</v>
      </c>
      <c r="C337" s="7" t="s">
        <v>410</v>
      </c>
      <c r="D337" s="159">
        <v>44784</v>
      </c>
      <c r="E337" s="249" t="s">
        <v>716</v>
      </c>
      <c r="F337" s="7" t="s">
        <v>59</v>
      </c>
      <c r="G337" s="219">
        <v>828</v>
      </c>
      <c r="H337" s="162">
        <f>IF(F337=0,0,IF(F337="MXN",1/HLOOKUP(YEAR(D337)+(MONTH(D337)/100),TC!$5:$437,DAY(D337)+2,FALSE),VLOOKUP(F337,Equivalencia!$1:$23,((MAX(Equivalencia!$3:$3)-YEAR(D337))*14)+MONTH(D337)+2,FALSE)))</f>
        <v>1</v>
      </c>
      <c r="I337" s="163">
        <f>+H337*G337</f>
        <v>828</v>
      </c>
      <c r="J337" s="162">
        <f>IF(D337=0,0,HLOOKUP(YEAR(D337)+(MONTH(D337)/100),TC!$5:$37,DAY(D337)+2,FALSE))</f>
        <v>20.2715</v>
      </c>
      <c r="K337" s="219">
        <f>IF(F337="MXN",G337,H337*G337*J337)</f>
        <v>16784.802</v>
      </c>
    </row>
    <row r="338" spans="2:11" s="134" customFormat="1" ht="23" hidden="1" customHeight="1">
      <c r="B338" s="7" t="s">
        <v>689</v>
      </c>
      <c r="C338" s="7" t="s">
        <v>410</v>
      </c>
      <c r="D338" s="159">
        <v>44799</v>
      </c>
      <c r="E338" s="249" t="s">
        <v>806</v>
      </c>
      <c r="F338" s="7" t="s">
        <v>59</v>
      </c>
      <c r="G338" s="219">
        <v>1278.9000000000001</v>
      </c>
      <c r="H338" s="162">
        <f>IF(F338=0,0,IF(F338="MXN",1/HLOOKUP(YEAR(D338)+(MONTH(D338)/100),TC!$5:$437,DAY(D338)+2,FALSE),VLOOKUP(F338,Equivalencia!$1:$23,((MAX(Equivalencia!$3:$3)-YEAR(D338))*14)+MONTH(D338)+2,FALSE)))</f>
        <v>1</v>
      </c>
      <c r="I338" s="163">
        <f>+H338*G338</f>
        <v>1278.9000000000001</v>
      </c>
      <c r="J338" s="162">
        <f>IF(D338=0,0,HLOOKUP(YEAR(D338)+(MONTH(D338)/100),TC!$5:$37,DAY(D338)+2,FALSE))</f>
        <v>19.919799999999999</v>
      </c>
      <c r="K338" s="219">
        <f>IF(F338="MXN",G338,H338*G338*J338)</f>
        <v>25475.432219999999</v>
      </c>
    </row>
    <row r="339" spans="2:11" s="134" customFormat="1" ht="23" hidden="1" customHeight="1">
      <c r="B339" s="7" t="s">
        <v>689</v>
      </c>
      <c r="C339" s="7" t="s">
        <v>410</v>
      </c>
      <c r="D339" s="159">
        <v>44805</v>
      </c>
      <c r="E339" s="249" t="s">
        <v>758</v>
      </c>
      <c r="F339" s="7" t="s">
        <v>59</v>
      </c>
      <c r="G339" s="250">
        <v>2058.6</v>
      </c>
      <c r="H339" s="162">
        <f>IF(F339=0,0,IF(F339="MXN",1/HLOOKUP(YEAR(D339)+(MONTH(D339)/100),TC!$5:$437,DAY(D339)+2,FALSE),VLOOKUP(F339,Equivalencia!$1:$23,((MAX(Equivalencia!$3:$3)-YEAR(D339))*14)+MONTH(D339)+2,FALSE)))</f>
        <v>1</v>
      </c>
      <c r="I339" s="163">
        <f t="shared" ref="I339:I345" si="22">+H339*G339</f>
        <v>2058.6</v>
      </c>
      <c r="J339" s="162">
        <f>IF(D339=0,0,HLOOKUP(YEAR(D339)+(MONTH(D339)/100),TC!$5:$37,DAY(D339)+2,FALSE))</f>
        <v>20.1465</v>
      </c>
      <c r="K339" s="219">
        <f t="shared" ref="K339:K345" si="23">IF(F339="MXN",G339,H339*G339*J339)</f>
        <v>41473.584899999994</v>
      </c>
    </row>
    <row r="340" spans="2:11" s="134" customFormat="1" ht="23" hidden="1" customHeight="1">
      <c r="B340" s="7" t="s">
        <v>689</v>
      </c>
      <c r="C340" s="7" t="s">
        <v>410</v>
      </c>
      <c r="D340" s="159">
        <v>44810</v>
      </c>
      <c r="E340" s="249" t="s">
        <v>797</v>
      </c>
      <c r="F340" s="7" t="s">
        <v>59</v>
      </c>
      <c r="G340" s="250">
        <v>1536</v>
      </c>
      <c r="H340" s="162">
        <f>IF(F340=0,0,IF(F340="MXN",1/HLOOKUP(YEAR(D340)+(MONTH(D340)/100),TC!$5:$437,DAY(D340)+2,FALSE),VLOOKUP(F340,Equivalencia!$1:$23,((MAX(Equivalencia!$3:$3)-YEAR(D340))*14)+MONTH(D340)+2,FALSE)))</f>
        <v>1</v>
      </c>
      <c r="I340" s="163">
        <f t="shared" si="22"/>
        <v>1536</v>
      </c>
      <c r="J340" s="162">
        <f>IF(D340=0,0,HLOOKUP(YEAR(D340)+(MONTH(D340)/100),TC!$5:$37,DAY(D340)+2,FALSE))</f>
        <v>19.975300000000001</v>
      </c>
      <c r="K340" s="219">
        <f t="shared" si="23"/>
        <v>30682.060799999999</v>
      </c>
    </row>
    <row r="341" spans="2:11" s="134" customFormat="1" ht="23" hidden="1" customHeight="1">
      <c r="B341" s="7" t="s">
        <v>689</v>
      </c>
      <c r="C341" s="7" t="s">
        <v>410</v>
      </c>
      <c r="D341" s="159">
        <v>44810</v>
      </c>
      <c r="E341" s="249" t="s">
        <v>735</v>
      </c>
      <c r="F341" s="7" t="s">
        <v>59</v>
      </c>
      <c r="G341" s="250">
        <v>672</v>
      </c>
      <c r="H341" s="162">
        <f>IF(F341=0,0,IF(F341="MXN",1/HLOOKUP(YEAR(D341)+(MONTH(D341)/100),TC!$5:$437,DAY(D341)+2,FALSE),VLOOKUP(F341,Equivalencia!$1:$23,((MAX(Equivalencia!$3:$3)-YEAR(D341))*14)+MONTH(D341)+2,FALSE)))</f>
        <v>1</v>
      </c>
      <c r="I341" s="163">
        <f t="shared" si="22"/>
        <v>672</v>
      </c>
      <c r="J341" s="162">
        <f>IF(D341=0,0,HLOOKUP(YEAR(D341)+(MONTH(D341)/100),TC!$5:$37,DAY(D341)+2,FALSE))</f>
        <v>19.975300000000001</v>
      </c>
      <c r="K341" s="219">
        <f t="shared" si="23"/>
        <v>13423.401600000001</v>
      </c>
    </row>
    <row r="342" spans="2:11" s="134" customFormat="1" ht="23" hidden="1" customHeight="1">
      <c r="B342" s="7" t="s">
        <v>689</v>
      </c>
      <c r="C342" s="7" t="s">
        <v>410</v>
      </c>
      <c r="D342" s="159">
        <v>44826</v>
      </c>
      <c r="E342" s="249" t="s">
        <v>799</v>
      </c>
      <c r="F342" s="7" t="s">
        <v>59</v>
      </c>
      <c r="G342" s="250">
        <v>8397.61</v>
      </c>
      <c r="H342" s="162">
        <f>IF(F342=0,0,IF(F342="MXN",1/HLOOKUP(YEAR(D342)+(MONTH(D342)/100),TC!$5:$437,DAY(D342)+2,FALSE),VLOOKUP(F342,Equivalencia!$1:$23,((MAX(Equivalencia!$3:$3)-YEAR(D342))*14)+MONTH(D342)+2,FALSE)))</f>
        <v>1</v>
      </c>
      <c r="I342" s="163">
        <f t="shared" si="22"/>
        <v>8397.61</v>
      </c>
      <c r="J342" s="162">
        <f>IF(D342=0,0,HLOOKUP(YEAR(D342)+(MONTH(D342)/100),TC!$5:$37,DAY(D342)+2,FALSE))</f>
        <v>20</v>
      </c>
      <c r="K342" s="219">
        <f t="shared" si="23"/>
        <v>167952.2</v>
      </c>
    </row>
    <row r="343" spans="2:11" s="134" customFormat="1" ht="23" hidden="1" customHeight="1">
      <c r="B343" s="7" t="s">
        <v>689</v>
      </c>
      <c r="C343" s="7" t="s">
        <v>410</v>
      </c>
      <c r="D343" s="159">
        <v>44826</v>
      </c>
      <c r="E343" s="249" t="s">
        <v>800</v>
      </c>
      <c r="F343" s="7" t="s">
        <v>59</v>
      </c>
      <c r="G343" s="250">
        <v>908.97</v>
      </c>
      <c r="H343" s="162">
        <f>IF(F343=0,0,IF(F343="MXN",1/HLOOKUP(YEAR(D343)+(MONTH(D343)/100),TC!$5:$437,DAY(D343)+2,FALSE),VLOOKUP(F343,Equivalencia!$1:$23,((MAX(Equivalencia!$3:$3)-YEAR(D343))*14)+MONTH(D343)+2,FALSE)))</f>
        <v>1</v>
      </c>
      <c r="I343" s="163">
        <f t="shared" si="22"/>
        <v>908.97</v>
      </c>
      <c r="J343" s="162">
        <f>IF(D343=0,0,HLOOKUP(YEAR(D343)+(MONTH(D343)/100),TC!$5:$37,DAY(D343)+2,FALSE))</f>
        <v>20</v>
      </c>
      <c r="K343" s="219">
        <f t="shared" si="23"/>
        <v>18179.400000000001</v>
      </c>
    </row>
    <row r="344" spans="2:11" s="134" customFormat="1" ht="23" hidden="1" customHeight="1">
      <c r="B344" s="7" t="s">
        <v>689</v>
      </c>
      <c r="C344" s="7" t="s">
        <v>410</v>
      </c>
      <c r="D344" s="159">
        <v>44834</v>
      </c>
      <c r="E344" s="249" t="s">
        <v>872</v>
      </c>
      <c r="F344" s="7" t="s">
        <v>59</v>
      </c>
      <c r="G344" s="250">
        <v>702.49</v>
      </c>
      <c r="H344" s="162">
        <f>IF(F344=0,0,IF(F344="MXN",1/HLOOKUP(YEAR(D344)+(MONTH(D344)/100),TC!$5:$437,DAY(D344)+2,FALSE),VLOOKUP(F344,Equivalencia!$1:$23,((MAX(Equivalencia!$3:$3)-YEAR(D344))*14)+MONTH(D344)+2,FALSE)))</f>
        <v>1</v>
      </c>
      <c r="I344" s="163">
        <f t="shared" si="22"/>
        <v>702.49</v>
      </c>
      <c r="J344" s="162">
        <f>IF(D344=0,0,HLOOKUP(YEAR(D344)+(MONTH(D344)/100),TC!$5:$37,DAY(D344)+2,FALSE))</f>
        <v>20.305800000000001</v>
      </c>
      <c r="K344" s="219">
        <f t="shared" si="23"/>
        <v>14264.621442000001</v>
      </c>
    </row>
    <row r="345" spans="2:11" s="134" customFormat="1" ht="23" hidden="1" customHeight="1">
      <c r="B345" s="7" t="s">
        <v>689</v>
      </c>
      <c r="C345" s="7" t="s">
        <v>410</v>
      </c>
      <c r="D345" s="159">
        <v>44834</v>
      </c>
      <c r="E345" s="249" t="s">
        <v>801</v>
      </c>
      <c r="F345" s="7" t="s">
        <v>59</v>
      </c>
      <c r="G345" s="250">
        <v>1907.4</v>
      </c>
      <c r="H345" s="162">
        <f>IF(F345=0,0,IF(F345="MXN",1/HLOOKUP(YEAR(D345)+(MONTH(D345)/100),TC!$5:$437,DAY(D345)+2,FALSE),VLOOKUP(F345,Equivalencia!$1:$23,((MAX(Equivalencia!$3:$3)-YEAR(D345))*14)+MONTH(D345)+2,FALSE)))</f>
        <v>1</v>
      </c>
      <c r="I345" s="163">
        <f t="shared" si="22"/>
        <v>1907.4</v>
      </c>
      <c r="J345" s="162">
        <f>IF(D345=0,0,HLOOKUP(YEAR(D345)+(MONTH(D345)/100),TC!$5:$37,DAY(D345)+2,FALSE))</f>
        <v>20.305800000000001</v>
      </c>
      <c r="K345" s="219">
        <f t="shared" si="23"/>
        <v>38731.282920000005</v>
      </c>
    </row>
    <row r="346" spans="2:11" s="134" customFormat="1" ht="23" hidden="1" customHeight="1">
      <c r="B346" s="7" t="s">
        <v>689</v>
      </c>
      <c r="C346" s="7" t="s">
        <v>410</v>
      </c>
      <c r="D346" s="159">
        <v>44834</v>
      </c>
      <c r="E346" s="249" t="s">
        <v>802</v>
      </c>
      <c r="F346" s="7" t="s">
        <v>59</v>
      </c>
      <c r="G346" s="250">
        <v>1466.25</v>
      </c>
      <c r="H346" s="162">
        <f>IF(F346=0,0,IF(F346="MXN",1/HLOOKUP(YEAR(D346)+(MONTH(D346)/100),TC!$5:$437,DAY(D346)+2,FALSE),VLOOKUP(F346,Equivalencia!$1:$23,((MAX(Equivalencia!$3:$3)-YEAR(D346))*14)+MONTH(D346)+2,FALSE)))</f>
        <v>1</v>
      </c>
      <c r="I346" s="163">
        <f t="shared" si="20"/>
        <v>1466.25</v>
      </c>
      <c r="J346" s="162">
        <f>IF(D346=0,0,HLOOKUP(YEAR(D346)+(MONTH(D346)/100),TC!$5:$37,DAY(D346)+2,FALSE))</f>
        <v>20.305800000000001</v>
      </c>
      <c r="K346" s="219">
        <f t="shared" si="21"/>
        <v>29773.379250000002</v>
      </c>
    </row>
    <row r="347" spans="2:11" s="134" customFormat="1" ht="23" hidden="1" customHeight="1">
      <c r="B347" s="7" t="s">
        <v>689</v>
      </c>
      <c r="C347" s="7" t="s">
        <v>410</v>
      </c>
      <c r="D347" s="159">
        <v>44837</v>
      </c>
      <c r="E347" s="249" t="s">
        <v>803</v>
      </c>
      <c r="F347" s="7" t="s">
        <v>59</v>
      </c>
      <c r="G347" s="250">
        <v>2070</v>
      </c>
      <c r="H347" s="162">
        <f>IF(F347=0,0,IF(F347="MXN",1/HLOOKUP(YEAR(D347)+(MONTH(D347)/100),TC!$5:$437,DAY(D347)+2,FALSE),VLOOKUP(F347,Equivalencia!$1:$23,((MAX(Equivalencia!$3:$3)-YEAR(D347))*14)+MONTH(D347)+2,FALSE)))</f>
        <v>1</v>
      </c>
      <c r="I347" s="163">
        <f t="shared" ref="I347:I354" si="24">+H347*G347</f>
        <v>2070</v>
      </c>
      <c r="J347" s="162">
        <f>IF(D347=0,0,HLOOKUP(YEAR(D347)+(MONTH(D347)/100),TC!$5:$37,DAY(D347)+2,FALSE))</f>
        <v>20.192699999999999</v>
      </c>
      <c r="K347" s="219">
        <f t="shared" ref="K347:K354" si="25">IF(F347="MXN",G347,H347*G347*J347)</f>
        <v>41798.888999999996</v>
      </c>
    </row>
    <row r="348" spans="2:11" s="134" customFormat="1" ht="23" hidden="1" customHeight="1">
      <c r="B348" s="7" t="s">
        <v>689</v>
      </c>
      <c r="C348" s="7" t="s">
        <v>410</v>
      </c>
      <c r="D348" s="159">
        <v>44837</v>
      </c>
      <c r="E348" s="249" t="s">
        <v>921</v>
      </c>
      <c r="F348" s="7" t="s">
        <v>59</v>
      </c>
      <c r="G348" s="250">
        <v>512.4</v>
      </c>
      <c r="H348" s="162">
        <f>IF(F348=0,0,IF(F348="MXN",1/HLOOKUP(YEAR(D348)+(MONTH(D348)/100),TC!$5:$437,DAY(D348)+2,FALSE),VLOOKUP(F348,Equivalencia!$1:$23,((MAX(Equivalencia!$3:$3)-YEAR(D348))*14)+MONTH(D348)+2,FALSE)))</f>
        <v>1</v>
      </c>
      <c r="I348" s="163">
        <f t="shared" si="24"/>
        <v>512.4</v>
      </c>
      <c r="J348" s="162">
        <f>IF(D348=0,0,HLOOKUP(YEAR(D348)+(MONTH(D348)/100),TC!$5:$37,DAY(D348)+2,FALSE))</f>
        <v>20.192699999999999</v>
      </c>
      <c r="K348" s="219">
        <f t="shared" si="25"/>
        <v>10346.739479999998</v>
      </c>
    </row>
    <row r="349" spans="2:11" s="134" customFormat="1" ht="23" hidden="1" customHeight="1">
      <c r="B349" s="7" t="s">
        <v>689</v>
      </c>
      <c r="C349" s="7" t="s">
        <v>410</v>
      </c>
      <c r="D349" s="159">
        <v>44848</v>
      </c>
      <c r="E349" s="249" t="s">
        <v>792</v>
      </c>
      <c r="F349" s="7" t="s">
        <v>59</v>
      </c>
      <c r="G349" s="250">
        <v>10036.200000000001</v>
      </c>
      <c r="H349" s="162">
        <f>IF(F349=0,0,IF(F349="MXN",1/HLOOKUP(YEAR(D349)+(MONTH(D349)/100),TC!$5:$437,DAY(D349)+2,FALSE),VLOOKUP(F349,Equivalencia!$1:$23,((MAX(Equivalencia!$3:$3)-YEAR(D349))*14)+MONTH(D349)+2,FALSE)))</f>
        <v>1</v>
      </c>
      <c r="I349" s="163">
        <f t="shared" si="24"/>
        <v>10036.200000000001</v>
      </c>
      <c r="J349" s="162">
        <f>IF(D349=0,0,HLOOKUP(YEAR(D349)+(MONTH(D349)/100),TC!$5:$37,DAY(D349)+2,FALSE))</f>
        <v>20.0352</v>
      </c>
      <c r="K349" s="219">
        <f t="shared" si="25"/>
        <v>201077.27424</v>
      </c>
    </row>
    <row r="350" spans="2:11" s="134" customFormat="1" ht="23" hidden="1" customHeight="1">
      <c r="B350" s="7" t="s">
        <v>689</v>
      </c>
      <c r="C350" s="7" t="s">
        <v>410</v>
      </c>
      <c r="D350" s="159">
        <v>44860</v>
      </c>
      <c r="E350" s="249" t="s">
        <v>794</v>
      </c>
      <c r="F350" s="7" t="s">
        <v>59</v>
      </c>
      <c r="G350" s="250">
        <v>1276.8</v>
      </c>
      <c r="H350" s="162">
        <f>IF(F350=0,0,IF(F350="MXN",1/HLOOKUP(YEAR(D350)+(MONTH(D350)/100),TC!$5:$437,DAY(D350)+2,FALSE),VLOOKUP(F350,Equivalencia!$1:$23,((MAX(Equivalencia!$3:$3)-YEAR(D350))*14)+MONTH(D350)+2,FALSE)))</f>
        <v>1</v>
      </c>
      <c r="I350" s="163">
        <f t="shared" si="24"/>
        <v>1276.8</v>
      </c>
      <c r="J350" s="162">
        <f>IF(D350=0,0,HLOOKUP(YEAR(D350)+(MONTH(D350)/100),TC!$5:$37,DAY(D350)+2,FALSE))</f>
        <v>19.953499999999998</v>
      </c>
      <c r="K350" s="219">
        <f t="shared" si="25"/>
        <v>25476.628799999999</v>
      </c>
    </row>
    <row r="351" spans="2:11" s="134" customFormat="1" ht="23" hidden="1" customHeight="1">
      <c r="B351" s="7" t="s">
        <v>689</v>
      </c>
      <c r="C351" s="7" t="s">
        <v>410</v>
      </c>
      <c r="D351" s="159">
        <v>44865</v>
      </c>
      <c r="E351" s="249" t="s">
        <v>958</v>
      </c>
      <c r="F351" s="7" t="s">
        <v>59</v>
      </c>
      <c r="G351" s="250">
        <v>1220.3800000000001</v>
      </c>
      <c r="H351" s="162">
        <f>IF(F351=0,0,IF(F351="MXN",1/HLOOKUP(YEAR(D351)+(MONTH(D351)/100),TC!$5:$437,DAY(D351)+2,FALSE),VLOOKUP(F351,Equivalencia!$1:$23,((MAX(Equivalencia!$3:$3)-YEAR(D351))*14)+MONTH(D351)+2,FALSE)))</f>
        <v>1</v>
      </c>
      <c r="I351" s="163">
        <f t="shared" si="24"/>
        <v>1220.3800000000001</v>
      </c>
      <c r="J351" s="162">
        <f>IF(D351=0,0,HLOOKUP(YEAR(D351)+(MONTH(D351)/100),TC!$5:$37,DAY(D351)+2,FALSE))</f>
        <v>19.836500000000001</v>
      </c>
      <c r="K351" s="219">
        <f t="shared" si="25"/>
        <v>24208.067870000003</v>
      </c>
    </row>
    <row r="352" spans="2:11" s="134" customFormat="1" ht="23" hidden="1" customHeight="1">
      <c r="B352" s="7" t="s">
        <v>689</v>
      </c>
      <c r="C352" s="7" t="s">
        <v>410</v>
      </c>
      <c r="D352" s="159">
        <v>44865</v>
      </c>
      <c r="E352" s="249" t="s">
        <v>828</v>
      </c>
      <c r="F352" s="7" t="s">
        <v>59</v>
      </c>
      <c r="G352" s="250">
        <v>1185.33</v>
      </c>
      <c r="H352" s="162">
        <f>IF(F352=0,0,IF(F352="MXN",1/HLOOKUP(YEAR(D352)+(MONTH(D352)/100),TC!$5:$437,DAY(D352)+2,FALSE),VLOOKUP(F352,Equivalencia!$1:$23,((MAX(Equivalencia!$3:$3)-YEAR(D352))*14)+MONTH(D352)+2,FALSE)))</f>
        <v>1</v>
      </c>
      <c r="I352" s="163">
        <f t="shared" si="24"/>
        <v>1185.33</v>
      </c>
      <c r="J352" s="162">
        <f>IF(D352=0,0,HLOOKUP(YEAR(D352)+(MONTH(D352)/100),TC!$5:$37,DAY(D352)+2,FALSE))</f>
        <v>19.836500000000001</v>
      </c>
      <c r="K352" s="219">
        <f t="shared" si="25"/>
        <v>23512.798544999998</v>
      </c>
    </row>
    <row r="353" spans="2:11" s="134" customFormat="1" ht="23" hidden="1" customHeight="1">
      <c r="B353" s="7" t="s">
        <v>689</v>
      </c>
      <c r="C353" s="7" t="s">
        <v>410</v>
      </c>
      <c r="D353" s="159">
        <v>44865</v>
      </c>
      <c r="E353" s="249" t="s">
        <v>788</v>
      </c>
      <c r="F353" s="7" t="s">
        <v>59</v>
      </c>
      <c r="G353" s="250">
        <v>1230</v>
      </c>
      <c r="H353" s="162">
        <f>IF(F353=0,0,IF(F353="MXN",1/HLOOKUP(YEAR(D353)+(MONTH(D353)/100),TC!$5:$437,DAY(D353)+2,FALSE),VLOOKUP(F353,Equivalencia!$1:$23,((MAX(Equivalencia!$3:$3)-YEAR(D353))*14)+MONTH(D353)+2,FALSE)))</f>
        <v>1</v>
      </c>
      <c r="I353" s="163">
        <f t="shared" si="24"/>
        <v>1230</v>
      </c>
      <c r="J353" s="162">
        <f>IF(D353=0,0,HLOOKUP(YEAR(D353)+(MONTH(D353)/100),TC!$5:$37,DAY(D353)+2,FALSE))</f>
        <v>19.836500000000001</v>
      </c>
      <c r="K353" s="219">
        <f t="shared" si="25"/>
        <v>24398.895</v>
      </c>
    </row>
    <row r="354" spans="2:11" s="134" customFormat="1" ht="23" hidden="1" customHeight="1">
      <c r="B354" s="7"/>
      <c r="C354" s="7"/>
      <c r="D354" s="159"/>
      <c r="E354" s="249"/>
      <c r="F354" s="7"/>
      <c r="G354" s="250"/>
      <c r="H354" s="162">
        <f>IF(F354=0,0,IF(F354="MXN",1/HLOOKUP(YEAR(D354)+(MONTH(D354)/100),TC!$5:$437,DAY(D354)+2,FALSE),VLOOKUP(F354,Equivalencia!$1:$23,((MAX(Equivalencia!$3:$3)-YEAR(D354))*14)+MONTH(D354)+2,FALSE)))</f>
        <v>0</v>
      </c>
      <c r="I354" s="163">
        <f t="shared" si="24"/>
        <v>0</v>
      </c>
      <c r="J354" s="162">
        <f>IF(D354=0,0,HLOOKUP(YEAR(D354)+(MONTH(D354)/100),TC!$5:$37,DAY(D354)+2,FALSE))</f>
        <v>0</v>
      </c>
      <c r="K354" s="219">
        <f t="shared" si="25"/>
        <v>0</v>
      </c>
    </row>
    <row r="355" spans="2:11" s="134" customFormat="1" ht="23" hidden="1" customHeight="1">
      <c r="B355" s="7" t="s">
        <v>687</v>
      </c>
      <c r="C355" s="7" t="s">
        <v>410</v>
      </c>
      <c r="D355" s="159">
        <v>44574</v>
      </c>
      <c r="E355" s="249" t="s">
        <v>807</v>
      </c>
      <c r="F355" s="7" t="s">
        <v>59</v>
      </c>
      <c r="G355" s="219">
        <v>141.52000000000001</v>
      </c>
      <c r="H355" s="162">
        <f>IF(F355=0,0,IF(F355="MXN",1/HLOOKUP(YEAR(D355)+(MONTH(D355)/100),TC!$5:$437,DAY(D355)+2,FALSE),VLOOKUP(F355,Equivalencia!$1:$23,((MAX(Equivalencia!$3:$3)-YEAR(D355))*14)+MONTH(D355)+2,FALSE)))</f>
        <v>1</v>
      </c>
      <c r="I355" s="163">
        <f t="shared" si="20"/>
        <v>141.52000000000001</v>
      </c>
      <c r="J355" s="162">
        <f>IF(D355=0,0,HLOOKUP(YEAR(D355)+(MONTH(D355)/100),TC!$5:$37,DAY(D355)+2,FALSE))</f>
        <v>20.378499999999999</v>
      </c>
      <c r="K355" s="219">
        <f t="shared" si="21"/>
        <v>2883.9653200000002</v>
      </c>
    </row>
    <row r="356" spans="2:11" s="134" customFormat="1" ht="23" hidden="1" customHeight="1">
      <c r="B356" s="7" t="s">
        <v>687</v>
      </c>
      <c r="C356" s="7" t="s">
        <v>410</v>
      </c>
      <c r="D356" s="159">
        <v>44592</v>
      </c>
      <c r="E356" s="249" t="s">
        <v>788</v>
      </c>
      <c r="F356" s="7" t="s">
        <v>59</v>
      </c>
      <c r="G356" s="219">
        <v>198</v>
      </c>
      <c r="H356" s="162">
        <f>IF(F356=0,0,IF(F356="MXN",1/HLOOKUP(YEAR(D356)+(MONTH(D356)/100),TC!$5:$437,DAY(D356)+2,FALSE),VLOOKUP(F356,Equivalencia!$1:$23,((MAX(Equivalencia!$3:$3)-YEAR(D356))*14)+MONTH(D356)+2,FALSE)))</f>
        <v>1</v>
      </c>
      <c r="I356" s="163">
        <f>+H356*G356</f>
        <v>198</v>
      </c>
      <c r="J356" s="162">
        <f>IF(D356=0,0,HLOOKUP(YEAR(D356)+(MONTH(D356)/100),TC!$5:$37,DAY(D356)+2,FALSE))</f>
        <v>20.738299999999999</v>
      </c>
      <c r="K356" s="219">
        <f>IF(F356="MXN",G356,H356*G356*J356)</f>
        <v>4106.1833999999999</v>
      </c>
    </row>
    <row r="357" spans="2:11" s="134" customFormat="1" ht="23" hidden="1" customHeight="1">
      <c r="B357" s="7" t="s">
        <v>687</v>
      </c>
      <c r="C357" s="7" t="s">
        <v>410</v>
      </c>
      <c r="D357" s="159">
        <v>44607</v>
      </c>
      <c r="E357" s="249" t="s">
        <v>753</v>
      </c>
      <c r="F357" s="7" t="s">
        <v>59</v>
      </c>
      <c r="G357" s="219">
        <v>231</v>
      </c>
      <c r="H357" s="162">
        <f>IF(F357=0,0,IF(F357="MXN",1/HLOOKUP(YEAR(D357)+(MONTH(D357)/100),TC!$5:$437,DAY(D357)+2,FALSE),VLOOKUP(F357,Equivalencia!$1:$23,((MAX(Equivalencia!$3:$3)-YEAR(D357))*14)+MONTH(D357)+2,FALSE)))</f>
        <v>1</v>
      </c>
      <c r="I357" s="163">
        <f>+H357*G357</f>
        <v>231</v>
      </c>
      <c r="J357" s="162">
        <f>IF(D357=0,0,HLOOKUP(YEAR(D357)+(MONTH(D357)/100),TC!$5:$37,DAY(D357)+2,FALSE))</f>
        <v>20.418800000000001</v>
      </c>
      <c r="K357" s="219">
        <f>IF(F357="MXN",G357,H357*G357*J357)</f>
        <v>4716.7428</v>
      </c>
    </row>
    <row r="358" spans="2:11" s="134" customFormat="1" ht="23" hidden="1" customHeight="1">
      <c r="B358" s="7" t="s">
        <v>687</v>
      </c>
      <c r="C358" s="7" t="s">
        <v>410</v>
      </c>
      <c r="D358" s="159">
        <v>44617</v>
      </c>
      <c r="E358" s="249" t="s">
        <v>808</v>
      </c>
      <c r="F358" s="7" t="s">
        <v>59</v>
      </c>
      <c r="G358" s="219">
        <v>229.5</v>
      </c>
      <c r="H358" s="162">
        <f>IF(F358=0,0,IF(F358="MXN",1/HLOOKUP(YEAR(D358)+(MONTH(D358)/100),TC!$5:$437,DAY(D358)+2,FALSE),VLOOKUP(F358,Equivalencia!$1:$23,((MAX(Equivalencia!$3:$3)-YEAR(D358))*14)+MONTH(D358)+2,FALSE)))</f>
        <v>1</v>
      </c>
      <c r="I358" s="163">
        <f>+H358*G358</f>
        <v>229.5</v>
      </c>
      <c r="J358" s="162">
        <f>IF(D358=0,0,HLOOKUP(YEAR(D358)+(MONTH(D358)/100),TC!$5:$37,DAY(D358)+2,FALSE))</f>
        <v>20.243500000000001</v>
      </c>
      <c r="K358" s="219">
        <f>IF(F358="MXN",G358,H358*G358*J358)</f>
        <v>4645.8832499999999</v>
      </c>
    </row>
    <row r="359" spans="2:11" s="134" customFormat="1" ht="23" hidden="1" customHeight="1">
      <c r="B359" s="7" t="s">
        <v>687</v>
      </c>
      <c r="C359" s="7" t="s">
        <v>410</v>
      </c>
      <c r="D359" s="159">
        <v>44644</v>
      </c>
      <c r="E359" s="249" t="s">
        <v>809</v>
      </c>
      <c r="F359" s="7" t="s">
        <v>59</v>
      </c>
      <c r="G359" s="219">
        <v>1444.88</v>
      </c>
      <c r="H359" s="162">
        <f>IF(F359=0,0,IF(F359="MXN",1/HLOOKUP(YEAR(D359)+(MONTH(D359)/100),TC!$5:$437,DAY(D359)+2,FALSE),VLOOKUP(F359,Equivalencia!$1:$23,((MAX(Equivalencia!$3:$3)-YEAR(D359))*14)+MONTH(D359)+2,FALSE)))</f>
        <v>1</v>
      </c>
      <c r="I359" s="163">
        <f>+H359*G359</f>
        <v>1444.88</v>
      </c>
      <c r="J359" s="162">
        <f>IF(D359=0,0,HLOOKUP(YEAR(D359)+(MONTH(D359)/100),TC!$5:$37,DAY(D359)+2,FALSE))</f>
        <v>20.278199999999998</v>
      </c>
      <c r="K359" s="219">
        <f>IF(F359="MXN",G359,H359*G359*J359)</f>
        <v>29299.565616</v>
      </c>
    </row>
    <row r="360" spans="2:11" s="134" customFormat="1" ht="23" hidden="1" customHeight="1">
      <c r="B360" s="7" t="s">
        <v>687</v>
      </c>
      <c r="C360" s="7" t="s">
        <v>410</v>
      </c>
      <c r="D360" s="159">
        <v>44645</v>
      </c>
      <c r="E360" s="249" t="s">
        <v>801</v>
      </c>
      <c r="F360" s="7" t="s">
        <v>59</v>
      </c>
      <c r="G360" s="219">
        <v>157.5</v>
      </c>
      <c r="H360" s="162">
        <f>IF(F360=0,0,IF(F360="MXN",1/HLOOKUP(YEAR(D360)+(MONTH(D360)/100),TC!$5:$437,DAY(D360)+2,FALSE),VLOOKUP(F360,Equivalencia!$1:$23,((MAX(Equivalencia!$3:$3)-YEAR(D360))*14)+MONTH(D360)+2,FALSE)))</f>
        <v>1</v>
      </c>
      <c r="I360" s="163">
        <f t="shared" ref="I360:I384" si="26">+H360*G360</f>
        <v>157.5</v>
      </c>
      <c r="J360" s="162">
        <f>IF(D360=0,0,HLOOKUP(YEAR(D360)+(MONTH(D360)/100),TC!$5:$37,DAY(D360)+2,FALSE))</f>
        <v>20.18</v>
      </c>
      <c r="K360" s="219">
        <f t="shared" ref="K360:K384" si="27">IF(F360="MXN",G360,H360*G360*J360)</f>
        <v>3178.35</v>
      </c>
    </row>
    <row r="361" spans="2:11" s="134" customFormat="1" ht="23" hidden="1" customHeight="1">
      <c r="B361" s="7" t="s">
        <v>687</v>
      </c>
      <c r="C361" s="7" t="s">
        <v>410</v>
      </c>
      <c r="D361" s="159">
        <v>44650</v>
      </c>
      <c r="E361" s="249" t="s">
        <v>783</v>
      </c>
      <c r="F361" s="7" t="s">
        <v>59</v>
      </c>
      <c r="G361" s="219">
        <v>165</v>
      </c>
      <c r="H361" s="162">
        <f>IF(F361=0,0,IF(F361="MXN",1/HLOOKUP(YEAR(D361)+(MONTH(D361)/100),TC!$5:$437,DAY(D361)+2,FALSE),VLOOKUP(F361,Equivalencia!$1:$23,((MAX(Equivalencia!$3:$3)-YEAR(D361))*14)+MONTH(D361)+2,FALSE)))</f>
        <v>1</v>
      </c>
      <c r="I361" s="163">
        <f t="shared" si="26"/>
        <v>165</v>
      </c>
      <c r="J361" s="162">
        <f>IF(D361=0,0,HLOOKUP(YEAR(D361)+(MONTH(D361)/100),TC!$5:$37,DAY(D361)+2,FALSE))</f>
        <v>20.119499999999999</v>
      </c>
      <c r="K361" s="219">
        <f t="shared" si="27"/>
        <v>3319.7174999999997</v>
      </c>
    </row>
    <row r="362" spans="2:11" s="134" customFormat="1" ht="23" hidden="1" customHeight="1">
      <c r="B362" s="7" t="s">
        <v>687</v>
      </c>
      <c r="C362" s="7" t="s">
        <v>410</v>
      </c>
      <c r="D362" s="159">
        <v>44665</v>
      </c>
      <c r="E362" s="249" t="s">
        <v>811</v>
      </c>
      <c r="F362" s="7" t="s">
        <v>59</v>
      </c>
      <c r="G362" s="219">
        <v>135.44</v>
      </c>
      <c r="H362" s="162">
        <f>IF(F362=0,0,IF(F362="MXN",1/HLOOKUP(YEAR(D362)+(MONTH(D362)/100),TC!$5:$437,DAY(D362)+2,FALSE),VLOOKUP(F362,Equivalencia!$1:$23,((MAX(Equivalencia!$3:$3)-YEAR(D362))*14)+MONTH(D362)+2,FALSE)))</f>
        <v>1</v>
      </c>
      <c r="I362" s="163">
        <f t="shared" si="26"/>
        <v>135.44</v>
      </c>
      <c r="J362" s="162">
        <f>IF(D362=0,0,HLOOKUP(YEAR(D362)+(MONTH(D362)/100),TC!$5:$37,DAY(D362)+2,FALSE))</f>
        <v>19.840699999999998</v>
      </c>
      <c r="K362" s="219">
        <f t="shared" si="27"/>
        <v>2687.2244079999996</v>
      </c>
    </row>
    <row r="363" spans="2:11" s="134" customFormat="1" ht="23" hidden="1" customHeight="1">
      <c r="B363" s="7" t="s">
        <v>687</v>
      </c>
      <c r="C363" s="7" t="s">
        <v>410</v>
      </c>
      <c r="D363" s="159">
        <v>44683</v>
      </c>
      <c r="E363" s="249" t="s">
        <v>788</v>
      </c>
      <c r="F363" s="7" t="s">
        <v>59</v>
      </c>
      <c r="G363" s="219">
        <v>198</v>
      </c>
      <c r="H363" s="162">
        <f>IF(F363=0,0,IF(F363="MXN",1/HLOOKUP(YEAR(D363)+(MONTH(D363)/100),TC!$5:$437,DAY(D363)+2,FALSE),VLOOKUP(F363,Equivalencia!$1:$23,((MAX(Equivalencia!$3:$3)-YEAR(D363))*14)+MONTH(D363)+2,FALSE)))</f>
        <v>1</v>
      </c>
      <c r="I363" s="163">
        <f t="shared" si="26"/>
        <v>198</v>
      </c>
      <c r="J363" s="162">
        <f>IF(D363=0,0,HLOOKUP(YEAR(D363)+(MONTH(D363)/100),TC!$5:$37,DAY(D363)+2,FALSE))</f>
        <v>20.567</v>
      </c>
      <c r="K363" s="219">
        <f t="shared" si="27"/>
        <v>4072.2660000000001</v>
      </c>
    </row>
    <row r="364" spans="2:11" s="134" customFormat="1" ht="23" hidden="1" customHeight="1">
      <c r="B364" s="7" t="s">
        <v>687</v>
      </c>
      <c r="C364" s="7" t="s">
        <v>410</v>
      </c>
      <c r="D364" s="159">
        <v>44694</v>
      </c>
      <c r="E364" s="249" t="s">
        <v>753</v>
      </c>
      <c r="F364" s="7" t="s">
        <v>59</v>
      </c>
      <c r="G364" s="219">
        <v>231</v>
      </c>
      <c r="H364" s="162">
        <f>IF(F364=0,0,IF(F364="MXN",1/HLOOKUP(YEAR(D364)+(MONTH(D364)/100),TC!$5:$437,DAY(D364)+2,FALSE),VLOOKUP(F364,Equivalencia!$1:$23,((MAX(Equivalencia!$3:$3)-YEAR(D364))*14)+MONTH(D364)+2,FALSE)))</f>
        <v>1</v>
      </c>
      <c r="I364" s="163">
        <f t="shared" si="26"/>
        <v>231</v>
      </c>
      <c r="J364" s="162">
        <f>IF(D364=0,0,HLOOKUP(YEAR(D364)+(MONTH(D364)/100),TC!$5:$37,DAY(D364)+2,FALSE))</f>
        <v>20.2592</v>
      </c>
      <c r="K364" s="219">
        <f t="shared" si="27"/>
        <v>4679.8752000000004</v>
      </c>
    </row>
    <row r="365" spans="2:11" s="134" customFormat="1" ht="23" hidden="1" customHeight="1">
      <c r="B365" s="7" t="s">
        <v>687</v>
      </c>
      <c r="C365" s="7" t="s">
        <v>410</v>
      </c>
      <c r="D365" s="159">
        <v>44708</v>
      </c>
      <c r="E365" s="249" t="s">
        <v>808</v>
      </c>
      <c r="F365" s="7" t="s">
        <v>59</v>
      </c>
      <c r="G365" s="219">
        <v>229.5</v>
      </c>
      <c r="H365" s="162">
        <f>IF(F365=0,0,IF(F365="MXN",1/HLOOKUP(YEAR(D365)+(MONTH(D365)/100),TC!$5:$437,DAY(D365)+2,FALSE),VLOOKUP(F365,Equivalencia!$1:$23,((MAX(Equivalencia!$3:$3)-YEAR(D365))*14)+MONTH(D365)+2,FALSE)))</f>
        <v>1</v>
      </c>
      <c r="I365" s="163">
        <f t="shared" si="26"/>
        <v>229.5</v>
      </c>
      <c r="J365" s="162">
        <f>IF(D365=0,0,HLOOKUP(YEAR(D365)+(MONTH(D365)/100),TC!$5:$37,DAY(D365)+2,FALSE))</f>
        <v>19.837700000000002</v>
      </c>
      <c r="K365" s="219">
        <f t="shared" si="27"/>
        <v>4552.7521500000003</v>
      </c>
    </row>
    <row r="366" spans="2:11" s="134" customFormat="1" ht="23" hidden="1" customHeight="1">
      <c r="B366" s="7" t="s">
        <v>687</v>
      </c>
      <c r="C366" s="7" t="s">
        <v>410</v>
      </c>
      <c r="D366" s="159">
        <v>44736</v>
      </c>
      <c r="E366" s="249" t="s">
        <v>801</v>
      </c>
      <c r="F366" s="7" t="s">
        <v>59</v>
      </c>
      <c r="G366" s="219">
        <v>157.5</v>
      </c>
      <c r="H366" s="162">
        <f>IF(F366=0,0,IF(F366="MXN",1/HLOOKUP(YEAR(D366)+(MONTH(D366)/100),TC!$5:$437,DAY(D366)+2,FALSE),VLOOKUP(F366,Equivalencia!$1:$23,((MAX(Equivalencia!$3:$3)-YEAR(D366))*14)+MONTH(D366)+2,FALSE)))</f>
        <v>1</v>
      </c>
      <c r="I366" s="163">
        <f t="shared" si="26"/>
        <v>157.5</v>
      </c>
      <c r="J366" s="162">
        <f>IF(D366=0,0,HLOOKUP(YEAR(D366)+(MONTH(D366)/100),TC!$5:$37,DAY(D366)+2,FALSE))</f>
        <v>20.046500000000002</v>
      </c>
      <c r="K366" s="219">
        <f t="shared" si="27"/>
        <v>3157.3237500000005</v>
      </c>
    </row>
    <row r="367" spans="2:11" s="134" customFormat="1" ht="23" hidden="1" customHeight="1">
      <c r="B367" s="7" t="s">
        <v>687</v>
      </c>
      <c r="C367" s="7" t="s">
        <v>410</v>
      </c>
      <c r="D367" s="159">
        <v>44736</v>
      </c>
      <c r="E367" s="249" t="s">
        <v>869</v>
      </c>
      <c r="F367" s="7" t="s">
        <v>59</v>
      </c>
      <c r="G367" s="219">
        <v>1558.65</v>
      </c>
      <c r="H367" s="162">
        <f>IF(F367=0,0,IF(F367="MXN",1/HLOOKUP(YEAR(D367)+(MONTH(D367)/100),TC!$5:$437,DAY(D367)+2,FALSE),VLOOKUP(F367,Equivalencia!$1:$23,((MAX(Equivalencia!$3:$3)-YEAR(D367))*14)+MONTH(D367)+2,FALSE)))</f>
        <v>1</v>
      </c>
      <c r="I367" s="163">
        <f t="shared" si="26"/>
        <v>1558.65</v>
      </c>
      <c r="J367" s="162">
        <f>IF(D367=0,0,HLOOKUP(YEAR(D367)+(MONTH(D367)/100),TC!$5:$37,DAY(D367)+2,FALSE))</f>
        <v>20.046500000000002</v>
      </c>
      <c r="K367" s="219">
        <f t="shared" si="27"/>
        <v>31245.477225000006</v>
      </c>
    </row>
    <row r="368" spans="2:11" s="134" customFormat="1" ht="23" hidden="1" customHeight="1">
      <c r="B368" s="7" t="s">
        <v>687</v>
      </c>
      <c r="C368" s="7" t="s">
        <v>410</v>
      </c>
      <c r="D368" s="159">
        <v>44741</v>
      </c>
      <c r="E368" s="249" t="s">
        <v>783</v>
      </c>
      <c r="F368" s="7" t="s">
        <v>59</v>
      </c>
      <c r="G368" s="219">
        <v>165</v>
      </c>
      <c r="H368" s="162">
        <f>IF(F368=0,0,IF(F368="MXN",1/HLOOKUP(YEAR(D368)+(MONTH(D368)/100),TC!$5:$437,DAY(D368)+2,FALSE),VLOOKUP(F368,Equivalencia!$1:$23,((MAX(Equivalencia!$3:$3)-YEAR(D368))*14)+MONTH(D368)+2,FALSE)))</f>
        <v>1</v>
      </c>
      <c r="I368" s="163">
        <f t="shared" si="26"/>
        <v>165</v>
      </c>
      <c r="J368" s="162">
        <f>IF(D368=0,0,HLOOKUP(YEAR(D368)+(MONTH(D368)/100),TC!$5:$37,DAY(D368)+2,FALSE))</f>
        <v>19.8797</v>
      </c>
      <c r="K368" s="219">
        <f t="shared" si="27"/>
        <v>3280.1504999999997</v>
      </c>
    </row>
    <row r="369" spans="2:11" s="134" customFormat="1" ht="23" hidden="1" customHeight="1">
      <c r="B369" s="7" t="s">
        <v>687</v>
      </c>
      <c r="C369" s="7" t="s">
        <v>410</v>
      </c>
      <c r="D369" s="159">
        <v>44756</v>
      </c>
      <c r="E369" s="249" t="s">
        <v>919</v>
      </c>
      <c r="F369" s="7" t="s">
        <v>59</v>
      </c>
      <c r="G369" s="219">
        <v>131.44</v>
      </c>
      <c r="H369" s="162">
        <f>IF(F369=0,0,IF(F369="MXN",1/HLOOKUP(YEAR(D369)+(MONTH(D369)/100),TC!$5:$437,DAY(D369)+2,FALSE),VLOOKUP(F369,Equivalencia!$1:$23,((MAX(Equivalencia!$3:$3)-YEAR(D369))*14)+MONTH(D369)+2,FALSE)))</f>
        <v>1</v>
      </c>
      <c r="I369" s="163">
        <f t="shared" si="26"/>
        <v>131.44</v>
      </c>
      <c r="J369" s="162">
        <f>IF(D369=0,0,HLOOKUP(YEAR(D369)+(MONTH(D369)/100),TC!$5:$37,DAY(D369)+2,FALSE))</f>
        <v>20.7882</v>
      </c>
      <c r="K369" s="219">
        <f t="shared" si="27"/>
        <v>2732.4010079999998</v>
      </c>
    </row>
    <row r="370" spans="2:11" s="134" customFormat="1" ht="23" hidden="1" customHeight="1">
      <c r="B370" s="7" t="s">
        <v>687</v>
      </c>
      <c r="C370" s="7" t="s">
        <v>410</v>
      </c>
      <c r="D370" s="159">
        <v>44774</v>
      </c>
      <c r="E370" s="249" t="s">
        <v>788</v>
      </c>
      <c r="F370" s="7" t="s">
        <v>59</v>
      </c>
      <c r="G370" s="219">
        <v>198</v>
      </c>
      <c r="H370" s="162">
        <f>IF(F370=0,0,IF(F370="MXN",1/HLOOKUP(YEAR(D370)+(MONTH(D370)/100),TC!$5:$437,DAY(D370)+2,FALSE),VLOOKUP(F370,Equivalencia!$1:$23,((MAX(Equivalencia!$3:$3)-YEAR(D370))*14)+MONTH(D370)+2,FALSE)))</f>
        <v>1</v>
      </c>
      <c r="I370" s="163">
        <f>+H370*G370</f>
        <v>198</v>
      </c>
      <c r="J370" s="162">
        <f>IF(D370=0,0,HLOOKUP(YEAR(D370)+(MONTH(D370)/100),TC!$5:$37,DAY(D370)+2,FALSE))</f>
        <v>20.377800000000001</v>
      </c>
      <c r="K370" s="219">
        <f>IF(F370="MXN",G370,H370*G370*J370)</f>
        <v>4034.8044</v>
      </c>
    </row>
    <row r="371" spans="2:11" s="134" customFormat="1" ht="23" hidden="1" customHeight="1">
      <c r="B371" s="7" t="s">
        <v>687</v>
      </c>
      <c r="C371" s="7" t="s">
        <v>410</v>
      </c>
      <c r="D371" s="159">
        <v>44788</v>
      </c>
      <c r="E371" s="249" t="s">
        <v>753</v>
      </c>
      <c r="F371" s="7" t="s">
        <v>59</v>
      </c>
      <c r="G371" s="219">
        <v>255.75</v>
      </c>
      <c r="H371" s="162">
        <f>IF(F371=0,0,IF(F371="MXN",1/HLOOKUP(YEAR(D371)+(MONTH(D371)/100),TC!$5:$437,DAY(D371)+2,FALSE),VLOOKUP(F371,Equivalencia!$1:$23,((MAX(Equivalencia!$3:$3)-YEAR(D371))*14)+MONTH(D371)+2,FALSE)))</f>
        <v>1</v>
      </c>
      <c r="I371" s="163">
        <f>+H371*G371</f>
        <v>255.75</v>
      </c>
      <c r="J371" s="162">
        <f>IF(D371=0,0,HLOOKUP(YEAR(D371)+(MONTH(D371)/100),TC!$5:$37,DAY(D371)+2,FALSE))</f>
        <v>19.959499999999998</v>
      </c>
      <c r="K371" s="219">
        <f>IF(F371="MXN",G371,H371*G371*J371)</f>
        <v>5104.6421249999994</v>
      </c>
    </row>
    <row r="372" spans="2:11" s="134" customFormat="1" ht="23" hidden="1" customHeight="1">
      <c r="B372" s="7" t="s">
        <v>687</v>
      </c>
      <c r="C372" s="7" t="s">
        <v>410</v>
      </c>
      <c r="D372" s="159">
        <v>44799</v>
      </c>
      <c r="E372" s="249" t="s">
        <v>808</v>
      </c>
      <c r="F372" s="7" t="s">
        <v>59</v>
      </c>
      <c r="G372" s="219">
        <v>229.5</v>
      </c>
      <c r="H372" s="162">
        <f>IF(F372=0,0,IF(F372="MXN",1/HLOOKUP(YEAR(D372)+(MONTH(D372)/100),TC!$5:$437,DAY(D372)+2,FALSE),VLOOKUP(F372,Equivalencia!$1:$23,((MAX(Equivalencia!$3:$3)-YEAR(D372))*14)+MONTH(D372)+2,FALSE)))</f>
        <v>1</v>
      </c>
      <c r="I372" s="163">
        <f>+H372*G372</f>
        <v>229.5</v>
      </c>
      <c r="J372" s="162">
        <f>IF(D372=0,0,HLOOKUP(YEAR(D372)+(MONTH(D372)/100),TC!$5:$37,DAY(D372)+2,FALSE))</f>
        <v>19.919799999999999</v>
      </c>
      <c r="K372" s="219">
        <f>IF(F372="MXN",G372,H372*G372*J372)</f>
        <v>4571.5940999999993</v>
      </c>
    </row>
    <row r="373" spans="2:11" s="134" customFormat="1" ht="23" hidden="1" customHeight="1">
      <c r="B373" s="7" t="s">
        <v>687</v>
      </c>
      <c r="C373" s="7" t="s">
        <v>410</v>
      </c>
      <c r="D373" s="159">
        <v>44826</v>
      </c>
      <c r="E373" s="249" t="s">
        <v>869</v>
      </c>
      <c r="F373" s="7" t="s">
        <v>59</v>
      </c>
      <c r="G373" s="250">
        <v>1640.89</v>
      </c>
      <c r="H373" s="162">
        <f>IF(F373=0,0,IF(F373="MXN",1/HLOOKUP(YEAR(D373)+(MONTH(D373)/100),TC!$5:$437,DAY(D373)+2,FALSE),VLOOKUP(F373,Equivalencia!$1:$23,((MAX(Equivalencia!$3:$3)-YEAR(D373))*14)+MONTH(D373)+2,FALSE)))</f>
        <v>1</v>
      </c>
      <c r="I373" s="163">
        <f t="shared" ref="I373:I375" si="28">+H373*G373</f>
        <v>1640.89</v>
      </c>
      <c r="J373" s="162">
        <f>IF(D373=0,0,HLOOKUP(YEAR(D373)+(MONTH(D373)/100),TC!$5:$37,DAY(D373)+2,FALSE))</f>
        <v>20</v>
      </c>
      <c r="K373" s="219">
        <f t="shared" ref="K373:K375" si="29">IF(F373="MXN",G373,H373*G373*J373)</f>
        <v>32817.800000000003</v>
      </c>
    </row>
    <row r="374" spans="2:11" s="134" customFormat="1" ht="23" hidden="1" customHeight="1">
      <c r="B374" s="7" t="s">
        <v>687</v>
      </c>
      <c r="C374" s="7" t="s">
        <v>410</v>
      </c>
      <c r="D374" s="159">
        <v>44833</v>
      </c>
      <c r="E374" s="249" t="s">
        <v>783</v>
      </c>
      <c r="F374" s="7" t="s">
        <v>59</v>
      </c>
      <c r="G374" s="250">
        <v>206.25</v>
      </c>
      <c r="H374" s="162">
        <f>IF(F374=0,0,IF(F374="MXN",1/HLOOKUP(YEAR(D374)+(MONTH(D374)/100),TC!$5:$437,DAY(D374)+2,FALSE),VLOOKUP(F374,Equivalencia!$1:$23,((MAX(Equivalencia!$3:$3)-YEAR(D374))*14)+MONTH(D374)+2,FALSE)))</f>
        <v>1</v>
      </c>
      <c r="I374" s="163">
        <f t="shared" si="28"/>
        <v>206.25</v>
      </c>
      <c r="J374" s="162">
        <f>IF(D374=0,0,HLOOKUP(YEAR(D374)+(MONTH(D374)/100),TC!$5:$37,DAY(D374)+2,FALSE))</f>
        <v>20.356999999999999</v>
      </c>
      <c r="K374" s="219">
        <f t="shared" si="29"/>
        <v>4198.6312499999995</v>
      </c>
    </row>
    <row r="375" spans="2:11" s="134" customFormat="1" ht="23" hidden="1" customHeight="1">
      <c r="B375" s="7" t="s">
        <v>687</v>
      </c>
      <c r="C375" s="7" t="s">
        <v>410</v>
      </c>
      <c r="D375" s="159">
        <v>44834</v>
      </c>
      <c r="E375" s="249" t="s">
        <v>801</v>
      </c>
      <c r="F375" s="7" t="s">
        <v>59</v>
      </c>
      <c r="G375" s="250">
        <v>165</v>
      </c>
      <c r="H375" s="162">
        <f>IF(F375=0,0,IF(F375="MXN",1/HLOOKUP(YEAR(D375)+(MONTH(D375)/100),TC!$5:$437,DAY(D375)+2,FALSE),VLOOKUP(F375,Equivalencia!$1:$23,((MAX(Equivalencia!$3:$3)-YEAR(D375))*14)+MONTH(D375)+2,FALSE)))</f>
        <v>1</v>
      </c>
      <c r="I375" s="163">
        <f t="shared" si="28"/>
        <v>165</v>
      </c>
      <c r="J375" s="162">
        <f>IF(D375=0,0,HLOOKUP(YEAR(D375)+(MONTH(D375)/100),TC!$5:$37,DAY(D375)+2,FALSE))</f>
        <v>20.305800000000001</v>
      </c>
      <c r="K375" s="219">
        <f t="shared" si="29"/>
        <v>3350.4570000000003</v>
      </c>
    </row>
    <row r="376" spans="2:11" s="134" customFormat="1" ht="23" hidden="1" customHeight="1">
      <c r="B376" s="7" t="s">
        <v>687</v>
      </c>
      <c r="C376" s="7" t="s">
        <v>410</v>
      </c>
      <c r="D376" s="159">
        <v>44847</v>
      </c>
      <c r="E376" s="249" t="s">
        <v>811</v>
      </c>
      <c r="F376" s="7" t="s">
        <v>59</v>
      </c>
      <c r="G376" s="250">
        <v>123.84</v>
      </c>
      <c r="H376" s="162">
        <f>IF(F376=0,0,IF(F376="MXN",1/HLOOKUP(YEAR(D376)+(MONTH(D376)/100),TC!$5:$437,DAY(D376)+2,FALSE),VLOOKUP(F376,Equivalencia!$1:$23,((MAX(Equivalencia!$3:$3)-YEAR(D376))*14)+MONTH(D376)+2,FALSE)))</f>
        <v>1</v>
      </c>
      <c r="I376" s="163">
        <f t="shared" ref="I376" si="30">+H376*G376</f>
        <v>123.84</v>
      </c>
      <c r="J376" s="162">
        <f>IF(D376=0,0,HLOOKUP(YEAR(D376)+(MONTH(D376)/100),TC!$5:$37,DAY(D376)+2,FALSE))</f>
        <v>19.965199999999999</v>
      </c>
      <c r="K376" s="219">
        <f t="shared" ref="K376" si="31">IF(F376="MXN",G376,H376*G376*J376)</f>
        <v>2472.4903680000002</v>
      </c>
    </row>
    <row r="377" spans="2:11" s="134" customFormat="1" ht="23" hidden="1" customHeight="1">
      <c r="B377" s="7" t="s">
        <v>687</v>
      </c>
      <c r="C377" s="7" t="s">
        <v>410</v>
      </c>
      <c r="D377" s="159">
        <v>44865</v>
      </c>
      <c r="E377" s="249" t="s">
        <v>788</v>
      </c>
      <c r="F377" s="7" t="s">
        <v>59</v>
      </c>
      <c r="G377" s="250">
        <v>198</v>
      </c>
      <c r="H377" s="162">
        <f>IF(F377=0,0,IF(F377="MXN",1/HLOOKUP(YEAR(D377)+(MONTH(D377)/100),TC!$5:$437,DAY(D377)+2,FALSE),VLOOKUP(F377,Equivalencia!$1:$23,((MAX(Equivalencia!$3:$3)-YEAR(D377))*14)+MONTH(D377)+2,FALSE)))</f>
        <v>1</v>
      </c>
      <c r="I377" s="163">
        <f>+H377*G377</f>
        <v>198</v>
      </c>
      <c r="J377" s="162">
        <f>IF(D377=0,0,HLOOKUP(YEAR(D377)+(MONTH(D377)/100),TC!$5:$37,DAY(D377)+2,FALSE))</f>
        <v>19.836500000000001</v>
      </c>
      <c r="K377" s="219">
        <f>IF(F377="MXN",G377,H377*G377*J377)</f>
        <v>3927.6270000000004</v>
      </c>
    </row>
    <row r="378" spans="2:11" s="134" customFormat="1" ht="23" hidden="1" customHeight="1">
      <c r="B378" s="7">
        <v>313529</v>
      </c>
      <c r="C378" s="7" t="s">
        <v>409</v>
      </c>
      <c r="D378" s="159">
        <v>44783</v>
      </c>
      <c r="E378" s="249" t="s">
        <v>952</v>
      </c>
      <c r="F378" s="7" t="s">
        <v>59</v>
      </c>
      <c r="G378" s="219">
        <v>-442.84</v>
      </c>
      <c r="H378" s="162">
        <f>IF(F378=0,0,IF(F378="MXN",1/HLOOKUP(YEAR(D378)+(MONTH(D378)/100),TC!$5:$437,DAY(D378)+2,FALSE),VLOOKUP(F378,Equivalencia!$1:$23,((MAX(Equivalencia!$3:$3)-YEAR(D378))*14)+MONTH(D378)+2,FALSE)))</f>
        <v>1</v>
      </c>
      <c r="I378" s="163">
        <f>+H378*G378</f>
        <v>-442.84</v>
      </c>
      <c r="J378" s="162">
        <f>IF(D378=0,0,HLOOKUP(YEAR(D378)+(MONTH(D378)/100),TC!$5:$37,DAY(D378)+2,FALSE))</f>
        <v>20.2789</v>
      </c>
      <c r="K378" s="219">
        <f>IF(F378="MXN",G378,H378*G378*J378)</f>
        <v>-8980.3080759999993</v>
      </c>
    </row>
    <row r="379" spans="2:11" s="134" customFormat="1" ht="23" hidden="1" customHeight="1">
      <c r="B379" s="7"/>
      <c r="C379" s="7"/>
      <c r="D379" s="159"/>
      <c r="E379" s="249"/>
      <c r="F379" s="7"/>
      <c r="G379" s="219"/>
      <c r="H379" s="162">
        <f>IF(F379=0,0,IF(F379="MXN",1/HLOOKUP(YEAR(D379)+(MONTH(D379)/100),TC!$5:$437,DAY(D379)+2,FALSE),VLOOKUP(F379,Equivalencia!$1:$23,((MAX(Equivalencia!$3:$3)-YEAR(D379))*14)+MONTH(D379)+2,FALSE)))</f>
        <v>0</v>
      </c>
      <c r="I379" s="163">
        <f t="shared" si="26"/>
        <v>0</v>
      </c>
      <c r="J379" s="162">
        <f>IF(D379=0,0,HLOOKUP(YEAR(D379)+(MONTH(D379)/100),TC!$5:$37,DAY(D379)+2,FALSE))</f>
        <v>0</v>
      </c>
      <c r="K379" s="219">
        <f t="shared" si="27"/>
        <v>0</v>
      </c>
    </row>
    <row r="380" spans="2:11" s="134" customFormat="1" ht="23" hidden="1" customHeight="1">
      <c r="B380" s="7"/>
      <c r="C380" s="7"/>
      <c r="D380" s="159"/>
      <c r="E380" s="249"/>
      <c r="F380" s="7"/>
      <c r="G380" s="219"/>
      <c r="H380" s="162">
        <f>IF(F380=0,0,IF(F380="MXN",1/HLOOKUP(YEAR(D380)+(MONTH(D380)/100),TC!$5:$437,DAY(D380)+2,FALSE),VLOOKUP(F380,Equivalencia!$1:$23,((MAX(Equivalencia!$3:$3)-YEAR(D380))*14)+MONTH(D380)+2,FALSE)))</f>
        <v>0</v>
      </c>
      <c r="I380" s="163">
        <f t="shared" si="26"/>
        <v>0</v>
      </c>
      <c r="J380" s="162">
        <f>IF(D380=0,0,HLOOKUP(YEAR(D380)+(MONTH(D380)/100),TC!$5:$37,DAY(D380)+2,FALSE))</f>
        <v>0</v>
      </c>
      <c r="K380" s="219">
        <f t="shared" si="27"/>
        <v>0</v>
      </c>
    </row>
    <row r="381" spans="2:11" s="134" customFormat="1" ht="23" hidden="1" customHeight="1">
      <c r="B381" s="7"/>
      <c r="C381" s="7"/>
      <c r="D381" s="159"/>
      <c r="E381" s="249"/>
      <c r="F381" s="7"/>
      <c r="G381" s="219"/>
      <c r="H381" s="162">
        <f>IF(F381=0,0,IF(F381="MXN",1/HLOOKUP(YEAR(D381)+(MONTH(D381)/100),TC!$5:$437,DAY(D381)+2,FALSE),VLOOKUP(F381,Equivalencia!$1:$23,((MAX(Equivalencia!$3:$3)-YEAR(D381))*14)+MONTH(D381)+2,FALSE)))</f>
        <v>0</v>
      </c>
      <c r="I381" s="163">
        <f t="shared" si="26"/>
        <v>0</v>
      </c>
      <c r="J381" s="162">
        <f>IF(D381=0,0,HLOOKUP(YEAR(D381)+(MONTH(D381)/100),TC!$5:$37,DAY(D381)+2,FALSE))</f>
        <v>0</v>
      </c>
      <c r="K381" s="219">
        <f t="shared" si="27"/>
        <v>0</v>
      </c>
    </row>
    <row r="382" spans="2:11" s="134" customFormat="1" ht="23" hidden="1" customHeight="1">
      <c r="B382" s="7"/>
      <c r="C382" s="7"/>
      <c r="D382" s="159"/>
      <c r="E382" s="249"/>
      <c r="F382" s="7"/>
      <c r="G382" s="219"/>
      <c r="H382" s="162">
        <f>IF(F382=0,0,IF(F382="MXN",1/HLOOKUP(YEAR(D382)+(MONTH(D382)/100),TC!$5:$437,DAY(D382)+2,FALSE),VLOOKUP(F382,Equivalencia!$1:$23,((MAX(Equivalencia!$3:$3)-YEAR(D382))*14)+MONTH(D382)+2,FALSE)))</f>
        <v>0</v>
      </c>
      <c r="I382" s="163">
        <f t="shared" si="26"/>
        <v>0</v>
      </c>
      <c r="J382" s="162">
        <f>IF(D382=0,0,HLOOKUP(YEAR(D382)+(MONTH(D382)/100),TC!$5:$37,DAY(D382)+2,FALSE))</f>
        <v>0</v>
      </c>
      <c r="K382" s="219">
        <f t="shared" si="27"/>
        <v>0</v>
      </c>
    </row>
    <row r="383" spans="2:11" s="134" customFormat="1" ht="23" hidden="1" customHeight="1">
      <c r="B383" s="7"/>
      <c r="C383" s="7"/>
      <c r="D383" s="159"/>
      <c r="E383" s="249"/>
      <c r="F383" s="7"/>
      <c r="G383" s="219"/>
      <c r="H383" s="162">
        <f>IF(F383=0,0,IF(F383="MXN",1/HLOOKUP(YEAR(D383)+(MONTH(D383)/100),TC!$5:$437,DAY(D383)+2,FALSE),VLOOKUP(F383,Equivalencia!$1:$23,((MAX(Equivalencia!$3:$3)-YEAR(D383))*14)+MONTH(D383)+2,FALSE)))</f>
        <v>0</v>
      </c>
      <c r="I383" s="163">
        <f t="shared" si="26"/>
        <v>0</v>
      </c>
      <c r="J383" s="162">
        <f>IF(D383=0,0,HLOOKUP(YEAR(D383)+(MONTH(D383)/100),TC!$5:$37,DAY(D383)+2,FALSE))</f>
        <v>0</v>
      </c>
      <c r="K383" s="219">
        <f t="shared" si="27"/>
        <v>0</v>
      </c>
    </row>
    <row r="384" spans="2:11" s="134" customFormat="1" ht="23" hidden="1" customHeight="1">
      <c r="B384" s="7" t="s">
        <v>254</v>
      </c>
      <c r="C384" s="7"/>
      <c r="D384" s="159"/>
      <c r="E384" s="249"/>
      <c r="F384" s="7"/>
      <c r="G384" s="219"/>
      <c r="H384" s="162">
        <f>IF(F384=0,0,IF(F384="MXN",1/HLOOKUP(YEAR(D384)+(MONTH(D384)/100),TC!$5:$437,DAY(D384)+2,FALSE),VLOOKUP(F384,Equivalencia!$1:$23,((MAX(Equivalencia!$3:$3)-YEAR(D384))*14)+MONTH(D384)+2,FALSE)))</f>
        <v>0</v>
      </c>
      <c r="I384" s="163">
        <f t="shared" si="26"/>
        <v>0</v>
      </c>
      <c r="J384" s="162">
        <f>IF(D384=0,0,HLOOKUP(YEAR(D384)+(MONTH(D384)/100),TC!$5:$37,DAY(D384)+2,FALSE))</f>
        <v>0</v>
      </c>
      <c r="K384" s="219">
        <f t="shared" si="27"/>
        <v>0</v>
      </c>
    </row>
    <row r="385" spans="2:11" ht="23" customHeight="1">
      <c r="B385" s="76"/>
      <c r="C385" s="76"/>
      <c r="D385" s="145"/>
      <c r="E385" s="45"/>
      <c r="F385" s="76"/>
      <c r="G385" s="215"/>
      <c r="H385" s="256"/>
      <c r="I385" s="142"/>
      <c r="J385" s="256"/>
      <c r="K385" s="215"/>
    </row>
    <row r="386" spans="2:11" ht="23" customHeight="1">
      <c r="B386" s="164" t="s">
        <v>387</v>
      </c>
      <c r="C386" s="164"/>
      <c r="D386" s="257"/>
      <c r="E386" s="258"/>
      <c r="F386" s="166"/>
      <c r="G386" s="241">
        <f>SUM(G7:G385)</f>
        <v>233996.89999999997</v>
      </c>
      <c r="H386" s="131"/>
      <c r="I386" s="241">
        <f>SUM(I7:I385)</f>
        <v>233996.89999999997</v>
      </c>
      <c r="J386" s="259"/>
      <c r="K386" s="241">
        <f>SUM(K7:K385)</f>
        <v>4731448.036879003</v>
      </c>
    </row>
    <row r="389" spans="2:11" s="85" customFormat="1" ht="45">
      <c r="G389" s="120" t="s">
        <v>384</v>
      </c>
      <c r="I389" s="120" t="s">
        <v>385</v>
      </c>
      <c r="K389" s="120" t="s">
        <v>386</v>
      </c>
    </row>
    <row r="391" spans="2:11" ht="23" customHeight="1">
      <c r="D391" s="200"/>
      <c r="E391" s="178" t="s">
        <v>382</v>
      </c>
      <c r="F391" s="260" t="str">
        <f>Cuentas!B6</f>
        <v>31XX29</v>
      </c>
      <c r="G391" s="246">
        <f t="shared" ref="G391:G411" si="32">+SUMIF($B$7:$B$1054,F391,$G$7:$G$1054)</f>
        <v>0</v>
      </c>
      <c r="H391" s="261"/>
      <c r="I391" s="246">
        <f t="shared" ref="I391:I411" si="33">+SUMIF($B$7:$B$1054,F391,$I$7:$I$1054)</f>
        <v>0</v>
      </c>
      <c r="J391" s="262"/>
      <c r="K391" s="246">
        <f t="shared" ref="K391:K411" si="34">+SUMIF($B$7:$B$1054,F391,$K$7:$K$1054)</f>
        <v>0</v>
      </c>
    </row>
    <row r="392" spans="2:11" ht="23" customHeight="1">
      <c r="D392" s="200"/>
      <c r="E392" s="178" t="s">
        <v>382</v>
      </c>
      <c r="F392" s="260" t="str">
        <f>Cuentas!B7</f>
        <v>11XX300</v>
      </c>
      <c r="G392" s="246">
        <f t="shared" si="32"/>
        <v>0</v>
      </c>
      <c r="H392" s="261"/>
      <c r="I392" s="246">
        <f t="shared" si="33"/>
        <v>0</v>
      </c>
      <c r="J392" s="262"/>
      <c r="K392" s="246">
        <f t="shared" si="34"/>
        <v>0</v>
      </c>
    </row>
    <row r="393" spans="2:11" ht="23" customHeight="1">
      <c r="D393" s="200"/>
      <c r="E393" s="178" t="s">
        <v>382</v>
      </c>
      <c r="F393" s="260" t="str">
        <f>Cuentas!B8</f>
        <v>1XXX100</v>
      </c>
      <c r="G393" s="246">
        <f t="shared" si="32"/>
        <v>0</v>
      </c>
      <c r="H393" s="261"/>
      <c r="I393" s="246">
        <f t="shared" si="33"/>
        <v>0</v>
      </c>
      <c r="J393" s="262"/>
      <c r="K393" s="246">
        <f t="shared" si="34"/>
        <v>0</v>
      </c>
    </row>
    <row r="394" spans="2:11" ht="23" customHeight="1">
      <c r="D394" s="200"/>
      <c r="E394" s="178" t="s">
        <v>382</v>
      </c>
      <c r="F394" s="260" t="str">
        <f>Cuentas!B9</f>
        <v>B467XXX05</v>
      </c>
      <c r="G394" s="246">
        <f t="shared" si="32"/>
        <v>0</v>
      </c>
      <c r="H394" s="261"/>
      <c r="I394" s="246">
        <f t="shared" si="33"/>
        <v>0</v>
      </c>
      <c r="J394" s="262"/>
      <c r="K394" s="246">
        <f t="shared" si="34"/>
        <v>0</v>
      </c>
    </row>
    <row r="395" spans="2:11" ht="23" customHeight="1">
      <c r="D395" s="200"/>
      <c r="E395" s="178" t="s">
        <v>382</v>
      </c>
      <c r="F395" s="260" t="str">
        <f>Cuentas!B10</f>
        <v>677-0XXX52-670</v>
      </c>
      <c r="G395" s="246">
        <f t="shared" si="32"/>
        <v>0</v>
      </c>
      <c r="H395" s="261"/>
      <c r="I395" s="246">
        <f t="shared" si="33"/>
        <v>0</v>
      </c>
      <c r="J395" s="262"/>
      <c r="K395" s="246">
        <f t="shared" si="34"/>
        <v>0</v>
      </c>
    </row>
    <row r="396" spans="2:11" ht="23" customHeight="1">
      <c r="D396" s="200"/>
      <c r="E396" s="178" t="s">
        <v>382</v>
      </c>
      <c r="F396" s="260" t="str">
        <f>Cuentas!B11</f>
        <v>677-0XXX53-471</v>
      </c>
      <c r="G396" s="246">
        <f t="shared" si="32"/>
        <v>0</v>
      </c>
      <c r="H396" s="261"/>
      <c r="I396" s="246">
        <f t="shared" si="33"/>
        <v>0</v>
      </c>
      <c r="J396" s="262"/>
      <c r="K396" s="246">
        <f t="shared" si="34"/>
        <v>0</v>
      </c>
    </row>
    <row r="397" spans="2:11" ht="23" customHeight="1">
      <c r="D397" s="200"/>
      <c r="E397" s="178" t="s">
        <v>382</v>
      </c>
      <c r="F397" s="260" t="str">
        <f>Cuentas!B12</f>
        <v>4H 0XXX0 RB</v>
      </c>
      <c r="G397" s="246">
        <f t="shared" si="32"/>
        <v>7546.0600000000013</v>
      </c>
      <c r="H397" s="261"/>
      <c r="I397" s="246">
        <f t="shared" si="33"/>
        <v>7546.0600000000013</v>
      </c>
      <c r="J397" s="262"/>
      <c r="K397" s="246">
        <f t="shared" si="34"/>
        <v>152081.535359</v>
      </c>
    </row>
    <row r="398" spans="2:11" ht="23" hidden="1" customHeight="1">
      <c r="D398" s="200"/>
      <c r="E398" s="178" t="s">
        <v>382</v>
      </c>
      <c r="F398" s="260" t="str">
        <f>Cuentas!B13</f>
        <v>H</v>
      </c>
      <c r="G398" s="246">
        <f t="shared" si="32"/>
        <v>0</v>
      </c>
      <c r="H398" s="261"/>
      <c r="I398" s="246">
        <f t="shared" si="33"/>
        <v>0</v>
      </c>
      <c r="J398" s="262"/>
      <c r="K398" s="246">
        <f t="shared" si="34"/>
        <v>0</v>
      </c>
    </row>
    <row r="399" spans="2:11" ht="23" hidden="1" customHeight="1">
      <c r="D399" s="200"/>
      <c r="E399" s="178" t="s">
        <v>382</v>
      </c>
      <c r="F399" s="260" t="str">
        <f>Cuentas!B14</f>
        <v>I</v>
      </c>
      <c r="G399" s="246">
        <f t="shared" si="32"/>
        <v>0</v>
      </c>
      <c r="H399" s="261"/>
      <c r="I399" s="246">
        <f t="shared" si="33"/>
        <v>0</v>
      </c>
      <c r="J399" s="262"/>
      <c r="K399" s="246">
        <f t="shared" si="34"/>
        <v>0</v>
      </c>
    </row>
    <row r="400" spans="2:11" ht="23" hidden="1" customHeight="1">
      <c r="D400" s="200"/>
      <c r="E400" s="178" t="s">
        <v>382</v>
      </c>
      <c r="F400" s="260" t="str">
        <f>Cuentas!B15</f>
        <v>J</v>
      </c>
      <c r="G400" s="246">
        <f t="shared" si="32"/>
        <v>0</v>
      </c>
      <c r="H400" s="261"/>
      <c r="I400" s="246">
        <f t="shared" si="33"/>
        <v>0</v>
      </c>
      <c r="J400" s="262"/>
      <c r="K400" s="246">
        <f t="shared" si="34"/>
        <v>0</v>
      </c>
    </row>
    <row r="401" spans="4:11" ht="23" hidden="1" customHeight="1">
      <c r="D401" s="200"/>
      <c r="E401" s="178" t="s">
        <v>382</v>
      </c>
      <c r="F401" s="260" t="str">
        <f>Cuentas!B16</f>
        <v>K</v>
      </c>
      <c r="G401" s="246">
        <f t="shared" si="32"/>
        <v>0</v>
      </c>
      <c r="H401" s="261"/>
      <c r="I401" s="246">
        <f t="shared" si="33"/>
        <v>0</v>
      </c>
      <c r="J401" s="262"/>
      <c r="K401" s="246">
        <f t="shared" si="34"/>
        <v>0</v>
      </c>
    </row>
    <row r="402" spans="4:11" ht="23" hidden="1" customHeight="1">
      <c r="D402" s="200"/>
      <c r="E402" s="178" t="s">
        <v>382</v>
      </c>
      <c r="F402" s="260" t="str">
        <f>Cuentas!B17</f>
        <v>L</v>
      </c>
      <c r="G402" s="246">
        <f t="shared" si="32"/>
        <v>0</v>
      </c>
      <c r="H402" s="261"/>
      <c r="I402" s="246">
        <f t="shared" si="33"/>
        <v>0</v>
      </c>
      <c r="J402" s="262"/>
      <c r="K402" s="246">
        <f t="shared" si="34"/>
        <v>0</v>
      </c>
    </row>
    <row r="403" spans="4:11" ht="23" hidden="1" customHeight="1">
      <c r="D403" s="200"/>
      <c r="E403" s="178" t="s">
        <v>382</v>
      </c>
      <c r="F403" s="260" t="str">
        <f>Cuentas!B18</f>
        <v>M</v>
      </c>
      <c r="G403" s="246">
        <f t="shared" si="32"/>
        <v>0</v>
      </c>
      <c r="H403" s="261"/>
      <c r="I403" s="246">
        <f t="shared" si="33"/>
        <v>0</v>
      </c>
      <c r="J403" s="262"/>
      <c r="K403" s="246">
        <f t="shared" si="34"/>
        <v>0</v>
      </c>
    </row>
    <row r="404" spans="4:11" ht="23" hidden="1" customHeight="1">
      <c r="D404" s="200"/>
      <c r="E404" s="178" t="s">
        <v>382</v>
      </c>
      <c r="F404" s="260" t="str">
        <f>Cuentas!B19</f>
        <v>N</v>
      </c>
      <c r="G404" s="246">
        <f t="shared" si="32"/>
        <v>0</v>
      </c>
      <c r="H404" s="261"/>
      <c r="I404" s="246">
        <f t="shared" si="33"/>
        <v>0</v>
      </c>
      <c r="J404" s="262"/>
      <c r="K404" s="246">
        <f t="shared" si="34"/>
        <v>0</v>
      </c>
    </row>
    <row r="405" spans="4:11" ht="23" hidden="1" customHeight="1">
      <c r="D405" s="200"/>
      <c r="E405" s="178" t="s">
        <v>382</v>
      </c>
      <c r="F405" s="260" t="str">
        <f>Cuentas!B20</f>
        <v>O</v>
      </c>
      <c r="G405" s="246">
        <f t="shared" si="32"/>
        <v>0</v>
      </c>
      <c r="H405" s="261"/>
      <c r="I405" s="246">
        <f t="shared" si="33"/>
        <v>0</v>
      </c>
      <c r="J405" s="262"/>
      <c r="K405" s="246">
        <f t="shared" si="34"/>
        <v>0</v>
      </c>
    </row>
    <row r="406" spans="4:11" ht="23" hidden="1" customHeight="1">
      <c r="D406" s="200"/>
      <c r="E406" s="178" t="s">
        <v>382</v>
      </c>
      <c r="F406" s="260" t="str">
        <f>Cuentas!B21</f>
        <v>P</v>
      </c>
      <c r="G406" s="246">
        <f t="shared" si="32"/>
        <v>0</v>
      </c>
      <c r="H406" s="261"/>
      <c r="I406" s="246">
        <f t="shared" si="33"/>
        <v>0</v>
      </c>
      <c r="J406" s="262"/>
      <c r="K406" s="246">
        <f t="shared" si="34"/>
        <v>0</v>
      </c>
    </row>
    <row r="407" spans="4:11" ht="23" hidden="1" customHeight="1">
      <c r="D407" s="200"/>
      <c r="E407" s="178" t="s">
        <v>382</v>
      </c>
      <c r="F407" s="260" t="str">
        <f>Cuentas!B22</f>
        <v>Q</v>
      </c>
      <c r="G407" s="246">
        <f t="shared" si="32"/>
        <v>0</v>
      </c>
      <c r="H407" s="261"/>
      <c r="I407" s="246">
        <f t="shared" si="33"/>
        <v>0</v>
      </c>
      <c r="J407" s="262"/>
      <c r="K407" s="246">
        <f t="shared" si="34"/>
        <v>0</v>
      </c>
    </row>
    <row r="408" spans="4:11" ht="23" hidden="1" customHeight="1">
      <c r="D408" s="200"/>
      <c r="E408" s="178" t="s">
        <v>382</v>
      </c>
      <c r="F408" s="260" t="str">
        <f>Cuentas!B23</f>
        <v>R</v>
      </c>
      <c r="G408" s="246">
        <f t="shared" si="32"/>
        <v>0</v>
      </c>
      <c r="H408" s="261"/>
      <c r="I408" s="246">
        <f t="shared" si="33"/>
        <v>0</v>
      </c>
      <c r="J408" s="262"/>
      <c r="K408" s="246">
        <f t="shared" si="34"/>
        <v>0</v>
      </c>
    </row>
    <row r="409" spans="4:11" ht="23" hidden="1" customHeight="1">
      <c r="D409" s="200"/>
      <c r="E409" s="178" t="s">
        <v>382</v>
      </c>
      <c r="F409" s="260" t="str">
        <f>Cuentas!B24</f>
        <v>S</v>
      </c>
      <c r="G409" s="246">
        <f t="shared" si="32"/>
        <v>0</v>
      </c>
      <c r="H409" s="261"/>
      <c r="I409" s="246">
        <f t="shared" si="33"/>
        <v>0</v>
      </c>
      <c r="J409" s="262"/>
      <c r="K409" s="246">
        <f t="shared" si="34"/>
        <v>0</v>
      </c>
    </row>
    <row r="410" spans="4:11" ht="23" hidden="1" customHeight="1">
      <c r="D410" s="200"/>
      <c r="E410" s="178" t="s">
        <v>382</v>
      </c>
      <c r="F410" s="260" t="str">
        <f>Cuentas!B25</f>
        <v>T</v>
      </c>
      <c r="G410" s="246">
        <f t="shared" si="32"/>
        <v>0</v>
      </c>
      <c r="H410" s="261"/>
      <c r="I410" s="246">
        <f t="shared" si="33"/>
        <v>0</v>
      </c>
      <c r="J410" s="262"/>
      <c r="K410" s="246">
        <f t="shared" si="34"/>
        <v>0</v>
      </c>
    </row>
    <row r="411" spans="4:11" ht="23" hidden="1" customHeight="1">
      <c r="D411" s="200"/>
      <c r="E411" s="178" t="s">
        <v>382</v>
      </c>
      <c r="F411" s="260" t="str">
        <f>Cuentas!B26</f>
        <v>U</v>
      </c>
      <c r="G411" s="246">
        <f t="shared" si="32"/>
        <v>0</v>
      </c>
      <c r="H411" s="261"/>
      <c r="I411" s="246">
        <f t="shared" si="33"/>
        <v>0</v>
      </c>
      <c r="J411" s="262"/>
      <c r="K411" s="246">
        <f t="shared" si="34"/>
        <v>0</v>
      </c>
    </row>
    <row r="413" spans="4:11" ht="23" customHeight="1">
      <c r="E413" s="103"/>
      <c r="F413" s="242" t="s">
        <v>383</v>
      </c>
      <c r="G413" s="243">
        <f>SUM(G391:G411)</f>
        <v>7546.0600000000013</v>
      </c>
      <c r="H413" s="103"/>
      <c r="I413" s="243">
        <f>SUM(I391:I411)</f>
        <v>7546.0600000000013</v>
      </c>
      <c r="J413" s="248"/>
      <c r="K413" s="243">
        <f>SUM(K391:K411)</f>
        <v>152081.535359</v>
      </c>
    </row>
    <row r="417" spans="2:3" ht="23" customHeight="1">
      <c r="B417" s="2" t="s">
        <v>232</v>
      </c>
      <c r="C417" s="2"/>
    </row>
  </sheetData>
  <sheetProtection algorithmName="SHA-512" hashValue="eCl3AMhu+cPUMDxPJdO76sJGhnpR1MPUSGZU9glUr7v8RsvZehNECDc8n07KU5k9l6ZrIiP/sgGbPtzdM8oynQ==" saltValue="vAxkwwgDsqUe7KpBYLp3Aw==" spinCount="100000" sheet="1" formatCells="0" formatColumns="0" formatRows="0" insertColumns="0" insertRows="0" deleteColumns="0" deleteRows="0" autoFilter="0"/>
  <autoFilter ref="B6:K384" xr:uid="{C3A02401-43B4-B846-BB14-66F4A40975A9}">
    <filterColumn colId="0">
      <filters>
        <filter val="4H 01230 RB"/>
      </filters>
    </filterColumn>
    <filterColumn colId="2">
      <filters>
        <dateGroupItem year="2022" month="9" dateTimeGrouping="month"/>
      </filters>
    </filterColumn>
  </autoFilter>
  <mergeCells count="2">
    <mergeCell ref="B3:K3"/>
    <mergeCell ref="B2:K2"/>
  </mergeCells>
  <printOptions horizontalCentered="1"/>
  <pageMargins left="0.7" right="0.7" top="0.75" bottom="0.75" header="0.3" footer="0.3"/>
  <pageSetup scale="43" fitToHeight="10"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OJO:" prompt="Selecciona una moneda" xr:uid="{688D4506-4C3C-3349-8C55-9B33D3A9DB5F}">
          <x14:formula1>
            <xm:f>Equivalencia!$A$4:$A$23</xm:f>
          </x14:formula1>
          <xm:sqref>F8:F385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B2:O45"/>
  <sheetViews>
    <sheetView view="pageBreakPreview" zoomScale="90" zoomScaleNormal="100" zoomScaleSheetLayoutView="90" workbookViewId="0">
      <pane ySplit="6" topLeftCell="A7" activePane="bottomLeft" state="frozen"/>
      <selection pane="bottomLeft" activeCell="C5" sqref="C5"/>
    </sheetView>
  </sheetViews>
  <sheetFormatPr baseColWidth="10" defaultColWidth="10.83203125" defaultRowHeight="23" customHeight="1"/>
  <cols>
    <col min="1" max="1" width="10.83203125" style="134"/>
    <col min="2" max="3" width="27.83203125" style="134" customWidth="1"/>
    <col min="4" max="4" width="16.83203125" style="134" customWidth="1"/>
    <col min="5" max="5" width="43.1640625" style="134" customWidth="1"/>
    <col min="6" max="6" width="21.1640625" style="134" customWidth="1"/>
    <col min="7" max="7" width="20.5" style="134" customWidth="1"/>
    <col min="8" max="8" width="20.83203125" style="134" customWidth="1"/>
    <col min="9" max="9" width="20.5" style="134" customWidth="1"/>
    <col min="10" max="10" width="20.83203125" style="134" customWidth="1"/>
    <col min="11" max="11" width="20.5" style="134" customWidth="1"/>
    <col min="12" max="14" width="10.83203125" style="134"/>
    <col min="15" max="15" width="31.83203125" style="134" customWidth="1"/>
    <col min="16" max="16384" width="10.83203125" style="134"/>
  </cols>
  <sheetData>
    <row r="2" spans="2:15" ht="23" customHeight="1">
      <c r="B2" s="749" t="s">
        <v>660</v>
      </c>
      <c r="C2" s="749"/>
      <c r="D2" s="749"/>
      <c r="E2" s="749"/>
      <c r="F2" s="749"/>
      <c r="G2" s="749"/>
      <c r="H2" s="749"/>
      <c r="I2" s="749"/>
      <c r="J2" s="749"/>
      <c r="K2" s="749"/>
      <c r="O2" s="263" t="s">
        <v>63</v>
      </c>
    </row>
    <row r="3" spans="2:15" ht="23" customHeight="1">
      <c r="B3" s="750" t="s">
        <v>657</v>
      </c>
      <c r="C3" s="750"/>
      <c r="D3" s="750"/>
      <c r="E3" s="750"/>
      <c r="F3" s="750"/>
      <c r="G3" s="750"/>
      <c r="H3" s="750"/>
      <c r="I3" s="750"/>
      <c r="J3" s="750"/>
      <c r="K3" s="750"/>
      <c r="O3" s="280" t="s">
        <v>206</v>
      </c>
    </row>
    <row r="4" spans="2:15" ht="14" customHeight="1">
      <c r="B4" s="24" t="s">
        <v>446</v>
      </c>
      <c r="C4" s="24" t="s">
        <v>679</v>
      </c>
      <c r="D4" s="24"/>
      <c r="E4" s="24"/>
      <c r="F4" s="24"/>
      <c r="G4" s="24"/>
      <c r="H4" s="24"/>
      <c r="I4" s="24"/>
      <c r="J4" s="24"/>
      <c r="K4" s="24"/>
      <c r="O4" s="280" t="s">
        <v>581</v>
      </c>
    </row>
    <row r="5" spans="2:15" ht="23" customHeight="1">
      <c r="B5" s="269"/>
      <c r="C5" s="269"/>
      <c r="D5" s="270"/>
      <c r="E5" s="270"/>
      <c r="F5" s="269"/>
      <c r="G5" s="270"/>
      <c r="H5" s="270"/>
      <c r="I5" s="270"/>
      <c r="J5" s="270"/>
      <c r="K5" s="270"/>
      <c r="O5" s="280"/>
    </row>
    <row r="6" spans="2:15" ht="30">
      <c r="B6" s="267" t="s">
        <v>178</v>
      </c>
      <c r="C6" s="29" t="s">
        <v>397</v>
      </c>
      <c r="D6" s="29" t="s">
        <v>54</v>
      </c>
      <c r="E6" s="29" t="s">
        <v>226</v>
      </c>
      <c r="F6" s="29" t="s">
        <v>208</v>
      </c>
      <c r="G6" s="29" t="s">
        <v>391</v>
      </c>
      <c r="H6" s="29" t="s">
        <v>56</v>
      </c>
      <c r="I6" s="29" t="s">
        <v>392</v>
      </c>
      <c r="J6" s="120" t="s">
        <v>364</v>
      </c>
      <c r="K6" s="29" t="s">
        <v>393</v>
      </c>
      <c r="O6" s="228"/>
    </row>
    <row r="7" spans="2:15" ht="23" customHeight="1">
      <c r="B7" s="76"/>
      <c r="C7" s="140"/>
      <c r="D7" s="145"/>
      <c r="E7" s="140"/>
      <c r="F7" s="76"/>
      <c r="G7" s="141"/>
      <c r="H7" s="143"/>
      <c r="I7" s="144"/>
      <c r="J7" s="143"/>
      <c r="K7" s="144"/>
      <c r="O7" s="228"/>
    </row>
    <row r="8" spans="2:15" ht="23" customHeight="1">
      <c r="B8" s="204" t="s">
        <v>3</v>
      </c>
      <c r="C8" s="204"/>
      <c r="D8" s="264"/>
      <c r="E8" s="204"/>
      <c r="F8" s="204"/>
      <c r="G8" s="265"/>
      <c r="H8" s="266">
        <f>IF(F8=0,0,IF(F8="MXN",1/HLOOKUP(YEAR(D8)+(MONTH(D8)/100),TC!$5:$37,DAY(D8)+2,FALSE),VLOOKUP(F8,Equivalencia!$1:$23,((MAX(Equivalencia!$3:$3)-YEAR(D8))*14)+MONTH(D8)+2,FALSE)))</f>
        <v>0</v>
      </c>
      <c r="I8" s="265">
        <f t="shared" ref="I8:I13" si="0">+H8*G8</f>
        <v>0</v>
      </c>
      <c r="J8" s="266">
        <f>IF(D8=0,0,HLOOKUP(YEAR(D8)+(MONTH(D8)/100),TC!$5:$37,DAY(D8)+2,FALSE))</f>
        <v>0</v>
      </c>
      <c r="K8" s="265">
        <f t="shared" ref="K8:K13" si="1">+I8*J8</f>
        <v>0</v>
      </c>
      <c r="O8" s="228"/>
    </row>
    <row r="9" spans="2:15" ht="23" customHeight="1">
      <c r="B9" s="204" t="s">
        <v>4</v>
      </c>
      <c r="D9" s="264"/>
      <c r="E9" s="204"/>
      <c r="F9" s="204"/>
      <c r="G9" s="265"/>
      <c r="H9" s="266">
        <f>IF(F9=0,0,IF(F9="MXN",1/HLOOKUP(YEAR(D9)+(MONTH(D9)/100),TC!$5:$37,DAY(D9)+2,FALSE),VLOOKUP(F9,Equivalencia!$1:$23,((MAX(Equivalencia!$3:$3)-YEAR(D9))*14)+MONTH(D9)+2,FALSE)))</f>
        <v>0</v>
      </c>
      <c r="I9" s="265">
        <f t="shared" si="0"/>
        <v>0</v>
      </c>
      <c r="J9" s="266">
        <f>IF(D9=0,0,HLOOKUP(YEAR(D9)+(MONTH(D9)/100),TC!$5:$37,DAY(D9)+2,FALSE))</f>
        <v>0</v>
      </c>
      <c r="K9" s="265">
        <f t="shared" si="1"/>
        <v>0</v>
      </c>
      <c r="O9" s="228"/>
    </row>
    <row r="10" spans="2:15" ht="23" customHeight="1">
      <c r="B10" s="204" t="s">
        <v>5</v>
      </c>
      <c r="D10" s="264"/>
      <c r="E10" s="204"/>
      <c r="F10" s="204"/>
      <c r="G10" s="265"/>
      <c r="H10" s="266">
        <f>IF(F10=0,0,IF(F10="MXN",1/HLOOKUP(YEAR(D10)+(MONTH(D10)/100),TC!$5:$37,DAY(D10)+2,FALSE),VLOOKUP(F10,Equivalencia!$1:$23,((MAX(Equivalencia!$3:$3)-YEAR(D10))*14)+MONTH(D10)+2,FALSE)))</f>
        <v>0</v>
      </c>
      <c r="I10" s="265">
        <f t="shared" si="0"/>
        <v>0</v>
      </c>
      <c r="J10" s="266">
        <f>IF(D10=0,0,HLOOKUP(YEAR(D10)+(MONTH(D10)/100),TC!$5:$37,DAY(D10)+2,FALSE))</f>
        <v>0</v>
      </c>
      <c r="K10" s="265">
        <f t="shared" si="1"/>
        <v>0</v>
      </c>
      <c r="O10" s="228"/>
    </row>
    <row r="11" spans="2:15" ht="23" customHeight="1">
      <c r="B11" s="204" t="s">
        <v>6</v>
      </c>
      <c r="D11" s="264"/>
      <c r="E11" s="204"/>
      <c r="F11" s="204"/>
      <c r="G11" s="265"/>
      <c r="H11" s="266">
        <f>IF(F11=0,0,IF(F11="MXN",1/HLOOKUP(YEAR(D11)+(MONTH(D11)/100),TC!$5:$37,DAY(D11)+2,FALSE),VLOOKUP(F11,Equivalencia!$1:$23,((MAX(Equivalencia!$3:$3)-YEAR(D11))*14)+MONTH(D11)+2,FALSE)))</f>
        <v>0</v>
      </c>
      <c r="I11" s="265">
        <f t="shared" si="0"/>
        <v>0</v>
      </c>
      <c r="J11" s="266">
        <f>IF(D11=0,0,HLOOKUP(YEAR(D11)+(MONTH(D11)/100),TC!$5:$37,DAY(D11)+2,FALSE))</f>
        <v>0</v>
      </c>
      <c r="K11" s="265">
        <f t="shared" si="1"/>
        <v>0</v>
      </c>
    </row>
    <row r="12" spans="2:15" ht="23" customHeight="1">
      <c r="B12" s="204" t="s">
        <v>7</v>
      </c>
      <c r="D12" s="264"/>
      <c r="E12" s="204"/>
      <c r="F12" s="204"/>
      <c r="G12" s="265"/>
      <c r="H12" s="266">
        <f>IF(F12=0,0,IF(F12="MXN",1/HLOOKUP(YEAR(D12)+(MONTH(D12)/100),TC!$5:$37,DAY(D12)+2,FALSE),VLOOKUP(F12,Equivalencia!$1:$23,((MAX(Equivalencia!$3:$3)-YEAR(D12))*14)+MONTH(D12)+2,FALSE)))</f>
        <v>0</v>
      </c>
      <c r="I12" s="265">
        <f t="shared" si="0"/>
        <v>0</v>
      </c>
      <c r="J12" s="266">
        <f>IF(D12=0,0,HLOOKUP(YEAR(D12)+(MONTH(D12)/100),TC!$5:$37,DAY(D12)+2,FALSE))</f>
        <v>0</v>
      </c>
      <c r="K12" s="265">
        <f t="shared" si="1"/>
        <v>0</v>
      </c>
    </row>
    <row r="13" spans="2:15" ht="23" customHeight="1">
      <c r="B13" s="204" t="s">
        <v>8</v>
      </c>
      <c r="D13" s="264"/>
      <c r="E13" s="204"/>
      <c r="F13" s="204"/>
      <c r="G13" s="265"/>
      <c r="H13" s="266">
        <f>IF(F13=0,0,IF(F13="MXN",1/HLOOKUP(YEAR(D13)+(MONTH(D13)/100),TC!$5:$37,DAY(D13)+2,FALSE),VLOOKUP(F13,Equivalencia!$1:$23,((MAX(Equivalencia!$3:$3)-YEAR(D13))*14)+MONTH(D13)+2,FALSE)))</f>
        <v>0</v>
      </c>
      <c r="I13" s="265">
        <f t="shared" si="0"/>
        <v>0</v>
      </c>
      <c r="J13" s="266">
        <f>IF(D13=0,0,HLOOKUP(YEAR(D13)+(MONTH(D13)/100),TC!$5:$37,DAY(D13)+2,FALSE))</f>
        <v>0</v>
      </c>
      <c r="K13" s="265">
        <f t="shared" si="1"/>
        <v>0</v>
      </c>
    </row>
    <row r="14" spans="2:15" ht="23" customHeight="1">
      <c r="B14" s="45"/>
      <c r="C14" s="140"/>
      <c r="D14" s="76"/>
      <c r="E14" s="76"/>
      <c r="F14" s="76"/>
      <c r="G14" s="142"/>
      <c r="H14" s="143"/>
      <c r="I14" s="142"/>
      <c r="J14" s="143"/>
      <c r="K14" s="144"/>
    </row>
    <row r="15" spans="2:15" ht="23" customHeight="1">
      <c r="B15" s="164" t="s">
        <v>388</v>
      </c>
      <c r="C15" s="164"/>
      <c r="D15" s="230"/>
      <c r="E15" s="166"/>
      <c r="F15" s="230"/>
      <c r="G15" s="231">
        <f>SUM(G7:G14)</f>
        <v>0</v>
      </c>
      <c r="H15" s="231"/>
      <c r="I15" s="231">
        <f>SUM(I7:I14)</f>
        <v>0</v>
      </c>
      <c r="J15" s="231"/>
      <c r="K15" s="231">
        <f>SUM(K7:K14)</f>
        <v>0</v>
      </c>
    </row>
    <row r="16" spans="2:15" ht="23" customHeight="1">
      <c r="B16" s="204"/>
      <c r="C16" s="204"/>
      <c r="F16" s="204"/>
      <c r="G16" s="206"/>
    </row>
    <row r="17" spans="2:11" ht="23" customHeight="1">
      <c r="B17" s="204"/>
      <c r="C17" s="204"/>
      <c r="F17" s="204"/>
      <c r="G17" s="206"/>
    </row>
    <row r="18" spans="2:11" ht="30">
      <c r="B18" s="204"/>
      <c r="C18" s="204"/>
      <c r="F18" s="204"/>
      <c r="G18" s="120" t="s">
        <v>394</v>
      </c>
      <c r="H18" s="85"/>
      <c r="I18" s="120" t="s">
        <v>395</v>
      </c>
      <c r="J18" s="268"/>
      <c r="K18" s="120" t="s">
        <v>396</v>
      </c>
    </row>
    <row r="19" spans="2:11" ht="23" customHeight="1">
      <c r="B19" s="204"/>
      <c r="C19" s="204"/>
      <c r="F19" s="204"/>
      <c r="G19" s="188"/>
      <c r="H19" s="1"/>
      <c r="I19" s="137"/>
      <c r="J19" s="136"/>
      <c r="K19" s="137"/>
    </row>
    <row r="20" spans="2:11" ht="23" customHeight="1">
      <c r="B20" s="204"/>
      <c r="C20" s="204"/>
      <c r="E20" s="178" t="s">
        <v>186</v>
      </c>
      <c r="F20" s="179" t="str">
        <f>Cuentas!B6</f>
        <v>31XX29</v>
      </c>
      <c r="G20" s="180">
        <f t="shared" ref="G20:G40" si="2">SUMIF($B$7:$B$532,F20,$G$7:$G$532)</f>
        <v>0</v>
      </c>
      <c r="H20" s="181"/>
      <c r="I20" s="180">
        <f t="shared" ref="I20:I40" si="3">SUMIF($B$7:$B$532,F20,$I$7:$I$532)</f>
        <v>0</v>
      </c>
      <c r="J20" s="200"/>
      <c r="K20" s="180">
        <f t="shared" ref="K20:K40" si="4">SUMIF($B$7:$B$532,F20,$K$7:$K$532)</f>
        <v>0</v>
      </c>
    </row>
    <row r="21" spans="2:11" ht="23" customHeight="1">
      <c r="B21" s="204"/>
      <c r="C21" s="204"/>
      <c r="E21" s="178" t="s">
        <v>186</v>
      </c>
      <c r="F21" s="179" t="str">
        <f>Cuentas!B7</f>
        <v>11XX300</v>
      </c>
      <c r="G21" s="180">
        <f t="shared" si="2"/>
        <v>0</v>
      </c>
      <c r="H21" s="181"/>
      <c r="I21" s="180">
        <f t="shared" si="3"/>
        <v>0</v>
      </c>
      <c r="J21" s="200"/>
      <c r="K21" s="180">
        <f t="shared" si="4"/>
        <v>0</v>
      </c>
    </row>
    <row r="22" spans="2:11" ht="23" customHeight="1">
      <c r="B22" s="204"/>
      <c r="C22" s="204"/>
      <c r="E22" s="178" t="s">
        <v>186</v>
      </c>
      <c r="F22" s="179" t="str">
        <f>Cuentas!B8</f>
        <v>1XXX100</v>
      </c>
      <c r="G22" s="180">
        <f t="shared" si="2"/>
        <v>0</v>
      </c>
      <c r="H22" s="181"/>
      <c r="I22" s="180">
        <f t="shared" si="3"/>
        <v>0</v>
      </c>
      <c r="J22" s="200"/>
      <c r="K22" s="180">
        <f t="shared" si="4"/>
        <v>0</v>
      </c>
    </row>
    <row r="23" spans="2:11" ht="23" customHeight="1">
      <c r="B23" s="204"/>
      <c r="C23" s="204"/>
      <c r="E23" s="178" t="s">
        <v>186</v>
      </c>
      <c r="F23" s="179" t="str">
        <f>Cuentas!B9</f>
        <v>B467XXX05</v>
      </c>
      <c r="G23" s="180">
        <f t="shared" si="2"/>
        <v>0</v>
      </c>
      <c r="H23" s="181"/>
      <c r="I23" s="180">
        <f t="shared" si="3"/>
        <v>0</v>
      </c>
      <c r="J23" s="200"/>
      <c r="K23" s="180">
        <f t="shared" si="4"/>
        <v>0</v>
      </c>
    </row>
    <row r="24" spans="2:11" ht="23" customHeight="1">
      <c r="B24" s="204"/>
      <c r="C24" s="204"/>
      <c r="E24" s="178" t="s">
        <v>186</v>
      </c>
      <c r="F24" s="179" t="str">
        <f>Cuentas!B10</f>
        <v>677-0XXX52-670</v>
      </c>
      <c r="G24" s="180">
        <f t="shared" si="2"/>
        <v>0</v>
      </c>
      <c r="H24" s="181"/>
      <c r="I24" s="180">
        <f t="shared" si="3"/>
        <v>0</v>
      </c>
      <c r="J24" s="200"/>
      <c r="K24" s="180">
        <f t="shared" si="4"/>
        <v>0</v>
      </c>
    </row>
    <row r="25" spans="2:11" ht="23" customHeight="1">
      <c r="B25" s="204"/>
      <c r="C25" s="204"/>
      <c r="E25" s="178" t="s">
        <v>186</v>
      </c>
      <c r="F25" s="179" t="str">
        <f>Cuentas!B11</f>
        <v>677-0XXX53-471</v>
      </c>
      <c r="G25" s="180">
        <f t="shared" si="2"/>
        <v>0</v>
      </c>
      <c r="H25" s="181"/>
      <c r="I25" s="180">
        <f t="shared" si="3"/>
        <v>0</v>
      </c>
      <c r="J25" s="200"/>
      <c r="K25" s="180">
        <f t="shared" si="4"/>
        <v>0</v>
      </c>
    </row>
    <row r="26" spans="2:11" ht="23" customHeight="1">
      <c r="B26" s="204"/>
      <c r="C26" s="204"/>
      <c r="E26" s="178" t="s">
        <v>186</v>
      </c>
      <c r="F26" s="179" t="str">
        <f>Cuentas!B12</f>
        <v>4H 0XXX0 RB</v>
      </c>
      <c r="G26" s="180">
        <f t="shared" si="2"/>
        <v>0</v>
      </c>
      <c r="H26" s="181"/>
      <c r="I26" s="180">
        <f t="shared" si="3"/>
        <v>0</v>
      </c>
      <c r="J26" s="200"/>
      <c r="K26" s="180">
        <f t="shared" si="4"/>
        <v>0</v>
      </c>
    </row>
    <row r="27" spans="2:11" ht="23" customHeight="1">
      <c r="B27" s="204"/>
      <c r="C27" s="204"/>
      <c r="E27" s="178" t="s">
        <v>186</v>
      </c>
      <c r="F27" s="179" t="str">
        <f>Cuentas!B13</f>
        <v>H</v>
      </c>
      <c r="G27" s="180">
        <f t="shared" si="2"/>
        <v>0</v>
      </c>
      <c r="H27" s="181"/>
      <c r="I27" s="180">
        <f t="shared" si="3"/>
        <v>0</v>
      </c>
      <c r="J27" s="200"/>
      <c r="K27" s="180">
        <f t="shared" si="4"/>
        <v>0</v>
      </c>
    </row>
    <row r="28" spans="2:11" ht="23" customHeight="1">
      <c r="B28" s="204"/>
      <c r="C28" s="204"/>
      <c r="E28" s="178" t="s">
        <v>186</v>
      </c>
      <c r="F28" s="179" t="str">
        <f>Cuentas!B14</f>
        <v>I</v>
      </c>
      <c r="G28" s="180">
        <f t="shared" si="2"/>
        <v>0</v>
      </c>
      <c r="H28" s="181"/>
      <c r="I28" s="180">
        <f t="shared" si="3"/>
        <v>0</v>
      </c>
      <c r="J28" s="200"/>
      <c r="K28" s="180">
        <f t="shared" si="4"/>
        <v>0</v>
      </c>
    </row>
    <row r="29" spans="2:11" ht="23" customHeight="1">
      <c r="B29" s="204"/>
      <c r="C29" s="204"/>
      <c r="E29" s="178" t="s">
        <v>186</v>
      </c>
      <c r="F29" s="179" t="str">
        <f>Cuentas!B15</f>
        <v>J</v>
      </c>
      <c r="G29" s="180">
        <f t="shared" si="2"/>
        <v>0</v>
      </c>
      <c r="H29" s="181"/>
      <c r="I29" s="180">
        <f t="shared" si="3"/>
        <v>0</v>
      </c>
      <c r="J29" s="200"/>
      <c r="K29" s="180">
        <f t="shared" si="4"/>
        <v>0</v>
      </c>
    </row>
    <row r="30" spans="2:11" ht="23" customHeight="1">
      <c r="B30" s="204"/>
      <c r="C30" s="204"/>
      <c r="E30" s="178" t="s">
        <v>186</v>
      </c>
      <c r="F30" s="179" t="str">
        <f>Cuentas!B16</f>
        <v>K</v>
      </c>
      <c r="G30" s="180">
        <f t="shared" si="2"/>
        <v>0</v>
      </c>
      <c r="H30" s="181"/>
      <c r="I30" s="180">
        <f t="shared" si="3"/>
        <v>0</v>
      </c>
      <c r="J30" s="200"/>
      <c r="K30" s="180">
        <f t="shared" si="4"/>
        <v>0</v>
      </c>
    </row>
    <row r="31" spans="2:11" ht="23" customHeight="1">
      <c r="B31" s="204"/>
      <c r="C31" s="204"/>
      <c r="E31" s="178" t="s">
        <v>186</v>
      </c>
      <c r="F31" s="179" t="str">
        <f>Cuentas!B17</f>
        <v>L</v>
      </c>
      <c r="G31" s="180">
        <f t="shared" si="2"/>
        <v>0</v>
      </c>
      <c r="H31" s="181"/>
      <c r="I31" s="180">
        <f t="shared" si="3"/>
        <v>0</v>
      </c>
      <c r="J31" s="200"/>
      <c r="K31" s="180">
        <f t="shared" si="4"/>
        <v>0</v>
      </c>
    </row>
    <row r="32" spans="2:11" ht="23" customHeight="1">
      <c r="B32" s="204"/>
      <c r="C32" s="204"/>
      <c r="E32" s="178" t="s">
        <v>186</v>
      </c>
      <c r="F32" s="179" t="str">
        <f>Cuentas!B18</f>
        <v>M</v>
      </c>
      <c r="G32" s="180">
        <f t="shared" si="2"/>
        <v>0</v>
      </c>
      <c r="H32" s="181"/>
      <c r="I32" s="180">
        <f t="shared" si="3"/>
        <v>0</v>
      </c>
      <c r="J32" s="200"/>
      <c r="K32" s="180">
        <f t="shared" si="4"/>
        <v>0</v>
      </c>
    </row>
    <row r="33" spans="2:11" ht="23" customHeight="1">
      <c r="B33" s="204"/>
      <c r="C33" s="204"/>
      <c r="E33" s="178" t="s">
        <v>186</v>
      </c>
      <c r="F33" s="179" t="str">
        <f>Cuentas!B19</f>
        <v>N</v>
      </c>
      <c r="G33" s="180">
        <f t="shared" si="2"/>
        <v>0</v>
      </c>
      <c r="H33" s="181"/>
      <c r="I33" s="180">
        <f t="shared" si="3"/>
        <v>0</v>
      </c>
      <c r="J33" s="200"/>
      <c r="K33" s="180">
        <f t="shared" si="4"/>
        <v>0</v>
      </c>
    </row>
    <row r="34" spans="2:11" ht="23" customHeight="1">
      <c r="B34" s="204"/>
      <c r="C34" s="204"/>
      <c r="E34" s="178" t="s">
        <v>186</v>
      </c>
      <c r="F34" s="179" t="str">
        <f>Cuentas!B20</f>
        <v>O</v>
      </c>
      <c r="G34" s="180">
        <f t="shared" si="2"/>
        <v>0</v>
      </c>
      <c r="H34" s="181"/>
      <c r="I34" s="180">
        <f t="shared" si="3"/>
        <v>0</v>
      </c>
      <c r="J34" s="200"/>
      <c r="K34" s="180">
        <f t="shared" si="4"/>
        <v>0</v>
      </c>
    </row>
    <row r="35" spans="2:11" ht="23" customHeight="1">
      <c r="B35" s="204"/>
      <c r="C35" s="204"/>
      <c r="E35" s="178" t="s">
        <v>186</v>
      </c>
      <c r="F35" s="179" t="str">
        <f>Cuentas!B21</f>
        <v>P</v>
      </c>
      <c r="G35" s="180">
        <f t="shared" si="2"/>
        <v>0</v>
      </c>
      <c r="H35" s="181"/>
      <c r="I35" s="180">
        <f t="shared" si="3"/>
        <v>0</v>
      </c>
      <c r="J35" s="200"/>
      <c r="K35" s="180">
        <f t="shared" si="4"/>
        <v>0</v>
      </c>
    </row>
    <row r="36" spans="2:11" ht="23" customHeight="1">
      <c r="B36" s="204"/>
      <c r="C36" s="204"/>
      <c r="E36" s="178" t="s">
        <v>186</v>
      </c>
      <c r="F36" s="179" t="str">
        <f>Cuentas!B22</f>
        <v>Q</v>
      </c>
      <c r="G36" s="180">
        <f t="shared" si="2"/>
        <v>0</v>
      </c>
      <c r="H36" s="181"/>
      <c r="I36" s="180">
        <f t="shared" si="3"/>
        <v>0</v>
      </c>
      <c r="J36" s="200"/>
      <c r="K36" s="180">
        <f t="shared" si="4"/>
        <v>0</v>
      </c>
    </row>
    <row r="37" spans="2:11" ht="23" customHeight="1">
      <c r="B37" s="204"/>
      <c r="C37" s="204"/>
      <c r="E37" s="178" t="s">
        <v>186</v>
      </c>
      <c r="F37" s="179" t="str">
        <f>Cuentas!B23</f>
        <v>R</v>
      </c>
      <c r="G37" s="180">
        <f t="shared" si="2"/>
        <v>0</v>
      </c>
      <c r="H37" s="181"/>
      <c r="I37" s="180">
        <f t="shared" si="3"/>
        <v>0</v>
      </c>
      <c r="J37" s="200"/>
      <c r="K37" s="180">
        <f t="shared" si="4"/>
        <v>0</v>
      </c>
    </row>
    <row r="38" spans="2:11" ht="23" customHeight="1">
      <c r="B38" s="204"/>
      <c r="C38" s="204"/>
      <c r="E38" s="178" t="s">
        <v>186</v>
      </c>
      <c r="F38" s="179" t="str">
        <f>Cuentas!B24</f>
        <v>S</v>
      </c>
      <c r="G38" s="180">
        <f t="shared" si="2"/>
        <v>0</v>
      </c>
      <c r="H38" s="181"/>
      <c r="I38" s="180">
        <f t="shared" si="3"/>
        <v>0</v>
      </c>
      <c r="J38" s="200"/>
      <c r="K38" s="180">
        <f t="shared" si="4"/>
        <v>0</v>
      </c>
    </row>
    <row r="39" spans="2:11" ht="23" customHeight="1">
      <c r="B39" s="204"/>
      <c r="C39" s="204"/>
      <c r="E39" s="178" t="s">
        <v>186</v>
      </c>
      <c r="F39" s="179" t="str">
        <f>Cuentas!B25</f>
        <v>T</v>
      </c>
      <c r="G39" s="180">
        <f t="shared" si="2"/>
        <v>0</v>
      </c>
      <c r="H39" s="181"/>
      <c r="I39" s="180">
        <f t="shared" si="3"/>
        <v>0</v>
      </c>
      <c r="J39" s="200"/>
      <c r="K39" s="180">
        <f t="shared" si="4"/>
        <v>0</v>
      </c>
    </row>
    <row r="40" spans="2:11" ht="23" customHeight="1">
      <c r="B40" s="204"/>
      <c r="C40" s="204"/>
      <c r="E40" s="178" t="s">
        <v>186</v>
      </c>
      <c r="F40" s="179" t="str">
        <f>Cuentas!B26</f>
        <v>U</v>
      </c>
      <c r="G40" s="180">
        <f t="shared" si="2"/>
        <v>0</v>
      </c>
      <c r="H40" s="181"/>
      <c r="I40" s="180">
        <f t="shared" si="3"/>
        <v>0</v>
      </c>
      <c r="J40" s="200"/>
      <c r="K40" s="180">
        <f t="shared" si="4"/>
        <v>0</v>
      </c>
    </row>
    <row r="41" spans="2:11" ht="23" customHeight="1">
      <c r="B41" s="204"/>
      <c r="C41" s="204"/>
      <c r="G41" s="41"/>
      <c r="H41" s="1"/>
      <c r="I41" s="148"/>
      <c r="J41" s="1"/>
      <c r="K41" s="148"/>
    </row>
    <row r="42" spans="2:11" ht="23" customHeight="1">
      <c r="B42" s="204"/>
      <c r="C42" s="204"/>
      <c r="E42" s="184"/>
      <c r="F42" s="119" t="s">
        <v>389</v>
      </c>
      <c r="G42" s="232">
        <f>SUM(G20:G41)</f>
        <v>0</v>
      </c>
      <c r="H42" s="184"/>
      <c r="I42" s="232">
        <f>SUM(I20:I41)</f>
        <v>0</v>
      </c>
      <c r="J42" s="233"/>
      <c r="K42" s="232">
        <f>SUM(K20:K41)</f>
        <v>0</v>
      </c>
    </row>
    <row r="45" spans="2:11" ht="23" customHeight="1">
      <c r="B45" s="212" t="s">
        <v>12</v>
      </c>
      <c r="C45" s="212"/>
    </row>
  </sheetData>
  <sheetProtection algorithmName="SHA-512" hashValue="BPGf+Bs/Gs4Qz6zAZwovepuVOj20l6XMTbzDBrK1oPivjTkjh4xj/0ADuCRS5/M92JcimzUIcd8gtpIXtC38pA==" saltValue="kMMnEp8g/1j4FPEHa5RB+w==" spinCount="100000" sheet="1" formatCells="0" formatColumns="0" formatRows="0" insertColumns="0" insertRows="0" deleteColumns="0" deleteRows="0" autoFilter="0"/>
  <autoFilter ref="B6:K13" xr:uid="{FFE3F4DA-9EA1-F349-8F05-0672556F7453}"/>
  <mergeCells count="2">
    <mergeCell ref="B2:K2"/>
    <mergeCell ref="B3:K3"/>
  </mergeCells>
  <phoneticPr fontId="8" type="noConversion"/>
  <dataValidations disablePrompts="1" count="1">
    <dataValidation type="list" allowBlank="1" showInputMessage="1" showErrorMessage="1" promptTitle="Selecciona una opción:" prompt="Agrega un concepto en las celdas sombreadas en verde de la columna &quot;r&quot;._x000a_" sqref="C8:C13" xr:uid="{00000000-0002-0000-0D00-000001000000}">
      <formula1>Private_Equity</formula1>
    </dataValidation>
  </dataValidations>
  <printOptions horizontalCentered="1"/>
  <pageMargins left="0.7" right="0.7" top="0.75" bottom="0.75" header="0.3" footer="0.3"/>
  <pageSetup scale="48" fitToHeight="5" orientation="landscape" horizontalDpi="1200" verticalDpi="1200"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promptTitle="OJO:" prompt="Selecciona una moneda" xr:uid="{DE47DA7A-1BB1-C249-849C-DAC79CDD72F5}">
          <x14:formula1>
            <xm:f>Equivalencia!$A$4:$A$23</xm:f>
          </x14:formula1>
          <xm:sqref>F8:F13</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FF7C8-CF20-814B-8782-292AA34A3217}">
  <sheetPr>
    <pageSetUpPr fitToPage="1"/>
  </sheetPr>
  <dimension ref="B2:O45"/>
  <sheetViews>
    <sheetView view="pageBreakPreview" zoomScaleNormal="90" zoomScaleSheetLayoutView="100" workbookViewId="0">
      <pane ySplit="6" topLeftCell="A7" activePane="bottomLeft" state="frozen"/>
      <selection pane="bottomLeft" activeCell="C5" sqref="C5"/>
    </sheetView>
  </sheetViews>
  <sheetFormatPr baseColWidth="10" defaultColWidth="10.83203125" defaultRowHeight="23" customHeight="1"/>
  <cols>
    <col min="1" max="1" width="10.83203125" style="134"/>
    <col min="2" max="3" width="27.83203125" style="134" customWidth="1"/>
    <col min="4" max="4" width="16.83203125" style="134" customWidth="1"/>
    <col min="5" max="5" width="52.33203125" style="134" customWidth="1"/>
    <col min="6" max="6" width="21.1640625" style="134" customWidth="1"/>
    <col min="7" max="7" width="21.6640625" style="134" customWidth="1"/>
    <col min="8" max="8" width="20.83203125" style="134" customWidth="1"/>
    <col min="9" max="9" width="20" style="134" customWidth="1"/>
    <col min="10" max="10" width="20.83203125" style="134" customWidth="1"/>
    <col min="11" max="11" width="20" style="134" customWidth="1"/>
    <col min="12" max="14" width="10.83203125" style="134"/>
    <col min="15" max="15" width="41.6640625" style="134" customWidth="1"/>
    <col min="16" max="16384" width="10.83203125" style="134"/>
  </cols>
  <sheetData>
    <row r="2" spans="2:15" ht="45" customHeight="1">
      <c r="B2" s="751" t="s">
        <v>661</v>
      </c>
      <c r="C2" s="751"/>
      <c r="D2" s="751"/>
      <c r="E2" s="751"/>
      <c r="F2" s="751"/>
      <c r="G2" s="751"/>
      <c r="H2" s="751"/>
      <c r="I2" s="751"/>
      <c r="J2" s="751"/>
      <c r="K2" s="751"/>
      <c r="O2" s="565" t="s">
        <v>667</v>
      </c>
    </row>
    <row r="3" spans="2:15" ht="23" customHeight="1">
      <c r="B3" s="750" t="s">
        <v>659</v>
      </c>
      <c r="C3" s="750"/>
      <c r="D3" s="750"/>
      <c r="E3" s="750"/>
      <c r="F3" s="750"/>
      <c r="G3" s="750"/>
      <c r="H3" s="750"/>
      <c r="I3" s="750"/>
      <c r="J3" s="750"/>
      <c r="K3" s="750"/>
      <c r="O3" s="263" t="s">
        <v>63</v>
      </c>
    </row>
    <row r="4" spans="2:15" ht="14" customHeight="1">
      <c r="B4" s="24" t="s">
        <v>446</v>
      </c>
      <c r="C4" s="24" t="s">
        <v>679</v>
      </c>
      <c r="D4" s="24"/>
      <c r="E4" s="24"/>
      <c r="F4" s="24"/>
      <c r="G4" s="24"/>
      <c r="H4" s="24"/>
      <c r="I4" s="24"/>
      <c r="J4" s="24"/>
      <c r="K4" s="24"/>
      <c r="O4" s="280" t="s">
        <v>665</v>
      </c>
    </row>
    <row r="5" spans="2:15" ht="23" customHeight="1">
      <c r="B5" s="269"/>
      <c r="C5" s="269"/>
      <c r="D5" s="270"/>
      <c r="E5" s="270"/>
      <c r="F5" s="269"/>
      <c r="G5" s="270"/>
      <c r="H5" s="270"/>
      <c r="I5" s="216"/>
      <c r="J5" s="216"/>
      <c r="K5" s="216"/>
      <c r="O5" s="280" t="s">
        <v>666</v>
      </c>
    </row>
    <row r="6" spans="2:15" ht="30">
      <c r="B6" s="267" t="s">
        <v>178</v>
      </c>
      <c r="C6" s="29" t="s">
        <v>408</v>
      </c>
      <c r="D6" s="29" t="s">
        <v>54</v>
      </c>
      <c r="E6" s="29" t="s">
        <v>226</v>
      </c>
      <c r="F6" s="29" t="s">
        <v>208</v>
      </c>
      <c r="G6" s="29" t="s">
        <v>390</v>
      </c>
      <c r="H6" s="29" t="s">
        <v>56</v>
      </c>
      <c r="I6" s="29" t="s">
        <v>398</v>
      </c>
      <c r="J6" s="120" t="s">
        <v>364</v>
      </c>
      <c r="K6" s="29" t="s">
        <v>402</v>
      </c>
      <c r="O6" s="228"/>
    </row>
    <row r="7" spans="2:15" ht="23" customHeight="1">
      <c r="B7" s="76"/>
      <c r="C7" s="140"/>
      <c r="D7" s="145"/>
      <c r="E7" s="140"/>
      <c r="F7" s="76"/>
      <c r="G7" s="141"/>
      <c r="H7" s="143"/>
      <c r="O7" s="228"/>
    </row>
    <row r="8" spans="2:15" ht="23" customHeight="1">
      <c r="B8" s="274" t="s">
        <v>3</v>
      </c>
      <c r="C8" s="274"/>
      <c r="D8" s="275"/>
      <c r="E8" s="274"/>
      <c r="F8" s="274"/>
      <c r="G8" s="276"/>
      <c r="H8" s="277">
        <f>IF(F8=0,0,IF(F8="MXN",1/HLOOKUP(YEAR(D8)+(MONTH(D8)/100),TC!$5:$37,DAY(D8)+2,FALSE),VLOOKUP(F8,Equivalencia!$1:$23,((MAX(Equivalencia!$3:$3)-YEAR(D8))*14)+MONTH(D8)+2,FALSE)))</f>
        <v>0</v>
      </c>
      <c r="I8" s="278">
        <f t="shared" ref="I8:I13" si="0">+G8*H8</f>
        <v>0</v>
      </c>
      <c r="J8" s="277">
        <f>+IF(D8=0,0,HLOOKUP(YEAR(D8)+(MONTH(D8)/100),TC!$5:$37,DAY(D8)+2,FALSE))</f>
        <v>0</v>
      </c>
      <c r="K8" s="278">
        <f t="shared" ref="K8:K13" si="1">+I8*J8</f>
        <v>0</v>
      </c>
      <c r="O8" s="228"/>
    </row>
    <row r="9" spans="2:15" ht="23" customHeight="1">
      <c r="B9" s="274" t="s">
        <v>4</v>
      </c>
      <c r="C9" s="274"/>
      <c r="D9" s="275"/>
      <c r="E9" s="274"/>
      <c r="F9" s="274"/>
      <c r="G9" s="276"/>
      <c r="H9" s="277">
        <f>IF(F9=0,0,IF(F9="MXN",1/HLOOKUP(YEAR(D9)+(MONTH(D9)/100),TC!$5:$37,DAY(D9)+2,FALSE),VLOOKUP(F9,Equivalencia!$1:$23,((MAX(Equivalencia!$3:$3)-YEAR(D9))*14)+MONTH(D9)+2,FALSE)))</f>
        <v>0</v>
      </c>
      <c r="I9" s="278">
        <f t="shared" si="0"/>
        <v>0</v>
      </c>
      <c r="J9" s="277">
        <f>+IF(D9=0,0,HLOOKUP(YEAR(D9)+(MONTH(D9)/100),TC!$5:$37,DAY(D9)+2,FALSE))</f>
        <v>0</v>
      </c>
      <c r="K9" s="278">
        <f t="shared" si="1"/>
        <v>0</v>
      </c>
      <c r="O9" s="228"/>
    </row>
    <row r="10" spans="2:15" ht="23" customHeight="1">
      <c r="B10" s="274" t="s">
        <v>5</v>
      </c>
      <c r="C10" s="274"/>
      <c r="D10" s="275"/>
      <c r="E10" s="274"/>
      <c r="F10" s="274"/>
      <c r="G10" s="276"/>
      <c r="H10" s="277">
        <f>IF(F10=0,0,IF(F10="MXN",1/HLOOKUP(YEAR(D10)+(MONTH(D10)/100),TC!$5:$37,DAY(D10)+2,FALSE),VLOOKUP(F10,Equivalencia!$1:$23,((MAX(Equivalencia!$3:$3)-YEAR(D10))*14)+MONTH(D10)+2,FALSE)))</f>
        <v>0</v>
      </c>
      <c r="I10" s="278">
        <f t="shared" si="0"/>
        <v>0</v>
      </c>
      <c r="J10" s="277">
        <f>+IF(D10=0,0,HLOOKUP(YEAR(D10)+(MONTH(D10)/100),TC!$5:$37,DAY(D10)+2,FALSE))</f>
        <v>0</v>
      </c>
      <c r="K10" s="278">
        <f t="shared" si="1"/>
        <v>0</v>
      </c>
      <c r="O10" s="228"/>
    </row>
    <row r="11" spans="2:15" ht="23" customHeight="1">
      <c r="B11" s="274" t="s">
        <v>6</v>
      </c>
      <c r="C11" s="274"/>
      <c r="D11" s="275"/>
      <c r="E11" s="274"/>
      <c r="F11" s="274"/>
      <c r="G11" s="276"/>
      <c r="H11" s="277">
        <f>IF(F11=0,0,IF(F11="MXN",1/HLOOKUP(YEAR(D11)+(MONTH(D11)/100),TC!$5:$37,DAY(D11)+2,FALSE),VLOOKUP(F11,Equivalencia!$1:$23,((MAX(Equivalencia!$3:$3)-YEAR(D11))*14)+MONTH(D11)+2,FALSE)))</f>
        <v>0</v>
      </c>
      <c r="I11" s="278">
        <f t="shared" si="0"/>
        <v>0</v>
      </c>
      <c r="J11" s="277">
        <f>+IF(D11=0,0,HLOOKUP(YEAR(D11)+(MONTH(D11)/100),TC!$5:$37,DAY(D11)+2,FALSE))</f>
        <v>0</v>
      </c>
      <c r="K11" s="278">
        <f t="shared" si="1"/>
        <v>0</v>
      </c>
      <c r="O11" s="228"/>
    </row>
    <row r="12" spans="2:15" ht="23" customHeight="1">
      <c r="B12" s="274" t="s">
        <v>7</v>
      </c>
      <c r="C12" s="274"/>
      <c r="D12" s="275"/>
      <c r="E12" s="274"/>
      <c r="F12" s="274"/>
      <c r="G12" s="276"/>
      <c r="H12" s="277">
        <f>IF(F12=0,0,IF(F12="MXN",1/HLOOKUP(YEAR(D12)+(MONTH(D12)/100),TC!$5:$37,DAY(D12)+2,FALSE),VLOOKUP(F12,Equivalencia!$1:$23,((MAX(Equivalencia!$3:$3)-YEAR(D12))*14)+MONTH(D12)+2,FALSE)))</f>
        <v>0</v>
      </c>
      <c r="I12" s="278">
        <f t="shared" si="0"/>
        <v>0</v>
      </c>
      <c r="J12" s="277">
        <f>+IF(D12=0,0,HLOOKUP(YEAR(D12)+(MONTH(D12)/100),TC!$5:$37,DAY(D12)+2,FALSE))</f>
        <v>0</v>
      </c>
      <c r="K12" s="278">
        <f t="shared" si="1"/>
        <v>0</v>
      </c>
    </row>
    <row r="13" spans="2:15" ht="23" customHeight="1">
      <c r="B13" s="274" t="s">
        <v>8</v>
      </c>
      <c r="C13" s="274"/>
      <c r="D13" s="275"/>
      <c r="E13" s="274"/>
      <c r="F13" s="274"/>
      <c r="G13" s="276"/>
      <c r="H13" s="277">
        <f>IF(F13=0,0,IF(F13="MXN",1/HLOOKUP(YEAR(D13)+(MONTH(D13)/100),TC!$5:$37,DAY(D13)+2,FALSE),VLOOKUP(F13,Equivalencia!$1:$23,((MAX(Equivalencia!$3:$3)-YEAR(D13))*14)+MONTH(D13)+2,FALSE)))</f>
        <v>0</v>
      </c>
      <c r="I13" s="278">
        <f t="shared" si="0"/>
        <v>0</v>
      </c>
      <c r="J13" s="277">
        <f>+IF(D13=0,0,HLOOKUP(YEAR(D13)+(MONTH(D13)/100),TC!$5:$37,DAY(D13)+2,FALSE))</f>
        <v>0</v>
      </c>
      <c r="K13" s="278">
        <f t="shared" si="1"/>
        <v>0</v>
      </c>
    </row>
    <row r="14" spans="2:15" ht="23" customHeight="1">
      <c r="B14" s="45"/>
      <c r="C14" s="140"/>
      <c r="D14" s="76"/>
      <c r="E14" s="76"/>
      <c r="F14" s="76"/>
      <c r="G14" s="142"/>
      <c r="H14" s="143"/>
      <c r="I14" s="271"/>
    </row>
    <row r="15" spans="2:15" ht="23" customHeight="1">
      <c r="B15" s="164" t="s">
        <v>403</v>
      </c>
      <c r="C15" s="231"/>
      <c r="D15" s="230"/>
      <c r="E15" s="166"/>
      <c r="F15" s="230"/>
      <c r="G15" s="231">
        <f>SUM(G7:G14)</f>
        <v>0</v>
      </c>
      <c r="H15" s="231"/>
      <c r="I15" s="231">
        <f>SUM(I7:I14)</f>
        <v>0</v>
      </c>
      <c r="J15" s="279"/>
      <c r="K15" s="231">
        <f>SUM(K7:K14)</f>
        <v>0</v>
      </c>
    </row>
    <row r="16" spans="2:15" ht="23" customHeight="1">
      <c r="B16" s="204"/>
      <c r="C16" s="204"/>
      <c r="F16" s="204"/>
      <c r="G16" s="206"/>
    </row>
    <row r="17" spans="2:11" ht="23" customHeight="1">
      <c r="B17" s="204"/>
      <c r="C17" s="204"/>
      <c r="F17" s="204"/>
      <c r="G17" s="206"/>
    </row>
    <row r="18" spans="2:11" ht="30">
      <c r="B18" s="204"/>
      <c r="C18" s="204"/>
      <c r="F18" s="204"/>
      <c r="G18" s="273" t="s">
        <v>399</v>
      </c>
      <c r="H18" s="85"/>
      <c r="I18" s="120" t="s">
        <v>400</v>
      </c>
      <c r="J18" s="85"/>
      <c r="K18" s="120" t="s">
        <v>401</v>
      </c>
    </row>
    <row r="19" spans="2:11" ht="23" customHeight="1">
      <c r="B19" s="204"/>
      <c r="C19" s="204"/>
      <c r="F19" s="204"/>
      <c r="G19" s="272"/>
      <c r="H19" s="1"/>
      <c r="I19" s="137"/>
      <c r="J19" s="1"/>
      <c r="K19" s="137"/>
    </row>
    <row r="20" spans="2:11" ht="23" customHeight="1">
      <c r="B20" s="204"/>
      <c r="C20" s="204"/>
      <c r="E20" s="178" t="s">
        <v>404</v>
      </c>
      <c r="F20" s="179" t="str">
        <f>Cuentas!B6</f>
        <v>31XX29</v>
      </c>
      <c r="G20" s="180">
        <f t="shared" ref="G20:G40" si="2">SUMIF($B$7:$B$532,F20,$G$7:$G$532)</f>
        <v>0</v>
      </c>
      <c r="H20" s="181"/>
      <c r="I20" s="180">
        <f t="shared" ref="I20:I40" si="3">SUMIF($B$7:$B$532,F20,$I$7:$I$532)</f>
        <v>0</v>
      </c>
      <c r="J20" s="200"/>
      <c r="K20" s="180">
        <f t="shared" ref="K20:K40" si="4">SUMIF($B$7:$B$532,F20,$K$7:$K$532)</f>
        <v>0</v>
      </c>
    </row>
    <row r="21" spans="2:11" ht="23" customHeight="1">
      <c r="B21" s="204"/>
      <c r="C21" s="204"/>
      <c r="E21" s="178" t="s">
        <v>404</v>
      </c>
      <c r="F21" s="179" t="str">
        <f>Cuentas!B7</f>
        <v>11XX300</v>
      </c>
      <c r="G21" s="180">
        <f t="shared" si="2"/>
        <v>0</v>
      </c>
      <c r="H21" s="181"/>
      <c r="I21" s="180">
        <f t="shared" si="3"/>
        <v>0</v>
      </c>
      <c r="J21" s="200"/>
      <c r="K21" s="180">
        <f t="shared" si="4"/>
        <v>0</v>
      </c>
    </row>
    <row r="22" spans="2:11" ht="23" customHeight="1">
      <c r="B22" s="204"/>
      <c r="C22" s="204"/>
      <c r="E22" s="178" t="s">
        <v>404</v>
      </c>
      <c r="F22" s="179" t="str">
        <f>Cuentas!B8</f>
        <v>1XXX100</v>
      </c>
      <c r="G22" s="180">
        <f t="shared" si="2"/>
        <v>0</v>
      </c>
      <c r="H22" s="181"/>
      <c r="I22" s="180">
        <f t="shared" si="3"/>
        <v>0</v>
      </c>
      <c r="J22" s="200"/>
      <c r="K22" s="180">
        <f t="shared" si="4"/>
        <v>0</v>
      </c>
    </row>
    <row r="23" spans="2:11" ht="23" customHeight="1">
      <c r="B23" s="204"/>
      <c r="C23" s="204"/>
      <c r="E23" s="178" t="s">
        <v>404</v>
      </c>
      <c r="F23" s="179" t="str">
        <f>Cuentas!B9</f>
        <v>B467XXX05</v>
      </c>
      <c r="G23" s="180">
        <f t="shared" si="2"/>
        <v>0</v>
      </c>
      <c r="H23" s="181"/>
      <c r="I23" s="180">
        <f t="shared" si="3"/>
        <v>0</v>
      </c>
      <c r="J23" s="200"/>
      <c r="K23" s="180">
        <f t="shared" si="4"/>
        <v>0</v>
      </c>
    </row>
    <row r="24" spans="2:11" ht="23" customHeight="1">
      <c r="B24" s="204"/>
      <c r="C24" s="204"/>
      <c r="E24" s="178" t="s">
        <v>404</v>
      </c>
      <c r="F24" s="179" t="str">
        <f>Cuentas!B10</f>
        <v>677-0XXX52-670</v>
      </c>
      <c r="G24" s="180">
        <f t="shared" si="2"/>
        <v>0</v>
      </c>
      <c r="H24" s="181"/>
      <c r="I24" s="180">
        <f t="shared" si="3"/>
        <v>0</v>
      </c>
      <c r="J24" s="200"/>
      <c r="K24" s="180">
        <f t="shared" si="4"/>
        <v>0</v>
      </c>
    </row>
    <row r="25" spans="2:11" ht="23" customHeight="1">
      <c r="B25" s="204"/>
      <c r="C25" s="204"/>
      <c r="E25" s="178" t="s">
        <v>404</v>
      </c>
      <c r="F25" s="179" t="str">
        <f>Cuentas!B11</f>
        <v>677-0XXX53-471</v>
      </c>
      <c r="G25" s="180">
        <f t="shared" si="2"/>
        <v>0</v>
      </c>
      <c r="H25" s="181"/>
      <c r="I25" s="180">
        <f t="shared" si="3"/>
        <v>0</v>
      </c>
      <c r="J25" s="200"/>
      <c r="K25" s="180">
        <f t="shared" si="4"/>
        <v>0</v>
      </c>
    </row>
    <row r="26" spans="2:11" ht="23" customHeight="1">
      <c r="B26" s="204"/>
      <c r="C26" s="204"/>
      <c r="E26" s="178" t="s">
        <v>404</v>
      </c>
      <c r="F26" s="179" t="str">
        <f>Cuentas!B12</f>
        <v>4H 0XXX0 RB</v>
      </c>
      <c r="G26" s="180">
        <f t="shared" si="2"/>
        <v>0</v>
      </c>
      <c r="H26" s="181"/>
      <c r="I26" s="180">
        <f t="shared" si="3"/>
        <v>0</v>
      </c>
      <c r="J26" s="200"/>
      <c r="K26" s="180">
        <f t="shared" si="4"/>
        <v>0</v>
      </c>
    </row>
    <row r="27" spans="2:11" ht="23" customHeight="1">
      <c r="B27" s="204"/>
      <c r="C27" s="204"/>
      <c r="E27" s="178" t="s">
        <v>404</v>
      </c>
      <c r="F27" s="179" t="str">
        <f>Cuentas!B13</f>
        <v>H</v>
      </c>
      <c r="G27" s="180">
        <f t="shared" si="2"/>
        <v>0</v>
      </c>
      <c r="H27" s="181"/>
      <c r="I27" s="180">
        <f t="shared" si="3"/>
        <v>0</v>
      </c>
      <c r="J27" s="200"/>
      <c r="K27" s="180">
        <f t="shared" si="4"/>
        <v>0</v>
      </c>
    </row>
    <row r="28" spans="2:11" ht="23" customHeight="1">
      <c r="B28" s="204"/>
      <c r="C28" s="204"/>
      <c r="E28" s="178" t="s">
        <v>404</v>
      </c>
      <c r="F28" s="179" t="str">
        <f>Cuentas!B14</f>
        <v>I</v>
      </c>
      <c r="G28" s="180">
        <f t="shared" si="2"/>
        <v>0</v>
      </c>
      <c r="H28" s="181"/>
      <c r="I28" s="180">
        <f t="shared" si="3"/>
        <v>0</v>
      </c>
      <c r="J28" s="200"/>
      <c r="K28" s="180">
        <f t="shared" si="4"/>
        <v>0</v>
      </c>
    </row>
    <row r="29" spans="2:11" ht="23" customHeight="1">
      <c r="B29" s="204"/>
      <c r="C29" s="204"/>
      <c r="E29" s="178" t="s">
        <v>404</v>
      </c>
      <c r="F29" s="179" t="str">
        <f>Cuentas!B15</f>
        <v>J</v>
      </c>
      <c r="G29" s="180">
        <f t="shared" si="2"/>
        <v>0</v>
      </c>
      <c r="H29" s="181"/>
      <c r="I29" s="180">
        <f t="shared" si="3"/>
        <v>0</v>
      </c>
      <c r="J29" s="200"/>
      <c r="K29" s="180">
        <f t="shared" si="4"/>
        <v>0</v>
      </c>
    </row>
    <row r="30" spans="2:11" ht="23" customHeight="1">
      <c r="B30" s="204"/>
      <c r="C30" s="204"/>
      <c r="E30" s="178" t="s">
        <v>404</v>
      </c>
      <c r="F30" s="179" t="str">
        <f>Cuentas!B16</f>
        <v>K</v>
      </c>
      <c r="G30" s="180">
        <f t="shared" si="2"/>
        <v>0</v>
      </c>
      <c r="H30" s="181"/>
      <c r="I30" s="180">
        <f t="shared" si="3"/>
        <v>0</v>
      </c>
      <c r="J30" s="200"/>
      <c r="K30" s="180">
        <f t="shared" si="4"/>
        <v>0</v>
      </c>
    </row>
    <row r="31" spans="2:11" ht="23" customHeight="1">
      <c r="B31" s="204"/>
      <c r="C31" s="204"/>
      <c r="E31" s="178" t="s">
        <v>404</v>
      </c>
      <c r="F31" s="179" t="str">
        <f>Cuentas!B17</f>
        <v>L</v>
      </c>
      <c r="G31" s="180">
        <f t="shared" si="2"/>
        <v>0</v>
      </c>
      <c r="H31" s="181"/>
      <c r="I31" s="180">
        <f t="shared" si="3"/>
        <v>0</v>
      </c>
      <c r="J31" s="200"/>
      <c r="K31" s="180">
        <f t="shared" si="4"/>
        <v>0</v>
      </c>
    </row>
    <row r="32" spans="2:11" ht="23" customHeight="1">
      <c r="B32" s="204"/>
      <c r="C32" s="204"/>
      <c r="E32" s="178" t="s">
        <v>404</v>
      </c>
      <c r="F32" s="179" t="str">
        <f>Cuentas!B18</f>
        <v>M</v>
      </c>
      <c r="G32" s="180">
        <f t="shared" si="2"/>
        <v>0</v>
      </c>
      <c r="H32" s="181"/>
      <c r="I32" s="180">
        <f t="shared" si="3"/>
        <v>0</v>
      </c>
      <c r="J32" s="200"/>
      <c r="K32" s="180">
        <f t="shared" si="4"/>
        <v>0</v>
      </c>
    </row>
    <row r="33" spans="2:11" ht="23" customHeight="1">
      <c r="B33" s="204"/>
      <c r="C33" s="204"/>
      <c r="E33" s="178" t="s">
        <v>404</v>
      </c>
      <c r="F33" s="179" t="str">
        <f>Cuentas!B19</f>
        <v>N</v>
      </c>
      <c r="G33" s="180">
        <f t="shared" si="2"/>
        <v>0</v>
      </c>
      <c r="H33" s="181"/>
      <c r="I33" s="180">
        <f t="shared" si="3"/>
        <v>0</v>
      </c>
      <c r="J33" s="200"/>
      <c r="K33" s="180">
        <f t="shared" si="4"/>
        <v>0</v>
      </c>
    </row>
    <row r="34" spans="2:11" ht="23" customHeight="1">
      <c r="B34" s="204"/>
      <c r="C34" s="204"/>
      <c r="E34" s="178" t="s">
        <v>404</v>
      </c>
      <c r="F34" s="179" t="str">
        <f>Cuentas!B20</f>
        <v>O</v>
      </c>
      <c r="G34" s="180">
        <f t="shared" si="2"/>
        <v>0</v>
      </c>
      <c r="H34" s="181"/>
      <c r="I34" s="180">
        <f t="shared" si="3"/>
        <v>0</v>
      </c>
      <c r="J34" s="200"/>
      <c r="K34" s="180">
        <f t="shared" si="4"/>
        <v>0</v>
      </c>
    </row>
    <row r="35" spans="2:11" ht="23" customHeight="1">
      <c r="B35" s="204"/>
      <c r="C35" s="204"/>
      <c r="E35" s="178" t="s">
        <v>404</v>
      </c>
      <c r="F35" s="179" t="str">
        <f>Cuentas!B21</f>
        <v>P</v>
      </c>
      <c r="G35" s="180">
        <f t="shared" si="2"/>
        <v>0</v>
      </c>
      <c r="H35" s="181"/>
      <c r="I35" s="180">
        <f t="shared" si="3"/>
        <v>0</v>
      </c>
      <c r="J35" s="200"/>
      <c r="K35" s="180">
        <f t="shared" si="4"/>
        <v>0</v>
      </c>
    </row>
    <row r="36" spans="2:11" ht="23" customHeight="1">
      <c r="B36" s="204"/>
      <c r="C36" s="204"/>
      <c r="E36" s="178" t="s">
        <v>404</v>
      </c>
      <c r="F36" s="179" t="str">
        <f>Cuentas!B22</f>
        <v>Q</v>
      </c>
      <c r="G36" s="180">
        <f t="shared" si="2"/>
        <v>0</v>
      </c>
      <c r="H36" s="181"/>
      <c r="I36" s="180">
        <f t="shared" si="3"/>
        <v>0</v>
      </c>
      <c r="J36" s="200"/>
      <c r="K36" s="180">
        <f t="shared" si="4"/>
        <v>0</v>
      </c>
    </row>
    <row r="37" spans="2:11" ht="23" customHeight="1">
      <c r="B37" s="204"/>
      <c r="C37" s="204"/>
      <c r="E37" s="178" t="s">
        <v>404</v>
      </c>
      <c r="F37" s="179" t="str">
        <f>Cuentas!B23</f>
        <v>R</v>
      </c>
      <c r="G37" s="180">
        <f t="shared" si="2"/>
        <v>0</v>
      </c>
      <c r="H37" s="181"/>
      <c r="I37" s="180">
        <f t="shared" si="3"/>
        <v>0</v>
      </c>
      <c r="J37" s="200"/>
      <c r="K37" s="180">
        <f t="shared" si="4"/>
        <v>0</v>
      </c>
    </row>
    <row r="38" spans="2:11" ht="23" customHeight="1">
      <c r="B38" s="204"/>
      <c r="C38" s="204"/>
      <c r="E38" s="178" t="s">
        <v>404</v>
      </c>
      <c r="F38" s="179" t="str">
        <f>Cuentas!B24</f>
        <v>S</v>
      </c>
      <c r="G38" s="180">
        <f t="shared" si="2"/>
        <v>0</v>
      </c>
      <c r="H38" s="181"/>
      <c r="I38" s="180">
        <f t="shared" si="3"/>
        <v>0</v>
      </c>
      <c r="J38" s="200"/>
      <c r="K38" s="180">
        <f t="shared" si="4"/>
        <v>0</v>
      </c>
    </row>
    <row r="39" spans="2:11" ht="23" customHeight="1">
      <c r="B39" s="204"/>
      <c r="C39" s="204"/>
      <c r="E39" s="178" t="s">
        <v>404</v>
      </c>
      <c r="F39" s="179" t="str">
        <f>Cuentas!B25</f>
        <v>T</v>
      </c>
      <c r="G39" s="180">
        <f t="shared" si="2"/>
        <v>0</v>
      </c>
      <c r="H39" s="181"/>
      <c r="I39" s="180">
        <f t="shared" si="3"/>
        <v>0</v>
      </c>
      <c r="J39" s="200"/>
      <c r="K39" s="180">
        <f t="shared" si="4"/>
        <v>0</v>
      </c>
    </row>
    <row r="40" spans="2:11" ht="23" customHeight="1">
      <c r="B40" s="204"/>
      <c r="C40" s="204"/>
      <c r="E40" s="178" t="s">
        <v>404</v>
      </c>
      <c r="F40" s="179" t="str">
        <f>Cuentas!B26</f>
        <v>U</v>
      </c>
      <c r="G40" s="180">
        <f t="shared" si="2"/>
        <v>0</v>
      </c>
      <c r="H40" s="181"/>
      <c r="I40" s="180">
        <f t="shared" si="3"/>
        <v>0</v>
      </c>
      <c r="J40" s="200"/>
      <c r="K40" s="180">
        <f t="shared" si="4"/>
        <v>0</v>
      </c>
    </row>
    <row r="41" spans="2:11" ht="23" customHeight="1">
      <c r="B41" s="204"/>
      <c r="C41" s="204"/>
      <c r="G41" s="41"/>
      <c r="H41" s="1"/>
      <c r="I41" s="148"/>
      <c r="J41" s="1"/>
      <c r="K41" s="148"/>
    </row>
    <row r="42" spans="2:11" ht="23" customHeight="1">
      <c r="B42" s="204"/>
      <c r="C42" s="204"/>
      <c r="E42" s="184"/>
      <c r="F42" s="119" t="s">
        <v>405</v>
      </c>
      <c r="G42" s="232">
        <f>SUM(G20:G41)</f>
        <v>0</v>
      </c>
      <c r="H42" s="184"/>
      <c r="I42" s="232">
        <f>SUM(I20:I41)</f>
        <v>0</v>
      </c>
      <c r="J42" s="233"/>
      <c r="K42" s="232">
        <f>SUM(K20:K41)</f>
        <v>0</v>
      </c>
    </row>
    <row r="45" spans="2:11" ht="23" customHeight="1">
      <c r="B45" s="212" t="s">
        <v>12</v>
      </c>
      <c r="C45" s="212"/>
    </row>
  </sheetData>
  <sheetProtection algorithmName="SHA-512" hashValue="DnYya5vINuASHJwG67H0PgvOng5GYeIi3ze0fQMG5a5yFFizVJYUmg1gQGCoNEpmBrUMdcwLmZPdZ9Bqu8Ba5A==" saltValue="MHcq0tV6NL6n+SOrfGhyaQ==" spinCount="100000" sheet="1" formatCells="0" formatColumns="0" formatRows="0" insertColumns="0" insertRows="0" deleteColumns="0" deleteRows="0" autoFilter="0"/>
  <autoFilter ref="B6:K13" xr:uid="{B5AF1219-BFE5-1643-B672-63B36EDADE3C}"/>
  <mergeCells count="2">
    <mergeCell ref="B3:K3"/>
    <mergeCell ref="B2:K2"/>
  </mergeCells>
  <dataValidations count="1">
    <dataValidation type="list" allowBlank="1" showInputMessage="1" showErrorMessage="1" promptTitle="Selecciona una opción:" prompt="Agrega un concepto en las celdas sombreadas en verde de la columna &quot;r&quot;._x000a_" sqref="C8:C13" xr:uid="{A4F16B3F-5E9E-8E48-B515-B7AEDD3A30AF}">
      <formula1>Private_Equity</formula1>
    </dataValidation>
  </dataValidations>
  <printOptions horizontalCentered="1"/>
  <pageMargins left="0.70000000000000007" right="0.70000000000000007" top="0.75000000000000011" bottom="0.75000000000000011" header="0.30000000000000004" footer="0.30000000000000004"/>
  <pageSetup scale="46" fitToHeight="5"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OJO:" prompt="Selecciona una moneda" xr:uid="{22AD2F82-74AF-BC4E-8B14-EFB7709E06A1}">
          <x14:formula1>
            <xm:f>Equivalencia!$A$4:$A$23</xm:f>
          </x14:formula1>
          <xm:sqref>F8:F13</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B22BA-E1C4-314B-B417-212B0D8BD37D}">
  <sheetPr>
    <pageSetUpPr fitToPage="1"/>
  </sheetPr>
  <dimension ref="B2:AA165"/>
  <sheetViews>
    <sheetView showGridLines="0" view="pageBreakPreview" zoomScaleNormal="80" zoomScaleSheetLayoutView="100" workbookViewId="0">
      <pane ySplit="5" topLeftCell="A6" activePane="bottomLeft" state="frozen"/>
      <selection pane="bottomLeft" activeCell="P17" sqref="P17"/>
    </sheetView>
  </sheetViews>
  <sheetFormatPr baseColWidth="10" defaultColWidth="11" defaultRowHeight="16"/>
  <cols>
    <col min="2" max="2" width="19.83203125" customWidth="1"/>
    <col min="3" max="3" width="46" customWidth="1"/>
    <col min="4" max="4" width="15" customWidth="1"/>
    <col min="5" max="5" width="13.33203125" customWidth="1"/>
    <col min="6" max="6" width="14.83203125" customWidth="1"/>
    <col min="7" max="7" width="19.83203125" customWidth="1"/>
    <col min="8" max="8" width="19.1640625" customWidth="1"/>
    <col min="9" max="9" width="19" customWidth="1"/>
    <col min="10" max="12" width="17" customWidth="1"/>
    <col min="13" max="13" width="19" customWidth="1"/>
    <col min="14" max="14" width="16.5" customWidth="1"/>
    <col min="15" max="15" width="20.6640625" customWidth="1"/>
    <col min="16" max="18" width="16.6640625" customWidth="1"/>
    <col min="19" max="19" width="18.33203125" customWidth="1"/>
    <col min="20" max="20" width="16.6640625" customWidth="1"/>
    <col min="22" max="24" width="14" customWidth="1"/>
    <col min="27" max="27" width="15.1640625" bestFit="1" customWidth="1"/>
  </cols>
  <sheetData>
    <row r="2" spans="2:27" ht="23">
      <c r="B2" s="731" t="s">
        <v>580</v>
      </c>
      <c r="C2" s="731"/>
      <c r="D2" s="731"/>
      <c r="E2" s="731"/>
      <c r="F2" s="731"/>
      <c r="G2" s="731"/>
      <c r="H2" s="731"/>
      <c r="I2" s="731"/>
      <c r="J2" s="731"/>
      <c r="K2" s="731"/>
      <c r="L2" s="731"/>
      <c r="M2" s="731"/>
      <c r="N2" s="731"/>
      <c r="O2" s="731"/>
      <c r="P2" s="731"/>
      <c r="Q2" s="731"/>
      <c r="R2" s="731"/>
      <c r="S2" s="731"/>
      <c r="T2" s="731"/>
      <c r="U2" s="1"/>
      <c r="V2" s="125"/>
      <c r="W2" s="125"/>
      <c r="X2" s="125"/>
      <c r="Y2" s="125"/>
      <c r="Z2" s="125"/>
      <c r="AA2" s="125"/>
    </row>
    <row r="3" spans="2:27">
      <c r="B3" s="53" t="s">
        <v>579</v>
      </c>
      <c r="C3" s="53"/>
      <c r="D3" s="1"/>
      <c r="E3" s="53"/>
      <c r="F3" s="53"/>
      <c r="G3" s="47"/>
      <c r="H3" s="53"/>
      <c r="I3" s="435"/>
      <c r="J3" s="435"/>
      <c r="K3" s="435"/>
      <c r="L3" s="435"/>
      <c r="M3" s="435"/>
      <c r="N3" s="435"/>
      <c r="O3" s="435"/>
      <c r="P3" s="435"/>
      <c r="Q3" s="435"/>
      <c r="R3" s="435"/>
      <c r="S3" s="435"/>
      <c r="T3" s="53"/>
      <c r="U3" s="1"/>
      <c r="V3" s="53"/>
      <c r="W3" s="53"/>
      <c r="X3" s="53"/>
      <c r="Y3" s="53"/>
      <c r="Z3" s="53"/>
      <c r="AA3" s="53"/>
    </row>
    <row r="4" spans="2:27">
      <c r="B4" s="24" t="s">
        <v>446</v>
      </c>
      <c r="C4" s="24" t="s">
        <v>682</v>
      </c>
      <c r="D4" s="24"/>
      <c r="E4" s="24"/>
      <c r="F4" s="123"/>
      <c r="G4" s="123"/>
      <c r="H4" s="123"/>
      <c r="I4" s="436"/>
      <c r="J4" s="436"/>
      <c r="K4" s="436"/>
      <c r="L4" s="436"/>
      <c r="M4" s="436"/>
      <c r="N4" s="436"/>
      <c r="O4" s="436"/>
      <c r="P4" s="436"/>
      <c r="Q4" s="436"/>
      <c r="R4" s="436"/>
      <c r="S4" s="436"/>
      <c r="T4" s="436"/>
      <c r="U4" s="1"/>
      <c r="V4" s="53"/>
      <c r="W4" s="53"/>
      <c r="X4" s="53"/>
      <c r="Y4" s="53"/>
      <c r="Z4" s="53"/>
      <c r="AA4" s="53"/>
    </row>
    <row r="5" spans="2:27" ht="30">
      <c r="B5" s="120" t="s">
        <v>561</v>
      </c>
      <c r="C5" s="120" t="s">
        <v>63</v>
      </c>
      <c r="D5" s="120" t="s">
        <v>54</v>
      </c>
      <c r="E5" s="120" t="s">
        <v>562</v>
      </c>
      <c r="F5" s="120" t="s">
        <v>563</v>
      </c>
      <c r="G5" s="120" t="s">
        <v>56</v>
      </c>
      <c r="H5" s="29" t="s">
        <v>57</v>
      </c>
      <c r="I5" s="437" t="s">
        <v>564</v>
      </c>
      <c r="J5" s="437" t="s">
        <v>576</v>
      </c>
      <c r="K5" s="437" t="s">
        <v>577</v>
      </c>
      <c r="L5" s="437" t="s">
        <v>578</v>
      </c>
      <c r="M5" s="438" t="s">
        <v>583</v>
      </c>
      <c r="N5" s="438" t="s">
        <v>584</v>
      </c>
      <c r="O5" s="437" t="s">
        <v>585</v>
      </c>
      <c r="P5" s="437" t="s">
        <v>586</v>
      </c>
      <c r="Q5" s="437" t="s">
        <v>589</v>
      </c>
      <c r="R5" s="437" t="s">
        <v>588</v>
      </c>
      <c r="S5" s="437" t="s">
        <v>587</v>
      </c>
      <c r="T5" s="437" t="s">
        <v>565</v>
      </c>
      <c r="U5" s="1"/>
      <c r="V5" s="53"/>
      <c r="W5" s="53"/>
      <c r="X5" s="53"/>
      <c r="Y5" s="53"/>
      <c r="Z5" s="53"/>
      <c r="AA5" s="437" t="s">
        <v>566</v>
      </c>
    </row>
    <row r="6" spans="2:27">
      <c r="B6" s="120"/>
      <c r="C6" s="120"/>
      <c r="D6" s="120"/>
      <c r="E6" s="120"/>
      <c r="F6" s="120"/>
      <c r="G6" s="120"/>
      <c r="H6" s="29"/>
      <c r="I6" s="437"/>
      <c r="J6" s="437"/>
      <c r="K6" s="437"/>
      <c r="L6" s="437"/>
      <c r="M6" s="438"/>
      <c r="N6" s="439"/>
      <c r="O6" s="435"/>
      <c r="P6" s="435"/>
      <c r="Q6" s="435"/>
      <c r="R6" s="435"/>
      <c r="S6" s="435"/>
      <c r="T6" s="53"/>
      <c r="U6" s="53"/>
      <c r="V6" s="53"/>
      <c r="W6" s="53"/>
      <c r="X6" s="53"/>
      <c r="Y6" s="53"/>
      <c r="Z6" s="53"/>
      <c r="AA6" s="135" t="s">
        <v>567</v>
      </c>
    </row>
    <row r="7" spans="2:27">
      <c r="B7" s="440"/>
      <c r="C7" s="440"/>
      <c r="D7" s="440"/>
      <c r="E7" s="440"/>
      <c r="F7" s="440"/>
      <c r="G7" s="440"/>
      <c r="H7" s="441"/>
      <c r="I7" s="442"/>
      <c r="J7" s="442"/>
      <c r="K7" s="442"/>
      <c r="L7" s="442"/>
      <c r="M7" s="443"/>
      <c r="N7" s="443"/>
      <c r="O7" s="442"/>
      <c r="P7" s="442"/>
      <c r="Q7" s="442"/>
      <c r="R7" s="442"/>
      <c r="S7" s="442"/>
      <c r="T7" s="1"/>
      <c r="U7" s="1"/>
      <c r="V7" s="1"/>
      <c r="W7" s="1"/>
      <c r="X7" s="1"/>
      <c r="Y7" s="1"/>
      <c r="Z7" s="1"/>
      <c r="AA7" s="135" t="s">
        <v>568</v>
      </c>
    </row>
    <row r="8" spans="2:27">
      <c r="B8" s="444"/>
      <c r="C8" s="444"/>
      <c r="D8" s="444"/>
      <c r="E8" s="444"/>
      <c r="F8" s="444"/>
      <c r="G8" s="444"/>
      <c r="H8" s="445"/>
      <c r="I8" s="446"/>
      <c r="J8" s="446"/>
      <c r="K8" s="446"/>
      <c r="L8" s="446"/>
      <c r="M8" s="447"/>
      <c r="N8" s="447"/>
      <c r="O8" s="448"/>
      <c r="P8" s="448"/>
      <c r="Q8" s="448"/>
      <c r="R8" s="448"/>
      <c r="S8" s="448"/>
      <c r="T8" s="1"/>
      <c r="U8" s="1"/>
      <c r="V8" s="1"/>
      <c r="W8" s="1"/>
      <c r="X8" s="1"/>
      <c r="Y8" s="1"/>
      <c r="Z8" s="1"/>
      <c r="AA8" s="135"/>
    </row>
    <row r="9" spans="2:27">
      <c r="B9" s="385" t="s">
        <v>569</v>
      </c>
      <c r="C9" s="385"/>
      <c r="D9" s="1"/>
      <c r="E9" s="385"/>
      <c r="F9" s="385"/>
      <c r="G9" s="388"/>
      <c r="H9" s="449"/>
      <c r="I9" s="450"/>
      <c r="J9" s="450"/>
      <c r="K9" s="450"/>
      <c r="L9" s="450"/>
      <c r="M9" s="447"/>
      <c r="N9" s="447"/>
      <c r="O9" s="448"/>
      <c r="P9" s="448"/>
      <c r="Q9" s="448"/>
      <c r="R9" s="448"/>
      <c r="S9" s="448"/>
      <c r="T9" s="1"/>
      <c r="U9" s="1"/>
      <c r="V9" s="1"/>
      <c r="W9" s="1"/>
      <c r="X9" s="1"/>
      <c r="Y9" s="1"/>
      <c r="Z9" s="1"/>
      <c r="AA9" s="135"/>
    </row>
    <row r="10" spans="2:27">
      <c r="B10" s="385" t="s">
        <v>570</v>
      </c>
      <c r="C10" s="385"/>
      <c r="D10" s="1"/>
      <c r="E10" s="385"/>
      <c r="F10" s="385"/>
      <c r="G10" s="388"/>
      <c r="H10" s="451"/>
      <c r="I10" s="448"/>
      <c r="J10" s="448"/>
      <c r="K10" s="448"/>
      <c r="L10" s="448"/>
      <c r="M10" s="447"/>
      <c r="N10" s="447"/>
      <c r="O10" s="448"/>
      <c r="P10" s="448"/>
      <c r="Q10" s="448"/>
      <c r="R10" s="448"/>
      <c r="S10" s="448"/>
      <c r="T10" s="1"/>
      <c r="U10" s="1"/>
      <c r="V10" s="1"/>
      <c r="W10" s="1"/>
      <c r="X10" s="1"/>
      <c r="Y10" s="1"/>
      <c r="Z10" s="1"/>
      <c r="AA10" s="135"/>
    </row>
    <row r="11" spans="2:27">
      <c r="B11" s="385" t="s">
        <v>571</v>
      </c>
      <c r="C11" s="385"/>
      <c r="D11" s="1"/>
      <c r="E11" s="385"/>
      <c r="F11" s="385"/>
      <c r="G11" s="388"/>
      <c r="H11" s="452"/>
      <c r="I11" s="448"/>
      <c r="J11" s="448"/>
      <c r="K11" s="448"/>
      <c r="L11" s="448"/>
      <c r="M11" s="447"/>
      <c r="N11" s="447"/>
      <c r="O11" s="448"/>
      <c r="P11" s="448"/>
      <c r="Q11" s="448"/>
      <c r="R11" s="448"/>
      <c r="S11" s="448"/>
      <c r="T11" s="1"/>
      <c r="U11" s="1"/>
      <c r="V11" s="1"/>
      <c r="W11" s="1"/>
      <c r="X11" s="1"/>
      <c r="Y11" s="1"/>
      <c r="Z11" s="1"/>
      <c r="AA11" s="1"/>
    </row>
    <row r="12" spans="2:27">
      <c r="B12" s="385" t="s">
        <v>572</v>
      </c>
      <c r="C12" s="385"/>
      <c r="D12" s="1"/>
      <c r="E12" s="385"/>
      <c r="F12" s="385"/>
      <c r="G12" s="388"/>
      <c r="H12" s="453"/>
      <c r="I12" s="448"/>
      <c r="J12" s="448"/>
      <c r="K12" s="448"/>
      <c r="L12" s="448"/>
      <c r="M12" s="447"/>
      <c r="N12" s="447"/>
      <c r="O12" s="448"/>
      <c r="P12" s="448"/>
      <c r="Q12" s="448"/>
      <c r="R12" s="448"/>
      <c r="S12" s="448"/>
      <c r="T12" s="1"/>
      <c r="U12" s="1"/>
      <c r="V12" s="1"/>
      <c r="W12" s="1"/>
      <c r="X12" s="1"/>
      <c r="Y12" s="1"/>
      <c r="Z12" s="1"/>
      <c r="AA12" s="1"/>
    </row>
    <row r="13" spans="2:27">
      <c r="B13" s="385"/>
      <c r="C13" s="385"/>
      <c r="D13" s="1"/>
      <c r="E13" s="388"/>
      <c r="F13" s="388"/>
      <c r="G13" s="388"/>
      <c r="H13" s="454"/>
      <c r="I13" s="448"/>
      <c r="J13" s="448"/>
      <c r="K13" s="448"/>
      <c r="L13" s="448"/>
      <c r="M13" s="447"/>
      <c r="N13" s="447"/>
      <c r="O13" s="448"/>
      <c r="P13" s="448"/>
      <c r="Q13" s="448"/>
      <c r="R13" s="448"/>
      <c r="S13" s="448"/>
      <c r="T13" s="1"/>
      <c r="U13" s="1"/>
      <c r="V13" s="1"/>
      <c r="W13" s="1"/>
      <c r="X13" s="1"/>
      <c r="Y13" s="1"/>
      <c r="Z13" s="1"/>
      <c r="AA13" s="1"/>
    </row>
    <row r="14" spans="2:27">
      <c r="B14" s="455" t="s">
        <v>573</v>
      </c>
      <c r="C14" s="455"/>
      <c r="D14" s="456"/>
      <c r="E14" s="456"/>
      <c r="F14" s="456"/>
      <c r="G14" s="456"/>
      <c r="H14" s="457"/>
      <c r="I14" s="458"/>
      <c r="J14" s="458"/>
      <c r="K14" s="458"/>
      <c r="L14" s="458"/>
      <c r="M14" s="459"/>
      <c r="N14" s="459"/>
      <c r="O14" s="458"/>
      <c r="P14" s="458"/>
      <c r="Q14" s="458"/>
      <c r="R14" s="458"/>
      <c r="S14" s="458"/>
      <c r="T14" s="1"/>
      <c r="U14" s="1"/>
      <c r="V14" s="1"/>
      <c r="W14" s="1"/>
      <c r="X14" s="1"/>
      <c r="Y14" s="1"/>
      <c r="Z14" s="1"/>
      <c r="AA14" s="1"/>
    </row>
    <row r="15" spans="2:27">
      <c r="B15" s="338"/>
      <c r="C15" s="324"/>
      <c r="D15" s="324"/>
      <c r="E15" s="324"/>
      <c r="F15" s="324"/>
      <c r="G15" s="338"/>
      <c r="H15" s="460"/>
      <c r="I15" s="461"/>
      <c r="J15" s="461"/>
      <c r="K15" s="552"/>
      <c r="L15" s="461"/>
      <c r="M15" s="447"/>
      <c r="N15" s="447"/>
      <c r="O15" s="448"/>
      <c r="P15" s="448"/>
      <c r="Q15" s="448"/>
      <c r="R15" s="448"/>
      <c r="S15" s="448"/>
      <c r="T15" s="1"/>
      <c r="U15" s="1"/>
      <c r="V15" s="1"/>
      <c r="W15" s="1"/>
      <c r="X15" s="1"/>
      <c r="Y15" s="1"/>
      <c r="Z15" s="1"/>
      <c r="AA15" s="1"/>
    </row>
    <row r="16" spans="2:27">
      <c r="B16" s="337"/>
      <c r="C16" s="67"/>
      <c r="D16" s="462"/>
      <c r="E16" s="325"/>
      <c r="F16" s="463"/>
      <c r="G16" s="464">
        <f>IF(E16=0,0,IF(E16="MXN",1/HLOOKUP(YEAR(D16)+(MONTH(D16)/100),TC!$5:$437,DAY(D16)+2,FALSE),VLOOKUP(E16,Equivalencia!$1:$23,((MAX(Equivalencia!$3:$3)-YEAR(D16))*14)+MONTH(D16)+2,FALSE)))</f>
        <v>0</v>
      </c>
      <c r="H16" s="465">
        <f>+G16*F16</f>
        <v>0</v>
      </c>
      <c r="I16" s="466">
        <f>H14+H16</f>
        <v>0</v>
      </c>
      <c r="J16" s="466">
        <f>+IF(H16&lt;0,0,IF(AND(H14&lt;0,I16&lt;0),0,IF(H14&lt;0,H16+H14,H16)))</f>
        <v>0</v>
      </c>
      <c r="K16" s="553">
        <f>+IF(D16=0,0,HLOOKUP(YEAR(D16)+(MONTH(D16)/100),TC!$5:$37,DAY(D16)+2,FALSE))</f>
        <v>0</v>
      </c>
      <c r="L16" s="466">
        <f>+J16*K16</f>
        <v>0</v>
      </c>
      <c r="M16" s="467"/>
      <c r="N16" s="467"/>
      <c r="O16" s="466">
        <f>IF(F16="",0,I16+M16+N16)</f>
        <v>0</v>
      </c>
      <c r="P16" s="468"/>
      <c r="Q16" s="486">
        <f>IF(O16=P16,0,IF(P16="",0,O16-P16))</f>
        <v>0</v>
      </c>
      <c r="R16" s="486"/>
      <c r="S16" s="466">
        <f>+IF(P16="",0,R16*Q16)</f>
        <v>0</v>
      </c>
      <c r="T16" s="1"/>
      <c r="U16" s="1"/>
      <c r="V16" s="1"/>
      <c r="W16" s="1"/>
      <c r="X16" s="1"/>
      <c r="Y16" s="1"/>
      <c r="Z16" s="1"/>
      <c r="AA16" s="1"/>
    </row>
    <row r="17" spans="2:27">
      <c r="B17" s="337"/>
      <c r="C17" s="469"/>
      <c r="D17" s="462"/>
      <c r="E17" s="325"/>
      <c r="F17" s="463"/>
      <c r="G17" s="464">
        <f>IF(E17=0,0,IF(E17="MXN",1/HLOOKUP(YEAR(D17)+(MONTH(D17)/100),TC!$5:$437,DAY(D17)+2,FALSE),VLOOKUP(E17,Equivalencia!$1:$23,((MAX(Equivalencia!$3:$3)-YEAR(D17))*14)+MONTH(D17)+2,FALSE)))</f>
        <v>0</v>
      </c>
      <c r="H17" s="465">
        <f t="shared" ref="H17:H27" si="0">+G17*F17</f>
        <v>0</v>
      </c>
      <c r="I17" s="466">
        <f t="shared" ref="I17:I27" si="1">I16+H17+Q16</f>
        <v>0</v>
      </c>
      <c r="J17" s="466">
        <f t="shared" ref="J17:J27" si="2">+IF(H17&lt;0,0,IF(AND(I16&lt;0,I17&lt;0),0,IF(I16&lt;0,H17+I16,H17)))</f>
        <v>0</v>
      </c>
      <c r="K17" s="553">
        <f>+IF(D17=0,0,HLOOKUP(YEAR(D17)+(MONTH(D17)/100),TC!$5:$37,DAY(D17)+2,FALSE))</f>
        <v>0</v>
      </c>
      <c r="L17" s="466">
        <f t="shared" ref="L17:L27" si="3">+J17*K17</f>
        <v>0</v>
      </c>
      <c r="M17" s="467"/>
      <c r="N17" s="467"/>
      <c r="O17" s="466">
        <f>IF(F17="",0,H17+M17+N17+O16)</f>
        <v>0</v>
      </c>
      <c r="P17" s="468"/>
      <c r="Q17" s="486">
        <f t="shared" ref="Q17:Q27" si="4">IF(O17=P17,0,IF(P17="",0,O17-P17))</f>
        <v>0</v>
      </c>
      <c r="R17" s="486"/>
      <c r="S17" s="466">
        <f t="shared" ref="S17:S27" si="5">+IF(P17="",0,R17*Q17)</f>
        <v>0</v>
      </c>
      <c r="T17" s="1"/>
      <c r="U17" s="1"/>
      <c r="V17" s="1"/>
      <c r="W17" s="1"/>
      <c r="X17" s="1"/>
      <c r="Y17" s="1"/>
      <c r="Z17" s="1"/>
      <c r="AA17" s="1"/>
    </row>
    <row r="18" spans="2:27">
      <c r="B18" s="337"/>
      <c r="C18" s="469"/>
      <c r="D18" s="462"/>
      <c r="E18" s="325"/>
      <c r="F18" s="463"/>
      <c r="G18" s="464">
        <f>IF(E18=0,0,IF(E18="MXN",1/HLOOKUP(YEAR(D18)+(MONTH(D18)/100),TC!$5:$437,DAY(D18)+2,FALSE),VLOOKUP(E18,Equivalencia!$1:$23,((MAX(Equivalencia!$3:$3)-YEAR(D18))*14)+MONTH(D18)+2,FALSE)))</f>
        <v>0</v>
      </c>
      <c r="H18" s="465">
        <f t="shared" si="0"/>
        <v>0</v>
      </c>
      <c r="I18" s="466">
        <f t="shared" si="1"/>
        <v>0</v>
      </c>
      <c r="J18" s="466">
        <f t="shared" si="2"/>
        <v>0</v>
      </c>
      <c r="K18" s="553">
        <f>+IF(D18=0,0,HLOOKUP(YEAR(D18)+(MONTH(D18)/100),TC!$5:$37,DAY(D18)+2,FALSE))</f>
        <v>0</v>
      </c>
      <c r="L18" s="466">
        <f t="shared" si="3"/>
        <v>0</v>
      </c>
      <c r="M18" s="467"/>
      <c r="N18" s="467"/>
      <c r="O18" s="466">
        <f>IF(F18="",0,H18+M18+N18+O17)</f>
        <v>0</v>
      </c>
      <c r="P18" s="468"/>
      <c r="Q18" s="486">
        <f t="shared" si="4"/>
        <v>0</v>
      </c>
      <c r="R18" s="486"/>
      <c r="S18" s="466">
        <f t="shared" si="5"/>
        <v>0</v>
      </c>
      <c r="T18" s="1"/>
      <c r="U18" s="1"/>
      <c r="V18" s="1"/>
      <c r="W18" s="1"/>
      <c r="X18" s="1"/>
      <c r="Y18" s="1"/>
      <c r="Z18" s="1"/>
      <c r="AA18" s="1"/>
    </row>
    <row r="19" spans="2:27">
      <c r="B19" s="337"/>
      <c r="C19" s="469"/>
      <c r="D19" s="462"/>
      <c r="E19" s="325"/>
      <c r="F19" s="463"/>
      <c r="G19" s="464">
        <f>IF(E19=0,0,IF(E19="MXN",1/HLOOKUP(YEAR(D19)+(MONTH(D19)/100),TC!$5:$437,DAY(D19)+2,FALSE),VLOOKUP(E19,Equivalencia!$1:$23,((MAX(Equivalencia!$3:$3)-YEAR(D19))*14)+MONTH(D19)+2,FALSE)))</f>
        <v>0</v>
      </c>
      <c r="H19" s="465">
        <f t="shared" si="0"/>
        <v>0</v>
      </c>
      <c r="I19" s="466">
        <f t="shared" si="1"/>
        <v>0</v>
      </c>
      <c r="J19" s="466">
        <f t="shared" si="2"/>
        <v>0</v>
      </c>
      <c r="K19" s="553">
        <f>+IF(D19=0,0,HLOOKUP(YEAR(D19)+(MONTH(D19)/100),TC!$5:$37,DAY(D19)+2,FALSE))</f>
        <v>0</v>
      </c>
      <c r="L19" s="466">
        <f t="shared" si="3"/>
        <v>0</v>
      </c>
      <c r="M19" s="467"/>
      <c r="N19" s="467"/>
      <c r="O19" s="466">
        <f>IF(F19="",0,H19+M19+N19+O18)</f>
        <v>0</v>
      </c>
      <c r="P19" s="468"/>
      <c r="Q19" s="486">
        <f t="shared" si="4"/>
        <v>0</v>
      </c>
      <c r="R19" s="486"/>
      <c r="S19" s="466">
        <f t="shared" si="5"/>
        <v>0</v>
      </c>
      <c r="T19" s="1"/>
      <c r="U19" s="1"/>
      <c r="V19" s="1"/>
      <c r="W19" s="1"/>
      <c r="X19" s="1"/>
      <c r="Y19" s="1"/>
      <c r="Z19" s="1"/>
      <c r="AA19" s="1"/>
    </row>
    <row r="20" spans="2:27">
      <c r="B20" s="337"/>
      <c r="C20" s="470"/>
      <c r="D20" s="462"/>
      <c r="E20" s="325"/>
      <c r="F20" s="463"/>
      <c r="G20" s="464">
        <f>IF(E20=0,0,IF(E20="MXN",1/HLOOKUP(YEAR(D20)+(MONTH(D20)/100),TC!$5:$437,DAY(D20)+2,FALSE),VLOOKUP(E20,Equivalencia!$1:$23,((MAX(Equivalencia!$3:$3)-YEAR(D20))*14)+MONTH(D20)+2,FALSE)))</f>
        <v>0</v>
      </c>
      <c r="H20" s="465">
        <f t="shared" si="0"/>
        <v>0</v>
      </c>
      <c r="I20" s="466">
        <f t="shared" si="1"/>
        <v>0</v>
      </c>
      <c r="J20" s="466">
        <f t="shared" si="2"/>
        <v>0</v>
      </c>
      <c r="K20" s="553">
        <f>+IF(D20=0,0,HLOOKUP(YEAR(D20)+(MONTH(D20)/100),TC!$5:$37,DAY(D20)+2,FALSE))</f>
        <v>0</v>
      </c>
      <c r="L20" s="466">
        <f t="shared" si="3"/>
        <v>0</v>
      </c>
      <c r="M20" s="467"/>
      <c r="N20" s="467"/>
      <c r="O20" s="466">
        <f t="shared" ref="O20:O27" si="6">IF(F20="",0,H20+M20+N20+O19)</f>
        <v>0</v>
      </c>
      <c r="P20" s="468"/>
      <c r="Q20" s="486">
        <f t="shared" si="4"/>
        <v>0</v>
      </c>
      <c r="R20" s="486"/>
      <c r="S20" s="466">
        <f t="shared" si="5"/>
        <v>0</v>
      </c>
      <c r="T20" s="1"/>
      <c r="U20" s="1"/>
      <c r="V20" s="1"/>
      <c r="W20" s="1"/>
      <c r="X20" s="1"/>
      <c r="Y20" s="1"/>
      <c r="Z20" s="1"/>
      <c r="AA20" s="1"/>
    </row>
    <row r="21" spans="2:27">
      <c r="B21" s="337"/>
      <c r="C21" s="470"/>
      <c r="D21" s="462"/>
      <c r="E21" s="325"/>
      <c r="F21" s="463"/>
      <c r="G21" s="464">
        <f>IF(E21=0,0,IF(E21="MXN",1/HLOOKUP(YEAR(D21)+(MONTH(D21)/100),TC!$5:$437,DAY(D21)+2,FALSE),VLOOKUP(E21,Equivalencia!$1:$23,((MAX(Equivalencia!$3:$3)-YEAR(D21))*14)+MONTH(D21)+2,FALSE)))</f>
        <v>0</v>
      </c>
      <c r="H21" s="465">
        <f t="shared" si="0"/>
        <v>0</v>
      </c>
      <c r="I21" s="466">
        <f t="shared" si="1"/>
        <v>0</v>
      </c>
      <c r="J21" s="466">
        <f t="shared" si="2"/>
        <v>0</v>
      </c>
      <c r="K21" s="553">
        <f>+IF(D21=0,0,HLOOKUP(YEAR(D21)+(MONTH(D21)/100),TC!$5:$37,DAY(D21)+2,FALSE))</f>
        <v>0</v>
      </c>
      <c r="L21" s="466">
        <f t="shared" si="3"/>
        <v>0</v>
      </c>
      <c r="M21" s="467"/>
      <c r="N21" s="467"/>
      <c r="O21" s="466">
        <f t="shared" si="6"/>
        <v>0</v>
      </c>
      <c r="P21" s="468"/>
      <c r="Q21" s="486">
        <f t="shared" si="4"/>
        <v>0</v>
      </c>
      <c r="R21" s="486"/>
      <c r="S21" s="466">
        <f t="shared" si="5"/>
        <v>0</v>
      </c>
      <c r="T21" s="1"/>
      <c r="U21" s="1"/>
      <c r="V21" s="1"/>
      <c r="W21" s="1"/>
      <c r="X21" s="1"/>
      <c r="Y21" s="1"/>
      <c r="Z21" s="1"/>
      <c r="AA21" s="1"/>
    </row>
    <row r="22" spans="2:27">
      <c r="B22" s="337"/>
      <c r="C22" s="470"/>
      <c r="D22" s="462"/>
      <c r="E22" s="325"/>
      <c r="F22" s="463"/>
      <c r="G22" s="464">
        <f>IF(E22=0,0,IF(E22="MXN",1/HLOOKUP(YEAR(D22)+(MONTH(D22)/100),TC!$5:$437,DAY(D22)+2,FALSE),VLOOKUP(E22,Equivalencia!$1:$23,((MAX(Equivalencia!$3:$3)-YEAR(D22))*14)+MONTH(D22)+2,FALSE)))</f>
        <v>0</v>
      </c>
      <c r="H22" s="465">
        <f t="shared" si="0"/>
        <v>0</v>
      </c>
      <c r="I22" s="466">
        <f t="shared" si="1"/>
        <v>0</v>
      </c>
      <c r="J22" s="466">
        <f t="shared" si="2"/>
        <v>0</v>
      </c>
      <c r="K22" s="553">
        <f>+IF(D22=0,0,HLOOKUP(YEAR(D22)+(MONTH(D22)/100),TC!$5:$37,DAY(D22)+2,FALSE))</f>
        <v>0</v>
      </c>
      <c r="L22" s="466">
        <f t="shared" si="3"/>
        <v>0</v>
      </c>
      <c r="M22" s="467"/>
      <c r="N22" s="467"/>
      <c r="O22" s="466">
        <f t="shared" si="6"/>
        <v>0</v>
      </c>
      <c r="P22" s="468"/>
      <c r="Q22" s="486">
        <f t="shared" si="4"/>
        <v>0</v>
      </c>
      <c r="R22" s="486"/>
      <c r="S22" s="466">
        <f t="shared" si="5"/>
        <v>0</v>
      </c>
      <c r="T22" s="1"/>
      <c r="U22" s="1"/>
      <c r="V22" s="1"/>
      <c r="W22" s="1"/>
      <c r="X22" s="1"/>
      <c r="Y22" s="1"/>
      <c r="Z22" s="1"/>
      <c r="AA22" s="1"/>
    </row>
    <row r="23" spans="2:27">
      <c r="B23" s="337"/>
      <c r="C23" s="470"/>
      <c r="D23" s="462"/>
      <c r="E23" s="325"/>
      <c r="F23" s="463"/>
      <c r="G23" s="464">
        <f>IF(E23=0,0,IF(E23="MXN",1/HLOOKUP(YEAR(D23)+(MONTH(D23)/100),TC!$5:$437,DAY(D23)+2,FALSE),VLOOKUP(E23,Equivalencia!$1:$23,((MAX(Equivalencia!$3:$3)-YEAR(D23))*14)+MONTH(D23)+2,FALSE)))</f>
        <v>0</v>
      </c>
      <c r="H23" s="465">
        <f t="shared" si="0"/>
        <v>0</v>
      </c>
      <c r="I23" s="466">
        <f t="shared" si="1"/>
        <v>0</v>
      </c>
      <c r="J23" s="466">
        <f t="shared" si="2"/>
        <v>0</v>
      </c>
      <c r="K23" s="553">
        <f>+IF(D23=0,0,HLOOKUP(YEAR(D23)+(MONTH(D23)/100),TC!$5:$37,DAY(D23)+2,FALSE))</f>
        <v>0</v>
      </c>
      <c r="L23" s="466">
        <f t="shared" si="3"/>
        <v>0</v>
      </c>
      <c r="M23" s="467"/>
      <c r="N23" s="467"/>
      <c r="O23" s="466">
        <f t="shared" si="6"/>
        <v>0</v>
      </c>
      <c r="P23" s="468"/>
      <c r="Q23" s="486">
        <f t="shared" si="4"/>
        <v>0</v>
      </c>
      <c r="R23" s="486"/>
      <c r="S23" s="466">
        <f t="shared" si="5"/>
        <v>0</v>
      </c>
      <c r="T23" s="1"/>
      <c r="U23" s="1"/>
      <c r="V23" s="1"/>
      <c r="W23" s="1"/>
      <c r="X23" s="1"/>
      <c r="Y23" s="1"/>
      <c r="Z23" s="1"/>
      <c r="AA23" s="1"/>
    </row>
    <row r="24" spans="2:27">
      <c r="B24" s="337"/>
      <c r="C24" s="470"/>
      <c r="D24" s="462"/>
      <c r="E24" s="325"/>
      <c r="F24" s="463"/>
      <c r="G24" s="464">
        <f>IF(E24=0,0,IF(E24="MXN",1/HLOOKUP(YEAR(D24)+(MONTH(D24)/100),TC!$5:$437,DAY(D24)+2,FALSE),VLOOKUP(E24,Equivalencia!$1:$23,((MAX(Equivalencia!$3:$3)-YEAR(D24))*14)+MONTH(D24)+2,FALSE)))</f>
        <v>0</v>
      </c>
      <c r="H24" s="465">
        <f t="shared" si="0"/>
        <v>0</v>
      </c>
      <c r="I24" s="466">
        <f t="shared" si="1"/>
        <v>0</v>
      </c>
      <c r="J24" s="466">
        <f t="shared" si="2"/>
        <v>0</v>
      </c>
      <c r="K24" s="553">
        <f>+IF(D24=0,0,HLOOKUP(YEAR(D24)+(MONTH(D24)/100),TC!$5:$37,DAY(D24)+2,FALSE))</f>
        <v>0</v>
      </c>
      <c r="L24" s="466">
        <f t="shared" si="3"/>
        <v>0</v>
      </c>
      <c r="M24" s="467"/>
      <c r="N24" s="467"/>
      <c r="O24" s="466">
        <f t="shared" si="6"/>
        <v>0</v>
      </c>
      <c r="P24" s="468"/>
      <c r="Q24" s="486">
        <f t="shared" si="4"/>
        <v>0</v>
      </c>
      <c r="R24" s="486"/>
      <c r="S24" s="466">
        <f t="shared" si="5"/>
        <v>0</v>
      </c>
      <c r="T24" s="1"/>
      <c r="U24" s="1"/>
      <c r="V24" s="1"/>
      <c r="W24" s="1"/>
      <c r="X24" s="1"/>
      <c r="Y24" s="1"/>
      <c r="Z24" s="1"/>
      <c r="AA24" s="1"/>
    </row>
    <row r="25" spans="2:27">
      <c r="B25" s="337"/>
      <c r="C25" s="470"/>
      <c r="D25" s="462"/>
      <c r="E25" s="325"/>
      <c r="F25" s="463"/>
      <c r="G25" s="464">
        <f>IF(E25=0,0,IF(E25="MXN",1/HLOOKUP(YEAR(D25)+(MONTH(D25)/100),TC!$5:$437,DAY(D25)+2,FALSE),VLOOKUP(E25,Equivalencia!$1:$23,((MAX(Equivalencia!$3:$3)-YEAR(D25))*14)+MONTH(D25)+2,FALSE)))</f>
        <v>0</v>
      </c>
      <c r="H25" s="465">
        <f t="shared" si="0"/>
        <v>0</v>
      </c>
      <c r="I25" s="466">
        <f t="shared" si="1"/>
        <v>0</v>
      </c>
      <c r="J25" s="466">
        <f t="shared" si="2"/>
        <v>0</v>
      </c>
      <c r="K25" s="553">
        <f>+IF(D25=0,0,HLOOKUP(YEAR(D25)+(MONTH(D25)/100),TC!$5:$37,DAY(D25)+2,FALSE))</f>
        <v>0</v>
      </c>
      <c r="L25" s="466">
        <f t="shared" si="3"/>
        <v>0</v>
      </c>
      <c r="M25" s="467"/>
      <c r="N25" s="467"/>
      <c r="O25" s="466">
        <f t="shared" si="6"/>
        <v>0</v>
      </c>
      <c r="P25" s="468"/>
      <c r="Q25" s="486">
        <f t="shared" si="4"/>
        <v>0</v>
      </c>
      <c r="R25" s="486"/>
      <c r="S25" s="466">
        <f t="shared" si="5"/>
        <v>0</v>
      </c>
      <c r="T25" s="1"/>
      <c r="U25" s="1"/>
      <c r="V25" s="1"/>
      <c r="W25" s="1"/>
      <c r="X25" s="1"/>
      <c r="Y25" s="1"/>
      <c r="Z25" s="1"/>
      <c r="AA25" s="1"/>
    </row>
    <row r="26" spans="2:27">
      <c r="B26" s="337"/>
      <c r="C26" s="67"/>
      <c r="D26" s="644"/>
      <c r="E26" s="337"/>
      <c r="F26" s="645"/>
      <c r="G26" s="464">
        <f>IF(E26=0,0,IF(E26="MXN",1/HLOOKUP(YEAR(D26)+(MONTH(D26)/100),TC!$5:$437,DAY(D26)+2,FALSE),VLOOKUP(E26,Equivalencia!$1:$23,((MAX(Equivalencia!$3:$3)-YEAR(D26))*14)+MONTH(D26)+2,FALSE)))</f>
        <v>0</v>
      </c>
      <c r="H26" s="646">
        <f t="shared" si="0"/>
        <v>0</v>
      </c>
      <c r="I26" s="647">
        <f t="shared" si="1"/>
        <v>0</v>
      </c>
      <c r="J26" s="466">
        <f t="shared" si="2"/>
        <v>0</v>
      </c>
      <c r="K26" s="553">
        <f>+IF(D26=0,0,HLOOKUP(YEAR(D26)+(MONTH(D26)/100),TC!$5:$37,DAY(D26)+2,FALSE))</f>
        <v>0</v>
      </c>
      <c r="L26" s="466">
        <f t="shared" si="3"/>
        <v>0</v>
      </c>
      <c r="M26" s="467"/>
      <c r="N26" s="467"/>
      <c r="O26" s="466">
        <f t="shared" si="6"/>
        <v>0</v>
      </c>
      <c r="P26" s="468"/>
      <c r="Q26" s="486">
        <f t="shared" si="4"/>
        <v>0</v>
      </c>
      <c r="R26" s="486"/>
      <c r="S26" s="466">
        <f t="shared" si="5"/>
        <v>0</v>
      </c>
      <c r="T26" s="1"/>
      <c r="U26" s="1"/>
      <c r="V26" s="1"/>
      <c r="W26" s="1"/>
      <c r="X26" s="1"/>
      <c r="Y26" s="1"/>
      <c r="Z26" s="1"/>
      <c r="AA26" s="1"/>
    </row>
    <row r="27" spans="2:27">
      <c r="B27" s="648"/>
      <c r="C27" s="649"/>
      <c r="D27" s="650"/>
      <c r="E27" s="648"/>
      <c r="F27" s="651"/>
      <c r="G27" s="652">
        <f>IF(E27=0,0,IF(E27="MXN",1/HLOOKUP(YEAR(D27)+(MONTH(D27)/100),TC!$5:$437,DAY(D27)+2,FALSE),VLOOKUP(E27,Equivalencia!$1:$23,((MAX(Equivalencia!$3:$3)-YEAR(D27))*14)+MONTH(D27)+2,FALSE)))</f>
        <v>0</v>
      </c>
      <c r="H27" s="653">
        <f t="shared" si="0"/>
        <v>0</v>
      </c>
      <c r="I27" s="654">
        <f t="shared" si="1"/>
        <v>0</v>
      </c>
      <c r="J27" s="466">
        <f t="shared" si="2"/>
        <v>0</v>
      </c>
      <c r="K27" s="553">
        <f>+IF(D27=0,0,HLOOKUP(YEAR(D27)+(MONTH(D27)/100),TC!$5:$37,DAY(D27)+2,FALSE))</f>
        <v>0</v>
      </c>
      <c r="L27" s="466">
        <f t="shared" si="3"/>
        <v>0</v>
      </c>
      <c r="M27" s="467"/>
      <c r="N27" s="467"/>
      <c r="O27" s="466">
        <f t="shared" si="6"/>
        <v>0</v>
      </c>
      <c r="P27" s="468"/>
      <c r="Q27" s="486">
        <f t="shared" si="4"/>
        <v>0</v>
      </c>
      <c r="R27" s="486"/>
      <c r="S27" s="466">
        <f t="shared" si="5"/>
        <v>0</v>
      </c>
      <c r="T27" s="1"/>
      <c r="U27" s="1"/>
      <c r="V27" s="1"/>
      <c r="W27" s="1"/>
      <c r="X27" s="1"/>
      <c r="Y27" s="1"/>
      <c r="Z27" s="1"/>
      <c r="AA27" s="1"/>
    </row>
    <row r="28" spans="2:27">
      <c r="B28" s="3"/>
      <c r="C28" s="1"/>
      <c r="D28" s="1"/>
      <c r="E28" s="1"/>
      <c r="F28" s="1"/>
      <c r="G28" s="3"/>
      <c r="H28" s="471"/>
      <c r="I28" s="448"/>
      <c r="J28" s="448"/>
      <c r="K28" s="448"/>
      <c r="L28" s="448"/>
      <c r="M28" s="447"/>
      <c r="N28" s="447"/>
      <c r="O28" s="448"/>
      <c r="P28" s="448"/>
      <c r="Q28" s="448"/>
      <c r="R28" s="448"/>
      <c r="S28" s="448"/>
      <c r="T28" s="1"/>
      <c r="U28" s="1"/>
      <c r="V28" s="1"/>
      <c r="W28" s="1"/>
      <c r="X28" s="1"/>
      <c r="Y28" s="1"/>
      <c r="Z28" s="1"/>
      <c r="AA28" s="1"/>
    </row>
    <row r="29" spans="2:27">
      <c r="B29" s="3"/>
      <c r="C29" s="1"/>
      <c r="D29" s="1"/>
      <c r="E29" s="1"/>
      <c r="F29" s="1"/>
      <c r="G29" s="3"/>
      <c r="H29" s="472"/>
      <c r="I29" s="473"/>
      <c r="J29" s="474"/>
      <c r="K29" s="474"/>
      <c r="L29" s="474">
        <f>SUM(L16:L27)</f>
        <v>0</v>
      </c>
      <c r="M29" s="475"/>
      <c r="N29" s="475"/>
      <c r="O29" s="473"/>
      <c r="P29" s="473"/>
      <c r="Q29" s="473"/>
      <c r="R29" s="473"/>
      <c r="S29" s="474">
        <f>+SUMIF(S16:S28,"&gt;0",S16:S28)</f>
        <v>0</v>
      </c>
      <c r="T29" s="1"/>
      <c r="U29" s="1"/>
      <c r="V29" s="474">
        <f>+L29</f>
        <v>0</v>
      </c>
      <c r="W29" s="474">
        <f>+S29</f>
        <v>0</v>
      </c>
      <c r="X29" s="474">
        <f>+V29+W29</f>
        <v>0</v>
      </c>
      <c r="Y29" s="1"/>
      <c r="Z29" s="1"/>
      <c r="AA29" s="1"/>
    </row>
    <row r="30" spans="2:27">
      <c r="B30" s="3"/>
      <c r="C30" s="1"/>
      <c r="D30" s="1"/>
      <c r="E30" s="1"/>
      <c r="F30" s="1"/>
      <c r="G30" s="3"/>
      <c r="H30" s="134"/>
      <c r="I30" s="448"/>
      <c r="J30" s="448"/>
      <c r="K30" s="448"/>
      <c r="L30" s="448"/>
      <c r="M30" s="447"/>
      <c r="N30" s="447"/>
      <c r="O30" s="448"/>
      <c r="P30" s="448"/>
      <c r="Q30" s="448"/>
      <c r="R30" s="448"/>
      <c r="S30" s="448"/>
      <c r="T30" s="1"/>
      <c r="U30" s="1"/>
      <c r="V30" s="1"/>
      <c r="W30" s="1"/>
      <c r="X30" s="1"/>
      <c r="Y30" s="1"/>
      <c r="Z30" s="1"/>
      <c r="AA30" s="1"/>
    </row>
    <row r="31" spans="2:27">
      <c r="B31" s="1"/>
      <c r="C31" s="1"/>
      <c r="D31" s="1"/>
      <c r="E31" s="1"/>
      <c r="F31" s="1"/>
      <c r="G31" s="3"/>
      <c r="H31" s="134"/>
      <c r="I31" s="448"/>
      <c r="J31" s="448"/>
      <c r="K31" s="448"/>
      <c r="L31" s="448"/>
      <c r="M31" s="447"/>
      <c r="N31" s="447"/>
      <c r="O31" s="448"/>
      <c r="P31" s="476"/>
      <c r="Q31" s="476"/>
      <c r="R31" s="476"/>
      <c r="S31" s="477" t="s">
        <v>574</v>
      </c>
      <c r="T31" s="478">
        <f>+L29+S29</f>
        <v>0</v>
      </c>
      <c r="U31" s="1"/>
      <c r="V31" s="1"/>
      <c r="W31" s="1"/>
      <c r="X31" s="1"/>
      <c r="Y31" s="1"/>
      <c r="Z31" s="1"/>
      <c r="AA31" s="1"/>
    </row>
    <row r="32" spans="2:27">
      <c r="B32" s="1"/>
      <c r="C32" s="479"/>
      <c r="D32" s="1"/>
      <c r="E32" s="1"/>
      <c r="F32" s="1"/>
      <c r="G32" s="3"/>
      <c r="H32" s="134"/>
      <c r="I32" s="448"/>
      <c r="J32" s="448"/>
      <c r="K32" s="448"/>
      <c r="L32" s="448"/>
      <c r="M32" s="447"/>
      <c r="N32" s="447"/>
      <c r="O32" s="448"/>
      <c r="P32" s="448"/>
      <c r="Q32" s="448"/>
      <c r="R32" s="448"/>
      <c r="S32" s="448"/>
      <c r="T32" s="1"/>
      <c r="U32" s="1"/>
      <c r="V32" s="1"/>
      <c r="W32" s="1"/>
      <c r="X32" s="1"/>
      <c r="Y32" s="1"/>
      <c r="Z32" s="1"/>
      <c r="AA32" s="1"/>
    </row>
    <row r="33" spans="2:27">
      <c r="B33" s="440"/>
      <c r="C33" s="440"/>
      <c r="D33" s="440"/>
      <c r="E33" s="440"/>
      <c r="F33" s="440"/>
      <c r="G33" s="440"/>
      <c r="H33" s="441"/>
      <c r="I33" s="442"/>
      <c r="J33" s="442"/>
      <c r="K33" s="442"/>
      <c r="L33" s="442"/>
      <c r="M33" s="443"/>
      <c r="N33" s="443"/>
      <c r="O33" s="442"/>
      <c r="P33" s="442"/>
      <c r="Q33" s="442"/>
      <c r="R33" s="442"/>
      <c r="S33" s="442"/>
      <c r="T33" s="1"/>
      <c r="U33" s="1"/>
      <c r="V33" s="1"/>
      <c r="W33" s="1"/>
      <c r="X33" s="1"/>
      <c r="Y33" s="1"/>
      <c r="Z33" s="1"/>
      <c r="AA33" s="1"/>
    </row>
    <row r="34" spans="2:27">
      <c r="B34" s="444"/>
      <c r="C34" s="444"/>
      <c r="D34" s="444"/>
      <c r="E34" s="444"/>
      <c r="F34" s="444"/>
      <c r="G34" s="444"/>
      <c r="H34" s="445"/>
      <c r="I34" s="446"/>
      <c r="J34" s="446"/>
      <c r="K34" s="446"/>
      <c r="L34" s="446"/>
      <c r="M34" s="447"/>
      <c r="N34" s="447"/>
      <c r="O34" s="448"/>
      <c r="P34" s="448"/>
      <c r="Q34" s="448"/>
      <c r="R34" s="448"/>
      <c r="S34" s="448"/>
      <c r="T34" s="1"/>
      <c r="U34" s="1"/>
      <c r="V34" s="1"/>
      <c r="W34" s="1"/>
      <c r="X34" s="1"/>
      <c r="Y34" s="1"/>
      <c r="Z34" s="1"/>
      <c r="AA34" s="1"/>
    </row>
    <row r="35" spans="2:27">
      <c r="B35" s="385" t="s">
        <v>569</v>
      </c>
      <c r="C35" s="385"/>
      <c r="D35" s="1"/>
      <c r="E35" s="385"/>
      <c r="F35" s="385"/>
      <c r="G35" s="388"/>
      <c r="H35" s="449"/>
      <c r="I35" s="450"/>
      <c r="J35" s="450"/>
      <c r="K35" s="450"/>
      <c r="L35" s="450"/>
      <c r="M35" s="447"/>
      <c r="N35" s="447"/>
      <c r="O35" s="448"/>
      <c r="P35" s="448"/>
      <c r="Q35" s="448"/>
      <c r="R35" s="448"/>
      <c r="S35" s="448"/>
      <c r="T35" s="1"/>
      <c r="U35" s="1"/>
      <c r="V35" s="1"/>
      <c r="W35" s="1"/>
      <c r="X35" s="1"/>
      <c r="Y35" s="1"/>
      <c r="Z35" s="1"/>
      <c r="AA35" s="1"/>
    </row>
    <row r="36" spans="2:27">
      <c r="B36" s="385" t="s">
        <v>570</v>
      </c>
      <c r="C36" s="385"/>
      <c r="D36" s="1"/>
      <c r="E36" s="385"/>
      <c r="F36" s="385"/>
      <c r="G36" s="388"/>
      <c r="H36" s="451"/>
      <c r="I36" s="448"/>
      <c r="J36" s="448"/>
      <c r="K36" s="448"/>
      <c r="L36" s="448"/>
      <c r="M36" s="447"/>
      <c r="N36" s="447"/>
      <c r="O36" s="448"/>
      <c r="P36" s="448"/>
      <c r="Q36" s="448"/>
      <c r="R36" s="448"/>
      <c r="S36" s="448"/>
      <c r="T36" s="1"/>
      <c r="U36" s="1"/>
      <c r="V36" s="1"/>
      <c r="W36" s="1"/>
      <c r="X36" s="1"/>
      <c r="Y36" s="1"/>
      <c r="Z36" s="1"/>
      <c r="AA36" s="1"/>
    </row>
    <row r="37" spans="2:27">
      <c r="B37" s="385" t="s">
        <v>571</v>
      </c>
      <c r="C37" s="385"/>
      <c r="D37" s="1"/>
      <c r="E37" s="385"/>
      <c r="F37" s="385"/>
      <c r="G37" s="388"/>
      <c r="H37" s="452"/>
      <c r="I37" s="448"/>
      <c r="J37" s="448"/>
      <c r="K37" s="448"/>
      <c r="L37" s="448"/>
      <c r="M37" s="447"/>
      <c r="N37" s="447"/>
      <c r="O37" s="448"/>
      <c r="P37" s="448"/>
      <c r="Q37" s="448"/>
      <c r="R37" s="448"/>
      <c r="S37" s="448"/>
      <c r="T37" s="1"/>
      <c r="U37" s="1"/>
      <c r="V37" s="1"/>
      <c r="W37" s="1"/>
      <c r="X37" s="1"/>
      <c r="Y37" s="1"/>
      <c r="Z37" s="1"/>
      <c r="AA37" s="1"/>
    </row>
    <row r="38" spans="2:27">
      <c r="B38" s="385" t="s">
        <v>572</v>
      </c>
      <c r="C38" s="385"/>
      <c r="D38" s="1"/>
      <c r="E38" s="385"/>
      <c r="F38" s="385"/>
      <c r="G38" s="388"/>
      <c r="H38" s="453"/>
      <c r="I38" s="448"/>
      <c r="J38" s="448"/>
      <c r="K38" s="448"/>
      <c r="L38" s="448"/>
      <c r="M38" s="447"/>
      <c r="N38" s="447"/>
      <c r="O38" s="448"/>
      <c r="P38" s="448"/>
      <c r="Q38" s="448"/>
      <c r="R38" s="448"/>
      <c r="S38" s="448"/>
      <c r="T38" s="1"/>
      <c r="U38" s="1"/>
      <c r="V38" s="1"/>
      <c r="W38" s="1"/>
      <c r="X38" s="1"/>
      <c r="Y38" s="1"/>
      <c r="Z38" s="1"/>
      <c r="AA38" s="1"/>
    </row>
    <row r="39" spans="2:27">
      <c r="B39" s="385"/>
      <c r="C39" s="385"/>
      <c r="D39" s="1"/>
      <c r="E39" s="388"/>
      <c r="F39" s="388"/>
      <c r="G39" s="388"/>
      <c r="H39" s="454"/>
      <c r="I39" s="448"/>
      <c r="J39" s="448"/>
      <c r="K39" s="448"/>
      <c r="L39" s="448"/>
      <c r="M39" s="447"/>
      <c r="N39" s="447"/>
      <c r="O39" s="448"/>
      <c r="P39" s="448"/>
      <c r="Q39" s="448"/>
      <c r="R39" s="448"/>
      <c r="S39" s="448"/>
      <c r="T39" s="1"/>
      <c r="U39" s="1"/>
      <c r="V39" s="1"/>
      <c r="W39" s="1"/>
      <c r="X39" s="1"/>
      <c r="Y39" s="1"/>
      <c r="Z39" s="1"/>
      <c r="AA39" s="1"/>
    </row>
    <row r="40" spans="2:27">
      <c r="B40" s="455" t="s">
        <v>573</v>
      </c>
      <c r="C40" s="455"/>
      <c r="D40" s="456"/>
      <c r="E40" s="456"/>
      <c r="F40" s="456"/>
      <c r="G40" s="456"/>
      <c r="H40" s="457"/>
      <c r="I40" s="458"/>
      <c r="J40" s="458"/>
      <c r="K40" s="458"/>
      <c r="L40" s="458"/>
      <c r="M40" s="459"/>
      <c r="N40" s="459"/>
      <c r="O40" s="458"/>
      <c r="P40" s="458"/>
      <c r="Q40" s="458"/>
      <c r="R40" s="458"/>
      <c r="S40" s="458"/>
      <c r="T40" s="1"/>
      <c r="U40" s="1"/>
      <c r="V40" s="1"/>
      <c r="W40" s="1"/>
      <c r="X40" s="1"/>
      <c r="Y40" s="1"/>
      <c r="Z40" s="1"/>
      <c r="AA40" s="1"/>
    </row>
    <row r="41" spans="2:27">
      <c r="B41" s="338"/>
      <c r="C41" s="324"/>
      <c r="D41" s="324"/>
      <c r="E41" s="324"/>
      <c r="F41" s="324"/>
      <c r="G41" s="338"/>
      <c r="H41" s="460"/>
      <c r="I41" s="461"/>
      <c r="J41" s="461"/>
      <c r="K41" s="461"/>
      <c r="L41" s="461"/>
      <c r="M41" s="447"/>
      <c r="N41" s="447"/>
      <c r="O41" s="448"/>
      <c r="P41" s="448"/>
      <c r="Q41" s="448"/>
      <c r="R41" s="448"/>
      <c r="S41" s="448"/>
      <c r="T41" s="1"/>
      <c r="U41" s="1"/>
      <c r="V41" s="1"/>
      <c r="W41" s="1"/>
      <c r="X41" s="1"/>
      <c r="Y41" s="1"/>
      <c r="Z41" s="1"/>
      <c r="AA41" s="1"/>
    </row>
    <row r="42" spans="2:27">
      <c r="B42" s="337"/>
      <c r="C42" s="67"/>
      <c r="D42" s="462"/>
      <c r="E42" s="325"/>
      <c r="F42" s="463"/>
      <c r="G42" s="464">
        <f>IF(E42=0,0,IF(E42="MXN",1/HLOOKUP(YEAR(D42)+(MONTH(D42)/100),TC!$5:$437,DAY(D42)+2,FALSE),VLOOKUP(E42,Equivalencia!$1:$23,((MAX(Equivalencia!$3:$3)-YEAR(D42))*14)+MONTH(D42)+2,FALSE)))</f>
        <v>0</v>
      </c>
      <c r="H42" s="465">
        <f>+G42*F42</f>
        <v>0</v>
      </c>
      <c r="I42" s="466">
        <f>H40+H42</f>
        <v>0</v>
      </c>
      <c r="J42" s="466">
        <f>+IF(H42&lt;0,0,IF(AND(H40&lt;0,I42&lt;0),0,IF(H40&lt;0,H42+H40,H42)))</f>
        <v>0</v>
      </c>
      <c r="K42" s="553">
        <f>+IF(D42=0,0,HLOOKUP(YEAR(D42)+(MONTH(D42)/100),TC!$5:$37,DAY(D42)+2,FALSE))</f>
        <v>0</v>
      </c>
      <c r="L42" s="466">
        <f>+J42*K42</f>
        <v>0</v>
      </c>
      <c r="M42" s="467"/>
      <c r="N42" s="467"/>
      <c r="O42" s="466">
        <f>IF(F42="",0,I42+M42+N42)</f>
        <v>0</v>
      </c>
      <c r="P42" s="468"/>
      <c r="Q42" s="486">
        <f>IF(O42=P42,0,IF(P42="",0,O42-P42))</f>
        <v>0</v>
      </c>
      <c r="R42" s="486"/>
      <c r="S42" s="466">
        <f>+IF(P42="",0,R42*Q42)</f>
        <v>0</v>
      </c>
      <c r="T42" s="1"/>
      <c r="U42" s="1"/>
      <c r="V42" s="1"/>
      <c r="W42" s="1"/>
      <c r="X42" s="1"/>
      <c r="Y42" s="1"/>
      <c r="Z42" s="1"/>
      <c r="AA42" s="1"/>
    </row>
    <row r="43" spans="2:27">
      <c r="B43" s="337"/>
      <c r="C43" s="469"/>
      <c r="D43" s="462"/>
      <c r="E43" s="325"/>
      <c r="F43" s="463"/>
      <c r="G43" s="464">
        <f>IF(E43=0,0,IF(E43="MXN",1/HLOOKUP(YEAR(D43)+(MONTH(D43)/100),TC!$5:$437,DAY(D43)+2,FALSE),VLOOKUP(E43,Equivalencia!$1:$23,((MAX(Equivalencia!$3:$3)-YEAR(D43))*14)+MONTH(D43)+2,FALSE)))</f>
        <v>0</v>
      </c>
      <c r="H43" s="465">
        <f t="shared" ref="H43:H53" si="7">+G43*F43</f>
        <v>0</v>
      </c>
      <c r="I43" s="466">
        <f t="shared" ref="I43:I53" si="8">I42+H43+Q42</f>
        <v>0</v>
      </c>
      <c r="J43" s="466">
        <f t="shared" ref="J43:J53" si="9">+IF(H43&lt;0,0,IF(AND(I42&lt;0,I43&lt;0),0,IF(I42&lt;0,H43+I42,H43)))</f>
        <v>0</v>
      </c>
      <c r="K43" s="553">
        <f>+IF(D43=0,0,HLOOKUP(YEAR(D43)+(MONTH(D43)/100),TC!$5:$37,DAY(D43)+2,FALSE))</f>
        <v>0</v>
      </c>
      <c r="L43" s="466">
        <f t="shared" ref="L43:L53" si="10">+J43*K43</f>
        <v>0</v>
      </c>
      <c r="M43" s="467"/>
      <c r="N43" s="467"/>
      <c r="O43" s="466">
        <f t="shared" ref="O43:O50" si="11">IF(F43="",0,H43+M43+N43+O42)</f>
        <v>0</v>
      </c>
      <c r="P43" s="468"/>
      <c r="Q43" s="486">
        <f t="shared" ref="Q43:Q53" si="12">IF(O43=P43,0,IF(P43="",0,O43-P43))</f>
        <v>0</v>
      </c>
      <c r="R43" s="486"/>
      <c r="S43" s="466">
        <f t="shared" ref="S43:S53" si="13">+IF(P43="",0,R43*Q43)</f>
        <v>0</v>
      </c>
      <c r="T43" s="1"/>
      <c r="U43" s="1"/>
      <c r="V43" s="1"/>
      <c r="W43" s="1"/>
      <c r="X43" s="1"/>
      <c r="Y43" s="1"/>
      <c r="Z43" s="1"/>
      <c r="AA43" s="1"/>
    </row>
    <row r="44" spans="2:27">
      <c r="B44" s="337"/>
      <c r="C44" s="469"/>
      <c r="D44" s="462"/>
      <c r="E44" s="325"/>
      <c r="F44" s="463"/>
      <c r="G44" s="464">
        <f>IF(E44=0,0,IF(E44="MXN",1/HLOOKUP(YEAR(D44)+(MONTH(D44)/100),TC!$5:$437,DAY(D44)+2,FALSE),VLOOKUP(E44,Equivalencia!$1:$23,((MAX(Equivalencia!$3:$3)-YEAR(D44))*14)+MONTH(D44)+2,FALSE)))</f>
        <v>0</v>
      </c>
      <c r="H44" s="465">
        <f t="shared" si="7"/>
        <v>0</v>
      </c>
      <c r="I44" s="466">
        <f t="shared" si="8"/>
        <v>0</v>
      </c>
      <c r="J44" s="466">
        <f t="shared" si="9"/>
        <v>0</v>
      </c>
      <c r="K44" s="553">
        <f>+IF(D44=0,0,HLOOKUP(YEAR(D44)+(MONTH(D44)/100),TC!$5:$37,DAY(D44)+2,FALSE))</f>
        <v>0</v>
      </c>
      <c r="L44" s="466">
        <f t="shared" si="10"/>
        <v>0</v>
      </c>
      <c r="M44" s="467"/>
      <c r="N44" s="467"/>
      <c r="O44" s="466">
        <f t="shared" si="11"/>
        <v>0</v>
      </c>
      <c r="P44" s="468"/>
      <c r="Q44" s="486">
        <f t="shared" si="12"/>
        <v>0</v>
      </c>
      <c r="R44" s="486"/>
      <c r="S44" s="466">
        <f t="shared" si="13"/>
        <v>0</v>
      </c>
      <c r="T44" s="1"/>
      <c r="U44" s="1"/>
      <c r="V44" s="1"/>
      <c r="W44" s="1"/>
      <c r="X44" s="1"/>
      <c r="Y44" s="1"/>
      <c r="Z44" s="1"/>
      <c r="AA44" s="1"/>
    </row>
    <row r="45" spans="2:27">
      <c r="B45" s="337"/>
      <c r="C45" s="469"/>
      <c r="D45" s="462"/>
      <c r="E45" s="325"/>
      <c r="F45" s="463"/>
      <c r="G45" s="464">
        <f>IF(E45=0,0,IF(E45="MXN",1/HLOOKUP(YEAR(D45)+(MONTH(D45)/100),TC!$5:$437,DAY(D45)+2,FALSE),VLOOKUP(E45,Equivalencia!$1:$23,((MAX(Equivalencia!$3:$3)-YEAR(D45))*14)+MONTH(D45)+2,FALSE)))</f>
        <v>0</v>
      </c>
      <c r="H45" s="465">
        <f t="shared" si="7"/>
        <v>0</v>
      </c>
      <c r="I45" s="466">
        <f t="shared" si="8"/>
        <v>0</v>
      </c>
      <c r="J45" s="466">
        <f t="shared" si="9"/>
        <v>0</v>
      </c>
      <c r="K45" s="553">
        <f>+IF(D45=0,0,HLOOKUP(YEAR(D45)+(MONTH(D45)/100),TC!$5:$37,DAY(D45)+2,FALSE))</f>
        <v>0</v>
      </c>
      <c r="L45" s="466">
        <f t="shared" si="10"/>
        <v>0</v>
      </c>
      <c r="M45" s="467"/>
      <c r="N45" s="467"/>
      <c r="O45" s="466">
        <f t="shared" si="11"/>
        <v>0</v>
      </c>
      <c r="P45" s="468"/>
      <c r="Q45" s="486">
        <f t="shared" si="12"/>
        <v>0</v>
      </c>
      <c r="R45" s="486"/>
      <c r="S45" s="466">
        <f t="shared" si="13"/>
        <v>0</v>
      </c>
      <c r="T45" s="1"/>
      <c r="U45" s="1"/>
      <c r="V45" s="1"/>
      <c r="W45" s="1"/>
      <c r="X45" s="1"/>
      <c r="Y45" s="1"/>
      <c r="Z45" s="1"/>
      <c r="AA45" s="1"/>
    </row>
    <row r="46" spans="2:27">
      <c r="B46" s="337"/>
      <c r="C46" s="470"/>
      <c r="D46" s="462"/>
      <c r="E46" s="325"/>
      <c r="F46" s="463"/>
      <c r="G46" s="464">
        <f>IF(E46=0,0,IF(E46="MXN",1/HLOOKUP(YEAR(D46)+(MONTH(D46)/100),TC!$5:$437,DAY(D46)+2,FALSE),VLOOKUP(E46,Equivalencia!$1:$23,((MAX(Equivalencia!$3:$3)-YEAR(D46))*14)+MONTH(D46)+2,FALSE)))</f>
        <v>0</v>
      </c>
      <c r="H46" s="465">
        <f t="shared" si="7"/>
        <v>0</v>
      </c>
      <c r="I46" s="466">
        <f t="shared" si="8"/>
        <v>0</v>
      </c>
      <c r="J46" s="466">
        <f t="shared" si="9"/>
        <v>0</v>
      </c>
      <c r="K46" s="553">
        <f>+IF(D46=0,0,HLOOKUP(YEAR(D46)+(MONTH(D46)/100),TC!$5:$37,DAY(D46)+2,FALSE))</f>
        <v>0</v>
      </c>
      <c r="L46" s="466">
        <f t="shared" si="10"/>
        <v>0</v>
      </c>
      <c r="M46" s="467"/>
      <c r="N46" s="467"/>
      <c r="O46" s="466">
        <f t="shared" si="11"/>
        <v>0</v>
      </c>
      <c r="P46" s="468"/>
      <c r="Q46" s="486">
        <f t="shared" si="12"/>
        <v>0</v>
      </c>
      <c r="R46" s="486"/>
      <c r="S46" s="466">
        <f t="shared" si="13"/>
        <v>0</v>
      </c>
      <c r="T46" s="1"/>
      <c r="U46" s="1"/>
      <c r="V46" s="1"/>
      <c r="W46" s="1"/>
      <c r="X46" s="1"/>
      <c r="Y46" s="1"/>
      <c r="Z46" s="1"/>
      <c r="AA46" s="1"/>
    </row>
    <row r="47" spans="2:27">
      <c r="B47" s="337"/>
      <c r="C47" s="470"/>
      <c r="D47" s="462"/>
      <c r="E47" s="325"/>
      <c r="F47" s="463"/>
      <c r="G47" s="464">
        <f>IF(E47=0,0,IF(E47="MXN",1/HLOOKUP(YEAR(D47)+(MONTH(D47)/100),TC!$5:$437,DAY(D47)+2,FALSE),VLOOKUP(E47,Equivalencia!$1:$23,((MAX(Equivalencia!$3:$3)-YEAR(D47))*14)+MONTH(D47)+2,FALSE)))</f>
        <v>0</v>
      </c>
      <c r="H47" s="465">
        <f t="shared" si="7"/>
        <v>0</v>
      </c>
      <c r="I47" s="466">
        <f t="shared" si="8"/>
        <v>0</v>
      </c>
      <c r="J47" s="466">
        <f t="shared" si="9"/>
        <v>0</v>
      </c>
      <c r="K47" s="553">
        <f>+IF(D47=0,0,HLOOKUP(YEAR(D47)+(MONTH(D47)/100),TC!$5:$37,DAY(D47)+2,FALSE))</f>
        <v>0</v>
      </c>
      <c r="L47" s="466">
        <f t="shared" si="10"/>
        <v>0</v>
      </c>
      <c r="M47" s="467"/>
      <c r="N47" s="467"/>
      <c r="O47" s="466">
        <f t="shared" si="11"/>
        <v>0</v>
      </c>
      <c r="P47" s="468"/>
      <c r="Q47" s="486">
        <f t="shared" si="12"/>
        <v>0</v>
      </c>
      <c r="R47" s="486"/>
      <c r="S47" s="466">
        <f t="shared" si="13"/>
        <v>0</v>
      </c>
      <c r="T47" s="1"/>
      <c r="U47" s="1"/>
      <c r="V47" s="1"/>
      <c r="W47" s="1"/>
      <c r="X47" s="1"/>
      <c r="Y47" s="1"/>
      <c r="Z47" s="1"/>
      <c r="AA47" s="1"/>
    </row>
    <row r="48" spans="2:27">
      <c r="B48" s="337"/>
      <c r="C48" s="470"/>
      <c r="D48" s="462"/>
      <c r="E48" s="325"/>
      <c r="F48" s="463"/>
      <c r="G48" s="464">
        <f>IF(E48=0,0,IF(E48="MXN",1/HLOOKUP(YEAR(D48)+(MONTH(D48)/100),TC!$5:$437,DAY(D48)+2,FALSE),VLOOKUP(E48,Equivalencia!$1:$23,((MAX(Equivalencia!$3:$3)-YEAR(D48))*14)+MONTH(D48)+2,FALSE)))</f>
        <v>0</v>
      </c>
      <c r="H48" s="465">
        <f t="shared" si="7"/>
        <v>0</v>
      </c>
      <c r="I48" s="466">
        <f t="shared" si="8"/>
        <v>0</v>
      </c>
      <c r="J48" s="466">
        <f t="shared" si="9"/>
        <v>0</v>
      </c>
      <c r="K48" s="553">
        <f>+IF(D48=0,0,HLOOKUP(YEAR(D48)+(MONTH(D48)/100),TC!$5:$37,DAY(D48)+2,FALSE))</f>
        <v>0</v>
      </c>
      <c r="L48" s="466">
        <f t="shared" si="10"/>
        <v>0</v>
      </c>
      <c r="M48" s="467"/>
      <c r="N48" s="467"/>
      <c r="O48" s="466">
        <f t="shared" si="11"/>
        <v>0</v>
      </c>
      <c r="P48" s="468"/>
      <c r="Q48" s="486">
        <f t="shared" si="12"/>
        <v>0</v>
      </c>
      <c r="R48" s="486"/>
      <c r="S48" s="466">
        <f t="shared" si="13"/>
        <v>0</v>
      </c>
      <c r="T48" s="1"/>
      <c r="U48" s="1"/>
      <c r="V48" s="1"/>
      <c r="W48" s="1"/>
      <c r="X48" s="1"/>
      <c r="Y48" s="1"/>
      <c r="Z48" s="1"/>
      <c r="AA48" s="1"/>
    </row>
    <row r="49" spans="2:27">
      <c r="B49" s="337"/>
      <c r="C49" s="470"/>
      <c r="D49" s="462"/>
      <c r="E49" s="325"/>
      <c r="F49" s="463"/>
      <c r="G49" s="464">
        <f>IF(E49=0,0,IF(E49="MXN",1/HLOOKUP(YEAR(D49)+(MONTH(D49)/100),TC!$5:$437,DAY(D49)+2,FALSE),VLOOKUP(E49,Equivalencia!$1:$23,((MAX(Equivalencia!$3:$3)-YEAR(D49))*14)+MONTH(D49)+2,FALSE)))</f>
        <v>0</v>
      </c>
      <c r="H49" s="465">
        <f t="shared" si="7"/>
        <v>0</v>
      </c>
      <c r="I49" s="466">
        <f t="shared" si="8"/>
        <v>0</v>
      </c>
      <c r="J49" s="466">
        <f t="shared" si="9"/>
        <v>0</v>
      </c>
      <c r="K49" s="553">
        <f>+IF(D49=0,0,HLOOKUP(YEAR(D49)+(MONTH(D49)/100),TC!$5:$37,DAY(D49)+2,FALSE))</f>
        <v>0</v>
      </c>
      <c r="L49" s="466">
        <f t="shared" si="10"/>
        <v>0</v>
      </c>
      <c r="M49" s="467"/>
      <c r="N49" s="467"/>
      <c r="O49" s="466">
        <f t="shared" si="11"/>
        <v>0</v>
      </c>
      <c r="P49" s="468"/>
      <c r="Q49" s="486">
        <f t="shared" si="12"/>
        <v>0</v>
      </c>
      <c r="R49" s="486"/>
      <c r="S49" s="466">
        <f t="shared" si="13"/>
        <v>0</v>
      </c>
      <c r="T49" s="1"/>
      <c r="U49" s="1"/>
      <c r="V49" s="1"/>
      <c r="W49" s="1"/>
      <c r="X49" s="1"/>
      <c r="Y49" s="1"/>
      <c r="Z49" s="1"/>
      <c r="AA49" s="1"/>
    </row>
    <row r="50" spans="2:27">
      <c r="B50" s="337"/>
      <c r="C50" s="470"/>
      <c r="D50" s="462"/>
      <c r="E50" s="325"/>
      <c r="F50" s="463"/>
      <c r="G50" s="464">
        <f>IF(E50=0,0,IF(E50="MXN",1/HLOOKUP(YEAR(D50)+(MONTH(D50)/100),TC!$5:$437,DAY(D50)+2,FALSE),VLOOKUP(E50,Equivalencia!$1:$23,((MAX(Equivalencia!$3:$3)-YEAR(D50))*14)+MONTH(D50)+2,FALSE)))</f>
        <v>0</v>
      </c>
      <c r="H50" s="465">
        <f t="shared" si="7"/>
        <v>0</v>
      </c>
      <c r="I50" s="466">
        <f t="shared" si="8"/>
        <v>0</v>
      </c>
      <c r="J50" s="466">
        <f t="shared" si="9"/>
        <v>0</v>
      </c>
      <c r="K50" s="553">
        <f>+IF(D50=0,0,HLOOKUP(YEAR(D50)+(MONTH(D50)/100),TC!$5:$37,DAY(D50)+2,FALSE))</f>
        <v>0</v>
      </c>
      <c r="L50" s="466">
        <f t="shared" si="10"/>
        <v>0</v>
      </c>
      <c r="M50" s="467"/>
      <c r="N50" s="467"/>
      <c r="O50" s="466">
        <f t="shared" si="11"/>
        <v>0</v>
      </c>
      <c r="P50" s="468"/>
      <c r="Q50" s="486">
        <f t="shared" si="12"/>
        <v>0</v>
      </c>
      <c r="R50" s="486"/>
      <c r="S50" s="466">
        <f t="shared" si="13"/>
        <v>0</v>
      </c>
      <c r="T50" s="1"/>
      <c r="U50" s="1"/>
      <c r="V50" s="1"/>
      <c r="W50" s="1"/>
      <c r="X50" s="1"/>
      <c r="Y50" s="1"/>
      <c r="Z50" s="1"/>
      <c r="AA50" s="1"/>
    </row>
    <row r="51" spans="2:27">
      <c r="B51" s="337"/>
      <c r="C51" s="470"/>
      <c r="D51" s="462"/>
      <c r="E51" s="325"/>
      <c r="F51" s="463"/>
      <c r="G51" s="464">
        <f>IF(E51=0,0,IF(E51="MXN",1/HLOOKUP(YEAR(D51)+(MONTH(D51)/100),TC!$5:$437,DAY(D51)+2,FALSE),VLOOKUP(E51,Equivalencia!$1:$23,((MAX(Equivalencia!$3:$3)-YEAR(D51))*14)+MONTH(D51)+2,FALSE)))</f>
        <v>0</v>
      </c>
      <c r="H51" s="465">
        <f t="shared" si="7"/>
        <v>0</v>
      </c>
      <c r="I51" s="466">
        <f t="shared" si="8"/>
        <v>0</v>
      </c>
      <c r="J51" s="466">
        <f t="shared" si="9"/>
        <v>0</v>
      </c>
      <c r="K51" s="553">
        <f>+IF(D51=0,0,HLOOKUP(YEAR(D51)+(MONTH(D51)/100),TC!$5:$37,DAY(D51)+2,FALSE))</f>
        <v>0</v>
      </c>
      <c r="L51" s="466">
        <f t="shared" si="10"/>
        <v>0</v>
      </c>
      <c r="M51" s="467"/>
      <c r="N51" s="467"/>
      <c r="O51" s="466">
        <f>IF(F51="",0,H51+M51+N51+O50)</f>
        <v>0</v>
      </c>
      <c r="P51" s="468"/>
      <c r="Q51" s="486">
        <f t="shared" si="12"/>
        <v>0</v>
      </c>
      <c r="R51" s="486"/>
      <c r="S51" s="466">
        <f t="shared" si="13"/>
        <v>0</v>
      </c>
      <c r="T51" s="1"/>
      <c r="U51" s="1"/>
      <c r="V51" s="1"/>
      <c r="W51" s="1"/>
      <c r="X51" s="1"/>
      <c r="Y51" s="1"/>
      <c r="Z51" s="1"/>
      <c r="AA51" s="1"/>
    </row>
    <row r="52" spans="2:27">
      <c r="B52" s="337"/>
      <c r="C52" s="67"/>
      <c r="D52" s="644"/>
      <c r="E52" s="337"/>
      <c r="F52" s="645"/>
      <c r="G52" s="464">
        <f>IF(E52=0,0,IF(E52="MXN",1/HLOOKUP(YEAR(D52)+(MONTH(D52)/100),TC!$5:$437,DAY(D52)+2,FALSE),VLOOKUP(E52,Equivalencia!$1:$23,((MAX(Equivalencia!$3:$3)-YEAR(D52))*14)+MONTH(D52)+2,FALSE)))</f>
        <v>0</v>
      </c>
      <c r="H52" s="646">
        <f t="shared" si="7"/>
        <v>0</v>
      </c>
      <c r="I52" s="647">
        <f t="shared" si="8"/>
        <v>0</v>
      </c>
      <c r="J52" s="647">
        <f t="shared" si="9"/>
        <v>0</v>
      </c>
      <c r="K52" s="655">
        <f>+IF(D52=0,0,HLOOKUP(YEAR(D52)+(MONTH(D52)/100),TC!$5:$37,DAY(D52)+2,FALSE))</f>
        <v>0</v>
      </c>
      <c r="L52" s="647">
        <f t="shared" si="10"/>
        <v>0</v>
      </c>
      <c r="M52" s="467"/>
      <c r="N52" s="467"/>
      <c r="O52" s="466">
        <f>IF(F52="",0,H52+M52+N52+O51)</f>
        <v>0</v>
      </c>
      <c r="P52" s="468"/>
      <c r="Q52" s="486">
        <f t="shared" si="12"/>
        <v>0</v>
      </c>
      <c r="R52" s="486"/>
      <c r="S52" s="466">
        <f t="shared" si="13"/>
        <v>0</v>
      </c>
      <c r="T52" s="1"/>
      <c r="U52" s="1"/>
      <c r="V52" s="1"/>
      <c r="W52" s="1"/>
      <c r="X52" s="1"/>
      <c r="Y52" s="1"/>
      <c r="Z52" s="1"/>
      <c r="AA52" s="1"/>
    </row>
    <row r="53" spans="2:27">
      <c r="B53" s="648"/>
      <c r="C53" s="649"/>
      <c r="D53" s="650"/>
      <c r="E53" s="648"/>
      <c r="F53" s="651"/>
      <c r="G53" s="652">
        <f>IF(E53=0,0,IF(E53="MXN",1/HLOOKUP(YEAR(D53)+(MONTH(D53)/100),TC!$5:$437,DAY(D53)+2,FALSE),VLOOKUP(E53,Equivalencia!$1:$23,((MAX(Equivalencia!$3:$3)-YEAR(D53))*14)+MONTH(D53)+2,FALSE)))</f>
        <v>0</v>
      </c>
      <c r="H53" s="653">
        <f t="shared" si="7"/>
        <v>0</v>
      </c>
      <c r="I53" s="654">
        <f t="shared" si="8"/>
        <v>0</v>
      </c>
      <c r="J53" s="654">
        <f t="shared" si="9"/>
        <v>0</v>
      </c>
      <c r="K53" s="656">
        <f>+IF(D53=0,0,HLOOKUP(YEAR(D53)+(MONTH(D53)/100),TC!$5:$37,DAY(D53)+2,FALSE))</f>
        <v>0</v>
      </c>
      <c r="L53" s="654">
        <f t="shared" si="10"/>
        <v>0</v>
      </c>
      <c r="M53" s="467"/>
      <c r="N53" s="467"/>
      <c r="O53" s="466">
        <f>IF(F53="",0,H53+M53+N53+O52)</f>
        <v>0</v>
      </c>
      <c r="P53" s="468"/>
      <c r="Q53" s="486">
        <f t="shared" si="12"/>
        <v>0</v>
      </c>
      <c r="R53" s="486"/>
      <c r="S53" s="466">
        <f t="shared" si="13"/>
        <v>0</v>
      </c>
      <c r="T53" s="1"/>
      <c r="U53" s="1"/>
      <c r="V53" s="1"/>
      <c r="W53" s="1"/>
      <c r="X53" s="1"/>
      <c r="Y53" s="1"/>
      <c r="Z53" s="1"/>
      <c r="AA53" s="1"/>
    </row>
    <row r="54" spans="2:27">
      <c r="B54" s="3"/>
      <c r="C54" s="1"/>
      <c r="D54" s="1"/>
      <c r="E54" s="1"/>
      <c r="F54" s="1"/>
      <c r="G54" s="3"/>
      <c r="H54" s="471"/>
      <c r="I54" s="448"/>
      <c r="J54" s="448"/>
      <c r="K54" s="448"/>
      <c r="L54" s="448"/>
      <c r="M54" s="447"/>
      <c r="N54" s="447"/>
      <c r="O54" s="448"/>
      <c r="P54" s="448"/>
      <c r="Q54" s="448"/>
      <c r="R54" s="448"/>
      <c r="S54" s="448"/>
      <c r="T54" s="1"/>
      <c r="U54" s="1"/>
      <c r="V54" s="1"/>
      <c r="W54" s="1"/>
      <c r="X54" s="1"/>
      <c r="Y54" s="1"/>
      <c r="Z54" s="1"/>
      <c r="AA54" s="1"/>
    </row>
    <row r="55" spans="2:27">
      <c r="B55" s="3"/>
      <c r="C55" s="1"/>
      <c r="D55" s="1"/>
      <c r="E55" s="1"/>
      <c r="F55" s="1"/>
      <c r="G55" s="3"/>
      <c r="H55" s="472"/>
      <c r="I55" s="473"/>
      <c r="J55" s="474"/>
      <c r="K55" s="474"/>
      <c r="L55" s="474">
        <f>SUM(L42:L53)</f>
        <v>0</v>
      </c>
      <c r="M55" s="475"/>
      <c r="N55" s="475"/>
      <c r="O55" s="473"/>
      <c r="P55" s="473"/>
      <c r="Q55" s="473"/>
      <c r="R55" s="473"/>
      <c r="S55" s="474">
        <f>+SUMIF(S42:S54,"&gt;0",S42:S54)</f>
        <v>0</v>
      </c>
      <c r="T55" s="1"/>
      <c r="U55" s="1"/>
      <c r="V55" s="474">
        <f>+L55</f>
        <v>0</v>
      </c>
      <c r="W55" s="474">
        <f>+S55</f>
        <v>0</v>
      </c>
      <c r="X55" s="474">
        <f>+V55+W55</f>
        <v>0</v>
      </c>
      <c r="Y55" s="1"/>
      <c r="Z55" s="1"/>
      <c r="AA55" s="1"/>
    </row>
    <row r="56" spans="2:27">
      <c r="B56" s="3"/>
      <c r="C56" s="1"/>
      <c r="D56" s="1"/>
      <c r="E56" s="1"/>
      <c r="F56" s="1"/>
      <c r="G56" s="3"/>
      <c r="H56" s="134"/>
      <c r="I56" s="448"/>
      <c r="J56" s="448"/>
      <c r="K56" s="448"/>
      <c r="L56" s="448"/>
      <c r="M56" s="447"/>
      <c r="N56" s="447"/>
      <c r="O56" s="448"/>
      <c r="P56" s="448"/>
      <c r="Q56" s="448"/>
      <c r="R56" s="448"/>
      <c r="S56" s="448"/>
      <c r="T56" s="1"/>
      <c r="U56" s="1"/>
      <c r="V56" s="1"/>
      <c r="W56" s="1"/>
      <c r="X56" s="1"/>
      <c r="Y56" s="1"/>
      <c r="Z56" s="1"/>
      <c r="AA56" s="1"/>
    </row>
    <row r="57" spans="2:27">
      <c r="B57" s="1"/>
      <c r="C57" s="1"/>
      <c r="D57" s="1"/>
      <c r="E57" s="1"/>
      <c r="F57" s="1"/>
      <c r="G57" s="3"/>
      <c r="H57" s="134"/>
      <c r="I57" s="448"/>
      <c r="J57" s="448"/>
      <c r="K57" s="448"/>
      <c r="L57" s="448"/>
      <c r="M57" s="447"/>
      <c r="N57" s="447"/>
      <c r="O57" s="448"/>
      <c r="P57" s="476"/>
      <c r="Q57" s="476"/>
      <c r="R57" s="476"/>
      <c r="S57" s="477" t="s">
        <v>574</v>
      </c>
      <c r="T57" s="478">
        <f>+L55+S55</f>
        <v>0</v>
      </c>
      <c r="U57" s="1"/>
      <c r="V57" s="1"/>
      <c r="W57" s="1"/>
      <c r="X57" s="1"/>
      <c r="Y57" s="1"/>
      <c r="Z57" s="1"/>
      <c r="AA57" s="1"/>
    </row>
    <row r="58" spans="2:27">
      <c r="B58" s="1"/>
      <c r="C58" s="1"/>
      <c r="D58" s="1"/>
      <c r="E58" s="1"/>
      <c r="F58" s="1"/>
      <c r="G58" s="3"/>
      <c r="H58" s="134"/>
      <c r="I58" s="448"/>
      <c r="J58" s="448"/>
      <c r="K58" s="448"/>
      <c r="L58" s="448"/>
      <c r="M58" s="447"/>
      <c r="N58" s="447"/>
      <c r="O58" s="448"/>
      <c r="P58" s="448"/>
      <c r="Q58" s="448"/>
      <c r="R58" s="448"/>
      <c r="S58" s="448"/>
      <c r="T58" s="1"/>
      <c r="U58" s="1"/>
      <c r="V58" s="1"/>
      <c r="W58" s="1"/>
      <c r="X58" s="1"/>
      <c r="Y58" s="1"/>
      <c r="Z58" s="1"/>
      <c r="AA58" s="1"/>
    </row>
    <row r="59" spans="2:27">
      <c r="B59" s="440"/>
      <c r="C59" s="440"/>
      <c r="D59" s="440"/>
      <c r="E59" s="440"/>
      <c r="F59" s="440"/>
      <c r="G59" s="440"/>
      <c r="H59" s="441"/>
      <c r="I59" s="442"/>
      <c r="J59" s="442"/>
      <c r="K59" s="442"/>
      <c r="L59" s="442"/>
      <c r="M59" s="443"/>
      <c r="N59" s="443"/>
      <c r="O59" s="442"/>
      <c r="P59" s="442"/>
      <c r="Q59" s="442"/>
      <c r="R59" s="442"/>
      <c r="S59" s="442"/>
      <c r="T59" s="1"/>
      <c r="U59" s="1"/>
      <c r="V59" s="1"/>
      <c r="W59" s="1"/>
      <c r="X59" s="1"/>
      <c r="Y59" s="1"/>
      <c r="Z59" s="1"/>
      <c r="AA59" s="1"/>
    </row>
    <row r="60" spans="2:27">
      <c r="B60" s="444"/>
      <c r="C60" s="444"/>
      <c r="D60" s="444"/>
      <c r="E60" s="444"/>
      <c r="F60" s="444"/>
      <c r="G60" s="444"/>
      <c r="H60" s="445"/>
      <c r="I60" s="446"/>
      <c r="J60" s="446"/>
      <c r="K60" s="446"/>
      <c r="L60" s="446"/>
      <c r="M60" s="447"/>
      <c r="N60" s="447"/>
      <c r="O60" s="448"/>
      <c r="P60" s="448"/>
      <c r="Q60" s="448"/>
      <c r="R60" s="448"/>
      <c r="S60" s="448"/>
      <c r="T60" s="1"/>
      <c r="U60" s="1"/>
      <c r="V60" s="1"/>
      <c r="W60" s="1"/>
      <c r="X60" s="1"/>
      <c r="Y60" s="1"/>
      <c r="Z60" s="1"/>
      <c r="AA60" s="1"/>
    </row>
    <row r="61" spans="2:27">
      <c r="B61" s="385" t="s">
        <v>569</v>
      </c>
      <c r="C61" s="385"/>
      <c r="D61" s="1"/>
      <c r="E61" s="385"/>
      <c r="F61" s="385"/>
      <c r="G61" s="388"/>
      <c r="H61" s="449"/>
      <c r="I61" s="450"/>
      <c r="J61" s="450"/>
      <c r="K61" s="450"/>
      <c r="L61" s="450"/>
      <c r="M61" s="447"/>
      <c r="N61" s="447"/>
      <c r="O61" s="448"/>
      <c r="P61" s="448"/>
      <c r="Q61" s="448"/>
      <c r="R61" s="448"/>
      <c r="S61" s="448"/>
      <c r="T61" s="1"/>
      <c r="U61" s="1"/>
      <c r="V61" s="1"/>
      <c r="W61" s="1"/>
      <c r="X61" s="1"/>
      <c r="Y61" s="1"/>
      <c r="Z61" s="1"/>
      <c r="AA61" s="1"/>
    </row>
    <row r="62" spans="2:27">
      <c r="B62" s="385" t="s">
        <v>570</v>
      </c>
      <c r="C62" s="385"/>
      <c r="D62" s="1"/>
      <c r="E62" s="385"/>
      <c r="F62" s="385"/>
      <c r="G62" s="388"/>
      <c r="H62" s="451"/>
      <c r="I62" s="448"/>
      <c r="J62" s="448"/>
      <c r="K62" s="448"/>
      <c r="L62" s="448"/>
      <c r="M62" s="447"/>
      <c r="N62" s="447"/>
      <c r="O62" s="448"/>
      <c r="P62" s="448"/>
      <c r="Q62" s="448"/>
      <c r="R62" s="448"/>
      <c r="S62" s="448"/>
      <c r="T62" s="1"/>
      <c r="U62" s="1"/>
      <c r="V62" s="1"/>
      <c r="W62" s="1"/>
      <c r="X62" s="1"/>
      <c r="Y62" s="1"/>
      <c r="Z62" s="1"/>
      <c r="AA62" s="1"/>
    </row>
    <row r="63" spans="2:27">
      <c r="B63" s="385" t="s">
        <v>571</v>
      </c>
      <c r="C63" s="385"/>
      <c r="D63" s="1"/>
      <c r="E63" s="385"/>
      <c r="F63" s="385"/>
      <c r="G63" s="388"/>
      <c r="H63" s="452"/>
      <c r="I63" s="448"/>
      <c r="J63" s="448"/>
      <c r="K63" s="448"/>
      <c r="L63" s="448"/>
      <c r="M63" s="447"/>
      <c r="N63" s="447"/>
      <c r="O63" s="448"/>
      <c r="P63" s="448"/>
      <c r="Q63" s="448"/>
      <c r="R63" s="448"/>
      <c r="S63" s="448"/>
      <c r="T63" s="1"/>
      <c r="U63" s="1"/>
      <c r="V63" s="1"/>
      <c r="W63" s="1"/>
      <c r="X63" s="1"/>
      <c r="Y63" s="1"/>
      <c r="Z63" s="1"/>
      <c r="AA63" s="1"/>
    </row>
    <row r="64" spans="2:27">
      <c r="B64" s="385" t="s">
        <v>572</v>
      </c>
      <c r="C64" s="385"/>
      <c r="D64" s="1"/>
      <c r="E64" s="385"/>
      <c r="F64" s="385"/>
      <c r="G64" s="388"/>
      <c r="H64" s="453"/>
      <c r="I64" s="448"/>
      <c r="J64" s="448"/>
      <c r="K64" s="448"/>
      <c r="L64" s="448"/>
      <c r="M64" s="447"/>
      <c r="N64" s="447"/>
      <c r="O64" s="448"/>
      <c r="P64" s="448"/>
      <c r="Q64" s="448"/>
      <c r="R64" s="448"/>
      <c r="S64" s="448"/>
      <c r="T64" s="1"/>
      <c r="U64" s="1"/>
      <c r="V64" s="1"/>
      <c r="W64" s="1"/>
      <c r="X64" s="1"/>
      <c r="Y64" s="1"/>
      <c r="Z64" s="1"/>
      <c r="AA64" s="1"/>
    </row>
    <row r="65" spans="2:27">
      <c r="B65" s="385"/>
      <c r="C65" s="385"/>
      <c r="D65" s="1"/>
      <c r="E65" s="388"/>
      <c r="F65" s="388"/>
      <c r="G65" s="388"/>
      <c r="H65" s="454"/>
      <c r="I65" s="448"/>
      <c r="J65" s="448"/>
      <c r="K65" s="448"/>
      <c r="L65" s="448"/>
      <c r="M65" s="447"/>
      <c r="N65" s="447"/>
      <c r="O65" s="448"/>
      <c r="P65" s="448"/>
      <c r="Q65" s="448"/>
      <c r="R65" s="448"/>
      <c r="S65" s="448"/>
      <c r="T65" s="1"/>
      <c r="U65" s="1"/>
      <c r="V65" s="1"/>
      <c r="W65" s="1"/>
      <c r="X65" s="1"/>
      <c r="Y65" s="1"/>
      <c r="Z65" s="1"/>
      <c r="AA65" s="1"/>
    </row>
    <row r="66" spans="2:27">
      <c r="B66" s="455" t="s">
        <v>573</v>
      </c>
      <c r="C66" s="455"/>
      <c r="D66" s="456"/>
      <c r="E66" s="456"/>
      <c r="F66" s="456"/>
      <c r="G66" s="456"/>
      <c r="H66" s="457"/>
      <c r="I66" s="458"/>
      <c r="J66" s="458"/>
      <c r="K66" s="458"/>
      <c r="L66" s="458"/>
      <c r="M66" s="459"/>
      <c r="N66" s="459"/>
      <c r="O66" s="458"/>
      <c r="P66" s="458"/>
      <c r="Q66" s="458"/>
      <c r="R66" s="458"/>
      <c r="S66" s="458"/>
      <c r="T66" s="1"/>
      <c r="U66" s="1"/>
      <c r="V66" s="1"/>
      <c r="W66" s="1"/>
      <c r="X66" s="1"/>
      <c r="Y66" s="1"/>
      <c r="Z66" s="1"/>
      <c r="AA66" s="1"/>
    </row>
    <row r="67" spans="2:27">
      <c r="B67" s="338"/>
      <c r="C67" s="324"/>
      <c r="D67" s="324"/>
      <c r="E67" s="324"/>
      <c r="F67" s="324"/>
      <c r="G67" s="338"/>
      <c r="H67" s="460"/>
      <c r="I67" s="461"/>
      <c r="J67" s="461"/>
      <c r="K67" s="461"/>
      <c r="L67" s="461"/>
      <c r="M67" s="447"/>
      <c r="N67" s="447"/>
      <c r="O67" s="448"/>
      <c r="P67" s="448"/>
      <c r="Q67" s="448"/>
      <c r="R67" s="448"/>
      <c r="S67" s="448"/>
      <c r="T67" s="1"/>
      <c r="U67" s="1"/>
      <c r="V67" s="1"/>
      <c r="W67" s="1"/>
      <c r="X67" s="1"/>
      <c r="Y67" s="1"/>
      <c r="Z67" s="1"/>
      <c r="AA67" s="1"/>
    </row>
    <row r="68" spans="2:27">
      <c r="B68" s="337"/>
      <c r="C68" s="67"/>
      <c r="D68" s="462"/>
      <c r="E68" s="325"/>
      <c r="F68" s="463"/>
      <c r="G68" s="464">
        <f>IF(E68=0,0,IF(E68="MXN",1/HLOOKUP(YEAR(D68)+(MONTH(D68)/100),TC!$5:$437,DAY(D68)+2,FALSE),VLOOKUP(E68,Equivalencia!$1:$23,((MAX(Equivalencia!$3:$3)-YEAR(D68))*14)+MONTH(D68)+2,FALSE)))</f>
        <v>0</v>
      </c>
      <c r="H68" s="465">
        <f>+G68*F68</f>
        <v>0</v>
      </c>
      <c r="I68" s="466">
        <f>H66+H68</f>
        <v>0</v>
      </c>
      <c r="J68" s="466">
        <f>+IF(H68&lt;0,0,IF(AND(H66&lt;0,I68&lt;0),0,IF(H66&lt;0,H68+H66,H68)))</f>
        <v>0</v>
      </c>
      <c r="K68" s="553">
        <f>+IF(D68=0,0,HLOOKUP(YEAR(D68)+(MONTH(D68)/100),TC!$5:$37,DAY(D68)+2,FALSE))</f>
        <v>0</v>
      </c>
      <c r="L68" s="466">
        <f>+J68*K68</f>
        <v>0</v>
      </c>
      <c r="M68" s="467"/>
      <c r="N68" s="467"/>
      <c r="O68" s="466">
        <f>IF(F68="",0,I68+M68+N68)</f>
        <v>0</v>
      </c>
      <c r="P68" s="468"/>
      <c r="Q68" s="486">
        <f>IF(O68=P68,0,IF(P68="",0,O68-P68))</f>
        <v>0</v>
      </c>
      <c r="R68" s="486"/>
      <c r="S68" s="466">
        <f>+IF(P68="",0,R68*Q68)</f>
        <v>0</v>
      </c>
      <c r="T68" s="1"/>
      <c r="U68" s="1"/>
      <c r="V68" s="1"/>
      <c r="W68" s="1"/>
      <c r="X68" s="1"/>
      <c r="Y68" s="1"/>
      <c r="Z68" s="1"/>
      <c r="AA68" s="1"/>
    </row>
    <row r="69" spans="2:27">
      <c r="B69" s="337"/>
      <c r="C69" s="469"/>
      <c r="D69" s="462"/>
      <c r="E69" s="325"/>
      <c r="F69" s="463"/>
      <c r="G69" s="464">
        <f>IF(E69=0,0,IF(E69="MXN",1/HLOOKUP(YEAR(D69)+(MONTH(D69)/100),TC!$5:$437,DAY(D69)+2,FALSE),VLOOKUP(E69,Equivalencia!$1:$23,((MAX(Equivalencia!$3:$3)-YEAR(D69))*14)+MONTH(D69)+2,FALSE)))</f>
        <v>0</v>
      </c>
      <c r="H69" s="465">
        <f t="shared" ref="H69:H79" si="14">+G69*F69</f>
        <v>0</v>
      </c>
      <c r="I69" s="466">
        <f t="shared" ref="I69:I79" si="15">I68+H69+Q68</f>
        <v>0</v>
      </c>
      <c r="J69" s="466">
        <f t="shared" ref="J69:J79" si="16">+IF(H69&lt;0,0,IF(AND(I68&lt;0,I69&lt;0),0,IF(I68&lt;0,H69+I68,H69)))</f>
        <v>0</v>
      </c>
      <c r="K69" s="553">
        <f>+IF(D69=0,0,HLOOKUP(YEAR(D69)+(MONTH(D69)/100),TC!$5:$37,DAY(D69)+2,FALSE))</f>
        <v>0</v>
      </c>
      <c r="L69" s="466">
        <f t="shared" ref="L69:L79" si="17">+J69*K69</f>
        <v>0</v>
      </c>
      <c r="M69" s="467"/>
      <c r="N69" s="467"/>
      <c r="O69" s="466">
        <f t="shared" ref="O69:O76" si="18">IF(F69="",0,H69+M69+N69+O68)</f>
        <v>0</v>
      </c>
      <c r="P69" s="468"/>
      <c r="Q69" s="486">
        <f t="shared" ref="Q69:Q79" si="19">IF(O69=P69,0,IF(P69="",0,O69-P69))</f>
        <v>0</v>
      </c>
      <c r="R69" s="486"/>
      <c r="S69" s="466">
        <f t="shared" ref="S69:S79" si="20">+IF(P69="",0,R69*Q69)</f>
        <v>0</v>
      </c>
      <c r="T69" s="1"/>
      <c r="U69" s="1"/>
      <c r="V69" s="1"/>
      <c r="W69" s="1"/>
      <c r="X69" s="1"/>
      <c r="Y69" s="1"/>
      <c r="Z69" s="1"/>
      <c r="AA69" s="1"/>
    </row>
    <row r="70" spans="2:27">
      <c r="B70" s="337"/>
      <c r="C70" s="469"/>
      <c r="D70" s="462"/>
      <c r="E70" s="325"/>
      <c r="F70" s="463"/>
      <c r="G70" s="464">
        <f>IF(E70=0,0,IF(E70="MXN",1/HLOOKUP(YEAR(D70)+(MONTH(D70)/100),TC!$5:$437,DAY(D70)+2,FALSE),VLOOKUP(E70,Equivalencia!$1:$23,((MAX(Equivalencia!$3:$3)-YEAR(D70))*14)+MONTH(D70)+2,FALSE)))</f>
        <v>0</v>
      </c>
      <c r="H70" s="465">
        <f t="shared" si="14"/>
        <v>0</v>
      </c>
      <c r="I70" s="466">
        <f t="shared" si="15"/>
        <v>0</v>
      </c>
      <c r="J70" s="466">
        <f t="shared" si="16"/>
        <v>0</v>
      </c>
      <c r="K70" s="553">
        <f>+IF(D70=0,0,HLOOKUP(YEAR(D70)+(MONTH(D70)/100),TC!$5:$37,DAY(D70)+2,FALSE))</f>
        <v>0</v>
      </c>
      <c r="L70" s="466">
        <f t="shared" si="17"/>
        <v>0</v>
      </c>
      <c r="M70" s="467"/>
      <c r="N70" s="467"/>
      <c r="O70" s="466">
        <f t="shared" si="18"/>
        <v>0</v>
      </c>
      <c r="P70" s="468"/>
      <c r="Q70" s="486">
        <f t="shared" si="19"/>
        <v>0</v>
      </c>
      <c r="R70" s="486"/>
      <c r="S70" s="466">
        <f t="shared" si="20"/>
        <v>0</v>
      </c>
      <c r="T70" s="1"/>
      <c r="U70" s="1"/>
      <c r="V70" s="1"/>
      <c r="W70" s="1"/>
      <c r="X70" s="1"/>
      <c r="Y70" s="1"/>
      <c r="Z70" s="1"/>
      <c r="AA70" s="1"/>
    </row>
    <row r="71" spans="2:27">
      <c r="B71" s="337"/>
      <c r="C71" s="469"/>
      <c r="D71" s="462"/>
      <c r="E71" s="325"/>
      <c r="F71" s="463"/>
      <c r="G71" s="464">
        <f>IF(E71=0,0,IF(E71="MXN",1/HLOOKUP(YEAR(D71)+(MONTH(D71)/100),TC!$5:$437,DAY(D71)+2,FALSE),VLOOKUP(E71,Equivalencia!$1:$23,((MAX(Equivalencia!$3:$3)-YEAR(D71))*14)+MONTH(D71)+2,FALSE)))</f>
        <v>0</v>
      </c>
      <c r="H71" s="465">
        <f t="shared" si="14"/>
        <v>0</v>
      </c>
      <c r="I71" s="466">
        <f t="shared" si="15"/>
        <v>0</v>
      </c>
      <c r="J71" s="466">
        <f t="shared" si="16"/>
        <v>0</v>
      </c>
      <c r="K71" s="553">
        <f>+IF(D71=0,0,HLOOKUP(YEAR(D71)+(MONTH(D71)/100),TC!$5:$37,DAY(D71)+2,FALSE))</f>
        <v>0</v>
      </c>
      <c r="L71" s="466">
        <f t="shared" si="17"/>
        <v>0</v>
      </c>
      <c r="M71" s="467"/>
      <c r="N71" s="467"/>
      <c r="O71" s="466">
        <f t="shared" si="18"/>
        <v>0</v>
      </c>
      <c r="P71" s="468"/>
      <c r="Q71" s="486">
        <f t="shared" si="19"/>
        <v>0</v>
      </c>
      <c r="R71" s="486"/>
      <c r="S71" s="466">
        <f t="shared" si="20"/>
        <v>0</v>
      </c>
      <c r="T71" s="1"/>
      <c r="U71" s="1"/>
      <c r="V71" s="1"/>
      <c r="W71" s="1"/>
      <c r="X71" s="1"/>
      <c r="Y71" s="1"/>
      <c r="Z71" s="1"/>
      <c r="AA71" s="1"/>
    </row>
    <row r="72" spans="2:27">
      <c r="B72" s="337"/>
      <c r="C72" s="470"/>
      <c r="D72" s="462"/>
      <c r="E72" s="325"/>
      <c r="F72" s="463"/>
      <c r="G72" s="464">
        <f>IF(E72=0,0,IF(E72="MXN",1/HLOOKUP(YEAR(D72)+(MONTH(D72)/100),TC!$5:$437,DAY(D72)+2,FALSE),VLOOKUP(E72,Equivalencia!$1:$23,((MAX(Equivalencia!$3:$3)-YEAR(D72))*14)+MONTH(D72)+2,FALSE)))</f>
        <v>0</v>
      </c>
      <c r="H72" s="465">
        <f t="shared" si="14"/>
        <v>0</v>
      </c>
      <c r="I72" s="466">
        <f t="shared" si="15"/>
        <v>0</v>
      </c>
      <c r="J72" s="466">
        <f t="shared" si="16"/>
        <v>0</v>
      </c>
      <c r="K72" s="553">
        <f>+IF(D72=0,0,HLOOKUP(YEAR(D72)+(MONTH(D72)/100),TC!$5:$37,DAY(D72)+2,FALSE))</f>
        <v>0</v>
      </c>
      <c r="L72" s="466">
        <f t="shared" si="17"/>
        <v>0</v>
      </c>
      <c r="M72" s="467"/>
      <c r="N72" s="467"/>
      <c r="O72" s="466">
        <f t="shared" si="18"/>
        <v>0</v>
      </c>
      <c r="P72" s="468"/>
      <c r="Q72" s="486">
        <f t="shared" si="19"/>
        <v>0</v>
      </c>
      <c r="R72" s="486"/>
      <c r="S72" s="466">
        <f t="shared" si="20"/>
        <v>0</v>
      </c>
      <c r="T72" s="1"/>
      <c r="U72" s="1"/>
      <c r="V72" s="1"/>
      <c r="W72" s="1"/>
      <c r="X72" s="1"/>
      <c r="Y72" s="1"/>
      <c r="Z72" s="1"/>
      <c r="AA72" s="1"/>
    </row>
    <row r="73" spans="2:27">
      <c r="B73" s="337"/>
      <c r="C73" s="470"/>
      <c r="D73" s="462"/>
      <c r="E73" s="325"/>
      <c r="F73" s="463"/>
      <c r="G73" s="464">
        <f>IF(E73=0,0,IF(E73="MXN",1/HLOOKUP(YEAR(D73)+(MONTH(D73)/100),TC!$5:$437,DAY(D73)+2,FALSE),VLOOKUP(E73,Equivalencia!$1:$23,((MAX(Equivalencia!$3:$3)-YEAR(D73))*14)+MONTH(D73)+2,FALSE)))</f>
        <v>0</v>
      </c>
      <c r="H73" s="465">
        <f t="shared" si="14"/>
        <v>0</v>
      </c>
      <c r="I73" s="466">
        <f t="shared" si="15"/>
        <v>0</v>
      </c>
      <c r="J73" s="466">
        <f t="shared" si="16"/>
        <v>0</v>
      </c>
      <c r="K73" s="553">
        <f>+IF(D73=0,0,HLOOKUP(YEAR(D73)+(MONTH(D73)/100),TC!$5:$37,DAY(D73)+2,FALSE))</f>
        <v>0</v>
      </c>
      <c r="L73" s="466">
        <f t="shared" si="17"/>
        <v>0</v>
      </c>
      <c r="M73" s="467"/>
      <c r="N73" s="467"/>
      <c r="O73" s="466">
        <f t="shared" si="18"/>
        <v>0</v>
      </c>
      <c r="P73" s="468"/>
      <c r="Q73" s="486">
        <f t="shared" si="19"/>
        <v>0</v>
      </c>
      <c r="R73" s="486"/>
      <c r="S73" s="466">
        <f t="shared" si="20"/>
        <v>0</v>
      </c>
      <c r="T73" s="1"/>
      <c r="U73" s="1"/>
      <c r="V73" s="1"/>
      <c r="W73" s="1"/>
      <c r="X73" s="1"/>
      <c r="Y73" s="1"/>
      <c r="Z73" s="1"/>
      <c r="AA73" s="1"/>
    </row>
    <row r="74" spans="2:27">
      <c r="B74" s="337"/>
      <c r="C74" s="470"/>
      <c r="D74" s="462"/>
      <c r="E74" s="325"/>
      <c r="F74" s="463"/>
      <c r="G74" s="464">
        <f>IF(E74=0,0,IF(E74="MXN",1/HLOOKUP(YEAR(D74)+(MONTH(D74)/100),TC!$5:$437,DAY(D74)+2,FALSE),VLOOKUP(E74,Equivalencia!$1:$23,((MAX(Equivalencia!$3:$3)-YEAR(D74))*14)+MONTH(D74)+2,FALSE)))</f>
        <v>0</v>
      </c>
      <c r="H74" s="465">
        <f t="shared" si="14"/>
        <v>0</v>
      </c>
      <c r="I74" s="466">
        <f t="shared" si="15"/>
        <v>0</v>
      </c>
      <c r="J74" s="466">
        <f t="shared" si="16"/>
        <v>0</v>
      </c>
      <c r="K74" s="553">
        <f>+IF(D74=0,0,HLOOKUP(YEAR(D74)+(MONTH(D74)/100),TC!$5:$37,DAY(D74)+2,FALSE))</f>
        <v>0</v>
      </c>
      <c r="L74" s="466">
        <f t="shared" si="17"/>
        <v>0</v>
      </c>
      <c r="M74" s="467"/>
      <c r="N74" s="467"/>
      <c r="O74" s="466">
        <f t="shared" si="18"/>
        <v>0</v>
      </c>
      <c r="P74" s="468"/>
      <c r="Q74" s="486">
        <f t="shared" si="19"/>
        <v>0</v>
      </c>
      <c r="R74" s="486"/>
      <c r="S74" s="466">
        <f t="shared" si="20"/>
        <v>0</v>
      </c>
      <c r="T74" s="1"/>
      <c r="U74" s="1"/>
      <c r="V74" s="1"/>
      <c r="W74" s="1"/>
      <c r="X74" s="1"/>
      <c r="Y74" s="1"/>
      <c r="Z74" s="1"/>
      <c r="AA74" s="1"/>
    </row>
    <row r="75" spans="2:27">
      <c r="B75" s="337"/>
      <c r="C75" s="470"/>
      <c r="D75" s="462"/>
      <c r="E75" s="325"/>
      <c r="F75" s="463"/>
      <c r="G75" s="464">
        <f>IF(E75=0,0,IF(E75="MXN",1/HLOOKUP(YEAR(D75)+(MONTH(D75)/100),TC!$5:$437,DAY(D75)+2,FALSE),VLOOKUP(E75,Equivalencia!$1:$23,((MAX(Equivalencia!$3:$3)-YEAR(D75))*14)+MONTH(D75)+2,FALSE)))</f>
        <v>0</v>
      </c>
      <c r="H75" s="465">
        <f t="shared" si="14"/>
        <v>0</v>
      </c>
      <c r="I75" s="466">
        <f t="shared" si="15"/>
        <v>0</v>
      </c>
      <c r="J75" s="466">
        <f t="shared" si="16"/>
        <v>0</v>
      </c>
      <c r="K75" s="553">
        <f>+IF(D75=0,0,HLOOKUP(YEAR(D75)+(MONTH(D75)/100),TC!$5:$37,DAY(D75)+2,FALSE))</f>
        <v>0</v>
      </c>
      <c r="L75" s="466">
        <f t="shared" si="17"/>
        <v>0</v>
      </c>
      <c r="M75" s="467"/>
      <c r="N75" s="467"/>
      <c r="O75" s="466">
        <f t="shared" si="18"/>
        <v>0</v>
      </c>
      <c r="P75" s="468"/>
      <c r="Q75" s="486">
        <f t="shared" si="19"/>
        <v>0</v>
      </c>
      <c r="R75" s="486"/>
      <c r="S75" s="466">
        <f t="shared" si="20"/>
        <v>0</v>
      </c>
      <c r="T75" s="1"/>
      <c r="U75" s="1"/>
      <c r="V75" s="1"/>
      <c r="W75" s="1"/>
      <c r="X75" s="1"/>
      <c r="Y75" s="1"/>
      <c r="Z75" s="1"/>
      <c r="AA75" s="1"/>
    </row>
    <row r="76" spans="2:27">
      <c r="B76" s="337"/>
      <c r="C76" s="470"/>
      <c r="D76" s="462"/>
      <c r="E76" s="325"/>
      <c r="F76" s="463"/>
      <c r="G76" s="464">
        <f>IF(E76=0,0,IF(E76="MXN",1/HLOOKUP(YEAR(D76)+(MONTH(D76)/100),TC!$5:$437,DAY(D76)+2,FALSE),VLOOKUP(E76,Equivalencia!$1:$23,((MAX(Equivalencia!$3:$3)-YEAR(D76))*14)+MONTH(D76)+2,FALSE)))</f>
        <v>0</v>
      </c>
      <c r="H76" s="465">
        <f t="shared" si="14"/>
        <v>0</v>
      </c>
      <c r="I76" s="466">
        <f t="shared" si="15"/>
        <v>0</v>
      </c>
      <c r="J76" s="466">
        <f t="shared" si="16"/>
        <v>0</v>
      </c>
      <c r="K76" s="553">
        <f>+IF(D76=0,0,HLOOKUP(YEAR(D76)+(MONTH(D76)/100),TC!$5:$37,DAY(D76)+2,FALSE))</f>
        <v>0</v>
      </c>
      <c r="L76" s="466">
        <f t="shared" si="17"/>
        <v>0</v>
      </c>
      <c r="M76" s="467"/>
      <c r="N76" s="467"/>
      <c r="O76" s="466">
        <f t="shared" si="18"/>
        <v>0</v>
      </c>
      <c r="P76" s="468"/>
      <c r="Q76" s="486">
        <f t="shared" si="19"/>
        <v>0</v>
      </c>
      <c r="R76" s="486"/>
      <c r="S76" s="466">
        <f t="shared" si="20"/>
        <v>0</v>
      </c>
      <c r="T76" s="1"/>
      <c r="U76" s="1"/>
      <c r="V76" s="1"/>
      <c r="W76" s="1"/>
      <c r="X76" s="1"/>
      <c r="Y76" s="1"/>
      <c r="Z76" s="1"/>
      <c r="AA76" s="1"/>
    </row>
    <row r="77" spans="2:27">
      <c r="B77" s="337"/>
      <c r="C77" s="470"/>
      <c r="D77" s="462"/>
      <c r="E77" s="325"/>
      <c r="F77" s="463"/>
      <c r="G77" s="464">
        <f>IF(E77=0,0,IF(E77="MXN",1/HLOOKUP(YEAR(D77)+(MONTH(D77)/100),TC!$5:$437,DAY(D77)+2,FALSE),VLOOKUP(E77,Equivalencia!$1:$23,((MAX(Equivalencia!$3:$3)-YEAR(D77))*14)+MONTH(D77)+2,FALSE)))</f>
        <v>0</v>
      </c>
      <c r="H77" s="465">
        <f t="shared" si="14"/>
        <v>0</v>
      </c>
      <c r="I77" s="466">
        <f t="shared" si="15"/>
        <v>0</v>
      </c>
      <c r="J77" s="466">
        <f t="shared" si="16"/>
        <v>0</v>
      </c>
      <c r="K77" s="553">
        <f>+IF(D77=0,0,HLOOKUP(YEAR(D77)+(MONTH(D77)/100),TC!$5:$37,DAY(D77)+2,FALSE))</f>
        <v>0</v>
      </c>
      <c r="L77" s="466">
        <f t="shared" si="17"/>
        <v>0</v>
      </c>
      <c r="M77" s="467"/>
      <c r="N77" s="467"/>
      <c r="O77" s="466">
        <f>IF(F77="",0,H77+M77+N77+O76)</f>
        <v>0</v>
      </c>
      <c r="P77" s="468"/>
      <c r="Q77" s="486">
        <f t="shared" si="19"/>
        <v>0</v>
      </c>
      <c r="R77" s="486"/>
      <c r="S77" s="466">
        <f t="shared" si="20"/>
        <v>0</v>
      </c>
      <c r="T77" s="1"/>
      <c r="U77" s="1"/>
      <c r="V77" s="1"/>
      <c r="W77" s="1"/>
      <c r="X77" s="1"/>
      <c r="Y77" s="1"/>
      <c r="Z77" s="1"/>
      <c r="AA77" s="1"/>
    </row>
    <row r="78" spans="2:27">
      <c r="B78" s="337"/>
      <c r="C78" s="67"/>
      <c r="D78" s="644"/>
      <c r="E78" s="337"/>
      <c r="F78" s="645"/>
      <c r="G78" s="464">
        <f>IF(E78=0,0,IF(E78="MXN",1/HLOOKUP(YEAR(D78)+(MONTH(D78)/100),TC!$5:$437,DAY(D78)+2,FALSE),VLOOKUP(E78,Equivalencia!$1:$23,((MAX(Equivalencia!$3:$3)-YEAR(D78))*14)+MONTH(D78)+2,FALSE)))</f>
        <v>0</v>
      </c>
      <c r="H78" s="646">
        <f t="shared" si="14"/>
        <v>0</v>
      </c>
      <c r="I78" s="647">
        <f t="shared" si="15"/>
        <v>0</v>
      </c>
      <c r="J78" s="647">
        <f t="shared" si="16"/>
        <v>0</v>
      </c>
      <c r="K78" s="553">
        <f>+IF(D78=0,0,HLOOKUP(YEAR(D78)+(MONTH(D78)/100),TC!$5:$37,DAY(D78)+2,FALSE))</f>
        <v>0</v>
      </c>
      <c r="L78" s="466">
        <f t="shared" si="17"/>
        <v>0</v>
      </c>
      <c r="M78" s="467"/>
      <c r="N78" s="467"/>
      <c r="O78" s="466">
        <f>IF(F78="",0,H78+M78+N78+O77)</f>
        <v>0</v>
      </c>
      <c r="P78" s="468"/>
      <c r="Q78" s="486">
        <f t="shared" si="19"/>
        <v>0</v>
      </c>
      <c r="R78" s="486"/>
      <c r="S78" s="466">
        <f t="shared" si="20"/>
        <v>0</v>
      </c>
      <c r="T78" s="1"/>
      <c r="U78" s="1"/>
      <c r="V78" s="1"/>
      <c r="W78" s="1"/>
      <c r="X78" s="1"/>
      <c r="Y78" s="1"/>
      <c r="Z78" s="1"/>
      <c r="AA78" s="1"/>
    </row>
    <row r="79" spans="2:27">
      <c r="B79" s="648"/>
      <c r="C79" s="649"/>
      <c r="D79" s="650"/>
      <c r="E79" s="648"/>
      <c r="F79" s="651"/>
      <c r="G79" s="652">
        <f>IF(E79=0,0,IF(E79="MXN",1/HLOOKUP(YEAR(D79)+(MONTH(D79)/100),TC!$5:$437,DAY(D79)+2,FALSE),VLOOKUP(E79,Equivalencia!$1:$23,((MAX(Equivalencia!$3:$3)-YEAR(D79))*14)+MONTH(D79)+2,FALSE)))</f>
        <v>0</v>
      </c>
      <c r="H79" s="653">
        <f t="shared" si="14"/>
        <v>0</v>
      </c>
      <c r="I79" s="654">
        <f t="shared" si="15"/>
        <v>0</v>
      </c>
      <c r="J79" s="654">
        <f t="shared" si="16"/>
        <v>0</v>
      </c>
      <c r="K79" s="553">
        <f>+IF(D79=0,0,HLOOKUP(YEAR(D79)+(MONTH(D79)/100),TC!$5:$37,DAY(D79)+2,FALSE))</f>
        <v>0</v>
      </c>
      <c r="L79" s="466">
        <f t="shared" si="17"/>
        <v>0</v>
      </c>
      <c r="M79" s="467"/>
      <c r="N79" s="467"/>
      <c r="O79" s="466">
        <f>IF(F79="",0,H79+M79+N79+O78)</f>
        <v>0</v>
      </c>
      <c r="P79" s="468"/>
      <c r="Q79" s="486">
        <f t="shared" si="19"/>
        <v>0</v>
      </c>
      <c r="R79" s="486"/>
      <c r="S79" s="466">
        <f t="shared" si="20"/>
        <v>0</v>
      </c>
      <c r="T79" s="1"/>
      <c r="U79" s="1"/>
      <c r="V79" s="1"/>
      <c r="W79" s="1"/>
      <c r="X79" s="1"/>
      <c r="Y79" s="1"/>
      <c r="Z79" s="1"/>
      <c r="AA79" s="1"/>
    </row>
    <row r="80" spans="2:27">
      <c r="B80" s="3"/>
      <c r="C80" s="1"/>
      <c r="D80" s="1"/>
      <c r="E80" s="1"/>
      <c r="F80" s="1"/>
      <c r="G80" s="3"/>
      <c r="H80" s="471"/>
      <c r="I80" s="448"/>
      <c r="J80" s="448"/>
      <c r="K80" s="448"/>
      <c r="L80" s="448"/>
      <c r="M80" s="447"/>
      <c r="N80" s="447"/>
      <c r="O80" s="448"/>
      <c r="P80" s="448"/>
      <c r="Q80" s="448"/>
      <c r="R80" s="448"/>
      <c r="S80" s="448"/>
      <c r="T80" s="1"/>
      <c r="U80" s="1"/>
      <c r="V80" s="1"/>
      <c r="W80" s="1"/>
      <c r="X80" s="1"/>
      <c r="Y80" s="1"/>
      <c r="Z80" s="1"/>
      <c r="AA80" s="1"/>
    </row>
    <row r="81" spans="2:27">
      <c r="B81" s="3"/>
      <c r="C81" s="1"/>
      <c r="D81" s="1"/>
      <c r="E81" s="1"/>
      <c r="F81" s="1"/>
      <c r="G81" s="3"/>
      <c r="H81" s="472"/>
      <c r="I81" s="473"/>
      <c r="J81" s="474"/>
      <c r="K81" s="474"/>
      <c r="L81" s="474">
        <f>SUM(L68:L79)</f>
        <v>0</v>
      </c>
      <c r="M81" s="475"/>
      <c r="N81" s="475"/>
      <c r="O81" s="473"/>
      <c r="P81" s="473"/>
      <c r="Q81" s="473"/>
      <c r="R81" s="473"/>
      <c r="S81" s="474">
        <f>+SUMIF(S68:S80,"&gt;0",S68:S80)</f>
        <v>0</v>
      </c>
      <c r="T81" s="1"/>
      <c r="U81" s="1"/>
      <c r="V81" s="474">
        <f>+L81</f>
        <v>0</v>
      </c>
      <c r="W81" s="474">
        <f>+S81</f>
        <v>0</v>
      </c>
      <c r="X81" s="474">
        <f>+V81+W81</f>
        <v>0</v>
      </c>
      <c r="Y81" s="1"/>
      <c r="Z81" s="1"/>
      <c r="AA81" s="1"/>
    </row>
    <row r="82" spans="2:27">
      <c r="B82" s="3"/>
      <c r="C82" s="1"/>
      <c r="D82" s="1"/>
      <c r="E82" s="1"/>
      <c r="F82" s="1"/>
      <c r="G82" s="3"/>
      <c r="H82" s="134"/>
      <c r="I82" s="448"/>
      <c r="J82" s="448"/>
      <c r="K82" s="448"/>
      <c r="L82" s="448"/>
      <c r="M82" s="447"/>
      <c r="N82" s="447"/>
      <c r="O82" s="448"/>
      <c r="P82" s="448"/>
      <c r="Q82" s="448"/>
      <c r="R82" s="448"/>
      <c r="S82" s="448"/>
      <c r="T82" s="1"/>
      <c r="U82" s="1"/>
      <c r="V82" s="1"/>
      <c r="W82" s="1"/>
      <c r="X82" s="1"/>
      <c r="Y82" s="1"/>
      <c r="Z82" s="1"/>
      <c r="AA82" s="1"/>
    </row>
    <row r="83" spans="2:27">
      <c r="B83" s="1"/>
      <c r="C83" s="1"/>
      <c r="D83" s="1"/>
      <c r="E83" s="1"/>
      <c r="F83" s="1"/>
      <c r="G83" s="3"/>
      <c r="H83" s="134"/>
      <c r="I83" s="448"/>
      <c r="J83" s="448"/>
      <c r="K83" s="448"/>
      <c r="L83" s="448"/>
      <c r="M83" s="447"/>
      <c r="N83" s="447"/>
      <c r="O83" s="448"/>
      <c r="P83" s="476"/>
      <c r="Q83" s="476"/>
      <c r="R83" s="476"/>
      <c r="S83" s="477" t="s">
        <v>574</v>
      </c>
      <c r="T83" s="478">
        <f>+L81+S81</f>
        <v>0</v>
      </c>
      <c r="U83" s="1"/>
      <c r="V83" s="1"/>
      <c r="W83" s="1"/>
      <c r="X83" s="1"/>
      <c r="Y83" s="1"/>
      <c r="Z83" s="1"/>
      <c r="AA83" s="1"/>
    </row>
    <row r="84" spans="2:27">
      <c r="B84" s="1"/>
      <c r="C84" s="1"/>
      <c r="D84" s="1"/>
      <c r="E84" s="1"/>
      <c r="F84" s="1"/>
      <c r="G84" s="3"/>
      <c r="H84" s="134"/>
      <c r="I84" s="448"/>
      <c r="J84" s="448"/>
      <c r="K84" s="448"/>
      <c r="L84" s="448"/>
      <c r="M84" s="447"/>
      <c r="N84" s="447"/>
      <c r="O84" s="448"/>
      <c r="P84" s="448"/>
      <c r="Q84" s="448"/>
      <c r="R84" s="448"/>
      <c r="S84" s="448"/>
      <c r="T84" s="1"/>
      <c r="U84" s="1"/>
      <c r="V84" s="1"/>
      <c r="W84" s="1"/>
      <c r="X84" s="1"/>
      <c r="Y84" s="1"/>
      <c r="Z84" s="1"/>
      <c r="AA84" s="1"/>
    </row>
    <row r="85" spans="2:27">
      <c r="B85" s="440"/>
      <c r="C85" s="440"/>
      <c r="D85" s="440"/>
      <c r="E85" s="440"/>
      <c r="F85" s="440"/>
      <c r="G85" s="440"/>
      <c r="H85" s="441"/>
      <c r="I85" s="442"/>
      <c r="J85" s="442"/>
      <c r="K85" s="442"/>
      <c r="L85" s="442"/>
      <c r="M85" s="443"/>
      <c r="N85" s="443"/>
      <c r="O85" s="442"/>
      <c r="P85" s="442"/>
      <c r="Q85" s="442"/>
      <c r="R85" s="442"/>
      <c r="S85" s="442"/>
      <c r="T85" s="1"/>
      <c r="U85" s="1"/>
      <c r="V85" s="1"/>
      <c r="W85" s="1"/>
      <c r="X85" s="1"/>
      <c r="Y85" s="1"/>
      <c r="Z85" s="1"/>
      <c r="AA85" s="1"/>
    </row>
    <row r="86" spans="2:27">
      <c r="B86" s="444"/>
      <c r="C86" s="444"/>
      <c r="D86" s="444"/>
      <c r="E86" s="444"/>
      <c r="F86" s="444"/>
      <c r="G86" s="444"/>
      <c r="H86" s="445"/>
      <c r="I86" s="446"/>
      <c r="J86" s="446"/>
      <c r="K86" s="446"/>
      <c r="L86" s="446"/>
      <c r="M86" s="447"/>
      <c r="N86" s="447"/>
      <c r="O86" s="448"/>
      <c r="P86" s="448"/>
      <c r="Q86" s="448"/>
      <c r="R86" s="448"/>
      <c r="S86" s="448"/>
      <c r="T86" s="1"/>
      <c r="U86" s="1"/>
      <c r="V86" s="1"/>
      <c r="W86" s="1"/>
      <c r="X86" s="1"/>
      <c r="Y86" s="1"/>
      <c r="Z86" s="1"/>
      <c r="AA86" s="1"/>
    </row>
    <row r="87" spans="2:27">
      <c r="B87" s="385" t="s">
        <v>569</v>
      </c>
      <c r="C87" s="385"/>
      <c r="D87" s="1"/>
      <c r="E87" s="385"/>
      <c r="F87" s="385"/>
      <c r="G87" s="388"/>
      <c r="H87" s="449"/>
      <c r="I87" s="450"/>
      <c r="J87" s="450"/>
      <c r="K87" s="450"/>
      <c r="L87" s="450"/>
      <c r="M87" s="447"/>
      <c r="N87" s="447"/>
      <c r="O87" s="448"/>
      <c r="P87" s="448"/>
      <c r="Q87" s="448"/>
      <c r="R87" s="448"/>
      <c r="S87" s="448"/>
      <c r="T87" s="1"/>
      <c r="U87" s="1"/>
      <c r="V87" s="1"/>
      <c r="W87" s="1"/>
      <c r="X87" s="1"/>
      <c r="Y87" s="1"/>
      <c r="Z87" s="1"/>
      <c r="AA87" s="1"/>
    </row>
    <row r="88" spans="2:27">
      <c r="B88" s="385" t="s">
        <v>570</v>
      </c>
      <c r="C88" s="385"/>
      <c r="D88" s="1"/>
      <c r="E88" s="385"/>
      <c r="F88" s="385"/>
      <c r="G88" s="388"/>
      <c r="H88" s="451"/>
      <c r="I88" s="448"/>
      <c r="J88" s="448"/>
      <c r="K88" s="448"/>
      <c r="L88" s="448"/>
      <c r="M88" s="447"/>
      <c r="N88" s="447"/>
      <c r="O88" s="448"/>
      <c r="P88" s="448"/>
      <c r="Q88" s="448"/>
      <c r="R88" s="448"/>
      <c r="S88" s="448"/>
      <c r="T88" s="1"/>
      <c r="U88" s="1"/>
      <c r="V88" s="1"/>
      <c r="W88" s="1"/>
      <c r="X88" s="1"/>
      <c r="Y88" s="1"/>
      <c r="Z88" s="1"/>
      <c r="AA88" s="1"/>
    </row>
    <row r="89" spans="2:27">
      <c r="B89" s="385" t="s">
        <v>571</v>
      </c>
      <c r="C89" s="385"/>
      <c r="D89" s="1"/>
      <c r="E89" s="385"/>
      <c r="F89" s="385"/>
      <c r="G89" s="388"/>
      <c r="H89" s="452"/>
      <c r="I89" s="448"/>
      <c r="J89" s="448"/>
      <c r="K89" s="448"/>
      <c r="L89" s="448"/>
      <c r="M89" s="447"/>
      <c r="N89" s="447"/>
      <c r="O89" s="448"/>
      <c r="P89" s="448"/>
      <c r="Q89" s="448"/>
      <c r="R89" s="448"/>
      <c r="S89" s="448"/>
      <c r="T89" s="1"/>
      <c r="U89" s="1"/>
      <c r="V89" s="1"/>
      <c r="W89" s="1"/>
      <c r="X89" s="1"/>
      <c r="Y89" s="1"/>
      <c r="Z89" s="1"/>
      <c r="AA89" s="1"/>
    </row>
    <row r="90" spans="2:27">
      <c r="B90" s="385" t="s">
        <v>572</v>
      </c>
      <c r="C90" s="385"/>
      <c r="D90" s="1"/>
      <c r="E90" s="385"/>
      <c r="F90" s="385"/>
      <c r="G90" s="388"/>
      <c r="H90" s="453"/>
      <c r="I90" s="448"/>
      <c r="J90" s="448"/>
      <c r="K90" s="448"/>
      <c r="L90" s="448"/>
      <c r="M90" s="447"/>
      <c r="N90" s="447"/>
      <c r="O90" s="448"/>
      <c r="P90" s="448"/>
      <c r="Q90" s="448"/>
      <c r="R90" s="448"/>
      <c r="S90" s="448"/>
      <c r="T90" s="1"/>
      <c r="U90" s="1"/>
      <c r="V90" s="1"/>
      <c r="W90" s="1"/>
      <c r="X90" s="1"/>
      <c r="Y90" s="1"/>
      <c r="Z90" s="1"/>
      <c r="AA90" s="1"/>
    </row>
    <row r="91" spans="2:27">
      <c r="B91" s="385"/>
      <c r="C91" s="385"/>
      <c r="D91" s="1"/>
      <c r="E91" s="388"/>
      <c r="F91" s="388"/>
      <c r="G91" s="388"/>
      <c r="H91" s="454"/>
      <c r="I91" s="448"/>
      <c r="J91" s="448"/>
      <c r="K91" s="448"/>
      <c r="L91" s="448"/>
      <c r="M91" s="447"/>
      <c r="N91" s="447"/>
      <c r="O91" s="448"/>
      <c r="P91" s="448"/>
      <c r="Q91" s="448"/>
      <c r="R91" s="448"/>
      <c r="S91" s="448"/>
      <c r="T91" s="1"/>
      <c r="U91" s="1"/>
      <c r="V91" s="1"/>
      <c r="W91" s="1"/>
      <c r="X91" s="1"/>
      <c r="Y91" s="1"/>
      <c r="Z91" s="1"/>
      <c r="AA91" s="1"/>
    </row>
    <row r="92" spans="2:27">
      <c r="B92" s="455" t="s">
        <v>573</v>
      </c>
      <c r="C92" s="455"/>
      <c r="D92" s="456"/>
      <c r="E92" s="456"/>
      <c r="F92" s="456"/>
      <c r="G92" s="456"/>
      <c r="H92" s="457"/>
      <c r="I92" s="458"/>
      <c r="J92" s="458"/>
      <c r="K92" s="458"/>
      <c r="L92" s="458"/>
      <c r="M92" s="459"/>
      <c r="N92" s="459"/>
      <c r="O92" s="458"/>
      <c r="P92" s="458"/>
      <c r="Q92" s="458"/>
      <c r="R92" s="458"/>
      <c r="S92" s="458"/>
      <c r="T92" s="1"/>
      <c r="U92" s="1"/>
      <c r="V92" s="1"/>
      <c r="W92" s="1"/>
      <c r="X92" s="1"/>
      <c r="Y92" s="1"/>
      <c r="Z92" s="1"/>
      <c r="AA92" s="1"/>
    </row>
    <row r="93" spans="2:27">
      <c r="B93" s="338"/>
      <c r="C93" s="324"/>
      <c r="D93" s="324"/>
      <c r="E93" s="324"/>
      <c r="F93" s="324"/>
      <c r="G93" s="338"/>
      <c r="H93" s="460"/>
      <c r="I93" s="461"/>
      <c r="J93" s="461"/>
      <c r="K93" s="461"/>
      <c r="L93" s="461"/>
      <c r="M93" s="447"/>
      <c r="N93" s="447"/>
      <c r="O93" s="448"/>
      <c r="P93" s="448"/>
      <c r="Q93" s="448"/>
      <c r="R93" s="448"/>
      <c r="S93" s="448"/>
      <c r="T93" s="1"/>
      <c r="U93" s="1"/>
      <c r="V93" s="1"/>
      <c r="W93" s="1"/>
      <c r="X93" s="1"/>
      <c r="Y93" s="1"/>
      <c r="Z93" s="1"/>
      <c r="AA93" s="1"/>
    </row>
    <row r="94" spans="2:27">
      <c r="B94" s="337"/>
      <c r="C94" s="67"/>
      <c r="D94" s="462"/>
      <c r="E94" s="325"/>
      <c r="F94" s="463"/>
      <c r="G94" s="464">
        <f>IF(E94=0,0,IF(E94="MXN",1/HLOOKUP(YEAR(D94)+(MONTH(D94)/100),TC!$5:$437,DAY(D94)+2,FALSE),VLOOKUP(E94,Equivalencia!$1:$23,((MAX(Equivalencia!$3:$3)-YEAR(D94))*14)+MONTH(D94)+2,FALSE)))</f>
        <v>0</v>
      </c>
      <c r="H94" s="465">
        <f>+G94*F94</f>
        <v>0</v>
      </c>
      <c r="I94" s="466">
        <f>H92+H94</f>
        <v>0</v>
      </c>
      <c r="J94" s="466">
        <f>+IF(H94&lt;0,0,IF(AND(H92&lt;0,I94&lt;0),0,IF(H92&lt;0,H94+H92,H94)))</f>
        <v>0</v>
      </c>
      <c r="K94" s="553">
        <f>+IF(D94=0,0,HLOOKUP(YEAR(D94)+(MONTH(D94)/100),TC!$5:$37,DAY(D94)+2,FALSE))</f>
        <v>0</v>
      </c>
      <c r="L94" s="466">
        <f>+J94*K94</f>
        <v>0</v>
      </c>
      <c r="M94" s="467"/>
      <c r="N94" s="467"/>
      <c r="O94" s="466">
        <f>IF(F94="",0,I94+M94+N94)</f>
        <v>0</v>
      </c>
      <c r="P94" s="468"/>
      <c r="Q94" s="486">
        <f>IF(O94=P94,0,IF(P94="",0,O94-P94))</f>
        <v>0</v>
      </c>
      <c r="R94" s="486"/>
      <c r="S94" s="466">
        <f>+IF(P94="",0,R94*Q94)</f>
        <v>0</v>
      </c>
      <c r="T94" s="1"/>
      <c r="U94" s="1"/>
      <c r="V94" s="1"/>
      <c r="W94" s="1"/>
      <c r="X94" s="1"/>
      <c r="Y94" s="1"/>
      <c r="Z94" s="1"/>
      <c r="AA94" s="1"/>
    </row>
    <row r="95" spans="2:27">
      <c r="B95" s="337"/>
      <c r="C95" s="469"/>
      <c r="D95" s="462"/>
      <c r="E95" s="325"/>
      <c r="F95" s="463"/>
      <c r="G95" s="464">
        <f>IF(E95=0,0,IF(E95="MXN",1/HLOOKUP(YEAR(D95)+(MONTH(D95)/100),TC!$5:$437,DAY(D95)+2,FALSE),VLOOKUP(E95,Equivalencia!$1:$23,((MAX(Equivalencia!$3:$3)-YEAR(D95))*14)+MONTH(D95)+2,FALSE)))</f>
        <v>0</v>
      </c>
      <c r="H95" s="465">
        <f t="shared" ref="H95:H105" si="21">+G95*F95</f>
        <v>0</v>
      </c>
      <c r="I95" s="466">
        <f t="shared" ref="I95:I105" si="22">I94+H95+Q94</f>
        <v>0</v>
      </c>
      <c r="J95" s="466">
        <f t="shared" ref="J95:J105" si="23">+IF(H95&lt;0,0,IF(AND(I94&lt;0,I95&lt;0),0,IF(I94&lt;0,H95+I94,H95)))</f>
        <v>0</v>
      </c>
      <c r="K95" s="553">
        <f>+IF(D95=0,0,HLOOKUP(YEAR(D95)+(MONTH(D95)/100),TC!$5:$37,DAY(D95)+2,FALSE))</f>
        <v>0</v>
      </c>
      <c r="L95" s="466">
        <f t="shared" ref="L95:L105" si="24">+J95*K95</f>
        <v>0</v>
      </c>
      <c r="M95" s="467"/>
      <c r="N95" s="467"/>
      <c r="O95" s="466">
        <f t="shared" ref="O95:O102" si="25">IF(F95="",0,H95+M95+N95+O94)</f>
        <v>0</v>
      </c>
      <c r="P95" s="468"/>
      <c r="Q95" s="486">
        <f t="shared" ref="Q95:Q105" si="26">IF(O95=P95,0,IF(P95="",0,O95-P95))</f>
        <v>0</v>
      </c>
      <c r="R95" s="486"/>
      <c r="S95" s="466">
        <f t="shared" ref="S95:S105" si="27">+IF(P95="",0,R95*Q95)</f>
        <v>0</v>
      </c>
      <c r="T95" s="1"/>
      <c r="U95" s="1"/>
      <c r="V95" s="1"/>
      <c r="W95" s="1"/>
      <c r="X95" s="1"/>
      <c r="Y95" s="1"/>
      <c r="Z95" s="1"/>
      <c r="AA95" s="1"/>
    </row>
    <row r="96" spans="2:27">
      <c r="B96" s="337"/>
      <c r="C96" s="469"/>
      <c r="D96" s="462"/>
      <c r="E96" s="325"/>
      <c r="F96" s="463"/>
      <c r="G96" s="464">
        <f>IF(E96=0,0,IF(E96="MXN",1/HLOOKUP(YEAR(D96)+(MONTH(D96)/100),TC!$5:$437,DAY(D96)+2,FALSE),VLOOKUP(E96,Equivalencia!$1:$23,((MAX(Equivalencia!$3:$3)-YEAR(D96))*14)+MONTH(D96)+2,FALSE)))</f>
        <v>0</v>
      </c>
      <c r="H96" s="465">
        <f t="shared" si="21"/>
        <v>0</v>
      </c>
      <c r="I96" s="466">
        <f t="shared" si="22"/>
        <v>0</v>
      </c>
      <c r="J96" s="466">
        <f t="shared" si="23"/>
        <v>0</v>
      </c>
      <c r="K96" s="553">
        <f>+IF(D96=0,0,HLOOKUP(YEAR(D96)+(MONTH(D96)/100),TC!$5:$37,DAY(D96)+2,FALSE))</f>
        <v>0</v>
      </c>
      <c r="L96" s="466">
        <f t="shared" si="24"/>
        <v>0</v>
      </c>
      <c r="M96" s="467"/>
      <c r="N96" s="467"/>
      <c r="O96" s="466">
        <f t="shared" si="25"/>
        <v>0</v>
      </c>
      <c r="P96" s="468"/>
      <c r="Q96" s="486">
        <f t="shared" si="26"/>
        <v>0</v>
      </c>
      <c r="R96" s="486"/>
      <c r="S96" s="466">
        <f t="shared" si="27"/>
        <v>0</v>
      </c>
      <c r="T96" s="1"/>
      <c r="U96" s="1"/>
      <c r="V96" s="1"/>
      <c r="W96" s="1"/>
      <c r="X96" s="1"/>
      <c r="Y96" s="1"/>
      <c r="Z96" s="1"/>
      <c r="AA96" s="1"/>
    </row>
    <row r="97" spans="2:27">
      <c r="B97" s="337"/>
      <c r="C97" s="469"/>
      <c r="D97" s="462"/>
      <c r="E97" s="325"/>
      <c r="F97" s="463"/>
      <c r="G97" s="464">
        <f>IF(E97=0,0,IF(E97="MXN",1/HLOOKUP(YEAR(D97)+(MONTH(D97)/100),TC!$5:$437,DAY(D97)+2,FALSE),VLOOKUP(E97,Equivalencia!$1:$23,((MAX(Equivalencia!$3:$3)-YEAR(D97))*14)+MONTH(D97)+2,FALSE)))</f>
        <v>0</v>
      </c>
      <c r="H97" s="465">
        <f t="shared" si="21"/>
        <v>0</v>
      </c>
      <c r="I97" s="466">
        <f t="shared" si="22"/>
        <v>0</v>
      </c>
      <c r="J97" s="466">
        <f t="shared" si="23"/>
        <v>0</v>
      </c>
      <c r="K97" s="553">
        <f>+IF(D97=0,0,HLOOKUP(YEAR(D97)+(MONTH(D97)/100),TC!$5:$37,DAY(D97)+2,FALSE))</f>
        <v>0</v>
      </c>
      <c r="L97" s="466">
        <f t="shared" si="24"/>
        <v>0</v>
      </c>
      <c r="M97" s="467"/>
      <c r="N97" s="467"/>
      <c r="O97" s="466">
        <f t="shared" si="25"/>
        <v>0</v>
      </c>
      <c r="P97" s="468"/>
      <c r="Q97" s="486">
        <f t="shared" si="26"/>
        <v>0</v>
      </c>
      <c r="R97" s="486"/>
      <c r="S97" s="466">
        <f t="shared" si="27"/>
        <v>0</v>
      </c>
      <c r="T97" s="1"/>
      <c r="U97" s="1"/>
      <c r="V97" s="1"/>
      <c r="W97" s="1"/>
      <c r="X97" s="1"/>
      <c r="Y97" s="1"/>
      <c r="Z97" s="1"/>
      <c r="AA97" s="1"/>
    </row>
    <row r="98" spans="2:27">
      <c r="B98" s="337"/>
      <c r="C98" s="470"/>
      <c r="D98" s="462"/>
      <c r="E98" s="325"/>
      <c r="F98" s="463"/>
      <c r="G98" s="464">
        <f>IF(E98=0,0,IF(E98="MXN",1/HLOOKUP(YEAR(D98)+(MONTH(D98)/100),TC!$5:$437,DAY(D98)+2,FALSE),VLOOKUP(E98,Equivalencia!$1:$23,((MAX(Equivalencia!$3:$3)-YEAR(D98))*14)+MONTH(D98)+2,FALSE)))</f>
        <v>0</v>
      </c>
      <c r="H98" s="465">
        <f t="shared" si="21"/>
        <v>0</v>
      </c>
      <c r="I98" s="466">
        <f t="shared" si="22"/>
        <v>0</v>
      </c>
      <c r="J98" s="466">
        <f t="shared" si="23"/>
        <v>0</v>
      </c>
      <c r="K98" s="553">
        <f>+IF(D98=0,0,HLOOKUP(YEAR(D98)+(MONTH(D98)/100),TC!$5:$37,DAY(D98)+2,FALSE))</f>
        <v>0</v>
      </c>
      <c r="L98" s="466">
        <f t="shared" si="24"/>
        <v>0</v>
      </c>
      <c r="M98" s="467"/>
      <c r="N98" s="467"/>
      <c r="O98" s="466">
        <f t="shared" si="25"/>
        <v>0</v>
      </c>
      <c r="P98" s="468"/>
      <c r="Q98" s="486">
        <f t="shared" si="26"/>
        <v>0</v>
      </c>
      <c r="R98" s="486"/>
      <c r="S98" s="466">
        <f t="shared" si="27"/>
        <v>0</v>
      </c>
      <c r="T98" s="1"/>
      <c r="U98" s="1"/>
      <c r="V98" s="1"/>
      <c r="W98" s="1"/>
      <c r="X98" s="1"/>
      <c r="Y98" s="1"/>
      <c r="Z98" s="1"/>
      <c r="AA98" s="1"/>
    </row>
    <row r="99" spans="2:27">
      <c r="B99" s="337"/>
      <c r="C99" s="470"/>
      <c r="D99" s="462"/>
      <c r="E99" s="325"/>
      <c r="F99" s="463"/>
      <c r="G99" s="464">
        <f>IF(E99=0,0,IF(E99="MXN",1/HLOOKUP(YEAR(D99)+(MONTH(D99)/100),TC!$5:$437,DAY(D99)+2,FALSE),VLOOKUP(E99,Equivalencia!$1:$23,((MAX(Equivalencia!$3:$3)-YEAR(D99))*14)+MONTH(D99)+2,FALSE)))</f>
        <v>0</v>
      </c>
      <c r="H99" s="465">
        <f t="shared" si="21"/>
        <v>0</v>
      </c>
      <c r="I99" s="466">
        <f t="shared" si="22"/>
        <v>0</v>
      </c>
      <c r="J99" s="466">
        <f t="shared" si="23"/>
        <v>0</v>
      </c>
      <c r="K99" s="553">
        <f>+IF(D99=0,0,HLOOKUP(YEAR(D99)+(MONTH(D99)/100),TC!$5:$37,DAY(D99)+2,FALSE))</f>
        <v>0</v>
      </c>
      <c r="L99" s="466">
        <f t="shared" si="24"/>
        <v>0</v>
      </c>
      <c r="M99" s="467"/>
      <c r="N99" s="467"/>
      <c r="O99" s="466">
        <f t="shared" si="25"/>
        <v>0</v>
      </c>
      <c r="P99" s="468"/>
      <c r="Q99" s="486">
        <f t="shared" si="26"/>
        <v>0</v>
      </c>
      <c r="R99" s="486"/>
      <c r="S99" s="466">
        <f t="shared" si="27"/>
        <v>0</v>
      </c>
      <c r="T99" s="1"/>
      <c r="U99" s="1"/>
      <c r="V99" s="1"/>
      <c r="W99" s="1"/>
      <c r="X99" s="1"/>
      <c r="Y99" s="1"/>
      <c r="Z99" s="1"/>
      <c r="AA99" s="1"/>
    </row>
    <row r="100" spans="2:27">
      <c r="B100" s="337"/>
      <c r="C100" s="470"/>
      <c r="D100" s="462"/>
      <c r="E100" s="325"/>
      <c r="F100" s="463"/>
      <c r="G100" s="464">
        <f>IF(E100=0,0,IF(E100="MXN",1/HLOOKUP(YEAR(D100)+(MONTH(D100)/100),TC!$5:$437,DAY(D100)+2,FALSE),VLOOKUP(E100,Equivalencia!$1:$23,((MAX(Equivalencia!$3:$3)-YEAR(D100))*14)+MONTH(D100)+2,FALSE)))</f>
        <v>0</v>
      </c>
      <c r="H100" s="465">
        <f t="shared" si="21"/>
        <v>0</v>
      </c>
      <c r="I100" s="466">
        <f t="shared" si="22"/>
        <v>0</v>
      </c>
      <c r="J100" s="466">
        <f t="shared" si="23"/>
        <v>0</v>
      </c>
      <c r="K100" s="553">
        <f>+IF(D100=0,0,HLOOKUP(YEAR(D100)+(MONTH(D100)/100),TC!$5:$37,DAY(D100)+2,FALSE))</f>
        <v>0</v>
      </c>
      <c r="L100" s="466">
        <f t="shared" si="24"/>
        <v>0</v>
      </c>
      <c r="M100" s="467"/>
      <c r="N100" s="467"/>
      <c r="O100" s="466">
        <f t="shared" si="25"/>
        <v>0</v>
      </c>
      <c r="P100" s="468"/>
      <c r="Q100" s="486">
        <f t="shared" si="26"/>
        <v>0</v>
      </c>
      <c r="R100" s="486"/>
      <c r="S100" s="466">
        <f t="shared" si="27"/>
        <v>0</v>
      </c>
      <c r="T100" s="1"/>
      <c r="U100" s="1"/>
      <c r="V100" s="1"/>
      <c r="W100" s="1"/>
      <c r="X100" s="1"/>
      <c r="Y100" s="1"/>
      <c r="Z100" s="1"/>
      <c r="AA100" s="1"/>
    </row>
    <row r="101" spans="2:27">
      <c r="B101" s="337"/>
      <c r="C101" s="470"/>
      <c r="D101" s="462"/>
      <c r="E101" s="325"/>
      <c r="F101" s="463"/>
      <c r="G101" s="464">
        <f>IF(E101=0,0,IF(E101="MXN",1/HLOOKUP(YEAR(D101)+(MONTH(D101)/100),TC!$5:$437,DAY(D101)+2,FALSE),VLOOKUP(E101,Equivalencia!$1:$23,((MAX(Equivalencia!$3:$3)-YEAR(D101))*14)+MONTH(D101)+2,FALSE)))</f>
        <v>0</v>
      </c>
      <c r="H101" s="465">
        <f t="shared" si="21"/>
        <v>0</v>
      </c>
      <c r="I101" s="466">
        <f t="shared" si="22"/>
        <v>0</v>
      </c>
      <c r="J101" s="466">
        <f t="shared" si="23"/>
        <v>0</v>
      </c>
      <c r="K101" s="553">
        <f>+IF(D101=0,0,HLOOKUP(YEAR(D101)+(MONTH(D101)/100),TC!$5:$37,DAY(D101)+2,FALSE))</f>
        <v>0</v>
      </c>
      <c r="L101" s="466">
        <f t="shared" si="24"/>
        <v>0</v>
      </c>
      <c r="M101" s="467"/>
      <c r="N101" s="467"/>
      <c r="O101" s="466">
        <f t="shared" si="25"/>
        <v>0</v>
      </c>
      <c r="P101" s="468"/>
      <c r="Q101" s="486">
        <f t="shared" si="26"/>
        <v>0</v>
      </c>
      <c r="R101" s="486"/>
      <c r="S101" s="466">
        <f t="shared" si="27"/>
        <v>0</v>
      </c>
      <c r="T101" s="1"/>
      <c r="U101" s="1"/>
      <c r="V101" s="1"/>
      <c r="W101" s="1"/>
      <c r="X101" s="1"/>
      <c r="Y101" s="1"/>
      <c r="Z101" s="1"/>
      <c r="AA101" s="1"/>
    </row>
    <row r="102" spans="2:27">
      <c r="B102" s="337"/>
      <c r="C102" s="470"/>
      <c r="D102" s="462"/>
      <c r="E102" s="325"/>
      <c r="F102" s="463"/>
      <c r="G102" s="464">
        <f>IF(E102=0,0,IF(E102="MXN",1/HLOOKUP(YEAR(D102)+(MONTH(D102)/100),TC!$5:$437,DAY(D102)+2,FALSE),VLOOKUP(E102,Equivalencia!$1:$23,((MAX(Equivalencia!$3:$3)-YEAR(D102))*14)+MONTH(D102)+2,FALSE)))</f>
        <v>0</v>
      </c>
      <c r="H102" s="465">
        <f t="shared" si="21"/>
        <v>0</v>
      </c>
      <c r="I102" s="466">
        <f t="shared" si="22"/>
        <v>0</v>
      </c>
      <c r="J102" s="466">
        <f t="shared" si="23"/>
        <v>0</v>
      </c>
      <c r="K102" s="553">
        <f>+IF(D102=0,0,HLOOKUP(YEAR(D102)+(MONTH(D102)/100),TC!$5:$37,DAY(D102)+2,FALSE))</f>
        <v>0</v>
      </c>
      <c r="L102" s="466">
        <f t="shared" si="24"/>
        <v>0</v>
      </c>
      <c r="M102" s="467"/>
      <c r="N102" s="467"/>
      <c r="O102" s="466">
        <f t="shared" si="25"/>
        <v>0</v>
      </c>
      <c r="P102" s="468"/>
      <c r="Q102" s="486">
        <f t="shared" si="26"/>
        <v>0</v>
      </c>
      <c r="R102" s="486"/>
      <c r="S102" s="466">
        <f t="shared" si="27"/>
        <v>0</v>
      </c>
      <c r="T102" s="1"/>
      <c r="U102" s="1"/>
      <c r="V102" s="1"/>
      <c r="W102" s="1"/>
      <c r="X102" s="1"/>
      <c r="Y102" s="1"/>
      <c r="Z102" s="1"/>
      <c r="AA102" s="1"/>
    </row>
    <row r="103" spans="2:27">
      <c r="B103" s="337"/>
      <c r="C103" s="470"/>
      <c r="D103" s="462"/>
      <c r="E103" s="325"/>
      <c r="F103" s="463"/>
      <c r="G103" s="464">
        <f>IF(E103=0,0,IF(E103="MXN",1/HLOOKUP(YEAR(D103)+(MONTH(D103)/100),TC!$5:$437,DAY(D103)+2,FALSE),VLOOKUP(E103,Equivalencia!$1:$23,((MAX(Equivalencia!$3:$3)-YEAR(D103))*14)+MONTH(D103)+2,FALSE)))</f>
        <v>0</v>
      </c>
      <c r="H103" s="465">
        <f t="shared" si="21"/>
        <v>0</v>
      </c>
      <c r="I103" s="466">
        <f t="shared" si="22"/>
        <v>0</v>
      </c>
      <c r="J103" s="466">
        <f t="shared" si="23"/>
        <v>0</v>
      </c>
      <c r="K103" s="553">
        <f>+IF(D103=0,0,HLOOKUP(YEAR(D103)+(MONTH(D103)/100),TC!$5:$37,DAY(D103)+2,FALSE))</f>
        <v>0</v>
      </c>
      <c r="L103" s="466">
        <f t="shared" si="24"/>
        <v>0</v>
      </c>
      <c r="M103" s="467"/>
      <c r="N103" s="467"/>
      <c r="O103" s="466">
        <f>IF(F103="",0,H103+M103+N103+O102)</f>
        <v>0</v>
      </c>
      <c r="P103" s="468"/>
      <c r="Q103" s="486">
        <f t="shared" si="26"/>
        <v>0</v>
      </c>
      <c r="R103" s="486"/>
      <c r="S103" s="466">
        <f t="shared" si="27"/>
        <v>0</v>
      </c>
      <c r="T103" s="1"/>
      <c r="U103" s="1"/>
      <c r="V103" s="1"/>
      <c r="W103" s="1"/>
      <c r="X103" s="1"/>
      <c r="Y103" s="1"/>
      <c r="Z103" s="1"/>
      <c r="AA103" s="1"/>
    </row>
    <row r="104" spans="2:27">
      <c r="B104" s="337"/>
      <c r="C104" s="67"/>
      <c r="D104" s="644"/>
      <c r="E104" s="337"/>
      <c r="F104" s="645"/>
      <c r="G104" s="464">
        <f>IF(E104=0,0,IF(E104="MXN",1/HLOOKUP(YEAR(D104)+(MONTH(D104)/100),TC!$5:$437,DAY(D104)+2,FALSE),VLOOKUP(E104,Equivalencia!$1:$23,((MAX(Equivalencia!$3:$3)-YEAR(D104))*14)+MONTH(D104)+2,FALSE)))</f>
        <v>0</v>
      </c>
      <c r="H104" s="646">
        <f t="shared" si="21"/>
        <v>0</v>
      </c>
      <c r="I104" s="647">
        <f t="shared" si="22"/>
        <v>0</v>
      </c>
      <c r="J104" s="647">
        <f t="shared" si="23"/>
        <v>0</v>
      </c>
      <c r="K104" s="655">
        <f>+IF(D104=0,0,HLOOKUP(YEAR(D104)+(MONTH(D104)/100),TC!$5:$37,DAY(D104)+2,FALSE))</f>
        <v>0</v>
      </c>
      <c r="L104" s="466">
        <f t="shared" si="24"/>
        <v>0</v>
      </c>
      <c r="M104" s="467"/>
      <c r="N104" s="467"/>
      <c r="O104" s="466">
        <f>IF(F104="",0,H104+M104+N104+O103)</f>
        <v>0</v>
      </c>
      <c r="P104" s="468"/>
      <c r="Q104" s="486">
        <f t="shared" si="26"/>
        <v>0</v>
      </c>
      <c r="R104" s="486"/>
      <c r="S104" s="466">
        <f t="shared" si="27"/>
        <v>0</v>
      </c>
      <c r="T104" s="1"/>
      <c r="U104" s="1"/>
      <c r="V104" s="1"/>
      <c r="W104" s="1"/>
      <c r="X104" s="1"/>
      <c r="Y104" s="1"/>
      <c r="Z104" s="1"/>
      <c r="AA104" s="1"/>
    </row>
    <row r="105" spans="2:27">
      <c r="B105" s="648"/>
      <c r="C105" s="649"/>
      <c r="D105" s="650"/>
      <c r="E105" s="648"/>
      <c r="F105" s="651"/>
      <c r="G105" s="652">
        <f>IF(E105=0,0,IF(E105="MXN",1/HLOOKUP(YEAR(D105)+(MONTH(D105)/100),TC!$5:$437,DAY(D105)+2,FALSE),VLOOKUP(E105,Equivalencia!$1:$23,((MAX(Equivalencia!$3:$3)-YEAR(D105))*14)+MONTH(D105)+2,FALSE)))</f>
        <v>0</v>
      </c>
      <c r="H105" s="653">
        <f t="shared" si="21"/>
        <v>0</v>
      </c>
      <c r="I105" s="654">
        <f t="shared" si="22"/>
        <v>0</v>
      </c>
      <c r="J105" s="654">
        <f t="shared" si="23"/>
        <v>0</v>
      </c>
      <c r="K105" s="656">
        <f>+IF(D105=0,0,HLOOKUP(YEAR(D105)+(MONTH(D105)/100),TC!$5:$37,DAY(D105)+2,FALSE))</f>
        <v>0</v>
      </c>
      <c r="L105" s="466">
        <f t="shared" si="24"/>
        <v>0</v>
      </c>
      <c r="M105" s="467"/>
      <c r="N105" s="467"/>
      <c r="O105" s="466">
        <f>IF(F105="",0,H105+M105+N105+O104)</f>
        <v>0</v>
      </c>
      <c r="P105" s="468"/>
      <c r="Q105" s="486">
        <f t="shared" si="26"/>
        <v>0</v>
      </c>
      <c r="R105" s="486"/>
      <c r="S105" s="466">
        <f t="shared" si="27"/>
        <v>0</v>
      </c>
      <c r="T105" s="1"/>
      <c r="U105" s="1"/>
      <c r="V105" s="1"/>
      <c r="W105" s="1"/>
      <c r="X105" s="1"/>
      <c r="Y105" s="1"/>
      <c r="Z105" s="1"/>
      <c r="AA105" s="1"/>
    </row>
    <row r="106" spans="2:27">
      <c r="B106" s="3"/>
      <c r="C106" s="1"/>
      <c r="D106" s="1"/>
      <c r="E106" s="1"/>
      <c r="F106" s="1"/>
      <c r="G106" s="3"/>
      <c r="H106" s="471"/>
      <c r="I106" s="448"/>
      <c r="J106" s="448"/>
      <c r="K106" s="448"/>
      <c r="L106" s="448"/>
      <c r="M106" s="447"/>
      <c r="N106" s="447"/>
      <c r="O106" s="448"/>
      <c r="P106" s="448"/>
      <c r="Q106" s="448"/>
      <c r="R106" s="448"/>
      <c r="S106" s="448"/>
      <c r="T106" s="1"/>
      <c r="U106" s="1"/>
      <c r="V106" s="1"/>
      <c r="W106" s="1"/>
      <c r="X106" s="1"/>
      <c r="Y106" s="1"/>
      <c r="Z106" s="1"/>
      <c r="AA106" s="1"/>
    </row>
    <row r="107" spans="2:27">
      <c r="B107" s="3"/>
      <c r="C107" s="1"/>
      <c r="D107" s="1"/>
      <c r="E107" s="1"/>
      <c r="F107" s="1"/>
      <c r="G107" s="3"/>
      <c r="H107" s="472"/>
      <c r="I107" s="473"/>
      <c r="J107" s="474"/>
      <c r="K107" s="474"/>
      <c r="L107" s="474">
        <f>SUM(L94:L105)</f>
        <v>0</v>
      </c>
      <c r="M107" s="475"/>
      <c r="N107" s="475"/>
      <c r="O107" s="473"/>
      <c r="P107" s="473"/>
      <c r="Q107" s="473"/>
      <c r="R107" s="473"/>
      <c r="S107" s="474">
        <f>+SUMIF(S94:S106,"&gt;0",S94:S106)</f>
        <v>0</v>
      </c>
      <c r="T107" s="1"/>
      <c r="U107" s="1"/>
      <c r="V107" s="474">
        <f>+L107</f>
        <v>0</v>
      </c>
      <c r="W107" s="474">
        <f>+S107</f>
        <v>0</v>
      </c>
      <c r="X107" s="474">
        <f>+V107+W107</f>
        <v>0</v>
      </c>
      <c r="Y107" s="1"/>
      <c r="Z107" s="1"/>
      <c r="AA107" s="1"/>
    </row>
    <row r="108" spans="2:27">
      <c r="B108" s="3"/>
      <c r="C108" s="1"/>
      <c r="D108" s="1"/>
      <c r="E108" s="1"/>
      <c r="F108" s="1"/>
      <c r="G108" s="3"/>
      <c r="H108" s="134"/>
      <c r="I108" s="448"/>
      <c r="J108" s="448"/>
      <c r="K108" s="448"/>
      <c r="L108" s="448"/>
      <c r="M108" s="447"/>
      <c r="N108" s="447"/>
      <c r="O108" s="448"/>
      <c r="P108" s="448"/>
      <c r="Q108" s="448"/>
      <c r="R108" s="448"/>
      <c r="S108" s="448"/>
      <c r="T108" s="1"/>
      <c r="U108" s="1"/>
      <c r="V108" s="1"/>
      <c r="W108" s="1"/>
      <c r="X108" s="1"/>
      <c r="Y108" s="1"/>
      <c r="Z108" s="1"/>
      <c r="AA108" s="1"/>
    </row>
    <row r="109" spans="2:27">
      <c r="B109" s="1"/>
      <c r="C109" s="1"/>
      <c r="D109" s="1"/>
      <c r="E109" s="1"/>
      <c r="F109" s="1"/>
      <c r="G109" s="3"/>
      <c r="H109" s="134"/>
      <c r="I109" s="448"/>
      <c r="J109" s="448"/>
      <c r="K109" s="448"/>
      <c r="L109" s="448"/>
      <c r="M109" s="447"/>
      <c r="N109" s="447"/>
      <c r="O109" s="448"/>
      <c r="P109" s="476"/>
      <c r="Q109" s="476"/>
      <c r="R109" s="476"/>
      <c r="S109" s="477" t="s">
        <v>574</v>
      </c>
      <c r="T109" s="478">
        <f>+L107+S107</f>
        <v>0</v>
      </c>
      <c r="U109" s="1"/>
      <c r="V109" s="1"/>
      <c r="W109" s="1"/>
      <c r="X109" s="1"/>
      <c r="Y109" s="1"/>
      <c r="Z109" s="1"/>
      <c r="AA109" s="1"/>
    </row>
    <row r="110" spans="2:27">
      <c r="B110" s="1"/>
      <c r="C110" s="1"/>
      <c r="D110" s="1"/>
      <c r="E110" s="1"/>
      <c r="F110" s="1"/>
      <c r="G110" s="3"/>
      <c r="H110" s="134"/>
      <c r="I110" s="448"/>
      <c r="J110" s="448"/>
      <c r="K110" s="448"/>
      <c r="L110" s="448"/>
      <c r="M110" s="447"/>
      <c r="N110" s="447"/>
      <c r="O110" s="448"/>
      <c r="P110" s="448"/>
      <c r="Q110" s="448"/>
      <c r="R110" s="448"/>
      <c r="S110" s="448"/>
      <c r="T110" s="1"/>
      <c r="U110" s="1"/>
      <c r="V110" s="1"/>
      <c r="W110" s="1"/>
      <c r="X110" s="1"/>
      <c r="Y110" s="1"/>
      <c r="Z110" s="1"/>
      <c r="AA110" s="1"/>
    </row>
    <row r="111" spans="2:27">
      <c r="B111" s="440"/>
      <c r="C111" s="440"/>
      <c r="D111" s="440"/>
      <c r="E111" s="440"/>
      <c r="F111" s="440"/>
      <c r="G111" s="440"/>
      <c r="H111" s="441"/>
      <c r="I111" s="442"/>
      <c r="J111" s="442"/>
      <c r="K111" s="442"/>
      <c r="L111" s="442"/>
      <c r="M111" s="443"/>
      <c r="N111" s="443"/>
      <c r="O111" s="442"/>
      <c r="P111" s="442"/>
      <c r="Q111" s="442"/>
      <c r="R111" s="442"/>
      <c r="S111" s="442"/>
      <c r="T111" s="1"/>
      <c r="U111" s="1"/>
      <c r="V111" s="1"/>
      <c r="W111" s="1"/>
      <c r="X111" s="1"/>
      <c r="Y111" s="1"/>
      <c r="Z111" s="1"/>
      <c r="AA111" s="1"/>
    </row>
    <row r="112" spans="2:27">
      <c r="B112" s="444"/>
      <c r="C112" s="444"/>
      <c r="D112" s="444"/>
      <c r="E112" s="444"/>
      <c r="F112" s="444"/>
      <c r="G112" s="444"/>
      <c r="H112" s="445"/>
      <c r="I112" s="446"/>
      <c r="J112" s="446"/>
      <c r="K112" s="446"/>
      <c r="L112" s="446"/>
      <c r="M112" s="447"/>
      <c r="N112" s="447"/>
      <c r="O112" s="448"/>
      <c r="P112" s="448"/>
      <c r="Q112" s="448"/>
      <c r="R112" s="448"/>
      <c r="S112" s="448"/>
      <c r="T112" s="1"/>
      <c r="U112" s="1"/>
      <c r="V112" s="1"/>
      <c r="W112" s="1"/>
      <c r="X112" s="1"/>
      <c r="Y112" s="1"/>
      <c r="Z112" s="1"/>
      <c r="AA112" s="1"/>
    </row>
    <row r="113" spans="2:27">
      <c r="B113" s="385" t="s">
        <v>569</v>
      </c>
      <c r="C113" s="385"/>
      <c r="D113" s="1"/>
      <c r="E113" s="385"/>
      <c r="F113" s="385"/>
      <c r="G113" s="388"/>
      <c r="H113" s="449"/>
      <c r="I113" s="450"/>
      <c r="J113" s="450"/>
      <c r="K113" s="450"/>
      <c r="L113" s="450"/>
      <c r="M113" s="447"/>
      <c r="N113" s="447"/>
      <c r="O113" s="448"/>
      <c r="P113" s="448"/>
      <c r="Q113" s="448"/>
      <c r="R113" s="448"/>
      <c r="S113" s="448"/>
      <c r="T113" s="1"/>
      <c r="U113" s="1"/>
      <c r="V113" s="1"/>
      <c r="W113" s="1"/>
      <c r="X113" s="1"/>
      <c r="Y113" s="1"/>
      <c r="Z113" s="1"/>
      <c r="AA113" s="1"/>
    </row>
    <row r="114" spans="2:27">
      <c r="B114" s="385" t="s">
        <v>570</v>
      </c>
      <c r="C114" s="385"/>
      <c r="D114" s="1"/>
      <c r="E114" s="385"/>
      <c r="F114" s="385"/>
      <c r="G114" s="388"/>
      <c r="H114" s="451"/>
      <c r="I114" s="448"/>
      <c r="J114" s="448"/>
      <c r="K114" s="448"/>
      <c r="L114" s="448"/>
      <c r="M114" s="447"/>
      <c r="N114" s="447"/>
      <c r="O114" s="448"/>
      <c r="P114" s="448"/>
      <c r="Q114" s="448"/>
      <c r="R114" s="448"/>
      <c r="S114" s="448"/>
      <c r="T114" s="1"/>
      <c r="U114" s="1"/>
      <c r="V114" s="1"/>
      <c r="W114" s="1"/>
      <c r="X114" s="1"/>
      <c r="Y114" s="1"/>
      <c r="Z114" s="1"/>
      <c r="AA114" s="1"/>
    </row>
    <row r="115" spans="2:27">
      <c r="B115" s="385" t="s">
        <v>571</v>
      </c>
      <c r="C115" s="385"/>
      <c r="D115" s="1"/>
      <c r="E115" s="385"/>
      <c r="F115" s="385"/>
      <c r="G115" s="388"/>
      <c r="H115" s="452"/>
      <c r="I115" s="448"/>
      <c r="J115" s="448"/>
      <c r="K115" s="448"/>
      <c r="L115" s="448"/>
      <c r="M115" s="447"/>
      <c r="N115" s="447"/>
      <c r="O115" s="448"/>
      <c r="P115" s="448"/>
      <c r="Q115" s="448"/>
      <c r="R115" s="448"/>
      <c r="S115" s="448"/>
      <c r="T115" s="1"/>
      <c r="U115" s="1"/>
      <c r="V115" s="1"/>
      <c r="W115" s="1"/>
      <c r="X115" s="1"/>
      <c r="Y115" s="1"/>
      <c r="Z115" s="1"/>
      <c r="AA115" s="1"/>
    </row>
    <row r="116" spans="2:27">
      <c r="B116" s="385" t="s">
        <v>572</v>
      </c>
      <c r="C116" s="385"/>
      <c r="D116" s="1"/>
      <c r="E116" s="385"/>
      <c r="F116" s="385"/>
      <c r="G116" s="388"/>
      <c r="H116" s="453"/>
      <c r="I116" s="448"/>
      <c r="J116" s="448"/>
      <c r="K116" s="448"/>
      <c r="L116" s="448"/>
      <c r="M116" s="447"/>
      <c r="N116" s="447"/>
      <c r="O116" s="448"/>
      <c r="P116" s="448"/>
      <c r="Q116" s="448"/>
      <c r="R116" s="448"/>
      <c r="S116" s="448"/>
      <c r="T116" s="1"/>
      <c r="U116" s="1"/>
      <c r="V116" s="1"/>
      <c r="W116" s="1"/>
      <c r="X116" s="1"/>
      <c r="Y116" s="1"/>
      <c r="Z116" s="1"/>
      <c r="AA116" s="1"/>
    </row>
    <row r="117" spans="2:27">
      <c r="B117" s="385"/>
      <c r="C117" s="385"/>
      <c r="D117" s="1"/>
      <c r="E117" s="388"/>
      <c r="F117" s="388"/>
      <c r="G117" s="388"/>
      <c r="H117" s="454"/>
      <c r="I117" s="448"/>
      <c r="J117" s="448"/>
      <c r="K117" s="448"/>
      <c r="L117" s="448"/>
      <c r="M117" s="447"/>
      <c r="N117" s="447"/>
      <c r="O117" s="448"/>
      <c r="P117" s="448"/>
      <c r="Q117" s="448"/>
      <c r="R117" s="448"/>
      <c r="S117" s="448"/>
      <c r="T117" s="1"/>
      <c r="U117" s="1"/>
      <c r="V117" s="1"/>
      <c r="W117" s="1"/>
      <c r="X117" s="1"/>
      <c r="Y117" s="1"/>
      <c r="Z117" s="1"/>
      <c r="AA117" s="1"/>
    </row>
    <row r="118" spans="2:27">
      <c r="B118" s="455" t="s">
        <v>573</v>
      </c>
      <c r="C118" s="455"/>
      <c r="D118" s="456"/>
      <c r="E118" s="456"/>
      <c r="F118" s="456"/>
      <c r="G118" s="456"/>
      <c r="H118" s="457"/>
      <c r="I118" s="458"/>
      <c r="J118" s="458"/>
      <c r="K118" s="458"/>
      <c r="L118" s="458"/>
      <c r="M118" s="459"/>
      <c r="N118" s="459"/>
      <c r="O118" s="458"/>
      <c r="P118" s="458"/>
      <c r="Q118" s="458"/>
      <c r="R118" s="458"/>
      <c r="S118" s="458"/>
      <c r="T118" s="1"/>
      <c r="U118" s="1"/>
      <c r="V118" s="1"/>
      <c r="W118" s="1"/>
      <c r="X118" s="1"/>
      <c r="Y118" s="1"/>
      <c r="Z118" s="1"/>
      <c r="AA118" s="1"/>
    </row>
    <row r="119" spans="2:27">
      <c r="B119" s="338"/>
      <c r="C119" s="324"/>
      <c r="D119" s="324"/>
      <c r="E119" s="324"/>
      <c r="F119" s="324"/>
      <c r="G119" s="338"/>
      <c r="H119" s="460"/>
      <c r="I119" s="461"/>
      <c r="J119" s="461"/>
      <c r="K119" s="461"/>
      <c r="L119" s="461"/>
      <c r="M119" s="447"/>
      <c r="N119" s="447"/>
      <c r="O119" s="448"/>
      <c r="P119" s="448"/>
      <c r="Q119" s="448"/>
      <c r="R119" s="448"/>
      <c r="S119" s="448"/>
      <c r="T119" s="1"/>
      <c r="U119" s="1"/>
      <c r="V119" s="1"/>
      <c r="W119" s="1"/>
      <c r="X119" s="1"/>
      <c r="Y119" s="1"/>
      <c r="Z119" s="1"/>
      <c r="AA119" s="1"/>
    </row>
    <row r="120" spans="2:27">
      <c r="B120" s="337"/>
      <c r="C120" s="67"/>
      <c r="D120" s="462"/>
      <c r="E120" s="325"/>
      <c r="F120" s="463"/>
      <c r="G120" s="464">
        <f>IF(E120=0,0,IF(E120="MXN",1/HLOOKUP(YEAR(D120)+(MONTH(D120)/100),TC!$5:$437,DAY(D120)+2,FALSE),VLOOKUP(E120,Equivalencia!$1:$23,((MAX(Equivalencia!$3:$3)-YEAR(D120))*14)+MONTH(D120)+2,FALSE)))</f>
        <v>0</v>
      </c>
      <c r="H120" s="465">
        <f>+G120*F120</f>
        <v>0</v>
      </c>
      <c r="I120" s="466">
        <f>H118+H120</f>
        <v>0</v>
      </c>
      <c r="J120" s="466">
        <f>+IF(H120&lt;0,0,IF(AND(H118&lt;0,I120&lt;0),0,IF(H118&lt;0,H120+H118,H120)))</f>
        <v>0</v>
      </c>
      <c r="K120" s="553">
        <f>+IF(D120=0,0,HLOOKUP(YEAR(D120)+(MONTH(D120)/100),TC!$5:$37,DAY(D120)+2,FALSE))</f>
        <v>0</v>
      </c>
      <c r="L120" s="466">
        <f>+J120*K120</f>
        <v>0</v>
      </c>
      <c r="M120" s="467"/>
      <c r="N120" s="467"/>
      <c r="O120" s="466">
        <f>IF(F120="",0,I120+M120+N120)</f>
        <v>0</v>
      </c>
      <c r="P120" s="468"/>
      <c r="Q120" s="486">
        <f>IF(O120=P120,0,IF(P120="",0,O120-P120))</f>
        <v>0</v>
      </c>
      <c r="R120" s="486"/>
      <c r="S120" s="466">
        <f>+IF(P120="",0,R120*Q120)</f>
        <v>0</v>
      </c>
      <c r="T120" s="1"/>
      <c r="U120" s="1"/>
      <c r="V120" s="1"/>
      <c r="W120" s="1"/>
      <c r="X120" s="1"/>
      <c r="Y120" s="1"/>
      <c r="Z120" s="1"/>
      <c r="AA120" s="1"/>
    </row>
    <row r="121" spans="2:27">
      <c r="B121" s="337"/>
      <c r="C121" s="469"/>
      <c r="D121" s="462"/>
      <c r="E121" s="325"/>
      <c r="F121" s="463"/>
      <c r="G121" s="464">
        <f>IF(E121=0,0,IF(E121="MXN",1/HLOOKUP(YEAR(D121)+(MONTH(D121)/100),TC!$5:$437,DAY(D121)+2,FALSE),VLOOKUP(E121,Equivalencia!$1:$23,((MAX(Equivalencia!$3:$3)-YEAR(D121))*14)+MONTH(D121)+2,FALSE)))</f>
        <v>0</v>
      </c>
      <c r="H121" s="465">
        <f t="shared" ref="H121:H131" si="28">+G121*F121</f>
        <v>0</v>
      </c>
      <c r="I121" s="466">
        <f t="shared" ref="I121:I131" si="29">I120+H121+Q120</f>
        <v>0</v>
      </c>
      <c r="J121" s="466">
        <f t="shared" ref="J121:J131" si="30">+IF(H121&lt;0,0,IF(AND(I120&lt;0,I121&lt;0),0,IF(I120&lt;0,H121+I120,H121)))</f>
        <v>0</v>
      </c>
      <c r="K121" s="553">
        <f>+IF(D121=0,0,HLOOKUP(YEAR(D121)+(MONTH(D121)/100),TC!$5:$37,DAY(D121)+2,FALSE))</f>
        <v>0</v>
      </c>
      <c r="L121" s="466">
        <f t="shared" ref="L121:L131" si="31">+J121*K121</f>
        <v>0</v>
      </c>
      <c r="M121" s="467"/>
      <c r="N121" s="467"/>
      <c r="O121" s="466">
        <f t="shared" ref="O121:O128" si="32">IF(F121="",0,H121+M121+N121+O120)</f>
        <v>0</v>
      </c>
      <c r="P121" s="468"/>
      <c r="Q121" s="486">
        <f t="shared" ref="Q121:Q131" si="33">IF(O121=P121,0,IF(P121="",0,O121-P121))</f>
        <v>0</v>
      </c>
      <c r="R121" s="486"/>
      <c r="S121" s="466">
        <f t="shared" ref="S121:S131" si="34">+IF(P121="",0,R121*Q121)</f>
        <v>0</v>
      </c>
      <c r="T121" s="1"/>
      <c r="U121" s="1"/>
      <c r="V121" s="1"/>
      <c r="W121" s="1"/>
      <c r="X121" s="1"/>
      <c r="Y121" s="1"/>
      <c r="Z121" s="1"/>
      <c r="AA121" s="1"/>
    </row>
    <row r="122" spans="2:27">
      <c r="B122" s="337"/>
      <c r="C122" s="469"/>
      <c r="D122" s="462"/>
      <c r="E122" s="325"/>
      <c r="F122" s="463"/>
      <c r="G122" s="464">
        <f>IF(E122=0,0,IF(E122="MXN",1/HLOOKUP(YEAR(D122)+(MONTH(D122)/100),TC!$5:$437,DAY(D122)+2,FALSE),VLOOKUP(E122,Equivalencia!$1:$23,((MAX(Equivalencia!$3:$3)-YEAR(D122))*14)+MONTH(D122)+2,FALSE)))</f>
        <v>0</v>
      </c>
      <c r="H122" s="465">
        <f t="shared" si="28"/>
        <v>0</v>
      </c>
      <c r="I122" s="466">
        <f t="shared" si="29"/>
        <v>0</v>
      </c>
      <c r="J122" s="466">
        <f t="shared" si="30"/>
        <v>0</v>
      </c>
      <c r="K122" s="553">
        <f>+IF(D122=0,0,HLOOKUP(YEAR(D122)+(MONTH(D122)/100),TC!$5:$37,DAY(D122)+2,FALSE))</f>
        <v>0</v>
      </c>
      <c r="L122" s="466">
        <f t="shared" si="31"/>
        <v>0</v>
      </c>
      <c r="M122" s="467"/>
      <c r="N122" s="467"/>
      <c r="O122" s="466">
        <f t="shared" si="32"/>
        <v>0</v>
      </c>
      <c r="P122" s="468"/>
      <c r="Q122" s="486">
        <f t="shared" si="33"/>
        <v>0</v>
      </c>
      <c r="R122" s="486"/>
      <c r="S122" s="466">
        <f t="shared" si="34"/>
        <v>0</v>
      </c>
      <c r="T122" s="1"/>
      <c r="U122" s="1"/>
      <c r="V122" s="1"/>
      <c r="W122" s="1"/>
      <c r="X122" s="1"/>
      <c r="Y122" s="1"/>
      <c r="Z122" s="1"/>
      <c r="AA122" s="1"/>
    </row>
    <row r="123" spans="2:27">
      <c r="B123" s="337"/>
      <c r="C123" s="469"/>
      <c r="D123" s="462"/>
      <c r="E123" s="325"/>
      <c r="F123" s="463"/>
      <c r="G123" s="464">
        <f>IF(E123=0,0,IF(E123="MXN",1/HLOOKUP(YEAR(D123)+(MONTH(D123)/100),TC!$5:$437,DAY(D123)+2,FALSE),VLOOKUP(E123,Equivalencia!$1:$23,((MAX(Equivalencia!$3:$3)-YEAR(D123))*14)+MONTH(D123)+2,FALSE)))</f>
        <v>0</v>
      </c>
      <c r="H123" s="465">
        <f t="shared" si="28"/>
        <v>0</v>
      </c>
      <c r="I123" s="466">
        <f t="shared" si="29"/>
        <v>0</v>
      </c>
      <c r="J123" s="466">
        <f t="shared" si="30"/>
        <v>0</v>
      </c>
      <c r="K123" s="553">
        <f>+IF(D123=0,0,HLOOKUP(YEAR(D123)+(MONTH(D123)/100),TC!$5:$37,DAY(D123)+2,FALSE))</f>
        <v>0</v>
      </c>
      <c r="L123" s="466">
        <f t="shared" si="31"/>
        <v>0</v>
      </c>
      <c r="M123" s="467"/>
      <c r="N123" s="467"/>
      <c r="O123" s="466">
        <f t="shared" si="32"/>
        <v>0</v>
      </c>
      <c r="P123" s="468"/>
      <c r="Q123" s="486">
        <f t="shared" si="33"/>
        <v>0</v>
      </c>
      <c r="R123" s="486"/>
      <c r="S123" s="466">
        <f t="shared" si="34"/>
        <v>0</v>
      </c>
      <c r="T123" s="1"/>
      <c r="U123" s="1"/>
      <c r="V123" s="1"/>
      <c r="W123" s="1"/>
      <c r="X123" s="1"/>
      <c r="Y123" s="1"/>
      <c r="Z123" s="1"/>
      <c r="AA123" s="1"/>
    </row>
    <row r="124" spans="2:27">
      <c r="B124" s="337"/>
      <c r="C124" s="470"/>
      <c r="D124" s="462"/>
      <c r="E124" s="325"/>
      <c r="F124" s="463"/>
      <c r="G124" s="464">
        <f>IF(E124=0,0,IF(E124="MXN",1/HLOOKUP(YEAR(D124)+(MONTH(D124)/100),TC!$5:$437,DAY(D124)+2,FALSE),VLOOKUP(E124,Equivalencia!$1:$23,((MAX(Equivalencia!$3:$3)-YEAR(D124))*14)+MONTH(D124)+2,FALSE)))</f>
        <v>0</v>
      </c>
      <c r="H124" s="465">
        <f t="shared" si="28"/>
        <v>0</v>
      </c>
      <c r="I124" s="466">
        <f t="shared" si="29"/>
        <v>0</v>
      </c>
      <c r="J124" s="466">
        <f t="shared" si="30"/>
        <v>0</v>
      </c>
      <c r="K124" s="553">
        <f>+IF(D124=0,0,HLOOKUP(YEAR(D124)+(MONTH(D124)/100),TC!$5:$37,DAY(D124)+2,FALSE))</f>
        <v>0</v>
      </c>
      <c r="L124" s="466">
        <f t="shared" si="31"/>
        <v>0</v>
      </c>
      <c r="M124" s="467"/>
      <c r="N124" s="467"/>
      <c r="O124" s="466">
        <f t="shared" si="32"/>
        <v>0</v>
      </c>
      <c r="P124" s="468"/>
      <c r="Q124" s="486">
        <f t="shared" si="33"/>
        <v>0</v>
      </c>
      <c r="R124" s="486"/>
      <c r="S124" s="466">
        <f t="shared" si="34"/>
        <v>0</v>
      </c>
      <c r="T124" s="1"/>
      <c r="U124" s="1"/>
      <c r="V124" s="1"/>
      <c r="W124" s="1"/>
      <c r="X124" s="1"/>
      <c r="Y124" s="1"/>
      <c r="Z124" s="1"/>
      <c r="AA124" s="1"/>
    </row>
    <row r="125" spans="2:27">
      <c r="B125" s="337"/>
      <c r="C125" s="470"/>
      <c r="D125" s="462"/>
      <c r="E125" s="325"/>
      <c r="F125" s="463"/>
      <c r="G125" s="464">
        <f>IF(E125=0,0,IF(E125="MXN",1/HLOOKUP(YEAR(D125)+(MONTH(D125)/100),TC!$5:$437,DAY(D125)+2,FALSE),VLOOKUP(E125,Equivalencia!$1:$23,((MAX(Equivalencia!$3:$3)-YEAR(D125))*14)+MONTH(D125)+2,FALSE)))</f>
        <v>0</v>
      </c>
      <c r="H125" s="465">
        <f t="shared" si="28"/>
        <v>0</v>
      </c>
      <c r="I125" s="466">
        <f t="shared" si="29"/>
        <v>0</v>
      </c>
      <c r="J125" s="466">
        <f t="shared" si="30"/>
        <v>0</v>
      </c>
      <c r="K125" s="553">
        <f>+IF(D125=0,0,HLOOKUP(YEAR(D125)+(MONTH(D125)/100),TC!$5:$37,DAY(D125)+2,FALSE))</f>
        <v>0</v>
      </c>
      <c r="L125" s="466">
        <f t="shared" si="31"/>
        <v>0</v>
      </c>
      <c r="M125" s="467"/>
      <c r="N125" s="467"/>
      <c r="O125" s="466">
        <f t="shared" si="32"/>
        <v>0</v>
      </c>
      <c r="P125" s="468"/>
      <c r="Q125" s="486">
        <f t="shared" si="33"/>
        <v>0</v>
      </c>
      <c r="R125" s="486"/>
      <c r="S125" s="466">
        <f t="shared" si="34"/>
        <v>0</v>
      </c>
      <c r="T125" s="1"/>
      <c r="U125" s="1"/>
      <c r="V125" s="1"/>
      <c r="W125" s="1"/>
      <c r="X125" s="1"/>
      <c r="Y125" s="1"/>
      <c r="Z125" s="1"/>
      <c r="AA125" s="1"/>
    </row>
    <row r="126" spans="2:27">
      <c r="B126" s="337"/>
      <c r="C126" s="470"/>
      <c r="D126" s="462"/>
      <c r="E126" s="325"/>
      <c r="F126" s="463"/>
      <c r="G126" s="464">
        <f>IF(E126=0,0,IF(E126="MXN",1/HLOOKUP(YEAR(D126)+(MONTH(D126)/100),TC!$5:$437,DAY(D126)+2,FALSE),VLOOKUP(E126,Equivalencia!$1:$23,((MAX(Equivalencia!$3:$3)-YEAR(D126))*14)+MONTH(D126)+2,FALSE)))</f>
        <v>0</v>
      </c>
      <c r="H126" s="465">
        <f t="shared" si="28"/>
        <v>0</v>
      </c>
      <c r="I126" s="466">
        <f t="shared" si="29"/>
        <v>0</v>
      </c>
      <c r="J126" s="466">
        <f t="shared" si="30"/>
        <v>0</v>
      </c>
      <c r="K126" s="553">
        <f>+IF(D126=0,0,HLOOKUP(YEAR(D126)+(MONTH(D126)/100),TC!$5:$37,DAY(D126)+2,FALSE))</f>
        <v>0</v>
      </c>
      <c r="L126" s="466">
        <f t="shared" si="31"/>
        <v>0</v>
      </c>
      <c r="M126" s="467"/>
      <c r="N126" s="467"/>
      <c r="O126" s="466">
        <f t="shared" si="32"/>
        <v>0</v>
      </c>
      <c r="P126" s="468"/>
      <c r="Q126" s="486">
        <f t="shared" si="33"/>
        <v>0</v>
      </c>
      <c r="R126" s="486"/>
      <c r="S126" s="466">
        <f t="shared" si="34"/>
        <v>0</v>
      </c>
      <c r="T126" s="1"/>
      <c r="U126" s="1"/>
      <c r="V126" s="1"/>
      <c r="W126" s="1"/>
      <c r="X126" s="1"/>
      <c r="Y126" s="1"/>
      <c r="Z126" s="1"/>
      <c r="AA126" s="1"/>
    </row>
    <row r="127" spans="2:27">
      <c r="B127" s="337"/>
      <c r="C127" s="470"/>
      <c r="D127" s="462"/>
      <c r="E127" s="325"/>
      <c r="F127" s="463"/>
      <c r="G127" s="464">
        <f>IF(E127=0,0,IF(E127="MXN",1/HLOOKUP(YEAR(D127)+(MONTH(D127)/100),TC!$5:$437,DAY(D127)+2,FALSE),VLOOKUP(E127,Equivalencia!$1:$23,((MAX(Equivalencia!$3:$3)-YEAR(D127))*14)+MONTH(D127)+2,FALSE)))</f>
        <v>0</v>
      </c>
      <c r="H127" s="465">
        <f t="shared" si="28"/>
        <v>0</v>
      </c>
      <c r="I127" s="466">
        <f t="shared" si="29"/>
        <v>0</v>
      </c>
      <c r="J127" s="466">
        <f t="shared" si="30"/>
        <v>0</v>
      </c>
      <c r="K127" s="553">
        <f>+IF(D127=0,0,HLOOKUP(YEAR(D127)+(MONTH(D127)/100),TC!$5:$37,DAY(D127)+2,FALSE))</f>
        <v>0</v>
      </c>
      <c r="L127" s="466">
        <f t="shared" si="31"/>
        <v>0</v>
      </c>
      <c r="M127" s="467"/>
      <c r="N127" s="467"/>
      <c r="O127" s="466">
        <f t="shared" si="32"/>
        <v>0</v>
      </c>
      <c r="P127" s="468"/>
      <c r="Q127" s="486">
        <f t="shared" si="33"/>
        <v>0</v>
      </c>
      <c r="R127" s="486"/>
      <c r="S127" s="466">
        <f t="shared" si="34"/>
        <v>0</v>
      </c>
      <c r="T127" s="1"/>
      <c r="U127" s="1"/>
      <c r="V127" s="1"/>
      <c r="W127" s="1"/>
      <c r="X127" s="1"/>
      <c r="Y127" s="1"/>
      <c r="Z127" s="1"/>
      <c r="AA127" s="1"/>
    </row>
    <row r="128" spans="2:27">
      <c r="B128" s="337"/>
      <c r="C128" s="470"/>
      <c r="D128" s="462"/>
      <c r="E128" s="325"/>
      <c r="F128" s="463"/>
      <c r="G128" s="464">
        <f>IF(E128=0,0,IF(E128="MXN",1/HLOOKUP(YEAR(D128)+(MONTH(D128)/100),TC!$5:$437,DAY(D128)+2,FALSE),VLOOKUP(E128,Equivalencia!$1:$23,((MAX(Equivalencia!$3:$3)-YEAR(D128))*14)+MONTH(D128)+2,FALSE)))</f>
        <v>0</v>
      </c>
      <c r="H128" s="465">
        <f t="shared" si="28"/>
        <v>0</v>
      </c>
      <c r="I128" s="466">
        <f t="shared" si="29"/>
        <v>0</v>
      </c>
      <c r="J128" s="466">
        <f t="shared" si="30"/>
        <v>0</v>
      </c>
      <c r="K128" s="553">
        <f>+IF(D128=0,0,HLOOKUP(YEAR(D128)+(MONTH(D128)/100),TC!$5:$37,DAY(D128)+2,FALSE))</f>
        <v>0</v>
      </c>
      <c r="L128" s="466">
        <f t="shared" si="31"/>
        <v>0</v>
      </c>
      <c r="M128" s="467"/>
      <c r="N128" s="467"/>
      <c r="O128" s="466">
        <f t="shared" si="32"/>
        <v>0</v>
      </c>
      <c r="P128" s="468"/>
      <c r="Q128" s="486">
        <f t="shared" si="33"/>
        <v>0</v>
      </c>
      <c r="R128" s="486"/>
      <c r="S128" s="466">
        <f t="shared" si="34"/>
        <v>0</v>
      </c>
      <c r="T128" s="1"/>
      <c r="U128" s="1"/>
      <c r="V128" s="1"/>
      <c r="W128" s="1"/>
      <c r="X128" s="1"/>
      <c r="Y128" s="1"/>
      <c r="Z128" s="1"/>
      <c r="AA128" s="1"/>
    </row>
    <row r="129" spans="2:27">
      <c r="B129" s="337"/>
      <c r="C129" s="470"/>
      <c r="D129" s="462"/>
      <c r="E129" s="325"/>
      <c r="F129" s="463"/>
      <c r="G129" s="464">
        <f>IF(E129=0,0,IF(E129="MXN",1/HLOOKUP(YEAR(D129)+(MONTH(D129)/100),TC!$5:$437,DAY(D129)+2,FALSE),VLOOKUP(E129,Equivalencia!$1:$23,((MAX(Equivalencia!$3:$3)-YEAR(D129))*14)+MONTH(D129)+2,FALSE)))</f>
        <v>0</v>
      </c>
      <c r="H129" s="465">
        <f t="shared" si="28"/>
        <v>0</v>
      </c>
      <c r="I129" s="466">
        <f t="shared" si="29"/>
        <v>0</v>
      </c>
      <c r="J129" s="466">
        <f t="shared" si="30"/>
        <v>0</v>
      </c>
      <c r="K129" s="553">
        <f>+IF(D129=0,0,HLOOKUP(YEAR(D129)+(MONTH(D129)/100),TC!$5:$37,DAY(D129)+2,FALSE))</f>
        <v>0</v>
      </c>
      <c r="L129" s="466">
        <f t="shared" si="31"/>
        <v>0</v>
      </c>
      <c r="M129" s="467"/>
      <c r="N129" s="467"/>
      <c r="O129" s="466">
        <f>IF(F129="",0,H129+M129+N129+O128)</f>
        <v>0</v>
      </c>
      <c r="P129" s="468"/>
      <c r="Q129" s="486">
        <f t="shared" si="33"/>
        <v>0</v>
      </c>
      <c r="R129" s="486"/>
      <c r="S129" s="466">
        <f t="shared" si="34"/>
        <v>0</v>
      </c>
      <c r="T129" s="1"/>
      <c r="U129" s="1"/>
      <c r="V129" s="1"/>
      <c r="W129" s="1"/>
      <c r="X129" s="1"/>
      <c r="Y129" s="1"/>
      <c r="Z129" s="1"/>
      <c r="AA129" s="1"/>
    </row>
    <row r="130" spans="2:27">
      <c r="B130" s="337"/>
      <c r="C130" s="67"/>
      <c r="D130" s="644"/>
      <c r="E130" s="337"/>
      <c r="F130" s="645"/>
      <c r="G130" s="464">
        <f>IF(E130=0,0,IF(E130="MXN",1/HLOOKUP(YEAR(D130)+(MONTH(D130)/100),TC!$5:$437,DAY(D130)+2,FALSE),VLOOKUP(E130,Equivalencia!$1:$23,((MAX(Equivalencia!$3:$3)-YEAR(D130))*14)+MONTH(D130)+2,FALSE)))</f>
        <v>0</v>
      </c>
      <c r="H130" s="646">
        <f t="shared" si="28"/>
        <v>0</v>
      </c>
      <c r="I130" s="647">
        <f t="shared" si="29"/>
        <v>0</v>
      </c>
      <c r="J130" s="647">
        <f t="shared" si="30"/>
        <v>0</v>
      </c>
      <c r="K130" s="655">
        <f>+IF(D130=0,0,HLOOKUP(YEAR(D130)+(MONTH(D130)/100),TC!$5:$37,DAY(D130)+2,FALSE))</f>
        <v>0</v>
      </c>
      <c r="L130" s="647">
        <f t="shared" si="31"/>
        <v>0</v>
      </c>
      <c r="M130" s="467"/>
      <c r="N130" s="467"/>
      <c r="O130" s="466">
        <f>IF(F130="",0,H130+M130+N130+O129)</f>
        <v>0</v>
      </c>
      <c r="P130" s="468"/>
      <c r="Q130" s="486">
        <f t="shared" si="33"/>
        <v>0</v>
      </c>
      <c r="R130" s="486"/>
      <c r="S130" s="466">
        <f t="shared" si="34"/>
        <v>0</v>
      </c>
      <c r="T130" s="1"/>
      <c r="U130" s="1"/>
      <c r="V130" s="1"/>
      <c r="W130" s="1"/>
      <c r="X130" s="1"/>
      <c r="Y130" s="1"/>
      <c r="Z130" s="1"/>
      <c r="AA130" s="1"/>
    </row>
    <row r="131" spans="2:27">
      <c r="B131" s="648"/>
      <c r="C131" s="649"/>
      <c r="D131" s="650"/>
      <c r="E131" s="648"/>
      <c r="F131" s="651"/>
      <c r="G131" s="652">
        <f>IF(E131=0,0,IF(E131="MXN",1/HLOOKUP(YEAR(D131)+(MONTH(D131)/100),TC!$5:$437,DAY(D131)+2,FALSE),VLOOKUP(E131,Equivalencia!$1:$23,((MAX(Equivalencia!$3:$3)-YEAR(D131))*14)+MONTH(D131)+2,FALSE)))</f>
        <v>0</v>
      </c>
      <c r="H131" s="653">
        <f t="shared" si="28"/>
        <v>0</v>
      </c>
      <c r="I131" s="654">
        <f t="shared" si="29"/>
        <v>0</v>
      </c>
      <c r="J131" s="654">
        <f t="shared" si="30"/>
        <v>0</v>
      </c>
      <c r="K131" s="656">
        <f>+IF(D131=0,0,HLOOKUP(YEAR(D131)+(MONTH(D131)/100),TC!$5:$37,DAY(D131)+2,FALSE))</f>
        <v>0</v>
      </c>
      <c r="L131" s="654">
        <f t="shared" si="31"/>
        <v>0</v>
      </c>
      <c r="M131" s="467"/>
      <c r="N131" s="467"/>
      <c r="O131" s="466">
        <f>IF(F131="",0,H131+M131+N131+O130)</f>
        <v>0</v>
      </c>
      <c r="P131" s="468"/>
      <c r="Q131" s="486">
        <f t="shared" si="33"/>
        <v>0</v>
      </c>
      <c r="R131" s="486"/>
      <c r="S131" s="466">
        <f t="shared" si="34"/>
        <v>0</v>
      </c>
      <c r="T131" s="1"/>
      <c r="U131" s="1"/>
      <c r="V131" s="1"/>
      <c r="W131" s="1"/>
      <c r="X131" s="1"/>
      <c r="Y131" s="1"/>
      <c r="Z131" s="1"/>
      <c r="AA131" s="1"/>
    </row>
    <row r="132" spans="2:27">
      <c r="B132" s="3"/>
      <c r="C132" s="1"/>
      <c r="D132" s="1"/>
      <c r="E132" s="1"/>
      <c r="F132" s="1"/>
      <c r="G132" s="3"/>
      <c r="H132" s="471"/>
      <c r="I132" s="448"/>
      <c r="J132" s="448"/>
      <c r="K132" s="448"/>
      <c r="L132" s="448"/>
      <c r="M132" s="447"/>
      <c r="N132" s="447"/>
      <c r="O132" s="448"/>
      <c r="P132" s="448"/>
      <c r="Q132" s="448"/>
      <c r="R132" s="448"/>
      <c r="S132" s="448"/>
      <c r="T132" s="1"/>
      <c r="U132" s="1"/>
      <c r="V132" s="1"/>
      <c r="W132" s="1"/>
      <c r="X132" s="1"/>
      <c r="Y132" s="1"/>
      <c r="Z132" s="1"/>
      <c r="AA132" s="1"/>
    </row>
    <row r="133" spans="2:27">
      <c r="B133" s="3"/>
      <c r="C133" s="1"/>
      <c r="D133" s="1"/>
      <c r="E133" s="1"/>
      <c r="F133" s="1"/>
      <c r="G133" s="3"/>
      <c r="H133" s="472"/>
      <c r="I133" s="473"/>
      <c r="J133" s="474"/>
      <c r="K133" s="474"/>
      <c r="L133" s="474">
        <f>SUM(L120:L131)</f>
        <v>0</v>
      </c>
      <c r="M133" s="475"/>
      <c r="N133" s="475"/>
      <c r="O133" s="473"/>
      <c r="P133" s="473"/>
      <c r="Q133" s="473"/>
      <c r="R133" s="473"/>
      <c r="S133" s="474">
        <f>+SUMIF(S120:S132,"&gt;0",S120:S132)</f>
        <v>0</v>
      </c>
      <c r="T133" s="1"/>
      <c r="U133" s="1"/>
      <c r="V133" s="474">
        <f>+L133</f>
        <v>0</v>
      </c>
      <c r="W133" s="474">
        <f>+S133</f>
        <v>0</v>
      </c>
      <c r="X133" s="474">
        <f>+V133+W133</f>
        <v>0</v>
      </c>
      <c r="Y133" s="1"/>
      <c r="Z133" s="1"/>
      <c r="AA133" s="1"/>
    </row>
    <row r="134" spans="2:27">
      <c r="B134" s="3"/>
      <c r="C134" s="1"/>
      <c r="D134" s="1"/>
      <c r="E134" s="1"/>
      <c r="F134" s="1"/>
      <c r="G134" s="3"/>
      <c r="H134" s="134"/>
      <c r="I134" s="448"/>
      <c r="J134" s="448"/>
      <c r="K134" s="448"/>
      <c r="L134" s="448"/>
      <c r="M134" s="447"/>
      <c r="N134" s="447"/>
      <c r="O134" s="448"/>
      <c r="P134" s="448"/>
      <c r="Q134" s="448"/>
      <c r="R134" s="448"/>
      <c r="S134" s="448"/>
      <c r="T134" s="1"/>
      <c r="U134" s="1"/>
      <c r="V134" s="1"/>
      <c r="W134" s="1"/>
      <c r="X134" s="1"/>
      <c r="Y134" s="1"/>
      <c r="Z134" s="1"/>
      <c r="AA134" s="1"/>
    </row>
    <row r="135" spans="2:27">
      <c r="B135" s="1"/>
      <c r="C135" s="1"/>
      <c r="D135" s="1"/>
      <c r="E135" s="1"/>
      <c r="F135" s="1"/>
      <c r="G135" s="3"/>
      <c r="H135" s="134"/>
      <c r="I135" s="448"/>
      <c r="J135" s="448"/>
      <c r="K135" s="448"/>
      <c r="L135" s="448"/>
      <c r="M135" s="447"/>
      <c r="N135" s="447"/>
      <c r="O135" s="448"/>
      <c r="P135" s="476"/>
      <c r="Q135" s="476"/>
      <c r="R135" s="476"/>
      <c r="S135" s="477" t="s">
        <v>574</v>
      </c>
      <c r="T135" s="478">
        <f>+L133+S133</f>
        <v>0</v>
      </c>
      <c r="U135" s="1"/>
      <c r="V135" s="1"/>
      <c r="W135" s="1"/>
      <c r="X135" s="1"/>
      <c r="Y135" s="1"/>
      <c r="Z135" s="1"/>
      <c r="AA135" s="1"/>
    </row>
    <row r="136" spans="2:27">
      <c r="B136" s="1"/>
      <c r="C136" s="1"/>
      <c r="D136" s="1"/>
      <c r="E136" s="1"/>
      <c r="F136" s="1"/>
      <c r="G136" s="3"/>
      <c r="H136" s="134"/>
      <c r="I136" s="448"/>
      <c r="J136" s="448"/>
      <c r="K136" s="448"/>
      <c r="L136" s="448"/>
      <c r="M136" s="447"/>
      <c r="N136" s="481"/>
      <c r="O136" s="482"/>
      <c r="P136" s="480"/>
      <c r="Q136" s="485"/>
      <c r="R136" s="485"/>
      <c r="S136" s="483"/>
      <c r="T136" s="1"/>
      <c r="U136" s="1"/>
      <c r="V136" s="1"/>
      <c r="W136" s="1"/>
      <c r="X136" s="1"/>
      <c r="Y136" s="1"/>
      <c r="Z136" s="1"/>
      <c r="AA136" s="1"/>
    </row>
    <row r="137" spans="2:27">
      <c r="B137" s="440"/>
      <c r="C137" s="440"/>
      <c r="D137" s="440"/>
      <c r="E137" s="440"/>
      <c r="F137" s="440"/>
      <c r="G137" s="440"/>
      <c r="H137" s="441"/>
      <c r="I137" s="442"/>
      <c r="J137" s="442"/>
      <c r="K137" s="442"/>
      <c r="L137" s="442"/>
      <c r="M137" s="443"/>
      <c r="N137" s="443"/>
      <c r="O137" s="442"/>
      <c r="P137" s="442"/>
      <c r="Q137" s="442"/>
      <c r="R137" s="442"/>
      <c r="S137" s="442"/>
      <c r="T137" s="1"/>
      <c r="U137" s="1"/>
      <c r="V137" s="1"/>
      <c r="W137" s="1"/>
      <c r="X137" s="1"/>
      <c r="Y137" s="1"/>
      <c r="Z137" s="1"/>
      <c r="AA137" s="1"/>
    </row>
    <row r="138" spans="2:27">
      <c r="B138" s="444"/>
      <c r="C138" s="444"/>
      <c r="D138" s="444"/>
      <c r="E138" s="444"/>
      <c r="F138" s="444"/>
      <c r="G138" s="444"/>
      <c r="H138" s="445"/>
      <c r="I138" s="446"/>
      <c r="J138" s="446"/>
      <c r="K138" s="446"/>
      <c r="L138" s="446"/>
      <c r="M138" s="447"/>
      <c r="N138" s="447"/>
      <c r="O138" s="448"/>
      <c r="P138" s="448"/>
      <c r="Q138" s="448"/>
      <c r="R138" s="448"/>
      <c r="S138" s="448"/>
      <c r="T138" s="1"/>
      <c r="U138" s="1"/>
      <c r="V138" s="1"/>
      <c r="W138" s="1"/>
      <c r="X138" s="1"/>
      <c r="Y138" s="1"/>
      <c r="Z138" s="1"/>
      <c r="AA138" s="1"/>
    </row>
    <row r="139" spans="2:27">
      <c r="B139" s="385" t="s">
        <v>569</v>
      </c>
      <c r="C139" s="385"/>
      <c r="D139" s="1"/>
      <c r="E139" s="385"/>
      <c r="F139" s="385"/>
      <c r="G139" s="388"/>
      <c r="H139" s="449"/>
      <c r="I139" s="450"/>
      <c r="J139" s="450"/>
      <c r="K139" s="450"/>
      <c r="L139" s="450"/>
      <c r="M139" s="447"/>
      <c r="N139" s="447"/>
      <c r="O139" s="448"/>
      <c r="P139" s="448"/>
      <c r="Q139" s="448"/>
      <c r="R139" s="448"/>
      <c r="S139" s="448"/>
      <c r="T139" s="1"/>
      <c r="U139" s="1"/>
      <c r="V139" s="1"/>
      <c r="W139" s="1"/>
      <c r="X139" s="1"/>
      <c r="Y139" s="1"/>
      <c r="Z139" s="1"/>
      <c r="AA139" s="1"/>
    </row>
    <row r="140" spans="2:27">
      <c r="B140" s="385" t="s">
        <v>570</v>
      </c>
      <c r="C140" s="385"/>
      <c r="D140" s="1"/>
      <c r="E140" s="385"/>
      <c r="F140" s="385"/>
      <c r="G140" s="388"/>
      <c r="H140" s="451"/>
      <c r="I140" s="448"/>
      <c r="J140" s="448"/>
      <c r="K140" s="448"/>
      <c r="L140" s="448"/>
      <c r="M140" s="447"/>
      <c r="N140" s="447"/>
      <c r="O140" s="448"/>
      <c r="P140" s="448"/>
      <c r="Q140" s="448"/>
      <c r="R140" s="448"/>
      <c r="S140" s="448"/>
      <c r="T140" s="1"/>
      <c r="U140" s="1"/>
      <c r="V140" s="1"/>
      <c r="W140" s="1"/>
      <c r="X140" s="1"/>
      <c r="Y140" s="1"/>
      <c r="Z140" s="1"/>
      <c r="AA140" s="1"/>
    </row>
    <row r="141" spans="2:27">
      <c r="B141" s="385" t="s">
        <v>571</v>
      </c>
      <c r="C141" s="385"/>
      <c r="D141" s="1"/>
      <c r="E141" s="385"/>
      <c r="F141" s="385"/>
      <c r="G141" s="388"/>
      <c r="H141" s="452"/>
      <c r="I141" s="448"/>
      <c r="J141" s="448"/>
      <c r="K141" s="448"/>
      <c r="L141" s="448"/>
      <c r="M141" s="447"/>
      <c r="N141" s="447"/>
      <c r="O141" s="448"/>
      <c r="P141" s="448"/>
      <c r="Q141" s="448"/>
      <c r="R141" s="448"/>
      <c r="S141" s="448"/>
      <c r="T141" s="1"/>
      <c r="U141" s="1"/>
      <c r="V141" s="1"/>
      <c r="W141" s="1"/>
      <c r="X141" s="1"/>
      <c r="Y141" s="1"/>
      <c r="Z141" s="1"/>
      <c r="AA141" s="1"/>
    </row>
    <row r="142" spans="2:27">
      <c r="B142" s="385" t="s">
        <v>572</v>
      </c>
      <c r="C142" s="385"/>
      <c r="D142" s="1"/>
      <c r="E142" s="385"/>
      <c r="F142" s="385"/>
      <c r="G142" s="388"/>
      <c r="H142" s="453"/>
      <c r="I142" s="448"/>
      <c r="J142" s="448"/>
      <c r="K142" s="448"/>
      <c r="L142" s="448"/>
      <c r="M142" s="447"/>
      <c r="N142" s="447"/>
      <c r="O142" s="448"/>
      <c r="P142" s="448"/>
      <c r="Q142" s="448"/>
      <c r="R142" s="448"/>
      <c r="S142" s="448"/>
      <c r="T142" s="1"/>
      <c r="U142" s="1"/>
      <c r="V142" s="1"/>
      <c r="W142" s="1"/>
      <c r="X142" s="1"/>
      <c r="Y142" s="1"/>
      <c r="Z142" s="1"/>
      <c r="AA142" s="1"/>
    </row>
    <row r="143" spans="2:27">
      <c r="B143" s="385"/>
      <c r="C143" s="385"/>
      <c r="D143" s="1"/>
      <c r="E143" s="388"/>
      <c r="F143" s="388"/>
      <c r="G143" s="388"/>
      <c r="H143" s="454"/>
      <c r="I143" s="448"/>
      <c r="J143" s="448"/>
      <c r="K143" s="448"/>
      <c r="L143" s="448"/>
      <c r="M143" s="447"/>
      <c r="N143" s="447"/>
      <c r="O143" s="448"/>
      <c r="P143" s="448"/>
      <c r="Q143" s="448"/>
      <c r="R143" s="448"/>
      <c r="S143" s="448"/>
      <c r="T143" s="1"/>
      <c r="U143" s="1"/>
      <c r="V143" s="1"/>
      <c r="W143" s="1"/>
      <c r="X143" s="1"/>
      <c r="Y143" s="1"/>
      <c r="Z143" s="1"/>
      <c r="AA143" s="1"/>
    </row>
    <row r="144" spans="2:27">
      <c r="B144" s="455" t="s">
        <v>573</v>
      </c>
      <c r="C144" s="455"/>
      <c r="D144" s="456"/>
      <c r="E144" s="456"/>
      <c r="F144" s="456"/>
      <c r="G144" s="456"/>
      <c r="H144" s="457"/>
      <c r="I144" s="458"/>
      <c r="J144" s="458"/>
      <c r="K144" s="458"/>
      <c r="L144" s="458"/>
      <c r="M144" s="459"/>
      <c r="N144" s="459"/>
      <c r="O144" s="458"/>
      <c r="P144" s="458"/>
      <c r="Q144" s="458"/>
      <c r="R144" s="458"/>
      <c r="S144" s="458"/>
      <c r="T144" s="1"/>
      <c r="U144" s="1"/>
      <c r="V144" s="1"/>
      <c r="W144" s="1"/>
      <c r="X144" s="1"/>
      <c r="Y144" s="1"/>
      <c r="Z144" s="1"/>
      <c r="AA144" s="1"/>
    </row>
    <row r="145" spans="2:27">
      <c r="B145" s="338"/>
      <c r="C145" s="324"/>
      <c r="D145" s="324"/>
      <c r="E145" s="324"/>
      <c r="F145" s="324"/>
      <c r="G145" s="338"/>
      <c r="H145" s="460"/>
      <c r="I145" s="461"/>
      <c r="J145" s="461"/>
      <c r="K145" s="461"/>
      <c r="L145" s="461"/>
      <c r="M145" s="447"/>
      <c r="N145" s="447"/>
      <c r="O145" s="448"/>
      <c r="P145" s="448"/>
      <c r="Q145" s="448"/>
      <c r="R145" s="448"/>
      <c r="S145" s="448"/>
      <c r="T145" s="1"/>
      <c r="U145" s="1"/>
      <c r="V145" s="1"/>
      <c r="W145" s="1"/>
      <c r="X145" s="1"/>
      <c r="Y145" s="1"/>
      <c r="Z145" s="1"/>
      <c r="AA145" s="1"/>
    </row>
    <row r="146" spans="2:27">
      <c r="B146" s="337"/>
      <c r="C146" s="67"/>
      <c r="D146" s="462"/>
      <c r="E146" s="325"/>
      <c r="F146" s="463"/>
      <c r="G146" s="464">
        <f>IF(E146=0,0,IF(E146="MXN",1/HLOOKUP(YEAR(D146)+(MONTH(D146)/100),TC!$5:$437,DAY(D146)+2,FALSE),VLOOKUP(E146,Equivalencia!$1:$23,((MAX(Equivalencia!$3:$3)-YEAR(D146))*14)+MONTH(D146)+2,FALSE)))</f>
        <v>0</v>
      </c>
      <c r="H146" s="465">
        <f>+G146*F146</f>
        <v>0</v>
      </c>
      <c r="I146" s="466">
        <f>H144+H146</f>
        <v>0</v>
      </c>
      <c r="J146" s="466">
        <f>+IF(H146&lt;0,0,IF(AND(H144&lt;0,I146&lt;0),0,IF(H144&lt;0,H146+H144,H146)))</f>
        <v>0</v>
      </c>
      <c r="K146" s="553">
        <f>+IF(D146=0,0,HLOOKUP(YEAR(D146)+(MONTH(D146)/100),TC!$5:$37,DAY(D146)+2,FALSE))</f>
        <v>0</v>
      </c>
      <c r="L146" s="466">
        <f>+J146*K146</f>
        <v>0</v>
      </c>
      <c r="M146" s="467"/>
      <c r="N146" s="467"/>
      <c r="O146" s="466">
        <f>IF(F146="",0,I146+M146+N146)</f>
        <v>0</v>
      </c>
      <c r="P146" s="468"/>
      <c r="Q146" s="486">
        <f>IF(O146=P146,0,IF(P146="",0,O146-P146))</f>
        <v>0</v>
      </c>
      <c r="R146" s="486"/>
      <c r="S146" s="466">
        <f>+IF(P146="",0,R146*Q146)</f>
        <v>0</v>
      </c>
      <c r="T146" s="1"/>
      <c r="U146" s="1"/>
      <c r="V146" s="1"/>
      <c r="W146" s="1"/>
      <c r="X146" s="1"/>
      <c r="Y146" s="1"/>
      <c r="Z146" s="1"/>
      <c r="AA146" s="1"/>
    </row>
    <row r="147" spans="2:27">
      <c r="B147" s="337"/>
      <c r="C147" s="469"/>
      <c r="D147" s="462"/>
      <c r="E147" s="325"/>
      <c r="F147" s="463"/>
      <c r="G147" s="464">
        <f>IF(E147=0,0,IF(E147="MXN",1/HLOOKUP(YEAR(D147)+(MONTH(D147)/100),TC!$5:$437,DAY(D147)+2,FALSE),VLOOKUP(E147,Equivalencia!$1:$23,((MAX(Equivalencia!$3:$3)-YEAR(D147))*14)+MONTH(D147)+2,FALSE)))</f>
        <v>0</v>
      </c>
      <c r="H147" s="465">
        <f t="shared" ref="H147:H157" si="35">+G147*F147</f>
        <v>0</v>
      </c>
      <c r="I147" s="466">
        <f t="shared" ref="I147:I157" si="36">I146+H147+Q146</f>
        <v>0</v>
      </c>
      <c r="J147" s="466">
        <f t="shared" ref="J147:J157" si="37">+IF(H147&lt;0,0,IF(AND(I146&lt;0,I147&lt;0),0,IF(I146&lt;0,H147+I146,H147)))</f>
        <v>0</v>
      </c>
      <c r="K147" s="553">
        <f>+IF(D147=0,0,HLOOKUP(YEAR(D147)+(MONTH(D147)/100),TC!$5:$37,DAY(D147)+2,FALSE))</f>
        <v>0</v>
      </c>
      <c r="L147" s="466">
        <f t="shared" ref="L147:L157" si="38">+J147*K147</f>
        <v>0</v>
      </c>
      <c r="M147" s="467"/>
      <c r="N147" s="467"/>
      <c r="O147" s="466">
        <f t="shared" ref="O147:O154" si="39">IF(F147="",0,H147+M147+N147+O146)</f>
        <v>0</v>
      </c>
      <c r="P147" s="468"/>
      <c r="Q147" s="486">
        <f t="shared" ref="Q147:Q157" si="40">IF(O147=P147,0,IF(P147="",0,O147-P147))</f>
        <v>0</v>
      </c>
      <c r="R147" s="486"/>
      <c r="S147" s="466">
        <f t="shared" ref="S147:S157" si="41">+IF(P147="",0,R147*Q147)</f>
        <v>0</v>
      </c>
      <c r="T147" s="1"/>
      <c r="U147" s="1"/>
      <c r="V147" s="1"/>
      <c r="W147" s="1"/>
      <c r="X147" s="1"/>
      <c r="Y147" s="1"/>
      <c r="Z147" s="1"/>
      <c r="AA147" s="1"/>
    </row>
    <row r="148" spans="2:27">
      <c r="B148" s="337"/>
      <c r="C148" s="469"/>
      <c r="D148" s="462"/>
      <c r="E148" s="325"/>
      <c r="F148" s="463"/>
      <c r="G148" s="464">
        <f>IF(E148=0,0,IF(E148="MXN",1/HLOOKUP(YEAR(D148)+(MONTH(D148)/100),TC!$5:$437,DAY(D148)+2,FALSE),VLOOKUP(E148,Equivalencia!$1:$23,((MAX(Equivalencia!$3:$3)-YEAR(D148))*14)+MONTH(D148)+2,FALSE)))</f>
        <v>0</v>
      </c>
      <c r="H148" s="465">
        <f t="shared" si="35"/>
        <v>0</v>
      </c>
      <c r="I148" s="466">
        <f t="shared" si="36"/>
        <v>0</v>
      </c>
      <c r="J148" s="466">
        <f t="shared" si="37"/>
        <v>0</v>
      </c>
      <c r="K148" s="553">
        <f>+IF(D148=0,0,HLOOKUP(YEAR(D148)+(MONTH(D148)/100),TC!$5:$37,DAY(D148)+2,FALSE))</f>
        <v>0</v>
      </c>
      <c r="L148" s="466">
        <f t="shared" si="38"/>
        <v>0</v>
      </c>
      <c r="M148" s="467"/>
      <c r="N148" s="467"/>
      <c r="O148" s="466">
        <f t="shared" si="39"/>
        <v>0</v>
      </c>
      <c r="P148" s="468"/>
      <c r="Q148" s="486">
        <f t="shared" si="40"/>
        <v>0</v>
      </c>
      <c r="R148" s="486"/>
      <c r="S148" s="466">
        <f t="shared" si="41"/>
        <v>0</v>
      </c>
      <c r="T148" s="1"/>
      <c r="U148" s="1"/>
      <c r="V148" s="1"/>
      <c r="W148" s="1"/>
      <c r="X148" s="1"/>
      <c r="Y148" s="1"/>
      <c r="Z148" s="1"/>
      <c r="AA148" s="1"/>
    </row>
    <row r="149" spans="2:27">
      <c r="B149" s="337"/>
      <c r="C149" s="469"/>
      <c r="D149" s="462"/>
      <c r="E149" s="325"/>
      <c r="F149" s="463"/>
      <c r="G149" s="464">
        <f>IF(E149=0,0,IF(E149="MXN",1/HLOOKUP(YEAR(D149)+(MONTH(D149)/100),TC!$5:$437,DAY(D149)+2,FALSE),VLOOKUP(E149,Equivalencia!$1:$23,((MAX(Equivalencia!$3:$3)-YEAR(D149))*14)+MONTH(D149)+2,FALSE)))</f>
        <v>0</v>
      </c>
      <c r="H149" s="465">
        <f t="shared" si="35"/>
        <v>0</v>
      </c>
      <c r="I149" s="466">
        <f t="shared" si="36"/>
        <v>0</v>
      </c>
      <c r="J149" s="466">
        <f t="shared" si="37"/>
        <v>0</v>
      </c>
      <c r="K149" s="553">
        <f>+IF(D149=0,0,HLOOKUP(YEAR(D149)+(MONTH(D149)/100),TC!$5:$37,DAY(D149)+2,FALSE))</f>
        <v>0</v>
      </c>
      <c r="L149" s="466">
        <f t="shared" si="38"/>
        <v>0</v>
      </c>
      <c r="M149" s="467"/>
      <c r="N149" s="467"/>
      <c r="O149" s="466">
        <f t="shared" si="39"/>
        <v>0</v>
      </c>
      <c r="P149" s="468"/>
      <c r="Q149" s="486">
        <f t="shared" si="40"/>
        <v>0</v>
      </c>
      <c r="R149" s="486"/>
      <c r="S149" s="466">
        <f t="shared" si="41"/>
        <v>0</v>
      </c>
      <c r="T149" s="1"/>
      <c r="U149" s="1"/>
      <c r="V149" s="1"/>
      <c r="W149" s="1"/>
      <c r="X149" s="1"/>
      <c r="Y149" s="1"/>
      <c r="Z149" s="1"/>
      <c r="AA149" s="1"/>
    </row>
    <row r="150" spans="2:27">
      <c r="B150" s="337"/>
      <c r="C150" s="470"/>
      <c r="D150" s="462"/>
      <c r="E150" s="325"/>
      <c r="F150" s="463"/>
      <c r="G150" s="464">
        <f>IF(E150=0,0,IF(E150="MXN",1/HLOOKUP(YEAR(D150)+(MONTH(D150)/100),TC!$5:$437,DAY(D150)+2,FALSE),VLOOKUP(E150,Equivalencia!$1:$23,((MAX(Equivalencia!$3:$3)-YEAR(D150))*14)+MONTH(D150)+2,FALSE)))</f>
        <v>0</v>
      </c>
      <c r="H150" s="465">
        <f t="shared" si="35"/>
        <v>0</v>
      </c>
      <c r="I150" s="466">
        <f t="shared" si="36"/>
        <v>0</v>
      </c>
      <c r="J150" s="466">
        <f t="shared" si="37"/>
        <v>0</v>
      </c>
      <c r="K150" s="553">
        <f>+IF(D150=0,0,HLOOKUP(YEAR(D150)+(MONTH(D150)/100),TC!$5:$37,DAY(D150)+2,FALSE))</f>
        <v>0</v>
      </c>
      <c r="L150" s="466">
        <f t="shared" si="38"/>
        <v>0</v>
      </c>
      <c r="M150" s="467"/>
      <c r="N150" s="467"/>
      <c r="O150" s="466">
        <f t="shared" si="39"/>
        <v>0</v>
      </c>
      <c r="P150" s="468"/>
      <c r="Q150" s="486">
        <f t="shared" si="40"/>
        <v>0</v>
      </c>
      <c r="R150" s="486"/>
      <c r="S150" s="466">
        <f t="shared" si="41"/>
        <v>0</v>
      </c>
      <c r="T150" s="1"/>
      <c r="U150" s="1"/>
      <c r="V150" s="1"/>
      <c r="W150" s="1"/>
      <c r="X150" s="1"/>
      <c r="Y150" s="1"/>
      <c r="Z150" s="1"/>
      <c r="AA150" s="1"/>
    </row>
    <row r="151" spans="2:27">
      <c r="B151" s="337"/>
      <c r="C151" s="470"/>
      <c r="D151" s="462"/>
      <c r="E151" s="325"/>
      <c r="F151" s="463"/>
      <c r="G151" s="464">
        <f>IF(E151=0,0,IF(E151="MXN",1/HLOOKUP(YEAR(D151)+(MONTH(D151)/100),TC!$5:$437,DAY(D151)+2,FALSE),VLOOKUP(E151,Equivalencia!$1:$23,((MAX(Equivalencia!$3:$3)-YEAR(D151))*14)+MONTH(D151)+2,FALSE)))</f>
        <v>0</v>
      </c>
      <c r="H151" s="465">
        <f t="shared" si="35"/>
        <v>0</v>
      </c>
      <c r="I151" s="466">
        <f t="shared" si="36"/>
        <v>0</v>
      </c>
      <c r="J151" s="466">
        <f t="shared" si="37"/>
        <v>0</v>
      </c>
      <c r="K151" s="553">
        <f>+IF(D151=0,0,HLOOKUP(YEAR(D151)+(MONTH(D151)/100),TC!$5:$37,DAY(D151)+2,FALSE))</f>
        <v>0</v>
      </c>
      <c r="L151" s="466">
        <f t="shared" si="38"/>
        <v>0</v>
      </c>
      <c r="M151" s="467"/>
      <c r="N151" s="467"/>
      <c r="O151" s="466">
        <f t="shared" si="39"/>
        <v>0</v>
      </c>
      <c r="P151" s="468"/>
      <c r="Q151" s="486">
        <f t="shared" si="40"/>
        <v>0</v>
      </c>
      <c r="R151" s="486"/>
      <c r="S151" s="466">
        <f t="shared" si="41"/>
        <v>0</v>
      </c>
      <c r="T151" s="1"/>
      <c r="U151" s="1"/>
      <c r="V151" s="1"/>
      <c r="W151" s="1"/>
      <c r="X151" s="1"/>
      <c r="Y151" s="1"/>
      <c r="Z151" s="1"/>
      <c r="AA151" s="1"/>
    </row>
    <row r="152" spans="2:27">
      <c r="B152" s="337"/>
      <c r="C152" s="470"/>
      <c r="D152" s="462"/>
      <c r="E152" s="325"/>
      <c r="F152" s="463"/>
      <c r="G152" s="464">
        <f>IF(E152=0,0,IF(E152="MXN",1/HLOOKUP(YEAR(D152)+(MONTH(D152)/100),TC!$5:$437,DAY(D152)+2,FALSE),VLOOKUP(E152,Equivalencia!$1:$23,((MAX(Equivalencia!$3:$3)-YEAR(D152))*14)+MONTH(D152)+2,FALSE)))</f>
        <v>0</v>
      </c>
      <c r="H152" s="465">
        <f t="shared" si="35"/>
        <v>0</v>
      </c>
      <c r="I152" s="466">
        <f t="shared" si="36"/>
        <v>0</v>
      </c>
      <c r="J152" s="466">
        <f t="shared" si="37"/>
        <v>0</v>
      </c>
      <c r="K152" s="553">
        <f>+IF(D152=0,0,HLOOKUP(YEAR(D152)+(MONTH(D152)/100),TC!$5:$37,DAY(D152)+2,FALSE))</f>
        <v>0</v>
      </c>
      <c r="L152" s="466">
        <f t="shared" si="38"/>
        <v>0</v>
      </c>
      <c r="M152" s="467"/>
      <c r="N152" s="467"/>
      <c r="O152" s="466">
        <f t="shared" si="39"/>
        <v>0</v>
      </c>
      <c r="P152" s="468"/>
      <c r="Q152" s="486">
        <f t="shared" si="40"/>
        <v>0</v>
      </c>
      <c r="R152" s="486"/>
      <c r="S152" s="466">
        <f t="shared" si="41"/>
        <v>0</v>
      </c>
      <c r="T152" s="1"/>
      <c r="U152" s="1"/>
      <c r="V152" s="1"/>
      <c r="W152" s="1"/>
      <c r="X152" s="1"/>
      <c r="Y152" s="1"/>
      <c r="Z152" s="1"/>
      <c r="AA152" s="1"/>
    </row>
    <row r="153" spans="2:27">
      <c r="B153" s="337"/>
      <c r="C153" s="470"/>
      <c r="D153" s="462"/>
      <c r="E153" s="325"/>
      <c r="F153" s="463"/>
      <c r="G153" s="464">
        <f>IF(E153=0,0,IF(E153="MXN",1/HLOOKUP(YEAR(D153)+(MONTH(D153)/100),TC!$5:$437,DAY(D153)+2,FALSE),VLOOKUP(E153,Equivalencia!$1:$23,((MAX(Equivalencia!$3:$3)-YEAR(D153))*14)+MONTH(D153)+2,FALSE)))</f>
        <v>0</v>
      </c>
      <c r="H153" s="465">
        <f t="shared" si="35"/>
        <v>0</v>
      </c>
      <c r="I153" s="466">
        <f t="shared" si="36"/>
        <v>0</v>
      </c>
      <c r="J153" s="466">
        <f t="shared" si="37"/>
        <v>0</v>
      </c>
      <c r="K153" s="553">
        <f>+IF(D153=0,0,HLOOKUP(YEAR(D153)+(MONTH(D153)/100),TC!$5:$37,DAY(D153)+2,FALSE))</f>
        <v>0</v>
      </c>
      <c r="L153" s="466">
        <f t="shared" si="38"/>
        <v>0</v>
      </c>
      <c r="M153" s="467"/>
      <c r="N153" s="467"/>
      <c r="O153" s="466">
        <f t="shared" si="39"/>
        <v>0</v>
      </c>
      <c r="P153" s="468"/>
      <c r="Q153" s="486">
        <f t="shared" si="40"/>
        <v>0</v>
      </c>
      <c r="R153" s="486"/>
      <c r="S153" s="466">
        <f t="shared" si="41"/>
        <v>0</v>
      </c>
      <c r="T153" s="1"/>
      <c r="U153" s="1"/>
      <c r="V153" s="1"/>
      <c r="W153" s="1"/>
      <c r="X153" s="1"/>
      <c r="Y153" s="1"/>
      <c r="Z153" s="1"/>
      <c r="AA153" s="1"/>
    </row>
    <row r="154" spans="2:27">
      <c r="B154" s="337"/>
      <c r="C154" s="470"/>
      <c r="D154" s="462"/>
      <c r="E154" s="325"/>
      <c r="F154" s="463"/>
      <c r="G154" s="464">
        <f>IF(E154=0,0,IF(E154="MXN",1/HLOOKUP(YEAR(D154)+(MONTH(D154)/100),TC!$5:$437,DAY(D154)+2,FALSE),VLOOKUP(E154,Equivalencia!$1:$23,((MAX(Equivalencia!$3:$3)-YEAR(D154))*14)+MONTH(D154)+2,FALSE)))</f>
        <v>0</v>
      </c>
      <c r="H154" s="465">
        <f t="shared" si="35"/>
        <v>0</v>
      </c>
      <c r="I154" s="466">
        <f t="shared" si="36"/>
        <v>0</v>
      </c>
      <c r="J154" s="466">
        <f t="shared" si="37"/>
        <v>0</v>
      </c>
      <c r="K154" s="553">
        <f>+IF(D154=0,0,HLOOKUP(YEAR(D154)+(MONTH(D154)/100),TC!$5:$37,DAY(D154)+2,FALSE))</f>
        <v>0</v>
      </c>
      <c r="L154" s="466">
        <f t="shared" si="38"/>
        <v>0</v>
      </c>
      <c r="M154" s="467"/>
      <c r="N154" s="467"/>
      <c r="O154" s="466">
        <f t="shared" si="39"/>
        <v>0</v>
      </c>
      <c r="P154" s="468"/>
      <c r="Q154" s="486">
        <f t="shared" si="40"/>
        <v>0</v>
      </c>
      <c r="R154" s="486"/>
      <c r="S154" s="466">
        <f t="shared" si="41"/>
        <v>0</v>
      </c>
      <c r="T154" s="1"/>
      <c r="U154" s="1"/>
      <c r="V154" s="1"/>
      <c r="W154" s="1"/>
      <c r="X154" s="1"/>
      <c r="Y154" s="1"/>
      <c r="Z154" s="1"/>
      <c r="AA154" s="1"/>
    </row>
    <row r="155" spans="2:27">
      <c r="B155" s="337"/>
      <c r="C155" s="470"/>
      <c r="D155" s="462"/>
      <c r="E155" s="325"/>
      <c r="F155" s="463"/>
      <c r="G155" s="464">
        <f>IF(E155=0,0,IF(E155="MXN",1/HLOOKUP(YEAR(D155)+(MONTH(D155)/100),TC!$5:$437,DAY(D155)+2,FALSE),VLOOKUP(E155,Equivalencia!$1:$23,((MAX(Equivalencia!$3:$3)-YEAR(D155))*14)+MONTH(D155)+2,FALSE)))</f>
        <v>0</v>
      </c>
      <c r="H155" s="465">
        <f t="shared" si="35"/>
        <v>0</v>
      </c>
      <c r="I155" s="466">
        <f t="shared" si="36"/>
        <v>0</v>
      </c>
      <c r="J155" s="466">
        <f t="shared" si="37"/>
        <v>0</v>
      </c>
      <c r="K155" s="553">
        <f>+IF(D155=0,0,HLOOKUP(YEAR(D155)+(MONTH(D155)/100),TC!$5:$37,DAY(D155)+2,FALSE))</f>
        <v>0</v>
      </c>
      <c r="L155" s="466">
        <f t="shared" si="38"/>
        <v>0</v>
      </c>
      <c r="M155" s="467"/>
      <c r="N155" s="467"/>
      <c r="O155" s="466">
        <f>IF(F155="",0,H155+M155+N155+O154)</f>
        <v>0</v>
      </c>
      <c r="P155" s="468"/>
      <c r="Q155" s="486">
        <f t="shared" si="40"/>
        <v>0</v>
      </c>
      <c r="R155" s="486"/>
      <c r="S155" s="466">
        <f t="shared" si="41"/>
        <v>0</v>
      </c>
      <c r="T155" s="1"/>
      <c r="U155" s="1"/>
      <c r="V155" s="1"/>
      <c r="W155" s="1"/>
      <c r="X155" s="1"/>
      <c r="Y155" s="1"/>
      <c r="Z155" s="1"/>
      <c r="AA155" s="1"/>
    </row>
    <row r="156" spans="2:27">
      <c r="B156" s="337"/>
      <c r="C156" s="67"/>
      <c r="D156" s="644"/>
      <c r="E156" s="337"/>
      <c r="F156" s="645"/>
      <c r="G156" s="464">
        <f>IF(E156=0,0,IF(E156="MXN",1/HLOOKUP(YEAR(D156)+(MONTH(D156)/100),TC!$5:$437,DAY(D156)+2,FALSE),VLOOKUP(E156,Equivalencia!$1:$23,((MAX(Equivalencia!$3:$3)-YEAR(D156))*14)+MONTH(D156)+2,FALSE)))</f>
        <v>0</v>
      </c>
      <c r="H156" s="646">
        <f t="shared" si="35"/>
        <v>0</v>
      </c>
      <c r="I156" s="647">
        <f t="shared" si="36"/>
        <v>0</v>
      </c>
      <c r="J156" s="647">
        <f t="shared" si="37"/>
        <v>0</v>
      </c>
      <c r="K156" s="655">
        <f>+IF(D156=0,0,HLOOKUP(YEAR(D156)+(MONTH(D156)/100),TC!$5:$37,DAY(D156)+2,FALSE))</f>
        <v>0</v>
      </c>
      <c r="L156" s="647">
        <f t="shared" si="38"/>
        <v>0</v>
      </c>
      <c r="M156" s="467"/>
      <c r="N156" s="467"/>
      <c r="O156" s="466">
        <f>IF(F156="",0,H156+M156+N156+O155)</f>
        <v>0</v>
      </c>
      <c r="P156" s="468"/>
      <c r="Q156" s="486">
        <f t="shared" si="40"/>
        <v>0</v>
      </c>
      <c r="R156" s="486"/>
      <c r="S156" s="466">
        <f t="shared" si="41"/>
        <v>0</v>
      </c>
      <c r="T156" s="1"/>
      <c r="U156" s="1"/>
      <c r="V156" s="1"/>
      <c r="W156" s="1"/>
      <c r="X156" s="1"/>
      <c r="Y156" s="1"/>
      <c r="Z156" s="1"/>
      <c r="AA156" s="1"/>
    </row>
    <row r="157" spans="2:27">
      <c r="B157" s="648"/>
      <c r="C157" s="649"/>
      <c r="D157" s="650"/>
      <c r="E157" s="648"/>
      <c r="F157" s="651"/>
      <c r="G157" s="652">
        <f>IF(E157=0,0,IF(E157="MXN",1/HLOOKUP(YEAR(D157)+(MONTH(D157)/100),TC!$5:$437,DAY(D157)+2,FALSE),VLOOKUP(E157,Equivalencia!$1:$23,((MAX(Equivalencia!$3:$3)-YEAR(D157))*14)+MONTH(D157)+2,FALSE)))</f>
        <v>0</v>
      </c>
      <c r="H157" s="653">
        <f t="shared" si="35"/>
        <v>0</v>
      </c>
      <c r="I157" s="654">
        <f t="shared" si="36"/>
        <v>0</v>
      </c>
      <c r="J157" s="654">
        <f t="shared" si="37"/>
        <v>0</v>
      </c>
      <c r="K157" s="656">
        <f>+IF(D157=0,0,HLOOKUP(YEAR(D157)+(MONTH(D157)/100),TC!$5:$37,DAY(D157)+2,FALSE))</f>
        <v>0</v>
      </c>
      <c r="L157" s="654">
        <f t="shared" si="38"/>
        <v>0</v>
      </c>
      <c r="M157" s="467"/>
      <c r="N157" s="467"/>
      <c r="O157" s="466">
        <f>IF(F157="",0,H157+M157+N157+O156)</f>
        <v>0</v>
      </c>
      <c r="P157" s="468"/>
      <c r="Q157" s="486">
        <f t="shared" si="40"/>
        <v>0</v>
      </c>
      <c r="R157" s="486"/>
      <c r="S157" s="466">
        <f t="shared" si="41"/>
        <v>0</v>
      </c>
      <c r="T157" s="1"/>
      <c r="U157" s="1"/>
      <c r="V157" s="1"/>
      <c r="W157" s="1"/>
      <c r="X157" s="1"/>
      <c r="Y157" s="1"/>
      <c r="Z157" s="1"/>
      <c r="AA157" s="1"/>
    </row>
    <row r="158" spans="2:27">
      <c r="B158" s="3"/>
      <c r="C158" s="1"/>
      <c r="D158" s="1"/>
      <c r="E158" s="1"/>
      <c r="F158" s="1"/>
      <c r="G158" s="3"/>
      <c r="H158" s="471"/>
      <c r="I158" s="448"/>
      <c r="J158" s="448"/>
      <c r="K158" s="448"/>
      <c r="L158" s="448"/>
      <c r="M158" s="447"/>
      <c r="N158" s="447"/>
      <c r="O158" s="448"/>
      <c r="P158" s="448"/>
      <c r="Q158" s="448"/>
      <c r="R158" s="448"/>
      <c r="S158" s="448"/>
      <c r="T158" s="1"/>
      <c r="U158" s="1"/>
      <c r="V158" s="1"/>
      <c r="W158" s="1"/>
      <c r="X158" s="1"/>
      <c r="Y158" s="1"/>
      <c r="Z158" s="1"/>
      <c r="AA158" s="1"/>
    </row>
    <row r="159" spans="2:27">
      <c r="B159" s="3"/>
      <c r="C159" s="1"/>
      <c r="D159" s="1"/>
      <c r="E159" s="1"/>
      <c r="F159" s="1"/>
      <c r="G159" s="3"/>
      <c r="H159" s="472"/>
      <c r="I159" s="473"/>
      <c r="J159" s="474"/>
      <c r="K159" s="474"/>
      <c r="L159" s="474">
        <f>SUM(L146:L157)</f>
        <v>0</v>
      </c>
      <c r="M159" s="475"/>
      <c r="N159" s="475"/>
      <c r="O159" s="473"/>
      <c r="P159" s="473"/>
      <c r="Q159" s="473"/>
      <c r="R159" s="473"/>
      <c r="S159" s="474">
        <f>+SUMIF(S146:S158,"&gt;0",S146:S158)</f>
        <v>0</v>
      </c>
      <c r="T159" s="1"/>
      <c r="U159" s="1"/>
      <c r="V159" s="474">
        <f>+L159</f>
        <v>0</v>
      </c>
      <c r="W159" s="474">
        <f>+S159</f>
        <v>0</v>
      </c>
      <c r="X159" s="474">
        <f>+V159+W159</f>
        <v>0</v>
      </c>
      <c r="Y159" s="1"/>
      <c r="Z159" s="1"/>
      <c r="AA159" s="1"/>
    </row>
    <row r="160" spans="2:27">
      <c r="B160" s="3"/>
      <c r="C160" s="1"/>
      <c r="D160" s="1"/>
      <c r="E160" s="1"/>
      <c r="F160" s="1"/>
      <c r="G160" s="3"/>
      <c r="H160" s="134"/>
      <c r="I160" s="448"/>
      <c r="J160" s="448"/>
      <c r="K160" s="448"/>
      <c r="L160" s="448"/>
      <c r="M160" s="447"/>
      <c r="N160" s="447"/>
      <c r="O160" s="448"/>
      <c r="P160" s="448"/>
      <c r="Q160" s="448"/>
      <c r="R160" s="448"/>
      <c r="S160" s="448"/>
      <c r="T160" s="1"/>
      <c r="U160" s="1"/>
      <c r="V160" s="1"/>
      <c r="W160" s="1"/>
      <c r="X160" s="1"/>
      <c r="Y160" s="1"/>
      <c r="Z160" s="1"/>
      <c r="AA160" s="1"/>
    </row>
    <row r="161" spans="2:27">
      <c r="B161" s="1"/>
      <c r="C161" s="1"/>
      <c r="D161" s="1"/>
      <c r="E161" s="1"/>
      <c r="F161" s="1"/>
      <c r="G161" s="3"/>
      <c r="H161" s="134"/>
      <c r="I161" s="448"/>
      <c r="J161" s="448"/>
      <c r="K161" s="448"/>
      <c r="L161" s="448"/>
      <c r="M161" s="447"/>
      <c r="N161" s="447"/>
      <c r="O161" s="448"/>
      <c r="P161" s="476"/>
      <c r="Q161" s="476"/>
      <c r="R161" s="476"/>
      <c r="S161" s="477" t="s">
        <v>574</v>
      </c>
      <c r="T161" s="478">
        <f>+L159+S159</f>
        <v>0</v>
      </c>
      <c r="U161" s="1"/>
      <c r="V161" s="1"/>
      <c r="W161" s="1"/>
      <c r="X161" s="1"/>
      <c r="Y161" s="1"/>
      <c r="Z161" s="1"/>
      <c r="AA161" s="1"/>
    </row>
    <row r="162" spans="2:27">
      <c r="B162" s="1"/>
      <c r="C162" s="1"/>
      <c r="D162" s="1"/>
      <c r="E162" s="1"/>
      <c r="F162" s="1"/>
      <c r="G162" s="3"/>
      <c r="H162" s="134"/>
      <c r="I162" s="448"/>
      <c r="J162" s="448"/>
      <c r="K162" s="448"/>
      <c r="L162" s="448"/>
      <c r="M162" s="447"/>
      <c r="N162" s="447"/>
      <c r="O162" s="448"/>
      <c r="P162" s="448"/>
      <c r="Q162" s="448"/>
      <c r="R162" s="448"/>
      <c r="S162" s="448"/>
      <c r="T162" s="1"/>
      <c r="U162" s="1"/>
      <c r="V162" s="1"/>
      <c r="W162" s="1"/>
      <c r="X162" s="1"/>
      <c r="Y162" s="1"/>
      <c r="Z162" s="1"/>
      <c r="AA162" s="1"/>
    </row>
    <row r="163" spans="2:27">
      <c r="B163" s="1"/>
      <c r="C163" s="1"/>
      <c r="D163" s="1"/>
      <c r="E163" s="1"/>
      <c r="F163" s="1"/>
      <c r="G163" s="3"/>
      <c r="H163" s="134"/>
      <c r="I163" s="448"/>
      <c r="J163" s="448"/>
      <c r="K163" s="448"/>
      <c r="L163" s="448"/>
      <c r="M163" s="447"/>
      <c r="N163" s="447"/>
      <c r="O163" s="448"/>
      <c r="P163" s="448"/>
      <c r="Q163" s="448"/>
      <c r="R163" s="448"/>
      <c r="S163" s="448"/>
      <c r="T163" s="1"/>
      <c r="U163" s="1"/>
      <c r="V163" s="1"/>
      <c r="W163" s="1"/>
      <c r="X163" s="1"/>
      <c r="Y163" s="1"/>
      <c r="Z163" s="1"/>
      <c r="AA163" s="1"/>
    </row>
    <row r="164" spans="2:27">
      <c r="B164" s="1"/>
      <c r="C164" s="1"/>
      <c r="D164" s="1"/>
      <c r="E164" s="1"/>
      <c r="F164" s="1"/>
      <c r="G164" s="3"/>
      <c r="H164" s="134"/>
      <c r="I164" s="448"/>
      <c r="J164" s="448"/>
      <c r="K164" s="448"/>
      <c r="L164" s="448"/>
      <c r="M164" s="447"/>
      <c r="N164" s="447"/>
      <c r="O164" s="448"/>
      <c r="P164" s="448"/>
      <c r="Q164" s="448"/>
      <c r="R164" s="448"/>
      <c r="S164" s="448"/>
      <c r="T164" s="1"/>
      <c r="U164" s="1"/>
      <c r="V164" s="1"/>
      <c r="W164" s="1"/>
      <c r="X164" s="1"/>
      <c r="Y164" s="1"/>
      <c r="Z164" s="1"/>
      <c r="AA164" s="1"/>
    </row>
    <row r="165" spans="2:27">
      <c r="B165" s="1"/>
      <c r="C165" s="1"/>
      <c r="D165" s="1"/>
      <c r="E165" s="1"/>
      <c r="F165" s="1"/>
      <c r="G165" s="3"/>
      <c r="H165" s="134"/>
      <c r="I165" s="448"/>
      <c r="J165" s="448"/>
      <c r="K165" s="448"/>
      <c r="L165" s="448"/>
      <c r="M165" s="448"/>
      <c r="N165" s="448"/>
      <c r="O165" s="657"/>
      <c r="P165" s="658"/>
      <c r="Q165" s="658"/>
      <c r="R165" s="658"/>
      <c r="S165" s="657" t="s">
        <v>575</v>
      </c>
      <c r="T165" s="659">
        <f>SUM(T7:T164)</f>
        <v>0</v>
      </c>
      <c r="U165" s="1"/>
      <c r="V165" s="484">
        <f>SUM(V22:V163)</f>
        <v>0</v>
      </c>
      <c r="W165" s="484">
        <f>SUM(W22:W163)</f>
        <v>0</v>
      </c>
      <c r="X165" s="484">
        <f>SUM(X22:X163)</f>
        <v>0</v>
      </c>
      <c r="Y165" s="1"/>
      <c r="Z165" s="1"/>
      <c r="AA165" s="1"/>
    </row>
  </sheetData>
  <mergeCells count="1">
    <mergeCell ref="B2:T2"/>
  </mergeCells>
  <dataValidations disablePrompts="1" count="1">
    <dataValidation type="list" allowBlank="1" showInputMessage="1" showErrorMessage="1" sqref="B16:B27 B42:B53 B68:B79 B94:B105 B120:B131 B146:B157" xr:uid="{005E0823-BDF9-4144-8056-223E8C3FFB13}">
      <formula1>$AA$6:$AA$10</formula1>
    </dataValidation>
  </dataValidations>
  <pageMargins left="0.7" right="0.7" top="0.75" bottom="0.75" header="0.3" footer="0.3"/>
  <pageSetup scale="32" fitToHeight="6" orientation="landscape" horizontalDpi="1200" verticalDpi="1200"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9545486-39C7-2349-9E0F-10121E38D5CC}">
          <x14:formula1>
            <xm:f>Equivalencia!$A$4:$A$23</xm:f>
          </x14:formula1>
          <xm:sqref>E146:E157 E42:E53 E68:E79 E94:E105 E120:E131 E16:E27</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B2:P127"/>
  <sheetViews>
    <sheetView view="pageBreakPreview" zoomScale="90" zoomScaleNormal="80" zoomScaleSheetLayoutView="90" workbookViewId="0">
      <pane ySplit="6" topLeftCell="A7" activePane="bottomLeft" state="frozen"/>
      <selection pane="bottomLeft" activeCell="C16" sqref="C16"/>
    </sheetView>
  </sheetViews>
  <sheetFormatPr baseColWidth="10" defaultColWidth="10.83203125" defaultRowHeight="23" customHeight="1"/>
  <cols>
    <col min="1" max="1" width="10.83203125" style="1"/>
    <col min="2" max="3" width="23" style="1" customWidth="1"/>
    <col min="4" max="4" width="18.33203125" style="1" customWidth="1"/>
    <col min="5" max="5" width="50.83203125" style="1" customWidth="1"/>
    <col min="6" max="6" width="19.33203125" style="1" customWidth="1"/>
    <col min="7" max="11" width="18.83203125" style="1" customWidth="1"/>
    <col min="12" max="15" width="10.83203125" style="1"/>
    <col min="16" max="16" width="26.5" style="1" customWidth="1"/>
    <col min="17" max="16384" width="10.83203125" style="1"/>
  </cols>
  <sheetData>
    <row r="2" spans="2:16" ht="23" customHeight="1">
      <c r="B2" s="735" t="s">
        <v>662</v>
      </c>
      <c r="C2" s="735"/>
      <c r="D2" s="735"/>
      <c r="E2" s="735"/>
      <c r="F2" s="735"/>
      <c r="G2" s="735"/>
      <c r="H2" s="735"/>
      <c r="I2" s="735"/>
      <c r="J2" s="735"/>
      <c r="K2" s="735"/>
    </row>
    <row r="3" spans="2:16" ht="23" customHeight="1">
      <c r="B3" s="736" t="s">
        <v>663</v>
      </c>
      <c r="C3" s="736"/>
      <c r="D3" s="736"/>
      <c r="E3" s="736"/>
      <c r="F3" s="736"/>
      <c r="G3" s="736"/>
      <c r="H3" s="736"/>
      <c r="I3" s="736"/>
      <c r="J3" s="736"/>
      <c r="K3" s="736"/>
      <c r="P3" s="280" t="s">
        <v>409</v>
      </c>
    </row>
    <row r="4" spans="2:16" ht="14" customHeight="1">
      <c r="B4" s="24" t="s">
        <v>446</v>
      </c>
      <c r="C4" s="24"/>
      <c r="D4" s="24" t="s">
        <v>679</v>
      </c>
      <c r="E4" s="24"/>
      <c r="F4" s="24"/>
      <c r="G4" s="24"/>
      <c r="H4" s="24"/>
      <c r="I4" s="24"/>
      <c r="J4" s="24"/>
      <c r="K4" s="24"/>
      <c r="P4" s="280" t="s">
        <v>410</v>
      </c>
    </row>
    <row r="5" spans="2:16" ht="23" customHeight="1">
      <c r="B5" s="282"/>
      <c r="C5" s="282"/>
      <c r="D5" s="133"/>
      <c r="E5" s="133"/>
      <c r="F5" s="282"/>
      <c r="G5" s="283"/>
      <c r="H5" s="133"/>
      <c r="I5" s="133"/>
      <c r="J5" s="133"/>
      <c r="K5" s="133"/>
      <c r="P5" s="280"/>
    </row>
    <row r="6" spans="2:16" ht="30">
      <c r="B6" s="153" t="s">
        <v>178</v>
      </c>
      <c r="C6" s="120" t="s">
        <v>408</v>
      </c>
      <c r="D6" s="284" t="s">
        <v>54</v>
      </c>
      <c r="E6" s="120" t="s">
        <v>406</v>
      </c>
      <c r="F6" s="120" t="s">
        <v>208</v>
      </c>
      <c r="G6" s="273" t="s">
        <v>390</v>
      </c>
      <c r="H6" s="120" t="s">
        <v>56</v>
      </c>
      <c r="I6" s="120" t="s">
        <v>398</v>
      </c>
      <c r="J6" s="120" t="s">
        <v>364</v>
      </c>
      <c r="K6" s="120" t="s">
        <v>411</v>
      </c>
      <c r="P6" s="280"/>
    </row>
    <row r="7" spans="2:16" ht="23" customHeight="1">
      <c r="B7" s="76"/>
      <c r="C7" s="140"/>
      <c r="D7" s="281"/>
      <c r="E7" s="140"/>
      <c r="F7" s="76"/>
      <c r="G7" s="142"/>
      <c r="H7" s="143"/>
      <c r="I7" s="142"/>
      <c r="J7" s="143"/>
      <c r="K7" s="142"/>
      <c r="P7" s="280"/>
    </row>
    <row r="8" spans="2:16" s="134" customFormat="1" ht="23" customHeight="1">
      <c r="B8" s="7" t="s">
        <v>3</v>
      </c>
      <c r="C8" s="7"/>
      <c r="D8" s="159"/>
      <c r="E8" s="229"/>
      <c r="F8" s="7"/>
      <c r="G8" s="163"/>
      <c r="H8" s="162">
        <f>IF(F8=0,0,IF(F8="MXN",1/HLOOKUP(YEAR(D8)+(MONTH(D8)/100),TC!$5:$37,DAY(D8)+2,FALSE),VLOOKUP(F8,Equivalencia!$1:$23,((MAX(Equivalencia!$3:$3)-YEAR(D8))*14)+MONTH(D8)+2,FALSE)))</f>
        <v>0</v>
      </c>
      <c r="I8" s="163">
        <f>+H8*G8</f>
        <v>0</v>
      </c>
      <c r="J8" s="162">
        <f>IF(D8=0,0,HLOOKUP(YEAR(D8)+(MONTH(D8)/100),TC!$5:$37,DAY(D8)+2,FALSE))</f>
        <v>0</v>
      </c>
      <c r="K8" s="163">
        <f>+I8*J8</f>
        <v>0</v>
      </c>
      <c r="P8" s="280"/>
    </row>
    <row r="9" spans="2:16" s="134" customFormat="1" ht="23" customHeight="1">
      <c r="B9" s="7" t="s">
        <v>4</v>
      </c>
      <c r="C9" s="7"/>
      <c r="D9" s="159"/>
      <c r="E9" s="229"/>
      <c r="F9" s="7"/>
      <c r="G9" s="163"/>
      <c r="H9" s="162">
        <f>IF(F9=0,0,IF(F9="MXN",1/HLOOKUP(YEAR(D9)+(MONTH(D9)/100),TC!$5:$37,DAY(D9)+2,FALSE),VLOOKUP(F9,Equivalencia!$1:$23,((MAX(Equivalencia!$3:$3)-YEAR(D9))*14)+MONTH(D9)+2,FALSE)))</f>
        <v>0</v>
      </c>
      <c r="I9" s="163">
        <f t="shared" ref="I9:I16" si="0">+H9*G9</f>
        <v>0</v>
      </c>
      <c r="J9" s="162">
        <f>IF(D9=0,0,HLOOKUP(YEAR(D9)+(MONTH(D9)/100),TC!$5:$37,DAY(D9)+2,FALSE))</f>
        <v>0</v>
      </c>
      <c r="K9" s="163">
        <f t="shared" ref="K9:K16" si="1">+I9*J9</f>
        <v>0</v>
      </c>
      <c r="P9" s="280"/>
    </row>
    <row r="10" spans="2:16" s="134" customFormat="1" ht="23" customHeight="1">
      <c r="B10" s="7" t="s">
        <v>5</v>
      </c>
      <c r="C10" s="7"/>
      <c r="D10" s="159"/>
      <c r="E10" s="229"/>
      <c r="F10" s="7"/>
      <c r="G10" s="163"/>
      <c r="H10" s="162">
        <f>IF(F10=0,0,IF(F10="MXN",1/HLOOKUP(YEAR(D10)+(MONTH(D10)/100),TC!$5:$37,DAY(D10)+2,FALSE),VLOOKUP(F10,Equivalencia!$1:$23,((MAX(Equivalencia!$3:$3)-YEAR(D10))*14)+MONTH(D10)+2,FALSE)))</f>
        <v>0</v>
      </c>
      <c r="I10" s="163">
        <f t="shared" si="0"/>
        <v>0</v>
      </c>
      <c r="J10" s="162">
        <f>IF(D10=0,0,HLOOKUP(YEAR(D10)+(MONTH(D10)/100),TC!$5:$37,DAY(D10)+2,FALSE))</f>
        <v>0</v>
      </c>
      <c r="K10" s="163">
        <f t="shared" si="1"/>
        <v>0</v>
      </c>
    </row>
    <row r="11" spans="2:16" s="134" customFormat="1" ht="23" customHeight="1">
      <c r="B11" s="7" t="s">
        <v>6</v>
      </c>
      <c r="C11" s="7"/>
      <c r="D11" s="159"/>
      <c r="E11" s="229"/>
      <c r="F11" s="7"/>
      <c r="G11" s="163"/>
      <c r="H11" s="162">
        <f>IF(F11=0,0,IF(F11="MXN",1/HLOOKUP(YEAR(D11)+(MONTH(D11)/100),TC!$5:$37,DAY(D11)+2,FALSE),VLOOKUP(F11,Equivalencia!$1:$23,((MAX(Equivalencia!$3:$3)-YEAR(D11))*14)+MONTH(D11)+2,FALSE)))</f>
        <v>0</v>
      </c>
      <c r="I11" s="163">
        <f t="shared" si="0"/>
        <v>0</v>
      </c>
      <c r="J11" s="162">
        <f>IF(D11=0,0,HLOOKUP(YEAR(D11)+(MONTH(D11)/100),TC!$5:$37,DAY(D11)+2,FALSE))</f>
        <v>0</v>
      </c>
      <c r="K11" s="163">
        <f t="shared" si="1"/>
        <v>0</v>
      </c>
    </row>
    <row r="12" spans="2:16" s="134" customFormat="1" ht="23" customHeight="1">
      <c r="B12" s="7" t="s">
        <v>7</v>
      </c>
      <c r="C12" s="7"/>
      <c r="D12" s="159"/>
      <c r="E12" s="229"/>
      <c r="F12" s="7"/>
      <c r="G12" s="163"/>
      <c r="H12" s="162">
        <f>IF(F12=0,0,IF(F12="MXN",1/HLOOKUP(YEAR(D12)+(MONTH(D12)/100),TC!$5:$37,DAY(D12)+2,FALSE),VLOOKUP(F12,Equivalencia!$1:$23,((MAX(Equivalencia!$3:$3)-YEAR(D12))*14)+MONTH(D12)+2,FALSE)))</f>
        <v>0</v>
      </c>
      <c r="I12" s="163">
        <f t="shared" si="0"/>
        <v>0</v>
      </c>
      <c r="J12" s="162">
        <f>IF(D12=0,0,HLOOKUP(YEAR(D12)+(MONTH(D12)/100),TC!$5:$37,DAY(D12)+2,FALSE))</f>
        <v>0</v>
      </c>
      <c r="K12" s="163">
        <f t="shared" si="1"/>
        <v>0</v>
      </c>
    </row>
    <row r="13" spans="2:16" s="134" customFormat="1" ht="23" customHeight="1">
      <c r="B13" s="7" t="s">
        <v>8</v>
      </c>
      <c r="C13" s="7"/>
      <c r="D13" s="159"/>
      <c r="E13" s="229"/>
      <c r="F13" s="7"/>
      <c r="G13" s="163"/>
      <c r="H13" s="162">
        <f>IF(F13=0,0,IF(F13="MXN",1/HLOOKUP(YEAR(D13)+(MONTH(D13)/100),TC!$5:$37,DAY(D13)+2,FALSE),VLOOKUP(F13,Equivalencia!$1:$23,((MAX(Equivalencia!$3:$3)-YEAR(D13))*14)+MONTH(D13)+2,FALSE)))</f>
        <v>0</v>
      </c>
      <c r="I13" s="163">
        <f t="shared" si="0"/>
        <v>0</v>
      </c>
      <c r="J13" s="162">
        <f>IF(D13=0,0,HLOOKUP(YEAR(D13)+(MONTH(D13)/100),TC!$5:$37,DAY(D13)+2,FALSE))</f>
        <v>0</v>
      </c>
      <c r="K13" s="163">
        <f t="shared" si="1"/>
        <v>0</v>
      </c>
    </row>
    <row r="14" spans="2:16" s="134" customFormat="1" ht="23" customHeight="1">
      <c r="B14" s="7" t="s">
        <v>9</v>
      </c>
      <c r="C14" s="7"/>
      <c r="D14" s="159"/>
      <c r="E14" s="229"/>
      <c r="F14" s="7"/>
      <c r="G14" s="163"/>
      <c r="H14" s="162">
        <f>IF(F14=0,0,IF(F14="MXN",1/HLOOKUP(YEAR(D14)+(MONTH(D14)/100),TC!$5:$37,DAY(D14)+2,FALSE),VLOOKUP(F14,Equivalencia!$1:$23,((MAX(Equivalencia!$3:$3)-YEAR(D14))*14)+MONTH(D14)+2,FALSE)))</f>
        <v>0</v>
      </c>
      <c r="I14" s="163">
        <f t="shared" si="0"/>
        <v>0</v>
      </c>
      <c r="J14" s="162">
        <f>IF(D14=0,0,HLOOKUP(YEAR(D14)+(MONTH(D14)/100),TC!$5:$37,DAY(D14)+2,FALSE))</f>
        <v>0</v>
      </c>
      <c r="K14" s="163">
        <f t="shared" si="1"/>
        <v>0</v>
      </c>
    </row>
    <row r="15" spans="2:16" s="134" customFormat="1" ht="23" customHeight="1">
      <c r="B15" s="7" t="s">
        <v>10</v>
      </c>
      <c r="C15" s="7"/>
      <c r="D15" s="159"/>
      <c r="E15" s="229"/>
      <c r="F15" s="7"/>
      <c r="G15" s="163"/>
      <c r="H15" s="162">
        <f>IF(F15=0,0,IF(F15="MXN",1/HLOOKUP(YEAR(D15)+(MONTH(D15)/100),TC!$5:$37,DAY(D15)+2,FALSE),VLOOKUP(F15,Equivalencia!$1:$23,((MAX(Equivalencia!$3:$3)-YEAR(D15))*14)+MONTH(D15)+2,FALSE)))</f>
        <v>0</v>
      </c>
      <c r="I15" s="163">
        <f t="shared" si="0"/>
        <v>0</v>
      </c>
      <c r="J15" s="162">
        <f>IF(D15=0,0,HLOOKUP(YEAR(D15)+(MONTH(D15)/100),TC!$5:$37,DAY(D15)+2,FALSE))</f>
        <v>0</v>
      </c>
      <c r="K15" s="163">
        <f t="shared" si="1"/>
        <v>0</v>
      </c>
    </row>
    <row r="16" spans="2:16" s="134" customFormat="1" ht="23" customHeight="1">
      <c r="B16" s="7" t="s">
        <v>11</v>
      </c>
      <c r="C16" s="7"/>
      <c r="D16" s="159"/>
      <c r="E16" s="229"/>
      <c r="F16" s="7"/>
      <c r="G16" s="163"/>
      <c r="H16" s="162">
        <f>IF(F16=0,0,IF(F16="MXN",1/HLOOKUP(YEAR(D16)+(MONTH(D16)/100),TC!$5:$37,DAY(D16)+2,FALSE),VLOOKUP(F16,Equivalencia!$1:$23,((MAX(Equivalencia!$3:$3)-YEAR(D16))*14)+MONTH(D16)+2,FALSE)))</f>
        <v>0</v>
      </c>
      <c r="I16" s="163">
        <f t="shared" si="0"/>
        <v>0</v>
      </c>
      <c r="J16" s="162">
        <f>IF(D16=0,0,HLOOKUP(YEAR(D16)+(MONTH(D16)/100),TC!$5:$37,DAY(D16)+2,FALSE))</f>
        <v>0</v>
      </c>
      <c r="K16" s="163">
        <f t="shared" si="1"/>
        <v>0</v>
      </c>
      <c r="P16" s="1"/>
    </row>
    <row r="17" spans="2:11" ht="23" customHeight="1">
      <c r="B17" s="45"/>
      <c r="C17" s="140"/>
      <c r="D17" s="76"/>
      <c r="E17" s="140"/>
      <c r="F17" s="76"/>
      <c r="G17" s="140"/>
      <c r="H17" s="140"/>
      <c r="I17" s="140"/>
      <c r="J17" s="140"/>
      <c r="K17" s="140"/>
    </row>
    <row r="18" spans="2:11" ht="23" customHeight="1">
      <c r="B18" s="196" t="s">
        <v>179</v>
      </c>
      <c r="C18" s="196"/>
      <c r="D18" s="197"/>
      <c r="E18" s="198"/>
      <c r="F18" s="210"/>
      <c r="G18" s="198">
        <f>SUM(G7:G17)</f>
        <v>0</v>
      </c>
      <c r="H18" s="198"/>
      <c r="I18" s="198">
        <f>SUM(I7:I17)</f>
        <v>0</v>
      </c>
      <c r="J18" s="198"/>
      <c r="K18" s="198">
        <f>SUM(K7:K17)</f>
        <v>0</v>
      </c>
    </row>
    <row r="19" spans="2:11" ht="23" customHeight="1">
      <c r="B19" s="41"/>
      <c r="C19" s="41"/>
      <c r="D19" s="4"/>
      <c r="E19" s="4"/>
      <c r="F19" s="41"/>
      <c r="G19" s="148"/>
      <c r="H19" s="4"/>
      <c r="I19" s="4"/>
      <c r="J19" s="4"/>
      <c r="K19" s="4"/>
    </row>
    <row r="20" spans="2:11" ht="23" customHeight="1">
      <c r="B20" s="3"/>
      <c r="C20" s="3"/>
      <c r="F20" s="3"/>
      <c r="G20" s="188"/>
    </row>
    <row r="21" spans="2:11" ht="30">
      <c r="B21" s="3"/>
      <c r="C21" s="3"/>
      <c r="F21" s="3"/>
      <c r="G21" s="273" t="s">
        <v>399</v>
      </c>
      <c r="H21" s="85"/>
      <c r="I21" s="273" t="s">
        <v>400</v>
      </c>
      <c r="J21" s="268"/>
      <c r="K21" s="273" t="s">
        <v>401</v>
      </c>
    </row>
    <row r="22" spans="2:11" ht="23" customHeight="1">
      <c r="B22" s="3"/>
      <c r="C22" s="3"/>
      <c r="F22" s="3"/>
      <c r="G22" s="188"/>
    </row>
    <row r="23" spans="2:11" ht="23" customHeight="1">
      <c r="B23" s="3"/>
      <c r="C23" s="3"/>
      <c r="E23" s="178" t="s">
        <v>95</v>
      </c>
      <c r="F23" s="179" t="str">
        <f>Cuentas!B6</f>
        <v>31XX29</v>
      </c>
      <c r="G23" s="246">
        <f t="shared" ref="G23:G43" si="2">SUMIF($B$7:$B$520,F23,$G$7:$G$520)</f>
        <v>0</v>
      </c>
      <c r="H23" s="200"/>
      <c r="I23" s="246">
        <f t="shared" ref="I23:I43" si="3">SUMIF($B$7:$B$520,F23,$I$7:$I$520)</f>
        <v>0</v>
      </c>
      <c r="J23" s="200"/>
      <c r="K23" s="246">
        <f t="shared" ref="K23:K43" si="4">SUMIF($B$7:$B$520,F23,$K$7:$K$520)</f>
        <v>0</v>
      </c>
    </row>
    <row r="24" spans="2:11" ht="23" customHeight="1">
      <c r="B24" s="3"/>
      <c r="C24" s="3"/>
      <c r="E24" s="178" t="s">
        <v>95</v>
      </c>
      <c r="F24" s="179" t="str">
        <f>Cuentas!B7</f>
        <v>11XX300</v>
      </c>
      <c r="G24" s="246">
        <f t="shared" si="2"/>
        <v>0</v>
      </c>
      <c r="H24" s="200"/>
      <c r="I24" s="246">
        <f t="shared" si="3"/>
        <v>0</v>
      </c>
      <c r="J24" s="200"/>
      <c r="K24" s="246">
        <f t="shared" si="4"/>
        <v>0</v>
      </c>
    </row>
    <row r="25" spans="2:11" ht="23" customHeight="1">
      <c r="B25" s="3"/>
      <c r="C25" s="3"/>
      <c r="E25" s="178" t="s">
        <v>95</v>
      </c>
      <c r="F25" s="179" t="str">
        <f>Cuentas!B8</f>
        <v>1XXX100</v>
      </c>
      <c r="G25" s="246">
        <f t="shared" si="2"/>
        <v>0</v>
      </c>
      <c r="H25" s="200"/>
      <c r="I25" s="246">
        <f t="shared" si="3"/>
        <v>0</v>
      </c>
      <c r="J25" s="200"/>
      <c r="K25" s="246">
        <f t="shared" si="4"/>
        <v>0</v>
      </c>
    </row>
    <row r="26" spans="2:11" ht="23" customHeight="1">
      <c r="B26" s="3"/>
      <c r="C26" s="3"/>
      <c r="E26" s="178" t="s">
        <v>95</v>
      </c>
      <c r="F26" s="179" t="str">
        <f>Cuentas!B9</f>
        <v>B467XXX05</v>
      </c>
      <c r="G26" s="246">
        <f t="shared" si="2"/>
        <v>0</v>
      </c>
      <c r="H26" s="200"/>
      <c r="I26" s="246">
        <f t="shared" si="3"/>
        <v>0</v>
      </c>
      <c r="J26" s="200"/>
      <c r="K26" s="246">
        <f t="shared" si="4"/>
        <v>0</v>
      </c>
    </row>
    <row r="27" spans="2:11" ht="23" customHeight="1">
      <c r="B27" s="3"/>
      <c r="C27" s="3"/>
      <c r="E27" s="178" t="s">
        <v>95</v>
      </c>
      <c r="F27" s="179" t="str">
        <f>Cuentas!B10</f>
        <v>677-0XXX52-670</v>
      </c>
      <c r="G27" s="246">
        <f t="shared" si="2"/>
        <v>0</v>
      </c>
      <c r="H27" s="200"/>
      <c r="I27" s="246">
        <f t="shared" si="3"/>
        <v>0</v>
      </c>
      <c r="J27" s="200"/>
      <c r="K27" s="246">
        <f t="shared" si="4"/>
        <v>0</v>
      </c>
    </row>
    <row r="28" spans="2:11" ht="23" customHeight="1">
      <c r="B28" s="3"/>
      <c r="C28" s="3"/>
      <c r="E28" s="178" t="s">
        <v>95</v>
      </c>
      <c r="F28" s="179" t="str">
        <f>Cuentas!B11</f>
        <v>677-0XXX53-471</v>
      </c>
      <c r="G28" s="246">
        <f t="shared" si="2"/>
        <v>0</v>
      </c>
      <c r="H28" s="200"/>
      <c r="I28" s="246">
        <f t="shared" si="3"/>
        <v>0</v>
      </c>
      <c r="J28" s="200"/>
      <c r="K28" s="246">
        <f t="shared" si="4"/>
        <v>0</v>
      </c>
    </row>
    <row r="29" spans="2:11" ht="23" customHeight="1">
      <c r="B29" s="3"/>
      <c r="C29" s="3"/>
      <c r="E29" s="178" t="s">
        <v>95</v>
      </c>
      <c r="F29" s="179" t="str">
        <f>Cuentas!B12</f>
        <v>4H 0XXX0 RB</v>
      </c>
      <c r="G29" s="246">
        <f t="shared" si="2"/>
        <v>0</v>
      </c>
      <c r="H29" s="200"/>
      <c r="I29" s="246">
        <f t="shared" si="3"/>
        <v>0</v>
      </c>
      <c r="J29" s="200"/>
      <c r="K29" s="246">
        <f t="shared" si="4"/>
        <v>0</v>
      </c>
    </row>
    <row r="30" spans="2:11" ht="23" customHeight="1">
      <c r="B30" s="3"/>
      <c r="C30" s="3"/>
      <c r="E30" s="178" t="s">
        <v>95</v>
      </c>
      <c r="F30" s="179" t="str">
        <f>Cuentas!B13</f>
        <v>H</v>
      </c>
      <c r="G30" s="246">
        <f t="shared" si="2"/>
        <v>0</v>
      </c>
      <c r="H30" s="200"/>
      <c r="I30" s="246">
        <f t="shared" si="3"/>
        <v>0</v>
      </c>
      <c r="J30" s="200"/>
      <c r="K30" s="246">
        <f t="shared" si="4"/>
        <v>0</v>
      </c>
    </row>
    <row r="31" spans="2:11" ht="23" customHeight="1">
      <c r="B31" s="3"/>
      <c r="C31" s="3"/>
      <c r="E31" s="178" t="s">
        <v>95</v>
      </c>
      <c r="F31" s="179" t="str">
        <f>Cuentas!B14</f>
        <v>I</v>
      </c>
      <c r="G31" s="246">
        <f t="shared" si="2"/>
        <v>0</v>
      </c>
      <c r="H31" s="200"/>
      <c r="I31" s="246">
        <f t="shared" si="3"/>
        <v>0</v>
      </c>
      <c r="J31" s="200"/>
      <c r="K31" s="246">
        <f t="shared" si="4"/>
        <v>0</v>
      </c>
    </row>
    <row r="32" spans="2:11" ht="23" customHeight="1">
      <c r="B32" s="3"/>
      <c r="C32" s="3"/>
      <c r="E32" s="178" t="s">
        <v>95</v>
      </c>
      <c r="F32" s="179" t="str">
        <f>Cuentas!B15</f>
        <v>J</v>
      </c>
      <c r="G32" s="246">
        <f t="shared" si="2"/>
        <v>0</v>
      </c>
      <c r="H32" s="200"/>
      <c r="I32" s="246">
        <f t="shared" si="3"/>
        <v>0</v>
      </c>
      <c r="J32" s="200"/>
      <c r="K32" s="246">
        <f t="shared" si="4"/>
        <v>0</v>
      </c>
    </row>
    <row r="33" spans="2:11" ht="23" customHeight="1">
      <c r="B33" s="3"/>
      <c r="C33" s="3"/>
      <c r="E33" s="178" t="s">
        <v>95</v>
      </c>
      <c r="F33" s="179" t="str">
        <f>Cuentas!B16</f>
        <v>K</v>
      </c>
      <c r="G33" s="246">
        <f t="shared" si="2"/>
        <v>0</v>
      </c>
      <c r="H33" s="200"/>
      <c r="I33" s="246">
        <f t="shared" si="3"/>
        <v>0</v>
      </c>
      <c r="J33" s="200"/>
      <c r="K33" s="246">
        <f t="shared" si="4"/>
        <v>0</v>
      </c>
    </row>
    <row r="34" spans="2:11" ht="23" customHeight="1">
      <c r="B34" s="3"/>
      <c r="C34" s="3"/>
      <c r="E34" s="178" t="s">
        <v>95</v>
      </c>
      <c r="F34" s="179" t="str">
        <f>Cuentas!B17</f>
        <v>L</v>
      </c>
      <c r="G34" s="246">
        <f t="shared" si="2"/>
        <v>0</v>
      </c>
      <c r="H34" s="200"/>
      <c r="I34" s="246">
        <f t="shared" si="3"/>
        <v>0</v>
      </c>
      <c r="J34" s="200"/>
      <c r="K34" s="246">
        <f t="shared" si="4"/>
        <v>0</v>
      </c>
    </row>
    <row r="35" spans="2:11" ht="23" customHeight="1">
      <c r="B35" s="3"/>
      <c r="C35" s="3"/>
      <c r="E35" s="178" t="s">
        <v>95</v>
      </c>
      <c r="F35" s="179" t="str">
        <f>Cuentas!B18</f>
        <v>M</v>
      </c>
      <c r="G35" s="246">
        <f t="shared" si="2"/>
        <v>0</v>
      </c>
      <c r="H35" s="200"/>
      <c r="I35" s="246">
        <f t="shared" si="3"/>
        <v>0</v>
      </c>
      <c r="J35" s="200"/>
      <c r="K35" s="246">
        <f t="shared" si="4"/>
        <v>0</v>
      </c>
    </row>
    <row r="36" spans="2:11" ht="23" customHeight="1">
      <c r="B36" s="3"/>
      <c r="C36" s="3"/>
      <c r="E36" s="178" t="s">
        <v>95</v>
      </c>
      <c r="F36" s="179" t="str">
        <f>Cuentas!B19</f>
        <v>N</v>
      </c>
      <c r="G36" s="246">
        <f t="shared" si="2"/>
        <v>0</v>
      </c>
      <c r="H36" s="200"/>
      <c r="I36" s="246">
        <f t="shared" si="3"/>
        <v>0</v>
      </c>
      <c r="J36" s="200"/>
      <c r="K36" s="246">
        <f t="shared" si="4"/>
        <v>0</v>
      </c>
    </row>
    <row r="37" spans="2:11" ht="23" customHeight="1">
      <c r="B37" s="3"/>
      <c r="C37" s="3"/>
      <c r="E37" s="178" t="s">
        <v>95</v>
      </c>
      <c r="F37" s="179" t="str">
        <f>Cuentas!B20</f>
        <v>O</v>
      </c>
      <c r="G37" s="246">
        <f t="shared" si="2"/>
        <v>0</v>
      </c>
      <c r="H37" s="200"/>
      <c r="I37" s="246">
        <f t="shared" si="3"/>
        <v>0</v>
      </c>
      <c r="J37" s="200"/>
      <c r="K37" s="246">
        <f t="shared" si="4"/>
        <v>0</v>
      </c>
    </row>
    <row r="38" spans="2:11" ht="23" customHeight="1">
      <c r="B38" s="3"/>
      <c r="C38" s="3"/>
      <c r="E38" s="178" t="s">
        <v>95</v>
      </c>
      <c r="F38" s="179" t="str">
        <f>Cuentas!B21</f>
        <v>P</v>
      </c>
      <c r="G38" s="246">
        <f t="shared" si="2"/>
        <v>0</v>
      </c>
      <c r="H38" s="200"/>
      <c r="I38" s="246">
        <f t="shared" si="3"/>
        <v>0</v>
      </c>
      <c r="J38" s="200"/>
      <c r="K38" s="246">
        <f t="shared" si="4"/>
        <v>0</v>
      </c>
    </row>
    <row r="39" spans="2:11" ht="23" customHeight="1">
      <c r="B39" s="3"/>
      <c r="C39" s="3"/>
      <c r="E39" s="178" t="s">
        <v>95</v>
      </c>
      <c r="F39" s="179" t="str">
        <f>Cuentas!B22</f>
        <v>Q</v>
      </c>
      <c r="G39" s="246">
        <f t="shared" si="2"/>
        <v>0</v>
      </c>
      <c r="H39" s="200"/>
      <c r="I39" s="246">
        <f t="shared" si="3"/>
        <v>0</v>
      </c>
      <c r="J39" s="200"/>
      <c r="K39" s="246">
        <f t="shared" si="4"/>
        <v>0</v>
      </c>
    </row>
    <row r="40" spans="2:11" ht="23" customHeight="1">
      <c r="B40" s="3"/>
      <c r="C40" s="3"/>
      <c r="E40" s="178" t="s">
        <v>95</v>
      </c>
      <c r="F40" s="179" t="str">
        <f>Cuentas!B23</f>
        <v>R</v>
      </c>
      <c r="G40" s="246">
        <f t="shared" si="2"/>
        <v>0</v>
      </c>
      <c r="H40" s="200"/>
      <c r="I40" s="246">
        <f t="shared" si="3"/>
        <v>0</v>
      </c>
      <c r="J40" s="200"/>
      <c r="K40" s="246">
        <f t="shared" si="4"/>
        <v>0</v>
      </c>
    </row>
    <row r="41" spans="2:11" ht="23" customHeight="1">
      <c r="B41" s="3"/>
      <c r="C41" s="3"/>
      <c r="E41" s="178" t="s">
        <v>95</v>
      </c>
      <c r="F41" s="179" t="str">
        <f>Cuentas!B24</f>
        <v>S</v>
      </c>
      <c r="G41" s="246">
        <f t="shared" si="2"/>
        <v>0</v>
      </c>
      <c r="H41" s="200"/>
      <c r="I41" s="246">
        <f t="shared" si="3"/>
        <v>0</v>
      </c>
      <c r="J41" s="200"/>
      <c r="K41" s="246">
        <f t="shared" si="4"/>
        <v>0</v>
      </c>
    </row>
    <row r="42" spans="2:11" ht="23" customHeight="1">
      <c r="B42" s="3"/>
      <c r="C42" s="3"/>
      <c r="E42" s="178" t="s">
        <v>95</v>
      </c>
      <c r="F42" s="179" t="str">
        <f>Cuentas!B25</f>
        <v>T</v>
      </c>
      <c r="G42" s="246">
        <f t="shared" si="2"/>
        <v>0</v>
      </c>
      <c r="H42" s="200"/>
      <c r="I42" s="246">
        <f t="shared" si="3"/>
        <v>0</v>
      </c>
      <c r="J42" s="200"/>
      <c r="K42" s="246">
        <f t="shared" si="4"/>
        <v>0</v>
      </c>
    </row>
    <row r="43" spans="2:11" ht="23" customHeight="1">
      <c r="B43" s="3"/>
      <c r="C43" s="3"/>
      <c r="E43" s="178" t="s">
        <v>95</v>
      </c>
      <c r="F43" s="179" t="str">
        <f>Cuentas!B26</f>
        <v>U</v>
      </c>
      <c r="G43" s="246">
        <f t="shared" si="2"/>
        <v>0</v>
      </c>
      <c r="H43" s="200"/>
      <c r="I43" s="246">
        <f t="shared" si="3"/>
        <v>0</v>
      </c>
      <c r="J43" s="200"/>
      <c r="K43" s="246">
        <f t="shared" si="4"/>
        <v>0</v>
      </c>
    </row>
    <row r="44" spans="2:11" ht="23" customHeight="1">
      <c r="B44" s="3"/>
      <c r="C44" s="3"/>
      <c r="F44" s="3"/>
      <c r="G44" s="41"/>
      <c r="I44" s="118"/>
      <c r="K44" s="118"/>
    </row>
    <row r="45" spans="2:11" ht="23" customHeight="1">
      <c r="E45" s="103"/>
      <c r="F45" s="119" t="s">
        <v>407</v>
      </c>
      <c r="G45" s="285">
        <f>SUM(G23:G44)</f>
        <v>0</v>
      </c>
      <c r="H45" s="103"/>
      <c r="I45" s="285">
        <f>SUM(I23:I44)</f>
        <v>0</v>
      </c>
      <c r="J45" s="233"/>
      <c r="K45" s="285">
        <f>SUM(K23:K44)</f>
        <v>0</v>
      </c>
    </row>
    <row r="51" spans="2:11" ht="23" customHeight="1">
      <c r="B51" s="333" t="s">
        <v>12</v>
      </c>
      <c r="C51" s="333"/>
      <c r="D51" s="134"/>
      <c r="E51" s="134"/>
      <c r="F51" s="134"/>
      <c r="G51" s="134"/>
      <c r="H51" s="134"/>
      <c r="I51" s="134"/>
      <c r="J51" s="134"/>
      <c r="K51" s="134"/>
    </row>
    <row r="52" spans="2:11" ht="23" customHeight="1">
      <c r="B52" s="134"/>
      <c r="C52" s="134"/>
      <c r="D52" s="134"/>
      <c r="E52" s="134"/>
      <c r="F52" s="134"/>
      <c r="G52" s="134"/>
      <c r="H52" s="134"/>
      <c r="I52" s="134"/>
      <c r="J52" s="134"/>
      <c r="K52" s="134"/>
    </row>
    <row r="53" spans="2:11" ht="23" customHeight="1">
      <c r="B53" s="134"/>
      <c r="C53" s="134"/>
      <c r="D53" s="134"/>
      <c r="E53" s="134"/>
      <c r="F53" s="134"/>
      <c r="G53" s="134"/>
      <c r="H53" s="134"/>
      <c r="I53" s="134"/>
      <c r="J53" s="134"/>
      <c r="K53" s="134"/>
    </row>
    <row r="54" spans="2:11" ht="23" customHeight="1">
      <c r="B54" s="134"/>
      <c r="C54" s="134"/>
      <c r="D54" s="134"/>
      <c r="E54" s="134"/>
      <c r="F54" s="134"/>
      <c r="G54" s="134"/>
      <c r="H54" s="134"/>
      <c r="I54" s="134"/>
      <c r="J54" s="134"/>
      <c r="K54" s="134"/>
    </row>
    <row r="55" spans="2:11" ht="23" customHeight="1">
      <c r="B55" s="134"/>
      <c r="C55" s="134"/>
      <c r="D55" s="134"/>
      <c r="E55" s="134"/>
      <c r="F55" s="134"/>
      <c r="G55" s="134"/>
      <c r="H55" s="134"/>
      <c r="I55" s="134"/>
      <c r="J55" s="134"/>
      <c r="K55" s="134"/>
    </row>
    <row r="56" spans="2:11" ht="23" customHeight="1">
      <c r="B56" s="134"/>
      <c r="C56" s="134"/>
      <c r="D56" s="134"/>
      <c r="E56" s="134"/>
      <c r="F56" s="134"/>
      <c r="G56" s="134"/>
      <c r="H56" s="134"/>
      <c r="I56" s="134"/>
      <c r="J56" s="134"/>
      <c r="K56" s="134"/>
    </row>
    <row r="57" spans="2:11" ht="23" customHeight="1">
      <c r="B57" s="134"/>
      <c r="C57" s="134"/>
      <c r="D57" s="134"/>
      <c r="E57" s="134"/>
      <c r="F57" s="134"/>
      <c r="G57" s="134"/>
      <c r="H57" s="134"/>
      <c r="I57" s="134"/>
      <c r="J57" s="134"/>
      <c r="K57" s="134"/>
    </row>
    <row r="58" spans="2:11" ht="23" customHeight="1">
      <c r="B58" s="134"/>
      <c r="C58" s="134"/>
      <c r="D58" s="134"/>
      <c r="E58" s="134"/>
      <c r="F58" s="134"/>
      <c r="G58" s="134"/>
      <c r="H58" s="134"/>
      <c r="I58" s="134"/>
      <c r="J58" s="134"/>
      <c r="K58" s="134"/>
    </row>
    <row r="59" spans="2:11" ht="23" customHeight="1">
      <c r="B59" s="134"/>
      <c r="C59" s="134"/>
      <c r="D59" s="134"/>
      <c r="E59" s="134"/>
      <c r="F59" s="134"/>
      <c r="G59" s="134"/>
      <c r="H59" s="134"/>
      <c r="I59" s="134"/>
      <c r="J59" s="134"/>
      <c r="K59" s="134"/>
    </row>
    <row r="60" spans="2:11" ht="23" customHeight="1">
      <c r="B60" s="134"/>
      <c r="C60" s="134"/>
      <c r="D60" s="134"/>
      <c r="E60" s="134"/>
      <c r="F60" s="134"/>
      <c r="G60" s="134"/>
      <c r="H60" s="134"/>
      <c r="I60" s="134"/>
      <c r="J60" s="134"/>
      <c r="K60" s="134"/>
    </row>
    <row r="61" spans="2:11" ht="23" customHeight="1">
      <c r="B61" s="134"/>
      <c r="C61" s="134"/>
      <c r="D61" s="134"/>
      <c r="E61" s="134"/>
      <c r="F61" s="134"/>
      <c r="G61" s="134"/>
      <c r="H61" s="134"/>
      <c r="I61" s="134"/>
      <c r="J61" s="134"/>
      <c r="K61" s="134"/>
    </row>
    <row r="62" spans="2:11" ht="23" customHeight="1">
      <c r="B62" s="134"/>
      <c r="C62" s="134"/>
      <c r="D62" s="134"/>
      <c r="E62" s="134"/>
      <c r="F62" s="134"/>
      <c r="G62" s="134"/>
      <c r="H62" s="134"/>
      <c r="I62" s="134"/>
      <c r="J62" s="134"/>
      <c r="K62" s="134"/>
    </row>
    <row r="63" spans="2:11" ht="23" customHeight="1">
      <c r="B63" s="134"/>
      <c r="C63" s="134"/>
      <c r="D63" s="134"/>
      <c r="E63" s="134"/>
      <c r="F63" s="134"/>
      <c r="G63" s="134"/>
      <c r="H63" s="134"/>
      <c r="I63" s="134"/>
      <c r="J63" s="134"/>
      <c r="K63" s="134"/>
    </row>
    <row r="64" spans="2:11" ht="23" customHeight="1">
      <c r="B64" s="134"/>
      <c r="C64" s="134"/>
      <c r="D64" s="134"/>
      <c r="E64" s="134"/>
      <c r="F64" s="134"/>
      <c r="G64" s="134"/>
      <c r="H64" s="134"/>
      <c r="I64" s="134"/>
      <c r="J64" s="134"/>
      <c r="K64" s="134"/>
    </row>
    <row r="65" spans="2:11" ht="23" customHeight="1">
      <c r="B65" s="134"/>
      <c r="C65" s="134"/>
      <c r="D65" s="134"/>
      <c r="E65" s="134"/>
      <c r="F65" s="134"/>
      <c r="G65" s="134"/>
      <c r="H65" s="134"/>
      <c r="I65" s="134"/>
      <c r="J65" s="134"/>
      <c r="K65" s="134"/>
    </row>
    <row r="66" spans="2:11" ht="23" customHeight="1">
      <c r="B66" s="134"/>
      <c r="C66" s="134"/>
      <c r="D66" s="134"/>
      <c r="E66" s="134"/>
      <c r="F66" s="134"/>
      <c r="G66" s="134"/>
      <c r="H66" s="134"/>
      <c r="I66" s="134"/>
      <c r="J66" s="134"/>
      <c r="K66" s="134"/>
    </row>
    <row r="67" spans="2:11" ht="23" customHeight="1">
      <c r="B67" s="134"/>
      <c r="C67" s="134"/>
      <c r="D67" s="134"/>
      <c r="E67" s="134"/>
      <c r="F67" s="134"/>
      <c r="G67" s="134"/>
      <c r="H67" s="134"/>
      <c r="I67" s="134"/>
      <c r="J67" s="134"/>
      <c r="K67" s="134"/>
    </row>
    <row r="68" spans="2:11" ht="23" customHeight="1">
      <c r="B68" s="134"/>
      <c r="C68" s="134"/>
      <c r="D68" s="134"/>
      <c r="E68" s="134"/>
      <c r="F68" s="134"/>
      <c r="G68" s="134"/>
      <c r="H68" s="134"/>
      <c r="I68" s="134"/>
      <c r="J68" s="134"/>
      <c r="K68" s="134"/>
    </row>
    <row r="69" spans="2:11" ht="23" customHeight="1">
      <c r="B69" s="134"/>
      <c r="C69" s="134"/>
      <c r="D69" s="134"/>
      <c r="E69" s="134"/>
      <c r="F69" s="134"/>
      <c r="G69" s="134"/>
      <c r="H69" s="134"/>
      <c r="I69" s="134"/>
      <c r="J69" s="134"/>
      <c r="K69" s="134"/>
    </row>
    <row r="70" spans="2:11" ht="23" customHeight="1">
      <c r="B70" s="134"/>
      <c r="C70" s="134"/>
      <c r="D70" s="134"/>
      <c r="E70" s="134"/>
      <c r="F70" s="134"/>
      <c r="G70" s="134"/>
      <c r="H70" s="134"/>
      <c r="I70" s="134"/>
      <c r="J70" s="134"/>
      <c r="K70" s="134"/>
    </row>
    <row r="71" spans="2:11" ht="23" customHeight="1">
      <c r="B71" s="134"/>
      <c r="C71" s="134"/>
      <c r="D71" s="134"/>
      <c r="E71" s="134"/>
      <c r="F71" s="134"/>
      <c r="G71" s="134"/>
      <c r="H71" s="134"/>
      <c r="I71" s="134"/>
      <c r="J71" s="134"/>
      <c r="K71" s="134"/>
    </row>
    <row r="72" spans="2:11" ht="23" customHeight="1">
      <c r="B72" s="134"/>
      <c r="C72" s="134"/>
      <c r="D72" s="134"/>
      <c r="E72" s="134"/>
      <c r="F72" s="134"/>
      <c r="G72" s="134"/>
      <c r="H72" s="134"/>
      <c r="I72" s="134"/>
      <c r="J72" s="134"/>
      <c r="K72" s="134"/>
    </row>
    <row r="73" spans="2:11" ht="23" customHeight="1">
      <c r="B73" s="134"/>
      <c r="C73" s="134"/>
      <c r="D73" s="134"/>
      <c r="E73" s="134"/>
      <c r="F73" s="134"/>
      <c r="G73" s="134"/>
      <c r="H73" s="134"/>
      <c r="I73" s="134"/>
      <c r="J73" s="134"/>
      <c r="K73" s="134"/>
    </row>
    <row r="74" spans="2:11" ht="23" customHeight="1">
      <c r="B74" s="134"/>
      <c r="C74" s="134"/>
      <c r="D74" s="134"/>
      <c r="E74" s="134"/>
      <c r="F74" s="134"/>
      <c r="G74" s="134"/>
      <c r="H74" s="134"/>
      <c r="I74" s="134"/>
      <c r="J74" s="134"/>
      <c r="K74" s="134"/>
    </row>
    <row r="75" spans="2:11" ht="23" customHeight="1">
      <c r="B75" s="134"/>
      <c r="C75" s="134"/>
      <c r="D75" s="134"/>
      <c r="E75" s="134"/>
      <c r="F75" s="134"/>
      <c r="G75" s="134"/>
      <c r="H75" s="134"/>
      <c r="I75" s="134"/>
      <c r="J75" s="134"/>
      <c r="K75" s="134"/>
    </row>
    <row r="76" spans="2:11" ht="23" customHeight="1">
      <c r="B76" s="134"/>
      <c r="C76" s="134"/>
      <c r="D76" s="134"/>
      <c r="E76" s="134"/>
      <c r="F76" s="134"/>
      <c r="G76" s="134"/>
      <c r="H76" s="134"/>
      <c r="I76" s="134"/>
      <c r="J76" s="134"/>
      <c r="K76" s="134"/>
    </row>
    <row r="77" spans="2:11" ht="23" customHeight="1">
      <c r="B77" s="134"/>
      <c r="C77" s="134"/>
      <c r="D77" s="134"/>
      <c r="E77" s="134"/>
      <c r="F77" s="134"/>
      <c r="G77" s="134"/>
      <c r="H77" s="134"/>
      <c r="I77" s="134"/>
      <c r="J77" s="134"/>
      <c r="K77" s="134"/>
    </row>
    <row r="78" spans="2:11" ht="23" customHeight="1">
      <c r="B78" s="134"/>
      <c r="C78" s="134"/>
      <c r="D78" s="134"/>
      <c r="E78" s="134"/>
      <c r="F78" s="134"/>
      <c r="G78" s="134"/>
      <c r="H78" s="134"/>
      <c r="I78" s="134"/>
      <c r="J78" s="134"/>
      <c r="K78" s="134"/>
    </row>
    <row r="79" spans="2:11" ht="23" customHeight="1">
      <c r="B79" s="134"/>
      <c r="C79" s="134"/>
      <c r="D79" s="134"/>
      <c r="E79" s="134"/>
      <c r="F79" s="134"/>
      <c r="G79" s="134"/>
      <c r="H79" s="134"/>
      <c r="I79" s="134"/>
      <c r="J79" s="134"/>
      <c r="K79" s="134"/>
    </row>
    <row r="80" spans="2:11" ht="23" customHeight="1">
      <c r="B80" s="134"/>
      <c r="C80" s="134"/>
      <c r="D80" s="134"/>
      <c r="E80" s="134"/>
      <c r="F80" s="134"/>
      <c r="G80" s="134"/>
      <c r="H80" s="134"/>
      <c r="I80" s="134"/>
      <c r="J80" s="134"/>
      <c r="K80" s="134"/>
    </row>
    <row r="81" spans="2:11" ht="23" customHeight="1">
      <c r="B81" s="134"/>
      <c r="C81" s="134"/>
      <c r="D81" s="134"/>
      <c r="E81" s="134"/>
      <c r="F81" s="134"/>
      <c r="G81" s="134"/>
      <c r="H81" s="134"/>
      <c r="I81" s="134"/>
      <c r="J81" s="134"/>
      <c r="K81" s="134"/>
    </row>
    <row r="82" spans="2:11" ht="23" customHeight="1">
      <c r="B82" s="134"/>
      <c r="C82" s="134"/>
      <c r="D82" s="134"/>
      <c r="E82" s="134"/>
      <c r="F82" s="134"/>
      <c r="G82" s="134"/>
      <c r="H82" s="134"/>
      <c r="I82" s="134"/>
      <c r="J82" s="134"/>
      <c r="K82" s="134"/>
    </row>
    <row r="83" spans="2:11" ht="23" customHeight="1">
      <c r="B83" s="134"/>
      <c r="C83" s="134"/>
      <c r="D83" s="134"/>
      <c r="E83" s="134"/>
      <c r="F83" s="134"/>
      <c r="G83" s="134"/>
      <c r="H83" s="134"/>
      <c r="I83" s="134"/>
      <c r="J83" s="134"/>
      <c r="K83" s="134"/>
    </row>
    <row r="84" spans="2:11" ht="23" customHeight="1">
      <c r="B84" s="134"/>
      <c r="C84" s="134"/>
      <c r="D84" s="134"/>
      <c r="E84" s="134"/>
      <c r="F84" s="134"/>
      <c r="G84" s="134"/>
      <c r="H84" s="134"/>
      <c r="I84" s="134"/>
      <c r="J84" s="134"/>
      <c r="K84" s="134"/>
    </row>
    <row r="85" spans="2:11" ht="23" customHeight="1">
      <c r="B85" s="134"/>
      <c r="C85" s="134"/>
      <c r="D85" s="134"/>
      <c r="E85" s="134"/>
      <c r="F85" s="134"/>
      <c r="G85" s="134"/>
      <c r="H85" s="134"/>
      <c r="I85" s="134"/>
      <c r="J85" s="134"/>
      <c r="K85" s="134"/>
    </row>
    <row r="86" spans="2:11" ht="23" customHeight="1">
      <c r="B86" s="134"/>
      <c r="C86" s="134"/>
      <c r="D86" s="134"/>
      <c r="E86" s="134"/>
      <c r="F86" s="134"/>
      <c r="G86" s="134"/>
      <c r="H86" s="134"/>
      <c r="I86" s="134"/>
      <c r="J86" s="134"/>
      <c r="K86" s="134"/>
    </row>
    <row r="87" spans="2:11" ht="23" customHeight="1">
      <c r="B87" s="134"/>
      <c r="C87" s="134"/>
      <c r="D87" s="134"/>
      <c r="E87" s="134"/>
      <c r="F87" s="134"/>
      <c r="G87" s="134"/>
      <c r="H87" s="134"/>
      <c r="I87" s="134"/>
      <c r="J87" s="134"/>
      <c r="K87" s="134"/>
    </row>
    <row r="88" spans="2:11" ht="23" customHeight="1">
      <c r="B88" s="134"/>
      <c r="C88" s="134"/>
      <c r="D88" s="134"/>
      <c r="E88" s="134"/>
      <c r="F88" s="134"/>
      <c r="G88" s="134"/>
      <c r="H88" s="134"/>
      <c r="I88" s="134"/>
      <c r="J88" s="134"/>
      <c r="K88" s="134"/>
    </row>
    <row r="89" spans="2:11" ht="23" customHeight="1">
      <c r="B89" s="134"/>
      <c r="C89" s="134"/>
      <c r="D89" s="134"/>
      <c r="E89" s="134"/>
      <c r="F89" s="134"/>
      <c r="G89" s="134"/>
      <c r="H89" s="134"/>
      <c r="I89" s="134"/>
      <c r="J89" s="134"/>
      <c r="K89" s="134"/>
    </row>
    <row r="90" spans="2:11" ht="23" customHeight="1">
      <c r="B90" s="134"/>
      <c r="C90" s="134"/>
      <c r="D90" s="134"/>
      <c r="E90" s="134"/>
      <c r="F90" s="134"/>
      <c r="G90" s="134"/>
      <c r="H90" s="134"/>
      <c r="I90" s="134"/>
      <c r="J90" s="134"/>
      <c r="K90" s="134"/>
    </row>
    <row r="91" spans="2:11" ht="23" customHeight="1">
      <c r="B91" s="134"/>
      <c r="C91" s="134"/>
      <c r="D91" s="134"/>
      <c r="E91" s="134"/>
      <c r="F91" s="134"/>
      <c r="G91" s="134"/>
      <c r="H91" s="134"/>
      <c r="I91" s="134"/>
      <c r="J91" s="134"/>
      <c r="K91" s="134"/>
    </row>
    <row r="92" spans="2:11" ht="23" customHeight="1">
      <c r="B92" s="134"/>
      <c r="C92" s="134"/>
      <c r="D92" s="134"/>
      <c r="E92" s="134"/>
      <c r="F92" s="134"/>
      <c r="G92" s="134"/>
      <c r="H92" s="134"/>
      <c r="I92" s="134"/>
      <c r="J92" s="134"/>
      <c r="K92" s="134"/>
    </row>
    <row r="93" spans="2:11" ht="23" customHeight="1">
      <c r="B93" s="134"/>
      <c r="C93" s="134"/>
      <c r="D93" s="134"/>
      <c r="E93" s="134"/>
      <c r="F93" s="134"/>
      <c r="G93" s="134"/>
      <c r="H93" s="134"/>
      <c r="I93" s="134"/>
      <c r="J93" s="134"/>
      <c r="K93" s="134"/>
    </row>
    <row r="94" spans="2:11" ht="23" customHeight="1">
      <c r="B94" s="134"/>
      <c r="C94" s="134"/>
      <c r="D94" s="134"/>
      <c r="E94" s="134"/>
      <c r="F94" s="134"/>
      <c r="G94" s="134"/>
      <c r="H94" s="134"/>
      <c r="I94" s="134"/>
      <c r="J94" s="134"/>
      <c r="K94" s="134"/>
    </row>
    <row r="95" spans="2:11" ht="23" customHeight="1">
      <c r="B95" s="134"/>
      <c r="C95" s="134"/>
      <c r="D95" s="134"/>
      <c r="E95" s="134"/>
      <c r="F95" s="134"/>
      <c r="G95" s="134"/>
      <c r="H95" s="134"/>
      <c r="I95" s="134"/>
      <c r="J95" s="134"/>
      <c r="K95" s="134"/>
    </row>
    <row r="96" spans="2:11" ht="23" customHeight="1">
      <c r="B96" s="134"/>
      <c r="C96" s="134"/>
      <c r="D96" s="134"/>
      <c r="E96" s="134"/>
      <c r="F96" s="134"/>
      <c r="G96" s="134"/>
      <c r="H96" s="134"/>
      <c r="I96" s="134"/>
      <c r="J96" s="134"/>
      <c r="K96" s="134"/>
    </row>
    <row r="97" spans="2:11" ht="23" customHeight="1">
      <c r="B97" s="134"/>
      <c r="C97" s="134"/>
      <c r="D97" s="134"/>
      <c r="E97" s="134"/>
      <c r="F97" s="134"/>
      <c r="G97" s="134"/>
      <c r="H97" s="134"/>
      <c r="I97" s="134"/>
      <c r="J97" s="134"/>
      <c r="K97" s="134"/>
    </row>
    <row r="98" spans="2:11" ht="23" customHeight="1">
      <c r="B98" s="134"/>
      <c r="C98" s="134"/>
      <c r="D98" s="134"/>
      <c r="E98" s="134"/>
      <c r="F98" s="134"/>
      <c r="G98" s="134"/>
      <c r="H98" s="134"/>
      <c r="I98" s="134"/>
      <c r="J98" s="134"/>
      <c r="K98" s="134"/>
    </row>
    <row r="99" spans="2:11" ht="23" customHeight="1">
      <c r="B99" s="134"/>
      <c r="C99" s="134"/>
      <c r="D99" s="134"/>
      <c r="E99" s="134"/>
      <c r="F99" s="134"/>
      <c r="G99" s="134"/>
      <c r="H99" s="134"/>
      <c r="I99" s="134"/>
      <c r="J99" s="134"/>
      <c r="K99" s="134"/>
    </row>
    <row r="100" spans="2:11" ht="23" customHeight="1">
      <c r="B100" s="134"/>
      <c r="C100" s="134"/>
      <c r="D100" s="134"/>
      <c r="E100" s="134"/>
      <c r="F100" s="134"/>
      <c r="G100" s="134"/>
      <c r="H100" s="134"/>
      <c r="I100" s="134"/>
      <c r="J100" s="134"/>
      <c r="K100" s="134"/>
    </row>
    <row r="101" spans="2:11" ht="23" customHeight="1">
      <c r="B101" s="134"/>
      <c r="C101" s="134"/>
      <c r="D101" s="134"/>
      <c r="E101" s="134"/>
      <c r="F101" s="134"/>
      <c r="G101" s="134"/>
      <c r="H101" s="134"/>
      <c r="I101" s="134"/>
      <c r="J101" s="134"/>
      <c r="K101" s="134"/>
    </row>
    <row r="102" spans="2:11" ht="23" customHeight="1">
      <c r="B102" s="134"/>
      <c r="C102" s="134"/>
      <c r="D102" s="134"/>
      <c r="E102" s="134"/>
      <c r="F102" s="134"/>
      <c r="G102" s="134"/>
      <c r="H102" s="134"/>
      <c r="I102" s="134"/>
      <c r="J102" s="134"/>
      <c r="K102" s="134"/>
    </row>
    <row r="103" spans="2:11" ht="23" customHeight="1">
      <c r="B103" s="134"/>
      <c r="C103" s="134"/>
      <c r="D103" s="134"/>
      <c r="E103" s="134"/>
      <c r="F103" s="134"/>
      <c r="G103" s="134"/>
      <c r="H103" s="134"/>
      <c r="I103" s="134"/>
      <c r="J103" s="134"/>
      <c r="K103" s="134"/>
    </row>
    <row r="104" spans="2:11" ht="23" customHeight="1">
      <c r="B104" s="134"/>
      <c r="C104" s="134"/>
      <c r="D104" s="134"/>
      <c r="E104" s="134"/>
      <c r="F104" s="134"/>
      <c r="G104" s="134"/>
      <c r="H104" s="134"/>
      <c r="I104" s="134"/>
      <c r="J104" s="134"/>
      <c r="K104" s="134"/>
    </row>
    <row r="105" spans="2:11" ht="23" customHeight="1">
      <c r="B105" s="134"/>
      <c r="C105" s="134"/>
      <c r="D105" s="134"/>
      <c r="E105" s="134"/>
      <c r="F105" s="134"/>
      <c r="G105" s="134"/>
      <c r="H105" s="134"/>
      <c r="I105" s="134"/>
      <c r="J105" s="134"/>
      <c r="K105" s="134"/>
    </row>
    <row r="106" spans="2:11" ht="23" customHeight="1">
      <c r="B106" s="134"/>
      <c r="C106" s="134"/>
      <c r="D106" s="134"/>
      <c r="E106" s="134"/>
      <c r="F106" s="134"/>
      <c r="G106" s="134"/>
      <c r="H106" s="134"/>
      <c r="I106" s="134"/>
      <c r="J106" s="134"/>
      <c r="K106" s="134"/>
    </row>
    <row r="107" spans="2:11" ht="23" customHeight="1">
      <c r="B107" s="134"/>
      <c r="C107" s="134"/>
      <c r="D107" s="134"/>
      <c r="E107" s="134"/>
      <c r="F107" s="134"/>
      <c r="G107" s="134"/>
      <c r="H107" s="134"/>
      <c r="I107" s="134"/>
      <c r="J107" s="134"/>
      <c r="K107" s="134"/>
    </row>
    <row r="108" spans="2:11" ht="23" customHeight="1">
      <c r="B108" s="134"/>
      <c r="C108" s="134"/>
      <c r="D108" s="134"/>
      <c r="E108" s="134"/>
      <c r="F108" s="134"/>
      <c r="G108" s="134"/>
      <c r="H108" s="134"/>
      <c r="I108" s="134"/>
      <c r="J108" s="134"/>
      <c r="K108" s="134"/>
    </row>
    <row r="109" spans="2:11" ht="23" customHeight="1">
      <c r="B109" s="134"/>
      <c r="C109" s="134"/>
      <c r="D109" s="134"/>
      <c r="E109" s="134"/>
      <c r="F109" s="134"/>
      <c r="G109" s="134"/>
      <c r="H109" s="134"/>
      <c r="I109" s="134"/>
      <c r="J109" s="134"/>
      <c r="K109" s="134"/>
    </row>
    <row r="110" spans="2:11" ht="23" customHeight="1">
      <c r="B110" s="134"/>
      <c r="C110" s="134"/>
      <c r="D110" s="134"/>
      <c r="E110" s="134"/>
      <c r="F110" s="134"/>
      <c r="G110" s="134"/>
      <c r="H110" s="134"/>
      <c r="I110" s="134"/>
      <c r="J110" s="134"/>
      <c r="K110" s="134"/>
    </row>
    <row r="111" spans="2:11" ht="23" customHeight="1">
      <c r="B111" s="134"/>
      <c r="C111" s="134"/>
      <c r="D111" s="134"/>
      <c r="E111" s="134"/>
      <c r="F111" s="134"/>
      <c r="G111" s="134"/>
      <c r="H111" s="134"/>
      <c r="I111" s="134"/>
      <c r="J111" s="134"/>
      <c r="K111" s="134"/>
    </row>
    <row r="112" spans="2:11" ht="23" customHeight="1">
      <c r="B112" s="134"/>
      <c r="C112" s="134"/>
      <c r="D112" s="134"/>
      <c r="E112" s="134"/>
      <c r="F112" s="134"/>
      <c r="G112" s="134"/>
      <c r="H112" s="134"/>
      <c r="I112" s="134"/>
      <c r="J112" s="134"/>
      <c r="K112" s="134"/>
    </row>
    <row r="113" spans="2:11" ht="23" customHeight="1">
      <c r="B113" s="134"/>
      <c r="C113" s="134"/>
      <c r="D113" s="134"/>
      <c r="E113" s="134"/>
      <c r="F113" s="134"/>
      <c r="G113" s="134"/>
      <c r="H113" s="134"/>
      <c r="I113" s="134"/>
      <c r="J113" s="134"/>
      <c r="K113" s="134"/>
    </row>
    <row r="114" spans="2:11" ht="23" customHeight="1">
      <c r="B114" s="134"/>
      <c r="C114" s="134"/>
      <c r="D114" s="134"/>
      <c r="E114" s="134"/>
      <c r="F114" s="134"/>
      <c r="G114" s="134"/>
      <c r="H114" s="134"/>
      <c r="I114" s="134"/>
      <c r="J114" s="134"/>
      <c r="K114" s="134"/>
    </row>
    <row r="115" spans="2:11" ht="23" customHeight="1">
      <c r="B115" s="134"/>
      <c r="C115" s="134"/>
      <c r="D115" s="134"/>
      <c r="E115" s="134"/>
      <c r="F115" s="134"/>
      <c r="G115" s="134"/>
      <c r="H115" s="134"/>
      <c r="I115" s="134"/>
      <c r="J115" s="134"/>
      <c r="K115" s="134"/>
    </row>
    <row r="116" spans="2:11" ht="23" customHeight="1">
      <c r="B116" s="134"/>
      <c r="C116" s="134"/>
      <c r="D116" s="134"/>
      <c r="E116" s="134"/>
      <c r="F116" s="134"/>
      <c r="G116" s="134"/>
      <c r="H116" s="134"/>
      <c r="I116" s="134"/>
      <c r="J116" s="134"/>
      <c r="K116" s="134"/>
    </row>
    <row r="117" spans="2:11" ht="23" customHeight="1">
      <c r="B117" s="134"/>
      <c r="C117" s="134"/>
      <c r="D117" s="134"/>
      <c r="E117" s="134"/>
      <c r="F117" s="134"/>
      <c r="G117" s="134"/>
      <c r="H117" s="134"/>
      <c r="I117" s="134"/>
      <c r="J117" s="134"/>
      <c r="K117" s="134"/>
    </row>
    <row r="118" spans="2:11" ht="23" customHeight="1">
      <c r="B118" s="134"/>
      <c r="C118" s="134"/>
      <c r="D118" s="134"/>
      <c r="E118" s="134"/>
      <c r="F118" s="134"/>
      <c r="G118" s="134"/>
      <c r="H118" s="134"/>
      <c r="I118" s="134"/>
      <c r="J118" s="134"/>
      <c r="K118" s="134"/>
    </row>
    <row r="119" spans="2:11" ht="23" customHeight="1">
      <c r="B119" s="134"/>
      <c r="C119" s="134"/>
      <c r="D119" s="134"/>
      <c r="E119" s="134"/>
      <c r="F119" s="134"/>
      <c r="G119" s="134"/>
      <c r="H119" s="134"/>
      <c r="I119" s="134"/>
      <c r="J119" s="134"/>
      <c r="K119" s="134"/>
    </row>
    <row r="120" spans="2:11" ht="23" customHeight="1">
      <c r="B120" s="134"/>
      <c r="C120" s="134"/>
      <c r="D120" s="134"/>
      <c r="E120" s="134"/>
      <c r="F120" s="134"/>
      <c r="G120" s="134"/>
      <c r="H120" s="134"/>
      <c r="I120" s="134"/>
      <c r="J120" s="134"/>
      <c r="K120" s="134"/>
    </row>
    <row r="121" spans="2:11" ht="23" customHeight="1">
      <c r="B121" s="134"/>
      <c r="C121" s="134"/>
      <c r="D121" s="134"/>
      <c r="E121" s="134"/>
      <c r="F121" s="134"/>
      <c r="G121" s="134"/>
      <c r="H121" s="134"/>
      <c r="I121" s="134"/>
      <c r="J121" s="134"/>
      <c r="K121" s="134"/>
    </row>
    <row r="122" spans="2:11" ht="23" customHeight="1">
      <c r="B122" s="134"/>
      <c r="C122" s="134"/>
      <c r="D122" s="134"/>
      <c r="E122" s="134"/>
      <c r="F122" s="134"/>
      <c r="G122" s="134"/>
      <c r="H122" s="134"/>
      <c r="I122" s="134"/>
      <c r="J122" s="134"/>
      <c r="K122" s="134"/>
    </row>
    <row r="123" spans="2:11" ht="23" customHeight="1">
      <c r="B123" s="134"/>
      <c r="C123" s="134"/>
      <c r="D123" s="134"/>
      <c r="E123" s="134"/>
      <c r="F123" s="134"/>
      <c r="G123" s="134"/>
      <c r="H123" s="134"/>
      <c r="I123" s="134"/>
      <c r="J123" s="134"/>
      <c r="K123" s="134"/>
    </row>
    <row r="124" spans="2:11" ht="23" customHeight="1">
      <c r="B124" s="134"/>
      <c r="C124" s="134"/>
      <c r="D124" s="134"/>
      <c r="E124" s="134"/>
      <c r="F124" s="134"/>
      <c r="G124" s="134"/>
      <c r="H124" s="134"/>
      <c r="I124" s="134"/>
      <c r="J124" s="134"/>
      <c r="K124" s="134"/>
    </row>
    <row r="125" spans="2:11" ht="23" customHeight="1">
      <c r="B125" s="134"/>
      <c r="C125" s="134"/>
      <c r="D125" s="134"/>
      <c r="E125" s="134"/>
      <c r="F125" s="134"/>
      <c r="G125" s="134"/>
      <c r="H125" s="134"/>
      <c r="I125" s="134"/>
      <c r="J125" s="134"/>
      <c r="K125" s="134"/>
    </row>
    <row r="126" spans="2:11" ht="23" customHeight="1">
      <c r="B126" s="134"/>
      <c r="C126" s="134"/>
      <c r="D126" s="134"/>
      <c r="E126" s="134"/>
      <c r="F126" s="134"/>
      <c r="G126" s="134"/>
      <c r="H126" s="134"/>
      <c r="I126" s="134"/>
      <c r="J126" s="134"/>
      <c r="K126" s="134"/>
    </row>
    <row r="127" spans="2:11" ht="23" customHeight="1">
      <c r="B127" s="134"/>
      <c r="C127" s="134"/>
      <c r="D127" s="134"/>
      <c r="E127" s="134"/>
      <c r="F127" s="134"/>
      <c r="G127" s="134"/>
      <c r="H127" s="134"/>
      <c r="I127" s="134"/>
      <c r="J127" s="134"/>
      <c r="K127" s="134"/>
    </row>
  </sheetData>
  <sheetProtection algorithmName="SHA-512" hashValue="n9W2eFFrEnFP1MNF/4o0ONDYSweCEHJYNRStoL4Pxukr+Q5zao1YL5W+EQYLtWuoEwRFPTWTDu/dCNWzNYIeoQ==" saltValue="BLm2YDWAw0ZXzP73+BRSrA==" spinCount="100000" sheet="1" formatCells="0" formatColumns="0" formatRows="0" insertColumns="0" insertRows="0" insertHyperlinks="0" deleteColumns="0" deleteRows="0"/>
  <autoFilter ref="B6:K16" xr:uid="{4029CF38-E111-554D-A441-11C35DE4EB4B}"/>
  <mergeCells count="2">
    <mergeCell ref="B2:K2"/>
    <mergeCell ref="B3:K3"/>
  </mergeCells>
  <phoneticPr fontId="8" type="noConversion"/>
  <dataValidations count="1">
    <dataValidation type="list" allowBlank="1" showInputMessage="1" showErrorMessage="1" promptTitle="Selecciona una opción:" prompt="Agrega un concepto en las celdas sombreadas en verde de la columna &quot;r&quot;._x000a_" sqref="C8:C16" xr:uid="{114EE6F0-2241-E843-8EAF-23D67594CE55}">
      <formula1>Retenciones</formula1>
    </dataValidation>
  </dataValidations>
  <printOptions horizontalCentered="1"/>
  <pageMargins left="0.70000000000000007" right="0.70000000000000007" top="0.75000000000000011" bottom="0.75000000000000011" header="0.30000000000000004" footer="0.30000000000000004"/>
  <pageSetup scale="50" fitToHeight="5"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OJO:" prompt="Selecciona una moneda" xr:uid="{C86D0340-443E-0746-96DA-94CBAA74B6F3}">
          <x14:formula1>
            <xm:f>Equivalencia!$A$4:$A$23</xm:f>
          </x14:formula1>
          <xm:sqref>F8:F16</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7D8D0-67A7-1F4F-ACD1-0FDE7397CA29}">
  <sheetPr>
    <pageSetUpPr fitToPage="1"/>
  </sheetPr>
  <dimension ref="B2:J63"/>
  <sheetViews>
    <sheetView view="pageBreakPreview" zoomScale="110" zoomScaleNormal="100" zoomScaleSheetLayoutView="110" workbookViewId="0">
      <selection activeCell="D5" sqref="D5"/>
    </sheetView>
  </sheetViews>
  <sheetFormatPr baseColWidth="10" defaultColWidth="10.83203125" defaultRowHeight="20" customHeight="1"/>
  <cols>
    <col min="1" max="1" width="10.83203125" style="385"/>
    <col min="2" max="3" width="27.83203125" style="385" customWidth="1"/>
    <col min="4" max="4" width="18.6640625" style="385" customWidth="1"/>
    <col min="5" max="5" width="50.83203125" style="385" customWidth="1"/>
    <col min="6" max="6" width="27.6640625" style="385" customWidth="1"/>
    <col min="7" max="7" width="20.6640625" style="385" customWidth="1"/>
    <col min="8" max="9" width="16.83203125" style="385" customWidth="1"/>
    <col min="10" max="10" width="20.6640625" style="385" customWidth="1"/>
    <col min="11" max="16384" width="10.83203125" style="385"/>
  </cols>
  <sheetData>
    <row r="2" spans="2:10" ht="20" customHeight="1">
      <c r="B2" s="745" t="s">
        <v>540</v>
      </c>
      <c r="C2" s="745"/>
      <c r="D2" s="745"/>
      <c r="E2" s="745"/>
      <c r="F2" s="745"/>
      <c r="G2" s="745"/>
      <c r="H2" s="745"/>
      <c r="I2" s="745"/>
      <c r="J2" s="745"/>
    </row>
    <row r="3" spans="2:10" ht="20" customHeight="1">
      <c r="B3" s="746" t="s">
        <v>541</v>
      </c>
      <c r="C3" s="746"/>
      <c r="D3" s="746"/>
      <c r="E3" s="746"/>
      <c r="F3" s="746"/>
      <c r="G3" s="746"/>
      <c r="H3" s="746"/>
      <c r="I3" s="746"/>
      <c r="J3" s="746"/>
    </row>
    <row r="4" spans="2:10" ht="14" customHeight="1">
      <c r="B4" s="386" t="s">
        <v>446</v>
      </c>
      <c r="C4" s="386"/>
      <c r="D4" s="386" t="s">
        <v>679</v>
      </c>
      <c r="E4" s="387"/>
      <c r="F4" s="387"/>
      <c r="G4" s="387"/>
      <c r="H4" s="387"/>
      <c r="I4" s="387"/>
      <c r="J4" s="387"/>
    </row>
    <row r="5" spans="2:10" ht="23" customHeight="1">
      <c r="B5" s="392"/>
      <c r="C5" s="392"/>
      <c r="D5" s="392"/>
      <c r="E5" s="393"/>
      <c r="F5" s="393"/>
      <c r="G5" s="393"/>
      <c r="H5" s="393"/>
      <c r="I5" s="393"/>
      <c r="J5" s="393"/>
    </row>
    <row r="6" spans="2:10" s="395" customFormat="1" ht="15">
      <c r="B6" s="394" t="s">
        <v>178</v>
      </c>
      <c r="C6" s="394" t="s">
        <v>537</v>
      </c>
      <c r="D6" s="394" t="s">
        <v>54</v>
      </c>
      <c r="E6" s="394" t="s">
        <v>55</v>
      </c>
      <c r="F6" s="394" t="s">
        <v>208</v>
      </c>
      <c r="G6" s="394" t="s">
        <v>210</v>
      </c>
      <c r="H6" s="394" t="s">
        <v>56</v>
      </c>
      <c r="I6" s="120" t="s">
        <v>364</v>
      </c>
      <c r="J6" s="394" t="s">
        <v>542</v>
      </c>
    </row>
    <row r="8" spans="2:10" ht="20" customHeight="1">
      <c r="B8" s="396" t="s">
        <v>3</v>
      </c>
      <c r="C8" s="396"/>
      <c r="D8" s="397"/>
      <c r="E8" s="398"/>
      <c r="F8" s="396"/>
      <c r="G8" s="399"/>
      <c r="H8" s="400">
        <f>+IF(F8=0,0,IF(F8="MXN",1/HLOOKUP(YEAR(D8)+(MONTH(D8)/100),TC!$5:$37,DAY(D8)+2,FALSE),VLOOKUP(F8,Equivalencia!$3:$23,((MAX(Equivalencia!$3:$3)-YEAR(D8))*14)+MONTH(D8)+2,FALSE)))</f>
        <v>0</v>
      </c>
      <c r="I8" s="162">
        <f>IF(D8=0,0,HLOOKUP(YEAR(D8)+(MONTH(D8)/100),TC!$5:$37,DAY(D8)+2,FALSE))</f>
        <v>0</v>
      </c>
      <c r="J8" s="401">
        <f>+H8*G8*I8</f>
        <v>0</v>
      </c>
    </row>
    <row r="9" spans="2:10" ht="20" customHeight="1">
      <c r="B9" s="396" t="s">
        <v>4</v>
      </c>
      <c r="C9" s="396"/>
      <c r="D9" s="397"/>
      <c r="E9" s="398"/>
      <c r="F9" s="396"/>
      <c r="G9" s="399"/>
      <c r="H9" s="400">
        <f>+IF(F9=0,0,IF(F9="MXN",1/HLOOKUP(YEAR(D9)+(MONTH(D9)/100),TC!$5:$37,DAY(D9)+2,FALSE),VLOOKUP(F9,Equivalencia!$3:$23,((MAX(Equivalencia!$3:$3)-YEAR(D9))*14)+MONTH(D9)+2,FALSE)))</f>
        <v>0</v>
      </c>
      <c r="I9" s="162">
        <f>IF(D9=0,0,HLOOKUP(YEAR(D9)+(MONTH(D9)/100),TC!$5:$37,DAY(D9)+2,FALSE))</f>
        <v>0</v>
      </c>
      <c r="J9" s="401">
        <f t="shared" ref="J9:J14" si="0">+H9*G9*I9</f>
        <v>0</v>
      </c>
    </row>
    <row r="10" spans="2:10" ht="20" customHeight="1">
      <c r="B10" s="396" t="s">
        <v>5</v>
      </c>
      <c r="C10" s="396"/>
      <c r="D10" s="397"/>
      <c r="E10" s="398"/>
      <c r="F10" s="396"/>
      <c r="G10" s="399"/>
      <c r="H10" s="400">
        <f>+IF(F10=0,0,IF(F10="MXN",1/HLOOKUP(YEAR(D10)+(MONTH(D10)/100),TC!$5:$37,DAY(D10)+2,FALSE),VLOOKUP(F10,Equivalencia!$3:$23,((MAX(Equivalencia!$3:$3)-YEAR(D10))*14)+MONTH(D10)+2,FALSE)))</f>
        <v>0</v>
      </c>
      <c r="I10" s="162">
        <f>IF(D10=0,0,HLOOKUP(YEAR(D10)+(MONTH(D10)/100),TC!$5:$37,DAY(D10)+2,FALSE))</f>
        <v>0</v>
      </c>
      <c r="J10" s="401">
        <f t="shared" si="0"/>
        <v>0</v>
      </c>
    </row>
    <row r="11" spans="2:10" ht="20" customHeight="1">
      <c r="B11" s="396" t="s">
        <v>6</v>
      </c>
      <c r="C11" s="396"/>
      <c r="D11" s="397"/>
      <c r="E11" s="398"/>
      <c r="F11" s="396"/>
      <c r="G11" s="399"/>
      <c r="H11" s="400">
        <f>+IF(F11=0,0,IF(F11="MXN",1/HLOOKUP(YEAR(D11)+(MONTH(D11)/100),TC!$5:$37,DAY(D11)+2,FALSE),VLOOKUP(F11,Equivalencia!$3:$23,((MAX(Equivalencia!$3:$3)-YEAR(D11))*14)+MONTH(D11)+2,FALSE)))</f>
        <v>0</v>
      </c>
      <c r="I11" s="162">
        <f>IF(D11=0,0,HLOOKUP(YEAR(D11)+(MONTH(D11)/100),TC!$5:$37,DAY(D11)+2,FALSE))</f>
        <v>0</v>
      </c>
      <c r="J11" s="401">
        <f t="shared" si="0"/>
        <v>0</v>
      </c>
    </row>
    <row r="12" spans="2:10" ht="20" customHeight="1">
      <c r="B12" s="396" t="s">
        <v>7</v>
      </c>
      <c r="C12" s="396"/>
      <c r="D12" s="397"/>
      <c r="E12" s="398"/>
      <c r="F12" s="396"/>
      <c r="G12" s="399"/>
      <c r="H12" s="400">
        <f>+IF(F12=0,0,IF(F12="MXN",1/HLOOKUP(YEAR(D12)+(MONTH(D12)/100),TC!$5:$37,DAY(D12)+2,FALSE),VLOOKUP(F12,Equivalencia!$3:$23,((MAX(Equivalencia!$3:$3)-YEAR(D12))*14)+MONTH(D12)+2,FALSE)))</f>
        <v>0</v>
      </c>
      <c r="I12" s="162">
        <f>IF(D12=0,0,HLOOKUP(YEAR(D12)+(MONTH(D12)/100),TC!$5:$37,DAY(D12)+2,FALSE))</f>
        <v>0</v>
      </c>
      <c r="J12" s="401">
        <f t="shared" si="0"/>
        <v>0</v>
      </c>
    </row>
    <row r="13" spans="2:10" ht="20" customHeight="1">
      <c r="B13" s="396" t="s">
        <v>8</v>
      </c>
      <c r="C13" s="396"/>
      <c r="D13" s="397"/>
      <c r="E13" s="398"/>
      <c r="F13" s="396"/>
      <c r="G13" s="399"/>
      <c r="H13" s="400">
        <f>+IF(F13=0,0,IF(F13="MXN",1/HLOOKUP(YEAR(D13)+(MONTH(D13)/100),TC!$5:$37,DAY(D13)+2,FALSE),VLOOKUP(F13,Equivalencia!$3:$23,((MAX(Equivalencia!$3:$3)-YEAR(D13))*14)+MONTH(D13)+2,FALSE)))</f>
        <v>0</v>
      </c>
      <c r="I13" s="162">
        <f>IF(D13=0,0,HLOOKUP(YEAR(D13)+(MONTH(D13)/100),TC!$5:$37,DAY(D13)+2,FALSE))</f>
        <v>0</v>
      </c>
      <c r="J13" s="401">
        <f t="shared" si="0"/>
        <v>0</v>
      </c>
    </row>
    <row r="14" spans="2:10" ht="20" customHeight="1">
      <c r="B14" s="396" t="s">
        <v>9</v>
      </c>
      <c r="C14" s="396"/>
      <c r="D14" s="397"/>
      <c r="E14" s="398"/>
      <c r="F14" s="396"/>
      <c r="G14" s="399"/>
      <c r="H14" s="400">
        <f>+IF(F14=0,0,IF(F14="MXN",1/HLOOKUP(YEAR(D14)+(MONTH(D14)/100),TC!$5:$37,DAY(D14)+2,FALSE),VLOOKUP(F14,Equivalencia!$3:$23,((MAX(Equivalencia!$3:$3)-YEAR(D14))*14)+MONTH(D14)+2,FALSE)))</f>
        <v>0</v>
      </c>
      <c r="I14" s="162">
        <f>IF(D14=0,0,HLOOKUP(YEAR(D14)+(MONTH(D14)/100),TC!$5:$37,DAY(D14)+2,FALSE))</f>
        <v>0</v>
      </c>
      <c r="J14" s="401">
        <f t="shared" si="0"/>
        <v>0</v>
      </c>
    </row>
    <row r="15" spans="2:10" ht="20" customHeight="1">
      <c r="B15" s="402"/>
      <c r="C15" s="402"/>
      <c r="D15" s="402"/>
      <c r="E15" s="402"/>
      <c r="F15" s="402"/>
      <c r="G15" s="402"/>
      <c r="H15" s="402"/>
      <c r="I15" s="402"/>
      <c r="J15" s="402"/>
    </row>
    <row r="16" spans="2:10" ht="20" customHeight="1">
      <c r="B16" s="403" t="s">
        <v>538</v>
      </c>
      <c r="C16" s="403"/>
      <c r="D16" s="404"/>
      <c r="E16" s="404"/>
      <c r="F16" s="404"/>
      <c r="G16" s="405">
        <f>SUM(G7:G15)</f>
        <v>0</v>
      </c>
      <c r="H16" s="404"/>
      <c r="I16" s="404"/>
      <c r="J16" s="405">
        <f>SUM(J7:J15)</f>
        <v>0</v>
      </c>
    </row>
    <row r="18" spans="5:10" ht="20" customHeight="1">
      <c r="G18" s="395"/>
      <c r="H18" s="395"/>
      <c r="I18" s="395"/>
      <c r="J18" s="395"/>
    </row>
    <row r="19" spans="5:10" ht="20" customHeight="1">
      <c r="G19" s="406" t="s">
        <v>208</v>
      </c>
      <c r="H19" s="407"/>
      <c r="I19" s="407"/>
      <c r="J19" s="408" t="s">
        <v>59</v>
      </c>
    </row>
    <row r="20" spans="5:10" ht="20" customHeight="1">
      <c r="F20" s="409"/>
    </row>
    <row r="21" spans="5:10" ht="20" customHeight="1">
      <c r="E21" s="410" t="s">
        <v>539</v>
      </c>
      <c r="F21" s="411" t="str">
        <f>Cuentas!B6</f>
        <v>31XX29</v>
      </c>
      <c r="G21" s="412">
        <f t="shared" ref="G21:G38" si="1">SUMIF($B$7:$B$537,F21,$G$7:$G$537)</f>
        <v>0</v>
      </c>
      <c r="H21" s="413"/>
      <c r="I21" s="413"/>
      <c r="J21" s="412">
        <f t="shared" ref="J21:J38" si="2">SUMIF($B$7:$B$537,F21,$J$7:$J$537)</f>
        <v>0</v>
      </c>
    </row>
    <row r="22" spans="5:10" ht="20" customHeight="1">
      <c r="E22" s="410" t="s">
        <v>539</v>
      </c>
      <c r="F22" s="411" t="str">
        <f>Cuentas!B7</f>
        <v>11XX300</v>
      </c>
      <c r="G22" s="412">
        <f t="shared" si="1"/>
        <v>0</v>
      </c>
      <c r="H22" s="413"/>
      <c r="I22" s="413"/>
      <c r="J22" s="412">
        <f t="shared" si="2"/>
        <v>0</v>
      </c>
    </row>
    <row r="23" spans="5:10" ht="20" customHeight="1">
      <c r="E23" s="410" t="s">
        <v>539</v>
      </c>
      <c r="F23" s="411" t="str">
        <f>Cuentas!B8</f>
        <v>1XXX100</v>
      </c>
      <c r="G23" s="412">
        <f t="shared" si="1"/>
        <v>0</v>
      </c>
      <c r="H23" s="413"/>
      <c r="I23" s="413"/>
      <c r="J23" s="412">
        <f t="shared" si="2"/>
        <v>0</v>
      </c>
    </row>
    <row r="24" spans="5:10" ht="20" customHeight="1">
      <c r="E24" s="410" t="s">
        <v>539</v>
      </c>
      <c r="F24" s="411" t="str">
        <f>Cuentas!B9</f>
        <v>B467XXX05</v>
      </c>
      <c r="G24" s="412">
        <f t="shared" si="1"/>
        <v>0</v>
      </c>
      <c r="H24" s="413"/>
      <c r="I24" s="413"/>
      <c r="J24" s="412">
        <f t="shared" si="2"/>
        <v>0</v>
      </c>
    </row>
    <row r="25" spans="5:10" ht="20" customHeight="1">
      <c r="E25" s="410" t="s">
        <v>539</v>
      </c>
      <c r="F25" s="411" t="str">
        <f>Cuentas!B10</f>
        <v>677-0XXX52-670</v>
      </c>
      <c r="G25" s="412">
        <f t="shared" si="1"/>
        <v>0</v>
      </c>
      <c r="H25" s="413"/>
      <c r="I25" s="413"/>
      <c r="J25" s="412">
        <f t="shared" si="2"/>
        <v>0</v>
      </c>
    </row>
    <row r="26" spans="5:10" ht="20" customHeight="1">
      <c r="E26" s="410" t="s">
        <v>539</v>
      </c>
      <c r="F26" s="411" t="str">
        <f>Cuentas!B11</f>
        <v>677-0XXX53-471</v>
      </c>
      <c r="G26" s="412">
        <f t="shared" si="1"/>
        <v>0</v>
      </c>
      <c r="H26" s="413"/>
      <c r="I26" s="413"/>
      <c r="J26" s="412">
        <f t="shared" si="2"/>
        <v>0</v>
      </c>
    </row>
    <row r="27" spans="5:10" ht="20" customHeight="1">
      <c r="E27" s="410" t="s">
        <v>539</v>
      </c>
      <c r="F27" s="411" t="str">
        <f>Cuentas!B12</f>
        <v>4H 0XXX0 RB</v>
      </c>
      <c r="G27" s="412">
        <f t="shared" si="1"/>
        <v>0</v>
      </c>
      <c r="H27" s="413"/>
      <c r="I27" s="413"/>
      <c r="J27" s="412">
        <f t="shared" si="2"/>
        <v>0</v>
      </c>
    </row>
    <row r="28" spans="5:10" ht="20" customHeight="1">
      <c r="E28" s="410" t="s">
        <v>539</v>
      </c>
      <c r="F28" s="411" t="str">
        <f>Cuentas!B13</f>
        <v>H</v>
      </c>
      <c r="G28" s="412">
        <f t="shared" si="1"/>
        <v>0</v>
      </c>
      <c r="H28" s="413"/>
      <c r="I28" s="413"/>
      <c r="J28" s="412">
        <f t="shared" si="2"/>
        <v>0</v>
      </c>
    </row>
    <row r="29" spans="5:10" ht="20" customHeight="1">
      <c r="E29" s="410" t="s">
        <v>539</v>
      </c>
      <c r="F29" s="411" t="str">
        <f>Cuentas!B14</f>
        <v>I</v>
      </c>
      <c r="G29" s="412">
        <f t="shared" si="1"/>
        <v>0</v>
      </c>
      <c r="H29" s="413"/>
      <c r="I29" s="413"/>
      <c r="J29" s="412">
        <f t="shared" si="2"/>
        <v>0</v>
      </c>
    </row>
    <row r="30" spans="5:10" ht="20" customHeight="1">
      <c r="E30" s="410" t="s">
        <v>539</v>
      </c>
      <c r="F30" s="411" t="str">
        <f>Cuentas!B15</f>
        <v>J</v>
      </c>
      <c r="G30" s="412">
        <f t="shared" si="1"/>
        <v>0</v>
      </c>
      <c r="H30" s="413"/>
      <c r="I30" s="413"/>
      <c r="J30" s="412">
        <f t="shared" si="2"/>
        <v>0</v>
      </c>
    </row>
    <row r="31" spans="5:10" ht="20" customHeight="1">
      <c r="E31" s="410" t="s">
        <v>539</v>
      </c>
      <c r="F31" s="411" t="str">
        <f>Cuentas!B16</f>
        <v>K</v>
      </c>
      <c r="G31" s="412">
        <f t="shared" si="1"/>
        <v>0</v>
      </c>
      <c r="H31" s="413"/>
      <c r="I31" s="413"/>
      <c r="J31" s="412">
        <f t="shared" si="2"/>
        <v>0</v>
      </c>
    </row>
    <row r="32" spans="5:10" ht="20" customHeight="1">
      <c r="E32" s="410" t="s">
        <v>539</v>
      </c>
      <c r="F32" s="411" t="str">
        <f>Cuentas!B17</f>
        <v>L</v>
      </c>
      <c r="G32" s="412">
        <f t="shared" si="1"/>
        <v>0</v>
      </c>
      <c r="H32" s="413"/>
      <c r="I32" s="413"/>
      <c r="J32" s="412">
        <f t="shared" si="2"/>
        <v>0</v>
      </c>
    </row>
    <row r="33" spans="2:10" ht="20" customHeight="1">
      <c r="E33" s="410" t="s">
        <v>539</v>
      </c>
      <c r="F33" s="411" t="str">
        <f>Cuentas!B18</f>
        <v>M</v>
      </c>
      <c r="G33" s="412">
        <f t="shared" si="1"/>
        <v>0</v>
      </c>
      <c r="H33" s="413"/>
      <c r="I33" s="413"/>
      <c r="J33" s="412">
        <f t="shared" si="2"/>
        <v>0</v>
      </c>
    </row>
    <row r="34" spans="2:10" ht="20" customHeight="1">
      <c r="E34" s="410" t="s">
        <v>539</v>
      </c>
      <c r="F34" s="411" t="str">
        <f>Cuentas!B19</f>
        <v>N</v>
      </c>
      <c r="G34" s="412">
        <f t="shared" si="1"/>
        <v>0</v>
      </c>
      <c r="H34" s="413"/>
      <c r="I34" s="413"/>
      <c r="J34" s="412">
        <f t="shared" si="2"/>
        <v>0</v>
      </c>
    </row>
    <row r="35" spans="2:10" ht="20" customHeight="1">
      <c r="E35" s="410" t="s">
        <v>539</v>
      </c>
      <c r="F35" s="411" t="str">
        <f>Cuentas!B20</f>
        <v>O</v>
      </c>
      <c r="G35" s="412">
        <f t="shared" si="1"/>
        <v>0</v>
      </c>
      <c r="H35" s="413"/>
      <c r="I35" s="413"/>
      <c r="J35" s="412">
        <f t="shared" si="2"/>
        <v>0</v>
      </c>
    </row>
    <row r="36" spans="2:10" ht="20" customHeight="1">
      <c r="E36" s="410" t="s">
        <v>539</v>
      </c>
      <c r="F36" s="411" t="str">
        <f>Cuentas!B21</f>
        <v>P</v>
      </c>
      <c r="G36" s="412">
        <f t="shared" si="1"/>
        <v>0</v>
      </c>
      <c r="H36" s="413"/>
      <c r="I36" s="413"/>
      <c r="J36" s="412">
        <f t="shared" si="2"/>
        <v>0</v>
      </c>
    </row>
    <row r="37" spans="2:10" ht="20" customHeight="1">
      <c r="E37" s="410" t="s">
        <v>539</v>
      </c>
      <c r="F37" s="411" t="str">
        <f>Cuentas!B22</f>
        <v>Q</v>
      </c>
      <c r="G37" s="412">
        <f t="shared" si="1"/>
        <v>0</v>
      </c>
      <c r="H37" s="413"/>
      <c r="I37" s="413"/>
      <c r="J37" s="412">
        <f t="shared" si="2"/>
        <v>0</v>
      </c>
    </row>
    <row r="38" spans="2:10" ht="20" customHeight="1">
      <c r="E38" s="410" t="s">
        <v>539</v>
      </c>
      <c r="F38" s="411" t="str">
        <f>Cuentas!B23</f>
        <v>R</v>
      </c>
      <c r="G38" s="412">
        <f t="shared" si="1"/>
        <v>0</v>
      </c>
      <c r="H38" s="413"/>
      <c r="I38" s="413"/>
      <c r="J38" s="412">
        <f t="shared" si="2"/>
        <v>0</v>
      </c>
    </row>
    <row r="40" spans="2:10" ht="20" customHeight="1">
      <c r="F40" s="414" t="s">
        <v>61</v>
      </c>
      <c r="G40" s="183">
        <f>SUM(G21:G39)</f>
        <v>0</v>
      </c>
      <c r="H40" s="415"/>
      <c r="I40" s="415"/>
      <c r="J40" s="183">
        <f>SUM(J21:J39)</f>
        <v>0</v>
      </c>
    </row>
    <row r="43" spans="2:10" ht="20" customHeight="1">
      <c r="B43" s="416" t="s">
        <v>434</v>
      </c>
      <c r="C43" s="416"/>
    </row>
    <row r="44" spans="2:10" ht="20" customHeight="1">
      <c r="B44" s="402"/>
      <c r="C44" s="402"/>
      <c r="D44" s="402"/>
      <c r="E44" s="402"/>
      <c r="F44" s="402"/>
      <c r="G44" s="402"/>
      <c r="H44" s="402"/>
      <c r="I44" s="402"/>
      <c r="J44" s="402"/>
    </row>
    <row r="45" spans="2:10" ht="20" customHeight="1">
      <c r="B45" s="402"/>
      <c r="C45" s="402"/>
      <c r="D45" s="402"/>
      <c r="E45" s="402"/>
      <c r="F45" s="402"/>
      <c r="G45" s="402"/>
      <c r="H45" s="402"/>
      <c r="I45" s="402"/>
      <c r="J45" s="402"/>
    </row>
    <row r="46" spans="2:10" ht="20" customHeight="1">
      <c r="B46" s="402"/>
      <c r="C46" s="402"/>
      <c r="D46" s="402"/>
      <c r="E46" s="402"/>
      <c r="F46" s="402"/>
      <c r="G46" s="402"/>
      <c r="H46" s="402"/>
      <c r="I46" s="402"/>
      <c r="J46" s="402"/>
    </row>
    <row r="47" spans="2:10" ht="20" customHeight="1">
      <c r="B47" s="402"/>
      <c r="C47" s="402"/>
      <c r="D47" s="402"/>
      <c r="E47" s="402"/>
      <c r="F47" s="402"/>
      <c r="G47" s="402"/>
      <c r="H47" s="402"/>
      <c r="I47" s="402"/>
      <c r="J47" s="402"/>
    </row>
    <row r="48" spans="2:10" ht="20" customHeight="1">
      <c r="B48" s="402"/>
      <c r="C48" s="402"/>
      <c r="D48" s="402"/>
      <c r="E48" s="402"/>
      <c r="F48" s="402"/>
      <c r="G48" s="402"/>
      <c r="H48" s="402"/>
      <c r="I48" s="402"/>
      <c r="J48" s="402"/>
    </row>
    <row r="49" spans="2:10" ht="20" customHeight="1">
      <c r="B49" s="402"/>
      <c r="C49" s="402"/>
      <c r="D49" s="402"/>
      <c r="E49" s="402"/>
      <c r="F49" s="402"/>
      <c r="G49" s="402"/>
      <c r="H49" s="402"/>
      <c r="I49" s="402"/>
      <c r="J49" s="402"/>
    </row>
    <row r="50" spans="2:10" ht="20" customHeight="1">
      <c r="B50" s="402"/>
      <c r="C50" s="402"/>
      <c r="D50" s="402"/>
      <c r="E50" s="402"/>
      <c r="F50" s="402"/>
      <c r="G50" s="402"/>
      <c r="H50" s="402"/>
      <c r="I50" s="402"/>
      <c r="J50" s="402"/>
    </row>
    <row r="51" spans="2:10" ht="20" customHeight="1">
      <c r="B51" s="402"/>
      <c r="C51" s="402"/>
      <c r="D51" s="402"/>
      <c r="E51" s="402"/>
      <c r="F51" s="402"/>
      <c r="G51" s="402"/>
      <c r="H51" s="402"/>
      <c r="I51" s="402"/>
      <c r="J51" s="402"/>
    </row>
    <row r="52" spans="2:10" ht="20" customHeight="1">
      <c r="B52" s="402"/>
      <c r="C52" s="402"/>
      <c r="D52" s="402"/>
      <c r="E52" s="402"/>
      <c r="F52" s="402"/>
      <c r="G52" s="402"/>
      <c r="H52" s="402"/>
      <c r="I52" s="402"/>
      <c r="J52" s="402"/>
    </row>
    <row r="53" spans="2:10" ht="20" customHeight="1">
      <c r="B53" s="402"/>
      <c r="C53" s="402"/>
      <c r="D53" s="402"/>
      <c r="E53" s="402"/>
      <c r="F53" s="402"/>
      <c r="G53" s="402"/>
      <c r="H53" s="402"/>
      <c r="I53" s="402"/>
      <c r="J53" s="402"/>
    </row>
    <row r="54" spans="2:10" ht="20" customHeight="1">
      <c r="B54" s="402"/>
      <c r="C54" s="402"/>
      <c r="D54" s="402"/>
      <c r="E54" s="402"/>
      <c r="F54" s="402"/>
      <c r="G54" s="402"/>
      <c r="H54" s="402"/>
      <c r="I54" s="402"/>
      <c r="J54" s="402"/>
    </row>
    <row r="55" spans="2:10" ht="20" customHeight="1">
      <c r="B55" s="402"/>
      <c r="C55" s="402"/>
      <c r="D55" s="402"/>
      <c r="E55" s="402"/>
      <c r="F55" s="402"/>
      <c r="G55" s="402"/>
      <c r="H55" s="402"/>
      <c r="I55" s="402"/>
      <c r="J55" s="402"/>
    </row>
    <row r="56" spans="2:10" ht="20" customHeight="1">
      <c r="B56" s="402"/>
      <c r="C56" s="402"/>
      <c r="D56" s="402"/>
      <c r="E56" s="402"/>
      <c r="F56" s="402"/>
      <c r="G56" s="402"/>
      <c r="H56" s="402"/>
      <c r="I56" s="402"/>
      <c r="J56" s="402"/>
    </row>
    <row r="57" spans="2:10" ht="20" customHeight="1">
      <c r="B57" s="402"/>
      <c r="C57" s="402"/>
      <c r="D57" s="402"/>
      <c r="E57" s="402"/>
      <c r="F57" s="402"/>
      <c r="G57" s="402"/>
      <c r="H57" s="402"/>
      <c r="I57" s="402"/>
      <c r="J57" s="402"/>
    </row>
    <row r="58" spans="2:10" ht="20" customHeight="1">
      <c r="B58" s="402"/>
      <c r="C58" s="402"/>
      <c r="D58" s="402"/>
      <c r="E58" s="402"/>
      <c r="F58" s="402"/>
      <c r="G58" s="402"/>
      <c r="H58" s="402"/>
      <c r="I58" s="402"/>
      <c r="J58" s="402"/>
    </row>
    <row r="59" spans="2:10" ht="20" customHeight="1">
      <c r="B59" s="402"/>
      <c r="C59" s="402"/>
      <c r="D59" s="402"/>
      <c r="E59" s="402"/>
      <c r="F59" s="402"/>
      <c r="G59" s="402"/>
      <c r="H59" s="402"/>
      <c r="I59" s="402"/>
      <c r="J59" s="402"/>
    </row>
    <row r="60" spans="2:10" ht="20" customHeight="1">
      <c r="B60" s="402"/>
      <c r="C60" s="402"/>
      <c r="D60" s="402"/>
      <c r="E60" s="402"/>
      <c r="F60" s="402"/>
      <c r="G60" s="402"/>
      <c r="H60" s="402"/>
      <c r="I60" s="402"/>
      <c r="J60" s="402"/>
    </row>
    <row r="61" spans="2:10" ht="20" customHeight="1">
      <c r="B61" s="402"/>
      <c r="C61" s="402"/>
      <c r="D61" s="402"/>
      <c r="E61" s="402"/>
      <c r="F61" s="402"/>
      <c r="G61" s="402"/>
      <c r="H61" s="402"/>
      <c r="I61" s="402"/>
      <c r="J61" s="402"/>
    </row>
    <row r="62" spans="2:10" ht="20" customHeight="1">
      <c r="B62" s="402"/>
      <c r="C62" s="402"/>
      <c r="D62" s="402"/>
      <c r="E62" s="402"/>
      <c r="F62" s="402"/>
      <c r="G62" s="402"/>
      <c r="H62" s="402"/>
      <c r="I62" s="402"/>
      <c r="J62" s="402"/>
    </row>
    <row r="63" spans="2:10" ht="20" customHeight="1">
      <c r="B63" s="402"/>
      <c r="C63" s="402"/>
      <c r="D63" s="402"/>
      <c r="E63" s="402"/>
      <c r="F63" s="402"/>
      <c r="G63" s="402"/>
      <c r="H63" s="402"/>
      <c r="I63" s="402"/>
      <c r="J63" s="402"/>
    </row>
  </sheetData>
  <sheetProtection algorithmName="SHA-512" hashValue="wZRPAi8MThznzUeEQIDjWxIiu4YPMrMRjPUtcPlsQ/9GL5z+nqkMOdh7/wQJDb3uJboCAbBMGgOwyZA3YLNfmA==" saltValue="aUr/1wE+E8Thvp41/FKCsA==" spinCount="100000" sheet="1" formatCells="0" formatColumns="0" formatRows="0" insertColumns="0" insertRows="0" deleteColumns="0" deleteRows="0" sort="0" autoFilter="0"/>
  <autoFilter ref="B6:J16" xr:uid="{B1190D58-1A93-8E40-B2AE-426F3F44CA09}"/>
  <mergeCells count="2">
    <mergeCell ref="B2:J2"/>
    <mergeCell ref="B3:J3"/>
  </mergeCells>
  <printOptions horizontalCentered="1"/>
  <pageMargins left="0.7" right="0.7" top="0.75" bottom="0.75" header="0.3" footer="0.3"/>
  <pageSetup scale="50" fitToHeight="4" orientation="landscape" horizontalDpi="1200" verticalDpi="1200" r:id="rId1"/>
  <extLst>
    <ext xmlns:x14="http://schemas.microsoft.com/office/spreadsheetml/2009/9/main" uri="{CCE6A557-97BC-4b89-ADB6-D9C93CAAB3DF}">
      <x14:dataValidations xmlns:xm="http://schemas.microsoft.com/office/excel/2006/main" count="1">
        <x14:dataValidation type="list" showInputMessage="1" showErrorMessage="1" promptTitle="OJO:" prompt="Selecciona una moneda" xr:uid="{AF18AA7F-14DA-AD49-AE7F-10D36B45CEBF}">
          <x14:formula1>
            <xm:f>Equivalencia!$A$5:$A$23</xm:f>
          </x14:formula1>
          <xm:sqref>F8:F14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D99AE-693B-E347-95DC-A7AEA424005A}">
  <sheetPr>
    <pageSetUpPr fitToPage="1"/>
  </sheetPr>
  <dimension ref="B2:J63"/>
  <sheetViews>
    <sheetView view="pageBreakPreview" topLeftCell="C19" zoomScaleNormal="100" zoomScaleSheetLayoutView="100" workbookViewId="0">
      <selection activeCell="D5" sqref="D5"/>
    </sheetView>
  </sheetViews>
  <sheetFormatPr baseColWidth="10" defaultColWidth="10.83203125" defaultRowHeight="20" customHeight="1"/>
  <cols>
    <col min="1" max="1" width="10.83203125" style="385"/>
    <col min="2" max="3" width="27.83203125" style="385" customWidth="1"/>
    <col min="4" max="4" width="18.6640625" style="385" customWidth="1"/>
    <col min="5" max="5" width="50.83203125" style="385" customWidth="1"/>
    <col min="6" max="6" width="27.6640625" style="385" customWidth="1"/>
    <col min="7" max="7" width="20.6640625" style="385" customWidth="1"/>
    <col min="8" max="9" width="16.83203125" style="385" customWidth="1"/>
    <col min="10" max="10" width="20.6640625" style="385" customWidth="1"/>
    <col min="11" max="16384" width="10.83203125" style="385"/>
  </cols>
  <sheetData>
    <row r="2" spans="2:10" ht="20" customHeight="1">
      <c r="B2" s="745" t="s">
        <v>543</v>
      </c>
      <c r="C2" s="745"/>
      <c r="D2" s="745"/>
      <c r="E2" s="745"/>
      <c r="F2" s="745"/>
      <c r="G2" s="745"/>
      <c r="H2" s="745"/>
      <c r="I2" s="745"/>
      <c r="J2" s="745"/>
    </row>
    <row r="3" spans="2:10" ht="20" customHeight="1">
      <c r="B3" s="746" t="s">
        <v>544</v>
      </c>
      <c r="C3" s="746"/>
      <c r="D3" s="746"/>
      <c r="E3" s="746"/>
      <c r="F3" s="746"/>
      <c r="G3" s="746"/>
      <c r="H3" s="746"/>
      <c r="I3" s="746"/>
      <c r="J3" s="746"/>
    </row>
    <row r="4" spans="2:10" ht="14" customHeight="1">
      <c r="B4" s="386" t="s">
        <v>446</v>
      </c>
      <c r="C4" s="386"/>
      <c r="D4" s="386" t="s">
        <v>679</v>
      </c>
      <c r="E4" s="387"/>
      <c r="F4" s="387"/>
      <c r="G4" s="387"/>
      <c r="H4" s="387"/>
      <c r="I4" s="387"/>
      <c r="J4" s="387"/>
    </row>
    <row r="5" spans="2:10" ht="23" customHeight="1">
      <c r="B5" s="392"/>
      <c r="C5" s="392"/>
      <c r="D5" s="392"/>
      <c r="E5" s="393"/>
      <c r="F5" s="393"/>
      <c r="G5" s="393"/>
      <c r="H5" s="393"/>
      <c r="I5" s="393"/>
      <c r="J5" s="393"/>
    </row>
    <row r="6" spans="2:10" s="395" customFormat="1" ht="15">
      <c r="B6" s="394" t="s">
        <v>178</v>
      </c>
      <c r="C6" s="394" t="s">
        <v>537</v>
      </c>
      <c r="D6" s="394" t="s">
        <v>54</v>
      </c>
      <c r="E6" s="394" t="s">
        <v>55</v>
      </c>
      <c r="F6" s="394" t="s">
        <v>208</v>
      </c>
      <c r="G6" s="394" t="s">
        <v>210</v>
      </c>
      <c r="H6" s="394" t="s">
        <v>56</v>
      </c>
      <c r="I6" s="120" t="s">
        <v>364</v>
      </c>
      <c r="J6" s="394" t="s">
        <v>542</v>
      </c>
    </row>
    <row r="8" spans="2:10" ht="20" customHeight="1">
      <c r="B8" s="396" t="s">
        <v>3</v>
      </c>
      <c r="C8" s="396"/>
      <c r="D8" s="397"/>
      <c r="E8" s="398"/>
      <c r="F8" s="396"/>
      <c r="G8" s="399"/>
      <c r="H8" s="400">
        <f>+IF(F8=0,0,IF(F8="MXN",1/HLOOKUP(YEAR(D8)+(MONTH(D8)/100),TC!$5:$37,DAY(D8)+2,FALSE),VLOOKUP(F8,Equivalencia!$3:$23,((MAX(Equivalencia!$3:$3)-YEAR(D8))*14)+MONTH(D8)+2,FALSE)))</f>
        <v>0</v>
      </c>
      <c r="I8" s="162">
        <f>IF(D8=0,0,HLOOKUP(YEAR(D8)+(MONTH(D8)/100),TC!$5:$37,DAY(D8)+2,FALSE))</f>
        <v>0</v>
      </c>
      <c r="J8" s="401">
        <f>+H8*G8*I8</f>
        <v>0</v>
      </c>
    </row>
    <row r="9" spans="2:10" ht="20" customHeight="1">
      <c r="B9" s="396" t="s">
        <v>4</v>
      </c>
      <c r="C9" s="396"/>
      <c r="D9" s="397"/>
      <c r="E9" s="398"/>
      <c r="F9" s="396"/>
      <c r="G9" s="399"/>
      <c r="H9" s="400">
        <f>+IF(F9=0,0,IF(F9="MXN",1/HLOOKUP(YEAR(D9)+(MONTH(D9)/100),TC!$5:$37,DAY(D9)+2,FALSE),VLOOKUP(F9,Equivalencia!$3:$23,((MAX(Equivalencia!$3:$3)-YEAR(D9))*14)+MONTH(D9)+2,FALSE)))</f>
        <v>0</v>
      </c>
      <c r="I9" s="162">
        <f>IF(D9=0,0,HLOOKUP(YEAR(D9)+(MONTH(D9)/100),TC!$5:$37,DAY(D9)+2,FALSE))</f>
        <v>0</v>
      </c>
      <c r="J9" s="401">
        <f t="shared" ref="J9:J14" si="0">+H9*G9*I9</f>
        <v>0</v>
      </c>
    </row>
    <row r="10" spans="2:10" ht="20" customHeight="1">
      <c r="B10" s="396" t="s">
        <v>5</v>
      </c>
      <c r="C10" s="396"/>
      <c r="D10" s="397"/>
      <c r="E10" s="398"/>
      <c r="F10" s="396"/>
      <c r="G10" s="399"/>
      <c r="H10" s="400">
        <f>+IF(F10=0,0,IF(F10="MXN",1/HLOOKUP(YEAR(D10)+(MONTH(D10)/100),TC!$5:$37,DAY(D10)+2,FALSE),VLOOKUP(F10,Equivalencia!$3:$23,((MAX(Equivalencia!$3:$3)-YEAR(D10))*14)+MONTH(D10)+2,FALSE)))</f>
        <v>0</v>
      </c>
      <c r="I10" s="162">
        <f>IF(D10=0,0,HLOOKUP(YEAR(D10)+(MONTH(D10)/100),TC!$5:$37,DAY(D10)+2,FALSE))</f>
        <v>0</v>
      </c>
      <c r="J10" s="401">
        <f t="shared" si="0"/>
        <v>0</v>
      </c>
    </row>
    <row r="11" spans="2:10" ht="20" customHeight="1">
      <c r="B11" s="396" t="s">
        <v>6</v>
      </c>
      <c r="C11" s="396"/>
      <c r="D11" s="397"/>
      <c r="E11" s="398"/>
      <c r="F11" s="396"/>
      <c r="G11" s="399"/>
      <c r="H11" s="400">
        <f>+IF(F11=0,0,IF(F11="MXN",1/HLOOKUP(YEAR(D11)+(MONTH(D11)/100),TC!$5:$37,DAY(D11)+2,FALSE),VLOOKUP(F11,Equivalencia!$3:$23,((MAX(Equivalencia!$3:$3)-YEAR(D11))*14)+MONTH(D11)+2,FALSE)))</f>
        <v>0</v>
      </c>
      <c r="I11" s="162">
        <f>IF(D11=0,0,HLOOKUP(YEAR(D11)+(MONTH(D11)/100),TC!$5:$37,DAY(D11)+2,FALSE))</f>
        <v>0</v>
      </c>
      <c r="J11" s="401">
        <f t="shared" si="0"/>
        <v>0</v>
      </c>
    </row>
    <row r="12" spans="2:10" ht="20" customHeight="1">
      <c r="B12" s="396" t="s">
        <v>7</v>
      </c>
      <c r="C12" s="396"/>
      <c r="D12" s="397"/>
      <c r="E12" s="398"/>
      <c r="F12" s="396"/>
      <c r="G12" s="399"/>
      <c r="H12" s="400">
        <f>+IF(F12=0,0,IF(F12="MXN",1/HLOOKUP(YEAR(D12)+(MONTH(D12)/100),TC!$5:$37,DAY(D12)+2,FALSE),VLOOKUP(F12,Equivalencia!$3:$23,((MAX(Equivalencia!$3:$3)-YEAR(D12))*14)+MONTH(D12)+2,FALSE)))</f>
        <v>0</v>
      </c>
      <c r="I12" s="162">
        <f>IF(D12=0,0,HLOOKUP(YEAR(D12)+(MONTH(D12)/100),TC!$5:$37,DAY(D12)+2,FALSE))</f>
        <v>0</v>
      </c>
      <c r="J12" s="401">
        <f t="shared" si="0"/>
        <v>0</v>
      </c>
    </row>
    <row r="13" spans="2:10" ht="20" customHeight="1">
      <c r="B13" s="396" t="s">
        <v>8</v>
      </c>
      <c r="C13" s="396"/>
      <c r="D13" s="397"/>
      <c r="E13" s="398"/>
      <c r="F13" s="396"/>
      <c r="G13" s="399"/>
      <c r="H13" s="400">
        <f>+IF(F13=0,0,IF(F13="MXN",1/HLOOKUP(YEAR(D13)+(MONTH(D13)/100),TC!$5:$37,DAY(D13)+2,FALSE),VLOOKUP(F13,Equivalencia!$3:$23,((MAX(Equivalencia!$3:$3)-YEAR(D13))*14)+MONTH(D13)+2,FALSE)))</f>
        <v>0</v>
      </c>
      <c r="I13" s="162">
        <f>IF(D13=0,0,HLOOKUP(YEAR(D13)+(MONTH(D13)/100),TC!$5:$37,DAY(D13)+2,FALSE))</f>
        <v>0</v>
      </c>
      <c r="J13" s="401">
        <f t="shared" si="0"/>
        <v>0</v>
      </c>
    </row>
    <row r="14" spans="2:10" ht="20" customHeight="1">
      <c r="B14" s="396" t="s">
        <v>9</v>
      </c>
      <c r="C14" s="396"/>
      <c r="D14" s="397"/>
      <c r="E14" s="398"/>
      <c r="F14" s="396"/>
      <c r="G14" s="399"/>
      <c r="H14" s="400">
        <f>+IF(F14=0,0,IF(F14="MXN",1/HLOOKUP(YEAR(D14)+(MONTH(D14)/100),TC!$5:$37,DAY(D14)+2,FALSE),VLOOKUP(F14,Equivalencia!$3:$23,((MAX(Equivalencia!$3:$3)-YEAR(D14))*14)+MONTH(D14)+2,FALSE)))</f>
        <v>0</v>
      </c>
      <c r="I14" s="162">
        <f>IF(D14=0,0,HLOOKUP(YEAR(D14)+(MONTH(D14)/100),TC!$5:$37,DAY(D14)+2,FALSE))</f>
        <v>0</v>
      </c>
      <c r="J14" s="401">
        <f t="shared" si="0"/>
        <v>0</v>
      </c>
    </row>
    <row r="15" spans="2:10" ht="20" customHeight="1">
      <c r="B15" s="402"/>
      <c r="C15" s="402"/>
      <c r="D15" s="402"/>
      <c r="E15" s="402"/>
      <c r="F15" s="402"/>
      <c r="G15" s="402"/>
      <c r="H15" s="402"/>
      <c r="I15" s="402"/>
      <c r="J15" s="402"/>
    </row>
    <row r="16" spans="2:10" ht="20" customHeight="1">
      <c r="B16" s="403" t="s">
        <v>538</v>
      </c>
      <c r="C16" s="403"/>
      <c r="D16" s="404"/>
      <c r="E16" s="404"/>
      <c r="F16" s="404"/>
      <c r="G16" s="405">
        <f>SUM(G7:G15)</f>
        <v>0</v>
      </c>
      <c r="H16" s="404"/>
      <c r="I16" s="404"/>
      <c r="J16" s="405">
        <f>SUM(J7:J15)</f>
        <v>0</v>
      </c>
    </row>
    <row r="18" spans="5:10" ht="20" customHeight="1">
      <c r="G18" s="395"/>
      <c r="H18" s="395"/>
      <c r="I18" s="395"/>
      <c r="J18" s="395"/>
    </row>
    <row r="19" spans="5:10" ht="20" customHeight="1">
      <c r="G19" s="406" t="s">
        <v>208</v>
      </c>
      <c r="H19" s="407"/>
      <c r="I19" s="407"/>
      <c r="J19" s="408" t="s">
        <v>60</v>
      </c>
    </row>
    <row r="20" spans="5:10" ht="20" customHeight="1">
      <c r="F20" s="409"/>
    </row>
    <row r="21" spans="5:10" ht="20" customHeight="1">
      <c r="E21" s="410" t="s">
        <v>545</v>
      </c>
      <c r="F21" s="411" t="str">
        <f>Cuentas!B6</f>
        <v>31XX29</v>
      </c>
      <c r="G21" s="412">
        <f t="shared" ref="G21:G38" si="1">SUMIF($B$7:$B$537,F21,$G$7:$G$537)</f>
        <v>0</v>
      </c>
      <c r="H21" s="413"/>
      <c r="I21" s="413"/>
      <c r="J21" s="412">
        <f t="shared" ref="J21:J38" si="2">SUMIF($B$7:$B$537,F21,$J$7:$J$537)</f>
        <v>0</v>
      </c>
    </row>
    <row r="22" spans="5:10" ht="20" customHeight="1">
      <c r="E22" s="410" t="s">
        <v>545</v>
      </c>
      <c r="F22" s="411" t="str">
        <f>Cuentas!B7</f>
        <v>11XX300</v>
      </c>
      <c r="G22" s="412">
        <f t="shared" si="1"/>
        <v>0</v>
      </c>
      <c r="H22" s="413"/>
      <c r="I22" s="413"/>
      <c r="J22" s="412">
        <f t="shared" si="2"/>
        <v>0</v>
      </c>
    </row>
    <row r="23" spans="5:10" ht="20" customHeight="1">
      <c r="E23" s="410" t="s">
        <v>545</v>
      </c>
      <c r="F23" s="411" t="str">
        <f>Cuentas!B8</f>
        <v>1XXX100</v>
      </c>
      <c r="G23" s="412">
        <f t="shared" si="1"/>
        <v>0</v>
      </c>
      <c r="H23" s="413"/>
      <c r="I23" s="413"/>
      <c r="J23" s="412">
        <f t="shared" si="2"/>
        <v>0</v>
      </c>
    </row>
    <row r="24" spans="5:10" ht="20" customHeight="1">
      <c r="E24" s="410" t="s">
        <v>545</v>
      </c>
      <c r="F24" s="411" t="str">
        <f>Cuentas!B9</f>
        <v>B467XXX05</v>
      </c>
      <c r="G24" s="412">
        <f t="shared" si="1"/>
        <v>0</v>
      </c>
      <c r="H24" s="413"/>
      <c r="I24" s="413"/>
      <c r="J24" s="412">
        <f t="shared" si="2"/>
        <v>0</v>
      </c>
    </row>
    <row r="25" spans="5:10" ht="20" customHeight="1">
      <c r="E25" s="410" t="s">
        <v>545</v>
      </c>
      <c r="F25" s="411" t="str">
        <f>Cuentas!B10</f>
        <v>677-0XXX52-670</v>
      </c>
      <c r="G25" s="412">
        <f t="shared" si="1"/>
        <v>0</v>
      </c>
      <c r="H25" s="413"/>
      <c r="I25" s="413"/>
      <c r="J25" s="412">
        <f t="shared" si="2"/>
        <v>0</v>
      </c>
    </row>
    <row r="26" spans="5:10" ht="20" customHeight="1">
      <c r="E26" s="410" t="s">
        <v>545</v>
      </c>
      <c r="F26" s="411" t="str">
        <f>Cuentas!B11</f>
        <v>677-0XXX53-471</v>
      </c>
      <c r="G26" s="412">
        <f t="shared" si="1"/>
        <v>0</v>
      </c>
      <c r="H26" s="413"/>
      <c r="I26" s="413"/>
      <c r="J26" s="412">
        <f t="shared" si="2"/>
        <v>0</v>
      </c>
    </row>
    <row r="27" spans="5:10" ht="20" customHeight="1">
      <c r="E27" s="410" t="s">
        <v>545</v>
      </c>
      <c r="F27" s="411" t="str">
        <f>Cuentas!B12</f>
        <v>4H 0XXX0 RB</v>
      </c>
      <c r="G27" s="412">
        <f t="shared" si="1"/>
        <v>0</v>
      </c>
      <c r="H27" s="413"/>
      <c r="I27" s="413"/>
      <c r="J27" s="412">
        <f t="shared" si="2"/>
        <v>0</v>
      </c>
    </row>
    <row r="28" spans="5:10" ht="20" customHeight="1">
      <c r="E28" s="410" t="s">
        <v>545</v>
      </c>
      <c r="F28" s="411" t="str">
        <f>Cuentas!B13</f>
        <v>H</v>
      </c>
      <c r="G28" s="412">
        <f t="shared" si="1"/>
        <v>0</v>
      </c>
      <c r="H28" s="413"/>
      <c r="I28" s="413"/>
      <c r="J28" s="412">
        <f t="shared" si="2"/>
        <v>0</v>
      </c>
    </row>
    <row r="29" spans="5:10" ht="20" customHeight="1">
      <c r="E29" s="410" t="s">
        <v>545</v>
      </c>
      <c r="F29" s="411" t="str">
        <f>Cuentas!B14</f>
        <v>I</v>
      </c>
      <c r="G29" s="412">
        <f t="shared" si="1"/>
        <v>0</v>
      </c>
      <c r="H29" s="413"/>
      <c r="I29" s="413"/>
      <c r="J29" s="412">
        <f t="shared" si="2"/>
        <v>0</v>
      </c>
    </row>
    <row r="30" spans="5:10" ht="20" customHeight="1">
      <c r="E30" s="410" t="s">
        <v>545</v>
      </c>
      <c r="F30" s="411" t="str">
        <f>Cuentas!B15</f>
        <v>J</v>
      </c>
      <c r="G30" s="412">
        <f t="shared" si="1"/>
        <v>0</v>
      </c>
      <c r="H30" s="413"/>
      <c r="I30" s="413"/>
      <c r="J30" s="412">
        <f t="shared" si="2"/>
        <v>0</v>
      </c>
    </row>
    <row r="31" spans="5:10" ht="20" customHeight="1">
      <c r="E31" s="410" t="s">
        <v>545</v>
      </c>
      <c r="F31" s="411" t="str">
        <f>Cuentas!B16</f>
        <v>K</v>
      </c>
      <c r="G31" s="412">
        <f t="shared" si="1"/>
        <v>0</v>
      </c>
      <c r="H31" s="413"/>
      <c r="I31" s="413"/>
      <c r="J31" s="412">
        <f t="shared" si="2"/>
        <v>0</v>
      </c>
    </row>
    <row r="32" spans="5:10" ht="20" customHeight="1">
      <c r="E32" s="410" t="s">
        <v>545</v>
      </c>
      <c r="F32" s="411" t="str">
        <f>Cuentas!B17</f>
        <v>L</v>
      </c>
      <c r="G32" s="412">
        <f t="shared" si="1"/>
        <v>0</v>
      </c>
      <c r="H32" s="413"/>
      <c r="I32" s="413"/>
      <c r="J32" s="412">
        <f t="shared" si="2"/>
        <v>0</v>
      </c>
    </row>
    <row r="33" spans="2:10" ht="20" customHeight="1">
      <c r="E33" s="410" t="s">
        <v>545</v>
      </c>
      <c r="F33" s="411" t="str">
        <f>Cuentas!B18</f>
        <v>M</v>
      </c>
      <c r="G33" s="412">
        <f t="shared" si="1"/>
        <v>0</v>
      </c>
      <c r="H33" s="413"/>
      <c r="I33" s="413"/>
      <c r="J33" s="412">
        <f t="shared" si="2"/>
        <v>0</v>
      </c>
    </row>
    <row r="34" spans="2:10" ht="20" customHeight="1">
      <c r="E34" s="410" t="s">
        <v>545</v>
      </c>
      <c r="F34" s="411" t="str">
        <f>Cuentas!B19</f>
        <v>N</v>
      </c>
      <c r="G34" s="412">
        <f t="shared" si="1"/>
        <v>0</v>
      </c>
      <c r="H34" s="413"/>
      <c r="I34" s="413"/>
      <c r="J34" s="412">
        <f t="shared" si="2"/>
        <v>0</v>
      </c>
    </row>
    <row r="35" spans="2:10" ht="20" customHeight="1">
      <c r="E35" s="410" t="s">
        <v>545</v>
      </c>
      <c r="F35" s="411" t="str">
        <f>Cuentas!B20</f>
        <v>O</v>
      </c>
      <c r="G35" s="412">
        <f t="shared" si="1"/>
        <v>0</v>
      </c>
      <c r="H35" s="413"/>
      <c r="I35" s="413"/>
      <c r="J35" s="412">
        <f t="shared" si="2"/>
        <v>0</v>
      </c>
    </row>
    <row r="36" spans="2:10" ht="20" customHeight="1">
      <c r="E36" s="410" t="s">
        <v>545</v>
      </c>
      <c r="F36" s="411" t="str">
        <f>Cuentas!B21</f>
        <v>P</v>
      </c>
      <c r="G36" s="412">
        <f t="shared" si="1"/>
        <v>0</v>
      </c>
      <c r="H36" s="413"/>
      <c r="I36" s="413"/>
      <c r="J36" s="412">
        <f t="shared" si="2"/>
        <v>0</v>
      </c>
    </row>
    <row r="37" spans="2:10" ht="20" customHeight="1">
      <c r="E37" s="410" t="s">
        <v>545</v>
      </c>
      <c r="F37" s="411" t="str">
        <f>Cuentas!B22</f>
        <v>Q</v>
      </c>
      <c r="G37" s="412">
        <f t="shared" si="1"/>
        <v>0</v>
      </c>
      <c r="H37" s="413"/>
      <c r="I37" s="413"/>
      <c r="J37" s="412">
        <f t="shared" si="2"/>
        <v>0</v>
      </c>
    </row>
    <row r="38" spans="2:10" ht="20" customHeight="1">
      <c r="E38" s="410" t="s">
        <v>545</v>
      </c>
      <c r="F38" s="411" t="str">
        <f>Cuentas!B23</f>
        <v>R</v>
      </c>
      <c r="G38" s="412">
        <f t="shared" si="1"/>
        <v>0</v>
      </c>
      <c r="H38" s="413"/>
      <c r="I38" s="413"/>
      <c r="J38" s="412">
        <f t="shared" si="2"/>
        <v>0</v>
      </c>
    </row>
    <row r="40" spans="2:10" ht="20" customHeight="1">
      <c r="F40" s="414" t="s">
        <v>61</v>
      </c>
      <c r="G40" s="183">
        <f>SUM(G21:G39)</f>
        <v>0</v>
      </c>
      <c r="H40" s="415"/>
      <c r="I40" s="415"/>
      <c r="J40" s="183">
        <f>SUM(J21:J39)</f>
        <v>0</v>
      </c>
    </row>
    <row r="43" spans="2:10" ht="20" customHeight="1">
      <c r="B43" s="416" t="s">
        <v>434</v>
      </c>
      <c r="C43" s="416"/>
    </row>
    <row r="44" spans="2:10" ht="20" customHeight="1">
      <c r="B44" s="402"/>
      <c r="C44" s="402"/>
      <c r="D44" s="402"/>
      <c r="E44" s="402"/>
      <c r="F44" s="402"/>
      <c r="G44" s="402"/>
      <c r="H44" s="402"/>
      <c r="I44" s="402"/>
      <c r="J44" s="402"/>
    </row>
    <row r="45" spans="2:10" ht="20" customHeight="1">
      <c r="B45" s="402"/>
      <c r="C45" s="402"/>
      <c r="D45" s="402"/>
      <c r="E45" s="402"/>
      <c r="F45" s="402"/>
      <c r="G45" s="402"/>
      <c r="H45" s="402"/>
      <c r="I45" s="402"/>
      <c r="J45" s="402"/>
    </row>
    <row r="46" spans="2:10" ht="20" customHeight="1">
      <c r="B46" s="402"/>
      <c r="C46" s="402"/>
      <c r="D46" s="402"/>
      <c r="E46" s="402"/>
      <c r="F46" s="402"/>
      <c r="G46" s="402"/>
      <c r="H46" s="402"/>
      <c r="I46" s="402"/>
      <c r="J46" s="402"/>
    </row>
    <row r="47" spans="2:10" ht="20" customHeight="1">
      <c r="B47" s="402"/>
      <c r="C47" s="402"/>
      <c r="D47" s="402"/>
      <c r="E47" s="402"/>
      <c r="F47" s="402"/>
      <c r="G47" s="402"/>
      <c r="H47" s="402"/>
      <c r="I47" s="402"/>
      <c r="J47" s="402"/>
    </row>
    <row r="48" spans="2:10" ht="20" customHeight="1">
      <c r="B48" s="402"/>
      <c r="C48" s="402"/>
      <c r="D48" s="402"/>
      <c r="E48" s="402"/>
      <c r="F48" s="402"/>
      <c r="G48" s="402"/>
      <c r="H48" s="402"/>
      <c r="I48" s="402"/>
      <c r="J48" s="402"/>
    </row>
    <row r="49" spans="2:10" ht="20" customHeight="1">
      <c r="B49" s="402"/>
      <c r="C49" s="402"/>
      <c r="D49" s="402"/>
      <c r="E49" s="402"/>
      <c r="F49" s="402"/>
      <c r="G49" s="402"/>
      <c r="H49" s="402"/>
      <c r="I49" s="402"/>
      <c r="J49" s="402"/>
    </row>
    <row r="50" spans="2:10" ht="20" customHeight="1">
      <c r="B50" s="402"/>
      <c r="C50" s="402"/>
      <c r="D50" s="402"/>
      <c r="E50" s="402"/>
      <c r="F50" s="402"/>
      <c r="G50" s="402"/>
      <c r="H50" s="402"/>
      <c r="I50" s="402"/>
      <c r="J50" s="402"/>
    </row>
    <row r="51" spans="2:10" ht="20" customHeight="1">
      <c r="B51" s="402"/>
      <c r="C51" s="402"/>
      <c r="D51" s="402"/>
      <c r="E51" s="402"/>
      <c r="F51" s="402"/>
      <c r="G51" s="402"/>
      <c r="H51" s="402"/>
      <c r="I51" s="402"/>
      <c r="J51" s="402"/>
    </row>
    <row r="52" spans="2:10" ht="20" customHeight="1">
      <c r="B52" s="402"/>
      <c r="C52" s="402"/>
      <c r="D52" s="402"/>
      <c r="E52" s="402"/>
      <c r="F52" s="402"/>
      <c r="G52" s="402"/>
      <c r="H52" s="402"/>
      <c r="I52" s="402"/>
      <c r="J52" s="402"/>
    </row>
    <row r="53" spans="2:10" ht="20" customHeight="1">
      <c r="B53" s="402"/>
      <c r="C53" s="402"/>
      <c r="D53" s="402"/>
      <c r="E53" s="402"/>
      <c r="F53" s="402"/>
      <c r="G53" s="402"/>
      <c r="H53" s="402"/>
      <c r="I53" s="402"/>
      <c r="J53" s="402"/>
    </row>
    <row r="54" spans="2:10" ht="20" customHeight="1">
      <c r="B54" s="402"/>
      <c r="C54" s="402"/>
      <c r="D54" s="402"/>
      <c r="E54" s="402"/>
      <c r="F54" s="402"/>
      <c r="G54" s="402"/>
      <c r="H54" s="402"/>
      <c r="I54" s="402"/>
      <c r="J54" s="402"/>
    </row>
    <row r="55" spans="2:10" ht="20" customHeight="1">
      <c r="B55" s="402"/>
      <c r="C55" s="402"/>
      <c r="D55" s="402"/>
      <c r="E55" s="402"/>
      <c r="F55" s="402"/>
      <c r="G55" s="402"/>
      <c r="H55" s="402"/>
      <c r="I55" s="402"/>
      <c r="J55" s="402"/>
    </row>
    <row r="56" spans="2:10" ht="20" customHeight="1">
      <c r="B56" s="402"/>
      <c r="C56" s="402"/>
      <c r="D56" s="402"/>
      <c r="E56" s="402"/>
      <c r="F56" s="402"/>
      <c r="G56" s="402"/>
      <c r="H56" s="402"/>
      <c r="I56" s="402"/>
      <c r="J56" s="402"/>
    </row>
    <row r="57" spans="2:10" ht="20" customHeight="1">
      <c r="B57" s="402"/>
      <c r="C57" s="402"/>
      <c r="D57" s="402"/>
      <c r="E57" s="402"/>
      <c r="F57" s="402"/>
      <c r="G57" s="402"/>
      <c r="H57" s="402"/>
      <c r="I57" s="402"/>
      <c r="J57" s="402"/>
    </row>
    <row r="58" spans="2:10" ht="20" customHeight="1">
      <c r="B58" s="402"/>
      <c r="C58" s="402"/>
      <c r="D58" s="402"/>
      <c r="E58" s="402"/>
      <c r="F58" s="402"/>
      <c r="G58" s="402"/>
      <c r="H58" s="402"/>
      <c r="I58" s="402"/>
      <c r="J58" s="402"/>
    </row>
    <row r="59" spans="2:10" ht="20" customHeight="1">
      <c r="B59" s="402"/>
      <c r="C59" s="402"/>
      <c r="D59" s="402"/>
      <c r="E59" s="402"/>
      <c r="F59" s="402"/>
      <c r="G59" s="402"/>
      <c r="H59" s="402"/>
      <c r="I59" s="402"/>
      <c r="J59" s="402"/>
    </row>
    <row r="60" spans="2:10" ht="20" customHeight="1">
      <c r="B60" s="402"/>
      <c r="C60" s="402"/>
      <c r="D60" s="402"/>
      <c r="E60" s="402"/>
      <c r="F60" s="402"/>
      <c r="G60" s="402"/>
      <c r="H60" s="402"/>
      <c r="I60" s="402"/>
      <c r="J60" s="402"/>
    </row>
    <row r="61" spans="2:10" ht="20" customHeight="1">
      <c r="B61" s="402"/>
      <c r="C61" s="402"/>
      <c r="D61" s="402"/>
      <c r="E61" s="402"/>
      <c r="F61" s="402"/>
      <c r="G61" s="402"/>
      <c r="H61" s="402"/>
      <c r="I61" s="402"/>
      <c r="J61" s="402"/>
    </row>
    <row r="62" spans="2:10" ht="20" customHeight="1">
      <c r="B62" s="402"/>
      <c r="C62" s="402"/>
      <c r="D62" s="402"/>
      <c r="E62" s="402"/>
      <c r="F62" s="402"/>
      <c r="G62" s="402"/>
      <c r="H62" s="402"/>
      <c r="I62" s="402"/>
      <c r="J62" s="402"/>
    </row>
    <row r="63" spans="2:10" ht="20" customHeight="1">
      <c r="B63" s="402"/>
      <c r="C63" s="402"/>
      <c r="D63" s="402"/>
      <c r="E63" s="402"/>
      <c r="F63" s="402"/>
      <c r="G63" s="402"/>
      <c r="H63" s="402"/>
      <c r="I63" s="402"/>
      <c r="J63" s="402"/>
    </row>
  </sheetData>
  <sheetProtection algorithmName="SHA-512" hashValue="O39X7utxuDWyvdT49GKJd8cDugdbIbZMBqoG08hAPzspUy8ijUFYMA5VSuXRI/n7RkhFswMnHPpi7aKdybOkCg==" saltValue="KEssloWZgSOBOlq+UImp5g==" spinCount="100000" sheet="1" formatCells="0" formatColumns="0" formatRows="0" insertColumns="0" insertRows="0" deleteColumns="0" deleteRows="0" sort="0" autoFilter="0"/>
  <autoFilter ref="B6:J16" xr:uid="{B1190D58-1A93-8E40-B2AE-426F3F44CA09}"/>
  <mergeCells count="2">
    <mergeCell ref="B2:J2"/>
    <mergeCell ref="B3:J3"/>
  </mergeCells>
  <printOptions horizontalCentered="1"/>
  <pageMargins left="0.7" right="0.7" top="0.75" bottom="0.75" header="0.3" footer="0.3"/>
  <pageSetup scale="50" fitToHeight="4" orientation="landscape" horizontalDpi="1200" verticalDpi="1200" r:id="rId1"/>
  <extLst>
    <ext xmlns:x14="http://schemas.microsoft.com/office/spreadsheetml/2009/9/main" uri="{CCE6A557-97BC-4b89-ADB6-D9C93CAAB3DF}">
      <x14:dataValidations xmlns:xm="http://schemas.microsoft.com/office/excel/2006/main" count="1">
        <x14:dataValidation type="list" showInputMessage="1" showErrorMessage="1" promptTitle="OJO:" prompt="Selecciona una moneda" xr:uid="{B59889EF-934A-F849-89E5-78649A082DC0}">
          <x14:formula1>
            <xm:f>Equivalencia!$A$5:$A$23</xm:f>
          </x14:formula1>
          <xm:sqref>F8:F14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AU2259"/>
  <sheetViews>
    <sheetView tabSelected="1" zoomScale="60" zoomScaleNormal="60" workbookViewId="0">
      <pane ySplit="1" topLeftCell="A696" activePane="bottomLeft" state="frozen"/>
      <selection activeCell="C1" sqref="C1"/>
      <selection pane="bottomLeft" activeCell="D706" sqref="D706"/>
    </sheetView>
  </sheetViews>
  <sheetFormatPr baseColWidth="10" defaultColWidth="11.5" defaultRowHeight="16"/>
  <cols>
    <col min="1" max="1" width="11.5" style="191"/>
    <col min="2" max="2" width="22.83203125" style="320" customWidth="1"/>
    <col min="3" max="3" width="22.83203125" style="191" customWidth="1"/>
    <col min="4" max="4" width="38.6640625" style="320" customWidth="1"/>
    <col min="5" max="6" width="22.83203125" style="320" customWidth="1"/>
    <col min="7" max="7" width="22.83203125" style="297" customWidth="1"/>
    <col min="8" max="8" width="29" style="320" bestFit="1" customWidth="1"/>
    <col min="9" max="9" width="33.5" style="320" bestFit="1" customWidth="1"/>
    <col min="10" max="10" width="19.33203125" style="320" bestFit="1" customWidth="1"/>
    <col min="11" max="11" width="26" style="191" bestFit="1" customWidth="1"/>
    <col min="12" max="12" width="21" style="191" bestFit="1" customWidth="1"/>
    <col min="13" max="13" width="27.33203125" style="191" bestFit="1" customWidth="1"/>
    <col min="14" max="14" width="28.83203125" style="191" bestFit="1" customWidth="1"/>
    <col min="15" max="15" width="28.5" style="191" bestFit="1" customWidth="1"/>
    <col min="16" max="16" width="19.83203125" style="191" bestFit="1" customWidth="1"/>
    <col min="17" max="17" width="20.5" style="191" bestFit="1" customWidth="1"/>
    <col min="18" max="18" width="15.5" style="191" bestFit="1" customWidth="1"/>
    <col min="19" max="19" width="26.5" style="191" bestFit="1" customWidth="1"/>
    <col min="20" max="20" width="34.33203125" style="191" bestFit="1" customWidth="1"/>
    <col min="21" max="21" width="6.5" style="191" bestFit="1" customWidth="1"/>
    <col min="22" max="22" width="22.6640625" style="321" customWidth="1"/>
    <col min="23" max="26" width="22.6640625" style="320" customWidth="1"/>
    <col min="27" max="32" width="16.33203125" style="191" customWidth="1"/>
    <col min="33" max="33" width="16.33203125" style="191" hidden="1" customWidth="1"/>
    <col min="34" max="34" width="11.6640625" style="191" hidden="1" customWidth="1"/>
    <col min="35" max="36" width="22.6640625" style="191" hidden="1" customWidth="1"/>
    <col min="37" max="37" width="2.33203125" style="191" bestFit="1" customWidth="1"/>
    <col min="38" max="38" width="22.83203125" style="191" customWidth="1"/>
    <col min="39" max="39" width="5.5" style="311" customWidth="1"/>
    <col min="40" max="41" width="22.6640625" style="191" customWidth="1"/>
    <col min="42" max="42" width="22.6640625" style="319" customWidth="1"/>
    <col min="43" max="45" width="11.5" style="191"/>
    <col min="46" max="46" width="30" style="319" customWidth="1"/>
    <col min="47" max="47" width="20.1640625" style="319" customWidth="1"/>
    <col min="48" max="16384" width="11.5" style="191"/>
  </cols>
  <sheetData>
    <row r="1" spans="2:47" ht="51">
      <c r="B1" s="286" t="s">
        <v>96</v>
      </c>
      <c r="C1" s="287" t="s">
        <v>276</v>
      </c>
      <c r="D1" s="286" t="s">
        <v>226</v>
      </c>
      <c r="E1" s="286" t="s">
        <v>285</v>
      </c>
      <c r="F1" s="286" t="s">
        <v>281</v>
      </c>
      <c r="G1" s="286" t="s">
        <v>227</v>
      </c>
      <c r="H1" s="288" t="s">
        <v>282</v>
      </c>
      <c r="I1" s="286" t="s">
        <v>286</v>
      </c>
      <c r="J1" s="288" t="s">
        <v>283</v>
      </c>
      <c r="K1" s="289" t="s">
        <v>321</v>
      </c>
      <c r="L1" s="287" t="s">
        <v>56</v>
      </c>
      <c r="M1" s="287" t="s">
        <v>322</v>
      </c>
      <c r="N1" s="287" t="s">
        <v>323</v>
      </c>
      <c r="O1" s="287" t="s">
        <v>324</v>
      </c>
      <c r="P1" s="287" t="s">
        <v>325</v>
      </c>
      <c r="Q1" s="287" t="s">
        <v>326</v>
      </c>
      <c r="R1" s="287" t="s">
        <v>97</v>
      </c>
      <c r="S1" s="290" t="s">
        <v>327</v>
      </c>
      <c r="T1" s="287" t="s">
        <v>328</v>
      </c>
      <c r="U1" s="291" t="s">
        <v>98</v>
      </c>
      <c r="V1" s="292" t="s">
        <v>167</v>
      </c>
      <c r="W1" s="286" t="s">
        <v>329</v>
      </c>
      <c r="X1" s="286" t="s">
        <v>228</v>
      </c>
      <c r="Y1" s="286" t="s">
        <v>287</v>
      </c>
      <c r="Z1" s="286" t="s">
        <v>330</v>
      </c>
      <c r="AA1" s="287" t="s">
        <v>56</v>
      </c>
      <c r="AB1" s="287" t="s">
        <v>331</v>
      </c>
      <c r="AC1" s="287" t="s">
        <v>332</v>
      </c>
      <c r="AD1" s="287" t="s">
        <v>225</v>
      </c>
      <c r="AE1" s="290" t="s">
        <v>327</v>
      </c>
      <c r="AF1" s="290" t="s">
        <v>288</v>
      </c>
      <c r="AG1" s="287" t="s">
        <v>233</v>
      </c>
      <c r="AH1" s="287" t="s">
        <v>289</v>
      </c>
      <c r="AI1" s="290" t="s">
        <v>290</v>
      </c>
      <c r="AJ1" s="290" t="s">
        <v>291</v>
      </c>
      <c r="AK1" s="291" t="s">
        <v>103</v>
      </c>
      <c r="AL1" s="290" t="s">
        <v>104</v>
      </c>
      <c r="AM1" s="293" t="s">
        <v>632</v>
      </c>
      <c r="AN1" s="287" t="s">
        <v>633</v>
      </c>
      <c r="AO1" s="287" t="s">
        <v>4</v>
      </c>
      <c r="AP1" s="286" t="s">
        <v>5</v>
      </c>
      <c r="AQ1" s="294"/>
      <c r="AR1" s="294"/>
      <c r="AS1" s="294"/>
      <c r="AT1" s="295" t="s">
        <v>199</v>
      </c>
      <c r="AU1" s="295" t="s">
        <v>200</v>
      </c>
    </row>
    <row r="2" spans="2:47">
      <c r="B2" s="296"/>
      <c r="C2" s="299"/>
      <c r="D2" s="298"/>
      <c r="E2" s="299"/>
      <c r="F2" s="299"/>
      <c r="G2" s="300"/>
      <c r="H2" s="382"/>
      <c r="I2" s="301">
        <f t="shared" ref="I2:I65" si="0">IF(D2=0,0,IF(OR(E2=$AT$9,E2=$AT$10),"Ingresos Sección II LISR (SIC &amp; BMV)","Ingresos Sección I LISR"))</f>
        <v>0</v>
      </c>
      <c r="J2" s="302">
        <f>+V2</f>
        <v>0</v>
      </c>
      <c r="K2" s="304">
        <f t="shared" ref="K2:K65" si="1">IF(H2=0,0,H2/J2)</f>
        <v>0</v>
      </c>
      <c r="L2" s="305">
        <f>IF(H2=0,0,IF(OR(E2=$AT$5,E2=$AT$6),AA2,IF(F2="MXN",1/HLOOKUP(YEAR(G2)+(MONTH(G2)/100),TC!$5:$37,DAY(G2)+2,FALSE),VLOOKUP(F2,Equivalencia!$5:$23,((MAX(Equivalencia!$3:$3)-YEAR(G2))*14)+MONTH(G2)+2,FALSE))))</f>
        <v>0</v>
      </c>
      <c r="M2" s="306">
        <f t="shared" ref="M2:M65" si="2">+H2*L2</f>
        <v>0</v>
      </c>
      <c r="N2" s="305">
        <f>IF(G2=0,0,(IF(OR(E2=$AT$5,E2=$AT$6),AC2,HLOOKUP(YEAR(G2)+(MONTH(G2)/100),TC!$5:$37,DAY(G2)+2,FALSE))))</f>
        <v>0</v>
      </c>
      <c r="O2" s="307">
        <f>+M2*N2</f>
        <v>0</v>
      </c>
      <c r="P2" s="560">
        <f>IF(G2=0,0,VLOOKUP(YEAR(G2),INPC!$B$4:$P$30,MONTH(G2)+2))</f>
        <v>0</v>
      </c>
      <c r="Q2" s="560">
        <f>IF(X2=0,0,IF(OR(E2=$AT$10,E2=$AT$9),VLOOKUP(YEAR(X2),INPC!$B$4:$P$30,MONTH(X2)+1),VLOOKUP(YEAR(X2),INPC!$B$4:$P$30,MONTH(X2)+2,0)))</f>
        <v>0</v>
      </c>
      <c r="R2" s="309">
        <f t="shared" ref="R2:R65" si="3">IF(H2=0,0,IF(OR(E2=$AT$5,E2=$AT$6),1,IF(TRUNC(Q2/P2,4)&gt;=1,TRUNC(Q2/P2,4),1)))</f>
        <v>0</v>
      </c>
      <c r="S2" s="310">
        <f>+R2*O2</f>
        <v>0</v>
      </c>
      <c r="T2" s="555">
        <f>IF(V2=0,0,S2/V2)</f>
        <v>0</v>
      </c>
      <c r="U2" s="311"/>
      <c r="V2" s="312"/>
      <c r="W2" s="299"/>
      <c r="X2" s="300"/>
      <c r="Y2" s="299"/>
      <c r="Z2" s="313"/>
      <c r="AA2" s="305">
        <f>IF(Z2=0,0,IF(Y2="MXN",1/HLOOKUP(YEAR(X2)+(MONTH(X2)/100),TC!$5:$37,DAY(X2)+2,FALSE),VLOOKUP(Y2,Equivalencia!$1:$23,((MAX(Equivalencia!$3:$3)-YEAR(X2))*14)+MONTH(X2)+2,FALSE)))</f>
        <v>0</v>
      </c>
      <c r="AB2" s="306">
        <f>+AA2*Z2</f>
        <v>0</v>
      </c>
      <c r="AC2" s="305">
        <f>+IF(X2=0,0,HLOOKUP(YEAR(X2)+(MONTH(X2)/100),TC!$5:$37,DAY(X2)+2,FALSE))</f>
        <v>0</v>
      </c>
      <c r="AD2" s="307">
        <f>+AC2*AB2</f>
        <v>0</v>
      </c>
      <c r="AE2" s="314">
        <f t="shared" ref="AE2:AE65" si="4">+V2*T2</f>
        <v>0</v>
      </c>
      <c r="AF2" s="315">
        <f t="shared" ref="AF2:AF65" si="5">IF(E2=$AT$11,0,AD2-AE2)</f>
        <v>0</v>
      </c>
      <c r="AG2" s="316">
        <f t="shared" ref="AG2:AG65" si="6">+IF(AND(AF2&lt;0,OR(E2=$AT$5,E2=$AT$6)),1,((X2-G2)/365))</f>
        <v>0</v>
      </c>
      <c r="AH2" s="314">
        <v>1</v>
      </c>
      <c r="AI2" s="314">
        <f t="shared" ref="AI2:AI65" si="7">+IF(OR(E2=$AT$9,E2=$AT$10),AF2,+AF2/AH2)</f>
        <v>0</v>
      </c>
      <c r="AJ2" s="314">
        <f>+AF2-AI2</f>
        <v>0</v>
      </c>
      <c r="AK2" s="317"/>
      <c r="AL2" s="315">
        <f>+AB2-M2</f>
        <v>0</v>
      </c>
      <c r="AM2" s="293"/>
      <c r="AN2" s="554">
        <f t="shared" ref="AN2:AN65" si="8">IF(AL2=0,0,AL2/H2)</f>
        <v>0</v>
      </c>
      <c r="AO2" s="314"/>
      <c r="AP2" s="318"/>
      <c r="AQ2" s="294"/>
      <c r="AR2" s="294"/>
      <c r="AS2" s="294"/>
    </row>
    <row r="3" spans="2:47">
      <c r="B3" s="296" t="s">
        <v>1260</v>
      </c>
      <c r="C3" s="299" t="s">
        <v>277</v>
      </c>
      <c r="D3" s="298" t="s">
        <v>824</v>
      </c>
      <c r="E3" s="299" t="s">
        <v>106</v>
      </c>
      <c r="F3" s="299" t="s">
        <v>59</v>
      </c>
      <c r="G3" s="300">
        <v>44459</v>
      </c>
      <c r="H3" s="382">
        <v>2500000</v>
      </c>
      <c r="I3" s="301" t="str">
        <f t="shared" si="0"/>
        <v>Ingresos Sección I LISR</v>
      </c>
      <c r="J3" s="302">
        <f t="shared" ref="J3:J66" si="9">+V3</f>
        <v>19187.915000000001</v>
      </c>
      <c r="K3" s="304">
        <f t="shared" si="1"/>
        <v>130.29034160303502</v>
      </c>
      <c r="L3" s="305">
        <f>IF(H3=0,0,IF(OR(E3=$AT$5,E3=$AT$6),AA3,IF(F3="MXN",1/HLOOKUP(YEAR(G3)+(MONTH(G3)/100),TC!$5:$37,DAY(G3)+2,FALSE),VLOOKUP(F3,Equivalencia!$5:$23,((MAX(Equivalencia!$3:$3)-YEAR(G3))*14)+MONTH(G3)+2,FALSE))))</f>
        <v>1</v>
      </c>
      <c r="M3" s="306">
        <f t="shared" si="2"/>
        <v>2500000</v>
      </c>
      <c r="N3" s="305">
        <f>IF(G3=0,0,(IF(OR(E3=$AT$5,E3=$AT$6),AC3,HLOOKUP(YEAR(G3)+(MONTH(G3)/100),TC!$5:$37,DAY(G3)+2,FALSE))))</f>
        <v>19.900300000000001</v>
      </c>
      <c r="O3" s="307">
        <f t="shared" ref="O3:O66" si="10">+M3*N3</f>
        <v>49750750</v>
      </c>
      <c r="P3" s="560">
        <f>IF(G3=0,0,VLOOKUP(YEAR(G3),INPC!$B$4:$P$30,MONTH(G3)+2))</f>
        <v>114.601</v>
      </c>
      <c r="Q3" s="560">
        <f>IF(X3=0,0,IF(OR(E3=$AT$10,E3=$AT$9),VLOOKUP(YEAR(X3),INPC!$B$4:$P$30,MONTH(X3)+1),VLOOKUP(YEAR(X3),INPC!$B$4:$P$30,MONTH(X3)+2,0)))</f>
        <v>121.02200000000001</v>
      </c>
      <c r="R3" s="309">
        <f t="shared" si="3"/>
        <v>1.056</v>
      </c>
      <c r="S3" s="310">
        <f t="shared" ref="S3:S66" si="11">+R3*O3</f>
        <v>52536792</v>
      </c>
      <c r="T3" s="555">
        <f t="shared" ref="T3:T66" si="12">IF(V3=0,0,S3/V3)</f>
        <v>2738.0146305630392</v>
      </c>
      <c r="U3" s="311"/>
      <c r="V3" s="312">
        <v>19187.915000000001</v>
      </c>
      <c r="W3" s="299" t="s">
        <v>194</v>
      </c>
      <c r="X3" s="300">
        <v>44693</v>
      </c>
      <c r="Y3" s="299" t="s">
        <v>59</v>
      </c>
      <c r="Z3" s="313">
        <v>2372771.5699999998</v>
      </c>
      <c r="AA3" s="305">
        <f>IF(Z3=0,0,IF(Y3="MXN",1/HLOOKUP(YEAR(X3)+(MONTH(X3)/100),TC!$5:$37,DAY(X3)+2,FALSE),VLOOKUP(Y3,Equivalencia!$1:$23,((MAX(Equivalencia!$3:$3)-YEAR(X3))*14)+MONTH(X3)+2,FALSE)))</f>
        <v>1</v>
      </c>
      <c r="AB3" s="306">
        <f t="shared" ref="AB3:AB66" si="13">+AA3*Z3</f>
        <v>2372771.5699999998</v>
      </c>
      <c r="AC3" s="305">
        <f>+IF(X3=0,0,HLOOKUP(YEAR(X3)+(MONTH(X3)/100),TC!$5:$37,DAY(X3)+2,FALSE))</f>
        <v>20.372</v>
      </c>
      <c r="AD3" s="307">
        <f t="shared" ref="AD3:AD66" si="14">+AC3*AB3</f>
        <v>48338102.424039997</v>
      </c>
      <c r="AE3" s="314">
        <f t="shared" si="4"/>
        <v>52536792</v>
      </c>
      <c r="AF3" s="315">
        <f t="shared" si="5"/>
        <v>-4198689.5759600028</v>
      </c>
      <c r="AG3" s="316">
        <f t="shared" si="6"/>
        <v>0.64109589041095894</v>
      </c>
      <c r="AH3" s="314">
        <v>1</v>
      </c>
      <c r="AI3" s="314">
        <f t="shared" si="7"/>
        <v>-4198689.5759600028</v>
      </c>
      <c r="AJ3" s="314">
        <f t="shared" ref="AJ3:AJ66" si="15">+AF3-AI3</f>
        <v>0</v>
      </c>
      <c r="AK3" s="317"/>
      <c r="AL3" s="315">
        <f t="shared" ref="AL3:AL65" si="16">+AB3-M3</f>
        <v>-127228.43000000017</v>
      </c>
      <c r="AM3" s="293"/>
      <c r="AN3" s="554">
        <f t="shared" si="8"/>
        <v>-5.0891372000000067E-2</v>
      </c>
      <c r="AO3" s="314"/>
      <c r="AP3" s="318"/>
      <c r="AQ3" s="294"/>
      <c r="AR3" s="294"/>
      <c r="AS3" s="294"/>
      <c r="AT3" s="297" t="s">
        <v>105</v>
      </c>
      <c r="AU3" s="297" t="s">
        <v>194</v>
      </c>
    </row>
    <row r="4" spans="2:47">
      <c r="B4" s="296" t="s">
        <v>1263</v>
      </c>
      <c r="C4" s="299" t="s">
        <v>277</v>
      </c>
      <c r="D4" s="298" t="s">
        <v>760</v>
      </c>
      <c r="E4" s="299" t="s">
        <v>113</v>
      </c>
      <c r="F4" s="299" t="s">
        <v>59</v>
      </c>
      <c r="G4" s="300">
        <v>44174</v>
      </c>
      <c r="H4" s="303">
        <v>373589.16</v>
      </c>
      <c r="I4" s="301" t="str">
        <f t="shared" si="0"/>
        <v>Ingresos Sección II LISR (SIC &amp; BMV)</v>
      </c>
      <c r="J4" s="302">
        <f>+V4</f>
        <v>12900</v>
      </c>
      <c r="K4" s="304">
        <f t="shared" si="1"/>
        <v>28.960399999999996</v>
      </c>
      <c r="L4" s="305">
        <f>IF(H4=0,0,IF(OR(E4=$AT$5,E4=$AT$6),AA4,IF(F4="MXN",1/HLOOKUP(YEAR(G4)+(MONTH(G4)/100),TC!$5:$37,DAY(G4)+2,FALSE),VLOOKUP(F4,Equivalencia!$5:$23,((MAX(Equivalencia!$3:$3)-YEAR(G4))*14)+MONTH(G4)+2,FALSE))))</f>
        <v>1</v>
      </c>
      <c r="M4" s="306">
        <f t="shared" si="2"/>
        <v>373589.16</v>
      </c>
      <c r="N4" s="305">
        <f>IF(G4=0,0,(IF(OR(E4=$AT$5,E4=$AT$6),AC4,HLOOKUP(YEAR(G4)+(MONTH(G4)/100),TC!$5:$37,DAY(G4)+2,FALSE))))</f>
        <v>19.821300000000001</v>
      </c>
      <c r="O4" s="307">
        <f t="shared" si="10"/>
        <v>7405022.8171079997</v>
      </c>
      <c r="P4" s="560">
        <f>IF(G4=0,0,VLOOKUP(YEAR(G4),INPC!$B$4:$P$30,MONTH(G4)+2))</f>
        <v>109.271</v>
      </c>
      <c r="Q4" s="560">
        <f>IF(X4=0,0,IF(OR(E4=$AT$10,E4=$AT$9),VLOOKUP(YEAR(X4),INPC!$B$4:$P$30,MONTH(X4)+1),VLOOKUP(YEAR(X4),INPC!$B$4:$P$30,MONTH(X4)+2,0)))</f>
        <v>117.30800000000001</v>
      </c>
      <c r="R4" s="309">
        <f t="shared" si="3"/>
        <v>1.0734999999999999</v>
      </c>
      <c r="S4" s="310">
        <f t="shared" si="11"/>
        <v>7949291.9941654373</v>
      </c>
      <c r="T4" s="555">
        <f t="shared" si="12"/>
        <v>616.22418559421999</v>
      </c>
      <c r="U4" s="311"/>
      <c r="V4" s="312">
        <v>12900</v>
      </c>
      <c r="W4" s="299" t="s">
        <v>194</v>
      </c>
      <c r="X4" s="300">
        <v>44575</v>
      </c>
      <c r="Y4" s="299" t="s">
        <v>59</v>
      </c>
      <c r="Z4" s="313">
        <v>746446.95</v>
      </c>
      <c r="AA4" s="305">
        <f>IF(Z4=0,0,IF(Y4="MXN",1/HLOOKUP(YEAR(X4)+(MONTH(X4)/100),TC!$5:$37,DAY(X4)+2,FALSE),VLOOKUP(Y4,Equivalencia!$1:$23,((MAX(Equivalencia!$3:$3)-YEAR(X4))*14)+MONTH(X4)+2,FALSE)))</f>
        <v>1</v>
      </c>
      <c r="AB4" s="306">
        <f t="shared" si="13"/>
        <v>746446.95</v>
      </c>
      <c r="AC4" s="305">
        <f>+IF(X4=0,0,HLOOKUP(YEAR(X4)+(MONTH(X4)/100),TC!$5:$37,DAY(X4)+2,FALSE))</f>
        <v>20.366</v>
      </c>
      <c r="AD4" s="307">
        <f t="shared" si="14"/>
        <v>15202138.583699999</v>
      </c>
      <c r="AE4" s="314">
        <f t="shared" si="4"/>
        <v>7949291.9941654382</v>
      </c>
      <c r="AF4" s="315">
        <f t="shared" si="5"/>
        <v>7252846.5895345611</v>
      </c>
      <c r="AG4" s="316">
        <f t="shared" si="6"/>
        <v>1.0986301369863014</v>
      </c>
      <c r="AH4" s="314">
        <v>1</v>
      </c>
      <c r="AI4" s="314">
        <f t="shared" si="7"/>
        <v>7252846.5895345611</v>
      </c>
      <c r="AJ4" s="314">
        <f t="shared" si="15"/>
        <v>0</v>
      </c>
      <c r="AK4" s="317"/>
      <c r="AL4" s="315">
        <f t="shared" si="16"/>
        <v>372857.79</v>
      </c>
      <c r="AM4" s="293"/>
      <c r="AN4" s="554">
        <f t="shared" si="8"/>
        <v>0.9980423147181251</v>
      </c>
      <c r="AO4" s="314"/>
      <c r="AP4" s="318"/>
      <c r="AQ4" s="294"/>
      <c r="AR4" s="294"/>
      <c r="AS4" s="294"/>
      <c r="AT4" s="297" t="s">
        <v>106</v>
      </c>
      <c r="AU4" s="297" t="s">
        <v>195</v>
      </c>
    </row>
    <row r="5" spans="2:47" ht="17" thickBot="1">
      <c r="B5" s="296" t="s">
        <v>1263</v>
      </c>
      <c r="C5" s="299" t="s">
        <v>277</v>
      </c>
      <c r="D5" s="298" t="s">
        <v>735</v>
      </c>
      <c r="E5" s="299" t="s">
        <v>113</v>
      </c>
      <c r="F5" s="299" t="s">
        <v>59</v>
      </c>
      <c r="G5" s="300">
        <v>44258</v>
      </c>
      <c r="H5" s="303">
        <v>283321.5</v>
      </c>
      <c r="I5" s="301" t="str">
        <f t="shared" si="0"/>
        <v>Ingresos Sección II LISR (SIC &amp; BMV)</v>
      </c>
      <c r="J5" s="302">
        <f t="shared" si="9"/>
        <v>2200</v>
      </c>
      <c r="K5" s="304">
        <f t="shared" si="1"/>
        <v>128.7825</v>
      </c>
      <c r="L5" s="305">
        <f>IF(H5=0,0,IF(OR(E5=$AT$5,E5=$AT$6),AA5,IF(F5="MXN",1/HLOOKUP(YEAR(G5)+(MONTH(G5)/100),TC!$5:$37,DAY(G5)+2,FALSE),VLOOKUP(F5,Equivalencia!$5:$23,((MAX(Equivalencia!$3:$3)-YEAR(G5))*14)+MONTH(G5)+2,FALSE))))</f>
        <v>1</v>
      </c>
      <c r="M5" s="306">
        <f t="shared" si="2"/>
        <v>283321.5</v>
      </c>
      <c r="N5" s="305">
        <f>IF(G5=0,0,(IF(OR(E5=$AT$5,E5=$AT$6),AC5,HLOOKUP(YEAR(G5)+(MONTH(G5)/100),TC!$5:$37,DAY(G5)+2,FALSE))))</f>
        <v>20.612300000000001</v>
      </c>
      <c r="O5" s="307">
        <f t="shared" si="10"/>
        <v>5839907.7544499999</v>
      </c>
      <c r="P5" s="560">
        <f>IF(G5=0,0,VLOOKUP(YEAR(G5),INPC!$B$4:$P$30,MONTH(G5)+2))</f>
        <v>111.824</v>
      </c>
      <c r="Q5" s="560">
        <f>IF(X5=0,0,IF(OR(E5=$AT$10,E5=$AT$9),VLOOKUP(YEAR(X5),INPC!$B$4:$P$30,MONTH(X5)+1),VLOOKUP(YEAR(X5),INPC!$B$4:$P$30,MONTH(X5)+2,0)))</f>
        <v>120.15900000000001</v>
      </c>
      <c r="R5" s="309">
        <f t="shared" si="3"/>
        <v>1.0745</v>
      </c>
      <c r="S5" s="310">
        <f t="shared" si="11"/>
        <v>6274980.8821565248</v>
      </c>
      <c r="T5" s="555">
        <f t="shared" si="12"/>
        <v>2852.2640373438749</v>
      </c>
      <c r="U5" s="311"/>
      <c r="V5" s="312">
        <v>2200</v>
      </c>
      <c r="W5" s="299" t="s">
        <v>194</v>
      </c>
      <c r="X5" s="300">
        <v>44663</v>
      </c>
      <c r="Y5" s="299" t="s">
        <v>59</v>
      </c>
      <c r="Z5" s="313">
        <v>340998.26</v>
      </c>
      <c r="AA5" s="305">
        <f>IF(Z5=0,0,IF(Y5="MXN",1/HLOOKUP(YEAR(X5)+(MONTH(X5)/100),TC!$5:$37,DAY(X5)+2,FALSE),VLOOKUP(Y5,Equivalencia!$1:$23,((MAX(Equivalencia!$3:$3)-YEAR(X5))*14)+MONTH(X5)+2,FALSE)))</f>
        <v>1</v>
      </c>
      <c r="AB5" s="306">
        <f t="shared" si="13"/>
        <v>340998.26</v>
      </c>
      <c r="AC5" s="305">
        <f>+IF(X5=0,0,HLOOKUP(YEAR(X5)+(MONTH(X5)/100),TC!$5:$37,DAY(X5)+2,FALSE))</f>
        <v>20.12</v>
      </c>
      <c r="AD5" s="307">
        <f t="shared" si="14"/>
        <v>6860884.991200001</v>
      </c>
      <c r="AE5" s="314">
        <f t="shared" si="4"/>
        <v>6274980.8821565248</v>
      </c>
      <c r="AF5" s="315">
        <f t="shared" si="5"/>
        <v>585904.10904347617</v>
      </c>
      <c r="AG5" s="316">
        <f t="shared" si="6"/>
        <v>1.1095890410958904</v>
      </c>
      <c r="AH5" s="314">
        <v>1</v>
      </c>
      <c r="AI5" s="314">
        <f t="shared" si="7"/>
        <v>585904.10904347617</v>
      </c>
      <c r="AJ5" s="314">
        <f t="shared" si="15"/>
        <v>0</v>
      </c>
      <c r="AK5" s="317"/>
      <c r="AL5" s="315">
        <f t="shared" si="16"/>
        <v>57676.760000000009</v>
      </c>
      <c r="AM5" s="293"/>
      <c r="AN5" s="554">
        <f t="shared" si="8"/>
        <v>0.20357353748303608</v>
      </c>
      <c r="AO5" s="314"/>
      <c r="AP5" s="318"/>
      <c r="AQ5" s="294"/>
      <c r="AR5" s="294"/>
      <c r="AS5" s="294"/>
      <c r="AT5" s="297" t="s">
        <v>107</v>
      </c>
      <c r="AU5" s="297" t="s">
        <v>196</v>
      </c>
    </row>
    <row r="6" spans="2:47">
      <c r="B6" s="296" t="s">
        <v>1263</v>
      </c>
      <c r="C6" s="299" t="s">
        <v>277</v>
      </c>
      <c r="D6" s="298" t="s">
        <v>825</v>
      </c>
      <c r="E6" s="299" t="s">
        <v>113</v>
      </c>
      <c r="F6" s="299" t="s">
        <v>59</v>
      </c>
      <c r="G6" s="300">
        <v>43970</v>
      </c>
      <c r="H6" s="669">
        <v>409762</v>
      </c>
      <c r="I6" s="301" t="str">
        <f t="shared" si="0"/>
        <v>Ingresos Sección II LISR (SIC &amp; BMV)</v>
      </c>
      <c r="J6" s="302">
        <f>+V6</f>
        <v>10000</v>
      </c>
      <c r="K6" s="304">
        <f t="shared" si="1"/>
        <v>40.976199999999999</v>
      </c>
      <c r="L6" s="305">
        <f>IF(H6=0,0,IF(OR(E6=$AT$5,E6=$AT$6),AA6,IF(F6="MXN",1/HLOOKUP(YEAR(G6)+(MONTH(G6)/100),TC!$5:$37,DAY(G6)+2,FALSE),VLOOKUP(F6,Equivalencia!$5:$23,((MAX(Equivalencia!$3:$3)-YEAR(G6))*14)+MONTH(G6)+2,FALSE))))</f>
        <v>1</v>
      </c>
      <c r="M6" s="306">
        <f t="shared" si="2"/>
        <v>409762</v>
      </c>
      <c r="N6" s="305">
        <f>IF(G6=0,0,(IF(OR(E6=$AT$5,E6=$AT$6),AC6,HLOOKUP(YEAR(G6)+(MONTH(G6)/100),TC!$5:$37,DAY(G6)+2,FALSE))))</f>
        <v>23.957999999999998</v>
      </c>
      <c r="O6" s="307">
        <f t="shared" si="10"/>
        <v>9817077.9959999993</v>
      </c>
      <c r="P6" s="560">
        <f>IF(G6=0,0,VLOOKUP(YEAR(G6),INPC!$B$4:$P$30,MONTH(G6)+2))</f>
        <v>106.16200000000001</v>
      </c>
      <c r="Q6" s="560">
        <f>IF(X6=0,0,IF(OR(E6=$AT$10,E6=$AT$9),VLOOKUP(YEAR(X6),INPC!$B$4:$P$30,MONTH(X6)+1),VLOOKUP(YEAR(X6),INPC!$B$4:$P$30,MONTH(X6)+2,0)))</f>
        <v>120.809</v>
      </c>
      <c r="R6" s="309">
        <f t="shared" si="3"/>
        <v>1.1378999999999999</v>
      </c>
      <c r="S6" s="310">
        <f t="shared" si="11"/>
        <v>11170853.051648399</v>
      </c>
      <c r="T6" s="555">
        <f t="shared" si="12"/>
        <v>1117.0853051648398</v>
      </c>
      <c r="U6" s="311"/>
      <c r="V6" s="312">
        <v>10000</v>
      </c>
      <c r="W6" s="299" t="s">
        <v>194</v>
      </c>
      <c r="X6" s="300">
        <v>44712</v>
      </c>
      <c r="Y6" s="299" t="s">
        <v>59</v>
      </c>
      <c r="Z6" s="672">
        <v>566761.02</v>
      </c>
      <c r="AA6" s="305">
        <f>IF(Z6=0,0,IF(Y6="MXN",1/HLOOKUP(YEAR(X6)+(MONTH(X6)/100),TC!$5:$37,DAY(X6)+2,FALSE),VLOOKUP(Y6,Equivalencia!$1:$23,((MAX(Equivalencia!$3:$3)-YEAR(X6))*14)+MONTH(X6)+2,FALSE)))</f>
        <v>1</v>
      </c>
      <c r="AB6" s="306">
        <f t="shared" si="13"/>
        <v>566761.02</v>
      </c>
      <c r="AC6" s="305">
        <f>+IF(X6=0,0,HLOOKUP(YEAR(X6)+(MONTH(X6)/100),TC!$5:$37,DAY(X6)+2,FALSE))</f>
        <v>19.596499999999999</v>
      </c>
      <c r="AD6" s="307">
        <f t="shared" si="14"/>
        <v>11106532.328429999</v>
      </c>
      <c r="AE6" s="314">
        <f t="shared" si="4"/>
        <v>11170853.051648399</v>
      </c>
      <c r="AF6" s="315">
        <f t="shared" si="5"/>
        <v>-64320.723218400031</v>
      </c>
      <c r="AG6" s="316">
        <f t="shared" si="6"/>
        <v>2.032876712328767</v>
      </c>
      <c r="AH6" s="314">
        <v>1</v>
      </c>
      <c r="AI6" s="314">
        <f t="shared" si="7"/>
        <v>-64320.723218400031</v>
      </c>
      <c r="AJ6" s="314">
        <f t="shared" si="15"/>
        <v>0</v>
      </c>
      <c r="AK6" s="317"/>
      <c r="AL6" s="315">
        <f t="shared" si="16"/>
        <v>156999.02000000002</v>
      </c>
      <c r="AM6" s="293"/>
      <c r="AN6" s="554">
        <f t="shared" si="8"/>
        <v>0.38314685109893065</v>
      </c>
      <c r="AO6" s="314"/>
      <c r="AP6" s="318"/>
      <c r="AQ6" s="294"/>
      <c r="AR6" s="294"/>
      <c r="AS6" s="294"/>
      <c r="AT6" s="297" t="s">
        <v>108</v>
      </c>
      <c r="AU6" s="297" t="s">
        <v>197</v>
      </c>
    </row>
    <row r="7" spans="2:47" ht="17" thickBot="1">
      <c r="B7" s="296" t="s">
        <v>1263</v>
      </c>
      <c r="C7" s="299" t="s">
        <v>277</v>
      </c>
      <c r="D7" s="298" t="s">
        <v>825</v>
      </c>
      <c r="E7" s="299" t="s">
        <v>113</v>
      </c>
      <c r="F7" s="299" t="s">
        <v>59</v>
      </c>
      <c r="G7" s="300">
        <v>44410</v>
      </c>
      <c r="H7" s="671">
        <v>224542.83</v>
      </c>
      <c r="I7" s="301" t="str">
        <f t="shared" si="0"/>
        <v>Ingresos Sección II LISR (SIC &amp; BMV)</v>
      </c>
      <c r="J7" s="302">
        <f>+V7</f>
        <v>3550</v>
      </c>
      <c r="K7" s="304">
        <f t="shared" si="1"/>
        <v>63.2515014084507</v>
      </c>
      <c r="L7" s="305">
        <f>IF(H7=0,0,IF(OR(E7=$AT$5,E7=$AT$6),AA7,IF(F7="MXN",1/HLOOKUP(YEAR(G7)+(MONTH(G7)/100),TC!$5:$37,DAY(G7)+2,FALSE),VLOOKUP(F7,Equivalencia!$5:$23,((MAX(Equivalencia!$3:$3)-YEAR(G7))*14)+MONTH(G7)+2,FALSE))))</f>
        <v>1</v>
      </c>
      <c r="M7" s="306">
        <f t="shared" si="2"/>
        <v>224542.83</v>
      </c>
      <c r="N7" s="305">
        <f>IF(G7=0,0,(IF(OR(E7=$AT$5,E7=$AT$6),AC7,HLOOKUP(YEAR(G7)+(MONTH(G7)/100),TC!$5:$37,DAY(G7)+2,FALSE))))</f>
        <v>19.844799999999999</v>
      </c>
      <c r="O7" s="307">
        <f t="shared" si="10"/>
        <v>4456007.5527839996</v>
      </c>
      <c r="P7" s="560">
        <f>IF(G7=0,0,VLOOKUP(YEAR(G7),INPC!$B$4:$P$30,MONTH(G7)+2))</f>
        <v>113.899</v>
      </c>
      <c r="Q7" s="560">
        <f>IF(X7=0,0,IF(OR(E7=$AT$10,E7=$AT$9),VLOOKUP(YEAR(X7),INPC!$B$4:$P$30,MONTH(X7)+1),VLOOKUP(YEAR(X7),INPC!$B$4:$P$30,MONTH(X7)+2,0)))</f>
        <v>120.809</v>
      </c>
      <c r="R7" s="309">
        <f t="shared" si="3"/>
        <v>1.0606</v>
      </c>
      <c r="S7" s="310">
        <f t="shared" si="11"/>
        <v>4726041.6104827095</v>
      </c>
      <c r="T7" s="555">
        <f t="shared" si="12"/>
        <v>1331.2793268965379</v>
      </c>
      <c r="U7" s="311"/>
      <c r="V7" s="312">
        <v>3550</v>
      </c>
      <c r="W7" s="299" t="s">
        <v>194</v>
      </c>
      <c r="X7" s="300">
        <v>44712</v>
      </c>
      <c r="Y7" s="299" t="s">
        <v>59</v>
      </c>
      <c r="Z7" s="673">
        <v>201200.16</v>
      </c>
      <c r="AA7" s="305">
        <f>IF(Z7=0,0,IF(Y7="MXN",1/HLOOKUP(YEAR(X7)+(MONTH(X7)/100),TC!$5:$37,DAY(X7)+2,FALSE),VLOOKUP(Y7,Equivalencia!$1:$23,((MAX(Equivalencia!$3:$3)-YEAR(X7))*14)+MONTH(X7)+2,FALSE)))</f>
        <v>1</v>
      </c>
      <c r="AB7" s="306">
        <f t="shared" si="13"/>
        <v>201200.16</v>
      </c>
      <c r="AC7" s="305">
        <f>+IF(X7=0,0,HLOOKUP(YEAR(X7)+(MONTH(X7)/100),TC!$5:$37,DAY(X7)+2,FALSE))</f>
        <v>19.596499999999999</v>
      </c>
      <c r="AD7" s="307">
        <f t="shared" si="14"/>
        <v>3942818.9354399997</v>
      </c>
      <c r="AE7" s="314">
        <f t="shared" si="4"/>
        <v>4726041.6104827095</v>
      </c>
      <c r="AF7" s="315">
        <f t="shared" si="5"/>
        <v>-783222.6750427098</v>
      </c>
      <c r="AG7" s="316">
        <f t="shared" si="6"/>
        <v>0.82739726027397265</v>
      </c>
      <c r="AH7" s="314">
        <v>1</v>
      </c>
      <c r="AI7" s="314">
        <f t="shared" si="7"/>
        <v>-783222.6750427098</v>
      </c>
      <c r="AJ7" s="314">
        <f t="shared" si="15"/>
        <v>0</v>
      </c>
      <c r="AK7" s="317"/>
      <c r="AL7" s="315">
        <f t="shared" si="16"/>
        <v>-23342.669999999984</v>
      </c>
      <c r="AM7" s="293"/>
      <c r="AN7" s="554">
        <f t="shared" si="8"/>
        <v>-0.10395642559595417</v>
      </c>
      <c r="AO7" s="314"/>
      <c r="AP7" s="318"/>
      <c r="AQ7" s="294"/>
      <c r="AR7" s="294"/>
      <c r="AS7" s="294"/>
      <c r="AT7" s="297" t="s">
        <v>111</v>
      </c>
      <c r="AU7" s="297" t="s">
        <v>198</v>
      </c>
    </row>
    <row r="8" spans="2:47">
      <c r="B8" s="296" t="s">
        <v>1263</v>
      </c>
      <c r="C8" s="299" t="s">
        <v>277</v>
      </c>
      <c r="D8" s="298" t="s">
        <v>793</v>
      </c>
      <c r="E8" s="299" t="s">
        <v>113</v>
      </c>
      <c r="F8" s="299" t="s">
        <v>59</v>
      </c>
      <c r="G8" s="300">
        <v>44455</v>
      </c>
      <c r="H8" s="669">
        <v>1246372.51</v>
      </c>
      <c r="I8" s="301" t="str">
        <f t="shared" si="0"/>
        <v>Ingresos Sección II LISR (SIC &amp; BMV)</v>
      </c>
      <c r="J8" s="302">
        <f t="shared" si="9"/>
        <v>39850</v>
      </c>
      <c r="K8" s="304">
        <f t="shared" si="1"/>
        <v>31.276600000000002</v>
      </c>
      <c r="L8" s="305">
        <f>IF(H8=0,0,IF(OR(E8=$AT$5,E8=$AT$6),AA8,IF(F8="MXN",1/HLOOKUP(YEAR(G8)+(MONTH(G8)/100),TC!$5:$37,DAY(G8)+2,FALSE),VLOOKUP(F8,Equivalencia!$5:$23,((MAX(Equivalencia!$3:$3)-YEAR(G8))*14)+MONTH(G8)+2,FALSE))))</f>
        <v>1</v>
      </c>
      <c r="M8" s="306">
        <f t="shared" si="2"/>
        <v>1246372.51</v>
      </c>
      <c r="N8" s="305">
        <f>IF(G8=0,0,(IF(OR(E8=$AT$5,E8=$AT$6),AC8,HLOOKUP(YEAR(G8)+(MONTH(G8)/100),TC!$5:$37,DAY(G8)+2,FALSE))))</f>
        <v>19.903500000000001</v>
      </c>
      <c r="O8" s="307">
        <f t="shared" si="10"/>
        <v>24807175.252785001</v>
      </c>
      <c r="P8" s="560">
        <f>IF(G8=0,0,VLOOKUP(YEAR(G8),INPC!$B$4:$P$30,MONTH(G8)+2))</f>
        <v>114.601</v>
      </c>
      <c r="Q8" s="560">
        <f>IF(X8=0,0,IF(OR(E8=$AT$10,E8=$AT$9),VLOOKUP(YEAR(X8),INPC!$B$4:$P$30,MONTH(X8)+1),VLOOKUP(YEAR(X8),INPC!$B$4:$P$30,MONTH(X8)+2,0)))</f>
        <v>120.809</v>
      </c>
      <c r="R8" s="309">
        <f t="shared" si="3"/>
        <v>1.0541</v>
      </c>
      <c r="S8" s="310">
        <f t="shared" si="11"/>
        <v>26149243.433960669</v>
      </c>
      <c r="T8" s="555">
        <f t="shared" si="12"/>
        <v>656.19180511821003</v>
      </c>
      <c r="U8" s="311"/>
      <c r="V8" s="312">
        <v>39850</v>
      </c>
      <c r="W8" s="299" t="s">
        <v>194</v>
      </c>
      <c r="X8" s="300">
        <v>44692</v>
      </c>
      <c r="Y8" s="299" t="s">
        <v>59</v>
      </c>
      <c r="Z8" s="669">
        <v>1196115.56</v>
      </c>
      <c r="AA8" s="305">
        <f>IF(Z8=0,0,IF(Y8="MXN",1/HLOOKUP(YEAR(X8)+(MONTH(X8)/100),TC!$5:$37,DAY(X8)+2,FALSE),VLOOKUP(Y8,Equivalencia!$1:$23,((MAX(Equivalencia!$3:$3)-YEAR(X8))*14)+MONTH(X8)+2,FALSE)))</f>
        <v>1</v>
      </c>
      <c r="AB8" s="306">
        <f t="shared" si="13"/>
        <v>1196115.56</v>
      </c>
      <c r="AC8" s="305">
        <f>+IF(X8=0,0,HLOOKUP(YEAR(X8)+(MONTH(X8)/100),TC!$5:$37,DAY(X8)+2,FALSE))</f>
        <v>20.3172</v>
      </c>
      <c r="AD8" s="307">
        <f t="shared" si="14"/>
        <v>24301719.055631999</v>
      </c>
      <c r="AE8" s="314">
        <f t="shared" si="4"/>
        <v>26149243.433960669</v>
      </c>
      <c r="AF8" s="315">
        <f t="shared" si="5"/>
        <v>-1847524.3783286698</v>
      </c>
      <c r="AG8" s="316">
        <f t="shared" si="6"/>
        <v>0.64931506849315068</v>
      </c>
      <c r="AH8" s="314">
        <v>1</v>
      </c>
      <c r="AI8" s="314">
        <f t="shared" si="7"/>
        <v>-1847524.3783286698</v>
      </c>
      <c r="AJ8" s="314">
        <f t="shared" si="15"/>
        <v>0</v>
      </c>
      <c r="AK8" s="317"/>
      <c r="AL8" s="315">
        <f t="shared" si="16"/>
        <v>-50256.949999999953</v>
      </c>
      <c r="AM8" s="293"/>
      <c r="AN8" s="554">
        <f t="shared" si="8"/>
        <v>-4.0322575792368809E-2</v>
      </c>
      <c r="AO8" s="314"/>
      <c r="AP8" s="318"/>
      <c r="AQ8" s="294"/>
      <c r="AR8" s="294"/>
      <c r="AS8" s="294"/>
      <c r="AT8" s="297" t="s">
        <v>112</v>
      </c>
      <c r="AU8" s="297" t="s">
        <v>230</v>
      </c>
    </row>
    <row r="9" spans="2:47" ht="17" thickBot="1">
      <c r="B9" s="296" t="s">
        <v>1263</v>
      </c>
      <c r="C9" s="299" t="s">
        <v>277</v>
      </c>
      <c r="D9" s="298" t="s">
        <v>793</v>
      </c>
      <c r="E9" s="299" t="s">
        <v>113</v>
      </c>
      <c r="F9" s="299" t="s">
        <v>59</v>
      </c>
      <c r="G9" s="300">
        <v>44456</v>
      </c>
      <c r="H9" s="671">
        <v>1255426.26</v>
      </c>
      <c r="I9" s="301" t="str">
        <f t="shared" si="0"/>
        <v>Ingresos Sección II LISR (SIC &amp; BMV)</v>
      </c>
      <c r="J9" s="302">
        <f t="shared" si="9"/>
        <v>40150</v>
      </c>
      <c r="K9" s="304">
        <f t="shared" si="1"/>
        <v>31.2684</v>
      </c>
      <c r="L9" s="305">
        <f>IF(H9=0,0,IF(OR(E9=$AT$5,E9=$AT$6),AA9,IF(F9="MXN",1/HLOOKUP(YEAR(G9)+(MONTH(G9)/100),TC!$5:$37,DAY(G9)+2,FALSE),VLOOKUP(F9,Equivalencia!$5:$23,((MAX(Equivalencia!$3:$3)-YEAR(G9))*14)+MONTH(G9)+2,FALSE))))</f>
        <v>1</v>
      </c>
      <c r="M9" s="306">
        <f t="shared" si="2"/>
        <v>1255426.26</v>
      </c>
      <c r="N9" s="305">
        <f>IF(G9=0,0,(IF(OR(E9=$AT$5,E9=$AT$6),AC9,HLOOKUP(YEAR(G9)+(MONTH(G9)/100),TC!$5:$37,DAY(G9)+2,FALSE))))</f>
        <v>19.903500000000001</v>
      </c>
      <c r="O9" s="307">
        <f t="shared" si="10"/>
        <v>24987376.56591</v>
      </c>
      <c r="P9" s="560">
        <f>IF(G9=0,0,VLOOKUP(YEAR(G9),INPC!$B$4:$P$30,MONTH(G9)+2))</f>
        <v>114.601</v>
      </c>
      <c r="Q9" s="560">
        <f>IF(X9=0,0,IF(OR(E9=$AT$10,E9=$AT$9),VLOOKUP(YEAR(X9),INPC!$B$4:$P$30,MONTH(X9)+1),VLOOKUP(YEAR(X9),INPC!$B$4:$P$30,MONTH(X9)+2,0)))</f>
        <v>120.809</v>
      </c>
      <c r="R9" s="309">
        <f t="shared" si="3"/>
        <v>1.0541</v>
      </c>
      <c r="S9" s="310">
        <f t="shared" si="11"/>
        <v>26339193.638125733</v>
      </c>
      <c r="T9" s="555">
        <f t="shared" si="12"/>
        <v>656.01976682754002</v>
      </c>
      <c r="U9" s="311"/>
      <c r="V9" s="312">
        <v>40150</v>
      </c>
      <c r="W9" s="299" t="s">
        <v>194</v>
      </c>
      <c r="X9" s="300">
        <v>44692</v>
      </c>
      <c r="Y9" s="299" t="s">
        <v>59</v>
      </c>
      <c r="Z9" s="671">
        <v>1205120.19</v>
      </c>
      <c r="AA9" s="305">
        <f>IF(Z9=0,0,IF(Y9="MXN",1/HLOOKUP(YEAR(X9)+(MONTH(X9)/100),TC!$5:$37,DAY(X9)+2,FALSE),VLOOKUP(Y9,Equivalencia!$1:$23,((MAX(Equivalencia!$3:$3)-YEAR(X9))*14)+MONTH(X9)+2,FALSE)))</f>
        <v>1</v>
      </c>
      <c r="AB9" s="306">
        <f t="shared" si="13"/>
        <v>1205120.19</v>
      </c>
      <c r="AC9" s="305">
        <f>+IF(X9=0,0,HLOOKUP(YEAR(X9)+(MONTH(X9)/100),TC!$5:$37,DAY(X9)+2,FALSE))</f>
        <v>20.3172</v>
      </c>
      <c r="AD9" s="307">
        <f t="shared" si="14"/>
        <v>24484667.924268</v>
      </c>
      <c r="AE9" s="314">
        <f t="shared" si="4"/>
        <v>26339193.638125733</v>
      </c>
      <c r="AF9" s="315">
        <f t="shared" si="5"/>
        <v>-1854525.7138577327</v>
      </c>
      <c r="AG9" s="316">
        <f t="shared" si="6"/>
        <v>0.64657534246575343</v>
      </c>
      <c r="AH9" s="314">
        <v>1</v>
      </c>
      <c r="AI9" s="314">
        <f t="shared" si="7"/>
        <v>-1854525.7138577327</v>
      </c>
      <c r="AJ9" s="314">
        <f t="shared" si="15"/>
        <v>0</v>
      </c>
      <c r="AK9" s="317"/>
      <c r="AL9" s="315">
        <f t="shared" si="16"/>
        <v>-50306.070000000065</v>
      </c>
      <c r="AM9" s="293"/>
      <c r="AN9" s="554">
        <f t="shared" si="8"/>
        <v>-4.0070907868376165E-2</v>
      </c>
      <c r="AO9" s="314"/>
      <c r="AP9" s="318"/>
      <c r="AQ9" s="294"/>
      <c r="AR9" s="294"/>
      <c r="AS9" s="294"/>
      <c r="AT9" s="297" t="s">
        <v>264</v>
      </c>
      <c r="AU9" s="297" t="s">
        <v>277</v>
      </c>
    </row>
    <row r="10" spans="2:47" ht="17" thickBot="1">
      <c r="B10" s="296" t="s">
        <v>1263</v>
      </c>
      <c r="C10" s="299" t="s">
        <v>277</v>
      </c>
      <c r="D10" s="298" t="s">
        <v>826</v>
      </c>
      <c r="E10" s="299" t="s">
        <v>113</v>
      </c>
      <c r="F10" s="299" t="s">
        <v>59</v>
      </c>
      <c r="G10" s="300">
        <v>44293</v>
      </c>
      <c r="H10" s="303">
        <v>575980.80000000005</v>
      </c>
      <c r="I10" s="301" t="str">
        <f t="shared" si="0"/>
        <v>Ingresos Sección II LISR (SIC &amp; BMV)</v>
      </c>
      <c r="J10" s="302">
        <f t="shared" si="9"/>
        <v>65500</v>
      </c>
      <c r="K10" s="304">
        <f t="shared" si="1"/>
        <v>8.7936000000000014</v>
      </c>
      <c r="L10" s="305">
        <f>IF(H10=0,0,IF(OR(E10=$AT$5,E10=$AT$6),AA10,IF(F10="MXN",1/HLOOKUP(YEAR(G10)+(MONTH(G10)/100),TC!$5:$37,DAY(G10)+2,FALSE),VLOOKUP(F10,Equivalencia!$5:$23,((MAX(Equivalencia!$3:$3)-YEAR(G10))*14)+MONTH(G10)+2,FALSE))))</f>
        <v>1</v>
      </c>
      <c r="M10" s="306">
        <f t="shared" si="2"/>
        <v>575980.80000000005</v>
      </c>
      <c r="N10" s="305">
        <f>IF(G10=0,0,(IF(OR(E10=$AT$5,E10=$AT$6),AC10,HLOOKUP(YEAR(G10)+(MONTH(G10)/100),TC!$5:$37,DAY(G10)+2,FALSE))))</f>
        <v>20.2483</v>
      </c>
      <c r="O10" s="307">
        <f t="shared" si="10"/>
        <v>11662632.032640001</v>
      </c>
      <c r="P10" s="560">
        <f>IF(G10=0,0,VLOOKUP(YEAR(G10),INPC!$B$4:$P$30,MONTH(G10)+2))</f>
        <v>112.19</v>
      </c>
      <c r="Q10" s="560">
        <f>IF(X10=0,0,IF(OR(E10=$AT$10,E10=$AT$9),VLOOKUP(YEAR(X10),INPC!$B$4:$P$30,MONTH(X10)+1),VLOOKUP(YEAR(X10),INPC!$B$4:$P$30,MONTH(X10)+2,0)))</f>
        <v>120.809</v>
      </c>
      <c r="R10" s="309">
        <f t="shared" si="3"/>
        <v>1.0768</v>
      </c>
      <c r="S10" s="310">
        <f t="shared" si="11"/>
        <v>12558322.172746753</v>
      </c>
      <c r="T10" s="555">
        <f t="shared" si="12"/>
        <v>191.73010950758402</v>
      </c>
      <c r="U10" s="311"/>
      <c r="V10" s="312">
        <v>65500</v>
      </c>
      <c r="W10" s="299" t="s">
        <v>194</v>
      </c>
      <c r="X10" s="300">
        <v>44712</v>
      </c>
      <c r="Y10" s="299" t="s">
        <v>59</v>
      </c>
      <c r="Z10" s="313">
        <v>657310.18999999994</v>
      </c>
      <c r="AA10" s="305">
        <f>IF(Z10=0,0,IF(Y10="MXN",1/HLOOKUP(YEAR(X10)+(MONTH(X10)/100),TC!$5:$37,DAY(X10)+2,FALSE),VLOOKUP(Y10,Equivalencia!$1:$23,((MAX(Equivalencia!$3:$3)-YEAR(X10))*14)+MONTH(X10)+2,FALSE)))</f>
        <v>1</v>
      </c>
      <c r="AB10" s="306">
        <f t="shared" si="13"/>
        <v>657310.18999999994</v>
      </c>
      <c r="AC10" s="305">
        <f>+IF(X10=0,0,HLOOKUP(YEAR(X10)+(MONTH(X10)/100),TC!$5:$37,DAY(X10)+2,FALSE))</f>
        <v>19.596499999999999</v>
      </c>
      <c r="AD10" s="307">
        <f t="shared" si="14"/>
        <v>12880979.138334999</v>
      </c>
      <c r="AE10" s="314">
        <f t="shared" si="4"/>
        <v>12558322.172746753</v>
      </c>
      <c r="AF10" s="315">
        <f t="shared" si="5"/>
        <v>322656.96558824554</v>
      </c>
      <c r="AG10" s="316">
        <f t="shared" si="6"/>
        <v>1.1479452054794521</v>
      </c>
      <c r="AH10" s="314">
        <v>1</v>
      </c>
      <c r="AI10" s="314">
        <f t="shared" si="7"/>
        <v>322656.96558824554</v>
      </c>
      <c r="AJ10" s="314">
        <f t="shared" si="15"/>
        <v>0</v>
      </c>
      <c r="AK10" s="317"/>
      <c r="AL10" s="315">
        <f t="shared" si="16"/>
        <v>81329.389999999898</v>
      </c>
      <c r="AM10" s="293"/>
      <c r="AN10" s="554">
        <f t="shared" si="8"/>
        <v>0.14120156435770062</v>
      </c>
      <c r="AO10" s="314"/>
      <c r="AP10" s="318"/>
      <c r="AQ10" s="294"/>
      <c r="AR10" s="294"/>
      <c r="AS10" s="294"/>
      <c r="AT10" s="297" t="s">
        <v>113</v>
      </c>
      <c r="AU10" s="297" t="s">
        <v>278</v>
      </c>
    </row>
    <row r="11" spans="2:47">
      <c r="B11" s="296" t="s">
        <v>1263</v>
      </c>
      <c r="C11" s="299" t="s">
        <v>277</v>
      </c>
      <c r="D11" s="298" t="s">
        <v>827</v>
      </c>
      <c r="E11" s="299" t="s">
        <v>113</v>
      </c>
      <c r="F11" s="299" t="s">
        <v>59</v>
      </c>
      <c r="G11" s="300">
        <v>44153</v>
      </c>
      <c r="H11" s="669">
        <v>464984.2</v>
      </c>
      <c r="I11" s="301" t="str">
        <f t="shared" si="0"/>
        <v>Ingresos Sección II LISR (SIC &amp; BMV)</v>
      </c>
      <c r="J11" s="302">
        <f t="shared" si="9"/>
        <v>4554</v>
      </c>
      <c r="K11" s="304">
        <f t="shared" si="1"/>
        <v>102.10456741326307</v>
      </c>
      <c r="L11" s="305">
        <f>IF(H11=0,0,IF(OR(E11=$AT$5,E11=$AT$6),AA11,IF(F11="MXN",1/HLOOKUP(YEAR(G11)+(MONTH(G11)/100),TC!$5:$37,DAY(G11)+2,FALSE),VLOOKUP(F11,Equivalencia!$5:$23,((MAX(Equivalencia!$3:$3)-YEAR(G11))*14)+MONTH(G11)+2,FALSE))))</f>
        <v>1</v>
      </c>
      <c r="M11" s="306">
        <f t="shared" si="2"/>
        <v>464984.2</v>
      </c>
      <c r="N11" s="305">
        <f>IF(G11=0,0,(IF(OR(E11=$AT$5,E11=$AT$6),AC11,HLOOKUP(YEAR(G11)+(MONTH(G11)/100),TC!$5:$37,DAY(G11)+2,FALSE))))</f>
        <v>20.4833</v>
      </c>
      <c r="O11" s="307">
        <f t="shared" si="10"/>
        <v>9524410.8638599999</v>
      </c>
      <c r="P11" s="560">
        <f>IF(G11=0,0,VLOOKUP(YEAR(G11),INPC!$B$4:$P$30,MONTH(G11)+2))</f>
        <v>108.85599999999999</v>
      </c>
      <c r="Q11" s="560">
        <f>IF(X11=0,0,IF(OR(E11=$AT$10,E11=$AT$9),VLOOKUP(YEAR(X11),INPC!$B$4:$P$30,MONTH(X11)+1),VLOOKUP(YEAR(X11),INPC!$B$4:$P$30,MONTH(X11)+2,0)))</f>
        <v>120.809</v>
      </c>
      <c r="R11" s="309">
        <f t="shared" si="3"/>
        <v>1.1097999999999999</v>
      </c>
      <c r="S11" s="310">
        <f t="shared" si="11"/>
        <v>10570191.176711828</v>
      </c>
      <c r="T11" s="555">
        <f t="shared" si="12"/>
        <v>2321.078431425522</v>
      </c>
      <c r="U11" s="311"/>
      <c r="V11" s="312">
        <v>4554</v>
      </c>
      <c r="W11" s="299" t="s">
        <v>194</v>
      </c>
      <c r="X11" s="300">
        <v>44692</v>
      </c>
      <c r="Y11" s="299" t="s">
        <v>59</v>
      </c>
      <c r="Z11" s="672">
        <v>464524.3</v>
      </c>
      <c r="AA11" s="305">
        <f>IF(Z11=0,0,IF(Y11="MXN",1/HLOOKUP(YEAR(X11)+(MONTH(X11)/100),TC!$5:$37,DAY(X11)+2,FALSE),VLOOKUP(Y11,Equivalencia!$1:$23,((MAX(Equivalencia!$3:$3)-YEAR(X11))*14)+MONTH(X11)+2,FALSE)))</f>
        <v>1</v>
      </c>
      <c r="AB11" s="306">
        <f t="shared" si="13"/>
        <v>464524.3</v>
      </c>
      <c r="AC11" s="305">
        <f>+IF(X11=0,0,HLOOKUP(YEAR(X11)+(MONTH(X11)/100),TC!$5:$37,DAY(X11)+2,FALSE))</f>
        <v>20.3172</v>
      </c>
      <c r="AD11" s="307">
        <f t="shared" si="14"/>
        <v>9437833.1079599988</v>
      </c>
      <c r="AE11" s="314">
        <f t="shared" si="4"/>
        <v>10570191.176711828</v>
      </c>
      <c r="AF11" s="315">
        <f t="shared" si="5"/>
        <v>-1132358.0687518287</v>
      </c>
      <c r="AG11" s="316">
        <f t="shared" si="6"/>
        <v>1.4767123287671233</v>
      </c>
      <c r="AH11" s="314">
        <v>1</v>
      </c>
      <c r="AI11" s="314">
        <f t="shared" si="7"/>
        <v>-1132358.0687518287</v>
      </c>
      <c r="AJ11" s="314">
        <f t="shared" si="15"/>
        <v>0</v>
      </c>
      <c r="AK11" s="317"/>
      <c r="AL11" s="315">
        <f t="shared" si="16"/>
        <v>-459.90000000002328</v>
      </c>
      <c r="AM11" s="293"/>
      <c r="AN11" s="554">
        <f t="shared" si="8"/>
        <v>-9.8906586503374376E-4</v>
      </c>
      <c r="AO11" s="314"/>
      <c r="AP11" s="318"/>
      <c r="AQ11" s="294"/>
      <c r="AR11" s="294"/>
      <c r="AS11" s="294"/>
      <c r="AT11" s="297" t="s">
        <v>201</v>
      </c>
      <c r="AU11" s="297" t="s">
        <v>279</v>
      </c>
    </row>
    <row r="12" spans="2:47">
      <c r="B12" s="296" t="s">
        <v>1263</v>
      </c>
      <c r="C12" s="299" t="s">
        <v>277</v>
      </c>
      <c r="D12" s="298" t="s">
        <v>827</v>
      </c>
      <c r="E12" s="299" t="s">
        <v>113</v>
      </c>
      <c r="F12" s="299" t="s">
        <v>59</v>
      </c>
      <c r="G12" s="300">
        <v>44498</v>
      </c>
      <c r="H12" s="670">
        <v>2496486.81</v>
      </c>
      <c r="I12" s="301" t="str">
        <f t="shared" si="0"/>
        <v>Ingresos Sección II LISR (SIC &amp; BMV)</v>
      </c>
      <c r="J12" s="302">
        <f t="shared" si="9"/>
        <v>24450</v>
      </c>
      <c r="K12" s="304">
        <f t="shared" si="1"/>
        <v>102.1058</v>
      </c>
      <c r="L12" s="305">
        <f>IF(H12=0,0,IF(OR(E12=$AT$5,E12=$AT$6),AA12,IF(F12="MXN",1/HLOOKUP(YEAR(G12)+(MONTH(G12)/100),TC!$5:$37,DAY(G12)+2,FALSE),VLOOKUP(F12,Equivalencia!$5:$23,((MAX(Equivalencia!$3:$3)-YEAR(G12))*14)+MONTH(G12)+2,FALSE))))</f>
        <v>1</v>
      </c>
      <c r="M12" s="306">
        <f t="shared" si="2"/>
        <v>2496486.81</v>
      </c>
      <c r="N12" s="305">
        <f>IF(G12=0,0,(IF(OR(E12=$AT$5,E12=$AT$6),AC12,HLOOKUP(YEAR(G12)+(MONTH(G12)/100),TC!$5:$37,DAY(G12)+2,FALSE))))</f>
        <v>20.193000000000001</v>
      </c>
      <c r="O12" s="307">
        <f t="shared" si="10"/>
        <v>50411558.154330008</v>
      </c>
      <c r="P12" s="560">
        <f>IF(G12=0,0,VLOOKUP(YEAR(G12),INPC!$B$4:$P$30,MONTH(G12)+2))</f>
        <v>115.56100000000001</v>
      </c>
      <c r="Q12" s="560">
        <f>IF(X12=0,0,IF(OR(E12=$AT$10,E12=$AT$9),VLOOKUP(YEAR(X12),INPC!$B$4:$P$30,MONTH(X12)+1),VLOOKUP(YEAR(X12),INPC!$B$4:$P$30,MONTH(X12)+2,0)))</f>
        <v>120.809</v>
      </c>
      <c r="R12" s="309">
        <f t="shared" si="3"/>
        <v>1.0454000000000001</v>
      </c>
      <c r="S12" s="310">
        <f t="shared" si="11"/>
        <v>52700242.894536592</v>
      </c>
      <c r="T12" s="555">
        <f t="shared" si="12"/>
        <v>2155.4291572407606</v>
      </c>
      <c r="U12" s="311"/>
      <c r="V12" s="312">
        <v>24450</v>
      </c>
      <c r="W12" s="299" t="s">
        <v>194</v>
      </c>
      <c r="X12" s="300">
        <v>44692</v>
      </c>
      <c r="Y12" s="299" t="s">
        <v>59</v>
      </c>
      <c r="Z12" s="670">
        <v>2493987.52</v>
      </c>
      <c r="AA12" s="305">
        <f>IF(Z12=0,0,IF(Y12="MXN",1/HLOOKUP(YEAR(X12)+(MONTH(X12)/100),TC!$5:$37,DAY(X12)+2,FALSE),VLOOKUP(Y12,Equivalencia!$1:$23,((MAX(Equivalencia!$3:$3)-YEAR(X12))*14)+MONTH(X12)+2,FALSE)))</f>
        <v>1</v>
      </c>
      <c r="AB12" s="306">
        <f t="shared" si="13"/>
        <v>2493987.52</v>
      </c>
      <c r="AC12" s="305">
        <f>+IF(X12=0,0,HLOOKUP(YEAR(X12)+(MONTH(X12)/100),TC!$5:$37,DAY(X12)+2,FALSE))</f>
        <v>20.3172</v>
      </c>
      <c r="AD12" s="307">
        <f t="shared" si="14"/>
        <v>50670843.241343997</v>
      </c>
      <c r="AE12" s="314">
        <f t="shared" si="4"/>
        <v>52700242.894536592</v>
      </c>
      <c r="AF12" s="315">
        <f t="shared" si="5"/>
        <v>-2029399.6531925946</v>
      </c>
      <c r="AG12" s="316">
        <f t="shared" si="6"/>
        <v>0.53150684931506853</v>
      </c>
      <c r="AH12" s="314">
        <v>1</v>
      </c>
      <c r="AI12" s="314">
        <f t="shared" si="7"/>
        <v>-2029399.6531925946</v>
      </c>
      <c r="AJ12" s="314">
        <f t="shared" si="15"/>
        <v>0</v>
      </c>
      <c r="AK12" s="317"/>
      <c r="AL12" s="315">
        <f t="shared" si="16"/>
        <v>-2499.2900000000373</v>
      </c>
      <c r="AM12" s="293"/>
      <c r="AN12" s="554">
        <f t="shared" si="8"/>
        <v>-1.0011228539196797E-3</v>
      </c>
      <c r="AO12" s="314"/>
      <c r="AP12" s="318"/>
      <c r="AQ12" s="294"/>
      <c r="AR12" s="294"/>
      <c r="AS12" s="294"/>
      <c r="AT12" s="299"/>
      <c r="AU12" s="297" t="s">
        <v>280</v>
      </c>
    </row>
    <row r="13" spans="2:47" ht="17" thickBot="1">
      <c r="B13" s="296" t="s">
        <v>1263</v>
      </c>
      <c r="C13" s="299" t="s">
        <v>277</v>
      </c>
      <c r="D13" s="298" t="s">
        <v>827</v>
      </c>
      <c r="E13" s="299" t="s">
        <v>113</v>
      </c>
      <c r="F13" s="299" t="s">
        <v>59</v>
      </c>
      <c r="G13" s="300">
        <v>44530</v>
      </c>
      <c r="H13" s="671">
        <v>714728.7</v>
      </c>
      <c r="I13" s="301" t="str">
        <f t="shared" si="0"/>
        <v>Ingresos Sección II LISR (SIC &amp; BMV)</v>
      </c>
      <c r="J13" s="302">
        <f t="shared" si="9"/>
        <v>7000</v>
      </c>
      <c r="K13" s="304">
        <f t="shared" si="1"/>
        <v>102.10409999999999</v>
      </c>
      <c r="L13" s="305">
        <f>IF(H13=0,0,IF(OR(E13=$AT$5,E13=$AT$6),AA13,IF(F13="MXN",1/HLOOKUP(YEAR(G13)+(MONTH(G13)/100),TC!$5:$37,DAY(G13)+2,FALSE),VLOOKUP(F13,Equivalencia!$5:$23,((MAX(Equivalencia!$3:$3)-YEAR(G13))*14)+MONTH(G13)+2,FALSE))))</f>
        <v>1</v>
      </c>
      <c r="M13" s="306">
        <f t="shared" si="2"/>
        <v>714728.7</v>
      </c>
      <c r="N13" s="305">
        <f>IF(G13=0,0,(IF(OR(E13=$AT$5,E13=$AT$6),AC13,HLOOKUP(YEAR(G13)+(MONTH(G13)/100),TC!$5:$37,DAY(G13)+2,FALSE))))</f>
        <v>21.8185</v>
      </c>
      <c r="O13" s="307">
        <f t="shared" si="10"/>
        <v>15594308.14095</v>
      </c>
      <c r="P13" s="560">
        <f>IF(G13=0,0,VLOOKUP(YEAR(G13),INPC!$B$4:$P$30,MONTH(G13)+2))</f>
        <v>116.884</v>
      </c>
      <c r="Q13" s="560">
        <f>IF(X13=0,0,IF(OR(E13=$AT$10,E13=$AT$9),VLOOKUP(YEAR(X13),INPC!$B$4:$P$30,MONTH(X13)+1),VLOOKUP(YEAR(X13),INPC!$B$4:$P$30,MONTH(X13)+2,0)))</f>
        <v>120.809</v>
      </c>
      <c r="R13" s="309">
        <f t="shared" si="3"/>
        <v>1.0335000000000001</v>
      </c>
      <c r="S13" s="310">
        <f t="shared" si="11"/>
        <v>16116717.463671826</v>
      </c>
      <c r="T13" s="555">
        <f t="shared" si="12"/>
        <v>2302.3882090959751</v>
      </c>
      <c r="U13" s="311"/>
      <c r="V13" s="312">
        <v>7000</v>
      </c>
      <c r="W13" s="299" t="s">
        <v>194</v>
      </c>
      <c r="X13" s="300">
        <v>44692</v>
      </c>
      <c r="Y13" s="299" t="s">
        <v>59</v>
      </c>
      <c r="Z13" s="671">
        <v>714025.06</v>
      </c>
      <c r="AA13" s="305">
        <f>IF(Z13=0,0,IF(Y13="MXN",1/HLOOKUP(YEAR(X13)+(MONTH(X13)/100),TC!$5:$37,DAY(X13)+2,FALSE),VLOOKUP(Y13,Equivalencia!$1:$23,((MAX(Equivalencia!$3:$3)-YEAR(X13))*14)+MONTH(X13)+2,FALSE)))</f>
        <v>1</v>
      </c>
      <c r="AB13" s="306">
        <f t="shared" si="13"/>
        <v>714025.06</v>
      </c>
      <c r="AC13" s="305">
        <f>+IF(X13=0,0,HLOOKUP(YEAR(X13)+(MONTH(X13)/100),TC!$5:$37,DAY(X13)+2,FALSE))</f>
        <v>20.3172</v>
      </c>
      <c r="AD13" s="307">
        <f t="shared" si="14"/>
        <v>14506989.949032001</v>
      </c>
      <c r="AE13" s="314">
        <f t="shared" si="4"/>
        <v>16116717.463671826</v>
      </c>
      <c r="AF13" s="315">
        <f t="shared" si="5"/>
        <v>-1609727.5146398246</v>
      </c>
      <c r="AG13" s="316">
        <f t="shared" si="6"/>
        <v>0.44383561643835617</v>
      </c>
      <c r="AH13" s="314">
        <v>1</v>
      </c>
      <c r="AI13" s="314">
        <f t="shared" si="7"/>
        <v>-1609727.5146398246</v>
      </c>
      <c r="AJ13" s="314">
        <f t="shared" si="15"/>
        <v>0</v>
      </c>
      <c r="AK13" s="317"/>
      <c r="AL13" s="315">
        <f t="shared" si="16"/>
        <v>-703.63999999989755</v>
      </c>
      <c r="AM13" s="293"/>
      <c r="AN13" s="554">
        <f t="shared" si="8"/>
        <v>-9.8448544181854963E-4</v>
      </c>
      <c r="AO13" s="314"/>
      <c r="AP13" s="318"/>
      <c r="AQ13" s="294"/>
      <c r="AR13" s="294"/>
      <c r="AS13" s="294"/>
      <c r="AT13" s="299"/>
      <c r="AU13" s="299"/>
    </row>
    <row r="14" spans="2:47">
      <c r="B14" s="296" t="s">
        <v>1263</v>
      </c>
      <c r="C14" s="299" t="s">
        <v>277</v>
      </c>
      <c r="D14" s="298" t="s">
        <v>792</v>
      </c>
      <c r="E14" s="299" t="s">
        <v>106</v>
      </c>
      <c r="F14" s="299" t="s">
        <v>59</v>
      </c>
      <c r="G14" s="300">
        <v>44455</v>
      </c>
      <c r="H14" s="303">
        <v>838378.24</v>
      </c>
      <c r="I14" s="301" t="str">
        <f t="shared" si="0"/>
        <v>Ingresos Sección I LISR</v>
      </c>
      <c r="J14" s="302">
        <f t="shared" si="9"/>
        <v>39200</v>
      </c>
      <c r="K14" s="304">
        <f t="shared" si="1"/>
        <v>21.3872</v>
      </c>
      <c r="L14" s="305">
        <f>IF(H14=0,0,IF(OR(E14=$AT$5,E14=$AT$6),AA14,IF(F14="MXN",1/HLOOKUP(YEAR(G14)+(MONTH(G14)/100),TC!$5:$37,DAY(G14)+2,FALSE),VLOOKUP(F14,Equivalencia!$5:$23,((MAX(Equivalencia!$3:$3)-YEAR(G14))*14)+MONTH(G14)+2,FALSE))))</f>
        <v>1</v>
      </c>
      <c r="M14" s="306">
        <f t="shared" si="2"/>
        <v>838378.24</v>
      </c>
      <c r="N14" s="305">
        <f>IF(G14=0,0,(IF(OR(E14=$AT$5,E14=$AT$6),AC14,HLOOKUP(YEAR(G14)+(MONTH(G14)/100),TC!$5:$37,DAY(G14)+2,FALSE))))</f>
        <v>19.903500000000001</v>
      </c>
      <c r="O14" s="307">
        <f t="shared" si="10"/>
        <v>16686661.299840001</v>
      </c>
      <c r="P14" s="560">
        <f>IF(G14=0,0,VLOOKUP(YEAR(G14),INPC!$B$4:$P$30,MONTH(G14)+2))</f>
        <v>114.601</v>
      </c>
      <c r="Q14" s="560">
        <f>IF(X14=0,0,IF(OR(E14=$AT$10,E14=$AT$9),VLOOKUP(YEAR(X14),INPC!$B$4:$P$30,MONTH(X14)+1),VLOOKUP(YEAR(X14),INPC!$B$4:$P$30,MONTH(X14)+2,0)))</f>
        <v>121.02200000000001</v>
      </c>
      <c r="R14" s="309">
        <f t="shared" si="3"/>
        <v>1.056</v>
      </c>
      <c r="S14" s="310">
        <f t="shared" si="11"/>
        <v>17621114.332631044</v>
      </c>
      <c r="T14" s="555">
        <f t="shared" si="12"/>
        <v>449.5182227712001</v>
      </c>
      <c r="U14" s="311"/>
      <c r="V14" s="312">
        <v>39200</v>
      </c>
      <c r="W14" s="299" t="s">
        <v>194</v>
      </c>
      <c r="X14" s="300">
        <v>44712</v>
      </c>
      <c r="Y14" s="299" t="s">
        <v>59</v>
      </c>
      <c r="Z14" s="303">
        <v>797341.1</v>
      </c>
      <c r="AA14" s="305">
        <f>IF(Z14=0,0,IF(Y14="MXN",1/HLOOKUP(YEAR(X14)+(MONTH(X14)/100),TC!$5:$37,DAY(X14)+2,FALSE),VLOOKUP(Y14,Equivalencia!$1:$23,((MAX(Equivalencia!$3:$3)-YEAR(X14))*14)+MONTH(X14)+2,FALSE)))</f>
        <v>1</v>
      </c>
      <c r="AB14" s="306">
        <f t="shared" si="13"/>
        <v>797341.1</v>
      </c>
      <c r="AC14" s="305">
        <f>+IF(X14=0,0,HLOOKUP(YEAR(X14)+(MONTH(X14)/100),TC!$5:$37,DAY(X14)+2,FALSE))</f>
        <v>19.596499999999999</v>
      </c>
      <c r="AD14" s="307">
        <f t="shared" si="14"/>
        <v>15625094.866149999</v>
      </c>
      <c r="AE14" s="314">
        <f t="shared" si="4"/>
        <v>17621114.332631044</v>
      </c>
      <c r="AF14" s="315">
        <f t="shared" si="5"/>
        <v>-1996019.4664810449</v>
      </c>
      <c r="AG14" s="316">
        <f t="shared" si="6"/>
        <v>0.70410958904109588</v>
      </c>
      <c r="AH14" s="314">
        <v>1</v>
      </c>
      <c r="AI14" s="314">
        <f t="shared" si="7"/>
        <v>-1996019.4664810449</v>
      </c>
      <c r="AJ14" s="314">
        <f t="shared" si="15"/>
        <v>0</v>
      </c>
      <c r="AK14" s="317"/>
      <c r="AL14" s="315">
        <f t="shared" si="16"/>
        <v>-41037.140000000014</v>
      </c>
      <c r="AM14" s="293"/>
      <c r="AN14" s="554">
        <f t="shared" si="8"/>
        <v>-4.8948240832204823E-2</v>
      </c>
      <c r="AO14" s="314"/>
      <c r="AP14" s="318"/>
      <c r="AQ14" s="294"/>
      <c r="AR14" s="294"/>
      <c r="AS14" s="294"/>
      <c r="AT14" s="299"/>
      <c r="AU14" s="299"/>
    </row>
    <row r="15" spans="2:47" ht="17" thickBot="1">
      <c r="B15" s="296" t="s">
        <v>1263</v>
      </c>
      <c r="C15" s="299" t="s">
        <v>277</v>
      </c>
      <c r="D15" s="298" t="s">
        <v>790</v>
      </c>
      <c r="E15" s="299" t="s">
        <v>113</v>
      </c>
      <c r="F15" s="299" t="s">
        <v>59</v>
      </c>
      <c r="G15" s="300">
        <v>43997</v>
      </c>
      <c r="H15" s="303">
        <v>463086.97</v>
      </c>
      <c r="I15" s="301" t="str">
        <f t="shared" si="0"/>
        <v>Ingresos Sección II LISR (SIC &amp; BMV)</v>
      </c>
      <c r="J15" s="302">
        <f t="shared" si="9"/>
        <v>6590</v>
      </c>
      <c r="K15" s="304">
        <f t="shared" si="1"/>
        <v>70.27116388467374</v>
      </c>
      <c r="L15" s="305">
        <f>IF(H15=0,0,IF(OR(E15=$AT$5,E15=$AT$6),AA15,IF(F15="MXN",1/HLOOKUP(YEAR(G15)+(MONTH(G15)/100),TC!$5:$37,DAY(G15)+2,FALSE),VLOOKUP(F15,Equivalencia!$5:$23,((MAX(Equivalencia!$3:$3)-YEAR(G15))*14)+MONTH(G15)+2,FALSE))))</f>
        <v>1</v>
      </c>
      <c r="M15" s="306">
        <f t="shared" si="2"/>
        <v>463086.97</v>
      </c>
      <c r="N15" s="305">
        <f>IF(G15=0,0,(IF(OR(E15=$AT$5,E15=$AT$6),AC15,HLOOKUP(YEAR(G15)+(MONTH(G15)/100),TC!$5:$37,DAY(G15)+2,FALSE))))</f>
        <v>22.4252</v>
      </c>
      <c r="O15" s="307">
        <f t="shared" si="10"/>
        <v>10384817.919644</v>
      </c>
      <c r="P15" s="560">
        <f>IF(G15=0,0,VLOOKUP(YEAR(G15),INPC!$B$4:$P$30,MONTH(G15)+2))</f>
        <v>106.74299999999999</v>
      </c>
      <c r="Q15" s="560">
        <f>IF(X15=0,0,IF(OR(E15=$AT$10,E15=$AT$9),VLOOKUP(YEAR(X15),INPC!$B$4:$P$30,MONTH(X15)+1),VLOOKUP(YEAR(X15),INPC!$B$4:$P$30,MONTH(X15)+2,0)))</f>
        <v>120.809</v>
      </c>
      <c r="R15" s="309">
        <f t="shared" si="3"/>
        <v>1.1316999999999999</v>
      </c>
      <c r="S15" s="310">
        <f t="shared" si="11"/>
        <v>11752498.439661114</v>
      </c>
      <c r="T15" s="555">
        <f t="shared" si="12"/>
        <v>1783.3836782490309</v>
      </c>
      <c r="U15" s="311"/>
      <c r="V15" s="312">
        <v>6590</v>
      </c>
      <c r="W15" s="299" t="s">
        <v>194</v>
      </c>
      <c r="X15" s="300">
        <v>44698</v>
      </c>
      <c r="Y15" s="299" t="s">
        <v>59</v>
      </c>
      <c r="Z15" s="313">
        <v>619807.59</v>
      </c>
      <c r="AA15" s="305">
        <f>IF(Z15=0,0,IF(Y15="MXN",1/HLOOKUP(YEAR(X15)+(MONTH(X15)/100),TC!$5:$37,DAY(X15)+2,FALSE),VLOOKUP(Y15,Equivalencia!$1:$23,((MAX(Equivalencia!$3:$3)-YEAR(X15))*14)+MONTH(X15)+2,FALSE)))</f>
        <v>1</v>
      </c>
      <c r="AB15" s="306">
        <f t="shared" si="13"/>
        <v>619807.59</v>
      </c>
      <c r="AC15" s="305">
        <f>+IF(X15=0,0,HLOOKUP(YEAR(X15)+(MONTH(X15)/100),TC!$5:$37,DAY(X15)+2,FALSE))</f>
        <v>20.144300000000001</v>
      </c>
      <c r="AD15" s="307">
        <f t="shared" si="14"/>
        <v>12485590.035236999</v>
      </c>
      <c r="AE15" s="314">
        <f t="shared" si="4"/>
        <v>11752498.439661114</v>
      </c>
      <c r="AF15" s="315">
        <f t="shared" si="5"/>
        <v>733091.59557588585</v>
      </c>
      <c r="AG15" s="316">
        <f t="shared" si="6"/>
        <v>1.9205479452054794</v>
      </c>
      <c r="AH15" s="314">
        <v>1</v>
      </c>
      <c r="AI15" s="314">
        <f t="shared" si="7"/>
        <v>733091.59557588585</v>
      </c>
      <c r="AJ15" s="314">
        <f t="shared" si="15"/>
        <v>0</v>
      </c>
      <c r="AK15" s="317"/>
      <c r="AL15" s="315">
        <f t="shared" si="16"/>
        <v>156720.62</v>
      </c>
      <c r="AN15" s="554">
        <f t="shared" si="8"/>
        <v>0.33842589006553131</v>
      </c>
      <c r="AO15" s="314"/>
      <c r="AP15" s="318"/>
      <c r="AT15" s="299"/>
      <c r="AU15" s="299"/>
    </row>
    <row r="16" spans="2:47">
      <c r="B16" s="296" t="s">
        <v>1263</v>
      </c>
      <c r="C16" s="299" t="s">
        <v>277</v>
      </c>
      <c r="D16" s="298" t="s">
        <v>790</v>
      </c>
      <c r="E16" s="299" t="s">
        <v>113</v>
      </c>
      <c r="F16" s="299" t="s">
        <v>59</v>
      </c>
      <c r="G16" s="300">
        <v>43997</v>
      </c>
      <c r="H16" s="669">
        <v>87838.95</v>
      </c>
      <c r="I16" s="301" t="str">
        <f t="shared" si="0"/>
        <v>Ingresos Sección II LISR (SIC &amp; BMV)</v>
      </c>
      <c r="J16" s="302">
        <f t="shared" si="9"/>
        <v>1250</v>
      </c>
      <c r="K16" s="304">
        <f t="shared" si="1"/>
        <v>70.271159999999995</v>
      </c>
      <c r="L16" s="305">
        <f>IF(H16=0,0,IF(OR(E16=$AT$5,E16=$AT$6),AA16,IF(F16="MXN",1/HLOOKUP(YEAR(G16)+(MONTH(G16)/100),TC!$5:$37,DAY(G16)+2,FALSE),VLOOKUP(F16,Equivalencia!$5:$23,((MAX(Equivalencia!$3:$3)-YEAR(G16))*14)+MONTH(G16)+2,FALSE))))</f>
        <v>1</v>
      </c>
      <c r="M16" s="306">
        <f t="shared" si="2"/>
        <v>87838.95</v>
      </c>
      <c r="N16" s="305">
        <f>IF(G16=0,0,(IF(OR(E16=$AT$5,E16=$AT$6),AC16,HLOOKUP(YEAR(G16)+(MONTH(G16)/100),TC!$5:$37,DAY(G16)+2,FALSE))))</f>
        <v>22.4252</v>
      </c>
      <c r="O16" s="307">
        <f t="shared" si="10"/>
        <v>1969806.0215399999</v>
      </c>
      <c r="P16" s="560">
        <f>IF(G16=0,0,VLOOKUP(YEAR(G16),INPC!$B$4:$P$30,MONTH(G16)+2))</f>
        <v>106.74299999999999</v>
      </c>
      <c r="Q16" s="560">
        <f>IF(X16=0,0,IF(OR(E16=$AT$10,E16=$AT$9),VLOOKUP(YEAR(X16),INPC!$B$4:$P$30,MONTH(X16)+1),VLOOKUP(YEAR(X16),INPC!$B$4:$P$30,MONTH(X16)+2,0)))</f>
        <v>120.809</v>
      </c>
      <c r="R16" s="309">
        <f t="shared" si="3"/>
        <v>1.1316999999999999</v>
      </c>
      <c r="S16" s="310">
        <f t="shared" si="11"/>
        <v>2229229.4745768178</v>
      </c>
      <c r="T16" s="555">
        <f t="shared" si="12"/>
        <v>1783.3835796614542</v>
      </c>
      <c r="U16" s="311"/>
      <c r="V16" s="312">
        <v>1250</v>
      </c>
      <c r="W16" s="299" t="s">
        <v>194</v>
      </c>
      <c r="X16" s="300">
        <v>44705</v>
      </c>
      <c r="Y16" s="299" t="s">
        <v>59</v>
      </c>
      <c r="Z16" s="672">
        <v>117797.68</v>
      </c>
      <c r="AA16" s="305">
        <f>IF(Z16=0,0,IF(Y16="MXN",1/HLOOKUP(YEAR(X16)+(MONTH(X16)/100),TC!$5:$37,DAY(X16)+2,FALSE),VLOOKUP(Y16,Equivalencia!$1:$23,((MAX(Equivalencia!$3:$3)-YEAR(X16))*14)+MONTH(X16)+2,FALSE)))</f>
        <v>1</v>
      </c>
      <c r="AB16" s="306">
        <f t="shared" si="13"/>
        <v>117797.68</v>
      </c>
      <c r="AC16" s="305">
        <f>+IF(X16=0,0,HLOOKUP(YEAR(X16)+(MONTH(X16)/100),TC!$5:$37,DAY(X16)+2,FALSE))</f>
        <v>19.8657</v>
      </c>
      <c r="AD16" s="307">
        <f t="shared" si="14"/>
        <v>2340133.371576</v>
      </c>
      <c r="AE16" s="314">
        <f t="shared" si="4"/>
        <v>2229229.4745768178</v>
      </c>
      <c r="AF16" s="315">
        <f t="shared" si="5"/>
        <v>110903.89699918218</v>
      </c>
      <c r="AG16" s="316">
        <f t="shared" si="6"/>
        <v>1.9397260273972603</v>
      </c>
      <c r="AH16" s="314">
        <v>1</v>
      </c>
      <c r="AI16" s="314">
        <f t="shared" si="7"/>
        <v>110903.89699918218</v>
      </c>
      <c r="AJ16" s="314">
        <f t="shared" si="15"/>
        <v>0</v>
      </c>
      <c r="AK16" s="317"/>
      <c r="AL16" s="315">
        <f t="shared" si="16"/>
        <v>29958.729999999996</v>
      </c>
      <c r="AN16" s="554">
        <f t="shared" si="8"/>
        <v>0.34106430006278532</v>
      </c>
      <c r="AO16" s="314"/>
      <c r="AP16" s="318"/>
      <c r="AT16" s="299"/>
      <c r="AU16" s="299"/>
    </row>
    <row r="17" spans="2:47" ht="17" thickBot="1">
      <c r="B17" s="296" t="s">
        <v>1263</v>
      </c>
      <c r="C17" s="299" t="s">
        <v>277</v>
      </c>
      <c r="D17" s="298" t="s">
        <v>790</v>
      </c>
      <c r="E17" s="299" t="s">
        <v>113</v>
      </c>
      <c r="F17" s="299" t="s">
        <v>59</v>
      </c>
      <c r="G17" s="300">
        <v>44249</v>
      </c>
      <c r="H17" s="671">
        <v>380668.14</v>
      </c>
      <c r="I17" s="301" t="str">
        <f t="shared" si="0"/>
        <v>Ingresos Sección II LISR (SIC &amp; BMV)</v>
      </c>
      <c r="J17" s="302">
        <f t="shared" si="9"/>
        <v>5350</v>
      </c>
      <c r="K17" s="304">
        <f t="shared" si="1"/>
        <v>71.152923364485986</v>
      </c>
      <c r="L17" s="305">
        <f>IF(H17=0,0,IF(OR(E17=$AT$5,E17=$AT$6),AA17,IF(F17="MXN",1/HLOOKUP(YEAR(G17)+(MONTH(G17)/100),TC!$5:$37,DAY(G17)+2,FALSE),VLOOKUP(F17,Equivalencia!$5:$23,((MAX(Equivalencia!$3:$3)-YEAR(G17))*14)+MONTH(G17)+2,FALSE))))</f>
        <v>1</v>
      </c>
      <c r="M17" s="306">
        <f t="shared" si="2"/>
        <v>380668.14</v>
      </c>
      <c r="N17" s="305">
        <f>IF(G17=0,0,(IF(OR(E17=$AT$5,E17=$AT$6),AC17,HLOOKUP(YEAR(G17)+(MONTH(G17)/100),TC!$5:$37,DAY(G17)+2,FALSE))))</f>
        <v>20.416499999999999</v>
      </c>
      <c r="O17" s="307">
        <f t="shared" si="10"/>
        <v>7771911.0803100001</v>
      </c>
      <c r="P17" s="560">
        <f>IF(G17=0,0,VLOOKUP(YEAR(G17),INPC!$B$4:$P$30,MONTH(G17)+2))</f>
        <v>110.907</v>
      </c>
      <c r="Q17" s="560">
        <f>IF(X17=0,0,IF(OR(E17=$AT$10,E17=$AT$9),VLOOKUP(YEAR(X17),INPC!$B$4:$P$30,MONTH(X17)+1),VLOOKUP(YEAR(X17),INPC!$B$4:$P$30,MONTH(X17)+2,0)))</f>
        <v>120.809</v>
      </c>
      <c r="R17" s="309">
        <f t="shared" si="3"/>
        <v>1.0891999999999999</v>
      </c>
      <c r="S17" s="310">
        <f t="shared" si="11"/>
        <v>8465165.5486736521</v>
      </c>
      <c r="T17" s="555">
        <f t="shared" si="12"/>
        <v>1582.2739343315238</v>
      </c>
      <c r="U17" s="311"/>
      <c r="V17" s="312">
        <v>5350</v>
      </c>
      <c r="W17" s="299" t="s">
        <v>194</v>
      </c>
      <c r="X17" s="300">
        <v>44705</v>
      </c>
      <c r="Y17" s="299" t="s">
        <v>59</v>
      </c>
      <c r="Z17" s="673">
        <v>504174.05</v>
      </c>
      <c r="AA17" s="305">
        <f>IF(Z17=0,0,IF(Y17="MXN",1/HLOOKUP(YEAR(X17)+(MONTH(X17)/100),TC!$5:$37,DAY(X17)+2,FALSE),VLOOKUP(Y17,Equivalencia!$1:$23,((MAX(Equivalencia!$3:$3)-YEAR(X17))*14)+MONTH(X17)+2,FALSE)))</f>
        <v>1</v>
      </c>
      <c r="AB17" s="306">
        <f t="shared" si="13"/>
        <v>504174.05</v>
      </c>
      <c r="AC17" s="305">
        <f>+IF(X17=0,0,HLOOKUP(YEAR(X17)+(MONTH(X17)/100),TC!$5:$37,DAY(X17)+2,FALSE))</f>
        <v>19.8657</v>
      </c>
      <c r="AD17" s="307">
        <f t="shared" si="14"/>
        <v>10015770.425085001</v>
      </c>
      <c r="AE17" s="314">
        <f t="shared" si="4"/>
        <v>8465165.5486736521</v>
      </c>
      <c r="AF17" s="315">
        <f t="shared" si="5"/>
        <v>1550604.8764113486</v>
      </c>
      <c r="AG17" s="316">
        <f t="shared" si="6"/>
        <v>1.2493150684931507</v>
      </c>
      <c r="AH17" s="314">
        <v>1</v>
      </c>
      <c r="AI17" s="314">
        <f t="shared" si="7"/>
        <v>1550604.8764113486</v>
      </c>
      <c r="AJ17" s="314">
        <f t="shared" si="15"/>
        <v>0</v>
      </c>
      <c r="AK17" s="317"/>
      <c r="AL17" s="315">
        <f t="shared" si="16"/>
        <v>123505.90999999997</v>
      </c>
      <c r="AN17" s="554">
        <f t="shared" si="8"/>
        <v>0.32444509277818723</v>
      </c>
      <c r="AO17" s="314"/>
      <c r="AP17" s="318"/>
      <c r="AT17" s="299"/>
      <c r="AU17" s="299"/>
    </row>
    <row r="18" spans="2:47">
      <c r="B18" s="296" t="s">
        <v>1263</v>
      </c>
      <c r="C18" s="299" t="s">
        <v>277</v>
      </c>
      <c r="D18" s="298" t="s">
        <v>797</v>
      </c>
      <c r="E18" s="299" t="s">
        <v>113</v>
      </c>
      <c r="F18" s="299" t="s">
        <v>59</v>
      </c>
      <c r="G18" s="300">
        <v>43145</v>
      </c>
      <c r="H18" s="303">
        <v>426959.93</v>
      </c>
      <c r="I18" s="301" t="str">
        <f t="shared" si="0"/>
        <v>Ingresos Sección II LISR (SIC &amp; BMV)</v>
      </c>
      <c r="J18" s="302">
        <f t="shared" si="9"/>
        <v>12850</v>
      </c>
      <c r="K18" s="304">
        <f t="shared" si="1"/>
        <v>33.226453696498055</v>
      </c>
      <c r="L18" s="305">
        <f>IF(H18=0,0,IF(OR(E18=$AT$5,E18=$AT$6),AA18,IF(F18="MXN",1/HLOOKUP(YEAR(G18)+(MONTH(G18)/100),TC!$5:$37,DAY(G18)+2,FALSE),VLOOKUP(F18,Equivalencia!$5:$23,((MAX(Equivalencia!$3:$3)-YEAR(G18))*14)+MONTH(G18)+2,FALSE))))</f>
        <v>1</v>
      </c>
      <c r="M18" s="306">
        <f t="shared" si="2"/>
        <v>426959.93</v>
      </c>
      <c r="N18" s="305">
        <f>IF(G18=0,0,(IF(OR(E18=$AT$5,E18=$AT$6),AC18,HLOOKUP(YEAR(G18)+(MONTH(G18)/100),TC!$5:$37,DAY(G18)+2,FALSE))))</f>
        <v>18.670300000000001</v>
      </c>
      <c r="O18" s="307">
        <f t="shared" si="10"/>
        <v>7971469.981079</v>
      </c>
      <c r="P18" s="560">
        <f>IF(G18=0,0,VLOOKUP(YEAR(G18),INPC!$B$4:$P$30,MONTH(G18)+2))</f>
        <v>99.171374481640001</v>
      </c>
      <c r="Q18" s="560">
        <f>IF(X18=0,0,IF(OR(E18=$AT$10,E18=$AT$9),VLOOKUP(YEAR(X18),INPC!$B$4:$P$30,MONTH(X18)+1),VLOOKUP(YEAR(X18),INPC!$B$4:$P$30,MONTH(X18)+2,0)))</f>
        <v>120.809</v>
      </c>
      <c r="R18" s="309">
        <f t="shared" si="3"/>
        <v>1.2181</v>
      </c>
      <c r="S18" s="310">
        <f t="shared" si="11"/>
        <v>9710047.5839523301</v>
      </c>
      <c r="T18" s="555">
        <f t="shared" si="12"/>
        <v>755.64572637761319</v>
      </c>
      <c r="U18" s="311"/>
      <c r="V18" s="312">
        <v>12850</v>
      </c>
      <c r="W18" s="299" t="s">
        <v>194</v>
      </c>
      <c r="X18" s="300">
        <v>44712</v>
      </c>
      <c r="Y18" s="299" t="s">
        <v>59</v>
      </c>
      <c r="Z18" s="313">
        <v>681996.85</v>
      </c>
      <c r="AA18" s="305">
        <f>IF(Z18=0,0,IF(Y18="MXN",1/HLOOKUP(YEAR(X18)+(MONTH(X18)/100),TC!$5:$37,DAY(X18)+2,FALSE),VLOOKUP(Y18,Equivalencia!$1:$23,((MAX(Equivalencia!$3:$3)-YEAR(X18))*14)+MONTH(X18)+2,FALSE)))</f>
        <v>1</v>
      </c>
      <c r="AB18" s="306">
        <f t="shared" si="13"/>
        <v>681996.85</v>
      </c>
      <c r="AC18" s="305">
        <f>+IF(X18=0,0,HLOOKUP(YEAR(X18)+(MONTH(X18)/100),TC!$5:$37,DAY(X18)+2,FALSE))</f>
        <v>19.596499999999999</v>
      </c>
      <c r="AD18" s="307">
        <f t="shared" si="14"/>
        <v>13364751.271024998</v>
      </c>
      <c r="AE18" s="314">
        <f t="shared" si="4"/>
        <v>9710047.5839523301</v>
      </c>
      <c r="AF18" s="315">
        <f t="shared" si="5"/>
        <v>3654703.6870726682</v>
      </c>
      <c r="AG18" s="316">
        <f t="shared" si="6"/>
        <v>4.2931506849315069</v>
      </c>
      <c r="AH18" s="314">
        <v>1</v>
      </c>
      <c r="AI18" s="314">
        <f t="shared" si="7"/>
        <v>3654703.6870726682</v>
      </c>
      <c r="AJ18" s="314">
        <f t="shared" si="15"/>
        <v>0</v>
      </c>
      <c r="AK18" s="317"/>
      <c r="AL18" s="315">
        <f t="shared" si="16"/>
        <v>255036.91999999998</v>
      </c>
      <c r="AN18" s="554">
        <f t="shared" si="8"/>
        <v>0.59733221335313591</v>
      </c>
      <c r="AO18" s="314"/>
      <c r="AP18" s="318"/>
      <c r="AT18" s="299"/>
      <c r="AU18" s="299"/>
    </row>
    <row r="19" spans="2:47">
      <c r="B19" s="296" t="s">
        <v>1263</v>
      </c>
      <c r="C19" s="299" t="s">
        <v>277</v>
      </c>
      <c r="D19" s="298" t="s">
        <v>828</v>
      </c>
      <c r="E19" s="299" t="s">
        <v>113</v>
      </c>
      <c r="F19" s="299" t="s">
        <v>59</v>
      </c>
      <c r="G19" s="300">
        <v>44134</v>
      </c>
      <c r="H19" s="303">
        <v>794363.5</v>
      </c>
      <c r="I19" s="301" t="str">
        <f t="shared" si="0"/>
        <v>Ingresos Sección II LISR (SIC &amp; BMV)</v>
      </c>
      <c r="J19" s="302">
        <f t="shared" si="9"/>
        <v>2450</v>
      </c>
      <c r="K19" s="304">
        <f t="shared" si="1"/>
        <v>324.23</v>
      </c>
      <c r="L19" s="305">
        <f>IF(H19=0,0,IF(OR(E19=$AT$5,E19=$AT$6),AA19,IF(F19="MXN",1/HLOOKUP(YEAR(G19)+(MONTH(G19)/100),TC!$5:$37,DAY(G19)+2,FALSE),VLOOKUP(F19,Equivalencia!$5:$23,((MAX(Equivalencia!$3:$3)-YEAR(G19))*14)+MONTH(G19)+2,FALSE))))</f>
        <v>1</v>
      </c>
      <c r="M19" s="306">
        <f t="shared" si="2"/>
        <v>794363.5</v>
      </c>
      <c r="N19" s="305">
        <f>IF(G19=0,0,(IF(OR(E19=$AT$5,E19=$AT$6),AC19,HLOOKUP(YEAR(G19)+(MONTH(G19)/100),TC!$5:$37,DAY(G19)+2,FALSE))))</f>
        <v>21.1648</v>
      </c>
      <c r="O19" s="307">
        <f t="shared" si="10"/>
        <v>16812544.604800001</v>
      </c>
      <c r="P19" s="560">
        <f>IF(G19=0,0,VLOOKUP(YEAR(G19),INPC!$B$4:$P$30,MONTH(G19)+2))</f>
        <v>108.774</v>
      </c>
      <c r="Q19" s="560">
        <f>IF(X19=0,0,IF(OR(E19=$AT$10,E19=$AT$9),VLOOKUP(YEAR(X19),INPC!$B$4:$P$30,MONTH(X19)+1),VLOOKUP(YEAR(X19),INPC!$B$4:$P$30,MONTH(X19)+2,0)))</f>
        <v>120.809</v>
      </c>
      <c r="R19" s="309">
        <f t="shared" si="3"/>
        <v>1.1106</v>
      </c>
      <c r="S19" s="310">
        <f t="shared" si="11"/>
        <v>18672012.038090881</v>
      </c>
      <c r="T19" s="555">
        <f t="shared" si="12"/>
        <v>7621.2294033024</v>
      </c>
      <c r="U19" s="311"/>
      <c r="V19" s="312">
        <v>2450</v>
      </c>
      <c r="W19" s="299" t="s">
        <v>194</v>
      </c>
      <c r="X19" s="300">
        <v>44712</v>
      </c>
      <c r="Y19" s="299" t="s">
        <v>59</v>
      </c>
      <c r="Z19" s="313">
        <v>1017106.94</v>
      </c>
      <c r="AA19" s="305">
        <f>IF(Z19=0,0,IF(Y19="MXN",1/HLOOKUP(YEAR(X19)+(MONTH(X19)/100),TC!$5:$37,DAY(X19)+2,FALSE),VLOOKUP(Y19,Equivalencia!$1:$23,((MAX(Equivalencia!$3:$3)-YEAR(X19))*14)+MONTH(X19)+2,FALSE)))</f>
        <v>1</v>
      </c>
      <c r="AB19" s="306">
        <f t="shared" si="13"/>
        <v>1017106.94</v>
      </c>
      <c r="AC19" s="305">
        <f>+IF(X19=0,0,HLOOKUP(YEAR(X19)+(MONTH(X19)/100),TC!$5:$37,DAY(X19)+2,FALSE))</f>
        <v>19.596499999999999</v>
      </c>
      <c r="AD19" s="307">
        <f t="shared" si="14"/>
        <v>19931736.14971</v>
      </c>
      <c r="AE19" s="314">
        <f t="shared" si="4"/>
        <v>18672012.038090881</v>
      </c>
      <c r="AF19" s="315">
        <f t="shared" si="5"/>
        <v>1259724.1116191186</v>
      </c>
      <c r="AG19" s="316">
        <f t="shared" si="6"/>
        <v>1.5835616438356164</v>
      </c>
      <c r="AH19" s="314">
        <v>1</v>
      </c>
      <c r="AI19" s="314">
        <f t="shared" si="7"/>
        <v>1259724.1116191186</v>
      </c>
      <c r="AJ19" s="314">
        <f t="shared" si="15"/>
        <v>0</v>
      </c>
      <c r="AK19" s="317"/>
      <c r="AL19" s="315">
        <f t="shared" si="16"/>
        <v>222743.43999999994</v>
      </c>
      <c r="AN19" s="554">
        <f t="shared" si="8"/>
        <v>0.28040492797063304</v>
      </c>
      <c r="AO19" s="314"/>
      <c r="AP19" s="318"/>
      <c r="AT19" s="299"/>
      <c r="AU19" s="299"/>
    </row>
    <row r="20" spans="2:47">
      <c r="B20" s="296" t="s">
        <v>1266</v>
      </c>
      <c r="C20" s="299" t="s">
        <v>277</v>
      </c>
      <c r="D20" s="298" t="s">
        <v>832</v>
      </c>
      <c r="E20" s="299" t="s">
        <v>113</v>
      </c>
      <c r="F20" s="299" t="s">
        <v>59</v>
      </c>
      <c r="G20" s="300">
        <v>43965</v>
      </c>
      <c r="H20" s="303">
        <v>7080.41</v>
      </c>
      <c r="I20" s="301" t="str">
        <f t="shared" si="0"/>
        <v>Ingresos Sección II LISR (SIC &amp; BMV)</v>
      </c>
      <c r="J20" s="302">
        <f t="shared" si="9"/>
        <v>79</v>
      </c>
      <c r="K20" s="304">
        <f t="shared" si="1"/>
        <v>89.625443037974676</v>
      </c>
      <c r="L20" s="305">
        <f>IF(H20=0,0,IF(OR(E20=$AT$5,E20=$AT$6),AA20,IF(F20="MXN",1/HLOOKUP(YEAR(G20)+(MONTH(G20)/100),TC!$5:$37,DAY(G20)+2,FALSE),VLOOKUP(F20,Equivalencia!$5:$23,((MAX(Equivalencia!$3:$3)-YEAR(G20))*14)+MONTH(G20)+2,FALSE))))</f>
        <v>1</v>
      </c>
      <c r="M20" s="306">
        <f t="shared" si="2"/>
        <v>7080.41</v>
      </c>
      <c r="N20" s="305">
        <f>IF(G20=0,0,(IF(OR(E20=$AT$5,E20=$AT$6),AC20,HLOOKUP(YEAR(G20)+(MONTH(G20)/100),TC!$5:$37,DAY(G20)+2,FALSE))))</f>
        <v>24.0487</v>
      </c>
      <c r="O20" s="307">
        <f t="shared" si="10"/>
        <v>170274.655967</v>
      </c>
      <c r="P20" s="560">
        <f>IF(G20=0,0,VLOOKUP(YEAR(G20),INPC!$B$4:$P$30,MONTH(G20)+2))</f>
        <v>106.16200000000001</v>
      </c>
      <c r="Q20" s="560">
        <f>IF(X20=0,0,IF(OR(E20=$AT$10,E20=$AT$9),VLOOKUP(YEAR(X20),INPC!$B$4:$P$30,MONTH(X20)+1),VLOOKUP(YEAR(X20),INPC!$B$4:$P$30,MONTH(X20)+2,0)))</f>
        <v>118.98099999999999</v>
      </c>
      <c r="R20" s="309">
        <f t="shared" si="3"/>
        <v>1.1207</v>
      </c>
      <c r="S20" s="310">
        <f t="shared" si="11"/>
        <v>190826.80694221691</v>
      </c>
      <c r="T20" s="555">
        <f t="shared" si="12"/>
        <v>2415.5292018002142</v>
      </c>
      <c r="U20" s="311"/>
      <c r="V20" s="675">
        <v>79</v>
      </c>
      <c r="W20" s="299" t="s">
        <v>194</v>
      </c>
      <c r="X20" s="300">
        <v>44642</v>
      </c>
      <c r="Y20" s="299" t="s">
        <v>59</v>
      </c>
      <c r="Z20" s="674">
        <v>12580.14</v>
      </c>
      <c r="AA20" s="305">
        <f>IF(Z20=0,0,IF(Y20="MXN",1/HLOOKUP(YEAR(X20)+(MONTH(X20)/100),TC!$5:$37,DAY(X20)+2,FALSE),VLOOKUP(Y20,Equivalencia!$1:$23,((MAX(Equivalencia!$3:$3)-YEAR(X20))*14)+MONTH(X20)+2,FALSE)))</f>
        <v>1</v>
      </c>
      <c r="AB20" s="306">
        <f t="shared" si="13"/>
        <v>12580.14</v>
      </c>
      <c r="AC20" s="305">
        <f>+IF(X20=0,0,HLOOKUP(YEAR(X20)+(MONTH(X20)/100),TC!$5:$37,DAY(X20)+2,FALSE))</f>
        <v>20.558499999999999</v>
      </c>
      <c r="AD20" s="307">
        <f t="shared" si="14"/>
        <v>258628.80818999998</v>
      </c>
      <c r="AE20" s="314">
        <f t="shared" si="4"/>
        <v>190826.80694221694</v>
      </c>
      <c r="AF20" s="315">
        <f t="shared" si="5"/>
        <v>67802.001247783046</v>
      </c>
      <c r="AG20" s="316">
        <f t="shared" si="6"/>
        <v>1.8547945205479452</v>
      </c>
      <c r="AH20" s="314">
        <v>1</v>
      </c>
      <c r="AI20" s="314">
        <f t="shared" si="7"/>
        <v>67802.001247783046</v>
      </c>
      <c r="AJ20" s="314">
        <f t="shared" si="15"/>
        <v>0</v>
      </c>
      <c r="AK20" s="317"/>
      <c r="AL20" s="315">
        <f t="shared" si="16"/>
        <v>5499.73</v>
      </c>
      <c r="AN20" s="554">
        <f t="shared" si="8"/>
        <v>0.77675304113744825</v>
      </c>
      <c r="AO20" s="314"/>
      <c r="AP20" s="318"/>
    </row>
    <row r="21" spans="2:47">
      <c r="B21" s="296" t="s">
        <v>1266</v>
      </c>
      <c r="C21" s="299" t="s">
        <v>277</v>
      </c>
      <c r="D21" s="298" t="s">
        <v>750</v>
      </c>
      <c r="E21" s="299" t="s">
        <v>113</v>
      </c>
      <c r="F21" s="299" t="s">
        <v>59</v>
      </c>
      <c r="G21" s="300">
        <v>43965</v>
      </c>
      <c r="H21" s="303">
        <v>3117.14</v>
      </c>
      <c r="I21" s="301" t="str">
        <f t="shared" si="0"/>
        <v>Ingresos Sección II LISR (SIC &amp; BMV)</v>
      </c>
      <c r="J21" s="302">
        <f t="shared" si="9"/>
        <v>38</v>
      </c>
      <c r="K21" s="304">
        <f t="shared" si="1"/>
        <v>82.03</v>
      </c>
      <c r="L21" s="305">
        <f>IF(H21=0,0,IF(OR(E21=$AT$5,E21=$AT$6),AA21,IF(F21="MXN",1/HLOOKUP(YEAR(G21)+(MONTH(G21)/100),TC!$5:$37,DAY(G21)+2,FALSE),VLOOKUP(F21,Equivalencia!$5:$23,((MAX(Equivalencia!$3:$3)-YEAR(G21))*14)+MONTH(G21)+2,FALSE))))</f>
        <v>1</v>
      </c>
      <c r="M21" s="306">
        <f t="shared" si="2"/>
        <v>3117.14</v>
      </c>
      <c r="N21" s="305">
        <f>IF(G21=0,0,(IF(OR(E21=$AT$5,E21=$AT$6),AC21,HLOOKUP(YEAR(G21)+(MONTH(G21)/100),TC!$5:$37,DAY(G21)+2,FALSE))))</f>
        <v>24.0487</v>
      </c>
      <c r="O21" s="307">
        <f t="shared" si="10"/>
        <v>74963.164718</v>
      </c>
      <c r="P21" s="560">
        <f>IF(G21=0,0,VLOOKUP(YEAR(G21),INPC!$B$4:$P$30,MONTH(G21)+2))</f>
        <v>106.16200000000001</v>
      </c>
      <c r="Q21" s="560">
        <f>IF(X21=0,0,IF(OR(E21=$AT$10,E21=$AT$9),VLOOKUP(YEAR(X21),INPC!$B$4:$P$30,MONTH(X21)+1),VLOOKUP(YEAR(X21),INPC!$B$4:$P$30,MONTH(X21)+2,0)))</f>
        <v>120.809</v>
      </c>
      <c r="R21" s="309">
        <f t="shared" si="3"/>
        <v>1.1378999999999999</v>
      </c>
      <c r="S21" s="310">
        <f t="shared" si="11"/>
        <v>85300.585132612192</v>
      </c>
      <c r="T21" s="555">
        <f t="shared" si="12"/>
        <v>2244.7522403318999</v>
      </c>
      <c r="U21" s="311"/>
      <c r="V21" s="675">
        <v>38</v>
      </c>
      <c r="W21" s="299" t="s">
        <v>194</v>
      </c>
      <c r="X21" s="300">
        <v>44701</v>
      </c>
      <c r="Y21" s="299" t="s">
        <v>59</v>
      </c>
      <c r="Z21" s="674">
        <v>5852.54</v>
      </c>
      <c r="AA21" s="305">
        <f>IF(Z21=0,0,IF(Y21="MXN",1/HLOOKUP(YEAR(X21)+(MONTH(X21)/100),TC!$5:$37,DAY(X21)+2,FALSE),VLOOKUP(Y21,Equivalencia!$1:$23,((MAX(Equivalencia!$3:$3)-YEAR(X21))*14)+MONTH(X21)+2,FALSE)))</f>
        <v>1</v>
      </c>
      <c r="AB21" s="306">
        <f t="shared" si="13"/>
        <v>5852.54</v>
      </c>
      <c r="AC21" s="305">
        <f>+IF(X21=0,0,HLOOKUP(YEAR(X21)+(MONTH(X21)/100),TC!$5:$37,DAY(X21)+2,FALSE))</f>
        <v>19.9663</v>
      </c>
      <c r="AD21" s="307">
        <f t="shared" si="14"/>
        <v>116853.56940200001</v>
      </c>
      <c r="AE21" s="314">
        <f t="shared" si="4"/>
        <v>85300.585132612192</v>
      </c>
      <c r="AF21" s="315">
        <f t="shared" si="5"/>
        <v>31552.984269387816</v>
      </c>
      <c r="AG21" s="316">
        <f t="shared" si="6"/>
        <v>2.0164383561643837</v>
      </c>
      <c r="AH21" s="314">
        <v>1</v>
      </c>
      <c r="AI21" s="314">
        <f t="shared" si="7"/>
        <v>31552.984269387816</v>
      </c>
      <c r="AJ21" s="314">
        <f t="shared" si="15"/>
        <v>0</v>
      </c>
      <c r="AK21" s="317"/>
      <c r="AL21" s="315">
        <f t="shared" si="16"/>
        <v>2735.4</v>
      </c>
      <c r="AN21" s="554">
        <f t="shared" si="8"/>
        <v>0.8775351764758722</v>
      </c>
      <c r="AO21" s="314"/>
      <c r="AP21" s="318"/>
    </row>
    <row r="22" spans="2:47">
      <c r="B22" s="296" t="s">
        <v>1266</v>
      </c>
      <c r="C22" s="299" t="s">
        <v>277</v>
      </c>
      <c r="D22" s="298" t="s">
        <v>750</v>
      </c>
      <c r="E22" s="299" t="s">
        <v>113</v>
      </c>
      <c r="F22" s="299" t="s">
        <v>59</v>
      </c>
      <c r="G22" s="300">
        <v>43965</v>
      </c>
      <c r="H22" s="303">
        <v>5413.98</v>
      </c>
      <c r="I22" s="301" t="str">
        <f t="shared" si="0"/>
        <v>Ingresos Sección II LISR (SIC &amp; BMV)</v>
      </c>
      <c r="J22" s="302">
        <f t="shared" si="9"/>
        <v>66</v>
      </c>
      <c r="K22" s="304">
        <f t="shared" si="1"/>
        <v>82.029999999999987</v>
      </c>
      <c r="L22" s="305">
        <f>IF(H22=0,0,IF(OR(E22=$AT$5,E22=$AT$6),AA22,IF(F22="MXN",1/HLOOKUP(YEAR(G22)+(MONTH(G22)/100),TC!$5:$37,DAY(G22)+2,FALSE),VLOOKUP(F22,Equivalencia!$5:$23,((MAX(Equivalencia!$3:$3)-YEAR(G22))*14)+MONTH(G22)+2,FALSE))))</f>
        <v>1</v>
      </c>
      <c r="M22" s="306">
        <f t="shared" si="2"/>
        <v>5413.98</v>
      </c>
      <c r="N22" s="305">
        <f>IF(G22=0,0,(IF(OR(E22=$AT$5,E22=$AT$6),AC22,HLOOKUP(YEAR(G22)+(MONTH(G22)/100),TC!$5:$37,DAY(G22)+2,FALSE))))</f>
        <v>24.0487</v>
      </c>
      <c r="O22" s="307">
        <f t="shared" si="10"/>
        <v>130199.180826</v>
      </c>
      <c r="P22" s="560">
        <f>IF(G22=0,0,VLOOKUP(YEAR(G22),INPC!$B$4:$P$30,MONTH(G22)+2))</f>
        <v>106.16200000000001</v>
      </c>
      <c r="Q22" s="560">
        <f>IF(X22=0,0,IF(OR(E22=$AT$10,E22=$AT$9),VLOOKUP(YEAR(X22),INPC!$B$4:$P$30,MONTH(X22)+1),VLOOKUP(YEAR(X22),INPC!$B$4:$P$30,MONTH(X22)+2,0)))</f>
        <v>120.15900000000001</v>
      </c>
      <c r="R22" s="309">
        <f t="shared" si="3"/>
        <v>1.1317999999999999</v>
      </c>
      <c r="S22" s="310">
        <f t="shared" si="11"/>
        <v>147359.43285886678</v>
      </c>
      <c r="T22" s="555">
        <f t="shared" si="12"/>
        <v>2232.7186796797996</v>
      </c>
      <c r="U22" s="311"/>
      <c r="V22" s="675">
        <v>66</v>
      </c>
      <c r="W22" s="299" t="s">
        <v>194</v>
      </c>
      <c r="X22" s="300">
        <v>44678</v>
      </c>
      <c r="Y22" s="299" t="s">
        <v>59</v>
      </c>
      <c r="Z22" s="674">
        <v>11775.21</v>
      </c>
      <c r="AA22" s="305">
        <f>IF(Z22=0,0,IF(Y22="MXN",1/HLOOKUP(YEAR(X22)+(MONTH(X22)/100),TC!$5:$37,DAY(X22)+2,FALSE),VLOOKUP(Y22,Equivalencia!$1:$23,((MAX(Equivalencia!$3:$3)-YEAR(X22))*14)+MONTH(X22)+2,FALSE)))</f>
        <v>1</v>
      </c>
      <c r="AB22" s="306">
        <f t="shared" si="13"/>
        <v>11775.21</v>
      </c>
      <c r="AC22" s="305">
        <f>+IF(X22=0,0,HLOOKUP(YEAR(X22)+(MONTH(X22)/100),TC!$5:$37,DAY(X22)+2,FALSE))</f>
        <v>20.299199999999999</v>
      </c>
      <c r="AD22" s="307">
        <f t="shared" si="14"/>
        <v>239027.34283199997</v>
      </c>
      <c r="AE22" s="314">
        <f t="shared" si="4"/>
        <v>147359.43285886678</v>
      </c>
      <c r="AF22" s="315">
        <f t="shared" si="5"/>
        <v>91667.909973133181</v>
      </c>
      <c r="AG22" s="316">
        <f t="shared" si="6"/>
        <v>1.9534246575342467</v>
      </c>
      <c r="AH22" s="314">
        <v>1</v>
      </c>
      <c r="AI22" s="314">
        <f t="shared" si="7"/>
        <v>91667.909973133181</v>
      </c>
      <c r="AJ22" s="314">
        <f t="shared" si="15"/>
        <v>0</v>
      </c>
      <c r="AK22" s="317"/>
      <c r="AL22" s="315">
        <f t="shared" si="16"/>
        <v>6361.23</v>
      </c>
      <c r="AN22" s="554">
        <f t="shared" si="8"/>
        <v>1.1749637050746402</v>
      </c>
      <c r="AO22" s="314"/>
      <c r="AP22" s="318"/>
    </row>
    <row r="23" spans="2:47">
      <c r="B23" s="296" t="s">
        <v>1266</v>
      </c>
      <c r="C23" s="299" t="s">
        <v>277</v>
      </c>
      <c r="D23" s="298" t="s">
        <v>750</v>
      </c>
      <c r="E23" s="299" t="s">
        <v>113</v>
      </c>
      <c r="F23" s="299" t="s">
        <v>59</v>
      </c>
      <c r="G23" s="300">
        <v>43990</v>
      </c>
      <c r="H23" s="303">
        <v>790.04</v>
      </c>
      <c r="I23" s="301" t="str">
        <f t="shared" si="0"/>
        <v>Ingresos Sección II LISR (SIC &amp; BMV)</v>
      </c>
      <c r="J23" s="302">
        <f t="shared" si="9"/>
        <v>7</v>
      </c>
      <c r="K23" s="304">
        <f t="shared" si="1"/>
        <v>112.86285714285714</v>
      </c>
      <c r="L23" s="305">
        <f>IF(H23=0,0,IF(OR(E23=$AT$5,E23=$AT$6),AA23,IF(F23="MXN",1/HLOOKUP(YEAR(G23)+(MONTH(G23)/100),TC!$5:$37,DAY(G23)+2,FALSE),VLOOKUP(F23,Equivalencia!$5:$23,((MAX(Equivalencia!$3:$3)-YEAR(G23))*14)+MONTH(G23)+2,FALSE))))</f>
        <v>1</v>
      </c>
      <c r="M23" s="306">
        <f t="shared" si="2"/>
        <v>790.04</v>
      </c>
      <c r="N23" s="305">
        <f>IF(G23=0,0,(IF(OR(E23=$AT$5,E23=$AT$6),AC23,HLOOKUP(YEAR(G23)+(MONTH(G23)/100),TC!$5:$37,DAY(G23)+2,FALSE))))</f>
        <v>21.838799999999999</v>
      </c>
      <c r="O23" s="307">
        <f t="shared" si="10"/>
        <v>17253.525551999999</v>
      </c>
      <c r="P23" s="560">
        <f>IF(G23=0,0,VLOOKUP(YEAR(G23),INPC!$B$4:$P$30,MONTH(G23)+2))</f>
        <v>106.74299999999999</v>
      </c>
      <c r="Q23" s="560">
        <f>IF(X23=0,0,IF(OR(E23=$AT$10,E23=$AT$9),VLOOKUP(YEAR(X23),INPC!$B$4:$P$30,MONTH(X23)+1),VLOOKUP(YEAR(X23),INPC!$B$4:$P$30,MONTH(X23)+2,0)))</f>
        <v>120.809</v>
      </c>
      <c r="R23" s="309">
        <f t="shared" si="3"/>
        <v>1.1316999999999999</v>
      </c>
      <c r="S23" s="310">
        <f t="shared" si="11"/>
        <v>19525.814867198398</v>
      </c>
      <c r="T23" s="555">
        <f t="shared" si="12"/>
        <v>2789.4021238854853</v>
      </c>
      <c r="U23" s="311"/>
      <c r="V23" s="675">
        <v>7</v>
      </c>
      <c r="W23" s="299" t="s">
        <v>194</v>
      </c>
      <c r="X23" s="300">
        <v>44701</v>
      </c>
      <c r="Y23" s="299" t="s">
        <v>59</v>
      </c>
      <c r="Z23" s="674">
        <v>1078.0999999999999</v>
      </c>
      <c r="AA23" s="305">
        <f>IF(Z23=0,0,IF(Y23="MXN",1/HLOOKUP(YEAR(X23)+(MONTH(X23)/100),TC!$5:$37,DAY(X23)+2,FALSE),VLOOKUP(Y23,Equivalencia!$1:$23,((MAX(Equivalencia!$3:$3)-YEAR(X23))*14)+MONTH(X23)+2,FALSE)))</f>
        <v>1</v>
      </c>
      <c r="AB23" s="306">
        <f t="shared" si="13"/>
        <v>1078.0999999999999</v>
      </c>
      <c r="AC23" s="305">
        <f>+IF(X23=0,0,HLOOKUP(YEAR(X23)+(MONTH(X23)/100),TC!$5:$37,DAY(X23)+2,FALSE))</f>
        <v>19.9663</v>
      </c>
      <c r="AD23" s="307">
        <f t="shared" si="14"/>
        <v>21525.668029999997</v>
      </c>
      <c r="AE23" s="314">
        <f t="shared" si="4"/>
        <v>19525.814867198398</v>
      </c>
      <c r="AF23" s="315">
        <f t="shared" si="5"/>
        <v>1999.853162801599</v>
      </c>
      <c r="AG23" s="316">
        <f t="shared" si="6"/>
        <v>1.9479452054794522</v>
      </c>
      <c r="AH23" s="314">
        <v>1</v>
      </c>
      <c r="AI23" s="314">
        <f t="shared" si="7"/>
        <v>1999.853162801599</v>
      </c>
      <c r="AJ23" s="314">
        <f t="shared" si="15"/>
        <v>0</v>
      </c>
      <c r="AK23" s="317"/>
      <c r="AL23" s="315">
        <f t="shared" si="16"/>
        <v>288.05999999999995</v>
      </c>
      <c r="AN23" s="554">
        <f t="shared" si="8"/>
        <v>0.36461444990127079</v>
      </c>
      <c r="AO23" s="314"/>
      <c r="AP23" s="318"/>
    </row>
    <row r="24" spans="2:47">
      <c r="B24" s="296" t="s">
        <v>1266</v>
      </c>
      <c r="C24" s="299" t="s">
        <v>277</v>
      </c>
      <c r="D24" s="298" t="s">
        <v>750</v>
      </c>
      <c r="E24" s="299" t="s">
        <v>113</v>
      </c>
      <c r="F24" s="299" t="s">
        <v>59</v>
      </c>
      <c r="G24" s="300">
        <v>43991</v>
      </c>
      <c r="H24" s="303">
        <v>780.35</v>
      </c>
      <c r="I24" s="301" t="str">
        <f t="shared" si="0"/>
        <v>Ingresos Sección II LISR (SIC &amp; BMV)</v>
      </c>
      <c r="J24" s="302">
        <f t="shared" si="9"/>
        <v>7</v>
      </c>
      <c r="K24" s="304">
        <f t="shared" si="1"/>
        <v>111.47857142857143</v>
      </c>
      <c r="L24" s="305">
        <f>IF(H24=0,0,IF(OR(E24=$AT$5,E24=$AT$6),AA24,IF(F24="MXN",1/HLOOKUP(YEAR(G24)+(MONTH(G24)/100),TC!$5:$37,DAY(G24)+2,FALSE),VLOOKUP(F24,Equivalencia!$5:$23,((MAX(Equivalencia!$3:$3)-YEAR(G24))*14)+MONTH(G24)+2,FALSE))))</f>
        <v>1</v>
      </c>
      <c r="M24" s="306">
        <f t="shared" si="2"/>
        <v>780.35</v>
      </c>
      <c r="N24" s="305">
        <f>IF(G24=0,0,(IF(OR(E24=$AT$5,E24=$AT$6),AC24,HLOOKUP(YEAR(G24)+(MONTH(G24)/100),TC!$5:$37,DAY(G24)+2,FALSE))))</f>
        <v>21.5837</v>
      </c>
      <c r="O24" s="307">
        <f t="shared" si="10"/>
        <v>16842.840295000002</v>
      </c>
      <c r="P24" s="560">
        <f>IF(G24=0,0,VLOOKUP(YEAR(G24),INPC!$B$4:$P$30,MONTH(G24)+2))</f>
        <v>106.74299999999999</v>
      </c>
      <c r="Q24" s="560">
        <f>IF(X24=0,0,IF(OR(E24=$AT$10,E24=$AT$9),VLOOKUP(YEAR(X24),INPC!$B$4:$P$30,MONTH(X24)+1),VLOOKUP(YEAR(X24),INPC!$B$4:$P$30,MONTH(X24)+2,0)))</f>
        <v>120.809</v>
      </c>
      <c r="R24" s="309">
        <f t="shared" si="3"/>
        <v>1.1316999999999999</v>
      </c>
      <c r="S24" s="310">
        <f t="shared" si="11"/>
        <v>19061.042361851501</v>
      </c>
      <c r="T24" s="555">
        <f t="shared" si="12"/>
        <v>2723.0060516930716</v>
      </c>
      <c r="U24" s="311"/>
      <c r="V24" s="675">
        <v>7</v>
      </c>
      <c r="W24" s="299" t="s">
        <v>194</v>
      </c>
      <c r="X24" s="300">
        <v>44701</v>
      </c>
      <c r="Y24" s="299" t="s">
        <v>59</v>
      </c>
      <c r="Z24" s="674">
        <v>1078.0999999999999</v>
      </c>
      <c r="AA24" s="305">
        <f>IF(Z24=0,0,IF(Y24="MXN",1/HLOOKUP(YEAR(X24)+(MONTH(X24)/100),TC!$5:$37,DAY(X24)+2,FALSE),VLOOKUP(Y24,Equivalencia!$1:$23,((MAX(Equivalencia!$3:$3)-YEAR(X24))*14)+MONTH(X24)+2,FALSE)))</f>
        <v>1</v>
      </c>
      <c r="AB24" s="306">
        <f t="shared" si="13"/>
        <v>1078.0999999999999</v>
      </c>
      <c r="AC24" s="305">
        <f>+IF(X24=0,0,HLOOKUP(YEAR(X24)+(MONTH(X24)/100),TC!$5:$37,DAY(X24)+2,FALSE))</f>
        <v>19.9663</v>
      </c>
      <c r="AD24" s="307">
        <f t="shared" si="14"/>
        <v>21525.668029999997</v>
      </c>
      <c r="AE24" s="314">
        <f t="shared" si="4"/>
        <v>19061.042361851501</v>
      </c>
      <c r="AF24" s="315">
        <f t="shared" si="5"/>
        <v>2464.6256681484956</v>
      </c>
      <c r="AG24" s="316">
        <f t="shared" si="6"/>
        <v>1.9452054794520548</v>
      </c>
      <c r="AH24" s="314">
        <v>1</v>
      </c>
      <c r="AI24" s="314">
        <f t="shared" si="7"/>
        <v>2464.6256681484956</v>
      </c>
      <c r="AJ24" s="314">
        <f t="shared" si="15"/>
        <v>0</v>
      </c>
      <c r="AK24" s="317"/>
      <c r="AL24" s="315">
        <f t="shared" si="16"/>
        <v>297.74999999999989</v>
      </c>
      <c r="AN24" s="554">
        <f t="shared" si="8"/>
        <v>0.38155955660921365</v>
      </c>
      <c r="AO24" s="314"/>
      <c r="AP24" s="318"/>
    </row>
    <row r="25" spans="2:47">
      <c r="B25" s="296" t="s">
        <v>1266</v>
      </c>
      <c r="C25" s="299" t="s">
        <v>277</v>
      </c>
      <c r="D25" s="298" t="s">
        <v>750</v>
      </c>
      <c r="E25" s="299" t="s">
        <v>113</v>
      </c>
      <c r="F25" s="299" t="s">
        <v>59</v>
      </c>
      <c r="G25" s="300">
        <v>44102</v>
      </c>
      <c r="H25" s="303">
        <v>1386.14</v>
      </c>
      <c r="I25" s="301" t="str">
        <f t="shared" si="0"/>
        <v>Ingresos Sección II LISR (SIC &amp; BMV)</v>
      </c>
      <c r="J25" s="302">
        <f t="shared" si="9"/>
        <v>14</v>
      </c>
      <c r="K25" s="304">
        <f t="shared" si="1"/>
        <v>99.01</v>
      </c>
      <c r="L25" s="305">
        <f>IF(H25=0,0,IF(OR(E25=$AT$5,E25=$AT$6),AA25,IF(F25="MXN",1/HLOOKUP(YEAR(G25)+(MONTH(G25)/100),TC!$5:$37,DAY(G25)+2,FALSE),VLOOKUP(F25,Equivalencia!$5:$23,((MAX(Equivalencia!$3:$3)-YEAR(G25))*14)+MONTH(G25)+2,FALSE))))</f>
        <v>1</v>
      </c>
      <c r="M25" s="306">
        <f t="shared" si="2"/>
        <v>1386.14</v>
      </c>
      <c r="N25" s="305">
        <f>IF(G25=0,0,(IF(OR(E25=$AT$5,E25=$AT$6),AC25,HLOOKUP(YEAR(G25)+(MONTH(G25)/100),TC!$5:$37,DAY(G25)+2,FALSE))))</f>
        <v>22.367799999999999</v>
      </c>
      <c r="O25" s="307">
        <f t="shared" si="10"/>
        <v>31004.902292000002</v>
      </c>
      <c r="P25" s="560">
        <f>IF(G25=0,0,VLOOKUP(YEAR(G25),INPC!$B$4:$P$30,MONTH(G25)+2))</f>
        <v>108.114</v>
      </c>
      <c r="Q25" s="560">
        <f>IF(X25=0,0,IF(OR(E25=$AT$10,E25=$AT$9),VLOOKUP(YEAR(X25),INPC!$B$4:$P$30,MONTH(X25)+1),VLOOKUP(YEAR(X25),INPC!$B$4:$P$30,MONTH(X25)+2,0)))</f>
        <v>120.809</v>
      </c>
      <c r="R25" s="309">
        <f t="shared" si="3"/>
        <v>1.1173999999999999</v>
      </c>
      <c r="S25" s="310">
        <f t="shared" si="11"/>
        <v>34644.877821080801</v>
      </c>
      <c r="T25" s="555">
        <f t="shared" si="12"/>
        <v>2474.6341300772001</v>
      </c>
      <c r="U25" s="311"/>
      <c r="V25" s="675">
        <v>14</v>
      </c>
      <c r="W25" s="299" t="s">
        <v>194</v>
      </c>
      <c r="X25" s="300">
        <v>44701</v>
      </c>
      <c r="Y25" s="299" t="s">
        <v>59</v>
      </c>
      <c r="Z25" s="674">
        <v>2156.1999999999998</v>
      </c>
      <c r="AA25" s="305">
        <f>IF(Z25=0,0,IF(Y25="MXN",1/HLOOKUP(YEAR(X25)+(MONTH(X25)/100),TC!$5:$37,DAY(X25)+2,FALSE),VLOOKUP(Y25,Equivalencia!$1:$23,((MAX(Equivalencia!$3:$3)-YEAR(X25))*14)+MONTH(X25)+2,FALSE)))</f>
        <v>1</v>
      </c>
      <c r="AB25" s="306">
        <f t="shared" si="13"/>
        <v>2156.1999999999998</v>
      </c>
      <c r="AC25" s="305">
        <f>+IF(X25=0,0,HLOOKUP(YEAR(X25)+(MONTH(X25)/100),TC!$5:$37,DAY(X25)+2,FALSE))</f>
        <v>19.9663</v>
      </c>
      <c r="AD25" s="307">
        <f t="shared" si="14"/>
        <v>43051.336059999994</v>
      </c>
      <c r="AE25" s="314">
        <f t="shared" si="4"/>
        <v>34644.877821080801</v>
      </c>
      <c r="AF25" s="315">
        <f t="shared" si="5"/>
        <v>8406.4582389191928</v>
      </c>
      <c r="AG25" s="316">
        <f t="shared" si="6"/>
        <v>1.6410958904109589</v>
      </c>
      <c r="AH25" s="314">
        <v>1</v>
      </c>
      <c r="AI25" s="314">
        <f t="shared" si="7"/>
        <v>8406.4582389191928</v>
      </c>
      <c r="AJ25" s="314">
        <f t="shared" si="15"/>
        <v>0</v>
      </c>
      <c r="AK25" s="317"/>
      <c r="AL25" s="315">
        <f t="shared" si="16"/>
        <v>770.05999999999972</v>
      </c>
      <c r="AN25" s="554">
        <f t="shared" si="8"/>
        <v>0.55554273017155531</v>
      </c>
      <c r="AO25" s="314"/>
      <c r="AP25" s="318"/>
    </row>
    <row r="26" spans="2:47">
      <c r="B26" s="296" t="s">
        <v>1266</v>
      </c>
      <c r="C26" s="299" t="s">
        <v>277</v>
      </c>
      <c r="D26" s="298" t="s">
        <v>757</v>
      </c>
      <c r="E26" s="299" t="s">
        <v>113</v>
      </c>
      <c r="F26" s="299" t="s">
        <v>59</v>
      </c>
      <c r="G26" s="300">
        <v>43476</v>
      </c>
      <c r="H26" s="303">
        <v>2726.47</v>
      </c>
      <c r="I26" s="301" t="str">
        <f t="shared" si="0"/>
        <v>Ingresos Sección II LISR (SIC &amp; BMV)</v>
      </c>
      <c r="J26" s="302">
        <f t="shared" si="9"/>
        <v>24</v>
      </c>
      <c r="K26" s="304">
        <f t="shared" si="1"/>
        <v>113.60291666666666</v>
      </c>
      <c r="L26" s="305">
        <f>IF(H26=0,0,IF(OR(E26=$AT$5,E26=$AT$6),AA26,IF(F26="MXN",1/HLOOKUP(YEAR(G26)+(MONTH(G26)/100),TC!$5:$37,DAY(G26)+2,FALSE),VLOOKUP(F26,Equivalencia!$5:$23,((MAX(Equivalencia!$3:$3)-YEAR(G26))*14)+MONTH(G26)+2,FALSE))))</f>
        <v>1</v>
      </c>
      <c r="M26" s="306">
        <f t="shared" si="2"/>
        <v>2726.47</v>
      </c>
      <c r="N26" s="305">
        <f>IF(G26=0,0,(IF(OR(E26=$AT$5,E26=$AT$6),AC26,HLOOKUP(YEAR(G26)+(MONTH(G26)/100),TC!$5:$37,DAY(G26)+2,FALSE))))</f>
        <v>19.2456</v>
      </c>
      <c r="O26" s="307">
        <f t="shared" si="10"/>
        <v>52472.551031999996</v>
      </c>
      <c r="P26" s="560">
        <f>IF(G26=0,0,VLOOKUP(YEAR(G26),INPC!$B$4:$P$30,MONTH(G26)+2))</f>
        <v>103.108</v>
      </c>
      <c r="Q26" s="560">
        <f>IF(X26=0,0,IF(OR(E26=$AT$10,E26=$AT$9),VLOOKUP(YEAR(X26),INPC!$B$4:$P$30,MONTH(X26)+1),VLOOKUP(YEAR(X26),INPC!$B$4:$P$30,MONTH(X26)+2,0)))</f>
        <v>118.98099999999999</v>
      </c>
      <c r="R26" s="309">
        <f t="shared" si="3"/>
        <v>1.1538999999999999</v>
      </c>
      <c r="S26" s="310">
        <f t="shared" si="11"/>
        <v>60548.076635824793</v>
      </c>
      <c r="T26" s="555">
        <f t="shared" si="12"/>
        <v>2522.8365264926997</v>
      </c>
      <c r="U26" s="311"/>
      <c r="V26" s="675">
        <v>24</v>
      </c>
      <c r="W26" s="299" t="s">
        <v>194</v>
      </c>
      <c r="X26" s="300">
        <v>44649</v>
      </c>
      <c r="Y26" s="299" t="s">
        <v>59</v>
      </c>
      <c r="Z26" s="674">
        <v>7507.73</v>
      </c>
      <c r="AA26" s="305">
        <f>IF(Z26=0,0,IF(Y26="MXN",1/HLOOKUP(YEAR(X26)+(MONTH(X26)/100),TC!$5:$37,DAY(X26)+2,FALSE),VLOOKUP(Y26,Equivalencia!$1:$23,((MAX(Equivalencia!$3:$3)-YEAR(X26))*14)+MONTH(X26)+2,FALSE)))</f>
        <v>1</v>
      </c>
      <c r="AB26" s="306">
        <f t="shared" si="13"/>
        <v>7507.73</v>
      </c>
      <c r="AC26" s="305">
        <f>+IF(X26=0,0,HLOOKUP(YEAR(X26)+(MONTH(X26)/100),TC!$5:$37,DAY(X26)+2,FALSE))</f>
        <v>19.957699999999999</v>
      </c>
      <c r="AD26" s="307">
        <f t="shared" si="14"/>
        <v>149837.02302099997</v>
      </c>
      <c r="AE26" s="314">
        <f t="shared" si="4"/>
        <v>60548.076635824793</v>
      </c>
      <c r="AF26" s="315">
        <f t="shared" si="5"/>
        <v>89288.946385175179</v>
      </c>
      <c r="AG26" s="316">
        <f t="shared" si="6"/>
        <v>3.2136986301369861</v>
      </c>
      <c r="AH26" s="314">
        <v>1</v>
      </c>
      <c r="AI26" s="314">
        <f t="shared" si="7"/>
        <v>89288.946385175179</v>
      </c>
      <c r="AJ26" s="314">
        <f t="shared" si="15"/>
        <v>0</v>
      </c>
      <c r="AK26" s="317"/>
      <c r="AL26" s="315">
        <f t="shared" si="16"/>
        <v>4781.26</v>
      </c>
      <c r="AN26" s="554">
        <f t="shared" si="8"/>
        <v>1.7536448227928423</v>
      </c>
      <c r="AO26" s="314"/>
      <c r="AP26" s="318"/>
    </row>
    <row r="27" spans="2:47">
      <c r="B27" s="296" t="s">
        <v>1266</v>
      </c>
      <c r="C27" s="299" t="s">
        <v>277</v>
      </c>
      <c r="D27" s="298" t="s">
        <v>757</v>
      </c>
      <c r="E27" s="299" t="s">
        <v>113</v>
      </c>
      <c r="F27" s="299" t="s">
        <v>59</v>
      </c>
      <c r="G27" s="300">
        <v>43476</v>
      </c>
      <c r="H27" s="303">
        <v>2044.85</v>
      </c>
      <c r="I27" s="301" t="str">
        <f t="shared" si="0"/>
        <v>Ingresos Sección II LISR (SIC &amp; BMV)</v>
      </c>
      <c r="J27" s="302">
        <f t="shared" si="9"/>
        <v>18</v>
      </c>
      <c r="K27" s="304">
        <f t="shared" si="1"/>
        <v>113.60277777777777</v>
      </c>
      <c r="L27" s="305">
        <f>IF(H27=0,0,IF(OR(E27=$AT$5,E27=$AT$6),AA27,IF(F27="MXN",1/HLOOKUP(YEAR(G27)+(MONTH(G27)/100),TC!$5:$37,DAY(G27)+2,FALSE),VLOOKUP(F27,Equivalencia!$5:$23,((MAX(Equivalencia!$3:$3)-YEAR(G27))*14)+MONTH(G27)+2,FALSE))))</f>
        <v>1</v>
      </c>
      <c r="M27" s="306">
        <f t="shared" si="2"/>
        <v>2044.85</v>
      </c>
      <c r="N27" s="305">
        <f>IF(G27=0,0,(IF(OR(E27=$AT$5,E27=$AT$6),AC27,HLOOKUP(YEAR(G27)+(MONTH(G27)/100),TC!$5:$37,DAY(G27)+2,FALSE))))</f>
        <v>19.2456</v>
      </c>
      <c r="O27" s="307">
        <f t="shared" si="10"/>
        <v>39354.365159999994</v>
      </c>
      <c r="P27" s="560">
        <f>IF(G27=0,0,VLOOKUP(YEAR(G27),INPC!$B$4:$P$30,MONTH(G27)+2))</f>
        <v>103.108</v>
      </c>
      <c r="Q27" s="560">
        <f>IF(X27=0,0,IF(OR(E27=$AT$10,E27=$AT$9),VLOOKUP(YEAR(X27),INPC!$B$4:$P$30,MONTH(X27)+1),VLOOKUP(YEAR(X27),INPC!$B$4:$P$30,MONTH(X27)+2,0)))</f>
        <v>118.98099999999999</v>
      </c>
      <c r="R27" s="309">
        <f t="shared" si="3"/>
        <v>1.1538999999999999</v>
      </c>
      <c r="S27" s="310">
        <f t="shared" si="11"/>
        <v>45411.00195812399</v>
      </c>
      <c r="T27" s="555">
        <f t="shared" si="12"/>
        <v>2522.8334421179993</v>
      </c>
      <c r="U27" s="311"/>
      <c r="V27" s="675">
        <v>18</v>
      </c>
      <c r="W27" s="299" t="s">
        <v>194</v>
      </c>
      <c r="X27" s="300">
        <v>44648</v>
      </c>
      <c r="Y27" s="299" t="s">
        <v>59</v>
      </c>
      <c r="Z27" s="674">
        <v>5611.96</v>
      </c>
      <c r="AA27" s="305">
        <f>IF(Z27=0,0,IF(Y27="MXN",1/HLOOKUP(YEAR(X27)+(MONTH(X27)/100),TC!$5:$37,DAY(X27)+2,FALSE),VLOOKUP(Y27,Equivalencia!$1:$23,((MAX(Equivalencia!$3:$3)-YEAR(X27))*14)+MONTH(X27)+2,FALSE)))</f>
        <v>1</v>
      </c>
      <c r="AB27" s="306">
        <f t="shared" si="13"/>
        <v>5611.96</v>
      </c>
      <c r="AC27" s="305">
        <f>+IF(X27=0,0,HLOOKUP(YEAR(X27)+(MONTH(X27)/100),TC!$5:$37,DAY(X27)+2,FALSE))</f>
        <v>20.1313</v>
      </c>
      <c r="AD27" s="307">
        <f t="shared" si="14"/>
        <v>112976.050348</v>
      </c>
      <c r="AE27" s="314">
        <f t="shared" si="4"/>
        <v>45411.00195812399</v>
      </c>
      <c r="AF27" s="315">
        <f t="shared" si="5"/>
        <v>67565.048389876014</v>
      </c>
      <c r="AG27" s="316">
        <f t="shared" si="6"/>
        <v>3.2109589041095892</v>
      </c>
      <c r="AH27" s="314">
        <v>1</v>
      </c>
      <c r="AI27" s="314">
        <f t="shared" si="7"/>
        <v>67565.048389876014</v>
      </c>
      <c r="AJ27" s="314">
        <f t="shared" si="15"/>
        <v>0</v>
      </c>
      <c r="AK27" s="317"/>
      <c r="AL27" s="315">
        <f t="shared" si="16"/>
        <v>3567.11</v>
      </c>
      <c r="AN27" s="554">
        <f t="shared" si="8"/>
        <v>1.7444360222021176</v>
      </c>
      <c r="AO27" s="314"/>
      <c r="AP27" s="318"/>
    </row>
    <row r="28" spans="2:47">
      <c r="B28" s="296" t="s">
        <v>1266</v>
      </c>
      <c r="C28" s="299" t="s">
        <v>277</v>
      </c>
      <c r="D28" s="298" t="s">
        <v>757</v>
      </c>
      <c r="E28" s="299" t="s">
        <v>113</v>
      </c>
      <c r="F28" s="299" t="s">
        <v>59</v>
      </c>
      <c r="G28" s="300">
        <v>43476</v>
      </c>
      <c r="H28" s="303">
        <v>6702.57</v>
      </c>
      <c r="I28" s="301" t="str">
        <f t="shared" si="0"/>
        <v>Ingresos Sección II LISR (SIC &amp; BMV)</v>
      </c>
      <c r="J28" s="302">
        <f t="shared" si="9"/>
        <v>59</v>
      </c>
      <c r="K28" s="304">
        <f t="shared" si="1"/>
        <v>113.6028813559322</v>
      </c>
      <c r="L28" s="305">
        <f>IF(H28=0,0,IF(OR(E28=$AT$5,E28=$AT$6),AA28,IF(F28="MXN",1/HLOOKUP(YEAR(G28)+(MONTH(G28)/100),TC!$5:$37,DAY(G28)+2,FALSE),VLOOKUP(F28,Equivalencia!$5:$23,((MAX(Equivalencia!$3:$3)-YEAR(G28))*14)+MONTH(G28)+2,FALSE))))</f>
        <v>1</v>
      </c>
      <c r="M28" s="306">
        <f t="shared" si="2"/>
        <v>6702.57</v>
      </c>
      <c r="N28" s="305">
        <f>IF(G28=0,0,(IF(OR(E28=$AT$5,E28=$AT$6),AC28,HLOOKUP(YEAR(G28)+(MONTH(G28)/100),TC!$5:$37,DAY(G28)+2,FALSE))))</f>
        <v>19.2456</v>
      </c>
      <c r="O28" s="307">
        <f t="shared" si="10"/>
        <v>128994.98119199999</v>
      </c>
      <c r="P28" s="560">
        <f>IF(G28=0,0,VLOOKUP(YEAR(G28),INPC!$B$4:$P$30,MONTH(G28)+2))</f>
        <v>103.108</v>
      </c>
      <c r="Q28" s="560">
        <f>IF(X28=0,0,IF(OR(E28=$AT$10,E28=$AT$9),VLOOKUP(YEAR(X28),INPC!$B$4:$P$30,MONTH(X28)+1),VLOOKUP(YEAR(X28),INPC!$B$4:$P$30,MONTH(X28)+2,0)))</f>
        <v>118.98099999999999</v>
      </c>
      <c r="R28" s="309">
        <f t="shared" si="3"/>
        <v>1.1538999999999999</v>
      </c>
      <c r="S28" s="310">
        <f t="shared" si="11"/>
        <v>148847.30879744879</v>
      </c>
      <c r="T28" s="555">
        <f t="shared" si="12"/>
        <v>2522.8357423296407</v>
      </c>
      <c r="U28" s="311"/>
      <c r="V28" s="675">
        <v>59</v>
      </c>
      <c r="W28" s="299" t="s">
        <v>194</v>
      </c>
      <c r="X28" s="300">
        <v>44628</v>
      </c>
      <c r="Y28" s="299" t="s">
        <v>59</v>
      </c>
      <c r="Z28" s="674">
        <v>15630.38</v>
      </c>
      <c r="AA28" s="305">
        <f>IF(Z28=0,0,IF(Y28="MXN",1/HLOOKUP(YEAR(X28)+(MONTH(X28)/100),TC!$5:$37,DAY(X28)+2,FALSE),VLOOKUP(Y28,Equivalencia!$1:$23,((MAX(Equivalencia!$3:$3)-YEAR(X28))*14)+MONTH(X28)+2,FALSE)))</f>
        <v>1</v>
      </c>
      <c r="AB28" s="306">
        <f t="shared" si="13"/>
        <v>15630.38</v>
      </c>
      <c r="AC28" s="305">
        <f>+IF(X28=0,0,HLOOKUP(YEAR(X28)+(MONTH(X28)/100),TC!$5:$37,DAY(X28)+2,FALSE))</f>
        <v>20.926200000000001</v>
      </c>
      <c r="AD28" s="307">
        <f t="shared" si="14"/>
        <v>327084.457956</v>
      </c>
      <c r="AE28" s="314">
        <f t="shared" si="4"/>
        <v>148847.30879744879</v>
      </c>
      <c r="AF28" s="315">
        <f t="shared" si="5"/>
        <v>178237.14915855121</v>
      </c>
      <c r="AG28" s="316">
        <f t="shared" si="6"/>
        <v>3.1561643835616437</v>
      </c>
      <c r="AH28" s="314">
        <v>1</v>
      </c>
      <c r="AI28" s="314">
        <f t="shared" si="7"/>
        <v>178237.14915855121</v>
      </c>
      <c r="AJ28" s="314">
        <f t="shared" si="15"/>
        <v>0</v>
      </c>
      <c r="AK28" s="317"/>
      <c r="AL28" s="315">
        <f t="shared" si="16"/>
        <v>8927.81</v>
      </c>
      <c r="AN28" s="554">
        <f t="shared" si="8"/>
        <v>1.3319980246383103</v>
      </c>
      <c r="AO28" s="314"/>
      <c r="AP28" s="318"/>
    </row>
    <row r="29" spans="2:47">
      <c r="B29" s="296" t="s">
        <v>1266</v>
      </c>
      <c r="C29" s="299" t="s">
        <v>277</v>
      </c>
      <c r="D29" s="298" t="s">
        <v>782</v>
      </c>
      <c r="E29" s="299" t="s">
        <v>113</v>
      </c>
      <c r="F29" s="299" t="s">
        <v>59</v>
      </c>
      <c r="G29" s="300">
        <v>43965</v>
      </c>
      <c r="H29" s="303">
        <v>4684.7700000000004</v>
      </c>
      <c r="I29" s="301" t="str">
        <f t="shared" si="0"/>
        <v>Ingresos Sección II LISR (SIC &amp; BMV)</v>
      </c>
      <c r="J29" s="302">
        <f t="shared" si="9"/>
        <v>18</v>
      </c>
      <c r="K29" s="304">
        <f t="shared" si="1"/>
        <v>260.26500000000004</v>
      </c>
      <c r="L29" s="305">
        <f>IF(H29=0,0,IF(OR(E29=$AT$5,E29=$AT$6),AA29,IF(F29="MXN",1/HLOOKUP(YEAR(G29)+(MONTH(G29)/100),TC!$5:$37,DAY(G29)+2,FALSE),VLOOKUP(F29,Equivalencia!$5:$23,((MAX(Equivalencia!$3:$3)-YEAR(G29))*14)+MONTH(G29)+2,FALSE))))</f>
        <v>1</v>
      </c>
      <c r="M29" s="306">
        <f t="shared" si="2"/>
        <v>4684.7700000000004</v>
      </c>
      <c r="N29" s="305">
        <f>IF(G29=0,0,(IF(OR(E29=$AT$5,E29=$AT$6),AC29,HLOOKUP(YEAR(G29)+(MONTH(G29)/100),TC!$5:$37,DAY(G29)+2,FALSE))))</f>
        <v>24.0487</v>
      </c>
      <c r="O29" s="307">
        <f t="shared" si="10"/>
        <v>112662.62829900002</v>
      </c>
      <c r="P29" s="560">
        <f>IF(G29=0,0,VLOOKUP(YEAR(G29),INPC!$B$4:$P$30,MONTH(G29)+2))</f>
        <v>106.16200000000001</v>
      </c>
      <c r="Q29" s="560">
        <f>IF(X29=0,0,IF(OR(E29=$AT$10,E29=$AT$9),VLOOKUP(YEAR(X29),INPC!$B$4:$P$30,MONTH(X29)+1),VLOOKUP(YEAR(X29),INPC!$B$4:$P$30,MONTH(X29)+2,0)))</f>
        <v>118.002</v>
      </c>
      <c r="R29" s="309">
        <f t="shared" si="3"/>
        <v>1.1114999999999999</v>
      </c>
      <c r="S29" s="310">
        <f t="shared" si="11"/>
        <v>125224.51135433851</v>
      </c>
      <c r="T29" s="555">
        <f t="shared" si="12"/>
        <v>6956.9172974632502</v>
      </c>
      <c r="U29" s="311"/>
      <c r="V29" s="675">
        <v>18</v>
      </c>
      <c r="W29" s="299" t="s">
        <v>194</v>
      </c>
      <c r="X29" s="300">
        <v>44608</v>
      </c>
      <c r="Y29" s="299" t="s">
        <v>59</v>
      </c>
      <c r="Z29" s="674">
        <v>10681.18</v>
      </c>
      <c r="AA29" s="305">
        <f>IF(Z29=0,0,IF(Y29="MXN",1/HLOOKUP(YEAR(X29)+(MONTH(X29)/100),TC!$5:$37,DAY(X29)+2,FALSE),VLOOKUP(Y29,Equivalencia!$1:$23,((MAX(Equivalencia!$3:$3)-YEAR(X29))*14)+MONTH(X29)+2,FALSE)))</f>
        <v>1</v>
      </c>
      <c r="AB29" s="306">
        <f t="shared" si="13"/>
        <v>10681.18</v>
      </c>
      <c r="AC29" s="305">
        <f>+IF(X29=0,0,HLOOKUP(YEAR(X29)+(MONTH(X29)/100),TC!$5:$37,DAY(X29)+2,FALSE))</f>
        <v>20.411000000000001</v>
      </c>
      <c r="AD29" s="307">
        <f t="shared" si="14"/>
        <v>218013.56498000002</v>
      </c>
      <c r="AE29" s="314">
        <f t="shared" si="4"/>
        <v>125224.51135433851</v>
      </c>
      <c r="AF29" s="315">
        <f t="shared" si="5"/>
        <v>92789.053625661516</v>
      </c>
      <c r="AG29" s="316">
        <f t="shared" si="6"/>
        <v>1.7616438356164383</v>
      </c>
      <c r="AH29" s="314">
        <v>1</v>
      </c>
      <c r="AI29" s="314">
        <f t="shared" si="7"/>
        <v>92789.053625661516</v>
      </c>
      <c r="AJ29" s="314">
        <f t="shared" si="15"/>
        <v>0</v>
      </c>
      <c r="AK29" s="317"/>
      <c r="AL29" s="315">
        <f t="shared" si="16"/>
        <v>5996.41</v>
      </c>
      <c r="AN29" s="554">
        <f t="shared" si="8"/>
        <v>1.2799795934485576</v>
      </c>
      <c r="AO29" s="314"/>
      <c r="AP29" s="318"/>
    </row>
    <row r="30" spans="2:47">
      <c r="B30" s="296" t="s">
        <v>1266</v>
      </c>
      <c r="C30" s="299" t="s">
        <v>277</v>
      </c>
      <c r="D30" s="298" t="s">
        <v>737</v>
      </c>
      <c r="E30" s="299" t="s">
        <v>113</v>
      </c>
      <c r="F30" s="299" t="s">
        <v>59</v>
      </c>
      <c r="G30" s="300">
        <v>44102</v>
      </c>
      <c r="H30" s="303">
        <v>6084.33</v>
      </c>
      <c r="I30" s="301" t="str">
        <f t="shared" si="0"/>
        <v>Ingresos Sección II LISR (SIC &amp; BMV)</v>
      </c>
      <c r="J30" s="302">
        <f t="shared" si="9"/>
        <v>36</v>
      </c>
      <c r="K30" s="304">
        <f t="shared" si="1"/>
        <v>169.00916666666666</v>
      </c>
      <c r="L30" s="305">
        <f>IF(H30=0,0,IF(OR(E30=$AT$5,E30=$AT$6),AA30,IF(F30="MXN",1/HLOOKUP(YEAR(G30)+(MONTH(G30)/100),TC!$5:$37,DAY(G30)+2,FALSE),VLOOKUP(F30,Equivalencia!$5:$23,((MAX(Equivalencia!$3:$3)-YEAR(G30))*14)+MONTH(G30)+2,FALSE))))</f>
        <v>1</v>
      </c>
      <c r="M30" s="306">
        <f t="shared" si="2"/>
        <v>6084.33</v>
      </c>
      <c r="N30" s="305">
        <f>IF(G30=0,0,(IF(OR(E30=$AT$5,E30=$AT$6),AC30,HLOOKUP(YEAR(G30)+(MONTH(G30)/100),TC!$5:$37,DAY(G30)+2,FALSE))))</f>
        <v>22.367799999999999</v>
      </c>
      <c r="O30" s="307">
        <f t="shared" si="10"/>
        <v>136093.07657400001</v>
      </c>
      <c r="P30" s="560">
        <f>IF(G30=0,0,VLOOKUP(YEAR(G30),INPC!$B$4:$P$30,MONTH(G30)+2))</f>
        <v>108.114</v>
      </c>
      <c r="Q30" s="560">
        <f>IF(X30=0,0,IF(OR(E30=$AT$10,E30=$AT$9),VLOOKUP(YEAR(X30),INPC!$B$4:$P$30,MONTH(X30)+1),VLOOKUP(YEAR(X30),INPC!$B$4:$P$30,MONTH(X30)+2,0)))</f>
        <v>118.98099999999999</v>
      </c>
      <c r="R30" s="309">
        <f t="shared" si="3"/>
        <v>1.1005</v>
      </c>
      <c r="S30" s="310">
        <f t="shared" si="11"/>
        <v>149770.43076968702</v>
      </c>
      <c r="T30" s="555">
        <f t="shared" si="12"/>
        <v>4160.2897436024177</v>
      </c>
      <c r="U30" s="311"/>
      <c r="V30" s="675">
        <v>36</v>
      </c>
      <c r="W30" s="299" t="s">
        <v>194</v>
      </c>
      <c r="X30" s="300">
        <v>44642</v>
      </c>
      <c r="Y30" s="299" t="s">
        <v>59</v>
      </c>
      <c r="Z30" s="674">
        <v>8940.9</v>
      </c>
      <c r="AA30" s="305">
        <f>IF(Z30=0,0,IF(Y30="MXN",1/HLOOKUP(YEAR(X30)+(MONTH(X30)/100),TC!$5:$37,DAY(X30)+2,FALSE),VLOOKUP(Y30,Equivalencia!$1:$23,((MAX(Equivalencia!$3:$3)-YEAR(X30))*14)+MONTH(X30)+2,FALSE)))</f>
        <v>1</v>
      </c>
      <c r="AB30" s="306">
        <f t="shared" si="13"/>
        <v>8940.9</v>
      </c>
      <c r="AC30" s="305">
        <f>+IF(X30=0,0,HLOOKUP(YEAR(X30)+(MONTH(X30)/100),TC!$5:$37,DAY(X30)+2,FALSE))</f>
        <v>20.558499999999999</v>
      </c>
      <c r="AD30" s="307">
        <f t="shared" si="14"/>
        <v>183811.49264999997</v>
      </c>
      <c r="AE30" s="314">
        <f t="shared" si="4"/>
        <v>149770.43076968705</v>
      </c>
      <c r="AF30" s="315">
        <f t="shared" si="5"/>
        <v>34041.061880312918</v>
      </c>
      <c r="AG30" s="316">
        <f t="shared" si="6"/>
        <v>1.4794520547945205</v>
      </c>
      <c r="AH30" s="314">
        <v>1</v>
      </c>
      <c r="AI30" s="314">
        <f t="shared" si="7"/>
        <v>34041.061880312918</v>
      </c>
      <c r="AJ30" s="314">
        <f t="shared" si="15"/>
        <v>0</v>
      </c>
      <c r="AK30" s="317"/>
      <c r="AL30" s="315">
        <f t="shared" si="16"/>
        <v>2856.5699999999997</v>
      </c>
      <c r="AN30" s="554">
        <f t="shared" si="8"/>
        <v>0.46949623048059519</v>
      </c>
      <c r="AO30" s="314"/>
      <c r="AP30" s="318"/>
    </row>
    <row r="31" spans="2:47">
      <c r="B31" s="296" t="s">
        <v>1266</v>
      </c>
      <c r="C31" s="299" t="s">
        <v>277</v>
      </c>
      <c r="D31" s="298" t="s">
        <v>737</v>
      </c>
      <c r="E31" s="299" t="s">
        <v>113</v>
      </c>
      <c r="F31" s="299" t="s">
        <v>59</v>
      </c>
      <c r="G31" s="300">
        <v>44126</v>
      </c>
      <c r="H31" s="303">
        <v>2301.0300000000002</v>
      </c>
      <c r="I31" s="301" t="str">
        <f t="shared" si="0"/>
        <v>Ingresos Sección II LISR (SIC &amp; BMV)</v>
      </c>
      <c r="J31" s="302">
        <f t="shared" si="9"/>
        <v>14</v>
      </c>
      <c r="K31" s="304">
        <f t="shared" si="1"/>
        <v>164.35928571428573</v>
      </c>
      <c r="L31" s="305">
        <f>IF(H31=0,0,IF(OR(E31=$AT$5,E31=$AT$6),AA31,IF(F31="MXN",1/HLOOKUP(YEAR(G31)+(MONTH(G31)/100),TC!$5:$37,DAY(G31)+2,FALSE),VLOOKUP(F31,Equivalencia!$5:$23,((MAX(Equivalencia!$3:$3)-YEAR(G31))*14)+MONTH(G31)+2,FALSE))))</f>
        <v>1</v>
      </c>
      <c r="M31" s="306">
        <f t="shared" si="2"/>
        <v>2301.0300000000002</v>
      </c>
      <c r="N31" s="305">
        <f>IF(G31=0,0,(IF(OR(E31=$AT$5,E31=$AT$6),AC31,HLOOKUP(YEAR(G31)+(MONTH(G31)/100),TC!$5:$37,DAY(G31)+2,FALSE))))</f>
        <v>21.090199999999999</v>
      </c>
      <c r="O31" s="307">
        <f t="shared" si="10"/>
        <v>48529.182906000002</v>
      </c>
      <c r="P31" s="560">
        <f>IF(G31=0,0,VLOOKUP(YEAR(G31),INPC!$B$4:$P$30,MONTH(G31)+2))</f>
        <v>108.774</v>
      </c>
      <c r="Q31" s="560">
        <f>IF(X31=0,0,IF(OR(E31=$AT$10,E31=$AT$9),VLOOKUP(YEAR(X31),INPC!$B$4:$P$30,MONTH(X31)+1),VLOOKUP(YEAR(X31),INPC!$B$4:$P$30,MONTH(X31)+2,0)))</f>
        <v>118.98099999999999</v>
      </c>
      <c r="R31" s="309">
        <f t="shared" si="3"/>
        <v>1.0938000000000001</v>
      </c>
      <c r="S31" s="310">
        <f t="shared" si="11"/>
        <v>53081.220262582807</v>
      </c>
      <c r="T31" s="555">
        <f t="shared" si="12"/>
        <v>3791.5157330416291</v>
      </c>
      <c r="U31" s="311"/>
      <c r="V31" s="675">
        <v>14</v>
      </c>
      <c r="W31" s="299" t="s">
        <v>194</v>
      </c>
      <c r="X31" s="300">
        <v>44642</v>
      </c>
      <c r="Y31" s="299" t="s">
        <v>59</v>
      </c>
      <c r="Z31" s="674">
        <v>3477.02</v>
      </c>
      <c r="AA31" s="305">
        <f>IF(Z31=0,0,IF(Y31="MXN",1/HLOOKUP(YEAR(X31)+(MONTH(X31)/100),TC!$5:$37,DAY(X31)+2,FALSE),VLOOKUP(Y31,Equivalencia!$1:$23,((MAX(Equivalencia!$3:$3)-YEAR(X31))*14)+MONTH(X31)+2,FALSE)))</f>
        <v>1</v>
      </c>
      <c r="AB31" s="306">
        <f t="shared" si="13"/>
        <v>3477.02</v>
      </c>
      <c r="AC31" s="305">
        <f>+IF(X31=0,0,HLOOKUP(YEAR(X31)+(MONTH(X31)/100),TC!$5:$37,DAY(X31)+2,FALSE))</f>
        <v>20.558499999999999</v>
      </c>
      <c r="AD31" s="307">
        <f t="shared" si="14"/>
        <v>71482.315669999996</v>
      </c>
      <c r="AE31" s="314">
        <f t="shared" si="4"/>
        <v>53081.220262582807</v>
      </c>
      <c r="AF31" s="315">
        <f t="shared" si="5"/>
        <v>18401.09540741719</v>
      </c>
      <c r="AG31" s="316">
        <f t="shared" si="6"/>
        <v>1.4136986301369863</v>
      </c>
      <c r="AH31" s="314">
        <v>1</v>
      </c>
      <c r="AI31" s="314">
        <f t="shared" si="7"/>
        <v>18401.09540741719</v>
      </c>
      <c r="AJ31" s="314">
        <f t="shared" si="15"/>
        <v>0</v>
      </c>
      <c r="AK31" s="317"/>
      <c r="AL31" s="315">
        <f t="shared" si="16"/>
        <v>1175.9899999999998</v>
      </c>
      <c r="AN31" s="554">
        <f t="shared" si="8"/>
        <v>0.51107112901613616</v>
      </c>
      <c r="AO31" s="314"/>
      <c r="AP31" s="318"/>
    </row>
    <row r="32" spans="2:47">
      <c r="B32" s="296" t="s">
        <v>1266</v>
      </c>
      <c r="C32" s="299" t="s">
        <v>277</v>
      </c>
      <c r="D32" s="298" t="s">
        <v>738</v>
      </c>
      <c r="E32" s="299" t="s">
        <v>113</v>
      </c>
      <c r="F32" s="299" t="s">
        <v>59</v>
      </c>
      <c r="G32" s="300">
        <v>44049</v>
      </c>
      <c r="H32" s="303">
        <v>3075.92</v>
      </c>
      <c r="I32" s="301" t="str">
        <f t="shared" si="0"/>
        <v>Ingresos Sección II LISR (SIC &amp; BMV)</v>
      </c>
      <c r="J32" s="302">
        <f t="shared" si="9"/>
        <v>81</v>
      </c>
      <c r="K32" s="304">
        <f t="shared" si="1"/>
        <v>37.974320987654323</v>
      </c>
      <c r="L32" s="305">
        <f>IF(H32=0,0,IF(OR(E32=$AT$5,E32=$AT$6),AA32,IF(F32="MXN",1/HLOOKUP(YEAR(G32)+(MONTH(G32)/100),TC!$5:$37,DAY(G32)+2,FALSE),VLOOKUP(F32,Equivalencia!$5:$23,((MAX(Equivalencia!$3:$3)-YEAR(G32))*14)+MONTH(G32)+2,FALSE))))</f>
        <v>1</v>
      </c>
      <c r="M32" s="306">
        <f t="shared" si="2"/>
        <v>3075.92</v>
      </c>
      <c r="N32" s="305">
        <f>IF(G32=0,0,(IF(OR(E32=$AT$5,E32=$AT$6),AC32,HLOOKUP(YEAR(G32)+(MONTH(G32)/100),TC!$5:$37,DAY(G32)+2,FALSE))))</f>
        <v>22.784500000000001</v>
      </c>
      <c r="O32" s="307">
        <f t="shared" si="10"/>
        <v>70083.299240000008</v>
      </c>
      <c r="P32" s="560">
        <f>IF(G32=0,0,VLOOKUP(YEAR(G32),INPC!$B$4:$P$30,MONTH(G32)+2))</f>
        <v>107.867</v>
      </c>
      <c r="Q32" s="560">
        <f>IF(X32=0,0,IF(OR(E32=$AT$10,E32=$AT$9),VLOOKUP(YEAR(X32),INPC!$B$4:$P$30,MONTH(X32)+1),VLOOKUP(YEAR(X32),INPC!$B$4:$P$30,MONTH(X32)+2,0)))</f>
        <v>120.15900000000001</v>
      </c>
      <c r="R32" s="309">
        <f t="shared" si="3"/>
        <v>1.1138999999999999</v>
      </c>
      <c r="S32" s="310">
        <f t="shared" si="11"/>
        <v>78065.787023436002</v>
      </c>
      <c r="T32" s="555">
        <f t="shared" si="12"/>
        <v>963.77514843748145</v>
      </c>
      <c r="U32" s="311"/>
      <c r="V32" s="675">
        <v>81</v>
      </c>
      <c r="W32" s="299" t="s">
        <v>194</v>
      </c>
      <c r="X32" s="300">
        <v>44678</v>
      </c>
      <c r="Y32" s="299" t="s">
        <v>59</v>
      </c>
      <c r="Z32" s="674">
        <v>7329.31</v>
      </c>
      <c r="AA32" s="305">
        <f>IF(Z32=0,0,IF(Y32="MXN",1/HLOOKUP(YEAR(X32)+(MONTH(X32)/100),TC!$5:$37,DAY(X32)+2,FALSE),VLOOKUP(Y32,Equivalencia!$1:$23,((MAX(Equivalencia!$3:$3)-YEAR(X32))*14)+MONTH(X32)+2,FALSE)))</f>
        <v>1</v>
      </c>
      <c r="AB32" s="306">
        <f t="shared" si="13"/>
        <v>7329.31</v>
      </c>
      <c r="AC32" s="305">
        <f>+IF(X32=0,0,HLOOKUP(YEAR(X32)+(MONTH(X32)/100),TC!$5:$37,DAY(X32)+2,FALSE))</f>
        <v>20.299199999999999</v>
      </c>
      <c r="AD32" s="307">
        <f t="shared" si="14"/>
        <v>148779.129552</v>
      </c>
      <c r="AE32" s="314">
        <f t="shared" si="4"/>
        <v>78065.787023436002</v>
      </c>
      <c r="AF32" s="315">
        <f t="shared" si="5"/>
        <v>70713.342528563997</v>
      </c>
      <c r="AG32" s="316">
        <f t="shared" si="6"/>
        <v>1.7232876712328766</v>
      </c>
      <c r="AH32" s="314">
        <v>1</v>
      </c>
      <c r="AI32" s="314">
        <f t="shared" si="7"/>
        <v>70713.342528563997</v>
      </c>
      <c r="AJ32" s="314">
        <f t="shared" si="15"/>
        <v>0</v>
      </c>
      <c r="AK32" s="317"/>
      <c r="AL32" s="315">
        <f t="shared" si="16"/>
        <v>4253.3900000000003</v>
      </c>
      <c r="AN32" s="554">
        <f t="shared" si="8"/>
        <v>1.3828025436292233</v>
      </c>
      <c r="AO32" s="314"/>
      <c r="AP32" s="318"/>
    </row>
    <row r="33" spans="2:42">
      <c r="B33" s="296" t="s">
        <v>1266</v>
      </c>
      <c r="C33" s="299" t="s">
        <v>277</v>
      </c>
      <c r="D33" s="298" t="s">
        <v>738</v>
      </c>
      <c r="E33" s="299" t="s">
        <v>113</v>
      </c>
      <c r="F33" s="299" t="s">
        <v>59</v>
      </c>
      <c r="G33" s="300">
        <v>44049</v>
      </c>
      <c r="H33" s="303">
        <v>10936.6</v>
      </c>
      <c r="I33" s="301" t="str">
        <f t="shared" si="0"/>
        <v>Ingresos Sección II LISR (SIC &amp; BMV)</v>
      </c>
      <c r="J33" s="302">
        <f t="shared" si="9"/>
        <v>288</v>
      </c>
      <c r="K33" s="304">
        <f t="shared" si="1"/>
        <v>37.97430555555556</v>
      </c>
      <c r="L33" s="305">
        <f>IF(H33=0,0,IF(OR(E33=$AT$5,E33=$AT$6),AA33,IF(F33="MXN",1/HLOOKUP(YEAR(G33)+(MONTH(G33)/100),TC!$5:$37,DAY(G33)+2,FALSE),VLOOKUP(F33,Equivalencia!$5:$23,((MAX(Equivalencia!$3:$3)-YEAR(G33))*14)+MONTH(G33)+2,FALSE))))</f>
        <v>1</v>
      </c>
      <c r="M33" s="306">
        <f t="shared" si="2"/>
        <v>10936.6</v>
      </c>
      <c r="N33" s="305">
        <f>IF(G33=0,0,(IF(OR(E33=$AT$5,E33=$AT$6),AC33,HLOOKUP(YEAR(G33)+(MONTH(G33)/100),TC!$5:$37,DAY(G33)+2,FALSE))))</f>
        <v>22.784500000000001</v>
      </c>
      <c r="O33" s="307">
        <f t="shared" si="10"/>
        <v>249184.96270000003</v>
      </c>
      <c r="P33" s="560">
        <f>IF(G33=0,0,VLOOKUP(YEAR(G33),INPC!$B$4:$P$30,MONTH(G33)+2))</f>
        <v>107.867</v>
      </c>
      <c r="Q33" s="560">
        <f>IF(X33=0,0,IF(OR(E33=$AT$10,E33=$AT$9),VLOOKUP(YEAR(X33),INPC!$B$4:$P$30,MONTH(X33)+1),VLOOKUP(YEAR(X33),INPC!$B$4:$P$30,MONTH(X33)+2,0)))</f>
        <v>117.30800000000001</v>
      </c>
      <c r="R33" s="309">
        <f t="shared" si="3"/>
        <v>1.0874999999999999</v>
      </c>
      <c r="S33" s="310">
        <f t="shared" si="11"/>
        <v>270988.64693625004</v>
      </c>
      <c r="T33" s="555">
        <f t="shared" si="12"/>
        <v>940.93280186197933</v>
      </c>
      <c r="U33" s="311"/>
      <c r="V33" s="675">
        <v>288</v>
      </c>
      <c r="W33" s="299" t="s">
        <v>194</v>
      </c>
      <c r="X33" s="300">
        <v>44580</v>
      </c>
      <c r="Y33" s="299" t="s">
        <v>59</v>
      </c>
      <c r="Z33" s="674">
        <v>25047.46</v>
      </c>
      <c r="AA33" s="305">
        <f>IF(Z33=0,0,IF(Y33="MXN",1/HLOOKUP(YEAR(X33)+(MONTH(X33)/100),TC!$5:$37,DAY(X33)+2,FALSE),VLOOKUP(Y33,Equivalencia!$1:$23,((MAX(Equivalencia!$3:$3)-YEAR(X33))*14)+MONTH(X33)+2,FALSE)))</f>
        <v>1</v>
      </c>
      <c r="AB33" s="306">
        <f t="shared" si="13"/>
        <v>25047.46</v>
      </c>
      <c r="AC33" s="305">
        <f>+IF(X33=0,0,HLOOKUP(YEAR(X33)+(MONTH(X33)/100),TC!$5:$37,DAY(X33)+2,FALSE))</f>
        <v>20.3002</v>
      </c>
      <c r="AD33" s="307">
        <f t="shared" si="14"/>
        <v>508468.44749200001</v>
      </c>
      <c r="AE33" s="314">
        <f t="shared" si="4"/>
        <v>270988.64693625004</v>
      </c>
      <c r="AF33" s="315">
        <f t="shared" si="5"/>
        <v>237479.80055574997</v>
      </c>
      <c r="AG33" s="316">
        <f t="shared" si="6"/>
        <v>1.4547945205479451</v>
      </c>
      <c r="AH33" s="314">
        <v>1</v>
      </c>
      <c r="AI33" s="314">
        <f t="shared" si="7"/>
        <v>237479.80055574997</v>
      </c>
      <c r="AJ33" s="314">
        <f t="shared" si="15"/>
        <v>0</v>
      </c>
      <c r="AK33" s="317"/>
      <c r="AL33" s="315">
        <f t="shared" si="16"/>
        <v>14110.859999999999</v>
      </c>
      <c r="AN33" s="554">
        <f t="shared" si="8"/>
        <v>1.2902419399081979</v>
      </c>
      <c r="AO33" s="314"/>
      <c r="AP33" s="318"/>
    </row>
    <row r="34" spans="2:42">
      <c r="B34" s="296" t="s">
        <v>1266</v>
      </c>
      <c r="C34" s="299" t="s">
        <v>277</v>
      </c>
      <c r="D34" s="298" t="s">
        <v>738</v>
      </c>
      <c r="E34" s="299" t="s">
        <v>113</v>
      </c>
      <c r="F34" s="299" t="s">
        <v>59</v>
      </c>
      <c r="G34" s="300">
        <v>44102</v>
      </c>
      <c r="H34" s="303">
        <v>1762.7</v>
      </c>
      <c r="I34" s="301" t="str">
        <f t="shared" si="0"/>
        <v>Ingresos Sección II LISR (SIC &amp; BMV)</v>
      </c>
      <c r="J34" s="302">
        <f t="shared" si="9"/>
        <v>52</v>
      </c>
      <c r="K34" s="304">
        <f t="shared" si="1"/>
        <v>33.898076923076921</v>
      </c>
      <c r="L34" s="305">
        <f>IF(H34=0,0,IF(OR(E34=$AT$5,E34=$AT$6),AA34,IF(F34="MXN",1/HLOOKUP(YEAR(G34)+(MONTH(G34)/100),TC!$5:$37,DAY(G34)+2,FALSE),VLOOKUP(F34,Equivalencia!$5:$23,((MAX(Equivalencia!$3:$3)-YEAR(G34))*14)+MONTH(G34)+2,FALSE))))</f>
        <v>1</v>
      </c>
      <c r="M34" s="306">
        <f t="shared" si="2"/>
        <v>1762.7</v>
      </c>
      <c r="N34" s="305">
        <f>IF(G34=0,0,(IF(OR(E34=$AT$5,E34=$AT$6),AC34,HLOOKUP(YEAR(G34)+(MONTH(G34)/100),TC!$5:$37,DAY(G34)+2,FALSE))))</f>
        <v>22.367799999999999</v>
      </c>
      <c r="O34" s="307">
        <f t="shared" si="10"/>
        <v>39427.721059999996</v>
      </c>
      <c r="P34" s="560">
        <f>IF(G34=0,0,VLOOKUP(YEAR(G34),INPC!$B$4:$P$30,MONTH(G34)+2))</f>
        <v>108.114</v>
      </c>
      <c r="Q34" s="560">
        <f>IF(X34=0,0,IF(OR(E34=$AT$10,E34=$AT$9),VLOOKUP(YEAR(X34),INPC!$B$4:$P$30,MONTH(X34)+1),VLOOKUP(YEAR(X34),INPC!$B$4:$P$30,MONTH(X34)+2,0)))</f>
        <v>120.15900000000001</v>
      </c>
      <c r="R34" s="309">
        <f t="shared" si="3"/>
        <v>1.1113999999999999</v>
      </c>
      <c r="S34" s="310">
        <f t="shared" si="11"/>
        <v>43819.969186083996</v>
      </c>
      <c r="T34" s="555">
        <f t="shared" si="12"/>
        <v>842.69171511699994</v>
      </c>
      <c r="U34" s="311"/>
      <c r="V34" s="675">
        <v>52</v>
      </c>
      <c r="W34" s="299" t="s">
        <v>194</v>
      </c>
      <c r="X34" s="300">
        <v>44678</v>
      </c>
      <c r="Y34" s="299" t="s">
        <v>59</v>
      </c>
      <c r="Z34" s="674">
        <v>4705.2299999999996</v>
      </c>
      <c r="AA34" s="305">
        <f>IF(Z34=0,0,IF(Y34="MXN",1/HLOOKUP(YEAR(X34)+(MONTH(X34)/100),TC!$5:$37,DAY(X34)+2,FALSE),VLOOKUP(Y34,Equivalencia!$1:$23,((MAX(Equivalencia!$3:$3)-YEAR(X34))*14)+MONTH(X34)+2,FALSE)))</f>
        <v>1</v>
      </c>
      <c r="AB34" s="306">
        <f t="shared" si="13"/>
        <v>4705.2299999999996</v>
      </c>
      <c r="AC34" s="305">
        <f>+IF(X34=0,0,HLOOKUP(YEAR(X34)+(MONTH(X34)/100),TC!$5:$37,DAY(X34)+2,FALSE))</f>
        <v>20.299199999999999</v>
      </c>
      <c r="AD34" s="307">
        <f t="shared" si="14"/>
        <v>95512.40481599998</v>
      </c>
      <c r="AE34" s="314">
        <f t="shared" si="4"/>
        <v>43819.969186083996</v>
      </c>
      <c r="AF34" s="315">
        <f t="shared" si="5"/>
        <v>51692.435629915984</v>
      </c>
      <c r="AG34" s="316">
        <f t="shared" si="6"/>
        <v>1.5780821917808219</v>
      </c>
      <c r="AH34" s="314">
        <v>1</v>
      </c>
      <c r="AI34" s="314">
        <f t="shared" si="7"/>
        <v>51692.435629915984</v>
      </c>
      <c r="AJ34" s="314">
        <f t="shared" si="15"/>
        <v>0</v>
      </c>
      <c r="AK34" s="317"/>
      <c r="AL34" s="315">
        <f t="shared" si="16"/>
        <v>2942.5299999999997</v>
      </c>
      <c r="AN34" s="554">
        <f t="shared" si="8"/>
        <v>1.6693311397288249</v>
      </c>
      <c r="AO34" s="314"/>
      <c r="AP34" s="318"/>
    </row>
    <row r="35" spans="2:42">
      <c r="B35" s="296" t="s">
        <v>1266</v>
      </c>
      <c r="C35" s="299" t="s">
        <v>277</v>
      </c>
      <c r="D35" s="298" t="s">
        <v>755</v>
      </c>
      <c r="E35" s="299" t="s">
        <v>113</v>
      </c>
      <c r="F35" s="299" t="s">
        <v>59</v>
      </c>
      <c r="G35" s="300">
        <v>43784</v>
      </c>
      <c r="H35" s="303">
        <v>14960.19</v>
      </c>
      <c r="I35" s="301" t="str">
        <f t="shared" si="0"/>
        <v>Ingresos Sección II LISR (SIC &amp; BMV)</v>
      </c>
      <c r="J35" s="302">
        <f t="shared" si="9"/>
        <v>49</v>
      </c>
      <c r="K35" s="304">
        <f t="shared" si="1"/>
        <v>305.31</v>
      </c>
      <c r="L35" s="305">
        <f>IF(H35=0,0,IF(OR(E35=$AT$5,E35=$AT$6),AA35,IF(F35="MXN",1/HLOOKUP(YEAR(G35)+(MONTH(G35)/100),TC!$5:$37,DAY(G35)+2,FALSE),VLOOKUP(F35,Equivalencia!$5:$23,((MAX(Equivalencia!$3:$3)-YEAR(G35))*14)+MONTH(G35)+2,FALSE))))</f>
        <v>1</v>
      </c>
      <c r="M35" s="306">
        <f t="shared" si="2"/>
        <v>14960.19</v>
      </c>
      <c r="N35" s="305">
        <f>IF(G35=0,0,(IF(OR(E35=$AT$5,E35=$AT$6),AC35,HLOOKUP(YEAR(G35)+(MONTH(G35)/100),TC!$5:$37,DAY(G35)+2,FALSE))))</f>
        <v>19.4543</v>
      </c>
      <c r="O35" s="307">
        <f t="shared" si="10"/>
        <v>291040.024317</v>
      </c>
      <c r="P35" s="560">
        <f>IF(G35=0,0,VLOOKUP(YEAR(G35),INPC!$B$4:$P$30,MONTH(G35)+2))</f>
        <v>105.346</v>
      </c>
      <c r="Q35" s="560">
        <f>IF(X35=0,0,IF(OR(E35=$AT$10,E35=$AT$9),VLOOKUP(YEAR(X35),INPC!$B$4:$P$30,MONTH(X35)+1),VLOOKUP(YEAR(X35),INPC!$B$4:$P$30,MONTH(X35)+2,0)))</f>
        <v>118.98099999999999</v>
      </c>
      <c r="R35" s="309">
        <f t="shared" si="3"/>
        <v>1.1294</v>
      </c>
      <c r="S35" s="310">
        <f t="shared" si="11"/>
        <v>328700.60346361977</v>
      </c>
      <c r="T35" s="555">
        <f t="shared" si="12"/>
        <v>6708.1755808901999</v>
      </c>
      <c r="U35" s="311"/>
      <c r="V35" s="675">
        <v>49</v>
      </c>
      <c r="W35" s="299" t="s">
        <v>194</v>
      </c>
      <c r="X35" s="300">
        <v>44648</v>
      </c>
      <c r="Y35" s="299" t="s">
        <v>59</v>
      </c>
      <c r="Z35" s="674">
        <v>27345.05</v>
      </c>
      <c r="AA35" s="305">
        <f>IF(Z35=0,0,IF(Y35="MXN",1/HLOOKUP(YEAR(X35)+(MONTH(X35)/100),TC!$5:$37,DAY(X35)+2,FALSE),VLOOKUP(Y35,Equivalencia!$1:$23,((MAX(Equivalencia!$3:$3)-YEAR(X35))*14)+MONTH(X35)+2,FALSE)))</f>
        <v>1</v>
      </c>
      <c r="AB35" s="306">
        <f t="shared" si="13"/>
        <v>27345.05</v>
      </c>
      <c r="AC35" s="305">
        <f>+IF(X35=0,0,HLOOKUP(YEAR(X35)+(MONTH(X35)/100),TC!$5:$37,DAY(X35)+2,FALSE))</f>
        <v>20.1313</v>
      </c>
      <c r="AD35" s="307">
        <f t="shared" si="14"/>
        <v>550491.40506499994</v>
      </c>
      <c r="AE35" s="314">
        <f t="shared" si="4"/>
        <v>328700.60346361977</v>
      </c>
      <c r="AF35" s="315">
        <f t="shared" si="5"/>
        <v>221790.80160138017</v>
      </c>
      <c r="AG35" s="316">
        <f t="shared" si="6"/>
        <v>2.3671232876712329</v>
      </c>
      <c r="AH35" s="314">
        <v>1</v>
      </c>
      <c r="AI35" s="314">
        <f t="shared" si="7"/>
        <v>221790.80160138017</v>
      </c>
      <c r="AJ35" s="314">
        <f t="shared" si="15"/>
        <v>0</v>
      </c>
      <c r="AK35" s="317"/>
      <c r="AL35" s="315">
        <f t="shared" si="16"/>
        <v>12384.859999999999</v>
      </c>
      <c r="AN35" s="554">
        <f t="shared" si="8"/>
        <v>0.82785445906769894</v>
      </c>
      <c r="AO35" s="314"/>
      <c r="AP35" s="318"/>
    </row>
    <row r="36" spans="2:42">
      <c r="B36" s="296" t="s">
        <v>1266</v>
      </c>
      <c r="C36" s="299" t="s">
        <v>277</v>
      </c>
      <c r="D36" s="298" t="s">
        <v>833</v>
      </c>
      <c r="E36" s="299" t="s">
        <v>113</v>
      </c>
      <c r="F36" s="299" t="s">
        <v>59</v>
      </c>
      <c r="G36" s="300">
        <v>43962</v>
      </c>
      <c r="H36" s="303">
        <v>10054.19</v>
      </c>
      <c r="I36" s="301" t="str">
        <f t="shared" si="0"/>
        <v>Ingresos Sección II LISR (SIC &amp; BMV)</v>
      </c>
      <c r="J36" s="302">
        <f t="shared" si="9"/>
        <v>55</v>
      </c>
      <c r="K36" s="304">
        <f t="shared" si="1"/>
        <v>182.80345454545454</v>
      </c>
      <c r="L36" s="305">
        <f>IF(H36=0,0,IF(OR(E36=$AT$5,E36=$AT$6),AA36,IF(F36="MXN",1/HLOOKUP(YEAR(G36)+(MONTH(G36)/100),TC!$5:$37,DAY(G36)+2,FALSE),VLOOKUP(F36,Equivalencia!$5:$23,((MAX(Equivalencia!$3:$3)-YEAR(G36))*14)+MONTH(G36)+2,FALSE))))</f>
        <v>1</v>
      </c>
      <c r="M36" s="306">
        <f t="shared" si="2"/>
        <v>10054.19</v>
      </c>
      <c r="N36" s="305">
        <f>IF(G36=0,0,(IF(OR(E36=$AT$5,E36=$AT$6),AC36,HLOOKUP(YEAR(G36)+(MONTH(G36)/100),TC!$5:$37,DAY(G36)+2,FALSE))))</f>
        <v>24.0563</v>
      </c>
      <c r="O36" s="307">
        <f t="shared" si="10"/>
        <v>241866.61089700001</v>
      </c>
      <c r="P36" s="560">
        <f>IF(G36=0,0,VLOOKUP(YEAR(G36),INPC!$B$4:$P$30,MONTH(G36)+2))</f>
        <v>106.16200000000001</v>
      </c>
      <c r="Q36" s="560">
        <f>IF(X36=0,0,IF(OR(E36=$AT$10,E36=$AT$9),VLOOKUP(YEAR(X36),INPC!$B$4:$P$30,MONTH(X36)+1),VLOOKUP(YEAR(X36),INPC!$B$4:$P$30,MONTH(X36)+2,0)))</f>
        <v>120.809</v>
      </c>
      <c r="R36" s="309">
        <f t="shared" si="3"/>
        <v>1.1378999999999999</v>
      </c>
      <c r="S36" s="310">
        <f t="shared" si="11"/>
        <v>275220.01653969631</v>
      </c>
      <c r="T36" s="555">
        <f t="shared" si="12"/>
        <v>5004.000300721751</v>
      </c>
      <c r="U36" s="311"/>
      <c r="V36" s="675">
        <v>55</v>
      </c>
      <c r="W36" s="299" t="s">
        <v>194</v>
      </c>
      <c r="X36" s="300">
        <v>44701</v>
      </c>
      <c r="Y36" s="299" t="s">
        <v>59</v>
      </c>
      <c r="Z36" s="674">
        <v>10295.61</v>
      </c>
      <c r="AA36" s="305">
        <f>IF(Z36=0,0,IF(Y36="MXN",1/HLOOKUP(YEAR(X36)+(MONTH(X36)/100),TC!$5:$37,DAY(X36)+2,FALSE),VLOOKUP(Y36,Equivalencia!$1:$23,((MAX(Equivalencia!$3:$3)-YEAR(X36))*14)+MONTH(X36)+2,FALSE)))</f>
        <v>1</v>
      </c>
      <c r="AB36" s="306">
        <f t="shared" si="13"/>
        <v>10295.61</v>
      </c>
      <c r="AC36" s="305">
        <f>+IF(X36=0,0,HLOOKUP(YEAR(X36)+(MONTH(X36)/100),TC!$5:$37,DAY(X36)+2,FALSE))</f>
        <v>19.9663</v>
      </c>
      <c r="AD36" s="307">
        <f t="shared" si="14"/>
        <v>205565.23794300001</v>
      </c>
      <c r="AE36" s="314">
        <f t="shared" si="4"/>
        <v>275220.01653969631</v>
      </c>
      <c r="AF36" s="315">
        <f t="shared" si="5"/>
        <v>-69654.778596696298</v>
      </c>
      <c r="AG36" s="316">
        <f t="shared" si="6"/>
        <v>2.0246575342465754</v>
      </c>
      <c r="AH36" s="314">
        <v>1</v>
      </c>
      <c r="AI36" s="314">
        <f t="shared" si="7"/>
        <v>-69654.778596696298</v>
      </c>
      <c r="AJ36" s="314">
        <f t="shared" si="15"/>
        <v>0</v>
      </c>
      <c r="AK36" s="317"/>
      <c r="AL36" s="315">
        <f t="shared" si="16"/>
        <v>241.42000000000007</v>
      </c>
      <c r="AN36" s="554">
        <f t="shared" si="8"/>
        <v>2.4011879624315838E-2</v>
      </c>
      <c r="AO36" s="314"/>
      <c r="AP36" s="318"/>
    </row>
    <row r="37" spans="2:42">
      <c r="B37" s="296" t="s">
        <v>1266</v>
      </c>
      <c r="C37" s="299" t="s">
        <v>277</v>
      </c>
      <c r="D37" s="298" t="s">
        <v>834</v>
      </c>
      <c r="E37" s="299" t="s">
        <v>113</v>
      </c>
      <c r="F37" s="299" t="s">
        <v>59</v>
      </c>
      <c r="G37" s="300">
        <v>43965</v>
      </c>
      <c r="H37" s="303">
        <v>11.87</v>
      </c>
      <c r="I37" s="301" t="str">
        <f t="shared" si="0"/>
        <v>Ingresos Sección II LISR (SIC &amp; BMV)</v>
      </c>
      <c r="J37" s="302">
        <f t="shared" si="9"/>
        <v>0.4</v>
      </c>
      <c r="K37" s="304">
        <f t="shared" si="1"/>
        <v>29.674999999999997</v>
      </c>
      <c r="L37" s="305">
        <f>IF(H37=0,0,IF(OR(E37=$AT$5,E37=$AT$6),AA37,IF(F37="MXN",1/HLOOKUP(YEAR(G37)+(MONTH(G37)/100),TC!$5:$37,DAY(G37)+2,FALSE),VLOOKUP(F37,Equivalencia!$5:$23,((MAX(Equivalencia!$3:$3)-YEAR(G37))*14)+MONTH(G37)+2,FALSE))))</f>
        <v>1</v>
      </c>
      <c r="M37" s="306">
        <f t="shared" si="2"/>
        <v>11.87</v>
      </c>
      <c r="N37" s="305">
        <f>IF(G37=0,0,(IF(OR(E37=$AT$5,E37=$AT$6),AC37,HLOOKUP(YEAR(G37)+(MONTH(G37)/100),TC!$5:$37,DAY(G37)+2,FALSE))))</f>
        <v>24.0487</v>
      </c>
      <c r="O37" s="307">
        <f t="shared" si="10"/>
        <v>285.45806899999997</v>
      </c>
      <c r="P37" s="560">
        <f>IF(G37=0,0,VLOOKUP(YEAR(G37),INPC!$B$4:$P$30,MONTH(G37)+2))</f>
        <v>106.16200000000001</v>
      </c>
      <c r="Q37" s="560">
        <f>IF(X37=0,0,IF(OR(E37=$AT$10,E37=$AT$9),VLOOKUP(YEAR(X37),INPC!$B$4:$P$30,MONTH(X37)+1),VLOOKUP(YEAR(X37),INPC!$B$4:$P$30,MONTH(X37)+2,0)))</f>
        <v>120.15900000000001</v>
      </c>
      <c r="R37" s="309">
        <f t="shared" si="3"/>
        <v>1.1317999999999999</v>
      </c>
      <c r="S37" s="310">
        <f t="shared" si="11"/>
        <v>323.08144249419996</v>
      </c>
      <c r="T37" s="555">
        <f t="shared" si="12"/>
        <v>807.70360623549982</v>
      </c>
      <c r="U37" s="311"/>
      <c r="V37" s="675">
        <v>0.4</v>
      </c>
      <c r="W37" s="299" t="s">
        <v>194</v>
      </c>
      <c r="X37" s="300">
        <v>44652</v>
      </c>
      <c r="Y37" s="299" t="s">
        <v>59</v>
      </c>
      <c r="Z37" s="674">
        <v>12.24</v>
      </c>
      <c r="AA37" s="305">
        <f>IF(Z37=0,0,IF(Y37="MXN",1/HLOOKUP(YEAR(X37)+(MONTH(X37)/100),TC!$5:$37,DAY(X37)+2,FALSE),VLOOKUP(Y37,Equivalencia!$1:$23,((MAX(Equivalencia!$3:$3)-YEAR(X37))*14)+MONTH(X37)+2,FALSE)))</f>
        <v>1</v>
      </c>
      <c r="AB37" s="306">
        <f t="shared" si="13"/>
        <v>12.24</v>
      </c>
      <c r="AC37" s="305">
        <f>+IF(X37=0,0,HLOOKUP(YEAR(X37)+(MONTH(X37)/100),TC!$5:$37,DAY(X37)+2,FALSE))</f>
        <v>19.863199999999999</v>
      </c>
      <c r="AD37" s="307">
        <f t="shared" si="14"/>
        <v>243.12556799999999</v>
      </c>
      <c r="AE37" s="314">
        <f t="shared" si="4"/>
        <v>323.08144249419996</v>
      </c>
      <c r="AF37" s="315">
        <f t="shared" si="5"/>
        <v>-79.955874494199975</v>
      </c>
      <c r="AG37" s="316">
        <f t="shared" si="6"/>
        <v>1.8821917808219177</v>
      </c>
      <c r="AH37" s="314">
        <v>1</v>
      </c>
      <c r="AI37" s="314">
        <f t="shared" si="7"/>
        <v>-79.955874494199975</v>
      </c>
      <c r="AJ37" s="314">
        <f t="shared" si="15"/>
        <v>0</v>
      </c>
      <c r="AK37" s="317"/>
      <c r="AL37" s="315">
        <f t="shared" si="16"/>
        <v>0.37000000000000099</v>
      </c>
      <c r="AN37" s="554">
        <f t="shared" si="8"/>
        <v>3.1171019376579699E-2</v>
      </c>
      <c r="AO37" s="314"/>
      <c r="AP37" s="318"/>
    </row>
    <row r="38" spans="2:42">
      <c r="B38" s="296" t="s">
        <v>1266</v>
      </c>
      <c r="C38" s="299" t="s">
        <v>277</v>
      </c>
      <c r="D38" s="298" t="s">
        <v>834</v>
      </c>
      <c r="E38" s="299" t="s">
        <v>113</v>
      </c>
      <c r="F38" s="299" t="s">
        <v>59</v>
      </c>
      <c r="G38" s="300">
        <v>43965</v>
      </c>
      <c r="H38" s="303">
        <v>451.12</v>
      </c>
      <c r="I38" s="301" t="str">
        <f t="shared" si="0"/>
        <v>Ingresos Sección II LISR (SIC &amp; BMV)</v>
      </c>
      <c r="J38" s="302">
        <f t="shared" si="9"/>
        <v>15.2</v>
      </c>
      <c r="K38" s="304">
        <f t="shared" si="1"/>
        <v>29.678947368421053</v>
      </c>
      <c r="L38" s="305">
        <f>IF(H38=0,0,IF(OR(E38=$AT$5,E38=$AT$6),AA38,IF(F38="MXN",1/HLOOKUP(YEAR(G38)+(MONTH(G38)/100),TC!$5:$37,DAY(G38)+2,FALSE),VLOOKUP(F38,Equivalencia!$5:$23,((MAX(Equivalencia!$3:$3)-YEAR(G38))*14)+MONTH(G38)+2,FALSE))))</f>
        <v>1</v>
      </c>
      <c r="M38" s="306">
        <f t="shared" si="2"/>
        <v>451.12</v>
      </c>
      <c r="N38" s="305">
        <f>IF(G38=0,0,(IF(OR(E38=$AT$5,E38=$AT$6),AC38,HLOOKUP(YEAR(G38)+(MONTH(G38)/100),TC!$5:$37,DAY(G38)+2,FALSE))))</f>
        <v>24.0487</v>
      </c>
      <c r="O38" s="307">
        <f t="shared" si="10"/>
        <v>10848.849544000001</v>
      </c>
      <c r="P38" s="560">
        <f>IF(G38=0,0,VLOOKUP(YEAR(G38),INPC!$B$4:$P$30,MONTH(G38)+2))</f>
        <v>106.16200000000001</v>
      </c>
      <c r="Q38" s="560">
        <f>IF(X38=0,0,IF(OR(E38=$AT$10,E38=$AT$9),VLOOKUP(YEAR(X38),INPC!$B$4:$P$30,MONTH(X38)+1),VLOOKUP(YEAR(X38),INPC!$B$4:$P$30,MONTH(X38)+2,0)))</f>
        <v>120.15900000000001</v>
      </c>
      <c r="R38" s="309">
        <f t="shared" si="3"/>
        <v>1.1317999999999999</v>
      </c>
      <c r="S38" s="310">
        <f t="shared" si="11"/>
        <v>12278.7279138992</v>
      </c>
      <c r="T38" s="555">
        <f t="shared" si="12"/>
        <v>807.81104696705268</v>
      </c>
      <c r="U38" s="311"/>
      <c r="V38" s="675">
        <v>15.2</v>
      </c>
      <c r="W38" s="299" t="s">
        <v>194</v>
      </c>
      <c r="X38" s="300">
        <v>44655</v>
      </c>
      <c r="Y38" s="299" t="s">
        <v>59</v>
      </c>
      <c r="Z38" s="674">
        <v>465.06</v>
      </c>
      <c r="AA38" s="305">
        <f>IF(Z38=0,0,IF(Y38="MXN",1/HLOOKUP(YEAR(X38)+(MONTH(X38)/100),TC!$5:$37,DAY(X38)+2,FALSE),VLOOKUP(Y38,Equivalencia!$1:$23,((MAX(Equivalencia!$3:$3)-YEAR(X38))*14)+MONTH(X38)+2,FALSE)))</f>
        <v>1</v>
      </c>
      <c r="AB38" s="306">
        <f t="shared" si="13"/>
        <v>465.06</v>
      </c>
      <c r="AC38" s="305">
        <f>+IF(X38=0,0,HLOOKUP(YEAR(X38)+(MONTH(X38)/100),TC!$5:$37,DAY(X38)+2,FALSE))</f>
        <v>19.911200000000001</v>
      </c>
      <c r="AD38" s="307">
        <f t="shared" si="14"/>
        <v>9259.9026720000002</v>
      </c>
      <c r="AE38" s="314">
        <f t="shared" si="4"/>
        <v>12278.7279138992</v>
      </c>
      <c r="AF38" s="315">
        <f t="shared" si="5"/>
        <v>-3018.8252418991997</v>
      </c>
      <c r="AG38" s="316">
        <f t="shared" si="6"/>
        <v>1.8904109589041096</v>
      </c>
      <c r="AH38" s="314">
        <v>1</v>
      </c>
      <c r="AI38" s="314">
        <f t="shared" si="7"/>
        <v>-3018.8252418991997</v>
      </c>
      <c r="AJ38" s="314">
        <f t="shared" si="15"/>
        <v>0</v>
      </c>
      <c r="AK38" s="317"/>
      <c r="AL38" s="315">
        <f t="shared" si="16"/>
        <v>13.939999999999998</v>
      </c>
      <c r="AN38" s="554">
        <f t="shared" si="8"/>
        <v>3.09008689483951E-2</v>
      </c>
      <c r="AO38" s="314"/>
      <c r="AP38" s="318"/>
    </row>
    <row r="39" spans="2:42">
      <c r="B39" s="296" t="s">
        <v>1266</v>
      </c>
      <c r="C39" s="299" t="s">
        <v>277</v>
      </c>
      <c r="D39" s="298" t="s">
        <v>834</v>
      </c>
      <c r="E39" s="299" t="s">
        <v>113</v>
      </c>
      <c r="F39" s="299" t="s">
        <v>59</v>
      </c>
      <c r="G39" s="300">
        <v>44102</v>
      </c>
      <c r="H39" s="303">
        <v>166.91</v>
      </c>
      <c r="I39" s="301" t="str">
        <f t="shared" si="0"/>
        <v>Ingresos Sección II LISR (SIC &amp; BMV)</v>
      </c>
      <c r="J39" s="302">
        <f t="shared" si="9"/>
        <v>6.4</v>
      </c>
      <c r="K39" s="304">
        <f t="shared" si="1"/>
        <v>26.079687499999999</v>
      </c>
      <c r="L39" s="305">
        <f>IF(H39=0,0,IF(OR(E39=$AT$5,E39=$AT$6),AA39,IF(F39="MXN",1/HLOOKUP(YEAR(G39)+(MONTH(G39)/100),TC!$5:$37,DAY(G39)+2,FALSE),VLOOKUP(F39,Equivalencia!$5:$23,((MAX(Equivalencia!$3:$3)-YEAR(G39))*14)+MONTH(G39)+2,FALSE))))</f>
        <v>1</v>
      </c>
      <c r="M39" s="306">
        <f t="shared" si="2"/>
        <v>166.91</v>
      </c>
      <c r="N39" s="305">
        <f>IF(G39=0,0,(IF(OR(E39=$AT$5,E39=$AT$6),AC39,HLOOKUP(YEAR(G39)+(MONTH(G39)/100),TC!$5:$37,DAY(G39)+2,FALSE))))</f>
        <v>22.367799999999999</v>
      </c>
      <c r="O39" s="307">
        <f t="shared" si="10"/>
        <v>3733.409498</v>
      </c>
      <c r="P39" s="560">
        <f>IF(G39=0,0,VLOOKUP(YEAR(G39),INPC!$B$4:$P$30,MONTH(G39)+2))</f>
        <v>108.114</v>
      </c>
      <c r="Q39" s="560">
        <f>IF(X39=0,0,IF(OR(E39=$AT$10,E39=$AT$9),VLOOKUP(YEAR(X39),INPC!$B$4:$P$30,MONTH(X39)+1),VLOOKUP(YEAR(X39),INPC!$B$4:$P$30,MONTH(X39)+2,0)))</f>
        <v>120.15900000000001</v>
      </c>
      <c r="R39" s="309">
        <f t="shared" si="3"/>
        <v>1.1113999999999999</v>
      </c>
      <c r="S39" s="310">
        <f t="shared" si="11"/>
        <v>4149.3113160772</v>
      </c>
      <c r="T39" s="555">
        <f t="shared" si="12"/>
        <v>648.32989313706241</v>
      </c>
      <c r="U39" s="311"/>
      <c r="V39" s="675">
        <v>6.4</v>
      </c>
      <c r="W39" s="299" t="s">
        <v>194</v>
      </c>
      <c r="X39" s="300">
        <v>44655</v>
      </c>
      <c r="Y39" s="299" t="s">
        <v>59</v>
      </c>
      <c r="Z39" s="674">
        <v>195.82</v>
      </c>
      <c r="AA39" s="305">
        <f>IF(Z39=0,0,IF(Y39="MXN",1/HLOOKUP(YEAR(X39)+(MONTH(X39)/100),TC!$5:$37,DAY(X39)+2,FALSE),VLOOKUP(Y39,Equivalencia!$1:$23,((MAX(Equivalencia!$3:$3)-YEAR(X39))*14)+MONTH(X39)+2,FALSE)))</f>
        <v>1</v>
      </c>
      <c r="AB39" s="306">
        <f t="shared" si="13"/>
        <v>195.82</v>
      </c>
      <c r="AC39" s="305">
        <f>+IF(X39=0,0,HLOOKUP(YEAR(X39)+(MONTH(X39)/100),TC!$5:$37,DAY(X39)+2,FALSE))</f>
        <v>19.911200000000001</v>
      </c>
      <c r="AD39" s="307">
        <f t="shared" si="14"/>
        <v>3899.011184</v>
      </c>
      <c r="AE39" s="314">
        <f t="shared" si="4"/>
        <v>4149.3113160772</v>
      </c>
      <c r="AF39" s="315">
        <f t="shared" si="5"/>
        <v>-250.30013207720003</v>
      </c>
      <c r="AG39" s="316">
        <f t="shared" si="6"/>
        <v>1.515068493150685</v>
      </c>
      <c r="AH39" s="314">
        <v>1</v>
      </c>
      <c r="AI39" s="314">
        <f t="shared" si="7"/>
        <v>-250.30013207720003</v>
      </c>
      <c r="AJ39" s="314">
        <f t="shared" si="15"/>
        <v>0</v>
      </c>
      <c r="AK39" s="317"/>
      <c r="AL39" s="315">
        <f t="shared" si="16"/>
        <v>28.909999999999997</v>
      </c>
      <c r="AN39" s="554">
        <f t="shared" si="8"/>
        <v>0.17320711760829188</v>
      </c>
      <c r="AO39" s="314"/>
      <c r="AP39" s="318"/>
    </row>
    <row r="40" spans="2:42">
      <c r="B40" s="296" t="s">
        <v>1266</v>
      </c>
      <c r="C40" s="299" t="s">
        <v>277</v>
      </c>
      <c r="D40" s="298" t="s">
        <v>834</v>
      </c>
      <c r="E40" s="299" t="s">
        <v>113</v>
      </c>
      <c r="F40" s="299" t="s">
        <v>59</v>
      </c>
      <c r="G40" s="300">
        <v>44126</v>
      </c>
      <c r="H40" s="303">
        <v>454.06</v>
      </c>
      <c r="I40" s="301" t="str">
        <f t="shared" si="0"/>
        <v>Ingresos Sección II LISR (SIC &amp; BMV)</v>
      </c>
      <c r="J40" s="302">
        <f t="shared" si="9"/>
        <v>16.399999999999999</v>
      </c>
      <c r="K40" s="304">
        <f t="shared" si="1"/>
        <v>27.686585365853659</v>
      </c>
      <c r="L40" s="305">
        <f>IF(H40=0,0,IF(OR(E40=$AT$5,E40=$AT$6),AA40,IF(F40="MXN",1/HLOOKUP(YEAR(G40)+(MONTH(G40)/100),TC!$5:$37,DAY(G40)+2,FALSE),VLOOKUP(F40,Equivalencia!$5:$23,((MAX(Equivalencia!$3:$3)-YEAR(G40))*14)+MONTH(G40)+2,FALSE))))</f>
        <v>1</v>
      </c>
      <c r="M40" s="306">
        <f t="shared" si="2"/>
        <v>454.06</v>
      </c>
      <c r="N40" s="305">
        <f>IF(G40=0,0,(IF(OR(E40=$AT$5,E40=$AT$6),AC40,HLOOKUP(YEAR(G40)+(MONTH(G40)/100),TC!$5:$37,DAY(G40)+2,FALSE))))</f>
        <v>21.090199999999999</v>
      </c>
      <c r="O40" s="307">
        <f t="shared" si="10"/>
        <v>9576.2162119999994</v>
      </c>
      <c r="P40" s="560">
        <f>IF(G40=0,0,VLOOKUP(YEAR(G40),INPC!$B$4:$P$30,MONTH(G40)+2))</f>
        <v>108.774</v>
      </c>
      <c r="Q40" s="560">
        <f>IF(X40=0,0,IF(OR(E40=$AT$10,E40=$AT$9),VLOOKUP(YEAR(X40),INPC!$B$4:$P$30,MONTH(X40)+1),VLOOKUP(YEAR(X40),INPC!$B$4:$P$30,MONTH(X40)+2,0)))</f>
        <v>120.15900000000001</v>
      </c>
      <c r="R40" s="309">
        <f t="shared" si="3"/>
        <v>1.1046</v>
      </c>
      <c r="S40" s="310">
        <f t="shared" si="11"/>
        <v>10577.8884277752</v>
      </c>
      <c r="T40" s="555">
        <f t="shared" si="12"/>
        <v>644.99319681556108</v>
      </c>
      <c r="U40" s="311"/>
      <c r="V40" s="675">
        <v>16.399999999999999</v>
      </c>
      <c r="W40" s="299" t="s">
        <v>194</v>
      </c>
      <c r="X40" s="300">
        <v>44655</v>
      </c>
      <c r="Y40" s="299" t="s">
        <v>59</v>
      </c>
      <c r="Z40" s="674">
        <v>501.78</v>
      </c>
      <c r="AA40" s="305">
        <f>IF(Z40=0,0,IF(Y40="MXN",1/HLOOKUP(YEAR(X40)+(MONTH(X40)/100),TC!$5:$37,DAY(X40)+2,FALSE),VLOOKUP(Y40,Equivalencia!$1:$23,((MAX(Equivalencia!$3:$3)-YEAR(X40))*14)+MONTH(X40)+2,FALSE)))</f>
        <v>1</v>
      </c>
      <c r="AB40" s="306">
        <f t="shared" si="13"/>
        <v>501.78</v>
      </c>
      <c r="AC40" s="305">
        <f>+IF(X40=0,0,HLOOKUP(YEAR(X40)+(MONTH(X40)/100),TC!$5:$37,DAY(X40)+2,FALSE))</f>
        <v>19.911200000000001</v>
      </c>
      <c r="AD40" s="307">
        <f t="shared" si="14"/>
        <v>9991.0419359999996</v>
      </c>
      <c r="AE40" s="314">
        <f t="shared" si="4"/>
        <v>10577.8884277752</v>
      </c>
      <c r="AF40" s="315">
        <f t="shared" si="5"/>
        <v>-586.84649177520078</v>
      </c>
      <c r="AG40" s="316">
        <f t="shared" si="6"/>
        <v>1.4493150684931506</v>
      </c>
      <c r="AH40" s="314">
        <v>1</v>
      </c>
      <c r="AI40" s="314">
        <f t="shared" si="7"/>
        <v>-586.84649177520078</v>
      </c>
      <c r="AJ40" s="314">
        <f t="shared" si="15"/>
        <v>0</v>
      </c>
      <c r="AK40" s="317"/>
      <c r="AL40" s="315">
        <f t="shared" si="16"/>
        <v>47.71999999999997</v>
      </c>
      <c r="AN40" s="554">
        <f t="shared" si="8"/>
        <v>0.10509624278729676</v>
      </c>
      <c r="AO40" s="314"/>
      <c r="AP40" s="318"/>
    </row>
    <row r="41" spans="2:42">
      <c r="B41" s="296"/>
      <c r="C41" s="299"/>
      <c r="D41" s="298"/>
      <c r="E41" s="299"/>
      <c r="F41" s="299"/>
      <c r="G41" s="300"/>
      <c r="H41" s="303"/>
      <c r="I41" s="301">
        <f t="shared" si="0"/>
        <v>0</v>
      </c>
      <c r="J41" s="302">
        <f t="shared" si="9"/>
        <v>0</v>
      </c>
      <c r="K41" s="304">
        <f t="shared" si="1"/>
        <v>0</v>
      </c>
      <c r="L41" s="305">
        <f>IF(H41=0,0,IF(OR(E41=$AT$5,E41=$AT$6),AA41,IF(F41="MXN",1/HLOOKUP(YEAR(G41)+(MONTH(G41)/100),TC!$5:$37,DAY(G41)+2,FALSE),VLOOKUP(F41,Equivalencia!$5:$23,((MAX(Equivalencia!$3:$3)-YEAR(G41))*14)+MONTH(G41)+2,FALSE))))</f>
        <v>0</v>
      </c>
      <c r="M41" s="306">
        <f t="shared" si="2"/>
        <v>0</v>
      </c>
      <c r="N41" s="305">
        <f>IF(G41=0,0,(IF(OR(E41=$AT$5,E41=$AT$6),AC41,HLOOKUP(YEAR(G41)+(MONTH(G41)/100),TC!$5:$37,DAY(G41)+2,FALSE))))</f>
        <v>0</v>
      </c>
      <c r="O41" s="307">
        <f t="shared" si="10"/>
        <v>0</v>
      </c>
      <c r="P41" s="560">
        <f>IF(G41=0,0,VLOOKUP(YEAR(G41),INPC!$B$4:$P$30,MONTH(G41)+2))</f>
        <v>0</v>
      </c>
      <c r="Q41" s="560">
        <f>IF(X41=0,0,IF(OR(E41=$AT$10,E41=$AT$9),VLOOKUP(YEAR(X41),INPC!$B$4:$P$30,MONTH(X41)+1),VLOOKUP(YEAR(X41),INPC!$B$4:$P$30,MONTH(X41)+2,0)))</f>
        <v>0</v>
      </c>
      <c r="R41" s="309">
        <f t="shared" si="3"/>
        <v>0</v>
      </c>
      <c r="S41" s="310">
        <f t="shared" si="11"/>
        <v>0</v>
      </c>
      <c r="T41" s="555">
        <f t="shared" si="12"/>
        <v>0</v>
      </c>
      <c r="U41" s="311"/>
      <c r="V41" s="675"/>
      <c r="W41" s="299"/>
      <c r="X41" s="300"/>
      <c r="Y41" s="299"/>
      <c r="Z41" s="674"/>
      <c r="AA41" s="305">
        <f>IF(Z41=0,0,IF(Y41="MXN",1/HLOOKUP(YEAR(X41)+(MONTH(X41)/100),TC!$5:$37,DAY(X41)+2,FALSE),VLOOKUP(Y41,Equivalencia!$1:$23,((MAX(Equivalencia!$3:$3)-YEAR(X41))*14)+MONTH(X41)+2,FALSE)))</f>
        <v>0</v>
      </c>
      <c r="AB41" s="306">
        <f t="shared" si="13"/>
        <v>0</v>
      </c>
      <c r="AC41" s="305">
        <f>+IF(X41=0,0,HLOOKUP(YEAR(X41)+(MONTH(X41)/100),TC!$5:$37,DAY(X41)+2,FALSE))</f>
        <v>0</v>
      </c>
      <c r="AD41" s="307">
        <f t="shared" si="14"/>
        <v>0</v>
      </c>
      <c r="AE41" s="314">
        <f t="shared" si="4"/>
        <v>0</v>
      </c>
      <c r="AF41" s="315">
        <f t="shared" si="5"/>
        <v>0</v>
      </c>
      <c r="AG41" s="316">
        <f t="shared" si="6"/>
        <v>0</v>
      </c>
      <c r="AH41" s="314">
        <v>1</v>
      </c>
      <c r="AI41" s="314">
        <f t="shared" si="7"/>
        <v>0</v>
      </c>
      <c r="AJ41" s="314">
        <f t="shared" si="15"/>
        <v>0</v>
      </c>
      <c r="AK41" s="317"/>
      <c r="AL41" s="315">
        <f t="shared" si="16"/>
        <v>0</v>
      </c>
      <c r="AN41" s="554">
        <f t="shared" si="8"/>
        <v>0</v>
      </c>
      <c r="AO41" s="314"/>
      <c r="AP41" s="318"/>
    </row>
    <row r="42" spans="2:42">
      <c r="B42" s="296" t="s">
        <v>1266</v>
      </c>
      <c r="C42" s="299" t="s">
        <v>277</v>
      </c>
      <c r="D42" s="298" t="s">
        <v>783</v>
      </c>
      <c r="E42" s="299" t="s">
        <v>113</v>
      </c>
      <c r="F42" s="299" t="s">
        <v>59</v>
      </c>
      <c r="G42" s="300">
        <v>44049</v>
      </c>
      <c r="H42" s="303">
        <v>614.42999999999995</v>
      </c>
      <c r="I42" s="301" t="str">
        <f t="shared" si="0"/>
        <v>Ingresos Sección II LISR (SIC &amp; BMV)</v>
      </c>
      <c r="J42" s="302">
        <f t="shared" si="9"/>
        <v>3</v>
      </c>
      <c r="K42" s="304">
        <f t="shared" si="1"/>
        <v>204.80999999999997</v>
      </c>
      <c r="L42" s="305">
        <f>IF(H42=0,0,IF(OR(E42=$AT$5,E42=$AT$6),AA42,IF(F42="MXN",1/HLOOKUP(YEAR(G42)+(MONTH(G42)/100),TC!$5:$37,DAY(G42)+2,FALSE),VLOOKUP(F42,Equivalencia!$5:$23,((MAX(Equivalencia!$3:$3)-YEAR(G42))*14)+MONTH(G42)+2,FALSE))))</f>
        <v>1</v>
      </c>
      <c r="M42" s="306">
        <f t="shared" si="2"/>
        <v>614.42999999999995</v>
      </c>
      <c r="N42" s="305">
        <f>IF(G42=0,0,(IF(OR(E42=$AT$5,E42=$AT$6),AC42,HLOOKUP(YEAR(G42)+(MONTH(G42)/100),TC!$5:$37,DAY(G42)+2,FALSE))))</f>
        <v>22.784500000000001</v>
      </c>
      <c r="O42" s="307">
        <f t="shared" si="10"/>
        <v>13999.480335</v>
      </c>
      <c r="P42" s="560">
        <f>IF(G42=0,0,VLOOKUP(YEAR(G42),INPC!$B$4:$P$30,MONTH(G42)+2))</f>
        <v>107.867</v>
      </c>
      <c r="Q42" s="560">
        <f>IF(X42=0,0,IF(OR(E42=$AT$10,E42=$AT$9),VLOOKUP(YEAR(X42),INPC!$B$4:$P$30,MONTH(X42)+1),VLOOKUP(YEAR(X42),INPC!$B$4:$P$30,MONTH(X42)+2,0)))</f>
        <v>118.002</v>
      </c>
      <c r="R42" s="309">
        <f t="shared" si="3"/>
        <v>1.0939000000000001</v>
      </c>
      <c r="S42" s="310">
        <f t="shared" si="11"/>
        <v>15314.031538456502</v>
      </c>
      <c r="T42" s="555">
        <f t="shared" si="12"/>
        <v>5104.6771794855003</v>
      </c>
      <c r="U42" s="311"/>
      <c r="V42" s="312">
        <v>3</v>
      </c>
      <c r="W42" s="299" t="s">
        <v>194</v>
      </c>
      <c r="X42" s="300">
        <v>44608</v>
      </c>
      <c r="Y42" s="299" t="s">
        <v>59</v>
      </c>
      <c r="Z42" s="303">
        <v>1084.6199999999999</v>
      </c>
      <c r="AA42" s="305">
        <f>IF(Z42=0,0,IF(Y42="MXN",1/HLOOKUP(YEAR(X42)+(MONTH(X42)/100),TC!$5:$37,DAY(X42)+2,FALSE),VLOOKUP(Y42,Equivalencia!$1:$23,((MAX(Equivalencia!$3:$3)-YEAR(X42))*14)+MONTH(X42)+2,FALSE)))</f>
        <v>1</v>
      </c>
      <c r="AB42" s="306">
        <f t="shared" si="13"/>
        <v>1084.6199999999999</v>
      </c>
      <c r="AC42" s="305">
        <f>+IF(X42=0,0,HLOOKUP(YEAR(X42)+(MONTH(X42)/100),TC!$5:$37,DAY(X42)+2,FALSE))</f>
        <v>20.411000000000001</v>
      </c>
      <c r="AD42" s="307">
        <f t="shared" si="14"/>
        <v>22138.178820000001</v>
      </c>
      <c r="AE42" s="314">
        <f t="shared" si="4"/>
        <v>15314.0315384565</v>
      </c>
      <c r="AF42" s="315">
        <f t="shared" si="5"/>
        <v>6824.1472815435009</v>
      </c>
      <c r="AG42" s="316">
        <f t="shared" si="6"/>
        <v>1.5315068493150685</v>
      </c>
      <c r="AH42" s="314">
        <v>1</v>
      </c>
      <c r="AI42" s="314">
        <f t="shared" si="7"/>
        <v>6824.1472815435009</v>
      </c>
      <c r="AJ42" s="314">
        <f t="shared" si="15"/>
        <v>0</v>
      </c>
      <c r="AK42" s="317"/>
      <c r="AL42" s="315">
        <f t="shared" si="16"/>
        <v>470.18999999999994</v>
      </c>
      <c r="AN42" s="554">
        <f t="shared" si="8"/>
        <v>0.76524583760558562</v>
      </c>
      <c r="AO42" s="314"/>
      <c r="AP42" s="318"/>
    </row>
    <row r="43" spans="2:42">
      <c r="B43" s="296" t="s">
        <v>1266</v>
      </c>
      <c r="C43" s="299" t="s">
        <v>277</v>
      </c>
      <c r="D43" s="298" t="s">
        <v>783</v>
      </c>
      <c r="E43" s="299" t="s">
        <v>113</v>
      </c>
      <c r="F43" s="299" t="s">
        <v>59</v>
      </c>
      <c r="G43" s="300">
        <v>44102</v>
      </c>
      <c r="H43" s="303">
        <v>6017.51</v>
      </c>
      <c r="I43" s="301" t="str">
        <f t="shared" si="0"/>
        <v>Ingresos Sección II LISR (SIC &amp; BMV)</v>
      </c>
      <c r="J43" s="302">
        <f t="shared" si="9"/>
        <v>30</v>
      </c>
      <c r="K43" s="304">
        <f t="shared" si="1"/>
        <v>200.58366666666669</v>
      </c>
      <c r="L43" s="305">
        <f>IF(H43=0,0,IF(OR(E43=$AT$5,E43=$AT$6),AA43,IF(F43="MXN",1/HLOOKUP(YEAR(G43)+(MONTH(G43)/100),TC!$5:$37,DAY(G43)+2,FALSE),VLOOKUP(F43,Equivalencia!$5:$23,((MAX(Equivalencia!$3:$3)-YEAR(G43))*14)+MONTH(G43)+2,FALSE))))</f>
        <v>1</v>
      </c>
      <c r="M43" s="306">
        <f t="shared" si="2"/>
        <v>6017.51</v>
      </c>
      <c r="N43" s="305">
        <f>IF(G43=0,0,(IF(OR(E43=$AT$5,E43=$AT$6),AC43,HLOOKUP(YEAR(G43)+(MONTH(G43)/100),TC!$5:$37,DAY(G43)+2,FALSE))))</f>
        <v>22.367799999999999</v>
      </c>
      <c r="O43" s="307">
        <f t="shared" si="10"/>
        <v>134598.46017800001</v>
      </c>
      <c r="P43" s="560">
        <f>IF(G43=0,0,VLOOKUP(YEAR(G43),INPC!$B$4:$P$30,MONTH(G43)+2))</f>
        <v>108.114</v>
      </c>
      <c r="Q43" s="560">
        <f>IF(X43=0,0,IF(OR(E43=$AT$10,E43=$AT$9),VLOOKUP(YEAR(X43),INPC!$B$4:$P$30,MONTH(X43)+1),VLOOKUP(YEAR(X43),INPC!$B$4:$P$30,MONTH(X43)+2,0)))</f>
        <v>118.98099999999999</v>
      </c>
      <c r="R43" s="309">
        <f t="shared" si="3"/>
        <v>1.1005</v>
      </c>
      <c r="S43" s="310">
        <f t="shared" si="11"/>
        <v>148125.60542588902</v>
      </c>
      <c r="T43" s="555">
        <f t="shared" si="12"/>
        <v>4937.5201808629672</v>
      </c>
      <c r="U43" s="311"/>
      <c r="V43" s="312">
        <v>30</v>
      </c>
      <c r="W43" s="299" t="s">
        <v>194</v>
      </c>
      <c r="X43" s="300">
        <v>44642</v>
      </c>
      <c r="Y43" s="299" t="s">
        <v>59</v>
      </c>
      <c r="Z43" s="303">
        <v>10234.51</v>
      </c>
      <c r="AA43" s="305">
        <f>IF(Z43=0,0,IF(Y43="MXN",1/HLOOKUP(YEAR(X43)+(MONTH(X43)/100),TC!$5:$37,DAY(X43)+2,FALSE),VLOOKUP(Y43,Equivalencia!$1:$23,((MAX(Equivalencia!$3:$3)-YEAR(X43))*14)+MONTH(X43)+2,FALSE)))</f>
        <v>1</v>
      </c>
      <c r="AB43" s="306">
        <f t="shared" si="13"/>
        <v>10234.51</v>
      </c>
      <c r="AC43" s="305">
        <f>+IF(X43=0,0,HLOOKUP(YEAR(X43)+(MONTH(X43)/100),TC!$5:$37,DAY(X43)+2,FALSE))</f>
        <v>20.558499999999999</v>
      </c>
      <c r="AD43" s="307">
        <f t="shared" si="14"/>
        <v>210406.17383499999</v>
      </c>
      <c r="AE43" s="314">
        <f t="shared" si="4"/>
        <v>148125.60542588902</v>
      </c>
      <c r="AF43" s="315">
        <f t="shared" si="5"/>
        <v>62280.568409110972</v>
      </c>
      <c r="AG43" s="316">
        <f t="shared" si="6"/>
        <v>1.4794520547945205</v>
      </c>
      <c r="AH43" s="314">
        <v>1</v>
      </c>
      <c r="AI43" s="314">
        <f t="shared" si="7"/>
        <v>62280.568409110972</v>
      </c>
      <c r="AJ43" s="314">
        <f t="shared" si="15"/>
        <v>0</v>
      </c>
      <c r="AK43" s="317"/>
      <c r="AL43" s="315">
        <f t="shared" si="16"/>
        <v>4217</v>
      </c>
      <c r="AN43" s="554">
        <f t="shared" si="8"/>
        <v>0.70078819977033691</v>
      </c>
      <c r="AO43" s="314"/>
      <c r="AP43" s="318"/>
    </row>
    <row r="44" spans="2:42">
      <c r="B44" s="296" t="s">
        <v>1266</v>
      </c>
      <c r="C44" s="299" t="s">
        <v>277</v>
      </c>
      <c r="D44" s="298" t="s">
        <v>783</v>
      </c>
      <c r="E44" s="299" t="s">
        <v>113</v>
      </c>
      <c r="F44" s="299" t="s">
        <v>59</v>
      </c>
      <c r="G44" s="300">
        <v>44102</v>
      </c>
      <c r="H44" s="303">
        <v>6017.51</v>
      </c>
      <c r="I44" s="301" t="str">
        <f t="shared" si="0"/>
        <v>Ingresos Sección II LISR (SIC &amp; BMV)</v>
      </c>
      <c r="J44" s="302">
        <f t="shared" si="9"/>
        <v>30</v>
      </c>
      <c r="K44" s="304">
        <f t="shared" si="1"/>
        <v>200.58366666666669</v>
      </c>
      <c r="L44" s="305">
        <f>IF(H44=0,0,IF(OR(E44=$AT$5,E44=$AT$6),AA44,IF(F44="MXN",1/HLOOKUP(YEAR(G44)+(MONTH(G44)/100),TC!$5:$37,DAY(G44)+2,FALSE),VLOOKUP(F44,Equivalencia!$5:$23,((MAX(Equivalencia!$3:$3)-YEAR(G44))*14)+MONTH(G44)+2,FALSE))))</f>
        <v>1</v>
      </c>
      <c r="M44" s="306">
        <f t="shared" si="2"/>
        <v>6017.51</v>
      </c>
      <c r="N44" s="305">
        <f>IF(G44=0,0,(IF(OR(E44=$AT$5,E44=$AT$6),AC44,HLOOKUP(YEAR(G44)+(MONTH(G44)/100),TC!$5:$37,DAY(G44)+2,FALSE))))</f>
        <v>22.367799999999999</v>
      </c>
      <c r="O44" s="307">
        <f t="shared" si="10"/>
        <v>134598.46017800001</v>
      </c>
      <c r="P44" s="560">
        <f>IF(G44=0,0,VLOOKUP(YEAR(G44),INPC!$B$4:$P$30,MONTH(G44)+2))</f>
        <v>108.114</v>
      </c>
      <c r="Q44" s="560">
        <f>IF(X44=0,0,IF(OR(E44=$AT$10,E44=$AT$9),VLOOKUP(YEAR(X44),INPC!$B$4:$P$30,MONTH(X44)+1),VLOOKUP(YEAR(X44),INPC!$B$4:$P$30,MONTH(X44)+2,0)))</f>
        <v>118.002</v>
      </c>
      <c r="R44" s="309">
        <f t="shared" si="3"/>
        <v>1.0913999999999999</v>
      </c>
      <c r="S44" s="310">
        <f t="shared" si="11"/>
        <v>146900.75943826919</v>
      </c>
      <c r="T44" s="555">
        <f t="shared" si="12"/>
        <v>4896.6919812756396</v>
      </c>
      <c r="U44" s="311"/>
      <c r="V44" s="312">
        <v>30</v>
      </c>
      <c r="W44" s="299" t="s">
        <v>194</v>
      </c>
      <c r="X44" s="300">
        <v>44608</v>
      </c>
      <c r="Y44" s="299" t="s">
        <v>59</v>
      </c>
      <c r="Z44" s="303">
        <v>10846.22</v>
      </c>
      <c r="AA44" s="305">
        <f>IF(Z44=0,0,IF(Y44="MXN",1/HLOOKUP(YEAR(X44)+(MONTH(X44)/100),TC!$5:$37,DAY(X44)+2,FALSE),VLOOKUP(Y44,Equivalencia!$1:$23,((MAX(Equivalencia!$3:$3)-YEAR(X44))*14)+MONTH(X44)+2,FALSE)))</f>
        <v>1</v>
      </c>
      <c r="AB44" s="306">
        <f t="shared" si="13"/>
        <v>10846.22</v>
      </c>
      <c r="AC44" s="305">
        <f>+IF(X44=0,0,HLOOKUP(YEAR(X44)+(MONTH(X44)/100),TC!$5:$37,DAY(X44)+2,FALSE))</f>
        <v>20.411000000000001</v>
      </c>
      <c r="AD44" s="307">
        <f t="shared" si="14"/>
        <v>221382.19641999999</v>
      </c>
      <c r="AE44" s="314">
        <f t="shared" si="4"/>
        <v>146900.75943826919</v>
      </c>
      <c r="AF44" s="315">
        <f t="shared" si="5"/>
        <v>74481.436981730803</v>
      </c>
      <c r="AG44" s="316">
        <f t="shared" si="6"/>
        <v>1.3863013698630138</v>
      </c>
      <c r="AH44" s="314">
        <v>1</v>
      </c>
      <c r="AI44" s="314">
        <f t="shared" si="7"/>
        <v>74481.436981730803</v>
      </c>
      <c r="AJ44" s="314">
        <f t="shared" si="15"/>
        <v>0</v>
      </c>
      <c r="AK44" s="317"/>
      <c r="AL44" s="315">
        <f t="shared" si="16"/>
        <v>4828.7099999999991</v>
      </c>
      <c r="AN44" s="554">
        <f t="shared" si="8"/>
        <v>0.80244320325184315</v>
      </c>
      <c r="AO44" s="314"/>
      <c r="AP44" s="318"/>
    </row>
    <row r="45" spans="2:42">
      <c r="B45" s="296" t="s">
        <v>1266</v>
      </c>
      <c r="C45" s="299" t="s">
        <v>277</v>
      </c>
      <c r="D45" s="298" t="s">
        <v>768</v>
      </c>
      <c r="E45" s="299" t="s">
        <v>113</v>
      </c>
      <c r="F45" s="299" t="s">
        <v>59</v>
      </c>
      <c r="G45" s="300">
        <v>43315</v>
      </c>
      <c r="H45" s="303">
        <v>5362.1</v>
      </c>
      <c r="I45" s="301" t="str">
        <f t="shared" si="0"/>
        <v>Ingresos Sección II LISR (SIC &amp; BMV)</v>
      </c>
      <c r="J45" s="302">
        <f t="shared" si="9"/>
        <v>36</v>
      </c>
      <c r="K45" s="304">
        <f t="shared" si="1"/>
        <v>148.94722222222222</v>
      </c>
      <c r="L45" s="305">
        <f>IF(H45=0,0,IF(OR(E45=$AT$5,E45=$AT$6),AA45,IF(F45="MXN",1/HLOOKUP(YEAR(G45)+(MONTH(G45)/100),TC!$5:$37,DAY(G45)+2,FALSE),VLOOKUP(F45,Equivalencia!$5:$23,((MAX(Equivalencia!$3:$3)-YEAR(G45))*14)+MONTH(G45)+2,FALSE))))</f>
        <v>1</v>
      </c>
      <c r="M45" s="306">
        <f t="shared" si="2"/>
        <v>5362.1</v>
      </c>
      <c r="N45" s="305">
        <f>IF(G45=0,0,(IF(OR(E45=$AT$5,E45=$AT$6),AC45,HLOOKUP(YEAR(G45)+(MONTH(G45)/100),TC!$5:$37,DAY(G45)+2,FALSE))))</f>
        <v>18.5899</v>
      </c>
      <c r="O45" s="307">
        <f t="shared" si="10"/>
        <v>99680.902790000007</v>
      </c>
      <c r="P45" s="560">
        <f>IF(G45=0,0,VLOOKUP(YEAR(G45),INPC!$B$4:$P$30,MONTH(G45)+2))</f>
        <v>100.492</v>
      </c>
      <c r="Q45" s="560">
        <f>IF(X45=0,0,IF(OR(E45=$AT$10,E45=$AT$9),VLOOKUP(YEAR(X45),INPC!$B$4:$P$30,MONTH(X45)+1),VLOOKUP(YEAR(X45),INPC!$B$4:$P$30,MONTH(X45)+2,0)))</f>
        <v>120.809</v>
      </c>
      <c r="R45" s="309">
        <f t="shared" si="3"/>
        <v>1.2020999999999999</v>
      </c>
      <c r="S45" s="310">
        <f t="shared" si="11"/>
        <v>119826.413243859</v>
      </c>
      <c r="T45" s="555">
        <f t="shared" si="12"/>
        <v>3328.5114789960835</v>
      </c>
      <c r="U45" s="311"/>
      <c r="V45" s="312">
        <v>36</v>
      </c>
      <c r="W45" s="299" t="s">
        <v>194</v>
      </c>
      <c r="X45" s="300">
        <v>44701</v>
      </c>
      <c r="Y45" s="299" t="s">
        <v>59</v>
      </c>
      <c r="Z45" s="303">
        <v>6802.98</v>
      </c>
      <c r="AA45" s="305">
        <f>IF(Z45=0,0,IF(Y45="MXN",1/HLOOKUP(YEAR(X45)+(MONTH(X45)/100),TC!$5:$37,DAY(X45)+2,FALSE),VLOOKUP(Y45,Equivalencia!$1:$23,((MAX(Equivalencia!$3:$3)-YEAR(X45))*14)+MONTH(X45)+2,FALSE)))</f>
        <v>1</v>
      </c>
      <c r="AB45" s="306">
        <f t="shared" si="13"/>
        <v>6802.98</v>
      </c>
      <c r="AC45" s="305">
        <f>+IF(X45=0,0,HLOOKUP(YEAR(X45)+(MONTH(X45)/100),TC!$5:$37,DAY(X45)+2,FALSE))</f>
        <v>19.9663</v>
      </c>
      <c r="AD45" s="307">
        <f t="shared" si="14"/>
        <v>135830.33957399998</v>
      </c>
      <c r="AE45" s="314">
        <f t="shared" si="4"/>
        <v>119826.413243859</v>
      </c>
      <c r="AF45" s="315">
        <f t="shared" si="5"/>
        <v>16003.926330140981</v>
      </c>
      <c r="AG45" s="316">
        <f t="shared" si="6"/>
        <v>3.7972602739726029</v>
      </c>
      <c r="AH45" s="314">
        <v>1</v>
      </c>
      <c r="AI45" s="314">
        <f t="shared" si="7"/>
        <v>16003.926330140981</v>
      </c>
      <c r="AJ45" s="314">
        <f t="shared" si="15"/>
        <v>0</v>
      </c>
      <c r="AK45" s="317"/>
      <c r="AL45" s="315">
        <f t="shared" si="16"/>
        <v>1440.8799999999992</v>
      </c>
      <c r="AN45" s="554">
        <f t="shared" si="8"/>
        <v>0.2687156151507803</v>
      </c>
      <c r="AO45" s="314"/>
      <c r="AP45" s="318"/>
    </row>
    <row r="46" spans="2:42">
      <c r="B46" s="296" t="s">
        <v>1266</v>
      </c>
      <c r="C46" s="299" t="s">
        <v>277</v>
      </c>
      <c r="D46" s="298" t="s">
        <v>768</v>
      </c>
      <c r="E46" s="299" t="s">
        <v>113</v>
      </c>
      <c r="F46" s="299" t="s">
        <v>59</v>
      </c>
      <c r="G46" s="300">
        <v>43990</v>
      </c>
      <c r="H46" s="303">
        <v>1297.27</v>
      </c>
      <c r="I46" s="301" t="str">
        <f t="shared" si="0"/>
        <v>Ingresos Sección II LISR (SIC &amp; BMV)</v>
      </c>
      <c r="J46" s="302">
        <f t="shared" si="9"/>
        <v>8</v>
      </c>
      <c r="K46" s="304">
        <f t="shared" si="1"/>
        <v>162.15875</v>
      </c>
      <c r="L46" s="305">
        <f>IF(H46=0,0,IF(OR(E46=$AT$5,E46=$AT$6),AA46,IF(F46="MXN",1/HLOOKUP(YEAR(G46)+(MONTH(G46)/100),TC!$5:$37,DAY(G46)+2,FALSE),VLOOKUP(F46,Equivalencia!$5:$23,((MAX(Equivalencia!$3:$3)-YEAR(G46))*14)+MONTH(G46)+2,FALSE))))</f>
        <v>1</v>
      </c>
      <c r="M46" s="306">
        <f t="shared" si="2"/>
        <v>1297.27</v>
      </c>
      <c r="N46" s="305">
        <f>IF(G46=0,0,(IF(OR(E46=$AT$5,E46=$AT$6),AC46,HLOOKUP(YEAR(G46)+(MONTH(G46)/100),TC!$5:$37,DAY(G46)+2,FALSE))))</f>
        <v>21.838799999999999</v>
      </c>
      <c r="O46" s="307">
        <f t="shared" si="10"/>
        <v>28330.820076</v>
      </c>
      <c r="P46" s="560">
        <f>IF(G46=0,0,VLOOKUP(YEAR(G46),INPC!$B$4:$P$30,MONTH(G46)+2))</f>
        <v>106.74299999999999</v>
      </c>
      <c r="Q46" s="560">
        <f>IF(X46=0,0,IF(OR(E46=$AT$10,E46=$AT$9),VLOOKUP(YEAR(X46),INPC!$B$4:$P$30,MONTH(X46)+1),VLOOKUP(YEAR(X46),INPC!$B$4:$P$30,MONTH(X46)+2,0)))</f>
        <v>120.809</v>
      </c>
      <c r="R46" s="309">
        <f t="shared" si="3"/>
        <v>1.1316999999999999</v>
      </c>
      <c r="S46" s="310">
        <f t="shared" si="11"/>
        <v>32061.989080009196</v>
      </c>
      <c r="T46" s="555">
        <f t="shared" si="12"/>
        <v>4007.7486350011495</v>
      </c>
      <c r="U46" s="311"/>
      <c r="V46" s="312">
        <v>8</v>
      </c>
      <c r="W46" s="299" t="s">
        <v>194</v>
      </c>
      <c r="X46" s="300">
        <v>44701</v>
      </c>
      <c r="Y46" s="299" t="s">
        <v>59</v>
      </c>
      <c r="Z46" s="303">
        <v>1511.77</v>
      </c>
      <c r="AA46" s="305">
        <f>IF(Z46=0,0,IF(Y46="MXN",1/HLOOKUP(YEAR(X46)+(MONTH(X46)/100),TC!$5:$37,DAY(X46)+2,FALSE),VLOOKUP(Y46,Equivalencia!$1:$23,((MAX(Equivalencia!$3:$3)-YEAR(X46))*14)+MONTH(X46)+2,FALSE)))</f>
        <v>1</v>
      </c>
      <c r="AB46" s="306">
        <f t="shared" si="13"/>
        <v>1511.77</v>
      </c>
      <c r="AC46" s="305">
        <f>+IF(X46=0,0,HLOOKUP(YEAR(X46)+(MONTH(X46)/100),TC!$5:$37,DAY(X46)+2,FALSE))</f>
        <v>19.9663</v>
      </c>
      <c r="AD46" s="307">
        <f t="shared" si="14"/>
        <v>30184.453351</v>
      </c>
      <c r="AE46" s="314">
        <f t="shared" si="4"/>
        <v>32061.989080009196</v>
      </c>
      <c r="AF46" s="315">
        <f t="shared" si="5"/>
        <v>-1877.5357290091961</v>
      </c>
      <c r="AG46" s="316">
        <f t="shared" si="6"/>
        <v>1.9479452054794522</v>
      </c>
      <c r="AH46" s="314">
        <v>1</v>
      </c>
      <c r="AI46" s="314">
        <f t="shared" si="7"/>
        <v>-1877.5357290091961</v>
      </c>
      <c r="AJ46" s="314">
        <f t="shared" si="15"/>
        <v>0</v>
      </c>
      <c r="AK46" s="317"/>
      <c r="AL46" s="315">
        <f t="shared" si="16"/>
        <v>214.5</v>
      </c>
      <c r="AN46" s="554">
        <f t="shared" si="8"/>
        <v>0.1653472291812807</v>
      </c>
      <c r="AO46" s="314"/>
      <c r="AP46" s="318"/>
    </row>
    <row r="47" spans="2:42">
      <c r="B47" s="296" t="s">
        <v>1266</v>
      </c>
      <c r="C47" s="299" t="s">
        <v>277</v>
      </c>
      <c r="D47" s="298" t="s">
        <v>788</v>
      </c>
      <c r="E47" s="299" t="s">
        <v>113</v>
      </c>
      <c r="F47" s="299" t="s">
        <v>59</v>
      </c>
      <c r="G47" s="300">
        <v>43965</v>
      </c>
      <c r="H47" s="303">
        <v>8182.61</v>
      </c>
      <c r="I47" s="301" t="str">
        <f t="shared" si="0"/>
        <v>Ingresos Sección II LISR (SIC &amp; BMV)</v>
      </c>
      <c r="J47" s="302">
        <f t="shared" si="9"/>
        <v>94</v>
      </c>
      <c r="K47" s="304">
        <f t="shared" si="1"/>
        <v>87.049042553191484</v>
      </c>
      <c r="L47" s="305">
        <f>IF(H47=0,0,IF(OR(E47=$AT$5,E47=$AT$6),AA47,IF(F47="MXN",1/HLOOKUP(YEAR(G47)+(MONTH(G47)/100),TC!$5:$37,DAY(G47)+2,FALSE),VLOOKUP(F47,Equivalencia!$5:$23,((MAX(Equivalencia!$3:$3)-YEAR(G47))*14)+MONTH(G47)+2,FALSE))))</f>
        <v>1</v>
      </c>
      <c r="M47" s="306">
        <f t="shared" si="2"/>
        <v>8182.61</v>
      </c>
      <c r="N47" s="305">
        <f>IF(G47=0,0,(IF(OR(E47=$AT$5,E47=$AT$6),AC47,HLOOKUP(YEAR(G47)+(MONTH(G47)/100),TC!$5:$37,DAY(G47)+2,FALSE))))</f>
        <v>24.0487</v>
      </c>
      <c r="O47" s="307">
        <f t="shared" si="10"/>
        <v>196781.133107</v>
      </c>
      <c r="P47" s="560">
        <f>IF(G47=0,0,VLOOKUP(YEAR(G47),INPC!$B$4:$P$30,MONTH(G47)+2))</f>
        <v>106.16200000000001</v>
      </c>
      <c r="Q47" s="560">
        <f>IF(X47=0,0,IF(OR(E47=$AT$10,E47=$AT$9),VLOOKUP(YEAR(X47),INPC!$B$4:$P$30,MONTH(X47)+1),VLOOKUP(YEAR(X47),INPC!$B$4:$P$30,MONTH(X47)+2,0)))</f>
        <v>117.30800000000001</v>
      </c>
      <c r="R47" s="309">
        <f t="shared" si="3"/>
        <v>1.1049</v>
      </c>
      <c r="S47" s="310">
        <f t="shared" si="11"/>
        <v>217423.47396992429</v>
      </c>
      <c r="T47" s="555">
        <f t="shared" si="12"/>
        <v>2313.0156805311094</v>
      </c>
      <c r="U47" s="311"/>
      <c r="V47" s="312">
        <v>94</v>
      </c>
      <c r="W47" s="299" t="s">
        <v>194</v>
      </c>
      <c r="X47" s="300">
        <v>44580</v>
      </c>
      <c r="Y47" s="299" t="s">
        <v>59</v>
      </c>
      <c r="Z47" s="303">
        <v>14163.22</v>
      </c>
      <c r="AA47" s="305">
        <f>IF(Z47=0,0,IF(Y47="MXN",1/HLOOKUP(YEAR(X47)+(MONTH(X47)/100),TC!$5:$37,DAY(X47)+2,FALSE),VLOOKUP(Y47,Equivalencia!$1:$23,((MAX(Equivalencia!$3:$3)-YEAR(X47))*14)+MONTH(X47)+2,FALSE)))</f>
        <v>1</v>
      </c>
      <c r="AB47" s="306">
        <f t="shared" si="13"/>
        <v>14163.22</v>
      </c>
      <c r="AC47" s="305">
        <f>+IF(X47=0,0,HLOOKUP(YEAR(X47)+(MONTH(X47)/100),TC!$5:$37,DAY(X47)+2,FALSE))</f>
        <v>20.3002</v>
      </c>
      <c r="AD47" s="307">
        <f t="shared" si="14"/>
        <v>287516.19864399999</v>
      </c>
      <c r="AE47" s="314">
        <f t="shared" si="4"/>
        <v>217423.47396992429</v>
      </c>
      <c r="AF47" s="315">
        <f t="shared" si="5"/>
        <v>70092.724674075696</v>
      </c>
      <c r="AG47" s="316">
        <f t="shared" si="6"/>
        <v>1.6849315068493151</v>
      </c>
      <c r="AH47" s="314">
        <v>1</v>
      </c>
      <c r="AI47" s="314">
        <f t="shared" si="7"/>
        <v>70092.724674075696</v>
      </c>
      <c r="AJ47" s="314">
        <f t="shared" si="15"/>
        <v>0</v>
      </c>
      <c r="AK47" s="317"/>
      <c r="AL47" s="315">
        <f t="shared" si="16"/>
        <v>5980.61</v>
      </c>
      <c r="AN47" s="554">
        <f t="shared" si="8"/>
        <v>0.7308927102721503</v>
      </c>
      <c r="AO47" s="314"/>
      <c r="AP47" s="318"/>
    </row>
    <row r="48" spans="2:42">
      <c r="B48" s="296" t="s">
        <v>1266</v>
      </c>
      <c r="C48" s="299" t="s">
        <v>277</v>
      </c>
      <c r="D48" s="298" t="s">
        <v>788</v>
      </c>
      <c r="E48" s="299" t="s">
        <v>113</v>
      </c>
      <c r="F48" s="299" t="s">
        <v>59</v>
      </c>
      <c r="G48" s="300">
        <v>44102</v>
      </c>
      <c r="H48" s="303">
        <v>5154.7299999999996</v>
      </c>
      <c r="I48" s="301" t="str">
        <f t="shared" si="0"/>
        <v>Ingresos Sección II LISR (SIC &amp; BMV)</v>
      </c>
      <c r="J48" s="302">
        <f t="shared" si="9"/>
        <v>54</v>
      </c>
      <c r="K48" s="304">
        <f t="shared" si="1"/>
        <v>95.457962962962952</v>
      </c>
      <c r="L48" s="305">
        <f>IF(H48=0,0,IF(OR(E48=$AT$5,E48=$AT$6),AA48,IF(F48="MXN",1/HLOOKUP(YEAR(G48)+(MONTH(G48)/100),TC!$5:$37,DAY(G48)+2,FALSE),VLOOKUP(F48,Equivalencia!$5:$23,((MAX(Equivalencia!$3:$3)-YEAR(G48))*14)+MONTH(G48)+2,FALSE))))</f>
        <v>1</v>
      </c>
      <c r="M48" s="306">
        <f t="shared" si="2"/>
        <v>5154.7299999999996</v>
      </c>
      <c r="N48" s="305">
        <f>IF(G48=0,0,(IF(OR(E48=$AT$5,E48=$AT$6),AC48,HLOOKUP(YEAR(G48)+(MONTH(G48)/100),TC!$5:$37,DAY(G48)+2,FALSE))))</f>
        <v>22.367799999999999</v>
      </c>
      <c r="O48" s="307">
        <f t="shared" si="10"/>
        <v>115299.96969399998</v>
      </c>
      <c r="P48" s="560">
        <f>IF(G48=0,0,VLOOKUP(YEAR(G48),INPC!$B$4:$P$30,MONTH(G48)+2))</f>
        <v>108.114</v>
      </c>
      <c r="Q48" s="560">
        <f>IF(X48=0,0,IF(OR(E48=$AT$10,E48=$AT$9),VLOOKUP(YEAR(X48),INPC!$B$4:$P$30,MONTH(X48)+1),VLOOKUP(YEAR(X48),INPC!$B$4:$P$30,MONTH(X48)+2,0)))</f>
        <v>117.30800000000001</v>
      </c>
      <c r="R48" s="309">
        <f t="shared" si="3"/>
        <v>1.085</v>
      </c>
      <c r="S48" s="310">
        <f t="shared" si="11"/>
        <v>125100.46711798997</v>
      </c>
      <c r="T48" s="555">
        <f t="shared" si="12"/>
        <v>2316.6753169998142</v>
      </c>
      <c r="U48" s="311"/>
      <c r="V48" s="312">
        <v>54</v>
      </c>
      <c r="W48" s="299" t="s">
        <v>194</v>
      </c>
      <c r="X48" s="300">
        <v>44580</v>
      </c>
      <c r="Y48" s="299" t="s">
        <v>59</v>
      </c>
      <c r="Z48" s="303">
        <v>8136.32</v>
      </c>
      <c r="AA48" s="305">
        <f>IF(Z48=0,0,IF(Y48="MXN",1/HLOOKUP(YEAR(X48)+(MONTH(X48)/100),TC!$5:$37,DAY(X48)+2,FALSE),VLOOKUP(Y48,Equivalencia!$1:$23,((MAX(Equivalencia!$3:$3)-YEAR(X48))*14)+MONTH(X48)+2,FALSE)))</f>
        <v>1</v>
      </c>
      <c r="AB48" s="306">
        <f t="shared" si="13"/>
        <v>8136.32</v>
      </c>
      <c r="AC48" s="305">
        <f>+IF(X48=0,0,HLOOKUP(YEAR(X48)+(MONTH(X48)/100),TC!$5:$37,DAY(X48)+2,FALSE))</f>
        <v>20.3002</v>
      </c>
      <c r="AD48" s="307">
        <f t="shared" si="14"/>
        <v>165168.92326399998</v>
      </c>
      <c r="AE48" s="314">
        <f t="shared" si="4"/>
        <v>125100.46711798996</v>
      </c>
      <c r="AF48" s="315">
        <f t="shared" si="5"/>
        <v>40068.456146010023</v>
      </c>
      <c r="AG48" s="316">
        <f t="shared" si="6"/>
        <v>1.3095890410958904</v>
      </c>
      <c r="AH48" s="314">
        <v>1</v>
      </c>
      <c r="AI48" s="314">
        <f t="shared" si="7"/>
        <v>40068.456146010023</v>
      </c>
      <c r="AJ48" s="314">
        <f t="shared" si="15"/>
        <v>0</v>
      </c>
      <c r="AK48" s="317"/>
      <c r="AL48" s="315">
        <f t="shared" si="16"/>
        <v>2981.59</v>
      </c>
      <c r="AN48" s="554">
        <f t="shared" si="8"/>
        <v>0.57841826827011311</v>
      </c>
      <c r="AO48" s="314"/>
      <c r="AP48" s="318"/>
    </row>
    <row r="49" spans="2:42">
      <c r="B49" s="296" t="s">
        <v>1266</v>
      </c>
      <c r="C49" s="299" t="s">
        <v>277</v>
      </c>
      <c r="D49" s="298" t="s">
        <v>779</v>
      </c>
      <c r="E49" s="299" t="s">
        <v>113</v>
      </c>
      <c r="F49" s="299" t="s">
        <v>59</v>
      </c>
      <c r="G49" s="300">
        <v>43965</v>
      </c>
      <c r="H49" s="303">
        <v>11377.11</v>
      </c>
      <c r="I49" s="301" t="str">
        <f t="shared" si="0"/>
        <v>Ingresos Sección II LISR (SIC &amp; BMV)</v>
      </c>
      <c r="J49" s="302">
        <f t="shared" si="9"/>
        <v>32</v>
      </c>
      <c r="K49" s="304">
        <f t="shared" si="1"/>
        <v>355.53468750000002</v>
      </c>
      <c r="L49" s="305">
        <f>IF(H49=0,0,IF(OR(E49=$AT$5,E49=$AT$6),AA49,IF(F49="MXN",1/HLOOKUP(YEAR(G49)+(MONTH(G49)/100),TC!$5:$37,DAY(G49)+2,FALSE),VLOOKUP(F49,Equivalencia!$5:$23,((MAX(Equivalencia!$3:$3)-YEAR(G49))*14)+MONTH(G49)+2,FALSE))))</f>
        <v>1</v>
      </c>
      <c r="M49" s="306">
        <f t="shared" si="2"/>
        <v>11377.11</v>
      </c>
      <c r="N49" s="305">
        <f>IF(G49=0,0,(IF(OR(E49=$AT$5,E49=$AT$6),AC49,HLOOKUP(YEAR(G49)+(MONTH(G49)/100),TC!$5:$37,DAY(G49)+2,FALSE))))</f>
        <v>24.0487</v>
      </c>
      <c r="O49" s="307">
        <f t="shared" si="10"/>
        <v>273604.70525699999</v>
      </c>
      <c r="P49" s="560">
        <f>IF(G49=0,0,VLOOKUP(YEAR(G49),INPC!$B$4:$P$30,MONTH(G49)+2))</f>
        <v>106.16200000000001</v>
      </c>
      <c r="Q49" s="560">
        <f>IF(X49=0,0,IF(OR(E49=$AT$10,E49=$AT$9),VLOOKUP(YEAR(X49),INPC!$B$4:$P$30,MONTH(X49)+1),VLOOKUP(YEAR(X49),INPC!$B$4:$P$30,MONTH(X49)+2,0)))</f>
        <v>118.002</v>
      </c>
      <c r="R49" s="309">
        <f t="shared" si="3"/>
        <v>1.1114999999999999</v>
      </c>
      <c r="S49" s="310">
        <f t="shared" si="11"/>
        <v>304111.62989315548</v>
      </c>
      <c r="T49" s="555">
        <f t="shared" si="12"/>
        <v>9503.4884341611087</v>
      </c>
      <c r="U49" s="311"/>
      <c r="V49" s="312">
        <v>32</v>
      </c>
      <c r="W49" s="299" t="s">
        <v>194</v>
      </c>
      <c r="X49" s="300">
        <v>44608</v>
      </c>
      <c r="Y49" s="299" t="s">
        <v>59</v>
      </c>
      <c r="Z49" s="303">
        <v>12284.15</v>
      </c>
      <c r="AA49" s="305">
        <f>IF(Z49=0,0,IF(Y49="MXN",1/HLOOKUP(YEAR(X49)+(MONTH(X49)/100),TC!$5:$37,DAY(X49)+2,FALSE),VLOOKUP(Y49,Equivalencia!$1:$23,((MAX(Equivalencia!$3:$3)-YEAR(X49))*14)+MONTH(X49)+2,FALSE)))</f>
        <v>1</v>
      </c>
      <c r="AB49" s="306">
        <f t="shared" si="13"/>
        <v>12284.15</v>
      </c>
      <c r="AC49" s="305">
        <f>+IF(X49=0,0,HLOOKUP(YEAR(X49)+(MONTH(X49)/100),TC!$5:$37,DAY(X49)+2,FALSE))</f>
        <v>20.411000000000001</v>
      </c>
      <c r="AD49" s="307">
        <f t="shared" si="14"/>
        <v>250731.78565000001</v>
      </c>
      <c r="AE49" s="314">
        <f t="shared" si="4"/>
        <v>304111.62989315548</v>
      </c>
      <c r="AF49" s="315">
        <f t="shared" si="5"/>
        <v>-53379.844243155472</v>
      </c>
      <c r="AG49" s="316">
        <f t="shared" si="6"/>
        <v>1.7616438356164383</v>
      </c>
      <c r="AH49" s="314">
        <v>1</v>
      </c>
      <c r="AI49" s="314">
        <f t="shared" si="7"/>
        <v>-53379.844243155472</v>
      </c>
      <c r="AJ49" s="314">
        <f t="shared" si="15"/>
        <v>0</v>
      </c>
      <c r="AK49" s="317"/>
      <c r="AL49" s="315">
        <f t="shared" si="16"/>
        <v>907.03999999999905</v>
      </c>
      <c r="AN49" s="554">
        <f t="shared" si="8"/>
        <v>7.9724991671874398E-2</v>
      </c>
      <c r="AO49" s="314"/>
      <c r="AP49" s="318"/>
    </row>
    <row r="50" spans="2:42">
      <c r="B50" s="296" t="s">
        <v>1266</v>
      </c>
      <c r="C50" s="299" t="s">
        <v>277</v>
      </c>
      <c r="D50" s="298" t="s">
        <v>748</v>
      </c>
      <c r="E50" s="299" t="s">
        <v>113</v>
      </c>
      <c r="F50" s="299" t="s">
        <v>59</v>
      </c>
      <c r="G50" s="300">
        <v>43315</v>
      </c>
      <c r="H50" s="303">
        <v>6351.15</v>
      </c>
      <c r="I50" s="301" t="str">
        <f t="shared" si="0"/>
        <v>Ingresos Sección II LISR (SIC &amp; BMV)</v>
      </c>
      <c r="J50" s="302">
        <f t="shared" si="9"/>
        <v>65</v>
      </c>
      <c r="K50" s="304">
        <f t="shared" si="1"/>
        <v>97.71</v>
      </c>
      <c r="L50" s="305">
        <f>IF(H50=0,0,IF(OR(E50=$AT$5,E50=$AT$6),AA50,IF(F50="MXN",1/HLOOKUP(YEAR(G50)+(MONTH(G50)/100),TC!$5:$37,DAY(G50)+2,FALSE),VLOOKUP(F50,Equivalencia!$5:$23,((MAX(Equivalencia!$3:$3)-YEAR(G50))*14)+MONTH(G50)+2,FALSE))))</f>
        <v>1</v>
      </c>
      <c r="M50" s="306">
        <f t="shared" si="2"/>
        <v>6351.15</v>
      </c>
      <c r="N50" s="305">
        <f>IF(G50=0,0,(IF(OR(E50=$AT$5,E50=$AT$6),AC50,HLOOKUP(YEAR(G50)+(MONTH(G50)/100),TC!$5:$37,DAY(G50)+2,FALSE))))</f>
        <v>18.5899</v>
      </c>
      <c r="O50" s="307">
        <f t="shared" si="10"/>
        <v>118067.24338499999</v>
      </c>
      <c r="P50" s="560">
        <f>IF(G50=0,0,VLOOKUP(YEAR(G50),INPC!$B$4:$P$30,MONTH(G50)+2))</f>
        <v>100.492</v>
      </c>
      <c r="Q50" s="560">
        <f>IF(X50=0,0,IF(OR(E50=$AT$10,E50=$AT$9),VLOOKUP(YEAR(X50),INPC!$B$4:$P$30,MONTH(X50)+1),VLOOKUP(YEAR(X50),INPC!$B$4:$P$30,MONTH(X50)+2,0)))</f>
        <v>120.809</v>
      </c>
      <c r="R50" s="309">
        <f t="shared" si="3"/>
        <v>1.2020999999999999</v>
      </c>
      <c r="S50" s="310">
        <f t="shared" si="11"/>
        <v>141928.63327310848</v>
      </c>
      <c r="T50" s="555">
        <f t="shared" si="12"/>
        <v>2183.5174349708996</v>
      </c>
      <c r="U50" s="311"/>
      <c r="V50" s="312">
        <v>65</v>
      </c>
      <c r="W50" s="299" t="s">
        <v>194</v>
      </c>
      <c r="X50" s="300">
        <v>44701</v>
      </c>
      <c r="Y50" s="299" t="s">
        <v>59</v>
      </c>
      <c r="Z50" s="303">
        <v>11899.01</v>
      </c>
      <c r="AA50" s="305">
        <f>IF(Z50=0,0,IF(Y50="MXN",1/HLOOKUP(YEAR(X50)+(MONTH(X50)/100),TC!$5:$37,DAY(X50)+2,FALSE),VLOOKUP(Y50,Equivalencia!$1:$23,((MAX(Equivalencia!$3:$3)-YEAR(X50))*14)+MONTH(X50)+2,FALSE)))</f>
        <v>1</v>
      </c>
      <c r="AB50" s="306">
        <f t="shared" si="13"/>
        <v>11899.01</v>
      </c>
      <c r="AC50" s="305">
        <f>+IF(X50=0,0,HLOOKUP(YEAR(X50)+(MONTH(X50)/100),TC!$5:$37,DAY(X50)+2,FALSE))</f>
        <v>19.9663</v>
      </c>
      <c r="AD50" s="307">
        <f t="shared" si="14"/>
        <v>237579.20336300001</v>
      </c>
      <c r="AE50" s="314">
        <f t="shared" si="4"/>
        <v>141928.63327310848</v>
      </c>
      <c r="AF50" s="315">
        <f t="shared" si="5"/>
        <v>95650.570089891524</v>
      </c>
      <c r="AG50" s="316">
        <f t="shared" si="6"/>
        <v>3.7972602739726029</v>
      </c>
      <c r="AH50" s="314">
        <v>1</v>
      </c>
      <c r="AI50" s="314">
        <f t="shared" si="7"/>
        <v>95650.570089891524</v>
      </c>
      <c r="AJ50" s="314">
        <f t="shared" si="15"/>
        <v>0</v>
      </c>
      <c r="AK50" s="317"/>
      <c r="AL50" s="315">
        <f t="shared" si="16"/>
        <v>5547.8600000000006</v>
      </c>
      <c r="AN50" s="554">
        <f t="shared" si="8"/>
        <v>0.87352054352361397</v>
      </c>
      <c r="AO50" s="314"/>
      <c r="AP50" s="318"/>
    </row>
    <row r="51" spans="2:42">
      <c r="B51" s="296" t="s">
        <v>1266</v>
      </c>
      <c r="C51" s="299" t="s">
        <v>277</v>
      </c>
      <c r="D51" s="298" t="s">
        <v>875</v>
      </c>
      <c r="E51" s="299" t="s">
        <v>113</v>
      </c>
      <c r="F51" s="299" t="s">
        <v>59</v>
      </c>
      <c r="G51" s="300">
        <v>43497</v>
      </c>
      <c r="H51" s="303">
        <v>22978.75</v>
      </c>
      <c r="I51" s="301" t="str">
        <f t="shared" si="0"/>
        <v>Ingresos Sección II LISR (SIC &amp; BMV)</v>
      </c>
      <c r="J51" s="302">
        <f t="shared" si="9"/>
        <v>138</v>
      </c>
      <c r="K51" s="304">
        <f t="shared" si="1"/>
        <v>166.51268115942028</v>
      </c>
      <c r="L51" s="305">
        <f>IF(H51=0,0,IF(OR(E51=$AT$5,E51=$AT$6),AA51,IF(F51="MXN",1/HLOOKUP(YEAR(G51)+(MONTH(G51)/100),TC!$5:$37,DAY(G51)+2,FALSE),VLOOKUP(F51,Equivalencia!$5:$23,((MAX(Equivalencia!$3:$3)-YEAR(G51))*14)+MONTH(G51)+2,FALSE))))</f>
        <v>1</v>
      </c>
      <c r="M51" s="306">
        <f t="shared" si="2"/>
        <v>22978.75</v>
      </c>
      <c r="N51" s="305">
        <f>IF(G51=0,0,(IF(OR(E51=$AT$5,E51=$AT$6),AC51,HLOOKUP(YEAR(G51)+(MONTH(G51)/100),TC!$5:$37,DAY(G51)+2,FALSE))))</f>
        <v>19.162299999999998</v>
      </c>
      <c r="O51" s="307">
        <f t="shared" si="10"/>
        <v>440325.70112499996</v>
      </c>
      <c r="P51" s="560">
        <f>IF(G51=0,0,VLOOKUP(YEAR(G51),INPC!$B$4:$P$30,MONTH(G51)+2))</f>
        <v>103.07899999999999</v>
      </c>
      <c r="Q51" s="560">
        <f>IF(X51=0,0,IF(OR(E51=$AT$10,E51=$AT$9),VLOOKUP(YEAR(X51),INPC!$B$4:$P$30,MONTH(X51)+1),VLOOKUP(YEAR(X51),INPC!$B$4:$P$30,MONTH(X51)+2,0)))</f>
        <v>118.002</v>
      </c>
      <c r="R51" s="309">
        <f t="shared" si="3"/>
        <v>1.1447000000000001</v>
      </c>
      <c r="S51" s="310">
        <f t="shared" si="11"/>
        <v>504040.83007778745</v>
      </c>
      <c r="T51" s="555">
        <f t="shared" si="12"/>
        <v>3652.4697831723729</v>
      </c>
      <c r="U51" s="311"/>
      <c r="V51" s="312">
        <v>138</v>
      </c>
      <c r="W51" s="299" t="s">
        <v>194</v>
      </c>
      <c r="X51" s="300">
        <v>44606</v>
      </c>
      <c r="Y51" s="299" t="s">
        <v>59</v>
      </c>
      <c r="Z51" s="303">
        <v>30081.54</v>
      </c>
      <c r="AA51" s="305">
        <f>IF(Z51=0,0,IF(Y51="MXN",1/HLOOKUP(YEAR(X51)+(MONTH(X51)/100),TC!$5:$37,DAY(X51)+2,FALSE),VLOOKUP(Y51,Equivalencia!$1:$23,((MAX(Equivalencia!$3:$3)-YEAR(X51))*14)+MONTH(X51)+2,FALSE)))</f>
        <v>1</v>
      </c>
      <c r="AB51" s="306">
        <f t="shared" si="13"/>
        <v>30081.54</v>
      </c>
      <c r="AC51" s="305">
        <f>+IF(X51=0,0,HLOOKUP(YEAR(X51)+(MONTH(X51)/100),TC!$5:$37,DAY(X51)+2,FALSE))</f>
        <v>20.4148</v>
      </c>
      <c r="AD51" s="307">
        <f t="shared" si="14"/>
        <v>614108.62279199995</v>
      </c>
      <c r="AE51" s="314">
        <f t="shared" si="4"/>
        <v>504040.83007778745</v>
      </c>
      <c r="AF51" s="315">
        <f t="shared" si="5"/>
        <v>110067.7927142125</v>
      </c>
      <c r="AG51" s="316">
        <f t="shared" si="6"/>
        <v>3.0383561643835617</v>
      </c>
      <c r="AH51" s="314">
        <v>1</v>
      </c>
      <c r="AI51" s="314">
        <f t="shared" si="7"/>
        <v>110067.7927142125</v>
      </c>
      <c r="AJ51" s="314">
        <f t="shared" si="15"/>
        <v>0</v>
      </c>
      <c r="AK51" s="317"/>
      <c r="AL51" s="315">
        <f t="shared" si="16"/>
        <v>7102.7900000000009</v>
      </c>
      <c r="AN51" s="554">
        <f t="shared" si="8"/>
        <v>0.30910254039057827</v>
      </c>
      <c r="AO51" s="314"/>
      <c r="AP51" s="318"/>
    </row>
    <row r="52" spans="2:42">
      <c r="B52" s="296" t="s">
        <v>1266</v>
      </c>
      <c r="C52" s="299" t="s">
        <v>277</v>
      </c>
      <c r="D52" s="298" t="s">
        <v>875</v>
      </c>
      <c r="E52" s="299" t="s">
        <v>113</v>
      </c>
      <c r="F52" s="299" t="s">
        <v>59</v>
      </c>
      <c r="G52" s="300">
        <v>43606</v>
      </c>
      <c r="H52" s="303">
        <v>30839.54</v>
      </c>
      <c r="I52" s="301" t="str">
        <f t="shared" si="0"/>
        <v>Ingresos Sección II LISR (SIC &amp; BMV)</v>
      </c>
      <c r="J52" s="302">
        <f t="shared" si="9"/>
        <v>167</v>
      </c>
      <c r="K52" s="304">
        <f t="shared" si="1"/>
        <v>184.66790419161677</v>
      </c>
      <c r="L52" s="305">
        <f>IF(H52=0,0,IF(OR(E52=$AT$5,E52=$AT$6),AA52,IF(F52="MXN",1/HLOOKUP(YEAR(G52)+(MONTH(G52)/100),TC!$5:$37,DAY(G52)+2,FALSE),VLOOKUP(F52,Equivalencia!$5:$23,((MAX(Equivalencia!$3:$3)-YEAR(G52))*14)+MONTH(G52)+2,FALSE))))</f>
        <v>1</v>
      </c>
      <c r="M52" s="306">
        <f t="shared" si="2"/>
        <v>30839.54</v>
      </c>
      <c r="N52" s="305">
        <f>IF(G52=0,0,(IF(OR(E52=$AT$5,E52=$AT$6),AC52,HLOOKUP(YEAR(G52)+(MONTH(G52)/100),TC!$5:$37,DAY(G52)+2,FALSE))))</f>
        <v>19.145399999999999</v>
      </c>
      <c r="O52" s="307">
        <f t="shared" si="10"/>
        <v>590435.32911599998</v>
      </c>
      <c r="P52" s="560">
        <f>IF(G52=0,0,VLOOKUP(YEAR(G52),INPC!$B$4:$P$30,MONTH(G52)+2))</f>
        <v>103.233</v>
      </c>
      <c r="Q52" s="560">
        <f>IF(X52=0,0,IF(OR(E52=$AT$10,E52=$AT$9),VLOOKUP(YEAR(X52),INPC!$B$4:$P$30,MONTH(X52)+1),VLOOKUP(YEAR(X52),INPC!$B$4:$P$30,MONTH(X52)+2,0)))</f>
        <v>118.002</v>
      </c>
      <c r="R52" s="309">
        <f t="shared" si="3"/>
        <v>1.143</v>
      </c>
      <c r="S52" s="310">
        <f t="shared" si="11"/>
        <v>674867.58117958799</v>
      </c>
      <c r="T52" s="555">
        <f t="shared" si="12"/>
        <v>4041.1232405963351</v>
      </c>
      <c r="U52" s="311"/>
      <c r="V52" s="312">
        <v>167</v>
      </c>
      <c r="W52" s="299" t="s">
        <v>194</v>
      </c>
      <c r="X52" s="300">
        <v>44606</v>
      </c>
      <c r="Y52" s="299" t="s">
        <v>59</v>
      </c>
      <c r="Z52" s="303">
        <v>36403.03</v>
      </c>
      <c r="AA52" s="305">
        <f>IF(Z52=0,0,IF(Y52="MXN",1/HLOOKUP(YEAR(X52)+(MONTH(X52)/100),TC!$5:$37,DAY(X52)+2,FALSE),VLOOKUP(Y52,Equivalencia!$1:$23,((MAX(Equivalencia!$3:$3)-YEAR(X52))*14)+MONTH(X52)+2,FALSE)))</f>
        <v>1</v>
      </c>
      <c r="AB52" s="306">
        <f t="shared" si="13"/>
        <v>36403.03</v>
      </c>
      <c r="AC52" s="305">
        <f>+IF(X52=0,0,HLOOKUP(YEAR(X52)+(MONTH(X52)/100),TC!$5:$37,DAY(X52)+2,FALSE))</f>
        <v>20.4148</v>
      </c>
      <c r="AD52" s="307">
        <f t="shared" si="14"/>
        <v>743160.57684399991</v>
      </c>
      <c r="AE52" s="314">
        <f t="shared" si="4"/>
        <v>674867.58117958799</v>
      </c>
      <c r="AF52" s="315">
        <f t="shared" si="5"/>
        <v>68292.995664411923</v>
      </c>
      <c r="AG52" s="316">
        <f t="shared" si="6"/>
        <v>2.7397260273972601</v>
      </c>
      <c r="AH52" s="314">
        <v>1</v>
      </c>
      <c r="AI52" s="314">
        <f t="shared" si="7"/>
        <v>68292.995664411923</v>
      </c>
      <c r="AJ52" s="314">
        <f t="shared" si="15"/>
        <v>0</v>
      </c>
      <c r="AK52" s="317"/>
      <c r="AL52" s="315">
        <f t="shared" si="16"/>
        <v>5563.489999999998</v>
      </c>
      <c r="AN52" s="554">
        <f t="shared" si="8"/>
        <v>0.18040119923967732</v>
      </c>
      <c r="AO52" s="314"/>
      <c r="AP52" s="318"/>
    </row>
    <row r="53" spans="2:42">
      <c r="B53" s="296" t="s">
        <v>1266</v>
      </c>
      <c r="C53" s="299" t="s">
        <v>277</v>
      </c>
      <c r="D53" s="298" t="s">
        <v>875</v>
      </c>
      <c r="E53" s="299" t="s">
        <v>113</v>
      </c>
      <c r="F53" s="299" t="s">
        <v>59</v>
      </c>
      <c r="G53" s="300">
        <v>43887</v>
      </c>
      <c r="H53" s="303">
        <v>11038.85</v>
      </c>
      <c r="I53" s="301" t="str">
        <f t="shared" si="0"/>
        <v>Ingresos Sección II LISR (SIC &amp; BMV)</v>
      </c>
      <c r="J53" s="302">
        <f t="shared" si="9"/>
        <v>55</v>
      </c>
      <c r="K53" s="304">
        <f t="shared" si="1"/>
        <v>200.70636363636365</v>
      </c>
      <c r="L53" s="305">
        <f>IF(H53=0,0,IF(OR(E53=$AT$5,E53=$AT$6),AA53,IF(F53="MXN",1/HLOOKUP(YEAR(G53)+(MONTH(G53)/100),TC!$5:$37,DAY(G53)+2,FALSE),VLOOKUP(F53,Equivalencia!$5:$23,((MAX(Equivalencia!$3:$3)-YEAR(G53))*14)+MONTH(G53)+2,FALSE))))</f>
        <v>1</v>
      </c>
      <c r="M53" s="306">
        <f t="shared" si="2"/>
        <v>11038.85</v>
      </c>
      <c r="N53" s="305">
        <f>IF(G53=0,0,(IF(OR(E53=$AT$5,E53=$AT$6),AC53,HLOOKUP(YEAR(G53)+(MONTH(G53)/100),TC!$5:$37,DAY(G53)+2,FALSE))))</f>
        <v>19.119700000000002</v>
      </c>
      <c r="O53" s="307">
        <f t="shared" si="10"/>
        <v>211059.50034500004</v>
      </c>
      <c r="P53" s="560">
        <f>IF(G53=0,0,VLOOKUP(YEAR(G53),INPC!$B$4:$P$30,MONTH(G53)+2))</f>
        <v>106.889</v>
      </c>
      <c r="Q53" s="560">
        <f>IF(X53=0,0,IF(OR(E53=$AT$10,E53=$AT$9),VLOOKUP(YEAR(X53),INPC!$B$4:$P$30,MONTH(X53)+1),VLOOKUP(YEAR(X53),INPC!$B$4:$P$30,MONTH(X53)+2,0)))</f>
        <v>118.002</v>
      </c>
      <c r="R53" s="309">
        <f t="shared" si="3"/>
        <v>1.1039000000000001</v>
      </c>
      <c r="S53" s="310">
        <f t="shared" si="11"/>
        <v>232988.58243084556</v>
      </c>
      <c r="T53" s="555">
        <f t="shared" si="12"/>
        <v>4236.1560441971924</v>
      </c>
      <c r="U53" s="311"/>
      <c r="V53" s="312">
        <v>55</v>
      </c>
      <c r="W53" s="299" t="s">
        <v>194</v>
      </c>
      <c r="X53" s="300">
        <v>44606</v>
      </c>
      <c r="Y53" s="299" t="s">
        <v>59</v>
      </c>
      <c r="Z53" s="303">
        <v>11989.02</v>
      </c>
      <c r="AA53" s="305">
        <f>IF(Z53=0,0,IF(Y53="MXN",1/HLOOKUP(YEAR(X53)+(MONTH(X53)/100),TC!$5:$37,DAY(X53)+2,FALSE),VLOOKUP(Y53,Equivalencia!$1:$23,((MAX(Equivalencia!$3:$3)-YEAR(X53))*14)+MONTH(X53)+2,FALSE)))</f>
        <v>1</v>
      </c>
      <c r="AB53" s="306">
        <f t="shared" si="13"/>
        <v>11989.02</v>
      </c>
      <c r="AC53" s="305">
        <f>+IF(X53=0,0,HLOOKUP(YEAR(X53)+(MONTH(X53)/100),TC!$5:$37,DAY(X53)+2,FALSE))</f>
        <v>20.4148</v>
      </c>
      <c r="AD53" s="307">
        <f t="shared" si="14"/>
        <v>244753.445496</v>
      </c>
      <c r="AE53" s="314">
        <f t="shared" si="4"/>
        <v>232988.58243084559</v>
      </c>
      <c r="AF53" s="315">
        <f t="shared" si="5"/>
        <v>11764.863065154408</v>
      </c>
      <c r="AG53" s="316">
        <f t="shared" si="6"/>
        <v>1.9698630136986301</v>
      </c>
      <c r="AH53" s="314">
        <v>1</v>
      </c>
      <c r="AI53" s="314">
        <f t="shared" si="7"/>
        <v>11764.863065154408</v>
      </c>
      <c r="AJ53" s="314">
        <f t="shared" si="15"/>
        <v>0</v>
      </c>
      <c r="AK53" s="317"/>
      <c r="AL53" s="315">
        <f t="shared" si="16"/>
        <v>950.17000000000007</v>
      </c>
      <c r="AN53" s="554">
        <f t="shared" si="8"/>
        <v>8.6075089343545755E-2</v>
      </c>
      <c r="AO53" s="314"/>
      <c r="AP53" s="318"/>
    </row>
    <row r="54" spans="2:42">
      <c r="B54" s="296" t="s">
        <v>1266</v>
      </c>
      <c r="C54" s="299" t="s">
        <v>277</v>
      </c>
      <c r="D54" s="298" t="s">
        <v>753</v>
      </c>
      <c r="E54" s="299" t="s">
        <v>113</v>
      </c>
      <c r="F54" s="299" t="s">
        <v>59</v>
      </c>
      <c r="G54" s="300">
        <v>43965</v>
      </c>
      <c r="H54" s="303">
        <v>3740.5</v>
      </c>
      <c r="I54" s="301" t="str">
        <f t="shared" si="0"/>
        <v>Ingresos Sección II LISR (SIC &amp; BMV)</v>
      </c>
      <c r="J54" s="302">
        <f t="shared" si="9"/>
        <v>100</v>
      </c>
      <c r="K54" s="304">
        <f t="shared" si="1"/>
        <v>37.405000000000001</v>
      </c>
      <c r="L54" s="305">
        <f>IF(H54=0,0,IF(OR(E54=$AT$5,E54=$AT$6),AA54,IF(F54="MXN",1/HLOOKUP(YEAR(G54)+(MONTH(G54)/100),TC!$5:$37,DAY(G54)+2,FALSE),VLOOKUP(F54,Equivalencia!$5:$23,((MAX(Equivalencia!$3:$3)-YEAR(G54))*14)+MONTH(G54)+2,FALSE))))</f>
        <v>1</v>
      </c>
      <c r="M54" s="306">
        <f t="shared" si="2"/>
        <v>3740.5</v>
      </c>
      <c r="N54" s="305">
        <f>IF(G54=0,0,(IF(OR(E54=$AT$5,E54=$AT$6),AC54,HLOOKUP(YEAR(G54)+(MONTH(G54)/100),TC!$5:$37,DAY(G54)+2,FALSE))))</f>
        <v>24.0487</v>
      </c>
      <c r="O54" s="307">
        <f t="shared" si="10"/>
        <v>89954.162349999999</v>
      </c>
      <c r="P54" s="560">
        <f>IF(G54=0,0,VLOOKUP(YEAR(G54),INPC!$B$4:$P$30,MONTH(G54)+2))</f>
        <v>106.16200000000001</v>
      </c>
      <c r="Q54" s="560">
        <f>IF(X54=0,0,IF(OR(E54=$AT$10,E54=$AT$9),VLOOKUP(YEAR(X54),INPC!$B$4:$P$30,MONTH(X54)+1),VLOOKUP(YEAR(X54),INPC!$B$4:$P$30,MONTH(X54)+2,0)))</f>
        <v>118.98099999999999</v>
      </c>
      <c r="R54" s="309">
        <f t="shared" si="3"/>
        <v>1.1207</v>
      </c>
      <c r="S54" s="310">
        <f t="shared" si="11"/>
        <v>100811.629745645</v>
      </c>
      <c r="T54" s="555">
        <f t="shared" si="12"/>
        <v>1008.11629745645</v>
      </c>
      <c r="U54" s="311"/>
      <c r="V54" s="312">
        <v>100</v>
      </c>
      <c r="W54" s="299" t="s">
        <v>194</v>
      </c>
      <c r="X54" s="300">
        <v>44642</v>
      </c>
      <c r="Y54" s="299" t="s">
        <v>59</v>
      </c>
      <c r="Z54" s="303">
        <v>9321.32</v>
      </c>
      <c r="AA54" s="305">
        <f>IF(Z54=0,0,IF(Y54="MXN",1/HLOOKUP(YEAR(X54)+(MONTH(X54)/100),TC!$5:$37,DAY(X54)+2,FALSE),VLOOKUP(Y54,Equivalencia!$1:$23,((MAX(Equivalencia!$3:$3)-YEAR(X54))*14)+MONTH(X54)+2,FALSE)))</f>
        <v>1</v>
      </c>
      <c r="AB54" s="306">
        <f t="shared" si="13"/>
        <v>9321.32</v>
      </c>
      <c r="AC54" s="305">
        <f>+IF(X54=0,0,HLOOKUP(YEAR(X54)+(MONTH(X54)/100),TC!$5:$37,DAY(X54)+2,FALSE))</f>
        <v>20.558499999999999</v>
      </c>
      <c r="AD54" s="307">
        <f t="shared" si="14"/>
        <v>191632.35721999998</v>
      </c>
      <c r="AE54" s="314">
        <f t="shared" si="4"/>
        <v>100811.629745645</v>
      </c>
      <c r="AF54" s="315">
        <f t="shared" si="5"/>
        <v>90820.727474354979</v>
      </c>
      <c r="AG54" s="316">
        <f t="shared" si="6"/>
        <v>1.8547945205479452</v>
      </c>
      <c r="AH54" s="314">
        <v>1</v>
      </c>
      <c r="AI54" s="314">
        <f t="shared" si="7"/>
        <v>90820.727474354979</v>
      </c>
      <c r="AJ54" s="314">
        <f t="shared" si="15"/>
        <v>0</v>
      </c>
      <c r="AK54" s="317"/>
      <c r="AL54" s="315">
        <f t="shared" si="16"/>
        <v>5580.82</v>
      </c>
      <c r="AN54" s="554">
        <f t="shared" si="8"/>
        <v>1.4919983959363721</v>
      </c>
      <c r="AO54" s="314"/>
      <c r="AP54" s="318"/>
    </row>
    <row r="55" spans="2:42">
      <c r="B55" s="296" t="s">
        <v>1266</v>
      </c>
      <c r="C55" s="299" t="s">
        <v>277</v>
      </c>
      <c r="D55" s="298" t="s">
        <v>753</v>
      </c>
      <c r="E55" s="299" t="s">
        <v>113</v>
      </c>
      <c r="F55" s="299" t="s">
        <v>59</v>
      </c>
      <c r="G55" s="300">
        <v>43965</v>
      </c>
      <c r="H55" s="303">
        <v>4825.25</v>
      </c>
      <c r="I55" s="301" t="str">
        <f t="shared" si="0"/>
        <v>Ingresos Sección II LISR (SIC &amp; BMV)</v>
      </c>
      <c r="J55" s="302">
        <f t="shared" si="9"/>
        <v>129</v>
      </c>
      <c r="K55" s="304">
        <f t="shared" si="1"/>
        <v>37.405038759689923</v>
      </c>
      <c r="L55" s="305">
        <f>IF(H55=0,0,IF(OR(E55=$AT$5,E55=$AT$6),AA55,IF(F55="MXN",1/HLOOKUP(YEAR(G55)+(MONTH(G55)/100),TC!$5:$37,DAY(G55)+2,FALSE),VLOOKUP(F55,Equivalencia!$5:$23,((MAX(Equivalencia!$3:$3)-YEAR(G55))*14)+MONTH(G55)+2,FALSE))))</f>
        <v>1</v>
      </c>
      <c r="M55" s="306">
        <f t="shared" si="2"/>
        <v>4825.25</v>
      </c>
      <c r="N55" s="305">
        <f>IF(G55=0,0,(IF(OR(E55=$AT$5,E55=$AT$6),AC55,HLOOKUP(YEAR(G55)+(MONTH(G55)/100),TC!$5:$37,DAY(G55)+2,FALSE))))</f>
        <v>24.0487</v>
      </c>
      <c r="O55" s="307">
        <f t="shared" si="10"/>
        <v>116040.989675</v>
      </c>
      <c r="P55" s="560">
        <f>IF(G55=0,0,VLOOKUP(YEAR(G55),INPC!$B$4:$P$30,MONTH(G55)+2))</f>
        <v>106.16200000000001</v>
      </c>
      <c r="Q55" s="560">
        <f>IF(X55=0,0,IF(OR(E55=$AT$10,E55=$AT$9),VLOOKUP(YEAR(X55),INPC!$B$4:$P$30,MONTH(X55)+1),VLOOKUP(YEAR(X55),INPC!$B$4:$P$30,MONTH(X55)+2,0)))</f>
        <v>118.002</v>
      </c>
      <c r="R55" s="309">
        <f t="shared" si="3"/>
        <v>1.1114999999999999</v>
      </c>
      <c r="S55" s="310">
        <f t="shared" si="11"/>
        <v>128979.5600237625</v>
      </c>
      <c r="T55" s="555">
        <f t="shared" si="12"/>
        <v>999.84155057180237</v>
      </c>
      <c r="U55" s="311"/>
      <c r="V55" s="312">
        <v>129</v>
      </c>
      <c r="W55" s="299" t="s">
        <v>194</v>
      </c>
      <c r="X55" s="300">
        <v>44608</v>
      </c>
      <c r="Y55" s="299" t="s">
        <v>59</v>
      </c>
      <c r="Z55" s="303">
        <v>13209.71</v>
      </c>
      <c r="AA55" s="305">
        <f>IF(Z55=0,0,IF(Y55="MXN",1/HLOOKUP(YEAR(X55)+(MONTH(X55)/100),TC!$5:$37,DAY(X55)+2,FALSE),VLOOKUP(Y55,Equivalencia!$1:$23,((MAX(Equivalencia!$3:$3)-YEAR(X55))*14)+MONTH(X55)+2,FALSE)))</f>
        <v>1</v>
      </c>
      <c r="AB55" s="306">
        <f t="shared" si="13"/>
        <v>13209.71</v>
      </c>
      <c r="AC55" s="305">
        <f>+IF(X55=0,0,HLOOKUP(YEAR(X55)+(MONTH(X55)/100),TC!$5:$37,DAY(X55)+2,FALSE))</f>
        <v>20.411000000000001</v>
      </c>
      <c r="AD55" s="307">
        <f t="shared" si="14"/>
        <v>269623.39081000001</v>
      </c>
      <c r="AE55" s="314">
        <f t="shared" si="4"/>
        <v>128979.5600237625</v>
      </c>
      <c r="AF55" s="315">
        <f t="shared" si="5"/>
        <v>140643.83078623749</v>
      </c>
      <c r="AG55" s="316">
        <f t="shared" si="6"/>
        <v>1.7616438356164383</v>
      </c>
      <c r="AH55" s="314">
        <v>1</v>
      </c>
      <c r="AI55" s="314">
        <f t="shared" si="7"/>
        <v>140643.83078623749</v>
      </c>
      <c r="AJ55" s="314">
        <f t="shared" si="15"/>
        <v>0</v>
      </c>
      <c r="AK55" s="317"/>
      <c r="AL55" s="315">
        <f t="shared" si="16"/>
        <v>8384.4599999999991</v>
      </c>
      <c r="AN55" s="554">
        <f t="shared" si="8"/>
        <v>1.7376218848764311</v>
      </c>
      <c r="AO55" s="314"/>
      <c r="AP55" s="318"/>
    </row>
    <row r="56" spans="2:42">
      <c r="B56" s="296" t="s">
        <v>1266</v>
      </c>
      <c r="C56" s="299" t="s">
        <v>277</v>
      </c>
      <c r="D56" s="298" t="s">
        <v>756</v>
      </c>
      <c r="E56" s="299" t="s">
        <v>113</v>
      </c>
      <c r="F56" s="299" t="s">
        <v>59</v>
      </c>
      <c r="G56" s="300">
        <v>43965</v>
      </c>
      <c r="H56" s="303">
        <v>8121.75</v>
      </c>
      <c r="I56" s="301" t="str">
        <f t="shared" si="0"/>
        <v>Ingresos Sección II LISR (SIC &amp; BMV)</v>
      </c>
      <c r="J56" s="302">
        <f t="shared" si="9"/>
        <v>50</v>
      </c>
      <c r="K56" s="304">
        <f t="shared" si="1"/>
        <v>162.435</v>
      </c>
      <c r="L56" s="305">
        <f>IF(H56=0,0,IF(OR(E56=$AT$5,E56=$AT$6),AA56,IF(F56="MXN",1/HLOOKUP(YEAR(G56)+(MONTH(G56)/100),TC!$5:$37,DAY(G56)+2,FALSE),VLOOKUP(F56,Equivalencia!$5:$23,((MAX(Equivalencia!$3:$3)-YEAR(G56))*14)+MONTH(G56)+2,FALSE))))</f>
        <v>1</v>
      </c>
      <c r="M56" s="306">
        <f t="shared" si="2"/>
        <v>8121.75</v>
      </c>
      <c r="N56" s="305">
        <f>IF(G56=0,0,(IF(OR(E56=$AT$5,E56=$AT$6),AC56,HLOOKUP(YEAR(G56)+(MONTH(G56)/100),TC!$5:$37,DAY(G56)+2,FALSE))))</f>
        <v>24.0487</v>
      </c>
      <c r="O56" s="307">
        <f t="shared" si="10"/>
        <v>195317.52922500001</v>
      </c>
      <c r="P56" s="560">
        <f>IF(G56=0,0,VLOOKUP(YEAR(G56),INPC!$B$4:$P$30,MONTH(G56)+2))</f>
        <v>106.16200000000001</v>
      </c>
      <c r="Q56" s="560">
        <f>IF(X56=0,0,IF(OR(E56=$AT$10,E56=$AT$9),VLOOKUP(YEAR(X56),INPC!$B$4:$P$30,MONTH(X56)+1),VLOOKUP(YEAR(X56),INPC!$B$4:$P$30,MONTH(X56)+2,0)))</f>
        <v>120.15900000000001</v>
      </c>
      <c r="R56" s="309">
        <f t="shared" si="3"/>
        <v>1.1317999999999999</v>
      </c>
      <c r="S56" s="310">
        <f t="shared" si="11"/>
        <v>221060.37957685499</v>
      </c>
      <c r="T56" s="555">
        <f t="shared" si="12"/>
        <v>4421.2075915370997</v>
      </c>
      <c r="U56" s="311"/>
      <c r="V56" s="312">
        <v>50</v>
      </c>
      <c r="W56" s="299" t="s">
        <v>194</v>
      </c>
      <c r="X56" s="300">
        <v>44678</v>
      </c>
      <c r="Y56" s="299" t="s">
        <v>59</v>
      </c>
      <c r="Z56" s="303">
        <v>12815.77</v>
      </c>
      <c r="AA56" s="305">
        <f>IF(Z56=0,0,IF(Y56="MXN",1/HLOOKUP(YEAR(X56)+(MONTH(X56)/100),TC!$5:$37,DAY(X56)+2,FALSE),VLOOKUP(Y56,Equivalencia!$1:$23,((MAX(Equivalencia!$3:$3)-YEAR(X56))*14)+MONTH(X56)+2,FALSE)))</f>
        <v>1</v>
      </c>
      <c r="AB56" s="306">
        <f t="shared" si="13"/>
        <v>12815.77</v>
      </c>
      <c r="AC56" s="305">
        <f>+IF(X56=0,0,HLOOKUP(YEAR(X56)+(MONTH(X56)/100),TC!$5:$37,DAY(X56)+2,FALSE))</f>
        <v>20.299199999999999</v>
      </c>
      <c r="AD56" s="307">
        <f t="shared" si="14"/>
        <v>260149.87838400001</v>
      </c>
      <c r="AE56" s="314">
        <f t="shared" si="4"/>
        <v>221060.37957685499</v>
      </c>
      <c r="AF56" s="315">
        <f t="shared" si="5"/>
        <v>39089.498807145021</v>
      </c>
      <c r="AG56" s="316">
        <f t="shared" si="6"/>
        <v>1.9534246575342467</v>
      </c>
      <c r="AH56" s="314">
        <v>1</v>
      </c>
      <c r="AI56" s="314">
        <f t="shared" si="7"/>
        <v>39089.498807145021</v>
      </c>
      <c r="AJ56" s="314">
        <f t="shared" si="15"/>
        <v>0</v>
      </c>
      <c r="AK56" s="317"/>
      <c r="AL56" s="315">
        <f t="shared" si="16"/>
        <v>4694.0200000000004</v>
      </c>
      <c r="AN56" s="554">
        <f t="shared" si="8"/>
        <v>0.57795672114999852</v>
      </c>
      <c r="AO56" s="314"/>
      <c r="AP56" s="318"/>
    </row>
    <row r="57" spans="2:42">
      <c r="B57" s="296" t="s">
        <v>1266</v>
      </c>
      <c r="C57" s="299" t="s">
        <v>277</v>
      </c>
      <c r="D57" s="298" t="s">
        <v>831</v>
      </c>
      <c r="E57" s="299" t="s">
        <v>113</v>
      </c>
      <c r="F57" s="299" t="s">
        <v>59</v>
      </c>
      <c r="G57" s="300">
        <v>43315</v>
      </c>
      <c r="H57" s="303">
        <v>2784.9</v>
      </c>
      <c r="I57" s="301" t="str">
        <f t="shared" si="0"/>
        <v>Ingresos Sección II LISR (SIC &amp; BMV)</v>
      </c>
      <c r="J57" s="302">
        <f t="shared" si="9"/>
        <v>9</v>
      </c>
      <c r="K57" s="304">
        <f t="shared" si="1"/>
        <v>309.43333333333334</v>
      </c>
      <c r="L57" s="305">
        <f>IF(H57=0,0,IF(OR(E57=$AT$5,E57=$AT$6),AA57,IF(F57="MXN",1/HLOOKUP(YEAR(G57)+(MONTH(G57)/100),TC!$5:$37,DAY(G57)+2,FALSE),VLOOKUP(F57,Equivalencia!$5:$23,((MAX(Equivalencia!$3:$3)-YEAR(G57))*14)+MONTH(G57)+2,FALSE))))</f>
        <v>1</v>
      </c>
      <c r="M57" s="306">
        <f t="shared" si="2"/>
        <v>2784.9</v>
      </c>
      <c r="N57" s="305">
        <f>IF(G57=0,0,(IF(OR(E57=$AT$5,E57=$AT$6),AC57,HLOOKUP(YEAR(G57)+(MONTH(G57)/100),TC!$5:$37,DAY(G57)+2,FALSE))))</f>
        <v>18.5899</v>
      </c>
      <c r="O57" s="307">
        <f t="shared" si="10"/>
        <v>51771.01251</v>
      </c>
      <c r="P57" s="560">
        <f>IF(G57=0,0,VLOOKUP(YEAR(G57),INPC!$B$4:$P$30,MONTH(G57)+2))</f>
        <v>100.492</v>
      </c>
      <c r="Q57" s="560">
        <f>IF(X57=0,0,IF(OR(E57=$AT$10,E57=$AT$9),VLOOKUP(YEAR(X57),INPC!$B$4:$P$30,MONTH(X57)+1),VLOOKUP(YEAR(X57),INPC!$B$4:$P$30,MONTH(X57)+2,0)))</f>
        <v>120.809</v>
      </c>
      <c r="R57" s="309">
        <f t="shared" si="3"/>
        <v>1.2020999999999999</v>
      </c>
      <c r="S57" s="310">
        <f t="shared" si="11"/>
        <v>62233.934138270997</v>
      </c>
      <c r="T57" s="555">
        <f t="shared" si="12"/>
        <v>6914.8815709189994</v>
      </c>
      <c r="U57" s="311"/>
      <c r="V57" s="312">
        <v>9</v>
      </c>
      <c r="W57" s="299" t="s">
        <v>194</v>
      </c>
      <c r="X57" s="300">
        <v>44704</v>
      </c>
      <c r="Y57" s="299" t="s">
        <v>59</v>
      </c>
      <c r="Z57" s="303">
        <v>5187.4799999999996</v>
      </c>
      <c r="AA57" s="305">
        <f>IF(Z57=0,0,IF(Y57="MXN",1/HLOOKUP(YEAR(X57)+(MONTH(X57)/100),TC!$5:$37,DAY(X57)+2,FALSE),VLOOKUP(Y57,Equivalencia!$1:$23,((MAX(Equivalencia!$3:$3)-YEAR(X57))*14)+MONTH(X57)+2,FALSE)))</f>
        <v>1</v>
      </c>
      <c r="AB57" s="306">
        <f t="shared" si="13"/>
        <v>5187.4799999999996</v>
      </c>
      <c r="AC57" s="305">
        <f>+IF(X57=0,0,HLOOKUP(YEAR(X57)+(MONTH(X57)/100),TC!$5:$37,DAY(X57)+2,FALSE))</f>
        <v>19.9267</v>
      </c>
      <c r="AD57" s="307">
        <f t="shared" si="14"/>
        <v>103369.357716</v>
      </c>
      <c r="AE57" s="314">
        <f t="shared" si="4"/>
        <v>62233.934138270997</v>
      </c>
      <c r="AF57" s="315">
        <f t="shared" si="5"/>
        <v>41135.423577729001</v>
      </c>
      <c r="AG57" s="316">
        <f t="shared" si="6"/>
        <v>3.8054794520547945</v>
      </c>
      <c r="AH57" s="314">
        <v>1</v>
      </c>
      <c r="AI57" s="314">
        <f t="shared" si="7"/>
        <v>41135.423577729001</v>
      </c>
      <c r="AJ57" s="314">
        <f t="shared" si="15"/>
        <v>0</v>
      </c>
      <c r="AK57" s="317"/>
      <c r="AL57" s="315">
        <f t="shared" si="16"/>
        <v>2402.5799999999995</v>
      </c>
      <c r="AN57" s="554">
        <f t="shared" si="8"/>
        <v>0.86271679413982527</v>
      </c>
      <c r="AO57" s="314"/>
      <c r="AP57" s="318"/>
    </row>
    <row r="58" spans="2:42">
      <c r="B58" s="296" t="s">
        <v>1266</v>
      </c>
      <c r="C58" s="299" t="s">
        <v>277</v>
      </c>
      <c r="D58" s="298" t="s">
        <v>831</v>
      </c>
      <c r="E58" s="299" t="s">
        <v>113</v>
      </c>
      <c r="F58" s="299" t="s">
        <v>59</v>
      </c>
      <c r="G58" s="300">
        <v>43315</v>
      </c>
      <c r="H58" s="303">
        <v>3094.33</v>
      </c>
      <c r="I58" s="301" t="str">
        <f t="shared" si="0"/>
        <v>Ingresos Sección II LISR (SIC &amp; BMV)</v>
      </c>
      <c r="J58" s="302">
        <f t="shared" si="9"/>
        <v>10</v>
      </c>
      <c r="K58" s="304">
        <f t="shared" si="1"/>
        <v>309.43299999999999</v>
      </c>
      <c r="L58" s="305">
        <f>IF(H58=0,0,IF(OR(E58=$AT$5,E58=$AT$6),AA58,IF(F58="MXN",1/HLOOKUP(YEAR(G58)+(MONTH(G58)/100),TC!$5:$37,DAY(G58)+2,FALSE),VLOOKUP(F58,Equivalencia!$5:$23,((MAX(Equivalencia!$3:$3)-YEAR(G58))*14)+MONTH(G58)+2,FALSE))))</f>
        <v>1</v>
      </c>
      <c r="M58" s="306">
        <f t="shared" si="2"/>
        <v>3094.33</v>
      </c>
      <c r="N58" s="305">
        <f>IF(G58=0,0,(IF(OR(E58=$AT$5,E58=$AT$6),AC58,HLOOKUP(YEAR(G58)+(MONTH(G58)/100),TC!$5:$37,DAY(G58)+2,FALSE))))</f>
        <v>18.5899</v>
      </c>
      <c r="O58" s="307">
        <f t="shared" si="10"/>
        <v>57523.285266999999</v>
      </c>
      <c r="P58" s="560">
        <f>IF(G58=0,0,VLOOKUP(YEAR(G58),INPC!$B$4:$P$30,MONTH(G58)+2))</f>
        <v>100.492</v>
      </c>
      <c r="Q58" s="560">
        <f>IF(X58=0,0,IF(OR(E58=$AT$10,E58=$AT$9),VLOOKUP(YEAR(X58),INPC!$B$4:$P$30,MONTH(X58)+1),VLOOKUP(YEAR(X58),INPC!$B$4:$P$30,MONTH(X58)+2,0)))</f>
        <v>120.809</v>
      </c>
      <c r="R58" s="309">
        <f t="shared" si="3"/>
        <v>1.2020999999999999</v>
      </c>
      <c r="S58" s="310">
        <f t="shared" si="11"/>
        <v>69148.741219460702</v>
      </c>
      <c r="T58" s="555">
        <f t="shared" si="12"/>
        <v>6914.8741219460699</v>
      </c>
      <c r="U58" s="311"/>
      <c r="V58" s="312">
        <v>10</v>
      </c>
      <c r="W58" s="299" t="s">
        <v>194</v>
      </c>
      <c r="X58" s="300">
        <v>44701</v>
      </c>
      <c r="Y58" s="299" t="s">
        <v>59</v>
      </c>
      <c r="Z58" s="303">
        <v>5745.04</v>
      </c>
      <c r="AA58" s="305">
        <f>IF(Z58=0,0,IF(Y58="MXN",1/HLOOKUP(YEAR(X58)+(MONTH(X58)/100),TC!$5:$37,DAY(X58)+2,FALSE),VLOOKUP(Y58,Equivalencia!$1:$23,((MAX(Equivalencia!$3:$3)-YEAR(X58))*14)+MONTH(X58)+2,FALSE)))</f>
        <v>1</v>
      </c>
      <c r="AB58" s="306">
        <f t="shared" si="13"/>
        <v>5745.04</v>
      </c>
      <c r="AC58" s="305">
        <f>+IF(X58=0,0,HLOOKUP(YEAR(X58)+(MONTH(X58)/100),TC!$5:$37,DAY(X58)+2,FALSE))</f>
        <v>19.9663</v>
      </c>
      <c r="AD58" s="307">
        <f t="shared" si="14"/>
        <v>114707.192152</v>
      </c>
      <c r="AE58" s="314">
        <f t="shared" si="4"/>
        <v>69148.741219460702</v>
      </c>
      <c r="AF58" s="315">
        <f t="shared" si="5"/>
        <v>45558.450932539301</v>
      </c>
      <c r="AG58" s="316">
        <f t="shared" si="6"/>
        <v>3.7972602739726029</v>
      </c>
      <c r="AH58" s="314">
        <v>1</v>
      </c>
      <c r="AI58" s="314">
        <f t="shared" si="7"/>
        <v>45558.450932539301</v>
      </c>
      <c r="AJ58" s="314">
        <f t="shared" si="15"/>
        <v>0</v>
      </c>
      <c r="AK58" s="317"/>
      <c r="AL58" s="315">
        <f t="shared" si="16"/>
        <v>2650.71</v>
      </c>
      <c r="AN58" s="554">
        <f t="shared" si="8"/>
        <v>0.85663455416843071</v>
      </c>
      <c r="AO58" s="314"/>
      <c r="AP58" s="318"/>
    </row>
    <row r="59" spans="2:42">
      <c r="B59" s="296" t="s">
        <v>1266</v>
      </c>
      <c r="C59" s="299" t="s">
        <v>277</v>
      </c>
      <c r="D59" s="298" t="s">
        <v>831</v>
      </c>
      <c r="E59" s="299" t="s">
        <v>113</v>
      </c>
      <c r="F59" s="299" t="s">
        <v>59</v>
      </c>
      <c r="G59" s="300">
        <v>43315</v>
      </c>
      <c r="H59" s="303">
        <v>3403.76</v>
      </c>
      <c r="I59" s="301" t="str">
        <f t="shared" si="0"/>
        <v>Ingresos Sección II LISR (SIC &amp; BMV)</v>
      </c>
      <c r="J59" s="302">
        <f t="shared" si="9"/>
        <v>11</v>
      </c>
      <c r="K59" s="304">
        <f t="shared" si="1"/>
        <v>309.43272727272728</v>
      </c>
      <c r="L59" s="305">
        <f>IF(H59=0,0,IF(OR(E59=$AT$5,E59=$AT$6),AA59,IF(F59="MXN",1/HLOOKUP(YEAR(G59)+(MONTH(G59)/100),TC!$5:$37,DAY(G59)+2,FALSE),VLOOKUP(F59,Equivalencia!$5:$23,((MAX(Equivalencia!$3:$3)-YEAR(G59))*14)+MONTH(G59)+2,FALSE))))</f>
        <v>1</v>
      </c>
      <c r="M59" s="306">
        <f t="shared" si="2"/>
        <v>3403.76</v>
      </c>
      <c r="N59" s="305">
        <f>IF(G59=0,0,(IF(OR(E59=$AT$5,E59=$AT$6),AC59,HLOOKUP(YEAR(G59)+(MONTH(G59)/100),TC!$5:$37,DAY(G59)+2,FALSE))))</f>
        <v>18.5899</v>
      </c>
      <c r="O59" s="307">
        <f t="shared" si="10"/>
        <v>63275.558024000005</v>
      </c>
      <c r="P59" s="560">
        <f>IF(G59=0,0,VLOOKUP(YEAR(G59),INPC!$B$4:$P$30,MONTH(G59)+2))</f>
        <v>100.492</v>
      </c>
      <c r="Q59" s="560">
        <f>IF(X59=0,0,IF(OR(E59=$AT$10,E59=$AT$9),VLOOKUP(YEAR(X59),INPC!$B$4:$P$30,MONTH(X59)+1),VLOOKUP(YEAR(X59),INPC!$B$4:$P$30,MONTH(X59)+2,0)))</f>
        <v>118.98099999999999</v>
      </c>
      <c r="R59" s="309">
        <f t="shared" si="3"/>
        <v>1.1839</v>
      </c>
      <c r="S59" s="310">
        <f t="shared" si="11"/>
        <v>74911.933144613606</v>
      </c>
      <c r="T59" s="555">
        <f t="shared" si="12"/>
        <v>6810.1757404194186</v>
      </c>
      <c r="U59" s="311"/>
      <c r="V59" s="312">
        <v>11</v>
      </c>
      <c r="W59" s="299" t="s">
        <v>194</v>
      </c>
      <c r="X59" s="300">
        <v>44649</v>
      </c>
      <c r="Y59" s="299" t="s">
        <v>59</v>
      </c>
      <c r="Z59" s="303">
        <v>7633.6</v>
      </c>
      <c r="AA59" s="305">
        <f>IF(Z59=0,0,IF(Y59="MXN",1/HLOOKUP(YEAR(X59)+(MONTH(X59)/100),TC!$5:$37,DAY(X59)+2,FALSE),VLOOKUP(Y59,Equivalencia!$1:$23,((MAX(Equivalencia!$3:$3)-YEAR(X59))*14)+MONTH(X59)+2,FALSE)))</f>
        <v>1</v>
      </c>
      <c r="AB59" s="306">
        <f t="shared" si="13"/>
        <v>7633.6</v>
      </c>
      <c r="AC59" s="305">
        <f>+IF(X59=0,0,HLOOKUP(YEAR(X59)+(MONTH(X59)/100),TC!$5:$37,DAY(X59)+2,FALSE))</f>
        <v>19.957699999999999</v>
      </c>
      <c r="AD59" s="307">
        <f t="shared" si="14"/>
        <v>152349.09872000001</v>
      </c>
      <c r="AE59" s="314">
        <f t="shared" si="4"/>
        <v>74911.933144613606</v>
      </c>
      <c r="AF59" s="315">
        <f t="shared" si="5"/>
        <v>77437.165575386403</v>
      </c>
      <c r="AG59" s="316">
        <f t="shared" si="6"/>
        <v>3.6547945205479451</v>
      </c>
      <c r="AH59" s="314">
        <v>1</v>
      </c>
      <c r="AI59" s="314">
        <f t="shared" si="7"/>
        <v>77437.165575386403</v>
      </c>
      <c r="AJ59" s="314">
        <f t="shared" si="15"/>
        <v>0</v>
      </c>
      <c r="AK59" s="317"/>
      <c r="AL59" s="315">
        <f t="shared" si="16"/>
        <v>4229.84</v>
      </c>
      <c r="AN59" s="554">
        <f t="shared" si="8"/>
        <v>1.2426963123134416</v>
      </c>
      <c r="AO59" s="314"/>
      <c r="AP59" s="318"/>
    </row>
    <row r="60" spans="2:42">
      <c r="B60" s="296" t="s">
        <v>1266</v>
      </c>
      <c r="C60" s="299" t="s">
        <v>277</v>
      </c>
      <c r="D60" s="298" t="s">
        <v>831</v>
      </c>
      <c r="E60" s="299" t="s">
        <v>113</v>
      </c>
      <c r="F60" s="299" t="s">
        <v>59</v>
      </c>
      <c r="G60" s="300">
        <v>43315</v>
      </c>
      <c r="H60" s="303">
        <v>2784.9</v>
      </c>
      <c r="I60" s="301" t="str">
        <f t="shared" si="0"/>
        <v>Ingresos Sección II LISR (SIC &amp; BMV)</v>
      </c>
      <c r="J60" s="302">
        <f t="shared" si="9"/>
        <v>9</v>
      </c>
      <c r="K60" s="304">
        <f t="shared" si="1"/>
        <v>309.43333333333334</v>
      </c>
      <c r="L60" s="305">
        <f>IF(H60=0,0,IF(OR(E60=$AT$5,E60=$AT$6),AA60,IF(F60="MXN",1/HLOOKUP(YEAR(G60)+(MONTH(G60)/100),TC!$5:$37,DAY(G60)+2,FALSE),VLOOKUP(F60,Equivalencia!$5:$23,((MAX(Equivalencia!$3:$3)-YEAR(G60))*14)+MONTH(G60)+2,FALSE))))</f>
        <v>1</v>
      </c>
      <c r="M60" s="306">
        <f t="shared" si="2"/>
        <v>2784.9</v>
      </c>
      <c r="N60" s="305">
        <f>IF(G60=0,0,(IF(OR(E60=$AT$5,E60=$AT$6),AC60,HLOOKUP(YEAR(G60)+(MONTH(G60)/100),TC!$5:$37,DAY(G60)+2,FALSE))))</f>
        <v>18.5899</v>
      </c>
      <c r="O60" s="307">
        <f t="shared" si="10"/>
        <v>51771.01251</v>
      </c>
      <c r="P60" s="560">
        <f>IF(G60=0,0,VLOOKUP(YEAR(G60),INPC!$B$4:$P$30,MONTH(G60)+2))</f>
        <v>100.492</v>
      </c>
      <c r="Q60" s="560">
        <f>IF(X60=0,0,IF(OR(E60=$AT$10,E60=$AT$9),VLOOKUP(YEAR(X60),INPC!$B$4:$P$30,MONTH(X60)+1),VLOOKUP(YEAR(X60),INPC!$B$4:$P$30,MONTH(X60)+2,0)))</f>
        <v>118.98099999999999</v>
      </c>
      <c r="R60" s="309">
        <f t="shared" si="3"/>
        <v>1.1839</v>
      </c>
      <c r="S60" s="310">
        <f t="shared" si="11"/>
        <v>61291.701710588997</v>
      </c>
      <c r="T60" s="555">
        <f t="shared" si="12"/>
        <v>6810.1890789543331</v>
      </c>
      <c r="U60" s="311"/>
      <c r="V60" s="312">
        <v>9</v>
      </c>
      <c r="W60" s="299" t="s">
        <v>194</v>
      </c>
      <c r="X60" s="300">
        <v>44648</v>
      </c>
      <c r="Y60" s="299" t="s">
        <v>59</v>
      </c>
      <c r="Z60" s="303">
        <v>6223.23</v>
      </c>
      <c r="AA60" s="305">
        <f>IF(Z60=0,0,IF(Y60="MXN",1/HLOOKUP(YEAR(X60)+(MONTH(X60)/100),TC!$5:$37,DAY(X60)+2,FALSE),VLOOKUP(Y60,Equivalencia!$1:$23,((MAX(Equivalencia!$3:$3)-YEAR(X60))*14)+MONTH(X60)+2,FALSE)))</f>
        <v>1</v>
      </c>
      <c r="AB60" s="306">
        <f t="shared" si="13"/>
        <v>6223.23</v>
      </c>
      <c r="AC60" s="305">
        <f>+IF(X60=0,0,HLOOKUP(YEAR(X60)+(MONTH(X60)/100),TC!$5:$37,DAY(X60)+2,FALSE))</f>
        <v>20.1313</v>
      </c>
      <c r="AD60" s="307">
        <f t="shared" si="14"/>
        <v>125281.71009899999</v>
      </c>
      <c r="AE60" s="314">
        <f t="shared" si="4"/>
        <v>61291.701710588997</v>
      </c>
      <c r="AF60" s="315">
        <f t="shared" si="5"/>
        <v>63990.008388410992</v>
      </c>
      <c r="AG60" s="316">
        <f t="shared" si="6"/>
        <v>3.6520547945205482</v>
      </c>
      <c r="AH60" s="314">
        <v>1</v>
      </c>
      <c r="AI60" s="314">
        <f t="shared" si="7"/>
        <v>63990.008388410992</v>
      </c>
      <c r="AJ60" s="314">
        <f t="shared" si="15"/>
        <v>0</v>
      </c>
      <c r="AK60" s="317"/>
      <c r="AL60" s="315">
        <f t="shared" si="16"/>
        <v>3438.3299999999995</v>
      </c>
      <c r="AN60" s="554">
        <f t="shared" si="8"/>
        <v>1.2346332004739844</v>
      </c>
      <c r="AO60" s="314"/>
      <c r="AP60" s="318"/>
    </row>
    <row r="61" spans="2:42">
      <c r="B61" s="296" t="s">
        <v>1266</v>
      </c>
      <c r="C61" s="299" t="s">
        <v>277</v>
      </c>
      <c r="D61" s="298" t="s">
        <v>831</v>
      </c>
      <c r="E61" s="299" t="s">
        <v>113</v>
      </c>
      <c r="F61" s="299" t="s">
        <v>59</v>
      </c>
      <c r="G61" s="300">
        <v>43315</v>
      </c>
      <c r="H61" s="303">
        <v>7116.96</v>
      </c>
      <c r="I61" s="301" t="str">
        <f t="shared" si="0"/>
        <v>Ingresos Sección II LISR (SIC &amp; BMV)</v>
      </c>
      <c r="J61" s="302">
        <f t="shared" si="9"/>
        <v>23</v>
      </c>
      <c r="K61" s="304">
        <f t="shared" si="1"/>
        <v>309.43304347826086</v>
      </c>
      <c r="L61" s="305">
        <f>IF(H61=0,0,IF(OR(E61=$AT$5,E61=$AT$6),AA61,IF(F61="MXN",1/HLOOKUP(YEAR(G61)+(MONTH(G61)/100),TC!$5:$37,DAY(G61)+2,FALSE),VLOOKUP(F61,Equivalencia!$5:$23,((MAX(Equivalencia!$3:$3)-YEAR(G61))*14)+MONTH(G61)+2,FALSE))))</f>
        <v>1</v>
      </c>
      <c r="M61" s="306">
        <f t="shared" si="2"/>
        <v>7116.96</v>
      </c>
      <c r="N61" s="305">
        <f>IF(G61=0,0,(IF(OR(E61=$AT$5,E61=$AT$6),AC61,HLOOKUP(YEAR(G61)+(MONTH(G61)/100),TC!$5:$37,DAY(G61)+2,FALSE))))</f>
        <v>18.5899</v>
      </c>
      <c r="O61" s="307">
        <f t="shared" si="10"/>
        <v>132303.574704</v>
      </c>
      <c r="P61" s="560">
        <f>IF(G61=0,0,VLOOKUP(YEAR(G61),INPC!$B$4:$P$30,MONTH(G61)+2))</f>
        <v>100.492</v>
      </c>
      <c r="Q61" s="560">
        <f>IF(X61=0,0,IF(OR(E61=$AT$10,E61=$AT$9),VLOOKUP(YEAR(X61),INPC!$B$4:$P$30,MONTH(X61)+1),VLOOKUP(YEAR(X61),INPC!$B$4:$P$30,MONTH(X61)+2,0)))</f>
        <v>118.98099999999999</v>
      </c>
      <c r="R61" s="309">
        <f t="shared" si="3"/>
        <v>1.1839</v>
      </c>
      <c r="S61" s="310">
        <f t="shared" si="11"/>
        <v>156634.20209206559</v>
      </c>
      <c r="T61" s="555">
        <f t="shared" si="12"/>
        <v>6810.1826996550253</v>
      </c>
      <c r="U61" s="311"/>
      <c r="V61" s="312">
        <v>23</v>
      </c>
      <c r="W61" s="299" t="s">
        <v>194</v>
      </c>
      <c r="X61" s="300">
        <v>44628</v>
      </c>
      <c r="Y61" s="299" t="s">
        <v>59</v>
      </c>
      <c r="Z61" s="303">
        <v>15258.35</v>
      </c>
      <c r="AA61" s="305">
        <f>IF(Z61=0,0,IF(Y61="MXN",1/HLOOKUP(YEAR(X61)+(MONTH(X61)/100),TC!$5:$37,DAY(X61)+2,FALSE),VLOOKUP(Y61,Equivalencia!$1:$23,((MAX(Equivalencia!$3:$3)-YEAR(X61))*14)+MONTH(X61)+2,FALSE)))</f>
        <v>1</v>
      </c>
      <c r="AB61" s="306">
        <f t="shared" si="13"/>
        <v>15258.35</v>
      </c>
      <c r="AC61" s="305">
        <f>+IF(X61=0,0,HLOOKUP(YEAR(X61)+(MONTH(X61)/100),TC!$5:$37,DAY(X61)+2,FALSE))</f>
        <v>20.926200000000001</v>
      </c>
      <c r="AD61" s="307">
        <f t="shared" si="14"/>
        <v>319299.28377000004</v>
      </c>
      <c r="AE61" s="314">
        <f t="shared" si="4"/>
        <v>156634.20209206559</v>
      </c>
      <c r="AF61" s="315">
        <f t="shared" si="5"/>
        <v>162665.08167793445</v>
      </c>
      <c r="AG61" s="316">
        <f t="shared" si="6"/>
        <v>3.5972602739726027</v>
      </c>
      <c r="AH61" s="314">
        <v>1</v>
      </c>
      <c r="AI61" s="314">
        <f t="shared" si="7"/>
        <v>162665.08167793445</v>
      </c>
      <c r="AJ61" s="314">
        <f t="shared" si="15"/>
        <v>0</v>
      </c>
      <c r="AK61" s="317"/>
      <c r="AL61" s="315">
        <f t="shared" si="16"/>
        <v>8141.39</v>
      </c>
      <c r="AN61" s="554">
        <f t="shared" si="8"/>
        <v>1.1439420763921675</v>
      </c>
      <c r="AO61" s="314"/>
      <c r="AP61" s="318"/>
    </row>
    <row r="62" spans="2:42">
      <c r="B62" s="296" t="s">
        <v>1266</v>
      </c>
      <c r="C62" s="299" t="s">
        <v>277</v>
      </c>
      <c r="D62" s="298" t="s">
        <v>831</v>
      </c>
      <c r="E62" s="299" t="s">
        <v>113</v>
      </c>
      <c r="F62" s="299" t="s">
        <v>59</v>
      </c>
      <c r="G62" s="300">
        <v>43315</v>
      </c>
      <c r="H62" s="303">
        <v>4641.5</v>
      </c>
      <c r="I62" s="301" t="str">
        <f t="shared" si="0"/>
        <v>Ingresos Sección II LISR (SIC &amp; BMV)</v>
      </c>
      <c r="J62" s="302">
        <f t="shared" si="9"/>
        <v>15</v>
      </c>
      <c r="K62" s="304">
        <f t="shared" si="1"/>
        <v>309.43333333333334</v>
      </c>
      <c r="L62" s="305">
        <f>IF(H62=0,0,IF(OR(E62=$AT$5,E62=$AT$6),AA62,IF(F62="MXN",1/HLOOKUP(YEAR(G62)+(MONTH(G62)/100),TC!$5:$37,DAY(G62)+2,FALSE),VLOOKUP(F62,Equivalencia!$5:$23,((MAX(Equivalencia!$3:$3)-YEAR(G62))*14)+MONTH(G62)+2,FALSE))))</f>
        <v>1</v>
      </c>
      <c r="M62" s="306">
        <f t="shared" si="2"/>
        <v>4641.5</v>
      </c>
      <c r="N62" s="305">
        <f>IF(G62=0,0,(IF(OR(E62=$AT$5,E62=$AT$6),AC62,HLOOKUP(YEAR(G62)+(MONTH(G62)/100),TC!$5:$37,DAY(G62)+2,FALSE))))</f>
        <v>18.5899</v>
      </c>
      <c r="O62" s="307">
        <f t="shared" si="10"/>
        <v>86285.020850000001</v>
      </c>
      <c r="P62" s="560">
        <f>IF(G62=0,0,VLOOKUP(YEAR(G62),INPC!$B$4:$P$30,MONTH(G62)+2))</f>
        <v>100.492</v>
      </c>
      <c r="Q62" s="560">
        <f>IF(X62=0,0,IF(OR(E62=$AT$10,E62=$AT$9),VLOOKUP(YEAR(X62),INPC!$B$4:$P$30,MONTH(X62)+1),VLOOKUP(YEAR(X62),INPC!$B$4:$P$30,MONTH(X62)+2,0)))</f>
        <v>118.002</v>
      </c>
      <c r="R62" s="309">
        <f t="shared" si="3"/>
        <v>1.1741999999999999</v>
      </c>
      <c r="S62" s="310">
        <f t="shared" si="11"/>
        <v>101315.87148207</v>
      </c>
      <c r="T62" s="555">
        <f t="shared" si="12"/>
        <v>6754.3914321379998</v>
      </c>
      <c r="U62" s="311"/>
      <c r="V62" s="312">
        <v>15</v>
      </c>
      <c r="W62" s="299" t="s">
        <v>194</v>
      </c>
      <c r="X62" s="300">
        <v>44606</v>
      </c>
      <c r="Y62" s="299" t="s">
        <v>59</v>
      </c>
      <c r="Z62" s="303">
        <v>9884.61</v>
      </c>
      <c r="AA62" s="305">
        <f>IF(Z62=0,0,IF(Y62="MXN",1/HLOOKUP(YEAR(X62)+(MONTH(X62)/100),TC!$5:$37,DAY(X62)+2,FALSE),VLOOKUP(Y62,Equivalencia!$1:$23,((MAX(Equivalencia!$3:$3)-YEAR(X62))*14)+MONTH(X62)+2,FALSE)))</f>
        <v>1</v>
      </c>
      <c r="AB62" s="306">
        <f t="shared" si="13"/>
        <v>9884.61</v>
      </c>
      <c r="AC62" s="305">
        <f>+IF(X62=0,0,HLOOKUP(YEAR(X62)+(MONTH(X62)/100),TC!$5:$37,DAY(X62)+2,FALSE))</f>
        <v>20.4148</v>
      </c>
      <c r="AD62" s="307">
        <f t="shared" si="14"/>
        <v>201792.336228</v>
      </c>
      <c r="AE62" s="314">
        <f t="shared" si="4"/>
        <v>101315.87148207</v>
      </c>
      <c r="AF62" s="315">
        <f t="shared" si="5"/>
        <v>100476.46474593</v>
      </c>
      <c r="AG62" s="316">
        <f t="shared" si="6"/>
        <v>3.536986301369863</v>
      </c>
      <c r="AH62" s="314">
        <v>1</v>
      </c>
      <c r="AI62" s="314">
        <f t="shared" si="7"/>
        <v>100476.46474593</v>
      </c>
      <c r="AJ62" s="314">
        <f t="shared" si="15"/>
        <v>0</v>
      </c>
      <c r="AK62" s="317"/>
      <c r="AL62" s="315">
        <f t="shared" si="16"/>
        <v>5243.1100000000006</v>
      </c>
      <c r="AN62" s="554">
        <f t="shared" si="8"/>
        <v>1.1296154260476141</v>
      </c>
      <c r="AO62" s="314"/>
      <c r="AP62" s="318"/>
    </row>
    <row r="63" spans="2:42">
      <c r="B63" s="296" t="s">
        <v>1266</v>
      </c>
      <c r="C63" s="299" t="s">
        <v>277</v>
      </c>
      <c r="D63" s="298" t="s">
        <v>762</v>
      </c>
      <c r="E63" s="299" t="s">
        <v>113</v>
      </c>
      <c r="F63" s="299" t="s">
        <v>59</v>
      </c>
      <c r="G63" s="300">
        <v>43476</v>
      </c>
      <c r="H63" s="303">
        <v>4574.3</v>
      </c>
      <c r="I63" s="301" t="str">
        <f t="shared" si="0"/>
        <v>Ingresos Sección II LISR (SIC &amp; BMV)</v>
      </c>
      <c r="J63" s="302">
        <f t="shared" si="9"/>
        <v>29</v>
      </c>
      <c r="K63" s="304">
        <f t="shared" si="1"/>
        <v>157.73448275862069</v>
      </c>
      <c r="L63" s="305">
        <f>IF(H63=0,0,IF(OR(E63=$AT$5,E63=$AT$6),AA63,IF(F63="MXN",1/HLOOKUP(YEAR(G63)+(MONTH(G63)/100),TC!$5:$37,DAY(G63)+2,FALSE),VLOOKUP(F63,Equivalencia!$5:$23,((MAX(Equivalencia!$3:$3)-YEAR(G63))*14)+MONTH(G63)+2,FALSE))))</f>
        <v>1</v>
      </c>
      <c r="M63" s="306">
        <f t="shared" si="2"/>
        <v>4574.3</v>
      </c>
      <c r="N63" s="305">
        <f>IF(G63=0,0,(IF(OR(E63=$AT$5,E63=$AT$6),AC63,HLOOKUP(YEAR(G63)+(MONTH(G63)/100),TC!$5:$37,DAY(G63)+2,FALSE))))</f>
        <v>19.2456</v>
      </c>
      <c r="O63" s="307">
        <f t="shared" si="10"/>
        <v>88035.148079999999</v>
      </c>
      <c r="P63" s="560">
        <f>IF(G63=0,0,VLOOKUP(YEAR(G63),INPC!$B$4:$P$30,MONTH(G63)+2))</f>
        <v>103.108</v>
      </c>
      <c r="Q63" s="560">
        <f>IF(X63=0,0,IF(OR(E63=$AT$10,E63=$AT$9),VLOOKUP(YEAR(X63),INPC!$B$4:$P$30,MONTH(X63)+1),VLOOKUP(YEAR(X63),INPC!$B$4:$P$30,MONTH(X63)+2,0)))</f>
        <v>120.809</v>
      </c>
      <c r="R63" s="309">
        <f t="shared" si="3"/>
        <v>1.1716</v>
      </c>
      <c r="S63" s="310">
        <f t="shared" si="11"/>
        <v>103141.979490528</v>
      </c>
      <c r="T63" s="555">
        <f t="shared" si="12"/>
        <v>3556.6199824320001</v>
      </c>
      <c r="U63" s="311"/>
      <c r="V63" s="312">
        <v>29</v>
      </c>
      <c r="W63" s="299" t="s">
        <v>194</v>
      </c>
      <c r="X63" s="300">
        <v>44704</v>
      </c>
      <c r="Y63" s="299" t="s">
        <v>59</v>
      </c>
      <c r="Z63" s="303">
        <v>7589.84</v>
      </c>
      <c r="AA63" s="305">
        <f>IF(Z63=0,0,IF(Y63="MXN",1/HLOOKUP(YEAR(X63)+(MONTH(X63)/100),TC!$5:$37,DAY(X63)+2,FALSE),VLOOKUP(Y63,Equivalencia!$1:$23,((MAX(Equivalencia!$3:$3)-YEAR(X63))*14)+MONTH(X63)+2,FALSE)))</f>
        <v>1</v>
      </c>
      <c r="AB63" s="306">
        <f t="shared" si="13"/>
        <v>7589.84</v>
      </c>
      <c r="AC63" s="305">
        <f>+IF(X63=0,0,HLOOKUP(YEAR(X63)+(MONTH(X63)/100),TC!$5:$37,DAY(X63)+2,FALSE))</f>
        <v>19.9267</v>
      </c>
      <c r="AD63" s="307">
        <f t="shared" si="14"/>
        <v>151240.46472799999</v>
      </c>
      <c r="AE63" s="314">
        <f t="shared" si="4"/>
        <v>103141.979490528</v>
      </c>
      <c r="AF63" s="315">
        <f t="shared" si="5"/>
        <v>48098.485237471992</v>
      </c>
      <c r="AG63" s="316">
        <f t="shared" si="6"/>
        <v>3.3643835616438356</v>
      </c>
      <c r="AH63" s="314">
        <v>1</v>
      </c>
      <c r="AI63" s="314">
        <f t="shared" si="7"/>
        <v>48098.485237471992</v>
      </c>
      <c r="AJ63" s="314">
        <f t="shared" si="15"/>
        <v>0</v>
      </c>
      <c r="AK63" s="317"/>
      <c r="AL63" s="315">
        <f t="shared" si="16"/>
        <v>3015.54</v>
      </c>
      <c r="AN63" s="554">
        <f t="shared" si="8"/>
        <v>0.65923529283169002</v>
      </c>
      <c r="AO63" s="314"/>
      <c r="AP63" s="318"/>
    </row>
    <row r="64" spans="2:42">
      <c r="B64" s="296" t="s">
        <v>1266</v>
      </c>
      <c r="C64" s="299" t="s">
        <v>277</v>
      </c>
      <c r="D64" s="298" t="s">
        <v>762</v>
      </c>
      <c r="E64" s="299" t="s">
        <v>113</v>
      </c>
      <c r="F64" s="299" t="s">
        <v>59</v>
      </c>
      <c r="G64" s="300">
        <v>43476</v>
      </c>
      <c r="H64" s="303">
        <v>4416.57</v>
      </c>
      <c r="I64" s="301" t="str">
        <f t="shared" si="0"/>
        <v>Ingresos Sección II LISR (SIC &amp; BMV)</v>
      </c>
      <c r="J64" s="302">
        <f t="shared" si="9"/>
        <v>28</v>
      </c>
      <c r="K64" s="304">
        <f t="shared" si="1"/>
        <v>157.73464285714286</v>
      </c>
      <c r="L64" s="305">
        <f>IF(H64=0,0,IF(OR(E64=$AT$5,E64=$AT$6),AA64,IF(F64="MXN",1/HLOOKUP(YEAR(G64)+(MONTH(G64)/100),TC!$5:$37,DAY(G64)+2,FALSE),VLOOKUP(F64,Equivalencia!$5:$23,((MAX(Equivalencia!$3:$3)-YEAR(G64))*14)+MONTH(G64)+2,FALSE))))</f>
        <v>1</v>
      </c>
      <c r="M64" s="306">
        <f t="shared" si="2"/>
        <v>4416.57</v>
      </c>
      <c r="N64" s="305">
        <f>IF(G64=0,0,(IF(OR(E64=$AT$5,E64=$AT$6),AC64,HLOOKUP(YEAR(G64)+(MONTH(G64)/100),TC!$5:$37,DAY(G64)+2,FALSE))))</f>
        <v>19.2456</v>
      </c>
      <c r="O64" s="307">
        <f t="shared" si="10"/>
        <v>84999.539591999986</v>
      </c>
      <c r="P64" s="560">
        <f>IF(G64=0,0,VLOOKUP(YEAR(G64),INPC!$B$4:$P$30,MONTH(G64)+2))</f>
        <v>103.108</v>
      </c>
      <c r="Q64" s="560">
        <f>IF(X64=0,0,IF(OR(E64=$AT$10,E64=$AT$9),VLOOKUP(YEAR(X64),INPC!$B$4:$P$30,MONTH(X64)+1),VLOOKUP(YEAR(X64),INPC!$B$4:$P$30,MONTH(X64)+2,0)))</f>
        <v>120.809</v>
      </c>
      <c r="R64" s="309">
        <f t="shared" si="3"/>
        <v>1.1716</v>
      </c>
      <c r="S64" s="310">
        <f t="shared" si="11"/>
        <v>99585.460585987181</v>
      </c>
      <c r="T64" s="555">
        <f t="shared" si="12"/>
        <v>3556.6235923566851</v>
      </c>
      <c r="U64" s="311"/>
      <c r="V64" s="312">
        <v>28</v>
      </c>
      <c r="W64" s="299" t="s">
        <v>194</v>
      </c>
      <c r="X64" s="300">
        <v>44701</v>
      </c>
      <c r="Y64" s="299" t="s">
        <v>59</v>
      </c>
      <c r="Z64" s="303">
        <v>7218.39</v>
      </c>
      <c r="AA64" s="305">
        <f>IF(Z64=0,0,IF(Y64="MXN",1/HLOOKUP(YEAR(X64)+(MONTH(X64)/100),TC!$5:$37,DAY(X64)+2,FALSE),VLOOKUP(Y64,Equivalencia!$1:$23,((MAX(Equivalencia!$3:$3)-YEAR(X64))*14)+MONTH(X64)+2,FALSE)))</f>
        <v>1</v>
      </c>
      <c r="AB64" s="306">
        <f t="shared" si="13"/>
        <v>7218.39</v>
      </c>
      <c r="AC64" s="305">
        <f>+IF(X64=0,0,HLOOKUP(YEAR(X64)+(MONTH(X64)/100),TC!$5:$37,DAY(X64)+2,FALSE))</f>
        <v>19.9663</v>
      </c>
      <c r="AD64" s="307">
        <f t="shared" si="14"/>
        <v>144124.54025700002</v>
      </c>
      <c r="AE64" s="314">
        <f t="shared" si="4"/>
        <v>99585.460585987181</v>
      </c>
      <c r="AF64" s="315">
        <f t="shared" si="5"/>
        <v>44539.079671012834</v>
      </c>
      <c r="AG64" s="316">
        <f t="shared" si="6"/>
        <v>3.3561643835616439</v>
      </c>
      <c r="AH64" s="314">
        <v>1</v>
      </c>
      <c r="AI64" s="314">
        <f t="shared" si="7"/>
        <v>44539.079671012834</v>
      </c>
      <c r="AJ64" s="314">
        <f t="shared" si="15"/>
        <v>0</v>
      </c>
      <c r="AK64" s="317"/>
      <c r="AL64" s="315">
        <f t="shared" si="16"/>
        <v>2801.8200000000006</v>
      </c>
      <c r="AN64" s="554">
        <f t="shared" si="8"/>
        <v>0.63438822434604247</v>
      </c>
      <c r="AO64" s="314"/>
      <c r="AP64" s="318"/>
    </row>
    <row r="65" spans="2:42">
      <c r="B65" s="296" t="s">
        <v>1266</v>
      </c>
      <c r="C65" s="299" t="s">
        <v>277</v>
      </c>
      <c r="D65" s="298" t="s">
        <v>762</v>
      </c>
      <c r="E65" s="299" t="s">
        <v>113</v>
      </c>
      <c r="F65" s="299" t="s">
        <v>59</v>
      </c>
      <c r="G65" s="300">
        <v>43476</v>
      </c>
      <c r="H65" s="303">
        <v>3627.89</v>
      </c>
      <c r="I65" s="301" t="str">
        <f t="shared" si="0"/>
        <v>Ingresos Sección II LISR (SIC &amp; BMV)</v>
      </c>
      <c r="J65" s="302">
        <f t="shared" si="9"/>
        <v>23</v>
      </c>
      <c r="K65" s="304">
        <f t="shared" si="1"/>
        <v>157.73434782608695</v>
      </c>
      <c r="L65" s="305">
        <f>IF(H65=0,0,IF(OR(E65=$AT$5,E65=$AT$6),AA65,IF(F65="MXN",1/HLOOKUP(YEAR(G65)+(MONTH(G65)/100),TC!$5:$37,DAY(G65)+2,FALSE),VLOOKUP(F65,Equivalencia!$5:$23,((MAX(Equivalencia!$3:$3)-YEAR(G65))*14)+MONTH(G65)+2,FALSE))))</f>
        <v>1</v>
      </c>
      <c r="M65" s="306">
        <f t="shared" si="2"/>
        <v>3627.89</v>
      </c>
      <c r="N65" s="305">
        <f>IF(G65=0,0,(IF(OR(E65=$AT$5,E65=$AT$6),AC65,HLOOKUP(YEAR(G65)+(MONTH(G65)/100),TC!$5:$37,DAY(G65)+2,FALSE))))</f>
        <v>19.2456</v>
      </c>
      <c r="O65" s="307">
        <f t="shared" si="10"/>
        <v>69820.919783999998</v>
      </c>
      <c r="P65" s="560">
        <f>IF(G65=0,0,VLOOKUP(YEAR(G65),INPC!$B$4:$P$30,MONTH(G65)+2))</f>
        <v>103.108</v>
      </c>
      <c r="Q65" s="560">
        <f>IF(X65=0,0,IF(OR(E65=$AT$10,E65=$AT$9),VLOOKUP(YEAR(X65),INPC!$B$4:$P$30,MONTH(X65)+1),VLOOKUP(YEAR(X65),INPC!$B$4:$P$30,MONTH(X65)+2,0)))</f>
        <v>118.98099999999999</v>
      </c>
      <c r="R65" s="309">
        <f t="shared" si="3"/>
        <v>1.1538999999999999</v>
      </c>
      <c r="S65" s="310">
        <f t="shared" si="11"/>
        <v>80566.359338757597</v>
      </c>
      <c r="T65" s="555">
        <f t="shared" si="12"/>
        <v>3502.8851886416346</v>
      </c>
      <c r="U65" s="311"/>
      <c r="V65" s="312">
        <v>23</v>
      </c>
      <c r="W65" s="299" t="s">
        <v>194</v>
      </c>
      <c r="X65" s="300">
        <v>44648</v>
      </c>
      <c r="Y65" s="299" t="s">
        <v>59</v>
      </c>
      <c r="Z65" s="303">
        <v>6600.99</v>
      </c>
      <c r="AA65" s="305">
        <f>IF(Z65=0,0,IF(Y65="MXN",1/HLOOKUP(YEAR(X65)+(MONTH(X65)/100),TC!$5:$37,DAY(X65)+2,FALSE),VLOOKUP(Y65,Equivalencia!$1:$23,((MAX(Equivalencia!$3:$3)-YEAR(X65))*14)+MONTH(X65)+2,FALSE)))</f>
        <v>1</v>
      </c>
      <c r="AB65" s="306">
        <f t="shared" si="13"/>
        <v>6600.99</v>
      </c>
      <c r="AC65" s="305">
        <f>+IF(X65=0,0,HLOOKUP(YEAR(X65)+(MONTH(X65)/100),TC!$5:$37,DAY(X65)+2,FALSE))</f>
        <v>20.1313</v>
      </c>
      <c r="AD65" s="307">
        <f t="shared" si="14"/>
        <v>132886.509987</v>
      </c>
      <c r="AE65" s="314">
        <f t="shared" si="4"/>
        <v>80566.359338757597</v>
      </c>
      <c r="AF65" s="315">
        <f t="shared" si="5"/>
        <v>52320.150648242401</v>
      </c>
      <c r="AG65" s="316">
        <f t="shared" si="6"/>
        <v>3.2109589041095892</v>
      </c>
      <c r="AH65" s="314">
        <v>1</v>
      </c>
      <c r="AI65" s="314">
        <f t="shared" si="7"/>
        <v>52320.150648242401</v>
      </c>
      <c r="AJ65" s="314">
        <f t="shared" si="15"/>
        <v>0</v>
      </c>
      <c r="AK65" s="317"/>
      <c r="AL65" s="315">
        <f t="shared" si="16"/>
        <v>2973.1</v>
      </c>
      <c r="AN65" s="554">
        <f t="shared" si="8"/>
        <v>0.81951216823001805</v>
      </c>
      <c r="AO65" s="314"/>
      <c r="AP65" s="318"/>
    </row>
    <row r="66" spans="2:42">
      <c r="B66" s="296" t="s">
        <v>1266</v>
      </c>
      <c r="C66" s="299" t="s">
        <v>277</v>
      </c>
      <c r="D66" s="298" t="s">
        <v>835</v>
      </c>
      <c r="E66" s="299" t="s">
        <v>113</v>
      </c>
      <c r="F66" s="299" t="s">
        <v>59</v>
      </c>
      <c r="G66" s="300">
        <v>43965</v>
      </c>
      <c r="H66" s="303">
        <v>8129.66</v>
      </c>
      <c r="I66" s="301" t="str">
        <f t="shared" ref="I66:I123" si="17">IF(D66=0,0,IF(OR(E66=$AT$9,E66=$AT$10),"Ingresos Sección II LISR (SIC &amp; BMV)","Ingresos Sección I LISR"))</f>
        <v>Ingresos Sección II LISR (SIC &amp; BMV)</v>
      </c>
      <c r="J66" s="302">
        <f t="shared" si="9"/>
        <v>154</v>
      </c>
      <c r="K66" s="304">
        <f t="shared" ref="K66:K123" si="18">IF(H66=0,0,H66/J66)</f>
        <v>52.79</v>
      </c>
      <c r="L66" s="305">
        <f>IF(H66=0,0,IF(OR(E66=$AT$5,E66=$AT$6),AA66,IF(F66="MXN",1/HLOOKUP(YEAR(G66)+(MONTH(G66)/100),TC!$5:$37,DAY(G66)+2,FALSE),VLOOKUP(F66,Equivalencia!$5:$23,((MAX(Equivalencia!$3:$3)-YEAR(G66))*14)+MONTH(G66)+2,FALSE))))</f>
        <v>1</v>
      </c>
      <c r="M66" s="306">
        <f t="shared" ref="M66:M123" si="19">+H66*L66</f>
        <v>8129.66</v>
      </c>
      <c r="N66" s="305">
        <f>IF(G66=0,0,(IF(OR(E66=$AT$5,E66=$AT$6),AC66,HLOOKUP(YEAR(G66)+(MONTH(G66)/100),TC!$5:$37,DAY(G66)+2,FALSE))))</f>
        <v>24.0487</v>
      </c>
      <c r="O66" s="307">
        <f t="shared" si="10"/>
        <v>195507.754442</v>
      </c>
      <c r="P66" s="560">
        <f>IF(G66=0,0,VLOOKUP(YEAR(G66),INPC!$B$4:$P$30,MONTH(G66)+2))</f>
        <v>106.16200000000001</v>
      </c>
      <c r="Q66" s="560">
        <f>IF(X66=0,0,IF(OR(E66=$AT$10,E66=$AT$9),VLOOKUP(YEAR(X66),INPC!$B$4:$P$30,MONTH(X66)+1),VLOOKUP(YEAR(X66),INPC!$B$4:$P$30,MONTH(X66)+2,0)))</f>
        <v>118.98099999999999</v>
      </c>
      <c r="R66" s="309">
        <f t="shared" ref="R66:R123" si="20">IF(H66=0,0,IF(OR(E66=$AT$5,E66=$AT$6),1,IF(TRUNC(Q66/P66,4)&gt;=1,TRUNC(Q66/P66,4),1)))</f>
        <v>1.1207</v>
      </c>
      <c r="S66" s="310">
        <f t="shared" si="11"/>
        <v>219105.54040314941</v>
      </c>
      <c r="T66" s="555">
        <f t="shared" si="12"/>
        <v>1422.7632493711001</v>
      </c>
      <c r="U66" s="311"/>
      <c r="V66" s="312">
        <v>154</v>
      </c>
      <c r="W66" s="299" t="s">
        <v>194</v>
      </c>
      <c r="X66" s="300">
        <v>44642</v>
      </c>
      <c r="Y66" s="299" t="s">
        <v>59</v>
      </c>
      <c r="Z66" s="303">
        <v>15347.5</v>
      </c>
      <c r="AA66" s="305">
        <f>IF(Z66=0,0,IF(Y66="MXN",1/HLOOKUP(YEAR(X66)+(MONTH(X66)/100),TC!$5:$37,DAY(X66)+2,FALSE),VLOOKUP(Y66,Equivalencia!$1:$23,((MAX(Equivalencia!$3:$3)-YEAR(X66))*14)+MONTH(X66)+2,FALSE)))</f>
        <v>1</v>
      </c>
      <c r="AB66" s="306">
        <f t="shared" si="13"/>
        <v>15347.5</v>
      </c>
      <c r="AC66" s="305">
        <f>+IF(X66=0,0,HLOOKUP(YEAR(X66)+(MONTH(X66)/100),TC!$5:$37,DAY(X66)+2,FALSE))</f>
        <v>20.558499999999999</v>
      </c>
      <c r="AD66" s="307">
        <f t="shared" si="14"/>
        <v>315521.57874999999</v>
      </c>
      <c r="AE66" s="314">
        <f t="shared" ref="AE66:AE123" si="21">+V66*T66</f>
        <v>219105.54040314941</v>
      </c>
      <c r="AF66" s="315">
        <f t="shared" ref="AF66:AF123" si="22">IF(E66=$AT$11,0,AD66-AE66)</f>
        <v>96416.038346850575</v>
      </c>
      <c r="AG66" s="316">
        <f t="shared" ref="AG66:AG123" si="23">+IF(AND(AF66&lt;0,OR(E66=$AT$5,E66=$AT$6)),1,((X66-G66)/365))</f>
        <v>1.8547945205479452</v>
      </c>
      <c r="AH66" s="314">
        <v>1</v>
      </c>
      <c r="AI66" s="314">
        <f t="shared" ref="AI66:AI123" si="24">+IF(OR(E66=$AT$9,E66=$AT$10),AF66,+AF66/AH66)</f>
        <v>96416.038346850575</v>
      </c>
      <c r="AJ66" s="314">
        <f t="shared" si="15"/>
        <v>0</v>
      </c>
      <c r="AK66" s="317"/>
      <c r="AL66" s="315">
        <f t="shared" ref="AL66:AL123" si="25">+AB66-M66</f>
        <v>7217.84</v>
      </c>
      <c r="AN66" s="554">
        <f t="shared" ref="AN66:AN123" si="26">IF(AL66=0,0,AL66/H66)</f>
        <v>0.88784032788579104</v>
      </c>
      <c r="AO66" s="314"/>
      <c r="AP66" s="318"/>
    </row>
    <row r="67" spans="2:42">
      <c r="B67" s="296" t="s">
        <v>1266</v>
      </c>
      <c r="C67" s="299" t="s">
        <v>277</v>
      </c>
      <c r="D67" s="298" t="s">
        <v>836</v>
      </c>
      <c r="E67" s="299" t="s">
        <v>113</v>
      </c>
      <c r="F67" s="299" t="s">
        <v>59</v>
      </c>
      <c r="G67" s="300">
        <v>43138</v>
      </c>
      <c r="H67" s="303">
        <v>3131.99</v>
      </c>
      <c r="I67" s="301" t="str">
        <f t="shared" si="17"/>
        <v>Ingresos Sección II LISR (SIC &amp; BMV)</v>
      </c>
      <c r="J67" s="302">
        <f t="shared" ref="J67:J123" si="27">+V67</f>
        <v>82</v>
      </c>
      <c r="K67" s="304">
        <f t="shared" si="18"/>
        <v>38.195</v>
      </c>
      <c r="L67" s="305">
        <f>IF(H67=0,0,IF(OR(E67=$AT$5,E67=$AT$6),AA67,IF(F67="MXN",1/HLOOKUP(YEAR(G67)+(MONTH(G67)/100),TC!$5:$37,DAY(G67)+2,FALSE),VLOOKUP(F67,Equivalencia!$5:$23,((MAX(Equivalencia!$3:$3)-YEAR(G67))*14)+MONTH(G67)+2,FALSE))))</f>
        <v>1</v>
      </c>
      <c r="M67" s="306">
        <f t="shared" si="19"/>
        <v>3131.99</v>
      </c>
      <c r="N67" s="305">
        <f>IF(G67=0,0,(IF(OR(E67=$AT$5,E67=$AT$6),AC67,HLOOKUP(YEAR(G67)+(MONTH(G67)/100),TC!$5:$37,DAY(G67)+2,FALSE))))</f>
        <v>18.524799999999999</v>
      </c>
      <c r="O67" s="307">
        <f t="shared" ref="O67:O123" si="28">+M67*N67</f>
        <v>58019.488351999993</v>
      </c>
      <c r="P67" s="560">
        <f>IF(G67=0,0,VLOOKUP(YEAR(G67),INPC!$B$4:$P$30,MONTH(G67)+2))</f>
        <v>99.171374481640001</v>
      </c>
      <c r="Q67" s="560">
        <f>IF(X67=0,0,IF(OR(E67=$AT$10,E67=$AT$9),VLOOKUP(YEAR(X67),INPC!$B$4:$P$30,MONTH(X67)+1),VLOOKUP(YEAR(X67),INPC!$B$4:$P$30,MONTH(X67)+2,0)))</f>
        <v>118.98099999999999</v>
      </c>
      <c r="R67" s="309">
        <f t="shared" si="20"/>
        <v>1.1997</v>
      </c>
      <c r="S67" s="310">
        <f t="shared" ref="S67:S123" si="29">+R67*O67</f>
        <v>69605.980175894394</v>
      </c>
      <c r="T67" s="555">
        <f t="shared" ref="T67:T123" si="30">IF(V67=0,0,S67/V67)</f>
        <v>848.85341677919996</v>
      </c>
      <c r="U67" s="311"/>
      <c r="V67" s="312">
        <v>82</v>
      </c>
      <c r="W67" s="299" t="s">
        <v>194</v>
      </c>
      <c r="X67" s="300">
        <v>44628</v>
      </c>
      <c r="Y67" s="299" t="s">
        <v>59</v>
      </c>
      <c r="Z67" s="303">
        <v>4857.96</v>
      </c>
      <c r="AA67" s="305">
        <f>IF(Z67=0,0,IF(Y67="MXN",1/HLOOKUP(YEAR(X67)+(MONTH(X67)/100),TC!$5:$37,DAY(X67)+2,FALSE),VLOOKUP(Y67,Equivalencia!$1:$23,((MAX(Equivalencia!$3:$3)-YEAR(X67))*14)+MONTH(X67)+2,FALSE)))</f>
        <v>1</v>
      </c>
      <c r="AB67" s="306">
        <f t="shared" ref="AB67:AB123" si="31">+AA67*Z67</f>
        <v>4857.96</v>
      </c>
      <c r="AC67" s="305">
        <f>+IF(X67=0,0,HLOOKUP(YEAR(X67)+(MONTH(X67)/100),TC!$5:$37,DAY(X67)+2,FALSE))</f>
        <v>20.926200000000001</v>
      </c>
      <c r="AD67" s="307">
        <f t="shared" ref="AD67:AD123" si="32">+AC67*AB67</f>
        <v>101658.642552</v>
      </c>
      <c r="AE67" s="314">
        <f t="shared" si="21"/>
        <v>69605.980175894394</v>
      </c>
      <c r="AF67" s="315">
        <f t="shared" si="22"/>
        <v>32052.662376105611</v>
      </c>
      <c r="AG67" s="316">
        <f t="shared" si="23"/>
        <v>4.0821917808219181</v>
      </c>
      <c r="AH67" s="314">
        <v>1</v>
      </c>
      <c r="AI67" s="314">
        <f t="shared" si="24"/>
        <v>32052.662376105611</v>
      </c>
      <c r="AJ67" s="314">
        <f t="shared" ref="AJ67:AJ123" si="33">+AF67-AI67</f>
        <v>0</v>
      </c>
      <c r="AK67" s="317"/>
      <c r="AL67" s="315">
        <f t="shared" si="25"/>
        <v>1725.9700000000003</v>
      </c>
      <c r="AN67" s="554">
        <f t="shared" si="26"/>
        <v>0.55107774929038733</v>
      </c>
      <c r="AO67" s="314"/>
      <c r="AP67" s="318"/>
    </row>
    <row r="68" spans="2:42">
      <c r="B68" s="296" t="s">
        <v>1266</v>
      </c>
      <c r="C68" s="299" t="s">
        <v>277</v>
      </c>
      <c r="D68" s="298" t="s">
        <v>836</v>
      </c>
      <c r="E68" s="299" t="s">
        <v>113</v>
      </c>
      <c r="F68" s="299" t="s">
        <v>59</v>
      </c>
      <c r="G68" s="300">
        <v>43160</v>
      </c>
      <c r="H68" s="303">
        <v>5633.73</v>
      </c>
      <c r="I68" s="301" t="str">
        <f t="shared" si="17"/>
        <v>Ingresos Sección II LISR (SIC &amp; BMV)</v>
      </c>
      <c r="J68" s="302">
        <f t="shared" si="27"/>
        <v>136</v>
      </c>
      <c r="K68" s="304">
        <f t="shared" si="18"/>
        <v>41.424485294117645</v>
      </c>
      <c r="L68" s="305">
        <f>IF(H68=0,0,IF(OR(E68=$AT$5,E68=$AT$6),AA68,IF(F68="MXN",1/HLOOKUP(YEAR(G68)+(MONTH(G68)/100),TC!$5:$37,DAY(G68)+2,FALSE),VLOOKUP(F68,Equivalencia!$5:$23,((MAX(Equivalencia!$3:$3)-YEAR(G68))*14)+MONTH(G68)+2,FALSE))))</f>
        <v>1</v>
      </c>
      <c r="M68" s="306">
        <f t="shared" si="19"/>
        <v>5633.73</v>
      </c>
      <c r="N68" s="305">
        <f>IF(G68=0,0,(IF(OR(E68=$AT$5,E68=$AT$6),AC68,HLOOKUP(YEAR(G68)+(MONTH(G68)/100),TC!$5:$37,DAY(G68)+2,FALSE))))</f>
        <v>18.790199999999999</v>
      </c>
      <c r="O68" s="307">
        <f t="shared" si="28"/>
        <v>105858.91344599999</v>
      </c>
      <c r="P68" s="560">
        <f>IF(G68=0,0,VLOOKUP(YEAR(G68),INPC!$B$4:$P$30,MONTH(G68)+2))</f>
        <v>99.492156980588007</v>
      </c>
      <c r="Q68" s="560">
        <f>IF(X68=0,0,IF(OR(E68=$AT$10,E68=$AT$9),VLOOKUP(YEAR(X68),INPC!$B$4:$P$30,MONTH(X68)+1),VLOOKUP(YEAR(X68),INPC!$B$4:$P$30,MONTH(X68)+2,0)))</f>
        <v>118.98099999999999</v>
      </c>
      <c r="R68" s="309">
        <f t="shared" si="20"/>
        <v>1.1958</v>
      </c>
      <c r="S68" s="310">
        <f t="shared" si="29"/>
        <v>126586.08869872679</v>
      </c>
      <c r="T68" s="555">
        <f t="shared" si="30"/>
        <v>930.78006396122635</v>
      </c>
      <c r="U68" s="311"/>
      <c r="V68" s="312">
        <v>136</v>
      </c>
      <c r="W68" s="299" t="s">
        <v>194</v>
      </c>
      <c r="X68" s="300">
        <v>44628</v>
      </c>
      <c r="Y68" s="299" t="s">
        <v>59</v>
      </c>
      <c r="Z68" s="303">
        <v>8057.1</v>
      </c>
      <c r="AA68" s="305">
        <f>IF(Z68=0,0,IF(Y68="MXN",1/HLOOKUP(YEAR(X68)+(MONTH(X68)/100),TC!$5:$37,DAY(X68)+2,FALSE),VLOOKUP(Y68,Equivalencia!$1:$23,((MAX(Equivalencia!$3:$3)-YEAR(X68))*14)+MONTH(X68)+2,FALSE)))</f>
        <v>1</v>
      </c>
      <c r="AB68" s="306">
        <f t="shared" si="31"/>
        <v>8057.1</v>
      </c>
      <c r="AC68" s="305">
        <f>+IF(X68=0,0,HLOOKUP(YEAR(X68)+(MONTH(X68)/100),TC!$5:$37,DAY(X68)+2,FALSE))</f>
        <v>20.926200000000001</v>
      </c>
      <c r="AD68" s="307">
        <f t="shared" si="32"/>
        <v>168604.48602000001</v>
      </c>
      <c r="AE68" s="314">
        <f t="shared" si="21"/>
        <v>126586.08869872679</v>
      </c>
      <c r="AF68" s="315">
        <f t="shared" si="22"/>
        <v>42018.397321273223</v>
      </c>
      <c r="AG68" s="316">
        <f t="shared" si="23"/>
        <v>4.021917808219178</v>
      </c>
      <c r="AH68" s="314">
        <v>1</v>
      </c>
      <c r="AI68" s="314">
        <f t="shared" si="24"/>
        <v>42018.397321273223</v>
      </c>
      <c r="AJ68" s="314">
        <f t="shared" si="33"/>
        <v>0</v>
      </c>
      <c r="AK68" s="317"/>
      <c r="AL68" s="315">
        <f t="shared" si="25"/>
        <v>2423.3700000000008</v>
      </c>
      <c r="AN68" s="554">
        <f t="shared" si="26"/>
        <v>0.43015373473702168</v>
      </c>
      <c r="AO68" s="314"/>
      <c r="AP68" s="318"/>
    </row>
    <row r="69" spans="2:42">
      <c r="B69" s="296" t="s">
        <v>1266</v>
      </c>
      <c r="C69" s="299" t="s">
        <v>277</v>
      </c>
      <c r="D69" s="298" t="s">
        <v>836</v>
      </c>
      <c r="E69" s="299" t="s">
        <v>113</v>
      </c>
      <c r="F69" s="299" t="s">
        <v>59</v>
      </c>
      <c r="G69" s="300">
        <v>43160</v>
      </c>
      <c r="H69" s="303">
        <v>2154.08</v>
      </c>
      <c r="I69" s="301" t="str">
        <f t="shared" si="17"/>
        <v>Ingresos Sección II LISR (SIC &amp; BMV)</v>
      </c>
      <c r="J69" s="302">
        <f t="shared" si="27"/>
        <v>52</v>
      </c>
      <c r="K69" s="304">
        <f t="shared" si="18"/>
        <v>41.424615384615386</v>
      </c>
      <c r="L69" s="305">
        <f>IF(H69=0,0,IF(OR(E69=$AT$5,E69=$AT$6),AA69,IF(F69="MXN",1/HLOOKUP(YEAR(G69)+(MONTH(G69)/100),TC!$5:$37,DAY(G69)+2,FALSE),VLOOKUP(F69,Equivalencia!$5:$23,((MAX(Equivalencia!$3:$3)-YEAR(G69))*14)+MONTH(G69)+2,FALSE))))</f>
        <v>1</v>
      </c>
      <c r="M69" s="306">
        <f t="shared" si="19"/>
        <v>2154.08</v>
      </c>
      <c r="N69" s="305">
        <f>IF(G69=0,0,(IF(OR(E69=$AT$5,E69=$AT$6),AC69,HLOOKUP(YEAR(G69)+(MONTH(G69)/100),TC!$5:$37,DAY(G69)+2,FALSE))))</f>
        <v>18.790199999999999</v>
      </c>
      <c r="O69" s="307">
        <f t="shared" si="28"/>
        <v>40475.594015999995</v>
      </c>
      <c r="P69" s="560">
        <f>IF(G69=0,0,VLOOKUP(YEAR(G69),INPC!$B$4:$P$30,MONTH(G69)+2))</f>
        <v>99.492156980588007</v>
      </c>
      <c r="Q69" s="560">
        <f>IF(X69=0,0,IF(OR(E69=$AT$10,E69=$AT$9),VLOOKUP(YEAR(X69),INPC!$B$4:$P$30,MONTH(X69)+1),VLOOKUP(YEAR(X69),INPC!$B$4:$P$30,MONTH(X69)+2,0)))</f>
        <v>120.809</v>
      </c>
      <c r="R69" s="309">
        <f t="shared" si="20"/>
        <v>1.2141999999999999</v>
      </c>
      <c r="S69" s="310">
        <f t="shared" si="29"/>
        <v>49145.466254227191</v>
      </c>
      <c r="T69" s="555">
        <f t="shared" si="30"/>
        <v>945.10512027359982</v>
      </c>
      <c r="U69" s="311"/>
      <c r="V69" s="312">
        <v>52</v>
      </c>
      <c r="W69" s="299" t="s">
        <v>194</v>
      </c>
      <c r="X69" s="300">
        <v>44701</v>
      </c>
      <c r="Y69" s="299" t="s">
        <v>59</v>
      </c>
      <c r="Z69" s="303">
        <v>3003.18</v>
      </c>
      <c r="AA69" s="305">
        <f>IF(Z69=0,0,IF(Y69="MXN",1/HLOOKUP(YEAR(X69)+(MONTH(X69)/100),TC!$5:$37,DAY(X69)+2,FALSE),VLOOKUP(Y69,Equivalencia!$1:$23,((MAX(Equivalencia!$3:$3)-YEAR(X69))*14)+MONTH(X69)+2,FALSE)))</f>
        <v>1</v>
      </c>
      <c r="AB69" s="306">
        <f t="shared" si="31"/>
        <v>3003.18</v>
      </c>
      <c r="AC69" s="305">
        <f>+IF(X69=0,0,HLOOKUP(YEAR(X69)+(MONTH(X69)/100),TC!$5:$37,DAY(X69)+2,FALSE))</f>
        <v>19.9663</v>
      </c>
      <c r="AD69" s="307">
        <f t="shared" si="32"/>
        <v>59962.392833999998</v>
      </c>
      <c r="AE69" s="314">
        <f t="shared" si="21"/>
        <v>49145.466254227191</v>
      </c>
      <c r="AF69" s="315">
        <f t="shared" si="22"/>
        <v>10816.926579772808</v>
      </c>
      <c r="AG69" s="316">
        <f t="shared" si="23"/>
        <v>4.2219178082191782</v>
      </c>
      <c r="AH69" s="314">
        <v>1</v>
      </c>
      <c r="AI69" s="314">
        <f t="shared" si="24"/>
        <v>10816.926579772808</v>
      </c>
      <c r="AJ69" s="314">
        <f t="shared" si="33"/>
        <v>0</v>
      </c>
      <c r="AK69" s="317"/>
      <c r="AL69" s="315">
        <f t="shared" si="25"/>
        <v>849.09999999999991</v>
      </c>
      <c r="AN69" s="554">
        <f t="shared" si="26"/>
        <v>0.39418220307509466</v>
      </c>
      <c r="AO69" s="314"/>
      <c r="AP69" s="318"/>
    </row>
    <row r="70" spans="2:42">
      <c r="B70" s="296" t="s">
        <v>1266</v>
      </c>
      <c r="C70" s="299" t="s">
        <v>277</v>
      </c>
      <c r="D70" s="298" t="s">
        <v>836</v>
      </c>
      <c r="E70" s="299" t="s">
        <v>113</v>
      </c>
      <c r="F70" s="299" t="s">
        <v>59</v>
      </c>
      <c r="G70" s="300">
        <v>43164</v>
      </c>
      <c r="H70" s="303">
        <v>336.12</v>
      </c>
      <c r="I70" s="301" t="str">
        <f t="shared" si="17"/>
        <v>Ingresos Sección II LISR (SIC &amp; BMV)</v>
      </c>
      <c r="J70" s="302">
        <f t="shared" si="27"/>
        <v>8</v>
      </c>
      <c r="K70" s="304">
        <f t="shared" si="18"/>
        <v>42.015000000000001</v>
      </c>
      <c r="L70" s="305">
        <f>IF(H70=0,0,IF(OR(E70=$AT$5,E70=$AT$6),AA70,IF(F70="MXN",1/HLOOKUP(YEAR(G70)+(MONTH(G70)/100),TC!$5:$37,DAY(G70)+2,FALSE),VLOOKUP(F70,Equivalencia!$5:$23,((MAX(Equivalencia!$3:$3)-YEAR(G70))*14)+MONTH(G70)+2,FALSE))))</f>
        <v>1</v>
      </c>
      <c r="M70" s="306">
        <f t="shared" si="19"/>
        <v>336.12</v>
      </c>
      <c r="N70" s="305">
        <f>IF(G70=0,0,(IF(OR(E70=$AT$5,E70=$AT$6),AC70,HLOOKUP(YEAR(G70)+(MONTH(G70)/100),TC!$5:$37,DAY(G70)+2,FALSE))))</f>
        <v>18.861000000000001</v>
      </c>
      <c r="O70" s="307">
        <f t="shared" si="28"/>
        <v>6339.5593200000003</v>
      </c>
      <c r="P70" s="560">
        <f>IF(G70=0,0,VLOOKUP(YEAR(G70),INPC!$B$4:$P$30,MONTH(G70)+2))</f>
        <v>99.492156980588007</v>
      </c>
      <c r="Q70" s="560">
        <f>IF(X70=0,0,IF(OR(E70=$AT$10,E70=$AT$9),VLOOKUP(YEAR(X70),INPC!$B$4:$P$30,MONTH(X70)+1),VLOOKUP(YEAR(X70),INPC!$B$4:$P$30,MONTH(X70)+2,0)))</f>
        <v>120.809</v>
      </c>
      <c r="R70" s="309">
        <f t="shared" si="20"/>
        <v>1.2141999999999999</v>
      </c>
      <c r="S70" s="310">
        <f t="shared" si="29"/>
        <v>7697.4929263439999</v>
      </c>
      <c r="T70" s="555">
        <f t="shared" si="30"/>
        <v>962.18661579299999</v>
      </c>
      <c r="U70" s="311"/>
      <c r="V70" s="312">
        <v>8</v>
      </c>
      <c r="W70" s="299" t="s">
        <v>194</v>
      </c>
      <c r="X70" s="300">
        <v>44701</v>
      </c>
      <c r="Y70" s="299" t="s">
        <v>59</v>
      </c>
      <c r="Z70" s="303">
        <v>462.03</v>
      </c>
      <c r="AA70" s="305">
        <f>IF(Z70=0,0,IF(Y70="MXN",1/HLOOKUP(YEAR(X70)+(MONTH(X70)/100),TC!$5:$37,DAY(X70)+2,FALSE),VLOOKUP(Y70,Equivalencia!$1:$23,((MAX(Equivalencia!$3:$3)-YEAR(X70))*14)+MONTH(X70)+2,FALSE)))</f>
        <v>1</v>
      </c>
      <c r="AB70" s="306">
        <f t="shared" si="31"/>
        <v>462.03</v>
      </c>
      <c r="AC70" s="305">
        <f>+IF(X70=0,0,HLOOKUP(YEAR(X70)+(MONTH(X70)/100),TC!$5:$37,DAY(X70)+2,FALSE))</f>
        <v>19.9663</v>
      </c>
      <c r="AD70" s="307">
        <f t="shared" si="32"/>
        <v>9225.0295889999998</v>
      </c>
      <c r="AE70" s="314">
        <f t="shared" si="21"/>
        <v>7697.4929263439999</v>
      </c>
      <c r="AF70" s="315">
        <f t="shared" si="22"/>
        <v>1527.5366626559999</v>
      </c>
      <c r="AG70" s="316">
        <f t="shared" si="23"/>
        <v>4.2109589041095887</v>
      </c>
      <c r="AH70" s="314">
        <v>1</v>
      </c>
      <c r="AI70" s="314">
        <f t="shared" si="24"/>
        <v>1527.5366626559999</v>
      </c>
      <c r="AJ70" s="314">
        <f t="shared" si="33"/>
        <v>0</v>
      </c>
      <c r="AK70" s="317"/>
      <c r="AL70" s="315">
        <f t="shared" si="25"/>
        <v>125.90999999999997</v>
      </c>
      <c r="AN70" s="554">
        <f t="shared" si="26"/>
        <v>0.37459835772938227</v>
      </c>
      <c r="AO70" s="314"/>
      <c r="AP70" s="318"/>
    </row>
    <row r="71" spans="2:42">
      <c r="B71" s="296" t="s">
        <v>1266</v>
      </c>
      <c r="C71" s="299" t="s">
        <v>277</v>
      </c>
      <c r="D71" s="298" t="s">
        <v>836</v>
      </c>
      <c r="E71" s="299" t="s">
        <v>113</v>
      </c>
      <c r="F71" s="299" t="s">
        <v>59</v>
      </c>
      <c r="G71" s="300">
        <v>43315</v>
      </c>
      <c r="H71" s="303">
        <v>6446.51</v>
      </c>
      <c r="I71" s="301" t="str">
        <f t="shared" si="17"/>
        <v>Ingresos Sección II LISR (SIC &amp; BMV)</v>
      </c>
      <c r="J71" s="302">
        <f t="shared" si="27"/>
        <v>133</v>
      </c>
      <c r="K71" s="304">
        <f t="shared" si="18"/>
        <v>48.47</v>
      </c>
      <c r="L71" s="305">
        <f>IF(H71=0,0,IF(OR(E71=$AT$5,E71=$AT$6),AA71,IF(F71="MXN",1/HLOOKUP(YEAR(G71)+(MONTH(G71)/100),TC!$5:$37,DAY(G71)+2,FALSE),VLOOKUP(F71,Equivalencia!$5:$23,((MAX(Equivalencia!$3:$3)-YEAR(G71))*14)+MONTH(G71)+2,FALSE))))</f>
        <v>1</v>
      </c>
      <c r="M71" s="306">
        <f t="shared" si="19"/>
        <v>6446.51</v>
      </c>
      <c r="N71" s="305">
        <f>IF(G71=0,0,(IF(OR(E71=$AT$5,E71=$AT$6),AC71,HLOOKUP(YEAR(G71)+(MONTH(G71)/100),TC!$5:$37,DAY(G71)+2,FALSE))))</f>
        <v>18.5899</v>
      </c>
      <c r="O71" s="307">
        <f t="shared" si="28"/>
        <v>119839.976249</v>
      </c>
      <c r="P71" s="560">
        <f>IF(G71=0,0,VLOOKUP(YEAR(G71),INPC!$B$4:$P$30,MONTH(G71)+2))</f>
        <v>100.492</v>
      </c>
      <c r="Q71" s="560">
        <f>IF(X71=0,0,IF(OR(E71=$AT$10,E71=$AT$9),VLOOKUP(YEAR(X71),INPC!$B$4:$P$30,MONTH(X71)+1),VLOOKUP(YEAR(X71),INPC!$B$4:$P$30,MONTH(X71)+2,0)))</f>
        <v>120.809</v>
      </c>
      <c r="R71" s="309">
        <f t="shared" si="20"/>
        <v>1.2020999999999999</v>
      </c>
      <c r="S71" s="310">
        <f t="shared" si="29"/>
        <v>144059.6354489229</v>
      </c>
      <c r="T71" s="555">
        <f t="shared" si="30"/>
        <v>1083.1551537513001</v>
      </c>
      <c r="U71" s="311"/>
      <c r="V71" s="312">
        <v>133</v>
      </c>
      <c r="W71" s="299" t="s">
        <v>194</v>
      </c>
      <c r="X71" s="300">
        <v>44701</v>
      </c>
      <c r="Y71" s="299" t="s">
        <v>59</v>
      </c>
      <c r="Z71" s="303">
        <v>7681.21</v>
      </c>
      <c r="AA71" s="305">
        <f>IF(Z71=0,0,IF(Y71="MXN",1/HLOOKUP(YEAR(X71)+(MONTH(X71)/100),TC!$5:$37,DAY(X71)+2,FALSE),VLOOKUP(Y71,Equivalencia!$1:$23,((MAX(Equivalencia!$3:$3)-YEAR(X71))*14)+MONTH(X71)+2,FALSE)))</f>
        <v>1</v>
      </c>
      <c r="AB71" s="306">
        <f t="shared" si="31"/>
        <v>7681.21</v>
      </c>
      <c r="AC71" s="305">
        <f>+IF(X71=0,0,HLOOKUP(YEAR(X71)+(MONTH(X71)/100),TC!$5:$37,DAY(X71)+2,FALSE))</f>
        <v>19.9663</v>
      </c>
      <c r="AD71" s="307">
        <f t="shared" si="32"/>
        <v>153365.343223</v>
      </c>
      <c r="AE71" s="314">
        <f t="shared" si="21"/>
        <v>144059.6354489229</v>
      </c>
      <c r="AF71" s="315">
        <f t="shared" si="22"/>
        <v>9305.7077740771056</v>
      </c>
      <c r="AG71" s="316">
        <f t="shared" si="23"/>
        <v>3.7972602739726029</v>
      </c>
      <c r="AH71" s="314">
        <v>1</v>
      </c>
      <c r="AI71" s="314">
        <f t="shared" si="24"/>
        <v>9305.7077740771056</v>
      </c>
      <c r="AJ71" s="314">
        <f t="shared" si="33"/>
        <v>0</v>
      </c>
      <c r="AK71" s="317"/>
      <c r="AL71" s="315">
        <f t="shared" si="25"/>
        <v>1234.6999999999998</v>
      </c>
      <c r="AN71" s="554">
        <f t="shared" si="26"/>
        <v>0.19152999064610149</v>
      </c>
      <c r="AO71" s="314"/>
      <c r="AP71" s="318"/>
    </row>
    <row r="72" spans="2:42">
      <c r="B72" s="296" t="s">
        <v>1266</v>
      </c>
      <c r="C72" s="299" t="s">
        <v>277</v>
      </c>
      <c r="D72" s="298" t="s">
        <v>837</v>
      </c>
      <c r="E72" s="299" t="s">
        <v>113</v>
      </c>
      <c r="F72" s="299" t="s">
        <v>59</v>
      </c>
      <c r="G72" s="300">
        <v>43965</v>
      </c>
      <c r="H72" s="303">
        <v>5169.25</v>
      </c>
      <c r="I72" s="301" t="str">
        <f t="shared" si="17"/>
        <v>Ingresos Sección II LISR (SIC &amp; BMV)</v>
      </c>
      <c r="J72" s="302">
        <f t="shared" si="27"/>
        <v>58</v>
      </c>
      <c r="K72" s="304">
        <f t="shared" si="18"/>
        <v>89.125</v>
      </c>
      <c r="L72" s="305">
        <f>IF(H72=0,0,IF(OR(E72=$AT$5,E72=$AT$6),AA72,IF(F72="MXN",1/HLOOKUP(YEAR(G72)+(MONTH(G72)/100),TC!$5:$37,DAY(G72)+2,FALSE),VLOOKUP(F72,Equivalencia!$5:$23,((MAX(Equivalencia!$3:$3)-YEAR(G72))*14)+MONTH(G72)+2,FALSE))))</f>
        <v>1</v>
      </c>
      <c r="M72" s="306">
        <f t="shared" si="19"/>
        <v>5169.25</v>
      </c>
      <c r="N72" s="305">
        <f>IF(G72=0,0,(IF(OR(E72=$AT$5,E72=$AT$6),AC72,HLOOKUP(YEAR(G72)+(MONTH(G72)/100),TC!$5:$37,DAY(G72)+2,FALSE))))</f>
        <v>24.0487</v>
      </c>
      <c r="O72" s="307">
        <f t="shared" si="28"/>
        <v>124313.74247500001</v>
      </c>
      <c r="P72" s="560">
        <f>IF(G72=0,0,VLOOKUP(YEAR(G72),INPC!$B$4:$P$30,MONTH(G72)+2))</f>
        <v>106.16200000000001</v>
      </c>
      <c r="Q72" s="560">
        <f>IF(X72=0,0,IF(OR(E72=$AT$10,E72=$AT$9),VLOOKUP(YEAR(X72),INPC!$B$4:$P$30,MONTH(X72)+1),VLOOKUP(YEAR(X72),INPC!$B$4:$P$30,MONTH(X72)+2,0)))</f>
        <v>120.15900000000001</v>
      </c>
      <c r="R72" s="309">
        <f t="shared" si="20"/>
        <v>1.1317999999999999</v>
      </c>
      <c r="S72" s="310">
        <f t="shared" si="29"/>
        <v>140698.29373320501</v>
      </c>
      <c r="T72" s="555">
        <f t="shared" si="30"/>
        <v>2425.8326505724999</v>
      </c>
      <c r="U72" s="311"/>
      <c r="V72" s="312">
        <v>58</v>
      </c>
      <c r="W72" s="299" t="s">
        <v>194</v>
      </c>
      <c r="X72" s="300">
        <v>44678</v>
      </c>
      <c r="Y72" s="299" t="s">
        <v>59</v>
      </c>
      <c r="Z72" s="303">
        <v>10041.99</v>
      </c>
      <c r="AA72" s="305">
        <f>IF(Z72=0,0,IF(Y72="MXN",1/HLOOKUP(YEAR(X72)+(MONTH(X72)/100),TC!$5:$37,DAY(X72)+2,FALSE),VLOOKUP(Y72,Equivalencia!$1:$23,((MAX(Equivalencia!$3:$3)-YEAR(X72))*14)+MONTH(X72)+2,FALSE)))</f>
        <v>1</v>
      </c>
      <c r="AB72" s="306">
        <f t="shared" si="31"/>
        <v>10041.99</v>
      </c>
      <c r="AC72" s="305">
        <f>+IF(X72=0,0,HLOOKUP(YEAR(X72)+(MONTH(X72)/100),TC!$5:$37,DAY(X72)+2,FALSE))</f>
        <v>20.299199999999999</v>
      </c>
      <c r="AD72" s="307">
        <f t="shared" si="32"/>
        <v>203844.36340799998</v>
      </c>
      <c r="AE72" s="314">
        <f t="shared" si="21"/>
        <v>140698.29373320501</v>
      </c>
      <c r="AF72" s="315">
        <f t="shared" si="22"/>
        <v>63146.06967479497</v>
      </c>
      <c r="AG72" s="316">
        <f t="shared" si="23"/>
        <v>1.9534246575342467</v>
      </c>
      <c r="AH72" s="314">
        <v>1</v>
      </c>
      <c r="AI72" s="314">
        <f t="shared" si="24"/>
        <v>63146.06967479497</v>
      </c>
      <c r="AJ72" s="314">
        <f t="shared" si="33"/>
        <v>0</v>
      </c>
      <c r="AK72" s="317"/>
      <c r="AL72" s="315">
        <f t="shared" si="25"/>
        <v>4872.74</v>
      </c>
      <c r="AN72" s="554">
        <f t="shared" si="26"/>
        <v>0.9426396479179765</v>
      </c>
      <c r="AO72" s="314"/>
      <c r="AP72" s="318"/>
    </row>
    <row r="73" spans="2:42">
      <c r="B73" s="296" t="s">
        <v>1266</v>
      </c>
      <c r="C73" s="299" t="s">
        <v>277</v>
      </c>
      <c r="D73" s="298" t="s">
        <v>837</v>
      </c>
      <c r="E73" s="299" t="s">
        <v>113</v>
      </c>
      <c r="F73" s="299" t="s">
        <v>59</v>
      </c>
      <c r="G73" s="300">
        <v>43977</v>
      </c>
      <c r="H73" s="303">
        <v>932.51</v>
      </c>
      <c r="I73" s="301" t="str">
        <f t="shared" si="17"/>
        <v>Ingresos Sección II LISR (SIC &amp; BMV)</v>
      </c>
      <c r="J73" s="302">
        <f t="shared" si="27"/>
        <v>9</v>
      </c>
      <c r="K73" s="304">
        <f t="shared" si="18"/>
        <v>103.61222222222221</v>
      </c>
      <c r="L73" s="305">
        <f>IF(H73=0,0,IF(OR(E73=$AT$5,E73=$AT$6),AA73,IF(F73="MXN",1/HLOOKUP(YEAR(G73)+(MONTH(G73)/100),TC!$5:$37,DAY(G73)+2,FALSE),VLOOKUP(F73,Equivalencia!$5:$23,((MAX(Equivalencia!$3:$3)-YEAR(G73))*14)+MONTH(G73)+2,FALSE))))</f>
        <v>1</v>
      </c>
      <c r="M73" s="306">
        <f t="shared" si="19"/>
        <v>932.51</v>
      </c>
      <c r="N73" s="305">
        <f>IF(G73=0,0,(IF(OR(E73=$AT$5,E73=$AT$6),AC73,HLOOKUP(YEAR(G73)+(MONTH(G73)/100),TC!$5:$37,DAY(G73)+2,FALSE))))</f>
        <v>22.7928</v>
      </c>
      <c r="O73" s="307">
        <f t="shared" si="28"/>
        <v>21254.513928</v>
      </c>
      <c r="P73" s="560">
        <f>IF(G73=0,0,VLOOKUP(YEAR(G73),INPC!$B$4:$P$30,MONTH(G73)+2))</f>
        <v>106.16200000000001</v>
      </c>
      <c r="Q73" s="560">
        <f>IF(X73=0,0,IF(OR(E73=$AT$10,E73=$AT$9),VLOOKUP(YEAR(X73),INPC!$B$4:$P$30,MONTH(X73)+1),VLOOKUP(YEAR(X73),INPC!$B$4:$P$30,MONTH(X73)+2,0)))</f>
        <v>120.15900000000001</v>
      </c>
      <c r="R73" s="309">
        <f t="shared" si="20"/>
        <v>1.1317999999999999</v>
      </c>
      <c r="S73" s="310">
        <f t="shared" si="29"/>
        <v>24055.8588637104</v>
      </c>
      <c r="T73" s="555">
        <f t="shared" si="30"/>
        <v>2672.8732070789333</v>
      </c>
      <c r="U73" s="311"/>
      <c r="V73" s="312">
        <v>9</v>
      </c>
      <c r="W73" s="299" t="s">
        <v>194</v>
      </c>
      <c r="X73" s="300">
        <v>44678</v>
      </c>
      <c r="Y73" s="299" t="s">
        <v>59</v>
      </c>
      <c r="Z73" s="303">
        <v>1558.24</v>
      </c>
      <c r="AA73" s="305">
        <f>IF(Z73=0,0,IF(Y73="MXN",1/HLOOKUP(YEAR(X73)+(MONTH(X73)/100),TC!$5:$37,DAY(X73)+2,FALSE),VLOOKUP(Y73,Equivalencia!$1:$23,((MAX(Equivalencia!$3:$3)-YEAR(X73))*14)+MONTH(X73)+2,FALSE)))</f>
        <v>1</v>
      </c>
      <c r="AB73" s="306">
        <f t="shared" si="31"/>
        <v>1558.24</v>
      </c>
      <c r="AC73" s="305">
        <f>+IF(X73=0,0,HLOOKUP(YEAR(X73)+(MONTH(X73)/100),TC!$5:$37,DAY(X73)+2,FALSE))</f>
        <v>20.299199999999999</v>
      </c>
      <c r="AD73" s="307">
        <f t="shared" si="32"/>
        <v>31631.025407999998</v>
      </c>
      <c r="AE73" s="314">
        <f t="shared" si="21"/>
        <v>24055.8588637104</v>
      </c>
      <c r="AF73" s="315">
        <f t="shared" si="22"/>
        <v>7575.1665442895974</v>
      </c>
      <c r="AG73" s="316">
        <f t="shared" si="23"/>
        <v>1.9205479452054794</v>
      </c>
      <c r="AH73" s="314">
        <v>1</v>
      </c>
      <c r="AI73" s="314">
        <f t="shared" si="24"/>
        <v>7575.1665442895974</v>
      </c>
      <c r="AJ73" s="314">
        <f t="shared" si="33"/>
        <v>0</v>
      </c>
      <c r="AK73" s="317"/>
      <c r="AL73" s="315">
        <f t="shared" si="25"/>
        <v>625.73</v>
      </c>
      <c r="AN73" s="554">
        <f t="shared" si="26"/>
        <v>0.67101693279428642</v>
      </c>
      <c r="AO73" s="314"/>
      <c r="AP73" s="318"/>
    </row>
    <row r="74" spans="2:42">
      <c r="B74" s="296" t="s">
        <v>1266</v>
      </c>
      <c r="C74" s="299" t="s">
        <v>277</v>
      </c>
      <c r="D74" s="298" t="s">
        <v>787</v>
      </c>
      <c r="E74" s="299" t="s">
        <v>113</v>
      </c>
      <c r="F74" s="299" t="s">
        <v>59</v>
      </c>
      <c r="G74" s="300">
        <v>44312</v>
      </c>
      <c r="H74" s="303">
        <v>12393.98</v>
      </c>
      <c r="I74" s="301" t="str">
        <f t="shared" si="17"/>
        <v>Ingresos Sección II LISR (SIC &amp; BMV)</v>
      </c>
      <c r="J74" s="302">
        <f t="shared" si="27"/>
        <v>55</v>
      </c>
      <c r="K74" s="304">
        <f t="shared" si="18"/>
        <v>225.34509090909091</v>
      </c>
      <c r="L74" s="305">
        <f>IF(H74=0,0,IF(OR(E74=$AT$5,E74=$AT$6),AA74,IF(F74="MXN",1/HLOOKUP(YEAR(G74)+(MONTH(G74)/100),TC!$5:$37,DAY(G74)+2,FALSE),VLOOKUP(F74,Equivalencia!$5:$23,((MAX(Equivalencia!$3:$3)-YEAR(G74))*14)+MONTH(G74)+2,FALSE))))</f>
        <v>1</v>
      </c>
      <c r="M74" s="306">
        <f t="shared" si="19"/>
        <v>12393.98</v>
      </c>
      <c r="N74" s="305">
        <f>IF(G74=0,0,(IF(OR(E74=$AT$5,E74=$AT$6),AC74,HLOOKUP(YEAR(G74)+(MONTH(G74)/100),TC!$5:$37,DAY(G74)+2,FALSE))))</f>
        <v>19.886500000000002</v>
      </c>
      <c r="O74" s="307">
        <f t="shared" si="28"/>
        <v>246472.88327000002</v>
      </c>
      <c r="P74" s="560">
        <f>IF(G74=0,0,VLOOKUP(YEAR(G74),INPC!$B$4:$P$30,MONTH(G74)+2))</f>
        <v>112.19</v>
      </c>
      <c r="Q74" s="560">
        <f>IF(X74=0,0,IF(OR(E74=$AT$10,E74=$AT$9),VLOOKUP(YEAR(X74),INPC!$B$4:$P$30,MONTH(X74)+1),VLOOKUP(YEAR(X74),INPC!$B$4:$P$30,MONTH(X74)+2,0)))</f>
        <v>118.98099999999999</v>
      </c>
      <c r="R74" s="309">
        <f t="shared" si="20"/>
        <v>1.0605</v>
      </c>
      <c r="S74" s="310">
        <f t="shared" si="29"/>
        <v>261384.49270783502</v>
      </c>
      <c r="T74" s="555">
        <f t="shared" si="30"/>
        <v>4752.4453219606366</v>
      </c>
      <c r="U74" s="311"/>
      <c r="V74" s="312">
        <v>55</v>
      </c>
      <c r="W74" s="299" t="s">
        <v>194</v>
      </c>
      <c r="X74" s="300">
        <v>44628</v>
      </c>
      <c r="Y74" s="299" t="s">
        <v>59</v>
      </c>
      <c r="Z74" s="303">
        <v>14176.7</v>
      </c>
      <c r="AA74" s="305">
        <f>IF(Z74=0,0,IF(Y74="MXN",1/HLOOKUP(YEAR(X74)+(MONTH(X74)/100),TC!$5:$37,DAY(X74)+2,FALSE),VLOOKUP(Y74,Equivalencia!$1:$23,((MAX(Equivalencia!$3:$3)-YEAR(X74))*14)+MONTH(X74)+2,FALSE)))</f>
        <v>1</v>
      </c>
      <c r="AB74" s="306">
        <f t="shared" si="31"/>
        <v>14176.7</v>
      </c>
      <c r="AC74" s="305">
        <f>+IF(X74=0,0,HLOOKUP(YEAR(X74)+(MONTH(X74)/100),TC!$5:$37,DAY(X74)+2,FALSE))</f>
        <v>20.926200000000001</v>
      </c>
      <c r="AD74" s="307">
        <f t="shared" si="32"/>
        <v>296664.45954000001</v>
      </c>
      <c r="AE74" s="314">
        <f t="shared" si="21"/>
        <v>261384.49270783502</v>
      </c>
      <c r="AF74" s="315">
        <f t="shared" si="22"/>
        <v>35279.966832164995</v>
      </c>
      <c r="AG74" s="316">
        <f t="shared" si="23"/>
        <v>0.86575342465753424</v>
      </c>
      <c r="AH74" s="314">
        <v>1</v>
      </c>
      <c r="AI74" s="314">
        <f t="shared" si="24"/>
        <v>35279.966832164995</v>
      </c>
      <c r="AJ74" s="314">
        <f t="shared" si="33"/>
        <v>0</v>
      </c>
      <c r="AK74" s="317"/>
      <c r="AL74" s="315">
        <f t="shared" si="25"/>
        <v>1782.7200000000012</v>
      </c>
      <c r="AN74" s="554">
        <f t="shared" si="26"/>
        <v>0.14383757275709669</v>
      </c>
      <c r="AO74" s="314"/>
      <c r="AP74" s="318"/>
    </row>
    <row r="75" spans="2:42">
      <c r="B75" s="296" t="s">
        <v>1266</v>
      </c>
      <c r="C75" s="299" t="s">
        <v>277</v>
      </c>
      <c r="D75" s="298" t="s">
        <v>787</v>
      </c>
      <c r="E75" s="299" t="s">
        <v>113</v>
      </c>
      <c r="F75" s="299" t="s">
        <v>59</v>
      </c>
      <c r="G75" s="300">
        <v>44313</v>
      </c>
      <c r="H75" s="303">
        <v>9474.8700000000008</v>
      </c>
      <c r="I75" s="301" t="str">
        <f t="shared" si="17"/>
        <v>Ingresos Sección II LISR (SIC &amp; BMV)</v>
      </c>
      <c r="J75" s="302">
        <f t="shared" si="27"/>
        <v>42</v>
      </c>
      <c r="K75" s="304">
        <f t="shared" si="18"/>
        <v>225.59214285714287</v>
      </c>
      <c r="L75" s="305">
        <f>IF(H75=0,0,IF(OR(E75=$AT$5,E75=$AT$6),AA75,IF(F75="MXN",1/HLOOKUP(YEAR(G75)+(MONTH(G75)/100),TC!$5:$37,DAY(G75)+2,FALSE),VLOOKUP(F75,Equivalencia!$5:$23,((MAX(Equivalencia!$3:$3)-YEAR(G75))*14)+MONTH(G75)+2,FALSE))))</f>
        <v>1</v>
      </c>
      <c r="M75" s="306">
        <f t="shared" si="19"/>
        <v>9474.8700000000008</v>
      </c>
      <c r="N75" s="305">
        <f>IF(G75=0,0,(IF(OR(E75=$AT$5,E75=$AT$6),AC75,HLOOKUP(YEAR(G75)+(MONTH(G75)/100),TC!$5:$37,DAY(G75)+2,FALSE))))</f>
        <v>19.869499999999999</v>
      </c>
      <c r="O75" s="307">
        <f t="shared" si="28"/>
        <v>188260.92946499999</v>
      </c>
      <c r="P75" s="560">
        <f>IF(G75=0,0,VLOOKUP(YEAR(G75),INPC!$B$4:$P$30,MONTH(G75)+2))</f>
        <v>112.19</v>
      </c>
      <c r="Q75" s="560">
        <f>IF(X75=0,0,IF(OR(E75=$AT$10,E75=$AT$9),VLOOKUP(YEAR(X75),INPC!$B$4:$P$30,MONTH(X75)+1),VLOOKUP(YEAR(X75),INPC!$B$4:$P$30,MONTH(X75)+2,0)))</f>
        <v>118.98099999999999</v>
      </c>
      <c r="R75" s="309">
        <f t="shared" si="20"/>
        <v>1.0605</v>
      </c>
      <c r="S75" s="310">
        <f t="shared" si="29"/>
        <v>199650.71569763249</v>
      </c>
      <c r="T75" s="555">
        <f t="shared" si="30"/>
        <v>4753.58846899125</v>
      </c>
      <c r="U75" s="311"/>
      <c r="V75" s="312">
        <v>42</v>
      </c>
      <c r="W75" s="299" t="s">
        <v>194</v>
      </c>
      <c r="X75" s="300">
        <v>44628</v>
      </c>
      <c r="Y75" s="299" t="s">
        <v>59</v>
      </c>
      <c r="Z75" s="303">
        <v>10825.85</v>
      </c>
      <c r="AA75" s="305">
        <f>IF(Z75=0,0,IF(Y75="MXN",1/HLOOKUP(YEAR(X75)+(MONTH(X75)/100),TC!$5:$37,DAY(X75)+2,FALSE),VLOOKUP(Y75,Equivalencia!$1:$23,((MAX(Equivalencia!$3:$3)-YEAR(X75))*14)+MONTH(X75)+2,FALSE)))</f>
        <v>1</v>
      </c>
      <c r="AB75" s="306">
        <f t="shared" si="31"/>
        <v>10825.85</v>
      </c>
      <c r="AC75" s="305">
        <f>+IF(X75=0,0,HLOOKUP(YEAR(X75)+(MONTH(X75)/100),TC!$5:$37,DAY(X75)+2,FALSE))</f>
        <v>20.926200000000001</v>
      </c>
      <c r="AD75" s="307">
        <f t="shared" si="32"/>
        <v>226543.90227000002</v>
      </c>
      <c r="AE75" s="314">
        <f t="shared" si="21"/>
        <v>199650.71569763249</v>
      </c>
      <c r="AF75" s="315">
        <f t="shared" si="22"/>
        <v>26893.186572367529</v>
      </c>
      <c r="AG75" s="316">
        <f t="shared" si="23"/>
        <v>0.86301369863013699</v>
      </c>
      <c r="AH75" s="314">
        <v>1</v>
      </c>
      <c r="AI75" s="314">
        <f t="shared" si="24"/>
        <v>26893.186572367529</v>
      </c>
      <c r="AJ75" s="314">
        <f t="shared" si="33"/>
        <v>0</v>
      </c>
      <c r="AK75" s="317"/>
      <c r="AL75" s="315">
        <f t="shared" si="25"/>
        <v>1350.9799999999996</v>
      </c>
      <c r="AN75" s="554">
        <f t="shared" si="26"/>
        <v>0.14258559748049307</v>
      </c>
      <c r="AO75" s="314"/>
      <c r="AP75" s="318"/>
    </row>
    <row r="76" spans="2:42">
      <c r="B76" s="296" t="s">
        <v>1266</v>
      </c>
      <c r="C76" s="299" t="s">
        <v>277</v>
      </c>
      <c r="D76" s="298" t="s">
        <v>787</v>
      </c>
      <c r="E76" s="299" t="s">
        <v>113</v>
      </c>
      <c r="F76" s="299" t="s">
        <v>59</v>
      </c>
      <c r="G76" s="300">
        <v>44313</v>
      </c>
      <c r="H76" s="303">
        <v>5865.4</v>
      </c>
      <c r="I76" s="301" t="str">
        <f t="shared" si="17"/>
        <v>Ingresos Sección II LISR (SIC &amp; BMV)</v>
      </c>
      <c r="J76" s="302">
        <f t="shared" si="27"/>
        <v>26</v>
      </c>
      <c r="K76" s="304">
        <f t="shared" si="18"/>
        <v>225.59230769230768</v>
      </c>
      <c r="L76" s="305">
        <f>IF(H76=0,0,IF(OR(E76=$AT$5,E76=$AT$6),AA76,IF(F76="MXN",1/HLOOKUP(YEAR(G76)+(MONTH(G76)/100),TC!$5:$37,DAY(G76)+2,FALSE),VLOOKUP(F76,Equivalencia!$5:$23,((MAX(Equivalencia!$3:$3)-YEAR(G76))*14)+MONTH(G76)+2,FALSE))))</f>
        <v>1</v>
      </c>
      <c r="M76" s="306">
        <f t="shared" si="19"/>
        <v>5865.4</v>
      </c>
      <c r="N76" s="305">
        <f>IF(G76=0,0,(IF(OR(E76=$AT$5,E76=$AT$6),AC76,HLOOKUP(YEAR(G76)+(MONTH(G76)/100),TC!$5:$37,DAY(G76)+2,FALSE))))</f>
        <v>19.869499999999999</v>
      </c>
      <c r="O76" s="307">
        <f t="shared" si="28"/>
        <v>116542.56529999999</v>
      </c>
      <c r="P76" s="560">
        <f>IF(G76=0,0,VLOOKUP(YEAR(G76),INPC!$B$4:$P$30,MONTH(G76)+2))</f>
        <v>112.19</v>
      </c>
      <c r="Q76" s="560">
        <f>IF(X76=0,0,IF(OR(E76=$AT$10,E76=$AT$9),VLOOKUP(YEAR(X76),INPC!$B$4:$P$30,MONTH(X76)+1),VLOOKUP(YEAR(X76),INPC!$B$4:$P$30,MONTH(X76)+2,0)))</f>
        <v>120.809</v>
      </c>
      <c r="R76" s="309">
        <f t="shared" si="20"/>
        <v>1.0768</v>
      </c>
      <c r="S76" s="310">
        <f t="shared" si="29"/>
        <v>125493.03431503999</v>
      </c>
      <c r="T76" s="555">
        <f t="shared" si="30"/>
        <v>4826.6551659630768</v>
      </c>
      <c r="U76" s="311"/>
      <c r="V76" s="312">
        <v>26</v>
      </c>
      <c r="W76" s="299" t="s">
        <v>194</v>
      </c>
      <c r="X76" s="300">
        <v>44701</v>
      </c>
      <c r="Y76" s="299" t="s">
        <v>59</v>
      </c>
      <c r="Z76" s="303">
        <v>5549.54</v>
      </c>
      <c r="AA76" s="305">
        <f>IF(Z76=0,0,IF(Y76="MXN",1/HLOOKUP(YEAR(X76)+(MONTH(X76)/100),TC!$5:$37,DAY(X76)+2,FALSE),VLOOKUP(Y76,Equivalencia!$1:$23,((MAX(Equivalencia!$3:$3)-YEAR(X76))*14)+MONTH(X76)+2,FALSE)))</f>
        <v>1</v>
      </c>
      <c r="AB76" s="306">
        <f t="shared" si="31"/>
        <v>5549.54</v>
      </c>
      <c r="AC76" s="305">
        <f>+IF(X76=0,0,HLOOKUP(YEAR(X76)+(MONTH(X76)/100),TC!$5:$37,DAY(X76)+2,FALSE))</f>
        <v>19.9663</v>
      </c>
      <c r="AD76" s="307">
        <f t="shared" si="32"/>
        <v>110803.78050199999</v>
      </c>
      <c r="AE76" s="314">
        <f t="shared" si="21"/>
        <v>125493.03431504</v>
      </c>
      <c r="AF76" s="315">
        <f t="shared" si="22"/>
        <v>-14689.253813040006</v>
      </c>
      <c r="AG76" s="316">
        <f t="shared" si="23"/>
        <v>1.0630136986301371</v>
      </c>
      <c r="AH76" s="314">
        <v>1</v>
      </c>
      <c r="AI76" s="314">
        <f t="shared" si="24"/>
        <v>-14689.253813040006</v>
      </c>
      <c r="AJ76" s="314">
        <f t="shared" si="33"/>
        <v>0</v>
      </c>
      <c r="AK76" s="317"/>
      <c r="AL76" s="315">
        <f t="shared" si="25"/>
        <v>-315.85999999999967</v>
      </c>
      <c r="AN76" s="554">
        <f t="shared" si="26"/>
        <v>-5.3851399734033432E-2</v>
      </c>
      <c r="AO76" s="314"/>
      <c r="AP76" s="318"/>
    </row>
    <row r="77" spans="2:42">
      <c r="B77" s="296" t="s">
        <v>1266</v>
      </c>
      <c r="C77" s="299" t="s">
        <v>277</v>
      </c>
      <c r="D77" s="298" t="s">
        <v>787</v>
      </c>
      <c r="E77" s="299" t="s">
        <v>113</v>
      </c>
      <c r="F77" s="299" t="s">
        <v>59</v>
      </c>
      <c r="G77" s="300">
        <v>44314</v>
      </c>
      <c r="H77" s="303">
        <v>5661.6</v>
      </c>
      <c r="I77" s="301" t="str">
        <f t="shared" si="17"/>
        <v>Ingresos Sección II LISR (SIC &amp; BMV)</v>
      </c>
      <c r="J77" s="302">
        <f t="shared" si="27"/>
        <v>25</v>
      </c>
      <c r="K77" s="304">
        <f t="shared" si="18"/>
        <v>226.46400000000003</v>
      </c>
      <c r="L77" s="305">
        <f>IF(H77=0,0,IF(OR(E77=$AT$5,E77=$AT$6),AA77,IF(F77="MXN",1/HLOOKUP(YEAR(G77)+(MONTH(G77)/100),TC!$5:$37,DAY(G77)+2,FALSE),VLOOKUP(F77,Equivalencia!$5:$23,((MAX(Equivalencia!$3:$3)-YEAR(G77))*14)+MONTH(G77)+2,FALSE))))</f>
        <v>1</v>
      </c>
      <c r="M77" s="306">
        <f t="shared" si="19"/>
        <v>5661.6</v>
      </c>
      <c r="N77" s="305">
        <f>IF(G77=0,0,(IF(OR(E77=$AT$5,E77=$AT$6),AC77,HLOOKUP(YEAR(G77)+(MONTH(G77)/100),TC!$5:$37,DAY(G77)+2,FALSE))))</f>
        <v>19.836200000000002</v>
      </c>
      <c r="O77" s="307">
        <f t="shared" si="28"/>
        <v>112304.62992000002</v>
      </c>
      <c r="P77" s="560">
        <f>IF(G77=0,0,VLOOKUP(YEAR(G77),INPC!$B$4:$P$30,MONTH(G77)+2))</f>
        <v>112.19</v>
      </c>
      <c r="Q77" s="560">
        <f>IF(X77=0,0,IF(OR(E77=$AT$10,E77=$AT$9),VLOOKUP(YEAR(X77),INPC!$B$4:$P$30,MONTH(X77)+1),VLOOKUP(YEAR(X77),INPC!$B$4:$P$30,MONTH(X77)+2,0)))</f>
        <v>120.809</v>
      </c>
      <c r="R77" s="309">
        <f t="shared" si="20"/>
        <v>1.0768</v>
      </c>
      <c r="S77" s="310">
        <f t="shared" si="29"/>
        <v>120929.62549785602</v>
      </c>
      <c r="T77" s="555">
        <f t="shared" si="30"/>
        <v>4837.1850199142409</v>
      </c>
      <c r="U77" s="311"/>
      <c r="V77" s="312">
        <v>25</v>
      </c>
      <c r="W77" s="299" t="s">
        <v>194</v>
      </c>
      <c r="X77" s="300">
        <v>44701</v>
      </c>
      <c r="Y77" s="299" t="s">
        <v>59</v>
      </c>
      <c r="Z77" s="303">
        <v>5336.09</v>
      </c>
      <c r="AA77" s="305">
        <f>IF(Z77=0,0,IF(Y77="MXN",1/HLOOKUP(YEAR(X77)+(MONTH(X77)/100),TC!$5:$37,DAY(X77)+2,FALSE),VLOOKUP(Y77,Equivalencia!$1:$23,((MAX(Equivalencia!$3:$3)-YEAR(X77))*14)+MONTH(X77)+2,FALSE)))</f>
        <v>1</v>
      </c>
      <c r="AB77" s="306">
        <f t="shared" si="31"/>
        <v>5336.09</v>
      </c>
      <c r="AC77" s="305">
        <f>+IF(X77=0,0,HLOOKUP(YEAR(X77)+(MONTH(X77)/100),TC!$5:$37,DAY(X77)+2,FALSE))</f>
        <v>19.9663</v>
      </c>
      <c r="AD77" s="307">
        <f t="shared" si="32"/>
        <v>106541.973767</v>
      </c>
      <c r="AE77" s="314">
        <f t="shared" si="21"/>
        <v>120929.62549785602</v>
      </c>
      <c r="AF77" s="315">
        <f t="shared" si="22"/>
        <v>-14387.651730856014</v>
      </c>
      <c r="AG77" s="316">
        <f t="shared" si="23"/>
        <v>1.0602739726027397</v>
      </c>
      <c r="AH77" s="314">
        <v>1</v>
      </c>
      <c r="AI77" s="314">
        <f t="shared" si="24"/>
        <v>-14387.651730856014</v>
      </c>
      <c r="AJ77" s="314">
        <f t="shared" si="33"/>
        <v>0</v>
      </c>
      <c r="AK77" s="317"/>
      <c r="AL77" s="315">
        <f t="shared" si="25"/>
        <v>-325.51000000000022</v>
      </c>
      <c r="AN77" s="554">
        <f t="shared" si="26"/>
        <v>-5.7494347887522994E-2</v>
      </c>
      <c r="AO77" s="314"/>
      <c r="AP77" s="318"/>
    </row>
    <row r="78" spans="2:42">
      <c r="B78" s="296" t="s">
        <v>1266</v>
      </c>
      <c r="C78" s="299" t="s">
        <v>277</v>
      </c>
      <c r="D78" s="298" t="s">
        <v>830</v>
      </c>
      <c r="E78" s="299" t="s">
        <v>113</v>
      </c>
      <c r="F78" s="299" t="s">
        <v>59</v>
      </c>
      <c r="G78" s="300">
        <v>44365</v>
      </c>
      <c r="H78" s="303">
        <v>11294.47</v>
      </c>
      <c r="I78" s="301" t="str">
        <f t="shared" si="17"/>
        <v>Ingresos Sección II LISR (SIC &amp; BMV)</v>
      </c>
      <c r="J78" s="302">
        <f t="shared" si="27"/>
        <v>57</v>
      </c>
      <c r="K78" s="304">
        <f t="shared" si="18"/>
        <v>198.14859649122806</v>
      </c>
      <c r="L78" s="305">
        <f>IF(H78=0,0,IF(OR(E78=$AT$5,E78=$AT$6),AA78,IF(F78="MXN",1/HLOOKUP(YEAR(G78)+(MONTH(G78)/100),TC!$5:$37,DAY(G78)+2,FALSE),VLOOKUP(F78,Equivalencia!$5:$23,((MAX(Equivalencia!$3:$3)-YEAR(G78))*14)+MONTH(G78)+2,FALSE))))</f>
        <v>1</v>
      </c>
      <c r="M78" s="306">
        <f t="shared" si="19"/>
        <v>11294.47</v>
      </c>
      <c r="N78" s="305">
        <f>IF(G78=0,0,(IF(OR(E78=$AT$5,E78=$AT$6),AC78,HLOOKUP(YEAR(G78)+(MONTH(G78)/100),TC!$5:$37,DAY(G78)+2,FALSE))))</f>
        <v>20.058800000000002</v>
      </c>
      <c r="O78" s="307">
        <f t="shared" si="28"/>
        <v>226553.51483600002</v>
      </c>
      <c r="P78" s="560">
        <f>IF(G78=0,0,VLOOKUP(YEAR(G78),INPC!$B$4:$P$30,MONTH(G78)+2))</f>
        <v>113.018</v>
      </c>
      <c r="Q78" s="560">
        <f>IF(X78=0,0,IF(OR(E78=$AT$10,E78=$AT$9),VLOOKUP(YEAR(X78),INPC!$B$4:$P$30,MONTH(X78)+1),VLOOKUP(YEAR(X78),INPC!$B$4:$P$30,MONTH(X78)+2,0)))</f>
        <v>118.002</v>
      </c>
      <c r="R78" s="309">
        <f t="shared" si="20"/>
        <v>1.044</v>
      </c>
      <c r="S78" s="310">
        <f t="shared" si="29"/>
        <v>236521.86948878402</v>
      </c>
      <c r="T78" s="555">
        <f t="shared" si="30"/>
        <v>4149.5064822593686</v>
      </c>
      <c r="U78" s="311"/>
      <c r="V78" s="312">
        <v>57</v>
      </c>
      <c r="W78" s="299" t="s">
        <v>194</v>
      </c>
      <c r="X78" s="300">
        <v>44594</v>
      </c>
      <c r="Y78" s="299" t="s">
        <v>59</v>
      </c>
      <c r="Z78" s="303">
        <v>13064.05</v>
      </c>
      <c r="AA78" s="305">
        <f>IF(Z78=0,0,IF(Y78="MXN",1/HLOOKUP(YEAR(X78)+(MONTH(X78)/100),TC!$5:$37,DAY(X78)+2,FALSE),VLOOKUP(Y78,Equivalencia!$1:$23,((MAX(Equivalencia!$3:$3)-YEAR(X78))*14)+MONTH(X78)+2,FALSE)))</f>
        <v>1</v>
      </c>
      <c r="AB78" s="306">
        <f t="shared" si="31"/>
        <v>13064.05</v>
      </c>
      <c r="AC78" s="305">
        <f>+IF(X78=0,0,HLOOKUP(YEAR(X78)+(MONTH(X78)/100),TC!$5:$37,DAY(X78)+2,FALSE))</f>
        <v>20.635200000000001</v>
      </c>
      <c r="AD78" s="307">
        <f t="shared" si="32"/>
        <v>269579.28456</v>
      </c>
      <c r="AE78" s="314">
        <f t="shared" si="21"/>
        <v>236521.869488784</v>
      </c>
      <c r="AF78" s="315">
        <f t="shared" si="22"/>
        <v>33057.415071216004</v>
      </c>
      <c r="AG78" s="316">
        <f t="shared" si="23"/>
        <v>0.62739726027397258</v>
      </c>
      <c r="AH78" s="314">
        <v>1</v>
      </c>
      <c r="AI78" s="314">
        <f t="shared" si="24"/>
        <v>33057.415071216004</v>
      </c>
      <c r="AJ78" s="314">
        <f t="shared" si="33"/>
        <v>0</v>
      </c>
      <c r="AK78" s="317"/>
      <c r="AL78" s="315">
        <f t="shared" si="25"/>
        <v>1769.58</v>
      </c>
      <c r="AN78" s="554">
        <f t="shared" si="26"/>
        <v>0.15667667451416489</v>
      </c>
      <c r="AO78" s="314"/>
      <c r="AP78" s="318"/>
    </row>
    <row r="79" spans="2:42">
      <c r="B79" s="296" t="s">
        <v>1266</v>
      </c>
      <c r="C79" s="299" t="s">
        <v>277</v>
      </c>
      <c r="D79" s="298" t="s">
        <v>774</v>
      </c>
      <c r="E79" s="299" t="s">
        <v>113</v>
      </c>
      <c r="F79" s="299" t="s">
        <v>59</v>
      </c>
      <c r="G79" s="300">
        <v>43315</v>
      </c>
      <c r="H79" s="303">
        <v>11502</v>
      </c>
      <c r="I79" s="301" t="str">
        <f t="shared" si="17"/>
        <v>Ingresos Sección II LISR (SIC &amp; BMV)</v>
      </c>
      <c r="J79" s="302">
        <f t="shared" si="27"/>
        <v>45</v>
      </c>
      <c r="K79" s="304">
        <f t="shared" si="18"/>
        <v>255.6</v>
      </c>
      <c r="L79" s="305">
        <f>IF(H79=0,0,IF(OR(E79=$AT$5,E79=$AT$6),AA79,IF(F79="MXN",1/HLOOKUP(YEAR(G79)+(MONTH(G79)/100),TC!$5:$37,DAY(G79)+2,FALSE),VLOOKUP(F79,Equivalencia!$5:$23,((MAX(Equivalencia!$3:$3)-YEAR(G79))*14)+MONTH(G79)+2,FALSE))))</f>
        <v>1</v>
      </c>
      <c r="M79" s="306">
        <f t="shared" si="19"/>
        <v>11502</v>
      </c>
      <c r="N79" s="305">
        <f>IF(G79=0,0,(IF(OR(E79=$AT$5,E79=$AT$6),AC79,HLOOKUP(YEAR(G79)+(MONTH(G79)/100),TC!$5:$37,DAY(G79)+2,FALSE))))</f>
        <v>18.5899</v>
      </c>
      <c r="O79" s="307">
        <f t="shared" si="28"/>
        <v>213821.02979999999</v>
      </c>
      <c r="P79" s="560">
        <f>IF(G79=0,0,VLOOKUP(YEAR(G79),INPC!$B$4:$P$30,MONTH(G79)+2))</f>
        <v>100.492</v>
      </c>
      <c r="Q79" s="560">
        <f>IF(X79=0,0,IF(OR(E79=$AT$10,E79=$AT$9),VLOOKUP(YEAR(X79),INPC!$B$4:$P$30,MONTH(X79)+1),VLOOKUP(YEAR(X79),INPC!$B$4:$P$30,MONTH(X79)+2,0)))</f>
        <v>118.98099999999999</v>
      </c>
      <c r="R79" s="309">
        <f t="shared" si="20"/>
        <v>1.1839</v>
      </c>
      <c r="S79" s="310">
        <f t="shared" si="29"/>
        <v>253142.71718021997</v>
      </c>
      <c r="T79" s="555">
        <f t="shared" si="30"/>
        <v>5625.3937151159998</v>
      </c>
      <c r="U79" s="311"/>
      <c r="V79" s="312">
        <v>45</v>
      </c>
      <c r="W79" s="299" t="s">
        <v>194</v>
      </c>
      <c r="X79" s="300">
        <v>44648</v>
      </c>
      <c r="Y79" s="299" t="s">
        <v>59</v>
      </c>
      <c r="Z79" s="303">
        <v>22989.07</v>
      </c>
      <c r="AA79" s="305">
        <f>IF(Z79=0,0,IF(Y79="MXN",1/HLOOKUP(YEAR(X79)+(MONTH(X79)/100),TC!$5:$37,DAY(X79)+2,FALSE),VLOOKUP(Y79,Equivalencia!$1:$23,((MAX(Equivalencia!$3:$3)-YEAR(X79))*14)+MONTH(X79)+2,FALSE)))</f>
        <v>1</v>
      </c>
      <c r="AB79" s="306">
        <f t="shared" si="31"/>
        <v>22989.07</v>
      </c>
      <c r="AC79" s="305">
        <f>+IF(X79=0,0,HLOOKUP(YEAR(X79)+(MONTH(X79)/100),TC!$5:$37,DAY(X79)+2,FALSE))</f>
        <v>20.1313</v>
      </c>
      <c r="AD79" s="307">
        <f t="shared" si="32"/>
        <v>462799.86489099998</v>
      </c>
      <c r="AE79" s="314">
        <f t="shared" si="21"/>
        <v>253142.71718022</v>
      </c>
      <c r="AF79" s="315">
        <f t="shared" si="22"/>
        <v>209657.14771077997</v>
      </c>
      <c r="AG79" s="316">
        <f t="shared" si="23"/>
        <v>3.6520547945205482</v>
      </c>
      <c r="AH79" s="314">
        <v>1</v>
      </c>
      <c r="AI79" s="314">
        <f t="shared" si="24"/>
        <v>209657.14771077997</v>
      </c>
      <c r="AJ79" s="314">
        <f t="shared" si="33"/>
        <v>0</v>
      </c>
      <c r="AK79" s="317"/>
      <c r="AL79" s="315">
        <f t="shared" si="25"/>
        <v>11487.07</v>
      </c>
      <c r="AN79" s="554">
        <f t="shared" si="26"/>
        <v>0.99870196487567375</v>
      </c>
      <c r="AO79" s="314"/>
      <c r="AP79" s="318"/>
    </row>
    <row r="80" spans="2:42">
      <c r="B80" s="296" t="s">
        <v>1266</v>
      </c>
      <c r="C80" s="299" t="s">
        <v>277</v>
      </c>
      <c r="D80" s="298" t="s">
        <v>774</v>
      </c>
      <c r="E80" s="299" t="s">
        <v>113</v>
      </c>
      <c r="F80" s="299" t="s">
        <v>59</v>
      </c>
      <c r="G80" s="300">
        <v>43315</v>
      </c>
      <c r="H80" s="303">
        <v>7156.8</v>
      </c>
      <c r="I80" s="301" t="str">
        <f t="shared" si="17"/>
        <v>Ingresos Sección II LISR (SIC &amp; BMV)</v>
      </c>
      <c r="J80" s="302">
        <f t="shared" si="27"/>
        <v>28</v>
      </c>
      <c r="K80" s="304">
        <f t="shared" si="18"/>
        <v>255.6</v>
      </c>
      <c r="L80" s="305">
        <f>IF(H80=0,0,IF(OR(E80=$AT$5,E80=$AT$6),AA80,IF(F80="MXN",1/HLOOKUP(YEAR(G80)+(MONTH(G80)/100),TC!$5:$37,DAY(G80)+2,FALSE),VLOOKUP(F80,Equivalencia!$5:$23,((MAX(Equivalencia!$3:$3)-YEAR(G80))*14)+MONTH(G80)+2,FALSE))))</f>
        <v>1</v>
      </c>
      <c r="M80" s="306">
        <f t="shared" si="19"/>
        <v>7156.8</v>
      </c>
      <c r="N80" s="305">
        <f>IF(G80=0,0,(IF(OR(E80=$AT$5,E80=$AT$6),AC80,HLOOKUP(YEAR(G80)+(MONTH(G80)/100),TC!$5:$37,DAY(G80)+2,FALSE))))</f>
        <v>18.5899</v>
      </c>
      <c r="O80" s="307">
        <f t="shared" si="28"/>
        <v>133044.19632000002</v>
      </c>
      <c r="P80" s="560">
        <f>IF(G80=0,0,VLOOKUP(YEAR(G80),INPC!$B$4:$P$30,MONTH(G80)+2))</f>
        <v>100.492</v>
      </c>
      <c r="Q80" s="560">
        <f>IF(X80=0,0,IF(OR(E80=$AT$10,E80=$AT$9),VLOOKUP(YEAR(X80),INPC!$B$4:$P$30,MONTH(X80)+1),VLOOKUP(YEAR(X80),INPC!$B$4:$P$30,MONTH(X80)+2,0)))</f>
        <v>118.98099999999999</v>
      </c>
      <c r="R80" s="309">
        <f t="shared" si="20"/>
        <v>1.1839</v>
      </c>
      <c r="S80" s="310">
        <f t="shared" si="29"/>
        <v>157511.02402324803</v>
      </c>
      <c r="T80" s="555">
        <f t="shared" si="30"/>
        <v>5625.3937151160007</v>
      </c>
      <c r="U80" s="311"/>
      <c r="V80" s="312">
        <v>28</v>
      </c>
      <c r="W80" s="299" t="s">
        <v>194</v>
      </c>
      <c r="X80" s="300">
        <v>44628</v>
      </c>
      <c r="Y80" s="299" t="s">
        <v>59</v>
      </c>
      <c r="Z80" s="303">
        <v>13355.47</v>
      </c>
      <c r="AA80" s="305">
        <f>IF(Z80=0,0,IF(Y80="MXN",1/HLOOKUP(YEAR(X80)+(MONTH(X80)/100),TC!$5:$37,DAY(X80)+2,FALSE),VLOOKUP(Y80,Equivalencia!$1:$23,((MAX(Equivalencia!$3:$3)-YEAR(X80))*14)+MONTH(X80)+2,FALSE)))</f>
        <v>1</v>
      </c>
      <c r="AB80" s="306">
        <f t="shared" si="31"/>
        <v>13355.47</v>
      </c>
      <c r="AC80" s="305">
        <f>+IF(X80=0,0,HLOOKUP(YEAR(X80)+(MONTH(X80)/100),TC!$5:$37,DAY(X80)+2,FALSE))</f>
        <v>20.926200000000001</v>
      </c>
      <c r="AD80" s="307">
        <f t="shared" si="32"/>
        <v>279479.23631399998</v>
      </c>
      <c r="AE80" s="314">
        <f t="shared" si="21"/>
        <v>157511.02402324803</v>
      </c>
      <c r="AF80" s="315">
        <f t="shared" si="22"/>
        <v>121968.21229075195</v>
      </c>
      <c r="AG80" s="316">
        <f t="shared" si="23"/>
        <v>3.5972602739726027</v>
      </c>
      <c r="AH80" s="314">
        <v>1</v>
      </c>
      <c r="AI80" s="314">
        <f t="shared" si="24"/>
        <v>121968.21229075195</v>
      </c>
      <c r="AJ80" s="314">
        <f t="shared" si="33"/>
        <v>0</v>
      </c>
      <c r="AK80" s="317"/>
      <c r="AL80" s="315">
        <f t="shared" si="25"/>
        <v>6198.6699999999992</v>
      </c>
      <c r="AN80" s="554">
        <f t="shared" si="26"/>
        <v>0.86612312765481769</v>
      </c>
      <c r="AO80" s="314"/>
      <c r="AP80" s="318"/>
    </row>
    <row r="81" spans="2:42">
      <c r="B81" s="296" t="s">
        <v>1266</v>
      </c>
      <c r="C81" s="299" t="s">
        <v>277</v>
      </c>
      <c r="D81" s="298" t="s">
        <v>774</v>
      </c>
      <c r="E81" s="299" t="s">
        <v>113</v>
      </c>
      <c r="F81" s="299" t="s">
        <v>59</v>
      </c>
      <c r="G81" s="300">
        <v>43934</v>
      </c>
      <c r="H81" s="303">
        <v>13054.57</v>
      </c>
      <c r="I81" s="301" t="str">
        <f t="shared" si="17"/>
        <v>Ingresos Sección II LISR (SIC &amp; BMV)</v>
      </c>
      <c r="J81" s="302">
        <f t="shared" si="27"/>
        <v>50</v>
      </c>
      <c r="K81" s="304">
        <f t="shared" si="18"/>
        <v>261.09140000000002</v>
      </c>
      <c r="L81" s="305">
        <f>IF(H81=0,0,IF(OR(E81=$AT$5,E81=$AT$6),AA81,IF(F81="MXN",1/HLOOKUP(YEAR(G81)+(MONTH(G81)/100),TC!$5:$37,DAY(G81)+2,FALSE),VLOOKUP(F81,Equivalencia!$5:$23,((MAX(Equivalencia!$3:$3)-YEAR(G81))*14)+MONTH(G81)+2,FALSE))))</f>
        <v>1</v>
      </c>
      <c r="M81" s="306">
        <f t="shared" si="19"/>
        <v>13054.57</v>
      </c>
      <c r="N81" s="305">
        <f>IF(G81=0,0,(IF(OR(E81=$AT$5,E81=$AT$6),AC81,HLOOKUP(YEAR(G81)+(MONTH(G81)/100),TC!$5:$37,DAY(G81)+2,FALSE))))</f>
        <v>24.038799999999998</v>
      </c>
      <c r="O81" s="307">
        <f t="shared" si="28"/>
        <v>313816.19731599995</v>
      </c>
      <c r="P81" s="560">
        <f>IF(G81=0,0,VLOOKUP(YEAR(G81),INPC!$B$4:$P$30,MONTH(G81)+2))</f>
        <v>105.755</v>
      </c>
      <c r="Q81" s="560">
        <f>IF(X81=0,0,IF(OR(E81=$AT$10,E81=$AT$9),VLOOKUP(YEAR(X81),INPC!$B$4:$P$30,MONTH(X81)+1),VLOOKUP(YEAR(X81),INPC!$B$4:$P$30,MONTH(X81)+2,0)))</f>
        <v>118.98099999999999</v>
      </c>
      <c r="R81" s="309">
        <f t="shared" si="20"/>
        <v>1.125</v>
      </c>
      <c r="S81" s="310">
        <f t="shared" si="29"/>
        <v>353043.22198049992</v>
      </c>
      <c r="T81" s="555">
        <f t="shared" si="30"/>
        <v>7060.864439609998</v>
      </c>
      <c r="U81" s="311"/>
      <c r="V81" s="312">
        <v>50</v>
      </c>
      <c r="W81" s="299" t="s">
        <v>194</v>
      </c>
      <c r="X81" s="300">
        <v>44649</v>
      </c>
      <c r="Y81" s="299" t="s">
        <v>59</v>
      </c>
      <c r="Z81" s="303">
        <v>25642.39</v>
      </c>
      <c r="AA81" s="305">
        <f>IF(Z81=0,0,IF(Y81="MXN",1/HLOOKUP(YEAR(X81)+(MONTH(X81)/100),TC!$5:$37,DAY(X81)+2,FALSE),VLOOKUP(Y81,Equivalencia!$1:$23,((MAX(Equivalencia!$3:$3)-YEAR(X81))*14)+MONTH(X81)+2,FALSE)))</f>
        <v>1</v>
      </c>
      <c r="AB81" s="306">
        <f t="shared" si="31"/>
        <v>25642.39</v>
      </c>
      <c r="AC81" s="305">
        <f>+IF(X81=0,0,HLOOKUP(YEAR(X81)+(MONTH(X81)/100),TC!$5:$37,DAY(X81)+2,FALSE))</f>
        <v>19.957699999999999</v>
      </c>
      <c r="AD81" s="307">
        <f t="shared" si="32"/>
        <v>511763.12690299994</v>
      </c>
      <c r="AE81" s="314">
        <f t="shared" si="21"/>
        <v>353043.22198049992</v>
      </c>
      <c r="AF81" s="315">
        <f t="shared" si="22"/>
        <v>158719.90492250002</v>
      </c>
      <c r="AG81" s="316">
        <f t="shared" si="23"/>
        <v>1.9589041095890412</v>
      </c>
      <c r="AH81" s="314">
        <v>1</v>
      </c>
      <c r="AI81" s="314">
        <f t="shared" si="24"/>
        <v>158719.90492250002</v>
      </c>
      <c r="AJ81" s="314">
        <f t="shared" si="33"/>
        <v>0</v>
      </c>
      <c r="AK81" s="317"/>
      <c r="AL81" s="315">
        <f t="shared" si="25"/>
        <v>12587.82</v>
      </c>
      <c r="AN81" s="554">
        <f t="shared" si="26"/>
        <v>0.96424623714147617</v>
      </c>
      <c r="AO81" s="314"/>
      <c r="AP81" s="318"/>
    </row>
    <row r="82" spans="2:42">
      <c r="B82" s="296" t="s">
        <v>1266</v>
      </c>
      <c r="C82" s="299" t="s">
        <v>277</v>
      </c>
      <c r="D82" s="298" t="s">
        <v>774</v>
      </c>
      <c r="E82" s="299" t="s">
        <v>113</v>
      </c>
      <c r="F82" s="299" t="s">
        <v>59</v>
      </c>
      <c r="G82" s="300">
        <v>43934</v>
      </c>
      <c r="H82" s="303">
        <v>2088.73</v>
      </c>
      <c r="I82" s="301" t="str">
        <f t="shared" si="17"/>
        <v>Ingresos Sección II LISR (SIC &amp; BMV)</v>
      </c>
      <c r="J82" s="302">
        <f t="shared" si="27"/>
        <v>8</v>
      </c>
      <c r="K82" s="304">
        <f t="shared" si="18"/>
        <v>261.09125</v>
      </c>
      <c r="L82" s="305">
        <f>IF(H82=0,0,IF(OR(E82=$AT$5,E82=$AT$6),AA82,IF(F82="MXN",1/HLOOKUP(YEAR(G82)+(MONTH(G82)/100),TC!$5:$37,DAY(G82)+2,FALSE),VLOOKUP(F82,Equivalencia!$5:$23,((MAX(Equivalencia!$3:$3)-YEAR(G82))*14)+MONTH(G82)+2,FALSE))))</f>
        <v>1</v>
      </c>
      <c r="M82" s="306">
        <f t="shared" si="19"/>
        <v>2088.73</v>
      </c>
      <c r="N82" s="305">
        <f>IF(G82=0,0,(IF(OR(E82=$AT$5,E82=$AT$6),AC82,HLOOKUP(YEAR(G82)+(MONTH(G82)/100),TC!$5:$37,DAY(G82)+2,FALSE))))</f>
        <v>24.038799999999998</v>
      </c>
      <c r="O82" s="307">
        <f t="shared" si="28"/>
        <v>50210.562723999996</v>
      </c>
      <c r="P82" s="560">
        <f>IF(G82=0,0,VLOOKUP(YEAR(G82),INPC!$B$4:$P$30,MONTH(G82)+2))</f>
        <v>105.755</v>
      </c>
      <c r="Q82" s="560">
        <f>IF(X82=0,0,IF(OR(E82=$AT$10,E82=$AT$9),VLOOKUP(YEAR(X82),INPC!$B$4:$P$30,MONTH(X82)+1),VLOOKUP(YEAR(X82),INPC!$B$4:$P$30,MONTH(X82)+2,0)))</f>
        <v>118.98099999999999</v>
      </c>
      <c r="R82" s="309">
        <f t="shared" si="20"/>
        <v>1.125</v>
      </c>
      <c r="S82" s="310">
        <f t="shared" si="29"/>
        <v>56486.883064499998</v>
      </c>
      <c r="T82" s="555">
        <f t="shared" si="30"/>
        <v>7060.8603830624997</v>
      </c>
      <c r="U82" s="311"/>
      <c r="V82" s="312">
        <v>8</v>
      </c>
      <c r="W82" s="299" t="s">
        <v>194</v>
      </c>
      <c r="X82" s="300">
        <v>44648</v>
      </c>
      <c r="Y82" s="299" t="s">
        <v>59</v>
      </c>
      <c r="Z82" s="303">
        <v>4086.95</v>
      </c>
      <c r="AA82" s="305">
        <f>IF(Z82=0,0,IF(Y82="MXN",1/HLOOKUP(YEAR(X82)+(MONTH(X82)/100),TC!$5:$37,DAY(X82)+2,FALSE),VLOOKUP(Y82,Equivalencia!$1:$23,((MAX(Equivalencia!$3:$3)-YEAR(X82))*14)+MONTH(X82)+2,FALSE)))</f>
        <v>1</v>
      </c>
      <c r="AB82" s="306">
        <f t="shared" si="31"/>
        <v>4086.95</v>
      </c>
      <c r="AC82" s="305">
        <f>+IF(X82=0,0,HLOOKUP(YEAR(X82)+(MONTH(X82)/100),TC!$5:$37,DAY(X82)+2,FALSE))</f>
        <v>20.1313</v>
      </c>
      <c r="AD82" s="307">
        <f t="shared" si="32"/>
        <v>82275.616534999994</v>
      </c>
      <c r="AE82" s="314">
        <f t="shared" si="21"/>
        <v>56486.883064499998</v>
      </c>
      <c r="AF82" s="315">
        <f t="shared" si="22"/>
        <v>25788.733470499996</v>
      </c>
      <c r="AG82" s="316">
        <f t="shared" si="23"/>
        <v>1.9561643835616438</v>
      </c>
      <c r="AH82" s="314">
        <v>1</v>
      </c>
      <c r="AI82" s="314">
        <f t="shared" si="24"/>
        <v>25788.733470499996</v>
      </c>
      <c r="AJ82" s="314">
        <f t="shared" si="33"/>
        <v>0</v>
      </c>
      <c r="AK82" s="317"/>
      <c r="AL82" s="315">
        <f t="shared" si="25"/>
        <v>1998.2199999999998</v>
      </c>
      <c r="AN82" s="554">
        <f t="shared" si="26"/>
        <v>0.95666744864104014</v>
      </c>
      <c r="AO82" s="314"/>
      <c r="AP82" s="318"/>
    </row>
    <row r="83" spans="2:42">
      <c r="B83" s="296" t="s">
        <v>1266</v>
      </c>
      <c r="C83" s="299" t="s">
        <v>277</v>
      </c>
      <c r="D83" s="298" t="s">
        <v>834</v>
      </c>
      <c r="E83" s="299" t="s">
        <v>113</v>
      </c>
      <c r="F83" s="299" t="s">
        <v>59</v>
      </c>
      <c r="G83" s="300">
        <v>44365</v>
      </c>
      <c r="H83" s="303">
        <v>473.29</v>
      </c>
      <c r="I83" s="301" t="str">
        <f t="shared" si="17"/>
        <v>Ingresos Sección II LISR (SIC &amp; BMV)</v>
      </c>
      <c r="J83" s="302">
        <f t="shared" si="27"/>
        <v>17</v>
      </c>
      <c r="K83" s="304">
        <f t="shared" si="18"/>
        <v>27.840588235294121</v>
      </c>
      <c r="L83" s="305">
        <f>IF(H83=0,0,IF(OR(E83=$AT$5,E83=$AT$6),AA83,IF(F83="MXN",1/HLOOKUP(YEAR(G83)+(MONTH(G83)/100),TC!$5:$37,DAY(G83)+2,FALSE),VLOOKUP(F83,Equivalencia!$5:$23,((MAX(Equivalencia!$3:$3)-YEAR(G83))*14)+MONTH(G83)+2,FALSE))))</f>
        <v>1</v>
      </c>
      <c r="M83" s="306">
        <f t="shared" si="19"/>
        <v>473.29</v>
      </c>
      <c r="N83" s="305">
        <f>IF(G83=0,0,(IF(OR(E83=$AT$5,E83=$AT$6),AC83,HLOOKUP(YEAR(G83)+(MONTH(G83)/100),TC!$5:$37,DAY(G83)+2,FALSE))))</f>
        <v>20.058800000000002</v>
      </c>
      <c r="O83" s="307">
        <f t="shared" si="28"/>
        <v>9493.629452000001</v>
      </c>
      <c r="P83" s="560">
        <f>IF(G83=0,0,VLOOKUP(YEAR(G83),INPC!$B$4:$P$30,MONTH(G83)+2))</f>
        <v>113.018</v>
      </c>
      <c r="Q83" s="560">
        <f>IF(X83=0,0,IF(OR(E83=$AT$10,E83=$AT$9),VLOOKUP(YEAR(X83),INPC!$B$4:$P$30,MONTH(X83)+1),VLOOKUP(YEAR(X83),INPC!$B$4:$P$30,MONTH(X83)+2,0)))</f>
        <v>120.15900000000001</v>
      </c>
      <c r="R83" s="309">
        <f t="shared" si="20"/>
        <v>1.0630999999999999</v>
      </c>
      <c r="S83" s="310">
        <f t="shared" si="29"/>
        <v>10092.6774704212</v>
      </c>
      <c r="T83" s="555">
        <f t="shared" si="30"/>
        <v>593.68691002477647</v>
      </c>
      <c r="U83" s="311"/>
      <c r="V83" s="312">
        <v>17</v>
      </c>
      <c r="W83" s="299" t="s">
        <v>194</v>
      </c>
      <c r="X83" s="300">
        <v>44655</v>
      </c>
      <c r="Y83" s="299" t="s">
        <v>59</v>
      </c>
      <c r="Z83" s="303">
        <v>520.14</v>
      </c>
      <c r="AA83" s="305">
        <f>IF(Z83=0,0,IF(Y83="MXN",1/HLOOKUP(YEAR(X83)+(MONTH(X83)/100),TC!$5:$37,DAY(X83)+2,FALSE),VLOOKUP(Y83,Equivalencia!$1:$23,((MAX(Equivalencia!$3:$3)-YEAR(X83))*14)+MONTH(X83)+2,FALSE)))</f>
        <v>1</v>
      </c>
      <c r="AB83" s="306">
        <f t="shared" si="31"/>
        <v>520.14</v>
      </c>
      <c r="AC83" s="305">
        <f>+IF(X83=0,0,HLOOKUP(YEAR(X83)+(MONTH(X83)/100),TC!$5:$37,DAY(X83)+2,FALSE))</f>
        <v>19.911200000000001</v>
      </c>
      <c r="AD83" s="307">
        <f t="shared" si="32"/>
        <v>10356.611568</v>
      </c>
      <c r="AE83" s="314">
        <f t="shared" si="21"/>
        <v>10092.6774704212</v>
      </c>
      <c r="AF83" s="315">
        <f t="shared" si="22"/>
        <v>263.93409757879999</v>
      </c>
      <c r="AG83" s="316">
        <f t="shared" si="23"/>
        <v>0.79452054794520544</v>
      </c>
      <c r="AH83" s="314">
        <v>1</v>
      </c>
      <c r="AI83" s="314">
        <f t="shared" si="24"/>
        <v>263.93409757879999</v>
      </c>
      <c r="AJ83" s="314">
        <f t="shared" si="33"/>
        <v>0</v>
      </c>
      <c r="AK83" s="317"/>
      <c r="AL83" s="315">
        <f t="shared" si="25"/>
        <v>46.849999999999966</v>
      </c>
      <c r="AN83" s="554">
        <f t="shared" si="26"/>
        <v>9.8987935515223155E-2</v>
      </c>
      <c r="AO83" s="314"/>
      <c r="AP83" s="318"/>
    </row>
    <row r="84" spans="2:42">
      <c r="B84" s="296" t="s">
        <v>1266</v>
      </c>
      <c r="C84" s="299" t="s">
        <v>277</v>
      </c>
      <c r="D84" s="298" t="s">
        <v>838</v>
      </c>
      <c r="E84" s="299" t="s">
        <v>113</v>
      </c>
      <c r="F84" s="299" t="s">
        <v>59</v>
      </c>
      <c r="G84" s="300">
        <v>43315</v>
      </c>
      <c r="H84" s="303">
        <v>2480.67</v>
      </c>
      <c r="I84" s="301" t="str">
        <f t="shared" si="17"/>
        <v>Ingresos Sección II LISR (SIC &amp; BMV)</v>
      </c>
      <c r="J84" s="302">
        <f t="shared" si="27"/>
        <v>2</v>
      </c>
      <c r="K84" s="304">
        <f t="shared" si="18"/>
        <v>1240.335</v>
      </c>
      <c r="L84" s="305">
        <f>IF(H84=0,0,IF(OR(E84=$AT$5,E84=$AT$6),AA84,IF(F84="MXN",1/HLOOKUP(YEAR(G84)+(MONTH(G84)/100),TC!$5:$37,DAY(G84)+2,FALSE),VLOOKUP(F84,Equivalencia!$5:$23,((MAX(Equivalencia!$3:$3)-YEAR(G84))*14)+MONTH(G84)+2,FALSE))))</f>
        <v>1</v>
      </c>
      <c r="M84" s="306">
        <f t="shared" si="19"/>
        <v>2480.67</v>
      </c>
      <c r="N84" s="305">
        <f>IF(G84=0,0,(IF(OR(E84=$AT$5,E84=$AT$6),AC84,HLOOKUP(YEAR(G84)+(MONTH(G84)/100),TC!$5:$37,DAY(G84)+2,FALSE))))</f>
        <v>18.5899</v>
      </c>
      <c r="O84" s="307">
        <f t="shared" si="28"/>
        <v>46115.407232999998</v>
      </c>
      <c r="P84" s="560">
        <f>IF(G84=0,0,VLOOKUP(YEAR(G84),INPC!$B$4:$P$30,MONTH(G84)+2))</f>
        <v>100.492</v>
      </c>
      <c r="Q84" s="560">
        <f>IF(X84=0,0,IF(OR(E84=$AT$10,E84=$AT$9),VLOOKUP(YEAR(X84),INPC!$B$4:$P$30,MONTH(X84)+1),VLOOKUP(YEAR(X84),INPC!$B$4:$P$30,MONTH(X84)+2,0)))</f>
        <v>121.02200000000001</v>
      </c>
      <c r="R84" s="309">
        <f t="shared" si="20"/>
        <v>1.2041999999999999</v>
      </c>
      <c r="S84" s="310">
        <f t="shared" si="29"/>
        <v>55532.173389978598</v>
      </c>
      <c r="T84" s="555">
        <f t="shared" si="30"/>
        <v>27766.086694989299</v>
      </c>
      <c r="U84" s="311"/>
      <c r="V84" s="312">
        <v>2</v>
      </c>
      <c r="W84" s="299" t="s">
        <v>194</v>
      </c>
      <c r="X84" s="300">
        <v>44722</v>
      </c>
      <c r="Y84" s="299" t="s">
        <v>59</v>
      </c>
      <c r="Z84" s="303">
        <v>4494.8</v>
      </c>
      <c r="AA84" s="305">
        <f>IF(Z84=0,0,IF(Y84="MXN",1/HLOOKUP(YEAR(X84)+(MONTH(X84)/100),TC!$5:$37,DAY(X84)+2,FALSE),VLOOKUP(Y84,Equivalencia!$1:$23,((MAX(Equivalencia!$3:$3)-YEAR(X84))*14)+MONTH(X84)+2,FALSE)))</f>
        <v>1</v>
      </c>
      <c r="AB84" s="306">
        <f t="shared" si="31"/>
        <v>4494.8</v>
      </c>
      <c r="AC84" s="305">
        <f>+IF(X84=0,0,HLOOKUP(YEAR(X84)+(MONTH(X84)/100),TC!$5:$37,DAY(X84)+2,FALSE))</f>
        <v>19.59</v>
      </c>
      <c r="AD84" s="307">
        <f t="shared" si="32"/>
        <v>88053.131999999998</v>
      </c>
      <c r="AE84" s="314">
        <f t="shared" si="21"/>
        <v>55532.173389978598</v>
      </c>
      <c r="AF84" s="315">
        <f t="shared" si="22"/>
        <v>32520.9586100214</v>
      </c>
      <c r="AG84" s="316">
        <f t="shared" si="23"/>
        <v>3.8547945205479452</v>
      </c>
      <c r="AH84" s="314">
        <v>1</v>
      </c>
      <c r="AI84" s="314">
        <f t="shared" si="24"/>
        <v>32520.9586100214</v>
      </c>
      <c r="AJ84" s="314">
        <f t="shared" si="33"/>
        <v>0</v>
      </c>
      <c r="AK84" s="317"/>
      <c r="AL84" s="315">
        <f t="shared" si="25"/>
        <v>2014.13</v>
      </c>
      <c r="AN84" s="554">
        <f t="shared" si="26"/>
        <v>0.81192984153474668</v>
      </c>
      <c r="AO84" s="314"/>
      <c r="AP84" s="318"/>
    </row>
    <row r="85" spans="2:42">
      <c r="B85" s="296" t="s">
        <v>1266</v>
      </c>
      <c r="C85" s="299" t="s">
        <v>277</v>
      </c>
      <c r="D85" s="298" t="s">
        <v>839</v>
      </c>
      <c r="E85" s="299" t="s">
        <v>113</v>
      </c>
      <c r="F85" s="299" t="s">
        <v>59</v>
      </c>
      <c r="G85" s="300">
        <v>43578</v>
      </c>
      <c r="H85" s="303">
        <v>4429.75</v>
      </c>
      <c r="I85" s="301" t="str">
        <f t="shared" si="17"/>
        <v>Ingresos Sección II LISR (SIC &amp; BMV)</v>
      </c>
      <c r="J85" s="302">
        <f t="shared" si="27"/>
        <v>46</v>
      </c>
      <c r="K85" s="304">
        <f t="shared" si="18"/>
        <v>96.298913043478265</v>
      </c>
      <c r="L85" s="305">
        <f>IF(H85=0,0,IF(OR(E85=$AT$5,E85=$AT$6),AA85,IF(F85="MXN",1/HLOOKUP(YEAR(G85)+(MONTH(G85)/100),TC!$5:$37,DAY(G85)+2,FALSE),VLOOKUP(F85,Equivalencia!$5:$23,((MAX(Equivalencia!$3:$3)-YEAR(G85))*14)+MONTH(G85)+2,FALSE))))</f>
        <v>1</v>
      </c>
      <c r="M85" s="306">
        <f t="shared" si="19"/>
        <v>4429.75</v>
      </c>
      <c r="N85" s="305">
        <f>IF(G85=0,0,(IF(OR(E85=$AT$5,E85=$AT$6),AC85,HLOOKUP(YEAR(G85)+(MONTH(G85)/100),TC!$5:$37,DAY(G85)+2,FALSE))))</f>
        <v>18.847999999999999</v>
      </c>
      <c r="O85" s="307">
        <f t="shared" si="28"/>
        <v>83491.928</v>
      </c>
      <c r="P85" s="560">
        <f>IF(G85=0,0,VLOOKUP(YEAR(G85),INPC!$B$4:$P$30,MONTH(G85)+2))</f>
        <v>103.53100000000001</v>
      </c>
      <c r="Q85" s="560">
        <f>IF(X85=0,0,IF(OR(E85=$AT$10,E85=$AT$9),VLOOKUP(YEAR(X85),INPC!$B$4:$P$30,MONTH(X85)+1),VLOOKUP(YEAR(X85),INPC!$B$4:$P$30,MONTH(X85)+2,0)))</f>
        <v>121.02200000000001</v>
      </c>
      <c r="R85" s="309">
        <f t="shared" si="20"/>
        <v>1.1689000000000001</v>
      </c>
      <c r="S85" s="310">
        <f t="shared" si="29"/>
        <v>97593.7146392</v>
      </c>
      <c r="T85" s="555">
        <f t="shared" si="30"/>
        <v>2121.6024921565217</v>
      </c>
      <c r="U85" s="311"/>
      <c r="V85" s="312">
        <v>46</v>
      </c>
      <c r="W85" s="299" t="s">
        <v>194</v>
      </c>
      <c r="X85" s="300">
        <v>44722</v>
      </c>
      <c r="Y85" s="299" t="s">
        <v>59</v>
      </c>
      <c r="Z85" s="303">
        <v>5083.34</v>
      </c>
      <c r="AA85" s="305">
        <f>IF(Z85=0,0,IF(Y85="MXN",1/HLOOKUP(YEAR(X85)+(MONTH(X85)/100),TC!$5:$37,DAY(X85)+2,FALSE),VLOOKUP(Y85,Equivalencia!$1:$23,((MAX(Equivalencia!$3:$3)-YEAR(X85))*14)+MONTH(X85)+2,FALSE)))</f>
        <v>1</v>
      </c>
      <c r="AB85" s="306">
        <f t="shared" si="31"/>
        <v>5083.34</v>
      </c>
      <c r="AC85" s="305">
        <f>+IF(X85=0,0,HLOOKUP(YEAR(X85)+(MONTH(X85)/100),TC!$5:$37,DAY(X85)+2,FALSE))</f>
        <v>19.59</v>
      </c>
      <c r="AD85" s="307">
        <f t="shared" si="32"/>
        <v>99582.630600000004</v>
      </c>
      <c r="AE85" s="314">
        <f t="shared" si="21"/>
        <v>97593.7146392</v>
      </c>
      <c r="AF85" s="315">
        <f t="shared" si="22"/>
        <v>1988.9159608000045</v>
      </c>
      <c r="AG85" s="316">
        <f t="shared" si="23"/>
        <v>3.1342465753424658</v>
      </c>
      <c r="AH85" s="314">
        <v>1</v>
      </c>
      <c r="AI85" s="314">
        <f t="shared" si="24"/>
        <v>1988.9159608000045</v>
      </c>
      <c r="AJ85" s="314">
        <f t="shared" si="33"/>
        <v>0</v>
      </c>
      <c r="AK85" s="317"/>
      <c r="AL85" s="315">
        <f t="shared" si="25"/>
        <v>653.59000000000015</v>
      </c>
      <c r="AN85" s="554">
        <f t="shared" si="26"/>
        <v>0.14754557254924097</v>
      </c>
      <c r="AO85" s="314"/>
      <c r="AP85" s="318"/>
    </row>
    <row r="86" spans="2:42">
      <c r="B86" s="296" t="s">
        <v>1266</v>
      </c>
      <c r="C86" s="299" t="s">
        <v>277</v>
      </c>
      <c r="D86" s="298" t="s">
        <v>716</v>
      </c>
      <c r="E86" s="299" t="s">
        <v>113</v>
      </c>
      <c r="F86" s="299" t="s">
        <v>59</v>
      </c>
      <c r="G86" s="300">
        <v>43990</v>
      </c>
      <c r="H86" s="303">
        <v>5909.84</v>
      </c>
      <c r="I86" s="301" t="str">
        <f t="shared" si="17"/>
        <v>Ingresos Sección II LISR (SIC &amp; BMV)</v>
      </c>
      <c r="J86" s="302">
        <f t="shared" si="27"/>
        <v>71</v>
      </c>
      <c r="K86" s="304">
        <f t="shared" si="18"/>
        <v>83.237183098591558</v>
      </c>
      <c r="L86" s="305">
        <f>IF(H86=0,0,IF(OR(E86=$AT$5,E86=$AT$6),AA86,IF(F86="MXN",1/HLOOKUP(YEAR(G86)+(MONTH(G86)/100),TC!$5:$37,DAY(G86)+2,FALSE),VLOOKUP(F86,Equivalencia!$5:$23,((MAX(Equivalencia!$3:$3)-YEAR(G86))*14)+MONTH(G86)+2,FALSE))))</f>
        <v>1</v>
      </c>
      <c r="M86" s="306">
        <f t="shared" si="19"/>
        <v>5909.84</v>
      </c>
      <c r="N86" s="305">
        <f>IF(G86=0,0,(IF(OR(E86=$AT$5,E86=$AT$6),AC86,HLOOKUP(YEAR(G86)+(MONTH(G86)/100),TC!$5:$37,DAY(G86)+2,FALSE))))</f>
        <v>21.838799999999999</v>
      </c>
      <c r="O86" s="307">
        <f t="shared" si="28"/>
        <v>129063.813792</v>
      </c>
      <c r="P86" s="560">
        <f>IF(G86=0,0,VLOOKUP(YEAR(G86),INPC!$B$4:$P$30,MONTH(G86)+2))</f>
        <v>106.74299999999999</v>
      </c>
      <c r="Q86" s="560">
        <f>IF(X86=0,0,IF(OR(E86=$AT$10,E86=$AT$9),VLOOKUP(YEAR(X86),INPC!$B$4:$P$30,MONTH(X86)+1),VLOOKUP(YEAR(X86),INPC!$B$4:$P$30,MONTH(X86)+2,0)))</f>
        <v>121.02200000000001</v>
      </c>
      <c r="R86" s="309">
        <f t="shared" si="20"/>
        <v>1.1336999999999999</v>
      </c>
      <c r="S86" s="310">
        <f t="shared" si="29"/>
        <v>146319.64569599039</v>
      </c>
      <c r="T86" s="555">
        <f t="shared" si="30"/>
        <v>2060.8400802252168</v>
      </c>
      <c r="U86" s="311"/>
      <c r="V86" s="312">
        <v>71</v>
      </c>
      <c r="W86" s="299" t="s">
        <v>194</v>
      </c>
      <c r="X86" s="300">
        <v>44722</v>
      </c>
      <c r="Y86" s="299" t="s">
        <v>59</v>
      </c>
      <c r="Z86" s="303">
        <v>9865.43</v>
      </c>
      <c r="AA86" s="305">
        <f>IF(Z86=0,0,IF(Y86="MXN",1/HLOOKUP(YEAR(X86)+(MONTH(X86)/100),TC!$5:$37,DAY(X86)+2,FALSE),VLOOKUP(Y86,Equivalencia!$1:$23,((MAX(Equivalencia!$3:$3)-YEAR(X86))*14)+MONTH(X86)+2,FALSE)))</f>
        <v>1</v>
      </c>
      <c r="AB86" s="306">
        <f t="shared" si="31"/>
        <v>9865.43</v>
      </c>
      <c r="AC86" s="305">
        <f>+IF(X86=0,0,HLOOKUP(YEAR(X86)+(MONTH(X86)/100),TC!$5:$37,DAY(X86)+2,FALSE))</f>
        <v>19.59</v>
      </c>
      <c r="AD86" s="307">
        <f t="shared" si="32"/>
        <v>193263.77369999999</v>
      </c>
      <c r="AE86" s="314">
        <f t="shared" si="21"/>
        <v>146319.64569599039</v>
      </c>
      <c r="AF86" s="315">
        <f t="shared" si="22"/>
        <v>46944.128004009603</v>
      </c>
      <c r="AG86" s="316">
        <f t="shared" si="23"/>
        <v>2.0054794520547947</v>
      </c>
      <c r="AH86" s="314">
        <v>1</v>
      </c>
      <c r="AI86" s="314">
        <f t="shared" si="24"/>
        <v>46944.128004009603</v>
      </c>
      <c r="AJ86" s="314">
        <f t="shared" si="33"/>
        <v>0</v>
      </c>
      <c r="AK86" s="317"/>
      <c r="AL86" s="315">
        <f t="shared" si="25"/>
        <v>3955.59</v>
      </c>
      <c r="AN86" s="554">
        <f t="shared" si="26"/>
        <v>0.66932268893912528</v>
      </c>
      <c r="AO86" s="314"/>
      <c r="AP86" s="318"/>
    </row>
    <row r="87" spans="2:42">
      <c r="B87" s="296" t="s">
        <v>1266</v>
      </c>
      <c r="C87" s="299" t="s">
        <v>277</v>
      </c>
      <c r="D87" s="298" t="s">
        <v>743</v>
      </c>
      <c r="E87" s="299" t="s">
        <v>113</v>
      </c>
      <c r="F87" s="299" t="s">
        <v>59</v>
      </c>
      <c r="G87" s="300">
        <v>43965</v>
      </c>
      <c r="H87" s="303">
        <v>9684.5300000000007</v>
      </c>
      <c r="I87" s="301" t="str">
        <f t="shared" si="17"/>
        <v>Ingresos Sección II LISR (SIC &amp; BMV)</v>
      </c>
      <c r="J87" s="302">
        <f t="shared" si="27"/>
        <v>222</v>
      </c>
      <c r="K87" s="304">
        <f t="shared" si="18"/>
        <v>43.624009009009015</v>
      </c>
      <c r="L87" s="305">
        <f>IF(H87=0,0,IF(OR(E87=$AT$5,E87=$AT$6),AA87,IF(F87="MXN",1/HLOOKUP(YEAR(G87)+(MONTH(G87)/100),TC!$5:$37,DAY(G87)+2,FALSE),VLOOKUP(F87,Equivalencia!$5:$23,((MAX(Equivalencia!$3:$3)-YEAR(G87))*14)+MONTH(G87)+2,FALSE))))</f>
        <v>1</v>
      </c>
      <c r="M87" s="306">
        <f t="shared" si="19"/>
        <v>9684.5300000000007</v>
      </c>
      <c r="N87" s="305">
        <f>IF(G87=0,0,(IF(OR(E87=$AT$5,E87=$AT$6),AC87,HLOOKUP(YEAR(G87)+(MONTH(G87)/100),TC!$5:$37,DAY(G87)+2,FALSE))))</f>
        <v>24.0487</v>
      </c>
      <c r="O87" s="307">
        <f t="shared" si="28"/>
        <v>232900.35661100002</v>
      </c>
      <c r="P87" s="560">
        <f>IF(G87=0,0,VLOOKUP(YEAR(G87),INPC!$B$4:$P$30,MONTH(G87)+2))</f>
        <v>106.16200000000001</v>
      </c>
      <c r="Q87" s="560">
        <f>IF(X87=0,0,IF(OR(E87=$AT$10,E87=$AT$9),VLOOKUP(YEAR(X87),INPC!$B$4:$P$30,MONTH(X87)+1),VLOOKUP(YEAR(X87),INPC!$B$4:$P$30,MONTH(X87)+2,0)))</f>
        <v>121.02200000000001</v>
      </c>
      <c r="R87" s="309">
        <f t="shared" si="20"/>
        <v>1.1398999999999999</v>
      </c>
      <c r="S87" s="310">
        <f t="shared" si="29"/>
        <v>265483.11650087888</v>
      </c>
      <c r="T87" s="555">
        <f t="shared" si="30"/>
        <v>1195.869894148103</v>
      </c>
      <c r="U87" s="311"/>
      <c r="V87" s="312">
        <v>222</v>
      </c>
      <c r="W87" s="299" t="s">
        <v>194</v>
      </c>
      <c r="X87" s="300">
        <v>44734</v>
      </c>
      <c r="Y87" s="299" t="s">
        <v>59</v>
      </c>
      <c r="Z87" s="303">
        <v>9631.89</v>
      </c>
      <c r="AA87" s="305">
        <f>IF(Z87=0,0,IF(Y87="MXN",1/HLOOKUP(YEAR(X87)+(MONTH(X87)/100),TC!$5:$37,DAY(X87)+2,FALSE),VLOOKUP(Y87,Equivalencia!$1:$23,((MAX(Equivalencia!$3:$3)-YEAR(X87))*14)+MONTH(X87)+2,FALSE)))</f>
        <v>1</v>
      </c>
      <c r="AB87" s="306">
        <f t="shared" si="31"/>
        <v>9631.89</v>
      </c>
      <c r="AC87" s="305">
        <f>+IF(X87=0,0,HLOOKUP(YEAR(X87)+(MONTH(X87)/100),TC!$5:$37,DAY(X87)+2,FALSE))</f>
        <v>20.244199999999999</v>
      </c>
      <c r="AD87" s="307">
        <f t="shared" si="32"/>
        <v>194989.90753799997</v>
      </c>
      <c r="AE87" s="314">
        <f t="shared" si="21"/>
        <v>265483.11650087888</v>
      </c>
      <c r="AF87" s="315">
        <f t="shared" si="22"/>
        <v>-70493.208962878911</v>
      </c>
      <c r="AG87" s="316">
        <f t="shared" si="23"/>
        <v>2.106849315068493</v>
      </c>
      <c r="AH87" s="314">
        <v>1</v>
      </c>
      <c r="AI87" s="314">
        <f t="shared" si="24"/>
        <v>-70493.208962878911</v>
      </c>
      <c r="AJ87" s="314">
        <f t="shared" si="33"/>
        <v>0</v>
      </c>
      <c r="AK87" s="317"/>
      <c r="AL87" s="315">
        <f t="shared" si="25"/>
        <v>-52.640000000001237</v>
      </c>
      <c r="AN87" s="554">
        <f t="shared" si="26"/>
        <v>-5.4354728623899383E-3</v>
      </c>
      <c r="AO87" s="314"/>
      <c r="AP87" s="318"/>
    </row>
    <row r="88" spans="2:42">
      <c r="B88" s="296" t="s">
        <v>1266</v>
      </c>
      <c r="C88" s="299" t="s">
        <v>277</v>
      </c>
      <c r="D88" s="298" t="s">
        <v>743</v>
      </c>
      <c r="E88" s="299" t="s">
        <v>113</v>
      </c>
      <c r="F88" s="299" t="s">
        <v>59</v>
      </c>
      <c r="G88" s="300">
        <v>44049</v>
      </c>
      <c r="H88" s="303">
        <v>6482.32</v>
      </c>
      <c r="I88" s="301" t="str">
        <f t="shared" si="17"/>
        <v>Ingresos Sección II LISR (SIC &amp; BMV)</v>
      </c>
      <c r="J88" s="302">
        <f t="shared" si="27"/>
        <v>136</v>
      </c>
      <c r="K88" s="304">
        <f t="shared" si="18"/>
        <v>47.664117647058823</v>
      </c>
      <c r="L88" s="305">
        <f>IF(H88=0,0,IF(OR(E88=$AT$5,E88=$AT$6),AA88,IF(F88="MXN",1/HLOOKUP(YEAR(G88)+(MONTH(G88)/100),TC!$5:$37,DAY(G88)+2,FALSE),VLOOKUP(F88,Equivalencia!$5:$23,((MAX(Equivalencia!$3:$3)-YEAR(G88))*14)+MONTH(G88)+2,FALSE))))</f>
        <v>1</v>
      </c>
      <c r="M88" s="306">
        <f t="shared" si="19"/>
        <v>6482.32</v>
      </c>
      <c r="N88" s="305">
        <f>IF(G88=0,0,(IF(OR(E88=$AT$5,E88=$AT$6),AC88,HLOOKUP(YEAR(G88)+(MONTH(G88)/100),TC!$5:$37,DAY(G88)+2,FALSE))))</f>
        <v>22.784500000000001</v>
      </c>
      <c r="O88" s="307">
        <f t="shared" si="28"/>
        <v>147696.42004</v>
      </c>
      <c r="P88" s="560">
        <f>IF(G88=0,0,VLOOKUP(YEAR(G88),INPC!$B$4:$P$30,MONTH(G88)+2))</f>
        <v>107.867</v>
      </c>
      <c r="Q88" s="560">
        <f>IF(X88=0,0,IF(OR(E88=$AT$10,E88=$AT$9),VLOOKUP(YEAR(X88),INPC!$B$4:$P$30,MONTH(X88)+1),VLOOKUP(YEAR(X88),INPC!$B$4:$P$30,MONTH(X88)+2,0)))</f>
        <v>121.02200000000001</v>
      </c>
      <c r="R88" s="309">
        <f t="shared" si="20"/>
        <v>1.1218999999999999</v>
      </c>
      <c r="S88" s="310">
        <f t="shared" si="29"/>
        <v>165700.61364287598</v>
      </c>
      <c r="T88" s="555">
        <f t="shared" si="30"/>
        <v>1218.3868650211468</v>
      </c>
      <c r="U88" s="311"/>
      <c r="V88" s="312">
        <v>136</v>
      </c>
      <c r="W88" s="299" t="s">
        <v>194</v>
      </c>
      <c r="X88" s="300">
        <v>44734</v>
      </c>
      <c r="Y88" s="299" t="s">
        <v>59</v>
      </c>
      <c r="Z88" s="303">
        <v>5900.62</v>
      </c>
      <c r="AA88" s="305">
        <f>IF(Z88=0,0,IF(Y88="MXN",1/HLOOKUP(YEAR(X88)+(MONTH(X88)/100),TC!$5:$37,DAY(X88)+2,FALSE),VLOOKUP(Y88,Equivalencia!$1:$23,((MAX(Equivalencia!$3:$3)-YEAR(X88))*14)+MONTH(X88)+2,FALSE)))</f>
        <v>1</v>
      </c>
      <c r="AB88" s="306">
        <f t="shared" si="31"/>
        <v>5900.62</v>
      </c>
      <c r="AC88" s="305">
        <f>+IF(X88=0,0,HLOOKUP(YEAR(X88)+(MONTH(X88)/100),TC!$5:$37,DAY(X88)+2,FALSE))</f>
        <v>20.244199999999999</v>
      </c>
      <c r="AD88" s="307">
        <f t="shared" si="32"/>
        <v>119453.331404</v>
      </c>
      <c r="AE88" s="314">
        <f t="shared" si="21"/>
        <v>165700.61364287598</v>
      </c>
      <c r="AF88" s="315">
        <f t="shared" si="22"/>
        <v>-46247.282238875981</v>
      </c>
      <c r="AG88" s="316">
        <f t="shared" si="23"/>
        <v>1.8767123287671232</v>
      </c>
      <c r="AH88" s="314">
        <v>1</v>
      </c>
      <c r="AI88" s="314">
        <f t="shared" si="24"/>
        <v>-46247.282238875981</v>
      </c>
      <c r="AJ88" s="314">
        <f t="shared" si="33"/>
        <v>0</v>
      </c>
      <c r="AK88" s="317"/>
      <c r="AL88" s="315">
        <f t="shared" si="25"/>
        <v>-581.69999999999982</v>
      </c>
      <c r="AN88" s="554">
        <f t="shared" si="26"/>
        <v>-8.9736390674943517E-2</v>
      </c>
      <c r="AO88" s="314"/>
      <c r="AP88" s="318"/>
    </row>
    <row r="89" spans="2:42">
      <c r="B89" s="296" t="s">
        <v>1266</v>
      </c>
      <c r="C89" s="299" t="s">
        <v>277</v>
      </c>
      <c r="D89" s="298" t="s">
        <v>840</v>
      </c>
      <c r="E89" s="299" t="s">
        <v>113</v>
      </c>
      <c r="F89" s="299" t="s">
        <v>59</v>
      </c>
      <c r="G89" s="300">
        <v>44265</v>
      </c>
      <c r="H89" s="303">
        <v>40998.660000000003</v>
      </c>
      <c r="I89" s="301" t="str">
        <f t="shared" si="17"/>
        <v>Ingresos Sección II LISR (SIC &amp; BMV)</v>
      </c>
      <c r="J89" s="302">
        <f t="shared" si="27"/>
        <v>718</v>
      </c>
      <c r="K89" s="304">
        <f t="shared" si="18"/>
        <v>57.101197771587749</v>
      </c>
      <c r="L89" s="305">
        <f>IF(H89=0,0,IF(OR(E89=$AT$5,E89=$AT$6),AA89,IF(F89="MXN",1/HLOOKUP(YEAR(G89)+(MONTH(G89)/100),TC!$5:$37,DAY(G89)+2,FALSE),VLOOKUP(F89,Equivalencia!$5:$23,((MAX(Equivalencia!$3:$3)-YEAR(G89))*14)+MONTH(G89)+2,FALSE))))</f>
        <v>1</v>
      </c>
      <c r="M89" s="306">
        <f t="shared" si="19"/>
        <v>40998.660000000003</v>
      </c>
      <c r="N89" s="305">
        <f>IF(G89=0,0,(IF(OR(E89=$AT$5,E89=$AT$6),AC89,HLOOKUP(YEAR(G89)+(MONTH(G89)/100),TC!$5:$37,DAY(G89)+2,FALSE))))</f>
        <v>21.4177</v>
      </c>
      <c r="O89" s="307">
        <f t="shared" si="28"/>
        <v>878097.00028200005</v>
      </c>
      <c r="P89" s="560">
        <f>IF(G89=0,0,VLOOKUP(YEAR(G89),INPC!$B$4:$P$30,MONTH(G89)+2))</f>
        <v>111.824</v>
      </c>
      <c r="Q89" s="560">
        <f>IF(X89=0,0,IF(OR(E89=$AT$10,E89=$AT$9),VLOOKUP(YEAR(X89),INPC!$B$4:$P$30,MONTH(X89)+1),VLOOKUP(YEAR(X89),INPC!$B$4:$P$30,MONTH(X89)+2,0)))</f>
        <v>121.02200000000001</v>
      </c>
      <c r="R89" s="309">
        <f t="shared" si="20"/>
        <v>1.0822000000000001</v>
      </c>
      <c r="S89" s="310">
        <f t="shared" si="29"/>
        <v>950276.57370518055</v>
      </c>
      <c r="T89" s="555">
        <f t="shared" si="30"/>
        <v>1323.5049773052654</v>
      </c>
      <c r="U89" s="311"/>
      <c r="V89" s="312">
        <v>718</v>
      </c>
      <c r="W89" s="299" t="s">
        <v>194</v>
      </c>
      <c r="X89" s="300">
        <v>44734</v>
      </c>
      <c r="Y89" s="299" t="s">
        <v>59</v>
      </c>
      <c r="Z89" s="303">
        <v>27602.15</v>
      </c>
      <c r="AA89" s="305">
        <f>IF(Z89=0,0,IF(Y89="MXN",1/HLOOKUP(YEAR(X89)+(MONTH(X89)/100),TC!$5:$37,DAY(X89)+2,FALSE),VLOOKUP(Y89,Equivalencia!$1:$23,((MAX(Equivalencia!$3:$3)-YEAR(X89))*14)+MONTH(X89)+2,FALSE)))</f>
        <v>1</v>
      </c>
      <c r="AB89" s="306">
        <f t="shared" si="31"/>
        <v>27602.15</v>
      </c>
      <c r="AC89" s="305">
        <f>+IF(X89=0,0,HLOOKUP(YEAR(X89)+(MONTH(X89)/100),TC!$5:$37,DAY(X89)+2,FALSE))</f>
        <v>20.244199999999999</v>
      </c>
      <c r="AD89" s="307">
        <f t="shared" si="32"/>
        <v>558783.44503000006</v>
      </c>
      <c r="AE89" s="314">
        <f t="shared" si="21"/>
        <v>950276.57370518055</v>
      </c>
      <c r="AF89" s="315">
        <f t="shared" si="22"/>
        <v>-391493.12867518049</v>
      </c>
      <c r="AG89" s="316">
        <f t="shared" si="23"/>
        <v>1.284931506849315</v>
      </c>
      <c r="AH89" s="314">
        <v>1</v>
      </c>
      <c r="AI89" s="314">
        <f t="shared" si="24"/>
        <v>-391493.12867518049</v>
      </c>
      <c r="AJ89" s="314">
        <f t="shared" si="33"/>
        <v>0</v>
      </c>
      <c r="AK89" s="317"/>
      <c r="AL89" s="315">
        <f t="shared" si="25"/>
        <v>-13396.510000000002</v>
      </c>
      <c r="AN89" s="554">
        <f t="shared" si="26"/>
        <v>-0.32675482564552111</v>
      </c>
      <c r="AO89" s="314"/>
      <c r="AP89" s="318"/>
    </row>
    <row r="90" spans="2:42">
      <c r="B90" s="296" t="s">
        <v>1266</v>
      </c>
      <c r="C90" s="299" t="s">
        <v>277</v>
      </c>
      <c r="D90" s="298" t="s">
        <v>840</v>
      </c>
      <c r="E90" s="299" t="s">
        <v>113</v>
      </c>
      <c r="F90" s="299" t="s">
        <v>59</v>
      </c>
      <c r="G90" s="300">
        <v>44343</v>
      </c>
      <c r="H90" s="303">
        <v>4744.26</v>
      </c>
      <c r="I90" s="301" t="str">
        <f t="shared" si="17"/>
        <v>Ingresos Sección II LISR (SIC &amp; BMV)</v>
      </c>
      <c r="J90" s="302">
        <f t="shared" si="27"/>
        <v>83</v>
      </c>
      <c r="K90" s="304">
        <f t="shared" si="18"/>
        <v>57.159759036144578</v>
      </c>
      <c r="L90" s="305">
        <f>IF(H90=0,0,IF(OR(E90=$AT$5,E90=$AT$6),AA90,IF(F90="MXN",1/HLOOKUP(YEAR(G90)+(MONTH(G90)/100),TC!$5:$37,DAY(G90)+2,FALSE),VLOOKUP(F90,Equivalencia!$5:$23,((MAX(Equivalencia!$3:$3)-YEAR(G90))*14)+MONTH(G90)+2,FALSE))))</f>
        <v>1</v>
      </c>
      <c r="M90" s="306">
        <f t="shared" si="19"/>
        <v>4744.26</v>
      </c>
      <c r="N90" s="305">
        <f>IF(G90=0,0,(IF(OR(E90=$AT$5,E90=$AT$6),AC90,HLOOKUP(YEAR(G90)+(MONTH(G90)/100),TC!$5:$37,DAY(G90)+2,FALSE))))</f>
        <v>19.8903</v>
      </c>
      <c r="O90" s="307">
        <f t="shared" si="28"/>
        <v>94364.754677999998</v>
      </c>
      <c r="P90" s="560">
        <f>IF(G90=0,0,VLOOKUP(YEAR(G90),INPC!$B$4:$P$30,MONTH(G90)+2))</f>
        <v>112.419</v>
      </c>
      <c r="Q90" s="560">
        <f>IF(X90=0,0,IF(OR(E90=$AT$10,E90=$AT$9),VLOOKUP(YEAR(X90),INPC!$B$4:$P$30,MONTH(X90)+1),VLOOKUP(YEAR(X90),INPC!$B$4:$P$30,MONTH(X90)+2,0)))</f>
        <v>121.02200000000001</v>
      </c>
      <c r="R90" s="309">
        <f t="shared" si="20"/>
        <v>1.0765</v>
      </c>
      <c r="S90" s="310">
        <f t="shared" si="29"/>
        <v>101583.65841086699</v>
      </c>
      <c r="T90" s="555">
        <f t="shared" si="30"/>
        <v>1223.8994989261084</v>
      </c>
      <c r="U90" s="311"/>
      <c r="V90" s="312">
        <v>83</v>
      </c>
      <c r="W90" s="299" t="s">
        <v>194</v>
      </c>
      <c r="X90" s="300">
        <v>44734</v>
      </c>
      <c r="Y90" s="299" t="s">
        <v>59</v>
      </c>
      <c r="Z90" s="303">
        <v>3190.78</v>
      </c>
      <c r="AA90" s="305">
        <f>IF(Z90=0,0,IF(Y90="MXN",1/HLOOKUP(YEAR(X90)+(MONTH(X90)/100),TC!$5:$37,DAY(X90)+2,FALSE),VLOOKUP(Y90,Equivalencia!$1:$23,((MAX(Equivalencia!$3:$3)-YEAR(X90))*14)+MONTH(X90)+2,FALSE)))</f>
        <v>1</v>
      </c>
      <c r="AB90" s="306">
        <f t="shared" si="31"/>
        <v>3190.78</v>
      </c>
      <c r="AC90" s="305">
        <f>+IF(X90=0,0,HLOOKUP(YEAR(X90)+(MONTH(X90)/100),TC!$5:$37,DAY(X90)+2,FALSE))</f>
        <v>20.244199999999999</v>
      </c>
      <c r="AD90" s="307">
        <f t="shared" si="32"/>
        <v>64594.788476000002</v>
      </c>
      <c r="AE90" s="314">
        <f t="shared" si="21"/>
        <v>101583.65841086701</v>
      </c>
      <c r="AF90" s="315">
        <f t="shared" si="22"/>
        <v>-36988.869934867005</v>
      </c>
      <c r="AG90" s="316">
        <f t="shared" si="23"/>
        <v>1.0712328767123287</v>
      </c>
      <c r="AH90" s="314">
        <v>1</v>
      </c>
      <c r="AI90" s="314">
        <f t="shared" si="24"/>
        <v>-36988.869934867005</v>
      </c>
      <c r="AJ90" s="314">
        <f t="shared" si="33"/>
        <v>0</v>
      </c>
      <c r="AK90" s="317"/>
      <c r="AL90" s="315">
        <f t="shared" si="25"/>
        <v>-1553.48</v>
      </c>
      <c r="AN90" s="554">
        <f t="shared" si="26"/>
        <v>-0.32744411141042018</v>
      </c>
      <c r="AO90" s="314"/>
      <c r="AP90" s="318"/>
    </row>
    <row r="91" spans="2:42">
      <c r="B91" s="296" t="s">
        <v>1266</v>
      </c>
      <c r="C91" s="299" t="s">
        <v>277</v>
      </c>
      <c r="D91" s="298" t="s">
        <v>738</v>
      </c>
      <c r="E91" s="299" t="s">
        <v>113</v>
      </c>
      <c r="F91" s="299" t="s">
        <v>59</v>
      </c>
      <c r="G91" s="300">
        <v>44102</v>
      </c>
      <c r="H91" s="303">
        <v>11254.14</v>
      </c>
      <c r="I91" s="301" t="str">
        <f t="shared" si="17"/>
        <v>Ingresos Sección II LISR (SIC &amp; BMV)</v>
      </c>
      <c r="J91" s="302">
        <f t="shared" si="27"/>
        <v>332</v>
      </c>
      <c r="K91" s="304">
        <f t="shared" si="18"/>
        <v>33.898012048192768</v>
      </c>
      <c r="L91" s="305">
        <f>IF(H91=0,0,IF(OR(E91=$AT$5,E91=$AT$6),AA91,IF(F91="MXN",1/HLOOKUP(YEAR(G91)+(MONTH(G91)/100),TC!$5:$37,DAY(G91)+2,FALSE),VLOOKUP(F91,Equivalencia!$5:$23,((MAX(Equivalencia!$3:$3)-YEAR(G91))*14)+MONTH(G91)+2,FALSE))))</f>
        <v>1</v>
      </c>
      <c r="M91" s="306">
        <f t="shared" si="19"/>
        <v>11254.14</v>
      </c>
      <c r="N91" s="305">
        <f>IF(G91=0,0,(IF(OR(E91=$AT$5,E91=$AT$6),AC91,HLOOKUP(YEAR(G91)+(MONTH(G91)/100),TC!$5:$37,DAY(G91)+2,FALSE))))</f>
        <v>22.367799999999999</v>
      </c>
      <c r="O91" s="307">
        <f t="shared" si="28"/>
        <v>251730.35269199999</v>
      </c>
      <c r="P91" s="560">
        <f>IF(G91=0,0,VLOOKUP(YEAR(G91),INPC!$B$4:$P$30,MONTH(G91)+2))</f>
        <v>108.114</v>
      </c>
      <c r="Q91" s="560">
        <f>IF(X91=0,0,IF(OR(E91=$AT$10,E91=$AT$9),VLOOKUP(YEAR(X91),INPC!$B$4:$P$30,MONTH(X91)+1),VLOOKUP(YEAR(X91),INPC!$B$4:$P$30,MONTH(X91)+2,0)))</f>
        <v>121.02200000000001</v>
      </c>
      <c r="R91" s="309">
        <f t="shared" si="20"/>
        <v>1.1193</v>
      </c>
      <c r="S91" s="310">
        <f t="shared" si="29"/>
        <v>281761.78376815555</v>
      </c>
      <c r="T91" s="555">
        <f t="shared" si="30"/>
        <v>848.68007159082993</v>
      </c>
      <c r="U91" s="311"/>
      <c r="V91" s="312">
        <v>332</v>
      </c>
      <c r="W91" s="299" t="s">
        <v>194</v>
      </c>
      <c r="X91" s="300">
        <v>44734</v>
      </c>
      <c r="Y91" s="299" t="s">
        <v>59</v>
      </c>
      <c r="Z91" s="303">
        <v>30718.33</v>
      </c>
      <c r="AA91" s="305">
        <f>IF(Z91=0,0,IF(Y91="MXN",1/HLOOKUP(YEAR(X91)+(MONTH(X91)/100),TC!$5:$37,DAY(X91)+2,FALSE),VLOOKUP(Y91,Equivalencia!$1:$23,((MAX(Equivalencia!$3:$3)-YEAR(X91))*14)+MONTH(X91)+2,FALSE)))</f>
        <v>1</v>
      </c>
      <c r="AB91" s="306">
        <f t="shared" si="31"/>
        <v>30718.33</v>
      </c>
      <c r="AC91" s="305">
        <f>+IF(X91=0,0,HLOOKUP(YEAR(X91)+(MONTH(X91)/100),TC!$5:$37,DAY(X91)+2,FALSE))</f>
        <v>20.244199999999999</v>
      </c>
      <c r="AD91" s="307">
        <f t="shared" si="32"/>
        <v>621868.01618599996</v>
      </c>
      <c r="AE91" s="314">
        <f t="shared" si="21"/>
        <v>281761.78376815555</v>
      </c>
      <c r="AF91" s="315">
        <f t="shared" si="22"/>
        <v>340106.23241784441</v>
      </c>
      <c r="AG91" s="316">
        <f t="shared" si="23"/>
        <v>1.7315068493150685</v>
      </c>
      <c r="AH91" s="314">
        <v>1</v>
      </c>
      <c r="AI91" s="314">
        <f t="shared" si="24"/>
        <v>340106.23241784441</v>
      </c>
      <c r="AJ91" s="314">
        <f t="shared" si="33"/>
        <v>0</v>
      </c>
      <c r="AK91" s="317"/>
      <c r="AL91" s="315">
        <f t="shared" si="25"/>
        <v>19464.190000000002</v>
      </c>
      <c r="AN91" s="554">
        <f t="shared" si="26"/>
        <v>1.7295137611581164</v>
      </c>
      <c r="AO91" s="314"/>
      <c r="AP91" s="318"/>
    </row>
    <row r="92" spans="2:42">
      <c r="B92" s="296" t="s">
        <v>1266</v>
      </c>
      <c r="C92" s="299" t="s">
        <v>277</v>
      </c>
      <c r="D92" s="298" t="s">
        <v>841</v>
      </c>
      <c r="E92" s="299" t="s">
        <v>106</v>
      </c>
      <c r="F92" s="299" t="s">
        <v>59</v>
      </c>
      <c r="G92" s="300">
        <v>43867</v>
      </c>
      <c r="H92" s="303">
        <v>29682.77</v>
      </c>
      <c r="I92" s="301" t="str">
        <f t="shared" si="17"/>
        <v>Ingresos Sección I LISR</v>
      </c>
      <c r="J92" s="302">
        <f t="shared" si="27"/>
        <v>1827.644</v>
      </c>
      <c r="K92" s="304">
        <f t="shared" si="18"/>
        <v>16.241002076990924</v>
      </c>
      <c r="L92" s="305">
        <f>IF(H92=0,0,IF(OR(E92=$AT$5,E92=$AT$6),AA92,IF(F92="MXN",1/HLOOKUP(YEAR(G92)+(MONTH(G92)/100),TC!$5:$37,DAY(G92)+2,FALSE),VLOOKUP(F92,Equivalencia!$5:$23,((MAX(Equivalencia!$3:$3)-YEAR(G92))*14)+MONTH(G92)+2,FALSE))))</f>
        <v>1</v>
      </c>
      <c r="M92" s="306">
        <f t="shared" si="19"/>
        <v>29682.77</v>
      </c>
      <c r="N92" s="305">
        <f>IF(G92=0,0,(IF(OR(E92=$AT$5,E92=$AT$6),AC92,HLOOKUP(YEAR(G92)+(MONTH(G92)/100),TC!$5:$37,DAY(G92)+2,FALSE))))</f>
        <v>18.6797</v>
      </c>
      <c r="O92" s="307">
        <f t="shared" si="28"/>
        <v>554465.23876900005</v>
      </c>
      <c r="P92" s="560">
        <f>IF(G92=0,0,VLOOKUP(YEAR(G92),INPC!$B$4:$P$30,MONTH(G92)+2))</f>
        <v>106.889</v>
      </c>
      <c r="Q92" s="560">
        <f>IF(X92=0,0,IF(OR(E92=$AT$10,E92=$AT$9),VLOOKUP(YEAR(X92),INPC!$B$4:$P$30,MONTH(X92)+1),VLOOKUP(YEAR(X92),INPC!$B$4:$P$30,MONTH(X92)+2,0)))</f>
        <v>122.044</v>
      </c>
      <c r="R92" s="309">
        <f t="shared" si="20"/>
        <v>1.1416999999999999</v>
      </c>
      <c r="S92" s="310">
        <f t="shared" si="29"/>
        <v>633032.96310256736</v>
      </c>
      <c r="T92" s="555">
        <f t="shared" si="30"/>
        <v>346.36557398627269</v>
      </c>
      <c r="U92" s="311"/>
      <c r="V92" s="312">
        <v>1827.644</v>
      </c>
      <c r="W92" s="299" t="s">
        <v>194</v>
      </c>
      <c r="X92" s="300">
        <v>44725</v>
      </c>
      <c r="Y92" s="299" t="s">
        <v>59</v>
      </c>
      <c r="Z92" s="303">
        <v>31976.46</v>
      </c>
      <c r="AA92" s="305">
        <f>IF(Z92=0,0,IF(Y92="MXN",1/HLOOKUP(YEAR(X92)+(MONTH(X92)/100),TC!$5:$37,DAY(X92)+2,FALSE),VLOOKUP(Y92,Equivalencia!$1:$23,((MAX(Equivalencia!$3:$3)-YEAR(X92))*14)+MONTH(X92)+2,FALSE)))</f>
        <v>1</v>
      </c>
      <c r="AB92" s="306">
        <f t="shared" si="31"/>
        <v>31976.46</v>
      </c>
      <c r="AC92" s="305">
        <f>+IF(X92=0,0,HLOOKUP(YEAR(X92)+(MONTH(X92)/100),TC!$5:$37,DAY(X92)+2,FALSE))</f>
        <v>19.6128</v>
      </c>
      <c r="AD92" s="307">
        <f t="shared" si="32"/>
        <v>627147.91468799999</v>
      </c>
      <c r="AE92" s="314">
        <f t="shared" si="21"/>
        <v>633032.96310256736</v>
      </c>
      <c r="AF92" s="315">
        <f t="shared" si="22"/>
        <v>-5885.048414567369</v>
      </c>
      <c r="AG92" s="316">
        <f t="shared" si="23"/>
        <v>2.3506849315068492</v>
      </c>
      <c r="AH92" s="314">
        <v>1</v>
      </c>
      <c r="AI92" s="314">
        <f t="shared" si="24"/>
        <v>-5885.048414567369</v>
      </c>
      <c r="AJ92" s="314">
        <f t="shared" si="33"/>
        <v>0</v>
      </c>
      <c r="AK92" s="317"/>
      <c r="AL92" s="315">
        <f t="shared" si="25"/>
        <v>2293.6899999999987</v>
      </c>
      <c r="AN92" s="554">
        <f t="shared" si="26"/>
        <v>7.7273448535968806E-2</v>
      </c>
      <c r="AO92" s="314"/>
      <c r="AP92" s="318"/>
    </row>
    <row r="93" spans="2:42">
      <c r="B93" s="296" t="s">
        <v>1266</v>
      </c>
      <c r="C93" s="299" t="s">
        <v>277</v>
      </c>
      <c r="D93" s="298" t="s">
        <v>775</v>
      </c>
      <c r="E93" s="299" t="s">
        <v>113</v>
      </c>
      <c r="F93" s="299" t="s">
        <v>59</v>
      </c>
      <c r="G93" s="300">
        <v>43636</v>
      </c>
      <c r="H93" s="303">
        <v>16620.91</v>
      </c>
      <c r="I93" s="301" t="str">
        <f t="shared" si="17"/>
        <v>Ingresos Sección II LISR (SIC &amp; BMV)</v>
      </c>
      <c r="J93" s="302">
        <f t="shared" si="27"/>
        <v>79</v>
      </c>
      <c r="K93" s="304">
        <f t="shared" si="18"/>
        <v>210.39126582278482</v>
      </c>
      <c r="L93" s="305">
        <f>IF(H93=0,0,IF(OR(E93=$AT$5,E93=$AT$6),AA93,IF(F93="MXN",1/HLOOKUP(YEAR(G93)+(MONTH(G93)/100),TC!$5:$37,DAY(G93)+2,FALSE),VLOOKUP(F93,Equivalencia!$5:$23,((MAX(Equivalencia!$3:$3)-YEAR(G93))*14)+MONTH(G93)+2,FALSE))))</f>
        <v>1</v>
      </c>
      <c r="M93" s="306">
        <f t="shared" si="19"/>
        <v>16620.91</v>
      </c>
      <c r="N93" s="305">
        <f>IF(G93=0,0,(IF(OR(E93=$AT$5,E93=$AT$6),AC93,HLOOKUP(YEAR(G93)+(MONTH(G93)/100),TC!$5:$37,DAY(G93)+2,FALSE))))</f>
        <v>19.101099999999999</v>
      </c>
      <c r="O93" s="307">
        <f t="shared" si="28"/>
        <v>317477.664001</v>
      </c>
      <c r="P93" s="560">
        <f>IF(G93=0,0,VLOOKUP(YEAR(G93),INPC!$B$4:$P$30,MONTH(G93)+2))</f>
        <v>103.29900000000001</v>
      </c>
      <c r="Q93" s="560">
        <f>IF(X93=0,0,IF(OR(E93=$AT$10,E93=$AT$9),VLOOKUP(YEAR(X93),INPC!$B$4:$P$30,MONTH(X93)+1),VLOOKUP(YEAR(X93),INPC!$B$4:$P$30,MONTH(X93)+2,0)))</f>
        <v>121.02200000000001</v>
      </c>
      <c r="R93" s="309">
        <f t="shared" si="20"/>
        <v>1.1715</v>
      </c>
      <c r="S93" s="310">
        <f t="shared" si="29"/>
        <v>371925.08337717148</v>
      </c>
      <c r="T93" s="555">
        <f t="shared" si="30"/>
        <v>4707.9124478122976</v>
      </c>
      <c r="U93" s="311"/>
      <c r="V93" s="312">
        <v>79</v>
      </c>
      <c r="W93" s="299" t="s">
        <v>194</v>
      </c>
      <c r="X93" s="300">
        <v>44733</v>
      </c>
      <c r="Y93" s="299" t="s">
        <v>59</v>
      </c>
      <c r="Z93" s="303">
        <v>21321.77</v>
      </c>
      <c r="AA93" s="305">
        <f>IF(Z93=0,0,IF(Y93="MXN",1/HLOOKUP(YEAR(X93)+(MONTH(X93)/100),TC!$5:$37,DAY(X93)+2,FALSE),VLOOKUP(Y93,Equivalencia!$1:$23,((MAX(Equivalencia!$3:$3)-YEAR(X93))*14)+MONTH(X93)+2,FALSE)))</f>
        <v>1</v>
      </c>
      <c r="AB93" s="306">
        <f t="shared" si="31"/>
        <v>21321.77</v>
      </c>
      <c r="AC93" s="305">
        <f>+IF(X93=0,0,HLOOKUP(YEAR(X93)+(MONTH(X93)/100),TC!$5:$37,DAY(X93)+2,FALSE))</f>
        <v>20.475999999999999</v>
      </c>
      <c r="AD93" s="307">
        <f t="shared" si="32"/>
        <v>436584.56251999998</v>
      </c>
      <c r="AE93" s="314">
        <f t="shared" si="21"/>
        <v>371925.08337717154</v>
      </c>
      <c r="AF93" s="315">
        <f t="shared" si="22"/>
        <v>64659.479142828437</v>
      </c>
      <c r="AG93" s="316">
        <f t="shared" si="23"/>
        <v>3.0054794520547947</v>
      </c>
      <c r="AH93" s="314">
        <v>1</v>
      </c>
      <c r="AI93" s="314">
        <f t="shared" si="24"/>
        <v>64659.479142828437</v>
      </c>
      <c r="AJ93" s="314">
        <f t="shared" si="33"/>
        <v>0</v>
      </c>
      <c r="AK93" s="317"/>
      <c r="AL93" s="315">
        <f t="shared" si="25"/>
        <v>4700.8600000000006</v>
      </c>
      <c r="AN93" s="554">
        <f t="shared" si="26"/>
        <v>0.28282807620040062</v>
      </c>
      <c r="AO93" s="314"/>
      <c r="AP93" s="318"/>
    </row>
    <row r="94" spans="2:42">
      <c r="B94" s="296" t="s">
        <v>1266</v>
      </c>
      <c r="C94" s="299" t="s">
        <v>277</v>
      </c>
      <c r="D94" s="298" t="s">
        <v>784</v>
      </c>
      <c r="E94" s="299" t="s">
        <v>113</v>
      </c>
      <c r="F94" s="299" t="s">
        <v>59</v>
      </c>
      <c r="G94" s="300">
        <v>43315</v>
      </c>
      <c r="H94" s="303">
        <v>6753.03</v>
      </c>
      <c r="I94" s="301" t="str">
        <f t="shared" si="17"/>
        <v>Ingresos Sección II LISR (SIC &amp; BMV)</v>
      </c>
      <c r="J94" s="302">
        <f t="shared" si="27"/>
        <v>93</v>
      </c>
      <c r="K94" s="304">
        <f t="shared" si="18"/>
        <v>72.613225806451609</v>
      </c>
      <c r="L94" s="305">
        <f>IF(H94=0,0,IF(OR(E94=$AT$5,E94=$AT$6),AA94,IF(F94="MXN",1/HLOOKUP(YEAR(G94)+(MONTH(G94)/100),TC!$5:$37,DAY(G94)+2,FALSE),VLOOKUP(F94,Equivalencia!$5:$23,((MAX(Equivalencia!$3:$3)-YEAR(G94))*14)+MONTH(G94)+2,FALSE))))</f>
        <v>1</v>
      </c>
      <c r="M94" s="306">
        <f t="shared" si="19"/>
        <v>6753.03</v>
      </c>
      <c r="N94" s="305">
        <f>IF(G94=0,0,(IF(OR(E94=$AT$5,E94=$AT$6),AC94,HLOOKUP(YEAR(G94)+(MONTH(G94)/100),TC!$5:$37,DAY(G94)+2,FALSE))))</f>
        <v>18.5899</v>
      </c>
      <c r="O94" s="307">
        <f t="shared" si="28"/>
        <v>125538.152397</v>
      </c>
      <c r="P94" s="560">
        <f>IF(G94=0,0,VLOOKUP(YEAR(G94),INPC!$B$4:$P$30,MONTH(G94)+2))</f>
        <v>100.492</v>
      </c>
      <c r="Q94" s="560">
        <f>IF(X94=0,0,IF(OR(E94=$AT$10,E94=$AT$9),VLOOKUP(YEAR(X94),INPC!$B$4:$P$30,MONTH(X94)+1),VLOOKUP(YEAR(X94),INPC!$B$4:$P$30,MONTH(X94)+2,0)))</f>
        <v>121.02200000000001</v>
      </c>
      <c r="R94" s="309">
        <f t="shared" si="20"/>
        <v>1.2041999999999999</v>
      </c>
      <c r="S94" s="310">
        <f t="shared" si="29"/>
        <v>151173.04311646739</v>
      </c>
      <c r="T94" s="555">
        <f t="shared" si="30"/>
        <v>1625.516592650187</v>
      </c>
      <c r="U94" s="311"/>
      <c r="V94" s="312">
        <v>93</v>
      </c>
      <c r="W94" s="299" t="s">
        <v>194</v>
      </c>
      <c r="X94" s="300">
        <v>44715</v>
      </c>
      <c r="Y94" s="299" t="s">
        <v>59</v>
      </c>
      <c r="Z94" s="303">
        <v>9469.68</v>
      </c>
      <c r="AA94" s="305">
        <f>IF(Z94=0,0,IF(Y94="MXN",1/HLOOKUP(YEAR(X94)+(MONTH(X94)/100),TC!$5:$37,DAY(X94)+2,FALSE),VLOOKUP(Y94,Equivalencia!$1:$23,((MAX(Equivalencia!$3:$3)-YEAR(X94))*14)+MONTH(X94)+2,FALSE)))</f>
        <v>1</v>
      </c>
      <c r="AB94" s="306">
        <f t="shared" si="31"/>
        <v>9469.68</v>
      </c>
      <c r="AC94" s="305">
        <f>+IF(X94=0,0,HLOOKUP(YEAR(X94)+(MONTH(X94)/100),TC!$5:$37,DAY(X94)+2,FALSE))</f>
        <v>19.738800000000001</v>
      </c>
      <c r="AD94" s="307">
        <f t="shared" si="32"/>
        <v>186920.11958400003</v>
      </c>
      <c r="AE94" s="314">
        <f t="shared" si="21"/>
        <v>151173.04311646739</v>
      </c>
      <c r="AF94" s="315">
        <f t="shared" si="22"/>
        <v>35747.076467532635</v>
      </c>
      <c r="AG94" s="316">
        <f t="shared" si="23"/>
        <v>3.8356164383561642</v>
      </c>
      <c r="AH94" s="314">
        <v>1</v>
      </c>
      <c r="AI94" s="314">
        <f t="shared" si="24"/>
        <v>35747.076467532635</v>
      </c>
      <c r="AJ94" s="314">
        <f t="shared" si="33"/>
        <v>0</v>
      </c>
      <c r="AK94" s="317"/>
      <c r="AL94" s="315">
        <f t="shared" si="25"/>
        <v>2716.6500000000005</v>
      </c>
      <c r="AN94" s="554">
        <f t="shared" si="26"/>
        <v>0.40228608491299472</v>
      </c>
      <c r="AO94" s="314"/>
      <c r="AP94" s="318"/>
    </row>
    <row r="95" spans="2:42">
      <c r="B95" s="296" t="s">
        <v>1266</v>
      </c>
      <c r="C95" s="299" t="s">
        <v>277</v>
      </c>
      <c r="D95" s="298" t="s">
        <v>842</v>
      </c>
      <c r="E95" s="299" t="s">
        <v>113</v>
      </c>
      <c r="F95" s="299" t="s">
        <v>59</v>
      </c>
      <c r="G95" s="300">
        <v>43126</v>
      </c>
      <c r="H95" s="303">
        <v>810.03</v>
      </c>
      <c r="I95" s="301" t="str">
        <f t="shared" si="17"/>
        <v>Ingresos Sección II LISR (SIC &amp; BMV)</v>
      </c>
      <c r="J95" s="302">
        <f t="shared" si="27"/>
        <v>13</v>
      </c>
      <c r="K95" s="304">
        <f t="shared" si="18"/>
        <v>62.309999999999995</v>
      </c>
      <c r="L95" s="305">
        <f>IF(H95=0,0,IF(OR(E95=$AT$5,E95=$AT$6),AA95,IF(F95="MXN",1/HLOOKUP(YEAR(G95)+(MONTH(G95)/100),TC!$5:$37,DAY(G95)+2,FALSE),VLOOKUP(F95,Equivalencia!$5:$23,((MAX(Equivalencia!$3:$3)-YEAR(G95))*14)+MONTH(G95)+2,FALSE))))</f>
        <v>1</v>
      </c>
      <c r="M95" s="306">
        <f t="shared" si="19"/>
        <v>810.03</v>
      </c>
      <c r="N95" s="305">
        <f>IF(G95=0,0,(IF(OR(E95=$AT$5,E95=$AT$6),AC95,HLOOKUP(YEAR(G95)+(MONTH(G95)/100),TC!$5:$37,DAY(G95)+2,FALSE))))</f>
        <v>18.517800000000001</v>
      </c>
      <c r="O95" s="307">
        <f t="shared" si="28"/>
        <v>14999.973534000001</v>
      </c>
      <c r="P95" s="560">
        <f>IF(G95=0,0,VLOOKUP(YEAR(G95),INPC!$B$4:$P$30,MONTH(G95)+2))</f>
        <v>98.794999699501005</v>
      </c>
      <c r="Q95" s="560">
        <f>IF(X95=0,0,IF(OR(E95=$AT$10,E95=$AT$9),VLOOKUP(YEAR(X95),INPC!$B$4:$P$30,MONTH(X95)+1),VLOOKUP(YEAR(X95),INPC!$B$4:$P$30,MONTH(X95)+2,0)))</f>
        <v>121.02200000000001</v>
      </c>
      <c r="R95" s="309">
        <f t="shared" si="20"/>
        <v>1.2249000000000001</v>
      </c>
      <c r="S95" s="310">
        <f t="shared" si="29"/>
        <v>18373.467581796602</v>
      </c>
      <c r="T95" s="555">
        <f t="shared" si="30"/>
        <v>1413.3436601382002</v>
      </c>
      <c r="U95" s="311"/>
      <c r="V95" s="312">
        <v>13</v>
      </c>
      <c r="W95" s="299" t="s">
        <v>194</v>
      </c>
      <c r="X95" s="300">
        <v>44719</v>
      </c>
      <c r="Y95" s="299" t="s">
        <v>59</v>
      </c>
      <c r="Z95" s="303">
        <v>681.44</v>
      </c>
      <c r="AA95" s="305">
        <f>IF(Z95=0,0,IF(Y95="MXN",1/HLOOKUP(YEAR(X95)+(MONTH(X95)/100),TC!$5:$37,DAY(X95)+2,FALSE),VLOOKUP(Y95,Equivalencia!$1:$23,((MAX(Equivalencia!$3:$3)-YEAR(X95))*14)+MONTH(X95)+2,FALSE)))</f>
        <v>1</v>
      </c>
      <c r="AB95" s="306">
        <f t="shared" si="31"/>
        <v>681.44</v>
      </c>
      <c r="AC95" s="305">
        <f>+IF(X95=0,0,HLOOKUP(YEAR(X95)+(MONTH(X95)/100),TC!$5:$37,DAY(X95)+2,FALSE))</f>
        <v>19.574200000000001</v>
      </c>
      <c r="AD95" s="307">
        <f t="shared" si="32"/>
        <v>13338.642848000001</v>
      </c>
      <c r="AE95" s="314">
        <f t="shared" si="21"/>
        <v>18373.467581796602</v>
      </c>
      <c r="AF95" s="315">
        <f t="shared" si="22"/>
        <v>-5034.8247337966004</v>
      </c>
      <c r="AG95" s="316">
        <f t="shared" si="23"/>
        <v>4.3643835616438356</v>
      </c>
      <c r="AH95" s="314">
        <v>1</v>
      </c>
      <c r="AI95" s="314">
        <f t="shared" si="24"/>
        <v>-5034.8247337966004</v>
      </c>
      <c r="AJ95" s="314">
        <f t="shared" si="33"/>
        <v>0</v>
      </c>
      <c r="AK95" s="317"/>
      <c r="AL95" s="315">
        <f t="shared" si="25"/>
        <v>-128.58999999999992</v>
      </c>
      <c r="AN95" s="554">
        <f t="shared" si="26"/>
        <v>-0.15874720689357175</v>
      </c>
      <c r="AO95" s="314"/>
      <c r="AP95" s="318"/>
    </row>
    <row r="96" spans="2:42">
      <c r="B96" s="296" t="s">
        <v>1266</v>
      </c>
      <c r="C96" s="299" t="s">
        <v>277</v>
      </c>
      <c r="D96" s="298" t="s">
        <v>779</v>
      </c>
      <c r="E96" s="299" t="s">
        <v>113</v>
      </c>
      <c r="F96" s="299" t="s">
        <v>59</v>
      </c>
      <c r="G96" s="300">
        <v>43965</v>
      </c>
      <c r="H96" s="303">
        <v>12443.72</v>
      </c>
      <c r="I96" s="301" t="str">
        <f t="shared" si="17"/>
        <v>Ingresos Sección II LISR (SIC &amp; BMV)</v>
      </c>
      <c r="J96" s="302">
        <f t="shared" si="27"/>
        <v>35</v>
      </c>
      <c r="K96" s="304">
        <f t="shared" si="18"/>
        <v>355.53485714285711</v>
      </c>
      <c r="L96" s="305">
        <f>IF(H96=0,0,IF(OR(E96=$AT$5,E96=$AT$6),AA96,IF(F96="MXN",1/HLOOKUP(YEAR(G96)+(MONTH(G96)/100),TC!$5:$37,DAY(G96)+2,FALSE),VLOOKUP(F96,Equivalencia!$5:$23,((MAX(Equivalencia!$3:$3)-YEAR(G96))*14)+MONTH(G96)+2,FALSE))))</f>
        <v>1</v>
      </c>
      <c r="M96" s="306">
        <f t="shared" si="19"/>
        <v>12443.72</v>
      </c>
      <c r="N96" s="305">
        <f>IF(G96=0,0,(IF(OR(E96=$AT$5,E96=$AT$6),AC96,HLOOKUP(YEAR(G96)+(MONTH(G96)/100),TC!$5:$37,DAY(G96)+2,FALSE))))</f>
        <v>24.0487</v>
      </c>
      <c r="O96" s="307">
        <f t="shared" si="28"/>
        <v>299255.28916399996</v>
      </c>
      <c r="P96" s="560">
        <f>IF(G96=0,0,VLOOKUP(YEAR(G96),INPC!$B$4:$P$30,MONTH(G96)+2))</f>
        <v>106.16200000000001</v>
      </c>
      <c r="Q96" s="560">
        <f>IF(X96=0,0,IF(OR(E96=$AT$10,E96=$AT$9),VLOOKUP(YEAR(X96),INPC!$B$4:$P$30,MONTH(X96)+1),VLOOKUP(YEAR(X96),INPC!$B$4:$P$30,MONTH(X96)+2,0)))</f>
        <v>121.02200000000001</v>
      </c>
      <c r="R96" s="309">
        <f t="shared" si="20"/>
        <v>1.1398999999999999</v>
      </c>
      <c r="S96" s="310">
        <f t="shared" si="29"/>
        <v>341121.1041180435</v>
      </c>
      <c r="T96" s="555">
        <f t="shared" si="30"/>
        <v>9746.3172605155287</v>
      </c>
      <c r="U96" s="311"/>
      <c r="V96" s="312">
        <v>35</v>
      </c>
      <c r="W96" s="299" t="s">
        <v>194</v>
      </c>
      <c r="X96" s="300">
        <v>44734</v>
      </c>
      <c r="Y96" s="299" t="s">
        <v>59</v>
      </c>
      <c r="Z96" s="303">
        <v>14486.23</v>
      </c>
      <c r="AA96" s="305">
        <f>IF(Z96=0,0,IF(Y96="MXN",1/HLOOKUP(YEAR(X96)+(MONTH(X96)/100),TC!$5:$37,DAY(X96)+2,FALSE),VLOOKUP(Y96,Equivalencia!$1:$23,((MAX(Equivalencia!$3:$3)-YEAR(X96))*14)+MONTH(X96)+2,FALSE)))</f>
        <v>1</v>
      </c>
      <c r="AB96" s="306">
        <f t="shared" si="31"/>
        <v>14486.23</v>
      </c>
      <c r="AC96" s="305">
        <f>+IF(X96=0,0,HLOOKUP(YEAR(X96)+(MONTH(X96)/100),TC!$5:$37,DAY(X96)+2,FALSE))</f>
        <v>20.244199999999999</v>
      </c>
      <c r="AD96" s="307">
        <f t="shared" si="32"/>
        <v>293262.13736599998</v>
      </c>
      <c r="AE96" s="314">
        <f t="shared" si="21"/>
        <v>341121.1041180435</v>
      </c>
      <c r="AF96" s="315">
        <f t="shared" si="22"/>
        <v>-47858.966752043518</v>
      </c>
      <c r="AG96" s="316">
        <f t="shared" si="23"/>
        <v>2.106849315068493</v>
      </c>
      <c r="AH96" s="314">
        <v>1</v>
      </c>
      <c r="AI96" s="314">
        <f t="shared" si="24"/>
        <v>-47858.966752043518</v>
      </c>
      <c r="AJ96" s="314">
        <f t="shared" si="33"/>
        <v>0</v>
      </c>
      <c r="AK96" s="317"/>
      <c r="AL96" s="315">
        <f t="shared" si="25"/>
        <v>2042.5100000000002</v>
      </c>
      <c r="AN96" s="554">
        <f t="shared" si="26"/>
        <v>0.16413982313970424</v>
      </c>
      <c r="AO96" s="314"/>
      <c r="AP96" s="318"/>
    </row>
    <row r="97" spans="2:42">
      <c r="B97" s="296" t="s">
        <v>1266</v>
      </c>
      <c r="C97" s="299" t="s">
        <v>277</v>
      </c>
      <c r="D97" s="298" t="s">
        <v>779</v>
      </c>
      <c r="E97" s="299" t="s">
        <v>113</v>
      </c>
      <c r="F97" s="299" t="s">
        <v>59</v>
      </c>
      <c r="G97" s="300">
        <v>44102</v>
      </c>
      <c r="H97" s="303">
        <v>1181.1199999999999</v>
      </c>
      <c r="I97" s="301" t="str">
        <f t="shared" si="17"/>
        <v>Ingresos Sección II LISR (SIC &amp; BMV)</v>
      </c>
      <c r="J97" s="302">
        <f t="shared" si="27"/>
        <v>3</v>
      </c>
      <c r="K97" s="304">
        <f t="shared" si="18"/>
        <v>393.70666666666665</v>
      </c>
      <c r="L97" s="305">
        <f>IF(H97=0,0,IF(OR(E97=$AT$5,E97=$AT$6),AA97,IF(F97="MXN",1/HLOOKUP(YEAR(G97)+(MONTH(G97)/100),TC!$5:$37,DAY(G97)+2,FALSE),VLOOKUP(F97,Equivalencia!$5:$23,((MAX(Equivalencia!$3:$3)-YEAR(G97))*14)+MONTH(G97)+2,FALSE))))</f>
        <v>1</v>
      </c>
      <c r="M97" s="306">
        <f t="shared" si="19"/>
        <v>1181.1199999999999</v>
      </c>
      <c r="N97" s="305">
        <f>IF(G97=0,0,(IF(OR(E97=$AT$5,E97=$AT$6),AC97,HLOOKUP(YEAR(G97)+(MONTH(G97)/100),TC!$5:$37,DAY(G97)+2,FALSE))))</f>
        <v>22.367799999999999</v>
      </c>
      <c r="O97" s="307">
        <f t="shared" si="28"/>
        <v>26419.055935999997</v>
      </c>
      <c r="P97" s="560">
        <f>IF(G97=0,0,VLOOKUP(YEAR(G97),INPC!$B$4:$P$30,MONTH(G97)+2))</f>
        <v>108.114</v>
      </c>
      <c r="Q97" s="560">
        <f>IF(X97=0,0,IF(OR(E97=$AT$10,E97=$AT$9),VLOOKUP(YEAR(X97),INPC!$B$4:$P$30,MONTH(X97)+1),VLOOKUP(YEAR(X97),INPC!$B$4:$P$30,MONTH(X97)+2,0)))</f>
        <v>121.02200000000001</v>
      </c>
      <c r="R97" s="309">
        <f t="shared" si="20"/>
        <v>1.1193</v>
      </c>
      <c r="S97" s="310">
        <f t="shared" si="29"/>
        <v>29570.849309164794</v>
      </c>
      <c r="T97" s="555">
        <f t="shared" si="30"/>
        <v>9856.9497697215975</v>
      </c>
      <c r="U97" s="311"/>
      <c r="V97" s="312">
        <v>3</v>
      </c>
      <c r="W97" s="299" t="s">
        <v>194</v>
      </c>
      <c r="X97" s="300">
        <v>44734</v>
      </c>
      <c r="Y97" s="299" t="s">
        <v>59</v>
      </c>
      <c r="Z97" s="303">
        <v>1241.68</v>
      </c>
      <c r="AA97" s="305">
        <f>IF(Z97=0,0,IF(Y97="MXN",1/HLOOKUP(YEAR(X97)+(MONTH(X97)/100),TC!$5:$37,DAY(X97)+2,FALSE),VLOOKUP(Y97,Equivalencia!$1:$23,((MAX(Equivalencia!$3:$3)-YEAR(X97))*14)+MONTH(X97)+2,FALSE)))</f>
        <v>1</v>
      </c>
      <c r="AB97" s="306">
        <f t="shared" si="31"/>
        <v>1241.68</v>
      </c>
      <c r="AC97" s="305">
        <f>+IF(X97=0,0,HLOOKUP(YEAR(X97)+(MONTH(X97)/100),TC!$5:$37,DAY(X97)+2,FALSE))</f>
        <v>20.244199999999999</v>
      </c>
      <c r="AD97" s="307">
        <f t="shared" si="32"/>
        <v>25136.818255999999</v>
      </c>
      <c r="AE97" s="314">
        <f t="shared" si="21"/>
        <v>29570.849309164791</v>
      </c>
      <c r="AF97" s="315">
        <f t="shared" si="22"/>
        <v>-4434.031053164792</v>
      </c>
      <c r="AG97" s="316">
        <f t="shared" si="23"/>
        <v>1.7315068493150685</v>
      </c>
      <c r="AH97" s="314">
        <v>1</v>
      </c>
      <c r="AI97" s="314">
        <f t="shared" si="24"/>
        <v>-4434.031053164792</v>
      </c>
      <c r="AJ97" s="314">
        <f t="shared" si="33"/>
        <v>0</v>
      </c>
      <c r="AK97" s="317"/>
      <c r="AL97" s="315">
        <f t="shared" si="25"/>
        <v>60.560000000000173</v>
      </c>
      <c r="AN97" s="554">
        <f t="shared" si="26"/>
        <v>5.1273367651043227E-2</v>
      </c>
      <c r="AO97" s="314"/>
      <c r="AP97" s="318"/>
    </row>
    <row r="98" spans="2:42">
      <c r="B98" s="296" t="s">
        <v>1266</v>
      </c>
      <c r="C98" s="299" t="s">
        <v>277</v>
      </c>
      <c r="D98" s="298" t="s">
        <v>748</v>
      </c>
      <c r="E98" s="299" t="s">
        <v>113</v>
      </c>
      <c r="F98" s="299" t="s">
        <v>59</v>
      </c>
      <c r="G98" s="300">
        <v>43315</v>
      </c>
      <c r="H98" s="303">
        <v>12311.46</v>
      </c>
      <c r="I98" s="301" t="str">
        <f t="shared" si="17"/>
        <v>Ingresos Sección II LISR (SIC &amp; BMV)</v>
      </c>
      <c r="J98" s="302">
        <f t="shared" si="27"/>
        <v>126</v>
      </c>
      <c r="K98" s="304">
        <f t="shared" si="18"/>
        <v>97.71</v>
      </c>
      <c r="L98" s="305">
        <f>IF(H98=0,0,IF(OR(E98=$AT$5,E98=$AT$6),AA98,IF(F98="MXN",1/HLOOKUP(YEAR(G98)+(MONTH(G98)/100),TC!$5:$37,DAY(G98)+2,FALSE),VLOOKUP(F98,Equivalencia!$5:$23,((MAX(Equivalencia!$3:$3)-YEAR(G98))*14)+MONTH(G98)+2,FALSE))))</f>
        <v>1</v>
      </c>
      <c r="M98" s="306">
        <f t="shared" si="19"/>
        <v>12311.46</v>
      </c>
      <c r="N98" s="305">
        <f>IF(G98=0,0,(IF(OR(E98=$AT$5,E98=$AT$6),AC98,HLOOKUP(YEAR(G98)+(MONTH(G98)/100),TC!$5:$37,DAY(G98)+2,FALSE))))</f>
        <v>18.5899</v>
      </c>
      <c r="O98" s="307">
        <f t="shared" si="28"/>
        <v>228868.81025399998</v>
      </c>
      <c r="P98" s="560">
        <f>IF(G98=0,0,VLOOKUP(YEAR(G98),INPC!$B$4:$P$30,MONTH(G98)+2))</f>
        <v>100.492</v>
      </c>
      <c r="Q98" s="560">
        <f>IF(X98=0,0,IF(OR(E98=$AT$10,E98=$AT$9),VLOOKUP(YEAR(X98),INPC!$B$4:$P$30,MONTH(X98)+1),VLOOKUP(YEAR(X98),INPC!$B$4:$P$30,MONTH(X98)+2,0)))</f>
        <v>121.02200000000001</v>
      </c>
      <c r="R98" s="309">
        <f t="shared" si="20"/>
        <v>1.2041999999999999</v>
      </c>
      <c r="S98" s="310">
        <f t="shared" si="29"/>
        <v>275603.82130786678</v>
      </c>
      <c r="T98" s="555">
        <f t="shared" si="30"/>
        <v>2187.3319151418</v>
      </c>
      <c r="U98" s="311"/>
      <c r="V98" s="312">
        <v>126</v>
      </c>
      <c r="W98" s="299" t="s">
        <v>194</v>
      </c>
      <c r="X98" s="300">
        <v>44733</v>
      </c>
      <c r="Y98" s="299" t="s">
        <v>59</v>
      </c>
      <c r="Z98" s="303">
        <v>21786.880000000001</v>
      </c>
      <c r="AA98" s="305">
        <f>IF(Z98=0,0,IF(Y98="MXN",1/HLOOKUP(YEAR(X98)+(MONTH(X98)/100),TC!$5:$37,DAY(X98)+2,FALSE),VLOOKUP(Y98,Equivalencia!$1:$23,((MAX(Equivalencia!$3:$3)-YEAR(X98))*14)+MONTH(X98)+2,FALSE)))</f>
        <v>1</v>
      </c>
      <c r="AB98" s="306">
        <f t="shared" si="31"/>
        <v>21786.880000000001</v>
      </c>
      <c r="AC98" s="305">
        <f>+IF(X98=0,0,HLOOKUP(YEAR(X98)+(MONTH(X98)/100),TC!$5:$37,DAY(X98)+2,FALSE))</f>
        <v>20.475999999999999</v>
      </c>
      <c r="AD98" s="307">
        <f t="shared" si="32"/>
        <v>446108.15487999999</v>
      </c>
      <c r="AE98" s="314">
        <f t="shared" si="21"/>
        <v>275603.82130786678</v>
      </c>
      <c r="AF98" s="315">
        <f t="shared" si="22"/>
        <v>170504.33357213321</v>
      </c>
      <c r="AG98" s="316">
        <f t="shared" si="23"/>
        <v>3.8849315068493149</v>
      </c>
      <c r="AH98" s="314">
        <v>1</v>
      </c>
      <c r="AI98" s="314">
        <f t="shared" si="24"/>
        <v>170504.33357213321</v>
      </c>
      <c r="AJ98" s="314">
        <f t="shared" si="33"/>
        <v>0</v>
      </c>
      <c r="AK98" s="317"/>
      <c r="AL98" s="315">
        <f t="shared" si="25"/>
        <v>9475.4200000000019</v>
      </c>
      <c r="AN98" s="554">
        <f t="shared" si="26"/>
        <v>0.76964226826062887</v>
      </c>
      <c r="AO98" s="314"/>
      <c r="AP98" s="318"/>
    </row>
    <row r="99" spans="2:42">
      <c r="B99" s="296" t="s">
        <v>1266</v>
      </c>
      <c r="C99" s="299" t="s">
        <v>277</v>
      </c>
      <c r="D99" s="298" t="s">
        <v>875</v>
      </c>
      <c r="E99" s="299" t="s">
        <v>113</v>
      </c>
      <c r="F99" s="299" t="s">
        <v>59</v>
      </c>
      <c r="G99" s="300">
        <v>43887</v>
      </c>
      <c r="H99" s="303">
        <v>23482.63</v>
      </c>
      <c r="I99" s="301" t="str">
        <f t="shared" si="17"/>
        <v>Ingresos Sección II LISR (SIC &amp; BMV)</v>
      </c>
      <c r="J99" s="302">
        <f t="shared" si="27"/>
        <v>117</v>
      </c>
      <c r="K99" s="304">
        <f t="shared" si="18"/>
        <v>200.70623931623933</v>
      </c>
      <c r="L99" s="305">
        <f>IF(H99=0,0,IF(OR(E99=$AT$5,E99=$AT$6),AA99,IF(F99="MXN",1/HLOOKUP(YEAR(G99)+(MONTH(G99)/100),TC!$5:$37,DAY(G99)+2,FALSE),VLOOKUP(F99,Equivalencia!$5:$23,((MAX(Equivalencia!$3:$3)-YEAR(G99))*14)+MONTH(G99)+2,FALSE))))</f>
        <v>1</v>
      </c>
      <c r="M99" s="306">
        <f t="shared" si="19"/>
        <v>23482.63</v>
      </c>
      <c r="N99" s="305">
        <f>IF(G99=0,0,(IF(OR(E99=$AT$5,E99=$AT$6),AC99,HLOOKUP(YEAR(G99)+(MONTH(G99)/100),TC!$5:$37,DAY(G99)+2,FALSE))))</f>
        <v>19.119700000000002</v>
      </c>
      <c r="O99" s="307">
        <f t="shared" si="28"/>
        <v>448980.84081100003</v>
      </c>
      <c r="P99" s="560">
        <f>IF(G99=0,0,VLOOKUP(YEAR(G99),INPC!$B$4:$P$30,MONTH(G99)+2))</f>
        <v>106.889</v>
      </c>
      <c r="Q99" s="560">
        <f>IF(X99=0,0,IF(OR(E99=$AT$10,E99=$AT$9),VLOOKUP(YEAR(X99),INPC!$B$4:$P$30,MONTH(X99)+1),VLOOKUP(YEAR(X99),INPC!$B$4:$P$30,MONTH(X99)+2,0)))</f>
        <v>121.02200000000001</v>
      </c>
      <c r="R99" s="309">
        <f t="shared" si="20"/>
        <v>1.1322000000000001</v>
      </c>
      <c r="S99" s="310">
        <f t="shared" si="29"/>
        <v>508336.1079662143</v>
      </c>
      <c r="T99" s="555">
        <f t="shared" si="30"/>
        <v>4344.7530595402932</v>
      </c>
      <c r="U99" s="311"/>
      <c r="V99" s="312">
        <v>117</v>
      </c>
      <c r="W99" s="299" t="s">
        <v>194</v>
      </c>
      <c r="X99" s="300">
        <v>44733</v>
      </c>
      <c r="Y99" s="299" t="s">
        <v>59</v>
      </c>
      <c r="Z99" s="303">
        <v>18695.82</v>
      </c>
      <c r="AA99" s="305">
        <f>IF(Z99=0,0,IF(Y99="MXN",1/HLOOKUP(YEAR(X99)+(MONTH(X99)/100),TC!$5:$37,DAY(X99)+2,FALSE),VLOOKUP(Y99,Equivalencia!$1:$23,((MAX(Equivalencia!$3:$3)-YEAR(X99))*14)+MONTH(X99)+2,FALSE)))</f>
        <v>1</v>
      </c>
      <c r="AB99" s="306">
        <f t="shared" si="31"/>
        <v>18695.82</v>
      </c>
      <c r="AC99" s="305">
        <f>+IF(X99=0,0,HLOOKUP(YEAR(X99)+(MONTH(X99)/100),TC!$5:$37,DAY(X99)+2,FALSE))</f>
        <v>20.475999999999999</v>
      </c>
      <c r="AD99" s="307">
        <f t="shared" si="32"/>
        <v>382815.61031999998</v>
      </c>
      <c r="AE99" s="314">
        <f t="shared" si="21"/>
        <v>508336.1079662143</v>
      </c>
      <c r="AF99" s="315">
        <f t="shared" si="22"/>
        <v>-125520.49764621432</v>
      </c>
      <c r="AG99" s="316">
        <f t="shared" si="23"/>
        <v>2.3178082191780822</v>
      </c>
      <c r="AH99" s="314">
        <v>1</v>
      </c>
      <c r="AI99" s="314">
        <f t="shared" si="24"/>
        <v>-125520.49764621432</v>
      </c>
      <c r="AJ99" s="314">
        <f t="shared" si="33"/>
        <v>0</v>
      </c>
      <c r="AK99" s="317"/>
      <c r="AL99" s="315">
        <f t="shared" si="25"/>
        <v>-4786.8100000000013</v>
      </c>
      <c r="AN99" s="554">
        <f t="shared" si="26"/>
        <v>-0.20384471415680447</v>
      </c>
      <c r="AO99" s="314"/>
      <c r="AP99" s="318"/>
    </row>
    <row r="100" spans="2:42">
      <c r="B100" s="296" t="s">
        <v>1266</v>
      </c>
      <c r="C100" s="299" t="s">
        <v>277</v>
      </c>
      <c r="D100" s="298" t="s">
        <v>875</v>
      </c>
      <c r="E100" s="299" t="s">
        <v>113</v>
      </c>
      <c r="F100" s="299" t="s">
        <v>59</v>
      </c>
      <c r="G100" s="300">
        <v>43906</v>
      </c>
      <c r="H100" s="303">
        <v>8869.98</v>
      </c>
      <c r="I100" s="301" t="str">
        <f t="shared" si="17"/>
        <v>Ingresos Sección II LISR (SIC &amp; BMV)</v>
      </c>
      <c r="J100" s="302">
        <f t="shared" si="27"/>
        <v>58</v>
      </c>
      <c r="K100" s="304">
        <f t="shared" si="18"/>
        <v>152.93068965517242</v>
      </c>
      <c r="L100" s="305">
        <f>IF(H100=0,0,IF(OR(E100=$AT$5,E100=$AT$6),AA100,IF(F100="MXN",1/HLOOKUP(YEAR(G100)+(MONTH(G100)/100),TC!$5:$37,DAY(G100)+2,FALSE),VLOOKUP(F100,Equivalencia!$5:$23,((MAX(Equivalencia!$3:$3)-YEAR(G100))*14)+MONTH(G100)+2,FALSE))))</f>
        <v>1</v>
      </c>
      <c r="M100" s="306">
        <f t="shared" si="19"/>
        <v>8869.98</v>
      </c>
      <c r="N100" s="305">
        <f>IF(G100=0,0,(IF(OR(E100=$AT$5,E100=$AT$6),AC100,HLOOKUP(YEAR(G100)+(MONTH(G100)/100),TC!$5:$37,DAY(G100)+2,FALSE))))</f>
        <v>22.151800000000001</v>
      </c>
      <c r="O100" s="307">
        <f t="shared" si="28"/>
        <v>196486.022964</v>
      </c>
      <c r="P100" s="560">
        <f>IF(G100=0,0,VLOOKUP(YEAR(G100),INPC!$B$4:$P$30,MONTH(G100)+2))</f>
        <v>106.83799999999999</v>
      </c>
      <c r="Q100" s="560">
        <f>IF(X100=0,0,IF(OR(E100=$AT$10,E100=$AT$9),VLOOKUP(YEAR(X100),INPC!$B$4:$P$30,MONTH(X100)+1),VLOOKUP(YEAR(X100),INPC!$B$4:$P$30,MONTH(X100)+2,0)))</f>
        <v>121.02200000000001</v>
      </c>
      <c r="R100" s="309">
        <f t="shared" si="20"/>
        <v>1.1327</v>
      </c>
      <c r="S100" s="310">
        <f t="shared" si="29"/>
        <v>222559.71821132282</v>
      </c>
      <c r="T100" s="555">
        <f t="shared" si="30"/>
        <v>3837.236520884876</v>
      </c>
      <c r="U100" s="311"/>
      <c r="V100" s="312">
        <v>58</v>
      </c>
      <c r="W100" s="299" t="s">
        <v>194</v>
      </c>
      <c r="X100" s="300">
        <v>44733</v>
      </c>
      <c r="Y100" s="299" t="s">
        <v>59</v>
      </c>
      <c r="Z100" s="303">
        <v>9268.01</v>
      </c>
      <c r="AA100" s="305">
        <f>IF(Z100=0,0,IF(Y100="MXN",1/HLOOKUP(YEAR(X100)+(MONTH(X100)/100),TC!$5:$37,DAY(X100)+2,FALSE),VLOOKUP(Y100,Equivalencia!$1:$23,((MAX(Equivalencia!$3:$3)-YEAR(X100))*14)+MONTH(X100)+2,FALSE)))</f>
        <v>1</v>
      </c>
      <c r="AB100" s="306">
        <f t="shared" si="31"/>
        <v>9268.01</v>
      </c>
      <c r="AC100" s="305">
        <f>+IF(X100=0,0,HLOOKUP(YEAR(X100)+(MONTH(X100)/100),TC!$5:$37,DAY(X100)+2,FALSE))</f>
        <v>20.475999999999999</v>
      </c>
      <c r="AD100" s="307">
        <f t="shared" si="32"/>
        <v>189771.77275999999</v>
      </c>
      <c r="AE100" s="314">
        <f t="shared" si="21"/>
        <v>222559.71821132282</v>
      </c>
      <c r="AF100" s="315">
        <f t="shared" si="22"/>
        <v>-32787.945451322827</v>
      </c>
      <c r="AG100" s="316">
        <f t="shared" si="23"/>
        <v>2.2657534246575342</v>
      </c>
      <c r="AH100" s="314">
        <v>1</v>
      </c>
      <c r="AI100" s="314">
        <f t="shared" si="24"/>
        <v>-32787.945451322827</v>
      </c>
      <c r="AJ100" s="314">
        <f t="shared" si="33"/>
        <v>0</v>
      </c>
      <c r="AK100" s="317"/>
      <c r="AL100" s="315">
        <f t="shared" si="25"/>
        <v>398.03000000000065</v>
      </c>
      <c r="AN100" s="554">
        <f t="shared" si="26"/>
        <v>4.487383286095354E-2</v>
      </c>
      <c r="AO100" s="314"/>
      <c r="AP100" s="318"/>
    </row>
    <row r="101" spans="2:42">
      <c r="B101" s="296" t="s">
        <v>1266</v>
      </c>
      <c r="C101" s="299" t="s">
        <v>277</v>
      </c>
      <c r="D101" s="298" t="s">
        <v>875</v>
      </c>
      <c r="E101" s="299" t="s">
        <v>113</v>
      </c>
      <c r="F101" s="299" t="s">
        <v>59</v>
      </c>
      <c r="G101" s="300">
        <v>43907</v>
      </c>
      <c r="H101" s="303">
        <v>3855.71</v>
      </c>
      <c r="I101" s="301" t="str">
        <f t="shared" si="17"/>
        <v>Ingresos Sección II LISR (SIC &amp; BMV)</v>
      </c>
      <c r="J101" s="302">
        <f t="shared" si="27"/>
        <v>26</v>
      </c>
      <c r="K101" s="304">
        <f t="shared" si="18"/>
        <v>148.29653846153846</v>
      </c>
      <c r="L101" s="305">
        <f>IF(H101=0,0,IF(OR(E101=$AT$5,E101=$AT$6),AA101,IF(F101="MXN",1/HLOOKUP(YEAR(G101)+(MONTH(G101)/100),TC!$5:$37,DAY(G101)+2,FALSE),VLOOKUP(F101,Equivalencia!$5:$23,((MAX(Equivalencia!$3:$3)-YEAR(G101))*14)+MONTH(G101)+2,FALSE))))</f>
        <v>1</v>
      </c>
      <c r="M101" s="306">
        <f t="shared" si="19"/>
        <v>3855.71</v>
      </c>
      <c r="N101" s="305">
        <f>IF(G101=0,0,(IF(OR(E101=$AT$5,E101=$AT$6),AC101,HLOOKUP(YEAR(G101)+(MONTH(G101)/100),TC!$5:$37,DAY(G101)+2,FALSE))))</f>
        <v>22.151800000000001</v>
      </c>
      <c r="O101" s="307">
        <f t="shared" si="28"/>
        <v>85410.916778000013</v>
      </c>
      <c r="P101" s="560">
        <f>IF(G101=0,0,VLOOKUP(YEAR(G101),INPC!$B$4:$P$30,MONTH(G101)+2))</f>
        <v>106.83799999999999</v>
      </c>
      <c r="Q101" s="560">
        <f>IF(X101=0,0,IF(OR(E101=$AT$10,E101=$AT$9),VLOOKUP(YEAR(X101),INPC!$B$4:$P$30,MONTH(X101)+1),VLOOKUP(YEAR(X101),INPC!$B$4:$P$30,MONTH(X101)+2,0)))</f>
        <v>121.02200000000001</v>
      </c>
      <c r="R101" s="309">
        <f t="shared" si="20"/>
        <v>1.1327</v>
      </c>
      <c r="S101" s="310">
        <f t="shared" si="29"/>
        <v>96744.945434440626</v>
      </c>
      <c r="T101" s="555">
        <f t="shared" si="30"/>
        <v>3720.9594397861779</v>
      </c>
      <c r="U101" s="311"/>
      <c r="V101" s="312">
        <v>26</v>
      </c>
      <c r="W101" s="299" t="s">
        <v>194</v>
      </c>
      <c r="X101" s="300">
        <v>44733</v>
      </c>
      <c r="Y101" s="299" t="s">
        <v>59</v>
      </c>
      <c r="Z101" s="303">
        <v>4154.63</v>
      </c>
      <c r="AA101" s="305">
        <f>IF(Z101=0,0,IF(Y101="MXN",1/HLOOKUP(YEAR(X101)+(MONTH(X101)/100),TC!$5:$37,DAY(X101)+2,FALSE),VLOOKUP(Y101,Equivalencia!$1:$23,((MAX(Equivalencia!$3:$3)-YEAR(X101))*14)+MONTH(X101)+2,FALSE)))</f>
        <v>1</v>
      </c>
      <c r="AB101" s="306">
        <f t="shared" si="31"/>
        <v>4154.63</v>
      </c>
      <c r="AC101" s="305">
        <f>+IF(X101=0,0,HLOOKUP(YEAR(X101)+(MONTH(X101)/100),TC!$5:$37,DAY(X101)+2,FALSE))</f>
        <v>20.475999999999999</v>
      </c>
      <c r="AD101" s="307">
        <f t="shared" si="32"/>
        <v>85070.203880000001</v>
      </c>
      <c r="AE101" s="314">
        <f t="shared" si="21"/>
        <v>96744.945434440626</v>
      </c>
      <c r="AF101" s="315">
        <f t="shared" si="22"/>
        <v>-11674.741554440625</v>
      </c>
      <c r="AG101" s="316">
        <f t="shared" si="23"/>
        <v>2.2630136986301368</v>
      </c>
      <c r="AH101" s="314">
        <v>1</v>
      </c>
      <c r="AI101" s="314">
        <f t="shared" si="24"/>
        <v>-11674.741554440625</v>
      </c>
      <c r="AJ101" s="314">
        <f t="shared" si="33"/>
        <v>0</v>
      </c>
      <c r="AK101" s="317"/>
      <c r="AL101" s="315">
        <f t="shared" si="25"/>
        <v>298.92000000000007</v>
      </c>
      <c r="AN101" s="554">
        <f t="shared" si="26"/>
        <v>7.752657746562891E-2</v>
      </c>
      <c r="AO101" s="314"/>
      <c r="AP101" s="318"/>
    </row>
    <row r="102" spans="2:42">
      <c r="B102" s="296" t="s">
        <v>1266</v>
      </c>
      <c r="C102" s="299" t="s">
        <v>277</v>
      </c>
      <c r="D102" s="298" t="s">
        <v>875</v>
      </c>
      <c r="E102" s="299" t="s">
        <v>113</v>
      </c>
      <c r="F102" s="299" t="s">
        <v>59</v>
      </c>
      <c r="G102" s="300">
        <v>43964</v>
      </c>
      <c r="H102" s="303">
        <v>35509.08</v>
      </c>
      <c r="I102" s="301" t="str">
        <f t="shared" si="17"/>
        <v>Ingresos Sección II LISR (SIC &amp; BMV)</v>
      </c>
      <c r="J102" s="302">
        <f t="shared" si="27"/>
        <v>175</v>
      </c>
      <c r="K102" s="304">
        <f t="shared" si="18"/>
        <v>202.90902857142859</v>
      </c>
      <c r="L102" s="305">
        <f>IF(H102=0,0,IF(OR(E102=$AT$5,E102=$AT$6),AA102,IF(F102="MXN",1/HLOOKUP(YEAR(G102)+(MONTH(G102)/100),TC!$5:$37,DAY(G102)+2,FALSE),VLOOKUP(F102,Equivalencia!$5:$23,((MAX(Equivalencia!$3:$3)-YEAR(G102))*14)+MONTH(G102)+2,FALSE))))</f>
        <v>1</v>
      </c>
      <c r="M102" s="306">
        <f t="shared" si="19"/>
        <v>35509.08</v>
      </c>
      <c r="N102" s="305">
        <f>IF(G102=0,0,(IF(OR(E102=$AT$5,E102=$AT$6),AC102,HLOOKUP(YEAR(G102)+(MONTH(G102)/100),TC!$5:$37,DAY(G102)+2,FALSE))))</f>
        <v>23.869299999999999</v>
      </c>
      <c r="O102" s="307">
        <f t="shared" si="28"/>
        <v>847576.88324400003</v>
      </c>
      <c r="P102" s="560">
        <f>IF(G102=0,0,VLOOKUP(YEAR(G102),INPC!$B$4:$P$30,MONTH(G102)+2))</f>
        <v>106.16200000000001</v>
      </c>
      <c r="Q102" s="560">
        <f>IF(X102=0,0,IF(OR(E102=$AT$10,E102=$AT$9),VLOOKUP(YEAR(X102),INPC!$B$4:$P$30,MONTH(X102)+1),VLOOKUP(YEAR(X102),INPC!$B$4:$P$30,MONTH(X102)+2,0)))</f>
        <v>121.02200000000001</v>
      </c>
      <c r="R102" s="309">
        <f t="shared" si="20"/>
        <v>1.1398999999999999</v>
      </c>
      <c r="S102" s="310">
        <f t="shared" si="29"/>
        <v>966152.88920983556</v>
      </c>
      <c r="T102" s="555">
        <f t="shared" si="30"/>
        <v>5520.8736526276316</v>
      </c>
      <c r="U102" s="311"/>
      <c r="V102" s="312">
        <v>175</v>
      </c>
      <c r="W102" s="299" t="s">
        <v>194</v>
      </c>
      <c r="X102" s="300">
        <v>44733</v>
      </c>
      <c r="Y102" s="299" t="s">
        <v>59</v>
      </c>
      <c r="Z102" s="303">
        <v>27963.84</v>
      </c>
      <c r="AA102" s="305">
        <f>IF(Z102=0,0,IF(Y102="MXN",1/HLOOKUP(YEAR(X102)+(MONTH(X102)/100),TC!$5:$37,DAY(X102)+2,FALSE),VLOOKUP(Y102,Equivalencia!$1:$23,((MAX(Equivalencia!$3:$3)-YEAR(X102))*14)+MONTH(X102)+2,FALSE)))</f>
        <v>1</v>
      </c>
      <c r="AB102" s="306">
        <f t="shared" si="31"/>
        <v>27963.84</v>
      </c>
      <c r="AC102" s="305">
        <f>+IF(X102=0,0,HLOOKUP(YEAR(X102)+(MONTH(X102)/100),TC!$5:$37,DAY(X102)+2,FALSE))</f>
        <v>20.475999999999999</v>
      </c>
      <c r="AD102" s="307">
        <f t="shared" si="32"/>
        <v>572587.58783999993</v>
      </c>
      <c r="AE102" s="314">
        <f t="shared" si="21"/>
        <v>966152.88920983556</v>
      </c>
      <c r="AF102" s="315">
        <f t="shared" si="22"/>
        <v>-393565.30136983562</v>
      </c>
      <c r="AG102" s="316">
        <f t="shared" si="23"/>
        <v>2.106849315068493</v>
      </c>
      <c r="AH102" s="314">
        <v>1</v>
      </c>
      <c r="AI102" s="314">
        <f t="shared" si="24"/>
        <v>-393565.30136983562</v>
      </c>
      <c r="AJ102" s="314">
        <f t="shared" si="33"/>
        <v>0</v>
      </c>
      <c r="AK102" s="317"/>
      <c r="AL102" s="315">
        <f t="shared" si="25"/>
        <v>-7545.2400000000016</v>
      </c>
      <c r="AN102" s="554">
        <f t="shared" si="26"/>
        <v>-0.21248762288406237</v>
      </c>
      <c r="AO102" s="314"/>
      <c r="AP102" s="318"/>
    </row>
    <row r="103" spans="2:42">
      <c r="B103" s="296" t="s">
        <v>1266</v>
      </c>
      <c r="C103" s="299" t="s">
        <v>277</v>
      </c>
      <c r="D103" s="298" t="s">
        <v>875</v>
      </c>
      <c r="E103" s="299" t="s">
        <v>113</v>
      </c>
      <c r="F103" s="299" t="s">
        <v>59</v>
      </c>
      <c r="G103" s="300">
        <v>44221</v>
      </c>
      <c r="H103" s="303">
        <v>45342.18</v>
      </c>
      <c r="I103" s="301" t="str">
        <f t="shared" si="17"/>
        <v>Ingresos Sección II LISR (SIC &amp; BMV)</v>
      </c>
      <c r="J103" s="302">
        <f t="shared" si="27"/>
        <v>164</v>
      </c>
      <c r="K103" s="304">
        <f t="shared" si="18"/>
        <v>276.47670731707319</v>
      </c>
      <c r="L103" s="305">
        <f>IF(H103=0,0,IF(OR(E103=$AT$5,E103=$AT$6),AA103,IF(F103="MXN",1/HLOOKUP(YEAR(G103)+(MONTH(G103)/100),TC!$5:$37,DAY(G103)+2,FALSE),VLOOKUP(F103,Equivalencia!$5:$23,((MAX(Equivalencia!$3:$3)-YEAR(G103))*14)+MONTH(G103)+2,FALSE))))</f>
        <v>1</v>
      </c>
      <c r="M103" s="306">
        <f t="shared" si="19"/>
        <v>45342.18</v>
      </c>
      <c r="N103" s="305">
        <f>IF(G103=0,0,(IF(OR(E103=$AT$5,E103=$AT$6),AC103,HLOOKUP(YEAR(G103)+(MONTH(G103)/100),TC!$5:$37,DAY(G103)+2,FALSE))))</f>
        <v>19.7393</v>
      </c>
      <c r="O103" s="307">
        <f t="shared" si="28"/>
        <v>895022.89367400005</v>
      </c>
      <c r="P103" s="560">
        <f>IF(G103=0,0,VLOOKUP(YEAR(G103),INPC!$B$4:$P$30,MONTH(G103)+2))</f>
        <v>110.21</v>
      </c>
      <c r="Q103" s="560">
        <f>IF(X103=0,0,IF(OR(E103=$AT$10,E103=$AT$9),VLOOKUP(YEAR(X103),INPC!$B$4:$P$30,MONTH(X103)+1),VLOOKUP(YEAR(X103),INPC!$B$4:$P$30,MONTH(X103)+2,0)))</f>
        <v>121.02200000000001</v>
      </c>
      <c r="R103" s="309">
        <f t="shared" si="20"/>
        <v>1.0981000000000001</v>
      </c>
      <c r="S103" s="310">
        <f t="shared" si="29"/>
        <v>982824.63954341947</v>
      </c>
      <c r="T103" s="555">
        <f t="shared" si="30"/>
        <v>5992.8331679476796</v>
      </c>
      <c r="U103" s="311"/>
      <c r="V103" s="312">
        <v>164</v>
      </c>
      <c r="W103" s="299" t="s">
        <v>194</v>
      </c>
      <c r="X103" s="300">
        <v>44733</v>
      </c>
      <c r="Y103" s="299" t="s">
        <v>59</v>
      </c>
      <c r="Z103" s="303">
        <v>26206.1</v>
      </c>
      <c r="AA103" s="305">
        <f>IF(Z103=0,0,IF(Y103="MXN",1/HLOOKUP(YEAR(X103)+(MONTH(X103)/100),TC!$5:$37,DAY(X103)+2,FALSE),VLOOKUP(Y103,Equivalencia!$1:$23,((MAX(Equivalencia!$3:$3)-YEAR(X103))*14)+MONTH(X103)+2,FALSE)))</f>
        <v>1</v>
      </c>
      <c r="AB103" s="306">
        <f t="shared" si="31"/>
        <v>26206.1</v>
      </c>
      <c r="AC103" s="305">
        <f>+IF(X103=0,0,HLOOKUP(YEAR(X103)+(MONTH(X103)/100),TC!$5:$37,DAY(X103)+2,FALSE))</f>
        <v>20.475999999999999</v>
      </c>
      <c r="AD103" s="307">
        <f t="shared" si="32"/>
        <v>536596.10359999991</v>
      </c>
      <c r="AE103" s="314">
        <f t="shared" si="21"/>
        <v>982824.63954341947</v>
      </c>
      <c r="AF103" s="315">
        <f t="shared" si="22"/>
        <v>-446228.53594341956</v>
      </c>
      <c r="AG103" s="316">
        <f t="shared" si="23"/>
        <v>1.4027397260273973</v>
      </c>
      <c r="AH103" s="314">
        <v>1</v>
      </c>
      <c r="AI103" s="314">
        <f t="shared" si="24"/>
        <v>-446228.53594341956</v>
      </c>
      <c r="AJ103" s="314">
        <f t="shared" si="33"/>
        <v>0</v>
      </c>
      <c r="AK103" s="317"/>
      <c r="AL103" s="315">
        <f t="shared" si="25"/>
        <v>-19136.080000000002</v>
      </c>
      <c r="AN103" s="554">
        <f t="shared" si="26"/>
        <v>-0.42203705247520085</v>
      </c>
      <c r="AO103" s="314"/>
      <c r="AP103" s="318"/>
    </row>
    <row r="104" spans="2:42">
      <c r="B104" s="296" t="s">
        <v>1266</v>
      </c>
      <c r="C104" s="299" t="s">
        <v>277</v>
      </c>
      <c r="D104" s="298" t="s">
        <v>875</v>
      </c>
      <c r="E104" s="299" t="s">
        <v>113</v>
      </c>
      <c r="F104" s="299" t="s">
        <v>59</v>
      </c>
      <c r="G104" s="300">
        <v>44728</v>
      </c>
      <c r="H104" s="303">
        <v>2272.58</v>
      </c>
      <c r="I104" s="301" t="str">
        <f t="shared" si="17"/>
        <v>Ingresos Sección II LISR (SIC &amp; BMV)</v>
      </c>
      <c r="J104" s="302">
        <f t="shared" si="27"/>
        <v>14</v>
      </c>
      <c r="K104" s="304">
        <f t="shared" si="18"/>
        <v>162.32714285714286</v>
      </c>
      <c r="L104" s="305">
        <f>IF(H104=0,0,IF(OR(E104=$AT$5,E104=$AT$6),AA104,IF(F104="MXN",1/HLOOKUP(YEAR(G104)+(MONTH(G104)/100),TC!$5:$37,DAY(G104)+2,FALSE),VLOOKUP(F104,Equivalencia!$5:$23,((MAX(Equivalencia!$3:$3)-YEAR(G104))*14)+MONTH(G104)+2,FALSE))))</f>
        <v>1</v>
      </c>
      <c r="M104" s="306">
        <f t="shared" si="19"/>
        <v>2272.58</v>
      </c>
      <c r="N104" s="305">
        <f>IF(G104=0,0,(IF(OR(E104=$AT$5,E104=$AT$6),AC104,HLOOKUP(YEAR(G104)+(MONTH(G104)/100),TC!$5:$37,DAY(G104)+2,FALSE))))</f>
        <v>20.658300000000001</v>
      </c>
      <c r="O104" s="307">
        <f t="shared" si="28"/>
        <v>46947.639413999997</v>
      </c>
      <c r="P104" s="560">
        <f>IF(G104=0,0,VLOOKUP(YEAR(G104),INPC!$B$4:$P$30,MONTH(G104)+2))</f>
        <v>122.044</v>
      </c>
      <c r="Q104" s="560">
        <f>IF(X104=0,0,IF(OR(E104=$AT$10,E104=$AT$9),VLOOKUP(YEAR(X104),INPC!$B$4:$P$30,MONTH(X104)+1),VLOOKUP(YEAR(X104),INPC!$B$4:$P$30,MONTH(X104)+2,0)))</f>
        <v>121.02200000000001</v>
      </c>
      <c r="R104" s="309">
        <f t="shared" si="20"/>
        <v>1</v>
      </c>
      <c r="S104" s="310">
        <f t="shared" si="29"/>
        <v>46947.639413999997</v>
      </c>
      <c r="T104" s="555">
        <f t="shared" si="30"/>
        <v>3353.402815285714</v>
      </c>
      <c r="U104" s="311"/>
      <c r="V104" s="312">
        <v>14</v>
      </c>
      <c r="W104" s="299" t="s">
        <v>194</v>
      </c>
      <c r="X104" s="300">
        <v>44733</v>
      </c>
      <c r="Y104" s="299" t="s">
        <v>59</v>
      </c>
      <c r="Z104" s="303">
        <v>2237.11</v>
      </c>
      <c r="AA104" s="305">
        <f>IF(Z104=0,0,IF(Y104="MXN",1/HLOOKUP(YEAR(X104)+(MONTH(X104)/100),TC!$5:$37,DAY(X104)+2,FALSE),VLOOKUP(Y104,Equivalencia!$1:$23,((MAX(Equivalencia!$3:$3)-YEAR(X104))*14)+MONTH(X104)+2,FALSE)))</f>
        <v>1</v>
      </c>
      <c r="AB104" s="306">
        <f t="shared" si="31"/>
        <v>2237.11</v>
      </c>
      <c r="AC104" s="305">
        <f>+IF(X104=0,0,HLOOKUP(YEAR(X104)+(MONTH(X104)/100),TC!$5:$37,DAY(X104)+2,FALSE))</f>
        <v>20.475999999999999</v>
      </c>
      <c r="AD104" s="307">
        <f t="shared" si="32"/>
        <v>45807.064360000004</v>
      </c>
      <c r="AE104" s="314">
        <f t="shared" si="21"/>
        <v>46947.639413999997</v>
      </c>
      <c r="AF104" s="315">
        <f t="shared" si="22"/>
        <v>-1140.5750539999935</v>
      </c>
      <c r="AG104" s="316">
        <f t="shared" si="23"/>
        <v>1.3698630136986301E-2</v>
      </c>
      <c r="AH104" s="314">
        <v>1</v>
      </c>
      <c r="AI104" s="314">
        <f t="shared" si="24"/>
        <v>-1140.5750539999935</v>
      </c>
      <c r="AJ104" s="314">
        <f t="shared" si="33"/>
        <v>0</v>
      </c>
      <c r="AK104" s="317"/>
      <c r="AL104" s="315">
        <f t="shared" si="25"/>
        <v>-35.4699999999998</v>
      </c>
      <c r="AN104" s="554">
        <f t="shared" si="26"/>
        <v>-1.5607811386177737E-2</v>
      </c>
      <c r="AO104" s="314"/>
      <c r="AP104" s="318"/>
    </row>
    <row r="105" spans="2:42">
      <c r="B105" s="296" t="s">
        <v>1266</v>
      </c>
      <c r="C105" s="299" t="s">
        <v>277</v>
      </c>
      <c r="D105" s="298" t="s">
        <v>727</v>
      </c>
      <c r="E105" s="299" t="s">
        <v>113</v>
      </c>
      <c r="F105" s="299" t="s">
        <v>59</v>
      </c>
      <c r="G105" s="300">
        <v>43315</v>
      </c>
      <c r="H105" s="303">
        <v>4192.41</v>
      </c>
      <c r="I105" s="301" t="str">
        <f t="shared" si="17"/>
        <v>Ingresos Sección II LISR (SIC &amp; BMV)</v>
      </c>
      <c r="J105" s="302">
        <f t="shared" si="27"/>
        <v>39</v>
      </c>
      <c r="K105" s="304">
        <f t="shared" si="18"/>
        <v>107.4976923076923</v>
      </c>
      <c r="L105" s="305">
        <f>IF(H105=0,0,IF(OR(E105=$AT$5,E105=$AT$6),AA105,IF(F105="MXN",1/HLOOKUP(YEAR(G105)+(MONTH(G105)/100),TC!$5:$37,DAY(G105)+2,FALSE),VLOOKUP(F105,Equivalencia!$5:$23,((MAX(Equivalencia!$3:$3)-YEAR(G105))*14)+MONTH(G105)+2,FALSE))))</f>
        <v>1</v>
      </c>
      <c r="M105" s="306">
        <f t="shared" si="19"/>
        <v>4192.41</v>
      </c>
      <c r="N105" s="305">
        <f>IF(G105=0,0,(IF(OR(E105=$AT$5,E105=$AT$6),AC105,HLOOKUP(YEAR(G105)+(MONTH(G105)/100),TC!$5:$37,DAY(G105)+2,FALSE))))</f>
        <v>18.5899</v>
      </c>
      <c r="O105" s="307">
        <f t="shared" si="28"/>
        <v>77936.482659000001</v>
      </c>
      <c r="P105" s="560">
        <f>IF(G105=0,0,VLOOKUP(YEAR(G105),INPC!$B$4:$P$30,MONTH(G105)+2))</f>
        <v>100.492</v>
      </c>
      <c r="Q105" s="560">
        <f>IF(X105=0,0,IF(OR(E105=$AT$10,E105=$AT$9),VLOOKUP(YEAR(X105),INPC!$B$4:$P$30,MONTH(X105)+1),VLOOKUP(YEAR(X105),INPC!$B$4:$P$30,MONTH(X105)+2,0)))</f>
        <v>121.02200000000001</v>
      </c>
      <c r="R105" s="309">
        <f t="shared" si="20"/>
        <v>1.2041999999999999</v>
      </c>
      <c r="S105" s="310">
        <f t="shared" si="29"/>
        <v>93851.112417967801</v>
      </c>
      <c r="T105" s="555">
        <f t="shared" si="30"/>
        <v>2406.4387799478923</v>
      </c>
      <c r="U105" s="311"/>
      <c r="V105" s="312">
        <v>39</v>
      </c>
      <c r="W105" s="299" t="s">
        <v>194</v>
      </c>
      <c r="X105" s="300">
        <v>44722</v>
      </c>
      <c r="Y105" s="299" t="s">
        <v>59</v>
      </c>
      <c r="Z105" s="303">
        <v>9984.61</v>
      </c>
      <c r="AA105" s="305">
        <f>IF(Z105=0,0,IF(Y105="MXN",1/HLOOKUP(YEAR(X105)+(MONTH(X105)/100),TC!$5:$37,DAY(X105)+2,FALSE),VLOOKUP(Y105,Equivalencia!$1:$23,((MAX(Equivalencia!$3:$3)-YEAR(X105))*14)+MONTH(X105)+2,FALSE)))</f>
        <v>1</v>
      </c>
      <c r="AB105" s="306">
        <f t="shared" si="31"/>
        <v>9984.61</v>
      </c>
      <c r="AC105" s="305">
        <f>+IF(X105=0,0,HLOOKUP(YEAR(X105)+(MONTH(X105)/100),TC!$5:$37,DAY(X105)+2,FALSE))</f>
        <v>19.59</v>
      </c>
      <c r="AD105" s="307">
        <f t="shared" si="32"/>
        <v>195598.5099</v>
      </c>
      <c r="AE105" s="314">
        <f t="shared" si="21"/>
        <v>93851.112417967801</v>
      </c>
      <c r="AF105" s="315">
        <f t="shared" si="22"/>
        <v>101747.3974820322</v>
      </c>
      <c r="AG105" s="316">
        <f t="shared" si="23"/>
        <v>3.8547945205479452</v>
      </c>
      <c r="AH105" s="314">
        <v>1</v>
      </c>
      <c r="AI105" s="314">
        <f t="shared" si="24"/>
        <v>101747.3974820322</v>
      </c>
      <c r="AJ105" s="314">
        <f t="shared" si="33"/>
        <v>0</v>
      </c>
      <c r="AK105" s="317"/>
      <c r="AL105" s="315">
        <f t="shared" si="25"/>
        <v>5792.2000000000007</v>
      </c>
      <c r="AN105" s="554">
        <f t="shared" si="26"/>
        <v>1.3815919721592118</v>
      </c>
      <c r="AO105" s="314"/>
      <c r="AP105" s="318"/>
    </row>
    <row r="106" spans="2:42">
      <c r="B106" s="296" t="s">
        <v>1266</v>
      </c>
      <c r="C106" s="299" t="s">
        <v>277</v>
      </c>
      <c r="D106" s="298" t="s">
        <v>843</v>
      </c>
      <c r="E106" s="299" t="s">
        <v>113</v>
      </c>
      <c r="F106" s="299" t="s">
        <v>59</v>
      </c>
      <c r="G106" s="300">
        <v>43867</v>
      </c>
      <c r="H106" s="303">
        <v>26199</v>
      </c>
      <c r="I106" s="301" t="str">
        <f t="shared" si="17"/>
        <v>Ingresos Sección II LISR (SIC &amp; BMV)</v>
      </c>
      <c r="J106" s="302">
        <f t="shared" si="27"/>
        <v>482.13099999999997</v>
      </c>
      <c r="K106" s="304">
        <f t="shared" si="18"/>
        <v>54.340003028222625</v>
      </c>
      <c r="L106" s="305">
        <f>IF(H106=0,0,IF(OR(E106=$AT$5,E106=$AT$6),AA106,IF(F106="MXN",1/HLOOKUP(YEAR(G106)+(MONTH(G106)/100),TC!$5:$37,DAY(G106)+2,FALSE),VLOOKUP(F106,Equivalencia!$5:$23,((MAX(Equivalencia!$3:$3)-YEAR(G106))*14)+MONTH(G106)+2,FALSE))))</f>
        <v>1</v>
      </c>
      <c r="M106" s="306">
        <f t="shared" si="19"/>
        <v>26199</v>
      </c>
      <c r="N106" s="305">
        <f>IF(G106=0,0,(IF(OR(E106=$AT$5,E106=$AT$6),AC106,HLOOKUP(YEAR(G106)+(MONTH(G106)/100),TC!$5:$37,DAY(G106)+2,FALSE))))</f>
        <v>18.6797</v>
      </c>
      <c r="O106" s="307">
        <f t="shared" si="28"/>
        <v>489389.46030000004</v>
      </c>
      <c r="P106" s="560">
        <f>IF(G106=0,0,VLOOKUP(YEAR(G106),INPC!$B$4:$P$30,MONTH(G106)+2))</f>
        <v>106.889</v>
      </c>
      <c r="Q106" s="560">
        <f>IF(X106=0,0,IF(OR(E106=$AT$10,E106=$AT$9),VLOOKUP(YEAR(X106),INPC!$B$4:$P$30,MONTH(X106)+1),VLOOKUP(YEAR(X106),INPC!$B$4:$P$30,MONTH(X106)+2,0)))</f>
        <v>121.02200000000001</v>
      </c>
      <c r="R106" s="309">
        <f t="shared" si="20"/>
        <v>1.1322000000000001</v>
      </c>
      <c r="S106" s="310">
        <f t="shared" si="29"/>
        <v>554086.74695166014</v>
      </c>
      <c r="T106" s="555">
        <f t="shared" si="30"/>
        <v>1149.245219559954</v>
      </c>
      <c r="U106" s="311"/>
      <c r="V106" s="312">
        <v>482.13099999999997</v>
      </c>
      <c r="W106" s="299" t="s">
        <v>194</v>
      </c>
      <c r="X106" s="300">
        <v>44725</v>
      </c>
      <c r="Y106" s="299" t="s">
        <v>59</v>
      </c>
      <c r="Z106" s="303">
        <v>23214.6</v>
      </c>
      <c r="AA106" s="305">
        <f>IF(Z106=0,0,IF(Y106="MXN",1/HLOOKUP(YEAR(X106)+(MONTH(X106)/100),TC!$5:$37,DAY(X106)+2,FALSE),VLOOKUP(Y106,Equivalencia!$1:$23,((MAX(Equivalencia!$3:$3)-YEAR(X106))*14)+MONTH(X106)+2,FALSE)))</f>
        <v>1</v>
      </c>
      <c r="AB106" s="306">
        <f t="shared" si="31"/>
        <v>23214.6</v>
      </c>
      <c r="AC106" s="305">
        <f>+IF(X106=0,0,HLOOKUP(YEAR(X106)+(MONTH(X106)/100),TC!$5:$37,DAY(X106)+2,FALSE))</f>
        <v>19.6128</v>
      </c>
      <c r="AD106" s="307">
        <f t="shared" si="32"/>
        <v>455303.30687999999</v>
      </c>
      <c r="AE106" s="314">
        <f t="shared" si="21"/>
        <v>554086.74695166014</v>
      </c>
      <c r="AF106" s="315">
        <f t="shared" si="22"/>
        <v>-98783.440071660152</v>
      </c>
      <c r="AG106" s="316">
        <f t="shared" si="23"/>
        <v>2.3506849315068492</v>
      </c>
      <c r="AH106" s="314">
        <v>1</v>
      </c>
      <c r="AI106" s="314">
        <f t="shared" si="24"/>
        <v>-98783.440071660152</v>
      </c>
      <c r="AJ106" s="314">
        <f t="shared" si="33"/>
        <v>0</v>
      </c>
      <c r="AK106" s="317"/>
      <c r="AL106" s="315">
        <f t="shared" si="25"/>
        <v>-2984.4000000000015</v>
      </c>
      <c r="AN106" s="554">
        <f t="shared" si="26"/>
        <v>-0.11391274476125049</v>
      </c>
      <c r="AO106" s="314"/>
      <c r="AP106" s="318"/>
    </row>
    <row r="107" spans="2:42">
      <c r="B107" s="296" t="s">
        <v>1266</v>
      </c>
      <c r="C107" s="299" t="s">
        <v>277</v>
      </c>
      <c r="D107" s="298" t="s">
        <v>844</v>
      </c>
      <c r="E107" s="299" t="s">
        <v>113</v>
      </c>
      <c r="F107" s="299" t="s">
        <v>59</v>
      </c>
      <c r="G107" s="300">
        <v>43497</v>
      </c>
      <c r="H107" s="303">
        <v>4222.84</v>
      </c>
      <c r="I107" s="301" t="str">
        <f t="shared" si="17"/>
        <v>Ingresos Sección II LISR (SIC &amp; BMV)</v>
      </c>
      <c r="J107" s="302">
        <f t="shared" si="27"/>
        <v>28.428999999999998</v>
      </c>
      <c r="K107" s="304">
        <f t="shared" si="18"/>
        <v>148.53987125822226</v>
      </c>
      <c r="L107" s="305">
        <f>IF(H107=0,0,IF(OR(E107=$AT$5,E107=$AT$6),AA107,IF(F107="MXN",1/HLOOKUP(YEAR(G107)+(MONTH(G107)/100),TC!$5:$37,DAY(G107)+2,FALSE),VLOOKUP(F107,Equivalencia!$5:$23,((MAX(Equivalencia!$3:$3)-YEAR(G107))*14)+MONTH(G107)+2,FALSE))))</f>
        <v>1</v>
      </c>
      <c r="M107" s="306">
        <f t="shared" si="19"/>
        <v>4222.84</v>
      </c>
      <c r="N107" s="305">
        <f>IF(G107=0,0,(IF(OR(E107=$AT$5,E107=$AT$6),AC107,HLOOKUP(YEAR(G107)+(MONTH(G107)/100),TC!$5:$37,DAY(G107)+2,FALSE))))</f>
        <v>19.162299999999998</v>
      </c>
      <c r="O107" s="307">
        <f t="shared" si="28"/>
        <v>80919.326931999996</v>
      </c>
      <c r="P107" s="560">
        <f>IF(G107=0,0,VLOOKUP(YEAR(G107),INPC!$B$4:$P$30,MONTH(G107)+2))</f>
        <v>103.07899999999999</v>
      </c>
      <c r="Q107" s="560">
        <f>IF(X107=0,0,IF(OR(E107=$AT$10,E107=$AT$9),VLOOKUP(YEAR(X107),INPC!$B$4:$P$30,MONTH(X107)+1),VLOOKUP(YEAR(X107),INPC!$B$4:$P$30,MONTH(X107)+2,0)))</f>
        <v>121.02200000000001</v>
      </c>
      <c r="R107" s="309">
        <f t="shared" si="20"/>
        <v>1.1739999999999999</v>
      </c>
      <c r="S107" s="310">
        <f t="shared" si="29"/>
        <v>94999.289818167992</v>
      </c>
      <c r="T107" s="555">
        <f t="shared" si="30"/>
        <v>3341.633185063421</v>
      </c>
      <c r="U107" s="311"/>
      <c r="V107" s="312">
        <v>28.428999999999998</v>
      </c>
      <c r="W107" s="299" t="s">
        <v>194</v>
      </c>
      <c r="X107" s="300">
        <v>44725</v>
      </c>
      <c r="Y107" s="299" t="s">
        <v>59</v>
      </c>
      <c r="Z107" s="303">
        <v>5752.83</v>
      </c>
      <c r="AA107" s="305">
        <f>IF(Z107=0,0,IF(Y107="MXN",1/HLOOKUP(YEAR(X107)+(MONTH(X107)/100),TC!$5:$37,DAY(X107)+2,FALSE),VLOOKUP(Y107,Equivalencia!$1:$23,((MAX(Equivalencia!$3:$3)-YEAR(X107))*14)+MONTH(X107)+2,FALSE)))</f>
        <v>1</v>
      </c>
      <c r="AB107" s="306">
        <f t="shared" si="31"/>
        <v>5752.83</v>
      </c>
      <c r="AC107" s="305">
        <f>+IF(X107=0,0,HLOOKUP(YEAR(X107)+(MONTH(X107)/100),TC!$5:$37,DAY(X107)+2,FALSE))</f>
        <v>19.6128</v>
      </c>
      <c r="AD107" s="307">
        <f t="shared" si="32"/>
        <v>112829.104224</v>
      </c>
      <c r="AE107" s="314">
        <f t="shared" si="21"/>
        <v>94999.289818167992</v>
      </c>
      <c r="AF107" s="315">
        <f t="shared" si="22"/>
        <v>17829.814405832003</v>
      </c>
      <c r="AG107" s="316">
        <f t="shared" si="23"/>
        <v>3.3643835616438356</v>
      </c>
      <c r="AH107" s="314">
        <v>1</v>
      </c>
      <c r="AI107" s="314">
        <f t="shared" si="24"/>
        <v>17829.814405832003</v>
      </c>
      <c r="AJ107" s="314">
        <f t="shared" si="33"/>
        <v>0</v>
      </c>
      <c r="AK107" s="317"/>
      <c r="AL107" s="315">
        <f t="shared" si="25"/>
        <v>1529.9899999999998</v>
      </c>
      <c r="AN107" s="554">
        <f t="shared" si="26"/>
        <v>0.3623130405130196</v>
      </c>
      <c r="AO107" s="314"/>
      <c r="AP107" s="318"/>
    </row>
    <row r="108" spans="2:42">
      <c r="B108" s="296" t="s">
        <v>1266</v>
      </c>
      <c r="C108" s="299" t="s">
        <v>277</v>
      </c>
      <c r="D108" s="298" t="s">
        <v>845</v>
      </c>
      <c r="E108" s="299" t="s">
        <v>113</v>
      </c>
      <c r="F108" s="299" t="s">
        <v>59</v>
      </c>
      <c r="G108" s="300">
        <v>43964</v>
      </c>
      <c r="H108" s="303">
        <v>11694.59</v>
      </c>
      <c r="I108" s="301" t="str">
        <f t="shared" si="17"/>
        <v>Ingresos Sección II LISR (SIC &amp; BMV)</v>
      </c>
      <c r="J108" s="302">
        <f t="shared" si="27"/>
        <v>180.72300000000001</v>
      </c>
      <c r="K108" s="304">
        <f t="shared" si="18"/>
        <v>64.710025840651156</v>
      </c>
      <c r="L108" s="305">
        <f>IF(H108=0,0,IF(OR(E108=$AT$5,E108=$AT$6),AA108,IF(F108="MXN",1/HLOOKUP(YEAR(G108)+(MONTH(G108)/100),TC!$5:$37,DAY(G108)+2,FALSE),VLOOKUP(F108,Equivalencia!$5:$23,((MAX(Equivalencia!$3:$3)-YEAR(G108))*14)+MONTH(G108)+2,FALSE))))</f>
        <v>1</v>
      </c>
      <c r="M108" s="306">
        <f t="shared" si="19"/>
        <v>11694.59</v>
      </c>
      <c r="N108" s="305">
        <f>IF(G108=0,0,(IF(OR(E108=$AT$5,E108=$AT$6),AC108,HLOOKUP(YEAR(G108)+(MONTH(G108)/100),TC!$5:$37,DAY(G108)+2,FALSE))))</f>
        <v>23.869299999999999</v>
      </c>
      <c r="O108" s="307">
        <f t="shared" si="28"/>
        <v>279141.67708699999</v>
      </c>
      <c r="P108" s="560">
        <f>IF(G108=0,0,VLOOKUP(YEAR(G108),INPC!$B$4:$P$30,MONTH(G108)+2))</f>
        <v>106.16200000000001</v>
      </c>
      <c r="Q108" s="560">
        <f>IF(X108=0,0,IF(OR(E108=$AT$10,E108=$AT$9),VLOOKUP(YEAR(X108),INPC!$B$4:$P$30,MONTH(X108)+1),VLOOKUP(YEAR(X108),INPC!$B$4:$P$30,MONTH(X108)+2,0)))</f>
        <v>121.02200000000001</v>
      </c>
      <c r="R108" s="309">
        <f t="shared" si="20"/>
        <v>1.1398999999999999</v>
      </c>
      <c r="S108" s="310">
        <f t="shared" si="29"/>
        <v>318193.59771147126</v>
      </c>
      <c r="T108" s="555">
        <f t="shared" si="30"/>
        <v>1760.6701842680302</v>
      </c>
      <c r="U108" s="311"/>
      <c r="V108" s="312">
        <v>180.72300000000001</v>
      </c>
      <c r="W108" s="299" t="s">
        <v>194</v>
      </c>
      <c r="X108" s="300">
        <v>44725</v>
      </c>
      <c r="Y108" s="299" t="s">
        <v>59</v>
      </c>
      <c r="Z108" s="303">
        <v>13362.68</v>
      </c>
      <c r="AA108" s="305">
        <f>IF(Z108=0,0,IF(Y108="MXN",1/HLOOKUP(YEAR(X108)+(MONTH(X108)/100),TC!$5:$37,DAY(X108)+2,FALSE),VLOOKUP(Y108,Equivalencia!$1:$23,((MAX(Equivalencia!$3:$3)-YEAR(X108))*14)+MONTH(X108)+2,FALSE)))</f>
        <v>1</v>
      </c>
      <c r="AB108" s="306">
        <f t="shared" si="31"/>
        <v>13362.68</v>
      </c>
      <c r="AC108" s="305">
        <f>+IF(X108=0,0,HLOOKUP(YEAR(X108)+(MONTH(X108)/100),TC!$5:$37,DAY(X108)+2,FALSE))</f>
        <v>19.6128</v>
      </c>
      <c r="AD108" s="307">
        <f t="shared" si="32"/>
        <v>262079.57030399999</v>
      </c>
      <c r="AE108" s="314">
        <f t="shared" si="21"/>
        <v>318193.59771147126</v>
      </c>
      <c r="AF108" s="315">
        <f t="shared" si="22"/>
        <v>-56114.027407471265</v>
      </c>
      <c r="AG108" s="316">
        <f t="shared" si="23"/>
        <v>2.0849315068493151</v>
      </c>
      <c r="AH108" s="314">
        <v>1</v>
      </c>
      <c r="AI108" s="314">
        <f t="shared" si="24"/>
        <v>-56114.027407471265</v>
      </c>
      <c r="AJ108" s="314">
        <f t="shared" si="33"/>
        <v>0</v>
      </c>
      <c r="AK108" s="317"/>
      <c r="AL108" s="315">
        <f t="shared" si="25"/>
        <v>1668.0900000000001</v>
      </c>
      <c r="AN108" s="554">
        <f t="shared" si="26"/>
        <v>0.14263774959190534</v>
      </c>
      <c r="AO108" s="314"/>
      <c r="AP108" s="318"/>
    </row>
    <row r="109" spans="2:42">
      <c r="B109" s="296" t="s">
        <v>1266</v>
      </c>
      <c r="C109" s="299" t="s">
        <v>277</v>
      </c>
      <c r="D109" s="298" t="s">
        <v>762</v>
      </c>
      <c r="E109" s="299" t="s">
        <v>113</v>
      </c>
      <c r="F109" s="299" t="s">
        <v>59</v>
      </c>
      <c r="G109" s="300">
        <v>43476</v>
      </c>
      <c r="H109" s="303">
        <v>7098.06</v>
      </c>
      <c r="I109" s="301" t="str">
        <f t="shared" si="17"/>
        <v>Ingresos Sección II LISR (SIC &amp; BMV)</v>
      </c>
      <c r="J109" s="302">
        <f t="shared" si="27"/>
        <v>45</v>
      </c>
      <c r="K109" s="304">
        <f t="shared" si="18"/>
        <v>157.73466666666667</v>
      </c>
      <c r="L109" s="305">
        <f>IF(H109=0,0,IF(OR(E109=$AT$5,E109=$AT$6),AA109,IF(F109="MXN",1/HLOOKUP(YEAR(G109)+(MONTH(G109)/100),TC!$5:$37,DAY(G109)+2,FALSE),VLOOKUP(F109,Equivalencia!$5:$23,((MAX(Equivalencia!$3:$3)-YEAR(G109))*14)+MONTH(G109)+2,FALSE))))</f>
        <v>1</v>
      </c>
      <c r="M109" s="306">
        <f t="shared" si="19"/>
        <v>7098.06</v>
      </c>
      <c r="N109" s="305">
        <f>IF(G109=0,0,(IF(OR(E109=$AT$5,E109=$AT$6),AC109,HLOOKUP(YEAR(G109)+(MONTH(G109)/100),TC!$5:$37,DAY(G109)+2,FALSE))))</f>
        <v>19.2456</v>
      </c>
      <c r="O109" s="307">
        <f t="shared" si="28"/>
        <v>136606.42353600002</v>
      </c>
      <c r="P109" s="560">
        <f>IF(G109=0,0,VLOOKUP(YEAR(G109),INPC!$B$4:$P$30,MONTH(G109)+2))</f>
        <v>103.108</v>
      </c>
      <c r="Q109" s="560">
        <f>IF(X109=0,0,IF(OR(E109=$AT$10,E109=$AT$9),VLOOKUP(YEAR(X109),INPC!$B$4:$P$30,MONTH(X109)+1),VLOOKUP(YEAR(X109),INPC!$B$4:$P$30,MONTH(X109)+2,0)))</f>
        <v>121.02200000000001</v>
      </c>
      <c r="R109" s="309">
        <f t="shared" si="20"/>
        <v>1.1737</v>
      </c>
      <c r="S109" s="310">
        <f t="shared" si="29"/>
        <v>160334.95930420322</v>
      </c>
      <c r="T109" s="555">
        <f t="shared" si="30"/>
        <v>3562.9990956489605</v>
      </c>
      <c r="U109" s="311"/>
      <c r="V109" s="312">
        <v>45</v>
      </c>
      <c r="W109" s="299" t="s">
        <v>194</v>
      </c>
      <c r="X109" s="300">
        <v>44733</v>
      </c>
      <c r="Y109" s="299" t="s">
        <v>59</v>
      </c>
      <c r="Z109" s="303">
        <v>10817.48</v>
      </c>
      <c r="AA109" s="305">
        <f>IF(Z109=0,0,IF(Y109="MXN",1/HLOOKUP(YEAR(X109)+(MONTH(X109)/100),TC!$5:$37,DAY(X109)+2,FALSE),VLOOKUP(Y109,Equivalencia!$1:$23,((MAX(Equivalencia!$3:$3)-YEAR(X109))*14)+MONTH(X109)+2,FALSE)))</f>
        <v>1</v>
      </c>
      <c r="AB109" s="306">
        <f t="shared" si="31"/>
        <v>10817.48</v>
      </c>
      <c r="AC109" s="305">
        <f>+IF(X109=0,0,HLOOKUP(YEAR(X109)+(MONTH(X109)/100),TC!$5:$37,DAY(X109)+2,FALSE))</f>
        <v>20.475999999999999</v>
      </c>
      <c r="AD109" s="307">
        <f t="shared" si="32"/>
        <v>221498.72047999999</v>
      </c>
      <c r="AE109" s="314">
        <f t="shared" si="21"/>
        <v>160334.95930420322</v>
      </c>
      <c r="AF109" s="315">
        <f t="shared" si="22"/>
        <v>61163.761175796768</v>
      </c>
      <c r="AG109" s="316">
        <f t="shared" si="23"/>
        <v>3.4438356164383563</v>
      </c>
      <c r="AH109" s="314">
        <v>1</v>
      </c>
      <c r="AI109" s="314">
        <f t="shared" si="24"/>
        <v>61163.761175796768</v>
      </c>
      <c r="AJ109" s="314">
        <f t="shared" si="33"/>
        <v>0</v>
      </c>
      <c r="AK109" s="317"/>
      <c r="AL109" s="315">
        <f t="shared" si="25"/>
        <v>3719.4199999999992</v>
      </c>
      <c r="AN109" s="554">
        <f t="shared" si="26"/>
        <v>0.52400515070314968</v>
      </c>
      <c r="AO109" s="314"/>
      <c r="AP109" s="318"/>
    </row>
    <row r="110" spans="2:42">
      <c r="B110" s="296" t="s">
        <v>1266</v>
      </c>
      <c r="C110" s="299" t="s">
        <v>277</v>
      </c>
      <c r="D110" s="298" t="s">
        <v>846</v>
      </c>
      <c r="E110" s="299" t="s">
        <v>106</v>
      </c>
      <c r="F110" s="299" t="s">
        <v>59</v>
      </c>
      <c r="G110" s="300">
        <v>43867</v>
      </c>
      <c r="H110" s="303">
        <v>4682.62</v>
      </c>
      <c r="I110" s="301" t="str">
        <f t="shared" si="17"/>
        <v>Ingresos Sección I LISR</v>
      </c>
      <c r="J110" s="302">
        <f t="shared" si="27"/>
        <v>152.33000000000001</v>
      </c>
      <c r="K110" s="304">
        <f t="shared" si="18"/>
        <v>30.739972428280701</v>
      </c>
      <c r="L110" s="305">
        <f>IF(H110=0,0,IF(OR(E110=$AT$5,E110=$AT$6),AA110,IF(F110="MXN",1/HLOOKUP(YEAR(G110)+(MONTH(G110)/100),TC!$5:$37,DAY(G110)+2,FALSE),VLOOKUP(F110,Equivalencia!$5:$23,((MAX(Equivalencia!$3:$3)-YEAR(G110))*14)+MONTH(G110)+2,FALSE))))</f>
        <v>1</v>
      </c>
      <c r="M110" s="306">
        <f t="shared" si="19"/>
        <v>4682.62</v>
      </c>
      <c r="N110" s="305">
        <f>IF(G110=0,0,(IF(OR(E110=$AT$5,E110=$AT$6),AC110,HLOOKUP(YEAR(G110)+(MONTH(G110)/100),TC!$5:$37,DAY(G110)+2,FALSE))))</f>
        <v>18.6797</v>
      </c>
      <c r="O110" s="307">
        <f t="shared" si="28"/>
        <v>87469.936814000001</v>
      </c>
      <c r="P110" s="560">
        <f>IF(G110=0,0,VLOOKUP(YEAR(G110),INPC!$B$4:$P$30,MONTH(G110)+2))</f>
        <v>106.889</v>
      </c>
      <c r="Q110" s="560">
        <f>IF(X110=0,0,IF(OR(E110=$AT$10,E110=$AT$9),VLOOKUP(YEAR(X110),INPC!$B$4:$P$30,MONTH(X110)+1),VLOOKUP(YEAR(X110),INPC!$B$4:$P$30,MONTH(X110)+2,0)))</f>
        <v>122.044</v>
      </c>
      <c r="R110" s="309">
        <f t="shared" si="20"/>
        <v>1.1416999999999999</v>
      </c>
      <c r="S110" s="310">
        <f t="shared" si="29"/>
        <v>99864.426860543797</v>
      </c>
      <c r="T110" s="555">
        <f t="shared" si="30"/>
        <v>655.57951067119927</v>
      </c>
      <c r="U110" s="311"/>
      <c r="V110" s="312">
        <v>152.33000000000001</v>
      </c>
      <c r="W110" s="299" t="s">
        <v>194</v>
      </c>
      <c r="X110" s="300">
        <v>44725</v>
      </c>
      <c r="Y110" s="299" t="s">
        <v>59</v>
      </c>
      <c r="Z110" s="303">
        <v>4795.43</v>
      </c>
      <c r="AA110" s="305">
        <f>IF(Z110=0,0,IF(Y110="MXN",1/HLOOKUP(YEAR(X110)+(MONTH(X110)/100),TC!$5:$37,DAY(X110)+2,FALSE),VLOOKUP(Y110,Equivalencia!$1:$23,((MAX(Equivalencia!$3:$3)-YEAR(X110))*14)+MONTH(X110)+2,FALSE)))</f>
        <v>1</v>
      </c>
      <c r="AB110" s="306">
        <f t="shared" si="31"/>
        <v>4795.43</v>
      </c>
      <c r="AC110" s="305">
        <f>+IF(X110=0,0,HLOOKUP(YEAR(X110)+(MONTH(X110)/100),TC!$5:$37,DAY(X110)+2,FALSE))</f>
        <v>19.6128</v>
      </c>
      <c r="AD110" s="307">
        <f t="shared" si="32"/>
        <v>94051.809504000004</v>
      </c>
      <c r="AE110" s="314">
        <f t="shared" si="21"/>
        <v>99864.426860543797</v>
      </c>
      <c r="AF110" s="315">
        <f t="shared" si="22"/>
        <v>-5812.617356543793</v>
      </c>
      <c r="AG110" s="316">
        <f t="shared" si="23"/>
        <v>2.3506849315068492</v>
      </c>
      <c r="AH110" s="314">
        <v>1</v>
      </c>
      <c r="AI110" s="314">
        <f t="shared" si="24"/>
        <v>-5812.617356543793</v>
      </c>
      <c r="AJ110" s="314">
        <f t="shared" si="33"/>
        <v>0</v>
      </c>
      <c r="AK110" s="317"/>
      <c r="AL110" s="315">
        <f t="shared" si="25"/>
        <v>112.8100000000004</v>
      </c>
      <c r="AN110" s="554">
        <f t="shared" si="26"/>
        <v>2.409121389307704E-2</v>
      </c>
      <c r="AO110" s="314"/>
      <c r="AP110" s="318"/>
    </row>
    <row r="111" spans="2:42">
      <c r="B111" s="296" t="s">
        <v>1266</v>
      </c>
      <c r="C111" s="299" t="s">
        <v>277</v>
      </c>
      <c r="D111" s="298" t="s">
        <v>846</v>
      </c>
      <c r="E111" s="299" t="s">
        <v>106</v>
      </c>
      <c r="F111" s="299" t="s">
        <v>59</v>
      </c>
      <c r="G111" s="300">
        <v>43867</v>
      </c>
      <c r="H111" s="303">
        <v>15988.49</v>
      </c>
      <c r="I111" s="301" t="str">
        <f t="shared" si="17"/>
        <v>Ingresos Sección I LISR</v>
      </c>
      <c r="J111" s="302">
        <f t="shared" si="27"/>
        <v>520.12</v>
      </c>
      <c r="K111" s="304">
        <f t="shared" si="18"/>
        <v>30.740002307159884</v>
      </c>
      <c r="L111" s="305">
        <f>IF(H111=0,0,IF(OR(E111=$AT$5,E111=$AT$6),AA111,IF(F111="MXN",1/HLOOKUP(YEAR(G111)+(MONTH(G111)/100),TC!$5:$37,DAY(G111)+2,FALSE),VLOOKUP(F111,Equivalencia!$5:$23,((MAX(Equivalencia!$3:$3)-YEAR(G111))*14)+MONTH(G111)+2,FALSE))))</f>
        <v>1</v>
      </c>
      <c r="M111" s="306">
        <f t="shared" si="19"/>
        <v>15988.49</v>
      </c>
      <c r="N111" s="305">
        <f>IF(G111=0,0,(IF(OR(E111=$AT$5,E111=$AT$6),AC111,HLOOKUP(YEAR(G111)+(MONTH(G111)/100),TC!$5:$37,DAY(G111)+2,FALSE))))</f>
        <v>18.6797</v>
      </c>
      <c r="O111" s="307">
        <f t="shared" si="28"/>
        <v>298660.19665300002</v>
      </c>
      <c r="P111" s="560">
        <f>IF(G111=0,0,VLOOKUP(YEAR(G111),INPC!$B$4:$P$30,MONTH(G111)+2))</f>
        <v>106.889</v>
      </c>
      <c r="Q111" s="560">
        <f>IF(X111=0,0,IF(OR(E111=$AT$10,E111=$AT$9),VLOOKUP(YEAR(X111),INPC!$B$4:$P$30,MONTH(X111)+1),VLOOKUP(YEAR(X111),INPC!$B$4:$P$30,MONTH(X111)+2,0)))</f>
        <v>122.044</v>
      </c>
      <c r="R111" s="309">
        <f t="shared" si="20"/>
        <v>1.1416999999999999</v>
      </c>
      <c r="S111" s="310">
        <f t="shared" si="29"/>
        <v>340980.3465187301</v>
      </c>
      <c r="T111" s="555">
        <f t="shared" si="30"/>
        <v>655.58014788650712</v>
      </c>
      <c r="U111" s="311"/>
      <c r="V111" s="312">
        <v>520.12</v>
      </c>
      <c r="W111" s="299" t="s">
        <v>194</v>
      </c>
      <c r="X111" s="300">
        <v>44719</v>
      </c>
      <c r="Y111" s="299" t="s">
        <v>59</v>
      </c>
      <c r="Z111" s="303">
        <v>18802.34</v>
      </c>
      <c r="AA111" s="305">
        <f>IF(Z111=0,0,IF(Y111="MXN",1/HLOOKUP(YEAR(X111)+(MONTH(X111)/100),TC!$5:$37,DAY(X111)+2,FALSE),VLOOKUP(Y111,Equivalencia!$1:$23,((MAX(Equivalencia!$3:$3)-YEAR(X111))*14)+MONTH(X111)+2,FALSE)))</f>
        <v>1</v>
      </c>
      <c r="AB111" s="306">
        <f t="shared" si="31"/>
        <v>18802.34</v>
      </c>
      <c r="AC111" s="305">
        <f>+IF(X111=0,0,HLOOKUP(YEAR(X111)+(MONTH(X111)/100),TC!$5:$37,DAY(X111)+2,FALSE))</f>
        <v>19.574200000000001</v>
      </c>
      <c r="AD111" s="307">
        <f t="shared" si="32"/>
        <v>368040.76362800004</v>
      </c>
      <c r="AE111" s="314">
        <f t="shared" si="21"/>
        <v>340980.3465187301</v>
      </c>
      <c r="AF111" s="315">
        <f t="shared" si="22"/>
        <v>27060.41710926994</v>
      </c>
      <c r="AG111" s="316">
        <f t="shared" si="23"/>
        <v>2.3342465753424659</v>
      </c>
      <c r="AH111" s="314">
        <v>1</v>
      </c>
      <c r="AI111" s="314">
        <f t="shared" si="24"/>
        <v>27060.41710926994</v>
      </c>
      <c r="AJ111" s="314">
        <f t="shared" si="33"/>
        <v>0</v>
      </c>
      <c r="AK111" s="317"/>
      <c r="AL111" s="315">
        <f t="shared" si="25"/>
        <v>2813.8500000000004</v>
      </c>
      <c r="AN111" s="554">
        <f t="shared" si="26"/>
        <v>0.17599222941003187</v>
      </c>
      <c r="AO111" s="314"/>
      <c r="AP111" s="318"/>
    </row>
    <row r="112" spans="2:42">
      <c r="B112" s="296" t="s">
        <v>1266</v>
      </c>
      <c r="C112" s="299" t="s">
        <v>277</v>
      </c>
      <c r="D112" s="298" t="s">
        <v>835</v>
      </c>
      <c r="E112" s="299" t="s">
        <v>113</v>
      </c>
      <c r="F112" s="299" t="s">
        <v>59</v>
      </c>
      <c r="G112" s="300">
        <v>43965</v>
      </c>
      <c r="H112" s="303">
        <v>9291.0400000000009</v>
      </c>
      <c r="I112" s="301" t="str">
        <f t="shared" si="17"/>
        <v>Ingresos Sección II LISR (SIC &amp; BMV)</v>
      </c>
      <c r="J112" s="302">
        <f t="shared" si="27"/>
        <v>176</v>
      </c>
      <c r="K112" s="304">
        <f t="shared" si="18"/>
        <v>52.790000000000006</v>
      </c>
      <c r="L112" s="305">
        <f>IF(H112=0,0,IF(OR(E112=$AT$5,E112=$AT$6),AA112,IF(F112="MXN",1/HLOOKUP(YEAR(G112)+(MONTH(G112)/100),TC!$5:$37,DAY(G112)+2,FALSE),VLOOKUP(F112,Equivalencia!$5:$23,((MAX(Equivalencia!$3:$3)-YEAR(G112))*14)+MONTH(G112)+2,FALSE))))</f>
        <v>1</v>
      </c>
      <c r="M112" s="306">
        <f t="shared" si="19"/>
        <v>9291.0400000000009</v>
      </c>
      <c r="N112" s="305">
        <f>IF(G112=0,0,(IF(OR(E112=$AT$5,E112=$AT$6),AC112,HLOOKUP(YEAR(G112)+(MONTH(G112)/100),TC!$5:$37,DAY(G112)+2,FALSE))))</f>
        <v>24.0487</v>
      </c>
      <c r="O112" s="307">
        <f t="shared" si="28"/>
        <v>223437.43364800003</v>
      </c>
      <c r="P112" s="560">
        <f>IF(G112=0,0,VLOOKUP(YEAR(G112),INPC!$B$4:$P$30,MONTH(G112)+2))</f>
        <v>106.16200000000001</v>
      </c>
      <c r="Q112" s="560">
        <f>IF(X112=0,0,IF(OR(E112=$AT$10,E112=$AT$9),VLOOKUP(YEAR(X112),INPC!$B$4:$P$30,MONTH(X112)+1),VLOOKUP(YEAR(X112),INPC!$B$4:$P$30,MONTH(X112)+2,0)))</f>
        <v>121.02200000000001</v>
      </c>
      <c r="R112" s="309">
        <f t="shared" si="20"/>
        <v>1.1398999999999999</v>
      </c>
      <c r="S112" s="310">
        <f t="shared" si="29"/>
        <v>254696.33061535523</v>
      </c>
      <c r="T112" s="555">
        <f t="shared" si="30"/>
        <v>1447.1382421327</v>
      </c>
      <c r="U112" s="311"/>
      <c r="V112" s="312">
        <v>176</v>
      </c>
      <c r="W112" s="299" t="s">
        <v>194</v>
      </c>
      <c r="X112" s="300">
        <v>44734</v>
      </c>
      <c r="Y112" s="299" t="s">
        <v>59</v>
      </c>
      <c r="Z112" s="303">
        <v>16144.66</v>
      </c>
      <c r="AA112" s="305">
        <f>IF(Z112=0,0,IF(Y112="MXN",1/HLOOKUP(YEAR(X112)+(MONTH(X112)/100),TC!$5:$37,DAY(X112)+2,FALSE),VLOOKUP(Y112,Equivalencia!$1:$23,((MAX(Equivalencia!$3:$3)-YEAR(X112))*14)+MONTH(X112)+2,FALSE)))</f>
        <v>1</v>
      </c>
      <c r="AB112" s="306">
        <f t="shared" si="31"/>
        <v>16144.66</v>
      </c>
      <c r="AC112" s="305">
        <f>+IF(X112=0,0,HLOOKUP(YEAR(X112)+(MONTH(X112)/100),TC!$5:$37,DAY(X112)+2,FALSE))</f>
        <v>20.244199999999999</v>
      </c>
      <c r="AD112" s="307">
        <f t="shared" si="32"/>
        <v>326835.72597199999</v>
      </c>
      <c r="AE112" s="314">
        <f t="shared" si="21"/>
        <v>254696.3306153552</v>
      </c>
      <c r="AF112" s="315">
        <f t="shared" si="22"/>
        <v>72139.395356644789</v>
      </c>
      <c r="AG112" s="316">
        <f t="shared" si="23"/>
        <v>2.106849315068493</v>
      </c>
      <c r="AH112" s="314">
        <v>1</v>
      </c>
      <c r="AI112" s="314">
        <f t="shared" si="24"/>
        <v>72139.395356644789</v>
      </c>
      <c r="AJ112" s="314">
        <f t="shared" si="33"/>
        <v>0</v>
      </c>
      <c r="AK112" s="317"/>
      <c r="AL112" s="315">
        <f t="shared" si="25"/>
        <v>6853.619999999999</v>
      </c>
      <c r="AN112" s="554">
        <f t="shared" si="26"/>
        <v>0.73765907799342145</v>
      </c>
      <c r="AO112" s="314"/>
      <c r="AP112" s="318"/>
    </row>
    <row r="113" spans="2:42">
      <c r="B113" s="296" t="s">
        <v>1266</v>
      </c>
      <c r="C113" s="299" t="s">
        <v>277</v>
      </c>
      <c r="D113" s="298" t="s">
        <v>745</v>
      </c>
      <c r="E113" s="299" t="s">
        <v>113</v>
      </c>
      <c r="F113" s="299" t="s">
        <v>59</v>
      </c>
      <c r="G113" s="300">
        <v>44208</v>
      </c>
      <c r="H113" s="303">
        <v>15607.61</v>
      </c>
      <c r="I113" s="301" t="str">
        <f t="shared" si="17"/>
        <v>Ingresos Sección II LISR (SIC &amp; BMV)</v>
      </c>
      <c r="J113" s="302">
        <f t="shared" si="27"/>
        <v>198</v>
      </c>
      <c r="K113" s="304">
        <f t="shared" si="18"/>
        <v>78.826313131313128</v>
      </c>
      <c r="L113" s="305">
        <f>IF(H113=0,0,IF(OR(E113=$AT$5,E113=$AT$6),AA113,IF(F113="MXN",1/HLOOKUP(YEAR(G113)+(MONTH(G113)/100),TC!$5:$37,DAY(G113)+2,FALSE),VLOOKUP(F113,Equivalencia!$5:$23,((MAX(Equivalencia!$3:$3)-YEAR(G113))*14)+MONTH(G113)+2,FALSE))))</f>
        <v>1</v>
      </c>
      <c r="M113" s="306">
        <f t="shared" si="19"/>
        <v>15607.61</v>
      </c>
      <c r="N113" s="305">
        <f>IF(G113=0,0,(IF(OR(E113=$AT$5,E113=$AT$6),AC113,HLOOKUP(YEAR(G113)+(MONTH(G113)/100),TC!$5:$37,DAY(G113)+2,FALSE))))</f>
        <v>19.970500000000001</v>
      </c>
      <c r="O113" s="307">
        <f t="shared" si="28"/>
        <v>311691.77550500003</v>
      </c>
      <c r="P113" s="560">
        <f>IF(G113=0,0,VLOOKUP(YEAR(G113),INPC!$B$4:$P$30,MONTH(G113)+2))</f>
        <v>110.21</v>
      </c>
      <c r="Q113" s="560">
        <f>IF(X113=0,0,IF(OR(E113=$AT$10,E113=$AT$9),VLOOKUP(YEAR(X113),INPC!$B$4:$P$30,MONTH(X113)+1),VLOOKUP(YEAR(X113),INPC!$B$4:$P$30,MONTH(X113)+2,0)))</f>
        <v>121.02200000000001</v>
      </c>
      <c r="R113" s="309">
        <f t="shared" si="20"/>
        <v>1.0981000000000001</v>
      </c>
      <c r="S113" s="310">
        <f t="shared" si="29"/>
        <v>342268.73868204054</v>
      </c>
      <c r="T113" s="555">
        <f t="shared" si="30"/>
        <v>1728.6299933436392</v>
      </c>
      <c r="U113" s="311"/>
      <c r="V113" s="312">
        <v>198</v>
      </c>
      <c r="W113" s="299" t="s">
        <v>194</v>
      </c>
      <c r="X113" s="300">
        <v>44734</v>
      </c>
      <c r="Y113" s="299" t="s">
        <v>59</v>
      </c>
      <c r="Z113" s="303">
        <v>15559.69</v>
      </c>
      <c r="AA113" s="305">
        <f>IF(Z113=0,0,IF(Y113="MXN",1/HLOOKUP(YEAR(X113)+(MONTH(X113)/100),TC!$5:$37,DAY(X113)+2,FALSE),VLOOKUP(Y113,Equivalencia!$1:$23,((MAX(Equivalencia!$3:$3)-YEAR(X113))*14)+MONTH(X113)+2,FALSE)))</f>
        <v>1</v>
      </c>
      <c r="AB113" s="306">
        <f t="shared" si="31"/>
        <v>15559.69</v>
      </c>
      <c r="AC113" s="305">
        <f>+IF(X113=0,0,HLOOKUP(YEAR(X113)+(MONTH(X113)/100),TC!$5:$37,DAY(X113)+2,FALSE))</f>
        <v>20.244199999999999</v>
      </c>
      <c r="AD113" s="307">
        <f t="shared" si="32"/>
        <v>314993.47629800002</v>
      </c>
      <c r="AE113" s="314">
        <f t="shared" si="21"/>
        <v>342268.73868204054</v>
      </c>
      <c r="AF113" s="315">
        <f t="shared" si="22"/>
        <v>-27275.262384040514</v>
      </c>
      <c r="AG113" s="316">
        <f t="shared" si="23"/>
        <v>1.441095890410959</v>
      </c>
      <c r="AH113" s="314">
        <v>1</v>
      </c>
      <c r="AI113" s="314">
        <f t="shared" si="24"/>
        <v>-27275.262384040514</v>
      </c>
      <c r="AJ113" s="314">
        <f t="shared" si="33"/>
        <v>0</v>
      </c>
      <c r="AK113" s="317"/>
      <c r="AL113" s="315">
        <f t="shared" si="25"/>
        <v>-47.920000000000073</v>
      </c>
      <c r="AN113" s="554">
        <f t="shared" si="26"/>
        <v>-3.0702971178803206E-3</v>
      </c>
      <c r="AO113" s="314"/>
      <c r="AP113" s="318"/>
    </row>
    <row r="114" spans="2:42">
      <c r="B114" s="296" t="s">
        <v>1266</v>
      </c>
      <c r="C114" s="299" t="s">
        <v>277</v>
      </c>
      <c r="D114" s="298" t="s">
        <v>847</v>
      </c>
      <c r="E114" s="299" t="s">
        <v>113</v>
      </c>
      <c r="F114" s="299" t="s">
        <v>59</v>
      </c>
      <c r="G114" s="300">
        <v>43894</v>
      </c>
      <c r="H114" s="303">
        <v>4142.24</v>
      </c>
      <c r="I114" s="301" t="str">
        <f t="shared" si="17"/>
        <v>Ingresos Sección II LISR (SIC &amp; BMV)</v>
      </c>
      <c r="J114" s="302">
        <f t="shared" si="27"/>
        <v>13</v>
      </c>
      <c r="K114" s="304">
        <f t="shared" si="18"/>
        <v>318.63384615384615</v>
      </c>
      <c r="L114" s="305">
        <f>IF(H114=0,0,IF(OR(E114=$AT$5,E114=$AT$6),AA114,IF(F114="MXN",1/HLOOKUP(YEAR(G114)+(MONTH(G114)/100),TC!$5:$37,DAY(G114)+2,FALSE),VLOOKUP(F114,Equivalencia!$5:$23,((MAX(Equivalencia!$3:$3)-YEAR(G114))*14)+MONTH(G114)+2,FALSE))))</f>
        <v>1</v>
      </c>
      <c r="M114" s="306">
        <f t="shared" si="19"/>
        <v>4142.24</v>
      </c>
      <c r="N114" s="305">
        <f>IF(G114=0,0,(IF(OR(E114=$AT$5,E114=$AT$6),AC114,HLOOKUP(YEAR(G114)+(MONTH(G114)/100),TC!$5:$37,DAY(G114)+2,FALSE))))</f>
        <v>19.698499999999999</v>
      </c>
      <c r="O114" s="307">
        <f t="shared" si="28"/>
        <v>81595.914639999988</v>
      </c>
      <c r="P114" s="560">
        <f>IF(G114=0,0,VLOOKUP(YEAR(G114),INPC!$B$4:$P$30,MONTH(G114)+2))</f>
        <v>106.83799999999999</v>
      </c>
      <c r="Q114" s="560">
        <f>IF(X114=0,0,IF(OR(E114=$AT$10,E114=$AT$9),VLOOKUP(YEAR(X114),INPC!$B$4:$P$30,MONTH(X114)+1),VLOOKUP(YEAR(X114),INPC!$B$4:$P$30,MONTH(X114)+2,0)))</f>
        <v>121.02200000000001</v>
      </c>
      <c r="R114" s="309">
        <f t="shared" si="20"/>
        <v>1.1327</v>
      </c>
      <c r="S114" s="310">
        <f t="shared" si="29"/>
        <v>92423.692512727983</v>
      </c>
      <c r="T114" s="555">
        <f t="shared" si="30"/>
        <v>7109.5148086713834</v>
      </c>
      <c r="U114" s="311"/>
      <c r="V114" s="312">
        <v>13</v>
      </c>
      <c r="W114" s="299" t="s">
        <v>194</v>
      </c>
      <c r="X114" s="300">
        <v>44722</v>
      </c>
      <c r="Y114" s="299" t="s">
        <v>59</v>
      </c>
      <c r="Z114" s="303">
        <v>6916.41</v>
      </c>
      <c r="AA114" s="305">
        <f>IF(Z114=0,0,IF(Y114="MXN",1/HLOOKUP(YEAR(X114)+(MONTH(X114)/100),TC!$5:$37,DAY(X114)+2,FALSE),VLOOKUP(Y114,Equivalencia!$1:$23,((MAX(Equivalencia!$3:$3)-YEAR(X114))*14)+MONTH(X114)+2,FALSE)))</f>
        <v>1</v>
      </c>
      <c r="AB114" s="306">
        <f t="shared" si="31"/>
        <v>6916.41</v>
      </c>
      <c r="AC114" s="305">
        <f>+IF(X114=0,0,HLOOKUP(YEAR(X114)+(MONTH(X114)/100),TC!$5:$37,DAY(X114)+2,FALSE))</f>
        <v>19.59</v>
      </c>
      <c r="AD114" s="307">
        <f t="shared" si="32"/>
        <v>135492.4719</v>
      </c>
      <c r="AE114" s="314">
        <f t="shared" si="21"/>
        <v>92423.692512727983</v>
      </c>
      <c r="AF114" s="315">
        <f t="shared" si="22"/>
        <v>43068.779387272021</v>
      </c>
      <c r="AG114" s="316">
        <f t="shared" si="23"/>
        <v>2.2684931506849315</v>
      </c>
      <c r="AH114" s="314">
        <v>1</v>
      </c>
      <c r="AI114" s="314">
        <f t="shared" si="24"/>
        <v>43068.779387272021</v>
      </c>
      <c r="AJ114" s="314">
        <f t="shared" si="33"/>
        <v>0</v>
      </c>
      <c r="AK114" s="317"/>
      <c r="AL114" s="315">
        <f t="shared" si="25"/>
        <v>2774.17</v>
      </c>
      <c r="AN114" s="554">
        <f t="shared" si="26"/>
        <v>0.66972700760940951</v>
      </c>
      <c r="AO114" s="314"/>
      <c r="AP114" s="318"/>
    </row>
    <row r="115" spans="2:42">
      <c r="B115" s="296" t="s">
        <v>1266</v>
      </c>
      <c r="C115" s="299" t="s">
        <v>277</v>
      </c>
      <c r="D115" s="298" t="s">
        <v>836</v>
      </c>
      <c r="E115" s="299" t="s">
        <v>113</v>
      </c>
      <c r="F115" s="299" t="s">
        <v>59</v>
      </c>
      <c r="G115" s="300">
        <v>43315</v>
      </c>
      <c r="H115" s="303">
        <v>4265.3599999999997</v>
      </c>
      <c r="I115" s="301" t="str">
        <f t="shared" si="17"/>
        <v>Ingresos Sección II LISR (SIC &amp; BMV)</v>
      </c>
      <c r="J115" s="302">
        <f t="shared" si="27"/>
        <v>88</v>
      </c>
      <c r="K115" s="304">
        <f t="shared" si="18"/>
        <v>48.47</v>
      </c>
      <c r="L115" s="305">
        <f>IF(H115=0,0,IF(OR(E115=$AT$5,E115=$AT$6),AA115,IF(F115="MXN",1/HLOOKUP(YEAR(G115)+(MONTH(G115)/100),TC!$5:$37,DAY(G115)+2,FALSE),VLOOKUP(F115,Equivalencia!$5:$23,((MAX(Equivalencia!$3:$3)-YEAR(G115))*14)+MONTH(G115)+2,FALSE))))</f>
        <v>1</v>
      </c>
      <c r="M115" s="306">
        <f t="shared" si="19"/>
        <v>4265.3599999999997</v>
      </c>
      <c r="N115" s="305">
        <f>IF(G115=0,0,(IF(OR(E115=$AT$5,E115=$AT$6),AC115,HLOOKUP(YEAR(G115)+(MONTH(G115)/100),TC!$5:$37,DAY(G115)+2,FALSE))))</f>
        <v>18.5899</v>
      </c>
      <c r="O115" s="307">
        <f t="shared" si="28"/>
        <v>79292.615863999992</v>
      </c>
      <c r="P115" s="560">
        <f>IF(G115=0,0,VLOOKUP(YEAR(G115),INPC!$B$4:$P$30,MONTH(G115)+2))</f>
        <v>100.492</v>
      </c>
      <c r="Q115" s="560">
        <f>IF(X115=0,0,IF(OR(E115=$AT$10,E115=$AT$9),VLOOKUP(YEAR(X115),INPC!$B$4:$P$30,MONTH(X115)+1),VLOOKUP(YEAR(X115),INPC!$B$4:$P$30,MONTH(X115)+2,0)))</f>
        <v>121.02200000000001</v>
      </c>
      <c r="R115" s="309">
        <f t="shared" si="20"/>
        <v>1.2041999999999999</v>
      </c>
      <c r="S115" s="310">
        <f t="shared" si="29"/>
        <v>95484.168023428792</v>
      </c>
      <c r="T115" s="555">
        <f t="shared" si="30"/>
        <v>1085.0473639026</v>
      </c>
      <c r="U115" s="311"/>
      <c r="V115" s="312">
        <v>88</v>
      </c>
      <c r="W115" s="299" t="s">
        <v>194</v>
      </c>
      <c r="X115" s="300">
        <v>44715</v>
      </c>
      <c r="Y115" s="299" t="s">
        <v>59</v>
      </c>
      <c r="Z115" s="303">
        <v>5486.25</v>
      </c>
      <c r="AA115" s="305">
        <f>IF(Z115=0,0,IF(Y115="MXN",1/HLOOKUP(YEAR(X115)+(MONTH(X115)/100),TC!$5:$37,DAY(X115)+2,FALSE),VLOOKUP(Y115,Equivalencia!$1:$23,((MAX(Equivalencia!$3:$3)-YEAR(X115))*14)+MONTH(X115)+2,FALSE)))</f>
        <v>1</v>
      </c>
      <c r="AB115" s="306">
        <f t="shared" si="31"/>
        <v>5486.25</v>
      </c>
      <c r="AC115" s="305">
        <f>+IF(X115=0,0,HLOOKUP(YEAR(X115)+(MONTH(X115)/100),TC!$5:$37,DAY(X115)+2,FALSE))</f>
        <v>19.738800000000001</v>
      </c>
      <c r="AD115" s="307">
        <f t="shared" si="32"/>
        <v>108291.9915</v>
      </c>
      <c r="AE115" s="314">
        <f t="shared" si="21"/>
        <v>95484.168023428792</v>
      </c>
      <c r="AF115" s="315">
        <f t="shared" si="22"/>
        <v>12807.823476571211</v>
      </c>
      <c r="AG115" s="316">
        <f t="shared" si="23"/>
        <v>3.8356164383561642</v>
      </c>
      <c r="AH115" s="314">
        <v>1</v>
      </c>
      <c r="AI115" s="314">
        <f t="shared" si="24"/>
        <v>12807.823476571211</v>
      </c>
      <c r="AJ115" s="314">
        <f t="shared" si="33"/>
        <v>0</v>
      </c>
      <c r="AK115" s="317"/>
      <c r="AL115" s="315">
        <f t="shared" si="25"/>
        <v>1220.8900000000003</v>
      </c>
      <c r="AN115" s="554">
        <f t="shared" si="26"/>
        <v>0.28623375283680635</v>
      </c>
      <c r="AO115" s="314"/>
      <c r="AP115" s="318"/>
    </row>
    <row r="116" spans="2:42">
      <c r="B116" s="296" t="s">
        <v>1266</v>
      </c>
      <c r="C116" s="299" t="s">
        <v>277</v>
      </c>
      <c r="D116" s="298" t="s">
        <v>836</v>
      </c>
      <c r="E116" s="299" t="s">
        <v>113</v>
      </c>
      <c r="F116" s="299" t="s">
        <v>59</v>
      </c>
      <c r="G116" s="300">
        <v>43315</v>
      </c>
      <c r="H116" s="303">
        <v>9209.2999999999993</v>
      </c>
      <c r="I116" s="301" t="str">
        <f t="shared" si="17"/>
        <v>Ingresos Sección II LISR (SIC &amp; BMV)</v>
      </c>
      <c r="J116" s="302">
        <f t="shared" si="27"/>
        <v>190</v>
      </c>
      <c r="K116" s="304">
        <f t="shared" si="18"/>
        <v>48.47</v>
      </c>
      <c r="L116" s="305">
        <f>IF(H116=0,0,IF(OR(E116=$AT$5,E116=$AT$6),AA116,IF(F116="MXN",1/HLOOKUP(YEAR(G116)+(MONTH(G116)/100),TC!$5:$37,DAY(G116)+2,FALSE),VLOOKUP(F116,Equivalencia!$5:$23,((MAX(Equivalencia!$3:$3)-YEAR(G116))*14)+MONTH(G116)+2,FALSE))))</f>
        <v>1</v>
      </c>
      <c r="M116" s="306">
        <f t="shared" si="19"/>
        <v>9209.2999999999993</v>
      </c>
      <c r="N116" s="305">
        <f>IF(G116=0,0,(IF(OR(E116=$AT$5,E116=$AT$6),AC116,HLOOKUP(YEAR(G116)+(MONTH(G116)/100),TC!$5:$37,DAY(G116)+2,FALSE))))</f>
        <v>18.5899</v>
      </c>
      <c r="O116" s="307">
        <f t="shared" si="28"/>
        <v>171199.96606999999</v>
      </c>
      <c r="P116" s="560">
        <f>IF(G116=0,0,VLOOKUP(YEAR(G116),INPC!$B$4:$P$30,MONTH(G116)+2))</f>
        <v>100.492</v>
      </c>
      <c r="Q116" s="560">
        <f>IF(X116=0,0,IF(OR(E116=$AT$10,E116=$AT$9),VLOOKUP(YEAR(X116),INPC!$B$4:$P$30,MONTH(X116)+1),VLOOKUP(YEAR(X116),INPC!$B$4:$P$30,MONTH(X116)+2,0)))</f>
        <v>121.02200000000001</v>
      </c>
      <c r="R116" s="309">
        <f t="shared" si="20"/>
        <v>1.2041999999999999</v>
      </c>
      <c r="S116" s="310">
        <f t="shared" si="29"/>
        <v>206158.99914149399</v>
      </c>
      <c r="T116" s="555">
        <f t="shared" si="30"/>
        <v>1085.0473639026</v>
      </c>
      <c r="U116" s="311"/>
      <c r="V116" s="312">
        <v>190</v>
      </c>
      <c r="W116" s="299" t="s">
        <v>194</v>
      </c>
      <c r="X116" s="300">
        <v>44733</v>
      </c>
      <c r="Y116" s="299" t="s">
        <v>59</v>
      </c>
      <c r="Z116" s="303">
        <v>10918.58</v>
      </c>
      <c r="AA116" s="305">
        <f>IF(Z116=0,0,IF(Y116="MXN",1/HLOOKUP(YEAR(X116)+(MONTH(X116)/100),TC!$5:$37,DAY(X116)+2,FALSE),VLOOKUP(Y116,Equivalencia!$1:$23,((MAX(Equivalencia!$3:$3)-YEAR(X116))*14)+MONTH(X116)+2,FALSE)))</f>
        <v>1</v>
      </c>
      <c r="AB116" s="306">
        <f t="shared" si="31"/>
        <v>10918.58</v>
      </c>
      <c r="AC116" s="305">
        <f>+IF(X116=0,0,HLOOKUP(YEAR(X116)+(MONTH(X116)/100),TC!$5:$37,DAY(X116)+2,FALSE))</f>
        <v>20.475999999999999</v>
      </c>
      <c r="AD116" s="307">
        <f t="shared" si="32"/>
        <v>223568.84407999998</v>
      </c>
      <c r="AE116" s="314">
        <f t="shared" si="21"/>
        <v>206158.99914149399</v>
      </c>
      <c r="AF116" s="315">
        <f t="shared" si="22"/>
        <v>17409.844938505994</v>
      </c>
      <c r="AG116" s="316">
        <f t="shared" si="23"/>
        <v>3.8849315068493149</v>
      </c>
      <c r="AH116" s="314">
        <v>1</v>
      </c>
      <c r="AI116" s="314">
        <f t="shared" si="24"/>
        <v>17409.844938505994</v>
      </c>
      <c r="AJ116" s="314">
        <f t="shared" si="33"/>
        <v>0</v>
      </c>
      <c r="AK116" s="317"/>
      <c r="AL116" s="315">
        <f t="shared" si="25"/>
        <v>1709.2800000000007</v>
      </c>
      <c r="AN116" s="554">
        <f t="shared" si="26"/>
        <v>0.18560368323325344</v>
      </c>
      <c r="AO116" s="314"/>
      <c r="AP116" s="318"/>
    </row>
    <row r="117" spans="2:42">
      <c r="B117" s="296" t="s">
        <v>1266</v>
      </c>
      <c r="C117" s="299" t="s">
        <v>277</v>
      </c>
      <c r="D117" s="298" t="s">
        <v>836</v>
      </c>
      <c r="E117" s="299" t="s">
        <v>113</v>
      </c>
      <c r="F117" s="299" t="s">
        <v>59</v>
      </c>
      <c r="G117" s="300">
        <v>43315</v>
      </c>
      <c r="H117" s="303">
        <v>4847</v>
      </c>
      <c r="I117" s="301" t="str">
        <f t="shared" si="17"/>
        <v>Ingresos Sección II LISR (SIC &amp; BMV)</v>
      </c>
      <c r="J117" s="302">
        <f t="shared" si="27"/>
        <v>100</v>
      </c>
      <c r="K117" s="304">
        <f t="shared" si="18"/>
        <v>48.47</v>
      </c>
      <c r="L117" s="305">
        <f>IF(H117=0,0,IF(OR(E117=$AT$5,E117=$AT$6),AA117,IF(F117="MXN",1/HLOOKUP(YEAR(G117)+(MONTH(G117)/100),TC!$5:$37,DAY(G117)+2,FALSE),VLOOKUP(F117,Equivalencia!$5:$23,((MAX(Equivalencia!$3:$3)-YEAR(G117))*14)+MONTH(G117)+2,FALSE))))</f>
        <v>1</v>
      </c>
      <c r="M117" s="306">
        <f t="shared" si="19"/>
        <v>4847</v>
      </c>
      <c r="N117" s="305">
        <f>IF(G117=0,0,(IF(OR(E117=$AT$5,E117=$AT$6),AC117,HLOOKUP(YEAR(G117)+(MONTH(G117)/100),TC!$5:$37,DAY(G117)+2,FALSE))))</f>
        <v>18.5899</v>
      </c>
      <c r="O117" s="307">
        <f t="shared" si="28"/>
        <v>90105.245299999995</v>
      </c>
      <c r="P117" s="560">
        <f>IF(G117=0,0,VLOOKUP(YEAR(G117),INPC!$B$4:$P$30,MONTH(G117)+2))</f>
        <v>100.492</v>
      </c>
      <c r="Q117" s="560">
        <f>IF(X117=0,0,IF(OR(E117=$AT$10,E117=$AT$9),VLOOKUP(YEAR(X117),INPC!$B$4:$P$30,MONTH(X117)+1),VLOOKUP(YEAR(X117),INPC!$B$4:$P$30,MONTH(X117)+2,0)))</f>
        <v>121.02200000000001</v>
      </c>
      <c r="R117" s="309">
        <f t="shared" si="20"/>
        <v>1.2041999999999999</v>
      </c>
      <c r="S117" s="310">
        <f t="shared" si="29"/>
        <v>108504.73639025999</v>
      </c>
      <c r="T117" s="555">
        <f t="shared" si="30"/>
        <v>1085.0473639026</v>
      </c>
      <c r="U117" s="311"/>
      <c r="V117" s="312">
        <v>100</v>
      </c>
      <c r="W117" s="299" t="s">
        <v>194</v>
      </c>
      <c r="X117" s="300">
        <v>44718</v>
      </c>
      <c r="Y117" s="299" t="s">
        <v>59</v>
      </c>
      <c r="Z117" s="303">
        <v>6193.71</v>
      </c>
      <c r="AA117" s="305">
        <f>IF(Z117=0,0,IF(Y117="MXN",1/HLOOKUP(YEAR(X117)+(MONTH(X117)/100),TC!$5:$37,DAY(X117)+2,FALSE),VLOOKUP(Y117,Equivalencia!$1:$23,((MAX(Equivalencia!$3:$3)-YEAR(X117))*14)+MONTH(X117)+2,FALSE)))</f>
        <v>1</v>
      </c>
      <c r="AB117" s="306">
        <f t="shared" si="31"/>
        <v>6193.71</v>
      </c>
      <c r="AC117" s="305">
        <f>+IF(X117=0,0,HLOOKUP(YEAR(X117)+(MONTH(X117)/100),TC!$5:$37,DAY(X117)+2,FALSE))</f>
        <v>19.558499999999999</v>
      </c>
      <c r="AD117" s="307">
        <f t="shared" si="32"/>
        <v>121139.67703499999</v>
      </c>
      <c r="AE117" s="314">
        <f t="shared" si="21"/>
        <v>108504.73639025999</v>
      </c>
      <c r="AF117" s="315">
        <f t="shared" si="22"/>
        <v>12634.940644739996</v>
      </c>
      <c r="AG117" s="316">
        <f t="shared" si="23"/>
        <v>3.8438356164383563</v>
      </c>
      <c r="AH117" s="314">
        <v>1</v>
      </c>
      <c r="AI117" s="314">
        <f t="shared" si="24"/>
        <v>12634.940644739996</v>
      </c>
      <c r="AJ117" s="314">
        <f t="shared" si="33"/>
        <v>0</v>
      </c>
      <c r="AK117" s="317"/>
      <c r="AL117" s="315">
        <f t="shared" si="25"/>
        <v>1346.71</v>
      </c>
      <c r="AN117" s="554">
        <f t="shared" si="26"/>
        <v>0.27784402723334023</v>
      </c>
      <c r="AO117" s="314"/>
      <c r="AP117" s="318"/>
    </row>
    <row r="118" spans="2:42">
      <c r="B118" s="296" t="s">
        <v>1266</v>
      </c>
      <c r="C118" s="299" t="s">
        <v>277</v>
      </c>
      <c r="D118" s="298" t="s">
        <v>848</v>
      </c>
      <c r="E118" s="299" t="s">
        <v>113</v>
      </c>
      <c r="F118" s="299" t="s">
        <v>59</v>
      </c>
      <c r="G118" s="300">
        <v>43867</v>
      </c>
      <c r="H118" s="303">
        <v>49852.6</v>
      </c>
      <c r="I118" s="301" t="str">
        <f t="shared" si="17"/>
        <v>Ingresos Sección II LISR (SIC &amp; BMV)</v>
      </c>
      <c r="J118" s="302">
        <f t="shared" si="27"/>
        <v>179.798</v>
      </c>
      <c r="K118" s="304">
        <f t="shared" si="18"/>
        <v>277.27004749774744</v>
      </c>
      <c r="L118" s="305">
        <f>IF(H118=0,0,IF(OR(E118=$AT$5,E118=$AT$6),AA118,IF(F118="MXN",1/HLOOKUP(YEAR(G118)+(MONTH(G118)/100),TC!$5:$37,DAY(G118)+2,FALSE),VLOOKUP(F118,Equivalencia!$5:$23,((MAX(Equivalencia!$3:$3)-YEAR(G118))*14)+MONTH(G118)+2,FALSE))))</f>
        <v>1</v>
      </c>
      <c r="M118" s="306">
        <f t="shared" si="19"/>
        <v>49852.6</v>
      </c>
      <c r="N118" s="305">
        <f>IF(G118=0,0,(IF(OR(E118=$AT$5,E118=$AT$6),AC118,HLOOKUP(YEAR(G118)+(MONTH(G118)/100),TC!$5:$37,DAY(G118)+2,FALSE))))</f>
        <v>18.6797</v>
      </c>
      <c r="O118" s="307">
        <f t="shared" si="28"/>
        <v>931231.61222000001</v>
      </c>
      <c r="P118" s="560">
        <f>IF(G118=0,0,VLOOKUP(YEAR(G118),INPC!$B$4:$P$30,MONTH(G118)+2))</f>
        <v>106.889</v>
      </c>
      <c r="Q118" s="560">
        <f>IF(X118=0,0,IF(OR(E118=$AT$10,E118=$AT$9),VLOOKUP(YEAR(X118),INPC!$B$4:$P$30,MONTH(X118)+1),VLOOKUP(YEAR(X118),INPC!$B$4:$P$30,MONTH(X118)+2,0)))</f>
        <v>121.02200000000001</v>
      </c>
      <c r="R118" s="309">
        <f t="shared" si="20"/>
        <v>1.1322000000000001</v>
      </c>
      <c r="S118" s="310">
        <f t="shared" si="29"/>
        <v>1054340.4313554841</v>
      </c>
      <c r="T118" s="555">
        <f t="shared" si="30"/>
        <v>5864.0275829290877</v>
      </c>
      <c r="U118" s="311"/>
      <c r="V118" s="312">
        <v>179.798</v>
      </c>
      <c r="W118" s="299" t="s">
        <v>194</v>
      </c>
      <c r="X118" s="300">
        <v>44725</v>
      </c>
      <c r="Y118" s="299" t="s">
        <v>59</v>
      </c>
      <c r="Z118" s="303">
        <v>44615.08</v>
      </c>
      <c r="AA118" s="305">
        <f>IF(Z118=0,0,IF(Y118="MXN",1/HLOOKUP(YEAR(X118)+(MONTH(X118)/100),TC!$5:$37,DAY(X118)+2,FALSE),VLOOKUP(Y118,Equivalencia!$1:$23,((MAX(Equivalencia!$3:$3)-YEAR(X118))*14)+MONTH(X118)+2,FALSE)))</f>
        <v>1</v>
      </c>
      <c r="AB118" s="306">
        <f t="shared" si="31"/>
        <v>44615.08</v>
      </c>
      <c r="AC118" s="305">
        <f>+IF(X118=0,0,HLOOKUP(YEAR(X118)+(MONTH(X118)/100),TC!$5:$37,DAY(X118)+2,FALSE))</f>
        <v>19.6128</v>
      </c>
      <c r="AD118" s="307">
        <f t="shared" si="32"/>
        <v>875026.64102400001</v>
      </c>
      <c r="AE118" s="314">
        <f t="shared" si="21"/>
        <v>1054340.4313554841</v>
      </c>
      <c r="AF118" s="315">
        <f t="shared" si="22"/>
        <v>-179313.79033148405</v>
      </c>
      <c r="AG118" s="316">
        <f t="shared" si="23"/>
        <v>2.3506849315068492</v>
      </c>
      <c r="AH118" s="314">
        <v>1</v>
      </c>
      <c r="AI118" s="314">
        <f t="shared" si="24"/>
        <v>-179313.79033148405</v>
      </c>
      <c r="AJ118" s="314">
        <f t="shared" si="33"/>
        <v>0</v>
      </c>
      <c r="AK118" s="317"/>
      <c r="AL118" s="315">
        <f t="shared" si="25"/>
        <v>-5237.5199999999968</v>
      </c>
      <c r="AN118" s="554">
        <f t="shared" si="26"/>
        <v>-0.10506011722558095</v>
      </c>
      <c r="AO118" s="314"/>
      <c r="AP118" s="318"/>
    </row>
    <row r="119" spans="2:42">
      <c r="B119" s="296" t="s">
        <v>1266</v>
      </c>
      <c r="C119" s="299" t="s">
        <v>277</v>
      </c>
      <c r="D119" s="298" t="s">
        <v>849</v>
      </c>
      <c r="E119" s="299" t="s">
        <v>113</v>
      </c>
      <c r="F119" s="299" t="s">
        <v>59</v>
      </c>
      <c r="G119" s="300">
        <v>43867</v>
      </c>
      <c r="H119" s="303">
        <v>12816.11</v>
      </c>
      <c r="I119" s="301" t="str">
        <f t="shared" si="17"/>
        <v>Ingresos Sección II LISR (SIC &amp; BMV)</v>
      </c>
      <c r="J119" s="302">
        <f t="shared" si="27"/>
        <v>75.004999999999995</v>
      </c>
      <c r="K119" s="304">
        <f t="shared" si="18"/>
        <v>170.87007532831146</v>
      </c>
      <c r="L119" s="305">
        <f>IF(H119=0,0,IF(OR(E119=$AT$5,E119=$AT$6),AA119,IF(F119="MXN",1/HLOOKUP(YEAR(G119)+(MONTH(G119)/100),TC!$5:$37,DAY(G119)+2,FALSE),VLOOKUP(F119,Equivalencia!$5:$23,((MAX(Equivalencia!$3:$3)-YEAR(G119))*14)+MONTH(G119)+2,FALSE))))</f>
        <v>1</v>
      </c>
      <c r="M119" s="306">
        <f t="shared" si="19"/>
        <v>12816.11</v>
      </c>
      <c r="N119" s="305">
        <f>IF(G119=0,0,(IF(OR(E119=$AT$5,E119=$AT$6),AC119,HLOOKUP(YEAR(G119)+(MONTH(G119)/100),TC!$5:$37,DAY(G119)+2,FALSE))))</f>
        <v>18.6797</v>
      </c>
      <c r="O119" s="307">
        <f t="shared" si="28"/>
        <v>239401.08996700001</v>
      </c>
      <c r="P119" s="560">
        <f>IF(G119=0,0,VLOOKUP(YEAR(G119),INPC!$B$4:$P$30,MONTH(G119)+2))</f>
        <v>106.889</v>
      </c>
      <c r="Q119" s="560">
        <f>IF(X119=0,0,IF(OR(E119=$AT$10,E119=$AT$9),VLOOKUP(YEAR(X119),INPC!$B$4:$P$30,MONTH(X119)+1),VLOOKUP(YEAR(X119),INPC!$B$4:$P$30,MONTH(X119)+2,0)))</f>
        <v>121.02200000000001</v>
      </c>
      <c r="R119" s="309">
        <f t="shared" si="20"/>
        <v>1.1322000000000001</v>
      </c>
      <c r="S119" s="310">
        <f t="shared" si="29"/>
        <v>271049.91406063741</v>
      </c>
      <c r="T119" s="555">
        <f t="shared" si="30"/>
        <v>3613.7579369460359</v>
      </c>
      <c r="U119" s="311"/>
      <c r="V119" s="312">
        <v>75.004999999999995</v>
      </c>
      <c r="W119" s="299" t="s">
        <v>194</v>
      </c>
      <c r="X119" s="300">
        <v>44725</v>
      </c>
      <c r="Y119" s="299" t="s">
        <v>59</v>
      </c>
      <c r="Z119" s="303">
        <v>13699.66</v>
      </c>
      <c r="AA119" s="305">
        <f>IF(Z119=0,0,IF(Y119="MXN",1/HLOOKUP(YEAR(X119)+(MONTH(X119)/100),TC!$5:$37,DAY(X119)+2,FALSE),VLOOKUP(Y119,Equivalencia!$1:$23,((MAX(Equivalencia!$3:$3)-YEAR(X119))*14)+MONTH(X119)+2,FALSE)))</f>
        <v>1</v>
      </c>
      <c r="AB119" s="306">
        <f t="shared" si="31"/>
        <v>13699.66</v>
      </c>
      <c r="AC119" s="305">
        <f>+IF(X119=0,0,HLOOKUP(YEAR(X119)+(MONTH(X119)/100),TC!$5:$37,DAY(X119)+2,FALSE))</f>
        <v>19.6128</v>
      </c>
      <c r="AD119" s="307">
        <f t="shared" si="32"/>
        <v>268688.69164799998</v>
      </c>
      <c r="AE119" s="314">
        <f t="shared" si="21"/>
        <v>271049.91406063741</v>
      </c>
      <c r="AF119" s="315">
        <f t="shared" si="22"/>
        <v>-2361.2224126374349</v>
      </c>
      <c r="AG119" s="316">
        <f t="shared" si="23"/>
        <v>2.3506849315068492</v>
      </c>
      <c r="AH119" s="314">
        <v>1</v>
      </c>
      <c r="AI119" s="314">
        <f t="shared" si="24"/>
        <v>-2361.2224126374349</v>
      </c>
      <c r="AJ119" s="314">
        <f t="shared" si="33"/>
        <v>0</v>
      </c>
      <c r="AK119" s="317"/>
      <c r="AL119" s="315">
        <f t="shared" si="25"/>
        <v>883.54999999999927</v>
      </c>
      <c r="AN119" s="554">
        <f t="shared" si="26"/>
        <v>6.8940575572463039E-2</v>
      </c>
      <c r="AO119" s="314"/>
      <c r="AP119" s="318"/>
    </row>
    <row r="120" spans="2:42">
      <c r="B120" s="296" t="s">
        <v>1266</v>
      </c>
      <c r="C120" s="299" t="s">
        <v>277</v>
      </c>
      <c r="D120" s="298" t="s">
        <v>849</v>
      </c>
      <c r="E120" s="299" t="s">
        <v>113</v>
      </c>
      <c r="F120" s="299" t="s">
        <v>59</v>
      </c>
      <c r="G120" s="300">
        <v>43867</v>
      </c>
      <c r="H120" s="303">
        <v>3005.26</v>
      </c>
      <c r="I120" s="301" t="str">
        <f t="shared" si="17"/>
        <v>Ingresos Sección II LISR (SIC &amp; BMV)</v>
      </c>
      <c r="J120" s="302">
        <f t="shared" si="27"/>
        <v>17.588000000000001</v>
      </c>
      <c r="K120" s="304">
        <f t="shared" si="18"/>
        <v>170.86991130316125</v>
      </c>
      <c r="L120" s="305">
        <f>IF(H120=0,0,IF(OR(E120=$AT$5,E120=$AT$6),AA120,IF(F120="MXN",1/HLOOKUP(YEAR(G120)+(MONTH(G120)/100),TC!$5:$37,DAY(G120)+2,FALSE),VLOOKUP(F120,Equivalencia!$5:$23,((MAX(Equivalencia!$3:$3)-YEAR(G120))*14)+MONTH(G120)+2,FALSE))))</f>
        <v>1</v>
      </c>
      <c r="M120" s="306">
        <f t="shared" si="19"/>
        <v>3005.26</v>
      </c>
      <c r="N120" s="305">
        <f>IF(G120=0,0,(IF(OR(E120=$AT$5,E120=$AT$6),AC120,HLOOKUP(YEAR(G120)+(MONTH(G120)/100),TC!$5:$37,DAY(G120)+2,FALSE))))</f>
        <v>18.6797</v>
      </c>
      <c r="O120" s="307">
        <f t="shared" si="28"/>
        <v>56137.355222000006</v>
      </c>
      <c r="P120" s="560">
        <f>IF(G120=0,0,VLOOKUP(YEAR(G120),INPC!$B$4:$P$30,MONTH(G120)+2))</f>
        <v>106.889</v>
      </c>
      <c r="Q120" s="560">
        <f>IF(X120=0,0,IF(OR(E120=$AT$10,E120=$AT$9),VLOOKUP(YEAR(X120),INPC!$B$4:$P$30,MONTH(X120)+1),VLOOKUP(YEAR(X120),INPC!$B$4:$P$30,MONTH(X120)+2,0)))</f>
        <v>121.02200000000001</v>
      </c>
      <c r="R120" s="309">
        <f t="shared" si="20"/>
        <v>1.1322000000000001</v>
      </c>
      <c r="S120" s="310">
        <f t="shared" si="29"/>
        <v>63558.713582348413</v>
      </c>
      <c r="T120" s="555">
        <f t="shared" si="30"/>
        <v>3613.7544679524908</v>
      </c>
      <c r="U120" s="311"/>
      <c r="V120" s="312">
        <v>17.588000000000001</v>
      </c>
      <c r="W120" s="299" t="s">
        <v>194</v>
      </c>
      <c r="X120" s="300">
        <v>44719</v>
      </c>
      <c r="Y120" s="299" t="s">
        <v>59</v>
      </c>
      <c r="Z120" s="303">
        <v>3517.42</v>
      </c>
      <c r="AA120" s="305">
        <f>IF(Z120=0,0,IF(Y120="MXN",1/HLOOKUP(YEAR(X120)+(MONTH(X120)/100),TC!$5:$37,DAY(X120)+2,FALSE),VLOOKUP(Y120,Equivalencia!$1:$23,((MAX(Equivalencia!$3:$3)-YEAR(X120))*14)+MONTH(X120)+2,FALSE)))</f>
        <v>1</v>
      </c>
      <c r="AB120" s="306">
        <f t="shared" si="31"/>
        <v>3517.42</v>
      </c>
      <c r="AC120" s="305">
        <f>+IF(X120=0,0,HLOOKUP(YEAR(X120)+(MONTH(X120)/100),TC!$5:$37,DAY(X120)+2,FALSE))</f>
        <v>19.574200000000001</v>
      </c>
      <c r="AD120" s="307">
        <f t="shared" si="32"/>
        <v>68850.682564000002</v>
      </c>
      <c r="AE120" s="314">
        <f t="shared" si="21"/>
        <v>63558.713582348413</v>
      </c>
      <c r="AF120" s="315">
        <f t="shared" si="22"/>
        <v>5291.9689816515893</v>
      </c>
      <c r="AG120" s="316">
        <f t="shared" si="23"/>
        <v>2.3342465753424659</v>
      </c>
      <c r="AH120" s="314">
        <v>1</v>
      </c>
      <c r="AI120" s="314">
        <f t="shared" si="24"/>
        <v>5291.9689816515893</v>
      </c>
      <c r="AJ120" s="314">
        <f t="shared" si="33"/>
        <v>0</v>
      </c>
      <c r="AK120" s="317"/>
      <c r="AL120" s="315">
        <f t="shared" si="25"/>
        <v>512.15999999999985</v>
      </c>
      <c r="AN120" s="554">
        <f t="shared" si="26"/>
        <v>0.17042119483838331</v>
      </c>
      <c r="AO120" s="314"/>
      <c r="AP120" s="318"/>
    </row>
    <row r="121" spans="2:42">
      <c r="B121" s="296" t="s">
        <v>1266</v>
      </c>
      <c r="C121" s="299" t="s">
        <v>277</v>
      </c>
      <c r="D121" s="298" t="s">
        <v>850</v>
      </c>
      <c r="E121" s="299" t="s">
        <v>106</v>
      </c>
      <c r="F121" s="299" t="s">
        <v>59</v>
      </c>
      <c r="G121" s="300">
        <v>43497</v>
      </c>
      <c r="H121" s="303">
        <v>14145.86</v>
      </c>
      <c r="I121" s="301" t="str">
        <f t="shared" si="17"/>
        <v>Ingresos Sección I LISR</v>
      </c>
      <c r="J121" s="302">
        <f t="shared" si="27"/>
        <v>833.58</v>
      </c>
      <c r="K121" s="304">
        <f t="shared" si="18"/>
        <v>16.970008877372297</v>
      </c>
      <c r="L121" s="305">
        <f>IF(H121=0,0,IF(OR(E121=$AT$5,E121=$AT$6),AA121,IF(F121="MXN",1/HLOOKUP(YEAR(G121)+(MONTH(G121)/100),TC!$5:$37,DAY(G121)+2,FALSE),VLOOKUP(F121,Equivalencia!$5:$23,((MAX(Equivalencia!$3:$3)-YEAR(G121))*14)+MONTH(G121)+2,FALSE))))</f>
        <v>1</v>
      </c>
      <c r="M121" s="306">
        <f t="shared" si="19"/>
        <v>14145.86</v>
      </c>
      <c r="N121" s="305">
        <f>IF(G121=0,0,(IF(OR(E121=$AT$5,E121=$AT$6),AC121,HLOOKUP(YEAR(G121)+(MONTH(G121)/100),TC!$5:$37,DAY(G121)+2,FALSE))))</f>
        <v>19.162299999999998</v>
      </c>
      <c r="O121" s="307">
        <f t="shared" si="28"/>
        <v>271067.213078</v>
      </c>
      <c r="P121" s="560">
        <f>IF(G121=0,0,VLOOKUP(YEAR(G121),INPC!$B$4:$P$30,MONTH(G121)+2))</f>
        <v>103.07899999999999</v>
      </c>
      <c r="Q121" s="560">
        <f>IF(X121=0,0,IF(OR(E121=$AT$10,E121=$AT$9),VLOOKUP(YEAR(X121),INPC!$B$4:$P$30,MONTH(X121)+1),VLOOKUP(YEAR(X121),INPC!$B$4:$P$30,MONTH(X121)+2,0)))</f>
        <v>122.044</v>
      </c>
      <c r="R121" s="309">
        <f t="shared" si="20"/>
        <v>1.1839</v>
      </c>
      <c r="S121" s="310">
        <f t="shared" si="29"/>
        <v>320916.47356304422</v>
      </c>
      <c r="T121" s="555">
        <f t="shared" si="30"/>
        <v>384.9858124751604</v>
      </c>
      <c r="U121" s="311"/>
      <c r="V121" s="312">
        <v>833.58</v>
      </c>
      <c r="W121" s="299" t="s">
        <v>194</v>
      </c>
      <c r="X121" s="300">
        <v>44725</v>
      </c>
      <c r="Y121" s="299" t="s">
        <v>59</v>
      </c>
      <c r="Z121" s="303">
        <v>17496.84</v>
      </c>
      <c r="AA121" s="305">
        <f>IF(Z121=0,0,IF(Y121="MXN",1/HLOOKUP(YEAR(X121)+(MONTH(X121)/100),TC!$5:$37,DAY(X121)+2,FALSE),VLOOKUP(Y121,Equivalencia!$1:$23,((MAX(Equivalencia!$3:$3)-YEAR(X121))*14)+MONTH(X121)+2,FALSE)))</f>
        <v>1</v>
      </c>
      <c r="AB121" s="306">
        <f t="shared" si="31"/>
        <v>17496.84</v>
      </c>
      <c r="AC121" s="305">
        <f>+IF(X121=0,0,HLOOKUP(YEAR(X121)+(MONTH(X121)/100),TC!$5:$37,DAY(X121)+2,FALSE))</f>
        <v>19.6128</v>
      </c>
      <c r="AD121" s="307">
        <f t="shared" si="32"/>
        <v>343162.023552</v>
      </c>
      <c r="AE121" s="314">
        <f t="shared" si="21"/>
        <v>320916.47356304422</v>
      </c>
      <c r="AF121" s="315">
        <f t="shared" si="22"/>
        <v>22245.549988955783</v>
      </c>
      <c r="AG121" s="316">
        <f t="shared" si="23"/>
        <v>3.3643835616438356</v>
      </c>
      <c r="AH121" s="314">
        <v>1</v>
      </c>
      <c r="AI121" s="314">
        <f t="shared" si="24"/>
        <v>22245.549988955783</v>
      </c>
      <c r="AJ121" s="314">
        <f t="shared" si="33"/>
        <v>0</v>
      </c>
      <c r="AK121" s="317"/>
      <c r="AL121" s="315">
        <f t="shared" si="25"/>
        <v>3350.9799999999996</v>
      </c>
      <c r="AN121" s="554">
        <f t="shared" si="26"/>
        <v>0.23688768303941926</v>
      </c>
      <c r="AO121" s="314"/>
      <c r="AP121" s="318"/>
    </row>
    <row r="122" spans="2:42">
      <c r="B122" s="296" t="s">
        <v>1266</v>
      </c>
      <c r="C122" s="299" t="s">
        <v>277</v>
      </c>
      <c r="D122" s="298" t="s">
        <v>850</v>
      </c>
      <c r="E122" s="299" t="s">
        <v>106</v>
      </c>
      <c r="F122" s="299" t="s">
        <v>59</v>
      </c>
      <c r="G122" s="300">
        <v>43497</v>
      </c>
      <c r="H122" s="303">
        <v>1990.1</v>
      </c>
      <c r="I122" s="301" t="str">
        <f t="shared" si="17"/>
        <v>Ingresos Sección I LISR</v>
      </c>
      <c r="J122" s="302">
        <f t="shared" si="27"/>
        <v>117.27200000000001</v>
      </c>
      <c r="K122" s="304">
        <f t="shared" si="18"/>
        <v>16.969950201241556</v>
      </c>
      <c r="L122" s="305">
        <f>IF(H122=0,0,IF(OR(E122=$AT$5,E122=$AT$6),AA122,IF(F122="MXN",1/HLOOKUP(YEAR(G122)+(MONTH(G122)/100),TC!$5:$37,DAY(G122)+2,FALSE),VLOOKUP(F122,Equivalencia!$5:$23,((MAX(Equivalencia!$3:$3)-YEAR(G122))*14)+MONTH(G122)+2,FALSE))))</f>
        <v>1</v>
      </c>
      <c r="M122" s="306">
        <f t="shared" si="19"/>
        <v>1990.1</v>
      </c>
      <c r="N122" s="305">
        <f>IF(G122=0,0,(IF(OR(E122=$AT$5,E122=$AT$6),AC122,HLOOKUP(YEAR(G122)+(MONTH(G122)/100),TC!$5:$37,DAY(G122)+2,FALSE))))</f>
        <v>19.162299999999998</v>
      </c>
      <c r="O122" s="307">
        <f t="shared" si="28"/>
        <v>38134.893229999994</v>
      </c>
      <c r="P122" s="560">
        <f>IF(G122=0,0,VLOOKUP(YEAR(G122),INPC!$B$4:$P$30,MONTH(G122)+2))</f>
        <v>103.07899999999999</v>
      </c>
      <c r="Q122" s="560">
        <f>IF(X122=0,0,IF(OR(E122=$AT$10,E122=$AT$9),VLOOKUP(YEAR(X122),INPC!$B$4:$P$30,MONTH(X122)+1),VLOOKUP(YEAR(X122),INPC!$B$4:$P$30,MONTH(X122)+2,0)))</f>
        <v>122.044</v>
      </c>
      <c r="R122" s="309">
        <f t="shared" si="20"/>
        <v>1.1839</v>
      </c>
      <c r="S122" s="310">
        <f t="shared" si="29"/>
        <v>45147.900094996992</v>
      </c>
      <c r="T122" s="555">
        <f t="shared" si="30"/>
        <v>384.9844813339671</v>
      </c>
      <c r="U122" s="311"/>
      <c r="V122" s="312">
        <v>117.27200000000001</v>
      </c>
      <c r="W122" s="299" t="s">
        <v>194</v>
      </c>
      <c r="X122" s="300">
        <v>44719</v>
      </c>
      <c r="Y122" s="299" t="s">
        <v>59</v>
      </c>
      <c r="Z122" s="303">
        <v>2698.44</v>
      </c>
      <c r="AA122" s="305">
        <f>IF(Z122=0,0,IF(Y122="MXN",1/HLOOKUP(YEAR(X122)+(MONTH(X122)/100),TC!$5:$37,DAY(X122)+2,FALSE),VLOOKUP(Y122,Equivalencia!$1:$23,((MAX(Equivalencia!$3:$3)-YEAR(X122))*14)+MONTH(X122)+2,FALSE)))</f>
        <v>1</v>
      </c>
      <c r="AB122" s="306">
        <f t="shared" si="31"/>
        <v>2698.44</v>
      </c>
      <c r="AC122" s="305">
        <f>+IF(X122=0,0,HLOOKUP(YEAR(X122)+(MONTH(X122)/100),TC!$5:$37,DAY(X122)+2,FALSE))</f>
        <v>19.574200000000001</v>
      </c>
      <c r="AD122" s="307">
        <f t="shared" si="32"/>
        <v>52819.804248000008</v>
      </c>
      <c r="AE122" s="314">
        <f t="shared" si="21"/>
        <v>45147.900094996992</v>
      </c>
      <c r="AF122" s="315">
        <f t="shared" si="22"/>
        <v>7671.9041530030154</v>
      </c>
      <c r="AG122" s="316">
        <f t="shared" si="23"/>
        <v>3.3479452054794518</v>
      </c>
      <c r="AH122" s="314">
        <v>1</v>
      </c>
      <c r="AI122" s="314">
        <f t="shared" si="24"/>
        <v>7671.9041530030154</v>
      </c>
      <c r="AJ122" s="314">
        <f t="shared" si="33"/>
        <v>0</v>
      </c>
      <c r="AK122" s="317"/>
      <c r="AL122" s="315">
        <f t="shared" si="25"/>
        <v>708.34000000000015</v>
      </c>
      <c r="AN122" s="554">
        <f t="shared" si="26"/>
        <v>0.3559318627204664</v>
      </c>
      <c r="AO122" s="314"/>
      <c r="AP122" s="318"/>
    </row>
    <row r="123" spans="2:42">
      <c r="B123" s="296"/>
      <c r="C123" s="299"/>
      <c r="D123" s="298"/>
      <c r="E123" s="299"/>
      <c r="F123" s="299"/>
      <c r="G123" s="300"/>
      <c r="H123" s="303"/>
      <c r="I123" s="301">
        <f t="shared" si="17"/>
        <v>0</v>
      </c>
      <c r="J123" s="302">
        <f t="shared" si="27"/>
        <v>0</v>
      </c>
      <c r="K123" s="304">
        <f t="shared" si="18"/>
        <v>0</v>
      </c>
      <c r="L123" s="305">
        <f>IF(H123=0,0,IF(OR(E123=$AT$5,E123=$AT$6),AA123,IF(F123="MXN",1/HLOOKUP(YEAR(G123)+(MONTH(G123)/100),TC!$5:$37,DAY(G123)+2,FALSE),VLOOKUP(F123,Equivalencia!$5:$23,((MAX(Equivalencia!$3:$3)-YEAR(G123))*14)+MONTH(G123)+2,FALSE))))</f>
        <v>0</v>
      </c>
      <c r="M123" s="306">
        <f t="shared" si="19"/>
        <v>0</v>
      </c>
      <c r="N123" s="305">
        <f>IF(G123=0,0,(IF(OR(E123=$AT$5,E123=$AT$6),AC123,HLOOKUP(YEAR(G123)+(MONTH(G123)/100),TC!$5:$37,DAY(G123)+2,FALSE))))</f>
        <v>0</v>
      </c>
      <c r="O123" s="307">
        <f t="shared" si="28"/>
        <v>0</v>
      </c>
      <c r="P123" s="560">
        <f>IF(G123=0,0,VLOOKUP(YEAR(G123),INPC!$B$4:$P$30,MONTH(G123)+2))</f>
        <v>0</v>
      </c>
      <c r="Q123" s="560">
        <f>IF(X123=0,0,IF(OR(E123=$AT$10,E123=$AT$9),VLOOKUP(YEAR(X123),INPC!$B$4:$P$30,MONTH(X123)+1),VLOOKUP(YEAR(X123),INPC!$B$4:$P$30,MONTH(X123)+2,0)))</f>
        <v>0</v>
      </c>
      <c r="R123" s="309">
        <f t="shared" si="20"/>
        <v>0</v>
      </c>
      <c r="S123" s="310">
        <f t="shared" si="29"/>
        <v>0</v>
      </c>
      <c r="T123" s="555">
        <f t="shared" si="30"/>
        <v>0</v>
      </c>
      <c r="U123" s="311"/>
      <c r="V123" s="312"/>
      <c r="W123" s="299"/>
      <c r="X123" s="300"/>
      <c r="Y123" s="299"/>
      <c r="Z123" s="303"/>
      <c r="AA123" s="305">
        <f>IF(Z123=0,0,IF(Y123="MXN",1/HLOOKUP(YEAR(X123)+(MONTH(X123)/100),TC!$5:$37,DAY(X123)+2,FALSE),VLOOKUP(Y123,Equivalencia!$1:$23,((MAX(Equivalencia!$3:$3)-YEAR(X123))*14)+MONTH(X123)+2,FALSE)))</f>
        <v>0</v>
      </c>
      <c r="AB123" s="306">
        <f t="shared" si="31"/>
        <v>0</v>
      </c>
      <c r="AC123" s="305">
        <f>+IF(X123=0,0,HLOOKUP(YEAR(X123)+(MONTH(X123)/100),TC!$5:$37,DAY(X123)+2,FALSE))</f>
        <v>0</v>
      </c>
      <c r="AD123" s="307">
        <f t="shared" si="32"/>
        <v>0</v>
      </c>
      <c r="AE123" s="314">
        <f t="shared" si="21"/>
        <v>0</v>
      </c>
      <c r="AF123" s="315">
        <f t="shared" si="22"/>
        <v>0</v>
      </c>
      <c r="AG123" s="316">
        <f t="shared" si="23"/>
        <v>0</v>
      </c>
      <c r="AH123" s="314">
        <v>1</v>
      </c>
      <c r="AI123" s="314">
        <f t="shared" si="24"/>
        <v>0</v>
      </c>
      <c r="AJ123" s="314">
        <f t="shared" si="33"/>
        <v>0</v>
      </c>
      <c r="AK123" s="317"/>
      <c r="AL123" s="315">
        <f t="shared" si="25"/>
        <v>0</v>
      </c>
      <c r="AN123" s="554">
        <f t="shared" si="26"/>
        <v>0</v>
      </c>
      <c r="AO123" s="314"/>
      <c r="AP123" s="318"/>
    </row>
    <row r="124" spans="2:42">
      <c r="B124" s="296" t="s">
        <v>1254</v>
      </c>
      <c r="C124" s="299" t="s">
        <v>277</v>
      </c>
      <c r="D124" s="298" t="s">
        <v>724</v>
      </c>
      <c r="E124" s="299" t="s">
        <v>113</v>
      </c>
      <c r="F124" s="299" t="s">
        <v>59</v>
      </c>
      <c r="G124" s="300">
        <v>44259</v>
      </c>
      <c r="H124" s="303">
        <v>392.65304182509504</v>
      </c>
      <c r="I124" s="301" t="str">
        <f t="shared" ref="I124:I187" si="34">IF(D124=0,0,IF(OR(E124=$AT$9,E124=$AT$10),"Ingresos Sección II LISR (SIC &amp; BMV)","Ingresos Sección I LISR"))</f>
        <v>Ingresos Sección II LISR (SIC &amp; BMV)</v>
      </c>
      <c r="J124" s="302">
        <f t="shared" ref="J124:J187" si="35">+V124</f>
        <v>10</v>
      </c>
      <c r="K124" s="304">
        <f t="shared" ref="K124:K187" si="36">IF(H124=0,0,H124/J124)</f>
        <v>39.265304182509503</v>
      </c>
      <c r="L124" s="305">
        <f>IF(H124=0,0,IF(OR(E124=$AT$5,E124=$AT$6),AA124,IF(F124="MXN",1/HLOOKUP(YEAR(G124)+(MONTH(G124)/100),TC!$5:$37,DAY(G124)+2,FALSE),VLOOKUP(F124,Equivalencia!$5:$23,((MAX(Equivalencia!$3:$3)-YEAR(G124))*14)+MONTH(G124)+2,FALSE))))</f>
        <v>1</v>
      </c>
      <c r="M124" s="306">
        <f t="shared" ref="M124:M187" si="37">+H124*L124</f>
        <v>392.65304182509504</v>
      </c>
      <c r="N124" s="305">
        <f>IF(G124=0,0,(IF(OR(E124=$AT$5,E124=$AT$6),AC124,HLOOKUP(YEAR(G124)+(MONTH(G124)/100),TC!$5:$37,DAY(G124)+2,FALSE))))</f>
        <v>20.690300000000001</v>
      </c>
      <c r="O124" s="307">
        <f t="shared" ref="O124:O187" si="38">+M124*N124</f>
        <v>8124.1092312737646</v>
      </c>
      <c r="P124" s="560">
        <f>IF(G124=0,0,VLOOKUP(YEAR(G124),INPC!$B$4:$P$30,MONTH(G124)+2))</f>
        <v>111.824</v>
      </c>
      <c r="Q124" s="560">
        <f>IF(X124=0,0,IF(OR(E124=$AT$10,E124=$AT$9),VLOOKUP(YEAR(X124),INPC!$B$4:$P$30,MONTH(X124)+1),VLOOKUP(YEAR(X124),INPC!$B$4:$P$30,MONTH(X124)+2,0)))</f>
        <v>117.30800000000001</v>
      </c>
      <c r="R124" s="309">
        <f t="shared" ref="R124:R187" si="39">IF(H124=0,0,IF(OR(E124=$AT$5,E124=$AT$6),1,IF(TRUNC(Q124/P124,4)&gt;=1,TRUNC(Q124/P124,4),1)))</f>
        <v>1.0489999999999999</v>
      </c>
      <c r="S124" s="310">
        <f t="shared" ref="S124:S187" si="40">+R124*O124</f>
        <v>8522.1905836061778</v>
      </c>
      <c r="T124" s="555">
        <f t="shared" ref="T124:T187" si="41">IF(V124=0,0,S124/V124)</f>
        <v>852.21905836061774</v>
      </c>
      <c r="U124" s="311"/>
      <c r="V124" s="312">
        <v>10</v>
      </c>
      <c r="W124" s="299" t="s">
        <v>194</v>
      </c>
      <c r="X124" s="300">
        <v>44589</v>
      </c>
      <c r="Y124" s="299" t="s">
        <v>59</v>
      </c>
      <c r="Z124" s="303">
        <v>412.35</v>
      </c>
      <c r="AA124" s="305">
        <f>IF(Z124=0,0,IF(Y124="MXN",1/HLOOKUP(YEAR(X124)+(MONTH(X124)/100),TC!$5:$37,DAY(X124)+2,FALSE),VLOOKUP(Y124,Equivalencia!$1:$23,((MAX(Equivalencia!$3:$3)-YEAR(X124))*14)+MONTH(X124)+2,FALSE)))</f>
        <v>1</v>
      </c>
      <c r="AB124" s="306">
        <f t="shared" ref="AB124:AB187" si="42">+AA124*Z124</f>
        <v>412.35</v>
      </c>
      <c r="AC124" s="305">
        <f>+IF(X124=0,0,HLOOKUP(YEAR(X124)+(MONTH(X124)/100),TC!$5:$37,DAY(X124)+2,FALSE))</f>
        <v>20.641500000000001</v>
      </c>
      <c r="AD124" s="307">
        <f t="shared" ref="AD124:AD187" si="43">+AC124*AB124</f>
        <v>8511.5225250000003</v>
      </c>
      <c r="AE124" s="314">
        <f t="shared" ref="AE124:AE187" si="44">+V124*T124</f>
        <v>8522.1905836061778</v>
      </c>
      <c r="AF124" s="315">
        <f t="shared" ref="AF124:AF187" si="45">IF(E124=$AT$11,0,AD124-AE124)</f>
        <v>-10.66805860617751</v>
      </c>
      <c r="AG124" s="316">
        <f t="shared" ref="AG124:AG187" si="46">+IF(AND(AF124&lt;0,OR(E124=$AT$5,E124=$AT$6)),1,((X124-G124)/365))</f>
        <v>0.90410958904109584</v>
      </c>
      <c r="AH124" s="314">
        <v>1</v>
      </c>
      <c r="AI124" s="314">
        <f t="shared" ref="AI124:AI187" si="47">+IF(OR(E124=$AT$9,E124=$AT$10),AF124,+AF124/AH124)</f>
        <v>-10.66805860617751</v>
      </c>
      <c r="AJ124" s="314">
        <f t="shared" ref="AJ124:AJ187" si="48">+AF124-AI124</f>
        <v>0</v>
      </c>
      <c r="AK124" s="317"/>
      <c r="AL124" s="315">
        <f t="shared" ref="AL124:AL187" si="49">+AB124-M124</f>
        <v>19.696958174904978</v>
      </c>
      <c r="AN124" s="554">
        <f t="shared" ref="AN124:AN187" si="50">IF(AL124=0,0,AL124/H124)</f>
        <v>5.0163773298052966E-2</v>
      </c>
      <c r="AO124" s="314"/>
      <c r="AP124" s="318"/>
    </row>
    <row r="125" spans="2:42">
      <c r="B125" s="296" t="s">
        <v>1254</v>
      </c>
      <c r="C125" s="299" t="s">
        <v>277</v>
      </c>
      <c r="D125" s="298" t="s">
        <v>724</v>
      </c>
      <c r="E125" s="299" t="s">
        <v>113</v>
      </c>
      <c r="F125" s="299" t="s">
        <v>59</v>
      </c>
      <c r="G125" s="300">
        <v>44259</v>
      </c>
      <c r="H125" s="303">
        <v>4672.5711977186311</v>
      </c>
      <c r="I125" s="301" t="str">
        <f t="shared" si="34"/>
        <v>Ingresos Sección II LISR (SIC &amp; BMV)</v>
      </c>
      <c r="J125" s="302">
        <f t="shared" si="35"/>
        <v>119</v>
      </c>
      <c r="K125" s="304">
        <f t="shared" si="36"/>
        <v>39.265304182509503</v>
      </c>
      <c r="L125" s="305">
        <f>IF(H125=0,0,IF(OR(E125=$AT$5,E125=$AT$6),AA125,IF(F125="MXN",1/HLOOKUP(YEAR(G125)+(MONTH(G125)/100),TC!$5:$37,DAY(G125)+2,FALSE),VLOOKUP(F125,Equivalencia!$5:$23,((MAX(Equivalencia!$3:$3)-YEAR(G125))*14)+MONTH(G125)+2,FALSE))))</f>
        <v>1</v>
      </c>
      <c r="M125" s="306">
        <f t="shared" si="37"/>
        <v>4672.5711977186311</v>
      </c>
      <c r="N125" s="305">
        <f>IF(G125=0,0,(IF(OR(E125=$AT$5,E125=$AT$6),AC125,HLOOKUP(YEAR(G125)+(MONTH(G125)/100),TC!$5:$37,DAY(G125)+2,FALSE))))</f>
        <v>20.690300000000001</v>
      </c>
      <c r="O125" s="307">
        <f t="shared" si="38"/>
        <v>96676.899852157789</v>
      </c>
      <c r="P125" s="560">
        <f>IF(G125=0,0,VLOOKUP(YEAR(G125),INPC!$B$4:$P$30,MONTH(G125)+2))</f>
        <v>111.824</v>
      </c>
      <c r="Q125" s="560">
        <f>IF(X125=0,0,IF(OR(E125=$AT$10,E125=$AT$9),VLOOKUP(YEAR(X125),INPC!$B$4:$P$30,MONTH(X125)+1),VLOOKUP(YEAR(X125),INPC!$B$4:$P$30,MONTH(X125)+2,0)))</f>
        <v>117.30800000000001</v>
      </c>
      <c r="R125" s="309">
        <f t="shared" si="39"/>
        <v>1.0489999999999999</v>
      </c>
      <c r="S125" s="310">
        <f t="shared" si="40"/>
        <v>101414.06794491352</v>
      </c>
      <c r="T125" s="555">
        <f t="shared" si="41"/>
        <v>852.21905836061785</v>
      </c>
      <c r="U125" s="311"/>
      <c r="V125" s="312">
        <v>119</v>
      </c>
      <c r="W125" s="299" t="s">
        <v>194</v>
      </c>
      <c r="X125" s="300">
        <v>44589</v>
      </c>
      <c r="Y125" s="299" t="s">
        <v>59</v>
      </c>
      <c r="Z125" s="303">
        <v>4891.5879687500001</v>
      </c>
      <c r="AA125" s="305">
        <f>IF(Z125=0,0,IF(Y125="MXN",1/HLOOKUP(YEAR(X125)+(MONTH(X125)/100),TC!$5:$37,DAY(X125)+2,FALSE),VLOOKUP(Y125,Equivalencia!$1:$23,((MAX(Equivalencia!$3:$3)-YEAR(X125))*14)+MONTH(X125)+2,FALSE)))</f>
        <v>1</v>
      </c>
      <c r="AB125" s="306">
        <f t="shared" si="42"/>
        <v>4891.5879687500001</v>
      </c>
      <c r="AC125" s="305">
        <f>+IF(X125=0,0,HLOOKUP(YEAR(X125)+(MONTH(X125)/100),TC!$5:$37,DAY(X125)+2,FALSE))</f>
        <v>20.641500000000001</v>
      </c>
      <c r="AD125" s="307">
        <f t="shared" si="43"/>
        <v>100969.71305695313</v>
      </c>
      <c r="AE125" s="314">
        <f t="shared" si="44"/>
        <v>101414.06794491352</v>
      </c>
      <c r="AF125" s="315">
        <f t="shared" si="45"/>
        <v>-444.35488796039135</v>
      </c>
      <c r="AG125" s="316">
        <f t="shared" si="46"/>
        <v>0.90410958904109584</v>
      </c>
      <c r="AH125" s="314">
        <v>1</v>
      </c>
      <c r="AI125" s="314">
        <f t="shared" si="47"/>
        <v>-444.35488796039135</v>
      </c>
      <c r="AJ125" s="314">
        <f t="shared" si="48"/>
        <v>0</v>
      </c>
      <c r="AK125" s="317"/>
      <c r="AL125" s="315">
        <f t="shared" si="49"/>
        <v>219.01677103136899</v>
      </c>
      <c r="AN125" s="554">
        <f t="shared" si="50"/>
        <v>4.6872859024235582E-2</v>
      </c>
      <c r="AO125" s="314"/>
      <c r="AP125" s="318"/>
    </row>
    <row r="126" spans="2:42">
      <c r="B126" s="296" t="s">
        <v>1254</v>
      </c>
      <c r="C126" s="299" t="s">
        <v>277</v>
      </c>
      <c r="D126" s="298" t="s">
        <v>724</v>
      </c>
      <c r="E126" s="299" t="s">
        <v>113</v>
      </c>
      <c r="F126" s="299" t="s">
        <v>59</v>
      </c>
      <c r="G126" s="300">
        <v>44348</v>
      </c>
      <c r="H126" s="303">
        <v>8741.66</v>
      </c>
      <c r="I126" s="301" t="str">
        <f t="shared" si="34"/>
        <v>Ingresos Sección II LISR (SIC &amp; BMV)</v>
      </c>
      <c r="J126" s="302">
        <f t="shared" si="35"/>
        <v>180</v>
      </c>
      <c r="K126" s="304">
        <f t="shared" si="36"/>
        <v>48.564777777777778</v>
      </c>
      <c r="L126" s="305">
        <f>IF(H126=0,0,IF(OR(E126=$AT$5,E126=$AT$6),AA126,IF(F126="MXN",1/HLOOKUP(YEAR(G126)+(MONTH(G126)/100),TC!$5:$37,DAY(G126)+2,FALSE),VLOOKUP(F126,Equivalencia!$5:$23,((MAX(Equivalencia!$3:$3)-YEAR(G126))*14)+MONTH(G126)+2,FALSE))))</f>
        <v>1</v>
      </c>
      <c r="M126" s="306">
        <f t="shared" si="37"/>
        <v>8741.66</v>
      </c>
      <c r="N126" s="305">
        <f>IF(G126=0,0,(IF(OR(E126=$AT$5,E126=$AT$6),AC126,HLOOKUP(YEAR(G126)+(MONTH(G126)/100),TC!$5:$37,DAY(G126)+2,FALSE))))</f>
        <v>19.944199999999999</v>
      </c>
      <c r="O126" s="307">
        <f t="shared" si="38"/>
        <v>174345.41537199999</v>
      </c>
      <c r="P126" s="560">
        <f>IF(G126=0,0,VLOOKUP(YEAR(G126),INPC!$B$4:$P$30,MONTH(G126)+2))</f>
        <v>113.018</v>
      </c>
      <c r="Q126" s="560">
        <f>IF(X126=0,0,IF(OR(E126=$AT$10,E126=$AT$9),VLOOKUP(YEAR(X126),INPC!$B$4:$P$30,MONTH(X126)+1),VLOOKUP(YEAR(X126),INPC!$B$4:$P$30,MONTH(X126)+2,0)))</f>
        <v>117.30800000000001</v>
      </c>
      <c r="R126" s="309">
        <f t="shared" si="39"/>
        <v>1.0379</v>
      </c>
      <c r="S126" s="310">
        <f t="shared" si="40"/>
        <v>180953.1066145988</v>
      </c>
      <c r="T126" s="555">
        <f t="shared" si="41"/>
        <v>1005.2950367477711</v>
      </c>
      <c r="U126" s="311"/>
      <c r="V126" s="312">
        <v>180</v>
      </c>
      <c r="W126" s="299" t="s">
        <v>194</v>
      </c>
      <c r="X126" s="300">
        <v>44589</v>
      </c>
      <c r="Y126" s="299" t="s">
        <v>59</v>
      </c>
      <c r="Z126" s="303">
        <v>7399.0406249999996</v>
      </c>
      <c r="AA126" s="305">
        <f>IF(Z126=0,0,IF(Y126="MXN",1/HLOOKUP(YEAR(X126)+(MONTH(X126)/100),TC!$5:$37,DAY(X126)+2,FALSE),VLOOKUP(Y126,Equivalencia!$1:$23,((MAX(Equivalencia!$3:$3)-YEAR(X126))*14)+MONTH(X126)+2,FALSE)))</f>
        <v>1</v>
      </c>
      <c r="AB126" s="306">
        <f t="shared" si="42"/>
        <v>7399.0406249999996</v>
      </c>
      <c r="AC126" s="305">
        <f>+IF(X126=0,0,HLOOKUP(YEAR(X126)+(MONTH(X126)/100),TC!$5:$37,DAY(X126)+2,FALSE))</f>
        <v>20.641500000000001</v>
      </c>
      <c r="AD126" s="307">
        <f t="shared" si="43"/>
        <v>152727.2970609375</v>
      </c>
      <c r="AE126" s="314">
        <f t="shared" si="44"/>
        <v>180953.1066145988</v>
      </c>
      <c r="AF126" s="315">
        <f t="shared" si="45"/>
        <v>-28225.809553661296</v>
      </c>
      <c r="AG126" s="316">
        <f t="shared" si="46"/>
        <v>0.66027397260273968</v>
      </c>
      <c r="AH126" s="314">
        <v>1</v>
      </c>
      <c r="AI126" s="314">
        <f t="shared" si="47"/>
        <v>-28225.809553661296</v>
      </c>
      <c r="AJ126" s="314">
        <f t="shared" si="48"/>
        <v>0</v>
      </c>
      <c r="AK126" s="317"/>
      <c r="AL126" s="315">
        <f t="shared" si="49"/>
        <v>-1342.6193750000002</v>
      </c>
      <c r="AN126" s="554">
        <f t="shared" si="50"/>
        <v>-0.15358860616862247</v>
      </c>
      <c r="AO126" s="314"/>
      <c r="AP126" s="318"/>
    </row>
    <row r="127" spans="2:42">
      <c r="B127" s="296" t="s">
        <v>1254</v>
      </c>
      <c r="C127" s="299" t="s">
        <v>277</v>
      </c>
      <c r="D127" s="298" t="s">
        <v>724</v>
      </c>
      <c r="E127" s="299" t="s">
        <v>113</v>
      </c>
      <c r="F127" s="299" t="s">
        <v>59</v>
      </c>
      <c r="G127" s="300">
        <v>44426</v>
      </c>
      <c r="H127" s="303">
        <v>599.52</v>
      </c>
      <c r="I127" s="301" t="str">
        <f t="shared" si="34"/>
        <v>Ingresos Sección II LISR (SIC &amp; BMV)</v>
      </c>
      <c r="J127" s="302">
        <f t="shared" si="35"/>
        <v>12</v>
      </c>
      <c r="K127" s="304">
        <f t="shared" si="36"/>
        <v>49.96</v>
      </c>
      <c r="L127" s="305">
        <f>IF(H127=0,0,IF(OR(E127=$AT$5,E127=$AT$6),AA127,IF(F127="MXN",1/HLOOKUP(YEAR(G127)+(MONTH(G127)/100),TC!$5:$37,DAY(G127)+2,FALSE),VLOOKUP(F127,Equivalencia!$5:$23,((MAX(Equivalencia!$3:$3)-YEAR(G127))*14)+MONTH(G127)+2,FALSE))))</f>
        <v>1</v>
      </c>
      <c r="M127" s="306">
        <f t="shared" si="37"/>
        <v>599.52</v>
      </c>
      <c r="N127" s="305">
        <f>IF(G127=0,0,(IF(OR(E127=$AT$5,E127=$AT$6),AC127,HLOOKUP(YEAR(G127)+(MONTH(G127)/100),TC!$5:$37,DAY(G127)+2,FALSE))))</f>
        <v>19.886299999999999</v>
      </c>
      <c r="O127" s="307">
        <f t="shared" si="38"/>
        <v>11922.234575999999</v>
      </c>
      <c r="P127" s="560">
        <f>IF(G127=0,0,VLOOKUP(YEAR(G127),INPC!$B$4:$P$30,MONTH(G127)+2))</f>
        <v>113.899</v>
      </c>
      <c r="Q127" s="560">
        <f>IF(X127=0,0,IF(OR(E127=$AT$10,E127=$AT$9),VLOOKUP(YEAR(X127),INPC!$B$4:$P$30,MONTH(X127)+1),VLOOKUP(YEAR(X127),INPC!$B$4:$P$30,MONTH(X127)+2,0)))</f>
        <v>117.30800000000001</v>
      </c>
      <c r="R127" s="309">
        <f t="shared" si="39"/>
        <v>1.0299</v>
      </c>
      <c r="S127" s="310">
        <f t="shared" si="40"/>
        <v>12278.709389822399</v>
      </c>
      <c r="T127" s="555">
        <f t="shared" si="41"/>
        <v>1023.2257824851999</v>
      </c>
      <c r="U127" s="311"/>
      <c r="V127" s="312">
        <v>12</v>
      </c>
      <c r="W127" s="299" t="s">
        <v>194</v>
      </c>
      <c r="X127" s="300">
        <v>44589</v>
      </c>
      <c r="Y127" s="299" t="s">
        <v>59</v>
      </c>
      <c r="Z127" s="303">
        <v>493.26937499999997</v>
      </c>
      <c r="AA127" s="305">
        <f>IF(Z127=0,0,IF(Y127="MXN",1/HLOOKUP(YEAR(X127)+(MONTH(X127)/100),TC!$5:$37,DAY(X127)+2,FALSE),VLOOKUP(Y127,Equivalencia!$1:$23,((MAX(Equivalencia!$3:$3)-YEAR(X127))*14)+MONTH(X127)+2,FALSE)))</f>
        <v>1</v>
      </c>
      <c r="AB127" s="306">
        <f t="shared" si="42"/>
        <v>493.26937499999997</v>
      </c>
      <c r="AC127" s="305">
        <f>+IF(X127=0,0,HLOOKUP(YEAR(X127)+(MONTH(X127)/100),TC!$5:$37,DAY(X127)+2,FALSE))</f>
        <v>20.641500000000001</v>
      </c>
      <c r="AD127" s="307">
        <f t="shared" si="43"/>
        <v>10181.819804062499</v>
      </c>
      <c r="AE127" s="314">
        <f t="shared" si="44"/>
        <v>12278.709389822399</v>
      </c>
      <c r="AF127" s="315">
        <f t="shared" si="45"/>
        <v>-2096.8895857599</v>
      </c>
      <c r="AG127" s="316">
        <f t="shared" si="46"/>
        <v>0.44657534246575342</v>
      </c>
      <c r="AH127" s="314">
        <v>1</v>
      </c>
      <c r="AI127" s="314">
        <f t="shared" si="47"/>
        <v>-2096.8895857599</v>
      </c>
      <c r="AJ127" s="314">
        <f t="shared" si="48"/>
        <v>0</v>
      </c>
      <c r="AK127" s="317"/>
      <c r="AL127" s="315">
        <f t="shared" si="49"/>
        <v>-106.25062500000001</v>
      </c>
      <c r="AN127" s="554">
        <f t="shared" si="50"/>
        <v>-0.17722615592473981</v>
      </c>
      <c r="AO127" s="314"/>
      <c r="AP127" s="318"/>
    </row>
    <row r="128" spans="2:42">
      <c r="B128" s="296" t="s">
        <v>1254</v>
      </c>
      <c r="C128" s="299" t="s">
        <v>277</v>
      </c>
      <c r="D128" s="298" t="s">
        <v>724</v>
      </c>
      <c r="E128" s="299" t="s">
        <v>113</v>
      </c>
      <c r="F128" s="299" t="s">
        <v>59</v>
      </c>
      <c r="G128" s="300">
        <v>44427</v>
      </c>
      <c r="H128" s="303">
        <v>457.80782608695654</v>
      </c>
      <c r="I128" s="301" t="str">
        <f t="shared" si="34"/>
        <v>Ingresos Sección II LISR (SIC &amp; BMV)</v>
      </c>
      <c r="J128" s="302">
        <f t="shared" si="35"/>
        <v>9</v>
      </c>
      <c r="K128" s="304">
        <f t="shared" si="36"/>
        <v>50.86753623188406</v>
      </c>
      <c r="L128" s="305">
        <f>IF(H128=0,0,IF(OR(E128=$AT$5,E128=$AT$6),AA128,IF(F128="MXN",1/HLOOKUP(YEAR(G128)+(MONTH(G128)/100),TC!$5:$37,DAY(G128)+2,FALSE),VLOOKUP(F128,Equivalencia!$5:$23,((MAX(Equivalencia!$3:$3)-YEAR(G128))*14)+MONTH(G128)+2,FALSE))))</f>
        <v>1</v>
      </c>
      <c r="M128" s="306">
        <f t="shared" si="37"/>
        <v>457.80782608695654</v>
      </c>
      <c r="N128" s="305">
        <f>IF(G128=0,0,(IF(OR(E128=$AT$5,E128=$AT$6),AC128,HLOOKUP(YEAR(G128)+(MONTH(G128)/100),TC!$5:$37,DAY(G128)+2,FALSE))))</f>
        <v>19.991199999999999</v>
      </c>
      <c r="O128" s="307">
        <f t="shared" si="38"/>
        <v>9152.1278128695649</v>
      </c>
      <c r="P128" s="560">
        <f>IF(G128=0,0,VLOOKUP(YEAR(G128),INPC!$B$4:$P$30,MONTH(G128)+2))</f>
        <v>113.899</v>
      </c>
      <c r="Q128" s="560">
        <f>IF(X128=0,0,IF(OR(E128=$AT$10,E128=$AT$9),VLOOKUP(YEAR(X128),INPC!$B$4:$P$30,MONTH(X128)+1),VLOOKUP(YEAR(X128),INPC!$B$4:$P$30,MONTH(X128)+2,0)))</f>
        <v>117.30800000000001</v>
      </c>
      <c r="R128" s="309">
        <f t="shared" si="39"/>
        <v>1.0299</v>
      </c>
      <c r="S128" s="310">
        <f t="shared" si="40"/>
        <v>9425.7764344743646</v>
      </c>
      <c r="T128" s="555">
        <f t="shared" si="41"/>
        <v>1047.3084927193738</v>
      </c>
      <c r="U128" s="311"/>
      <c r="V128" s="312">
        <v>9</v>
      </c>
      <c r="W128" s="299" t="s">
        <v>194</v>
      </c>
      <c r="X128" s="300">
        <v>44589</v>
      </c>
      <c r="Y128" s="299" t="s">
        <v>59</v>
      </c>
      <c r="Z128" s="303">
        <v>369.95203125</v>
      </c>
      <c r="AA128" s="305">
        <f>IF(Z128=0,0,IF(Y128="MXN",1/HLOOKUP(YEAR(X128)+(MONTH(X128)/100),TC!$5:$37,DAY(X128)+2,FALSE),VLOOKUP(Y128,Equivalencia!$1:$23,((MAX(Equivalencia!$3:$3)-YEAR(X128))*14)+MONTH(X128)+2,FALSE)))</f>
        <v>1</v>
      </c>
      <c r="AB128" s="306">
        <f t="shared" si="42"/>
        <v>369.95203125</v>
      </c>
      <c r="AC128" s="305">
        <f>+IF(X128=0,0,HLOOKUP(YEAR(X128)+(MONTH(X128)/100),TC!$5:$37,DAY(X128)+2,FALSE))</f>
        <v>20.641500000000001</v>
      </c>
      <c r="AD128" s="307">
        <f t="shared" si="43"/>
        <v>7636.3648530468754</v>
      </c>
      <c r="AE128" s="314">
        <f t="shared" si="44"/>
        <v>9425.7764344743646</v>
      </c>
      <c r="AF128" s="315">
        <f t="shared" si="45"/>
        <v>-1789.4115814274892</v>
      </c>
      <c r="AG128" s="316">
        <f t="shared" si="46"/>
        <v>0.44383561643835617</v>
      </c>
      <c r="AH128" s="314">
        <v>1</v>
      </c>
      <c r="AI128" s="314">
        <f t="shared" si="47"/>
        <v>-1789.4115814274892</v>
      </c>
      <c r="AJ128" s="314">
        <f t="shared" si="48"/>
        <v>0</v>
      </c>
      <c r="AK128" s="317"/>
      <c r="AL128" s="315">
        <f t="shared" si="49"/>
        <v>-87.855794836956534</v>
      </c>
      <c r="AN128" s="554">
        <f t="shared" si="50"/>
        <v>-0.19190540185363519</v>
      </c>
      <c r="AO128" s="314"/>
      <c r="AP128" s="318"/>
    </row>
    <row r="129" spans="2:42">
      <c r="B129" s="296" t="s">
        <v>1254</v>
      </c>
      <c r="C129" s="299" t="s">
        <v>277</v>
      </c>
      <c r="D129" s="298" t="s">
        <v>724</v>
      </c>
      <c r="E129" s="299" t="s">
        <v>113</v>
      </c>
      <c r="F129" s="299" t="s">
        <v>59</v>
      </c>
      <c r="G129" s="300">
        <v>44427</v>
      </c>
      <c r="H129" s="303">
        <v>3052.0521739130436</v>
      </c>
      <c r="I129" s="301" t="str">
        <f t="shared" si="34"/>
        <v>Ingresos Sección II LISR (SIC &amp; BMV)</v>
      </c>
      <c r="J129" s="302">
        <f t="shared" si="35"/>
        <v>60</v>
      </c>
      <c r="K129" s="304">
        <f t="shared" si="36"/>
        <v>50.86753623188406</v>
      </c>
      <c r="L129" s="305">
        <f>IF(H129=0,0,IF(OR(E129=$AT$5,E129=$AT$6),AA129,IF(F129="MXN",1/HLOOKUP(YEAR(G129)+(MONTH(G129)/100),TC!$5:$37,DAY(G129)+2,FALSE),VLOOKUP(F129,Equivalencia!$5:$23,((MAX(Equivalencia!$3:$3)-YEAR(G129))*14)+MONTH(G129)+2,FALSE))))</f>
        <v>1</v>
      </c>
      <c r="M129" s="306">
        <f t="shared" si="37"/>
        <v>3052.0521739130436</v>
      </c>
      <c r="N129" s="305">
        <f>IF(G129=0,0,(IF(OR(E129=$AT$5,E129=$AT$6),AC129,HLOOKUP(YEAR(G129)+(MONTH(G129)/100),TC!$5:$37,DAY(G129)+2,FALSE))))</f>
        <v>19.991199999999999</v>
      </c>
      <c r="O129" s="307">
        <f t="shared" si="38"/>
        <v>61014.185419130437</v>
      </c>
      <c r="P129" s="560">
        <f>IF(G129=0,0,VLOOKUP(YEAR(G129),INPC!$B$4:$P$30,MONTH(G129)+2))</f>
        <v>113.899</v>
      </c>
      <c r="Q129" s="560">
        <f>IF(X129=0,0,IF(OR(E129=$AT$10,E129=$AT$9),VLOOKUP(YEAR(X129),INPC!$B$4:$P$30,MONTH(X129)+1),VLOOKUP(YEAR(X129),INPC!$B$4:$P$30,MONTH(X129)+2,0)))</f>
        <v>117.30800000000001</v>
      </c>
      <c r="R129" s="309">
        <f t="shared" si="39"/>
        <v>1.0299</v>
      </c>
      <c r="S129" s="310">
        <f t="shared" si="40"/>
        <v>62838.509563162443</v>
      </c>
      <c r="T129" s="555">
        <f t="shared" si="41"/>
        <v>1047.308492719374</v>
      </c>
      <c r="U129" s="311"/>
      <c r="V129" s="312">
        <v>60</v>
      </c>
      <c r="W129" s="299" t="s">
        <v>194</v>
      </c>
      <c r="X129" s="300">
        <v>44589</v>
      </c>
      <c r="Y129" s="299" t="s">
        <v>59</v>
      </c>
      <c r="Z129" s="303">
        <v>2450.4544217687076</v>
      </c>
      <c r="AA129" s="305">
        <f>IF(Z129=0,0,IF(Y129="MXN",1/HLOOKUP(YEAR(X129)+(MONTH(X129)/100),TC!$5:$37,DAY(X129)+2,FALSE),VLOOKUP(Y129,Equivalencia!$1:$23,((MAX(Equivalencia!$3:$3)-YEAR(X129))*14)+MONTH(X129)+2,FALSE)))</f>
        <v>1</v>
      </c>
      <c r="AB129" s="306">
        <f t="shared" si="42"/>
        <v>2450.4544217687076</v>
      </c>
      <c r="AC129" s="305">
        <f>+IF(X129=0,0,HLOOKUP(YEAR(X129)+(MONTH(X129)/100),TC!$5:$37,DAY(X129)+2,FALSE))</f>
        <v>20.641500000000001</v>
      </c>
      <c r="AD129" s="307">
        <f t="shared" si="43"/>
        <v>50581.054946938777</v>
      </c>
      <c r="AE129" s="314">
        <f t="shared" si="44"/>
        <v>62838.509563162443</v>
      </c>
      <c r="AF129" s="315">
        <f t="shared" si="45"/>
        <v>-12257.454616223666</v>
      </c>
      <c r="AG129" s="316">
        <f t="shared" si="46"/>
        <v>0.44383561643835617</v>
      </c>
      <c r="AH129" s="314">
        <v>1</v>
      </c>
      <c r="AI129" s="314">
        <f t="shared" si="47"/>
        <v>-12257.454616223666</v>
      </c>
      <c r="AJ129" s="314">
        <f t="shared" si="48"/>
        <v>0</v>
      </c>
      <c r="AK129" s="317"/>
      <c r="AL129" s="315">
        <f t="shared" si="49"/>
        <v>-601.59775214433603</v>
      </c>
      <c r="AN129" s="554">
        <f t="shared" si="50"/>
        <v>-0.19711253866706546</v>
      </c>
      <c r="AO129" s="314"/>
      <c r="AP129" s="318"/>
    </row>
    <row r="130" spans="2:42">
      <c r="B130" s="296" t="s">
        <v>1254</v>
      </c>
      <c r="C130" s="299" t="s">
        <v>277</v>
      </c>
      <c r="D130" s="298" t="s">
        <v>724</v>
      </c>
      <c r="E130" s="299" t="s">
        <v>113</v>
      </c>
      <c r="F130" s="299" t="s">
        <v>59</v>
      </c>
      <c r="G130" s="300">
        <v>44427</v>
      </c>
      <c r="H130" s="303">
        <v>7034.1099999999988</v>
      </c>
      <c r="I130" s="301" t="str">
        <f t="shared" si="34"/>
        <v>Ingresos Sección II LISR (SIC &amp; BMV)</v>
      </c>
      <c r="J130" s="302">
        <f t="shared" si="35"/>
        <v>139</v>
      </c>
      <c r="K130" s="304">
        <f t="shared" si="36"/>
        <v>50.605107913669059</v>
      </c>
      <c r="L130" s="305">
        <f>IF(H130=0,0,IF(OR(E130=$AT$5,E130=$AT$6),AA130,IF(F130="MXN",1/HLOOKUP(YEAR(G130)+(MONTH(G130)/100),TC!$5:$37,DAY(G130)+2,FALSE),VLOOKUP(F130,Equivalencia!$5:$23,((MAX(Equivalencia!$3:$3)-YEAR(G130))*14)+MONTH(G130)+2,FALSE))))</f>
        <v>1</v>
      </c>
      <c r="M130" s="306">
        <f t="shared" si="37"/>
        <v>7034.1099999999988</v>
      </c>
      <c r="N130" s="305">
        <f>IF(G130=0,0,(IF(OR(E130=$AT$5,E130=$AT$6),AC130,HLOOKUP(YEAR(G130)+(MONTH(G130)/100),TC!$5:$37,DAY(G130)+2,FALSE))))</f>
        <v>19.991199999999999</v>
      </c>
      <c r="O130" s="307">
        <f t="shared" si="38"/>
        <v>140620.29983199996</v>
      </c>
      <c r="P130" s="560">
        <f>IF(G130=0,0,VLOOKUP(YEAR(G130),INPC!$B$4:$P$30,MONTH(G130)+2))</f>
        <v>113.899</v>
      </c>
      <c r="Q130" s="560">
        <f>IF(X130=0,0,IF(OR(E130=$AT$10,E130=$AT$9),VLOOKUP(YEAR(X130),INPC!$B$4:$P$30,MONTH(X130)+1),VLOOKUP(YEAR(X130),INPC!$B$4:$P$30,MONTH(X130)+2,0)))</f>
        <v>117.30800000000001</v>
      </c>
      <c r="R130" s="309">
        <f t="shared" si="39"/>
        <v>1.0299</v>
      </c>
      <c r="S130" s="310">
        <f t="shared" si="40"/>
        <v>144824.84679697675</v>
      </c>
      <c r="T130" s="555">
        <f t="shared" si="41"/>
        <v>1041.9053726401205</v>
      </c>
      <c r="U130" s="311"/>
      <c r="V130" s="312">
        <v>139</v>
      </c>
      <c r="W130" s="299" t="s">
        <v>194</v>
      </c>
      <c r="X130" s="300">
        <v>44589</v>
      </c>
      <c r="Y130" s="299" t="s">
        <v>59</v>
      </c>
      <c r="Z130" s="303">
        <v>5676.8860770975061</v>
      </c>
      <c r="AA130" s="305">
        <f>IF(Z130=0,0,IF(Y130="MXN",1/HLOOKUP(YEAR(X130)+(MONTH(X130)/100),TC!$5:$37,DAY(X130)+2,FALSE),VLOOKUP(Y130,Equivalencia!$1:$23,((MAX(Equivalencia!$3:$3)-YEAR(X130))*14)+MONTH(X130)+2,FALSE)))</f>
        <v>1</v>
      </c>
      <c r="AB130" s="306">
        <f t="shared" si="42"/>
        <v>5676.8860770975061</v>
      </c>
      <c r="AC130" s="305">
        <f>+IF(X130=0,0,HLOOKUP(YEAR(X130)+(MONTH(X130)/100),TC!$5:$37,DAY(X130)+2,FALSE))</f>
        <v>20.641500000000001</v>
      </c>
      <c r="AD130" s="307">
        <f t="shared" si="43"/>
        <v>117179.44396040817</v>
      </c>
      <c r="AE130" s="314">
        <f t="shared" si="44"/>
        <v>144824.84679697675</v>
      </c>
      <c r="AF130" s="315">
        <f t="shared" si="45"/>
        <v>-27645.402836568581</v>
      </c>
      <c r="AG130" s="316">
        <f t="shared" si="46"/>
        <v>0.44383561643835617</v>
      </c>
      <c r="AH130" s="314">
        <v>1</v>
      </c>
      <c r="AI130" s="314">
        <f t="shared" si="47"/>
        <v>-27645.402836568581</v>
      </c>
      <c r="AJ130" s="314">
        <f t="shared" si="48"/>
        <v>0</v>
      </c>
      <c r="AK130" s="317"/>
      <c r="AL130" s="315">
        <f t="shared" si="49"/>
        <v>-1357.2239229024926</v>
      </c>
      <c r="AN130" s="554">
        <f t="shared" si="50"/>
        <v>-0.19294891932348127</v>
      </c>
      <c r="AO130" s="314"/>
      <c r="AP130" s="318"/>
    </row>
    <row r="131" spans="2:42">
      <c r="B131" s="296" t="s">
        <v>1254</v>
      </c>
      <c r="C131" s="299" t="s">
        <v>277</v>
      </c>
      <c r="D131" s="298" t="s">
        <v>724</v>
      </c>
      <c r="E131" s="299" t="s">
        <v>113</v>
      </c>
      <c r="F131" s="299" t="s">
        <v>59</v>
      </c>
      <c r="G131" s="300">
        <v>44449</v>
      </c>
      <c r="H131" s="303">
        <v>1148.28</v>
      </c>
      <c r="I131" s="301" t="str">
        <f t="shared" si="34"/>
        <v>Ingresos Sección II LISR (SIC &amp; BMV)</v>
      </c>
      <c r="J131" s="302">
        <f t="shared" si="35"/>
        <v>24</v>
      </c>
      <c r="K131" s="304">
        <f t="shared" si="36"/>
        <v>47.844999999999999</v>
      </c>
      <c r="L131" s="305">
        <f>IF(H131=0,0,IF(OR(E131=$AT$5,E131=$AT$6),AA131,IF(F131="MXN",1/HLOOKUP(YEAR(G131)+(MONTH(G131)/100),TC!$5:$37,DAY(G131)+2,FALSE),VLOOKUP(F131,Equivalencia!$5:$23,((MAX(Equivalencia!$3:$3)-YEAR(G131))*14)+MONTH(G131)+2,FALSE))))</f>
        <v>1</v>
      </c>
      <c r="M131" s="306">
        <f t="shared" si="37"/>
        <v>1148.28</v>
      </c>
      <c r="N131" s="305">
        <f>IF(G131=0,0,(IF(OR(E131=$AT$5,E131=$AT$6),AC131,HLOOKUP(YEAR(G131)+(MONTH(G131)/100),TC!$5:$37,DAY(G131)+2,FALSE))))</f>
        <v>19.938300000000002</v>
      </c>
      <c r="O131" s="307">
        <f t="shared" si="38"/>
        <v>22894.751124000002</v>
      </c>
      <c r="P131" s="560">
        <f>IF(G131=0,0,VLOOKUP(YEAR(G131),INPC!$B$4:$P$30,MONTH(G131)+2))</f>
        <v>114.601</v>
      </c>
      <c r="Q131" s="560">
        <f>IF(X131=0,0,IF(OR(E131=$AT$10,E131=$AT$9),VLOOKUP(YEAR(X131),INPC!$B$4:$P$30,MONTH(X131)+1),VLOOKUP(YEAR(X131),INPC!$B$4:$P$30,MONTH(X131)+2,0)))</f>
        <v>117.30800000000001</v>
      </c>
      <c r="R131" s="309">
        <f t="shared" si="39"/>
        <v>1.0236000000000001</v>
      </c>
      <c r="S131" s="310">
        <f t="shared" si="40"/>
        <v>23435.067250526405</v>
      </c>
      <c r="T131" s="555">
        <f t="shared" si="41"/>
        <v>976.46113543860019</v>
      </c>
      <c r="U131" s="311"/>
      <c r="V131" s="312">
        <v>24</v>
      </c>
      <c r="W131" s="299" t="s">
        <v>194</v>
      </c>
      <c r="X131" s="300">
        <v>44589</v>
      </c>
      <c r="Y131" s="299" t="s">
        <v>59</v>
      </c>
      <c r="Z131" s="303">
        <v>980.181768707483</v>
      </c>
      <c r="AA131" s="305">
        <f>IF(Z131=0,0,IF(Y131="MXN",1/HLOOKUP(YEAR(X131)+(MONTH(X131)/100),TC!$5:$37,DAY(X131)+2,FALSE),VLOOKUP(Y131,Equivalencia!$1:$23,((MAX(Equivalencia!$3:$3)-YEAR(X131))*14)+MONTH(X131)+2,FALSE)))</f>
        <v>1</v>
      </c>
      <c r="AB131" s="306">
        <f t="shared" si="42"/>
        <v>980.181768707483</v>
      </c>
      <c r="AC131" s="305">
        <f>+IF(X131=0,0,HLOOKUP(YEAR(X131)+(MONTH(X131)/100),TC!$5:$37,DAY(X131)+2,FALSE))</f>
        <v>20.641500000000001</v>
      </c>
      <c r="AD131" s="307">
        <f t="shared" si="43"/>
        <v>20232.42197877551</v>
      </c>
      <c r="AE131" s="314">
        <f t="shared" si="44"/>
        <v>23435.067250526405</v>
      </c>
      <c r="AF131" s="315">
        <f t="shared" si="45"/>
        <v>-3202.6452717508946</v>
      </c>
      <c r="AG131" s="316">
        <f t="shared" si="46"/>
        <v>0.38356164383561642</v>
      </c>
      <c r="AH131" s="314">
        <v>1</v>
      </c>
      <c r="AI131" s="314">
        <f t="shared" si="47"/>
        <v>-3202.6452717508946</v>
      </c>
      <c r="AJ131" s="314">
        <f t="shared" si="48"/>
        <v>0</v>
      </c>
      <c r="AK131" s="317"/>
      <c r="AL131" s="315">
        <f t="shared" si="49"/>
        <v>-168.09823129251697</v>
      </c>
      <c r="AN131" s="554">
        <f t="shared" si="50"/>
        <v>-0.14639132554125908</v>
      </c>
      <c r="AO131" s="314"/>
      <c r="AP131" s="318"/>
    </row>
    <row r="132" spans="2:42">
      <c r="B132" s="296" t="s">
        <v>1254</v>
      </c>
      <c r="C132" s="299" t="s">
        <v>277</v>
      </c>
      <c r="D132" s="298" t="s">
        <v>724</v>
      </c>
      <c r="E132" s="299" t="s">
        <v>113</v>
      </c>
      <c r="F132" s="299" t="s">
        <v>59</v>
      </c>
      <c r="G132" s="300">
        <v>44449</v>
      </c>
      <c r="H132" s="303">
        <v>10412.788474576269</v>
      </c>
      <c r="I132" s="301" t="str">
        <f t="shared" si="34"/>
        <v>Ingresos Sección II LISR (SIC &amp; BMV)</v>
      </c>
      <c r="J132" s="302">
        <f t="shared" si="35"/>
        <v>218</v>
      </c>
      <c r="K132" s="304">
        <f t="shared" si="36"/>
        <v>47.765084745762707</v>
      </c>
      <c r="L132" s="305">
        <f>IF(H132=0,0,IF(OR(E132=$AT$5,E132=$AT$6),AA132,IF(F132="MXN",1/HLOOKUP(YEAR(G132)+(MONTH(G132)/100),TC!$5:$37,DAY(G132)+2,FALSE),VLOOKUP(F132,Equivalencia!$5:$23,((MAX(Equivalencia!$3:$3)-YEAR(G132))*14)+MONTH(G132)+2,FALSE))))</f>
        <v>1</v>
      </c>
      <c r="M132" s="306">
        <f t="shared" si="37"/>
        <v>10412.788474576269</v>
      </c>
      <c r="N132" s="305">
        <f>IF(G132=0,0,(IF(OR(E132=$AT$5,E132=$AT$6),AC132,HLOOKUP(YEAR(G132)+(MONTH(G132)/100),TC!$5:$37,DAY(G132)+2,FALSE))))</f>
        <v>19.938300000000002</v>
      </c>
      <c r="O132" s="307">
        <f t="shared" si="38"/>
        <v>207613.30044264405</v>
      </c>
      <c r="P132" s="560">
        <f>IF(G132=0,0,VLOOKUP(YEAR(G132),INPC!$B$4:$P$30,MONTH(G132)+2))</f>
        <v>114.601</v>
      </c>
      <c r="Q132" s="560">
        <f>IF(X132=0,0,IF(OR(E132=$AT$10,E132=$AT$9),VLOOKUP(YEAR(X132),INPC!$B$4:$P$30,MONTH(X132)+1),VLOOKUP(YEAR(X132),INPC!$B$4:$P$30,MONTH(X132)+2,0)))</f>
        <v>117.30800000000001</v>
      </c>
      <c r="R132" s="309">
        <f t="shared" si="39"/>
        <v>1.0236000000000001</v>
      </c>
      <c r="S132" s="310">
        <f t="shared" si="40"/>
        <v>212512.97433309045</v>
      </c>
      <c r="T132" s="555">
        <f t="shared" si="41"/>
        <v>974.83015749124058</v>
      </c>
      <c r="U132" s="311"/>
      <c r="V132" s="312">
        <v>218</v>
      </c>
      <c r="W132" s="299" t="s">
        <v>194</v>
      </c>
      <c r="X132" s="300">
        <v>44589</v>
      </c>
      <c r="Y132" s="299" t="s">
        <v>59</v>
      </c>
      <c r="Z132" s="303">
        <v>8903.3177324263033</v>
      </c>
      <c r="AA132" s="305">
        <f>IF(Z132=0,0,IF(Y132="MXN",1/HLOOKUP(YEAR(X132)+(MONTH(X132)/100),TC!$5:$37,DAY(X132)+2,FALSE),VLOOKUP(Y132,Equivalencia!$1:$23,((MAX(Equivalencia!$3:$3)-YEAR(X132))*14)+MONTH(X132)+2,FALSE)))</f>
        <v>1</v>
      </c>
      <c r="AB132" s="306">
        <f t="shared" si="42"/>
        <v>8903.3177324263033</v>
      </c>
      <c r="AC132" s="305">
        <f>+IF(X132=0,0,HLOOKUP(YEAR(X132)+(MONTH(X132)/100),TC!$5:$37,DAY(X132)+2,FALSE))</f>
        <v>20.641500000000001</v>
      </c>
      <c r="AD132" s="307">
        <f t="shared" si="43"/>
        <v>183777.83297387755</v>
      </c>
      <c r="AE132" s="314">
        <f t="shared" si="44"/>
        <v>212512.97433309045</v>
      </c>
      <c r="AF132" s="315">
        <f t="shared" si="45"/>
        <v>-28735.141359212896</v>
      </c>
      <c r="AG132" s="316">
        <f t="shared" si="46"/>
        <v>0.38356164383561642</v>
      </c>
      <c r="AH132" s="314">
        <v>1</v>
      </c>
      <c r="AI132" s="314">
        <f t="shared" si="47"/>
        <v>-28735.141359212896</v>
      </c>
      <c r="AJ132" s="314">
        <f t="shared" si="48"/>
        <v>0</v>
      </c>
      <c r="AK132" s="317"/>
      <c r="AL132" s="315">
        <f t="shared" si="49"/>
        <v>-1509.4707421499661</v>
      </c>
      <c r="AN132" s="554">
        <f t="shared" si="50"/>
        <v>-0.14496316196525749</v>
      </c>
      <c r="AO132" s="314"/>
      <c r="AP132" s="318"/>
    </row>
    <row r="133" spans="2:42">
      <c r="B133" s="296" t="s">
        <v>1254</v>
      </c>
      <c r="C133" s="299" t="s">
        <v>277</v>
      </c>
      <c r="D133" s="298" t="s">
        <v>724</v>
      </c>
      <c r="E133" s="299" t="s">
        <v>113</v>
      </c>
      <c r="F133" s="299" t="s">
        <v>59</v>
      </c>
      <c r="G133" s="300">
        <v>44449</v>
      </c>
      <c r="H133" s="303">
        <v>286.59050847457627</v>
      </c>
      <c r="I133" s="301" t="str">
        <f t="shared" si="34"/>
        <v>Ingresos Sección II LISR (SIC &amp; BMV)</v>
      </c>
      <c r="J133" s="302">
        <f t="shared" si="35"/>
        <v>6</v>
      </c>
      <c r="K133" s="304">
        <f t="shared" si="36"/>
        <v>47.765084745762714</v>
      </c>
      <c r="L133" s="305">
        <f>IF(H133=0,0,IF(OR(E133=$AT$5,E133=$AT$6),AA133,IF(F133="MXN",1/HLOOKUP(YEAR(G133)+(MONTH(G133)/100),TC!$5:$37,DAY(G133)+2,FALSE),VLOOKUP(F133,Equivalencia!$5:$23,((MAX(Equivalencia!$3:$3)-YEAR(G133))*14)+MONTH(G133)+2,FALSE))))</f>
        <v>1</v>
      </c>
      <c r="M133" s="306">
        <f t="shared" si="37"/>
        <v>286.59050847457627</v>
      </c>
      <c r="N133" s="305">
        <f>IF(G133=0,0,(IF(OR(E133=$AT$5,E133=$AT$6),AC133,HLOOKUP(YEAR(G133)+(MONTH(G133)/100),TC!$5:$37,DAY(G133)+2,FALSE))))</f>
        <v>19.938300000000002</v>
      </c>
      <c r="O133" s="307">
        <f t="shared" si="38"/>
        <v>5714.1275351186441</v>
      </c>
      <c r="P133" s="560">
        <f>IF(G133=0,0,VLOOKUP(YEAR(G133),INPC!$B$4:$P$30,MONTH(G133)+2))</f>
        <v>114.601</v>
      </c>
      <c r="Q133" s="560">
        <f>IF(X133=0,0,IF(OR(E133=$AT$10,E133=$AT$9),VLOOKUP(YEAR(X133),INPC!$B$4:$P$30,MONTH(X133)+1),VLOOKUP(YEAR(X133),INPC!$B$4:$P$30,MONTH(X133)+2,0)))</f>
        <v>117.30800000000001</v>
      </c>
      <c r="R133" s="309">
        <f t="shared" si="39"/>
        <v>1.0236000000000001</v>
      </c>
      <c r="S133" s="310">
        <f t="shared" si="40"/>
        <v>5848.9809449474442</v>
      </c>
      <c r="T133" s="555">
        <f t="shared" si="41"/>
        <v>974.8301574912407</v>
      </c>
      <c r="U133" s="311"/>
      <c r="V133" s="312">
        <v>6</v>
      </c>
      <c r="W133" s="299" t="s">
        <v>194</v>
      </c>
      <c r="X133" s="300">
        <v>44589</v>
      </c>
      <c r="Y133" s="299" t="s">
        <v>59</v>
      </c>
      <c r="Z133" s="303">
        <v>242.07</v>
      </c>
      <c r="AA133" s="305">
        <f>IF(Z133=0,0,IF(Y133="MXN",1/HLOOKUP(YEAR(X133)+(MONTH(X133)/100),TC!$5:$37,DAY(X133)+2,FALSE),VLOOKUP(Y133,Equivalencia!$1:$23,((MAX(Equivalencia!$3:$3)-YEAR(X133))*14)+MONTH(X133)+2,FALSE)))</f>
        <v>1</v>
      </c>
      <c r="AB133" s="306">
        <f t="shared" si="42"/>
        <v>242.07</v>
      </c>
      <c r="AC133" s="305">
        <f>+IF(X133=0,0,HLOOKUP(YEAR(X133)+(MONTH(X133)/100),TC!$5:$37,DAY(X133)+2,FALSE))</f>
        <v>20.641500000000001</v>
      </c>
      <c r="AD133" s="307">
        <f t="shared" si="43"/>
        <v>4996.6879049999998</v>
      </c>
      <c r="AE133" s="314">
        <f t="shared" si="44"/>
        <v>5848.9809449474442</v>
      </c>
      <c r="AF133" s="315">
        <f t="shared" si="45"/>
        <v>-852.29303994744441</v>
      </c>
      <c r="AG133" s="316">
        <f t="shared" si="46"/>
        <v>0.38356164383561642</v>
      </c>
      <c r="AH133" s="314">
        <v>1</v>
      </c>
      <c r="AI133" s="314">
        <f t="shared" si="47"/>
        <v>-852.29303994744441</v>
      </c>
      <c r="AJ133" s="314">
        <f t="shared" si="48"/>
        <v>0</v>
      </c>
      <c r="AK133" s="317"/>
      <c r="AL133" s="315">
        <f t="shared" si="49"/>
        <v>-44.520508474576275</v>
      </c>
      <c r="AN133" s="554">
        <f t="shared" si="50"/>
        <v>-0.15534536964096887</v>
      </c>
      <c r="AO133" s="314"/>
      <c r="AP133" s="318"/>
    </row>
    <row r="134" spans="2:42">
      <c r="B134" s="296" t="s">
        <v>1254</v>
      </c>
      <c r="C134" s="299" t="s">
        <v>277</v>
      </c>
      <c r="D134" s="298" t="s">
        <v>724</v>
      </c>
      <c r="E134" s="299" t="s">
        <v>113</v>
      </c>
      <c r="F134" s="299" t="s">
        <v>59</v>
      </c>
      <c r="G134" s="300">
        <v>44449</v>
      </c>
      <c r="H134" s="303">
        <v>573.18101694915254</v>
      </c>
      <c r="I134" s="301" t="str">
        <f t="shared" si="34"/>
        <v>Ingresos Sección II LISR (SIC &amp; BMV)</v>
      </c>
      <c r="J134" s="302">
        <f t="shared" si="35"/>
        <v>12</v>
      </c>
      <c r="K134" s="304">
        <f t="shared" si="36"/>
        <v>47.765084745762714</v>
      </c>
      <c r="L134" s="305">
        <f>IF(H134=0,0,IF(OR(E134=$AT$5,E134=$AT$6),AA134,IF(F134="MXN",1/HLOOKUP(YEAR(G134)+(MONTH(G134)/100),TC!$5:$37,DAY(G134)+2,FALSE),VLOOKUP(F134,Equivalencia!$5:$23,((MAX(Equivalencia!$3:$3)-YEAR(G134))*14)+MONTH(G134)+2,FALSE))))</f>
        <v>1</v>
      </c>
      <c r="M134" s="306">
        <f t="shared" si="37"/>
        <v>573.18101694915254</v>
      </c>
      <c r="N134" s="305">
        <f>IF(G134=0,0,(IF(OR(E134=$AT$5,E134=$AT$6),AC134,HLOOKUP(YEAR(G134)+(MONTH(G134)/100),TC!$5:$37,DAY(G134)+2,FALSE))))</f>
        <v>19.938300000000002</v>
      </c>
      <c r="O134" s="307">
        <f t="shared" si="38"/>
        <v>11428.255070237288</v>
      </c>
      <c r="P134" s="560">
        <f>IF(G134=0,0,VLOOKUP(YEAR(G134),INPC!$B$4:$P$30,MONTH(G134)+2))</f>
        <v>114.601</v>
      </c>
      <c r="Q134" s="560">
        <f>IF(X134=0,0,IF(OR(E134=$AT$10,E134=$AT$9),VLOOKUP(YEAR(X134),INPC!$B$4:$P$30,MONTH(X134)+1),VLOOKUP(YEAR(X134),INPC!$B$4:$P$30,MONTH(X134)+2,0)))</f>
        <v>117.30800000000001</v>
      </c>
      <c r="R134" s="309">
        <f t="shared" si="39"/>
        <v>1.0236000000000001</v>
      </c>
      <c r="S134" s="310">
        <f t="shared" si="40"/>
        <v>11697.961889894888</v>
      </c>
      <c r="T134" s="555">
        <f t="shared" si="41"/>
        <v>974.8301574912407</v>
      </c>
      <c r="U134" s="311"/>
      <c r="V134" s="312">
        <v>12</v>
      </c>
      <c r="W134" s="299" t="s">
        <v>194</v>
      </c>
      <c r="X134" s="300">
        <v>44592</v>
      </c>
      <c r="Y134" s="299" t="s">
        <v>59</v>
      </c>
      <c r="Z134" s="303">
        <v>496.81600000000003</v>
      </c>
      <c r="AA134" s="305">
        <f>IF(Z134=0,0,IF(Y134="MXN",1/HLOOKUP(YEAR(X134)+(MONTH(X134)/100),TC!$5:$37,DAY(X134)+2,FALSE),VLOOKUP(Y134,Equivalencia!$1:$23,((MAX(Equivalencia!$3:$3)-YEAR(X134))*14)+MONTH(X134)+2,FALSE)))</f>
        <v>1</v>
      </c>
      <c r="AB134" s="306">
        <f t="shared" si="42"/>
        <v>496.81600000000003</v>
      </c>
      <c r="AC134" s="305">
        <f>+IF(X134=0,0,HLOOKUP(YEAR(X134)+(MONTH(X134)/100),TC!$5:$37,DAY(X134)+2,FALSE))</f>
        <v>20.738299999999999</v>
      </c>
      <c r="AD134" s="307">
        <f t="shared" si="43"/>
        <v>10303.119252799999</v>
      </c>
      <c r="AE134" s="314">
        <f t="shared" si="44"/>
        <v>11697.961889894888</v>
      </c>
      <c r="AF134" s="315">
        <f t="shared" si="45"/>
        <v>-1394.8426370948891</v>
      </c>
      <c r="AG134" s="316">
        <f t="shared" si="46"/>
        <v>0.39178082191780822</v>
      </c>
      <c r="AH134" s="314">
        <v>1</v>
      </c>
      <c r="AI134" s="314">
        <f t="shared" si="47"/>
        <v>-1394.8426370948891</v>
      </c>
      <c r="AJ134" s="314">
        <f t="shared" si="48"/>
        <v>0</v>
      </c>
      <c r="AK134" s="317"/>
      <c r="AL134" s="315">
        <f t="shared" si="49"/>
        <v>-76.365016949152505</v>
      </c>
      <c r="AN134" s="554">
        <f t="shared" si="50"/>
        <v>-0.13323019201790301</v>
      </c>
      <c r="AO134" s="314"/>
      <c r="AP134" s="318"/>
    </row>
    <row r="135" spans="2:42">
      <c r="B135" s="296" t="s">
        <v>1254</v>
      </c>
      <c r="C135" s="299" t="s">
        <v>277</v>
      </c>
      <c r="D135" s="298" t="s">
        <v>724</v>
      </c>
      <c r="E135" s="299" t="s">
        <v>113</v>
      </c>
      <c r="F135" s="299" t="s">
        <v>59</v>
      </c>
      <c r="G135" s="300">
        <v>44519</v>
      </c>
      <c r="H135" s="303">
        <v>143.97</v>
      </c>
      <c r="I135" s="301" t="str">
        <f t="shared" si="34"/>
        <v>Ingresos Sección II LISR (SIC &amp; BMV)</v>
      </c>
      <c r="J135" s="302">
        <f t="shared" si="35"/>
        <v>3</v>
      </c>
      <c r="K135" s="304">
        <f t="shared" si="36"/>
        <v>47.99</v>
      </c>
      <c r="L135" s="305">
        <f>IF(H135=0,0,IF(OR(E135=$AT$5,E135=$AT$6),AA135,IF(F135="MXN",1/HLOOKUP(YEAR(G135)+(MONTH(G135)/100),TC!$5:$37,DAY(G135)+2,FALSE),VLOOKUP(F135,Equivalencia!$5:$23,((MAX(Equivalencia!$3:$3)-YEAR(G135))*14)+MONTH(G135)+2,FALSE))))</f>
        <v>1</v>
      </c>
      <c r="M135" s="306">
        <f t="shared" si="37"/>
        <v>143.97</v>
      </c>
      <c r="N135" s="305">
        <f>IF(G135=0,0,(IF(OR(E135=$AT$5,E135=$AT$6),AC135,HLOOKUP(YEAR(G135)+(MONTH(G135)/100),TC!$5:$37,DAY(G135)+2,FALSE))))</f>
        <v>20.691199999999998</v>
      </c>
      <c r="O135" s="307">
        <f t="shared" si="38"/>
        <v>2978.9120639999996</v>
      </c>
      <c r="P135" s="560">
        <f>IF(G135=0,0,VLOOKUP(YEAR(G135),INPC!$B$4:$P$30,MONTH(G135)+2))</f>
        <v>116.884</v>
      </c>
      <c r="Q135" s="560">
        <f>IF(X135=0,0,IF(OR(E135=$AT$10,E135=$AT$9),VLOOKUP(YEAR(X135),INPC!$B$4:$P$30,MONTH(X135)+1),VLOOKUP(YEAR(X135),INPC!$B$4:$P$30,MONTH(X135)+2,0)))</f>
        <v>117.30800000000001</v>
      </c>
      <c r="R135" s="309">
        <f t="shared" si="39"/>
        <v>1.0036</v>
      </c>
      <c r="S135" s="310">
        <f t="shared" si="40"/>
        <v>2989.6361474303999</v>
      </c>
      <c r="T135" s="555">
        <f t="shared" si="41"/>
        <v>996.5453824768</v>
      </c>
      <c r="U135" s="311"/>
      <c r="V135" s="312">
        <v>3</v>
      </c>
      <c r="W135" s="299" t="s">
        <v>194</v>
      </c>
      <c r="X135" s="300">
        <v>44592</v>
      </c>
      <c r="Y135" s="299" t="s">
        <v>59</v>
      </c>
      <c r="Z135" s="303">
        <v>124.20400000000001</v>
      </c>
      <c r="AA135" s="305">
        <f>IF(Z135=0,0,IF(Y135="MXN",1/HLOOKUP(YEAR(X135)+(MONTH(X135)/100),TC!$5:$37,DAY(X135)+2,FALSE),VLOOKUP(Y135,Equivalencia!$1:$23,((MAX(Equivalencia!$3:$3)-YEAR(X135))*14)+MONTH(X135)+2,FALSE)))</f>
        <v>1</v>
      </c>
      <c r="AB135" s="306">
        <f t="shared" si="42"/>
        <v>124.20400000000001</v>
      </c>
      <c r="AC135" s="305">
        <f>+IF(X135=0,0,HLOOKUP(YEAR(X135)+(MONTH(X135)/100),TC!$5:$37,DAY(X135)+2,FALSE))</f>
        <v>20.738299999999999</v>
      </c>
      <c r="AD135" s="307">
        <f t="shared" si="43"/>
        <v>2575.7798131999998</v>
      </c>
      <c r="AE135" s="314">
        <f t="shared" si="44"/>
        <v>2989.6361474303999</v>
      </c>
      <c r="AF135" s="315">
        <f t="shared" si="45"/>
        <v>-413.85633423040008</v>
      </c>
      <c r="AG135" s="316">
        <f t="shared" si="46"/>
        <v>0.2</v>
      </c>
      <c r="AH135" s="314">
        <v>1</v>
      </c>
      <c r="AI135" s="314">
        <f t="shared" si="47"/>
        <v>-413.85633423040008</v>
      </c>
      <c r="AJ135" s="314">
        <f t="shared" si="48"/>
        <v>0</v>
      </c>
      <c r="AK135" s="317"/>
      <c r="AL135" s="315">
        <f t="shared" si="49"/>
        <v>-19.765999999999991</v>
      </c>
      <c r="AN135" s="554">
        <f t="shared" si="50"/>
        <v>-0.13729249149128284</v>
      </c>
      <c r="AO135" s="314"/>
      <c r="AP135" s="318"/>
    </row>
    <row r="136" spans="2:42">
      <c r="B136" s="296" t="s">
        <v>1254</v>
      </c>
      <c r="C136" s="299" t="s">
        <v>277</v>
      </c>
      <c r="D136" s="298" t="s">
        <v>714</v>
      </c>
      <c r="E136" s="299" t="s">
        <v>113</v>
      </c>
      <c r="F136" s="299" t="s">
        <v>59</v>
      </c>
      <c r="G136" s="300">
        <v>44251</v>
      </c>
      <c r="H136" s="303">
        <v>2093.8727272727274</v>
      </c>
      <c r="I136" s="301" t="str">
        <f t="shared" si="34"/>
        <v>Ingresos Sección II LISR (SIC &amp; BMV)</v>
      </c>
      <c r="J136" s="302">
        <f t="shared" si="35"/>
        <v>10</v>
      </c>
      <c r="K136" s="304">
        <f t="shared" si="36"/>
        <v>209.38727272727274</v>
      </c>
      <c r="L136" s="305">
        <f>IF(H136=0,0,IF(OR(E136=$AT$5,E136=$AT$6),AA136,IF(F136="MXN",1/HLOOKUP(YEAR(G136)+(MONTH(G136)/100),TC!$5:$37,DAY(G136)+2,FALSE),VLOOKUP(F136,Equivalencia!$5:$23,((MAX(Equivalencia!$3:$3)-YEAR(G136))*14)+MONTH(G136)+2,FALSE))))</f>
        <v>1</v>
      </c>
      <c r="M136" s="306">
        <f t="shared" si="37"/>
        <v>2093.8727272727274</v>
      </c>
      <c r="N136" s="305">
        <f>IF(G136=0,0,(IF(OR(E136=$AT$5,E136=$AT$6),AC136,HLOOKUP(YEAR(G136)+(MONTH(G136)/100),TC!$5:$37,DAY(G136)+2,FALSE))))</f>
        <v>20.6783</v>
      </c>
      <c r="O136" s="307">
        <f t="shared" si="38"/>
        <v>43297.728416363636</v>
      </c>
      <c r="P136" s="560">
        <f>IF(G136=0,0,VLOOKUP(YEAR(G136),INPC!$B$4:$P$30,MONTH(G136)+2))</f>
        <v>110.907</v>
      </c>
      <c r="Q136" s="560">
        <f>IF(X136=0,0,IF(OR(E136=$AT$10,E136=$AT$9),VLOOKUP(YEAR(X136),INPC!$B$4:$P$30,MONTH(X136)+1),VLOOKUP(YEAR(X136),INPC!$B$4:$P$30,MONTH(X136)+2,0)))</f>
        <v>120.15900000000001</v>
      </c>
      <c r="R136" s="309">
        <f t="shared" si="39"/>
        <v>1.0833999999999999</v>
      </c>
      <c r="S136" s="310">
        <f t="shared" si="40"/>
        <v>46908.758966288362</v>
      </c>
      <c r="T136" s="555">
        <f t="shared" si="41"/>
        <v>4690.875896628836</v>
      </c>
      <c r="U136" s="311"/>
      <c r="V136" s="312">
        <v>10</v>
      </c>
      <c r="W136" s="299" t="s">
        <v>194</v>
      </c>
      <c r="X136" s="300">
        <v>44672</v>
      </c>
      <c r="Y136" s="299" t="s">
        <v>59</v>
      </c>
      <c r="Z136" s="303">
        <v>1316.63</v>
      </c>
      <c r="AA136" s="305">
        <f>IF(Z136=0,0,IF(Y136="MXN",1/HLOOKUP(YEAR(X136)+(MONTH(X136)/100),TC!$5:$37,DAY(X136)+2,FALSE),VLOOKUP(Y136,Equivalencia!$1:$23,((MAX(Equivalencia!$3:$3)-YEAR(X136))*14)+MONTH(X136)+2,FALSE)))</f>
        <v>1</v>
      </c>
      <c r="AB136" s="306">
        <f t="shared" si="42"/>
        <v>1316.63</v>
      </c>
      <c r="AC136" s="305">
        <f>+IF(X136=0,0,HLOOKUP(YEAR(X136)+(MONTH(X136)/100),TC!$5:$37,DAY(X136)+2,FALSE))</f>
        <v>20.044699999999999</v>
      </c>
      <c r="AD136" s="307">
        <f t="shared" si="43"/>
        <v>26391.453361</v>
      </c>
      <c r="AE136" s="314">
        <f t="shared" si="44"/>
        <v>46908.758966288362</v>
      </c>
      <c r="AF136" s="315">
        <f t="shared" si="45"/>
        <v>-20517.305605288362</v>
      </c>
      <c r="AG136" s="316">
        <f t="shared" si="46"/>
        <v>1.1534246575342466</v>
      </c>
      <c r="AH136" s="314">
        <v>1</v>
      </c>
      <c r="AI136" s="314">
        <f t="shared" si="47"/>
        <v>-20517.305605288362</v>
      </c>
      <c r="AJ136" s="314">
        <f t="shared" si="48"/>
        <v>0</v>
      </c>
      <c r="AK136" s="317"/>
      <c r="AL136" s="315">
        <f t="shared" si="49"/>
        <v>-777.24272727272728</v>
      </c>
      <c r="AN136" s="554">
        <f t="shared" si="50"/>
        <v>-0.37119864887159937</v>
      </c>
      <c r="AO136" s="314"/>
      <c r="AP136" s="318"/>
    </row>
    <row r="137" spans="2:42">
      <c r="B137" s="296" t="s">
        <v>1254</v>
      </c>
      <c r="C137" s="299" t="s">
        <v>277</v>
      </c>
      <c r="D137" s="298" t="s">
        <v>714</v>
      </c>
      <c r="E137" s="299" t="s">
        <v>113</v>
      </c>
      <c r="F137" s="299" t="s">
        <v>59</v>
      </c>
      <c r="G137" s="300">
        <v>44251</v>
      </c>
      <c r="H137" s="303">
        <v>3350.1963636363639</v>
      </c>
      <c r="I137" s="301" t="str">
        <f t="shared" si="34"/>
        <v>Ingresos Sección II LISR (SIC &amp; BMV)</v>
      </c>
      <c r="J137" s="302">
        <f t="shared" si="35"/>
        <v>16</v>
      </c>
      <c r="K137" s="304">
        <f t="shared" si="36"/>
        <v>209.38727272727274</v>
      </c>
      <c r="L137" s="305">
        <f>IF(H137=0,0,IF(OR(E137=$AT$5,E137=$AT$6),AA137,IF(F137="MXN",1/HLOOKUP(YEAR(G137)+(MONTH(G137)/100),TC!$5:$37,DAY(G137)+2,FALSE),VLOOKUP(F137,Equivalencia!$5:$23,((MAX(Equivalencia!$3:$3)-YEAR(G137))*14)+MONTH(G137)+2,FALSE))))</f>
        <v>1</v>
      </c>
      <c r="M137" s="306">
        <f t="shared" si="37"/>
        <v>3350.1963636363639</v>
      </c>
      <c r="N137" s="305">
        <f>IF(G137=0,0,(IF(OR(E137=$AT$5,E137=$AT$6),AC137,HLOOKUP(YEAR(G137)+(MONTH(G137)/100),TC!$5:$37,DAY(G137)+2,FALSE))))</f>
        <v>20.6783</v>
      </c>
      <c r="O137" s="307">
        <f t="shared" si="38"/>
        <v>69276.365466181829</v>
      </c>
      <c r="P137" s="560">
        <f>IF(G137=0,0,VLOOKUP(YEAR(G137),INPC!$B$4:$P$30,MONTH(G137)+2))</f>
        <v>110.907</v>
      </c>
      <c r="Q137" s="560">
        <f>IF(X137=0,0,IF(OR(E137=$AT$10,E137=$AT$9),VLOOKUP(YEAR(X137),INPC!$B$4:$P$30,MONTH(X137)+1),VLOOKUP(YEAR(X137),INPC!$B$4:$P$30,MONTH(X137)+2,0)))</f>
        <v>120.15900000000001</v>
      </c>
      <c r="R137" s="309">
        <f t="shared" si="39"/>
        <v>1.0833999999999999</v>
      </c>
      <c r="S137" s="310">
        <f t="shared" si="40"/>
        <v>75054.014346061391</v>
      </c>
      <c r="T137" s="555">
        <f t="shared" si="41"/>
        <v>4690.8758966288369</v>
      </c>
      <c r="U137" s="311"/>
      <c r="V137" s="312">
        <v>16</v>
      </c>
      <c r="W137" s="299" t="s">
        <v>194</v>
      </c>
      <c r="X137" s="300">
        <v>44672</v>
      </c>
      <c r="Y137" s="299" t="s">
        <v>59</v>
      </c>
      <c r="Z137" s="303">
        <v>2142.3000000000002</v>
      </c>
      <c r="AA137" s="305">
        <f>IF(Z137=0,0,IF(Y137="MXN",1/HLOOKUP(YEAR(X137)+(MONTH(X137)/100),TC!$5:$37,DAY(X137)+2,FALSE),VLOOKUP(Y137,Equivalencia!$1:$23,((MAX(Equivalencia!$3:$3)-YEAR(X137))*14)+MONTH(X137)+2,FALSE)))</f>
        <v>1</v>
      </c>
      <c r="AB137" s="306">
        <f t="shared" si="42"/>
        <v>2142.3000000000002</v>
      </c>
      <c r="AC137" s="305">
        <f>+IF(X137=0,0,HLOOKUP(YEAR(X137)+(MONTH(X137)/100),TC!$5:$37,DAY(X137)+2,FALSE))</f>
        <v>20.044699999999999</v>
      </c>
      <c r="AD137" s="307">
        <f t="shared" si="43"/>
        <v>42941.76081</v>
      </c>
      <c r="AE137" s="314">
        <f t="shared" si="44"/>
        <v>75054.014346061391</v>
      </c>
      <c r="AF137" s="315">
        <f t="shared" si="45"/>
        <v>-32112.253536061391</v>
      </c>
      <c r="AG137" s="316">
        <f t="shared" si="46"/>
        <v>1.1534246575342466</v>
      </c>
      <c r="AH137" s="314">
        <v>1</v>
      </c>
      <c r="AI137" s="314">
        <f t="shared" si="47"/>
        <v>-32112.253536061391</v>
      </c>
      <c r="AJ137" s="314">
        <f t="shared" si="48"/>
        <v>0</v>
      </c>
      <c r="AK137" s="317"/>
      <c r="AL137" s="315">
        <f t="shared" si="49"/>
        <v>-1207.8963636363637</v>
      </c>
      <c r="AN137" s="554">
        <f t="shared" si="50"/>
        <v>-0.36054494499101275</v>
      </c>
      <c r="AO137" s="314"/>
      <c r="AP137" s="318"/>
    </row>
    <row r="138" spans="2:42">
      <c r="B138" s="296" t="s">
        <v>1254</v>
      </c>
      <c r="C138" s="299" t="s">
        <v>277</v>
      </c>
      <c r="D138" s="298" t="s">
        <v>714</v>
      </c>
      <c r="E138" s="299" t="s">
        <v>113</v>
      </c>
      <c r="F138" s="299" t="s">
        <v>59</v>
      </c>
      <c r="G138" s="300">
        <v>44251</v>
      </c>
      <c r="H138" s="303">
        <v>209.38727272727274</v>
      </c>
      <c r="I138" s="301" t="str">
        <f t="shared" si="34"/>
        <v>Ingresos Sección II LISR (SIC &amp; BMV)</v>
      </c>
      <c r="J138" s="302">
        <f t="shared" si="35"/>
        <v>1</v>
      </c>
      <c r="K138" s="304">
        <f t="shared" si="36"/>
        <v>209.38727272727274</v>
      </c>
      <c r="L138" s="305">
        <f>IF(H138=0,0,IF(OR(E138=$AT$5,E138=$AT$6),AA138,IF(F138="MXN",1/HLOOKUP(YEAR(G138)+(MONTH(G138)/100),TC!$5:$37,DAY(G138)+2,FALSE),VLOOKUP(F138,Equivalencia!$5:$23,((MAX(Equivalencia!$3:$3)-YEAR(G138))*14)+MONTH(G138)+2,FALSE))))</f>
        <v>1</v>
      </c>
      <c r="M138" s="306">
        <f t="shared" si="37"/>
        <v>209.38727272727274</v>
      </c>
      <c r="N138" s="305">
        <f>IF(G138=0,0,(IF(OR(E138=$AT$5,E138=$AT$6),AC138,HLOOKUP(YEAR(G138)+(MONTH(G138)/100),TC!$5:$37,DAY(G138)+2,FALSE))))</f>
        <v>20.6783</v>
      </c>
      <c r="O138" s="307">
        <f t="shared" si="38"/>
        <v>4329.7728416363643</v>
      </c>
      <c r="P138" s="560">
        <f>IF(G138=0,0,VLOOKUP(YEAR(G138),INPC!$B$4:$P$30,MONTH(G138)+2))</f>
        <v>110.907</v>
      </c>
      <c r="Q138" s="560">
        <f>IF(X138=0,0,IF(OR(E138=$AT$10,E138=$AT$9),VLOOKUP(YEAR(X138),INPC!$B$4:$P$30,MONTH(X138)+1),VLOOKUP(YEAR(X138),INPC!$B$4:$P$30,MONTH(X138)+2,0)))</f>
        <v>120.15900000000001</v>
      </c>
      <c r="R138" s="309">
        <f t="shared" si="39"/>
        <v>1.0833999999999999</v>
      </c>
      <c r="S138" s="310">
        <f t="shared" si="40"/>
        <v>4690.8758966288369</v>
      </c>
      <c r="T138" s="555">
        <f t="shared" si="41"/>
        <v>4690.8758966288369</v>
      </c>
      <c r="U138" s="311"/>
      <c r="V138" s="312">
        <v>1</v>
      </c>
      <c r="W138" s="299" t="s">
        <v>194</v>
      </c>
      <c r="X138" s="300">
        <v>44672</v>
      </c>
      <c r="Y138" s="299" t="s">
        <v>59</v>
      </c>
      <c r="Z138" s="303">
        <v>133.32166666666666</v>
      </c>
      <c r="AA138" s="305">
        <f>IF(Z138=0,0,IF(Y138="MXN",1/HLOOKUP(YEAR(X138)+(MONTH(X138)/100),TC!$5:$37,DAY(X138)+2,FALSE),VLOOKUP(Y138,Equivalencia!$1:$23,((MAX(Equivalencia!$3:$3)-YEAR(X138))*14)+MONTH(X138)+2,FALSE)))</f>
        <v>1</v>
      </c>
      <c r="AB138" s="306">
        <f t="shared" si="42"/>
        <v>133.32166666666666</v>
      </c>
      <c r="AC138" s="305">
        <f>+IF(X138=0,0,HLOOKUP(YEAR(X138)+(MONTH(X138)/100),TC!$5:$37,DAY(X138)+2,FALSE))</f>
        <v>20.044699999999999</v>
      </c>
      <c r="AD138" s="307">
        <f t="shared" si="43"/>
        <v>2672.3928118333329</v>
      </c>
      <c r="AE138" s="314">
        <f t="shared" si="44"/>
        <v>4690.8758966288369</v>
      </c>
      <c r="AF138" s="315">
        <f t="shared" si="45"/>
        <v>-2018.4830847955041</v>
      </c>
      <c r="AG138" s="316">
        <f t="shared" si="46"/>
        <v>1.1534246575342466</v>
      </c>
      <c r="AH138" s="314">
        <v>1</v>
      </c>
      <c r="AI138" s="314">
        <f t="shared" si="47"/>
        <v>-2018.4830847955041</v>
      </c>
      <c r="AJ138" s="314">
        <f t="shared" si="48"/>
        <v>0</v>
      </c>
      <c r="AK138" s="317"/>
      <c r="AL138" s="315">
        <f t="shared" si="49"/>
        <v>-76.065606060606086</v>
      </c>
      <c r="AN138" s="554">
        <f t="shared" si="50"/>
        <v>-0.36327712315008592</v>
      </c>
      <c r="AO138" s="314"/>
      <c r="AP138" s="318"/>
    </row>
    <row r="139" spans="2:42">
      <c r="B139" s="296" t="s">
        <v>1254</v>
      </c>
      <c r="C139" s="299" t="s">
        <v>277</v>
      </c>
      <c r="D139" s="298" t="s">
        <v>714</v>
      </c>
      <c r="E139" s="299" t="s">
        <v>113</v>
      </c>
      <c r="F139" s="299" t="s">
        <v>59</v>
      </c>
      <c r="G139" s="300">
        <v>44253</v>
      </c>
      <c r="H139" s="303">
        <v>818.18571428571431</v>
      </c>
      <c r="I139" s="301" t="str">
        <f t="shared" si="34"/>
        <v>Ingresos Sección II LISR (SIC &amp; BMV)</v>
      </c>
      <c r="J139" s="302">
        <f t="shared" si="35"/>
        <v>5</v>
      </c>
      <c r="K139" s="304">
        <f t="shared" si="36"/>
        <v>163.63714285714286</v>
      </c>
      <c r="L139" s="305">
        <f>IF(H139=0,0,IF(OR(E139=$AT$5,E139=$AT$6),AA139,IF(F139="MXN",1/HLOOKUP(YEAR(G139)+(MONTH(G139)/100),TC!$5:$37,DAY(G139)+2,FALSE),VLOOKUP(F139,Equivalencia!$5:$23,((MAX(Equivalencia!$3:$3)-YEAR(G139))*14)+MONTH(G139)+2,FALSE))))</f>
        <v>1</v>
      </c>
      <c r="M139" s="306">
        <f t="shared" si="37"/>
        <v>818.18571428571431</v>
      </c>
      <c r="N139" s="305">
        <f>IF(G139=0,0,(IF(OR(E139=$AT$5,E139=$AT$6),AC139,HLOOKUP(YEAR(G139)+(MONTH(G139)/100),TC!$5:$37,DAY(G139)+2,FALSE))))</f>
        <v>20.475200000000001</v>
      </c>
      <c r="O139" s="307">
        <f t="shared" si="38"/>
        <v>16752.516137142858</v>
      </c>
      <c r="P139" s="560">
        <f>IF(G139=0,0,VLOOKUP(YEAR(G139),INPC!$B$4:$P$30,MONTH(G139)+2))</f>
        <v>110.907</v>
      </c>
      <c r="Q139" s="560">
        <f>IF(X139=0,0,IF(OR(E139=$AT$10,E139=$AT$9),VLOOKUP(YEAR(X139),INPC!$B$4:$P$30,MONTH(X139)+1),VLOOKUP(YEAR(X139),INPC!$B$4:$P$30,MONTH(X139)+2,0)))</f>
        <v>120.15900000000001</v>
      </c>
      <c r="R139" s="309">
        <f t="shared" si="39"/>
        <v>1.0833999999999999</v>
      </c>
      <c r="S139" s="310">
        <f t="shared" si="40"/>
        <v>18149.675982980571</v>
      </c>
      <c r="T139" s="555">
        <f t="shared" si="41"/>
        <v>3629.9351965961141</v>
      </c>
      <c r="U139" s="311"/>
      <c r="V139" s="312">
        <v>5</v>
      </c>
      <c r="W139" s="299" t="s">
        <v>194</v>
      </c>
      <c r="X139" s="300">
        <v>44672</v>
      </c>
      <c r="Y139" s="299" t="s">
        <v>59</v>
      </c>
      <c r="Z139" s="303">
        <v>666.60833333333335</v>
      </c>
      <c r="AA139" s="305">
        <f>IF(Z139=0,0,IF(Y139="MXN",1/HLOOKUP(YEAR(X139)+(MONTH(X139)/100),TC!$5:$37,DAY(X139)+2,FALSE),VLOOKUP(Y139,Equivalencia!$1:$23,((MAX(Equivalencia!$3:$3)-YEAR(X139))*14)+MONTH(X139)+2,FALSE)))</f>
        <v>1</v>
      </c>
      <c r="AB139" s="306">
        <f t="shared" si="42"/>
        <v>666.60833333333335</v>
      </c>
      <c r="AC139" s="305">
        <f>+IF(X139=0,0,HLOOKUP(YEAR(X139)+(MONTH(X139)/100),TC!$5:$37,DAY(X139)+2,FALSE))</f>
        <v>20.044699999999999</v>
      </c>
      <c r="AD139" s="307">
        <f t="shared" si="43"/>
        <v>13361.964059166667</v>
      </c>
      <c r="AE139" s="314">
        <f t="shared" si="44"/>
        <v>18149.675982980571</v>
      </c>
      <c r="AF139" s="315">
        <f t="shared" si="45"/>
        <v>-4787.7119238139039</v>
      </c>
      <c r="AG139" s="316">
        <f t="shared" si="46"/>
        <v>1.1479452054794521</v>
      </c>
      <c r="AH139" s="314">
        <v>1</v>
      </c>
      <c r="AI139" s="314">
        <f t="shared" si="47"/>
        <v>-4787.7119238139039</v>
      </c>
      <c r="AJ139" s="314">
        <f t="shared" si="48"/>
        <v>0</v>
      </c>
      <c r="AK139" s="317"/>
      <c r="AL139" s="315">
        <f t="shared" si="49"/>
        <v>-151.57738095238096</v>
      </c>
      <c r="AN139" s="554">
        <f t="shared" si="50"/>
        <v>-0.18526036119404724</v>
      </c>
      <c r="AO139" s="314"/>
      <c r="AP139" s="318"/>
    </row>
    <row r="140" spans="2:42">
      <c r="B140" s="296" t="s">
        <v>1254</v>
      </c>
      <c r="C140" s="299" t="s">
        <v>277</v>
      </c>
      <c r="D140" s="298" t="s">
        <v>714</v>
      </c>
      <c r="E140" s="299" t="s">
        <v>113</v>
      </c>
      <c r="F140" s="299" t="s">
        <v>59</v>
      </c>
      <c r="G140" s="300">
        <v>44253</v>
      </c>
      <c r="H140" s="303">
        <v>9818.2285714285717</v>
      </c>
      <c r="I140" s="301" t="str">
        <f t="shared" si="34"/>
        <v>Ingresos Sección II LISR (SIC &amp; BMV)</v>
      </c>
      <c r="J140" s="302">
        <f t="shared" si="35"/>
        <v>60</v>
      </c>
      <c r="K140" s="304">
        <f t="shared" si="36"/>
        <v>163.63714285714286</v>
      </c>
      <c r="L140" s="305">
        <f>IF(H140=0,0,IF(OR(E140=$AT$5,E140=$AT$6),AA140,IF(F140="MXN",1/HLOOKUP(YEAR(G140)+(MONTH(G140)/100),TC!$5:$37,DAY(G140)+2,FALSE),VLOOKUP(F140,Equivalencia!$5:$23,((MAX(Equivalencia!$3:$3)-YEAR(G140))*14)+MONTH(G140)+2,FALSE))))</f>
        <v>1</v>
      </c>
      <c r="M140" s="306">
        <f t="shared" si="37"/>
        <v>9818.2285714285717</v>
      </c>
      <c r="N140" s="305">
        <f>IF(G140=0,0,(IF(OR(E140=$AT$5,E140=$AT$6),AC140,HLOOKUP(YEAR(G140)+(MONTH(G140)/100),TC!$5:$37,DAY(G140)+2,FALSE))))</f>
        <v>20.475200000000001</v>
      </c>
      <c r="O140" s="307">
        <f t="shared" si="38"/>
        <v>201030.19364571429</v>
      </c>
      <c r="P140" s="560">
        <f>IF(G140=0,0,VLOOKUP(YEAR(G140),INPC!$B$4:$P$30,MONTH(G140)+2))</f>
        <v>110.907</v>
      </c>
      <c r="Q140" s="560">
        <f>IF(X140=0,0,IF(OR(E140=$AT$10,E140=$AT$9),VLOOKUP(YEAR(X140),INPC!$B$4:$P$30,MONTH(X140)+1),VLOOKUP(YEAR(X140),INPC!$B$4:$P$30,MONTH(X140)+2,0)))</f>
        <v>120.15900000000001</v>
      </c>
      <c r="R140" s="309">
        <f t="shared" si="39"/>
        <v>1.0833999999999999</v>
      </c>
      <c r="S140" s="310">
        <f t="shared" si="40"/>
        <v>217796.11179576683</v>
      </c>
      <c r="T140" s="555">
        <f t="shared" si="41"/>
        <v>3629.9351965961137</v>
      </c>
      <c r="U140" s="311"/>
      <c r="V140" s="312">
        <v>60</v>
      </c>
      <c r="W140" s="299" t="s">
        <v>194</v>
      </c>
      <c r="X140" s="300">
        <v>44672</v>
      </c>
      <c r="Y140" s="299" t="s">
        <v>59</v>
      </c>
      <c r="Z140" s="303">
        <v>7949.2099999999991</v>
      </c>
      <c r="AA140" s="305">
        <f>IF(Z140=0,0,IF(Y140="MXN",1/HLOOKUP(YEAR(X140)+(MONTH(X140)/100),TC!$5:$37,DAY(X140)+2,FALSE),VLOOKUP(Y140,Equivalencia!$1:$23,((MAX(Equivalencia!$3:$3)-YEAR(X140))*14)+MONTH(X140)+2,FALSE)))</f>
        <v>1</v>
      </c>
      <c r="AB140" s="306">
        <f t="shared" si="42"/>
        <v>7949.2099999999991</v>
      </c>
      <c r="AC140" s="305">
        <f>+IF(X140=0,0,HLOOKUP(YEAR(X140)+(MONTH(X140)/100),TC!$5:$37,DAY(X140)+2,FALSE))</f>
        <v>20.044699999999999</v>
      </c>
      <c r="AD140" s="307">
        <f t="shared" si="43"/>
        <v>159339.52968699997</v>
      </c>
      <c r="AE140" s="314">
        <f t="shared" si="44"/>
        <v>217796.11179576683</v>
      </c>
      <c r="AF140" s="315">
        <f t="shared" si="45"/>
        <v>-58456.582108766859</v>
      </c>
      <c r="AG140" s="316">
        <f t="shared" si="46"/>
        <v>1.1479452054794521</v>
      </c>
      <c r="AH140" s="314">
        <v>1</v>
      </c>
      <c r="AI140" s="314">
        <f t="shared" si="47"/>
        <v>-58456.582108766859</v>
      </c>
      <c r="AJ140" s="314">
        <f t="shared" si="48"/>
        <v>0</v>
      </c>
      <c r="AK140" s="317"/>
      <c r="AL140" s="315">
        <f t="shared" si="49"/>
        <v>-1869.0185714285726</v>
      </c>
      <c r="AN140" s="554">
        <f t="shared" si="50"/>
        <v>-0.19036209615933058</v>
      </c>
      <c r="AO140" s="314"/>
      <c r="AP140" s="318"/>
    </row>
    <row r="141" spans="2:42">
      <c r="B141" s="296" t="s">
        <v>1254</v>
      </c>
      <c r="C141" s="299" t="s">
        <v>277</v>
      </c>
      <c r="D141" s="298" t="s">
        <v>714</v>
      </c>
      <c r="E141" s="299" t="s">
        <v>113</v>
      </c>
      <c r="F141" s="299" t="s">
        <v>59</v>
      </c>
      <c r="G141" s="300">
        <v>44253</v>
      </c>
      <c r="H141" s="303">
        <v>654.54857142857145</v>
      </c>
      <c r="I141" s="301" t="str">
        <f t="shared" si="34"/>
        <v>Ingresos Sección II LISR (SIC &amp; BMV)</v>
      </c>
      <c r="J141" s="302">
        <f t="shared" si="35"/>
        <v>4</v>
      </c>
      <c r="K141" s="304">
        <f t="shared" si="36"/>
        <v>163.63714285714286</v>
      </c>
      <c r="L141" s="305">
        <f>IF(H141=0,0,IF(OR(E141=$AT$5,E141=$AT$6),AA141,IF(F141="MXN",1/HLOOKUP(YEAR(G141)+(MONTH(G141)/100),TC!$5:$37,DAY(G141)+2,FALSE),VLOOKUP(F141,Equivalencia!$5:$23,((MAX(Equivalencia!$3:$3)-YEAR(G141))*14)+MONTH(G141)+2,FALSE))))</f>
        <v>1</v>
      </c>
      <c r="M141" s="306">
        <f t="shared" si="37"/>
        <v>654.54857142857145</v>
      </c>
      <c r="N141" s="305">
        <f>IF(G141=0,0,(IF(OR(E141=$AT$5,E141=$AT$6),AC141,HLOOKUP(YEAR(G141)+(MONTH(G141)/100),TC!$5:$37,DAY(G141)+2,FALSE))))</f>
        <v>20.475200000000001</v>
      </c>
      <c r="O141" s="307">
        <f t="shared" si="38"/>
        <v>13402.012909714287</v>
      </c>
      <c r="P141" s="560">
        <f>IF(G141=0,0,VLOOKUP(YEAR(G141),INPC!$B$4:$P$30,MONTH(G141)+2))</f>
        <v>110.907</v>
      </c>
      <c r="Q141" s="560">
        <f>IF(X141=0,0,IF(OR(E141=$AT$10,E141=$AT$9),VLOOKUP(YEAR(X141),INPC!$B$4:$P$30,MONTH(X141)+1),VLOOKUP(YEAR(X141),INPC!$B$4:$P$30,MONTH(X141)+2,0)))</f>
        <v>120.15900000000001</v>
      </c>
      <c r="R141" s="309">
        <f t="shared" si="39"/>
        <v>1.0833999999999999</v>
      </c>
      <c r="S141" s="310">
        <f t="shared" si="40"/>
        <v>14519.740786384458</v>
      </c>
      <c r="T141" s="555">
        <f t="shared" si="41"/>
        <v>3629.9351965961146</v>
      </c>
      <c r="U141" s="311"/>
      <c r="V141" s="312">
        <v>4</v>
      </c>
      <c r="W141" s="299" t="s">
        <v>194</v>
      </c>
      <c r="X141" s="300">
        <v>44673</v>
      </c>
      <c r="Y141" s="299" t="s">
        <v>59</v>
      </c>
      <c r="Z141" s="303">
        <v>503.07</v>
      </c>
      <c r="AA141" s="305">
        <f>IF(Z141=0,0,IF(Y141="MXN",1/HLOOKUP(YEAR(X141)+(MONTH(X141)/100),TC!$5:$37,DAY(X141)+2,FALSE),VLOOKUP(Y141,Equivalencia!$1:$23,((MAX(Equivalencia!$3:$3)-YEAR(X141))*14)+MONTH(X141)+2,FALSE)))</f>
        <v>1</v>
      </c>
      <c r="AB141" s="306">
        <f t="shared" si="42"/>
        <v>503.07</v>
      </c>
      <c r="AC141" s="305">
        <f>+IF(X141=0,0,HLOOKUP(YEAR(X141)+(MONTH(X141)/100),TC!$5:$37,DAY(X141)+2,FALSE))</f>
        <v>20.0383</v>
      </c>
      <c r="AD141" s="307">
        <f t="shared" si="43"/>
        <v>10080.667581</v>
      </c>
      <c r="AE141" s="314">
        <f t="shared" si="44"/>
        <v>14519.740786384458</v>
      </c>
      <c r="AF141" s="315">
        <f t="shared" si="45"/>
        <v>-4439.0732053844586</v>
      </c>
      <c r="AG141" s="316">
        <f t="shared" si="46"/>
        <v>1.1506849315068493</v>
      </c>
      <c r="AH141" s="314">
        <v>1</v>
      </c>
      <c r="AI141" s="314">
        <f t="shared" si="47"/>
        <v>-4439.0732053844586</v>
      </c>
      <c r="AJ141" s="314">
        <f t="shared" si="48"/>
        <v>0</v>
      </c>
      <c r="AK141" s="317"/>
      <c r="AL141" s="315">
        <f t="shared" si="49"/>
        <v>-151.47857142857146</v>
      </c>
      <c r="AN141" s="554">
        <f t="shared" si="50"/>
        <v>-0.231424493216699</v>
      </c>
      <c r="AO141" s="314"/>
      <c r="AP141" s="318"/>
    </row>
    <row r="142" spans="2:42">
      <c r="B142" s="296" t="s">
        <v>1254</v>
      </c>
      <c r="C142" s="299" t="s">
        <v>277</v>
      </c>
      <c r="D142" s="298" t="s">
        <v>874</v>
      </c>
      <c r="E142" s="299" t="s">
        <v>113</v>
      </c>
      <c r="F142" s="299" t="s">
        <v>59</v>
      </c>
      <c r="G142" s="300">
        <v>44337</v>
      </c>
      <c r="H142" s="303">
        <v>1146.7802362204725</v>
      </c>
      <c r="I142" s="301" t="str">
        <f t="shared" si="34"/>
        <v>Ingresos Sección II LISR (SIC &amp; BMV)</v>
      </c>
      <c r="J142" s="302">
        <f t="shared" si="35"/>
        <v>42</v>
      </c>
      <c r="K142" s="304">
        <f t="shared" si="36"/>
        <v>27.304291338582679</v>
      </c>
      <c r="L142" s="305">
        <f>IF(H142=0,0,IF(OR(E142=$AT$5,E142=$AT$6),AA142,IF(F142="MXN",1/HLOOKUP(YEAR(G142)+(MONTH(G142)/100),TC!$5:$37,DAY(G142)+2,FALSE),VLOOKUP(F142,Equivalencia!$5:$23,((MAX(Equivalencia!$3:$3)-YEAR(G142))*14)+MONTH(G142)+2,FALSE))))</f>
        <v>1</v>
      </c>
      <c r="M142" s="306">
        <f t="shared" si="37"/>
        <v>1146.7802362204725</v>
      </c>
      <c r="N142" s="305">
        <f>IF(G142=0,0,(IF(OR(E142=$AT$5,E142=$AT$6),AC142,HLOOKUP(YEAR(G142)+(MONTH(G142)/100),TC!$5:$37,DAY(G142)+2,FALSE))))</f>
        <v>19.814299999999999</v>
      </c>
      <c r="O142" s="307">
        <f t="shared" si="38"/>
        <v>22722.647634543308</v>
      </c>
      <c r="P142" s="560">
        <f>IF(G142=0,0,VLOOKUP(YEAR(G142),INPC!$B$4:$P$30,MONTH(G142)+2))</f>
        <v>112.419</v>
      </c>
      <c r="Q142" s="560">
        <f>IF(X142=0,0,IF(OR(E142=$AT$10,E142=$AT$9),VLOOKUP(YEAR(X142),INPC!$B$4:$P$30,MONTH(X142)+1),VLOOKUP(YEAR(X142),INPC!$B$4:$P$30,MONTH(X142)+2,0)))</f>
        <v>118.98099999999999</v>
      </c>
      <c r="R142" s="309">
        <f t="shared" si="39"/>
        <v>1.0583</v>
      </c>
      <c r="S142" s="310">
        <f t="shared" si="40"/>
        <v>24047.377991637182</v>
      </c>
      <c r="T142" s="555">
        <f t="shared" si="41"/>
        <v>572.55661884850429</v>
      </c>
      <c r="U142" s="311"/>
      <c r="V142" s="312">
        <v>42</v>
      </c>
      <c r="W142" s="299" t="s">
        <v>194</v>
      </c>
      <c r="X142" s="300">
        <v>44621</v>
      </c>
      <c r="Y142" s="299" t="s">
        <v>59</v>
      </c>
      <c r="Z142" s="303">
        <v>1045.089705882353</v>
      </c>
      <c r="AA142" s="305">
        <f>IF(Z142=0,0,IF(Y142="MXN",1/HLOOKUP(YEAR(X142)+(MONTH(X142)/100),TC!$5:$37,DAY(X142)+2,FALSE),VLOOKUP(Y142,Equivalencia!$1:$23,((MAX(Equivalencia!$3:$3)-YEAR(X142))*14)+MONTH(X142)+2,FALSE)))</f>
        <v>1</v>
      </c>
      <c r="AB142" s="306">
        <f t="shared" si="42"/>
        <v>1045.089705882353</v>
      </c>
      <c r="AC142" s="305">
        <f>+IF(X142=0,0,HLOOKUP(YEAR(X142)+(MONTH(X142)/100),TC!$5:$37,DAY(X142)+2,FALSE))</f>
        <v>20.4465</v>
      </c>
      <c r="AD142" s="307">
        <f t="shared" si="43"/>
        <v>21368.42667132353</v>
      </c>
      <c r="AE142" s="314">
        <f t="shared" si="44"/>
        <v>24047.377991637179</v>
      </c>
      <c r="AF142" s="315">
        <f t="shared" si="45"/>
        <v>-2678.9513203136485</v>
      </c>
      <c r="AG142" s="316">
        <f t="shared" si="46"/>
        <v>0.77808219178082194</v>
      </c>
      <c r="AH142" s="314">
        <v>1</v>
      </c>
      <c r="AI142" s="314">
        <f t="shared" si="47"/>
        <v>-2678.9513203136485</v>
      </c>
      <c r="AJ142" s="314">
        <f t="shared" si="48"/>
        <v>0</v>
      </c>
      <c r="AK142" s="317"/>
      <c r="AL142" s="315">
        <f t="shared" si="49"/>
        <v>-101.69053033811952</v>
      </c>
      <c r="AN142" s="554">
        <f t="shared" si="50"/>
        <v>-8.8674819399807966E-2</v>
      </c>
      <c r="AO142" s="314"/>
      <c r="AP142" s="318"/>
    </row>
    <row r="143" spans="2:42">
      <c r="B143" s="296" t="s">
        <v>1254</v>
      </c>
      <c r="C143" s="299" t="s">
        <v>277</v>
      </c>
      <c r="D143" s="298" t="s">
        <v>874</v>
      </c>
      <c r="E143" s="299" t="s">
        <v>113</v>
      </c>
      <c r="F143" s="299" t="s">
        <v>59</v>
      </c>
      <c r="G143" s="300">
        <v>44348</v>
      </c>
      <c r="H143" s="303">
        <v>5268.48</v>
      </c>
      <c r="I143" s="301" t="str">
        <f t="shared" si="34"/>
        <v>Ingresos Sección II LISR (SIC &amp; BMV)</v>
      </c>
      <c r="J143" s="302">
        <f t="shared" si="35"/>
        <v>168</v>
      </c>
      <c r="K143" s="304">
        <f t="shared" si="36"/>
        <v>31.359999999999996</v>
      </c>
      <c r="L143" s="305">
        <f>IF(H143=0,0,IF(OR(E143=$AT$5,E143=$AT$6),AA143,IF(F143="MXN",1/HLOOKUP(YEAR(G143)+(MONTH(G143)/100),TC!$5:$37,DAY(G143)+2,FALSE),VLOOKUP(F143,Equivalencia!$5:$23,((MAX(Equivalencia!$3:$3)-YEAR(G143))*14)+MONTH(G143)+2,FALSE))))</f>
        <v>1</v>
      </c>
      <c r="M143" s="306">
        <f t="shared" si="37"/>
        <v>5268.48</v>
      </c>
      <c r="N143" s="305">
        <f>IF(G143=0,0,(IF(OR(E143=$AT$5,E143=$AT$6),AC143,HLOOKUP(YEAR(G143)+(MONTH(G143)/100),TC!$5:$37,DAY(G143)+2,FALSE))))</f>
        <v>19.944199999999999</v>
      </c>
      <c r="O143" s="307">
        <f t="shared" si="38"/>
        <v>105075.61881599999</v>
      </c>
      <c r="P143" s="560">
        <f>IF(G143=0,0,VLOOKUP(YEAR(G143),INPC!$B$4:$P$30,MONTH(G143)+2))</f>
        <v>113.018</v>
      </c>
      <c r="Q143" s="560">
        <f>IF(X143=0,0,IF(OR(E143=$AT$10,E143=$AT$9),VLOOKUP(YEAR(X143),INPC!$B$4:$P$30,MONTH(X143)+1),VLOOKUP(YEAR(X143),INPC!$B$4:$P$30,MONTH(X143)+2,0)))</f>
        <v>118.98099999999999</v>
      </c>
      <c r="R143" s="309">
        <f t="shared" si="39"/>
        <v>1.0527</v>
      </c>
      <c r="S143" s="310">
        <f t="shared" si="40"/>
        <v>110613.10392760318</v>
      </c>
      <c r="T143" s="555">
        <f t="shared" si="41"/>
        <v>658.41133290239986</v>
      </c>
      <c r="U143" s="311"/>
      <c r="V143" s="312">
        <v>168</v>
      </c>
      <c r="W143" s="299" t="s">
        <v>194</v>
      </c>
      <c r="X143" s="300">
        <v>44621</v>
      </c>
      <c r="Y143" s="299" t="s">
        <v>59</v>
      </c>
      <c r="Z143" s="303">
        <v>4180.3588235294119</v>
      </c>
      <c r="AA143" s="305">
        <f>IF(Z143=0,0,IF(Y143="MXN",1/HLOOKUP(YEAR(X143)+(MONTH(X143)/100),TC!$5:$37,DAY(X143)+2,FALSE),VLOOKUP(Y143,Equivalencia!$1:$23,((MAX(Equivalencia!$3:$3)-YEAR(X143))*14)+MONTH(X143)+2,FALSE)))</f>
        <v>1</v>
      </c>
      <c r="AB143" s="306">
        <f t="shared" si="42"/>
        <v>4180.3588235294119</v>
      </c>
      <c r="AC143" s="305">
        <f>+IF(X143=0,0,HLOOKUP(YEAR(X143)+(MONTH(X143)/100),TC!$5:$37,DAY(X143)+2,FALSE))</f>
        <v>20.4465</v>
      </c>
      <c r="AD143" s="307">
        <f t="shared" si="43"/>
        <v>85473.706685294121</v>
      </c>
      <c r="AE143" s="314">
        <f t="shared" si="44"/>
        <v>110613.10392760318</v>
      </c>
      <c r="AF143" s="315">
        <f t="shared" si="45"/>
        <v>-25139.39724230906</v>
      </c>
      <c r="AG143" s="316">
        <f t="shared" si="46"/>
        <v>0.74794520547945209</v>
      </c>
      <c r="AH143" s="314">
        <v>1</v>
      </c>
      <c r="AI143" s="314">
        <f t="shared" si="47"/>
        <v>-25139.39724230906</v>
      </c>
      <c r="AJ143" s="314">
        <f t="shared" si="48"/>
        <v>0</v>
      </c>
      <c r="AK143" s="317"/>
      <c r="AL143" s="315">
        <f t="shared" si="49"/>
        <v>-1088.1211764705877</v>
      </c>
      <c r="AN143" s="554">
        <f t="shared" si="50"/>
        <v>-0.2065341761704681</v>
      </c>
      <c r="AO143" s="314"/>
      <c r="AP143" s="318"/>
    </row>
    <row r="144" spans="2:42">
      <c r="B144" s="296" t="s">
        <v>1254</v>
      </c>
      <c r="C144" s="299" t="s">
        <v>277</v>
      </c>
      <c r="D144" s="298" t="s">
        <v>874</v>
      </c>
      <c r="E144" s="299" t="s">
        <v>113</v>
      </c>
      <c r="F144" s="299" t="s">
        <v>59</v>
      </c>
      <c r="G144" s="300">
        <v>44371</v>
      </c>
      <c r="H144" s="303">
        <v>6508.0804945054942</v>
      </c>
      <c r="I144" s="301" t="str">
        <f t="shared" si="34"/>
        <v>Ingresos Sección II LISR (SIC &amp; BMV)</v>
      </c>
      <c r="J144" s="302">
        <f t="shared" si="35"/>
        <v>198</v>
      </c>
      <c r="K144" s="304">
        <f t="shared" si="36"/>
        <v>32.869093406593407</v>
      </c>
      <c r="L144" s="305">
        <f>IF(H144=0,0,IF(OR(E144=$AT$5,E144=$AT$6),AA144,IF(F144="MXN",1/HLOOKUP(YEAR(G144)+(MONTH(G144)/100),TC!$5:$37,DAY(G144)+2,FALSE),VLOOKUP(F144,Equivalencia!$5:$23,((MAX(Equivalencia!$3:$3)-YEAR(G144))*14)+MONTH(G144)+2,FALSE))))</f>
        <v>1</v>
      </c>
      <c r="M144" s="306">
        <f t="shared" si="37"/>
        <v>6508.0804945054942</v>
      </c>
      <c r="N144" s="305">
        <f>IF(G144=0,0,(IF(OR(E144=$AT$5,E144=$AT$6),AC144,HLOOKUP(YEAR(G144)+(MONTH(G144)/100),TC!$5:$37,DAY(G144)+2,FALSE))))</f>
        <v>20.571200000000001</v>
      </c>
      <c r="O144" s="307">
        <f t="shared" si="38"/>
        <v>133879.02546857143</v>
      </c>
      <c r="P144" s="560">
        <f>IF(G144=0,0,VLOOKUP(YEAR(G144),INPC!$B$4:$P$30,MONTH(G144)+2))</f>
        <v>113.018</v>
      </c>
      <c r="Q144" s="560">
        <f>IF(X144=0,0,IF(OR(E144=$AT$10,E144=$AT$9),VLOOKUP(YEAR(X144),INPC!$B$4:$P$30,MONTH(X144)+1),VLOOKUP(YEAR(X144),INPC!$B$4:$P$30,MONTH(X144)+2,0)))</f>
        <v>118.98099999999999</v>
      </c>
      <c r="R144" s="309">
        <f t="shared" si="39"/>
        <v>1.0527</v>
      </c>
      <c r="S144" s="310">
        <f t="shared" si="40"/>
        <v>140934.45011076514</v>
      </c>
      <c r="T144" s="555">
        <f t="shared" si="41"/>
        <v>711.79015207457144</v>
      </c>
      <c r="U144" s="311"/>
      <c r="V144" s="312">
        <v>198</v>
      </c>
      <c r="W144" s="299" t="s">
        <v>194</v>
      </c>
      <c r="X144" s="300">
        <v>44621</v>
      </c>
      <c r="Y144" s="299" t="s">
        <v>59</v>
      </c>
      <c r="Z144" s="303">
        <v>4926.8514705882353</v>
      </c>
      <c r="AA144" s="305">
        <f>IF(Z144=0,0,IF(Y144="MXN",1/HLOOKUP(YEAR(X144)+(MONTH(X144)/100),TC!$5:$37,DAY(X144)+2,FALSE),VLOOKUP(Y144,Equivalencia!$1:$23,((MAX(Equivalencia!$3:$3)-YEAR(X144))*14)+MONTH(X144)+2,FALSE)))</f>
        <v>1</v>
      </c>
      <c r="AB144" s="306">
        <f t="shared" si="42"/>
        <v>4926.8514705882353</v>
      </c>
      <c r="AC144" s="305">
        <f>+IF(X144=0,0,HLOOKUP(YEAR(X144)+(MONTH(X144)/100),TC!$5:$37,DAY(X144)+2,FALSE))</f>
        <v>20.4465</v>
      </c>
      <c r="AD144" s="307">
        <f t="shared" si="43"/>
        <v>100736.86859338236</v>
      </c>
      <c r="AE144" s="314">
        <f t="shared" si="44"/>
        <v>140934.45011076514</v>
      </c>
      <c r="AF144" s="315">
        <f t="shared" si="45"/>
        <v>-40197.581517382787</v>
      </c>
      <c r="AG144" s="316">
        <f t="shared" si="46"/>
        <v>0.68493150684931503</v>
      </c>
      <c r="AH144" s="314">
        <v>1</v>
      </c>
      <c r="AI144" s="314">
        <f t="shared" si="47"/>
        <v>-40197.581517382787</v>
      </c>
      <c r="AJ144" s="314">
        <f t="shared" si="48"/>
        <v>0</v>
      </c>
      <c r="AK144" s="317"/>
      <c r="AL144" s="315">
        <f t="shared" si="49"/>
        <v>-1581.2290239172589</v>
      </c>
      <c r="AN144" s="554">
        <f t="shared" si="50"/>
        <v>-0.24296396230074688</v>
      </c>
      <c r="AO144" s="314"/>
      <c r="AP144" s="318"/>
    </row>
    <row r="145" spans="2:42">
      <c r="B145" s="296" t="s">
        <v>1254</v>
      </c>
      <c r="C145" s="299" t="s">
        <v>277</v>
      </c>
      <c r="D145" s="298" t="s">
        <v>874</v>
      </c>
      <c r="E145" s="299" t="s">
        <v>113</v>
      </c>
      <c r="F145" s="299" t="s">
        <v>59</v>
      </c>
      <c r="G145" s="300">
        <v>44371</v>
      </c>
      <c r="H145" s="303">
        <v>5456.2695054945052</v>
      </c>
      <c r="I145" s="301" t="str">
        <f t="shared" si="34"/>
        <v>Ingresos Sección II LISR (SIC &amp; BMV)</v>
      </c>
      <c r="J145" s="302">
        <f t="shared" si="35"/>
        <v>166</v>
      </c>
      <c r="K145" s="304">
        <f t="shared" si="36"/>
        <v>32.869093406593407</v>
      </c>
      <c r="L145" s="305">
        <f>IF(H145=0,0,IF(OR(E145=$AT$5,E145=$AT$6),AA145,IF(F145="MXN",1/HLOOKUP(YEAR(G145)+(MONTH(G145)/100),TC!$5:$37,DAY(G145)+2,FALSE),VLOOKUP(F145,Equivalencia!$5:$23,((MAX(Equivalencia!$3:$3)-YEAR(G145))*14)+MONTH(G145)+2,FALSE))))</f>
        <v>1</v>
      </c>
      <c r="M145" s="306">
        <f t="shared" si="37"/>
        <v>5456.2695054945052</v>
      </c>
      <c r="N145" s="305">
        <f>IF(G145=0,0,(IF(OR(E145=$AT$5,E145=$AT$6),AC145,HLOOKUP(YEAR(G145)+(MONTH(G145)/100),TC!$5:$37,DAY(G145)+2,FALSE))))</f>
        <v>20.571200000000001</v>
      </c>
      <c r="O145" s="307">
        <f t="shared" si="38"/>
        <v>112242.01125142857</v>
      </c>
      <c r="P145" s="560">
        <f>IF(G145=0,0,VLOOKUP(YEAR(G145),INPC!$B$4:$P$30,MONTH(G145)+2))</f>
        <v>113.018</v>
      </c>
      <c r="Q145" s="560">
        <f>IF(X145=0,0,IF(OR(E145=$AT$10,E145=$AT$9),VLOOKUP(YEAR(X145),INPC!$B$4:$P$30,MONTH(X145)+1),VLOOKUP(YEAR(X145),INPC!$B$4:$P$30,MONTH(X145)+2,0)))</f>
        <v>118.98099999999999</v>
      </c>
      <c r="R145" s="309">
        <f t="shared" si="39"/>
        <v>1.0527</v>
      </c>
      <c r="S145" s="310">
        <f t="shared" si="40"/>
        <v>118157.16524437885</v>
      </c>
      <c r="T145" s="555">
        <f t="shared" si="41"/>
        <v>711.79015207457132</v>
      </c>
      <c r="U145" s="311"/>
      <c r="V145" s="312">
        <v>166</v>
      </c>
      <c r="W145" s="299" t="s">
        <v>194</v>
      </c>
      <c r="X145" s="300">
        <v>44650</v>
      </c>
      <c r="Y145" s="299" t="s">
        <v>59</v>
      </c>
      <c r="Z145" s="303">
        <v>4807.7693766937664</v>
      </c>
      <c r="AA145" s="305">
        <f>IF(Z145=0,0,IF(Y145="MXN",1/HLOOKUP(YEAR(X145)+(MONTH(X145)/100),TC!$5:$37,DAY(X145)+2,FALSE),VLOOKUP(Y145,Equivalencia!$1:$23,((MAX(Equivalencia!$3:$3)-YEAR(X145))*14)+MONTH(X145)+2,FALSE)))</f>
        <v>1</v>
      </c>
      <c r="AB145" s="306">
        <f t="shared" si="42"/>
        <v>4807.7693766937664</v>
      </c>
      <c r="AC145" s="305">
        <f>+IF(X145=0,0,HLOOKUP(YEAR(X145)+(MONTH(X145)/100),TC!$5:$37,DAY(X145)+2,FALSE))</f>
        <v>20.119499999999999</v>
      </c>
      <c r="AD145" s="307">
        <f t="shared" si="43"/>
        <v>96729.915974390227</v>
      </c>
      <c r="AE145" s="314">
        <f t="shared" si="44"/>
        <v>118157.16524437883</v>
      </c>
      <c r="AF145" s="315">
        <f t="shared" si="45"/>
        <v>-21427.249269988606</v>
      </c>
      <c r="AG145" s="316">
        <f t="shared" si="46"/>
        <v>0.76438356164383559</v>
      </c>
      <c r="AH145" s="314">
        <v>1</v>
      </c>
      <c r="AI145" s="314">
        <f t="shared" si="47"/>
        <v>-21427.249269988606</v>
      </c>
      <c r="AJ145" s="314">
        <f t="shared" si="48"/>
        <v>0</v>
      </c>
      <c r="AK145" s="317"/>
      <c r="AL145" s="315">
        <f t="shared" si="49"/>
        <v>-648.50012880073882</v>
      </c>
      <c r="AN145" s="554">
        <f t="shared" si="50"/>
        <v>-0.11885412334337485</v>
      </c>
      <c r="AO145" s="314"/>
      <c r="AP145" s="318"/>
    </row>
    <row r="146" spans="2:42">
      <c r="B146" s="296" t="s">
        <v>1254</v>
      </c>
      <c r="C146" s="299" t="s">
        <v>277</v>
      </c>
      <c r="D146" s="298" t="s">
        <v>874</v>
      </c>
      <c r="E146" s="299" t="s">
        <v>113</v>
      </c>
      <c r="F146" s="299" t="s">
        <v>59</v>
      </c>
      <c r="G146" s="300">
        <v>44396</v>
      </c>
      <c r="H146" s="303">
        <v>5131.8219287833826</v>
      </c>
      <c r="I146" s="301" t="str">
        <f t="shared" si="34"/>
        <v>Ingresos Sección II LISR (SIC &amp; BMV)</v>
      </c>
      <c r="J146" s="302">
        <f t="shared" si="35"/>
        <v>203</v>
      </c>
      <c r="K146" s="304">
        <f t="shared" si="36"/>
        <v>25.279910979228486</v>
      </c>
      <c r="L146" s="305">
        <f>IF(H146=0,0,IF(OR(E146=$AT$5,E146=$AT$6),AA146,IF(F146="MXN",1/HLOOKUP(YEAR(G146)+(MONTH(G146)/100),TC!$5:$37,DAY(G146)+2,FALSE),VLOOKUP(F146,Equivalencia!$5:$23,((MAX(Equivalencia!$3:$3)-YEAR(G146))*14)+MONTH(G146)+2,FALSE))))</f>
        <v>1</v>
      </c>
      <c r="M146" s="306">
        <f t="shared" si="37"/>
        <v>5131.8219287833826</v>
      </c>
      <c r="N146" s="305">
        <f>IF(G146=0,0,(IF(OR(E146=$AT$5,E146=$AT$6),AC146,HLOOKUP(YEAR(G146)+(MONTH(G146)/100),TC!$5:$37,DAY(G146)+2,FALSE))))</f>
        <v>19.941199999999998</v>
      </c>
      <c r="O146" s="307">
        <f t="shared" si="38"/>
        <v>102334.68744625518</v>
      </c>
      <c r="P146" s="560">
        <f>IF(G146=0,0,VLOOKUP(YEAR(G146),INPC!$B$4:$P$30,MONTH(G146)+2))</f>
        <v>113.682</v>
      </c>
      <c r="Q146" s="560">
        <f>IF(X146=0,0,IF(OR(E146=$AT$10,E146=$AT$9),VLOOKUP(YEAR(X146),INPC!$B$4:$P$30,MONTH(X146)+1),VLOOKUP(YEAR(X146),INPC!$B$4:$P$30,MONTH(X146)+2,0)))</f>
        <v>118.98099999999999</v>
      </c>
      <c r="R146" s="309">
        <f t="shared" si="39"/>
        <v>1.0466</v>
      </c>
      <c r="S146" s="310">
        <f t="shared" si="40"/>
        <v>107103.48388125066</v>
      </c>
      <c r="T146" s="555">
        <f t="shared" si="41"/>
        <v>527.603368873156</v>
      </c>
      <c r="U146" s="311"/>
      <c r="V146" s="312">
        <v>203</v>
      </c>
      <c r="W146" s="299" t="s">
        <v>194</v>
      </c>
      <c r="X146" s="300">
        <v>44650</v>
      </c>
      <c r="Y146" s="299" t="s">
        <v>59</v>
      </c>
      <c r="Z146" s="303">
        <v>5879.3806233062323</v>
      </c>
      <c r="AA146" s="305">
        <f>IF(Z146=0,0,IF(Y146="MXN",1/HLOOKUP(YEAR(X146)+(MONTH(X146)/100),TC!$5:$37,DAY(X146)+2,FALSE),VLOOKUP(Y146,Equivalencia!$1:$23,((MAX(Equivalencia!$3:$3)-YEAR(X146))*14)+MONTH(X146)+2,FALSE)))</f>
        <v>1</v>
      </c>
      <c r="AB146" s="306">
        <f t="shared" si="42"/>
        <v>5879.3806233062323</v>
      </c>
      <c r="AC146" s="305">
        <f>+IF(X146=0,0,HLOOKUP(YEAR(X146)+(MONTH(X146)/100),TC!$5:$37,DAY(X146)+2,FALSE))</f>
        <v>20.119499999999999</v>
      </c>
      <c r="AD146" s="307">
        <f t="shared" si="43"/>
        <v>118290.19845060974</v>
      </c>
      <c r="AE146" s="314">
        <f t="shared" si="44"/>
        <v>107103.48388125066</v>
      </c>
      <c r="AF146" s="315">
        <f t="shared" si="45"/>
        <v>11186.714569359072</v>
      </c>
      <c r="AG146" s="316">
        <f t="shared" si="46"/>
        <v>0.69589041095890414</v>
      </c>
      <c r="AH146" s="314">
        <v>1</v>
      </c>
      <c r="AI146" s="314">
        <f t="shared" si="47"/>
        <v>11186.714569359072</v>
      </c>
      <c r="AJ146" s="314">
        <f t="shared" si="48"/>
        <v>0</v>
      </c>
      <c r="AK146" s="317"/>
      <c r="AL146" s="315">
        <f t="shared" si="49"/>
        <v>747.55869452284969</v>
      </c>
      <c r="AN146" s="554">
        <f t="shared" si="50"/>
        <v>0.14567120700933514</v>
      </c>
      <c r="AO146" s="314"/>
      <c r="AP146" s="318"/>
    </row>
    <row r="147" spans="2:42">
      <c r="B147" s="296" t="s">
        <v>1254</v>
      </c>
      <c r="C147" s="299" t="s">
        <v>277</v>
      </c>
      <c r="D147" s="298" t="s">
        <v>874</v>
      </c>
      <c r="E147" s="299" t="s">
        <v>113</v>
      </c>
      <c r="F147" s="299" t="s">
        <v>59</v>
      </c>
      <c r="G147" s="300">
        <v>44396</v>
      </c>
      <c r="H147" s="303">
        <v>3387.5080712166173</v>
      </c>
      <c r="I147" s="301" t="str">
        <f t="shared" si="34"/>
        <v>Ingresos Sección II LISR (SIC &amp; BMV)</v>
      </c>
      <c r="J147" s="302">
        <f t="shared" si="35"/>
        <v>134</v>
      </c>
      <c r="K147" s="304">
        <f t="shared" si="36"/>
        <v>25.279910979228486</v>
      </c>
      <c r="L147" s="305">
        <f>IF(H147=0,0,IF(OR(E147=$AT$5,E147=$AT$6),AA147,IF(F147="MXN",1/HLOOKUP(YEAR(G147)+(MONTH(G147)/100),TC!$5:$37,DAY(G147)+2,FALSE),VLOOKUP(F147,Equivalencia!$5:$23,((MAX(Equivalencia!$3:$3)-YEAR(G147))*14)+MONTH(G147)+2,FALSE))))</f>
        <v>1</v>
      </c>
      <c r="M147" s="306">
        <f t="shared" si="37"/>
        <v>3387.5080712166173</v>
      </c>
      <c r="N147" s="305">
        <f>IF(G147=0,0,(IF(OR(E147=$AT$5,E147=$AT$6),AC147,HLOOKUP(YEAR(G147)+(MONTH(G147)/100),TC!$5:$37,DAY(G147)+2,FALSE))))</f>
        <v>19.941199999999998</v>
      </c>
      <c r="O147" s="307">
        <f t="shared" si="38"/>
        <v>67550.97594974481</v>
      </c>
      <c r="P147" s="560">
        <f>IF(G147=0,0,VLOOKUP(YEAR(G147),INPC!$B$4:$P$30,MONTH(G147)+2))</f>
        <v>113.682</v>
      </c>
      <c r="Q147" s="560">
        <f>IF(X147=0,0,IF(OR(E147=$AT$10,E147=$AT$9),VLOOKUP(YEAR(X147),INPC!$B$4:$P$30,MONTH(X147)+1),VLOOKUP(YEAR(X147),INPC!$B$4:$P$30,MONTH(X147)+2,0)))</f>
        <v>120.15900000000001</v>
      </c>
      <c r="R147" s="309">
        <f t="shared" si="39"/>
        <v>1.0569</v>
      </c>
      <c r="S147" s="310">
        <f t="shared" si="40"/>
        <v>71394.62648128529</v>
      </c>
      <c r="T147" s="555">
        <f t="shared" si="41"/>
        <v>532.79572000959172</v>
      </c>
      <c r="U147" s="311"/>
      <c r="V147" s="312">
        <v>134</v>
      </c>
      <c r="W147" s="299" t="s">
        <v>194</v>
      </c>
      <c r="X147" s="300">
        <v>44662</v>
      </c>
      <c r="Y147" s="299" t="s">
        <v>59</v>
      </c>
      <c r="Z147" s="303">
        <v>3449.9052040816327</v>
      </c>
      <c r="AA147" s="305">
        <f>IF(Z147=0,0,IF(Y147="MXN",1/HLOOKUP(YEAR(X147)+(MONTH(X147)/100),TC!$5:$37,DAY(X147)+2,FALSE),VLOOKUP(Y147,Equivalencia!$1:$23,((MAX(Equivalencia!$3:$3)-YEAR(X147))*14)+MONTH(X147)+2,FALSE)))</f>
        <v>1</v>
      </c>
      <c r="AB147" s="306">
        <f t="shared" si="42"/>
        <v>3449.9052040816327</v>
      </c>
      <c r="AC147" s="305">
        <f>+IF(X147=0,0,HLOOKUP(YEAR(X147)+(MONTH(X147)/100),TC!$5:$37,DAY(X147)+2,FALSE))</f>
        <v>20.160499999999999</v>
      </c>
      <c r="AD147" s="307">
        <f t="shared" si="43"/>
        <v>69551.813866887751</v>
      </c>
      <c r="AE147" s="314">
        <f t="shared" si="44"/>
        <v>71394.62648128529</v>
      </c>
      <c r="AF147" s="315">
        <f t="shared" si="45"/>
        <v>-1842.8126143975387</v>
      </c>
      <c r="AG147" s="316">
        <f t="shared" si="46"/>
        <v>0.72876712328767124</v>
      </c>
      <c r="AH147" s="314">
        <v>1</v>
      </c>
      <c r="AI147" s="314">
        <f t="shared" si="47"/>
        <v>-1842.8126143975387</v>
      </c>
      <c r="AJ147" s="314">
        <f t="shared" si="48"/>
        <v>0</v>
      </c>
      <c r="AK147" s="317"/>
      <c r="AL147" s="315">
        <f t="shared" si="49"/>
        <v>62.397132865015465</v>
      </c>
      <c r="AN147" s="554">
        <f t="shared" si="50"/>
        <v>1.8419773932112183E-2</v>
      </c>
      <c r="AO147" s="314"/>
      <c r="AP147" s="318"/>
    </row>
    <row r="148" spans="2:42">
      <c r="B148" s="296" t="s">
        <v>1254</v>
      </c>
      <c r="C148" s="299" t="s">
        <v>277</v>
      </c>
      <c r="D148" s="298" t="s">
        <v>874</v>
      </c>
      <c r="E148" s="299" t="s">
        <v>113</v>
      </c>
      <c r="F148" s="299" t="s">
        <v>59</v>
      </c>
      <c r="G148" s="300">
        <v>44435</v>
      </c>
      <c r="H148" s="303">
        <v>6899.4385929648242</v>
      </c>
      <c r="I148" s="301" t="str">
        <f t="shared" si="34"/>
        <v>Ingresos Sección II LISR (SIC &amp; BMV)</v>
      </c>
      <c r="J148" s="302">
        <f t="shared" si="35"/>
        <v>258</v>
      </c>
      <c r="K148" s="304">
        <f t="shared" si="36"/>
        <v>26.742010050251256</v>
      </c>
      <c r="L148" s="305">
        <f>IF(H148=0,0,IF(OR(E148=$AT$5,E148=$AT$6),AA148,IF(F148="MXN",1/HLOOKUP(YEAR(G148)+(MONTH(G148)/100),TC!$5:$37,DAY(G148)+2,FALSE),VLOOKUP(F148,Equivalencia!$5:$23,((MAX(Equivalencia!$3:$3)-YEAR(G148))*14)+MONTH(G148)+2,FALSE))))</f>
        <v>1</v>
      </c>
      <c r="M148" s="306">
        <f t="shared" si="37"/>
        <v>6899.4385929648242</v>
      </c>
      <c r="N148" s="305">
        <f>IF(G148=0,0,(IF(OR(E148=$AT$5,E148=$AT$6),AC148,HLOOKUP(YEAR(G148)+(MONTH(G148)/100),TC!$5:$37,DAY(G148)+2,FALSE))))</f>
        <v>20.293299999999999</v>
      </c>
      <c r="O148" s="307">
        <f t="shared" si="38"/>
        <v>140012.37719861305</v>
      </c>
      <c r="P148" s="560">
        <f>IF(G148=0,0,VLOOKUP(YEAR(G148),INPC!$B$4:$P$30,MONTH(G148)+2))</f>
        <v>113.899</v>
      </c>
      <c r="Q148" s="560">
        <f>IF(X148=0,0,IF(OR(E148=$AT$10,E148=$AT$9),VLOOKUP(YEAR(X148),INPC!$B$4:$P$30,MONTH(X148)+1),VLOOKUP(YEAR(X148),INPC!$B$4:$P$30,MONTH(X148)+2,0)))</f>
        <v>120.15900000000001</v>
      </c>
      <c r="R148" s="309">
        <f t="shared" si="39"/>
        <v>1.0548999999999999</v>
      </c>
      <c r="S148" s="310">
        <f t="shared" si="40"/>
        <v>147699.05670681689</v>
      </c>
      <c r="T148" s="555">
        <f t="shared" si="41"/>
        <v>572.47696397991047</v>
      </c>
      <c r="U148" s="311"/>
      <c r="V148" s="312">
        <v>258</v>
      </c>
      <c r="W148" s="299" t="s">
        <v>194</v>
      </c>
      <c r="X148" s="300">
        <v>44662</v>
      </c>
      <c r="Y148" s="299" t="s">
        <v>59</v>
      </c>
      <c r="Z148" s="303">
        <v>6642.3547959183679</v>
      </c>
      <c r="AA148" s="305">
        <f>IF(Z148=0,0,IF(Y148="MXN",1/HLOOKUP(YEAR(X148)+(MONTH(X148)/100),TC!$5:$37,DAY(X148)+2,FALSE),VLOOKUP(Y148,Equivalencia!$1:$23,((MAX(Equivalencia!$3:$3)-YEAR(X148))*14)+MONTH(X148)+2,FALSE)))</f>
        <v>1</v>
      </c>
      <c r="AB148" s="306">
        <f t="shared" si="42"/>
        <v>6642.3547959183679</v>
      </c>
      <c r="AC148" s="305">
        <f>+IF(X148=0,0,HLOOKUP(YEAR(X148)+(MONTH(X148)/100),TC!$5:$37,DAY(X148)+2,FALSE))</f>
        <v>20.160499999999999</v>
      </c>
      <c r="AD148" s="307">
        <f t="shared" si="43"/>
        <v>133913.19386311225</v>
      </c>
      <c r="AE148" s="314">
        <f t="shared" si="44"/>
        <v>147699.05670681689</v>
      </c>
      <c r="AF148" s="315">
        <f t="shared" si="45"/>
        <v>-13785.862843704643</v>
      </c>
      <c r="AG148" s="316">
        <f t="shared" si="46"/>
        <v>0.62191780821917808</v>
      </c>
      <c r="AH148" s="314">
        <v>1</v>
      </c>
      <c r="AI148" s="314">
        <f t="shared" si="47"/>
        <v>-13785.862843704643</v>
      </c>
      <c r="AJ148" s="314">
        <f t="shared" si="48"/>
        <v>0</v>
      </c>
      <c r="AK148" s="317"/>
      <c r="AL148" s="315">
        <f t="shared" si="49"/>
        <v>-257.08379704645631</v>
      </c>
      <c r="AN148" s="554">
        <f t="shared" si="50"/>
        <v>-3.7261553035430724E-2</v>
      </c>
      <c r="AO148" s="314"/>
      <c r="AP148" s="318"/>
    </row>
    <row r="149" spans="2:42">
      <c r="B149" s="296" t="s">
        <v>1254</v>
      </c>
      <c r="C149" s="299" t="s">
        <v>277</v>
      </c>
      <c r="D149" s="298" t="s">
        <v>874</v>
      </c>
      <c r="E149" s="299" t="s">
        <v>113</v>
      </c>
      <c r="F149" s="299" t="s">
        <v>59</v>
      </c>
      <c r="G149" s="300">
        <v>44435</v>
      </c>
      <c r="H149" s="303">
        <v>3743.8814070351759</v>
      </c>
      <c r="I149" s="301" t="str">
        <f t="shared" si="34"/>
        <v>Ingresos Sección II LISR (SIC &amp; BMV)</v>
      </c>
      <c r="J149" s="302">
        <f t="shared" si="35"/>
        <v>140</v>
      </c>
      <c r="K149" s="304">
        <f t="shared" si="36"/>
        <v>26.742010050251256</v>
      </c>
      <c r="L149" s="305">
        <f>IF(H149=0,0,IF(OR(E149=$AT$5,E149=$AT$6),AA149,IF(F149="MXN",1/HLOOKUP(YEAR(G149)+(MONTH(G149)/100),TC!$5:$37,DAY(G149)+2,FALSE),VLOOKUP(F149,Equivalencia!$5:$23,((MAX(Equivalencia!$3:$3)-YEAR(G149))*14)+MONTH(G149)+2,FALSE))))</f>
        <v>1</v>
      </c>
      <c r="M149" s="306">
        <f t="shared" si="37"/>
        <v>3743.8814070351759</v>
      </c>
      <c r="N149" s="305">
        <f>IF(G149=0,0,(IF(OR(E149=$AT$5,E149=$AT$6),AC149,HLOOKUP(YEAR(G149)+(MONTH(G149)/100),TC!$5:$37,DAY(G149)+2,FALSE))))</f>
        <v>20.293299999999999</v>
      </c>
      <c r="O149" s="307">
        <f t="shared" si="38"/>
        <v>75975.708557386926</v>
      </c>
      <c r="P149" s="560">
        <f>IF(G149=0,0,VLOOKUP(YEAR(G149),INPC!$B$4:$P$30,MONTH(G149)+2))</f>
        <v>113.899</v>
      </c>
      <c r="Q149" s="560">
        <f>IF(X149=0,0,IF(OR(E149=$AT$10,E149=$AT$9),VLOOKUP(YEAR(X149),INPC!$B$4:$P$30,MONTH(X149)+1),VLOOKUP(YEAR(X149),INPC!$B$4:$P$30,MONTH(X149)+2,0)))</f>
        <v>120.809</v>
      </c>
      <c r="R149" s="309">
        <f t="shared" si="39"/>
        <v>1.0606</v>
      </c>
      <c r="S149" s="310">
        <f t="shared" si="40"/>
        <v>80579.83649596457</v>
      </c>
      <c r="T149" s="555">
        <f t="shared" si="41"/>
        <v>575.57026068546122</v>
      </c>
      <c r="U149" s="311"/>
      <c r="V149" s="312">
        <v>140</v>
      </c>
      <c r="W149" s="299" t="s">
        <v>194</v>
      </c>
      <c r="X149" s="300">
        <v>44693</v>
      </c>
      <c r="Y149" s="299" t="s">
        <v>59</v>
      </c>
      <c r="Z149" s="303">
        <v>1952.5494117647056</v>
      </c>
      <c r="AA149" s="305">
        <f>IF(Z149=0,0,IF(Y149="MXN",1/HLOOKUP(YEAR(X149)+(MONTH(X149)/100),TC!$5:$37,DAY(X149)+2,FALSE),VLOOKUP(Y149,Equivalencia!$1:$23,((MAX(Equivalencia!$3:$3)-YEAR(X149))*14)+MONTH(X149)+2,FALSE)))</f>
        <v>1</v>
      </c>
      <c r="AB149" s="306">
        <f t="shared" si="42"/>
        <v>1952.5494117647056</v>
      </c>
      <c r="AC149" s="305">
        <f>+IF(X149=0,0,HLOOKUP(YEAR(X149)+(MONTH(X149)/100),TC!$5:$37,DAY(X149)+2,FALSE))</f>
        <v>20.372</v>
      </c>
      <c r="AD149" s="307">
        <f t="shared" si="43"/>
        <v>39777.33661647058</v>
      </c>
      <c r="AE149" s="314">
        <f t="shared" si="44"/>
        <v>80579.83649596457</v>
      </c>
      <c r="AF149" s="315">
        <f t="shared" si="45"/>
        <v>-40802.499879493989</v>
      </c>
      <c r="AG149" s="316">
        <f t="shared" si="46"/>
        <v>0.70684931506849313</v>
      </c>
      <c r="AH149" s="314">
        <v>1</v>
      </c>
      <c r="AI149" s="314">
        <f t="shared" si="47"/>
        <v>-40802.499879493989</v>
      </c>
      <c r="AJ149" s="314">
        <f t="shared" si="48"/>
        <v>0</v>
      </c>
      <c r="AK149" s="317"/>
      <c r="AL149" s="315">
        <f t="shared" si="49"/>
        <v>-1791.3319952704703</v>
      </c>
      <c r="AN149" s="554">
        <f t="shared" si="50"/>
        <v>-0.47846921430373174</v>
      </c>
      <c r="AO149" s="314"/>
      <c r="AP149" s="318"/>
    </row>
    <row r="150" spans="2:42">
      <c r="B150" s="296" t="s">
        <v>1254</v>
      </c>
      <c r="C150" s="299" t="s">
        <v>277</v>
      </c>
      <c r="D150" s="298" t="s">
        <v>874</v>
      </c>
      <c r="E150" s="299" t="s">
        <v>113</v>
      </c>
      <c r="F150" s="299" t="s">
        <v>59</v>
      </c>
      <c r="G150" s="300">
        <v>44435</v>
      </c>
      <c r="H150" s="303">
        <v>2315.0700000000002</v>
      </c>
      <c r="I150" s="301" t="str">
        <f t="shared" si="34"/>
        <v>Ingresos Sección II LISR (SIC &amp; BMV)</v>
      </c>
      <c r="J150" s="302">
        <f t="shared" si="35"/>
        <v>87</v>
      </c>
      <c r="K150" s="304">
        <f t="shared" si="36"/>
        <v>26.610000000000003</v>
      </c>
      <c r="L150" s="305">
        <f>IF(H150=0,0,IF(OR(E150=$AT$5,E150=$AT$6),AA150,IF(F150="MXN",1/HLOOKUP(YEAR(G150)+(MONTH(G150)/100),TC!$5:$37,DAY(G150)+2,FALSE),VLOOKUP(F150,Equivalencia!$5:$23,((MAX(Equivalencia!$3:$3)-YEAR(G150))*14)+MONTH(G150)+2,FALSE))))</f>
        <v>1</v>
      </c>
      <c r="M150" s="306">
        <f t="shared" si="37"/>
        <v>2315.0700000000002</v>
      </c>
      <c r="N150" s="305">
        <f>IF(G150=0,0,(IF(OR(E150=$AT$5,E150=$AT$6),AC150,HLOOKUP(YEAR(G150)+(MONTH(G150)/100),TC!$5:$37,DAY(G150)+2,FALSE))))</f>
        <v>20.293299999999999</v>
      </c>
      <c r="O150" s="307">
        <f t="shared" si="38"/>
        <v>46980.410030999999</v>
      </c>
      <c r="P150" s="560">
        <f>IF(G150=0,0,VLOOKUP(YEAR(G150),INPC!$B$4:$P$30,MONTH(G150)+2))</f>
        <v>113.899</v>
      </c>
      <c r="Q150" s="560">
        <f>IF(X150=0,0,IF(OR(E150=$AT$10,E150=$AT$9),VLOOKUP(YEAR(X150),INPC!$B$4:$P$30,MONTH(X150)+1),VLOOKUP(YEAR(X150),INPC!$B$4:$P$30,MONTH(X150)+2,0)))</f>
        <v>120.809</v>
      </c>
      <c r="R150" s="309">
        <f t="shared" si="39"/>
        <v>1.0606</v>
      </c>
      <c r="S150" s="310">
        <f t="shared" si="40"/>
        <v>49827.422878878599</v>
      </c>
      <c r="T150" s="555">
        <f t="shared" si="41"/>
        <v>572.72899860780001</v>
      </c>
      <c r="U150" s="311"/>
      <c r="V150" s="312">
        <v>87</v>
      </c>
      <c r="W150" s="299" t="s">
        <v>194</v>
      </c>
      <c r="X150" s="300">
        <v>44693</v>
      </c>
      <c r="Y150" s="299" t="s">
        <v>59</v>
      </c>
      <c r="Z150" s="303">
        <v>1213.3699915966386</v>
      </c>
      <c r="AA150" s="305">
        <f>IF(Z150=0,0,IF(Y150="MXN",1/HLOOKUP(YEAR(X150)+(MONTH(X150)/100),TC!$5:$37,DAY(X150)+2,FALSE),VLOOKUP(Y150,Equivalencia!$1:$23,((MAX(Equivalencia!$3:$3)-YEAR(X150))*14)+MONTH(X150)+2,FALSE)))</f>
        <v>1</v>
      </c>
      <c r="AB150" s="306">
        <f t="shared" si="42"/>
        <v>1213.3699915966386</v>
      </c>
      <c r="AC150" s="305">
        <f>+IF(X150=0,0,HLOOKUP(YEAR(X150)+(MONTH(X150)/100),TC!$5:$37,DAY(X150)+2,FALSE))</f>
        <v>20.372</v>
      </c>
      <c r="AD150" s="307">
        <f t="shared" si="43"/>
        <v>24718.773468806721</v>
      </c>
      <c r="AE150" s="314">
        <f t="shared" si="44"/>
        <v>49827.422878878599</v>
      </c>
      <c r="AF150" s="315">
        <f t="shared" si="45"/>
        <v>-25108.649410071877</v>
      </c>
      <c r="AG150" s="316">
        <f t="shared" si="46"/>
        <v>0.70684931506849313</v>
      </c>
      <c r="AH150" s="314">
        <v>1</v>
      </c>
      <c r="AI150" s="314">
        <f t="shared" si="47"/>
        <v>-25108.649410071877</v>
      </c>
      <c r="AJ150" s="314">
        <f t="shared" si="48"/>
        <v>0</v>
      </c>
      <c r="AK150" s="317"/>
      <c r="AL150" s="315">
        <f t="shared" si="49"/>
        <v>-1101.7000084033616</v>
      </c>
      <c r="AN150" s="554">
        <f t="shared" si="50"/>
        <v>-0.47588194240492149</v>
      </c>
      <c r="AO150" s="314"/>
      <c r="AP150" s="318"/>
    </row>
    <row r="151" spans="2:42">
      <c r="B151" s="296" t="s">
        <v>1254</v>
      </c>
      <c r="C151" s="299" t="s">
        <v>277</v>
      </c>
      <c r="D151" s="298" t="s">
        <v>874</v>
      </c>
      <c r="E151" s="299" t="s">
        <v>113</v>
      </c>
      <c r="F151" s="299" t="s">
        <v>59</v>
      </c>
      <c r="G151" s="300">
        <v>44519</v>
      </c>
      <c r="H151" s="303">
        <v>213.61</v>
      </c>
      <c r="I151" s="301" t="str">
        <f t="shared" si="34"/>
        <v>Ingresos Sección II LISR (SIC &amp; BMV)</v>
      </c>
      <c r="J151" s="302">
        <f t="shared" si="35"/>
        <v>5</v>
      </c>
      <c r="K151" s="304">
        <f t="shared" si="36"/>
        <v>42.722000000000001</v>
      </c>
      <c r="L151" s="305">
        <f>IF(H151=0,0,IF(OR(E151=$AT$5,E151=$AT$6),AA151,IF(F151="MXN",1/HLOOKUP(YEAR(G151)+(MONTH(G151)/100),TC!$5:$37,DAY(G151)+2,FALSE),VLOOKUP(F151,Equivalencia!$5:$23,((MAX(Equivalencia!$3:$3)-YEAR(G151))*14)+MONTH(G151)+2,FALSE))))</f>
        <v>1</v>
      </c>
      <c r="M151" s="306">
        <f t="shared" si="37"/>
        <v>213.61</v>
      </c>
      <c r="N151" s="305">
        <f>IF(G151=0,0,(IF(OR(E151=$AT$5,E151=$AT$6),AC151,HLOOKUP(YEAR(G151)+(MONTH(G151)/100),TC!$5:$37,DAY(G151)+2,FALSE))))</f>
        <v>20.691199999999998</v>
      </c>
      <c r="O151" s="307">
        <f t="shared" si="38"/>
        <v>4419.8472320000001</v>
      </c>
      <c r="P151" s="560">
        <f>IF(G151=0,0,VLOOKUP(YEAR(G151),INPC!$B$4:$P$30,MONTH(G151)+2))</f>
        <v>116.884</v>
      </c>
      <c r="Q151" s="560">
        <f>IF(X151=0,0,IF(OR(E151=$AT$10,E151=$AT$9),VLOOKUP(YEAR(X151),INPC!$B$4:$P$30,MONTH(X151)+1),VLOOKUP(YEAR(X151),INPC!$B$4:$P$30,MONTH(X151)+2,0)))</f>
        <v>120.809</v>
      </c>
      <c r="R151" s="309">
        <f t="shared" si="39"/>
        <v>1.0335000000000001</v>
      </c>
      <c r="S151" s="310">
        <f t="shared" si="40"/>
        <v>4567.9121142720005</v>
      </c>
      <c r="T151" s="555">
        <f t="shared" si="41"/>
        <v>913.58242285440008</v>
      </c>
      <c r="U151" s="311"/>
      <c r="V151" s="312">
        <v>5</v>
      </c>
      <c r="W151" s="299" t="s">
        <v>194</v>
      </c>
      <c r="X151" s="300">
        <v>44693</v>
      </c>
      <c r="Y151" s="299" t="s">
        <v>59</v>
      </c>
      <c r="Z151" s="303">
        <v>69.733907563025198</v>
      </c>
      <c r="AA151" s="305">
        <f>IF(Z151=0,0,IF(Y151="MXN",1/HLOOKUP(YEAR(X151)+(MONTH(X151)/100),TC!$5:$37,DAY(X151)+2,FALSE),VLOOKUP(Y151,Equivalencia!$1:$23,((MAX(Equivalencia!$3:$3)-YEAR(X151))*14)+MONTH(X151)+2,FALSE)))</f>
        <v>1</v>
      </c>
      <c r="AB151" s="306">
        <f t="shared" si="42"/>
        <v>69.733907563025198</v>
      </c>
      <c r="AC151" s="305">
        <f>+IF(X151=0,0,HLOOKUP(YEAR(X151)+(MONTH(X151)/100),TC!$5:$37,DAY(X151)+2,FALSE))</f>
        <v>20.372</v>
      </c>
      <c r="AD151" s="307">
        <f t="shared" si="43"/>
        <v>1420.6191648739493</v>
      </c>
      <c r="AE151" s="314">
        <f t="shared" si="44"/>
        <v>4567.9121142720005</v>
      </c>
      <c r="AF151" s="315">
        <f t="shared" si="45"/>
        <v>-3147.292949398051</v>
      </c>
      <c r="AG151" s="316">
        <f t="shared" si="46"/>
        <v>0.47671232876712327</v>
      </c>
      <c r="AH151" s="314">
        <v>1</v>
      </c>
      <c r="AI151" s="314">
        <f t="shared" si="47"/>
        <v>-3147.292949398051</v>
      </c>
      <c r="AJ151" s="314">
        <f t="shared" si="48"/>
        <v>0</v>
      </c>
      <c r="AK151" s="317"/>
      <c r="AL151" s="315">
        <f t="shared" si="49"/>
        <v>-143.87609243697483</v>
      </c>
      <c r="AN151" s="554">
        <f t="shared" si="50"/>
        <v>-0.67354567874619553</v>
      </c>
      <c r="AO151" s="314"/>
      <c r="AP151" s="318"/>
    </row>
    <row r="152" spans="2:42">
      <c r="B152" s="296" t="s">
        <v>1254</v>
      </c>
      <c r="C152" s="299" t="s">
        <v>277</v>
      </c>
      <c r="D152" s="298" t="s">
        <v>874</v>
      </c>
      <c r="E152" s="299" t="s">
        <v>113</v>
      </c>
      <c r="F152" s="299" t="s">
        <v>59</v>
      </c>
      <c r="G152" s="300">
        <v>44537</v>
      </c>
      <c r="H152" s="303">
        <v>12810.319999999998</v>
      </c>
      <c r="I152" s="301" t="str">
        <f t="shared" si="34"/>
        <v>Ingresos Sección II LISR (SIC &amp; BMV)</v>
      </c>
      <c r="J152" s="302">
        <f t="shared" si="35"/>
        <v>355</v>
      </c>
      <c r="K152" s="304">
        <f t="shared" si="36"/>
        <v>36.085408450704222</v>
      </c>
      <c r="L152" s="305">
        <f>IF(H152=0,0,IF(OR(E152=$AT$5,E152=$AT$6),AA152,IF(F152="MXN",1/HLOOKUP(YEAR(G152)+(MONTH(G152)/100),TC!$5:$37,DAY(G152)+2,FALSE),VLOOKUP(F152,Equivalencia!$5:$23,((MAX(Equivalencia!$3:$3)-YEAR(G152))*14)+MONTH(G152)+2,FALSE))))</f>
        <v>1</v>
      </c>
      <c r="M152" s="306">
        <f t="shared" si="37"/>
        <v>12810.319999999998</v>
      </c>
      <c r="N152" s="305">
        <f>IF(G152=0,0,(IF(OR(E152=$AT$5,E152=$AT$6),AC152,HLOOKUP(YEAR(G152)+(MONTH(G152)/100),TC!$5:$37,DAY(G152)+2,FALSE))))</f>
        <v>21.4177</v>
      </c>
      <c r="O152" s="307">
        <f t="shared" si="38"/>
        <v>274367.59066399996</v>
      </c>
      <c r="P152" s="560">
        <f>IF(G152=0,0,VLOOKUP(YEAR(G152),INPC!$B$4:$P$30,MONTH(G152)+2))</f>
        <v>117.30800000000001</v>
      </c>
      <c r="Q152" s="560">
        <f>IF(X152=0,0,IF(OR(E152=$AT$10,E152=$AT$9),VLOOKUP(YEAR(X152),INPC!$B$4:$P$30,MONTH(X152)+1),VLOOKUP(YEAR(X152),INPC!$B$4:$P$30,MONTH(X152)+2,0)))</f>
        <v>120.809</v>
      </c>
      <c r="R152" s="309">
        <f t="shared" si="39"/>
        <v>1.0298</v>
      </c>
      <c r="S152" s="310">
        <f t="shared" si="40"/>
        <v>282543.74486578716</v>
      </c>
      <c r="T152" s="555">
        <f t="shared" si="41"/>
        <v>795.89787286137232</v>
      </c>
      <c r="U152" s="311"/>
      <c r="V152" s="312">
        <v>355</v>
      </c>
      <c r="W152" s="299" t="s">
        <v>194</v>
      </c>
      <c r="X152" s="300">
        <v>44693</v>
      </c>
      <c r="Y152" s="299" t="s">
        <v>59</v>
      </c>
      <c r="Z152" s="303">
        <v>4951.1074369747894</v>
      </c>
      <c r="AA152" s="305">
        <f>IF(Z152=0,0,IF(Y152="MXN",1/HLOOKUP(YEAR(X152)+(MONTH(X152)/100),TC!$5:$37,DAY(X152)+2,FALSE),VLOOKUP(Y152,Equivalencia!$1:$23,((MAX(Equivalencia!$3:$3)-YEAR(X152))*14)+MONTH(X152)+2,FALSE)))</f>
        <v>1</v>
      </c>
      <c r="AB152" s="306">
        <f t="shared" si="42"/>
        <v>4951.1074369747894</v>
      </c>
      <c r="AC152" s="305">
        <f>+IF(X152=0,0,HLOOKUP(YEAR(X152)+(MONTH(X152)/100),TC!$5:$37,DAY(X152)+2,FALSE))</f>
        <v>20.372</v>
      </c>
      <c r="AD152" s="307">
        <f t="shared" si="43"/>
        <v>100863.96070605041</v>
      </c>
      <c r="AE152" s="314">
        <f t="shared" si="44"/>
        <v>282543.74486578716</v>
      </c>
      <c r="AF152" s="315">
        <f t="shared" si="45"/>
        <v>-181679.78415973677</v>
      </c>
      <c r="AG152" s="316">
        <f t="shared" si="46"/>
        <v>0.42739726027397262</v>
      </c>
      <c r="AH152" s="314">
        <v>1</v>
      </c>
      <c r="AI152" s="314">
        <f t="shared" si="47"/>
        <v>-181679.78415973677</v>
      </c>
      <c r="AJ152" s="314">
        <f t="shared" si="48"/>
        <v>0</v>
      </c>
      <c r="AK152" s="317"/>
      <c r="AL152" s="315">
        <f t="shared" si="49"/>
        <v>-7859.2125630252085</v>
      </c>
      <c r="AN152" s="554">
        <f t="shared" si="50"/>
        <v>-0.6135063419981085</v>
      </c>
      <c r="AO152" s="314"/>
      <c r="AP152" s="318"/>
    </row>
    <row r="153" spans="2:42">
      <c r="B153" s="296" t="s">
        <v>1254</v>
      </c>
      <c r="C153" s="299" t="s">
        <v>277</v>
      </c>
      <c r="D153" s="298" t="s">
        <v>874</v>
      </c>
      <c r="E153" s="299" t="s">
        <v>113</v>
      </c>
      <c r="F153" s="299" t="s">
        <v>59</v>
      </c>
      <c r="G153" s="300">
        <v>44550</v>
      </c>
      <c r="H153" s="303">
        <v>165</v>
      </c>
      <c r="I153" s="301" t="str">
        <f t="shared" si="34"/>
        <v>Ingresos Sección II LISR (SIC &amp; BMV)</v>
      </c>
      <c r="J153" s="302">
        <f t="shared" si="35"/>
        <v>6</v>
      </c>
      <c r="K153" s="304">
        <f t="shared" si="36"/>
        <v>27.5</v>
      </c>
      <c r="L153" s="305">
        <f>IF(H153=0,0,IF(OR(E153=$AT$5,E153=$AT$6),AA153,IF(F153="MXN",1/HLOOKUP(YEAR(G153)+(MONTH(G153)/100),TC!$5:$37,DAY(G153)+2,FALSE),VLOOKUP(F153,Equivalencia!$5:$23,((MAX(Equivalencia!$3:$3)-YEAR(G153))*14)+MONTH(G153)+2,FALSE))))</f>
        <v>1</v>
      </c>
      <c r="M153" s="306">
        <f t="shared" si="37"/>
        <v>165</v>
      </c>
      <c r="N153" s="305">
        <f>IF(G153=0,0,(IF(OR(E153=$AT$5,E153=$AT$6),AC153,HLOOKUP(YEAR(G153)+(MONTH(G153)/100),TC!$5:$37,DAY(G153)+2,FALSE))))</f>
        <v>20.9238</v>
      </c>
      <c r="O153" s="307">
        <f t="shared" si="38"/>
        <v>3452.4270000000001</v>
      </c>
      <c r="P153" s="560">
        <f>IF(G153=0,0,VLOOKUP(YEAR(G153),INPC!$B$4:$P$30,MONTH(G153)+2))</f>
        <v>117.30800000000001</v>
      </c>
      <c r="Q153" s="560">
        <f>IF(X153=0,0,IF(OR(E153=$AT$10,E153=$AT$9),VLOOKUP(YEAR(X153),INPC!$B$4:$P$30,MONTH(X153)+1),VLOOKUP(YEAR(X153),INPC!$B$4:$P$30,MONTH(X153)+2,0)))</f>
        <v>120.809</v>
      </c>
      <c r="R153" s="309">
        <f t="shared" si="39"/>
        <v>1.0298</v>
      </c>
      <c r="S153" s="310">
        <f t="shared" si="40"/>
        <v>3555.3093246000003</v>
      </c>
      <c r="T153" s="555">
        <f t="shared" si="41"/>
        <v>592.55155410000009</v>
      </c>
      <c r="U153" s="311"/>
      <c r="V153" s="312">
        <v>6</v>
      </c>
      <c r="W153" s="299" t="s">
        <v>194</v>
      </c>
      <c r="X153" s="300">
        <v>44693</v>
      </c>
      <c r="Y153" s="299" t="s">
        <v>59</v>
      </c>
      <c r="Z153" s="303">
        <v>83.680689075630241</v>
      </c>
      <c r="AA153" s="305">
        <f>IF(Z153=0,0,IF(Y153="MXN",1/HLOOKUP(YEAR(X153)+(MONTH(X153)/100),TC!$5:$37,DAY(X153)+2,FALSE),VLOOKUP(Y153,Equivalencia!$1:$23,((MAX(Equivalencia!$3:$3)-YEAR(X153))*14)+MONTH(X153)+2,FALSE)))</f>
        <v>1</v>
      </c>
      <c r="AB153" s="306">
        <f t="shared" si="42"/>
        <v>83.680689075630241</v>
      </c>
      <c r="AC153" s="305">
        <f>+IF(X153=0,0,HLOOKUP(YEAR(X153)+(MONTH(X153)/100),TC!$5:$37,DAY(X153)+2,FALSE))</f>
        <v>20.372</v>
      </c>
      <c r="AD153" s="307">
        <f t="shared" si="43"/>
        <v>1704.7429978487392</v>
      </c>
      <c r="AE153" s="314">
        <f t="shared" si="44"/>
        <v>3555.3093246000008</v>
      </c>
      <c r="AF153" s="315">
        <f t="shared" si="45"/>
        <v>-1850.5663267512616</v>
      </c>
      <c r="AG153" s="316">
        <f t="shared" si="46"/>
        <v>0.39178082191780822</v>
      </c>
      <c r="AH153" s="314">
        <v>1</v>
      </c>
      <c r="AI153" s="314">
        <f t="shared" si="47"/>
        <v>-1850.5663267512616</v>
      </c>
      <c r="AJ153" s="314">
        <f t="shared" si="48"/>
        <v>0</v>
      </c>
      <c r="AK153" s="317"/>
      <c r="AL153" s="315">
        <f t="shared" si="49"/>
        <v>-81.319310924369759</v>
      </c>
      <c r="AN153" s="554">
        <f t="shared" si="50"/>
        <v>-0.49284430863254397</v>
      </c>
      <c r="AO153" s="314"/>
      <c r="AP153" s="318"/>
    </row>
    <row r="154" spans="2:42">
      <c r="B154" s="296" t="s">
        <v>1254</v>
      </c>
      <c r="C154" s="299" t="s">
        <v>277</v>
      </c>
      <c r="D154" s="298" t="s">
        <v>874</v>
      </c>
      <c r="E154" s="299" t="s">
        <v>113</v>
      </c>
      <c r="F154" s="299" t="s">
        <v>59</v>
      </c>
      <c r="G154" s="300">
        <v>44550</v>
      </c>
      <c r="H154" s="303">
        <v>4626.12</v>
      </c>
      <c r="I154" s="301" t="str">
        <f t="shared" si="34"/>
        <v>Ingresos Sección II LISR (SIC &amp; BMV)</v>
      </c>
      <c r="J154" s="302">
        <f t="shared" si="35"/>
        <v>168</v>
      </c>
      <c r="K154" s="304">
        <f t="shared" si="36"/>
        <v>27.536428571428569</v>
      </c>
      <c r="L154" s="305">
        <f>IF(H154=0,0,IF(OR(E154=$AT$5,E154=$AT$6),AA154,IF(F154="MXN",1/HLOOKUP(YEAR(G154)+(MONTH(G154)/100),TC!$5:$37,DAY(G154)+2,FALSE),VLOOKUP(F154,Equivalencia!$5:$23,((MAX(Equivalencia!$3:$3)-YEAR(G154))*14)+MONTH(G154)+2,FALSE))))</f>
        <v>1</v>
      </c>
      <c r="M154" s="306">
        <f t="shared" si="37"/>
        <v>4626.12</v>
      </c>
      <c r="N154" s="305">
        <f>IF(G154=0,0,(IF(OR(E154=$AT$5,E154=$AT$6),AC154,HLOOKUP(YEAR(G154)+(MONTH(G154)/100),TC!$5:$37,DAY(G154)+2,FALSE))))</f>
        <v>20.9238</v>
      </c>
      <c r="O154" s="307">
        <f t="shared" si="38"/>
        <v>96796.009655999995</v>
      </c>
      <c r="P154" s="560">
        <f>IF(G154=0,0,VLOOKUP(YEAR(G154),INPC!$B$4:$P$30,MONTH(G154)+2))</f>
        <v>117.30800000000001</v>
      </c>
      <c r="Q154" s="560">
        <f>IF(X154=0,0,IF(OR(E154=$AT$10,E154=$AT$9),VLOOKUP(YEAR(X154),INPC!$B$4:$P$30,MONTH(X154)+1),VLOOKUP(YEAR(X154),INPC!$B$4:$P$30,MONTH(X154)+2,0)))</f>
        <v>120.809</v>
      </c>
      <c r="R154" s="309">
        <f t="shared" si="39"/>
        <v>1.0298</v>
      </c>
      <c r="S154" s="310">
        <f t="shared" si="40"/>
        <v>99680.530743748794</v>
      </c>
      <c r="T154" s="555">
        <f t="shared" si="41"/>
        <v>593.3364925223143</v>
      </c>
      <c r="U154" s="311"/>
      <c r="V154" s="312">
        <v>168</v>
      </c>
      <c r="W154" s="299" t="s">
        <v>194</v>
      </c>
      <c r="X154" s="300">
        <v>44693</v>
      </c>
      <c r="Y154" s="299" t="s">
        <v>59</v>
      </c>
      <c r="Z154" s="303">
        <v>2343.0592941176469</v>
      </c>
      <c r="AA154" s="305">
        <f>IF(Z154=0,0,IF(Y154="MXN",1/HLOOKUP(YEAR(X154)+(MONTH(X154)/100),TC!$5:$37,DAY(X154)+2,FALSE),VLOOKUP(Y154,Equivalencia!$1:$23,((MAX(Equivalencia!$3:$3)-YEAR(X154))*14)+MONTH(X154)+2,FALSE)))</f>
        <v>1</v>
      </c>
      <c r="AB154" s="306">
        <f t="shared" si="42"/>
        <v>2343.0592941176469</v>
      </c>
      <c r="AC154" s="305">
        <f>+IF(X154=0,0,HLOOKUP(YEAR(X154)+(MONTH(X154)/100),TC!$5:$37,DAY(X154)+2,FALSE))</f>
        <v>20.372</v>
      </c>
      <c r="AD154" s="307">
        <f t="shared" si="43"/>
        <v>47732.803939764701</v>
      </c>
      <c r="AE154" s="314">
        <f t="shared" si="44"/>
        <v>99680.530743748808</v>
      </c>
      <c r="AF154" s="315">
        <f t="shared" si="45"/>
        <v>-51947.726803984107</v>
      </c>
      <c r="AG154" s="316">
        <f t="shared" si="46"/>
        <v>0.39178082191780822</v>
      </c>
      <c r="AH154" s="314">
        <v>1</v>
      </c>
      <c r="AI154" s="314">
        <f t="shared" si="47"/>
        <v>-51947.726803984107</v>
      </c>
      <c r="AJ154" s="314">
        <f t="shared" si="48"/>
        <v>0</v>
      </c>
      <c r="AK154" s="317"/>
      <c r="AL154" s="315">
        <f t="shared" si="49"/>
        <v>-2283.060705882353</v>
      </c>
      <c r="AN154" s="554">
        <f t="shared" si="50"/>
        <v>-0.49351523650107498</v>
      </c>
      <c r="AO154" s="314"/>
      <c r="AP154" s="318"/>
    </row>
    <row r="155" spans="2:42">
      <c r="B155" s="296" t="s">
        <v>1254</v>
      </c>
      <c r="C155" s="299" t="s">
        <v>277</v>
      </c>
      <c r="D155" s="298" t="s">
        <v>874</v>
      </c>
      <c r="E155" s="299" t="s">
        <v>113</v>
      </c>
      <c r="F155" s="299" t="s">
        <v>59</v>
      </c>
      <c r="G155" s="300">
        <v>44581</v>
      </c>
      <c r="H155" s="303">
        <v>298.29000000000002</v>
      </c>
      <c r="I155" s="301" t="str">
        <f t="shared" si="34"/>
        <v>Ingresos Sección II LISR (SIC &amp; BMV)</v>
      </c>
      <c r="J155" s="302">
        <f t="shared" si="35"/>
        <v>13</v>
      </c>
      <c r="K155" s="304">
        <f t="shared" si="36"/>
        <v>22.945384615384619</v>
      </c>
      <c r="L155" s="305">
        <f>IF(H155=0,0,IF(OR(E155=$AT$5,E155=$AT$6),AA155,IF(F155="MXN",1/HLOOKUP(YEAR(G155)+(MONTH(G155)/100),TC!$5:$37,DAY(G155)+2,FALSE),VLOOKUP(F155,Equivalencia!$5:$23,((MAX(Equivalencia!$3:$3)-YEAR(G155))*14)+MONTH(G155)+2,FALSE))))</f>
        <v>1</v>
      </c>
      <c r="M155" s="306">
        <f t="shared" si="37"/>
        <v>298.29000000000002</v>
      </c>
      <c r="N155" s="305">
        <f>IF(G155=0,0,(IF(OR(E155=$AT$5,E155=$AT$6),AC155,HLOOKUP(YEAR(G155)+(MONTH(G155)/100),TC!$5:$37,DAY(G155)+2,FALSE))))</f>
        <v>20.402999999999999</v>
      </c>
      <c r="O155" s="307">
        <f t="shared" si="38"/>
        <v>6086.0108700000001</v>
      </c>
      <c r="P155" s="560">
        <f>IF(G155=0,0,VLOOKUP(YEAR(G155),INPC!$B$4:$P$30,MONTH(G155)+2))</f>
        <v>118.002</v>
      </c>
      <c r="Q155" s="560">
        <f>IF(X155=0,0,IF(OR(E155=$AT$10,E155=$AT$9),VLOOKUP(YEAR(X155),INPC!$B$4:$P$30,MONTH(X155)+1),VLOOKUP(YEAR(X155),INPC!$B$4:$P$30,MONTH(X155)+2,0)))</f>
        <v>120.809</v>
      </c>
      <c r="R155" s="309">
        <f t="shared" si="39"/>
        <v>1.0237000000000001</v>
      </c>
      <c r="S155" s="310">
        <f t="shared" si="40"/>
        <v>6230.2493276190007</v>
      </c>
      <c r="T155" s="555">
        <f t="shared" si="41"/>
        <v>479.24994827838469</v>
      </c>
      <c r="U155" s="311"/>
      <c r="V155" s="312">
        <v>13</v>
      </c>
      <c r="W155" s="299" t="s">
        <v>194</v>
      </c>
      <c r="X155" s="300">
        <v>44693</v>
      </c>
      <c r="Y155" s="299" t="s">
        <v>59</v>
      </c>
      <c r="Z155" s="303">
        <v>181.30815966386552</v>
      </c>
      <c r="AA155" s="305">
        <f>IF(Z155=0,0,IF(Y155="MXN",1/HLOOKUP(YEAR(X155)+(MONTH(X155)/100),TC!$5:$37,DAY(X155)+2,FALSE),VLOOKUP(Y155,Equivalencia!$1:$23,((MAX(Equivalencia!$3:$3)-YEAR(X155))*14)+MONTH(X155)+2,FALSE)))</f>
        <v>1</v>
      </c>
      <c r="AB155" s="306">
        <f t="shared" si="42"/>
        <v>181.30815966386552</v>
      </c>
      <c r="AC155" s="305">
        <f>+IF(X155=0,0,HLOOKUP(YEAR(X155)+(MONTH(X155)/100),TC!$5:$37,DAY(X155)+2,FALSE))</f>
        <v>20.372</v>
      </c>
      <c r="AD155" s="307">
        <f t="shared" si="43"/>
        <v>3693.6098286722686</v>
      </c>
      <c r="AE155" s="314">
        <f t="shared" si="44"/>
        <v>6230.2493276190007</v>
      </c>
      <c r="AF155" s="315">
        <f t="shared" si="45"/>
        <v>-2536.6394989467321</v>
      </c>
      <c r="AG155" s="316">
        <f t="shared" si="46"/>
        <v>0.30684931506849317</v>
      </c>
      <c r="AH155" s="314">
        <v>1</v>
      </c>
      <c r="AI155" s="314">
        <f t="shared" si="47"/>
        <v>-2536.6394989467321</v>
      </c>
      <c r="AJ155" s="314">
        <f t="shared" si="48"/>
        <v>0</v>
      </c>
      <c r="AK155" s="317"/>
      <c r="AL155" s="315">
        <f t="shared" si="49"/>
        <v>-116.9818403361345</v>
      </c>
      <c r="AN155" s="554">
        <f t="shared" si="50"/>
        <v>-0.39217486451484962</v>
      </c>
      <c r="AO155" s="314"/>
      <c r="AP155" s="318"/>
    </row>
    <row r="156" spans="2:42">
      <c r="B156" s="296" t="s">
        <v>1254</v>
      </c>
      <c r="C156" s="299" t="s">
        <v>277</v>
      </c>
      <c r="D156" s="298" t="s">
        <v>874</v>
      </c>
      <c r="E156" s="299" t="s">
        <v>113</v>
      </c>
      <c r="F156" s="299" t="s">
        <v>59</v>
      </c>
      <c r="G156" s="300">
        <v>44581</v>
      </c>
      <c r="H156" s="303">
        <v>9568.25</v>
      </c>
      <c r="I156" s="301" t="str">
        <f t="shared" si="34"/>
        <v>Ingresos Sección II LISR (SIC &amp; BMV)</v>
      </c>
      <c r="J156" s="302">
        <f t="shared" si="35"/>
        <v>416</v>
      </c>
      <c r="K156" s="304">
        <f t="shared" si="36"/>
        <v>23.00060096153846</v>
      </c>
      <c r="L156" s="305">
        <f>IF(H156=0,0,IF(OR(E156=$AT$5,E156=$AT$6),AA156,IF(F156="MXN",1/HLOOKUP(YEAR(G156)+(MONTH(G156)/100),TC!$5:$37,DAY(G156)+2,FALSE),VLOOKUP(F156,Equivalencia!$5:$23,((MAX(Equivalencia!$3:$3)-YEAR(G156))*14)+MONTH(G156)+2,FALSE))))</f>
        <v>1</v>
      </c>
      <c r="M156" s="306">
        <f t="shared" si="37"/>
        <v>9568.25</v>
      </c>
      <c r="N156" s="305">
        <f>IF(G156=0,0,(IF(OR(E156=$AT$5,E156=$AT$6),AC156,HLOOKUP(YEAR(G156)+(MONTH(G156)/100),TC!$5:$37,DAY(G156)+2,FALSE))))</f>
        <v>20.402999999999999</v>
      </c>
      <c r="O156" s="307">
        <f t="shared" si="38"/>
        <v>195221.00474999999</v>
      </c>
      <c r="P156" s="560">
        <f>IF(G156=0,0,VLOOKUP(YEAR(G156),INPC!$B$4:$P$30,MONTH(G156)+2))</f>
        <v>118.002</v>
      </c>
      <c r="Q156" s="560">
        <f>IF(X156=0,0,IF(OR(E156=$AT$10,E156=$AT$9),VLOOKUP(YEAR(X156),INPC!$B$4:$P$30,MONTH(X156)+1),VLOOKUP(YEAR(X156),INPC!$B$4:$P$30,MONTH(X156)+2,0)))</f>
        <v>120.809</v>
      </c>
      <c r="R156" s="309">
        <f t="shared" si="39"/>
        <v>1.0237000000000001</v>
      </c>
      <c r="S156" s="310">
        <f t="shared" si="40"/>
        <v>199847.742562575</v>
      </c>
      <c r="T156" s="555">
        <f t="shared" si="41"/>
        <v>480.40322731388221</v>
      </c>
      <c r="U156" s="311"/>
      <c r="V156" s="312">
        <v>416</v>
      </c>
      <c r="W156" s="299" t="s">
        <v>194</v>
      </c>
      <c r="X156" s="300">
        <v>44693</v>
      </c>
      <c r="Y156" s="299" t="s">
        <v>59</v>
      </c>
      <c r="Z156" s="303">
        <v>5801.8611092436968</v>
      </c>
      <c r="AA156" s="305">
        <f>IF(Z156=0,0,IF(Y156="MXN",1/HLOOKUP(YEAR(X156)+(MONTH(X156)/100),TC!$5:$37,DAY(X156)+2,FALSE),VLOOKUP(Y156,Equivalencia!$1:$23,((MAX(Equivalencia!$3:$3)-YEAR(X156))*14)+MONTH(X156)+2,FALSE)))</f>
        <v>1</v>
      </c>
      <c r="AB156" s="306">
        <f t="shared" si="42"/>
        <v>5801.8611092436968</v>
      </c>
      <c r="AC156" s="305">
        <f>+IF(X156=0,0,HLOOKUP(YEAR(X156)+(MONTH(X156)/100),TC!$5:$37,DAY(X156)+2,FALSE))</f>
        <v>20.372</v>
      </c>
      <c r="AD156" s="307">
        <f t="shared" si="43"/>
        <v>118195.51451751259</v>
      </c>
      <c r="AE156" s="314">
        <f t="shared" si="44"/>
        <v>199847.742562575</v>
      </c>
      <c r="AF156" s="315">
        <f t="shared" si="45"/>
        <v>-81652.228045062409</v>
      </c>
      <c r="AG156" s="316">
        <f t="shared" si="46"/>
        <v>0.30684931506849317</v>
      </c>
      <c r="AH156" s="314">
        <v>1</v>
      </c>
      <c r="AI156" s="314">
        <f t="shared" si="47"/>
        <v>-81652.228045062409</v>
      </c>
      <c r="AJ156" s="314">
        <f t="shared" si="48"/>
        <v>0</v>
      </c>
      <c r="AK156" s="317"/>
      <c r="AL156" s="315">
        <f t="shared" si="49"/>
        <v>-3766.3888907563032</v>
      </c>
      <c r="AN156" s="554">
        <f t="shared" si="50"/>
        <v>-0.393634038696345</v>
      </c>
      <c r="AO156" s="314"/>
      <c r="AP156" s="318"/>
    </row>
    <row r="157" spans="2:42">
      <c r="B157" s="296" t="s">
        <v>1254</v>
      </c>
      <c r="C157" s="299" t="s">
        <v>277</v>
      </c>
      <c r="D157" s="298" t="s">
        <v>875</v>
      </c>
      <c r="E157" s="299" t="s">
        <v>113</v>
      </c>
      <c r="F157" s="299" t="s">
        <v>59</v>
      </c>
      <c r="G157" s="300">
        <v>44265</v>
      </c>
      <c r="H157" s="303">
        <v>11190.83</v>
      </c>
      <c r="I157" s="301" t="str">
        <f t="shared" si="34"/>
        <v>Ingresos Sección II LISR (SIC &amp; BMV)</v>
      </c>
      <c r="J157" s="302">
        <f t="shared" si="35"/>
        <v>42</v>
      </c>
      <c r="K157" s="304">
        <f t="shared" si="36"/>
        <v>266.44833333333332</v>
      </c>
      <c r="L157" s="305">
        <f>IF(H157=0,0,IF(OR(E157=$AT$5,E157=$AT$6),AA157,IF(F157="MXN",1/HLOOKUP(YEAR(G157)+(MONTH(G157)/100),TC!$5:$37,DAY(G157)+2,FALSE),VLOOKUP(F157,Equivalencia!$5:$23,((MAX(Equivalencia!$3:$3)-YEAR(G157))*14)+MONTH(G157)+2,FALSE))))</f>
        <v>1</v>
      </c>
      <c r="M157" s="306">
        <f t="shared" si="37"/>
        <v>11190.83</v>
      </c>
      <c r="N157" s="305">
        <f>IF(G157=0,0,(IF(OR(E157=$AT$5,E157=$AT$6),AC157,HLOOKUP(YEAR(G157)+(MONTH(G157)/100),TC!$5:$37,DAY(G157)+2,FALSE))))</f>
        <v>21.4177</v>
      </c>
      <c r="O157" s="307">
        <f t="shared" si="38"/>
        <v>239681.839691</v>
      </c>
      <c r="P157" s="560">
        <f>IF(G157=0,0,VLOOKUP(YEAR(G157),INPC!$B$4:$P$30,MONTH(G157)+2))</f>
        <v>111.824</v>
      </c>
      <c r="Q157" s="560">
        <f>IF(X157=0,0,IF(OR(E157=$AT$10,E157=$AT$9),VLOOKUP(YEAR(X157),INPC!$B$4:$P$30,MONTH(X157)+1),VLOOKUP(YEAR(X157),INPC!$B$4:$P$30,MONTH(X157)+2,0)))</f>
        <v>118.002</v>
      </c>
      <c r="R157" s="309">
        <f t="shared" si="39"/>
        <v>1.0551999999999999</v>
      </c>
      <c r="S157" s="310">
        <f t="shared" si="40"/>
        <v>252912.27724194317</v>
      </c>
      <c r="T157" s="555">
        <f t="shared" si="41"/>
        <v>6021.720886712933</v>
      </c>
      <c r="U157" s="311"/>
      <c r="V157" s="312">
        <v>42</v>
      </c>
      <c r="W157" s="299" t="s">
        <v>194</v>
      </c>
      <c r="X157" s="300">
        <v>44595</v>
      </c>
      <c r="Y157" s="299" t="s">
        <v>59</v>
      </c>
      <c r="Z157" s="303">
        <v>10212.819814814815</v>
      </c>
      <c r="AA157" s="305">
        <f>IF(Z157=0,0,IF(Y157="MXN",1/HLOOKUP(YEAR(X157)+(MONTH(X157)/100),TC!$5:$37,DAY(X157)+2,FALSE),VLOOKUP(Y157,Equivalencia!$1:$23,((MAX(Equivalencia!$3:$3)-YEAR(X157))*14)+MONTH(X157)+2,FALSE)))</f>
        <v>1</v>
      </c>
      <c r="AB157" s="306">
        <f t="shared" si="42"/>
        <v>10212.819814814815</v>
      </c>
      <c r="AC157" s="305">
        <f>+IF(X157=0,0,HLOOKUP(YEAR(X157)+(MONTH(X157)/100),TC!$5:$37,DAY(X157)+2,FALSE))</f>
        <v>20.58</v>
      </c>
      <c r="AD157" s="307">
        <f t="shared" si="43"/>
        <v>210179.83178888887</v>
      </c>
      <c r="AE157" s="314">
        <f t="shared" si="44"/>
        <v>252912.27724194317</v>
      </c>
      <c r="AF157" s="315">
        <f t="shared" si="45"/>
        <v>-42732.445453054301</v>
      </c>
      <c r="AG157" s="316">
        <f t="shared" si="46"/>
        <v>0.90410958904109584</v>
      </c>
      <c r="AH157" s="314">
        <v>1</v>
      </c>
      <c r="AI157" s="314">
        <f t="shared" si="47"/>
        <v>-42732.445453054301</v>
      </c>
      <c r="AJ157" s="314">
        <f t="shared" si="48"/>
        <v>0</v>
      </c>
      <c r="AK157" s="317"/>
      <c r="AL157" s="315">
        <f t="shared" si="49"/>
        <v>-978.01018518518504</v>
      </c>
      <c r="AN157" s="554">
        <f t="shared" si="50"/>
        <v>-8.7393891711801994E-2</v>
      </c>
      <c r="AO157" s="314"/>
      <c r="AP157" s="318"/>
    </row>
    <row r="158" spans="2:42">
      <c r="B158" s="296" t="s">
        <v>1254</v>
      </c>
      <c r="C158" s="299" t="s">
        <v>277</v>
      </c>
      <c r="D158" s="298" t="s">
        <v>875</v>
      </c>
      <c r="E158" s="299" t="s">
        <v>113</v>
      </c>
      <c r="F158" s="299" t="s">
        <v>59</v>
      </c>
      <c r="G158" s="300">
        <v>44267</v>
      </c>
      <c r="H158" s="303">
        <v>17611.29</v>
      </c>
      <c r="I158" s="301" t="str">
        <f t="shared" si="34"/>
        <v>Ingresos Sección II LISR (SIC &amp; BMV)</v>
      </c>
      <c r="J158" s="302">
        <f t="shared" si="35"/>
        <v>64</v>
      </c>
      <c r="K158" s="304">
        <f t="shared" si="36"/>
        <v>275.17640625000001</v>
      </c>
      <c r="L158" s="305">
        <f>IF(H158=0,0,IF(OR(E158=$AT$5,E158=$AT$6),AA158,IF(F158="MXN",1/HLOOKUP(YEAR(G158)+(MONTH(G158)/100),TC!$5:$37,DAY(G158)+2,FALSE),VLOOKUP(F158,Equivalencia!$5:$23,((MAX(Equivalencia!$3:$3)-YEAR(G158))*14)+MONTH(G158)+2,FALSE))))</f>
        <v>1</v>
      </c>
      <c r="M158" s="306">
        <f t="shared" si="37"/>
        <v>17611.29</v>
      </c>
      <c r="N158" s="305">
        <f>IF(G158=0,0,(IF(OR(E158=$AT$5,E158=$AT$6),AC158,HLOOKUP(YEAR(G158)+(MONTH(G158)/100),TC!$5:$37,DAY(G158)+2,FALSE))))</f>
        <v>20.985299999999999</v>
      </c>
      <c r="O158" s="307">
        <f t="shared" si="38"/>
        <v>369578.20403700002</v>
      </c>
      <c r="P158" s="560">
        <f>IF(G158=0,0,VLOOKUP(YEAR(G158),INPC!$B$4:$P$30,MONTH(G158)+2))</f>
        <v>111.824</v>
      </c>
      <c r="Q158" s="560">
        <f>IF(X158=0,0,IF(OR(E158=$AT$10,E158=$AT$9),VLOOKUP(YEAR(X158),INPC!$B$4:$P$30,MONTH(X158)+1),VLOOKUP(YEAR(X158),INPC!$B$4:$P$30,MONTH(X158)+2,0)))</f>
        <v>118.002</v>
      </c>
      <c r="R158" s="309">
        <f t="shared" si="39"/>
        <v>1.0551999999999999</v>
      </c>
      <c r="S158" s="310">
        <f t="shared" si="40"/>
        <v>389978.9208998424</v>
      </c>
      <c r="T158" s="555">
        <f t="shared" si="41"/>
        <v>6093.4206390600375</v>
      </c>
      <c r="U158" s="311"/>
      <c r="V158" s="312">
        <v>64</v>
      </c>
      <c r="W158" s="299" t="s">
        <v>194</v>
      </c>
      <c r="X158" s="300">
        <v>44595</v>
      </c>
      <c r="Y158" s="299" t="s">
        <v>59</v>
      </c>
      <c r="Z158" s="303">
        <v>15562.392098765433</v>
      </c>
      <c r="AA158" s="305">
        <f>IF(Z158=0,0,IF(Y158="MXN",1/HLOOKUP(YEAR(X158)+(MONTH(X158)/100),TC!$5:$37,DAY(X158)+2,FALSE),VLOOKUP(Y158,Equivalencia!$1:$23,((MAX(Equivalencia!$3:$3)-YEAR(X158))*14)+MONTH(X158)+2,FALSE)))</f>
        <v>1</v>
      </c>
      <c r="AB158" s="306">
        <f t="shared" si="42"/>
        <v>15562.392098765433</v>
      </c>
      <c r="AC158" s="305">
        <f>+IF(X158=0,0,HLOOKUP(YEAR(X158)+(MONTH(X158)/100),TC!$5:$37,DAY(X158)+2,FALSE))</f>
        <v>20.58</v>
      </c>
      <c r="AD158" s="307">
        <f t="shared" si="43"/>
        <v>320274.02939259261</v>
      </c>
      <c r="AE158" s="314">
        <f t="shared" si="44"/>
        <v>389978.9208998424</v>
      </c>
      <c r="AF158" s="315">
        <f t="shared" si="45"/>
        <v>-69704.891507249791</v>
      </c>
      <c r="AG158" s="316">
        <f t="shared" si="46"/>
        <v>0.89863013698630134</v>
      </c>
      <c r="AH158" s="314">
        <v>1</v>
      </c>
      <c r="AI158" s="314">
        <f t="shared" si="47"/>
        <v>-69704.891507249791</v>
      </c>
      <c r="AJ158" s="314">
        <f t="shared" si="48"/>
        <v>0</v>
      </c>
      <c r="AK158" s="317"/>
      <c r="AL158" s="315">
        <f t="shared" si="49"/>
        <v>-2048.8979012345681</v>
      </c>
      <c r="AN158" s="554">
        <f t="shared" si="50"/>
        <v>-0.1163400239979336</v>
      </c>
      <c r="AO158" s="314"/>
      <c r="AP158" s="318"/>
    </row>
    <row r="159" spans="2:42">
      <c r="B159" s="296" t="s">
        <v>1254</v>
      </c>
      <c r="C159" s="299" t="s">
        <v>277</v>
      </c>
      <c r="D159" s="298" t="s">
        <v>875</v>
      </c>
      <c r="E159" s="299" t="s">
        <v>113</v>
      </c>
      <c r="F159" s="299" t="s">
        <v>59</v>
      </c>
      <c r="G159" s="300">
        <v>44278</v>
      </c>
      <c r="H159" s="303">
        <v>37663.56</v>
      </c>
      <c r="I159" s="301" t="str">
        <f t="shared" si="34"/>
        <v>Ingresos Sección II LISR (SIC &amp; BMV)</v>
      </c>
      <c r="J159" s="302">
        <f t="shared" si="35"/>
        <v>128</v>
      </c>
      <c r="K159" s="304">
        <f t="shared" si="36"/>
        <v>294.24656249999998</v>
      </c>
      <c r="L159" s="305">
        <f>IF(H159=0,0,IF(OR(E159=$AT$5,E159=$AT$6),AA159,IF(F159="MXN",1/HLOOKUP(YEAR(G159)+(MONTH(G159)/100),TC!$5:$37,DAY(G159)+2,FALSE),VLOOKUP(F159,Equivalencia!$5:$23,((MAX(Equivalencia!$3:$3)-YEAR(G159))*14)+MONTH(G159)+2,FALSE))))</f>
        <v>1</v>
      </c>
      <c r="M159" s="306">
        <f t="shared" si="37"/>
        <v>37663.56</v>
      </c>
      <c r="N159" s="305">
        <f>IF(G159=0,0,(IF(OR(E159=$AT$5,E159=$AT$6),AC159,HLOOKUP(YEAR(G159)+(MONTH(G159)/100),TC!$5:$37,DAY(G159)+2,FALSE))))</f>
        <v>20.482299999999999</v>
      </c>
      <c r="O159" s="307">
        <f t="shared" si="38"/>
        <v>771436.33498799987</v>
      </c>
      <c r="P159" s="560">
        <f>IF(G159=0,0,VLOOKUP(YEAR(G159),INPC!$B$4:$P$30,MONTH(G159)+2))</f>
        <v>111.824</v>
      </c>
      <c r="Q159" s="560">
        <f>IF(X159=0,0,IF(OR(E159=$AT$10,E159=$AT$9),VLOOKUP(YEAR(X159),INPC!$B$4:$P$30,MONTH(X159)+1),VLOOKUP(YEAR(X159),INPC!$B$4:$P$30,MONTH(X159)+2,0)))</f>
        <v>118.002</v>
      </c>
      <c r="R159" s="309">
        <f t="shared" si="39"/>
        <v>1.0551999999999999</v>
      </c>
      <c r="S159" s="310">
        <f t="shared" si="40"/>
        <v>814019.62067933741</v>
      </c>
      <c r="T159" s="555">
        <f t="shared" si="41"/>
        <v>6359.5282865573236</v>
      </c>
      <c r="U159" s="311"/>
      <c r="V159" s="312">
        <v>128</v>
      </c>
      <c r="W159" s="299" t="s">
        <v>194</v>
      </c>
      <c r="X159" s="300">
        <v>44595</v>
      </c>
      <c r="Y159" s="299" t="s">
        <v>59</v>
      </c>
      <c r="Z159" s="303">
        <v>31124.784197530866</v>
      </c>
      <c r="AA159" s="305">
        <f>IF(Z159=0,0,IF(Y159="MXN",1/HLOOKUP(YEAR(X159)+(MONTH(X159)/100),TC!$5:$37,DAY(X159)+2,FALSE),VLOOKUP(Y159,Equivalencia!$1:$23,((MAX(Equivalencia!$3:$3)-YEAR(X159))*14)+MONTH(X159)+2,FALSE)))</f>
        <v>1</v>
      </c>
      <c r="AB159" s="306">
        <f t="shared" si="42"/>
        <v>31124.784197530866</v>
      </c>
      <c r="AC159" s="305">
        <f>+IF(X159=0,0,HLOOKUP(YEAR(X159)+(MONTH(X159)/100),TC!$5:$37,DAY(X159)+2,FALSE))</f>
        <v>20.58</v>
      </c>
      <c r="AD159" s="307">
        <f t="shared" si="43"/>
        <v>640548.05878518522</v>
      </c>
      <c r="AE159" s="314">
        <f t="shared" si="44"/>
        <v>814019.62067933741</v>
      </c>
      <c r="AF159" s="315">
        <f t="shared" si="45"/>
        <v>-173471.5618941522</v>
      </c>
      <c r="AG159" s="316">
        <f t="shared" si="46"/>
        <v>0.86849315068493149</v>
      </c>
      <c r="AH159" s="314">
        <v>1</v>
      </c>
      <c r="AI159" s="314">
        <f t="shared" si="47"/>
        <v>-173471.5618941522</v>
      </c>
      <c r="AJ159" s="314">
        <f t="shared" si="48"/>
        <v>0</v>
      </c>
      <c r="AK159" s="317"/>
      <c r="AL159" s="315">
        <f t="shared" si="49"/>
        <v>-6538.775802469132</v>
      </c>
      <c r="AN159" s="554">
        <f t="shared" si="50"/>
        <v>-0.17361013676001771</v>
      </c>
      <c r="AO159" s="314"/>
      <c r="AP159" s="318"/>
    </row>
    <row r="160" spans="2:42">
      <c r="B160" s="296" t="s">
        <v>1254</v>
      </c>
      <c r="C160" s="299" t="s">
        <v>277</v>
      </c>
      <c r="D160" s="298" t="s">
        <v>875</v>
      </c>
      <c r="E160" s="299" t="s">
        <v>113</v>
      </c>
      <c r="F160" s="299" t="s">
        <v>59</v>
      </c>
      <c r="G160" s="300">
        <v>44302</v>
      </c>
      <c r="H160" s="303">
        <v>14789.43</v>
      </c>
      <c r="I160" s="301" t="str">
        <f t="shared" si="34"/>
        <v>Ingresos Sección II LISR (SIC &amp; BMV)</v>
      </c>
      <c r="J160" s="302">
        <f t="shared" si="35"/>
        <v>48</v>
      </c>
      <c r="K160" s="304">
        <f t="shared" si="36"/>
        <v>308.11312500000003</v>
      </c>
      <c r="L160" s="305">
        <f>IF(H160=0,0,IF(OR(E160=$AT$5,E160=$AT$6),AA160,IF(F160="MXN",1/HLOOKUP(YEAR(G160)+(MONTH(G160)/100),TC!$5:$37,DAY(G160)+2,FALSE),VLOOKUP(F160,Equivalencia!$5:$23,((MAX(Equivalencia!$3:$3)-YEAR(G160))*14)+MONTH(G160)+2,FALSE))))</f>
        <v>1</v>
      </c>
      <c r="M160" s="306">
        <f t="shared" si="37"/>
        <v>14789.43</v>
      </c>
      <c r="N160" s="305">
        <f>IF(G160=0,0,(IF(OR(E160=$AT$5,E160=$AT$6),AC160,HLOOKUP(YEAR(G160)+(MONTH(G160)/100),TC!$5:$37,DAY(G160)+2,FALSE))))</f>
        <v>20.058299999999999</v>
      </c>
      <c r="O160" s="307">
        <f t="shared" si="38"/>
        <v>296650.82376900001</v>
      </c>
      <c r="P160" s="560">
        <f>IF(G160=0,0,VLOOKUP(YEAR(G160),INPC!$B$4:$P$30,MONTH(G160)+2))</f>
        <v>112.19</v>
      </c>
      <c r="Q160" s="560">
        <f>IF(X160=0,0,IF(OR(E160=$AT$10,E160=$AT$9),VLOOKUP(YEAR(X160),INPC!$B$4:$P$30,MONTH(X160)+1),VLOOKUP(YEAR(X160),INPC!$B$4:$P$30,MONTH(X160)+2,0)))</f>
        <v>118.002</v>
      </c>
      <c r="R160" s="309">
        <f t="shared" si="39"/>
        <v>1.0518000000000001</v>
      </c>
      <c r="S160" s="310">
        <f t="shared" si="40"/>
        <v>312017.33644023421</v>
      </c>
      <c r="T160" s="555">
        <f t="shared" si="41"/>
        <v>6500.3611758382131</v>
      </c>
      <c r="U160" s="311"/>
      <c r="V160" s="312">
        <v>48</v>
      </c>
      <c r="W160" s="299" t="s">
        <v>194</v>
      </c>
      <c r="X160" s="300">
        <v>44595</v>
      </c>
      <c r="Y160" s="299" t="s">
        <v>59</v>
      </c>
      <c r="Z160" s="303">
        <v>11671.794074074074</v>
      </c>
      <c r="AA160" s="305">
        <f>IF(Z160=0,0,IF(Y160="MXN",1/HLOOKUP(YEAR(X160)+(MONTH(X160)/100),TC!$5:$37,DAY(X160)+2,FALSE),VLOOKUP(Y160,Equivalencia!$1:$23,((MAX(Equivalencia!$3:$3)-YEAR(X160))*14)+MONTH(X160)+2,FALSE)))</f>
        <v>1</v>
      </c>
      <c r="AB160" s="306">
        <f t="shared" si="42"/>
        <v>11671.794074074074</v>
      </c>
      <c r="AC160" s="305">
        <f>+IF(X160=0,0,HLOOKUP(YEAR(X160)+(MONTH(X160)/100),TC!$5:$37,DAY(X160)+2,FALSE))</f>
        <v>20.58</v>
      </c>
      <c r="AD160" s="307">
        <f t="shared" si="43"/>
        <v>240205.52204444443</v>
      </c>
      <c r="AE160" s="314">
        <f t="shared" si="44"/>
        <v>312017.33644023421</v>
      </c>
      <c r="AF160" s="315">
        <f t="shared" si="45"/>
        <v>-71811.814395789785</v>
      </c>
      <c r="AG160" s="316">
        <f t="shared" si="46"/>
        <v>0.80273972602739729</v>
      </c>
      <c r="AH160" s="314">
        <v>1</v>
      </c>
      <c r="AI160" s="314">
        <f t="shared" si="47"/>
        <v>-71811.814395789785</v>
      </c>
      <c r="AJ160" s="314">
        <f t="shared" si="48"/>
        <v>0</v>
      </c>
      <c r="AK160" s="317"/>
      <c r="AL160" s="315">
        <f t="shared" si="49"/>
        <v>-3117.6359259259261</v>
      </c>
      <c r="AN160" s="554">
        <f t="shared" si="50"/>
        <v>-0.21080162832008578</v>
      </c>
      <c r="AO160" s="314"/>
      <c r="AP160" s="318"/>
    </row>
    <row r="161" spans="2:42">
      <c r="B161" s="296" t="s">
        <v>1254</v>
      </c>
      <c r="C161" s="299" t="s">
        <v>277</v>
      </c>
      <c r="D161" s="298" t="s">
        <v>875</v>
      </c>
      <c r="E161" s="299" t="s">
        <v>113</v>
      </c>
      <c r="F161" s="299" t="s">
        <v>59</v>
      </c>
      <c r="G161" s="300">
        <v>44348</v>
      </c>
      <c r="H161" s="303">
        <v>13889.527826086958</v>
      </c>
      <c r="I161" s="301" t="str">
        <f t="shared" si="34"/>
        <v>Ingresos Sección II LISR (SIC &amp; BMV)</v>
      </c>
      <c r="J161" s="302">
        <f t="shared" si="35"/>
        <v>42</v>
      </c>
      <c r="K161" s="304">
        <f t="shared" si="36"/>
        <v>330.70304347826089</v>
      </c>
      <c r="L161" s="305">
        <f>IF(H161=0,0,IF(OR(E161=$AT$5,E161=$AT$6),AA161,IF(F161="MXN",1/HLOOKUP(YEAR(G161)+(MONTH(G161)/100),TC!$5:$37,DAY(G161)+2,FALSE),VLOOKUP(F161,Equivalencia!$5:$23,((MAX(Equivalencia!$3:$3)-YEAR(G161))*14)+MONTH(G161)+2,FALSE))))</f>
        <v>1</v>
      </c>
      <c r="M161" s="306">
        <f t="shared" si="37"/>
        <v>13889.527826086958</v>
      </c>
      <c r="N161" s="305">
        <f>IF(G161=0,0,(IF(OR(E161=$AT$5,E161=$AT$6),AC161,HLOOKUP(YEAR(G161)+(MONTH(G161)/100),TC!$5:$37,DAY(G161)+2,FALSE))))</f>
        <v>19.944199999999999</v>
      </c>
      <c r="O161" s="307">
        <f t="shared" si="38"/>
        <v>277015.52086904348</v>
      </c>
      <c r="P161" s="560">
        <f>IF(G161=0,0,VLOOKUP(YEAR(G161),INPC!$B$4:$P$30,MONTH(G161)+2))</f>
        <v>113.018</v>
      </c>
      <c r="Q161" s="560">
        <f>IF(X161=0,0,IF(OR(E161=$AT$10,E161=$AT$9),VLOOKUP(YEAR(X161),INPC!$B$4:$P$30,MONTH(X161)+1),VLOOKUP(YEAR(X161),INPC!$B$4:$P$30,MONTH(X161)+2,0)))</f>
        <v>118.002</v>
      </c>
      <c r="R161" s="309">
        <f t="shared" si="39"/>
        <v>1.044</v>
      </c>
      <c r="S161" s="310">
        <f t="shared" si="40"/>
        <v>289204.20378728141</v>
      </c>
      <c r="T161" s="555">
        <f t="shared" si="41"/>
        <v>6885.8143758876522</v>
      </c>
      <c r="U161" s="311"/>
      <c r="V161" s="312">
        <v>42</v>
      </c>
      <c r="W161" s="299" t="s">
        <v>194</v>
      </c>
      <c r="X161" s="300">
        <v>44595</v>
      </c>
      <c r="Y161" s="299" t="s">
        <v>59</v>
      </c>
      <c r="Z161" s="303">
        <v>10212.819814814815</v>
      </c>
      <c r="AA161" s="305">
        <f>IF(Z161=0,0,IF(Y161="MXN",1/HLOOKUP(YEAR(X161)+(MONTH(X161)/100),TC!$5:$37,DAY(X161)+2,FALSE),VLOOKUP(Y161,Equivalencia!$1:$23,((MAX(Equivalencia!$3:$3)-YEAR(X161))*14)+MONTH(X161)+2,FALSE)))</f>
        <v>1</v>
      </c>
      <c r="AB161" s="306">
        <f t="shared" si="42"/>
        <v>10212.819814814815</v>
      </c>
      <c r="AC161" s="305">
        <f>+IF(X161=0,0,HLOOKUP(YEAR(X161)+(MONTH(X161)/100),TC!$5:$37,DAY(X161)+2,FALSE))</f>
        <v>20.58</v>
      </c>
      <c r="AD161" s="307">
        <f t="shared" si="43"/>
        <v>210179.83178888887</v>
      </c>
      <c r="AE161" s="314">
        <f t="shared" si="44"/>
        <v>289204.20378728141</v>
      </c>
      <c r="AF161" s="315">
        <f t="shared" si="45"/>
        <v>-79024.37199839254</v>
      </c>
      <c r="AG161" s="316">
        <f t="shared" si="46"/>
        <v>0.67671232876712328</v>
      </c>
      <c r="AH161" s="314">
        <v>1</v>
      </c>
      <c r="AI161" s="314">
        <f t="shared" si="47"/>
        <v>-79024.37199839254</v>
      </c>
      <c r="AJ161" s="314">
        <f t="shared" si="48"/>
        <v>0</v>
      </c>
      <c r="AK161" s="317"/>
      <c r="AL161" s="315">
        <f t="shared" si="49"/>
        <v>-3676.7080112721433</v>
      </c>
      <c r="AN161" s="554">
        <f t="shared" si="50"/>
        <v>-0.26471079919409812</v>
      </c>
      <c r="AO161" s="314"/>
      <c r="AP161" s="318"/>
    </row>
    <row r="162" spans="2:42">
      <c r="B162" s="296" t="s">
        <v>1254</v>
      </c>
      <c r="C162" s="299" t="s">
        <v>277</v>
      </c>
      <c r="D162" s="298" t="s">
        <v>875</v>
      </c>
      <c r="E162" s="299" t="s">
        <v>113</v>
      </c>
      <c r="F162" s="299" t="s">
        <v>59</v>
      </c>
      <c r="G162" s="300">
        <v>44348</v>
      </c>
      <c r="H162" s="303">
        <v>1322.8121739130436</v>
      </c>
      <c r="I162" s="301" t="str">
        <f t="shared" si="34"/>
        <v>Ingresos Sección II LISR (SIC &amp; BMV)</v>
      </c>
      <c r="J162" s="302">
        <f t="shared" si="35"/>
        <v>4</v>
      </c>
      <c r="K162" s="304">
        <f t="shared" si="36"/>
        <v>330.70304347826089</v>
      </c>
      <c r="L162" s="305">
        <f>IF(H162=0,0,IF(OR(E162=$AT$5,E162=$AT$6),AA162,IF(F162="MXN",1/HLOOKUP(YEAR(G162)+(MONTH(G162)/100),TC!$5:$37,DAY(G162)+2,FALSE),VLOOKUP(F162,Equivalencia!$5:$23,((MAX(Equivalencia!$3:$3)-YEAR(G162))*14)+MONTH(G162)+2,FALSE))))</f>
        <v>1</v>
      </c>
      <c r="M162" s="306">
        <f t="shared" si="37"/>
        <v>1322.8121739130436</v>
      </c>
      <c r="N162" s="305">
        <f>IF(G162=0,0,(IF(OR(E162=$AT$5,E162=$AT$6),AC162,HLOOKUP(YEAR(G162)+(MONTH(G162)/100),TC!$5:$37,DAY(G162)+2,FALSE))))</f>
        <v>19.944199999999999</v>
      </c>
      <c r="O162" s="307">
        <f t="shared" si="38"/>
        <v>26382.430558956523</v>
      </c>
      <c r="P162" s="560">
        <f>IF(G162=0,0,VLOOKUP(YEAR(G162),INPC!$B$4:$P$30,MONTH(G162)+2))</f>
        <v>113.018</v>
      </c>
      <c r="Q162" s="560">
        <f>IF(X162=0,0,IF(OR(E162=$AT$10,E162=$AT$9),VLOOKUP(YEAR(X162),INPC!$B$4:$P$30,MONTH(X162)+1),VLOOKUP(YEAR(X162),INPC!$B$4:$P$30,MONTH(X162)+2,0)))</f>
        <v>118.002</v>
      </c>
      <c r="R162" s="309">
        <f t="shared" si="39"/>
        <v>1.044</v>
      </c>
      <c r="S162" s="310">
        <f t="shared" si="40"/>
        <v>27543.257503550612</v>
      </c>
      <c r="T162" s="555">
        <f t="shared" si="41"/>
        <v>6885.8143758876531</v>
      </c>
      <c r="U162" s="311"/>
      <c r="V162" s="312">
        <v>4</v>
      </c>
      <c r="W162" s="299" t="s">
        <v>194</v>
      </c>
      <c r="X162" s="300">
        <v>44596</v>
      </c>
      <c r="Y162" s="299" t="s">
        <v>59</v>
      </c>
      <c r="Z162" s="303">
        <v>929.66765432098771</v>
      </c>
      <c r="AA162" s="305">
        <f>IF(Z162=0,0,IF(Y162="MXN",1/HLOOKUP(YEAR(X162)+(MONTH(X162)/100),TC!$5:$37,DAY(X162)+2,FALSE),VLOOKUP(Y162,Equivalencia!$1:$23,((MAX(Equivalencia!$3:$3)-YEAR(X162))*14)+MONTH(X162)+2,FALSE)))</f>
        <v>1</v>
      </c>
      <c r="AB162" s="306">
        <f t="shared" si="42"/>
        <v>929.66765432098771</v>
      </c>
      <c r="AC162" s="305">
        <f>+IF(X162=0,0,HLOOKUP(YEAR(X162)+(MONTH(X162)/100),TC!$5:$37,DAY(X162)+2,FALSE))</f>
        <v>20.600300000000001</v>
      </c>
      <c r="AD162" s="307">
        <f t="shared" si="43"/>
        <v>19151.432579308643</v>
      </c>
      <c r="AE162" s="314">
        <f t="shared" si="44"/>
        <v>27543.257503550612</v>
      </c>
      <c r="AF162" s="315">
        <f t="shared" si="45"/>
        <v>-8391.8249242419697</v>
      </c>
      <c r="AG162" s="316">
        <f t="shared" si="46"/>
        <v>0.67945205479452053</v>
      </c>
      <c r="AH162" s="314">
        <v>1</v>
      </c>
      <c r="AI162" s="314">
        <f t="shared" si="47"/>
        <v>-8391.8249242419697</v>
      </c>
      <c r="AJ162" s="314">
        <f t="shared" si="48"/>
        <v>0</v>
      </c>
      <c r="AK162" s="317"/>
      <c r="AL162" s="315">
        <f t="shared" si="49"/>
        <v>-393.14451959205587</v>
      </c>
      <c r="AN162" s="554">
        <f t="shared" si="50"/>
        <v>-0.29720358441295963</v>
      </c>
      <c r="AO162" s="314"/>
      <c r="AP162" s="318"/>
    </row>
    <row r="163" spans="2:42">
      <c r="B163" s="296" t="s">
        <v>1254</v>
      </c>
      <c r="C163" s="299" t="s">
        <v>277</v>
      </c>
      <c r="D163" s="298" t="s">
        <v>875</v>
      </c>
      <c r="E163" s="299" t="s">
        <v>113</v>
      </c>
      <c r="F163" s="299" t="s">
        <v>59</v>
      </c>
      <c r="G163" s="300">
        <v>44390</v>
      </c>
      <c r="H163" s="303">
        <v>27119.71</v>
      </c>
      <c r="I163" s="301" t="str">
        <f t="shared" si="34"/>
        <v>Ingresos Sección II LISR (SIC &amp; BMV)</v>
      </c>
      <c r="J163" s="302">
        <f t="shared" si="35"/>
        <v>77</v>
      </c>
      <c r="K163" s="304">
        <f t="shared" si="36"/>
        <v>352.20402597402597</v>
      </c>
      <c r="L163" s="305">
        <f>IF(H163=0,0,IF(OR(E163=$AT$5,E163=$AT$6),AA163,IF(F163="MXN",1/HLOOKUP(YEAR(G163)+(MONTH(G163)/100),TC!$5:$37,DAY(G163)+2,FALSE),VLOOKUP(F163,Equivalencia!$5:$23,((MAX(Equivalencia!$3:$3)-YEAR(G163))*14)+MONTH(G163)+2,FALSE))))</f>
        <v>1</v>
      </c>
      <c r="M163" s="306">
        <f t="shared" si="37"/>
        <v>27119.71</v>
      </c>
      <c r="N163" s="305">
        <f>IF(G163=0,0,(IF(OR(E163=$AT$5,E163=$AT$6),AC163,HLOOKUP(YEAR(G163)+(MONTH(G163)/100),TC!$5:$37,DAY(G163)+2,FALSE))))</f>
        <v>19.88</v>
      </c>
      <c r="O163" s="307">
        <f t="shared" si="38"/>
        <v>539139.83479999995</v>
      </c>
      <c r="P163" s="560">
        <f>IF(G163=0,0,VLOOKUP(YEAR(G163),INPC!$B$4:$P$30,MONTH(G163)+2))</f>
        <v>113.682</v>
      </c>
      <c r="Q163" s="560">
        <f>IF(X163=0,0,IF(OR(E163=$AT$10,E163=$AT$9),VLOOKUP(YEAR(X163),INPC!$B$4:$P$30,MONTH(X163)+1),VLOOKUP(YEAR(X163),INPC!$B$4:$P$30,MONTH(X163)+2,0)))</f>
        <v>118.002</v>
      </c>
      <c r="R163" s="309">
        <f t="shared" si="39"/>
        <v>1.038</v>
      </c>
      <c r="S163" s="310">
        <f t="shared" si="40"/>
        <v>559627.14852239995</v>
      </c>
      <c r="T163" s="555">
        <f t="shared" si="41"/>
        <v>7267.8850457454537</v>
      </c>
      <c r="U163" s="311"/>
      <c r="V163" s="312">
        <v>77</v>
      </c>
      <c r="W163" s="299" t="s">
        <v>194</v>
      </c>
      <c r="X163" s="300">
        <v>44596</v>
      </c>
      <c r="Y163" s="299" t="s">
        <v>59</v>
      </c>
      <c r="Z163" s="303">
        <v>17896.102345679014</v>
      </c>
      <c r="AA163" s="305">
        <f>IF(Z163=0,0,IF(Y163="MXN",1/HLOOKUP(YEAR(X163)+(MONTH(X163)/100),TC!$5:$37,DAY(X163)+2,FALSE),VLOOKUP(Y163,Equivalencia!$1:$23,((MAX(Equivalencia!$3:$3)-YEAR(X163))*14)+MONTH(X163)+2,FALSE)))</f>
        <v>1</v>
      </c>
      <c r="AB163" s="306">
        <f t="shared" si="42"/>
        <v>17896.102345679014</v>
      </c>
      <c r="AC163" s="305">
        <f>+IF(X163=0,0,HLOOKUP(YEAR(X163)+(MONTH(X163)/100),TC!$5:$37,DAY(X163)+2,FALSE))</f>
        <v>20.600300000000001</v>
      </c>
      <c r="AD163" s="307">
        <f t="shared" si="43"/>
        <v>368665.07715169137</v>
      </c>
      <c r="AE163" s="314">
        <f t="shared" si="44"/>
        <v>559627.14852239995</v>
      </c>
      <c r="AF163" s="315">
        <f t="shared" si="45"/>
        <v>-190962.07137070858</v>
      </c>
      <c r="AG163" s="316">
        <f t="shared" si="46"/>
        <v>0.56438356164383563</v>
      </c>
      <c r="AH163" s="314">
        <v>1</v>
      </c>
      <c r="AI163" s="314">
        <f t="shared" si="47"/>
        <v>-190962.07137070858</v>
      </c>
      <c r="AJ163" s="314">
        <f t="shared" si="48"/>
        <v>0</v>
      </c>
      <c r="AK163" s="317"/>
      <c r="AL163" s="315">
        <f t="shared" si="49"/>
        <v>-9223.6076543209856</v>
      </c>
      <c r="AN163" s="554">
        <f t="shared" si="50"/>
        <v>-0.3401071639158747</v>
      </c>
      <c r="AO163" s="314"/>
      <c r="AP163" s="318"/>
    </row>
    <row r="164" spans="2:42">
      <c r="B164" s="296" t="s">
        <v>1254</v>
      </c>
      <c r="C164" s="299" t="s">
        <v>277</v>
      </c>
      <c r="D164" s="298" t="s">
        <v>729</v>
      </c>
      <c r="E164" s="299" t="s">
        <v>113</v>
      </c>
      <c r="F164" s="299" t="s">
        <v>59</v>
      </c>
      <c r="G164" s="300">
        <v>44468</v>
      </c>
      <c r="H164" s="303">
        <v>230.76333333333332</v>
      </c>
      <c r="I164" s="301" t="str">
        <f t="shared" si="34"/>
        <v>Ingresos Sección II LISR (SIC &amp; BMV)</v>
      </c>
      <c r="J164" s="302">
        <f t="shared" si="35"/>
        <v>1</v>
      </c>
      <c r="K164" s="304">
        <f t="shared" si="36"/>
        <v>230.76333333333332</v>
      </c>
      <c r="L164" s="305">
        <f>IF(H164=0,0,IF(OR(E164=$AT$5,E164=$AT$6),AA164,IF(F164="MXN",1/HLOOKUP(YEAR(G164)+(MONTH(G164)/100),TC!$5:$37,DAY(G164)+2,FALSE),VLOOKUP(F164,Equivalencia!$5:$23,((MAX(Equivalencia!$3:$3)-YEAR(G164))*14)+MONTH(G164)+2,FALSE))))</f>
        <v>1</v>
      </c>
      <c r="M164" s="306">
        <f t="shared" si="37"/>
        <v>230.76333333333332</v>
      </c>
      <c r="N164" s="305">
        <f>IF(G164=0,0,(IF(OR(E164=$AT$5,E164=$AT$6),AC164,HLOOKUP(YEAR(G164)+(MONTH(G164)/100),TC!$5:$37,DAY(G164)+2,FALSE))))</f>
        <v>20.1052</v>
      </c>
      <c r="O164" s="307">
        <f t="shared" si="38"/>
        <v>4639.5429693333335</v>
      </c>
      <c r="P164" s="560">
        <f>IF(G164=0,0,VLOOKUP(YEAR(G164),INPC!$B$4:$P$30,MONTH(G164)+2))</f>
        <v>114.601</v>
      </c>
      <c r="Q164" s="560">
        <f>IF(X164=0,0,IF(OR(E164=$AT$10,E164=$AT$9),VLOOKUP(YEAR(X164),INPC!$B$4:$P$30,MONTH(X164)+1),VLOOKUP(YEAR(X164),INPC!$B$4:$P$30,MONTH(X164)+2,0)))</f>
        <v>118.98099999999999</v>
      </c>
      <c r="R164" s="309">
        <f t="shared" si="39"/>
        <v>1.0382</v>
      </c>
      <c r="S164" s="310">
        <f t="shared" si="40"/>
        <v>4816.7735107618673</v>
      </c>
      <c r="T164" s="555">
        <f t="shared" si="41"/>
        <v>4816.7735107618673</v>
      </c>
      <c r="U164" s="311"/>
      <c r="V164" s="312">
        <v>1</v>
      </c>
      <c r="W164" s="299" t="s">
        <v>194</v>
      </c>
      <c r="X164" s="300">
        <v>44643</v>
      </c>
      <c r="Y164" s="299" t="s">
        <v>59</v>
      </c>
      <c r="Z164" s="303">
        <v>286.51</v>
      </c>
      <c r="AA164" s="305">
        <f>IF(Z164=0,0,IF(Y164="MXN",1/HLOOKUP(YEAR(X164)+(MONTH(X164)/100),TC!$5:$37,DAY(X164)+2,FALSE),VLOOKUP(Y164,Equivalencia!$1:$23,((MAX(Equivalencia!$3:$3)-YEAR(X164))*14)+MONTH(X164)+2,FALSE)))</f>
        <v>1</v>
      </c>
      <c r="AB164" s="306">
        <f t="shared" si="42"/>
        <v>286.51</v>
      </c>
      <c r="AC164" s="305">
        <f>+IF(X164=0,0,HLOOKUP(YEAR(X164)+(MONTH(X164)/100),TC!$5:$37,DAY(X164)+2,FALSE))</f>
        <v>20.4145</v>
      </c>
      <c r="AD164" s="307">
        <f t="shared" si="43"/>
        <v>5848.9583949999997</v>
      </c>
      <c r="AE164" s="314">
        <f t="shared" si="44"/>
        <v>4816.7735107618673</v>
      </c>
      <c r="AF164" s="315">
        <f t="shared" si="45"/>
        <v>1032.1848842381323</v>
      </c>
      <c r="AG164" s="316">
        <f t="shared" si="46"/>
        <v>0.47945205479452052</v>
      </c>
      <c r="AH164" s="314">
        <v>1</v>
      </c>
      <c r="AI164" s="314">
        <f t="shared" si="47"/>
        <v>1032.1848842381323</v>
      </c>
      <c r="AJ164" s="314">
        <f t="shared" si="48"/>
        <v>0</v>
      </c>
      <c r="AK164" s="317"/>
      <c r="AL164" s="315">
        <f t="shared" si="49"/>
        <v>55.74666666666667</v>
      </c>
      <c r="AN164" s="554">
        <f t="shared" si="50"/>
        <v>0.2415750624738188</v>
      </c>
      <c r="AO164" s="314"/>
      <c r="AP164" s="318"/>
    </row>
    <row r="165" spans="2:42">
      <c r="B165" s="296" t="s">
        <v>1254</v>
      </c>
      <c r="C165" s="299" t="s">
        <v>277</v>
      </c>
      <c r="D165" s="298" t="s">
        <v>729</v>
      </c>
      <c r="E165" s="299" t="s">
        <v>113</v>
      </c>
      <c r="F165" s="299" t="s">
        <v>59</v>
      </c>
      <c r="G165" s="300">
        <v>44468</v>
      </c>
      <c r="H165" s="303">
        <v>692.29</v>
      </c>
      <c r="I165" s="301" t="str">
        <f t="shared" si="34"/>
        <v>Ingresos Sección II LISR (SIC &amp; BMV)</v>
      </c>
      <c r="J165" s="302">
        <f t="shared" si="35"/>
        <v>3</v>
      </c>
      <c r="K165" s="304">
        <f t="shared" si="36"/>
        <v>230.76333333333332</v>
      </c>
      <c r="L165" s="305">
        <f>IF(H165=0,0,IF(OR(E165=$AT$5,E165=$AT$6),AA165,IF(F165="MXN",1/HLOOKUP(YEAR(G165)+(MONTH(G165)/100),TC!$5:$37,DAY(G165)+2,FALSE),VLOOKUP(F165,Equivalencia!$5:$23,((MAX(Equivalencia!$3:$3)-YEAR(G165))*14)+MONTH(G165)+2,FALSE))))</f>
        <v>1</v>
      </c>
      <c r="M165" s="306">
        <f t="shared" si="37"/>
        <v>692.29</v>
      </c>
      <c r="N165" s="305">
        <f>IF(G165=0,0,(IF(OR(E165=$AT$5,E165=$AT$6),AC165,HLOOKUP(YEAR(G165)+(MONTH(G165)/100),TC!$5:$37,DAY(G165)+2,FALSE))))</f>
        <v>20.1052</v>
      </c>
      <c r="O165" s="307">
        <f t="shared" si="38"/>
        <v>13918.628907999999</v>
      </c>
      <c r="P165" s="560">
        <f>IF(G165=0,0,VLOOKUP(YEAR(G165),INPC!$B$4:$P$30,MONTH(G165)+2))</f>
        <v>114.601</v>
      </c>
      <c r="Q165" s="560">
        <f>IF(X165=0,0,IF(OR(E165=$AT$10,E165=$AT$9),VLOOKUP(YEAR(X165),INPC!$B$4:$P$30,MONTH(X165)+1),VLOOKUP(YEAR(X165),INPC!$B$4:$P$30,MONTH(X165)+2,0)))</f>
        <v>118.98099999999999</v>
      </c>
      <c r="R165" s="309">
        <f t="shared" si="39"/>
        <v>1.0382</v>
      </c>
      <c r="S165" s="310">
        <f t="shared" si="40"/>
        <v>14450.320532285599</v>
      </c>
      <c r="T165" s="555">
        <f t="shared" si="41"/>
        <v>4816.7735107618664</v>
      </c>
      <c r="U165" s="311"/>
      <c r="V165" s="312">
        <v>3</v>
      </c>
      <c r="W165" s="299" t="s">
        <v>194</v>
      </c>
      <c r="X165" s="300">
        <v>44643</v>
      </c>
      <c r="Y165" s="299" t="s">
        <v>59</v>
      </c>
      <c r="Z165" s="303">
        <v>855.73909090909092</v>
      </c>
      <c r="AA165" s="305">
        <f>IF(Z165=0,0,IF(Y165="MXN",1/HLOOKUP(YEAR(X165)+(MONTH(X165)/100),TC!$5:$37,DAY(X165)+2,FALSE),VLOOKUP(Y165,Equivalencia!$1:$23,((MAX(Equivalencia!$3:$3)-YEAR(X165))*14)+MONTH(X165)+2,FALSE)))</f>
        <v>1</v>
      </c>
      <c r="AB165" s="306">
        <f t="shared" si="42"/>
        <v>855.73909090909092</v>
      </c>
      <c r="AC165" s="305">
        <f>+IF(X165=0,0,HLOOKUP(YEAR(X165)+(MONTH(X165)/100),TC!$5:$37,DAY(X165)+2,FALSE))</f>
        <v>20.4145</v>
      </c>
      <c r="AD165" s="307">
        <f t="shared" si="43"/>
        <v>17469.485671363636</v>
      </c>
      <c r="AE165" s="314">
        <f t="shared" si="44"/>
        <v>14450.320532285599</v>
      </c>
      <c r="AF165" s="315">
        <f t="shared" si="45"/>
        <v>3019.1651390780371</v>
      </c>
      <c r="AG165" s="316">
        <f t="shared" si="46"/>
        <v>0.47945205479452052</v>
      </c>
      <c r="AH165" s="314">
        <v>1</v>
      </c>
      <c r="AI165" s="314">
        <f t="shared" si="47"/>
        <v>3019.1651390780371</v>
      </c>
      <c r="AJ165" s="314">
        <f t="shared" si="48"/>
        <v>0</v>
      </c>
      <c r="AK165" s="317"/>
      <c r="AL165" s="315">
        <f t="shared" si="49"/>
        <v>163.44909090909096</v>
      </c>
      <c r="AN165" s="554">
        <f t="shared" si="50"/>
        <v>0.23609916495845812</v>
      </c>
      <c r="AO165" s="314"/>
      <c r="AP165" s="318"/>
    </row>
    <row r="166" spans="2:42">
      <c r="B166" s="296" t="s">
        <v>1254</v>
      </c>
      <c r="C166" s="299" t="s">
        <v>277</v>
      </c>
      <c r="D166" s="298" t="s">
        <v>729</v>
      </c>
      <c r="E166" s="299" t="s">
        <v>113</v>
      </c>
      <c r="F166" s="299" t="s">
        <v>59</v>
      </c>
      <c r="G166" s="300">
        <v>44468</v>
      </c>
      <c r="H166" s="303">
        <v>1842.96</v>
      </c>
      <c r="I166" s="301" t="str">
        <f t="shared" si="34"/>
        <v>Ingresos Sección II LISR (SIC &amp; BMV)</v>
      </c>
      <c r="J166" s="302">
        <f t="shared" si="35"/>
        <v>8</v>
      </c>
      <c r="K166" s="304">
        <f t="shared" si="36"/>
        <v>230.37</v>
      </c>
      <c r="L166" s="305">
        <f>IF(H166=0,0,IF(OR(E166=$AT$5,E166=$AT$6),AA166,IF(F166="MXN",1/HLOOKUP(YEAR(G166)+(MONTH(G166)/100),TC!$5:$37,DAY(G166)+2,FALSE),VLOOKUP(F166,Equivalencia!$5:$23,((MAX(Equivalencia!$3:$3)-YEAR(G166))*14)+MONTH(G166)+2,FALSE))))</f>
        <v>1</v>
      </c>
      <c r="M166" s="306">
        <f t="shared" si="37"/>
        <v>1842.96</v>
      </c>
      <c r="N166" s="305">
        <f>IF(G166=0,0,(IF(OR(E166=$AT$5,E166=$AT$6),AC166,HLOOKUP(YEAR(G166)+(MONTH(G166)/100),TC!$5:$37,DAY(G166)+2,FALSE))))</f>
        <v>20.1052</v>
      </c>
      <c r="O166" s="307">
        <f t="shared" si="38"/>
        <v>37053.079392</v>
      </c>
      <c r="P166" s="560">
        <f>IF(G166=0,0,VLOOKUP(YEAR(G166),INPC!$B$4:$P$30,MONTH(G166)+2))</f>
        <v>114.601</v>
      </c>
      <c r="Q166" s="560">
        <f>IF(X166=0,0,IF(OR(E166=$AT$10,E166=$AT$9),VLOOKUP(YEAR(X166),INPC!$B$4:$P$30,MONTH(X166)+1),VLOOKUP(YEAR(X166),INPC!$B$4:$P$30,MONTH(X166)+2,0)))</f>
        <v>118.98099999999999</v>
      </c>
      <c r="R166" s="309">
        <f t="shared" si="39"/>
        <v>1.0382</v>
      </c>
      <c r="S166" s="310">
        <f t="shared" si="40"/>
        <v>38468.507024774401</v>
      </c>
      <c r="T166" s="555">
        <f t="shared" si="41"/>
        <v>4808.5633780968001</v>
      </c>
      <c r="U166" s="311"/>
      <c r="V166" s="312">
        <v>8</v>
      </c>
      <c r="W166" s="299" t="s">
        <v>194</v>
      </c>
      <c r="X166" s="300">
        <v>44643</v>
      </c>
      <c r="Y166" s="299" t="s">
        <v>59</v>
      </c>
      <c r="Z166" s="303">
        <v>2281.9709090909091</v>
      </c>
      <c r="AA166" s="305">
        <f>IF(Z166=0,0,IF(Y166="MXN",1/HLOOKUP(YEAR(X166)+(MONTH(X166)/100),TC!$5:$37,DAY(X166)+2,FALSE),VLOOKUP(Y166,Equivalencia!$1:$23,((MAX(Equivalencia!$3:$3)-YEAR(X166))*14)+MONTH(X166)+2,FALSE)))</f>
        <v>1</v>
      </c>
      <c r="AB166" s="306">
        <f t="shared" si="42"/>
        <v>2281.9709090909091</v>
      </c>
      <c r="AC166" s="305">
        <f>+IF(X166=0,0,HLOOKUP(YEAR(X166)+(MONTH(X166)/100),TC!$5:$37,DAY(X166)+2,FALSE))</f>
        <v>20.4145</v>
      </c>
      <c r="AD166" s="307">
        <f t="shared" si="43"/>
        <v>46585.295123636366</v>
      </c>
      <c r="AE166" s="314">
        <f t="shared" si="44"/>
        <v>38468.507024774401</v>
      </c>
      <c r="AF166" s="315">
        <f t="shared" si="45"/>
        <v>8116.7880988619654</v>
      </c>
      <c r="AG166" s="316">
        <f t="shared" si="46"/>
        <v>0.47945205479452052</v>
      </c>
      <c r="AH166" s="314">
        <v>1</v>
      </c>
      <c r="AI166" s="314">
        <f t="shared" si="47"/>
        <v>8116.7880988619654</v>
      </c>
      <c r="AJ166" s="314">
        <f t="shared" si="48"/>
        <v>0</v>
      </c>
      <c r="AK166" s="317"/>
      <c r="AL166" s="315">
        <f t="shared" si="49"/>
        <v>439.01090909090908</v>
      </c>
      <c r="AN166" s="554">
        <f t="shared" si="50"/>
        <v>0.23820967850138314</v>
      </c>
      <c r="AO166" s="314"/>
      <c r="AP166" s="318"/>
    </row>
    <row r="167" spans="2:42">
      <c r="B167" s="296" t="s">
        <v>1254</v>
      </c>
      <c r="C167" s="299" t="s">
        <v>277</v>
      </c>
      <c r="D167" s="298" t="s">
        <v>729</v>
      </c>
      <c r="E167" s="299" t="s">
        <v>113</v>
      </c>
      <c r="F167" s="299" t="s">
        <v>59</v>
      </c>
      <c r="G167" s="300">
        <v>44468</v>
      </c>
      <c r="H167" s="303">
        <v>460.74</v>
      </c>
      <c r="I167" s="301" t="str">
        <f t="shared" si="34"/>
        <v>Ingresos Sección II LISR (SIC &amp; BMV)</v>
      </c>
      <c r="J167" s="302">
        <f t="shared" si="35"/>
        <v>2</v>
      </c>
      <c r="K167" s="304">
        <f t="shared" si="36"/>
        <v>230.37</v>
      </c>
      <c r="L167" s="305">
        <f>IF(H167=0,0,IF(OR(E167=$AT$5,E167=$AT$6),AA167,IF(F167="MXN",1/HLOOKUP(YEAR(G167)+(MONTH(G167)/100),TC!$5:$37,DAY(G167)+2,FALSE),VLOOKUP(F167,Equivalencia!$5:$23,((MAX(Equivalencia!$3:$3)-YEAR(G167))*14)+MONTH(G167)+2,FALSE))))</f>
        <v>1</v>
      </c>
      <c r="M167" s="306">
        <f t="shared" si="37"/>
        <v>460.74</v>
      </c>
      <c r="N167" s="305">
        <f>IF(G167=0,0,(IF(OR(E167=$AT$5,E167=$AT$6),AC167,HLOOKUP(YEAR(G167)+(MONTH(G167)/100),TC!$5:$37,DAY(G167)+2,FALSE))))</f>
        <v>20.1052</v>
      </c>
      <c r="O167" s="307">
        <f t="shared" si="38"/>
        <v>9263.2698479999999</v>
      </c>
      <c r="P167" s="560">
        <f>IF(G167=0,0,VLOOKUP(YEAR(G167),INPC!$B$4:$P$30,MONTH(G167)+2))</f>
        <v>114.601</v>
      </c>
      <c r="Q167" s="560">
        <f>IF(X167=0,0,IF(OR(E167=$AT$10,E167=$AT$9),VLOOKUP(YEAR(X167),INPC!$B$4:$P$30,MONTH(X167)+1),VLOOKUP(YEAR(X167),INPC!$B$4:$P$30,MONTH(X167)+2,0)))</f>
        <v>118.98099999999999</v>
      </c>
      <c r="R167" s="309">
        <f t="shared" si="39"/>
        <v>1.0382</v>
      </c>
      <c r="S167" s="310">
        <f t="shared" si="40"/>
        <v>9617.1267561936002</v>
      </c>
      <c r="T167" s="555">
        <f t="shared" si="41"/>
        <v>4808.5633780968001</v>
      </c>
      <c r="U167" s="311"/>
      <c r="V167" s="312">
        <v>2</v>
      </c>
      <c r="W167" s="299" t="s">
        <v>194</v>
      </c>
      <c r="X167" s="300">
        <v>44643</v>
      </c>
      <c r="Y167" s="299" t="s">
        <v>59</v>
      </c>
      <c r="Z167" s="303">
        <v>568.36</v>
      </c>
      <c r="AA167" s="305">
        <f>IF(Z167=0,0,IF(Y167="MXN",1/HLOOKUP(YEAR(X167)+(MONTH(X167)/100),TC!$5:$37,DAY(X167)+2,FALSE),VLOOKUP(Y167,Equivalencia!$1:$23,((MAX(Equivalencia!$3:$3)-YEAR(X167))*14)+MONTH(X167)+2,FALSE)))</f>
        <v>1</v>
      </c>
      <c r="AB167" s="306">
        <f t="shared" si="42"/>
        <v>568.36</v>
      </c>
      <c r="AC167" s="305">
        <f>+IF(X167=0,0,HLOOKUP(YEAR(X167)+(MONTH(X167)/100),TC!$5:$37,DAY(X167)+2,FALSE))</f>
        <v>20.4145</v>
      </c>
      <c r="AD167" s="307">
        <f t="shared" si="43"/>
        <v>11602.78522</v>
      </c>
      <c r="AE167" s="314">
        <f t="shared" si="44"/>
        <v>9617.1267561936002</v>
      </c>
      <c r="AF167" s="315">
        <f t="shared" si="45"/>
        <v>1985.6584638063996</v>
      </c>
      <c r="AG167" s="316">
        <f t="shared" si="46"/>
        <v>0.47945205479452052</v>
      </c>
      <c r="AH167" s="314">
        <v>1</v>
      </c>
      <c r="AI167" s="314">
        <f t="shared" si="47"/>
        <v>1985.6584638063996</v>
      </c>
      <c r="AJ167" s="314">
        <f t="shared" si="48"/>
        <v>0</v>
      </c>
      <c r="AK167" s="317"/>
      <c r="AL167" s="315">
        <f t="shared" si="49"/>
        <v>107.62</v>
      </c>
      <c r="AN167" s="554">
        <f t="shared" si="50"/>
        <v>0.23358076138386075</v>
      </c>
      <c r="AO167" s="314"/>
      <c r="AP167" s="318"/>
    </row>
    <row r="168" spans="2:42">
      <c r="B168" s="296" t="s">
        <v>1254</v>
      </c>
      <c r="C168" s="299" t="s">
        <v>277</v>
      </c>
      <c r="D168" s="298" t="s">
        <v>729</v>
      </c>
      <c r="E168" s="299" t="s">
        <v>113</v>
      </c>
      <c r="F168" s="299" t="s">
        <v>59</v>
      </c>
      <c r="G168" s="300">
        <v>44468</v>
      </c>
      <c r="H168" s="303">
        <v>1612.5900000000001</v>
      </c>
      <c r="I168" s="301" t="str">
        <f t="shared" si="34"/>
        <v>Ingresos Sección II LISR (SIC &amp; BMV)</v>
      </c>
      <c r="J168" s="302">
        <f t="shared" si="35"/>
        <v>7</v>
      </c>
      <c r="K168" s="304">
        <f t="shared" si="36"/>
        <v>230.37000000000003</v>
      </c>
      <c r="L168" s="305">
        <f>IF(H168=0,0,IF(OR(E168=$AT$5,E168=$AT$6),AA168,IF(F168="MXN",1/HLOOKUP(YEAR(G168)+(MONTH(G168)/100),TC!$5:$37,DAY(G168)+2,FALSE),VLOOKUP(F168,Equivalencia!$5:$23,((MAX(Equivalencia!$3:$3)-YEAR(G168))*14)+MONTH(G168)+2,FALSE))))</f>
        <v>1</v>
      </c>
      <c r="M168" s="306">
        <f t="shared" si="37"/>
        <v>1612.5900000000001</v>
      </c>
      <c r="N168" s="305">
        <f>IF(G168=0,0,(IF(OR(E168=$AT$5,E168=$AT$6),AC168,HLOOKUP(YEAR(G168)+(MONTH(G168)/100),TC!$5:$37,DAY(G168)+2,FALSE))))</f>
        <v>20.1052</v>
      </c>
      <c r="O168" s="307">
        <f t="shared" si="38"/>
        <v>32421.444468000002</v>
      </c>
      <c r="P168" s="560">
        <f>IF(G168=0,0,VLOOKUP(YEAR(G168),INPC!$B$4:$P$30,MONTH(G168)+2))</f>
        <v>114.601</v>
      </c>
      <c r="Q168" s="560">
        <f>IF(X168=0,0,IF(OR(E168=$AT$10,E168=$AT$9),VLOOKUP(YEAR(X168),INPC!$B$4:$P$30,MONTH(X168)+1),VLOOKUP(YEAR(X168),INPC!$B$4:$P$30,MONTH(X168)+2,0)))</f>
        <v>118.98099999999999</v>
      </c>
      <c r="R168" s="309">
        <f t="shared" si="39"/>
        <v>1.0382</v>
      </c>
      <c r="S168" s="310">
        <f t="shared" si="40"/>
        <v>33659.943646677602</v>
      </c>
      <c r="T168" s="555">
        <f t="shared" si="41"/>
        <v>4808.5633780968001</v>
      </c>
      <c r="U168" s="311"/>
      <c r="V168" s="312">
        <v>7</v>
      </c>
      <c r="W168" s="299" t="s">
        <v>194</v>
      </c>
      <c r="X168" s="300">
        <v>44644</v>
      </c>
      <c r="Y168" s="299" t="s">
        <v>59</v>
      </c>
      <c r="Z168" s="303">
        <v>2011.1175000000001</v>
      </c>
      <c r="AA168" s="305">
        <f>IF(Z168=0,0,IF(Y168="MXN",1/HLOOKUP(YEAR(X168)+(MONTH(X168)/100),TC!$5:$37,DAY(X168)+2,FALSE),VLOOKUP(Y168,Equivalencia!$1:$23,((MAX(Equivalencia!$3:$3)-YEAR(X168))*14)+MONTH(X168)+2,FALSE)))</f>
        <v>1</v>
      </c>
      <c r="AB168" s="306">
        <f t="shared" si="42"/>
        <v>2011.1175000000001</v>
      </c>
      <c r="AC168" s="305">
        <f>+IF(X168=0,0,HLOOKUP(YEAR(X168)+(MONTH(X168)/100),TC!$5:$37,DAY(X168)+2,FALSE))</f>
        <v>20.278199999999998</v>
      </c>
      <c r="AD168" s="307">
        <f t="shared" si="43"/>
        <v>40781.842888499996</v>
      </c>
      <c r="AE168" s="314">
        <f t="shared" si="44"/>
        <v>33659.943646677602</v>
      </c>
      <c r="AF168" s="315">
        <f t="shared" si="45"/>
        <v>7121.8992418223934</v>
      </c>
      <c r="AG168" s="316">
        <f t="shared" si="46"/>
        <v>0.48219178082191783</v>
      </c>
      <c r="AH168" s="314">
        <v>1</v>
      </c>
      <c r="AI168" s="314">
        <f t="shared" si="47"/>
        <v>7121.8992418223934</v>
      </c>
      <c r="AJ168" s="314">
        <f t="shared" si="48"/>
        <v>0</v>
      </c>
      <c r="AK168" s="317"/>
      <c r="AL168" s="315">
        <f t="shared" si="49"/>
        <v>398.52749999999992</v>
      </c>
      <c r="AN168" s="554">
        <f t="shared" si="50"/>
        <v>0.24713504362547201</v>
      </c>
      <c r="AO168" s="314"/>
      <c r="AP168" s="318"/>
    </row>
    <row r="169" spans="2:42">
      <c r="B169" s="296" t="s">
        <v>1254</v>
      </c>
      <c r="C169" s="299" t="s">
        <v>277</v>
      </c>
      <c r="D169" s="298" t="s">
        <v>729</v>
      </c>
      <c r="E169" s="299" t="s">
        <v>113</v>
      </c>
      <c r="F169" s="299" t="s">
        <v>59</v>
      </c>
      <c r="G169" s="300">
        <v>44469</v>
      </c>
      <c r="H169" s="303">
        <v>235.61769230769232</v>
      </c>
      <c r="I169" s="301" t="str">
        <f t="shared" si="34"/>
        <v>Ingresos Sección II LISR (SIC &amp; BMV)</v>
      </c>
      <c r="J169" s="302">
        <f t="shared" si="35"/>
        <v>1</v>
      </c>
      <c r="K169" s="304">
        <f t="shared" si="36"/>
        <v>235.61769230769232</v>
      </c>
      <c r="L169" s="305">
        <f>IF(H169=0,0,IF(OR(E169=$AT$5,E169=$AT$6),AA169,IF(F169="MXN",1/HLOOKUP(YEAR(G169)+(MONTH(G169)/100),TC!$5:$37,DAY(G169)+2,FALSE),VLOOKUP(F169,Equivalencia!$5:$23,((MAX(Equivalencia!$3:$3)-YEAR(G169))*14)+MONTH(G169)+2,FALSE))))</f>
        <v>1</v>
      </c>
      <c r="M169" s="306">
        <f t="shared" si="37"/>
        <v>235.61769230769232</v>
      </c>
      <c r="N169" s="305">
        <f>IF(G169=0,0,(IF(OR(E169=$AT$5,E169=$AT$6),AC169,HLOOKUP(YEAR(G169)+(MONTH(G169)/100),TC!$5:$37,DAY(G169)+2,FALSE))))</f>
        <v>20.306000000000001</v>
      </c>
      <c r="O169" s="307">
        <f t="shared" si="38"/>
        <v>4784.4528600000003</v>
      </c>
      <c r="P169" s="560">
        <f>IF(G169=0,0,VLOOKUP(YEAR(G169),INPC!$B$4:$P$30,MONTH(G169)+2))</f>
        <v>114.601</v>
      </c>
      <c r="Q169" s="560">
        <f>IF(X169=0,0,IF(OR(E169=$AT$10,E169=$AT$9),VLOOKUP(YEAR(X169),INPC!$B$4:$P$30,MONTH(X169)+1),VLOOKUP(YEAR(X169),INPC!$B$4:$P$30,MONTH(X169)+2,0)))</f>
        <v>118.98099999999999</v>
      </c>
      <c r="R169" s="309">
        <f t="shared" si="39"/>
        <v>1.0382</v>
      </c>
      <c r="S169" s="310">
        <f t="shared" si="40"/>
        <v>4967.2189592520008</v>
      </c>
      <c r="T169" s="555">
        <f t="shared" si="41"/>
        <v>4967.2189592520008</v>
      </c>
      <c r="U169" s="311"/>
      <c r="V169" s="312">
        <v>1</v>
      </c>
      <c r="W169" s="299" t="s">
        <v>194</v>
      </c>
      <c r="X169" s="300">
        <v>44644</v>
      </c>
      <c r="Y169" s="299" t="s">
        <v>59</v>
      </c>
      <c r="Z169" s="303">
        <v>287.30250000000001</v>
      </c>
      <c r="AA169" s="305">
        <f>IF(Z169=0,0,IF(Y169="MXN",1/HLOOKUP(YEAR(X169)+(MONTH(X169)/100),TC!$5:$37,DAY(X169)+2,FALSE),VLOOKUP(Y169,Equivalencia!$1:$23,((MAX(Equivalencia!$3:$3)-YEAR(X169))*14)+MONTH(X169)+2,FALSE)))</f>
        <v>1</v>
      </c>
      <c r="AB169" s="306">
        <f t="shared" si="42"/>
        <v>287.30250000000001</v>
      </c>
      <c r="AC169" s="305">
        <f>+IF(X169=0,0,HLOOKUP(YEAR(X169)+(MONTH(X169)/100),TC!$5:$37,DAY(X169)+2,FALSE))</f>
        <v>20.278199999999998</v>
      </c>
      <c r="AD169" s="307">
        <f t="shared" si="43"/>
        <v>5825.9775554999997</v>
      </c>
      <c r="AE169" s="314">
        <f t="shared" si="44"/>
        <v>4967.2189592520008</v>
      </c>
      <c r="AF169" s="315">
        <f t="shared" si="45"/>
        <v>858.75859624799887</v>
      </c>
      <c r="AG169" s="316">
        <f t="shared" si="46"/>
        <v>0.47945205479452052</v>
      </c>
      <c r="AH169" s="314">
        <v>1</v>
      </c>
      <c r="AI169" s="314">
        <f t="shared" si="47"/>
        <v>858.75859624799887</v>
      </c>
      <c r="AJ169" s="314">
        <f t="shared" si="48"/>
        <v>0</v>
      </c>
      <c r="AK169" s="317"/>
      <c r="AL169" s="315">
        <f t="shared" si="49"/>
        <v>51.684807692307686</v>
      </c>
      <c r="AN169" s="554">
        <f t="shared" si="50"/>
        <v>0.21935877219615865</v>
      </c>
      <c r="AO169" s="314"/>
      <c r="AP169" s="318"/>
    </row>
    <row r="170" spans="2:42">
      <c r="B170" s="296" t="s">
        <v>1254</v>
      </c>
      <c r="C170" s="299" t="s">
        <v>277</v>
      </c>
      <c r="D170" s="298" t="s">
        <v>729</v>
      </c>
      <c r="E170" s="299" t="s">
        <v>113</v>
      </c>
      <c r="F170" s="299" t="s">
        <v>59</v>
      </c>
      <c r="G170" s="300">
        <v>44469</v>
      </c>
      <c r="H170" s="303">
        <v>2827.4123076923079</v>
      </c>
      <c r="I170" s="301" t="str">
        <f t="shared" si="34"/>
        <v>Ingresos Sección II LISR (SIC &amp; BMV)</v>
      </c>
      <c r="J170" s="302">
        <f t="shared" si="35"/>
        <v>12</v>
      </c>
      <c r="K170" s="304">
        <f t="shared" si="36"/>
        <v>235.61769230769232</v>
      </c>
      <c r="L170" s="305">
        <f>IF(H170=0,0,IF(OR(E170=$AT$5,E170=$AT$6),AA170,IF(F170="MXN",1/HLOOKUP(YEAR(G170)+(MONTH(G170)/100),TC!$5:$37,DAY(G170)+2,FALSE),VLOOKUP(F170,Equivalencia!$5:$23,((MAX(Equivalencia!$3:$3)-YEAR(G170))*14)+MONTH(G170)+2,FALSE))))</f>
        <v>1</v>
      </c>
      <c r="M170" s="306">
        <f t="shared" si="37"/>
        <v>2827.4123076923079</v>
      </c>
      <c r="N170" s="305">
        <f>IF(G170=0,0,(IF(OR(E170=$AT$5,E170=$AT$6),AC170,HLOOKUP(YEAR(G170)+(MONTH(G170)/100),TC!$5:$37,DAY(G170)+2,FALSE))))</f>
        <v>20.306000000000001</v>
      </c>
      <c r="O170" s="307">
        <f t="shared" si="38"/>
        <v>57413.434320000008</v>
      </c>
      <c r="P170" s="560">
        <f>IF(G170=0,0,VLOOKUP(YEAR(G170),INPC!$B$4:$P$30,MONTH(G170)+2))</f>
        <v>114.601</v>
      </c>
      <c r="Q170" s="560">
        <f>IF(X170=0,0,IF(OR(E170=$AT$10,E170=$AT$9),VLOOKUP(YEAR(X170),INPC!$B$4:$P$30,MONTH(X170)+1),VLOOKUP(YEAR(X170),INPC!$B$4:$P$30,MONTH(X170)+2,0)))</f>
        <v>118.98099999999999</v>
      </c>
      <c r="R170" s="309">
        <f t="shared" si="39"/>
        <v>1.0382</v>
      </c>
      <c r="S170" s="310">
        <f t="shared" si="40"/>
        <v>59606.627511024009</v>
      </c>
      <c r="T170" s="555">
        <f t="shared" si="41"/>
        <v>4967.2189592520008</v>
      </c>
      <c r="U170" s="311"/>
      <c r="V170" s="312">
        <v>12</v>
      </c>
      <c r="W170" s="299" t="s">
        <v>194</v>
      </c>
      <c r="X170" s="300">
        <v>44650</v>
      </c>
      <c r="Y170" s="299" t="s">
        <v>59</v>
      </c>
      <c r="Z170" s="303">
        <v>3468.6942857142858</v>
      </c>
      <c r="AA170" s="305">
        <f>IF(Z170=0,0,IF(Y170="MXN",1/HLOOKUP(YEAR(X170)+(MONTH(X170)/100),TC!$5:$37,DAY(X170)+2,FALSE),VLOOKUP(Y170,Equivalencia!$1:$23,((MAX(Equivalencia!$3:$3)-YEAR(X170))*14)+MONTH(X170)+2,FALSE)))</f>
        <v>1</v>
      </c>
      <c r="AB170" s="306">
        <f t="shared" si="42"/>
        <v>3468.6942857142858</v>
      </c>
      <c r="AC170" s="305">
        <f>+IF(X170=0,0,HLOOKUP(YEAR(X170)+(MONTH(X170)/100),TC!$5:$37,DAY(X170)+2,FALSE))</f>
        <v>20.119499999999999</v>
      </c>
      <c r="AD170" s="307">
        <f t="shared" si="43"/>
        <v>69788.394681428574</v>
      </c>
      <c r="AE170" s="314">
        <f t="shared" si="44"/>
        <v>59606.627511024009</v>
      </c>
      <c r="AF170" s="315">
        <f t="shared" si="45"/>
        <v>10181.767170404564</v>
      </c>
      <c r="AG170" s="316">
        <f t="shared" si="46"/>
        <v>0.49589041095890413</v>
      </c>
      <c r="AH170" s="314">
        <v>1</v>
      </c>
      <c r="AI170" s="314">
        <f t="shared" si="47"/>
        <v>10181.767170404564</v>
      </c>
      <c r="AJ170" s="314">
        <f t="shared" si="48"/>
        <v>0</v>
      </c>
      <c r="AK170" s="317"/>
      <c r="AL170" s="315">
        <f t="shared" si="49"/>
        <v>641.28197802197792</v>
      </c>
      <c r="AN170" s="554">
        <f t="shared" si="50"/>
        <v>0.22680879483947031</v>
      </c>
      <c r="AO170" s="314"/>
      <c r="AP170" s="318"/>
    </row>
    <row r="171" spans="2:42">
      <c r="B171" s="296" t="s">
        <v>1254</v>
      </c>
      <c r="C171" s="299" t="s">
        <v>277</v>
      </c>
      <c r="D171" s="298" t="s">
        <v>729</v>
      </c>
      <c r="E171" s="299" t="s">
        <v>113</v>
      </c>
      <c r="F171" s="299" t="s">
        <v>59</v>
      </c>
      <c r="G171" s="300">
        <v>44474</v>
      </c>
      <c r="H171" s="303">
        <v>3697.28</v>
      </c>
      <c r="I171" s="301" t="str">
        <f t="shared" si="34"/>
        <v>Ingresos Sección II LISR (SIC &amp; BMV)</v>
      </c>
      <c r="J171" s="302">
        <f t="shared" si="35"/>
        <v>16</v>
      </c>
      <c r="K171" s="304">
        <f t="shared" si="36"/>
        <v>231.08</v>
      </c>
      <c r="L171" s="305">
        <f>IF(H171=0,0,IF(OR(E171=$AT$5,E171=$AT$6),AA171,IF(F171="MXN",1/HLOOKUP(YEAR(G171)+(MONTH(G171)/100),TC!$5:$37,DAY(G171)+2,FALSE),VLOOKUP(F171,Equivalencia!$5:$23,((MAX(Equivalencia!$3:$3)-YEAR(G171))*14)+MONTH(G171)+2,FALSE))))</f>
        <v>1</v>
      </c>
      <c r="M171" s="306">
        <f t="shared" si="37"/>
        <v>3697.28</v>
      </c>
      <c r="N171" s="305">
        <f>IF(G171=0,0,(IF(OR(E171=$AT$5,E171=$AT$6),AC171,HLOOKUP(YEAR(G171)+(MONTH(G171)/100),TC!$5:$37,DAY(G171)+2,FALSE))))</f>
        <v>20.510300000000001</v>
      </c>
      <c r="O171" s="307">
        <f t="shared" si="38"/>
        <v>75832.321984000009</v>
      </c>
      <c r="P171" s="560">
        <f>IF(G171=0,0,VLOOKUP(YEAR(G171),INPC!$B$4:$P$30,MONTH(G171)+2))</f>
        <v>115.56100000000001</v>
      </c>
      <c r="Q171" s="560">
        <f>IF(X171=0,0,IF(OR(E171=$AT$10,E171=$AT$9),VLOOKUP(YEAR(X171),INPC!$B$4:$P$30,MONTH(X171)+1),VLOOKUP(YEAR(X171),INPC!$B$4:$P$30,MONTH(X171)+2,0)))</f>
        <v>118.98099999999999</v>
      </c>
      <c r="R171" s="309">
        <f t="shared" si="39"/>
        <v>1.0295000000000001</v>
      </c>
      <c r="S171" s="310">
        <f t="shared" si="40"/>
        <v>78069.375482528019</v>
      </c>
      <c r="T171" s="555">
        <f t="shared" si="41"/>
        <v>4879.3359676580012</v>
      </c>
      <c r="U171" s="311"/>
      <c r="V171" s="312">
        <v>16</v>
      </c>
      <c r="W171" s="299" t="s">
        <v>194</v>
      </c>
      <c r="X171" s="300">
        <v>44650</v>
      </c>
      <c r="Y171" s="299" t="s">
        <v>59</v>
      </c>
      <c r="Z171" s="303">
        <v>4624.9257142857141</v>
      </c>
      <c r="AA171" s="305">
        <f>IF(Z171=0,0,IF(Y171="MXN",1/HLOOKUP(YEAR(X171)+(MONTH(X171)/100),TC!$5:$37,DAY(X171)+2,FALSE),VLOOKUP(Y171,Equivalencia!$1:$23,((MAX(Equivalencia!$3:$3)-YEAR(X171))*14)+MONTH(X171)+2,FALSE)))</f>
        <v>1</v>
      </c>
      <c r="AB171" s="306">
        <f t="shared" si="42"/>
        <v>4624.9257142857141</v>
      </c>
      <c r="AC171" s="305">
        <f>+IF(X171=0,0,HLOOKUP(YEAR(X171)+(MONTH(X171)/100),TC!$5:$37,DAY(X171)+2,FALSE))</f>
        <v>20.119499999999999</v>
      </c>
      <c r="AD171" s="307">
        <f t="shared" si="43"/>
        <v>93051.192908571422</v>
      </c>
      <c r="AE171" s="314">
        <f t="shared" si="44"/>
        <v>78069.375482528019</v>
      </c>
      <c r="AF171" s="315">
        <f t="shared" si="45"/>
        <v>14981.817426043403</v>
      </c>
      <c r="AG171" s="316">
        <f t="shared" si="46"/>
        <v>0.48219178082191783</v>
      </c>
      <c r="AH171" s="314">
        <v>1</v>
      </c>
      <c r="AI171" s="314">
        <f t="shared" si="47"/>
        <v>14981.817426043403</v>
      </c>
      <c r="AJ171" s="314">
        <f t="shared" si="48"/>
        <v>0</v>
      </c>
      <c r="AK171" s="317"/>
      <c r="AL171" s="315">
        <f t="shared" si="49"/>
        <v>927.64571428571389</v>
      </c>
      <c r="AN171" s="554">
        <f t="shared" si="50"/>
        <v>0.25089950295506802</v>
      </c>
      <c r="AO171" s="314"/>
      <c r="AP171" s="318"/>
    </row>
    <row r="172" spans="2:42">
      <c r="B172" s="296" t="s">
        <v>1254</v>
      </c>
      <c r="C172" s="299" t="s">
        <v>277</v>
      </c>
      <c r="D172" s="298" t="s">
        <v>729</v>
      </c>
      <c r="E172" s="299" t="s">
        <v>113</v>
      </c>
      <c r="F172" s="299" t="s">
        <v>59</v>
      </c>
      <c r="G172" s="300">
        <v>44474</v>
      </c>
      <c r="H172" s="303">
        <v>924.32</v>
      </c>
      <c r="I172" s="301" t="str">
        <f t="shared" si="34"/>
        <v>Ingresos Sección II LISR (SIC &amp; BMV)</v>
      </c>
      <c r="J172" s="302">
        <f t="shared" si="35"/>
        <v>4</v>
      </c>
      <c r="K172" s="304">
        <f t="shared" si="36"/>
        <v>231.08</v>
      </c>
      <c r="L172" s="305">
        <f>IF(H172=0,0,IF(OR(E172=$AT$5,E172=$AT$6),AA172,IF(F172="MXN",1/HLOOKUP(YEAR(G172)+(MONTH(G172)/100),TC!$5:$37,DAY(G172)+2,FALSE),VLOOKUP(F172,Equivalencia!$5:$23,((MAX(Equivalencia!$3:$3)-YEAR(G172))*14)+MONTH(G172)+2,FALSE))))</f>
        <v>1</v>
      </c>
      <c r="M172" s="306">
        <f t="shared" si="37"/>
        <v>924.32</v>
      </c>
      <c r="N172" s="305">
        <f>IF(G172=0,0,(IF(OR(E172=$AT$5,E172=$AT$6),AC172,HLOOKUP(YEAR(G172)+(MONTH(G172)/100),TC!$5:$37,DAY(G172)+2,FALSE))))</f>
        <v>20.510300000000001</v>
      </c>
      <c r="O172" s="307">
        <f t="shared" si="38"/>
        <v>18958.080496000002</v>
      </c>
      <c r="P172" s="560">
        <f>IF(G172=0,0,VLOOKUP(YEAR(G172),INPC!$B$4:$P$30,MONTH(G172)+2))</f>
        <v>115.56100000000001</v>
      </c>
      <c r="Q172" s="560">
        <f>IF(X172=0,0,IF(OR(E172=$AT$10,E172=$AT$9),VLOOKUP(YEAR(X172),INPC!$B$4:$P$30,MONTH(X172)+1),VLOOKUP(YEAR(X172),INPC!$B$4:$P$30,MONTH(X172)+2,0)))</f>
        <v>118.98099999999999</v>
      </c>
      <c r="R172" s="309">
        <f t="shared" si="39"/>
        <v>1.0295000000000001</v>
      </c>
      <c r="S172" s="310">
        <f t="shared" si="40"/>
        <v>19517.343870632005</v>
      </c>
      <c r="T172" s="555">
        <f t="shared" si="41"/>
        <v>4879.3359676580012</v>
      </c>
      <c r="U172" s="311"/>
      <c r="V172" s="312">
        <v>4</v>
      </c>
      <c r="W172" s="299" t="s">
        <v>194</v>
      </c>
      <c r="X172" s="300">
        <v>44650</v>
      </c>
      <c r="Y172" s="299" t="s">
        <v>59</v>
      </c>
      <c r="Z172" s="303">
        <v>1153.8499999999999</v>
      </c>
      <c r="AA172" s="305">
        <f>IF(Z172=0,0,IF(Y172="MXN",1/HLOOKUP(YEAR(X172)+(MONTH(X172)/100),TC!$5:$37,DAY(X172)+2,FALSE),VLOOKUP(Y172,Equivalencia!$1:$23,((MAX(Equivalencia!$3:$3)-YEAR(X172))*14)+MONTH(X172)+2,FALSE)))</f>
        <v>1</v>
      </c>
      <c r="AB172" s="306">
        <f t="shared" si="42"/>
        <v>1153.8499999999999</v>
      </c>
      <c r="AC172" s="305">
        <f>+IF(X172=0,0,HLOOKUP(YEAR(X172)+(MONTH(X172)/100),TC!$5:$37,DAY(X172)+2,FALSE))</f>
        <v>20.119499999999999</v>
      </c>
      <c r="AD172" s="307">
        <f t="shared" si="43"/>
        <v>23214.885074999998</v>
      </c>
      <c r="AE172" s="314">
        <f t="shared" si="44"/>
        <v>19517.343870632005</v>
      </c>
      <c r="AF172" s="315">
        <f t="shared" si="45"/>
        <v>3697.5412043679935</v>
      </c>
      <c r="AG172" s="316">
        <f t="shared" si="46"/>
        <v>0.48219178082191783</v>
      </c>
      <c r="AH172" s="314">
        <v>1</v>
      </c>
      <c r="AI172" s="314">
        <f t="shared" si="47"/>
        <v>3697.5412043679935</v>
      </c>
      <c r="AJ172" s="314">
        <f t="shared" si="48"/>
        <v>0</v>
      </c>
      <c r="AK172" s="317"/>
      <c r="AL172" s="315">
        <f t="shared" si="49"/>
        <v>229.52999999999986</v>
      </c>
      <c r="AN172" s="554">
        <f t="shared" si="50"/>
        <v>0.24832309157001886</v>
      </c>
      <c r="AO172" s="314"/>
      <c r="AP172" s="318"/>
    </row>
    <row r="173" spans="2:42">
      <c r="B173" s="296" t="s">
        <v>1254</v>
      </c>
      <c r="C173" s="299" t="s">
        <v>277</v>
      </c>
      <c r="D173" s="298" t="s">
        <v>729</v>
      </c>
      <c r="E173" s="299" t="s">
        <v>113</v>
      </c>
      <c r="F173" s="299" t="s">
        <v>59</v>
      </c>
      <c r="G173" s="300">
        <v>44474</v>
      </c>
      <c r="H173" s="303">
        <v>1617.5600000000002</v>
      </c>
      <c r="I173" s="301" t="str">
        <f t="shared" si="34"/>
        <v>Ingresos Sección II LISR (SIC &amp; BMV)</v>
      </c>
      <c r="J173" s="302">
        <f t="shared" si="35"/>
        <v>7</v>
      </c>
      <c r="K173" s="304">
        <f t="shared" si="36"/>
        <v>231.08</v>
      </c>
      <c r="L173" s="305">
        <f>IF(H173=0,0,IF(OR(E173=$AT$5,E173=$AT$6),AA173,IF(F173="MXN",1/HLOOKUP(YEAR(G173)+(MONTH(G173)/100),TC!$5:$37,DAY(G173)+2,FALSE),VLOOKUP(F173,Equivalencia!$5:$23,((MAX(Equivalencia!$3:$3)-YEAR(G173))*14)+MONTH(G173)+2,FALSE))))</f>
        <v>1</v>
      </c>
      <c r="M173" s="306">
        <f t="shared" si="37"/>
        <v>1617.5600000000002</v>
      </c>
      <c r="N173" s="305">
        <f>IF(G173=0,0,(IF(OR(E173=$AT$5,E173=$AT$6),AC173,HLOOKUP(YEAR(G173)+(MONTH(G173)/100),TC!$5:$37,DAY(G173)+2,FALSE))))</f>
        <v>20.510300000000001</v>
      </c>
      <c r="O173" s="307">
        <f t="shared" si="38"/>
        <v>33176.640868000002</v>
      </c>
      <c r="P173" s="560">
        <f>IF(G173=0,0,VLOOKUP(YEAR(G173),INPC!$B$4:$P$30,MONTH(G173)+2))</f>
        <v>115.56100000000001</v>
      </c>
      <c r="Q173" s="560">
        <f>IF(X173=0,0,IF(OR(E173=$AT$10,E173=$AT$9),VLOOKUP(YEAR(X173),INPC!$B$4:$P$30,MONTH(X173)+1),VLOOKUP(YEAR(X173),INPC!$B$4:$P$30,MONTH(X173)+2,0)))</f>
        <v>118.98099999999999</v>
      </c>
      <c r="R173" s="309">
        <f t="shared" si="39"/>
        <v>1.0295000000000001</v>
      </c>
      <c r="S173" s="310">
        <f t="shared" si="40"/>
        <v>34155.351773606002</v>
      </c>
      <c r="T173" s="555">
        <f t="shared" si="41"/>
        <v>4879.3359676580003</v>
      </c>
      <c r="U173" s="311"/>
      <c r="V173" s="312">
        <v>7</v>
      </c>
      <c r="W173" s="299" t="s">
        <v>194</v>
      </c>
      <c r="X173" s="300">
        <v>44650</v>
      </c>
      <c r="Y173" s="299" t="s">
        <v>59</v>
      </c>
      <c r="Z173" s="303">
        <v>2029.15</v>
      </c>
      <c r="AA173" s="305">
        <f>IF(Z173=0,0,IF(Y173="MXN",1/HLOOKUP(YEAR(X173)+(MONTH(X173)/100),TC!$5:$37,DAY(X173)+2,FALSE),VLOOKUP(Y173,Equivalencia!$1:$23,((MAX(Equivalencia!$3:$3)-YEAR(X173))*14)+MONTH(X173)+2,FALSE)))</f>
        <v>1</v>
      </c>
      <c r="AB173" s="306">
        <f t="shared" si="42"/>
        <v>2029.15</v>
      </c>
      <c r="AC173" s="305">
        <f>+IF(X173=0,0,HLOOKUP(YEAR(X173)+(MONTH(X173)/100),TC!$5:$37,DAY(X173)+2,FALSE))</f>
        <v>20.119499999999999</v>
      </c>
      <c r="AD173" s="307">
        <f t="shared" si="43"/>
        <v>40825.483424999999</v>
      </c>
      <c r="AE173" s="314">
        <f t="shared" si="44"/>
        <v>34155.351773606002</v>
      </c>
      <c r="AF173" s="315">
        <f t="shared" si="45"/>
        <v>6670.1316513939964</v>
      </c>
      <c r="AG173" s="316">
        <f t="shared" si="46"/>
        <v>0.48219178082191783</v>
      </c>
      <c r="AH173" s="314">
        <v>1</v>
      </c>
      <c r="AI173" s="314">
        <f t="shared" si="47"/>
        <v>6670.1316513939964</v>
      </c>
      <c r="AJ173" s="314">
        <f t="shared" si="48"/>
        <v>0</v>
      </c>
      <c r="AK173" s="317"/>
      <c r="AL173" s="315">
        <f t="shared" si="49"/>
        <v>411.58999999999992</v>
      </c>
      <c r="AN173" s="554">
        <f t="shared" si="50"/>
        <v>0.25445114864363599</v>
      </c>
      <c r="AO173" s="314"/>
      <c r="AP173" s="318"/>
    </row>
    <row r="174" spans="2:42">
      <c r="B174" s="296" t="s">
        <v>1254</v>
      </c>
      <c r="C174" s="299" t="s">
        <v>277</v>
      </c>
      <c r="D174" s="298" t="s">
        <v>729</v>
      </c>
      <c r="E174" s="299" t="s">
        <v>113</v>
      </c>
      <c r="F174" s="299" t="s">
        <v>59</v>
      </c>
      <c r="G174" s="300">
        <v>44474</v>
      </c>
      <c r="H174" s="303">
        <v>5083.76</v>
      </c>
      <c r="I174" s="301" t="str">
        <f t="shared" si="34"/>
        <v>Ingresos Sección II LISR (SIC &amp; BMV)</v>
      </c>
      <c r="J174" s="302">
        <f t="shared" si="35"/>
        <v>22</v>
      </c>
      <c r="K174" s="304">
        <f t="shared" si="36"/>
        <v>231.08</v>
      </c>
      <c r="L174" s="305">
        <f>IF(H174=0,0,IF(OR(E174=$AT$5,E174=$AT$6),AA174,IF(F174="MXN",1/HLOOKUP(YEAR(G174)+(MONTH(G174)/100),TC!$5:$37,DAY(G174)+2,FALSE),VLOOKUP(F174,Equivalencia!$5:$23,((MAX(Equivalencia!$3:$3)-YEAR(G174))*14)+MONTH(G174)+2,FALSE))))</f>
        <v>1</v>
      </c>
      <c r="M174" s="306">
        <f t="shared" si="37"/>
        <v>5083.76</v>
      </c>
      <c r="N174" s="305">
        <f>IF(G174=0,0,(IF(OR(E174=$AT$5,E174=$AT$6),AC174,HLOOKUP(YEAR(G174)+(MONTH(G174)/100),TC!$5:$37,DAY(G174)+2,FALSE))))</f>
        <v>20.510300000000001</v>
      </c>
      <c r="O174" s="307">
        <f t="shared" si="38"/>
        <v>104269.44272800001</v>
      </c>
      <c r="P174" s="560">
        <f>IF(G174=0,0,VLOOKUP(YEAR(G174),INPC!$B$4:$P$30,MONTH(G174)+2))</f>
        <v>115.56100000000001</v>
      </c>
      <c r="Q174" s="560">
        <f>IF(X174=0,0,IF(OR(E174=$AT$10,E174=$AT$9),VLOOKUP(YEAR(X174),INPC!$B$4:$P$30,MONTH(X174)+1),VLOOKUP(YEAR(X174),INPC!$B$4:$P$30,MONTH(X174)+2,0)))</f>
        <v>120.15900000000001</v>
      </c>
      <c r="R174" s="309">
        <f t="shared" si="39"/>
        <v>1.0397000000000001</v>
      </c>
      <c r="S174" s="310">
        <f t="shared" si="40"/>
        <v>108408.93960430162</v>
      </c>
      <c r="T174" s="555">
        <f t="shared" si="41"/>
        <v>4927.6790729228005</v>
      </c>
      <c r="U174" s="311"/>
      <c r="V174" s="312">
        <v>22</v>
      </c>
      <c r="W174" s="299" t="s">
        <v>194</v>
      </c>
      <c r="X174" s="300">
        <v>44658</v>
      </c>
      <c r="Y174" s="299" t="s">
        <v>59</v>
      </c>
      <c r="Z174" s="303">
        <v>6826.3853658536573</v>
      </c>
      <c r="AA174" s="305">
        <f>IF(Z174=0,0,IF(Y174="MXN",1/HLOOKUP(YEAR(X174)+(MONTH(X174)/100),TC!$5:$37,DAY(X174)+2,FALSE),VLOOKUP(Y174,Equivalencia!$1:$23,((MAX(Equivalencia!$3:$3)-YEAR(X174))*14)+MONTH(X174)+2,FALSE)))</f>
        <v>1</v>
      </c>
      <c r="AB174" s="306">
        <f t="shared" si="42"/>
        <v>6826.3853658536573</v>
      </c>
      <c r="AC174" s="305">
        <f>+IF(X174=0,0,HLOOKUP(YEAR(X174)+(MONTH(X174)/100),TC!$5:$37,DAY(X174)+2,FALSE))</f>
        <v>19.901199999999999</v>
      </c>
      <c r="AD174" s="307">
        <f t="shared" si="43"/>
        <v>135853.26044292681</v>
      </c>
      <c r="AE174" s="314">
        <f t="shared" si="44"/>
        <v>108408.93960430162</v>
      </c>
      <c r="AF174" s="315">
        <f t="shared" si="45"/>
        <v>27444.320838625194</v>
      </c>
      <c r="AG174" s="316">
        <f t="shared" si="46"/>
        <v>0.50410958904109593</v>
      </c>
      <c r="AH174" s="314">
        <v>1</v>
      </c>
      <c r="AI174" s="314">
        <f t="shared" si="47"/>
        <v>27444.320838625194</v>
      </c>
      <c r="AJ174" s="314">
        <f t="shared" si="48"/>
        <v>0</v>
      </c>
      <c r="AK174" s="317"/>
      <c r="AL174" s="315">
        <f t="shared" si="49"/>
        <v>1742.6253658536571</v>
      </c>
      <c r="AN174" s="554">
        <f t="shared" si="50"/>
        <v>0.34278277610541352</v>
      </c>
      <c r="AO174" s="314"/>
      <c r="AP174" s="318"/>
    </row>
    <row r="175" spans="2:42">
      <c r="B175" s="296" t="s">
        <v>1254</v>
      </c>
      <c r="C175" s="299" t="s">
        <v>277</v>
      </c>
      <c r="D175" s="298" t="s">
        <v>729</v>
      </c>
      <c r="E175" s="299" t="s">
        <v>113</v>
      </c>
      <c r="F175" s="299" t="s">
        <v>59</v>
      </c>
      <c r="G175" s="300">
        <v>44476</v>
      </c>
      <c r="H175" s="303">
        <v>1398.95</v>
      </c>
      <c r="I175" s="301" t="str">
        <f t="shared" si="34"/>
        <v>Ingresos Sección II LISR (SIC &amp; BMV)</v>
      </c>
      <c r="J175" s="302">
        <f t="shared" si="35"/>
        <v>6</v>
      </c>
      <c r="K175" s="304">
        <f t="shared" si="36"/>
        <v>233.15833333333333</v>
      </c>
      <c r="L175" s="305">
        <f>IF(H175=0,0,IF(OR(E175=$AT$5,E175=$AT$6),AA175,IF(F175="MXN",1/HLOOKUP(YEAR(G175)+(MONTH(G175)/100),TC!$5:$37,DAY(G175)+2,FALSE),VLOOKUP(F175,Equivalencia!$5:$23,((MAX(Equivalencia!$3:$3)-YEAR(G175))*14)+MONTH(G175)+2,FALSE))))</f>
        <v>1</v>
      </c>
      <c r="M175" s="306">
        <f t="shared" si="37"/>
        <v>1398.95</v>
      </c>
      <c r="N175" s="305">
        <f>IF(G175=0,0,(IF(OR(E175=$AT$5,E175=$AT$6),AC175,HLOOKUP(YEAR(G175)+(MONTH(G175)/100),TC!$5:$37,DAY(G175)+2,FALSE))))</f>
        <v>20.581800000000001</v>
      </c>
      <c r="O175" s="307">
        <f t="shared" si="38"/>
        <v>28792.909110000004</v>
      </c>
      <c r="P175" s="560">
        <f>IF(G175=0,0,VLOOKUP(YEAR(G175),INPC!$B$4:$P$30,MONTH(G175)+2))</f>
        <v>115.56100000000001</v>
      </c>
      <c r="Q175" s="560">
        <f>IF(X175=0,0,IF(OR(E175=$AT$10,E175=$AT$9),VLOOKUP(YEAR(X175),INPC!$B$4:$P$30,MONTH(X175)+1),VLOOKUP(YEAR(X175),INPC!$B$4:$P$30,MONTH(X175)+2,0)))</f>
        <v>120.15900000000001</v>
      </c>
      <c r="R175" s="309">
        <f t="shared" si="39"/>
        <v>1.0397000000000001</v>
      </c>
      <c r="S175" s="310">
        <f t="shared" si="40"/>
        <v>29935.987601667006</v>
      </c>
      <c r="T175" s="555">
        <f t="shared" si="41"/>
        <v>4989.3312669445013</v>
      </c>
      <c r="U175" s="311"/>
      <c r="V175" s="312">
        <v>6</v>
      </c>
      <c r="W175" s="299" t="s">
        <v>194</v>
      </c>
      <c r="X175" s="300">
        <v>44658</v>
      </c>
      <c r="Y175" s="299" t="s">
        <v>59</v>
      </c>
      <c r="Z175" s="303">
        <v>1861.7414634146339</v>
      </c>
      <c r="AA175" s="305">
        <f>IF(Z175=0,0,IF(Y175="MXN",1/HLOOKUP(YEAR(X175)+(MONTH(X175)/100),TC!$5:$37,DAY(X175)+2,FALSE),VLOOKUP(Y175,Equivalencia!$1:$23,((MAX(Equivalencia!$3:$3)-YEAR(X175))*14)+MONTH(X175)+2,FALSE)))</f>
        <v>1</v>
      </c>
      <c r="AB175" s="306">
        <f t="shared" si="42"/>
        <v>1861.7414634146339</v>
      </c>
      <c r="AC175" s="305">
        <f>+IF(X175=0,0,HLOOKUP(YEAR(X175)+(MONTH(X175)/100),TC!$5:$37,DAY(X175)+2,FALSE))</f>
        <v>19.901199999999999</v>
      </c>
      <c r="AD175" s="307">
        <f t="shared" si="43"/>
        <v>37050.889211707312</v>
      </c>
      <c r="AE175" s="314">
        <f t="shared" si="44"/>
        <v>29935.98760166701</v>
      </c>
      <c r="AF175" s="315">
        <f t="shared" si="45"/>
        <v>7114.9016100403023</v>
      </c>
      <c r="AG175" s="316">
        <f t="shared" si="46"/>
        <v>0.49863013698630138</v>
      </c>
      <c r="AH175" s="314">
        <v>1</v>
      </c>
      <c r="AI175" s="314">
        <f t="shared" si="47"/>
        <v>7114.9016100403023</v>
      </c>
      <c r="AJ175" s="314">
        <f t="shared" si="48"/>
        <v>0</v>
      </c>
      <c r="AK175" s="317"/>
      <c r="AL175" s="315">
        <f t="shared" si="49"/>
        <v>462.79146341463388</v>
      </c>
      <c r="AN175" s="554">
        <f t="shared" si="50"/>
        <v>0.3308134410912712</v>
      </c>
      <c r="AO175" s="314"/>
      <c r="AP175" s="318"/>
    </row>
    <row r="176" spans="2:42">
      <c r="B176" s="296" t="s">
        <v>1254</v>
      </c>
      <c r="C176" s="299" t="s">
        <v>277</v>
      </c>
      <c r="D176" s="298" t="s">
        <v>729</v>
      </c>
      <c r="E176" s="299" t="s">
        <v>113</v>
      </c>
      <c r="F176" s="299" t="s">
        <v>59</v>
      </c>
      <c r="G176" s="300">
        <v>44476</v>
      </c>
      <c r="H176" s="303">
        <v>3030.6582222222223</v>
      </c>
      <c r="I176" s="301" t="str">
        <f t="shared" si="34"/>
        <v>Ingresos Sección II LISR (SIC &amp; BMV)</v>
      </c>
      <c r="J176" s="302">
        <f t="shared" si="35"/>
        <v>13</v>
      </c>
      <c r="K176" s="304">
        <f t="shared" si="36"/>
        <v>233.12755555555557</v>
      </c>
      <c r="L176" s="305">
        <f>IF(H176=0,0,IF(OR(E176=$AT$5,E176=$AT$6),AA176,IF(F176="MXN",1/HLOOKUP(YEAR(G176)+(MONTH(G176)/100),TC!$5:$37,DAY(G176)+2,FALSE),VLOOKUP(F176,Equivalencia!$5:$23,((MAX(Equivalencia!$3:$3)-YEAR(G176))*14)+MONTH(G176)+2,FALSE))))</f>
        <v>1</v>
      </c>
      <c r="M176" s="306">
        <f t="shared" si="37"/>
        <v>3030.6582222222223</v>
      </c>
      <c r="N176" s="305">
        <f>IF(G176=0,0,(IF(OR(E176=$AT$5,E176=$AT$6),AC176,HLOOKUP(YEAR(G176)+(MONTH(G176)/100),TC!$5:$37,DAY(G176)+2,FALSE))))</f>
        <v>20.581800000000001</v>
      </c>
      <c r="O176" s="307">
        <f t="shared" si="38"/>
        <v>62376.401398133341</v>
      </c>
      <c r="P176" s="560">
        <f>IF(G176=0,0,VLOOKUP(YEAR(G176),INPC!$B$4:$P$30,MONTH(G176)+2))</f>
        <v>115.56100000000001</v>
      </c>
      <c r="Q176" s="560">
        <f>IF(X176=0,0,IF(OR(E176=$AT$10,E176=$AT$9),VLOOKUP(YEAR(X176),INPC!$B$4:$P$30,MONTH(X176)+1),VLOOKUP(YEAR(X176),INPC!$B$4:$P$30,MONTH(X176)+2,0)))</f>
        <v>120.15900000000001</v>
      </c>
      <c r="R176" s="309">
        <f t="shared" si="39"/>
        <v>1.0397000000000001</v>
      </c>
      <c r="S176" s="310">
        <f t="shared" si="40"/>
        <v>64852.744533639241</v>
      </c>
      <c r="T176" s="555">
        <f t="shared" si="41"/>
        <v>4988.6726564337878</v>
      </c>
      <c r="U176" s="311"/>
      <c r="V176" s="312">
        <v>13</v>
      </c>
      <c r="W176" s="299" t="s">
        <v>194</v>
      </c>
      <c r="X176" s="300">
        <v>44658</v>
      </c>
      <c r="Y176" s="299" t="s">
        <v>59</v>
      </c>
      <c r="Z176" s="303">
        <v>4033.7731707317071</v>
      </c>
      <c r="AA176" s="305">
        <f>IF(Z176=0,0,IF(Y176="MXN",1/HLOOKUP(YEAR(X176)+(MONTH(X176)/100),TC!$5:$37,DAY(X176)+2,FALSE),VLOOKUP(Y176,Equivalencia!$1:$23,((MAX(Equivalencia!$3:$3)-YEAR(X176))*14)+MONTH(X176)+2,FALSE)))</f>
        <v>1</v>
      </c>
      <c r="AB176" s="306">
        <f t="shared" si="42"/>
        <v>4033.7731707317071</v>
      </c>
      <c r="AC176" s="305">
        <f>+IF(X176=0,0,HLOOKUP(YEAR(X176)+(MONTH(X176)/100),TC!$5:$37,DAY(X176)+2,FALSE))</f>
        <v>19.901199999999999</v>
      </c>
      <c r="AD176" s="307">
        <f t="shared" si="43"/>
        <v>80276.926625365842</v>
      </c>
      <c r="AE176" s="314">
        <f t="shared" si="44"/>
        <v>64852.744533639241</v>
      </c>
      <c r="AF176" s="315">
        <f t="shared" si="45"/>
        <v>15424.182091726601</v>
      </c>
      <c r="AG176" s="316">
        <f t="shared" si="46"/>
        <v>0.49863013698630138</v>
      </c>
      <c r="AH176" s="314">
        <v>1</v>
      </c>
      <c r="AI176" s="314">
        <f t="shared" si="47"/>
        <v>15424.182091726601</v>
      </c>
      <c r="AJ176" s="314">
        <f t="shared" si="48"/>
        <v>0</v>
      </c>
      <c r="AK176" s="317"/>
      <c r="AL176" s="315">
        <f t="shared" si="49"/>
        <v>1003.1149485094847</v>
      </c>
      <c r="AN176" s="554">
        <f t="shared" si="50"/>
        <v>0.33098913666812396</v>
      </c>
      <c r="AO176" s="314"/>
      <c r="AP176" s="318"/>
    </row>
    <row r="177" spans="2:42">
      <c r="B177" s="296" t="s">
        <v>1254</v>
      </c>
      <c r="C177" s="299" t="s">
        <v>277</v>
      </c>
      <c r="D177" s="298" t="s">
        <v>729</v>
      </c>
      <c r="E177" s="299" t="s">
        <v>113</v>
      </c>
      <c r="F177" s="299" t="s">
        <v>59</v>
      </c>
      <c r="G177" s="300">
        <v>44476</v>
      </c>
      <c r="H177" s="303">
        <v>7460.0817777777775</v>
      </c>
      <c r="I177" s="301" t="str">
        <f t="shared" si="34"/>
        <v>Ingresos Sección II LISR (SIC &amp; BMV)</v>
      </c>
      <c r="J177" s="302">
        <f t="shared" si="35"/>
        <v>32</v>
      </c>
      <c r="K177" s="304">
        <f t="shared" si="36"/>
        <v>233.12755555555555</v>
      </c>
      <c r="L177" s="305">
        <f>IF(H177=0,0,IF(OR(E177=$AT$5,E177=$AT$6),AA177,IF(F177="MXN",1/HLOOKUP(YEAR(G177)+(MONTH(G177)/100),TC!$5:$37,DAY(G177)+2,FALSE),VLOOKUP(F177,Equivalencia!$5:$23,((MAX(Equivalencia!$3:$3)-YEAR(G177))*14)+MONTH(G177)+2,FALSE))))</f>
        <v>1</v>
      </c>
      <c r="M177" s="306">
        <f t="shared" si="37"/>
        <v>7460.0817777777775</v>
      </c>
      <c r="N177" s="305">
        <f>IF(G177=0,0,(IF(OR(E177=$AT$5,E177=$AT$6),AC177,HLOOKUP(YEAR(G177)+(MONTH(G177)/100),TC!$5:$37,DAY(G177)+2,FALSE))))</f>
        <v>20.581800000000001</v>
      </c>
      <c r="O177" s="307">
        <f t="shared" si="38"/>
        <v>153541.91113386667</v>
      </c>
      <c r="P177" s="560">
        <f>IF(G177=0,0,VLOOKUP(YEAR(G177),INPC!$B$4:$P$30,MONTH(G177)+2))</f>
        <v>115.56100000000001</v>
      </c>
      <c r="Q177" s="560">
        <f>IF(X177=0,0,IF(OR(E177=$AT$10,E177=$AT$9),VLOOKUP(YEAR(X177),INPC!$B$4:$P$30,MONTH(X177)+1),VLOOKUP(YEAR(X177),INPC!$B$4:$P$30,MONTH(X177)+2,0)))</f>
        <v>120.15900000000001</v>
      </c>
      <c r="R177" s="309">
        <f t="shared" si="39"/>
        <v>1.0397000000000001</v>
      </c>
      <c r="S177" s="310">
        <f t="shared" si="40"/>
        <v>159637.52500588118</v>
      </c>
      <c r="T177" s="555">
        <f t="shared" si="41"/>
        <v>4988.6726564337869</v>
      </c>
      <c r="U177" s="311"/>
      <c r="V177" s="312">
        <v>32</v>
      </c>
      <c r="W177" s="299" t="s">
        <v>194</v>
      </c>
      <c r="X177" s="300">
        <v>44664</v>
      </c>
      <c r="Y177" s="299" t="s">
        <v>59</v>
      </c>
      <c r="Z177" s="303">
        <v>9693.3302857142862</v>
      </c>
      <c r="AA177" s="305">
        <f>IF(Z177=0,0,IF(Y177="MXN",1/HLOOKUP(YEAR(X177)+(MONTH(X177)/100),TC!$5:$37,DAY(X177)+2,FALSE),VLOOKUP(Y177,Equivalencia!$1:$23,((MAX(Equivalencia!$3:$3)-YEAR(X177))*14)+MONTH(X177)+2,FALSE)))</f>
        <v>1</v>
      </c>
      <c r="AB177" s="306">
        <f t="shared" si="42"/>
        <v>9693.3302857142862</v>
      </c>
      <c r="AC177" s="305">
        <f>+IF(X177=0,0,HLOOKUP(YEAR(X177)+(MONTH(X177)/100),TC!$5:$37,DAY(X177)+2,FALSE))</f>
        <v>20.0093</v>
      </c>
      <c r="AD177" s="307">
        <f t="shared" si="43"/>
        <v>193956.75368594285</v>
      </c>
      <c r="AE177" s="314">
        <f t="shared" si="44"/>
        <v>159637.52500588118</v>
      </c>
      <c r="AF177" s="315">
        <f t="shared" si="45"/>
        <v>34319.228680061671</v>
      </c>
      <c r="AG177" s="316">
        <f t="shared" si="46"/>
        <v>0.51506849315068493</v>
      </c>
      <c r="AH177" s="314">
        <v>1</v>
      </c>
      <c r="AI177" s="314">
        <f t="shared" si="47"/>
        <v>34319.228680061671</v>
      </c>
      <c r="AJ177" s="314">
        <f t="shared" si="48"/>
        <v>0</v>
      </c>
      <c r="AK177" s="317"/>
      <c r="AL177" s="315">
        <f t="shared" si="49"/>
        <v>2233.2485079365088</v>
      </c>
      <c r="AN177" s="554">
        <f t="shared" si="50"/>
        <v>0.29935978913648759</v>
      </c>
      <c r="AO177" s="314"/>
      <c r="AP177" s="318"/>
    </row>
    <row r="178" spans="2:42">
      <c r="B178" s="296" t="s">
        <v>1254</v>
      </c>
      <c r="C178" s="299" t="s">
        <v>277</v>
      </c>
      <c r="D178" s="298" t="s">
        <v>729</v>
      </c>
      <c r="E178" s="299" t="s">
        <v>113</v>
      </c>
      <c r="F178" s="299" t="s">
        <v>59</v>
      </c>
      <c r="G178" s="300">
        <v>44480</v>
      </c>
      <c r="H178" s="303">
        <v>707.09999999999991</v>
      </c>
      <c r="I178" s="301" t="str">
        <f t="shared" si="34"/>
        <v>Ingresos Sección II LISR (SIC &amp; BMV)</v>
      </c>
      <c r="J178" s="302">
        <f t="shared" si="35"/>
        <v>3</v>
      </c>
      <c r="K178" s="304">
        <f t="shared" si="36"/>
        <v>235.69999999999996</v>
      </c>
      <c r="L178" s="305">
        <f>IF(H178=0,0,IF(OR(E178=$AT$5,E178=$AT$6),AA178,IF(F178="MXN",1/HLOOKUP(YEAR(G178)+(MONTH(G178)/100),TC!$5:$37,DAY(G178)+2,FALSE),VLOOKUP(F178,Equivalencia!$5:$23,((MAX(Equivalencia!$3:$3)-YEAR(G178))*14)+MONTH(G178)+2,FALSE))))</f>
        <v>1</v>
      </c>
      <c r="M178" s="306">
        <f t="shared" si="37"/>
        <v>707.09999999999991</v>
      </c>
      <c r="N178" s="305">
        <f>IF(G178=0,0,(IF(OR(E178=$AT$5,E178=$AT$6),AC178,HLOOKUP(YEAR(G178)+(MONTH(G178)/100),TC!$5:$37,DAY(G178)+2,FALSE))))</f>
        <v>20.603999999999999</v>
      </c>
      <c r="O178" s="307">
        <f t="shared" si="38"/>
        <v>14569.088399999997</v>
      </c>
      <c r="P178" s="560">
        <f>IF(G178=0,0,VLOOKUP(YEAR(G178),INPC!$B$4:$P$30,MONTH(G178)+2))</f>
        <v>115.56100000000001</v>
      </c>
      <c r="Q178" s="560">
        <f>IF(X178=0,0,IF(OR(E178=$AT$10,E178=$AT$9),VLOOKUP(YEAR(X178),INPC!$B$4:$P$30,MONTH(X178)+1),VLOOKUP(YEAR(X178),INPC!$B$4:$P$30,MONTH(X178)+2,0)))</f>
        <v>120.15900000000001</v>
      </c>
      <c r="R178" s="309">
        <f t="shared" si="39"/>
        <v>1.0397000000000001</v>
      </c>
      <c r="S178" s="310">
        <f t="shared" si="40"/>
        <v>15147.481209479998</v>
      </c>
      <c r="T178" s="555">
        <f t="shared" si="41"/>
        <v>5049.1604031599991</v>
      </c>
      <c r="U178" s="311"/>
      <c r="V178" s="312">
        <v>3</v>
      </c>
      <c r="W178" s="299" t="s">
        <v>194</v>
      </c>
      <c r="X178" s="300">
        <v>44664</v>
      </c>
      <c r="Y178" s="299" t="s">
        <v>59</v>
      </c>
      <c r="Z178" s="303">
        <v>908.74971428571439</v>
      </c>
      <c r="AA178" s="305">
        <f>IF(Z178=0,0,IF(Y178="MXN",1/HLOOKUP(YEAR(X178)+(MONTH(X178)/100),TC!$5:$37,DAY(X178)+2,FALSE),VLOOKUP(Y178,Equivalencia!$1:$23,((MAX(Equivalencia!$3:$3)-YEAR(X178))*14)+MONTH(X178)+2,FALSE)))</f>
        <v>1</v>
      </c>
      <c r="AB178" s="306">
        <f t="shared" si="42"/>
        <v>908.74971428571439</v>
      </c>
      <c r="AC178" s="305">
        <f>+IF(X178=0,0,HLOOKUP(YEAR(X178)+(MONTH(X178)/100),TC!$5:$37,DAY(X178)+2,FALSE))</f>
        <v>20.0093</v>
      </c>
      <c r="AD178" s="307">
        <f t="shared" si="43"/>
        <v>18183.445658057146</v>
      </c>
      <c r="AE178" s="314">
        <f t="shared" si="44"/>
        <v>15147.481209479996</v>
      </c>
      <c r="AF178" s="315">
        <f t="shared" si="45"/>
        <v>3035.9644485771496</v>
      </c>
      <c r="AG178" s="316">
        <f t="shared" si="46"/>
        <v>0.50410958904109593</v>
      </c>
      <c r="AH178" s="314">
        <v>1</v>
      </c>
      <c r="AI178" s="314">
        <f t="shared" si="47"/>
        <v>3035.9644485771496</v>
      </c>
      <c r="AJ178" s="314">
        <f t="shared" si="48"/>
        <v>0</v>
      </c>
      <c r="AK178" s="317"/>
      <c r="AL178" s="315">
        <f t="shared" si="49"/>
        <v>201.64971428571448</v>
      </c>
      <c r="AN178" s="554">
        <f t="shared" si="50"/>
        <v>0.28517849566640435</v>
      </c>
      <c r="AO178" s="314"/>
      <c r="AP178" s="318"/>
    </row>
    <row r="179" spans="2:42">
      <c r="B179" s="296" t="s">
        <v>1254</v>
      </c>
      <c r="C179" s="299" t="s">
        <v>277</v>
      </c>
      <c r="D179" s="298" t="s">
        <v>729</v>
      </c>
      <c r="E179" s="299" t="s">
        <v>113</v>
      </c>
      <c r="F179" s="299" t="s">
        <v>59</v>
      </c>
      <c r="G179" s="300">
        <v>44480</v>
      </c>
      <c r="H179" s="303">
        <v>1178.5</v>
      </c>
      <c r="I179" s="301" t="str">
        <f t="shared" si="34"/>
        <v>Ingresos Sección II LISR (SIC &amp; BMV)</v>
      </c>
      <c r="J179" s="302">
        <f t="shared" si="35"/>
        <v>5</v>
      </c>
      <c r="K179" s="304">
        <f t="shared" si="36"/>
        <v>235.7</v>
      </c>
      <c r="L179" s="305">
        <f>IF(H179=0,0,IF(OR(E179=$AT$5,E179=$AT$6),AA179,IF(F179="MXN",1/HLOOKUP(YEAR(G179)+(MONTH(G179)/100),TC!$5:$37,DAY(G179)+2,FALSE),VLOOKUP(F179,Equivalencia!$5:$23,((MAX(Equivalencia!$3:$3)-YEAR(G179))*14)+MONTH(G179)+2,FALSE))))</f>
        <v>1</v>
      </c>
      <c r="M179" s="306">
        <f t="shared" si="37"/>
        <v>1178.5</v>
      </c>
      <c r="N179" s="305">
        <f>IF(G179=0,0,(IF(OR(E179=$AT$5,E179=$AT$6),AC179,HLOOKUP(YEAR(G179)+(MONTH(G179)/100),TC!$5:$37,DAY(G179)+2,FALSE))))</f>
        <v>20.603999999999999</v>
      </c>
      <c r="O179" s="307">
        <f t="shared" si="38"/>
        <v>24281.813999999998</v>
      </c>
      <c r="P179" s="560">
        <f>IF(G179=0,0,VLOOKUP(YEAR(G179),INPC!$B$4:$P$30,MONTH(G179)+2))</f>
        <v>115.56100000000001</v>
      </c>
      <c r="Q179" s="560">
        <f>IF(X179=0,0,IF(OR(E179=$AT$10,E179=$AT$9),VLOOKUP(YEAR(X179),INPC!$B$4:$P$30,MONTH(X179)+1),VLOOKUP(YEAR(X179),INPC!$B$4:$P$30,MONTH(X179)+2,0)))</f>
        <v>120.15900000000001</v>
      </c>
      <c r="R179" s="309">
        <f t="shared" si="39"/>
        <v>1.0397000000000001</v>
      </c>
      <c r="S179" s="310">
        <f t="shared" si="40"/>
        <v>25245.8020158</v>
      </c>
      <c r="T179" s="555">
        <f t="shared" si="41"/>
        <v>5049.16040316</v>
      </c>
      <c r="U179" s="311"/>
      <c r="V179" s="312">
        <v>5</v>
      </c>
      <c r="W179" s="299" t="s">
        <v>194</v>
      </c>
      <c r="X179" s="300">
        <v>44664</v>
      </c>
      <c r="Y179" s="299" t="s">
        <v>59</v>
      </c>
      <c r="Z179" s="303">
        <v>1508.0250000000001</v>
      </c>
      <c r="AA179" s="305">
        <f>IF(Z179=0,0,IF(Y179="MXN",1/HLOOKUP(YEAR(X179)+(MONTH(X179)/100),TC!$5:$37,DAY(X179)+2,FALSE),VLOOKUP(Y179,Equivalencia!$1:$23,((MAX(Equivalencia!$3:$3)-YEAR(X179))*14)+MONTH(X179)+2,FALSE)))</f>
        <v>1</v>
      </c>
      <c r="AB179" s="306">
        <f t="shared" si="42"/>
        <v>1508.0250000000001</v>
      </c>
      <c r="AC179" s="305">
        <f>+IF(X179=0,0,HLOOKUP(YEAR(X179)+(MONTH(X179)/100),TC!$5:$37,DAY(X179)+2,FALSE))</f>
        <v>20.0093</v>
      </c>
      <c r="AD179" s="307">
        <f t="shared" si="43"/>
        <v>30174.524632500001</v>
      </c>
      <c r="AE179" s="314">
        <f t="shared" si="44"/>
        <v>25245.8020158</v>
      </c>
      <c r="AF179" s="315">
        <f t="shared" si="45"/>
        <v>4928.7226167000008</v>
      </c>
      <c r="AG179" s="316">
        <f t="shared" si="46"/>
        <v>0.50410958904109593</v>
      </c>
      <c r="AH179" s="314">
        <v>1</v>
      </c>
      <c r="AI179" s="314">
        <f t="shared" si="47"/>
        <v>4928.7226167000008</v>
      </c>
      <c r="AJ179" s="314">
        <f t="shared" si="48"/>
        <v>0</v>
      </c>
      <c r="AK179" s="317"/>
      <c r="AL179" s="315">
        <f t="shared" si="49"/>
        <v>329.52500000000009</v>
      </c>
      <c r="AN179" s="554">
        <f t="shared" si="50"/>
        <v>0.27961391599490887</v>
      </c>
      <c r="AO179" s="314"/>
      <c r="AP179" s="318"/>
    </row>
    <row r="180" spans="2:42">
      <c r="B180" s="296" t="s">
        <v>1254</v>
      </c>
      <c r="C180" s="299" t="s">
        <v>277</v>
      </c>
      <c r="D180" s="298" t="s">
        <v>729</v>
      </c>
      <c r="E180" s="299" t="s">
        <v>113</v>
      </c>
      <c r="F180" s="299" t="s">
        <v>59</v>
      </c>
      <c r="G180" s="300">
        <v>44480</v>
      </c>
      <c r="H180" s="303">
        <v>236.85</v>
      </c>
      <c r="I180" s="301" t="str">
        <f t="shared" si="34"/>
        <v>Ingresos Sección II LISR (SIC &amp; BMV)</v>
      </c>
      <c r="J180" s="302">
        <f t="shared" si="35"/>
        <v>1</v>
      </c>
      <c r="K180" s="304">
        <f t="shared" si="36"/>
        <v>236.85</v>
      </c>
      <c r="L180" s="305">
        <f>IF(H180=0,0,IF(OR(E180=$AT$5,E180=$AT$6),AA180,IF(F180="MXN",1/HLOOKUP(YEAR(G180)+(MONTH(G180)/100),TC!$5:$37,DAY(G180)+2,FALSE),VLOOKUP(F180,Equivalencia!$5:$23,((MAX(Equivalencia!$3:$3)-YEAR(G180))*14)+MONTH(G180)+2,FALSE))))</f>
        <v>1</v>
      </c>
      <c r="M180" s="306">
        <f t="shared" si="37"/>
        <v>236.85</v>
      </c>
      <c r="N180" s="305">
        <f>IF(G180=0,0,(IF(OR(E180=$AT$5,E180=$AT$6),AC180,HLOOKUP(YEAR(G180)+(MONTH(G180)/100),TC!$5:$37,DAY(G180)+2,FALSE))))</f>
        <v>20.603999999999999</v>
      </c>
      <c r="O180" s="307">
        <f t="shared" si="38"/>
        <v>4880.0573999999997</v>
      </c>
      <c r="P180" s="560">
        <f>IF(G180=0,0,VLOOKUP(YEAR(G180),INPC!$B$4:$P$30,MONTH(G180)+2))</f>
        <v>115.56100000000001</v>
      </c>
      <c r="Q180" s="560">
        <f>IF(X180=0,0,IF(OR(E180=$AT$10,E180=$AT$9),VLOOKUP(YEAR(X180),INPC!$B$4:$P$30,MONTH(X180)+1),VLOOKUP(YEAR(X180),INPC!$B$4:$P$30,MONTH(X180)+2,0)))</f>
        <v>120.15900000000001</v>
      </c>
      <c r="R180" s="309">
        <f t="shared" si="39"/>
        <v>1.0397000000000001</v>
      </c>
      <c r="S180" s="310">
        <f t="shared" si="40"/>
        <v>5073.7956787800003</v>
      </c>
      <c r="T180" s="555">
        <f t="shared" si="41"/>
        <v>5073.7956787800003</v>
      </c>
      <c r="U180" s="311"/>
      <c r="V180" s="312">
        <v>1</v>
      </c>
      <c r="W180" s="299" t="s">
        <v>194</v>
      </c>
      <c r="X180" s="300">
        <v>44664</v>
      </c>
      <c r="Y180" s="299" t="s">
        <v>59</v>
      </c>
      <c r="Z180" s="303">
        <v>301.60500000000002</v>
      </c>
      <c r="AA180" s="305">
        <f>IF(Z180=0,0,IF(Y180="MXN",1/HLOOKUP(YEAR(X180)+(MONTH(X180)/100),TC!$5:$37,DAY(X180)+2,FALSE),VLOOKUP(Y180,Equivalencia!$1:$23,((MAX(Equivalencia!$3:$3)-YEAR(X180))*14)+MONTH(X180)+2,FALSE)))</f>
        <v>1</v>
      </c>
      <c r="AB180" s="306">
        <f t="shared" si="42"/>
        <v>301.60500000000002</v>
      </c>
      <c r="AC180" s="305">
        <f>+IF(X180=0,0,HLOOKUP(YEAR(X180)+(MONTH(X180)/100),TC!$5:$37,DAY(X180)+2,FALSE))</f>
        <v>20.0093</v>
      </c>
      <c r="AD180" s="307">
        <f t="shared" si="43"/>
        <v>6034.9049265000003</v>
      </c>
      <c r="AE180" s="314">
        <f t="shared" si="44"/>
        <v>5073.7956787800003</v>
      </c>
      <c r="AF180" s="315">
        <f t="shared" si="45"/>
        <v>961.10924771999998</v>
      </c>
      <c r="AG180" s="316">
        <f t="shared" si="46"/>
        <v>0.50410958904109593</v>
      </c>
      <c r="AH180" s="314">
        <v>1</v>
      </c>
      <c r="AI180" s="314">
        <f t="shared" si="47"/>
        <v>961.10924771999998</v>
      </c>
      <c r="AJ180" s="314">
        <f t="shared" si="48"/>
        <v>0</v>
      </c>
      <c r="AK180" s="317"/>
      <c r="AL180" s="315">
        <f t="shared" si="49"/>
        <v>64.755000000000024</v>
      </c>
      <c r="AN180" s="554">
        <f t="shared" si="50"/>
        <v>0.27340088663711221</v>
      </c>
      <c r="AO180" s="314"/>
      <c r="AP180" s="318"/>
    </row>
    <row r="181" spans="2:42">
      <c r="B181" s="296" t="s">
        <v>1254</v>
      </c>
      <c r="C181" s="299" t="s">
        <v>277</v>
      </c>
      <c r="D181" s="298" t="s">
        <v>876</v>
      </c>
      <c r="E181" s="299" t="s">
        <v>106</v>
      </c>
      <c r="F181" s="299" t="s">
        <v>59</v>
      </c>
      <c r="G181" s="300">
        <v>44265</v>
      </c>
      <c r="H181" s="303">
        <v>99.86666666666666</v>
      </c>
      <c r="I181" s="301" t="str">
        <f t="shared" si="34"/>
        <v>Ingresos Sección I LISR</v>
      </c>
      <c r="J181" s="302">
        <f t="shared" si="35"/>
        <v>1</v>
      </c>
      <c r="K181" s="304">
        <f t="shared" si="36"/>
        <v>99.86666666666666</v>
      </c>
      <c r="L181" s="305">
        <f>IF(H181=0,0,IF(OR(E181=$AT$5,E181=$AT$6),AA181,IF(F181="MXN",1/HLOOKUP(YEAR(G181)+(MONTH(G181)/100),TC!$5:$37,DAY(G181)+2,FALSE),VLOOKUP(F181,Equivalencia!$5:$23,((MAX(Equivalencia!$3:$3)-YEAR(G181))*14)+MONTH(G181)+2,FALSE))))</f>
        <v>1</v>
      </c>
      <c r="M181" s="306">
        <f t="shared" si="37"/>
        <v>99.86666666666666</v>
      </c>
      <c r="N181" s="305">
        <f>IF(G181=0,0,(IF(OR(E181=$AT$5,E181=$AT$6),AC181,HLOOKUP(YEAR(G181)+(MONTH(G181)/100),TC!$5:$37,DAY(G181)+2,FALSE))))</f>
        <v>21.4177</v>
      </c>
      <c r="O181" s="307">
        <f t="shared" si="38"/>
        <v>2138.9143066666666</v>
      </c>
      <c r="P181" s="560">
        <f>IF(G181=0,0,VLOOKUP(YEAR(G181),INPC!$B$4:$P$30,MONTH(G181)+2))</f>
        <v>111.824</v>
      </c>
      <c r="Q181" s="560">
        <f>IF(X181=0,0,IF(OR(E181=$AT$10,E181=$AT$9),VLOOKUP(YEAR(X181),INPC!$B$4:$P$30,MONTH(X181)+1),VLOOKUP(YEAR(X181),INPC!$B$4:$P$30,MONTH(X181)+2,0)))</f>
        <v>120.15900000000001</v>
      </c>
      <c r="R181" s="309">
        <f t="shared" si="39"/>
        <v>1.0745</v>
      </c>
      <c r="S181" s="310">
        <f t="shared" si="40"/>
        <v>2298.2634225133334</v>
      </c>
      <c r="T181" s="555">
        <f t="shared" si="41"/>
        <v>2298.2634225133334</v>
      </c>
      <c r="U181" s="311"/>
      <c r="V181" s="312">
        <v>1</v>
      </c>
      <c r="W181" s="299" t="s">
        <v>194</v>
      </c>
      <c r="X181" s="300">
        <v>44629</v>
      </c>
      <c r="Y181" s="299" t="s">
        <v>59</v>
      </c>
      <c r="Z181" s="303">
        <v>34.384687499999998</v>
      </c>
      <c r="AA181" s="305">
        <f>IF(Z181=0,0,IF(Y181="MXN",1/HLOOKUP(YEAR(X181)+(MONTH(X181)/100),TC!$5:$37,DAY(X181)+2,FALSE),VLOOKUP(Y181,Equivalencia!$1:$23,((MAX(Equivalencia!$3:$3)-YEAR(X181))*14)+MONTH(X181)+2,FALSE)))</f>
        <v>1</v>
      </c>
      <c r="AB181" s="306">
        <f t="shared" si="42"/>
        <v>34.384687499999998</v>
      </c>
      <c r="AC181" s="305">
        <f>+IF(X181=0,0,HLOOKUP(YEAR(X181)+(MONTH(X181)/100),TC!$5:$37,DAY(X181)+2,FALSE))</f>
        <v>21.194700000000001</v>
      </c>
      <c r="AD181" s="307">
        <f t="shared" si="43"/>
        <v>728.77313615624996</v>
      </c>
      <c r="AE181" s="314">
        <f t="shared" si="44"/>
        <v>2298.2634225133334</v>
      </c>
      <c r="AF181" s="315">
        <f t="shared" si="45"/>
        <v>-1569.4902863570833</v>
      </c>
      <c r="AG181" s="316">
        <f t="shared" si="46"/>
        <v>0.99726027397260275</v>
      </c>
      <c r="AH181" s="314">
        <v>1</v>
      </c>
      <c r="AI181" s="314">
        <f t="shared" si="47"/>
        <v>-1569.4902863570833</v>
      </c>
      <c r="AJ181" s="314">
        <f t="shared" si="48"/>
        <v>0</v>
      </c>
      <c r="AK181" s="317"/>
      <c r="AL181" s="315">
        <f t="shared" si="49"/>
        <v>-65.481979166666662</v>
      </c>
      <c r="AN181" s="554">
        <f t="shared" si="50"/>
        <v>-0.65569405040053408</v>
      </c>
      <c r="AO181" s="314"/>
      <c r="AP181" s="318"/>
    </row>
    <row r="182" spans="2:42">
      <c r="B182" s="296" t="s">
        <v>1254</v>
      </c>
      <c r="C182" s="299" t="s">
        <v>277</v>
      </c>
      <c r="D182" s="298" t="s">
        <v>876</v>
      </c>
      <c r="E182" s="299" t="s">
        <v>106</v>
      </c>
      <c r="F182" s="299" t="s">
        <v>59</v>
      </c>
      <c r="G182" s="300">
        <v>44266</v>
      </c>
      <c r="H182" s="303">
        <v>3129.0957142857142</v>
      </c>
      <c r="I182" s="301" t="str">
        <f t="shared" si="34"/>
        <v>Ingresos Sección I LISR</v>
      </c>
      <c r="J182" s="302">
        <f t="shared" si="35"/>
        <v>31</v>
      </c>
      <c r="K182" s="304">
        <f t="shared" si="36"/>
        <v>100.93857142857142</v>
      </c>
      <c r="L182" s="305">
        <f>IF(H182=0,0,IF(OR(E182=$AT$5,E182=$AT$6),AA182,IF(F182="MXN",1/HLOOKUP(YEAR(G182)+(MONTH(G182)/100),TC!$5:$37,DAY(G182)+2,FALSE),VLOOKUP(F182,Equivalencia!$5:$23,((MAX(Equivalencia!$3:$3)-YEAR(G182))*14)+MONTH(G182)+2,FALSE))))</f>
        <v>1</v>
      </c>
      <c r="M182" s="306">
        <f t="shared" si="37"/>
        <v>3129.0957142857142</v>
      </c>
      <c r="N182" s="305">
        <f>IF(G182=0,0,(IF(OR(E182=$AT$5,E182=$AT$6),AC182,HLOOKUP(YEAR(G182)+(MONTH(G182)/100),TC!$5:$37,DAY(G182)+2,FALSE))))</f>
        <v>21.2575</v>
      </c>
      <c r="O182" s="307">
        <f t="shared" si="38"/>
        <v>66516.752146428567</v>
      </c>
      <c r="P182" s="560">
        <f>IF(G182=0,0,VLOOKUP(YEAR(G182),INPC!$B$4:$P$30,MONTH(G182)+2))</f>
        <v>111.824</v>
      </c>
      <c r="Q182" s="560">
        <f>IF(X182=0,0,IF(OR(E182=$AT$10,E182=$AT$9),VLOOKUP(YEAR(X182),INPC!$B$4:$P$30,MONTH(X182)+1),VLOOKUP(YEAR(X182),INPC!$B$4:$P$30,MONTH(X182)+2,0)))</f>
        <v>120.15900000000001</v>
      </c>
      <c r="R182" s="309">
        <f t="shared" si="39"/>
        <v>1.0745</v>
      </c>
      <c r="S182" s="310">
        <f t="shared" si="40"/>
        <v>71472.250181337498</v>
      </c>
      <c r="T182" s="555">
        <f t="shared" si="41"/>
        <v>2305.5564574625</v>
      </c>
      <c r="U182" s="311"/>
      <c r="V182" s="312">
        <v>31</v>
      </c>
      <c r="W182" s="299" t="s">
        <v>194</v>
      </c>
      <c r="X182" s="300">
        <v>44629</v>
      </c>
      <c r="Y182" s="299" t="s">
        <v>59</v>
      </c>
      <c r="Z182" s="303">
        <v>1065.9253125</v>
      </c>
      <c r="AA182" s="305">
        <f>IF(Z182=0,0,IF(Y182="MXN",1/HLOOKUP(YEAR(X182)+(MONTH(X182)/100),TC!$5:$37,DAY(X182)+2,FALSE),VLOOKUP(Y182,Equivalencia!$1:$23,((MAX(Equivalencia!$3:$3)-YEAR(X182))*14)+MONTH(X182)+2,FALSE)))</f>
        <v>1</v>
      </c>
      <c r="AB182" s="306">
        <f t="shared" si="42"/>
        <v>1065.9253125</v>
      </c>
      <c r="AC182" s="305">
        <f>+IF(X182=0,0,HLOOKUP(YEAR(X182)+(MONTH(X182)/100),TC!$5:$37,DAY(X182)+2,FALSE))</f>
        <v>21.194700000000001</v>
      </c>
      <c r="AD182" s="307">
        <f t="shared" si="43"/>
        <v>22591.967220843751</v>
      </c>
      <c r="AE182" s="314">
        <f t="shared" si="44"/>
        <v>71472.250181337498</v>
      </c>
      <c r="AF182" s="315">
        <f t="shared" si="45"/>
        <v>-48880.282960493743</v>
      </c>
      <c r="AG182" s="316">
        <f t="shared" si="46"/>
        <v>0.9945205479452055</v>
      </c>
      <c r="AH182" s="314">
        <v>1</v>
      </c>
      <c r="AI182" s="314">
        <f t="shared" si="47"/>
        <v>-48880.282960493743</v>
      </c>
      <c r="AJ182" s="314">
        <f t="shared" si="48"/>
        <v>0</v>
      </c>
      <c r="AK182" s="317"/>
      <c r="AL182" s="315">
        <f t="shared" si="49"/>
        <v>-2063.1704017857141</v>
      </c>
      <c r="AN182" s="554">
        <f t="shared" si="50"/>
        <v>-0.65935036514428857</v>
      </c>
      <c r="AO182" s="314"/>
      <c r="AP182" s="318"/>
    </row>
    <row r="183" spans="2:42">
      <c r="B183" s="296" t="s">
        <v>1254</v>
      </c>
      <c r="C183" s="299" t="s">
        <v>277</v>
      </c>
      <c r="D183" s="298" t="s">
        <v>876</v>
      </c>
      <c r="E183" s="299" t="s">
        <v>106</v>
      </c>
      <c r="F183" s="299" t="s">
        <v>59</v>
      </c>
      <c r="G183" s="300">
        <v>44266</v>
      </c>
      <c r="H183" s="303">
        <v>403.75428571428569</v>
      </c>
      <c r="I183" s="301" t="str">
        <f t="shared" si="34"/>
        <v>Ingresos Sección I LISR</v>
      </c>
      <c r="J183" s="302">
        <f t="shared" si="35"/>
        <v>4</v>
      </c>
      <c r="K183" s="304">
        <f t="shared" si="36"/>
        <v>100.93857142857142</v>
      </c>
      <c r="L183" s="305">
        <f>IF(H183=0,0,IF(OR(E183=$AT$5,E183=$AT$6),AA183,IF(F183="MXN",1/HLOOKUP(YEAR(G183)+(MONTH(G183)/100),TC!$5:$37,DAY(G183)+2,FALSE),VLOOKUP(F183,Equivalencia!$5:$23,((MAX(Equivalencia!$3:$3)-YEAR(G183))*14)+MONTH(G183)+2,FALSE))))</f>
        <v>1</v>
      </c>
      <c r="M183" s="306">
        <f t="shared" si="37"/>
        <v>403.75428571428569</v>
      </c>
      <c r="N183" s="305">
        <f>IF(G183=0,0,(IF(OR(E183=$AT$5,E183=$AT$6),AC183,HLOOKUP(YEAR(G183)+(MONTH(G183)/100),TC!$5:$37,DAY(G183)+2,FALSE))))</f>
        <v>21.2575</v>
      </c>
      <c r="O183" s="307">
        <f t="shared" si="38"/>
        <v>8582.8067285714278</v>
      </c>
      <c r="P183" s="560">
        <f>IF(G183=0,0,VLOOKUP(YEAR(G183),INPC!$B$4:$P$30,MONTH(G183)+2))</f>
        <v>111.824</v>
      </c>
      <c r="Q183" s="560">
        <f>IF(X183=0,0,IF(OR(E183=$AT$10,E183=$AT$9),VLOOKUP(YEAR(X183),INPC!$B$4:$P$30,MONTH(X183)+1),VLOOKUP(YEAR(X183),INPC!$B$4:$P$30,MONTH(X183)+2,0)))</f>
        <v>120.15900000000001</v>
      </c>
      <c r="R183" s="309">
        <f t="shared" si="39"/>
        <v>1.0745</v>
      </c>
      <c r="S183" s="310">
        <f t="shared" si="40"/>
        <v>9222.2258298500001</v>
      </c>
      <c r="T183" s="555">
        <f t="shared" si="41"/>
        <v>2305.5564574625</v>
      </c>
      <c r="U183" s="311"/>
      <c r="V183" s="312">
        <v>4</v>
      </c>
      <c r="W183" s="299" t="s">
        <v>194</v>
      </c>
      <c r="X183" s="300">
        <v>44629</v>
      </c>
      <c r="Y183" s="299" t="s">
        <v>59</v>
      </c>
      <c r="Z183" s="303">
        <v>151.85720000000001</v>
      </c>
      <c r="AA183" s="305">
        <f>IF(Z183=0,0,IF(Y183="MXN",1/HLOOKUP(YEAR(X183)+(MONTH(X183)/100),TC!$5:$37,DAY(X183)+2,FALSE),VLOOKUP(Y183,Equivalencia!$1:$23,((MAX(Equivalencia!$3:$3)-YEAR(X183))*14)+MONTH(X183)+2,FALSE)))</f>
        <v>1</v>
      </c>
      <c r="AB183" s="306">
        <f t="shared" si="42"/>
        <v>151.85720000000001</v>
      </c>
      <c r="AC183" s="305">
        <f>+IF(X183=0,0,HLOOKUP(YEAR(X183)+(MONTH(X183)/100),TC!$5:$37,DAY(X183)+2,FALSE))</f>
        <v>21.194700000000001</v>
      </c>
      <c r="AD183" s="307">
        <f t="shared" si="43"/>
        <v>3218.5677968400005</v>
      </c>
      <c r="AE183" s="314">
        <f t="shared" si="44"/>
        <v>9222.2258298500001</v>
      </c>
      <c r="AF183" s="315">
        <f t="shared" si="45"/>
        <v>-6003.6580330099996</v>
      </c>
      <c r="AG183" s="316">
        <f t="shared" si="46"/>
        <v>0.9945205479452055</v>
      </c>
      <c r="AH183" s="314">
        <v>1</v>
      </c>
      <c r="AI183" s="314">
        <f t="shared" si="47"/>
        <v>-6003.6580330099996</v>
      </c>
      <c r="AJ183" s="314">
        <f t="shared" si="48"/>
        <v>0</v>
      </c>
      <c r="AK183" s="317"/>
      <c r="AL183" s="315">
        <f t="shared" si="49"/>
        <v>-251.89708571428568</v>
      </c>
      <c r="AN183" s="554">
        <f t="shared" si="50"/>
        <v>-0.62388708832812034</v>
      </c>
      <c r="AO183" s="314"/>
      <c r="AP183" s="318"/>
    </row>
    <row r="184" spans="2:42">
      <c r="B184" s="296" t="s">
        <v>1254</v>
      </c>
      <c r="C184" s="299" t="s">
        <v>277</v>
      </c>
      <c r="D184" s="298" t="s">
        <v>876</v>
      </c>
      <c r="E184" s="299" t="s">
        <v>106</v>
      </c>
      <c r="F184" s="299" t="s">
        <v>59</v>
      </c>
      <c r="G184" s="300">
        <v>44312</v>
      </c>
      <c r="H184" s="303">
        <v>670.8</v>
      </c>
      <c r="I184" s="301" t="str">
        <f t="shared" si="34"/>
        <v>Ingresos Sección I LISR</v>
      </c>
      <c r="J184" s="302">
        <f t="shared" si="35"/>
        <v>6</v>
      </c>
      <c r="K184" s="304">
        <f t="shared" si="36"/>
        <v>111.8</v>
      </c>
      <c r="L184" s="305">
        <f>IF(H184=0,0,IF(OR(E184=$AT$5,E184=$AT$6),AA184,IF(F184="MXN",1/HLOOKUP(YEAR(G184)+(MONTH(G184)/100),TC!$5:$37,DAY(G184)+2,FALSE),VLOOKUP(F184,Equivalencia!$5:$23,((MAX(Equivalencia!$3:$3)-YEAR(G184))*14)+MONTH(G184)+2,FALSE))))</f>
        <v>1</v>
      </c>
      <c r="M184" s="306">
        <f t="shared" si="37"/>
        <v>670.8</v>
      </c>
      <c r="N184" s="305">
        <f>IF(G184=0,0,(IF(OR(E184=$AT$5,E184=$AT$6),AC184,HLOOKUP(YEAR(G184)+(MONTH(G184)/100),TC!$5:$37,DAY(G184)+2,FALSE))))</f>
        <v>19.886500000000002</v>
      </c>
      <c r="O184" s="307">
        <f t="shared" si="38"/>
        <v>13339.8642</v>
      </c>
      <c r="P184" s="560">
        <f>IF(G184=0,0,VLOOKUP(YEAR(G184),INPC!$B$4:$P$30,MONTH(G184)+2))</f>
        <v>112.19</v>
      </c>
      <c r="Q184" s="560">
        <f>IF(X184=0,0,IF(OR(E184=$AT$10,E184=$AT$9),VLOOKUP(YEAR(X184),INPC!$B$4:$P$30,MONTH(X184)+1),VLOOKUP(YEAR(X184),INPC!$B$4:$P$30,MONTH(X184)+2,0)))</f>
        <v>120.15900000000001</v>
      </c>
      <c r="R184" s="309">
        <f t="shared" si="39"/>
        <v>1.071</v>
      </c>
      <c r="S184" s="310">
        <f t="shared" si="40"/>
        <v>14286.9945582</v>
      </c>
      <c r="T184" s="555">
        <f t="shared" si="41"/>
        <v>2381.1657596999999</v>
      </c>
      <c r="U184" s="311"/>
      <c r="V184" s="312">
        <v>6</v>
      </c>
      <c r="W184" s="299" t="s">
        <v>194</v>
      </c>
      <c r="X184" s="300">
        <v>44629</v>
      </c>
      <c r="Y184" s="299" t="s">
        <v>59</v>
      </c>
      <c r="Z184" s="303">
        <v>227.78579999999999</v>
      </c>
      <c r="AA184" s="305">
        <f>IF(Z184=0,0,IF(Y184="MXN",1/HLOOKUP(YEAR(X184)+(MONTH(X184)/100),TC!$5:$37,DAY(X184)+2,FALSE),VLOOKUP(Y184,Equivalencia!$1:$23,((MAX(Equivalencia!$3:$3)-YEAR(X184))*14)+MONTH(X184)+2,FALSE)))</f>
        <v>1</v>
      </c>
      <c r="AB184" s="306">
        <f t="shared" si="42"/>
        <v>227.78579999999999</v>
      </c>
      <c r="AC184" s="305">
        <f>+IF(X184=0,0,HLOOKUP(YEAR(X184)+(MONTH(X184)/100),TC!$5:$37,DAY(X184)+2,FALSE))</f>
        <v>21.194700000000001</v>
      </c>
      <c r="AD184" s="307">
        <f t="shared" si="43"/>
        <v>4827.8516952600003</v>
      </c>
      <c r="AE184" s="314">
        <f t="shared" si="44"/>
        <v>14286.9945582</v>
      </c>
      <c r="AF184" s="315">
        <f t="shared" si="45"/>
        <v>-9459.1428629399998</v>
      </c>
      <c r="AG184" s="316">
        <f t="shared" si="46"/>
        <v>0.86849315068493149</v>
      </c>
      <c r="AH184" s="314">
        <v>1</v>
      </c>
      <c r="AI184" s="314">
        <f t="shared" si="47"/>
        <v>-9459.1428629399998</v>
      </c>
      <c r="AJ184" s="314">
        <f t="shared" si="48"/>
        <v>0</v>
      </c>
      <c r="AK184" s="317"/>
      <c r="AL184" s="315">
        <f t="shared" si="49"/>
        <v>-443.01419999999996</v>
      </c>
      <c r="AN184" s="554">
        <f t="shared" si="50"/>
        <v>-0.66042665474060824</v>
      </c>
      <c r="AO184" s="314"/>
      <c r="AP184" s="318"/>
    </row>
    <row r="185" spans="2:42">
      <c r="B185" s="296" t="s">
        <v>1254</v>
      </c>
      <c r="C185" s="299" t="s">
        <v>277</v>
      </c>
      <c r="D185" s="298" t="s">
        <v>876</v>
      </c>
      <c r="E185" s="299" t="s">
        <v>106</v>
      </c>
      <c r="F185" s="299" t="s">
        <v>59</v>
      </c>
      <c r="G185" s="300">
        <v>44312</v>
      </c>
      <c r="H185" s="303">
        <v>8011.73</v>
      </c>
      <c r="I185" s="301" t="str">
        <f t="shared" si="34"/>
        <v>Ingresos Sección I LISR</v>
      </c>
      <c r="J185" s="302">
        <f t="shared" si="35"/>
        <v>72</v>
      </c>
      <c r="K185" s="304">
        <f t="shared" si="36"/>
        <v>111.27402777777777</v>
      </c>
      <c r="L185" s="305">
        <f>IF(H185=0,0,IF(OR(E185=$AT$5,E185=$AT$6),AA185,IF(F185="MXN",1/HLOOKUP(YEAR(G185)+(MONTH(G185)/100),TC!$5:$37,DAY(G185)+2,FALSE),VLOOKUP(F185,Equivalencia!$5:$23,((MAX(Equivalencia!$3:$3)-YEAR(G185))*14)+MONTH(G185)+2,FALSE))))</f>
        <v>1</v>
      </c>
      <c r="M185" s="306">
        <f t="shared" si="37"/>
        <v>8011.73</v>
      </c>
      <c r="N185" s="305">
        <f>IF(G185=0,0,(IF(OR(E185=$AT$5,E185=$AT$6),AC185,HLOOKUP(YEAR(G185)+(MONTH(G185)/100),TC!$5:$37,DAY(G185)+2,FALSE))))</f>
        <v>19.886500000000002</v>
      </c>
      <c r="O185" s="307">
        <f t="shared" si="38"/>
        <v>159325.268645</v>
      </c>
      <c r="P185" s="560">
        <f>IF(G185=0,0,VLOOKUP(YEAR(G185),INPC!$B$4:$P$30,MONTH(G185)+2))</f>
        <v>112.19</v>
      </c>
      <c r="Q185" s="560">
        <f>IF(X185=0,0,IF(OR(E185=$AT$10,E185=$AT$9),VLOOKUP(YEAR(X185),INPC!$B$4:$P$30,MONTH(X185)+1),VLOOKUP(YEAR(X185),INPC!$B$4:$P$30,MONTH(X185)+2,0)))</f>
        <v>120.15900000000001</v>
      </c>
      <c r="R185" s="309">
        <f t="shared" si="39"/>
        <v>1.071</v>
      </c>
      <c r="S185" s="310">
        <f t="shared" si="40"/>
        <v>170637.36271879499</v>
      </c>
      <c r="T185" s="555">
        <f t="shared" si="41"/>
        <v>2369.9633710943749</v>
      </c>
      <c r="U185" s="311"/>
      <c r="V185" s="312">
        <v>72</v>
      </c>
      <c r="W185" s="299" t="s">
        <v>194</v>
      </c>
      <c r="X185" s="300">
        <v>44629</v>
      </c>
      <c r="Y185" s="299" t="s">
        <v>59</v>
      </c>
      <c r="Z185" s="303">
        <v>2733.4295999999999</v>
      </c>
      <c r="AA185" s="305">
        <f>IF(Z185=0,0,IF(Y185="MXN",1/HLOOKUP(YEAR(X185)+(MONTH(X185)/100),TC!$5:$37,DAY(X185)+2,FALSE),VLOOKUP(Y185,Equivalencia!$1:$23,((MAX(Equivalencia!$3:$3)-YEAR(X185))*14)+MONTH(X185)+2,FALSE)))</f>
        <v>1</v>
      </c>
      <c r="AB185" s="306">
        <f t="shared" si="42"/>
        <v>2733.4295999999999</v>
      </c>
      <c r="AC185" s="305">
        <f>+IF(X185=0,0,HLOOKUP(YEAR(X185)+(MONTH(X185)/100),TC!$5:$37,DAY(X185)+2,FALSE))</f>
        <v>21.194700000000001</v>
      </c>
      <c r="AD185" s="307">
        <f t="shared" si="43"/>
        <v>57934.220343120003</v>
      </c>
      <c r="AE185" s="314">
        <f t="shared" si="44"/>
        <v>170637.36271879499</v>
      </c>
      <c r="AF185" s="315">
        <f t="shared" si="45"/>
        <v>-112703.14237567499</v>
      </c>
      <c r="AG185" s="316">
        <f t="shared" si="46"/>
        <v>0.86849315068493149</v>
      </c>
      <c r="AH185" s="314">
        <v>1</v>
      </c>
      <c r="AI185" s="314">
        <f t="shared" si="47"/>
        <v>-112703.14237567499</v>
      </c>
      <c r="AJ185" s="314">
        <f t="shared" si="48"/>
        <v>0</v>
      </c>
      <c r="AK185" s="317"/>
      <c r="AL185" s="315">
        <f t="shared" si="49"/>
        <v>-5278.3004000000001</v>
      </c>
      <c r="AN185" s="554">
        <f t="shared" si="50"/>
        <v>-0.65882155289806321</v>
      </c>
      <c r="AO185" s="314"/>
      <c r="AP185" s="318"/>
    </row>
    <row r="186" spans="2:42">
      <c r="B186" s="296" t="s">
        <v>1254</v>
      </c>
      <c r="C186" s="299" t="s">
        <v>277</v>
      </c>
      <c r="D186" s="298" t="s">
        <v>876</v>
      </c>
      <c r="E186" s="299" t="s">
        <v>106</v>
      </c>
      <c r="F186" s="299" t="s">
        <v>59</v>
      </c>
      <c r="G186" s="300">
        <v>44313</v>
      </c>
      <c r="H186" s="303">
        <v>3841.96</v>
      </c>
      <c r="I186" s="301" t="str">
        <f t="shared" si="34"/>
        <v>Ingresos Sección I LISR</v>
      </c>
      <c r="J186" s="302">
        <f t="shared" si="35"/>
        <v>34</v>
      </c>
      <c r="K186" s="304">
        <f t="shared" si="36"/>
        <v>112.99882352941177</v>
      </c>
      <c r="L186" s="305">
        <f>IF(H186=0,0,IF(OR(E186=$AT$5,E186=$AT$6),AA186,IF(F186="MXN",1/HLOOKUP(YEAR(G186)+(MONTH(G186)/100),TC!$5:$37,DAY(G186)+2,FALSE),VLOOKUP(F186,Equivalencia!$5:$23,((MAX(Equivalencia!$3:$3)-YEAR(G186))*14)+MONTH(G186)+2,FALSE))))</f>
        <v>1</v>
      </c>
      <c r="M186" s="306">
        <f t="shared" si="37"/>
        <v>3841.96</v>
      </c>
      <c r="N186" s="305">
        <f>IF(G186=0,0,(IF(OR(E186=$AT$5,E186=$AT$6),AC186,HLOOKUP(YEAR(G186)+(MONTH(G186)/100),TC!$5:$37,DAY(G186)+2,FALSE))))</f>
        <v>19.869499999999999</v>
      </c>
      <c r="O186" s="307">
        <f t="shared" si="38"/>
        <v>76337.824219999995</v>
      </c>
      <c r="P186" s="560">
        <f>IF(G186=0,0,VLOOKUP(YEAR(G186),INPC!$B$4:$P$30,MONTH(G186)+2))</f>
        <v>112.19</v>
      </c>
      <c r="Q186" s="560">
        <f>IF(X186=0,0,IF(OR(E186=$AT$10,E186=$AT$9),VLOOKUP(YEAR(X186),INPC!$B$4:$P$30,MONTH(X186)+1),VLOOKUP(YEAR(X186),INPC!$B$4:$P$30,MONTH(X186)+2,0)))</f>
        <v>120.15900000000001</v>
      </c>
      <c r="R186" s="309">
        <f t="shared" si="39"/>
        <v>1.071</v>
      </c>
      <c r="S186" s="310">
        <f t="shared" si="40"/>
        <v>81757.809739619988</v>
      </c>
      <c r="T186" s="555">
        <f t="shared" si="41"/>
        <v>2404.6414629299998</v>
      </c>
      <c r="U186" s="311"/>
      <c r="V186" s="312">
        <v>34</v>
      </c>
      <c r="W186" s="299" t="s">
        <v>194</v>
      </c>
      <c r="X186" s="300">
        <v>44629</v>
      </c>
      <c r="Y186" s="299" t="s">
        <v>59</v>
      </c>
      <c r="Z186" s="303">
        <v>1290.7862</v>
      </c>
      <c r="AA186" s="305">
        <f>IF(Z186=0,0,IF(Y186="MXN",1/HLOOKUP(YEAR(X186)+(MONTH(X186)/100),TC!$5:$37,DAY(X186)+2,FALSE),VLOOKUP(Y186,Equivalencia!$1:$23,((MAX(Equivalencia!$3:$3)-YEAR(X186))*14)+MONTH(X186)+2,FALSE)))</f>
        <v>1</v>
      </c>
      <c r="AB186" s="306">
        <f t="shared" si="42"/>
        <v>1290.7862</v>
      </c>
      <c r="AC186" s="305">
        <f>+IF(X186=0,0,HLOOKUP(YEAR(X186)+(MONTH(X186)/100),TC!$5:$37,DAY(X186)+2,FALSE))</f>
        <v>21.194700000000001</v>
      </c>
      <c r="AD186" s="307">
        <f t="shared" si="43"/>
        <v>27357.826273140003</v>
      </c>
      <c r="AE186" s="314">
        <f t="shared" si="44"/>
        <v>81757.809739619988</v>
      </c>
      <c r="AF186" s="315">
        <f t="shared" si="45"/>
        <v>-54399.983466479986</v>
      </c>
      <c r="AG186" s="316">
        <f t="shared" si="46"/>
        <v>0.86575342465753424</v>
      </c>
      <c r="AH186" s="314">
        <v>1</v>
      </c>
      <c r="AI186" s="314">
        <f t="shared" si="47"/>
        <v>-54399.983466479986</v>
      </c>
      <c r="AJ186" s="314">
        <f t="shared" si="48"/>
        <v>0</v>
      </c>
      <c r="AK186" s="317"/>
      <c r="AL186" s="315">
        <f t="shared" si="49"/>
        <v>-2551.1738</v>
      </c>
      <c r="AN186" s="554">
        <f t="shared" si="50"/>
        <v>-0.66402924548928155</v>
      </c>
      <c r="AO186" s="314"/>
      <c r="AP186" s="318"/>
    </row>
    <row r="187" spans="2:42">
      <c r="B187" s="296" t="s">
        <v>1254</v>
      </c>
      <c r="C187" s="299" t="s">
        <v>277</v>
      </c>
      <c r="D187" s="298" t="s">
        <v>876</v>
      </c>
      <c r="E187" s="299" t="s">
        <v>106</v>
      </c>
      <c r="F187" s="299" t="s">
        <v>59</v>
      </c>
      <c r="G187" s="300">
        <v>44349</v>
      </c>
      <c r="H187" s="303">
        <v>6920.21</v>
      </c>
      <c r="I187" s="301" t="str">
        <f t="shared" si="34"/>
        <v>Ingresos Sección I LISR</v>
      </c>
      <c r="J187" s="302">
        <f t="shared" si="35"/>
        <v>73</v>
      </c>
      <c r="K187" s="304">
        <f t="shared" si="36"/>
        <v>94.797397260273968</v>
      </c>
      <c r="L187" s="305">
        <f>IF(H187=0,0,IF(OR(E187=$AT$5,E187=$AT$6),AA187,IF(F187="MXN",1/HLOOKUP(YEAR(G187)+(MONTH(G187)/100),TC!$5:$37,DAY(G187)+2,FALSE),VLOOKUP(F187,Equivalencia!$5:$23,((MAX(Equivalencia!$3:$3)-YEAR(G187))*14)+MONTH(G187)+2,FALSE))))</f>
        <v>1</v>
      </c>
      <c r="M187" s="306">
        <f t="shared" si="37"/>
        <v>6920.21</v>
      </c>
      <c r="N187" s="305">
        <f>IF(G187=0,0,(IF(OR(E187=$AT$5,E187=$AT$6),AC187,HLOOKUP(YEAR(G187)+(MONTH(G187)/100),TC!$5:$37,DAY(G187)+2,FALSE))))</f>
        <v>19.921299999999999</v>
      </c>
      <c r="O187" s="307">
        <f t="shared" si="38"/>
        <v>137859.57947299999</v>
      </c>
      <c r="P187" s="560">
        <f>IF(G187=0,0,VLOOKUP(YEAR(G187),INPC!$B$4:$P$30,MONTH(G187)+2))</f>
        <v>113.018</v>
      </c>
      <c r="Q187" s="560">
        <f>IF(X187=0,0,IF(OR(E187=$AT$10,E187=$AT$9),VLOOKUP(YEAR(X187),INPC!$B$4:$P$30,MONTH(X187)+1),VLOOKUP(YEAR(X187),INPC!$B$4:$P$30,MONTH(X187)+2,0)))</f>
        <v>120.15900000000001</v>
      </c>
      <c r="R187" s="309">
        <f t="shared" si="39"/>
        <v>1.0630999999999999</v>
      </c>
      <c r="S187" s="310">
        <f t="shared" si="40"/>
        <v>146558.51893774627</v>
      </c>
      <c r="T187" s="555">
        <f t="shared" si="41"/>
        <v>2007.6509443526886</v>
      </c>
      <c r="U187" s="311"/>
      <c r="V187" s="312">
        <v>73</v>
      </c>
      <c r="W187" s="299" t="s">
        <v>194</v>
      </c>
      <c r="X187" s="300">
        <v>44629</v>
      </c>
      <c r="Y187" s="299" t="s">
        <v>59</v>
      </c>
      <c r="Z187" s="303">
        <v>2771.3939</v>
      </c>
      <c r="AA187" s="305">
        <f>IF(Z187=0,0,IF(Y187="MXN",1/HLOOKUP(YEAR(X187)+(MONTH(X187)/100),TC!$5:$37,DAY(X187)+2,FALSE),VLOOKUP(Y187,Equivalencia!$1:$23,((MAX(Equivalencia!$3:$3)-YEAR(X187))*14)+MONTH(X187)+2,FALSE)))</f>
        <v>1</v>
      </c>
      <c r="AB187" s="306">
        <f t="shared" si="42"/>
        <v>2771.3939</v>
      </c>
      <c r="AC187" s="305">
        <f>+IF(X187=0,0,HLOOKUP(YEAR(X187)+(MONTH(X187)/100),TC!$5:$37,DAY(X187)+2,FALSE))</f>
        <v>21.194700000000001</v>
      </c>
      <c r="AD187" s="307">
        <f t="shared" si="43"/>
        <v>58738.862292330006</v>
      </c>
      <c r="AE187" s="314">
        <f t="shared" si="44"/>
        <v>146558.51893774627</v>
      </c>
      <c r="AF187" s="315">
        <f t="shared" si="45"/>
        <v>-87819.656645416253</v>
      </c>
      <c r="AG187" s="316">
        <f t="shared" si="46"/>
        <v>0.76712328767123283</v>
      </c>
      <c r="AH187" s="314">
        <v>1</v>
      </c>
      <c r="AI187" s="314">
        <f t="shared" si="47"/>
        <v>-87819.656645416253</v>
      </c>
      <c r="AJ187" s="314">
        <f t="shared" si="48"/>
        <v>0</v>
      </c>
      <c r="AK187" s="317"/>
      <c r="AL187" s="315">
        <f t="shared" si="49"/>
        <v>-4148.8161</v>
      </c>
      <c r="AN187" s="554">
        <f t="shared" si="50"/>
        <v>-0.59952170526616966</v>
      </c>
      <c r="AO187" s="314"/>
      <c r="AP187" s="318"/>
    </row>
    <row r="188" spans="2:42">
      <c r="B188" s="296" t="s">
        <v>1254</v>
      </c>
      <c r="C188" s="299" t="s">
        <v>277</v>
      </c>
      <c r="D188" s="298" t="s">
        <v>876</v>
      </c>
      <c r="E188" s="299" t="s">
        <v>106</v>
      </c>
      <c r="F188" s="299" t="s">
        <v>59</v>
      </c>
      <c r="G188" s="300">
        <v>44398</v>
      </c>
      <c r="H188" s="303">
        <v>6298</v>
      </c>
      <c r="I188" s="301" t="str">
        <f t="shared" ref="I188:I251" si="51">IF(D188=0,0,IF(OR(E188=$AT$9,E188=$AT$10),"Ingresos Sección II LISR (SIC &amp; BMV)","Ingresos Sección I LISR"))</f>
        <v>Ingresos Sección I LISR</v>
      </c>
      <c r="J188" s="302">
        <f t="shared" ref="J188:J251" si="52">+V188</f>
        <v>54</v>
      </c>
      <c r="K188" s="304">
        <f t="shared" ref="K188:K251" si="53">IF(H188=0,0,H188/J188)</f>
        <v>116.62962962962963</v>
      </c>
      <c r="L188" s="305">
        <f>IF(H188=0,0,IF(OR(E188=$AT$5,E188=$AT$6),AA188,IF(F188="MXN",1/HLOOKUP(YEAR(G188)+(MONTH(G188)/100),TC!$5:$37,DAY(G188)+2,FALSE),VLOOKUP(F188,Equivalencia!$5:$23,((MAX(Equivalencia!$3:$3)-YEAR(G188))*14)+MONTH(G188)+2,FALSE))))</f>
        <v>1</v>
      </c>
      <c r="M188" s="306">
        <f t="shared" ref="M188:M251" si="54">+H188*L188</f>
        <v>6298</v>
      </c>
      <c r="N188" s="305">
        <f>IF(G188=0,0,(IF(OR(E188=$AT$5,E188=$AT$6),AC188,HLOOKUP(YEAR(G188)+(MONTH(G188)/100),TC!$5:$37,DAY(G188)+2,FALSE))))</f>
        <v>20</v>
      </c>
      <c r="O188" s="307">
        <f t="shared" ref="O188:O251" si="55">+M188*N188</f>
        <v>125960</v>
      </c>
      <c r="P188" s="560">
        <f>IF(G188=0,0,VLOOKUP(YEAR(G188),INPC!$B$4:$P$30,MONTH(G188)+2))</f>
        <v>113.682</v>
      </c>
      <c r="Q188" s="560">
        <f>IF(X188=0,0,IF(OR(E188=$AT$10,E188=$AT$9),VLOOKUP(YEAR(X188),INPC!$B$4:$P$30,MONTH(X188)+1),VLOOKUP(YEAR(X188),INPC!$B$4:$P$30,MONTH(X188)+2,0)))</f>
        <v>120.15900000000001</v>
      </c>
      <c r="R188" s="309">
        <f t="shared" ref="R188:R251" si="56">IF(H188=0,0,IF(OR(E188=$AT$5,E188=$AT$6),1,IF(TRUNC(Q188/P188,4)&gt;=1,TRUNC(Q188/P188,4),1)))</f>
        <v>1.0569</v>
      </c>
      <c r="S188" s="310">
        <f t="shared" ref="S188:S251" si="57">+R188*O188</f>
        <v>133127.12399999998</v>
      </c>
      <c r="T188" s="555">
        <f t="shared" ref="T188:T251" si="58">IF(V188=0,0,S188/V188)</f>
        <v>2465.317111111111</v>
      </c>
      <c r="U188" s="311"/>
      <c r="V188" s="312">
        <v>54</v>
      </c>
      <c r="W188" s="299" t="s">
        <v>194</v>
      </c>
      <c r="X188" s="300">
        <v>44629</v>
      </c>
      <c r="Y188" s="299" t="s">
        <v>59</v>
      </c>
      <c r="Z188" s="303">
        <v>2050.0722000000001</v>
      </c>
      <c r="AA188" s="305">
        <f>IF(Z188=0,0,IF(Y188="MXN",1/HLOOKUP(YEAR(X188)+(MONTH(X188)/100),TC!$5:$37,DAY(X188)+2,FALSE),VLOOKUP(Y188,Equivalencia!$1:$23,((MAX(Equivalencia!$3:$3)-YEAR(X188))*14)+MONTH(X188)+2,FALSE)))</f>
        <v>1</v>
      </c>
      <c r="AB188" s="306">
        <f t="shared" ref="AB188:AB251" si="59">+AA188*Z188</f>
        <v>2050.0722000000001</v>
      </c>
      <c r="AC188" s="305">
        <f>+IF(X188=0,0,HLOOKUP(YEAR(X188)+(MONTH(X188)/100),TC!$5:$37,DAY(X188)+2,FALSE))</f>
        <v>21.194700000000001</v>
      </c>
      <c r="AD188" s="307">
        <f t="shared" ref="AD188:AD251" si="60">+AC188*AB188</f>
        <v>43450.665257340006</v>
      </c>
      <c r="AE188" s="314">
        <f t="shared" ref="AE188:AE251" si="61">+V188*T188</f>
        <v>133127.12399999998</v>
      </c>
      <c r="AF188" s="315">
        <f t="shared" ref="AF188:AF251" si="62">IF(E188=$AT$11,0,AD188-AE188)</f>
        <v>-89676.458742659976</v>
      </c>
      <c r="AG188" s="316">
        <f t="shared" ref="AG188:AG251" si="63">+IF(AND(AF188&lt;0,OR(E188=$AT$5,E188=$AT$6)),1,((X188-G188)/365))</f>
        <v>0.63287671232876708</v>
      </c>
      <c r="AH188" s="314">
        <v>1</v>
      </c>
      <c r="AI188" s="314">
        <f t="shared" ref="AI188:AI251" si="64">+IF(OR(E188=$AT$9,E188=$AT$10),AF188,+AF188/AH188)</f>
        <v>-89676.458742659976</v>
      </c>
      <c r="AJ188" s="314">
        <f t="shared" ref="AJ188:AJ251" si="65">+AF188-AI188</f>
        <v>0</v>
      </c>
      <c r="AK188" s="317"/>
      <c r="AL188" s="315">
        <f t="shared" ref="AL188:AL251" si="66">+AB188-M188</f>
        <v>-4247.9277999999995</v>
      </c>
      <c r="AN188" s="554">
        <f t="shared" ref="AN188:AN251" si="67">IF(AL188=0,0,AL188/H188)</f>
        <v>-0.67448837726262301</v>
      </c>
      <c r="AO188" s="314"/>
      <c r="AP188" s="318"/>
    </row>
    <row r="189" spans="2:42">
      <c r="B189" s="296" t="s">
        <v>1254</v>
      </c>
      <c r="C189" s="299" t="s">
        <v>277</v>
      </c>
      <c r="D189" s="298" t="s">
        <v>876</v>
      </c>
      <c r="E189" s="299" t="s">
        <v>106</v>
      </c>
      <c r="F189" s="299" t="s">
        <v>59</v>
      </c>
      <c r="G189" s="300">
        <v>44398</v>
      </c>
      <c r="H189" s="303">
        <v>5424.07</v>
      </c>
      <c r="I189" s="301" t="str">
        <f t="shared" si="51"/>
        <v>Ingresos Sección I LISR</v>
      </c>
      <c r="J189" s="302">
        <f t="shared" si="52"/>
        <v>49</v>
      </c>
      <c r="K189" s="304">
        <f t="shared" si="53"/>
        <v>110.69530612244897</v>
      </c>
      <c r="L189" s="305">
        <f>IF(H189=0,0,IF(OR(E189=$AT$5,E189=$AT$6),AA189,IF(F189="MXN",1/HLOOKUP(YEAR(G189)+(MONTH(G189)/100),TC!$5:$37,DAY(G189)+2,FALSE),VLOOKUP(F189,Equivalencia!$5:$23,((MAX(Equivalencia!$3:$3)-YEAR(G189))*14)+MONTH(G189)+2,FALSE))))</f>
        <v>1</v>
      </c>
      <c r="M189" s="306">
        <f t="shared" si="54"/>
        <v>5424.07</v>
      </c>
      <c r="N189" s="305">
        <f>IF(G189=0,0,(IF(OR(E189=$AT$5,E189=$AT$6),AC189,HLOOKUP(YEAR(G189)+(MONTH(G189)/100),TC!$5:$37,DAY(G189)+2,FALSE))))</f>
        <v>20</v>
      </c>
      <c r="O189" s="307">
        <f t="shared" si="55"/>
        <v>108481.4</v>
      </c>
      <c r="P189" s="560">
        <f>IF(G189=0,0,VLOOKUP(YEAR(G189),INPC!$B$4:$P$30,MONTH(G189)+2))</f>
        <v>113.682</v>
      </c>
      <c r="Q189" s="560">
        <f>IF(X189=0,0,IF(OR(E189=$AT$10,E189=$AT$9),VLOOKUP(YEAR(X189),INPC!$B$4:$P$30,MONTH(X189)+1),VLOOKUP(YEAR(X189),INPC!$B$4:$P$30,MONTH(X189)+2,0)))</f>
        <v>120.15900000000001</v>
      </c>
      <c r="R189" s="309">
        <f t="shared" si="56"/>
        <v>1.0569</v>
      </c>
      <c r="S189" s="310">
        <f t="shared" si="57"/>
        <v>114653.99165999999</v>
      </c>
      <c r="T189" s="555">
        <f t="shared" si="58"/>
        <v>2339.8773808163264</v>
      </c>
      <c r="U189" s="311"/>
      <c r="V189" s="312">
        <v>49</v>
      </c>
      <c r="W189" s="299" t="s">
        <v>194</v>
      </c>
      <c r="X189" s="300">
        <v>44629</v>
      </c>
      <c r="Y189" s="299" t="s">
        <v>59</v>
      </c>
      <c r="Z189" s="303">
        <v>1860.2507000000001</v>
      </c>
      <c r="AA189" s="305">
        <f>IF(Z189=0,0,IF(Y189="MXN",1/HLOOKUP(YEAR(X189)+(MONTH(X189)/100),TC!$5:$37,DAY(X189)+2,FALSE),VLOOKUP(Y189,Equivalencia!$1:$23,((MAX(Equivalencia!$3:$3)-YEAR(X189))*14)+MONTH(X189)+2,FALSE)))</f>
        <v>1</v>
      </c>
      <c r="AB189" s="306">
        <f t="shared" si="59"/>
        <v>1860.2507000000001</v>
      </c>
      <c r="AC189" s="305">
        <f>+IF(X189=0,0,HLOOKUP(YEAR(X189)+(MONTH(X189)/100),TC!$5:$37,DAY(X189)+2,FALSE))</f>
        <v>21.194700000000001</v>
      </c>
      <c r="AD189" s="307">
        <f t="shared" si="60"/>
        <v>39427.455511290005</v>
      </c>
      <c r="AE189" s="314">
        <f t="shared" si="61"/>
        <v>114653.99166</v>
      </c>
      <c r="AF189" s="315">
        <f t="shared" si="62"/>
        <v>-75226.536148710002</v>
      </c>
      <c r="AG189" s="316">
        <f t="shared" si="63"/>
        <v>0.63287671232876708</v>
      </c>
      <c r="AH189" s="314">
        <v>1</v>
      </c>
      <c r="AI189" s="314">
        <f t="shared" si="64"/>
        <v>-75226.536148710002</v>
      </c>
      <c r="AJ189" s="314">
        <f t="shared" si="65"/>
        <v>0</v>
      </c>
      <c r="AK189" s="317"/>
      <c r="AL189" s="315">
        <f t="shared" si="66"/>
        <v>-3563.8192999999997</v>
      </c>
      <c r="AN189" s="554">
        <f t="shared" si="67"/>
        <v>-0.65703785165014461</v>
      </c>
      <c r="AO189" s="314"/>
      <c r="AP189" s="318"/>
    </row>
    <row r="190" spans="2:42">
      <c r="B190" s="296" t="s">
        <v>1254</v>
      </c>
      <c r="C190" s="299" t="s">
        <v>277</v>
      </c>
      <c r="D190" s="298" t="s">
        <v>876</v>
      </c>
      <c r="E190" s="299" t="s">
        <v>106</v>
      </c>
      <c r="F190" s="299" t="s">
        <v>59</v>
      </c>
      <c r="G190" s="300">
        <v>44523</v>
      </c>
      <c r="H190" s="303">
        <v>570.99</v>
      </c>
      <c r="I190" s="301" t="str">
        <f t="shared" si="51"/>
        <v>Ingresos Sección I LISR</v>
      </c>
      <c r="J190" s="302">
        <f t="shared" si="52"/>
        <v>6</v>
      </c>
      <c r="K190" s="304">
        <f t="shared" si="53"/>
        <v>95.165000000000006</v>
      </c>
      <c r="L190" s="305">
        <f>IF(H190=0,0,IF(OR(E190=$AT$5,E190=$AT$6),AA190,IF(F190="MXN",1/HLOOKUP(YEAR(G190)+(MONTH(G190)/100),TC!$5:$37,DAY(G190)+2,FALSE),VLOOKUP(F190,Equivalencia!$5:$23,((MAX(Equivalencia!$3:$3)-YEAR(G190))*14)+MONTH(G190)+2,FALSE))))</f>
        <v>1</v>
      </c>
      <c r="M190" s="306">
        <f t="shared" si="54"/>
        <v>570.99</v>
      </c>
      <c r="N190" s="305">
        <f>IF(G190=0,0,(IF(OR(E190=$AT$5,E190=$AT$6),AC190,HLOOKUP(YEAR(G190)+(MONTH(G190)/100),TC!$5:$37,DAY(G190)+2,FALSE))))</f>
        <v>20.828299999999999</v>
      </c>
      <c r="O190" s="307">
        <f t="shared" si="55"/>
        <v>11892.751016999999</v>
      </c>
      <c r="P190" s="560">
        <f>IF(G190=0,0,VLOOKUP(YEAR(G190),INPC!$B$4:$P$30,MONTH(G190)+2))</f>
        <v>116.884</v>
      </c>
      <c r="Q190" s="560">
        <f>IF(X190=0,0,IF(OR(E190=$AT$10,E190=$AT$9),VLOOKUP(YEAR(X190),INPC!$B$4:$P$30,MONTH(X190)+1),VLOOKUP(YEAR(X190),INPC!$B$4:$P$30,MONTH(X190)+2,0)))</f>
        <v>120.15900000000001</v>
      </c>
      <c r="R190" s="309">
        <f t="shared" si="56"/>
        <v>1.028</v>
      </c>
      <c r="S190" s="310">
        <f t="shared" si="57"/>
        <v>12225.748045475999</v>
      </c>
      <c r="T190" s="555">
        <f t="shared" si="58"/>
        <v>2037.6246742459998</v>
      </c>
      <c r="U190" s="311"/>
      <c r="V190" s="312">
        <v>6</v>
      </c>
      <c r="W190" s="299" t="s">
        <v>194</v>
      </c>
      <c r="X190" s="300">
        <v>44629</v>
      </c>
      <c r="Y190" s="299" t="s">
        <v>59</v>
      </c>
      <c r="Z190" s="303">
        <v>227.78579999999999</v>
      </c>
      <c r="AA190" s="305">
        <f>IF(Z190=0,0,IF(Y190="MXN",1/HLOOKUP(YEAR(X190)+(MONTH(X190)/100),TC!$5:$37,DAY(X190)+2,FALSE),VLOOKUP(Y190,Equivalencia!$1:$23,((MAX(Equivalencia!$3:$3)-YEAR(X190))*14)+MONTH(X190)+2,FALSE)))</f>
        <v>1</v>
      </c>
      <c r="AB190" s="306">
        <f t="shared" si="59"/>
        <v>227.78579999999999</v>
      </c>
      <c r="AC190" s="305">
        <f>+IF(X190=0,0,HLOOKUP(YEAR(X190)+(MONTH(X190)/100),TC!$5:$37,DAY(X190)+2,FALSE))</f>
        <v>21.194700000000001</v>
      </c>
      <c r="AD190" s="307">
        <f t="shared" si="60"/>
        <v>4827.8516952600003</v>
      </c>
      <c r="AE190" s="314">
        <f t="shared" si="61"/>
        <v>12225.748045475999</v>
      </c>
      <c r="AF190" s="315">
        <f t="shared" si="62"/>
        <v>-7397.8963502159986</v>
      </c>
      <c r="AG190" s="316">
        <f t="shared" si="63"/>
        <v>0.29041095890410956</v>
      </c>
      <c r="AH190" s="314">
        <v>1</v>
      </c>
      <c r="AI190" s="314">
        <f t="shared" si="64"/>
        <v>-7397.8963502159986</v>
      </c>
      <c r="AJ190" s="314">
        <f t="shared" si="65"/>
        <v>0</v>
      </c>
      <c r="AK190" s="317"/>
      <c r="AL190" s="315">
        <f t="shared" si="66"/>
        <v>-343.20420000000001</v>
      </c>
      <c r="AN190" s="554">
        <f t="shared" si="67"/>
        <v>-0.60106867020438193</v>
      </c>
      <c r="AO190" s="314"/>
      <c r="AP190" s="318"/>
    </row>
    <row r="191" spans="2:42">
      <c r="B191" s="296" t="s">
        <v>1254</v>
      </c>
      <c r="C191" s="299" t="s">
        <v>277</v>
      </c>
      <c r="D191" s="298" t="s">
        <v>876</v>
      </c>
      <c r="E191" s="299" t="s">
        <v>106</v>
      </c>
      <c r="F191" s="299" t="s">
        <v>59</v>
      </c>
      <c r="G191" s="300">
        <v>44523</v>
      </c>
      <c r="H191" s="303">
        <v>601.26</v>
      </c>
      <c r="I191" s="301" t="str">
        <f t="shared" si="51"/>
        <v>Ingresos Sección I LISR</v>
      </c>
      <c r="J191" s="302">
        <f t="shared" si="52"/>
        <v>6</v>
      </c>
      <c r="K191" s="304">
        <f t="shared" si="53"/>
        <v>100.21</v>
      </c>
      <c r="L191" s="305">
        <f>IF(H191=0,0,IF(OR(E191=$AT$5,E191=$AT$6),AA191,IF(F191="MXN",1/HLOOKUP(YEAR(G191)+(MONTH(G191)/100),TC!$5:$37,DAY(G191)+2,FALSE),VLOOKUP(F191,Equivalencia!$5:$23,((MAX(Equivalencia!$3:$3)-YEAR(G191))*14)+MONTH(G191)+2,FALSE))))</f>
        <v>1</v>
      </c>
      <c r="M191" s="306">
        <f t="shared" si="54"/>
        <v>601.26</v>
      </c>
      <c r="N191" s="305">
        <f>IF(G191=0,0,(IF(OR(E191=$AT$5,E191=$AT$6),AC191,HLOOKUP(YEAR(G191)+(MONTH(G191)/100),TC!$5:$37,DAY(G191)+2,FALSE))))</f>
        <v>20.828299999999999</v>
      </c>
      <c r="O191" s="307">
        <f t="shared" si="55"/>
        <v>12523.223657999999</v>
      </c>
      <c r="P191" s="560">
        <f>IF(G191=0,0,VLOOKUP(YEAR(G191),INPC!$B$4:$P$30,MONTH(G191)+2))</f>
        <v>116.884</v>
      </c>
      <c r="Q191" s="560">
        <f>IF(X191=0,0,IF(OR(E191=$AT$10,E191=$AT$9),VLOOKUP(YEAR(X191),INPC!$B$4:$P$30,MONTH(X191)+1),VLOOKUP(YEAR(X191),INPC!$B$4:$P$30,MONTH(X191)+2,0)))</f>
        <v>120.15900000000001</v>
      </c>
      <c r="R191" s="309">
        <f t="shared" si="56"/>
        <v>1.028</v>
      </c>
      <c r="S191" s="310">
        <f t="shared" si="57"/>
        <v>12873.873920423999</v>
      </c>
      <c r="T191" s="555">
        <f t="shared" si="58"/>
        <v>2145.6456534039999</v>
      </c>
      <c r="U191" s="311"/>
      <c r="V191" s="312">
        <v>6</v>
      </c>
      <c r="W191" s="299" t="s">
        <v>194</v>
      </c>
      <c r="X191" s="300">
        <v>44629</v>
      </c>
      <c r="Y191" s="299" t="s">
        <v>59</v>
      </c>
      <c r="Z191" s="303">
        <v>227.78579999999999</v>
      </c>
      <c r="AA191" s="305">
        <f>IF(Z191=0,0,IF(Y191="MXN",1/HLOOKUP(YEAR(X191)+(MONTH(X191)/100),TC!$5:$37,DAY(X191)+2,FALSE),VLOOKUP(Y191,Equivalencia!$1:$23,((MAX(Equivalencia!$3:$3)-YEAR(X191))*14)+MONTH(X191)+2,FALSE)))</f>
        <v>1</v>
      </c>
      <c r="AB191" s="306">
        <f t="shared" si="59"/>
        <v>227.78579999999999</v>
      </c>
      <c r="AC191" s="305">
        <f>+IF(X191=0,0,HLOOKUP(YEAR(X191)+(MONTH(X191)/100),TC!$5:$37,DAY(X191)+2,FALSE))</f>
        <v>21.194700000000001</v>
      </c>
      <c r="AD191" s="307">
        <f t="shared" si="60"/>
        <v>4827.8516952600003</v>
      </c>
      <c r="AE191" s="314">
        <f t="shared" si="61"/>
        <v>12873.873920423999</v>
      </c>
      <c r="AF191" s="315">
        <f t="shared" si="62"/>
        <v>-8046.0222251639989</v>
      </c>
      <c r="AG191" s="316">
        <f t="shared" si="63"/>
        <v>0.29041095890410956</v>
      </c>
      <c r="AH191" s="314">
        <v>1</v>
      </c>
      <c r="AI191" s="314">
        <f t="shared" si="64"/>
        <v>-8046.0222251639989</v>
      </c>
      <c r="AJ191" s="314">
        <f t="shared" si="65"/>
        <v>0</v>
      </c>
      <c r="AK191" s="317"/>
      <c r="AL191" s="315">
        <f t="shared" si="66"/>
        <v>-373.4742</v>
      </c>
      <c r="AN191" s="554">
        <f t="shared" si="67"/>
        <v>-0.62115257958287595</v>
      </c>
      <c r="AO191" s="314"/>
      <c r="AP191" s="318"/>
    </row>
    <row r="192" spans="2:42">
      <c r="B192" s="296" t="s">
        <v>1254</v>
      </c>
      <c r="C192" s="299" t="s">
        <v>277</v>
      </c>
      <c r="D192" s="298" t="s">
        <v>876</v>
      </c>
      <c r="E192" s="299" t="s">
        <v>106</v>
      </c>
      <c r="F192" s="299" t="s">
        <v>59</v>
      </c>
      <c r="G192" s="300">
        <v>44523</v>
      </c>
      <c r="H192" s="303">
        <v>976.7</v>
      </c>
      <c r="I192" s="301" t="str">
        <f t="shared" si="51"/>
        <v>Ingresos Sección I LISR</v>
      </c>
      <c r="J192" s="302">
        <f t="shared" si="52"/>
        <v>10</v>
      </c>
      <c r="K192" s="304">
        <f t="shared" si="53"/>
        <v>97.67</v>
      </c>
      <c r="L192" s="305">
        <f>IF(H192=0,0,IF(OR(E192=$AT$5,E192=$AT$6),AA192,IF(F192="MXN",1/HLOOKUP(YEAR(G192)+(MONTH(G192)/100),TC!$5:$37,DAY(G192)+2,FALSE),VLOOKUP(F192,Equivalencia!$5:$23,((MAX(Equivalencia!$3:$3)-YEAR(G192))*14)+MONTH(G192)+2,FALSE))))</f>
        <v>1</v>
      </c>
      <c r="M192" s="306">
        <f t="shared" si="54"/>
        <v>976.7</v>
      </c>
      <c r="N192" s="305">
        <f>IF(G192=0,0,(IF(OR(E192=$AT$5,E192=$AT$6),AC192,HLOOKUP(YEAR(G192)+(MONTH(G192)/100),TC!$5:$37,DAY(G192)+2,FALSE))))</f>
        <v>20.828299999999999</v>
      </c>
      <c r="O192" s="307">
        <f t="shared" si="55"/>
        <v>20343.000609999999</v>
      </c>
      <c r="P192" s="560">
        <f>IF(G192=0,0,VLOOKUP(YEAR(G192),INPC!$B$4:$P$30,MONTH(G192)+2))</f>
        <v>116.884</v>
      </c>
      <c r="Q192" s="560">
        <f>IF(X192=0,0,IF(OR(E192=$AT$10,E192=$AT$9),VLOOKUP(YEAR(X192),INPC!$B$4:$P$30,MONTH(X192)+1),VLOOKUP(YEAR(X192),INPC!$B$4:$P$30,MONTH(X192)+2,0)))</f>
        <v>120.15900000000001</v>
      </c>
      <c r="R192" s="309">
        <f t="shared" si="56"/>
        <v>1.028</v>
      </c>
      <c r="S192" s="310">
        <f t="shared" si="57"/>
        <v>20912.60462708</v>
      </c>
      <c r="T192" s="555">
        <f t="shared" si="58"/>
        <v>2091.260462708</v>
      </c>
      <c r="U192" s="311"/>
      <c r="V192" s="312">
        <v>10</v>
      </c>
      <c r="W192" s="299" t="s">
        <v>194</v>
      </c>
      <c r="X192" s="300">
        <v>44629</v>
      </c>
      <c r="Y192" s="299" t="s">
        <v>59</v>
      </c>
      <c r="Z192" s="303">
        <v>379.64300000000003</v>
      </c>
      <c r="AA192" s="305">
        <f>IF(Z192=0,0,IF(Y192="MXN",1/HLOOKUP(YEAR(X192)+(MONTH(X192)/100),TC!$5:$37,DAY(X192)+2,FALSE),VLOOKUP(Y192,Equivalencia!$1:$23,((MAX(Equivalencia!$3:$3)-YEAR(X192))*14)+MONTH(X192)+2,FALSE)))</f>
        <v>1</v>
      </c>
      <c r="AB192" s="306">
        <f t="shared" si="59"/>
        <v>379.64300000000003</v>
      </c>
      <c r="AC192" s="305">
        <f>+IF(X192=0,0,HLOOKUP(YEAR(X192)+(MONTH(X192)/100),TC!$5:$37,DAY(X192)+2,FALSE))</f>
        <v>21.194700000000001</v>
      </c>
      <c r="AD192" s="307">
        <f t="shared" si="60"/>
        <v>8046.4194921000008</v>
      </c>
      <c r="AE192" s="314">
        <f t="shared" si="61"/>
        <v>20912.60462708</v>
      </c>
      <c r="AF192" s="315">
        <f t="shared" si="62"/>
        <v>-12866.185134979998</v>
      </c>
      <c r="AG192" s="316">
        <f t="shared" si="63"/>
        <v>0.29041095890410956</v>
      </c>
      <c r="AH192" s="314">
        <v>1</v>
      </c>
      <c r="AI192" s="314">
        <f t="shared" si="64"/>
        <v>-12866.185134979998</v>
      </c>
      <c r="AJ192" s="314">
        <f t="shared" si="65"/>
        <v>0</v>
      </c>
      <c r="AK192" s="317"/>
      <c r="AL192" s="315">
        <f t="shared" si="66"/>
        <v>-597.05700000000002</v>
      </c>
      <c r="AN192" s="554">
        <f t="shared" si="67"/>
        <v>-0.61130029691819388</v>
      </c>
      <c r="AO192" s="314"/>
      <c r="AP192" s="318"/>
    </row>
    <row r="193" spans="2:42">
      <c r="B193" s="296" t="s">
        <v>1254</v>
      </c>
      <c r="C193" s="299" t="s">
        <v>277</v>
      </c>
      <c r="D193" s="298" t="s">
        <v>876</v>
      </c>
      <c r="E193" s="299" t="s">
        <v>106</v>
      </c>
      <c r="F193" s="299" t="s">
        <v>59</v>
      </c>
      <c r="G193" s="300">
        <v>44523</v>
      </c>
      <c r="H193" s="303">
        <v>1264.94</v>
      </c>
      <c r="I193" s="301" t="str">
        <f t="shared" si="51"/>
        <v>Ingresos Sección I LISR</v>
      </c>
      <c r="J193" s="302">
        <f t="shared" si="52"/>
        <v>13</v>
      </c>
      <c r="K193" s="304">
        <f t="shared" si="53"/>
        <v>97.303076923076929</v>
      </c>
      <c r="L193" s="305">
        <f>IF(H193=0,0,IF(OR(E193=$AT$5,E193=$AT$6),AA193,IF(F193="MXN",1/HLOOKUP(YEAR(G193)+(MONTH(G193)/100),TC!$5:$37,DAY(G193)+2,FALSE),VLOOKUP(F193,Equivalencia!$5:$23,((MAX(Equivalencia!$3:$3)-YEAR(G193))*14)+MONTH(G193)+2,FALSE))))</f>
        <v>1</v>
      </c>
      <c r="M193" s="306">
        <f t="shared" si="54"/>
        <v>1264.94</v>
      </c>
      <c r="N193" s="305">
        <f>IF(G193=0,0,(IF(OR(E193=$AT$5,E193=$AT$6),AC193,HLOOKUP(YEAR(G193)+(MONTH(G193)/100),TC!$5:$37,DAY(G193)+2,FALSE))))</f>
        <v>20.828299999999999</v>
      </c>
      <c r="O193" s="307">
        <f t="shared" si="55"/>
        <v>26346.549801999998</v>
      </c>
      <c r="P193" s="560">
        <f>IF(G193=0,0,VLOOKUP(YEAR(G193),INPC!$B$4:$P$30,MONTH(G193)+2))</f>
        <v>116.884</v>
      </c>
      <c r="Q193" s="560">
        <f>IF(X193=0,0,IF(OR(E193=$AT$10,E193=$AT$9),VLOOKUP(YEAR(X193),INPC!$B$4:$P$30,MONTH(X193)+1),VLOOKUP(YEAR(X193),INPC!$B$4:$P$30,MONTH(X193)+2,0)))</f>
        <v>120.15900000000001</v>
      </c>
      <c r="R193" s="309">
        <f t="shared" si="56"/>
        <v>1.028</v>
      </c>
      <c r="S193" s="310">
        <f t="shared" si="57"/>
        <v>27084.253196455997</v>
      </c>
      <c r="T193" s="555">
        <f t="shared" si="58"/>
        <v>2083.4040920350767</v>
      </c>
      <c r="U193" s="311"/>
      <c r="V193" s="312">
        <v>13</v>
      </c>
      <c r="W193" s="299" t="s">
        <v>194</v>
      </c>
      <c r="X193" s="300">
        <v>44629</v>
      </c>
      <c r="Y193" s="299" t="s">
        <v>59</v>
      </c>
      <c r="Z193" s="303">
        <v>493.53590000000003</v>
      </c>
      <c r="AA193" s="305">
        <f>IF(Z193=0,0,IF(Y193="MXN",1/HLOOKUP(YEAR(X193)+(MONTH(X193)/100),TC!$5:$37,DAY(X193)+2,FALSE),VLOOKUP(Y193,Equivalencia!$1:$23,((MAX(Equivalencia!$3:$3)-YEAR(X193))*14)+MONTH(X193)+2,FALSE)))</f>
        <v>1</v>
      </c>
      <c r="AB193" s="306">
        <f t="shared" si="59"/>
        <v>493.53590000000003</v>
      </c>
      <c r="AC193" s="305">
        <f>+IF(X193=0,0,HLOOKUP(YEAR(X193)+(MONTH(X193)/100),TC!$5:$37,DAY(X193)+2,FALSE))</f>
        <v>21.194700000000001</v>
      </c>
      <c r="AD193" s="307">
        <f t="shared" si="60"/>
        <v>10460.345339730002</v>
      </c>
      <c r="AE193" s="314">
        <f t="shared" si="61"/>
        <v>27084.253196455997</v>
      </c>
      <c r="AF193" s="315">
        <f t="shared" si="62"/>
        <v>-16623.907856725993</v>
      </c>
      <c r="AG193" s="316">
        <f t="shared" si="63"/>
        <v>0.29041095890410956</v>
      </c>
      <c r="AH193" s="314">
        <v>1</v>
      </c>
      <c r="AI193" s="314">
        <f t="shared" si="64"/>
        <v>-16623.907856725993</v>
      </c>
      <c r="AJ193" s="314">
        <f t="shared" si="65"/>
        <v>0</v>
      </c>
      <c r="AK193" s="317"/>
      <c r="AL193" s="315">
        <f t="shared" si="66"/>
        <v>-771.40409999999997</v>
      </c>
      <c r="AN193" s="554">
        <f t="shared" si="67"/>
        <v>-0.60983453760652673</v>
      </c>
      <c r="AO193" s="314"/>
      <c r="AP193" s="318"/>
    </row>
    <row r="194" spans="2:42">
      <c r="B194" s="296" t="s">
        <v>1254</v>
      </c>
      <c r="C194" s="299" t="s">
        <v>277</v>
      </c>
      <c r="D194" s="298" t="s">
        <v>876</v>
      </c>
      <c r="E194" s="299" t="s">
        <v>106</v>
      </c>
      <c r="F194" s="299" t="s">
        <v>59</v>
      </c>
      <c r="G194" s="300">
        <v>44523</v>
      </c>
      <c r="H194" s="303">
        <v>1780.04</v>
      </c>
      <c r="I194" s="301" t="str">
        <f t="shared" si="51"/>
        <v>Ingresos Sección I LISR</v>
      </c>
      <c r="J194" s="302">
        <f t="shared" si="52"/>
        <v>18</v>
      </c>
      <c r="K194" s="304">
        <f t="shared" si="53"/>
        <v>98.891111111111115</v>
      </c>
      <c r="L194" s="305">
        <f>IF(H194=0,0,IF(OR(E194=$AT$5,E194=$AT$6),AA194,IF(F194="MXN",1/HLOOKUP(YEAR(G194)+(MONTH(G194)/100),TC!$5:$37,DAY(G194)+2,FALSE),VLOOKUP(F194,Equivalencia!$5:$23,((MAX(Equivalencia!$3:$3)-YEAR(G194))*14)+MONTH(G194)+2,FALSE))))</f>
        <v>1</v>
      </c>
      <c r="M194" s="306">
        <f t="shared" si="54"/>
        <v>1780.04</v>
      </c>
      <c r="N194" s="305">
        <f>IF(G194=0,0,(IF(OR(E194=$AT$5,E194=$AT$6),AC194,HLOOKUP(YEAR(G194)+(MONTH(G194)/100),TC!$5:$37,DAY(G194)+2,FALSE))))</f>
        <v>20.828299999999999</v>
      </c>
      <c r="O194" s="307">
        <f t="shared" si="55"/>
        <v>37075.207131999996</v>
      </c>
      <c r="P194" s="560">
        <f>IF(G194=0,0,VLOOKUP(YEAR(G194),INPC!$B$4:$P$30,MONTH(G194)+2))</f>
        <v>116.884</v>
      </c>
      <c r="Q194" s="560">
        <f>IF(X194=0,0,IF(OR(E194=$AT$10,E194=$AT$9),VLOOKUP(YEAR(X194),INPC!$B$4:$P$30,MONTH(X194)+1),VLOOKUP(YEAR(X194),INPC!$B$4:$P$30,MONTH(X194)+2,0)))</f>
        <v>120.15900000000001</v>
      </c>
      <c r="R194" s="309">
        <f t="shared" si="56"/>
        <v>1.028</v>
      </c>
      <c r="S194" s="310">
        <f t="shared" si="57"/>
        <v>38113.312931695997</v>
      </c>
      <c r="T194" s="555">
        <f t="shared" si="58"/>
        <v>2117.4062739831111</v>
      </c>
      <c r="U194" s="311"/>
      <c r="V194" s="312">
        <v>18</v>
      </c>
      <c r="W194" s="299" t="s">
        <v>194</v>
      </c>
      <c r="X194" s="300">
        <v>44629</v>
      </c>
      <c r="Y194" s="299" t="s">
        <v>59</v>
      </c>
      <c r="Z194" s="303">
        <v>683.35739999999998</v>
      </c>
      <c r="AA194" s="305">
        <f>IF(Z194=0,0,IF(Y194="MXN",1/HLOOKUP(YEAR(X194)+(MONTH(X194)/100),TC!$5:$37,DAY(X194)+2,FALSE),VLOOKUP(Y194,Equivalencia!$1:$23,((MAX(Equivalencia!$3:$3)-YEAR(X194))*14)+MONTH(X194)+2,FALSE)))</f>
        <v>1</v>
      </c>
      <c r="AB194" s="306">
        <f t="shared" si="59"/>
        <v>683.35739999999998</v>
      </c>
      <c r="AC194" s="305">
        <f>+IF(X194=0,0,HLOOKUP(YEAR(X194)+(MONTH(X194)/100),TC!$5:$37,DAY(X194)+2,FALSE))</f>
        <v>21.194700000000001</v>
      </c>
      <c r="AD194" s="307">
        <f t="shared" si="60"/>
        <v>14483.555085780001</v>
      </c>
      <c r="AE194" s="314">
        <f t="shared" si="61"/>
        <v>38113.312931695997</v>
      </c>
      <c r="AF194" s="315">
        <f t="shared" si="62"/>
        <v>-23629.757845915996</v>
      </c>
      <c r="AG194" s="316">
        <f t="shared" si="63"/>
        <v>0.29041095890410956</v>
      </c>
      <c r="AH194" s="314">
        <v>1</v>
      </c>
      <c r="AI194" s="314">
        <f t="shared" si="64"/>
        <v>-23629.757845915996</v>
      </c>
      <c r="AJ194" s="314">
        <f t="shared" si="65"/>
        <v>0</v>
      </c>
      <c r="AK194" s="317"/>
      <c r="AL194" s="315">
        <f t="shared" si="66"/>
        <v>-1096.6826000000001</v>
      </c>
      <c r="AN194" s="554">
        <f t="shared" si="67"/>
        <v>-0.61609997528145444</v>
      </c>
      <c r="AO194" s="314"/>
      <c r="AP194" s="318"/>
    </row>
    <row r="195" spans="2:42">
      <c r="B195" s="296" t="s">
        <v>1254</v>
      </c>
      <c r="C195" s="299" t="s">
        <v>277</v>
      </c>
      <c r="D195" s="298" t="s">
        <v>876</v>
      </c>
      <c r="E195" s="299" t="s">
        <v>106</v>
      </c>
      <c r="F195" s="299" t="s">
        <v>59</v>
      </c>
      <c r="G195" s="300">
        <v>44523</v>
      </c>
      <c r="H195" s="303">
        <v>2294.4299999999998</v>
      </c>
      <c r="I195" s="301" t="str">
        <f t="shared" si="51"/>
        <v>Ingresos Sección I LISR</v>
      </c>
      <c r="J195" s="302">
        <f t="shared" si="52"/>
        <v>24</v>
      </c>
      <c r="K195" s="304">
        <f t="shared" si="53"/>
        <v>95.601249999999993</v>
      </c>
      <c r="L195" s="305">
        <f>IF(H195=0,0,IF(OR(E195=$AT$5,E195=$AT$6),AA195,IF(F195="MXN",1/HLOOKUP(YEAR(G195)+(MONTH(G195)/100),TC!$5:$37,DAY(G195)+2,FALSE),VLOOKUP(F195,Equivalencia!$5:$23,((MAX(Equivalencia!$3:$3)-YEAR(G195))*14)+MONTH(G195)+2,FALSE))))</f>
        <v>1</v>
      </c>
      <c r="M195" s="306">
        <f t="shared" si="54"/>
        <v>2294.4299999999998</v>
      </c>
      <c r="N195" s="305">
        <f>IF(G195=0,0,(IF(OR(E195=$AT$5,E195=$AT$6),AC195,HLOOKUP(YEAR(G195)+(MONTH(G195)/100),TC!$5:$37,DAY(G195)+2,FALSE))))</f>
        <v>20.828299999999999</v>
      </c>
      <c r="O195" s="307">
        <f t="shared" si="55"/>
        <v>47789.076368999995</v>
      </c>
      <c r="P195" s="560">
        <f>IF(G195=0,0,VLOOKUP(YEAR(G195),INPC!$B$4:$P$30,MONTH(G195)+2))</f>
        <v>116.884</v>
      </c>
      <c r="Q195" s="560">
        <f>IF(X195=0,0,IF(OR(E195=$AT$10,E195=$AT$9),VLOOKUP(YEAR(X195),INPC!$B$4:$P$30,MONTH(X195)+1),VLOOKUP(YEAR(X195),INPC!$B$4:$P$30,MONTH(X195)+2,0)))</f>
        <v>120.15900000000001</v>
      </c>
      <c r="R195" s="309">
        <f t="shared" si="56"/>
        <v>1.028</v>
      </c>
      <c r="S195" s="310">
        <f t="shared" si="57"/>
        <v>49127.170507331997</v>
      </c>
      <c r="T195" s="555">
        <f t="shared" si="58"/>
        <v>2046.9654378055</v>
      </c>
      <c r="U195" s="311"/>
      <c r="V195" s="312">
        <v>24</v>
      </c>
      <c r="W195" s="299" t="s">
        <v>194</v>
      </c>
      <c r="X195" s="300">
        <v>44629</v>
      </c>
      <c r="Y195" s="299" t="s">
        <v>59</v>
      </c>
      <c r="Z195" s="303">
        <v>911.14319999999998</v>
      </c>
      <c r="AA195" s="305">
        <f>IF(Z195=0,0,IF(Y195="MXN",1/HLOOKUP(YEAR(X195)+(MONTH(X195)/100),TC!$5:$37,DAY(X195)+2,FALSE),VLOOKUP(Y195,Equivalencia!$1:$23,((MAX(Equivalencia!$3:$3)-YEAR(X195))*14)+MONTH(X195)+2,FALSE)))</f>
        <v>1</v>
      </c>
      <c r="AB195" s="306">
        <f t="shared" si="59"/>
        <v>911.14319999999998</v>
      </c>
      <c r="AC195" s="305">
        <f>+IF(X195=0,0,HLOOKUP(YEAR(X195)+(MONTH(X195)/100),TC!$5:$37,DAY(X195)+2,FALSE))</f>
        <v>21.194700000000001</v>
      </c>
      <c r="AD195" s="307">
        <f t="shared" si="60"/>
        <v>19311.406781040001</v>
      </c>
      <c r="AE195" s="314">
        <f t="shared" si="61"/>
        <v>49127.170507331997</v>
      </c>
      <c r="AF195" s="315">
        <f t="shared" si="62"/>
        <v>-29815.763726291996</v>
      </c>
      <c r="AG195" s="316">
        <f t="shared" si="63"/>
        <v>0.29041095890410956</v>
      </c>
      <c r="AH195" s="314">
        <v>1</v>
      </c>
      <c r="AI195" s="314">
        <f t="shared" si="64"/>
        <v>-29815.763726291996</v>
      </c>
      <c r="AJ195" s="314">
        <f t="shared" si="65"/>
        <v>0</v>
      </c>
      <c r="AK195" s="317"/>
      <c r="AL195" s="315">
        <f t="shared" si="66"/>
        <v>-1383.2867999999999</v>
      </c>
      <c r="AN195" s="554">
        <f t="shared" si="67"/>
        <v>-0.60288908356323789</v>
      </c>
      <c r="AO195" s="314"/>
      <c r="AP195" s="318"/>
    </row>
    <row r="196" spans="2:42">
      <c r="B196" s="296" t="s">
        <v>1254</v>
      </c>
      <c r="C196" s="299" t="s">
        <v>277</v>
      </c>
      <c r="D196" s="298" t="s">
        <v>876</v>
      </c>
      <c r="E196" s="299" t="s">
        <v>106</v>
      </c>
      <c r="F196" s="299" t="s">
        <v>59</v>
      </c>
      <c r="G196" s="300">
        <v>44523</v>
      </c>
      <c r="H196" s="303">
        <v>2547.84</v>
      </c>
      <c r="I196" s="301" t="str">
        <f t="shared" si="51"/>
        <v>Ingresos Sección I LISR</v>
      </c>
      <c r="J196" s="302">
        <f t="shared" si="52"/>
        <v>26</v>
      </c>
      <c r="K196" s="304">
        <f t="shared" si="53"/>
        <v>97.993846153846164</v>
      </c>
      <c r="L196" s="305">
        <f>IF(H196=0,0,IF(OR(E196=$AT$5,E196=$AT$6),AA196,IF(F196="MXN",1/HLOOKUP(YEAR(G196)+(MONTH(G196)/100),TC!$5:$37,DAY(G196)+2,FALSE),VLOOKUP(F196,Equivalencia!$5:$23,((MAX(Equivalencia!$3:$3)-YEAR(G196))*14)+MONTH(G196)+2,FALSE))))</f>
        <v>1</v>
      </c>
      <c r="M196" s="306">
        <f t="shared" si="54"/>
        <v>2547.84</v>
      </c>
      <c r="N196" s="305">
        <f>IF(G196=0,0,(IF(OR(E196=$AT$5,E196=$AT$6),AC196,HLOOKUP(YEAR(G196)+(MONTH(G196)/100),TC!$5:$37,DAY(G196)+2,FALSE))))</f>
        <v>20.828299999999999</v>
      </c>
      <c r="O196" s="307">
        <f t="shared" si="55"/>
        <v>53067.175872</v>
      </c>
      <c r="P196" s="560">
        <f>IF(G196=0,0,VLOOKUP(YEAR(G196),INPC!$B$4:$P$30,MONTH(G196)+2))</f>
        <v>116.884</v>
      </c>
      <c r="Q196" s="560">
        <f>IF(X196=0,0,IF(OR(E196=$AT$10,E196=$AT$9),VLOOKUP(YEAR(X196),INPC!$B$4:$P$30,MONTH(X196)+1),VLOOKUP(YEAR(X196),INPC!$B$4:$P$30,MONTH(X196)+2,0)))</f>
        <v>120.15900000000001</v>
      </c>
      <c r="R196" s="309">
        <f t="shared" si="56"/>
        <v>1.028</v>
      </c>
      <c r="S196" s="310">
        <f t="shared" si="57"/>
        <v>54553.056796416</v>
      </c>
      <c r="T196" s="555">
        <f t="shared" si="58"/>
        <v>2098.1944921698459</v>
      </c>
      <c r="U196" s="311"/>
      <c r="V196" s="312">
        <v>26</v>
      </c>
      <c r="W196" s="299" t="s">
        <v>194</v>
      </c>
      <c r="X196" s="300">
        <v>44629</v>
      </c>
      <c r="Y196" s="299" t="s">
        <v>59</v>
      </c>
      <c r="Z196" s="303">
        <v>987.07180000000005</v>
      </c>
      <c r="AA196" s="305">
        <f>IF(Z196=0,0,IF(Y196="MXN",1/HLOOKUP(YEAR(X196)+(MONTH(X196)/100),TC!$5:$37,DAY(X196)+2,FALSE),VLOOKUP(Y196,Equivalencia!$1:$23,((MAX(Equivalencia!$3:$3)-YEAR(X196))*14)+MONTH(X196)+2,FALSE)))</f>
        <v>1</v>
      </c>
      <c r="AB196" s="306">
        <f t="shared" si="59"/>
        <v>987.07180000000005</v>
      </c>
      <c r="AC196" s="305">
        <f>+IF(X196=0,0,HLOOKUP(YEAR(X196)+(MONTH(X196)/100),TC!$5:$37,DAY(X196)+2,FALSE))</f>
        <v>21.194700000000001</v>
      </c>
      <c r="AD196" s="307">
        <f t="shared" si="60"/>
        <v>20920.690679460004</v>
      </c>
      <c r="AE196" s="314">
        <f t="shared" si="61"/>
        <v>54553.056796415993</v>
      </c>
      <c r="AF196" s="315">
        <f t="shared" si="62"/>
        <v>-33632.366116955993</v>
      </c>
      <c r="AG196" s="316">
        <f t="shared" si="63"/>
        <v>0.29041095890410956</v>
      </c>
      <c r="AH196" s="314">
        <v>1</v>
      </c>
      <c r="AI196" s="314">
        <f t="shared" si="64"/>
        <v>-33632.366116955993</v>
      </c>
      <c r="AJ196" s="314">
        <f t="shared" si="65"/>
        <v>0</v>
      </c>
      <c r="AK196" s="317"/>
      <c r="AL196" s="315">
        <f t="shared" si="66"/>
        <v>-1560.7682</v>
      </c>
      <c r="AN196" s="554">
        <f t="shared" si="67"/>
        <v>-0.6125848561919115</v>
      </c>
      <c r="AO196" s="314"/>
      <c r="AP196" s="318"/>
    </row>
    <row r="197" spans="2:42">
      <c r="B197" s="296" t="s">
        <v>1254</v>
      </c>
      <c r="C197" s="299" t="s">
        <v>277</v>
      </c>
      <c r="D197" s="298" t="s">
        <v>876</v>
      </c>
      <c r="E197" s="299" t="s">
        <v>106</v>
      </c>
      <c r="F197" s="299" t="s">
        <v>59</v>
      </c>
      <c r="G197" s="300">
        <v>44537</v>
      </c>
      <c r="H197" s="303">
        <v>371.46</v>
      </c>
      <c r="I197" s="301" t="str">
        <f t="shared" si="51"/>
        <v>Ingresos Sección I LISR</v>
      </c>
      <c r="J197" s="302">
        <f t="shared" si="52"/>
        <v>4</v>
      </c>
      <c r="K197" s="304">
        <f t="shared" si="53"/>
        <v>92.864999999999995</v>
      </c>
      <c r="L197" s="305">
        <f>IF(H197=0,0,IF(OR(E197=$AT$5,E197=$AT$6),AA197,IF(F197="MXN",1/HLOOKUP(YEAR(G197)+(MONTH(G197)/100),TC!$5:$37,DAY(G197)+2,FALSE),VLOOKUP(F197,Equivalencia!$5:$23,((MAX(Equivalencia!$3:$3)-YEAR(G197))*14)+MONTH(G197)+2,FALSE))))</f>
        <v>1</v>
      </c>
      <c r="M197" s="306">
        <f t="shared" si="54"/>
        <v>371.46</v>
      </c>
      <c r="N197" s="305">
        <f>IF(G197=0,0,(IF(OR(E197=$AT$5,E197=$AT$6),AC197,HLOOKUP(YEAR(G197)+(MONTH(G197)/100),TC!$5:$37,DAY(G197)+2,FALSE))))</f>
        <v>21.4177</v>
      </c>
      <c r="O197" s="307">
        <f t="shared" si="55"/>
        <v>7955.8188419999997</v>
      </c>
      <c r="P197" s="560">
        <f>IF(G197=0,0,VLOOKUP(YEAR(G197),INPC!$B$4:$P$30,MONTH(G197)+2))</f>
        <v>117.30800000000001</v>
      </c>
      <c r="Q197" s="560">
        <f>IF(X197=0,0,IF(OR(E197=$AT$10,E197=$AT$9),VLOOKUP(YEAR(X197),INPC!$B$4:$P$30,MONTH(X197)+1),VLOOKUP(YEAR(X197),INPC!$B$4:$P$30,MONTH(X197)+2,0)))</f>
        <v>120.15900000000001</v>
      </c>
      <c r="R197" s="309">
        <f t="shared" si="56"/>
        <v>1.0243</v>
      </c>
      <c r="S197" s="310">
        <f t="shared" si="57"/>
        <v>8149.1452398605998</v>
      </c>
      <c r="T197" s="555">
        <f t="shared" si="58"/>
        <v>2037.2863099651499</v>
      </c>
      <c r="U197" s="311"/>
      <c r="V197" s="312">
        <v>4</v>
      </c>
      <c r="W197" s="299" t="s">
        <v>194</v>
      </c>
      <c r="X197" s="300">
        <v>44629</v>
      </c>
      <c r="Y197" s="299" t="s">
        <v>59</v>
      </c>
      <c r="Z197" s="303">
        <v>151.85720000000001</v>
      </c>
      <c r="AA197" s="305">
        <f>IF(Z197=0,0,IF(Y197="MXN",1/HLOOKUP(YEAR(X197)+(MONTH(X197)/100),TC!$5:$37,DAY(X197)+2,FALSE),VLOOKUP(Y197,Equivalencia!$1:$23,((MAX(Equivalencia!$3:$3)-YEAR(X197))*14)+MONTH(X197)+2,FALSE)))</f>
        <v>1</v>
      </c>
      <c r="AB197" s="306">
        <f t="shared" si="59"/>
        <v>151.85720000000001</v>
      </c>
      <c r="AC197" s="305">
        <f>+IF(X197=0,0,HLOOKUP(YEAR(X197)+(MONTH(X197)/100),TC!$5:$37,DAY(X197)+2,FALSE))</f>
        <v>21.194700000000001</v>
      </c>
      <c r="AD197" s="307">
        <f t="shared" si="60"/>
        <v>3218.5677968400005</v>
      </c>
      <c r="AE197" s="314">
        <f t="shared" si="61"/>
        <v>8149.1452398605998</v>
      </c>
      <c r="AF197" s="315">
        <f t="shared" si="62"/>
        <v>-4930.5774430205993</v>
      </c>
      <c r="AG197" s="316">
        <f t="shared" si="63"/>
        <v>0.25205479452054796</v>
      </c>
      <c r="AH197" s="314">
        <v>1</v>
      </c>
      <c r="AI197" s="314">
        <f t="shared" si="64"/>
        <v>-4930.5774430205993</v>
      </c>
      <c r="AJ197" s="314">
        <f t="shared" si="65"/>
        <v>0</v>
      </c>
      <c r="AK197" s="317"/>
      <c r="AL197" s="315">
        <f t="shared" si="66"/>
        <v>-219.60279999999997</v>
      </c>
      <c r="AN197" s="554">
        <f t="shared" si="67"/>
        <v>-0.59118828406827106</v>
      </c>
      <c r="AO197" s="314"/>
      <c r="AP197" s="318"/>
    </row>
    <row r="198" spans="2:42">
      <c r="B198" s="296" t="s">
        <v>1254</v>
      </c>
      <c r="C198" s="299" t="s">
        <v>277</v>
      </c>
      <c r="D198" s="298" t="s">
        <v>876</v>
      </c>
      <c r="E198" s="299" t="s">
        <v>106</v>
      </c>
      <c r="F198" s="299" t="s">
        <v>59</v>
      </c>
      <c r="G198" s="300">
        <v>44537</v>
      </c>
      <c r="H198" s="303">
        <v>94.125</v>
      </c>
      <c r="I198" s="301" t="str">
        <f t="shared" si="51"/>
        <v>Ingresos Sección I LISR</v>
      </c>
      <c r="J198" s="302">
        <f t="shared" si="52"/>
        <v>1</v>
      </c>
      <c r="K198" s="304">
        <f t="shared" si="53"/>
        <v>94.125</v>
      </c>
      <c r="L198" s="305">
        <f>IF(H198=0,0,IF(OR(E198=$AT$5,E198=$AT$6),AA198,IF(F198="MXN",1/HLOOKUP(YEAR(G198)+(MONTH(G198)/100),TC!$5:$37,DAY(G198)+2,FALSE),VLOOKUP(F198,Equivalencia!$5:$23,((MAX(Equivalencia!$3:$3)-YEAR(G198))*14)+MONTH(G198)+2,FALSE))))</f>
        <v>1</v>
      </c>
      <c r="M198" s="306">
        <f t="shared" si="54"/>
        <v>94.125</v>
      </c>
      <c r="N198" s="305">
        <f>IF(G198=0,0,(IF(OR(E198=$AT$5,E198=$AT$6),AC198,HLOOKUP(YEAR(G198)+(MONTH(G198)/100),TC!$5:$37,DAY(G198)+2,FALSE))))</f>
        <v>21.4177</v>
      </c>
      <c r="O198" s="307">
        <f t="shared" si="55"/>
        <v>2015.9410124999999</v>
      </c>
      <c r="P198" s="560">
        <f>IF(G198=0,0,VLOOKUP(YEAR(G198),INPC!$B$4:$P$30,MONTH(G198)+2))</f>
        <v>117.30800000000001</v>
      </c>
      <c r="Q198" s="560">
        <f>IF(X198=0,0,IF(OR(E198=$AT$10,E198=$AT$9),VLOOKUP(YEAR(X198),INPC!$B$4:$P$30,MONTH(X198)+1),VLOOKUP(YEAR(X198),INPC!$B$4:$P$30,MONTH(X198)+2,0)))</f>
        <v>120.15900000000001</v>
      </c>
      <c r="R198" s="309">
        <f t="shared" si="56"/>
        <v>1.0243</v>
      </c>
      <c r="S198" s="310">
        <f t="shared" si="57"/>
        <v>2064.9283791037501</v>
      </c>
      <c r="T198" s="555">
        <f t="shared" si="58"/>
        <v>2064.9283791037501</v>
      </c>
      <c r="U198" s="311"/>
      <c r="V198" s="312">
        <v>1</v>
      </c>
      <c r="W198" s="299" t="s">
        <v>194</v>
      </c>
      <c r="X198" s="300">
        <v>44629</v>
      </c>
      <c r="Y198" s="299" t="s">
        <v>59</v>
      </c>
      <c r="Z198" s="303">
        <v>37.964300000000001</v>
      </c>
      <c r="AA198" s="305">
        <f>IF(Z198=0,0,IF(Y198="MXN",1/HLOOKUP(YEAR(X198)+(MONTH(X198)/100),TC!$5:$37,DAY(X198)+2,FALSE),VLOOKUP(Y198,Equivalencia!$1:$23,((MAX(Equivalencia!$3:$3)-YEAR(X198))*14)+MONTH(X198)+2,FALSE)))</f>
        <v>1</v>
      </c>
      <c r="AB198" s="306">
        <f t="shared" si="59"/>
        <v>37.964300000000001</v>
      </c>
      <c r="AC198" s="305">
        <f>+IF(X198=0,0,HLOOKUP(YEAR(X198)+(MONTH(X198)/100),TC!$5:$37,DAY(X198)+2,FALSE))</f>
        <v>21.194700000000001</v>
      </c>
      <c r="AD198" s="307">
        <f t="shared" si="60"/>
        <v>804.64194921000012</v>
      </c>
      <c r="AE198" s="314">
        <f t="shared" si="61"/>
        <v>2064.9283791037501</v>
      </c>
      <c r="AF198" s="315">
        <f t="shared" si="62"/>
        <v>-1260.28642989375</v>
      </c>
      <c r="AG198" s="316">
        <f t="shared" si="63"/>
        <v>0.25205479452054796</v>
      </c>
      <c r="AH198" s="314">
        <v>1</v>
      </c>
      <c r="AI198" s="314">
        <f t="shared" si="64"/>
        <v>-1260.28642989375</v>
      </c>
      <c r="AJ198" s="314">
        <f t="shared" si="65"/>
        <v>0</v>
      </c>
      <c r="AK198" s="317"/>
      <c r="AL198" s="315">
        <f t="shared" si="66"/>
        <v>-56.160699999999999</v>
      </c>
      <c r="AN198" s="554">
        <f t="shared" si="67"/>
        <v>-0.59666082337317394</v>
      </c>
      <c r="AO198" s="314"/>
      <c r="AP198" s="318"/>
    </row>
    <row r="199" spans="2:42">
      <c r="B199" s="296" t="s">
        <v>1254</v>
      </c>
      <c r="C199" s="299" t="s">
        <v>277</v>
      </c>
      <c r="D199" s="298" t="s">
        <v>876</v>
      </c>
      <c r="E199" s="299" t="s">
        <v>106</v>
      </c>
      <c r="F199" s="299" t="s">
        <v>59</v>
      </c>
      <c r="G199" s="300">
        <v>44537</v>
      </c>
      <c r="H199" s="303">
        <v>470.625</v>
      </c>
      <c r="I199" s="301" t="str">
        <f t="shared" si="51"/>
        <v>Ingresos Sección I LISR</v>
      </c>
      <c r="J199" s="302">
        <f t="shared" si="52"/>
        <v>5</v>
      </c>
      <c r="K199" s="304">
        <f t="shared" si="53"/>
        <v>94.125</v>
      </c>
      <c r="L199" s="305">
        <f>IF(H199=0,0,IF(OR(E199=$AT$5,E199=$AT$6),AA199,IF(F199="MXN",1/HLOOKUP(YEAR(G199)+(MONTH(G199)/100),TC!$5:$37,DAY(G199)+2,FALSE),VLOOKUP(F199,Equivalencia!$5:$23,((MAX(Equivalencia!$3:$3)-YEAR(G199))*14)+MONTH(G199)+2,FALSE))))</f>
        <v>1</v>
      </c>
      <c r="M199" s="306">
        <f t="shared" si="54"/>
        <v>470.625</v>
      </c>
      <c r="N199" s="305">
        <f>IF(G199=0,0,(IF(OR(E199=$AT$5,E199=$AT$6),AC199,HLOOKUP(YEAR(G199)+(MONTH(G199)/100),TC!$5:$37,DAY(G199)+2,FALSE))))</f>
        <v>21.4177</v>
      </c>
      <c r="O199" s="307">
        <f t="shared" si="55"/>
        <v>10079.705062499999</v>
      </c>
      <c r="P199" s="560">
        <f>IF(G199=0,0,VLOOKUP(YEAR(G199),INPC!$B$4:$P$30,MONTH(G199)+2))</f>
        <v>117.30800000000001</v>
      </c>
      <c r="Q199" s="560">
        <f>IF(X199=0,0,IF(OR(E199=$AT$10,E199=$AT$9),VLOOKUP(YEAR(X199),INPC!$B$4:$P$30,MONTH(X199)+1),VLOOKUP(YEAR(X199),INPC!$B$4:$P$30,MONTH(X199)+2,0)))</f>
        <v>120.15900000000001</v>
      </c>
      <c r="R199" s="309">
        <f t="shared" si="56"/>
        <v>1.0243</v>
      </c>
      <c r="S199" s="310">
        <f t="shared" si="57"/>
        <v>10324.641895518749</v>
      </c>
      <c r="T199" s="555">
        <f t="shared" si="58"/>
        <v>2064.9283791037496</v>
      </c>
      <c r="U199" s="311"/>
      <c r="V199" s="312">
        <v>5</v>
      </c>
      <c r="W199" s="299" t="s">
        <v>194</v>
      </c>
      <c r="X199" s="300">
        <v>44629</v>
      </c>
      <c r="Y199" s="299" t="s">
        <v>59</v>
      </c>
      <c r="Z199" s="303">
        <v>149.05405405405406</v>
      </c>
      <c r="AA199" s="305">
        <f>IF(Z199=0,0,IF(Y199="MXN",1/HLOOKUP(YEAR(X199)+(MONTH(X199)/100),TC!$5:$37,DAY(X199)+2,FALSE),VLOOKUP(Y199,Equivalencia!$1:$23,((MAX(Equivalencia!$3:$3)-YEAR(X199))*14)+MONTH(X199)+2,FALSE)))</f>
        <v>1</v>
      </c>
      <c r="AB199" s="306">
        <f t="shared" si="59"/>
        <v>149.05405405405406</v>
      </c>
      <c r="AC199" s="305">
        <f>+IF(X199=0,0,HLOOKUP(YEAR(X199)+(MONTH(X199)/100),TC!$5:$37,DAY(X199)+2,FALSE))</f>
        <v>21.194700000000001</v>
      </c>
      <c r="AD199" s="307">
        <f t="shared" si="60"/>
        <v>3159.1559594594596</v>
      </c>
      <c r="AE199" s="314">
        <f t="shared" si="61"/>
        <v>10324.641895518747</v>
      </c>
      <c r="AF199" s="315">
        <f t="shared" si="62"/>
        <v>-7165.4859360592873</v>
      </c>
      <c r="AG199" s="316">
        <f t="shared" si="63"/>
        <v>0.25205479452054796</v>
      </c>
      <c r="AH199" s="314">
        <v>1</v>
      </c>
      <c r="AI199" s="314">
        <f t="shared" si="64"/>
        <v>-7165.4859360592873</v>
      </c>
      <c r="AJ199" s="314">
        <f t="shared" si="65"/>
        <v>0</v>
      </c>
      <c r="AK199" s="317"/>
      <c r="AL199" s="315">
        <f t="shared" si="66"/>
        <v>-321.57094594594594</v>
      </c>
      <c r="AN199" s="554">
        <f t="shared" si="67"/>
        <v>-0.68328487850400199</v>
      </c>
      <c r="AO199" s="314"/>
      <c r="AP199" s="318"/>
    </row>
    <row r="200" spans="2:42">
      <c r="B200" s="296" t="s">
        <v>1254</v>
      </c>
      <c r="C200" s="299" t="s">
        <v>277</v>
      </c>
      <c r="D200" s="298" t="s">
        <v>876</v>
      </c>
      <c r="E200" s="299" t="s">
        <v>106</v>
      </c>
      <c r="F200" s="299" t="s">
        <v>59</v>
      </c>
      <c r="G200" s="300">
        <v>44537</v>
      </c>
      <c r="H200" s="303">
        <v>6417.27</v>
      </c>
      <c r="I200" s="301" t="str">
        <f t="shared" si="51"/>
        <v>Ingresos Sección I LISR</v>
      </c>
      <c r="J200" s="302">
        <f t="shared" si="52"/>
        <v>69</v>
      </c>
      <c r="K200" s="304">
        <f t="shared" si="53"/>
        <v>93.003913043478263</v>
      </c>
      <c r="L200" s="305">
        <f>IF(H200=0,0,IF(OR(E200=$AT$5,E200=$AT$6),AA200,IF(F200="MXN",1/HLOOKUP(YEAR(G200)+(MONTH(G200)/100),TC!$5:$37,DAY(G200)+2,FALSE),VLOOKUP(F200,Equivalencia!$5:$23,((MAX(Equivalencia!$3:$3)-YEAR(G200))*14)+MONTH(G200)+2,FALSE))))</f>
        <v>1</v>
      </c>
      <c r="M200" s="306">
        <f t="shared" si="54"/>
        <v>6417.27</v>
      </c>
      <c r="N200" s="305">
        <f>IF(G200=0,0,(IF(OR(E200=$AT$5,E200=$AT$6),AC200,HLOOKUP(YEAR(G200)+(MONTH(G200)/100),TC!$5:$37,DAY(G200)+2,FALSE))))</f>
        <v>21.4177</v>
      </c>
      <c r="O200" s="307">
        <f t="shared" si="55"/>
        <v>137443.16367900002</v>
      </c>
      <c r="P200" s="560">
        <f>IF(G200=0,0,VLOOKUP(YEAR(G200),INPC!$B$4:$P$30,MONTH(G200)+2))</f>
        <v>117.30800000000001</v>
      </c>
      <c r="Q200" s="560">
        <f>IF(X200=0,0,IF(OR(E200=$AT$10,E200=$AT$9),VLOOKUP(YEAR(X200),INPC!$B$4:$P$30,MONTH(X200)+1),VLOOKUP(YEAR(X200),INPC!$B$4:$P$30,MONTH(X200)+2,0)))</f>
        <v>120.15900000000001</v>
      </c>
      <c r="R200" s="309">
        <f t="shared" si="56"/>
        <v>1.0243</v>
      </c>
      <c r="S200" s="310">
        <f t="shared" si="57"/>
        <v>140783.03255639973</v>
      </c>
      <c r="T200" s="555">
        <f t="shared" si="58"/>
        <v>2040.3338051652136</v>
      </c>
      <c r="U200" s="311"/>
      <c r="V200" s="312">
        <v>69</v>
      </c>
      <c r="W200" s="299" t="s">
        <v>194</v>
      </c>
      <c r="X200" s="300">
        <v>44629</v>
      </c>
      <c r="Y200" s="299" t="s">
        <v>59</v>
      </c>
      <c r="Z200" s="303">
        <v>2056.9459459459458</v>
      </c>
      <c r="AA200" s="305">
        <f>IF(Z200=0,0,IF(Y200="MXN",1/HLOOKUP(YEAR(X200)+(MONTH(X200)/100),TC!$5:$37,DAY(X200)+2,FALSE),VLOOKUP(Y200,Equivalencia!$1:$23,((MAX(Equivalencia!$3:$3)-YEAR(X200))*14)+MONTH(X200)+2,FALSE)))</f>
        <v>1</v>
      </c>
      <c r="AB200" s="306">
        <f t="shared" si="59"/>
        <v>2056.9459459459458</v>
      </c>
      <c r="AC200" s="305">
        <f>+IF(X200=0,0,HLOOKUP(YEAR(X200)+(MONTH(X200)/100),TC!$5:$37,DAY(X200)+2,FALSE))</f>
        <v>21.194700000000001</v>
      </c>
      <c r="AD200" s="307">
        <f t="shared" si="60"/>
        <v>43596.352240540538</v>
      </c>
      <c r="AE200" s="314">
        <f t="shared" si="61"/>
        <v>140783.03255639973</v>
      </c>
      <c r="AF200" s="315">
        <f t="shared" si="62"/>
        <v>-97186.680315859194</v>
      </c>
      <c r="AG200" s="316">
        <f t="shared" si="63"/>
        <v>0.25205479452054796</v>
      </c>
      <c r="AH200" s="314">
        <v>1</v>
      </c>
      <c r="AI200" s="314">
        <f t="shared" si="64"/>
        <v>-97186.680315859194</v>
      </c>
      <c r="AJ200" s="314">
        <f t="shared" si="65"/>
        <v>0</v>
      </c>
      <c r="AK200" s="317"/>
      <c r="AL200" s="315">
        <f t="shared" si="66"/>
        <v>-4360.3240540540546</v>
      </c>
      <c r="AN200" s="554">
        <f t="shared" si="67"/>
        <v>-0.67946713385194235</v>
      </c>
      <c r="AO200" s="314"/>
      <c r="AP200" s="318"/>
    </row>
    <row r="201" spans="2:42">
      <c r="B201" s="296" t="s">
        <v>1254</v>
      </c>
      <c r="C201" s="299" t="s">
        <v>277</v>
      </c>
      <c r="D201" s="298" t="s">
        <v>730</v>
      </c>
      <c r="E201" s="299" t="s">
        <v>113</v>
      </c>
      <c r="F201" s="299" t="s">
        <v>59</v>
      </c>
      <c r="G201" s="300">
        <v>44225</v>
      </c>
      <c r="H201" s="303">
        <v>2949.6137142857147</v>
      </c>
      <c r="I201" s="301" t="str">
        <f t="shared" si="51"/>
        <v>Ingresos Sección II LISR (SIC &amp; BMV)</v>
      </c>
      <c r="J201" s="302">
        <f t="shared" si="52"/>
        <v>12</v>
      </c>
      <c r="K201" s="304">
        <f t="shared" si="53"/>
        <v>245.80114285714288</v>
      </c>
      <c r="L201" s="305">
        <f>IF(H201=0,0,IF(OR(E201=$AT$5,E201=$AT$6),AA201,IF(F201="MXN",1/HLOOKUP(YEAR(G201)+(MONTH(G201)/100),TC!$5:$37,DAY(G201)+2,FALSE),VLOOKUP(F201,Equivalencia!$5:$23,((MAX(Equivalencia!$3:$3)-YEAR(G201))*14)+MONTH(G201)+2,FALSE))))</f>
        <v>1</v>
      </c>
      <c r="M201" s="306">
        <f t="shared" si="54"/>
        <v>2949.6137142857147</v>
      </c>
      <c r="N201" s="305">
        <f>IF(G201=0,0,(IF(OR(E201=$AT$5,E201=$AT$6),AC201,HLOOKUP(YEAR(G201)+(MONTH(G201)/100),TC!$5:$37,DAY(G201)+2,FALSE))))</f>
        <v>20.216799999999999</v>
      </c>
      <c r="O201" s="307">
        <f t="shared" si="55"/>
        <v>59631.750538971435</v>
      </c>
      <c r="P201" s="560">
        <f>IF(G201=0,0,VLOOKUP(YEAR(G201),INPC!$B$4:$P$30,MONTH(G201)+2))</f>
        <v>110.21</v>
      </c>
      <c r="Q201" s="560">
        <f>IF(X201=0,0,IF(OR(E201=$AT$10,E201=$AT$9),VLOOKUP(YEAR(X201),INPC!$B$4:$P$30,MONTH(X201)+1),VLOOKUP(YEAR(X201),INPC!$B$4:$P$30,MONTH(X201)+2,0)))</f>
        <v>117.30800000000001</v>
      </c>
      <c r="R201" s="309">
        <f t="shared" si="56"/>
        <v>1.0644</v>
      </c>
      <c r="S201" s="310">
        <f t="shared" si="57"/>
        <v>63472.035273681198</v>
      </c>
      <c r="T201" s="555">
        <f t="shared" si="58"/>
        <v>5289.3362728067668</v>
      </c>
      <c r="U201" s="311"/>
      <c r="V201" s="312">
        <v>12</v>
      </c>
      <c r="W201" s="299" t="s">
        <v>194</v>
      </c>
      <c r="X201" s="300">
        <v>44566</v>
      </c>
      <c r="Y201" s="299" t="s">
        <v>59</v>
      </c>
      <c r="Z201" s="303">
        <v>4303.0600000000004</v>
      </c>
      <c r="AA201" s="305">
        <f>IF(Z201=0,0,IF(Y201="MXN",1/HLOOKUP(YEAR(X201)+(MONTH(X201)/100),TC!$5:$37,DAY(X201)+2,FALSE),VLOOKUP(Y201,Equivalencia!$1:$23,((MAX(Equivalencia!$3:$3)-YEAR(X201))*14)+MONTH(X201)+2,FALSE)))</f>
        <v>1</v>
      </c>
      <c r="AB201" s="306">
        <f t="shared" si="59"/>
        <v>4303.0600000000004</v>
      </c>
      <c r="AC201" s="305">
        <f>+IF(X201=0,0,HLOOKUP(YEAR(X201)+(MONTH(X201)/100),TC!$5:$37,DAY(X201)+2,FALSE))</f>
        <v>20.588999999999999</v>
      </c>
      <c r="AD201" s="307">
        <f t="shared" si="60"/>
        <v>88595.702340000003</v>
      </c>
      <c r="AE201" s="314">
        <f t="shared" si="61"/>
        <v>63472.035273681206</v>
      </c>
      <c r="AF201" s="315">
        <f t="shared" si="62"/>
        <v>25123.667066318798</v>
      </c>
      <c r="AG201" s="316">
        <f t="shared" si="63"/>
        <v>0.9342465753424658</v>
      </c>
      <c r="AH201" s="314">
        <v>1</v>
      </c>
      <c r="AI201" s="314">
        <f t="shared" si="64"/>
        <v>25123.667066318798</v>
      </c>
      <c r="AJ201" s="314">
        <f t="shared" si="65"/>
        <v>0</v>
      </c>
      <c r="AK201" s="317"/>
      <c r="AL201" s="315">
        <f t="shared" si="66"/>
        <v>1353.4462857142858</v>
      </c>
      <c r="AN201" s="554">
        <f t="shared" si="67"/>
        <v>0.4588554355979591</v>
      </c>
      <c r="AO201" s="314"/>
      <c r="AP201" s="318"/>
    </row>
    <row r="202" spans="2:42">
      <c r="B202" s="296" t="s">
        <v>1254</v>
      </c>
      <c r="C202" s="299" t="s">
        <v>277</v>
      </c>
      <c r="D202" s="298" t="s">
        <v>730</v>
      </c>
      <c r="E202" s="299" t="s">
        <v>113</v>
      </c>
      <c r="F202" s="299" t="s">
        <v>59</v>
      </c>
      <c r="G202" s="300">
        <v>44225</v>
      </c>
      <c r="H202" s="303">
        <v>4670.2217142857144</v>
      </c>
      <c r="I202" s="301" t="str">
        <f t="shared" si="51"/>
        <v>Ingresos Sección II LISR (SIC &amp; BMV)</v>
      </c>
      <c r="J202" s="302">
        <f t="shared" si="52"/>
        <v>19</v>
      </c>
      <c r="K202" s="304">
        <f t="shared" si="53"/>
        <v>245.80114285714285</v>
      </c>
      <c r="L202" s="305">
        <f>IF(H202=0,0,IF(OR(E202=$AT$5,E202=$AT$6),AA202,IF(F202="MXN",1/HLOOKUP(YEAR(G202)+(MONTH(G202)/100),TC!$5:$37,DAY(G202)+2,FALSE),VLOOKUP(F202,Equivalencia!$5:$23,((MAX(Equivalencia!$3:$3)-YEAR(G202))*14)+MONTH(G202)+2,FALSE))))</f>
        <v>1</v>
      </c>
      <c r="M202" s="306">
        <f t="shared" si="54"/>
        <v>4670.2217142857144</v>
      </c>
      <c r="N202" s="305">
        <f>IF(G202=0,0,(IF(OR(E202=$AT$5,E202=$AT$6),AC202,HLOOKUP(YEAR(G202)+(MONTH(G202)/100),TC!$5:$37,DAY(G202)+2,FALSE))))</f>
        <v>20.216799999999999</v>
      </c>
      <c r="O202" s="307">
        <f t="shared" si="55"/>
        <v>94416.938353371428</v>
      </c>
      <c r="P202" s="560">
        <f>IF(G202=0,0,VLOOKUP(YEAR(G202),INPC!$B$4:$P$30,MONTH(G202)+2))</f>
        <v>110.21</v>
      </c>
      <c r="Q202" s="560">
        <f>IF(X202=0,0,IF(OR(E202=$AT$10,E202=$AT$9),VLOOKUP(YEAR(X202),INPC!$B$4:$P$30,MONTH(X202)+1),VLOOKUP(YEAR(X202),INPC!$B$4:$P$30,MONTH(X202)+2,0)))</f>
        <v>117.30800000000001</v>
      </c>
      <c r="R202" s="309">
        <f t="shared" si="56"/>
        <v>1.0644</v>
      </c>
      <c r="S202" s="310">
        <f t="shared" si="57"/>
        <v>100497.38918332855</v>
      </c>
      <c r="T202" s="555">
        <f t="shared" si="58"/>
        <v>5289.3362728067659</v>
      </c>
      <c r="U202" s="311"/>
      <c r="V202" s="312">
        <v>19</v>
      </c>
      <c r="W202" s="299" t="s">
        <v>194</v>
      </c>
      <c r="X202" s="300">
        <v>44566</v>
      </c>
      <c r="Y202" s="299" t="s">
        <v>59</v>
      </c>
      <c r="Z202" s="303">
        <v>6823.913333333333</v>
      </c>
      <c r="AA202" s="305">
        <f>IF(Z202=0,0,IF(Y202="MXN",1/HLOOKUP(YEAR(X202)+(MONTH(X202)/100),TC!$5:$37,DAY(X202)+2,FALSE),VLOOKUP(Y202,Equivalencia!$1:$23,((MAX(Equivalencia!$3:$3)-YEAR(X202))*14)+MONTH(X202)+2,FALSE)))</f>
        <v>1</v>
      </c>
      <c r="AB202" s="306">
        <f t="shared" si="59"/>
        <v>6823.913333333333</v>
      </c>
      <c r="AC202" s="305">
        <f>+IF(X202=0,0,HLOOKUP(YEAR(X202)+(MONTH(X202)/100),TC!$5:$37,DAY(X202)+2,FALSE))</f>
        <v>20.588999999999999</v>
      </c>
      <c r="AD202" s="307">
        <f t="shared" si="60"/>
        <v>140497.55161999998</v>
      </c>
      <c r="AE202" s="314">
        <f t="shared" si="61"/>
        <v>100497.38918332855</v>
      </c>
      <c r="AF202" s="315">
        <f t="shared" si="62"/>
        <v>40000.162436671439</v>
      </c>
      <c r="AG202" s="316">
        <f t="shared" si="63"/>
        <v>0.9342465753424658</v>
      </c>
      <c r="AH202" s="314">
        <v>1</v>
      </c>
      <c r="AI202" s="314">
        <f t="shared" si="64"/>
        <v>40000.162436671439</v>
      </c>
      <c r="AJ202" s="314">
        <f t="shared" si="65"/>
        <v>0</v>
      </c>
      <c r="AK202" s="317"/>
      <c r="AL202" s="315">
        <f t="shared" si="66"/>
        <v>2153.6916190476186</v>
      </c>
      <c r="AN202" s="554">
        <f t="shared" si="67"/>
        <v>0.46115404167209101</v>
      </c>
      <c r="AO202" s="314"/>
      <c r="AP202" s="318"/>
    </row>
    <row r="203" spans="2:42">
      <c r="B203" s="296" t="s">
        <v>1254</v>
      </c>
      <c r="C203" s="299" t="s">
        <v>277</v>
      </c>
      <c r="D203" s="298" t="s">
        <v>730</v>
      </c>
      <c r="E203" s="299" t="s">
        <v>113</v>
      </c>
      <c r="F203" s="299" t="s">
        <v>59</v>
      </c>
      <c r="G203" s="300">
        <v>44259</v>
      </c>
      <c r="H203" s="303">
        <v>2324.96</v>
      </c>
      <c r="I203" s="301" t="str">
        <f t="shared" si="51"/>
        <v>Ingresos Sección II LISR (SIC &amp; BMV)</v>
      </c>
      <c r="J203" s="302">
        <f t="shared" si="52"/>
        <v>8</v>
      </c>
      <c r="K203" s="304">
        <f t="shared" si="53"/>
        <v>290.62</v>
      </c>
      <c r="L203" s="305">
        <f>IF(H203=0,0,IF(OR(E203=$AT$5,E203=$AT$6),AA203,IF(F203="MXN",1/HLOOKUP(YEAR(G203)+(MONTH(G203)/100),TC!$5:$37,DAY(G203)+2,FALSE),VLOOKUP(F203,Equivalencia!$5:$23,((MAX(Equivalencia!$3:$3)-YEAR(G203))*14)+MONTH(G203)+2,FALSE))))</f>
        <v>1</v>
      </c>
      <c r="M203" s="306">
        <f t="shared" si="54"/>
        <v>2324.96</v>
      </c>
      <c r="N203" s="305">
        <f>IF(G203=0,0,(IF(OR(E203=$AT$5,E203=$AT$6),AC203,HLOOKUP(YEAR(G203)+(MONTH(G203)/100),TC!$5:$37,DAY(G203)+2,FALSE))))</f>
        <v>20.690300000000001</v>
      </c>
      <c r="O203" s="307">
        <f t="shared" si="55"/>
        <v>48104.119888000001</v>
      </c>
      <c r="P203" s="560">
        <f>IF(G203=0,0,VLOOKUP(YEAR(G203),INPC!$B$4:$P$30,MONTH(G203)+2))</f>
        <v>111.824</v>
      </c>
      <c r="Q203" s="560">
        <f>IF(X203=0,0,IF(OR(E203=$AT$10,E203=$AT$9),VLOOKUP(YEAR(X203),INPC!$B$4:$P$30,MONTH(X203)+1),VLOOKUP(YEAR(X203),INPC!$B$4:$P$30,MONTH(X203)+2,0)))</f>
        <v>117.30800000000001</v>
      </c>
      <c r="R203" s="309">
        <f t="shared" si="56"/>
        <v>1.0489999999999999</v>
      </c>
      <c r="S203" s="310">
        <f t="shared" si="57"/>
        <v>50461.221762511996</v>
      </c>
      <c r="T203" s="555">
        <f t="shared" si="58"/>
        <v>6307.6527203139995</v>
      </c>
      <c r="U203" s="311"/>
      <c r="V203" s="312">
        <v>8</v>
      </c>
      <c r="W203" s="299" t="s">
        <v>194</v>
      </c>
      <c r="X203" s="300">
        <v>44566</v>
      </c>
      <c r="Y203" s="299" t="s">
        <v>59</v>
      </c>
      <c r="Z203" s="303">
        <v>2873.2266666666665</v>
      </c>
      <c r="AA203" s="305">
        <f>IF(Z203=0,0,IF(Y203="MXN",1/HLOOKUP(YEAR(X203)+(MONTH(X203)/100),TC!$5:$37,DAY(X203)+2,FALSE),VLOOKUP(Y203,Equivalencia!$1:$23,((MAX(Equivalencia!$3:$3)-YEAR(X203))*14)+MONTH(X203)+2,FALSE)))</f>
        <v>1</v>
      </c>
      <c r="AB203" s="306">
        <f t="shared" si="59"/>
        <v>2873.2266666666665</v>
      </c>
      <c r="AC203" s="305">
        <f>+IF(X203=0,0,HLOOKUP(YEAR(X203)+(MONTH(X203)/100),TC!$5:$37,DAY(X203)+2,FALSE))</f>
        <v>20.588999999999999</v>
      </c>
      <c r="AD203" s="307">
        <f t="shared" si="60"/>
        <v>59156.863839999991</v>
      </c>
      <c r="AE203" s="314">
        <f t="shared" si="61"/>
        <v>50461.221762511996</v>
      </c>
      <c r="AF203" s="315">
        <f t="shared" si="62"/>
        <v>8695.6420774879953</v>
      </c>
      <c r="AG203" s="316">
        <f t="shared" si="63"/>
        <v>0.84109589041095889</v>
      </c>
      <c r="AH203" s="314">
        <v>1</v>
      </c>
      <c r="AI203" s="314">
        <f t="shared" si="64"/>
        <v>8695.6420774879953</v>
      </c>
      <c r="AJ203" s="314">
        <f t="shared" si="65"/>
        <v>0</v>
      </c>
      <c r="AK203" s="317"/>
      <c r="AL203" s="315">
        <f t="shared" si="66"/>
        <v>548.26666666666642</v>
      </c>
      <c r="AN203" s="554">
        <f t="shared" si="67"/>
        <v>0.23581767715000104</v>
      </c>
      <c r="AO203" s="314"/>
      <c r="AP203" s="318"/>
    </row>
    <row r="204" spans="2:42">
      <c r="B204" s="296" t="s">
        <v>1254</v>
      </c>
      <c r="C204" s="299" t="s">
        <v>277</v>
      </c>
      <c r="D204" s="298" t="s">
        <v>730</v>
      </c>
      <c r="E204" s="299" t="s">
        <v>113</v>
      </c>
      <c r="F204" s="299" t="s">
        <v>59</v>
      </c>
      <c r="G204" s="300">
        <v>44259</v>
      </c>
      <c r="H204" s="303">
        <v>10752.94</v>
      </c>
      <c r="I204" s="301" t="str">
        <f t="shared" si="51"/>
        <v>Ingresos Sección II LISR (SIC &amp; BMV)</v>
      </c>
      <c r="J204" s="302">
        <f t="shared" si="52"/>
        <v>37</v>
      </c>
      <c r="K204" s="304">
        <f t="shared" si="53"/>
        <v>290.62</v>
      </c>
      <c r="L204" s="305">
        <f>IF(H204=0,0,IF(OR(E204=$AT$5,E204=$AT$6),AA204,IF(F204="MXN",1/HLOOKUP(YEAR(G204)+(MONTH(G204)/100),TC!$5:$37,DAY(G204)+2,FALSE),VLOOKUP(F204,Equivalencia!$5:$23,((MAX(Equivalencia!$3:$3)-YEAR(G204))*14)+MONTH(G204)+2,FALSE))))</f>
        <v>1</v>
      </c>
      <c r="M204" s="306">
        <f t="shared" si="54"/>
        <v>10752.94</v>
      </c>
      <c r="N204" s="305">
        <f>IF(G204=0,0,(IF(OR(E204=$AT$5,E204=$AT$6),AC204,HLOOKUP(YEAR(G204)+(MONTH(G204)/100),TC!$5:$37,DAY(G204)+2,FALSE))))</f>
        <v>20.690300000000001</v>
      </c>
      <c r="O204" s="307">
        <f t="shared" si="55"/>
        <v>222481.55448200001</v>
      </c>
      <c r="P204" s="560">
        <f>IF(G204=0,0,VLOOKUP(YEAR(G204),INPC!$B$4:$P$30,MONTH(G204)+2))</f>
        <v>111.824</v>
      </c>
      <c r="Q204" s="560">
        <f>IF(X204=0,0,IF(OR(E204=$AT$10,E204=$AT$9),VLOOKUP(YEAR(X204),INPC!$B$4:$P$30,MONTH(X204)+1),VLOOKUP(YEAR(X204),INPC!$B$4:$P$30,MONTH(X204)+2,0)))</f>
        <v>117.30800000000001</v>
      </c>
      <c r="R204" s="309">
        <f t="shared" si="56"/>
        <v>1.0489999999999999</v>
      </c>
      <c r="S204" s="310">
        <f t="shared" si="57"/>
        <v>233383.15065161799</v>
      </c>
      <c r="T204" s="555">
        <f t="shared" si="58"/>
        <v>6307.6527203139995</v>
      </c>
      <c r="U204" s="311"/>
      <c r="V204" s="312">
        <v>37</v>
      </c>
      <c r="W204" s="299" t="s">
        <v>194</v>
      </c>
      <c r="X204" s="300">
        <v>44566</v>
      </c>
      <c r="Y204" s="299" t="s">
        <v>59</v>
      </c>
      <c r="Z204" s="303">
        <v>13285.2</v>
      </c>
      <c r="AA204" s="305">
        <f>IF(Z204=0,0,IF(Y204="MXN",1/HLOOKUP(YEAR(X204)+(MONTH(X204)/100),TC!$5:$37,DAY(X204)+2,FALSE),VLOOKUP(Y204,Equivalencia!$1:$23,((MAX(Equivalencia!$3:$3)-YEAR(X204))*14)+MONTH(X204)+2,FALSE)))</f>
        <v>1</v>
      </c>
      <c r="AB204" s="306">
        <f t="shared" si="59"/>
        <v>13285.2</v>
      </c>
      <c r="AC204" s="305">
        <f>+IF(X204=0,0,HLOOKUP(YEAR(X204)+(MONTH(X204)/100),TC!$5:$37,DAY(X204)+2,FALSE))</f>
        <v>20.588999999999999</v>
      </c>
      <c r="AD204" s="307">
        <f t="shared" si="60"/>
        <v>273528.9828</v>
      </c>
      <c r="AE204" s="314">
        <f t="shared" si="61"/>
        <v>233383.15065161797</v>
      </c>
      <c r="AF204" s="315">
        <f t="shared" si="62"/>
        <v>40145.832148382033</v>
      </c>
      <c r="AG204" s="316">
        <f t="shared" si="63"/>
        <v>0.84109589041095889</v>
      </c>
      <c r="AH204" s="314">
        <v>1</v>
      </c>
      <c r="AI204" s="314">
        <f t="shared" si="64"/>
        <v>40145.832148382033</v>
      </c>
      <c r="AJ204" s="314">
        <f t="shared" si="65"/>
        <v>0</v>
      </c>
      <c r="AK204" s="317"/>
      <c r="AL204" s="315">
        <f t="shared" si="66"/>
        <v>2532.2600000000002</v>
      </c>
      <c r="AN204" s="554">
        <f t="shared" si="67"/>
        <v>0.2354946647149524</v>
      </c>
      <c r="AO204" s="314"/>
      <c r="AP204" s="318"/>
    </row>
    <row r="205" spans="2:42">
      <c r="B205" s="296" t="s">
        <v>1254</v>
      </c>
      <c r="C205" s="299" t="s">
        <v>277</v>
      </c>
      <c r="D205" s="298" t="s">
        <v>730</v>
      </c>
      <c r="E205" s="299" t="s">
        <v>113</v>
      </c>
      <c r="F205" s="299" t="s">
        <v>59</v>
      </c>
      <c r="G205" s="300">
        <v>44284</v>
      </c>
      <c r="H205" s="303">
        <v>1743.72</v>
      </c>
      <c r="I205" s="301" t="str">
        <f t="shared" si="51"/>
        <v>Ingresos Sección II LISR (SIC &amp; BMV)</v>
      </c>
      <c r="J205" s="302">
        <f t="shared" si="52"/>
        <v>6</v>
      </c>
      <c r="K205" s="304">
        <f t="shared" si="53"/>
        <v>290.62</v>
      </c>
      <c r="L205" s="305">
        <f>IF(H205=0,0,IF(OR(E205=$AT$5,E205=$AT$6),AA205,IF(F205="MXN",1/HLOOKUP(YEAR(G205)+(MONTH(G205)/100),TC!$5:$37,DAY(G205)+2,FALSE),VLOOKUP(F205,Equivalencia!$5:$23,((MAX(Equivalencia!$3:$3)-YEAR(G205))*14)+MONTH(G205)+2,FALSE))))</f>
        <v>1</v>
      </c>
      <c r="M205" s="306">
        <f t="shared" si="54"/>
        <v>1743.72</v>
      </c>
      <c r="N205" s="305">
        <f>IF(G205=0,0,(IF(OR(E205=$AT$5,E205=$AT$6),AC205,HLOOKUP(YEAR(G205)+(MONTH(G205)/100),TC!$5:$37,DAY(G205)+2,FALSE))))</f>
        <v>20.766200000000001</v>
      </c>
      <c r="O205" s="307">
        <f t="shared" si="55"/>
        <v>36210.438264000004</v>
      </c>
      <c r="P205" s="560">
        <f>IF(G205=0,0,VLOOKUP(YEAR(G205),INPC!$B$4:$P$30,MONTH(G205)+2))</f>
        <v>111.824</v>
      </c>
      <c r="Q205" s="560">
        <f>IF(X205=0,0,IF(OR(E205=$AT$10,E205=$AT$9),VLOOKUP(YEAR(X205),INPC!$B$4:$P$30,MONTH(X205)+1),VLOOKUP(YEAR(X205),INPC!$B$4:$P$30,MONTH(X205)+2,0)))</f>
        <v>117.30800000000001</v>
      </c>
      <c r="R205" s="309">
        <f t="shared" si="56"/>
        <v>1.0489999999999999</v>
      </c>
      <c r="S205" s="310">
        <f t="shared" si="57"/>
        <v>37984.749738936</v>
      </c>
      <c r="T205" s="555">
        <f t="shared" si="58"/>
        <v>6330.7916231560002</v>
      </c>
      <c r="U205" s="311"/>
      <c r="V205" s="312">
        <v>6</v>
      </c>
      <c r="W205" s="299" t="s">
        <v>194</v>
      </c>
      <c r="X205" s="300">
        <v>44566</v>
      </c>
      <c r="Y205" s="299" t="s">
        <v>59</v>
      </c>
      <c r="Z205" s="303">
        <v>2157.14</v>
      </c>
      <c r="AA205" s="305">
        <f>IF(Z205=0,0,IF(Y205="MXN",1/HLOOKUP(YEAR(X205)+(MONTH(X205)/100),TC!$5:$37,DAY(X205)+2,FALSE),VLOOKUP(Y205,Equivalencia!$1:$23,((MAX(Equivalencia!$3:$3)-YEAR(X205))*14)+MONTH(X205)+2,FALSE)))</f>
        <v>1</v>
      </c>
      <c r="AB205" s="306">
        <f t="shared" si="59"/>
        <v>2157.14</v>
      </c>
      <c r="AC205" s="305">
        <f>+IF(X205=0,0,HLOOKUP(YEAR(X205)+(MONTH(X205)/100),TC!$5:$37,DAY(X205)+2,FALSE))</f>
        <v>20.588999999999999</v>
      </c>
      <c r="AD205" s="307">
        <f t="shared" si="60"/>
        <v>44413.355459999992</v>
      </c>
      <c r="AE205" s="314">
        <f t="shared" si="61"/>
        <v>37984.749738936</v>
      </c>
      <c r="AF205" s="315">
        <f t="shared" si="62"/>
        <v>6428.605721063992</v>
      </c>
      <c r="AG205" s="316">
        <f t="shared" si="63"/>
        <v>0.77260273972602744</v>
      </c>
      <c r="AH205" s="314">
        <v>1</v>
      </c>
      <c r="AI205" s="314">
        <f t="shared" si="64"/>
        <v>6428.605721063992</v>
      </c>
      <c r="AJ205" s="314">
        <f t="shared" si="65"/>
        <v>0</v>
      </c>
      <c r="AK205" s="317"/>
      <c r="AL205" s="315">
        <f t="shared" si="66"/>
        <v>413.41999999999985</v>
      </c>
      <c r="AN205" s="554">
        <f t="shared" si="67"/>
        <v>0.23709081733305798</v>
      </c>
      <c r="AO205" s="314"/>
      <c r="AP205" s="318"/>
    </row>
    <row r="206" spans="2:42">
      <c r="B206" s="296" t="s">
        <v>1254</v>
      </c>
      <c r="C206" s="299" t="s">
        <v>277</v>
      </c>
      <c r="D206" s="298" t="s">
        <v>768</v>
      </c>
      <c r="E206" s="299" t="s">
        <v>113</v>
      </c>
      <c r="F206" s="299" t="s">
        <v>59</v>
      </c>
      <c r="G206" s="300">
        <v>44141</v>
      </c>
      <c r="H206" s="303">
        <v>15094.725504587155</v>
      </c>
      <c r="I206" s="301" t="str">
        <f t="shared" si="51"/>
        <v>Ingresos Sección II LISR (SIC &amp; BMV)</v>
      </c>
      <c r="J206" s="302">
        <f t="shared" si="52"/>
        <v>82</v>
      </c>
      <c r="K206" s="304">
        <f t="shared" si="53"/>
        <v>184.08201834862385</v>
      </c>
      <c r="L206" s="305">
        <f>IF(H206=0,0,IF(OR(E206=$AT$5,E206=$AT$6),AA206,IF(F206="MXN",1/HLOOKUP(YEAR(G206)+(MONTH(G206)/100),TC!$5:$37,DAY(G206)+2,FALSE),VLOOKUP(F206,Equivalencia!$5:$23,((MAX(Equivalencia!$3:$3)-YEAR(G206))*14)+MONTH(G206)+2,FALSE))))</f>
        <v>1</v>
      </c>
      <c r="M206" s="306">
        <f t="shared" si="54"/>
        <v>15094.725504587155</v>
      </c>
      <c r="N206" s="305">
        <f>IF(G206=0,0,(IF(OR(E206=$AT$5,E206=$AT$6),AC206,HLOOKUP(YEAR(G206)+(MONTH(G206)/100),TC!$5:$37,DAY(G206)+2,FALSE))))</f>
        <v>21.034500000000001</v>
      </c>
      <c r="O206" s="307">
        <f t="shared" si="55"/>
        <v>317510.00362623855</v>
      </c>
      <c r="P206" s="560">
        <f>IF(G206=0,0,VLOOKUP(YEAR(G206),INPC!$B$4:$P$30,MONTH(G206)+2))</f>
        <v>108.85599999999999</v>
      </c>
      <c r="Q206" s="560">
        <f>IF(X206=0,0,IF(OR(E206=$AT$10,E206=$AT$9),VLOOKUP(YEAR(X206),INPC!$B$4:$P$30,MONTH(X206)+1),VLOOKUP(YEAR(X206),INPC!$B$4:$P$30,MONTH(X206)+2,0)))</f>
        <v>120.15900000000001</v>
      </c>
      <c r="R206" s="309">
        <f t="shared" si="56"/>
        <v>1.1037999999999999</v>
      </c>
      <c r="S206" s="310">
        <f t="shared" si="57"/>
        <v>350467.54200264206</v>
      </c>
      <c r="T206" s="555">
        <f t="shared" si="58"/>
        <v>4273.9944146663665</v>
      </c>
      <c r="U206" s="311"/>
      <c r="V206" s="312">
        <v>82</v>
      </c>
      <c r="W206" s="299" t="s">
        <v>194</v>
      </c>
      <c r="X206" s="300">
        <v>44662</v>
      </c>
      <c r="Y206" s="299" t="s">
        <v>59</v>
      </c>
      <c r="Z206" s="303">
        <v>15560.13</v>
      </c>
      <c r="AA206" s="305">
        <f>IF(Z206=0,0,IF(Y206="MXN",1/HLOOKUP(YEAR(X206)+(MONTH(X206)/100),TC!$5:$37,DAY(X206)+2,FALSE),VLOOKUP(Y206,Equivalencia!$1:$23,((MAX(Equivalencia!$3:$3)-YEAR(X206))*14)+MONTH(X206)+2,FALSE)))</f>
        <v>1</v>
      </c>
      <c r="AB206" s="306">
        <f t="shared" si="59"/>
        <v>15560.13</v>
      </c>
      <c r="AC206" s="305">
        <f>+IF(X206=0,0,HLOOKUP(YEAR(X206)+(MONTH(X206)/100),TC!$5:$37,DAY(X206)+2,FALSE))</f>
        <v>20.160499999999999</v>
      </c>
      <c r="AD206" s="307">
        <f t="shared" si="60"/>
        <v>313700.00086499995</v>
      </c>
      <c r="AE206" s="314">
        <f t="shared" si="61"/>
        <v>350467.54200264206</v>
      </c>
      <c r="AF206" s="315">
        <f t="shared" si="62"/>
        <v>-36767.541137642111</v>
      </c>
      <c r="AG206" s="316">
        <f t="shared" si="63"/>
        <v>1.4273972602739726</v>
      </c>
      <c r="AH206" s="314">
        <v>1</v>
      </c>
      <c r="AI206" s="314">
        <f t="shared" si="64"/>
        <v>-36767.541137642111</v>
      </c>
      <c r="AJ206" s="314">
        <f t="shared" si="65"/>
        <v>0</v>
      </c>
      <c r="AK206" s="317"/>
      <c r="AL206" s="315">
        <f t="shared" si="66"/>
        <v>465.40449541284397</v>
      </c>
      <c r="AN206" s="554">
        <f t="shared" si="67"/>
        <v>3.0832259604284398E-2</v>
      </c>
      <c r="AO206" s="314"/>
      <c r="AP206" s="318"/>
    </row>
    <row r="207" spans="2:42">
      <c r="B207" s="296" t="s">
        <v>1254</v>
      </c>
      <c r="C207" s="299" t="s">
        <v>277</v>
      </c>
      <c r="D207" s="298" t="s">
        <v>877</v>
      </c>
      <c r="E207" s="299" t="s">
        <v>113</v>
      </c>
      <c r="F207" s="299" t="s">
        <v>59</v>
      </c>
      <c r="G207" s="300">
        <v>44204</v>
      </c>
      <c r="H207" s="303">
        <v>780.69297297297305</v>
      </c>
      <c r="I207" s="301" t="str">
        <f t="shared" si="51"/>
        <v>Ingresos Sección II LISR (SIC &amp; BMV)</v>
      </c>
      <c r="J207" s="302">
        <f t="shared" si="52"/>
        <v>7</v>
      </c>
      <c r="K207" s="304">
        <f t="shared" si="53"/>
        <v>111.52756756756757</v>
      </c>
      <c r="L207" s="305">
        <f>IF(H207=0,0,IF(OR(E207=$AT$5,E207=$AT$6),AA207,IF(F207="MXN",1/HLOOKUP(YEAR(G207)+(MONTH(G207)/100),TC!$5:$37,DAY(G207)+2,FALSE),VLOOKUP(F207,Equivalencia!$5:$23,((MAX(Equivalencia!$3:$3)-YEAR(G207))*14)+MONTH(G207)+2,FALSE))))</f>
        <v>1</v>
      </c>
      <c r="M207" s="306">
        <f t="shared" si="54"/>
        <v>780.69297297297305</v>
      </c>
      <c r="N207" s="305">
        <f>IF(G207=0,0,(IF(OR(E207=$AT$5,E207=$AT$6),AC207,HLOOKUP(YEAR(G207)+(MONTH(G207)/100),TC!$5:$37,DAY(G207)+2,FALSE))))</f>
        <v>19.725000000000001</v>
      </c>
      <c r="O207" s="307">
        <f t="shared" si="55"/>
        <v>15399.168891891895</v>
      </c>
      <c r="P207" s="560">
        <f>IF(G207=0,0,VLOOKUP(YEAR(G207),INPC!$B$4:$P$30,MONTH(G207)+2))</f>
        <v>110.21</v>
      </c>
      <c r="Q207" s="560">
        <f>IF(X207=0,0,IF(OR(E207=$AT$10,E207=$AT$9),VLOOKUP(YEAR(X207),INPC!$B$4:$P$30,MONTH(X207)+1),VLOOKUP(YEAR(X207),INPC!$B$4:$P$30,MONTH(X207)+2,0)))</f>
        <v>117.30800000000001</v>
      </c>
      <c r="R207" s="309">
        <f t="shared" si="56"/>
        <v>1.0644</v>
      </c>
      <c r="S207" s="310">
        <f t="shared" si="57"/>
        <v>16390.875368529734</v>
      </c>
      <c r="T207" s="555">
        <f t="shared" si="58"/>
        <v>2341.5536240756765</v>
      </c>
      <c r="U207" s="311"/>
      <c r="V207" s="312">
        <v>7</v>
      </c>
      <c r="W207" s="299" t="s">
        <v>194</v>
      </c>
      <c r="X207" s="300">
        <v>44573</v>
      </c>
      <c r="Y207" s="299" t="s">
        <v>59</v>
      </c>
      <c r="Z207" s="303">
        <v>811.73</v>
      </c>
      <c r="AA207" s="305">
        <f>IF(Z207=0,0,IF(Y207="MXN",1/HLOOKUP(YEAR(X207)+(MONTH(X207)/100),TC!$5:$37,DAY(X207)+2,FALSE),VLOOKUP(Y207,Equivalencia!$1:$23,((MAX(Equivalencia!$3:$3)-YEAR(X207))*14)+MONTH(X207)+2,FALSE)))</f>
        <v>1</v>
      </c>
      <c r="AB207" s="306">
        <f t="shared" si="59"/>
        <v>811.73</v>
      </c>
      <c r="AC207" s="305">
        <f>+IF(X207=0,0,HLOOKUP(YEAR(X207)+(MONTH(X207)/100),TC!$5:$37,DAY(X207)+2,FALSE))</f>
        <v>20.4453</v>
      </c>
      <c r="AD207" s="307">
        <f t="shared" si="60"/>
        <v>16596.063369</v>
      </c>
      <c r="AE207" s="314">
        <f t="shared" si="61"/>
        <v>16390.875368529734</v>
      </c>
      <c r="AF207" s="315">
        <f t="shared" si="62"/>
        <v>205.18800047026525</v>
      </c>
      <c r="AG207" s="316">
        <f t="shared" si="63"/>
        <v>1.010958904109589</v>
      </c>
      <c r="AH207" s="314">
        <v>1</v>
      </c>
      <c r="AI207" s="314">
        <f t="shared" si="64"/>
        <v>205.18800047026525</v>
      </c>
      <c r="AJ207" s="314">
        <f t="shared" si="65"/>
        <v>0</v>
      </c>
      <c r="AK207" s="317"/>
      <c r="AL207" s="315">
        <f t="shared" si="66"/>
        <v>31.037027027026966</v>
      </c>
      <c r="AN207" s="554">
        <f t="shared" si="67"/>
        <v>3.9755740222477243E-2</v>
      </c>
      <c r="AO207" s="314"/>
      <c r="AP207" s="318"/>
    </row>
    <row r="208" spans="2:42">
      <c r="B208" s="296" t="s">
        <v>1254</v>
      </c>
      <c r="C208" s="299" t="s">
        <v>277</v>
      </c>
      <c r="D208" s="298" t="s">
        <v>877</v>
      </c>
      <c r="E208" s="299" t="s">
        <v>113</v>
      </c>
      <c r="F208" s="299" t="s">
        <v>59</v>
      </c>
      <c r="G208" s="300">
        <v>44211</v>
      </c>
      <c r="H208" s="303">
        <v>450.88</v>
      </c>
      <c r="I208" s="301" t="str">
        <f t="shared" si="51"/>
        <v>Ingresos Sección II LISR (SIC &amp; BMV)</v>
      </c>
      <c r="J208" s="302">
        <f t="shared" si="52"/>
        <v>4</v>
      </c>
      <c r="K208" s="304">
        <f t="shared" si="53"/>
        <v>112.72</v>
      </c>
      <c r="L208" s="305">
        <f>IF(H208=0,0,IF(OR(E208=$AT$5,E208=$AT$6),AA208,IF(F208="MXN",1/HLOOKUP(YEAR(G208)+(MONTH(G208)/100),TC!$5:$37,DAY(G208)+2,FALSE),VLOOKUP(F208,Equivalencia!$5:$23,((MAX(Equivalencia!$3:$3)-YEAR(G208))*14)+MONTH(G208)+2,FALSE))))</f>
        <v>1</v>
      </c>
      <c r="M208" s="306">
        <f t="shared" si="54"/>
        <v>450.88</v>
      </c>
      <c r="N208" s="305">
        <f>IF(G208=0,0,(IF(OR(E208=$AT$5,E208=$AT$6),AC208,HLOOKUP(YEAR(G208)+(MONTH(G208)/100),TC!$5:$37,DAY(G208)+2,FALSE))))</f>
        <v>19.793500000000002</v>
      </c>
      <c r="O208" s="307">
        <f t="shared" si="55"/>
        <v>8924.4932800000006</v>
      </c>
      <c r="P208" s="560">
        <f>IF(G208=0,0,VLOOKUP(YEAR(G208),INPC!$B$4:$P$30,MONTH(G208)+2))</f>
        <v>110.21</v>
      </c>
      <c r="Q208" s="560">
        <f>IF(X208=0,0,IF(OR(E208=$AT$10,E208=$AT$9),VLOOKUP(YEAR(X208),INPC!$B$4:$P$30,MONTH(X208)+1),VLOOKUP(YEAR(X208),INPC!$B$4:$P$30,MONTH(X208)+2,0)))</f>
        <v>117.30800000000001</v>
      </c>
      <c r="R208" s="309">
        <f t="shared" si="56"/>
        <v>1.0644</v>
      </c>
      <c r="S208" s="310">
        <f t="shared" si="57"/>
        <v>9499.2306472320015</v>
      </c>
      <c r="T208" s="555">
        <f t="shared" si="58"/>
        <v>2374.8076618080004</v>
      </c>
      <c r="U208" s="311"/>
      <c r="V208" s="312">
        <v>4</v>
      </c>
      <c r="W208" s="299" t="s">
        <v>194</v>
      </c>
      <c r="X208" s="300">
        <v>44573</v>
      </c>
      <c r="Y208" s="299" t="s">
        <v>59</v>
      </c>
      <c r="Z208" s="303">
        <v>463.84571428571428</v>
      </c>
      <c r="AA208" s="305">
        <f>IF(Z208=0,0,IF(Y208="MXN",1/HLOOKUP(YEAR(X208)+(MONTH(X208)/100),TC!$5:$37,DAY(X208)+2,FALSE),VLOOKUP(Y208,Equivalencia!$1:$23,((MAX(Equivalencia!$3:$3)-YEAR(X208))*14)+MONTH(X208)+2,FALSE)))</f>
        <v>1</v>
      </c>
      <c r="AB208" s="306">
        <f t="shared" si="59"/>
        <v>463.84571428571428</v>
      </c>
      <c r="AC208" s="305">
        <f>+IF(X208=0,0,HLOOKUP(YEAR(X208)+(MONTH(X208)/100),TC!$5:$37,DAY(X208)+2,FALSE))</f>
        <v>20.4453</v>
      </c>
      <c r="AD208" s="307">
        <f t="shared" si="60"/>
        <v>9483.4647822857132</v>
      </c>
      <c r="AE208" s="314">
        <f t="shared" si="61"/>
        <v>9499.2306472320015</v>
      </c>
      <c r="AF208" s="315">
        <f t="shared" si="62"/>
        <v>-15.765864946288275</v>
      </c>
      <c r="AG208" s="316">
        <f t="shared" si="63"/>
        <v>0.99178082191780825</v>
      </c>
      <c r="AH208" s="314">
        <v>1</v>
      </c>
      <c r="AI208" s="314">
        <f t="shared" si="64"/>
        <v>-15.765864946288275</v>
      </c>
      <c r="AJ208" s="314">
        <f t="shared" si="65"/>
        <v>0</v>
      </c>
      <c r="AK208" s="317"/>
      <c r="AL208" s="315">
        <f t="shared" si="66"/>
        <v>12.965714285714284</v>
      </c>
      <c r="AN208" s="554">
        <f t="shared" si="67"/>
        <v>2.8756463550643818E-2</v>
      </c>
      <c r="AO208" s="314"/>
      <c r="AP208" s="318"/>
    </row>
    <row r="209" spans="2:42">
      <c r="B209" s="296" t="s">
        <v>1254</v>
      </c>
      <c r="C209" s="299" t="s">
        <v>277</v>
      </c>
      <c r="D209" s="298" t="s">
        <v>877</v>
      </c>
      <c r="E209" s="299" t="s">
        <v>113</v>
      </c>
      <c r="F209" s="299" t="s">
        <v>59</v>
      </c>
      <c r="G209" s="300">
        <v>44211</v>
      </c>
      <c r="H209" s="303">
        <v>1139.6948717948719</v>
      </c>
      <c r="I209" s="301" t="str">
        <f t="shared" si="51"/>
        <v>Ingresos Sección II LISR (SIC &amp; BMV)</v>
      </c>
      <c r="J209" s="302">
        <f t="shared" si="52"/>
        <v>10</v>
      </c>
      <c r="K209" s="304">
        <f t="shared" si="53"/>
        <v>113.96948717948719</v>
      </c>
      <c r="L209" s="305">
        <f>IF(H209=0,0,IF(OR(E209=$AT$5,E209=$AT$6),AA209,IF(F209="MXN",1/HLOOKUP(YEAR(G209)+(MONTH(G209)/100),TC!$5:$37,DAY(G209)+2,FALSE),VLOOKUP(F209,Equivalencia!$5:$23,((MAX(Equivalencia!$3:$3)-YEAR(G209))*14)+MONTH(G209)+2,FALSE))))</f>
        <v>1</v>
      </c>
      <c r="M209" s="306">
        <f t="shared" si="54"/>
        <v>1139.6948717948719</v>
      </c>
      <c r="N209" s="305">
        <f>IF(G209=0,0,(IF(OR(E209=$AT$5,E209=$AT$6),AC209,HLOOKUP(YEAR(G209)+(MONTH(G209)/100),TC!$5:$37,DAY(G209)+2,FALSE))))</f>
        <v>19.793500000000002</v>
      </c>
      <c r="O209" s="307">
        <f t="shared" si="55"/>
        <v>22558.550444871798</v>
      </c>
      <c r="P209" s="560">
        <f>IF(G209=0,0,VLOOKUP(YEAR(G209),INPC!$B$4:$P$30,MONTH(G209)+2))</f>
        <v>110.21</v>
      </c>
      <c r="Q209" s="560">
        <f>IF(X209=0,0,IF(OR(E209=$AT$10,E209=$AT$9),VLOOKUP(YEAR(X209),INPC!$B$4:$P$30,MONTH(X209)+1),VLOOKUP(YEAR(X209),INPC!$B$4:$P$30,MONTH(X209)+2,0)))</f>
        <v>117.30800000000001</v>
      </c>
      <c r="R209" s="309">
        <f t="shared" si="56"/>
        <v>1.0644</v>
      </c>
      <c r="S209" s="310">
        <f t="shared" si="57"/>
        <v>24011.321093521543</v>
      </c>
      <c r="T209" s="555">
        <f t="shared" si="58"/>
        <v>2401.1321093521542</v>
      </c>
      <c r="U209" s="311"/>
      <c r="V209" s="312">
        <v>10</v>
      </c>
      <c r="W209" s="299" t="s">
        <v>194</v>
      </c>
      <c r="X209" s="300">
        <v>44573</v>
      </c>
      <c r="Y209" s="299" t="s">
        <v>59</v>
      </c>
      <c r="Z209" s="303">
        <v>1159.6142857142856</v>
      </c>
      <c r="AA209" s="305">
        <f>IF(Z209=0,0,IF(Y209="MXN",1/HLOOKUP(YEAR(X209)+(MONTH(X209)/100),TC!$5:$37,DAY(X209)+2,FALSE),VLOOKUP(Y209,Equivalencia!$1:$23,((MAX(Equivalencia!$3:$3)-YEAR(X209))*14)+MONTH(X209)+2,FALSE)))</f>
        <v>1</v>
      </c>
      <c r="AB209" s="306">
        <f t="shared" si="59"/>
        <v>1159.6142857142856</v>
      </c>
      <c r="AC209" s="305">
        <f>+IF(X209=0,0,HLOOKUP(YEAR(X209)+(MONTH(X209)/100),TC!$5:$37,DAY(X209)+2,FALSE))</f>
        <v>20.4453</v>
      </c>
      <c r="AD209" s="307">
        <f t="shared" si="60"/>
        <v>23708.661955714284</v>
      </c>
      <c r="AE209" s="314">
        <f t="shared" si="61"/>
        <v>24011.321093521543</v>
      </c>
      <c r="AF209" s="315">
        <f t="shared" si="62"/>
        <v>-302.65913780725896</v>
      </c>
      <c r="AG209" s="316">
        <f t="shared" si="63"/>
        <v>0.99178082191780825</v>
      </c>
      <c r="AH209" s="314">
        <v>1</v>
      </c>
      <c r="AI209" s="314">
        <f t="shared" si="64"/>
        <v>-302.65913780725896</v>
      </c>
      <c r="AJ209" s="314">
        <f t="shared" si="65"/>
        <v>0</v>
      </c>
      <c r="AK209" s="317"/>
      <c r="AL209" s="315">
        <f t="shared" si="66"/>
        <v>19.919413919413728</v>
      </c>
      <c r="AN209" s="554">
        <f t="shared" si="67"/>
        <v>1.7477848161274279E-2</v>
      </c>
      <c r="AO209" s="314"/>
      <c r="AP209" s="318"/>
    </row>
    <row r="210" spans="2:42">
      <c r="B210" s="296" t="s">
        <v>1254</v>
      </c>
      <c r="C210" s="299" t="s">
        <v>277</v>
      </c>
      <c r="D210" s="298" t="s">
        <v>877</v>
      </c>
      <c r="E210" s="299" t="s">
        <v>113</v>
      </c>
      <c r="F210" s="299" t="s">
        <v>59</v>
      </c>
      <c r="G210" s="300">
        <v>44211</v>
      </c>
      <c r="H210" s="303">
        <v>797.78641025641036</v>
      </c>
      <c r="I210" s="301" t="str">
        <f t="shared" si="51"/>
        <v>Ingresos Sección II LISR (SIC &amp; BMV)</v>
      </c>
      <c r="J210" s="302">
        <f t="shared" si="52"/>
        <v>7</v>
      </c>
      <c r="K210" s="304">
        <f t="shared" si="53"/>
        <v>113.96948717948719</v>
      </c>
      <c r="L210" s="305">
        <f>IF(H210=0,0,IF(OR(E210=$AT$5,E210=$AT$6),AA210,IF(F210="MXN",1/HLOOKUP(YEAR(G210)+(MONTH(G210)/100),TC!$5:$37,DAY(G210)+2,FALSE),VLOOKUP(F210,Equivalencia!$5:$23,((MAX(Equivalencia!$3:$3)-YEAR(G210))*14)+MONTH(G210)+2,FALSE))))</f>
        <v>1</v>
      </c>
      <c r="M210" s="306">
        <f t="shared" si="54"/>
        <v>797.78641025641036</v>
      </c>
      <c r="N210" s="305">
        <f>IF(G210=0,0,(IF(OR(E210=$AT$5,E210=$AT$6),AC210,HLOOKUP(YEAR(G210)+(MONTH(G210)/100),TC!$5:$37,DAY(G210)+2,FALSE))))</f>
        <v>19.793500000000002</v>
      </c>
      <c r="O210" s="307">
        <f t="shared" si="55"/>
        <v>15790.985311410261</v>
      </c>
      <c r="P210" s="560">
        <f>IF(G210=0,0,VLOOKUP(YEAR(G210),INPC!$B$4:$P$30,MONTH(G210)+2))</f>
        <v>110.21</v>
      </c>
      <c r="Q210" s="560">
        <f>IF(X210=0,0,IF(OR(E210=$AT$10,E210=$AT$9),VLOOKUP(YEAR(X210),INPC!$B$4:$P$30,MONTH(X210)+1),VLOOKUP(YEAR(X210),INPC!$B$4:$P$30,MONTH(X210)+2,0)))</f>
        <v>117.30800000000001</v>
      </c>
      <c r="R210" s="309">
        <f t="shared" si="56"/>
        <v>1.0644</v>
      </c>
      <c r="S210" s="310">
        <f t="shared" si="57"/>
        <v>16807.924765465083</v>
      </c>
      <c r="T210" s="555">
        <f t="shared" si="58"/>
        <v>2401.1321093521547</v>
      </c>
      <c r="U210" s="311"/>
      <c r="V210" s="312">
        <v>7</v>
      </c>
      <c r="W210" s="299" t="s">
        <v>194</v>
      </c>
      <c r="X210" s="300">
        <v>44573</v>
      </c>
      <c r="Y210" s="299" t="s">
        <v>59</v>
      </c>
      <c r="Z210" s="303">
        <v>806.19</v>
      </c>
      <c r="AA210" s="305">
        <f>IF(Z210=0,0,IF(Y210="MXN",1/HLOOKUP(YEAR(X210)+(MONTH(X210)/100),TC!$5:$37,DAY(X210)+2,FALSE),VLOOKUP(Y210,Equivalencia!$1:$23,((MAX(Equivalencia!$3:$3)-YEAR(X210))*14)+MONTH(X210)+2,FALSE)))</f>
        <v>1</v>
      </c>
      <c r="AB210" s="306">
        <f t="shared" si="59"/>
        <v>806.19</v>
      </c>
      <c r="AC210" s="305">
        <f>+IF(X210=0,0,HLOOKUP(YEAR(X210)+(MONTH(X210)/100),TC!$5:$37,DAY(X210)+2,FALSE))</f>
        <v>20.4453</v>
      </c>
      <c r="AD210" s="307">
        <f t="shared" si="60"/>
        <v>16482.796407000002</v>
      </c>
      <c r="AE210" s="314">
        <f t="shared" si="61"/>
        <v>16807.924765465083</v>
      </c>
      <c r="AF210" s="315">
        <f t="shared" si="62"/>
        <v>-325.12835846508096</v>
      </c>
      <c r="AG210" s="316">
        <f t="shared" si="63"/>
        <v>0.99178082191780825</v>
      </c>
      <c r="AH210" s="314">
        <v>1</v>
      </c>
      <c r="AI210" s="314">
        <f t="shared" si="64"/>
        <v>-325.12835846508096</v>
      </c>
      <c r="AJ210" s="314">
        <f t="shared" si="65"/>
        <v>0</v>
      </c>
      <c r="AK210" s="317"/>
      <c r="AL210" s="315">
        <f t="shared" si="66"/>
        <v>8.4035897435896914</v>
      </c>
      <c r="AN210" s="554">
        <f t="shared" si="67"/>
        <v>1.0533633608635623E-2</v>
      </c>
      <c r="AO210" s="314"/>
      <c r="AP210" s="318"/>
    </row>
    <row r="211" spans="2:42">
      <c r="B211" s="296" t="s">
        <v>1254</v>
      </c>
      <c r="C211" s="299" t="s">
        <v>277</v>
      </c>
      <c r="D211" s="298" t="s">
        <v>877</v>
      </c>
      <c r="E211" s="299" t="s">
        <v>113</v>
      </c>
      <c r="F211" s="299" t="s">
        <v>59</v>
      </c>
      <c r="G211" s="300">
        <v>44211</v>
      </c>
      <c r="H211" s="303">
        <v>6952.1387179487183</v>
      </c>
      <c r="I211" s="301" t="str">
        <f t="shared" si="51"/>
        <v>Ingresos Sección II LISR (SIC &amp; BMV)</v>
      </c>
      <c r="J211" s="302">
        <f t="shared" si="52"/>
        <v>61</v>
      </c>
      <c r="K211" s="304">
        <f t="shared" si="53"/>
        <v>113.96948717948719</v>
      </c>
      <c r="L211" s="305">
        <f>IF(H211=0,0,IF(OR(E211=$AT$5,E211=$AT$6),AA211,IF(F211="MXN",1/HLOOKUP(YEAR(G211)+(MONTH(G211)/100),TC!$5:$37,DAY(G211)+2,FALSE),VLOOKUP(F211,Equivalencia!$5:$23,((MAX(Equivalencia!$3:$3)-YEAR(G211))*14)+MONTH(G211)+2,FALSE))))</f>
        <v>1</v>
      </c>
      <c r="M211" s="306">
        <f t="shared" si="54"/>
        <v>6952.1387179487183</v>
      </c>
      <c r="N211" s="305">
        <f>IF(G211=0,0,(IF(OR(E211=$AT$5,E211=$AT$6),AC211,HLOOKUP(YEAR(G211)+(MONTH(G211)/100),TC!$5:$37,DAY(G211)+2,FALSE))))</f>
        <v>19.793500000000002</v>
      </c>
      <c r="O211" s="307">
        <f t="shared" si="55"/>
        <v>137607.15771371796</v>
      </c>
      <c r="P211" s="560">
        <f>IF(G211=0,0,VLOOKUP(YEAR(G211),INPC!$B$4:$P$30,MONTH(G211)+2))</f>
        <v>110.21</v>
      </c>
      <c r="Q211" s="560">
        <f>IF(X211=0,0,IF(OR(E211=$AT$10,E211=$AT$9),VLOOKUP(YEAR(X211),INPC!$B$4:$P$30,MONTH(X211)+1),VLOOKUP(YEAR(X211),INPC!$B$4:$P$30,MONTH(X211)+2,0)))</f>
        <v>117.30800000000001</v>
      </c>
      <c r="R211" s="309">
        <f t="shared" si="56"/>
        <v>1.0644</v>
      </c>
      <c r="S211" s="310">
        <f t="shared" si="57"/>
        <v>146469.0586704814</v>
      </c>
      <c r="T211" s="555">
        <f t="shared" si="58"/>
        <v>2401.1321093521542</v>
      </c>
      <c r="U211" s="311"/>
      <c r="V211" s="312">
        <v>61</v>
      </c>
      <c r="W211" s="299" t="s">
        <v>194</v>
      </c>
      <c r="X211" s="300">
        <v>44573</v>
      </c>
      <c r="Y211" s="299" t="s">
        <v>59</v>
      </c>
      <c r="Z211" s="303">
        <v>7035.5392405063294</v>
      </c>
      <c r="AA211" s="305">
        <f>IF(Z211=0,0,IF(Y211="MXN",1/HLOOKUP(YEAR(X211)+(MONTH(X211)/100),TC!$5:$37,DAY(X211)+2,FALSE),VLOOKUP(Y211,Equivalencia!$1:$23,((MAX(Equivalencia!$3:$3)-YEAR(X211))*14)+MONTH(X211)+2,FALSE)))</f>
        <v>1</v>
      </c>
      <c r="AB211" s="306">
        <f t="shared" si="59"/>
        <v>7035.5392405063294</v>
      </c>
      <c r="AC211" s="305">
        <f>+IF(X211=0,0,HLOOKUP(YEAR(X211)+(MONTH(X211)/100),TC!$5:$37,DAY(X211)+2,FALSE))</f>
        <v>20.4453</v>
      </c>
      <c r="AD211" s="307">
        <f t="shared" si="60"/>
        <v>143843.71043392405</v>
      </c>
      <c r="AE211" s="314">
        <f t="shared" si="61"/>
        <v>146469.0586704814</v>
      </c>
      <c r="AF211" s="315">
        <f t="shared" si="62"/>
        <v>-2625.3482365573582</v>
      </c>
      <c r="AG211" s="316">
        <f t="shared" si="63"/>
        <v>0.99178082191780825</v>
      </c>
      <c r="AH211" s="314">
        <v>1</v>
      </c>
      <c r="AI211" s="314">
        <f t="shared" si="64"/>
        <v>-2625.3482365573582</v>
      </c>
      <c r="AJ211" s="314">
        <f t="shared" si="65"/>
        <v>0</v>
      </c>
      <c r="AK211" s="317"/>
      <c r="AL211" s="315">
        <f t="shared" si="66"/>
        <v>83.400522557611112</v>
      </c>
      <c r="AN211" s="554">
        <f t="shared" si="67"/>
        <v>1.1996383550617511E-2</v>
      </c>
      <c r="AO211" s="314"/>
      <c r="AP211" s="318"/>
    </row>
    <row r="212" spans="2:42">
      <c r="B212" s="296" t="s">
        <v>1254</v>
      </c>
      <c r="C212" s="299" t="s">
        <v>277</v>
      </c>
      <c r="D212" s="298" t="s">
        <v>877</v>
      </c>
      <c r="E212" s="299" t="s">
        <v>113</v>
      </c>
      <c r="F212" s="299" t="s">
        <v>59</v>
      </c>
      <c r="G212" s="300">
        <v>44259</v>
      </c>
      <c r="H212" s="303">
        <v>2188.0009756097561</v>
      </c>
      <c r="I212" s="301" t="str">
        <f t="shared" si="51"/>
        <v>Ingresos Sección II LISR (SIC &amp; BMV)</v>
      </c>
      <c r="J212" s="302">
        <f t="shared" si="52"/>
        <v>18</v>
      </c>
      <c r="K212" s="304">
        <f t="shared" si="53"/>
        <v>121.55560975609757</v>
      </c>
      <c r="L212" s="305">
        <f>IF(H212=0,0,IF(OR(E212=$AT$5,E212=$AT$6),AA212,IF(F212="MXN",1/HLOOKUP(YEAR(G212)+(MONTH(G212)/100),TC!$5:$37,DAY(G212)+2,FALSE),VLOOKUP(F212,Equivalencia!$5:$23,((MAX(Equivalencia!$3:$3)-YEAR(G212))*14)+MONTH(G212)+2,FALSE))))</f>
        <v>1</v>
      </c>
      <c r="M212" s="306">
        <f t="shared" si="54"/>
        <v>2188.0009756097561</v>
      </c>
      <c r="N212" s="305">
        <f>IF(G212=0,0,(IF(OR(E212=$AT$5,E212=$AT$6),AC212,HLOOKUP(YEAR(G212)+(MONTH(G212)/100),TC!$5:$37,DAY(G212)+2,FALSE))))</f>
        <v>20.690300000000001</v>
      </c>
      <c r="O212" s="307">
        <f t="shared" si="55"/>
        <v>45270.396585658535</v>
      </c>
      <c r="P212" s="560">
        <f>IF(G212=0,0,VLOOKUP(YEAR(G212),INPC!$B$4:$P$30,MONTH(G212)+2))</f>
        <v>111.824</v>
      </c>
      <c r="Q212" s="560">
        <f>IF(X212=0,0,IF(OR(E212=$AT$10,E212=$AT$9),VLOOKUP(YEAR(X212),INPC!$B$4:$P$30,MONTH(X212)+1),VLOOKUP(YEAR(X212),INPC!$B$4:$P$30,MONTH(X212)+2,0)))</f>
        <v>117.30800000000001</v>
      </c>
      <c r="R212" s="309">
        <f t="shared" si="56"/>
        <v>1.0489999999999999</v>
      </c>
      <c r="S212" s="310">
        <f t="shared" si="57"/>
        <v>47488.646018355801</v>
      </c>
      <c r="T212" s="555">
        <f t="shared" si="58"/>
        <v>2638.2581121308776</v>
      </c>
      <c r="U212" s="311"/>
      <c r="V212" s="312">
        <v>18</v>
      </c>
      <c r="W212" s="299" t="s">
        <v>194</v>
      </c>
      <c r="X212" s="300">
        <v>44573</v>
      </c>
      <c r="Y212" s="299" t="s">
        <v>59</v>
      </c>
      <c r="Z212" s="303">
        <v>2076.060759493671</v>
      </c>
      <c r="AA212" s="305">
        <f>IF(Z212=0,0,IF(Y212="MXN",1/HLOOKUP(YEAR(X212)+(MONTH(X212)/100),TC!$5:$37,DAY(X212)+2,FALSE),VLOOKUP(Y212,Equivalencia!$1:$23,((MAX(Equivalencia!$3:$3)-YEAR(X212))*14)+MONTH(X212)+2,FALSE)))</f>
        <v>1</v>
      </c>
      <c r="AB212" s="306">
        <f t="shared" si="59"/>
        <v>2076.060759493671</v>
      </c>
      <c r="AC212" s="305">
        <f>+IF(X212=0,0,HLOOKUP(YEAR(X212)+(MONTH(X212)/100),TC!$5:$37,DAY(X212)+2,FALSE))</f>
        <v>20.4453</v>
      </c>
      <c r="AD212" s="307">
        <f t="shared" si="60"/>
        <v>42445.685046075952</v>
      </c>
      <c r="AE212" s="314">
        <f t="shared" si="61"/>
        <v>47488.646018355794</v>
      </c>
      <c r="AF212" s="315">
        <f t="shared" si="62"/>
        <v>-5042.9609722798414</v>
      </c>
      <c r="AG212" s="316">
        <f t="shared" si="63"/>
        <v>0.86027397260273974</v>
      </c>
      <c r="AH212" s="314">
        <v>1</v>
      </c>
      <c r="AI212" s="314">
        <f t="shared" si="64"/>
        <v>-5042.9609722798414</v>
      </c>
      <c r="AJ212" s="314">
        <f t="shared" si="65"/>
        <v>0</v>
      </c>
      <c r="AK212" s="317"/>
      <c r="AL212" s="315">
        <f t="shared" si="66"/>
        <v>-111.94021611608514</v>
      </c>
      <c r="AN212" s="554">
        <f t="shared" si="67"/>
        <v>-5.1160953474844513E-2</v>
      </c>
      <c r="AO212" s="314"/>
      <c r="AP212" s="318"/>
    </row>
    <row r="213" spans="2:42">
      <c r="B213" s="296" t="s">
        <v>1254</v>
      </c>
      <c r="C213" s="299" t="s">
        <v>277</v>
      </c>
      <c r="D213" s="298" t="s">
        <v>877</v>
      </c>
      <c r="E213" s="299" t="s">
        <v>113</v>
      </c>
      <c r="F213" s="299" t="s">
        <v>59</v>
      </c>
      <c r="G213" s="300">
        <v>44259</v>
      </c>
      <c r="H213" s="303">
        <v>5956.2248780487807</v>
      </c>
      <c r="I213" s="301" t="str">
        <f t="shared" si="51"/>
        <v>Ingresos Sección II LISR (SIC &amp; BMV)</v>
      </c>
      <c r="J213" s="302">
        <f t="shared" si="52"/>
        <v>49</v>
      </c>
      <c r="K213" s="304">
        <f t="shared" si="53"/>
        <v>121.55560975609757</v>
      </c>
      <c r="L213" s="305">
        <f>IF(H213=0,0,IF(OR(E213=$AT$5,E213=$AT$6),AA213,IF(F213="MXN",1/HLOOKUP(YEAR(G213)+(MONTH(G213)/100),TC!$5:$37,DAY(G213)+2,FALSE),VLOOKUP(F213,Equivalencia!$5:$23,((MAX(Equivalencia!$3:$3)-YEAR(G213))*14)+MONTH(G213)+2,FALSE))))</f>
        <v>1</v>
      </c>
      <c r="M213" s="306">
        <f t="shared" si="54"/>
        <v>5956.2248780487807</v>
      </c>
      <c r="N213" s="305">
        <f>IF(G213=0,0,(IF(OR(E213=$AT$5,E213=$AT$6),AC213,HLOOKUP(YEAR(G213)+(MONTH(G213)/100),TC!$5:$37,DAY(G213)+2,FALSE))))</f>
        <v>20.690300000000001</v>
      </c>
      <c r="O213" s="307">
        <f t="shared" si="55"/>
        <v>123236.07959429269</v>
      </c>
      <c r="P213" s="560">
        <f>IF(G213=0,0,VLOOKUP(YEAR(G213),INPC!$B$4:$P$30,MONTH(G213)+2))</f>
        <v>111.824</v>
      </c>
      <c r="Q213" s="560">
        <f>IF(X213=0,0,IF(OR(E213=$AT$10,E213=$AT$9),VLOOKUP(YEAR(X213),INPC!$B$4:$P$30,MONTH(X213)+1),VLOOKUP(YEAR(X213),INPC!$B$4:$P$30,MONTH(X213)+2,0)))</f>
        <v>117.30800000000001</v>
      </c>
      <c r="R213" s="309">
        <f t="shared" si="56"/>
        <v>1.0489999999999999</v>
      </c>
      <c r="S213" s="310">
        <f t="shared" si="57"/>
        <v>129274.64749441303</v>
      </c>
      <c r="T213" s="555">
        <f t="shared" si="58"/>
        <v>2638.2581121308781</v>
      </c>
      <c r="U213" s="311"/>
      <c r="V213" s="312">
        <v>49</v>
      </c>
      <c r="W213" s="299" t="s">
        <v>194</v>
      </c>
      <c r="X213" s="300">
        <v>44574</v>
      </c>
      <c r="Y213" s="299" t="s">
        <v>59</v>
      </c>
      <c r="Z213" s="303">
        <v>5755.39</v>
      </c>
      <c r="AA213" s="305">
        <f>IF(Z213=0,0,IF(Y213="MXN",1/HLOOKUP(YEAR(X213)+(MONTH(X213)/100),TC!$5:$37,DAY(X213)+2,FALSE),VLOOKUP(Y213,Equivalencia!$1:$23,((MAX(Equivalencia!$3:$3)-YEAR(X213))*14)+MONTH(X213)+2,FALSE)))</f>
        <v>1</v>
      </c>
      <c r="AB213" s="306">
        <f t="shared" si="59"/>
        <v>5755.39</v>
      </c>
      <c r="AC213" s="305">
        <f>+IF(X213=0,0,HLOOKUP(YEAR(X213)+(MONTH(X213)/100),TC!$5:$37,DAY(X213)+2,FALSE))</f>
        <v>20.378499999999999</v>
      </c>
      <c r="AD213" s="307">
        <f t="shared" si="60"/>
        <v>117286.215115</v>
      </c>
      <c r="AE213" s="314">
        <f t="shared" si="61"/>
        <v>129274.64749441303</v>
      </c>
      <c r="AF213" s="315">
        <f t="shared" si="62"/>
        <v>-11988.432379413032</v>
      </c>
      <c r="AG213" s="316">
        <f t="shared" si="63"/>
        <v>0.86301369863013699</v>
      </c>
      <c r="AH213" s="314">
        <v>1</v>
      </c>
      <c r="AI213" s="314">
        <f t="shared" si="64"/>
        <v>-11988.432379413032</v>
      </c>
      <c r="AJ213" s="314">
        <f t="shared" si="65"/>
        <v>0</v>
      </c>
      <c r="AK213" s="317"/>
      <c r="AL213" s="315">
        <f t="shared" si="66"/>
        <v>-200.83487804878041</v>
      </c>
      <c r="AN213" s="554">
        <f t="shared" si="67"/>
        <v>-3.3718484805525438E-2</v>
      </c>
      <c r="AO213" s="314"/>
      <c r="AP213" s="318"/>
    </row>
    <row r="214" spans="2:42">
      <c r="B214" s="296" t="s">
        <v>1254</v>
      </c>
      <c r="C214" s="299" t="s">
        <v>277</v>
      </c>
      <c r="D214" s="298" t="s">
        <v>877</v>
      </c>
      <c r="E214" s="299" t="s">
        <v>113</v>
      </c>
      <c r="F214" s="299" t="s">
        <v>59</v>
      </c>
      <c r="G214" s="300">
        <v>44259</v>
      </c>
      <c r="H214" s="303">
        <v>729.3336585365854</v>
      </c>
      <c r="I214" s="301" t="str">
        <f t="shared" si="51"/>
        <v>Ingresos Sección II LISR (SIC &amp; BMV)</v>
      </c>
      <c r="J214" s="302">
        <f t="shared" si="52"/>
        <v>6</v>
      </c>
      <c r="K214" s="304">
        <f t="shared" si="53"/>
        <v>121.55560975609757</v>
      </c>
      <c r="L214" s="305">
        <f>IF(H214=0,0,IF(OR(E214=$AT$5,E214=$AT$6),AA214,IF(F214="MXN",1/HLOOKUP(YEAR(G214)+(MONTH(G214)/100),TC!$5:$37,DAY(G214)+2,FALSE),VLOOKUP(F214,Equivalencia!$5:$23,((MAX(Equivalencia!$3:$3)-YEAR(G214))*14)+MONTH(G214)+2,FALSE))))</f>
        <v>1</v>
      </c>
      <c r="M214" s="306">
        <f t="shared" si="54"/>
        <v>729.3336585365854</v>
      </c>
      <c r="N214" s="305">
        <f>IF(G214=0,0,(IF(OR(E214=$AT$5,E214=$AT$6),AC214,HLOOKUP(YEAR(G214)+(MONTH(G214)/100),TC!$5:$37,DAY(G214)+2,FALSE))))</f>
        <v>20.690300000000001</v>
      </c>
      <c r="O214" s="307">
        <f t="shared" si="55"/>
        <v>15090.132195219514</v>
      </c>
      <c r="P214" s="560">
        <f>IF(G214=0,0,VLOOKUP(YEAR(G214),INPC!$B$4:$P$30,MONTH(G214)+2))</f>
        <v>111.824</v>
      </c>
      <c r="Q214" s="560">
        <f>IF(X214=0,0,IF(OR(E214=$AT$10,E214=$AT$9),VLOOKUP(YEAR(X214),INPC!$B$4:$P$30,MONTH(X214)+1),VLOOKUP(YEAR(X214),INPC!$B$4:$P$30,MONTH(X214)+2,0)))</f>
        <v>117.30800000000001</v>
      </c>
      <c r="R214" s="309">
        <f t="shared" si="56"/>
        <v>1.0489999999999999</v>
      </c>
      <c r="S214" s="310">
        <f t="shared" si="57"/>
        <v>15829.548672785269</v>
      </c>
      <c r="T214" s="555">
        <f t="shared" si="58"/>
        <v>2638.2581121308781</v>
      </c>
      <c r="U214" s="311"/>
      <c r="V214" s="312">
        <v>6</v>
      </c>
      <c r="W214" s="299" t="s">
        <v>194</v>
      </c>
      <c r="X214" s="300">
        <v>44574</v>
      </c>
      <c r="Y214" s="299" t="s">
        <v>59</v>
      </c>
      <c r="Z214" s="303">
        <v>704.16</v>
      </c>
      <c r="AA214" s="305">
        <f>IF(Z214=0,0,IF(Y214="MXN",1/HLOOKUP(YEAR(X214)+(MONTH(X214)/100),TC!$5:$37,DAY(X214)+2,FALSE),VLOOKUP(Y214,Equivalencia!$1:$23,((MAX(Equivalencia!$3:$3)-YEAR(X214))*14)+MONTH(X214)+2,FALSE)))</f>
        <v>1</v>
      </c>
      <c r="AB214" s="306">
        <f t="shared" si="59"/>
        <v>704.16</v>
      </c>
      <c r="AC214" s="305">
        <f>+IF(X214=0,0,HLOOKUP(YEAR(X214)+(MONTH(X214)/100),TC!$5:$37,DAY(X214)+2,FALSE))</f>
        <v>20.378499999999999</v>
      </c>
      <c r="AD214" s="307">
        <f t="shared" si="60"/>
        <v>14349.724559999999</v>
      </c>
      <c r="AE214" s="314">
        <f t="shared" si="61"/>
        <v>15829.548672785269</v>
      </c>
      <c r="AF214" s="315">
        <f t="shared" si="62"/>
        <v>-1479.8241127852707</v>
      </c>
      <c r="AG214" s="316">
        <f t="shared" si="63"/>
        <v>0.86301369863013699</v>
      </c>
      <c r="AH214" s="314">
        <v>1</v>
      </c>
      <c r="AI214" s="314">
        <f t="shared" si="64"/>
        <v>-1479.8241127852707</v>
      </c>
      <c r="AJ214" s="314">
        <f t="shared" si="65"/>
        <v>0</v>
      </c>
      <c r="AK214" s="317"/>
      <c r="AL214" s="315">
        <f t="shared" si="66"/>
        <v>-25.173658536585435</v>
      </c>
      <c r="AN214" s="554">
        <f t="shared" si="67"/>
        <v>-3.4515969806050921E-2</v>
      </c>
      <c r="AO214" s="314"/>
      <c r="AP214" s="318"/>
    </row>
    <row r="215" spans="2:42">
      <c r="B215" s="296" t="s">
        <v>1254</v>
      </c>
      <c r="C215" s="299" t="s">
        <v>277</v>
      </c>
      <c r="D215" s="298" t="s">
        <v>877</v>
      </c>
      <c r="E215" s="299" t="s">
        <v>113</v>
      </c>
      <c r="F215" s="299" t="s">
        <v>59</v>
      </c>
      <c r="G215" s="300">
        <v>44259</v>
      </c>
      <c r="H215" s="303">
        <v>2552.6678048780491</v>
      </c>
      <c r="I215" s="301" t="str">
        <f t="shared" si="51"/>
        <v>Ingresos Sección II LISR (SIC &amp; BMV)</v>
      </c>
      <c r="J215" s="302">
        <f t="shared" si="52"/>
        <v>21</v>
      </c>
      <c r="K215" s="304">
        <f t="shared" si="53"/>
        <v>121.55560975609758</v>
      </c>
      <c r="L215" s="305">
        <f>IF(H215=0,0,IF(OR(E215=$AT$5,E215=$AT$6),AA215,IF(F215="MXN",1/HLOOKUP(YEAR(G215)+(MONTH(G215)/100),TC!$5:$37,DAY(G215)+2,FALSE),VLOOKUP(F215,Equivalencia!$5:$23,((MAX(Equivalencia!$3:$3)-YEAR(G215))*14)+MONTH(G215)+2,FALSE))))</f>
        <v>1</v>
      </c>
      <c r="M215" s="306">
        <f t="shared" si="54"/>
        <v>2552.6678048780491</v>
      </c>
      <c r="N215" s="305">
        <f>IF(G215=0,0,(IF(OR(E215=$AT$5,E215=$AT$6),AC215,HLOOKUP(YEAR(G215)+(MONTH(G215)/100),TC!$5:$37,DAY(G215)+2,FALSE))))</f>
        <v>20.690300000000001</v>
      </c>
      <c r="O215" s="307">
        <f t="shared" si="55"/>
        <v>52815.462683268299</v>
      </c>
      <c r="P215" s="560">
        <f>IF(G215=0,0,VLOOKUP(YEAR(G215),INPC!$B$4:$P$30,MONTH(G215)+2))</f>
        <v>111.824</v>
      </c>
      <c r="Q215" s="560">
        <f>IF(X215=0,0,IF(OR(E215=$AT$10,E215=$AT$9),VLOOKUP(YEAR(X215),INPC!$B$4:$P$30,MONTH(X215)+1),VLOOKUP(YEAR(X215),INPC!$B$4:$P$30,MONTH(X215)+2,0)))</f>
        <v>118.002</v>
      </c>
      <c r="R215" s="309">
        <f t="shared" si="56"/>
        <v>1.0551999999999999</v>
      </c>
      <c r="S215" s="310">
        <f t="shared" si="57"/>
        <v>55730.876223384701</v>
      </c>
      <c r="T215" s="555">
        <f t="shared" si="58"/>
        <v>2653.8512487326047</v>
      </c>
      <c r="U215" s="311"/>
      <c r="V215" s="312">
        <v>21</v>
      </c>
      <c r="W215" s="299" t="s">
        <v>194</v>
      </c>
      <c r="X215" s="300">
        <v>44610</v>
      </c>
      <c r="Y215" s="299" t="s">
        <v>59</v>
      </c>
      <c r="Z215" s="303">
        <v>2660.25</v>
      </c>
      <c r="AA215" s="305">
        <f>IF(Z215=0,0,IF(Y215="MXN",1/HLOOKUP(YEAR(X215)+(MONTH(X215)/100),TC!$5:$37,DAY(X215)+2,FALSE),VLOOKUP(Y215,Equivalencia!$1:$23,((MAX(Equivalencia!$3:$3)-YEAR(X215))*14)+MONTH(X215)+2,FALSE)))</f>
        <v>1</v>
      </c>
      <c r="AB215" s="306">
        <f t="shared" si="59"/>
        <v>2660.25</v>
      </c>
      <c r="AC215" s="305">
        <f>+IF(X215=0,0,HLOOKUP(YEAR(X215)+(MONTH(X215)/100),TC!$5:$37,DAY(X215)+2,FALSE))</f>
        <v>20.333500000000001</v>
      </c>
      <c r="AD215" s="307">
        <f t="shared" si="60"/>
        <v>54092.193375000003</v>
      </c>
      <c r="AE215" s="314">
        <f t="shared" si="61"/>
        <v>55730.876223384701</v>
      </c>
      <c r="AF215" s="315">
        <f t="shared" si="62"/>
        <v>-1638.6828483846984</v>
      </c>
      <c r="AG215" s="316">
        <f t="shared" si="63"/>
        <v>0.9616438356164384</v>
      </c>
      <c r="AH215" s="314">
        <v>1</v>
      </c>
      <c r="AI215" s="314">
        <f t="shared" si="64"/>
        <v>-1638.6828483846984</v>
      </c>
      <c r="AJ215" s="314">
        <f t="shared" si="65"/>
        <v>0</v>
      </c>
      <c r="AK215" s="317"/>
      <c r="AL215" s="315">
        <f t="shared" si="66"/>
        <v>107.58219512195092</v>
      </c>
      <c r="AN215" s="554">
        <f t="shared" si="67"/>
        <v>4.2145004107610677E-2</v>
      </c>
      <c r="AO215" s="314"/>
      <c r="AP215" s="318"/>
    </row>
    <row r="216" spans="2:42">
      <c r="B216" s="296" t="s">
        <v>1254</v>
      </c>
      <c r="C216" s="299" t="s">
        <v>277</v>
      </c>
      <c r="D216" s="298" t="s">
        <v>877</v>
      </c>
      <c r="E216" s="299" t="s">
        <v>113</v>
      </c>
      <c r="F216" s="299" t="s">
        <v>59</v>
      </c>
      <c r="G216" s="300">
        <v>44259</v>
      </c>
      <c r="H216" s="303">
        <v>3525.1126829268296</v>
      </c>
      <c r="I216" s="301" t="str">
        <f t="shared" si="51"/>
        <v>Ingresos Sección II LISR (SIC &amp; BMV)</v>
      </c>
      <c r="J216" s="302">
        <f t="shared" si="52"/>
        <v>29</v>
      </c>
      <c r="K216" s="304">
        <f t="shared" si="53"/>
        <v>121.55560975609757</v>
      </c>
      <c r="L216" s="305">
        <f>IF(H216=0,0,IF(OR(E216=$AT$5,E216=$AT$6),AA216,IF(F216="MXN",1/HLOOKUP(YEAR(G216)+(MONTH(G216)/100),TC!$5:$37,DAY(G216)+2,FALSE),VLOOKUP(F216,Equivalencia!$5:$23,((MAX(Equivalencia!$3:$3)-YEAR(G216))*14)+MONTH(G216)+2,FALSE))))</f>
        <v>1</v>
      </c>
      <c r="M216" s="306">
        <f t="shared" si="54"/>
        <v>3525.1126829268296</v>
      </c>
      <c r="N216" s="305">
        <f>IF(G216=0,0,(IF(OR(E216=$AT$5,E216=$AT$6),AC216,HLOOKUP(YEAR(G216)+(MONTH(G216)/100),TC!$5:$37,DAY(G216)+2,FALSE))))</f>
        <v>20.690300000000001</v>
      </c>
      <c r="O216" s="307">
        <f t="shared" si="55"/>
        <v>72935.638943560989</v>
      </c>
      <c r="P216" s="560">
        <f>IF(G216=0,0,VLOOKUP(YEAR(G216),INPC!$B$4:$P$30,MONTH(G216)+2))</f>
        <v>111.824</v>
      </c>
      <c r="Q216" s="560">
        <f>IF(X216=0,0,IF(OR(E216=$AT$10,E216=$AT$9),VLOOKUP(YEAR(X216),INPC!$B$4:$P$30,MONTH(X216)+1),VLOOKUP(YEAR(X216),INPC!$B$4:$P$30,MONTH(X216)+2,0)))</f>
        <v>118.002</v>
      </c>
      <c r="R216" s="309">
        <f t="shared" si="56"/>
        <v>1.0551999999999999</v>
      </c>
      <c r="S216" s="310">
        <f t="shared" si="57"/>
        <v>76961.686213245543</v>
      </c>
      <c r="T216" s="555">
        <f t="shared" si="58"/>
        <v>2653.8512487326047</v>
      </c>
      <c r="U216" s="311"/>
      <c r="V216" s="312">
        <v>29</v>
      </c>
      <c r="W216" s="299" t="s">
        <v>194</v>
      </c>
      <c r="X216" s="300">
        <v>44610</v>
      </c>
      <c r="Y216" s="299" t="s">
        <v>59</v>
      </c>
      <c r="Z216" s="303">
        <v>3673.68</v>
      </c>
      <c r="AA216" s="305">
        <f>IF(Z216=0,0,IF(Y216="MXN",1/HLOOKUP(YEAR(X216)+(MONTH(X216)/100),TC!$5:$37,DAY(X216)+2,FALSE),VLOOKUP(Y216,Equivalencia!$1:$23,((MAX(Equivalencia!$3:$3)-YEAR(X216))*14)+MONTH(X216)+2,FALSE)))</f>
        <v>1</v>
      </c>
      <c r="AB216" s="306">
        <f t="shared" si="59"/>
        <v>3673.68</v>
      </c>
      <c r="AC216" s="305">
        <f>+IF(X216=0,0,HLOOKUP(YEAR(X216)+(MONTH(X216)/100),TC!$5:$37,DAY(X216)+2,FALSE))</f>
        <v>20.333500000000001</v>
      </c>
      <c r="AD216" s="307">
        <f t="shared" si="60"/>
        <v>74698.772280000005</v>
      </c>
      <c r="AE216" s="314">
        <f t="shared" si="61"/>
        <v>76961.686213245543</v>
      </c>
      <c r="AF216" s="315">
        <f t="shared" si="62"/>
        <v>-2262.9139332455379</v>
      </c>
      <c r="AG216" s="316">
        <f t="shared" si="63"/>
        <v>0.9616438356164384</v>
      </c>
      <c r="AH216" s="314">
        <v>1</v>
      </c>
      <c r="AI216" s="314">
        <f t="shared" si="64"/>
        <v>-2262.9139332455379</v>
      </c>
      <c r="AJ216" s="314">
        <f t="shared" si="65"/>
        <v>0</v>
      </c>
      <c r="AK216" s="317"/>
      <c r="AL216" s="315">
        <f t="shared" si="66"/>
        <v>148.56731707317022</v>
      </c>
      <c r="AN216" s="554">
        <f t="shared" si="67"/>
        <v>4.2145409363146313E-2</v>
      </c>
      <c r="AO216" s="314"/>
      <c r="AP216" s="318"/>
    </row>
    <row r="217" spans="2:42">
      <c r="B217" s="296" t="s">
        <v>1254</v>
      </c>
      <c r="C217" s="299" t="s">
        <v>277</v>
      </c>
      <c r="D217" s="298" t="s">
        <v>877</v>
      </c>
      <c r="E217" s="299" t="s">
        <v>113</v>
      </c>
      <c r="F217" s="299" t="s">
        <v>59</v>
      </c>
      <c r="G217" s="300">
        <v>44293</v>
      </c>
      <c r="H217" s="303">
        <v>494.82068965517237</v>
      </c>
      <c r="I217" s="301" t="str">
        <f t="shared" si="51"/>
        <v>Ingresos Sección II LISR (SIC &amp; BMV)</v>
      </c>
      <c r="J217" s="302">
        <f t="shared" si="52"/>
        <v>4</v>
      </c>
      <c r="K217" s="304">
        <f t="shared" si="53"/>
        <v>123.70517241379309</v>
      </c>
      <c r="L217" s="305">
        <f>IF(H217=0,0,IF(OR(E217=$AT$5,E217=$AT$6),AA217,IF(F217="MXN",1/HLOOKUP(YEAR(G217)+(MONTH(G217)/100),TC!$5:$37,DAY(G217)+2,FALSE),VLOOKUP(F217,Equivalencia!$5:$23,((MAX(Equivalencia!$3:$3)-YEAR(G217))*14)+MONTH(G217)+2,FALSE))))</f>
        <v>1</v>
      </c>
      <c r="M217" s="306">
        <f t="shared" si="54"/>
        <v>494.82068965517237</v>
      </c>
      <c r="N217" s="305">
        <f>IF(G217=0,0,(IF(OR(E217=$AT$5,E217=$AT$6),AC217,HLOOKUP(YEAR(G217)+(MONTH(G217)/100),TC!$5:$37,DAY(G217)+2,FALSE))))</f>
        <v>20.2483</v>
      </c>
      <c r="O217" s="307">
        <f t="shared" si="55"/>
        <v>10019.277770344826</v>
      </c>
      <c r="P217" s="560">
        <f>IF(G217=0,0,VLOOKUP(YEAR(G217),INPC!$B$4:$P$30,MONTH(G217)+2))</f>
        <v>112.19</v>
      </c>
      <c r="Q217" s="560">
        <f>IF(X217=0,0,IF(OR(E217=$AT$10,E217=$AT$9),VLOOKUP(YEAR(X217),INPC!$B$4:$P$30,MONTH(X217)+1),VLOOKUP(YEAR(X217),INPC!$B$4:$P$30,MONTH(X217)+2,0)))</f>
        <v>118.002</v>
      </c>
      <c r="R217" s="309">
        <f t="shared" si="56"/>
        <v>1.0518000000000001</v>
      </c>
      <c r="S217" s="310">
        <f t="shared" si="57"/>
        <v>10538.276358848689</v>
      </c>
      <c r="T217" s="555">
        <f t="shared" si="58"/>
        <v>2634.5690897121722</v>
      </c>
      <c r="U217" s="311"/>
      <c r="V217" s="312">
        <v>4</v>
      </c>
      <c r="W217" s="299" t="s">
        <v>194</v>
      </c>
      <c r="X217" s="300">
        <v>44610</v>
      </c>
      <c r="Y217" s="299" t="s">
        <v>59</v>
      </c>
      <c r="Z217" s="303">
        <v>506.28</v>
      </c>
      <c r="AA217" s="305">
        <f>IF(Z217=0,0,IF(Y217="MXN",1/HLOOKUP(YEAR(X217)+(MONTH(X217)/100),TC!$5:$37,DAY(X217)+2,FALSE),VLOOKUP(Y217,Equivalencia!$1:$23,((MAX(Equivalencia!$3:$3)-YEAR(X217))*14)+MONTH(X217)+2,FALSE)))</f>
        <v>1</v>
      </c>
      <c r="AB217" s="306">
        <f t="shared" si="59"/>
        <v>506.28</v>
      </c>
      <c r="AC217" s="305">
        <f>+IF(X217=0,0,HLOOKUP(YEAR(X217)+(MONTH(X217)/100),TC!$5:$37,DAY(X217)+2,FALSE))</f>
        <v>20.333500000000001</v>
      </c>
      <c r="AD217" s="307">
        <f t="shared" si="60"/>
        <v>10294.444379999999</v>
      </c>
      <c r="AE217" s="314">
        <f t="shared" si="61"/>
        <v>10538.276358848689</v>
      </c>
      <c r="AF217" s="315">
        <f t="shared" si="62"/>
        <v>-243.83197884868969</v>
      </c>
      <c r="AG217" s="316">
        <f t="shared" si="63"/>
        <v>0.86849315068493149</v>
      </c>
      <c r="AH217" s="314">
        <v>1</v>
      </c>
      <c r="AI217" s="314">
        <f t="shared" si="64"/>
        <v>-243.83197884868969</v>
      </c>
      <c r="AJ217" s="314">
        <f t="shared" si="65"/>
        <v>0</v>
      </c>
      <c r="AK217" s="317"/>
      <c r="AL217" s="315">
        <f t="shared" si="66"/>
        <v>11.4593103448276</v>
      </c>
      <c r="AN217" s="554">
        <f t="shared" si="67"/>
        <v>2.3158510920012851E-2</v>
      </c>
      <c r="AO217" s="314"/>
      <c r="AP217" s="318"/>
    </row>
    <row r="218" spans="2:42">
      <c r="B218" s="296" t="s">
        <v>1254</v>
      </c>
      <c r="C218" s="299" t="s">
        <v>277</v>
      </c>
      <c r="D218" s="298" t="s">
        <v>877</v>
      </c>
      <c r="E218" s="299" t="s">
        <v>113</v>
      </c>
      <c r="F218" s="299" t="s">
        <v>59</v>
      </c>
      <c r="G218" s="300">
        <v>44293</v>
      </c>
      <c r="H218" s="303">
        <v>494.82068965517237</v>
      </c>
      <c r="I218" s="301" t="str">
        <f t="shared" si="51"/>
        <v>Ingresos Sección II LISR (SIC &amp; BMV)</v>
      </c>
      <c r="J218" s="302">
        <f t="shared" si="52"/>
        <v>4</v>
      </c>
      <c r="K218" s="304">
        <f t="shared" si="53"/>
        <v>123.70517241379309</v>
      </c>
      <c r="L218" s="305">
        <f>IF(H218=0,0,IF(OR(E218=$AT$5,E218=$AT$6),AA218,IF(F218="MXN",1/HLOOKUP(YEAR(G218)+(MONTH(G218)/100),TC!$5:$37,DAY(G218)+2,FALSE),VLOOKUP(F218,Equivalencia!$5:$23,((MAX(Equivalencia!$3:$3)-YEAR(G218))*14)+MONTH(G218)+2,FALSE))))</f>
        <v>1</v>
      </c>
      <c r="M218" s="306">
        <f t="shared" si="54"/>
        <v>494.82068965517237</v>
      </c>
      <c r="N218" s="305">
        <f>IF(G218=0,0,(IF(OR(E218=$AT$5,E218=$AT$6),AC218,HLOOKUP(YEAR(G218)+(MONTH(G218)/100),TC!$5:$37,DAY(G218)+2,FALSE))))</f>
        <v>20.2483</v>
      </c>
      <c r="O218" s="307">
        <f t="shared" si="55"/>
        <v>10019.277770344826</v>
      </c>
      <c r="P218" s="560">
        <f>IF(G218=0,0,VLOOKUP(YEAR(G218),INPC!$B$4:$P$30,MONTH(G218)+2))</f>
        <v>112.19</v>
      </c>
      <c r="Q218" s="560">
        <f>IF(X218=0,0,IF(OR(E218=$AT$10,E218=$AT$9),VLOOKUP(YEAR(X218),INPC!$B$4:$P$30,MONTH(X218)+1),VLOOKUP(YEAR(X218),INPC!$B$4:$P$30,MONTH(X218)+2,0)))</f>
        <v>118.002</v>
      </c>
      <c r="R218" s="309">
        <f t="shared" si="56"/>
        <v>1.0518000000000001</v>
      </c>
      <c r="S218" s="310">
        <f t="shared" si="57"/>
        <v>10538.276358848689</v>
      </c>
      <c r="T218" s="555">
        <f t="shared" si="58"/>
        <v>2634.5690897121722</v>
      </c>
      <c r="U218" s="311"/>
      <c r="V218" s="312">
        <v>4</v>
      </c>
      <c r="W218" s="299" t="s">
        <v>194</v>
      </c>
      <c r="X218" s="300">
        <v>44610</v>
      </c>
      <c r="Y218" s="299" t="s">
        <v>59</v>
      </c>
      <c r="Z218" s="303">
        <v>508.18</v>
      </c>
      <c r="AA218" s="305">
        <f>IF(Z218=0,0,IF(Y218="MXN",1/HLOOKUP(YEAR(X218)+(MONTH(X218)/100),TC!$5:$37,DAY(X218)+2,FALSE),VLOOKUP(Y218,Equivalencia!$1:$23,((MAX(Equivalencia!$3:$3)-YEAR(X218))*14)+MONTH(X218)+2,FALSE)))</f>
        <v>1</v>
      </c>
      <c r="AB218" s="306">
        <f t="shared" si="59"/>
        <v>508.18</v>
      </c>
      <c r="AC218" s="305">
        <f>+IF(X218=0,0,HLOOKUP(YEAR(X218)+(MONTH(X218)/100),TC!$5:$37,DAY(X218)+2,FALSE))</f>
        <v>20.333500000000001</v>
      </c>
      <c r="AD218" s="307">
        <f t="shared" si="60"/>
        <v>10333.078030000001</v>
      </c>
      <c r="AE218" s="314">
        <f t="shared" si="61"/>
        <v>10538.276358848689</v>
      </c>
      <c r="AF218" s="315">
        <f t="shared" si="62"/>
        <v>-205.19832884868811</v>
      </c>
      <c r="AG218" s="316">
        <f t="shared" si="63"/>
        <v>0.86849315068493149</v>
      </c>
      <c r="AH218" s="314">
        <v>1</v>
      </c>
      <c r="AI218" s="314">
        <f t="shared" si="64"/>
        <v>-205.19832884868811</v>
      </c>
      <c r="AJ218" s="314">
        <f t="shared" si="65"/>
        <v>0</v>
      </c>
      <c r="AK218" s="317"/>
      <c r="AL218" s="315">
        <f t="shared" si="66"/>
        <v>13.359310344827634</v>
      </c>
      <c r="AN218" s="554">
        <f t="shared" si="67"/>
        <v>2.6998285690392997E-2</v>
      </c>
      <c r="AO218" s="314"/>
      <c r="AP218" s="318"/>
    </row>
    <row r="219" spans="2:42">
      <c r="B219" s="296" t="s">
        <v>1254</v>
      </c>
      <c r="C219" s="299" t="s">
        <v>277</v>
      </c>
      <c r="D219" s="298" t="s">
        <v>877</v>
      </c>
      <c r="E219" s="299" t="s">
        <v>113</v>
      </c>
      <c r="F219" s="299" t="s">
        <v>59</v>
      </c>
      <c r="G219" s="300">
        <v>44293</v>
      </c>
      <c r="H219" s="303">
        <v>618.52586206896547</v>
      </c>
      <c r="I219" s="301" t="str">
        <f t="shared" si="51"/>
        <v>Ingresos Sección II LISR (SIC &amp; BMV)</v>
      </c>
      <c r="J219" s="302">
        <f t="shared" si="52"/>
        <v>5</v>
      </c>
      <c r="K219" s="304">
        <f t="shared" si="53"/>
        <v>123.70517241379309</v>
      </c>
      <c r="L219" s="305">
        <f>IF(H219=0,0,IF(OR(E219=$AT$5,E219=$AT$6),AA219,IF(F219="MXN",1/HLOOKUP(YEAR(G219)+(MONTH(G219)/100),TC!$5:$37,DAY(G219)+2,FALSE),VLOOKUP(F219,Equivalencia!$5:$23,((MAX(Equivalencia!$3:$3)-YEAR(G219))*14)+MONTH(G219)+2,FALSE))))</f>
        <v>1</v>
      </c>
      <c r="M219" s="306">
        <f t="shared" si="54"/>
        <v>618.52586206896547</v>
      </c>
      <c r="N219" s="305">
        <f>IF(G219=0,0,(IF(OR(E219=$AT$5,E219=$AT$6),AC219,HLOOKUP(YEAR(G219)+(MONTH(G219)/100),TC!$5:$37,DAY(G219)+2,FALSE))))</f>
        <v>20.2483</v>
      </c>
      <c r="O219" s="307">
        <f t="shared" si="55"/>
        <v>12524.097212931034</v>
      </c>
      <c r="P219" s="560">
        <f>IF(G219=0,0,VLOOKUP(YEAR(G219),INPC!$B$4:$P$30,MONTH(G219)+2))</f>
        <v>112.19</v>
      </c>
      <c r="Q219" s="560">
        <f>IF(X219=0,0,IF(OR(E219=$AT$10,E219=$AT$9),VLOOKUP(YEAR(X219),INPC!$B$4:$P$30,MONTH(X219)+1),VLOOKUP(YEAR(X219),INPC!$B$4:$P$30,MONTH(X219)+2,0)))</f>
        <v>118.002</v>
      </c>
      <c r="R219" s="309">
        <f t="shared" si="56"/>
        <v>1.0518000000000001</v>
      </c>
      <c r="S219" s="310">
        <f t="shared" si="57"/>
        <v>13172.845448560862</v>
      </c>
      <c r="T219" s="555">
        <f t="shared" si="58"/>
        <v>2634.5690897121722</v>
      </c>
      <c r="U219" s="311"/>
      <c r="V219" s="312">
        <v>5</v>
      </c>
      <c r="W219" s="299" t="s">
        <v>194</v>
      </c>
      <c r="X219" s="300">
        <v>44610</v>
      </c>
      <c r="Y219" s="299" t="s">
        <v>59</v>
      </c>
      <c r="Z219" s="303">
        <v>632.85</v>
      </c>
      <c r="AA219" s="305">
        <f>IF(Z219=0,0,IF(Y219="MXN",1/HLOOKUP(YEAR(X219)+(MONTH(X219)/100),TC!$5:$37,DAY(X219)+2,FALSE),VLOOKUP(Y219,Equivalencia!$1:$23,((MAX(Equivalencia!$3:$3)-YEAR(X219))*14)+MONTH(X219)+2,FALSE)))</f>
        <v>1</v>
      </c>
      <c r="AB219" s="306">
        <f t="shared" si="59"/>
        <v>632.85</v>
      </c>
      <c r="AC219" s="305">
        <f>+IF(X219=0,0,HLOOKUP(YEAR(X219)+(MONTH(X219)/100),TC!$5:$37,DAY(X219)+2,FALSE))</f>
        <v>20.333500000000001</v>
      </c>
      <c r="AD219" s="307">
        <f t="shared" si="60"/>
        <v>12868.055475000001</v>
      </c>
      <c r="AE219" s="314">
        <f t="shared" si="61"/>
        <v>13172.84544856086</v>
      </c>
      <c r="AF219" s="315">
        <f t="shared" si="62"/>
        <v>-304.78997356085893</v>
      </c>
      <c r="AG219" s="316">
        <f t="shared" si="63"/>
        <v>0.86849315068493149</v>
      </c>
      <c r="AH219" s="314">
        <v>1</v>
      </c>
      <c r="AI219" s="314">
        <f t="shared" si="64"/>
        <v>-304.78997356085893</v>
      </c>
      <c r="AJ219" s="314">
        <f t="shared" si="65"/>
        <v>0</v>
      </c>
      <c r="AK219" s="317"/>
      <c r="AL219" s="315">
        <f t="shared" si="66"/>
        <v>14.324137931034556</v>
      </c>
      <c r="AN219" s="554">
        <f t="shared" si="67"/>
        <v>2.3158510920012945E-2</v>
      </c>
      <c r="AO219" s="314"/>
      <c r="AP219" s="318"/>
    </row>
    <row r="220" spans="2:42">
      <c r="B220" s="296" t="s">
        <v>1254</v>
      </c>
      <c r="C220" s="299" t="s">
        <v>277</v>
      </c>
      <c r="D220" s="298" t="s">
        <v>877</v>
      </c>
      <c r="E220" s="299" t="s">
        <v>113</v>
      </c>
      <c r="F220" s="299" t="s">
        <v>59</v>
      </c>
      <c r="G220" s="300">
        <v>44293</v>
      </c>
      <c r="H220" s="303">
        <v>618.52586206896547</v>
      </c>
      <c r="I220" s="301" t="str">
        <f t="shared" si="51"/>
        <v>Ingresos Sección II LISR (SIC &amp; BMV)</v>
      </c>
      <c r="J220" s="302">
        <f t="shared" si="52"/>
        <v>5</v>
      </c>
      <c r="K220" s="304">
        <f t="shared" si="53"/>
        <v>123.70517241379309</v>
      </c>
      <c r="L220" s="305">
        <f>IF(H220=0,0,IF(OR(E220=$AT$5,E220=$AT$6),AA220,IF(F220="MXN",1/HLOOKUP(YEAR(G220)+(MONTH(G220)/100),TC!$5:$37,DAY(G220)+2,FALSE),VLOOKUP(F220,Equivalencia!$5:$23,((MAX(Equivalencia!$3:$3)-YEAR(G220))*14)+MONTH(G220)+2,FALSE))))</f>
        <v>1</v>
      </c>
      <c r="M220" s="306">
        <f t="shared" si="54"/>
        <v>618.52586206896547</v>
      </c>
      <c r="N220" s="305">
        <f>IF(G220=0,0,(IF(OR(E220=$AT$5,E220=$AT$6),AC220,HLOOKUP(YEAR(G220)+(MONTH(G220)/100),TC!$5:$37,DAY(G220)+2,FALSE))))</f>
        <v>20.2483</v>
      </c>
      <c r="O220" s="307">
        <f t="shared" si="55"/>
        <v>12524.097212931034</v>
      </c>
      <c r="P220" s="560">
        <f>IF(G220=0,0,VLOOKUP(YEAR(G220),INPC!$B$4:$P$30,MONTH(G220)+2))</f>
        <v>112.19</v>
      </c>
      <c r="Q220" s="560">
        <f>IF(X220=0,0,IF(OR(E220=$AT$10,E220=$AT$9),VLOOKUP(YEAR(X220),INPC!$B$4:$P$30,MONTH(X220)+1),VLOOKUP(YEAR(X220),INPC!$B$4:$P$30,MONTH(X220)+2,0)))</f>
        <v>118.002</v>
      </c>
      <c r="R220" s="309">
        <f t="shared" si="56"/>
        <v>1.0518000000000001</v>
      </c>
      <c r="S220" s="310">
        <f t="shared" si="57"/>
        <v>13172.845448560862</v>
      </c>
      <c r="T220" s="555">
        <f t="shared" si="58"/>
        <v>2634.5690897121722</v>
      </c>
      <c r="U220" s="311"/>
      <c r="V220" s="312">
        <v>5</v>
      </c>
      <c r="W220" s="299" t="s">
        <v>194</v>
      </c>
      <c r="X220" s="300">
        <v>44610</v>
      </c>
      <c r="Y220" s="299" t="s">
        <v>59</v>
      </c>
      <c r="Z220" s="303">
        <v>635.23</v>
      </c>
      <c r="AA220" s="305">
        <f>IF(Z220=0,0,IF(Y220="MXN",1/HLOOKUP(YEAR(X220)+(MONTH(X220)/100),TC!$5:$37,DAY(X220)+2,FALSE),VLOOKUP(Y220,Equivalencia!$1:$23,((MAX(Equivalencia!$3:$3)-YEAR(X220))*14)+MONTH(X220)+2,FALSE)))</f>
        <v>1</v>
      </c>
      <c r="AB220" s="306">
        <f t="shared" si="59"/>
        <v>635.23</v>
      </c>
      <c r="AC220" s="305">
        <f>+IF(X220=0,0,HLOOKUP(YEAR(X220)+(MONTH(X220)/100),TC!$5:$37,DAY(X220)+2,FALSE))</f>
        <v>20.333500000000001</v>
      </c>
      <c r="AD220" s="307">
        <f t="shared" si="60"/>
        <v>12916.449205000001</v>
      </c>
      <c r="AE220" s="314">
        <f t="shared" si="61"/>
        <v>13172.84544856086</v>
      </c>
      <c r="AF220" s="315">
        <f t="shared" si="62"/>
        <v>-256.39624356085915</v>
      </c>
      <c r="AG220" s="316">
        <f t="shared" si="63"/>
        <v>0.86849315068493149</v>
      </c>
      <c r="AH220" s="314">
        <v>1</v>
      </c>
      <c r="AI220" s="314">
        <f t="shared" si="64"/>
        <v>-256.39624356085915</v>
      </c>
      <c r="AJ220" s="314">
        <f t="shared" si="65"/>
        <v>0</v>
      </c>
      <c r="AK220" s="317"/>
      <c r="AL220" s="315">
        <f t="shared" si="66"/>
        <v>16.704137931034552</v>
      </c>
      <c r="AN220" s="554">
        <f t="shared" si="67"/>
        <v>2.7006369426751706E-2</v>
      </c>
      <c r="AO220" s="314"/>
      <c r="AP220" s="318"/>
    </row>
    <row r="221" spans="2:42">
      <c r="B221" s="296" t="s">
        <v>1254</v>
      </c>
      <c r="C221" s="299" t="s">
        <v>277</v>
      </c>
      <c r="D221" s="298" t="s">
        <v>877</v>
      </c>
      <c r="E221" s="299" t="s">
        <v>113</v>
      </c>
      <c r="F221" s="299" t="s">
        <v>59</v>
      </c>
      <c r="G221" s="300">
        <v>44293</v>
      </c>
      <c r="H221" s="303">
        <v>618.52586206896547</v>
      </c>
      <c r="I221" s="301" t="str">
        <f t="shared" si="51"/>
        <v>Ingresos Sección II LISR (SIC &amp; BMV)</v>
      </c>
      <c r="J221" s="302">
        <f t="shared" si="52"/>
        <v>5</v>
      </c>
      <c r="K221" s="304">
        <f t="shared" si="53"/>
        <v>123.70517241379309</v>
      </c>
      <c r="L221" s="305">
        <f>IF(H221=0,0,IF(OR(E221=$AT$5,E221=$AT$6),AA221,IF(F221="MXN",1/HLOOKUP(YEAR(G221)+(MONTH(G221)/100),TC!$5:$37,DAY(G221)+2,FALSE),VLOOKUP(F221,Equivalencia!$5:$23,((MAX(Equivalencia!$3:$3)-YEAR(G221))*14)+MONTH(G221)+2,FALSE))))</f>
        <v>1</v>
      </c>
      <c r="M221" s="306">
        <f t="shared" si="54"/>
        <v>618.52586206896547</v>
      </c>
      <c r="N221" s="305">
        <f>IF(G221=0,0,(IF(OR(E221=$AT$5,E221=$AT$6),AC221,HLOOKUP(YEAR(G221)+(MONTH(G221)/100),TC!$5:$37,DAY(G221)+2,FALSE))))</f>
        <v>20.2483</v>
      </c>
      <c r="O221" s="307">
        <f t="shared" si="55"/>
        <v>12524.097212931034</v>
      </c>
      <c r="P221" s="560">
        <f>IF(G221=0,0,VLOOKUP(YEAR(G221),INPC!$B$4:$P$30,MONTH(G221)+2))</f>
        <v>112.19</v>
      </c>
      <c r="Q221" s="560">
        <f>IF(X221=0,0,IF(OR(E221=$AT$10,E221=$AT$9),VLOOKUP(YEAR(X221),INPC!$B$4:$P$30,MONTH(X221)+1),VLOOKUP(YEAR(X221),INPC!$B$4:$P$30,MONTH(X221)+2,0)))</f>
        <v>118.002</v>
      </c>
      <c r="R221" s="309">
        <f t="shared" si="56"/>
        <v>1.0518000000000001</v>
      </c>
      <c r="S221" s="310">
        <f t="shared" si="57"/>
        <v>13172.845448560862</v>
      </c>
      <c r="T221" s="555">
        <f t="shared" si="58"/>
        <v>2634.5690897121722</v>
      </c>
      <c r="U221" s="311"/>
      <c r="V221" s="312">
        <v>5</v>
      </c>
      <c r="W221" s="299" t="s">
        <v>194</v>
      </c>
      <c r="X221" s="300">
        <v>44610</v>
      </c>
      <c r="Y221" s="299" t="s">
        <v>59</v>
      </c>
      <c r="Z221" s="303">
        <v>635.29999999999995</v>
      </c>
      <c r="AA221" s="305">
        <f>IF(Z221=0,0,IF(Y221="MXN",1/HLOOKUP(YEAR(X221)+(MONTH(X221)/100),TC!$5:$37,DAY(X221)+2,FALSE),VLOOKUP(Y221,Equivalencia!$1:$23,((MAX(Equivalencia!$3:$3)-YEAR(X221))*14)+MONTH(X221)+2,FALSE)))</f>
        <v>1</v>
      </c>
      <c r="AB221" s="306">
        <f t="shared" si="59"/>
        <v>635.29999999999995</v>
      </c>
      <c r="AC221" s="305">
        <f>+IF(X221=0,0,HLOOKUP(YEAR(X221)+(MONTH(X221)/100),TC!$5:$37,DAY(X221)+2,FALSE))</f>
        <v>20.333500000000001</v>
      </c>
      <c r="AD221" s="307">
        <f t="shared" si="60"/>
        <v>12917.87255</v>
      </c>
      <c r="AE221" s="314">
        <f t="shared" si="61"/>
        <v>13172.84544856086</v>
      </c>
      <c r="AF221" s="315">
        <f t="shared" si="62"/>
        <v>-254.9728985608599</v>
      </c>
      <c r="AG221" s="316">
        <f t="shared" si="63"/>
        <v>0.86849315068493149</v>
      </c>
      <c r="AH221" s="314">
        <v>1</v>
      </c>
      <c r="AI221" s="314">
        <f t="shared" si="64"/>
        <v>-254.9728985608599</v>
      </c>
      <c r="AJ221" s="314">
        <f t="shared" si="65"/>
        <v>0</v>
      </c>
      <c r="AK221" s="317"/>
      <c r="AL221" s="315">
        <f t="shared" si="66"/>
        <v>16.774137931034488</v>
      </c>
      <c r="AN221" s="554">
        <f t="shared" si="67"/>
        <v>2.7119541735773332E-2</v>
      </c>
      <c r="AO221" s="314"/>
      <c r="AP221" s="318"/>
    </row>
    <row r="222" spans="2:42">
      <c r="B222" s="296" t="s">
        <v>1254</v>
      </c>
      <c r="C222" s="299" t="s">
        <v>277</v>
      </c>
      <c r="D222" s="298" t="s">
        <v>877</v>
      </c>
      <c r="E222" s="299" t="s">
        <v>113</v>
      </c>
      <c r="F222" s="299" t="s">
        <v>59</v>
      </c>
      <c r="G222" s="300">
        <v>44293</v>
      </c>
      <c r="H222" s="303">
        <v>742.23103448275856</v>
      </c>
      <c r="I222" s="301" t="str">
        <f t="shared" si="51"/>
        <v>Ingresos Sección II LISR (SIC &amp; BMV)</v>
      </c>
      <c r="J222" s="302">
        <f t="shared" si="52"/>
        <v>6</v>
      </c>
      <c r="K222" s="304">
        <f t="shared" si="53"/>
        <v>123.70517241379309</v>
      </c>
      <c r="L222" s="305">
        <f>IF(H222=0,0,IF(OR(E222=$AT$5,E222=$AT$6),AA222,IF(F222="MXN",1/HLOOKUP(YEAR(G222)+(MONTH(G222)/100),TC!$5:$37,DAY(G222)+2,FALSE),VLOOKUP(F222,Equivalencia!$5:$23,((MAX(Equivalencia!$3:$3)-YEAR(G222))*14)+MONTH(G222)+2,FALSE))))</f>
        <v>1</v>
      </c>
      <c r="M222" s="306">
        <f t="shared" si="54"/>
        <v>742.23103448275856</v>
      </c>
      <c r="N222" s="305">
        <f>IF(G222=0,0,(IF(OR(E222=$AT$5,E222=$AT$6),AC222,HLOOKUP(YEAR(G222)+(MONTH(G222)/100),TC!$5:$37,DAY(G222)+2,FALSE))))</f>
        <v>20.2483</v>
      </c>
      <c r="O222" s="307">
        <f t="shared" si="55"/>
        <v>15028.91665551724</v>
      </c>
      <c r="P222" s="560">
        <f>IF(G222=0,0,VLOOKUP(YEAR(G222),INPC!$B$4:$P$30,MONTH(G222)+2))</f>
        <v>112.19</v>
      </c>
      <c r="Q222" s="560">
        <f>IF(X222=0,0,IF(OR(E222=$AT$10,E222=$AT$9),VLOOKUP(YEAR(X222),INPC!$B$4:$P$30,MONTH(X222)+1),VLOOKUP(YEAR(X222),INPC!$B$4:$P$30,MONTH(X222)+2,0)))</f>
        <v>118.002</v>
      </c>
      <c r="R222" s="309">
        <f t="shared" si="56"/>
        <v>1.0518000000000001</v>
      </c>
      <c r="S222" s="310">
        <f t="shared" si="57"/>
        <v>15807.414538273033</v>
      </c>
      <c r="T222" s="555">
        <f t="shared" si="58"/>
        <v>2634.5690897121722</v>
      </c>
      <c r="U222" s="311"/>
      <c r="V222" s="312">
        <v>6</v>
      </c>
      <c r="W222" s="299" t="s">
        <v>194</v>
      </c>
      <c r="X222" s="300">
        <v>44610</v>
      </c>
      <c r="Y222" s="299" t="s">
        <v>59</v>
      </c>
      <c r="Z222" s="303">
        <v>762.36</v>
      </c>
      <c r="AA222" s="305">
        <f>IF(Z222=0,0,IF(Y222="MXN",1/HLOOKUP(YEAR(X222)+(MONTH(X222)/100),TC!$5:$37,DAY(X222)+2,FALSE),VLOOKUP(Y222,Equivalencia!$1:$23,((MAX(Equivalencia!$3:$3)-YEAR(X222))*14)+MONTH(X222)+2,FALSE)))</f>
        <v>1</v>
      </c>
      <c r="AB222" s="306">
        <f t="shared" si="59"/>
        <v>762.36</v>
      </c>
      <c r="AC222" s="305">
        <f>+IF(X222=0,0,HLOOKUP(YEAR(X222)+(MONTH(X222)/100),TC!$5:$37,DAY(X222)+2,FALSE))</f>
        <v>20.333500000000001</v>
      </c>
      <c r="AD222" s="307">
        <f t="shared" si="60"/>
        <v>15501.44706</v>
      </c>
      <c r="AE222" s="314">
        <f t="shared" si="61"/>
        <v>15807.414538273033</v>
      </c>
      <c r="AF222" s="315">
        <f t="shared" si="62"/>
        <v>-305.96747827303261</v>
      </c>
      <c r="AG222" s="316">
        <f t="shared" si="63"/>
        <v>0.86849315068493149</v>
      </c>
      <c r="AH222" s="314">
        <v>1</v>
      </c>
      <c r="AI222" s="314">
        <f t="shared" si="64"/>
        <v>-305.96747827303261</v>
      </c>
      <c r="AJ222" s="314">
        <f t="shared" si="65"/>
        <v>0</v>
      </c>
      <c r="AK222" s="317"/>
      <c r="AL222" s="315">
        <f t="shared" si="66"/>
        <v>20.128965517241454</v>
      </c>
      <c r="AN222" s="554">
        <f t="shared" si="67"/>
        <v>2.7119541735773425E-2</v>
      </c>
      <c r="AO222" s="314"/>
      <c r="AP222" s="318"/>
    </row>
    <row r="223" spans="2:42">
      <c r="B223" s="296" t="s">
        <v>1254</v>
      </c>
      <c r="C223" s="299" t="s">
        <v>277</v>
      </c>
      <c r="D223" s="298" t="s">
        <v>877</v>
      </c>
      <c r="E223" s="299" t="s">
        <v>113</v>
      </c>
      <c r="F223" s="299" t="s">
        <v>59</v>
      </c>
      <c r="G223" s="300">
        <v>44293</v>
      </c>
      <c r="H223" s="303">
        <v>246.91142857142859</v>
      </c>
      <c r="I223" s="301" t="str">
        <f t="shared" si="51"/>
        <v>Ingresos Sección II LISR (SIC &amp; BMV)</v>
      </c>
      <c r="J223" s="302">
        <f t="shared" si="52"/>
        <v>2</v>
      </c>
      <c r="K223" s="304">
        <f t="shared" si="53"/>
        <v>123.45571428571429</v>
      </c>
      <c r="L223" s="305">
        <f>IF(H223=0,0,IF(OR(E223=$AT$5,E223=$AT$6),AA223,IF(F223="MXN",1/HLOOKUP(YEAR(G223)+(MONTH(G223)/100),TC!$5:$37,DAY(G223)+2,FALSE),VLOOKUP(F223,Equivalencia!$5:$23,((MAX(Equivalencia!$3:$3)-YEAR(G223))*14)+MONTH(G223)+2,FALSE))))</f>
        <v>1</v>
      </c>
      <c r="M223" s="306">
        <f t="shared" si="54"/>
        <v>246.91142857142859</v>
      </c>
      <c r="N223" s="305">
        <f>IF(G223=0,0,(IF(OR(E223=$AT$5,E223=$AT$6),AC223,HLOOKUP(YEAR(G223)+(MONTH(G223)/100),TC!$5:$37,DAY(G223)+2,FALSE))))</f>
        <v>20.2483</v>
      </c>
      <c r="O223" s="307">
        <f t="shared" si="55"/>
        <v>4999.5366791428578</v>
      </c>
      <c r="P223" s="560">
        <f>IF(G223=0,0,VLOOKUP(YEAR(G223),INPC!$B$4:$P$30,MONTH(G223)+2))</f>
        <v>112.19</v>
      </c>
      <c r="Q223" s="560">
        <f>IF(X223=0,0,IF(OR(E223=$AT$10,E223=$AT$9),VLOOKUP(YEAR(X223),INPC!$B$4:$P$30,MONTH(X223)+1),VLOOKUP(YEAR(X223),INPC!$B$4:$P$30,MONTH(X223)+2,0)))</f>
        <v>118.002</v>
      </c>
      <c r="R223" s="309">
        <f t="shared" si="56"/>
        <v>1.0518000000000001</v>
      </c>
      <c r="S223" s="310">
        <f t="shared" si="57"/>
        <v>5258.5126791224584</v>
      </c>
      <c r="T223" s="555">
        <f t="shared" si="58"/>
        <v>2629.2563395612292</v>
      </c>
      <c r="U223" s="311"/>
      <c r="V223" s="312">
        <v>2</v>
      </c>
      <c r="W223" s="299" t="s">
        <v>194</v>
      </c>
      <c r="X223" s="300">
        <v>44610</v>
      </c>
      <c r="Y223" s="299" t="s">
        <v>59</v>
      </c>
      <c r="Z223" s="303">
        <v>254.12</v>
      </c>
      <c r="AA223" s="305">
        <f>IF(Z223=0,0,IF(Y223="MXN",1/HLOOKUP(YEAR(X223)+(MONTH(X223)/100),TC!$5:$37,DAY(X223)+2,FALSE),VLOOKUP(Y223,Equivalencia!$1:$23,((MAX(Equivalencia!$3:$3)-YEAR(X223))*14)+MONTH(X223)+2,FALSE)))</f>
        <v>1</v>
      </c>
      <c r="AB223" s="306">
        <f t="shared" si="59"/>
        <v>254.12</v>
      </c>
      <c r="AC223" s="305">
        <f>+IF(X223=0,0,HLOOKUP(YEAR(X223)+(MONTH(X223)/100),TC!$5:$37,DAY(X223)+2,FALSE))</f>
        <v>20.333500000000001</v>
      </c>
      <c r="AD223" s="307">
        <f t="shared" si="60"/>
        <v>5167.1490200000007</v>
      </c>
      <c r="AE223" s="314">
        <f t="shared" si="61"/>
        <v>5258.5126791224584</v>
      </c>
      <c r="AF223" s="315">
        <f t="shared" si="62"/>
        <v>-91.363659122457648</v>
      </c>
      <c r="AG223" s="316">
        <f t="shared" si="63"/>
        <v>0.86849315068493149</v>
      </c>
      <c r="AH223" s="314">
        <v>1</v>
      </c>
      <c r="AI223" s="314">
        <f t="shared" si="64"/>
        <v>-91.363659122457648</v>
      </c>
      <c r="AJ223" s="314">
        <f t="shared" si="65"/>
        <v>0</v>
      </c>
      <c r="AK223" s="317"/>
      <c r="AL223" s="315">
        <f t="shared" si="66"/>
        <v>7.2085714285714175</v>
      </c>
      <c r="AN223" s="554">
        <f t="shared" si="67"/>
        <v>2.9194968699012901E-2</v>
      </c>
      <c r="AO223" s="314"/>
      <c r="AP223" s="318"/>
    </row>
    <row r="224" spans="2:42">
      <c r="B224" s="296" t="s">
        <v>1254</v>
      </c>
      <c r="C224" s="299" t="s">
        <v>277</v>
      </c>
      <c r="D224" s="298" t="s">
        <v>877</v>
      </c>
      <c r="E224" s="299" t="s">
        <v>113</v>
      </c>
      <c r="F224" s="299" t="s">
        <v>59</v>
      </c>
      <c r="G224" s="300">
        <v>44293</v>
      </c>
      <c r="H224" s="303">
        <v>3086.3928571428573</v>
      </c>
      <c r="I224" s="301" t="str">
        <f t="shared" si="51"/>
        <v>Ingresos Sección II LISR (SIC &amp; BMV)</v>
      </c>
      <c r="J224" s="302">
        <f t="shared" si="52"/>
        <v>25</v>
      </c>
      <c r="K224" s="304">
        <f t="shared" si="53"/>
        <v>123.45571428571429</v>
      </c>
      <c r="L224" s="305">
        <f>IF(H224=0,0,IF(OR(E224=$AT$5,E224=$AT$6),AA224,IF(F224="MXN",1/HLOOKUP(YEAR(G224)+(MONTH(G224)/100),TC!$5:$37,DAY(G224)+2,FALSE),VLOOKUP(F224,Equivalencia!$5:$23,((MAX(Equivalencia!$3:$3)-YEAR(G224))*14)+MONTH(G224)+2,FALSE))))</f>
        <v>1</v>
      </c>
      <c r="M224" s="306">
        <f t="shared" si="54"/>
        <v>3086.3928571428573</v>
      </c>
      <c r="N224" s="305">
        <f>IF(G224=0,0,(IF(OR(E224=$AT$5,E224=$AT$6),AC224,HLOOKUP(YEAR(G224)+(MONTH(G224)/100),TC!$5:$37,DAY(G224)+2,FALSE))))</f>
        <v>20.2483</v>
      </c>
      <c r="O224" s="307">
        <f t="shared" si="55"/>
        <v>62494.208489285716</v>
      </c>
      <c r="P224" s="560">
        <f>IF(G224=0,0,VLOOKUP(YEAR(G224),INPC!$B$4:$P$30,MONTH(G224)+2))</f>
        <v>112.19</v>
      </c>
      <c r="Q224" s="560">
        <f>IF(X224=0,0,IF(OR(E224=$AT$10,E224=$AT$9),VLOOKUP(YEAR(X224),INPC!$B$4:$P$30,MONTH(X224)+1),VLOOKUP(YEAR(X224),INPC!$B$4:$P$30,MONTH(X224)+2,0)))</f>
        <v>118.002</v>
      </c>
      <c r="R224" s="309">
        <f t="shared" si="56"/>
        <v>1.0518000000000001</v>
      </c>
      <c r="S224" s="310">
        <f t="shared" si="57"/>
        <v>65731.408489030728</v>
      </c>
      <c r="T224" s="555">
        <f t="shared" si="58"/>
        <v>2629.2563395612292</v>
      </c>
      <c r="U224" s="311"/>
      <c r="V224" s="312">
        <v>25</v>
      </c>
      <c r="W224" s="299" t="s">
        <v>194</v>
      </c>
      <c r="X224" s="300">
        <v>44614</v>
      </c>
      <c r="Y224" s="299" t="s">
        <v>59</v>
      </c>
      <c r="Z224" s="303">
        <v>3241.6899999999996</v>
      </c>
      <c r="AA224" s="305">
        <f>IF(Z224=0,0,IF(Y224="MXN",1/HLOOKUP(YEAR(X224)+(MONTH(X224)/100),TC!$5:$37,DAY(X224)+2,FALSE),VLOOKUP(Y224,Equivalencia!$1:$23,((MAX(Equivalencia!$3:$3)-YEAR(X224))*14)+MONTH(X224)+2,FALSE)))</f>
        <v>1</v>
      </c>
      <c r="AB224" s="306">
        <f t="shared" si="59"/>
        <v>3241.6899999999996</v>
      </c>
      <c r="AC224" s="305">
        <f>+IF(X224=0,0,HLOOKUP(YEAR(X224)+(MONTH(X224)/100),TC!$5:$37,DAY(X224)+2,FALSE))</f>
        <v>20.3063</v>
      </c>
      <c r="AD224" s="307">
        <f t="shared" si="60"/>
        <v>65826.729646999986</v>
      </c>
      <c r="AE224" s="314">
        <f t="shared" si="61"/>
        <v>65731.408489030728</v>
      </c>
      <c r="AF224" s="315">
        <f t="shared" si="62"/>
        <v>95.321157969257911</v>
      </c>
      <c r="AG224" s="316">
        <f t="shared" si="63"/>
        <v>0.8794520547945206</v>
      </c>
      <c r="AH224" s="314">
        <v>1</v>
      </c>
      <c r="AI224" s="314">
        <f t="shared" si="64"/>
        <v>95.321157969257911</v>
      </c>
      <c r="AJ224" s="314">
        <f t="shared" si="65"/>
        <v>0</v>
      </c>
      <c r="AK224" s="317"/>
      <c r="AL224" s="315">
        <f t="shared" si="66"/>
        <v>155.29714285714226</v>
      </c>
      <c r="AN224" s="554">
        <f t="shared" si="67"/>
        <v>5.0316712759925282E-2</v>
      </c>
      <c r="AO224" s="314"/>
      <c r="AP224" s="318"/>
    </row>
    <row r="225" spans="2:42">
      <c r="B225" s="296" t="s">
        <v>1254</v>
      </c>
      <c r="C225" s="299" t="s">
        <v>277</v>
      </c>
      <c r="D225" s="298" t="s">
        <v>877</v>
      </c>
      <c r="E225" s="299" t="s">
        <v>113</v>
      </c>
      <c r="F225" s="299" t="s">
        <v>59</v>
      </c>
      <c r="G225" s="300">
        <v>44293</v>
      </c>
      <c r="H225" s="303">
        <v>123.45571428571429</v>
      </c>
      <c r="I225" s="301" t="str">
        <f t="shared" si="51"/>
        <v>Ingresos Sección II LISR (SIC &amp; BMV)</v>
      </c>
      <c r="J225" s="302">
        <f t="shared" si="52"/>
        <v>1</v>
      </c>
      <c r="K225" s="304">
        <f t="shared" si="53"/>
        <v>123.45571428571429</v>
      </c>
      <c r="L225" s="305">
        <f>IF(H225=0,0,IF(OR(E225=$AT$5,E225=$AT$6),AA225,IF(F225="MXN",1/HLOOKUP(YEAR(G225)+(MONTH(G225)/100),TC!$5:$37,DAY(G225)+2,FALSE),VLOOKUP(F225,Equivalencia!$5:$23,((MAX(Equivalencia!$3:$3)-YEAR(G225))*14)+MONTH(G225)+2,FALSE))))</f>
        <v>1</v>
      </c>
      <c r="M225" s="306">
        <f t="shared" si="54"/>
        <v>123.45571428571429</v>
      </c>
      <c r="N225" s="305">
        <f>IF(G225=0,0,(IF(OR(E225=$AT$5,E225=$AT$6),AC225,HLOOKUP(YEAR(G225)+(MONTH(G225)/100),TC!$5:$37,DAY(G225)+2,FALSE))))</f>
        <v>20.2483</v>
      </c>
      <c r="O225" s="307">
        <f t="shared" si="55"/>
        <v>2499.7683395714289</v>
      </c>
      <c r="P225" s="560">
        <f>IF(G225=0,0,VLOOKUP(YEAR(G225),INPC!$B$4:$P$30,MONTH(G225)+2))</f>
        <v>112.19</v>
      </c>
      <c r="Q225" s="560">
        <f>IF(X225=0,0,IF(OR(E225=$AT$10,E225=$AT$9),VLOOKUP(YEAR(X225),INPC!$B$4:$P$30,MONTH(X225)+1),VLOOKUP(YEAR(X225),INPC!$B$4:$P$30,MONTH(X225)+2,0)))</f>
        <v>118.002</v>
      </c>
      <c r="R225" s="309">
        <f t="shared" si="56"/>
        <v>1.0518000000000001</v>
      </c>
      <c r="S225" s="310">
        <f t="shared" si="57"/>
        <v>2629.2563395612292</v>
      </c>
      <c r="T225" s="555">
        <f t="shared" si="58"/>
        <v>2629.2563395612292</v>
      </c>
      <c r="U225" s="311"/>
      <c r="V225" s="312">
        <v>1</v>
      </c>
      <c r="W225" s="299" t="s">
        <v>194</v>
      </c>
      <c r="X225" s="300">
        <v>44614</v>
      </c>
      <c r="Y225" s="299" t="s">
        <v>59</v>
      </c>
      <c r="Z225" s="303">
        <v>129.66800000000001</v>
      </c>
      <c r="AA225" s="305">
        <f>IF(Z225=0,0,IF(Y225="MXN",1/HLOOKUP(YEAR(X225)+(MONTH(X225)/100),TC!$5:$37,DAY(X225)+2,FALSE),VLOOKUP(Y225,Equivalencia!$1:$23,((MAX(Equivalencia!$3:$3)-YEAR(X225))*14)+MONTH(X225)+2,FALSE)))</f>
        <v>1</v>
      </c>
      <c r="AB225" s="306">
        <f t="shared" si="59"/>
        <v>129.66800000000001</v>
      </c>
      <c r="AC225" s="305">
        <f>+IF(X225=0,0,HLOOKUP(YEAR(X225)+(MONTH(X225)/100),TC!$5:$37,DAY(X225)+2,FALSE))</f>
        <v>20.3063</v>
      </c>
      <c r="AD225" s="307">
        <f t="shared" si="60"/>
        <v>2633.0773084000002</v>
      </c>
      <c r="AE225" s="314">
        <f t="shared" si="61"/>
        <v>2629.2563395612292</v>
      </c>
      <c r="AF225" s="315">
        <f t="shared" si="62"/>
        <v>3.820968838771023</v>
      </c>
      <c r="AG225" s="316">
        <f t="shared" si="63"/>
        <v>0.8794520547945206</v>
      </c>
      <c r="AH225" s="314">
        <v>1</v>
      </c>
      <c r="AI225" s="314">
        <f t="shared" si="64"/>
        <v>3.820968838771023</v>
      </c>
      <c r="AJ225" s="314">
        <f t="shared" si="65"/>
        <v>0</v>
      </c>
      <c r="AK225" s="317"/>
      <c r="AL225" s="315">
        <f t="shared" si="66"/>
        <v>6.2122857142857129</v>
      </c>
      <c r="AN225" s="554">
        <f t="shared" si="67"/>
        <v>5.0319952788159997E-2</v>
      </c>
      <c r="AO225" s="314"/>
      <c r="AP225" s="318"/>
    </row>
    <row r="226" spans="2:42">
      <c r="B226" s="296" t="s">
        <v>1254</v>
      </c>
      <c r="C226" s="299" t="s">
        <v>277</v>
      </c>
      <c r="D226" s="298" t="s">
        <v>877</v>
      </c>
      <c r="E226" s="299" t="s">
        <v>113</v>
      </c>
      <c r="F226" s="299" t="s">
        <v>59</v>
      </c>
      <c r="G226" s="300">
        <v>44293</v>
      </c>
      <c r="H226" s="303">
        <v>4204.1091891891892</v>
      </c>
      <c r="I226" s="301" t="str">
        <f t="shared" si="51"/>
        <v>Ingresos Sección II LISR (SIC &amp; BMV)</v>
      </c>
      <c r="J226" s="302">
        <f t="shared" si="52"/>
        <v>34</v>
      </c>
      <c r="K226" s="304">
        <f t="shared" si="53"/>
        <v>123.65027027027027</v>
      </c>
      <c r="L226" s="305">
        <f>IF(H226=0,0,IF(OR(E226=$AT$5,E226=$AT$6),AA226,IF(F226="MXN",1/HLOOKUP(YEAR(G226)+(MONTH(G226)/100),TC!$5:$37,DAY(G226)+2,FALSE),VLOOKUP(F226,Equivalencia!$5:$23,((MAX(Equivalencia!$3:$3)-YEAR(G226))*14)+MONTH(G226)+2,FALSE))))</f>
        <v>1</v>
      </c>
      <c r="M226" s="306">
        <f t="shared" si="54"/>
        <v>4204.1091891891892</v>
      </c>
      <c r="N226" s="305">
        <f>IF(G226=0,0,(IF(OR(E226=$AT$5,E226=$AT$6),AC226,HLOOKUP(YEAR(G226)+(MONTH(G226)/100),TC!$5:$37,DAY(G226)+2,FALSE))))</f>
        <v>20.2483</v>
      </c>
      <c r="O226" s="307">
        <f t="shared" si="55"/>
        <v>85126.064095459456</v>
      </c>
      <c r="P226" s="560">
        <f>IF(G226=0,0,VLOOKUP(YEAR(G226),INPC!$B$4:$P$30,MONTH(G226)+2))</f>
        <v>112.19</v>
      </c>
      <c r="Q226" s="560">
        <f>IF(X226=0,0,IF(OR(E226=$AT$10,E226=$AT$9),VLOOKUP(YEAR(X226),INPC!$B$4:$P$30,MONTH(X226)+1),VLOOKUP(YEAR(X226),INPC!$B$4:$P$30,MONTH(X226)+2,0)))</f>
        <v>118.002</v>
      </c>
      <c r="R226" s="309">
        <f t="shared" si="56"/>
        <v>1.0518000000000001</v>
      </c>
      <c r="S226" s="310">
        <f t="shared" si="57"/>
        <v>89535.594215604258</v>
      </c>
      <c r="T226" s="555">
        <f t="shared" si="58"/>
        <v>2633.3998298707133</v>
      </c>
      <c r="U226" s="311"/>
      <c r="V226" s="312">
        <v>34</v>
      </c>
      <c r="W226" s="299" t="s">
        <v>194</v>
      </c>
      <c r="X226" s="300">
        <v>44614</v>
      </c>
      <c r="Y226" s="299" t="s">
        <v>59</v>
      </c>
      <c r="Z226" s="303">
        <v>4408.7120000000004</v>
      </c>
      <c r="AA226" s="305">
        <f>IF(Z226=0,0,IF(Y226="MXN",1/HLOOKUP(YEAR(X226)+(MONTH(X226)/100),TC!$5:$37,DAY(X226)+2,FALSE),VLOOKUP(Y226,Equivalencia!$1:$23,((MAX(Equivalencia!$3:$3)-YEAR(X226))*14)+MONTH(X226)+2,FALSE)))</f>
        <v>1</v>
      </c>
      <c r="AB226" s="306">
        <f t="shared" si="59"/>
        <v>4408.7120000000004</v>
      </c>
      <c r="AC226" s="305">
        <f>+IF(X226=0,0,HLOOKUP(YEAR(X226)+(MONTH(X226)/100),TC!$5:$37,DAY(X226)+2,FALSE))</f>
        <v>20.3063</v>
      </c>
      <c r="AD226" s="307">
        <f t="shared" si="60"/>
        <v>89524.628485600013</v>
      </c>
      <c r="AE226" s="314">
        <f t="shared" si="61"/>
        <v>89535.594215604258</v>
      </c>
      <c r="AF226" s="315">
        <f t="shared" si="62"/>
        <v>-10.965730004245415</v>
      </c>
      <c r="AG226" s="316">
        <f t="shared" si="63"/>
        <v>0.8794520547945206</v>
      </c>
      <c r="AH226" s="314">
        <v>1</v>
      </c>
      <c r="AI226" s="314">
        <f t="shared" si="64"/>
        <v>-10.965730004245415</v>
      </c>
      <c r="AJ226" s="314">
        <f t="shared" si="65"/>
        <v>0</v>
      </c>
      <c r="AK226" s="317"/>
      <c r="AL226" s="315">
        <f t="shared" si="66"/>
        <v>204.60281081081121</v>
      </c>
      <c r="AN226" s="554">
        <f t="shared" si="67"/>
        <v>4.8667339881881426E-2</v>
      </c>
      <c r="AO226" s="314"/>
      <c r="AP226" s="318"/>
    </row>
    <row r="227" spans="2:42">
      <c r="B227" s="296" t="s">
        <v>1254</v>
      </c>
      <c r="C227" s="299" t="s">
        <v>277</v>
      </c>
      <c r="D227" s="298" t="s">
        <v>877</v>
      </c>
      <c r="E227" s="299" t="s">
        <v>113</v>
      </c>
      <c r="F227" s="299" t="s">
        <v>59</v>
      </c>
      <c r="G227" s="300">
        <v>44293</v>
      </c>
      <c r="H227" s="303">
        <v>370.95081081081082</v>
      </c>
      <c r="I227" s="301" t="str">
        <f t="shared" si="51"/>
        <v>Ingresos Sección II LISR (SIC &amp; BMV)</v>
      </c>
      <c r="J227" s="302">
        <f t="shared" si="52"/>
        <v>3</v>
      </c>
      <c r="K227" s="304">
        <f t="shared" si="53"/>
        <v>123.65027027027027</v>
      </c>
      <c r="L227" s="305">
        <f>IF(H227=0,0,IF(OR(E227=$AT$5,E227=$AT$6),AA227,IF(F227="MXN",1/HLOOKUP(YEAR(G227)+(MONTH(G227)/100),TC!$5:$37,DAY(G227)+2,FALSE),VLOOKUP(F227,Equivalencia!$5:$23,((MAX(Equivalencia!$3:$3)-YEAR(G227))*14)+MONTH(G227)+2,FALSE))))</f>
        <v>1</v>
      </c>
      <c r="M227" s="306">
        <f t="shared" si="54"/>
        <v>370.95081081081082</v>
      </c>
      <c r="N227" s="305">
        <f>IF(G227=0,0,(IF(OR(E227=$AT$5,E227=$AT$6),AC227,HLOOKUP(YEAR(G227)+(MONTH(G227)/100),TC!$5:$37,DAY(G227)+2,FALSE))))</f>
        <v>20.2483</v>
      </c>
      <c r="O227" s="307">
        <f t="shared" si="55"/>
        <v>7511.1233025405409</v>
      </c>
      <c r="P227" s="560">
        <f>IF(G227=0,0,VLOOKUP(YEAR(G227),INPC!$B$4:$P$30,MONTH(G227)+2))</f>
        <v>112.19</v>
      </c>
      <c r="Q227" s="560">
        <f>IF(X227=0,0,IF(OR(E227=$AT$10,E227=$AT$9),VLOOKUP(YEAR(X227),INPC!$B$4:$P$30,MONTH(X227)+1),VLOOKUP(YEAR(X227),INPC!$B$4:$P$30,MONTH(X227)+2,0)))</f>
        <v>120.15900000000001</v>
      </c>
      <c r="R227" s="309">
        <f t="shared" si="56"/>
        <v>1.071</v>
      </c>
      <c r="S227" s="310">
        <f t="shared" si="57"/>
        <v>8044.413057020919</v>
      </c>
      <c r="T227" s="555">
        <f t="shared" si="58"/>
        <v>2681.4710190069732</v>
      </c>
      <c r="U227" s="311"/>
      <c r="V227" s="312">
        <v>3</v>
      </c>
      <c r="W227" s="299" t="s">
        <v>194</v>
      </c>
      <c r="X227" s="300">
        <v>44662</v>
      </c>
      <c r="Y227" s="299" t="s">
        <v>59</v>
      </c>
      <c r="Z227" s="303">
        <v>323.62384615384616</v>
      </c>
      <c r="AA227" s="305">
        <f>IF(Z227=0,0,IF(Y227="MXN",1/HLOOKUP(YEAR(X227)+(MONTH(X227)/100),TC!$5:$37,DAY(X227)+2,FALSE),VLOOKUP(Y227,Equivalencia!$1:$23,((MAX(Equivalencia!$3:$3)-YEAR(X227))*14)+MONTH(X227)+2,FALSE)))</f>
        <v>1</v>
      </c>
      <c r="AB227" s="306">
        <f t="shared" si="59"/>
        <v>323.62384615384616</v>
      </c>
      <c r="AC227" s="305">
        <f>+IF(X227=0,0,HLOOKUP(YEAR(X227)+(MONTH(X227)/100),TC!$5:$37,DAY(X227)+2,FALSE))</f>
        <v>20.160499999999999</v>
      </c>
      <c r="AD227" s="307">
        <f t="shared" si="60"/>
        <v>6524.4185503846147</v>
      </c>
      <c r="AE227" s="314">
        <f t="shared" si="61"/>
        <v>8044.41305702092</v>
      </c>
      <c r="AF227" s="315">
        <f t="shared" si="62"/>
        <v>-1519.9945066363052</v>
      </c>
      <c r="AG227" s="316">
        <f t="shared" si="63"/>
        <v>1.010958904109589</v>
      </c>
      <c r="AH227" s="314">
        <v>1</v>
      </c>
      <c r="AI227" s="314">
        <f t="shared" si="64"/>
        <v>-1519.9945066363052</v>
      </c>
      <c r="AJ227" s="314">
        <f t="shared" si="65"/>
        <v>0</v>
      </c>
      <c r="AK227" s="317"/>
      <c r="AL227" s="315">
        <f t="shared" si="66"/>
        <v>-47.326964656964662</v>
      </c>
      <c r="AN227" s="554">
        <f t="shared" si="67"/>
        <v>-0.12758285809786774</v>
      </c>
      <c r="AO227" s="314"/>
      <c r="AP227" s="318"/>
    </row>
    <row r="228" spans="2:42">
      <c r="B228" s="296" t="s">
        <v>1254</v>
      </c>
      <c r="C228" s="299" t="s">
        <v>277</v>
      </c>
      <c r="D228" s="298" t="s">
        <v>877</v>
      </c>
      <c r="E228" s="299" t="s">
        <v>113</v>
      </c>
      <c r="F228" s="299" t="s">
        <v>59</v>
      </c>
      <c r="G228" s="300">
        <v>44348</v>
      </c>
      <c r="H228" s="303">
        <v>1247.8706896551723</v>
      </c>
      <c r="I228" s="301" t="str">
        <f t="shared" si="51"/>
        <v>Ingresos Sección II LISR (SIC &amp; BMV)</v>
      </c>
      <c r="J228" s="302">
        <f t="shared" si="52"/>
        <v>10</v>
      </c>
      <c r="K228" s="304">
        <f t="shared" si="53"/>
        <v>124.78706896551724</v>
      </c>
      <c r="L228" s="305">
        <f>IF(H228=0,0,IF(OR(E228=$AT$5,E228=$AT$6),AA228,IF(F228="MXN",1/HLOOKUP(YEAR(G228)+(MONTH(G228)/100),TC!$5:$37,DAY(G228)+2,FALSE),VLOOKUP(F228,Equivalencia!$5:$23,((MAX(Equivalencia!$3:$3)-YEAR(G228))*14)+MONTH(G228)+2,FALSE))))</f>
        <v>1</v>
      </c>
      <c r="M228" s="306">
        <f t="shared" si="54"/>
        <v>1247.8706896551723</v>
      </c>
      <c r="N228" s="305">
        <f>IF(G228=0,0,(IF(OR(E228=$AT$5,E228=$AT$6),AC228,HLOOKUP(YEAR(G228)+(MONTH(G228)/100),TC!$5:$37,DAY(G228)+2,FALSE))))</f>
        <v>19.944199999999999</v>
      </c>
      <c r="O228" s="307">
        <f t="shared" si="55"/>
        <v>24887.782608620688</v>
      </c>
      <c r="P228" s="560">
        <f>IF(G228=0,0,VLOOKUP(YEAR(G228),INPC!$B$4:$P$30,MONTH(G228)+2))</f>
        <v>113.018</v>
      </c>
      <c r="Q228" s="560">
        <f>IF(X228=0,0,IF(OR(E228=$AT$10,E228=$AT$9),VLOOKUP(YEAR(X228),INPC!$B$4:$P$30,MONTH(X228)+1),VLOOKUP(YEAR(X228),INPC!$B$4:$P$30,MONTH(X228)+2,0)))</f>
        <v>120.15900000000001</v>
      </c>
      <c r="R228" s="309">
        <f t="shared" si="56"/>
        <v>1.0630999999999999</v>
      </c>
      <c r="S228" s="310">
        <f t="shared" si="57"/>
        <v>26458.201691224651</v>
      </c>
      <c r="T228" s="555">
        <f t="shared" si="58"/>
        <v>2645.8201691224649</v>
      </c>
      <c r="U228" s="311"/>
      <c r="V228" s="312">
        <v>10</v>
      </c>
      <c r="W228" s="299" t="s">
        <v>194</v>
      </c>
      <c r="X228" s="300">
        <v>44662</v>
      </c>
      <c r="Y228" s="299" t="s">
        <v>59</v>
      </c>
      <c r="Z228" s="303">
        <v>1078.7461538461539</v>
      </c>
      <c r="AA228" s="305">
        <f>IF(Z228=0,0,IF(Y228="MXN",1/HLOOKUP(YEAR(X228)+(MONTH(X228)/100),TC!$5:$37,DAY(X228)+2,FALSE),VLOOKUP(Y228,Equivalencia!$1:$23,((MAX(Equivalencia!$3:$3)-YEAR(X228))*14)+MONTH(X228)+2,FALSE)))</f>
        <v>1</v>
      </c>
      <c r="AB228" s="306">
        <f t="shared" si="59"/>
        <v>1078.7461538461539</v>
      </c>
      <c r="AC228" s="305">
        <f>+IF(X228=0,0,HLOOKUP(YEAR(X228)+(MONTH(X228)/100),TC!$5:$37,DAY(X228)+2,FALSE))</f>
        <v>20.160499999999999</v>
      </c>
      <c r="AD228" s="307">
        <f t="shared" si="60"/>
        <v>21748.061834615386</v>
      </c>
      <c r="AE228" s="314">
        <f t="shared" si="61"/>
        <v>26458.201691224647</v>
      </c>
      <c r="AF228" s="315">
        <f t="shared" si="62"/>
        <v>-4710.1398566092612</v>
      </c>
      <c r="AG228" s="316">
        <f t="shared" si="63"/>
        <v>0.86027397260273974</v>
      </c>
      <c r="AH228" s="314">
        <v>1</v>
      </c>
      <c r="AI228" s="314">
        <f t="shared" si="64"/>
        <v>-4710.1398566092612</v>
      </c>
      <c r="AJ228" s="314">
        <f t="shared" si="65"/>
        <v>0</v>
      </c>
      <c r="AK228" s="317"/>
      <c r="AL228" s="315">
        <f t="shared" si="66"/>
        <v>-169.12453580901843</v>
      </c>
      <c r="AN228" s="554">
        <f t="shared" si="67"/>
        <v>-0.13553049784008717</v>
      </c>
      <c r="AO228" s="314"/>
      <c r="AP228" s="318"/>
    </row>
    <row r="229" spans="2:42">
      <c r="B229" s="296" t="s">
        <v>1254</v>
      </c>
      <c r="C229" s="299" t="s">
        <v>277</v>
      </c>
      <c r="D229" s="298" t="s">
        <v>877</v>
      </c>
      <c r="E229" s="299" t="s">
        <v>113</v>
      </c>
      <c r="F229" s="299" t="s">
        <v>59</v>
      </c>
      <c r="G229" s="300">
        <v>44348</v>
      </c>
      <c r="H229" s="303">
        <v>5989.7793103448275</v>
      </c>
      <c r="I229" s="301" t="str">
        <f t="shared" si="51"/>
        <v>Ingresos Sección II LISR (SIC &amp; BMV)</v>
      </c>
      <c r="J229" s="302">
        <f t="shared" si="52"/>
        <v>48</v>
      </c>
      <c r="K229" s="304">
        <f t="shared" si="53"/>
        <v>124.78706896551724</v>
      </c>
      <c r="L229" s="305">
        <f>IF(H229=0,0,IF(OR(E229=$AT$5,E229=$AT$6),AA229,IF(F229="MXN",1/HLOOKUP(YEAR(G229)+(MONTH(G229)/100),TC!$5:$37,DAY(G229)+2,FALSE),VLOOKUP(F229,Equivalencia!$5:$23,((MAX(Equivalencia!$3:$3)-YEAR(G229))*14)+MONTH(G229)+2,FALSE))))</f>
        <v>1</v>
      </c>
      <c r="M229" s="306">
        <f t="shared" si="54"/>
        <v>5989.7793103448275</v>
      </c>
      <c r="N229" s="305">
        <f>IF(G229=0,0,(IF(OR(E229=$AT$5,E229=$AT$6),AC229,HLOOKUP(YEAR(G229)+(MONTH(G229)/100),TC!$5:$37,DAY(G229)+2,FALSE))))</f>
        <v>19.944199999999999</v>
      </c>
      <c r="O229" s="307">
        <f t="shared" si="55"/>
        <v>119461.3565213793</v>
      </c>
      <c r="P229" s="560">
        <f>IF(G229=0,0,VLOOKUP(YEAR(G229),INPC!$B$4:$P$30,MONTH(G229)+2))</f>
        <v>113.018</v>
      </c>
      <c r="Q229" s="560">
        <f>IF(X229=0,0,IF(OR(E229=$AT$10,E229=$AT$9),VLOOKUP(YEAR(X229),INPC!$B$4:$P$30,MONTH(X229)+1),VLOOKUP(YEAR(X229),INPC!$B$4:$P$30,MONTH(X229)+2,0)))</f>
        <v>120.15900000000001</v>
      </c>
      <c r="R229" s="309">
        <f t="shared" si="56"/>
        <v>1.0630999999999999</v>
      </c>
      <c r="S229" s="310">
        <f t="shared" si="57"/>
        <v>126999.36811787833</v>
      </c>
      <c r="T229" s="555">
        <f t="shared" si="58"/>
        <v>2645.8201691224654</v>
      </c>
      <c r="U229" s="311"/>
      <c r="V229" s="312">
        <v>48</v>
      </c>
      <c r="W229" s="299" t="s">
        <v>194</v>
      </c>
      <c r="X229" s="300">
        <v>44662</v>
      </c>
      <c r="Y229" s="299" t="s">
        <v>59</v>
      </c>
      <c r="Z229" s="303">
        <v>5074.8028235294114</v>
      </c>
      <c r="AA229" s="305">
        <f>IF(Z229=0,0,IF(Y229="MXN",1/HLOOKUP(YEAR(X229)+(MONTH(X229)/100),TC!$5:$37,DAY(X229)+2,FALSE),VLOOKUP(Y229,Equivalencia!$1:$23,((MAX(Equivalencia!$3:$3)-YEAR(X229))*14)+MONTH(X229)+2,FALSE)))</f>
        <v>1</v>
      </c>
      <c r="AB229" s="306">
        <f t="shared" si="59"/>
        <v>5074.8028235294114</v>
      </c>
      <c r="AC229" s="305">
        <f>+IF(X229=0,0,HLOOKUP(YEAR(X229)+(MONTH(X229)/100),TC!$5:$37,DAY(X229)+2,FALSE))</f>
        <v>20.160499999999999</v>
      </c>
      <c r="AD229" s="307">
        <f t="shared" si="60"/>
        <v>102310.56232376469</v>
      </c>
      <c r="AE229" s="314">
        <f t="shared" si="61"/>
        <v>126999.36811787833</v>
      </c>
      <c r="AF229" s="315">
        <f t="shared" si="62"/>
        <v>-24688.805794113636</v>
      </c>
      <c r="AG229" s="316">
        <f t="shared" si="63"/>
        <v>0.86027397260273974</v>
      </c>
      <c r="AH229" s="314">
        <v>1</v>
      </c>
      <c r="AI229" s="314">
        <f t="shared" si="64"/>
        <v>-24688.805794113636</v>
      </c>
      <c r="AJ229" s="314">
        <f t="shared" si="65"/>
        <v>0</v>
      </c>
      <c r="AK229" s="317"/>
      <c r="AL229" s="315">
        <f t="shared" si="66"/>
        <v>-914.97648681541614</v>
      </c>
      <c r="AN229" s="554">
        <f t="shared" si="67"/>
        <v>-0.15275629358083004</v>
      </c>
      <c r="AO229" s="314"/>
      <c r="AP229" s="318"/>
    </row>
    <row r="230" spans="2:42">
      <c r="B230" s="296" t="s">
        <v>1254</v>
      </c>
      <c r="C230" s="299" t="s">
        <v>277</v>
      </c>
      <c r="D230" s="298" t="s">
        <v>877</v>
      </c>
      <c r="E230" s="299" t="s">
        <v>113</v>
      </c>
      <c r="F230" s="299" t="s">
        <v>59</v>
      </c>
      <c r="G230" s="300">
        <v>44371</v>
      </c>
      <c r="H230" s="303">
        <v>14556.64</v>
      </c>
      <c r="I230" s="301" t="str">
        <f t="shared" si="51"/>
        <v>Ingresos Sección II LISR (SIC &amp; BMV)</v>
      </c>
      <c r="J230" s="302">
        <f t="shared" si="52"/>
        <v>121</v>
      </c>
      <c r="K230" s="304">
        <f t="shared" si="53"/>
        <v>120.30280991735536</v>
      </c>
      <c r="L230" s="305">
        <f>IF(H230=0,0,IF(OR(E230=$AT$5,E230=$AT$6),AA230,IF(F230="MXN",1/HLOOKUP(YEAR(G230)+(MONTH(G230)/100),TC!$5:$37,DAY(G230)+2,FALSE),VLOOKUP(F230,Equivalencia!$5:$23,((MAX(Equivalencia!$3:$3)-YEAR(G230))*14)+MONTH(G230)+2,FALSE))))</f>
        <v>1</v>
      </c>
      <c r="M230" s="306">
        <f t="shared" si="54"/>
        <v>14556.64</v>
      </c>
      <c r="N230" s="305">
        <f>IF(G230=0,0,(IF(OR(E230=$AT$5,E230=$AT$6),AC230,HLOOKUP(YEAR(G230)+(MONTH(G230)/100),TC!$5:$37,DAY(G230)+2,FALSE))))</f>
        <v>20.571200000000001</v>
      </c>
      <c r="O230" s="307">
        <f t="shared" si="55"/>
        <v>299447.55276799999</v>
      </c>
      <c r="P230" s="560">
        <f>IF(G230=0,0,VLOOKUP(YEAR(G230),INPC!$B$4:$P$30,MONTH(G230)+2))</f>
        <v>113.018</v>
      </c>
      <c r="Q230" s="560">
        <f>IF(X230=0,0,IF(OR(E230=$AT$10,E230=$AT$9),VLOOKUP(YEAR(X230),INPC!$B$4:$P$30,MONTH(X230)+1),VLOOKUP(YEAR(X230),INPC!$B$4:$P$30,MONTH(X230)+2,0)))</f>
        <v>120.15900000000001</v>
      </c>
      <c r="R230" s="309">
        <f t="shared" si="56"/>
        <v>1.0630999999999999</v>
      </c>
      <c r="S230" s="310">
        <f t="shared" si="57"/>
        <v>318342.69334766077</v>
      </c>
      <c r="T230" s="555">
        <f t="shared" si="58"/>
        <v>2630.9313499806676</v>
      </c>
      <c r="U230" s="311"/>
      <c r="V230" s="312">
        <v>121</v>
      </c>
      <c r="W230" s="299" t="s">
        <v>194</v>
      </c>
      <c r="X230" s="300">
        <v>44662</v>
      </c>
      <c r="Y230" s="299" t="s">
        <v>59</v>
      </c>
      <c r="Z230" s="303">
        <v>12792.732117647058</v>
      </c>
      <c r="AA230" s="305">
        <f>IF(Z230=0,0,IF(Y230="MXN",1/HLOOKUP(YEAR(X230)+(MONTH(X230)/100),TC!$5:$37,DAY(X230)+2,FALSE),VLOOKUP(Y230,Equivalencia!$1:$23,((MAX(Equivalencia!$3:$3)-YEAR(X230))*14)+MONTH(X230)+2,FALSE)))</f>
        <v>1</v>
      </c>
      <c r="AB230" s="306">
        <f t="shared" si="59"/>
        <v>12792.732117647058</v>
      </c>
      <c r="AC230" s="305">
        <f>+IF(X230=0,0,HLOOKUP(YEAR(X230)+(MONTH(X230)/100),TC!$5:$37,DAY(X230)+2,FALSE))</f>
        <v>20.160499999999999</v>
      </c>
      <c r="AD230" s="307">
        <f t="shared" si="60"/>
        <v>257907.8758578235</v>
      </c>
      <c r="AE230" s="314">
        <f t="shared" si="61"/>
        <v>318342.69334766077</v>
      </c>
      <c r="AF230" s="315">
        <f t="shared" si="62"/>
        <v>-60434.817489837267</v>
      </c>
      <c r="AG230" s="316">
        <f t="shared" si="63"/>
        <v>0.79726027397260268</v>
      </c>
      <c r="AH230" s="314">
        <v>1</v>
      </c>
      <c r="AI230" s="314">
        <f t="shared" si="64"/>
        <v>-60434.817489837267</v>
      </c>
      <c r="AJ230" s="314">
        <f t="shared" si="65"/>
        <v>0</v>
      </c>
      <c r="AK230" s="317"/>
      <c r="AL230" s="315">
        <f t="shared" si="66"/>
        <v>-1763.9078823529417</v>
      </c>
      <c r="AN230" s="554">
        <f t="shared" si="67"/>
        <v>-0.12117548296536437</v>
      </c>
      <c r="AO230" s="314"/>
      <c r="AP230" s="318"/>
    </row>
    <row r="231" spans="2:42">
      <c r="B231" s="296" t="s">
        <v>1254</v>
      </c>
      <c r="C231" s="299" t="s">
        <v>277</v>
      </c>
      <c r="D231" s="298" t="s">
        <v>877</v>
      </c>
      <c r="E231" s="299" t="s">
        <v>113</v>
      </c>
      <c r="F231" s="299" t="s">
        <v>59</v>
      </c>
      <c r="G231" s="300">
        <v>44371</v>
      </c>
      <c r="H231" s="303">
        <v>118.55999999999999</v>
      </c>
      <c r="I231" s="301" t="str">
        <f t="shared" si="51"/>
        <v>Ingresos Sección II LISR (SIC &amp; BMV)</v>
      </c>
      <c r="J231" s="302">
        <f t="shared" si="52"/>
        <v>1</v>
      </c>
      <c r="K231" s="304">
        <f t="shared" si="53"/>
        <v>118.55999999999999</v>
      </c>
      <c r="L231" s="305">
        <f>IF(H231=0,0,IF(OR(E231=$AT$5,E231=$AT$6),AA231,IF(F231="MXN",1/HLOOKUP(YEAR(G231)+(MONTH(G231)/100),TC!$5:$37,DAY(G231)+2,FALSE),VLOOKUP(F231,Equivalencia!$5:$23,((MAX(Equivalencia!$3:$3)-YEAR(G231))*14)+MONTH(G231)+2,FALSE))))</f>
        <v>1</v>
      </c>
      <c r="M231" s="306">
        <f t="shared" si="54"/>
        <v>118.55999999999999</v>
      </c>
      <c r="N231" s="305">
        <f>IF(G231=0,0,(IF(OR(E231=$AT$5,E231=$AT$6),AC231,HLOOKUP(YEAR(G231)+(MONTH(G231)/100),TC!$5:$37,DAY(G231)+2,FALSE))))</f>
        <v>20.571200000000001</v>
      </c>
      <c r="O231" s="307">
        <f t="shared" si="55"/>
        <v>2438.921472</v>
      </c>
      <c r="P231" s="560">
        <f>IF(G231=0,0,VLOOKUP(YEAR(G231),INPC!$B$4:$P$30,MONTH(G231)+2))</f>
        <v>113.018</v>
      </c>
      <c r="Q231" s="560">
        <f>IF(X231=0,0,IF(OR(E231=$AT$10,E231=$AT$9),VLOOKUP(YEAR(X231),INPC!$B$4:$P$30,MONTH(X231)+1),VLOOKUP(YEAR(X231),INPC!$B$4:$P$30,MONTH(X231)+2,0)))</f>
        <v>120.15900000000001</v>
      </c>
      <c r="R231" s="309">
        <f t="shared" si="56"/>
        <v>1.0630999999999999</v>
      </c>
      <c r="S231" s="310">
        <f t="shared" si="57"/>
        <v>2592.8174168831997</v>
      </c>
      <c r="T231" s="555">
        <f t="shared" si="58"/>
        <v>2592.8174168831997</v>
      </c>
      <c r="U231" s="311"/>
      <c r="V231" s="312">
        <v>1</v>
      </c>
      <c r="W231" s="299" t="s">
        <v>194</v>
      </c>
      <c r="X231" s="300">
        <v>44662</v>
      </c>
      <c r="Y231" s="299" t="s">
        <v>59</v>
      </c>
      <c r="Z231" s="303">
        <v>105.72505882352941</v>
      </c>
      <c r="AA231" s="305">
        <f>IF(Z231=0,0,IF(Y231="MXN",1/HLOOKUP(YEAR(X231)+(MONTH(X231)/100),TC!$5:$37,DAY(X231)+2,FALSE),VLOOKUP(Y231,Equivalencia!$1:$23,((MAX(Equivalencia!$3:$3)-YEAR(X231))*14)+MONTH(X231)+2,FALSE)))</f>
        <v>1</v>
      </c>
      <c r="AB231" s="306">
        <f t="shared" si="59"/>
        <v>105.72505882352941</v>
      </c>
      <c r="AC231" s="305">
        <f>+IF(X231=0,0,HLOOKUP(YEAR(X231)+(MONTH(X231)/100),TC!$5:$37,DAY(X231)+2,FALSE))</f>
        <v>20.160499999999999</v>
      </c>
      <c r="AD231" s="307">
        <f t="shared" si="60"/>
        <v>2131.4700484117648</v>
      </c>
      <c r="AE231" s="314">
        <f t="shared" si="61"/>
        <v>2592.8174168831997</v>
      </c>
      <c r="AF231" s="315">
        <f t="shared" si="62"/>
        <v>-461.34736847143495</v>
      </c>
      <c r="AG231" s="316">
        <f t="shared" si="63"/>
        <v>0.79726027397260268</v>
      </c>
      <c r="AH231" s="314">
        <v>1</v>
      </c>
      <c r="AI231" s="314">
        <f t="shared" si="64"/>
        <v>-461.34736847143495</v>
      </c>
      <c r="AJ231" s="314">
        <f t="shared" si="65"/>
        <v>0</v>
      </c>
      <c r="AK231" s="317"/>
      <c r="AL231" s="315">
        <f t="shared" si="66"/>
        <v>-12.834941176470579</v>
      </c>
      <c r="AN231" s="554">
        <f t="shared" si="67"/>
        <v>-0.10825692625228223</v>
      </c>
      <c r="AO231" s="314"/>
      <c r="AP231" s="318"/>
    </row>
    <row r="232" spans="2:42">
      <c r="B232" s="296" t="s">
        <v>1254</v>
      </c>
      <c r="C232" s="299" t="s">
        <v>277</v>
      </c>
      <c r="D232" s="298" t="s">
        <v>877</v>
      </c>
      <c r="E232" s="299" t="s">
        <v>113</v>
      </c>
      <c r="F232" s="299" t="s">
        <v>59</v>
      </c>
      <c r="G232" s="300">
        <v>44371</v>
      </c>
      <c r="H232" s="303">
        <v>474.23999999999995</v>
      </c>
      <c r="I232" s="301" t="str">
        <f t="shared" si="51"/>
        <v>Ingresos Sección II LISR (SIC &amp; BMV)</v>
      </c>
      <c r="J232" s="302">
        <f t="shared" si="52"/>
        <v>4</v>
      </c>
      <c r="K232" s="304">
        <f t="shared" si="53"/>
        <v>118.55999999999999</v>
      </c>
      <c r="L232" s="305">
        <f>IF(H232=0,0,IF(OR(E232=$AT$5,E232=$AT$6),AA232,IF(F232="MXN",1/HLOOKUP(YEAR(G232)+(MONTH(G232)/100),TC!$5:$37,DAY(G232)+2,FALSE),VLOOKUP(F232,Equivalencia!$5:$23,((MAX(Equivalencia!$3:$3)-YEAR(G232))*14)+MONTH(G232)+2,FALSE))))</f>
        <v>1</v>
      </c>
      <c r="M232" s="306">
        <f t="shared" si="54"/>
        <v>474.23999999999995</v>
      </c>
      <c r="N232" s="305">
        <f>IF(G232=0,0,(IF(OR(E232=$AT$5,E232=$AT$6),AC232,HLOOKUP(YEAR(G232)+(MONTH(G232)/100),TC!$5:$37,DAY(G232)+2,FALSE))))</f>
        <v>20.571200000000001</v>
      </c>
      <c r="O232" s="307">
        <f t="shared" si="55"/>
        <v>9755.685888</v>
      </c>
      <c r="P232" s="560">
        <f>IF(G232=0,0,VLOOKUP(YEAR(G232),INPC!$B$4:$P$30,MONTH(G232)+2))</f>
        <v>113.018</v>
      </c>
      <c r="Q232" s="560">
        <f>IF(X232=0,0,IF(OR(E232=$AT$10,E232=$AT$9),VLOOKUP(YEAR(X232),INPC!$B$4:$P$30,MONTH(X232)+1),VLOOKUP(YEAR(X232),INPC!$B$4:$P$30,MONTH(X232)+2,0)))</f>
        <v>120.15900000000001</v>
      </c>
      <c r="R232" s="309">
        <f t="shared" si="56"/>
        <v>1.0630999999999999</v>
      </c>
      <c r="S232" s="310">
        <f t="shared" si="57"/>
        <v>10371.269667532799</v>
      </c>
      <c r="T232" s="555">
        <f t="shared" si="58"/>
        <v>2592.8174168831997</v>
      </c>
      <c r="U232" s="311"/>
      <c r="V232" s="312">
        <v>4</v>
      </c>
      <c r="W232" s="299" t="s">
        <v>194</v>
      </c>
      <c r="X232" s="300">
        <v>44662</v>
      </c>
      <c r="Y232" s="299" t="s">
        <v>59</v>
      </c>
      <c r="Z232" s="303">
        <v>425.69894736842105</v>
      </c>
      <c r="AA232" s="305">
        <f>IF(Z232=0,0,IF(Y232="MXN",1/HLOOKUP(YEAR(X232)+(MONTH(X232)/100),TC!$5:$37,DAY(X232)+2,FALSE),VLOOKUP(Y232,Equivalencia!$1:$23,((MAX(Equivalencia!$3:$3)-YEAR(X232))*14)+MONTH(X232)+2,FALSE)))</f>
        <v>1</v>
      </c>
      <c r="AB232" s="306">
        <f t="shared" si="59"/>
        <v>425.69894736842105</v>
      </c>
      <c r="AC232" s="305">
        <f>+IF(X232=0,0,HLOOKUP(YEAR(X232)+(MONTH(X232)/100),TC!$5:$37,DAY(X232)+2,FALSE))</f>
        <v>20.160499999999999</v>
      </c>
      <c r="AD232" s="307">
        <f t="shared" si="60"/>
        <v>8582.3036284210521</v>
      </c>
      <c r="AE232" s="314">
        <f t="shared" si="61"/>
        <v>10371.269667532799</v>
      </c>
      <c r="AF232" s="315">
        <f t="shared" si="62"/>
        <v>-1788.9660391117468</v>
      </c>
      <c r="AG232" s="316">
        <f t="shared" si="63"/>
        <v>0.79726027397260268</v>
      </c>
      <c r="AH232" s="314">
        <v>1</v>
      </c>
      <c r="AI232" s="314">
        <f t="shared" si="64"/>
        <v>-1788.9660391117468</v>
      </c>
      <c r="AJ232" s="314">
        <f t="shared" si="65"/>
        <v>0</v>
      </c>
      <c r="AK232" s="317"/>
      <c r="AL232" s="315">
        <f t="shared" si="66"/>
        <v>-48.541052631578907</v>
      </c>
      <c r="AN232" s="554">
        <f t="shared" si="67"/>
        <v>-0.10235545848426728</v>
      </c>
      <c r="AO232" s="314"/>
      <c r="AP232" s="318"/>
    </row>
    <row r="233" spans="2:42">
      <c r="B233" s="296" t="s">
        <v>1254</v>
      </c>
      <c r="C233" s="299" t="s">
        <v>277</v>
      </c>
      <c r="D233" s="298" t="s">
        <v>877</v>
      </c>
      <c r="E233" s="299" t="s">
        <v>113</v>
      </c>
      <c r="F233" s="299" t="s">
        <v>59</v>
      </c>
      <c r="G233" s="300">
        <v>44396</v>
      </c>
      <c r="H233" s="303">
        <v>1567.6012987012987</v>
      </c>
      <c r="I233" s="301" t="str">
        <f t="shared" si="51"/>
        <v>Ingresos Sección II LISR (SIC &amp; BMV)</v>
      </c>
      <c r="J233" s="302">
        <f t="shared" si="52"/>
        <v>15</v>
      </c>
      <c r="K233" s="304">
        <f t="shared" si="53"/>
        <v>104.50675324675325</v>
      </c>
      <c r="L233" s="305">
        <f>IF(H233=0,0,IF(OR(E233=$AT$5,E233=$AT$6),AA233,IF(F233="MXN",1/HLOOKUP(YEAR(G233)+(MONTH(G233)/100),TC!$5:$37,DAY(G233)+2,FALSE),VLOOKUP(F233,Equivalencia!$5:$23,((MAX(Equivalencia!$3:$3)-YEAR(G233))*14)+MONTH(G233)+2,FALSE))))</f>
        <v>1</v>
      </c>
      <c r="M233" s="306">
        <f t="shared" si="54"/>
        <v>1567.6012987012987</v>
      </c>
      <c r="N233" s="305">
        <f>IF(G233=0,0,(IF(OR(E233=$AT$5,E233=$AT$6),AC233,HLOOKUP(YEAR(G233)+(MONTH(G233)/100),TC!$5:$37,DAY(G233)+2,FALSE))))</f>
        <v>19.941199999999998</v>
      </c>
      <c r="O233" s="307">
        <f t="shared" si="55"/>
        <v>31259.851017662335</v>
      </c>
      <c r="P233" s="560">
        <f>IF(G233=0,0,VLOOKUP(YEAR(G233),INPC!$B$4:$P$30,MONTH(G233)+2))</f>
        <v>113.682</v>
      </c>
      <c r="Q233" s="560">
        <f>IF(X233=0,0,IF(OR(E233=$AT$10,E233=$AT$9),VLOOKUP(YEAR(X233),INPC!$B$4:$P$30,MONTH(X233)+1),VLOOKUP(YEAR(X233),INPC!$B$4:$P$30,MONTH(X233)+2,0)))</f>
        <v>120.15900000000001</v>
      </c>
      <c r="R233" s="309">
        <f t="shared" si="56"/>
        <v>1.0569</v>
      </c>
      <c r="S233" s="310">
        <f t="shared" si="57"/>
        <v>33038.536540567322</v>
      </c>
      <c r="T233" s="555">
        <f t="shared" si="58"/>
        <v>2202.5691027044882</v>
      </c>
      <c r="U233" s="311"/>
      <c r="V233" s="312">
        <v>15</v>
      </c>
      <c r="W233" s="299" t="s">
        <v>194</v>
      </c>
      <c r="X233" s="300">
        <v>44662</v>
      </c>
      <c r="Y233" s="299" t="s">
        <v>59</v>
      </c>
      <c r="Z233" s="303">
        <v>1596.371052631579</v>
      </c>
      <c r="AA233" s="305">
        <f>IF(Z233=0,0,IF(Y233="MXN",1/HLOOKUP(YEAR(X233)+(MONTH(X233)/100),TC!$5:$37,DAY(X233)+2,FALSE),VLOOKUP(Y233,Equivalencia!$1:$23,((MAX(Equivalencia!$3:$3)-YEAR(X233))*14)+MONTH(X233)+2,FALSE)))</f>
        <v>1</v>
      </c>
      <c r="AB233" s="306">
        <f t="shared" si="59"/>
        <v>1596.371052631579</v>
      </c>
      <c r="AC233" s="305">
        <f>+IF(X233=0,0,HLOOKUP(YEAR(X233)+(MONTH(X233)/100),TC!$5:$37,DAY(X233)+2,FALSE))</f>
        <v>20.160499999999999</v>
      </c>
      <c r="AD233" s="307">
        <f t="shared" si="60"/>
        <v>32183.638606578948</v>
      </c>
      <c r="AE233" s="314">
        <f t="shared" si="61"/>
        <v>33038.536540567322</v>
      </c>
      <c r="AF233" s="315">
        <f t="shared" si="62"/>
        <v>-854.89793398837355</v>
      </c>
      <c r="AG233" s="316">
        <f t="shared" si="63"/>
        <v>0.72876712328767124</v>
      </c>
      <c r="AH233" s="314">
        <v>1</v>
      </c>
      <c r="AI233" s="314">
        <f t="shared" si="64"/>
        <v>-854.89793398837355</v>
      </c>
      <c r="AJ233" s="314">
        <f t="shared" si="65"/>
        <v>0</v>
      </c>
      <c r="AK233" s="317"/>
      <c r="AL233" s="315">
        <f t="shared" si="66"/>
        <v>28.769753930280331</v>
      </c>
      <c r="AN233" s="554">
        <f t="shared" si="67"/>
        <v>1.8352723970128781E-2</v>
      </c>
      <c r="AO233" s="314"/>
      <c r="AP233" s="318"/>
    </row>
    <row r="234" spans="2:42">
      <c r="B234" s="296" t="s">
        <v>1254</v>
      </c>
      <c r="C234" s="299" t="s">
        <v>277</v>
      </c>
      <c r="D234" s="298" t="s">
        <v>877</v>
      </c>
      <c r="E234" s="299" t="s">
        <v>113</v>
      </c>
      <c r="F234" s="299" t="s">
        <v>59</v>
      </c>
      <c r="G234" s="300">
        <v>44396</v>
      </c>
      <c r="H234" s="303">
        <v>2612.6688311688313</v>
      </c>
      <c r="I234" s="301" t="str">
        <f t="shared" si="51"/>
        <v>Ingresos Sección II LISR (SIC &amp; BMV)</v>
      </c>
      <c r="J234" s="302">
        <f t="shared" si="52"/>
        <v>25</v>
      </c>
      <c r="K234" s="304">
        <f t="shared" si="53"/>
        <v>104.50675324675325</v>
      </c>
      <c r="L234" s="305">
        <f>IF(H234=0,0,IF(OR(E234=$AT$5,E234=$AT$6),AA234,IF(F234="MXN",1/HLOOKUP(YEAR(G234)+(MONTH(G234)/100),TC!$5:$37,DAY(G234)+2,FALSE),VLOOKUP(F234,Equivalencia!$5:$23,((MAX(Equivalencia!$3:$3)-YEAR(G234))*14)+MONTH(G234)+2,FALSE))))</f>
        <v>1</v>
      </c>
      <c r="M234" s="306">
        <f t="shared" si="54"/>
        <v>2612.6688311688313</v>
      </c>
      <c r="N234" s="305">
        <f>IF(G234=0,0,(IF(OR(E234=$AT$5,E234=$AT$6),AC234,HLOOKUP(YEAR(G234)+(MONTH(G234)/100),TC!$5:$37,DAY(G234)+2,FALSE))))</f>
        <v>19.941199999999998</v>
      </c>
      <c r="O234" s="307">
        <f t="shared" si="55"/>
        <v>52099.751696103893</v>
      </c>
      <c r="P234" s="560">
        <f>IF(G234=0,0,VLOOKUP(YEAR(G234),INPC!$B$4:$P$30,MONTH(G234)+2))</f>
        <v>113.682</v>
      </c>
      <c r="Q234" s="560">
        <f>IF(X234=0,0,IF(OR(E234=$AT$10,E234=$AT$9),VLOOKUP(YEAR(X234),INPC!$B$4:$P$30,MONTH(X234)+1),VLOOKUP(YEAR(X234),INPC!$B$4:$P$30,MONTH(X234)+2,0)))</f>
        <v>120.15900000000001</v>
      </c>
      <c r="R234" s="309">
        <f t="shared" si="56"/>
        <v>1.0569</v>
      </c>
      <c r="S234" s="310">
        <f t="shared" si="57"/>
        <v>55064.227567612201</v>
      </c>
      <c r="T234" s="555">
        <f t="shared" si="58"/>
        <v>2202.5691027044882</v>
      </c>
      <c r="U234" s="311"/>
      <c r="V234" s="312">
        <v>25</v>
      </c>
      <c r="W234" s="299" t="s">
        <v>194</v>
      </c>
      <c r="X234" s="300">
        <v>44662</v>
      </c>
      <c r="Y234" s="299" t="s">
        <v>59</v>
      </c>
      <c r="Z234" s="303">
        <v>2683.8</v>
      </c>
      <c r="AA234" s="305">
        <f>IF(Z234=0,0,IF(Y234="MXN",1/HLOOKUP(YEAR(X234)+(MONTH(X234)/100),TC!$5:$37,DAY(X234)+2,FALSE),VLOOKUP(Y234,Equivalencia!$1:$23,((MAX(Equivalencia!$3:$3)-YEAR(X234))*14)+MONTH(X234)+2,FALSE)))</f>
        <v>1</v>
      </c>
      <c r="AB234" s="306">
        <f t="shared" si="59"/>
        <v>2683.8</v>
      </c>
      <c r="AC234" s="305">
        <f>+IF(X234=0,0,HLOOKUP(YEAR(X234)+(MONTH(X234)/100),TC!$5:$37,DAY(X234)+2,FALSE))</f>
        <v>20.160499999999999</v>
      </c>
      <c r="AD234" s="307">
        <f t="shared" si="60"/>
        <v>54106.749900000003</v>
      </c>
      <c r="AE234" s="314">
        <f t="shared" si="61"/>
        <v>55064.227567612201</v>
      </c>
      <c r="AF234" s="315">
        <f t="shared" si="62"/>
        <v>-957.47766761219827</v>
      </c>
      <c r="AG234" s="316">
        <f t="shared" si="63"/>
        <v>0.72876712328767124</v>
      </c>
      <c r="AH234" s="314">
        <v>1</v>
      </c>
      <c r="AI234" s="314">
        <f t="shared" si="64"/>
        <v>-957.47766761219827</v>
      </c>
      <c r="AJ234" s="314">
        <f t="shared" si="65"/>
        <v>0</v>
      </c>
      <c r="AK234" s="317"/>
      <c r="AL234" s="315">
        <f t="shared" si="66"/>
        <v>71.131168831168907</v>
      </c>
      <c r="AN234" s="554">
        <f t="shared" si="67"/>
        <v>2.722548222820376E-2</v>
      </c>
      <c r="AO234" s="314"/>
      <c r="AP234" s="318"/>
    </row>
    <row r="235" spans="2:42">
      <c r="B235" s="296" t="s">
        <v>1254</v>
      </c>
      <c r="C235" s="299" t="s">
        <v>277</v>
      </c>
      <c r="D235" s="298" t="s">
        <v>877</v>
      </c>
      <c r="E235" s="299" t="s">
        <v>113</v>
      </c>
      <c r="F235" s="299" t="s">
        <v>59</v>
      </c>
      <c r="G235" s="300">
        <v>44396</v>
      </c>
      <c r="H235" s="303">
        <v>3866.74987012987</v>
      </c>
      <c r="I235" s="301" t="str">
        <f t="shared" si="51"/>
        <v>Ingresos Sección II LISR (SIC &amp; BMV)</v>
      </c>
      <c r="J235" s="302">
        <f t="shared" si="52"/>
        <v>37</v>
      </c>
      <c r="K235" s="304">
        <f t="shared" si="53"/>
        <v>104.50675324675325</v>
      </c>
      <c r="L235" s="305">
        <f>IF(H235=0,0,IF(OR(E235=$AT$5,E235=$AT$6),AA235,IF(F235="MXN",1/HLOOKUP(YEAR(G235)+(MONTH(G235)/100),TC!$5:$37,DAY(G235)+2,FALSE),VLOOKUP(F235,Equivalencia!$5:$23,((MAX(Equivalencia!$3:$3)-YEAR(G235))*14)+MONTH(G235)+2,FALSE))))</f>
        <v>1</v>
      </c>
      <c r="M235" s="306">
        <f t="shared" si="54"/>
        <v>3866.74987012987</v>
      </c>
      <c r="N235" s="305">
        <f>IF(G235=0,0,(IF(OR(E235=$AT$5,E235=$AT$6),AC235,HLOOKUP(YEAR(G235)+(MONTH(G235)/100),TC!$5:$37,DAY(G235)+2,FALSE))))</f>
        <v>19.941199999999998</v>
      </c>
      <c r="O235" s="307">
        <f t="shared" si="55"/>
        <v>77107.632510233758</v>
      </c>
      <c r="P235" s="560">
        <f>IF(G235=0,0,VLOOKUP(YEAR(G235),INPC!$B$4:$P$30,MONTH(G235)+2))</f>
        <v>113.682</v>
      </c>
      <c r="Q235" s="560">
        <f>IF(X235=0,0,IF(OR(E235=$AT$10,E235=$AT$9),VLOOKUP(YEAR(X235),INPC!$B$4:$P$30,MONTH(X235)+1),VLOOKUP(YEAR(X235),INPC!$B$4:$P$30,MONTH(X235)+2,0)))</f>
        <v>120.15900000000001</v>
      </c>
      <c r="R235" s="309">
        <f t="shared" si="56"/>
        <v>1.0569</v>
      </c>
      <c r="S235" s="310">
        <f t="shared" si="57"/>
        <v>81495.056800066057</v>
      </c>
      <c r="T235" s="555">
        <f t="shared" si="58"/>
        <v>2202.5691027044882</v>
      </c>
      <c r="U235" s="311"/>
      <c r="V235" s="312">
        <v>37</v>
      </c>
      <c r="W235" s="299" t="s">
        <v>194</v>
      </c>
      <c r="X235" s="300">
        <v>44662</v>
      </c>
      <c r="Y235" s="299" t="s">
        <v>59</v>
      </c>
      <c r="Z235" s="303">
        <v>3936.6001999999999</v>
      </c>
      <c r="AA235" s="305">
        <f>IF(Z235=0,0,IF(Y235="MXN",1/HLOOKUP(YEAR(X235)+(MONTH(X235)/100),TC!$5:$37,DAY(X235)+2,FALSE),VLOOKUP(Y235,Equivalencia!$1:$23,((MAX(Equivalencia!$3:$3)-YEAR(X235))*14)+MONTH(X235)+2,FALSE)))</f>
        <v>1</v>
      </c>
      <c r="AB235" s="306">
        <f t="shared" si="59"/>
        <v>3936.6001999999999</v>
      </c>
      <c r="AC235" s="305">
        <f>+IF(X235=0,0,HLOOKUP(YEAR(X235)+(MONTH(X235)/100),TC!$5:$37,DAY(X235)+2,FALSE))</f>
        <v>20.160499999999999</v>
      </c>
      <c r="AD235" s="307">
        <f t="shared" si="60"/>
        <v>79363.828332099991</v>
      </c>
      <c r="AE235" s="314">
        <f t="shared" si="61"/>
        <v>81495.056800066057</v>
      </c>
      <c r="AF235" s="315">
        <f t="shared" si="62"/>
        <v>-2131.2284679660661</v>
      </c>
      <c r="AG235" s="316">
        <f t="shared" si="63"/>
        <v>0.72876712328767124</v>
      </c>
      <c r="AH235" s="314">
        <v>1</v>
      </c>
      <c r="AI235" s="314">
        <f t="shared" si="64"/>
        <v>-2131.2284679660661</v>
      </c>
      <c r="AJ235" s="314">
        <f t="shared" si="65"/>
        <v>0</v>
      </c>
      <c r="AK235" s="317"/>
      <c r="AL235" s="315">
        <f t="shared" si="66"/>
        <v>69.850329870129826</v>
      </c>
      <c r="AN235" s="554">
        <f t="shared" si="67"/>
        <v>1.8064351772457372E-2</v>
      </c>
      <c r="AO235" s="314"/>
      <c r="AP235" s="318"/>
    </row>
    <row r="236" spans="2:42">
      <c r="B236" s="296" t="s">
        <v>1254</v>
      </c>
      <c r="C236" s="299" t="s">
        <v>277</v>
      </c>
      <c r="D236" s="298" t="s">
        <v>877</v>
      </c>
      <c r="E236" s="299" t="s">
        <v>113</v>
      </c>
      <c r="F236" s="299" t="s">
        <v>59</v>
      </c>
      <c r="G236" s="300">
        <v>44503</v>
      </c>
      <c r="H236" s="303">
        <v>1594.172032520325</v>
      </c>
      <c r="I236" s="301" t="str">
        <f t="shared" si="51"/>
        <v>Ingresos Sección II LISR (SIC &amp; BMV)</v>
      </c>
      <c r="J236" s="302">
        <f t="shared" si="52"/>
        <v>13</v>
      </c>
      <c r="K236" s="304">
        <f t="shared" si="53"/>
        <v>122.62861788617884</v>
      </c>
      <c r="L236" s="305">
        <f>IF(H236=0,0,IF(OR(E236=$AT$5,E236=$AT$6),AA236,IF(F236="MXN",1/HLOOKUP(YEAR(G236)+(MONTH(G236)/100),TC!$5:$37,DAY(G236)+2,FALSE),VLOOKUP(F236,Equivalencia!$5:$23,((MAX(Equivalencia!$3:$3)-YEAR(G236))*14)+MONTH(G236)+2,FALSE))))</f>
        <v>1</v>
      </c>
      <c r="M236" s="306">
        <f t="shared" si="54"/>
        <v>1594.172032520325</v>
      </c>
      <c r="N236" s="305">
        <f>IF(G236=0,0,(IF(OR(E236=$AT$5,E236=$AT$6),AC236,HLOOKUP(YEAR(G236)+(MONTH(G236)/100),TC!$5:$37,DAY(G236)+2,FALSE))))</f>
        <v>20.529699999999998</v>
      </c>
      <c r="O236" s="307">
        <f t="shared" si="55"/>
        <v>32727.873576032514</v>
      </c>
      <c r="P236" s="560">
        <f>IF(G236=0,0,VLOOKUP(YEAR(G236),INPC!$B$4:$P$30,MONTH(G236)+2))</f>
        <v>116.884</v>
      </c>
      <c r="Q236" s="560">
        <f>IF(X236=0,0,IF(OR(E236=$AT$10,E236=$AT$9),VLOOKUP(YEAR(X236),INPC!$B$4:$P$30,MONTH(X236)+1),VLOOKUP(YEAR(X236),INPC!$B$4:$P$30,MONTH(X236)+2,0)))</f>
        <v>120.15900000000001</v>
      </c>
      <c r="R236" s="309">
        <f t="shared" si="56"/>
        <v>1.028</v>
      </c>
      <c r="S236" s="310">
        <f t="shared" si="57"/>
        <v>33644.254036161423</v>
      </c>
      <c r="T236" s="555">
        <f t="shared" si="58"/>
        <v>2588.0195412431863</v>
      </c>
      <c r="U236" s="311"/>
      <c r="V236" s="312">
        <v>13</v>
      </c>
      <c r="W236" s="299" t="s">
        <v>194</v>
      </c>
      <c r="X236" s="300">
        <v>44662</v>
      </c>
      <c r="Y236" s="299" t="s">
        <v>59</v>
      </c>
      <c r="Z236" s="303">
        <v>1383.1297999999999</v>
      </c>
      <c r="AA236" s="305">
        <f>IF(Z236=0,0,IF(Y236="MXN",1/HLOOKUP(YEAR(X236)+(MONTH(X236)/100),TC!$5:$37,DAY(X236)+2,FALSE),VLOOKUP(Y236,Equivalencia!$1:$23,((MAX(Equivalencia!$3:$3)-YEAR(X236))*14)+MONTH(X236)+2,FALSE)))</f>
        <v>1</v>
      </c>
      <c r="AB236" s="306">
        <f t="shared" si="59"/>
        <v>1383.1297999999999</v>
      </c>
      <c r="AC236" s="305">
        <f>+IF(X236=0,0,HLOOKUP(YEAR(X236)+(MONTH(X236)/100),TC!$5:$37,DAY(X236)+2,FALSE))</f>
        <v>20.160499999999999</v>
      </c>
      <c r="AD236" s="307">
        <f t="shared" si="60"/>
        <v>27884.588332899999</v>
      </c>
      <c r="AE236" s="314">
        <f t="shared" si="61"/>
        <v>33644.254036161423</v>
      </c>
      <c r="AF236" s="315">
        <f t="shared" si="62"/>
        <v>-5759.6657032614239</v>
      </c>
      <c r="AG236" s="316">
        <f t="shared" si="63"/>
        <v>0.43561643835616437</v>
      </c>
      <c r="AH236" s="314">
        <v>1</v>
      </c>
      <c r="AI236" s="314">
        <f t="shared" si="64"/>
        <v>-5759.6657032614239</v>
      </c>
      <c r="AJ236" s="314">
        <f t="shared" si="65"/>
        <v>0</v>
      </c>
      <c r="AK236" s="317"/>
      <c r="AL236" s="315">
        <f t="shared" si="66"/>
        <v>-211.04223252032511</v>
      </c>
      <c r="AN236" s="554">
        <f t="shared" si="67"/>
        <v>-0.13238359989710483</v>
      </c>
      <c r="AO236" s="314"/>
      <c r="AP236" s="318"/>
    </row>
    <row r="237" spans="2:42">
      <c r="B237" s="296" t="s">
        <v>1254</v>
      </c>
      <c r="C237" s="299" t="s">
        <v>277</v>
      </c>
      <c r="D237" s="298" t="s">
        <v>877</v>
      </c>
      <c r="E237" s="299" t="s">
        <v>113</v>
      </c>
      <c r="F237" s="299" t="s">
        <v>59</v>
      </c>
      <c r="G237" s="300">
        <v>44503</v>
      </c>
      <c r="H237" s="303">
        <v>1839.429268292683</v>
      </c>
      <c r="I237" s="301" t="str">
        <f t="shared" si="51"/>
        <v>Ingresos Sección II LISR (SIC &amp; BMV)</v>
      </c>
      <c r="J237" s="302">
        <f t="shared" si="52"/>
        <v>15</v>
      </c>
      <c r="K237" s="304">
        <f t="shared" si="53"/>
        <v>122.62861788617887</v>
      </c>
      <c r="L237" s="305">
        <f>IF(H237=0,0,IF(OR(E237=$AT$5,E237=$AT$6),AA237,IF(F237="MXN",1/HLOOKUP(YEAR(G237)+(MONTH(G237)/100),TC!$5:$37,DAY(G237)+2,FALSE),VLOOKUP(F237,Equivalencia!$5:$23,((MAX(Equivalencia!$3:$3)-YEAR(G237))*14)+MONTH(G237)+2,FALSE))))</f>
        <v>1</v>
      </c>
      <c r="M237" s="306">
        <f t="shared" si="54"/>
        <v>1839.429268292683</v>
      </c>
      <c r="N237" s="305">
        <f>IF(G237=0,0,(IF(OR(E237=$AT$5,E237=$AT$6),AC237,HLOOKUP(YEAR(G237)+(MONTH(G237)/100),TC!$5:$37,DAY(G237)+2,FALSE))))</f>
        <v>20.529699999999998</v>
      </c>
      <c r="O237" s="307">
        <f t="shared" si="55"/>
        <v>37762.931049268293</v>
      </c>
      <c r="P237" s="560">
        <f>IF(G237=0,0,VLOOKUP(YEAR(G237),INPC!$B$4:$P$30,MONTH(G237)+2))</f>
        <v>116.884</v>
      </c>
      <c r="Q237" s="560">
        <f>IF(X237=0,0,IF(OR(E237=$AT$10,E237=$AT$9),VLOOKUP(YEAR(X237),INPC!$B$4:$P$30,MONTH(X237)+1),VLOOKUP(YEAR(X237),INPC!$B$4:$P$30,MONTH(X237)+2,0)))</f>
        <v>120.15900000000001</v>
      </c>
      <c r="R237" s="309">
        <f t="shared" si="56"/>
        <v>1.028</v>
      </c>
      <c r="S237" s="310">
        <f t="shared" si="57"/>
        <v>38820.293118647809</v>
      </c>
      <c r="T237" s="555">
        <f t="shared" si="58"/>
        <v>2588.0195412431872</v>
      </c>
      <c r="U237" s="311"/>
      <c r="V237" s="312">
        <v>15</v>
      </c>
      <c r="W237" s="299" t="s">
        <v>194</v>
      </c>
      <c r="X237" s="300">
        <v>44663</v>
      </c>
      <c r="Y237" s="299" t="s">
        <v>59</v>
      </c>
      <c r="Z237" s="303">
        <v>1587.14</v>
      </c>
      <c r="AA237" s="305">
        <f>IF(Z237=0,0,IF(Y237="MXN",1/HLOOKUP(YEAR(X237)+(MONTH(X237)/100),TC!$5:$37,DAY(X237)+2,FALSE),VLOOKUP(Y237,Equivalencia!$1:$23,((MAX(Equivalencia!$3:$3)-YEAR(X237))*14)+MONTH(X237)+2,FALSE)))</f>
        <v>1</v>
      </c>
      <c r="AB237" s="306">
        <f t="shared" si="59"/>
        <v>1587.14</v>
      </c>
      <c r="AC237" s="305">
        <f>+IF(X237=0,0,HLOOKUP(YEAR(X237)+(MONTH(X237)/100),TC!$5:$37,DAY(X237)+2,FALSE))</f>
        <v>20.12</v>
      </c>
      <c r="AD237" s="307">
        <f t="shared" si="60"/>
        <v>31933.256800000003</v>
      </c>
      <c r="AE237" s="314">
        <f t="shared" si="61"/>
        <v>38820.293118647809</v>
      </c>
      <c r="AF237" s="315">
        <f t="shared" si="62"/>
        <v>-6887.0363186478062</v>
      </c>
      <c r="AG237" s="316">
        <f t="shared" si="63"/>
        <v>0.43835616438356162</v>
      </c>
      <c r="AH237" s="314">
        <v>1</v>
      </c>
      <c r="AI237" s="314">
        <f t="shared" si="64"/>
        <v>-6887.0363186478062</v>
      </c>
      <c r="AJ237" s="314">
        <f t="shared" si="65"/>
        <v>0</v>
      </c>
      <c r="AK237" s="317"/>
      <c r="AL237" s="315">
        <f t="shared" si="66"/>
        <v>-252.28926829268289</v>
      </c>
      <c r="AN237" s="554">
        <f t="shared" si="67"/>
        <v>-0.13715627593924942</v>
      </c>
      <c r="AO237" s="314"/>
      <c r="AP237" s="318"/>
    </row>
    <row r="238" spans="2:42">
      <c r="B238" s="296" t="s">
        <v>1254</v>
      </c>
      <c r="C238" s="299" t="s">
        <v>277</v>
      </c>
      <c r="D238" s="298" t="s">
        <v>877</v>
      </c>
      <c r="E238" s="299" t="s">
        <v>113</v>
      </c>
      <c r="F238" s="299" t="s">
        <v>59</v>
      </c>
      <c r="G238" s="300">
        <v>44503</v>
      </c>
      <c r="H238" s="303">
        <v>6989.8312195121953</v>
      </c>
      <c r="I238" s="301" t="str">
        <f t="shared" si="51"/>
        <v>Ingresos Sección II LISR (SIC &amp; BMV)</v>
      </c>
      <c r="J238" s="302">
        <f t="shared" si="52"/>
        <v>57</v>
      </c>
      <c r="K238" s="304">
        <f t="shared" si="53"/>
        <v>122.62861788617886</v>
      </c>
      <c r="L238" s="305">
        <f>IF(H238=0,0,IF(OR(E238=$AT$5,E238=$AT$6),AA238,IF(F238="MXN",1/HLOOKUP(YEAR(G238)+(MONTH(G238)/100),TC!$5:$37,DAY(G238)+2,FALSE),VLOOKUP(F238,Equivalencia!$5:$23,((MAX(Equivalencia!$3:$3)-YEAR(G238))*14)+MONTH(G238)+2,FALSE))))</f>
        <v>1</v>
      </c>
      <c r="M238" s="306">
        <f t="shared" si="54"/>
        <v>6989.8312195121953</v>
      </c>
      <c r="N238" s="305">
        <f>IF(G238=0,0,(IF(OR(E238=$AT$5,E238=$AT$6),AC238,HLOOKUP(YEAR(G238)+(MONTH(G238)/100),TC!$5:$37,DAY(G238)+2,FALSE))))</f>
        <v>20.529699999999998</v>
      </c>
      <c r="O238" s="307">
        <f t="shared" si="55"/>
        <v>143499.1379872195</v>
      </c>
      <c r="P238" s="560">
        <f>IF(G238=0,0,VLOOKUP(YEAR(G238),INPC!$B$4:$P$30,MONTH(G238)+2))</f>
        <v>116.884</v>
      </c>
      <c r="Q238" s="560">
        <f>IF(X238=0,0,IF(OR(E238=$AT$10,E238=$AT$9),VLOOKUP(YEAR(X238),INPC!$B$4:$P$30,MONTH(X238)+1),VLOOKUP(YEAR(X238),INPC!$B$4:$P$30,MONTH(X238)+2,0)))</f>
        <v>120.15900000000001</v>
      </c>
      <c r="R238" s="309">
        <f t="shared" si="56"/>
        <v>1.028</v>
      </c>
      <c r="S238" s="310">
        <f t="shared" si="57"/>
        <v>147517.11385086164</v>
      </c>
      <c r="T238" s="555">
        <f t="shared" si="58"/>
        <v>2588.0195412431867</v>
      </c>
      <c r="U238" s="311"/>
      <c r="V238" s="312">
        <v>57</v>
      </c>
      <c r="W238" s="299" t="s">
        <v>194</v>
      </c>
      <c r="X238" s="300">
        <v>44663</v>
      </c>
      <c r="Y238" s="299" t="s">
        <v>59</v>
      </c>
      <c r="Z238" s="303">
        <v>6052.48</v>
      </c>
      <c r="AA238" s="305">
        <f>IF(Z238=0,0,IF(Y238="MXN",1/HLOOKUP(YEAR(X238)+(MONTH(X238)/100),TC!$5:$37,DAY(X238)+2,FALSE),VLOOKUP(Y238,Equivalencia!$1:$23,((MAX(Equivalencia!$3:$3)-YEAR(X238))*14)+MONTH(X238)+2,FALSE)))</f>
        <v>1</v>
      </c>
      <c r="AB238" s="306">
        <f t="shared" si="59"/>
        <v>6052.48</v>
      </c>
      <c r="AC238" s="305">
        <f>+IF(X238=0,0,HLOOKUP(YEAR(X238)+(MONTH(X238)/100),TC!$5:$37,DAY(X238)+2,FALSE))</f>
        <v>20.12</v>
      </c>
      <c r="AD238" s="307">
        <f t="shared" si="60"/>
        <v>121775.8976</v>
      </c>
      <c r="AE238" s="314">
        <f t="shared" si="61"/>
        <v>147517.11385086164</v>
      </c>
      <c r="AF238" s="315">
        <f t="shared" si="62"/>
        <v>-25741.216250861646</v>
      </c>
      <c r="AG238" s="316">
        <f t="shared" si="63"/>
        <v>0.43835616438356162</v>
      </c>
      <c r="AH238" s="314">
        <v>1</v>
      </c>
      <c r="AI238" s="314">
        <f t="shared" si="64"/>
        <v>-25741.216250861646</v>
      </c>
      <c r="AJ238" s="314">
        <f t="shared" si="65"/>
        <v>0</v>
      </c>
      <c r="AK238" s="317"/>
      <c r="AL238" s="315">
        <f t="shared" si="66"/>
        <v>-937.35121951219571</v>
      </c>
      <c r="AN238" s="554">
        <f t="shared" si="67"/>
        <v>-0.13410212494052343</v>
      </c>
      <c r="AO238" s="314"/>
      <c r="AP238" s="318"/>
    </row>
    <row r="239" spans="2:42">
      <c r="B239" s="296" t="s">
        <v>1254</v>
      </c>
      <c r="C239" s="299" t="s">
        <v>277</v>
      </c>
      <c r="D239" s="298" t="s">
        <v>877</v>
      </c>
      <c r="E239" s="299" t="s">
        <v>113</v>
      </c>
      <c r="F239" s="299" t="s">
        <v>59</v>
      </c>
      <c r="G239" s="300">
        <v>44503</v>
      </c>
      <c r="H239" s="303">
        <v>3924.1157723577235</v>
      </c>
      <c r="I239" s="301" t="str">
        <f t="shared" si="51"/>
        <v>Ingresos Sección II LISR (SIC &amp; BMV)</v>
      </c>
      <c r="J239" s="302">
        <f t="shared" si="52"/>
        <v>32</v>
      </c>
      <c r="K239" s="304">
        <f t="shared" si="53"/>
        <v>122.62861788617886</v>
      </c>
      <c r="L239" s="305">
        <f>IF(H239=0,0,IF(OR(E239=$AT$5,E239=$AT$6),AA239,IF(F239="MXN",1/HLOOKUP(YEAR(G239)+(MONTH(G239)/100),TC!$5:$37,DAY(G239)+2,FALSE),VLOOKUP(F239,Equivalencia!$5:$23,((MAX(Equivalencia!$3:$3)-YEAR(G239))*14)+MONTH(G239)+2,FALSE))))</f>
        <v>1</v>
      </c>
      <c r="M239" s="306">
        <f t="shared" si="54"/>
        <v>3924.1157723577235</v>
      </c>
      <c r="N239" s="305">
        <f>IF(G239=0,0,(IF(OR(E239=$AT$5,E239=$AT$6),AC239,HLOOKUP(YEAR(G239)+(MONTH(G239)/100),TC!$5:$37,DAY(G239)+2,FALSE))))</f>
        <v>20.529699999999998</v>
      </c>
      <c r="O239" s="307">
        <f t="shared" si="55"/>
        <v>80560.919571772349</v>
      </c>
      <c r="P239" s="560">
        <f>IF(G239=0,0,VLOOKUP(YEAR(G239),INPC!$B$4:$P$30,MONTH(G239)+2))</f>
        <v>116.884</v>
      </c>
      <c r="Q239" s="560">
        <f>IF(X239=0,0,IF(OR(E239=$AT$10,E239=$AT$9),VLOOKUP(YEAR(X239),INPC!$B$4:$P$30,MONTH(X239)+1),VLOOKUP(YEAR(X239),INPC!$B$4:$P$30,MONTH(X239)+2,0)))</f>
        <v>120.15900000000001</v>
      </c>
      <c r="R239" s="309">
        <f t="shared" si="56"/>
        <v>1.028</v>
      </c>
      <c r="S239" s="310">
        <f t="shared" si="57"/>
        <v>82816.625319781975</v>
      </c>
      <c r="T239" s="555">
        <f t="shared" si="58"/>
        <v>2588.0195412431867</v>
      </c>
      <c r="U239" s="311"/>
      <c r="V239" s="312">
        <v>32</v>
      </c>
      <c r="W239" s="299" t="s">
        <v>194</v>
      </c>
      <c r="X239" s="300">
        <v>44664</v>
      </c>
      <c r="Y239" s="299" t="s">
        <v>59</v>
      </c>
      <c r="Z239" s="303">
        <v>3444.19</v>
      </c>
      <c r="AA239" s="305">
        <f>IF(Z239=0,0,IF(Y239="MXN",1/HLOOKUP(YEAR(X239)+(MONTH(X239)/100),TC!$5:$37,DAY(X239)+2,FALSE),VLOOKUP(Y239,Equivalencia!$1:$23,((MAX(Equivalencia!$3:$3)-YEAR(X239))*14)+MONTH(X239)+2,FALSE)))</f>
        <v>1</v>
      </c>
      <c r="AB239" s="306">
        <f t="shared" si="59"/>
        <v>3444.19</v>
      </c>
      <c r="AC239" s="305">
        <f>+IF(X239=0,0,HLOOKUP(YEAR(X239)+(MONTH(X239)/100),TC!$5:$37,DAY(X239)+2,FALSE))</f>
        <v>20.0093</v>
      </c>
      <c r="AD239" s="307">
        <f t="shared" si="60"/>
        <v>68915.830967000002</v>
      </c>
      <c r="AE239" s="314">
        <f t="shared" si="61"/>
        <v>82816.625319781975</v>
      </c>
      <c r="AF239" s="315">
        <f t="shared" si="62"/>
        <v>-13900.794352781973</v>
      </c>
      <c r="AG239" s="316">
        <f t="shared" si="63"/>
        <v>0.44109589041095892</v>
      </c>
      <c r="AH239" s="314">
        <v>1</v>
      </c>
      <c r="AI239" s="314">
        <f t="shared" si="64"/>
        <v>-13900.794352781973</v>
      </c>
      <c r="AJ239" s="314">
        <f t="shared" si="65"/>
        <v>0</v>
      </c>
      <c r="AK239" s="317"/>
      <c r="AL239" s="315">
        <f t="shared" si="66"/>
        <v>-479.92577235772342</v>
      </c>
      <c r="AN239" s="554">
        <f t="shared" si="67"/>
        <v>-0.12230163435503585</v>
      </c>
      <c r="AO239" s="314"/>
      <c r="AP239" s="318"/>
    </row>
    <row r="240" spans="2:42">
      <c r="B240" s="296" t="s">
        <v>1254</v>
      </c>
      <c r="C240" s="299" t="s">
        <v>277</v>
      </c>
      <c r="D240" s="298" t="s">
        <v>877</v>
      </c>
      <c r="E240" s="299" t="s">
        <v>113</v>
      </c>
      <c r="F240" s="299" t="s">
        <v>59</v>
      </c>
      <c r="G240" s="300">
        <v>44503</v>
      </c>
      <c r="H240" s="303">
        <v>735.77170731707315</v>
      </c>
      <c r="I240" s="301" t="str">
        <f t="shared" si="51"/>
        <v>Ingresos Sección II LISR (SIC &amp; BMV)</v>
      </c>
      <c r="J240" s="302">
        <f t="shared" si="52"/>
        <v>6</v>
      </c>
      <c r="K240" s="304">
        <f t="shared" si="53"/>
        <v>122.62861788617886</v>
      </c>
      <c r="L240" s="305">
        <f>IF(H240=0,0,IF(OR(E240=$AT$5,E240=$AT$6),AA240,IF(F240="MXN",1/HLOOKUP(YEAR(G240)+(MONTH(G240)/100),TC!$5:$37,DAY(G240)+2,FALSE),VLOOKUP(F240,Equivalencia!$5:$23,((MAX(Equivalencia!$3:$3)-YEAR(G240))*14)+MONTH(G240)+2,FALSE))))</f>
        <v>1</v>
      </c>
      <c r="M240" s="306">
        <f t="shared" si="54"/>
        <v>735.77170731707315</v>
      </c>
      <c r="N240" s="305">
        <f>IF(G240=0,0,(IF(OR(E240=$AT$5,E240=$AT$6),AC240,HLOOKUP(YEAR(G240)+(MONTH(G240)/100),TC!$5:$37,DAY(G240)+2,FALSE))))</f>
        <v>20.529699999999998</v>
      </c>
      <c r="O240" s="307">
        <f t="shared" si="55"/>
        <v>15105.172419707316</v>
      </c>
      <c r="P240" s="560">
        <f>IF(G240=0,0,VLOOKUP(YEAR(G240),INPC!$B$4:$P$30,MONTH(G240)+2))</f>
        <v>116.884</v>
      </c>
      <c r="Q240" s="560">
        <f>IF(X240=0,0,IF(OR(E240=$AT$10,E240=$AT$9),VLOOKUP(YEAR(X240),INPC!$B$4:$P$30,MONTH(X240)+1),VLOOKUP(YEAR(X240),INPC!$B$4:$P$30,MONTH(X240)+2,0)))</f>
        <v>120.15900000000001</v>
      </c>
      <c r="R240" s="309">
        <f t="shared" si="56"/>
        <v>1.028</v>
      </c>
      <c r="S240" s="310">
        <f t="shared" si="57"/>
        <v>15528.117247459122</v>
      </c>
      <c r="T240" s="555">
        <f t="shared" si="58"/>
        <v>2588.0195412431872</v>
      </c>
      <c r="U240" s="311"/>
      <c r="V240" s="312">
        <v>6</v>
      </c>
      <c r="W240" s="299" t="s">
        <v>194</v>
      </c>
      <c r="X240" s="300">
        <v>44664</v>
      </c>
      <c r="Y240" s="299" t="s">
        <v>59</v>
      </c>
      <c r="Z240" s="303">
        <v>646.04999999999995</v>
      </c>
      <c r="AA240" s="305">
        <f>IF(Z240=0,0,IF(Y240="MXN",1/HLOOKUP(YEAR(X240)+(MONTH(X240)/100),TC!$5:$37,DAY(X240)+2,FALSE),VLOOKUP(Y240,Equivalencia!$1:$23,((MAX(Equivalencia!$3:$3)-YEAR(X240))*14)+MONTH(X240)+2,FALSE)))</f>
        <v>1</v>
      </c>
      <c r="AB240" s="306">
        <f t="shared" si="59"/>
        <v>646.04999999999995</v>
      </c>
      <c r="AC240" s="305">
        <f>+IF(X240=0,0,HLOOKUP(YEAR(X240)+(MONTH(X240)/100),TC!$5:$37,DAY(X240)+2,FALSE))</f>
        <v>20.0093</v>
      </c>
      <c r="AD240" s="307">
        <f t="shared" si="60"/>
        <v>12927.008264999999</v>
      </c>
      <c r="AE240" s="314">
        <f t="shared" si="61"/>
        <v>15528.117247459122</v>
      </c>
      <c r="AF240" s="315">
        <f t="shared" si="62"/>
        <v>-2601.1089824591236</v>
      </c>
      <c r="AG240" s="316">
        <f t="shared" si="63"/>
        <v>0.44109589041095892</v>
      </c>
      <c r="AH240" s="314">
        <v>1</v>
      </c>
      <c r="AI240" s="314">
        <f t="shared" si="64"/>
        <v>-2601.1089824591236</v>
      </c>
      <c r="AJ240" s="314">
        <f t="shared" si="65"/>
        <v>0</v>
      </c>
      <c r="AK240" s="317"/>
      <c r="AL240" s="315">
        <f t="shared" si="66"/>
        <v>-89.721707317073196</v>
      </c>
      <c r="AN240" s="554">
        <f t="shared" si="67"/>
        <v>-0.12194231773906544</v>
      </c>
      <c r="AO240" s="314"/>
      <c r="AP240" s="318"/>
    </row>
    <row r="241" spans="2:42">
      <c r="B241" s="296"/>
      <c r="C241" s="299"/>
      <c r="D241" s="298"/>
      <c r="E241" s="299"/>
      <c r="F241" s="299"/>
      <c r="G241" s="300"/>
      <c r="H241" s="303"/>
      <c r="I241" s="301">
        <f t="shared" si="51"/>
        <v>0</v>
      </c>
      <c r="J241" s="302">
        <f t="shared" si="52"/>
        <v>0</v>
      </c>
      <c r="K241" s="304">
        <f t="shared" si="53"/>
        <v>0</v>
      </c>
      <c r="L241" s="305">
        <f>IF(H241=0,0,IF(OR(E241=$AT$5,E241=$AT$6),AA241,IF(F241="MXN",1/HLOOKUP(YEAR(G241)+(MONTH(G241)/100),TC!$5:$37,DAY(G241)+2,FALSE),VLOOKUP(F241,Equivalencia!$5:$23,((MAX(Equivalencia!$3:$3)-YEAR(G241))*14)+MONTH(G241)+2,FALSE))))</f>
        <v>0</v>
      </c>
      <c r="M241" s="306">
        <f t="shared" si="54"/>
        <v>0</v>
      </c>
      <c r="N241" s="305">
        <f>IF(G241=0,0,(IF(OR(E241=$AT$5,E241=$AT$6),AC241,HLOOKUP(YEAR(G241)+(MONTH(G241)/100),TC!$5:$37,DAY(G241)+2,FALSE))))</f>
        <v>0</v>
      </c>
      <c r="O241" s="307">
        <f t="shared" si="55"/>
        <v>0</v>
      </c>
      <c r="P241" s="560">
        <f>IF(G241=0,0,VLOOKUP(YEAR(G241),INPC!$B$4:$P$30,MONTH(G241)+2))</f>
        <v>0</v>
      </c>
      <c r="Q241" s="560">
        <f>IF(X241=0,0,IF(OR(E241=$AT$10,E241=$AT$9),VLOOKUP(YEAR(X241),INPC!$B$4:$P$30,MONTH(X241)+1),VLOOKUP(YEAR(X241),INPC!$B$4:$P$30,MONTH(X241)+2,0)))</f>
        <v>0</v>
      </c>
      <c r="R241" s="309">
        <f t="shared" si="56"/>
        <v>0</v>
      </c>
      <c r="S241" s="310">
        <f t="shared" si="57"/>
        <v>0</v>
      </c>
      <c r="T241" s="555">
        <f t="shared" si="58"/>
        <v>0</v>
      </c>
      <c r="U241" s="311"/>
      <c r="V241" s="312"/>
      <c r="W241" s="299"/>
      <c r="X241" s="300"/>
      <c r="Y241" s="299"/>
      <c r="Z241" s="303"/>
      <c r="AA241" s="305">
        <f>IF(Z241=0,0,IF(Y241="MXN",1/HLOOKUP(YEAR(X241)+(MONTH(X241)/100),TC!$5:$37,DAY(X241)+2,FALSE),VLOOKUP(Y241,Equivalencia!$1:$23,((MAX(Equivalencia!$3:$3)-YEAR(X241))*14)+MONTH(X241)+2,FALSE)))</f>
        <v>0</v>
      </c>
      <c r="AB241" s="306">
        <f t="shared" si="59"/>
        <v>0</v>
      </c>
      <c r="AC241" s="305">
        <f>+IF(X241=0,0,HLOOKUP(YEAR(X241)+(MONTH(X241)/100),TC!$5:$37,DAY(X241)+2,FALSE))</f>
        <v>0</v>
      </c>
      <c r="AD241" s="307">
        <f t="shared" si="60"/>
        <v>0</v>
      </c>
      <c r="AE241" s="314">
        <f t="shared" si="61"/>
        <v>0</v>
      </c>
      <c r="AF241" s="315">
        <f t="shared" si="62"/>
        <v>0</v>
      </c>
      <c r="AG241" s="316">
        <f t="shared" si="63"/>
        <v>0</v>
      </c>
      <c r="AH241" s="314">
        <v>1</v>
      </c>
      <c r="AI241" s="314">
        <f t="shared" si="64"/>
        <v>0</v>
      </c>
      <c r="AJ241" s="314">
        <f t="shared" si="65"/>
        <v>0</v>
      </c>
      <c r="AK241" s="317"/>
      <c r="AL241" s="315">
        <f t="shared" si="66"/>
        <v>0</v>
      </c>
      <c r="AN241" s="554">
        <f t="shared" si="67"/>
        <v>0</v>
      </c>
      <c r="AO241" s="314"/>
      <c r="AP241" s="318"/>
    </row>
    <row r="242" spans="2:42">
      <c r="B242" s="296" t="s">
        <v>1254</v>
      </c>
      <c r="C242" s="299" t="s">
        <v>277</v>
      </c>
      <c r="D242" s="298" t="s">
        <v>708</v>
      </c>
      <c r="E242" s="299" t="s">
        <v>106</v>
      </c>
      <c r="F242" s="299" t="s">
        <v>59</v>
      </c>
      <c r="G242" s="300">
        <v>44195</v>
      </c>
      <c r="H242" s="303">
        <v>3255.0281376518219</v>
      </c>
      <c r="I242" s="301" t="str">
        <f t="shared" si="51"/>
        <v>Ingresos Sección I LISR</v>
      </c>
      <c r="J242" s="302">
        <f t="shared" si="52"/>
        <v>83</v>
      </c>
      <c r="K242" s="304">
        <f t="shared" si="53"/>
        <v>39.217206477732795</v>
      </c>
      <c r="L242" s="305">
        <f>IF(H242=0,0,IF(OR(E242=$AT$5,E242=$AT$6),AA242,IF(F242="MXN",1/HLOOKUP(YEAR(G242)+(MONTH(G242)/100),TC!$5:$37,DAY(G242)+2,FALSE),VLOOKUP(F242,Equivalencia!$5:$23,((MAX(Equivalencia!$3:$3)-YEAR(G242))*14)+MONTH(G242)+2,FALSE))))</f>
        <v>1</v>
      </c>
      <c r="M242" s="306">
        <f t="shared" si="54"/>
        <v>3255.0281376518219</v>
      </c>
      <c r="N242" s="305">
        <f>IF(G242=0,0,(IF(OR(E242=$AT$5,E242=$AT$6),AC242,HLOOKUP(YEAR(G242)+(MONTH(G242)/100),TC!$5:$37,DAY(G242)+2,FALSE))))</f>
        <v>20.047699999999999</v>
      </c>
      <c r="O242" s="307">
        <f t="shared" si="55"/>
        <v>65255.827595202427</v>
      </c>
      <c r="P242" s="560">
        <f>IF(G242=0,0,VLOOKUP(YEAR(G242),INPC!$B$4:$P$30,MONTH(G242)+2))</f>
        <v>109.271</v>
      </c>
      <c r="Q242" s="560">
        <f>IF(X242=0,0,IF(OR(E242=$AT$10,E242=$AT$9),VLOOKUP(YEAR(X242),INPC!$B$4:$P$30,MONTH(X242)+1),VLOOKUP(YEAR(X242),INPC!$B$4:$P$30,MONTH(X242)+2,0)))</f>
        <v>118.002</v>
      </c>
      <c r="R242" s="309">
        <f t="shared" si="56"/>
        <v>1.0799000000000001</v>
      </c>
      <c r="S242" s="310">
        <f t="shared" si="57"/>
        <v>70469.768220059108</v>
      </c>
      <c r="T242" s="555">
        <f t="shared" si="58"/>
        <v>849.03335204890493</v>
      </c>
      <c r="U242" s="311"/>
      <c r="V242" s="312">
        <v>83</v>
      </c>
      <c r="W242" s="299" t="s">
        <v>194</v>
      </c>
      <c r="X242" s="300">
        <v>44574</v>
      </c>
      <c r="Y242" s="299" t="s">
        <v>59</v>
      </c>
      <c r="Z242" s="303">
        <v>4101.7785660377358</v>
      </c>
      <c r="AA242" s="305">
        <f>IF(Z242=0,0,IF(Y242="MXN",1/HLOOKUP(YEAR(X242)+(MONTH(X242)/100),TC!$5:$37,DAY(X242)+2,FALSE),VLOOKUP(Y242,Equivalencia!$1:$23,((MAX(Equivalencia!$3:$3)-YEAR(X242))*14)+MONTH(X242)+2,FALSE)))</f>
        <v>1</v>
      </c>
      <c r="AB242" s="306">
        <f t="shared" si="59"/>
        <v>4101.7785660377358</v>
      </c>
      <c r="AC242" s="305">
        <f>+IF(X242=0,0,HLOOKUP(YEAR(X242)+(MONTH(X242)/100),TC!$5:$37,DAY(X242)+2,FALSE))</f>
        <v>20.378499999999999</v>
      </c>
      <c r="AD242" s="307">
        <f t="shared" si="60"/>
        <v>83588.094507999995</v>
      </c>
      <c r="AE242" s="314">
        <f t="shared" si="61"/>
        <v>70469.768220059108</v>
      </c>
      <c r="AF242" s="315">
        <f t="shared" si="62"/>
        <v>13118.326287940887</v>
      </c>
      <c r="AG242" s="316">
        <f t="shared" si="63"/>
        <v>1.0383561643835617</v>
      </c>
      <c r="AH242" s="314">
        <v>1</v>
      </c>
      <c r="AI242" s="314">
        <f t="shared" si="64"/>
        <v>13118.326287940887</v>
      </c>
      <c r="AJ242" s="314">
        <f t="shared" si="65"/>
        <v>0</v>
      </c>
      <c r="AK242" s="317"/>
      <c r="AL242" s="315">
        <f t="shared" si="66"/>
        <v>846.75042838591389</v>
      </c>
      <c r="AN242" s="554">
        <f t="shared" si="67"/>
        <v>0.26013613172534966</v>
      </c>
      <c r="AO242" s="314"/>
      <c r="AP242" s="318"/>
    </row>
    <row r="243" spans="2:42">
      <c r="B243" s="296" t="s">
        <v>1254</v>
      </c>
      <c r="C243" s="299" t="s">
        <v>277</v>
      </c>
      <c r="D243" s="298" t="s">
        <v>708</v>
      </c>
      <c r="E243" s="299" t="s">
        <v>106</v>
      </c>
      <c r="F243" s="299" t="s">
        <v>59</v>
      </c>
      <c r="G243" s="300">
        <v>44259</v>
      </c>
      <c r="H243" s="303">
        <v>8708.7000000000007</v>
      </c>
      <c r="I243" s="301" t="str">
        <f t="shared" si="51"/>
        <v>Ingresos Sección I LISR</v>
      </c>
      <c r="J243" s="302">
        <f t="shared" si="52"/>
        <v>182</v>
      </c>
      <c r="K243" s="304">
        <f t="shared" si="53"/>
        <v>47.85</v>
      </c>
      <c r="L243" s="305">
        <f>IF(H243=0,0,IF(OR(E243=$AT$5,E243=$AT$6),AA243,IF(F243="MXN",1/HLOOKUP(YEAR(G243)+(MONTH(G243)/100),TC!$5:$37,DAY(G243)+2,FALSE),VLOOKUP(F243,Equivalencia!$5:$23,((MAX(Equivalencia!$3:$3)-YEAR(G243))*14)+MONTH(G243)+2,FALSE))))</f>
        <v>1</v>
      </c>
      <c r="M243" s="306">
        <f t="shared" si="54"/>
        <v>8708.7000000000007</v>
      </c>
      <c r="N243" s="305">
        <f>IF(G243=0,0,(IF(OR(E243=$AT$5,E243=$AT$6),AC243,HLOOKUP(YEAR(G243)+(MONTH(G243)/100),TC!$5:$37,DAY(G243)+2,FALSE))))</f>
        <v>20.690300000000001</v>
      </c>
      <c r="O243" s="307">
        <f t="shared" si="55"/>
        <v>180185.61561000001</v>
      </c>
      <c r="P243" s="560">
        <f>IF(G243=0,0,VLOOKUP(YEAR(G243),INPC!$B$4:$P$30,MONTH(G243)+2))</f>
        <v>111.824</v>
      </c>
      <c r="Q243" s="560">
        <f>IF(X243=0,0,IF(OR(E243=$AT$10,E243=$AT$9),VLOOKUP(YEAR(X243),INPC!$B$4:$P$30,MONTH(X243)+1),VLOOKUP(YEAR(X243),INPC!$B$4:$P$30,MONTH(X243)+2,0)))</f>
        <v>118.002</v>
      </c>
      <c r="R243" s="309">
        <f t="shared" si="56"/>
        <v>1.0551999999999999</v>
      </c>
      <c r="S243" s="310">
        <f t="shared" si="57"/>
        <v>190131.861591672</v>
      </c>
      <c r="T243" s="555">
        <f t="shared" si="58"/>
        <v>1044.680558196</v>
      </c>
      <c r="U243" s="311"/>
      <c r="V243" s="312">
        <v>182</v>
      </c>
      <c r="W243" s="299" t="s">
        <v>194</v>
      </c>
      <c r="X243" s="300">
        <v>44574</v>
      </c>
      <c r="Y243" s="299" t="s">
        <v>59</v>
      </c>
      <c r="Z243" s="303">
        <v>8994.2614339622633</v>
      </c>
      <c r="AA243" s="305">
        <f>IF(Z243=0,0,IF(Y243="MXN",1/HLOOKUP(YEAR(X243)+(MONTH(X243)/100),TC!$5:$37,DAY(X243)+2,FALSE),VLOOKUP(Y243,Equivalencia!$1:$23,((MAX(Equivalencia!$3:$3)-YEAR(X243))*14)+MONTH(X243)+2,FALSE)))</f>
        <v>1</v>
      </c>
      <c r="AB243" s="306">
        <f t="shared" si="59"/>
        <v>8994.2614339622633</v>
      </c>
      <c r="AC243" s="305">
        <f>+IF(X243=0,0,HLOOKUP(YEAR(X243)+(MONTH(X243)/100),TC!$5:$37,DAY(X243)+2,FALSE))</f>
        <v>20.378499999999999</v>
      </c>
      <c r="AD243" s="307">
        <f t="shared" si="60"/>
        <v>183289.55663199996</v>
      </c>
      <c r="AE243" s="314">
        <f t="shared" si="61"/>
        <v>190131.861591672</v>
      </c>
      <c r="AF243" s="315">
        <f t="shared" si="62"/>
        <v>-6842.3049596720375</v>
      </c>
      <c r="AG243" s="316">
        <f t="shared" si="63"/>
        <v>0.86301369863013699</v>
      </c>
      <c r="AH243" s="314">
        <v>1</v>
      </c>
      <c r="AI243" s="314">
        <f t="shared" si="64"/>
        <v>-6842.3049596720375</v>
      </c>
      <c r="AJ243" s="314">
        <f t="shared" si="65"/>
        <v>0</v>
      </c>
      <c r="AK243" s="317"/>
      <c r="AL243" s="315">
        <f t="shared" si="66"/>
        <v>285.56143396226253</v>
      </c>
      <c r="AN243" s="554">
        <f t="shared" si="67"/>
        <v>3.2790362966029662E-2</v>
      </c>
      <c r="AO243" s="314"/>
      <c r="AP243" s="318"/>
    </row>
    <row r="244" spans="2:42">
      <c r="B244" s="296" t="s">
        <v>1254</v>
      </c>
      <c r="C244" s="299" t="s">
        <v>277</v>
      </c>
      <c r="D244" s="298" t="s">
        <v>708</v>
      </c>
      <c r="E244" s="299" t="s">
        <v>106</v>
      </c>
      <c r="F244" s="299" t="s">
        <v>59</v>
      </c>
      <c r="G244" s="300">
        <v>44259</v>
      </c>
      <c r="H244" s="303">
        <v>287.10000000000002</v>
      </c>
      <c r="I244" s="301" t="str">
        <f t="shared" si="51"/>
        <v>Ingresos Sección I LISR</v>
      </c>
      <c r="J244" s="302">
        <f t="shared" si="52"/>
        <v>6</v>
      </c>
      <c r="K244" s="304">
        <f t="shared" si="53"/>
        <v>47.85</v>
      </c>
      <c r="L244" s="305">
        <f>IF(H244=0,0,IF(OR(E244=$AT$5,E244=$AT$6),AA244,IF(F244="MXN",1/HLOOKUP(YEAR(G244)+(MONTH(G244)/100),TC!$5:$37,DAY(G244)+2,FALSE),VLOOKUP(F244,Equivalencia!$5:$23,((MAX(Equivalencia!$3:$3)-YEAR(G244))*14)+MONTH(G244)+2,FALSE))))</f>
        <v>1</v>
      </c>
      <c r="M244" s="306">
        <f t="shared" si="54"/>
        <v>287.10000000000002</v>
      </c>
      <c r="N244" s="305">
        <f>IF(G244=0,0,(IF(OR(E244=$AT$5,E244=$AT$6),AC244,HLOOKUP(YEAR(G244)+(MONTH(G244)/100),TC!$5:$37,DAY(G244)+2,FALSE))))</f>
        <v>20.690300000000001</v>
      </c>
      <c r="O244" s="307">
        <f t="shared" si="55"/>
        <v>5940.1851300000008</v>
      </c>
      <c r="P244" s="560">
        <f>IF(G244=0,0,VLOOKUP(YEAR(G244),INPC!$B$4:$P$30,MONTH(G244)+2))</f>
        <v>111.824</v>
      </c>
      <c r="Q244" s="560">
        <f>IF(X244=0,0,IF(OR(E244=$AT$10,E244=$AT$9),VLOOKUP(YEAR(X244),INPC!$B$4:$P$30,MONTH(X244)+1),VLOOKUP(YEAR(X244),INPC!$B$4:$P$30,MONTH(X244)+2,0)))</f>
        <v>118.002</v>
      </c>
      <c r="R244" s="309">
        <f t="shared" si="56"/>
        <v>1.0551999999999999</v>
      </c>
      <c r="S244" s="310">
        <f t="shared" si="57"/>
        <v>6268.0833491760004</v>
      </c>
      <c r="T244" s="555">
        <f t="shared" si="58"/>
        <v>1044.680558196</v>
      </c>
      <c r="U244" s="311"/>
      <c r="V244" s="312">
        <v>6</v>
      </c>
      <c r="W244" s="299" t="s">
        <v>194</v>
      </c>
      <c r="X244" s="300">
        <v>44574</v>
      </c>
      <c r="Y244" s="299" t="s">
        <v>59</v>
      </c>
      <c r="Z244" s="303">
        <v>294.02999999999997</v>
      </c>
      <c r="AA244" s="305">
        <f>IF(Z244=0,0,IF(Y244="MXN",1/HLOOKUP(YEAR(X244)+(MONTH(X244)/100),TC!$5:$37,DAY(X244)+2,FALSE),VLOOKUP(Y244,Equivalencia!$1:$23,((MAX(Equivalencia!$3:$3)-YEAR(X244))*14)+MONTH(X244)+2,FALSE)))</f>
        <v>1</v>
      </c>
      <c r="AB244" s="306">
        <f t="shared" si="59"/>
        <v>294.02999999999997</v>
      </c>
      <c r="AC244" s="305">
        <f>+IF(X244=0,0,HLOOKUP(YEAR(X244)+(MONTH(X244)/100),TC!$5:$37,DAY(X244)+2,FALSE))</f>
        <v>20.378499999999999</v>
      </c>
      <c r="AD244" s="307">
        <f t="shared" si="60"/>
        <v>5991.8903549999995</v>
      </c>
      <c r="AE244" s="314">
        <f t="shared" si="61"/>
        <v>6268.0833491760004</v>
      </c>
      <c r="AF244" s="315">
        <f t="shared" si="62"/>
        <v>-276.19299417600087</v>
      </c>
      <c r="AG244" s="316">
        <f t="shared" si="63"/>
        <v>0.86301369863013699</v>
      </c>
      <c r="AH244" s="314">
        <v>1</v>
      </c>
      <c r="AI244" s="314">
        <f t="shared" si="64"/>
        <v>-276.19299417600087</v>
      </c>
      <c r="AJ244" s="314">
        <f t="shared" si="65"/>
        <v>0</v>
      </c>
      <c r="AK244" s="317"/>
      <c r="AL244" s="315">
        <f t="shared" si="66"/>
        <v>6.92999999999995</v>
      </c>
      <c r="AN244" s="554">
        <f t="shared" si="67"/>
        <v>2.4137931034482581E-2</v>
      </c>
      <c r="AO244" s="314"/>
      <c r="AP244" s="318"/>
    </row>
    <row r="245" spans="2:42">
      <c r="B245" s="296" t="s">
        <v>1254</v>
      </c>
      <c r="C245" s="299" t="s">
        <v>277</v>
      </c>
      <c r="D245" s="298" t="s">
        <v>708</v>
      </c>
      <c r="E245" s="299" t="s">
        <v>106</v>
      </c>
      <c r="F245" s="299" t="s">
        <v>59</v>
      </c>
      <c r="G245" s="300">
        <v>44259</v>
      </c>
      <c r="H245" s="303">
        <v>526.35</v>
      </c>
      <c r="I245" s="301" t="str">
        <f t="shared" si="51"/>
        <v>Ingresos Sección I LISR</v>
      </c>
      <c r="J245" s="302">
        <f t="shared" si="52"/>
        <v>11</v>
      </c>
      <c r="K245" s="304">
        <f t="shared" si="53"/>
        <v>47.85</v>
      </c>
      <c r="L245" s="305">
        <f>IF(H245=0,0,IF(OR(E245=$AT$5,E245=$AT$6),AA245,IF(F245="MXN",1/HLOOKUP(YEAR(G245)+(MONTH(G245)/100),TC!$5:$37,DAY(G245)+2,FALSE),VLOOKUP(F245,Equivalencia!$5:$23,((MAX(Equivalencia!$3:$3)-YEAR(G245))*14)+MONTH(G245)+2,FALSE))))</f>
        <v>1</v>
      </c>
      <c r="M245" s="306">
        <f t="shared" si="54"/>
        <v>526.35</v>
      </c>
      <c r="N245" s="305">
        <f>IF(G245=0,0,(IF(OR(E245=$AT$5,E245=$AT$6),AC245,HLOOKUP(YEAR(G245)+(MONTH(G245)/100),TC!$5:$37,DAY(G245)+2,FALSE))))</f>
        <v>20.690300000000001</v>
      </c>
      <c r="O245" s="307">
        <f t="shared" si="55"/>
        <v>10890.339405000001</v>
      </c>
      <c r="P245" s="560">
        <f>IF(G245=0,0,VLOOKUP(YEAR(G245),INPC!$B$4:$P$30,MONTH(G245)+2))</f>
        <v>111.824</v>
      </c>
      <c r="Q245" s="560">
        <f>IF(X245=0,0,IF(OR(E245=$AT$10,E245=$AT$9),VLOOKUP(YEAR(X245),INPC!$B$4:$P$30,MONTH(X245)+1),VLOOKUP(YEAR(X245),INPC!$B$4:$P$30,MONTH(X245)+2,0)))</f>
        <v>118.002</v>
      </c>
      <c r="R245" s="309">
        <f t="shared" si="56"/>
        <v>1.0551999999999999</v>
      </c>
      <c r="S245" s="310">
        <f t="shared" si="57"/>
        <v>11491.486140155999</v>
      </c>
      <c r="T245" s="555">
        <f t="shared" si="58"/>
        <v>1044.680558196</v>
      </c>
      <c r="U245" s="311"/>
      <c r="V245" s="312">
        <v>11</v>
      </c>
      <c r="W245" s="299" t="s">
        <v>194</v>
      </c>
      <c r="X245" s="300">
        <v>44575</v>
      </c>
      <c r="Y245" s="299" t="s">
        <v>59</v>
      </c>
      <c r="Z245" s="303">
        <v>528.29</v>
      </c>
      <c r="AA245" s="305">
        <f>IF(Z245=0,0,IF(Y245="MXN",1/HLOOKUP(YEAR(X245)+(MONTH(X245)/100),TC!$5:$37,DAY(X245)+2,FALSE),VLOOKUP(Y245,Equivalencia!$1:$23,((MAX(Equivalencia!$3:$3)-YEAR(X245))*14)+MONTH(X245)+2,FALSE)))</f>
        <v>1</v>
      </c>
      <c r="AB245" s="306">
        <f t="shared" si="59"/>
        <v>528.29</v>
      </c>
      <c r="AC245" s="305">
        <f>+IF(X245=0,0,HLOOKUP(YEAR(X245)+(MONTH(X245)/100),TC!$5:$37,DAY(X245)+2,FALSE))</f>
        <v>20.366</v>
      </c>
      <c r="AD245" s="307">
        <f t="shared" si="60"/>
        <v>10759.154139999999</v>
      </c>
      <c r="AE245" s="314">
        <f t="shared" si="61"/>
        <v>11491.486140155999</v>
      </c>
      <c r="AF245" s="315">
        <f t="shared" si="62"/>
        <v>-732.3320001560005</v>
      </c>
      <c r="AG245" s="316">
        <f t="shared" si="63"/>
        <v>0.86575342465753424</v>
      </c>
      <c r="AH245" s="314">
        <v>1</v>
      </c>
      <c r="AI245" s="314">
        <f t="shared" si="64"/>
        <v>-732.3320001560005</v>
      </c>
      <c r="AJ245" s="314">
        <f t="shared" si="65"/>
        <v>0</v>
      </c>
      <c r="AK245" s="317"/>
      <c r="AL245" s="315">
        <f t="shared" si="66"/>
        <v>1.9399999999999409</v>
      </c>
      <c r="AN245" s="554">
        <f t="shared" si="67"/>
        <v>3.6857604255722252E-3</v>
      </c>
      <c r="AO245" s="314"/>
      <c r="AP245" s="318"/>
    </row>
    <row r="246" spans="2:42">
      <c r="B246" s="296" t="s">
        <v>1254</v>
      </c>
      <c r="C246" s="299" t="s">
        <v>277</v>
      </c>
      <c r="D246" s="298" t="s">
        <v>708</v>
      </c>
      <c r="E246" s="299" t="s">
        <v>106</v>
      </c>
      <c r="F246" s="299" t="s">
        <v>59</v>
      </c>
      <c r="G246" s="300">
        <v>44259</v>
      </c>
      <c r="H246" s="303">
        <v>1674.75</v>
      </c>
      <c r="I246" s="301" t="str">
        <f t="shared" si="51"/>
        <v>Ingresos Sección I LISR</v>
      </c>
      <c r="J246" s="302">
        <f t="shared" si="52"/>
        <v>35</v>
      </c>
      <c r="K246" s="304">
        <f t="shared" si="53"/>
        <v>47.85</v>
      </c>
      <c r="L246" s="305">
        <f>IF(H246=0,0,IF(OR(E246=$AT$5,E246=$AT$6),AA246,IF(F246="MXN",1/HLOOKUP(YEAR(G246)+(MONTH(G246)/100),TC!$5:$37,DAY(G246)+2,FALSE),VLOOKUP(F246,Equivalencia!$5:$23,((MAX(Equivalencia!$3:$3)-YEAR(G246))*14)+MONTH(G246)+2,FALSE))))</f>
        <v>1</v>
      </c>
      <c r="M246" s="306">
        <f t="shared" si="54"/>
        <v>1674.75</v>
      </c>
      <c r="N246" s="305">
        <f>IF(G246=0,0,(IF(OR(E246=$AT$5,E246=$AT$6),AC246,HLOOKUP(YEAR(G246)+(MONTH(G246)/100),TC!$5:$37,DAY(G246)+2,FALSE))))</f>
        <v>20.690300000000001</v>
      </c>
      <c r="O246" s="307">
        <f t="shared" si="55"/>
        <v>34651.079924999998</v>
      </c>
      <c r="P246" s="560">
        <f>IF(G246=0,0,VLOOKUP(YEAR(G246),INPC!$B$4:$P$30,MONTH(G246)+2))</f>
        <v>111.824</v>
      </c>
      <c r="Q246" s="560">
        <f>IF(X246=0,0,IF(OR(E246=$AT$10,E246=$AT$9),VLOOKUP(YEAR(X246),INPC!$B$4:$P$30,MONTH(X246)+1),VLOOKUP(YEAR(X246),INPC!$B$4:$P$30,MONTH(X246)+2,0)))</f>
        <v>118.002</v>
      </c>
      <c r="R246" s="309">
        <f t="shared" si="56"/>
        <v>1.0551999999999999</v>
      </c>
      <c r="S246" s="310">
        <f t="shared" si="57"/>
        <v>36563.819536859992</v>
      </c>
      <c r="T246" s="555">
        <f t="shared" si="58"/>
        <v>1044.6805581959998</v>
      </c>
      <c r="U246" s="311"/>
      <c r="V246" s="312">
        <v>35</v>
      </c>
      <c r="W246" s="299" t="s">
        <v>194</v>
      </c>
      <c r="X246" s="300">
        <v>44575</v>
      </c>
      <c r="Y246" s="299" t="s">
        <v>59</v>
      </c>
      <c r="Z246" s="303">
        <v>1694.56</v>
      </c>
      <c r="AA246" s="305">
        <f>IF(Z246=0,0,IF(Y246="MXN",1/HLOOKUP(YEAR(X246)+(MONTH(X246)/100),TC!$5:$37,DAY(X246)+2,FALSE),VLOOKUP(Y246,Equivalencia!$1:$23,((MAX(Equivalencia!$3:$3)-YEAR(X246))*14)+MONTH(X246)+2,FALSE)))</f>
        <v>1</v>
      </c>
      <c r="AB246" s="306">
        <f t="shared" si="59"/>
        <v>1694.56</v>
      </c>
      <c r="AC246" s="305">
        <f>+IF(X246=0,0,HLOOKUP(YEAR(X246)+(MONTH(X246)/100),TC!$5:$37,DAY(X246)+2,FALSE))</f>
        <v>20.366</v>
      </c>
      <c r="AD246" s="307">
        <f t="shared" si="60"/>
        <v>34511.408960000001</v>
      </c>
      <c r="AE246" s="314">
        <f t="shared" si="61"/>
        <v>36563.819536859992</v>
      </c>
      <c r="AF246" s="315">
        <f t="shared" si="62"/>
        <v>-2052.4105768599911</v>
      </c>
      <c r="AG246" s="316">
        <f t="shared" si="63"/>
        <v>0.86575342465753424</v>
      </c>
      <c r="AH246" s="314">
        <v>1</v>
      </c>
      <c r="AI246" s="314">
        <f t="shared" si="64"/>
        <v>-2052.4105768599911</v>
      </c>
      <c r="AJ246" s="314">
        <f t="shared" si="65"/>
        <v>0</v>
      </c>
      <c r="AK246" s="317"/>
      <c r="AL246" s="315">
        <f t="shared" si="66"/>
        <v>19.809999999999945</v>
      </c>
      <c r="AN246" s="554">
        <f t="shared" si="67"/>
        <v>1.1828631138975934E-2</v>
      </c>
      <c r="AO246" s="314"/>
      <c r="AP246" s="318"/>
    </row>
    <row r="247" spans="2:42">
      <c r="B247" s="296" t="s">
        <v>1254</v>
      </c>
      <c r="C247" s="299" t="s">
        <v>277</v>
      </c>
      <c r="D247" s="298" t="s">
        <v>708</v>
      </c>
      <c r="E247" s="299" t="s">
        <v>106</v>
      </c>
      <c r="F247" s="299" t="s">
        <v>59</v>
      </c>
      <c r="G247" s="300">
        <v>44259</v>
      </c>
      <c r="H247" s="303">
        <v>287.10000000000002</v>
      </c>
      <c r="I247" s="301" t="str">
        <f t="shared" si="51"/>
        <v>Ingresos Sección I LISR</v>
      </c>
      <c r="J247" s="302">
        <f t="shared" si="52"/>
        <v>6</v>
      </c>
      <c r="K247" s="304">
        <f t="shared" si="53"/>
        <v>47.85</v>
      </c>
      <c r="L247" s="305">
        <f>IF(H247=0,0,IF(OR(E247=$AT$5,E247=$AT$6),AA247,IF(F247="MXN",1/HLOOKUP(YEAR(G247)+(MONTH(G247)/100),TC!$5:$37,DAY(G247)+2,FALSE),VLOOKUP(F247,Equivalencia!$5:$23,((MAX(Equivalencia!$3:$3)-YEAR(G247))*14)+MONTH(G247)+2,FALSE))))</f>
        <v>1</v>
      </c>
      <c r="M247" s="306">
        <f t="shared" si="54"/>
        <v>287.10000000000002</v>
      </c>
      <c r="N247" s="305">
        <f>IF(G247=0,0,(IF(OR(E247=$AT$5,E247=$AT$6),AC247,HLOOKUP(YEAR(G247)+(MONTH(G247)/100),TC!$5:$37,DAY(G247)+2,FALSE))))</f>
        <v>20.690300000000001</v>
      </c>
      <c r="O247" s="307">
        <f t="shared" si="55"/>
        <v>5940.1851300000008</v>
      </c>
      <c r="P247" s="560">
        <f>IF(G247=0,0,VLOOKUP(YEAR(G247),INPC!$B$4:$P$30,MONTH(G247)+2))</f>
        <v>111.824</v>
      </c>
      <c r="Q247" s="560">
        <f>IF(X247=0,0,IF(OR(E247=$AT$10,E247=$AT$9),VLOOKUP(YEAR(X247),INPC!$B$4:$P$30,MONTH(X247)+1),VLOOKUP(YEAR(X247),INPC!$B$4:$P$30,MONTH(X247)+2,0)))</f>
        <v>118.002</v>
      </c>
      <c r="R247" s="309">
        <f t="shared" si="56"/>
        <v>1.0551999999999999</v>
      </c>
      <c r="S247" s="310">
        <f t="shared" si="57"/>
        <v>6268.0833491760004</v>
      </c>
      <c r="T247" s="555">
        <f t="shared" si="58"/>
        <v>1044.680558196</v>
      </c>
      <c r="U247" s="311"/>
      <c r="V247" s="312">
        <v>6</v>
      </c>
      <c r="W247" s="299" t="s">
        <v>194</v>
      </c>
      <c r="X247" s="300">
        <v>44575</v>
      </c>
      <c r="Y247" s="299" t="s">
        <v>59</v>
      </c>
      <c r="Z247" s="303">
        <v>287.91000000000003</v>
      </c>
      <c r="AA247" s="305">
        <f>IF(Z247=0,0,IF(Y247="MXN",1/HLOOKUP(YEAR(X247)+(MONTH(X247)/100),TC!$5:$37,DAY(X247)+2,FALSE),VLOOKUP(Y247,Equivalencia!$1:$23,((MAX(Equivalencia!$3:$3)-YEAR(X247))*14)+MONTH(X247)+2,FALSE)))</f>
        <v>1</v>
      </c>
      <c r="AB247" s="306">
        <f t="shared" si="59"/>
        <v>287.91000000000003</v>
      </c>
      <c r="AC247" s="305">
        <f>+IF(X247=0,0,HLOOKUP(YEAR(X247)+(MONTH(X247)/100),TC!$5:$37,DAY(X247)+2,FALSE))</f>
        <v>20.366</v>
      </c>
      <c r="AD247" s="307">
        <f t="shared" si="60"/>
        <v>5863.5750600000001</v>
      </c>
      <c r="AE247" s="314">
        <f t="shared" si="61"/>
        <v>6268.0833491760004</v>
      </c>
      <c r="AF247" s="315">
        <f t="shared" si="62"/>
        <v>-404.50828917600029</v>
      </c>
      <c r="AG247" s="316">
        <f t="shared" si="63"/>
        <v>0.86575342465753424</v>
      </c>
      <c r="AH247" s="314">
        <v>1</v>
      </c>
      <c r="AI247" s="314">
        <f t="shared" si="64"/>
        <v>-404.50828917600029</v>
      </c>
      <c r="AJ247" s="314">
        <f t="shared" si="65"/>
        <v>0</v>
      </c>
      <c r="AK247" s="317"/>
      <c r="AL247" s="315">
        <f t="shared" si="66"/>
        <v>0.81000000000000227</v>
      </c>
      <c r="AN247" s="554">
        <f t="shared" si="67"/>
        <v>2.8213166144200703E-3</v>
      </c>
      <c r="AO247" s="314"/>
      <c r="AP247" s="318"/>
    </row>
    <row r="248" spans="2:42">
      <c r="B248" s="296" t="s">
        <v>1254</v>
      </c>
      <c r="C248" s="299" t="s">
        <v>277</v>
      </c>
      <c r="D248" s="298" t="s">
        <v>708</v>
      </c>
      <c r="E248" s="299" t="s">
        <v>106</v>
      </c>
      <c r="F248" s="299" t="s">
        <v>59</v>
      </c>
      <c r="G248" s="300">
        <v>44259</v>
      </c>
      <c r="H248" s="303">
        <v>669.9</v>
      </c>
      <c r="I248" s="301" t="str">
        <f t="shared" si="51"/>
        <v>Ingresos Sección I LISR</v>
      </c>
      <c r="J248" s="302">
        <f t="shared" si="52"/>
        <v>14</v>
      </c>
      <c r="K248" s="304">
        <f t="shared" si="53"/>
        <v>47.85</v>
      </c>
      <c r="L248" s="305">
        <f>IF(H248=0,0,IF(OR(E248=$AT$5,E248=$AT$6),AA248,IF(F248="MXN",1/HLOOKUP(YEAR(G248)+(MONTH(G248)/100),TC!$5:$37,DAY(G248)+2,FALSE),VLOOKUP(F248,Equivalencia!$5:$23,((MAX(Equivalencia!$3:$3)-YEAR(G248))*14)+MONTH(G248)+2,FALSE))))</f>
        <v>1</v>
      </c>
      <c r="M248" s="306">
        <f t="shared" si="54"/>
        <v>669.9</v>
      </c>
      <c r="N248" s="305">
        <f>IF(G248=0,0,(IF(OR(E248=$AT$5,E248=$AT$6),AC248,HLOOKUP(YEAR(G248)+(MONTH(G248)/100),TC!$5:$37,DAY(G248)+2,FALSE))))</f>
        <v>20.690300000000001</v>
      </c>
      <c r="O248" s="307">
        <f t="shared" si="55"/>
        <v>13860.43197</v>
      </c>
      <c r="P248" s="560">
        <f>IF(G248=0,0,VLOOKUP(YEAR(G248),INPC!$B$4:$P$30,MONTH(G248)+2))</f>
        <v>111.824</v>
      </c>
      <c r="Q248" s="560">
        <f>IF(X248=0,0,IF(OR(E248=$AT$10,E248=$AT$9),VLOOKUP(YEAR(X248),INPC!$B$4:$P$30,MONTH(X248)+1),VLOOKUP(YEAR(X248),INPC!$B$4:$P$30,MONTH(X248)+2,0)))</f>
        <v>118.002</v>
      </c>
      <c r="R248" s="309">
        <f t="shared" si="56"/>
        <v>1.0551999999999999</v>
      </c>
      <c r="S248" s="310">
        <f t="shared" si="57"/>
        <v>14625.527814743999</v>
      </c>
      <c r="T248" s="555">
        <f t="shared" si="58"/>
        <v>1044.680558196</v>
      </c>
      <c r="U248" s="311"/>
      <c r="V248" s="312">
        <v>14</v>
      </c>
      <c r="W248" s="299" t="s">
        <v>194</v>
      </c>
      <c r="X248" s="300">
        <v>44579</v>
      </c>
      <c r="Y248" s="299" t="s">
        <v>59</v>
      </c>
      <c r="Z248" s="303">
        <v>682.36</v>
      </c>
      <c r="AA248" s="305">
        <f>IF(Z248=0,0,IF(Y248="MXN",1/HLOOKUP(YEAR(X248)+(MONTH(X248)/100),TC!$5:$37,DAY(X248)+2,FALSE),VLOOKUP(Y248,Equivalencia!$1:$23,((MAX(Equivalencia!$3:$3)-YEAR(X248))*14)+MONTH(X248)+2,FALSE)))</f>
        <v>1</v>
      </c>
      <c r="AB248" s="306">
        <f t="shared" si="59"/>
        <v>682.36</v>
      </c>
      <c r="AC248" s="305">
        <f>+IF(X248=0,0,HLOOKUP(YEAR(X248)+(MONTH(X248)/100),TC!$5:$37,DAY(X248)+2,FALSE))</f>
        <v>20.311800000000002</v>
      </c>
      <c r="AD248" s="307">
        <f t="shared" si="60"/>
        <v>13859.959848000002</v>
      </c>
      <c r="AE248" s="314">
        <f t="shared" si="61"/>
        <v>14625.527814744</v>
      </c>
      <c r="AF248" s="315">
        <f t="shared" si="62"/>
        <v>-765.56796674399811</v>
      </c>
      <c r="AG248" s="316">
        <f t="shared" si="63"/>
        <v>0.87671232876712324</v>
      </c>
      <c r="AH248" s="314">
        <v>1</v>
      </c>
      <c r="AI248" s="314">
        <f t="shared" si="64"/>
        <v>-765.56796674399811</v>
      </c>
      <c r="AJ248" s="314">
        <f t="shared" si="65"/>
        <v>0</v>
      </c>
      <c r="AK248" s="317"/>
      <c r="AL248" s="315">
        <f t="shared" si="66"/>
        <v>12.460000000000036</v>
      </c>
      <c r="AN248" s="554">
        <f t="shared" si="67"/>
        <v>1.8599791013584173E-2</v>
      </c>
      <c r="AO248" s="314"/>
      <c r="AP248" s="318"/>
    </row>
    <row r="249" spans="2:42">
      <c r="B249" s="296" t="s">
        <v>1254</v>
      </c>
      <c r="C249" s="299" t="s">
        <v>277</v>
      </c>
      <c r="D249" s="298" t="s">
        <v>708</v>
      </c>
      <c r="E249" s="299" t="s">
        <v>106</v>
      </c>
      <c r="F249" s="299" t="s">
        <v>59</v>
      </c>
      <c r="G249" s="300">
        <v>44259</v>
      </c>
      <c r="H249" s="303">
        <v>574.20000000000005</v>
      </c>
      <c r="I249" s="301" t="str">
        <f t="shared" si="51"/>
        <v>Ingresos Sección I LISR</v>
      </c>
      <c r="J249" s="302">
        <f t="shared" si="52"/>
        <v>12</v>
      </c>
      <c r="K249" s="304">
        <f t="shared" si="53"/>
        <v>47.85</v>
      </c>
      <c r="L249" s="305">
        <f>IF(H249=0,0,IF(OR(E249=$AT$5,E249=$AT$6),AA249,IF(F249="MXN",1/HLOOKUP(YEAR(G249)+(MONTH(G249)/100),TC!$5:$37,DAY(G249)+2,FALSE),VLOOKUP(F249,Equivalencia!$5:$23,((MAX(Equivalencia!$3:$3)-YEAR(G249))*14)+MONTH(G249)+2,FALSE))))</f>
        <v>1</v>
      </c>
      <c r="M249" s="306">
        <f t="shared" si="54"/>
        <v>574.20000000000005</v>
      </c>
      <c r="N249" s="305">
        <f>IF(G249=0,0,(IF(OR(E249=$AT$5,E249=$AT$6),AC249,HLOOKUP(YEAR(G249)+(MONTH(G249)/100),TC!$5:$37,DAY(G249)+2,FALSE))))</f>
        <v>20.690300000000001</v>
      </c>
      <c r="O249" s="307">
        <f t="shared" si="55"/>
        <v>11880.370260000002</v>
      </c>
      <c r="P249" s="560">
        <f>IF(G249=0,0,VLOOKUP(YEAR(G249),INPC!$B$4:$P$30,MONTH(G249)+2))</f>
        <v>111.824</v>
      </c>
      <c r="Q249" s="560">
        <f>IF(X249=0,0,IF(OR(E249=$AT$10,E249=$AT$9),VLOOKUP(YEAR(X249),INPC!$B$4:$P$30,MONTH(X249)+1),VLOOKUP(YEAR(X249),INPC!$B$4:$P$30,MONTH(X249)+2,0)))</f>
        <v>118.002</v>
      </c>
      <c r="R249" s="309">
        <f t="shared" si="56"/>
        <v>1.0551999999999999</v>
      </c>
      <c r="S249" s="310">
        <f t="shared" si="57"/>
        <v>12536.166698352001</v>
      </c>
      <c r="T249" s="555">
        <f t="shared" si="58"/>
        <v>1044.680558196</v>
      </c>
      <c r="U249" s="311"/>
      <c r="V249" s="312">
        <v>12</v>
      </c>
      <c r="W249" s="299" t="s">
        <v>194</v>
      </c>
      <c r="X249" s="300">
        <v>44579</v>
      </c>
      <c r="Y249" s="299" t="s">
        <v>59</v>
      </c>
      <c r="Z249" s="303">
        <v>589.05600000000004</v>
      </c>
      <c r="AA249" s="305">
        <f>IF(Z249=0,0,IF(Y249="MXN",1/HLOOKUP(YEAR(X249)+(MONTH(X249)/100),TC!$5:$37,DAY(X249)+2,FALSE),VLOOKUP(Y249,Equivalencia!$1:$23,((MAX(Equivalencia!$3:$3)-YEAR(X249))*14)+MONTH(X249)+2,FALSE)))</f>
        <v>1</v>
      </c>
      <c r="AB249" s="306">
        <f t="shared" si="59"/>
        <v>589.05600000000004</v>
      </c>
      <c r="AC249" s="305">
        <f>+IF(X249=0,0,HLOOKUP(YEAR(X249)+(MONTH(X249)/100),TC!$5:$37,DAY(X249)+2,FALSE))</f>
        <v>20.311800000000002</v>
      </c>
      <c r="AD249" s="307">
        <f t="shared" si="60"/>
        <v>11964.787660800002</v>
      </c>
      <c r="AE249" s="314">
        <f t="shared" si="61"/>
        <v>12536.166698352001</v>
      </c>
      <c r="AF249" s="315">
        <f t="shared" si="62"/>
        <v>-571.37903755199841</v>
      </c>
      <c r="AG249" s="316">
        <f t="shared" si="63"/>
        <v>0.87671232876712324</v>
      </c>
      <c r="AH249" s="314">
        <v>1</v>
      </c>
      <c r="AI249" s="314">
        <f t="shared" si="64"/>
        <v>-571.37903755199841</v>
      </c>
      <c r="AJ249" s="314">
        <f t="shared" si="65"/>
        <v>0</v>
      </c>
      <c r="AK249" s="317"/>
      <c r="AL249" s="315">
        <f t="shared" si="66"/>
        <v>14.855999999999995</v>
      </c>
      <c r="AN249" s="554">
        <f t="shared" si="67"/>
        <v>2.5872518286311378E-2</v>
      </c>
      <c r="AO249" s="314"/>
      <c r="AP249" s="318"/>
    </row>
    <row r="250" spans="2:42">
      <c r="B250" s="296" t="s">
        <v>1254</v>
      </c>
      <c r="C250" s="299" t="s">
        <v>277</v>
      </c>
      <c r="D250" s="298" t="s">
        <v>708</v>
      </c>
      <c r="E250" s="299" t="s">
        <v>106</v>
      </c>
      <c r="F250" s="299" t="s">
        <v>59</v>
      </c>
      <c r="G250" s="300">
        <v>44293</v>
      </c>
      <c r="H250" s="303">
        <v>1125.3854901960785</v>
      </c>
      <c r="I250" s="301" t="str">
        <f t="shared" si="51"/>
        <v>Ingresos Sección I LISR</v>
      </c>
      <c r="J250" s="302">
        <f t="shared" si="52"/>
        <v>23</v>
      </c>
      <c r="K250" s="304">
        <f t="shared" si="53"/>
        <v>48.929803921568634</v>
      </c>
      <c r="L250" s="305">
        <f>IF(H250=0,0,IF(OR(E250=$AT$5,E250=$AT$6),AA250,IF(F250="MXN",1/HLOOKUP(YEAR(G250)+(MONTH(G250)/100),TC!$5:$37,DAY(G250)+2,FALSE),VLOOKUP(F250,Equivalencia!$5:$23,((MAX(Equivalencia!$3:$3)-YEAR(G250))*14)+MONTH(G250)+2,FALSE))))</f>
        <v>1</v>
      </c>
      <c r="M250" s="306">
        <f t="shared" si="54"/>
        <v>1125.3854901960785</v>
      </c>
      <c r="N250" s="305">
        <f>IF(G250=0,0,(IF(OR(E250=$AT$5,E250=$AT$6),AC250,HLOOKUP(YEAR(G250)+(MONTH(G250)/100),TC!$5:$37,DAY(G250)+2,FALSE))))</f>
        <v>20.2483</v>
      </c>
      <c r="O250" s="307">
        <f t="shared" si="55"/>
        <v>22787.143021137257</v>
      </c>
      <c r="P250" s="560">
        <f>IF(G250=0,0,VLOOKUP(YEAR(G250),INPC!$B$4:$P$30,MONTH(G250)+2))</f>
        <v>112.19</v>
      </c>
      <c r="Q250" s="560">
        <f>IF(X250=0,0,IF(OR(E250=$AT$10,E250=$AT$9),VLOOKUP(YEAR(X250),INPC!$B$4:$P$30,MONTH(X250)+1),VLOOKUP(YEAR(X250),INPC!$B$4:$P$30,MONTH(X250)+2,0)))</f>
        <v>118.002</v>
      </c>
      <c r="R250" s="309">
        <f t="shared" si="56"/>
        <v>1.0518000000000001</v>
      </c>
      <c r="S250" s="310">
        <f t="shared" si="57"/>
        <v>23967.51702963217</v>
      </c>
      <c r="T250" s="555">
        <f t="shared" si="58"/>
        <v>1042.0659578100945</v>
      </c>
      <c r="U250" s="311"/>
      <c r="V250" s="312">
        <v>23</v>
      </c>
      <c r="W250" s="299" t="s">
        <v>194</v>
      </c>
      <c r="X250" s="300">
        <v>44579</v>
      </c>
      <c r="Y250" s="299" t="s">
        <v>59</v>
      </c>
      <c r="Z250" s="303">
        <v>1129.0240000000001</v>
      </c>
      <c r="AA250" s="305">
        <f>IF(Z250=0,0,IF(Y250="MXN",1/HLOOKUP(YEAR(X250)+(MONTH(X250)/100),TC!$5:$37,DAY(X250)+2,FALSE),VLOOKUP(Y250,Equivalencia!$1:$23,((MAX(Equivalencia!$3:$3)-YEAR(X250))*14)+MONTH(X250)+2,FALSE)))</f>
        <v>1</v>
      </c>
      <c r="AB250" s="306">
        <f t="shared" si="59"/>
        <v>1129.0240000000001</v>
      </c>
      <c r="AC250" s="305">
        <f>+IF(X250=0,0,HLOOKUP(YEAR(X250)+(MONTH(X250)/100),TC!$5:$37,DAY(X250)+2,FALSE))</f>
        <v>20.311800000000002</v>
      </c>
      <c r="AD250" s="307">
        <f t="shared" si="60"/>
        <v>22932.509683200005</v>
      </c>
      <c r="AE250" s="314">
        <f t="shared" si="61"/>
        <v>23967.517029632174</v>
      </c>
      <c r="AF250" s="315">
        <f t="shared" si="62"/>
        <v>-1035.0073464321686</v>
      </c>
      <c r="AG250" s="316">
        <f t="shared" si="63"/>
        <v>0.78356164383561644</v>
      </c>
      <c r="AH250" s="314">
        <v>1</v>
      </c>
      <c r="AI250" s="314">
        <f t="shared" si="64"/>
        <v>-1035.0073464321686</v>
      </c>
      <c r="AJ250" s="314">
        <f t="shared" si="65"/>
        <v>0</v>
      </c>
      <c r="AK250" s="317"/>
      <c r="AL250" s="315">
        <f t="shared" si="66"/>
        <v>3.6385098039215791</v>
      </c>
      <c r="AN250" s="554">
        <f t="shared" si="67"/>
        <v>3.2331230814852899E-3</v>
      </c>
      <c r="AO250" s="314"/>
      <c r="AP250" s="318"/>
    </row>
    <row r="251" spans="2:42">
      <c r="B251" s="296" t="s">
        <v>1254</v>
      </c>
      <c r="C251" s="299" t="s">
        <v>277</v>
      </c>
      <c r="D251" s="298" t="s">
        <v>708</v>
      </c>
      <c r="E251" s="299" t="s">
        <v>106</v>
      </c>
      <c r="F251" s="299" t="s">
        <v>59</v>
      </c>
      <c r="G251" s="300">
        <v>44293</v>
      </c>
      <c r="H251" s="303">
        <v>1370.0345098039215</v>
      </c>
      <c r="I251" s="301" t="str">
        <f t="shared" si="51"/>
        <v>Ingresos Sección I LISR</v>
      </c>
      <c r="J251" s="302">
        <f t="shared" si="52"/>
        <v>28</v>
      </c>
      <c r="K251" s="304">
        <f t="shared" si="53"/>
        <v>48.929803921568627</v>
      </c>
      <c r="L251" s="305">
        <f>IF(H251=0,0,IF(OR(E251=$AT$5,E251=$AT$6),AA251,IF(F251="MXN",1/HLOOKUP(YEAR(G251)+(MONTH(G251)/100),TC!$5:$37,DAY(G251)+2,FALSE),VLOOKUP(F251,Equivalencia!$5:$23,((MAX(Equivalencia!$3:$3)-YEAR(G251))*14)+MONTH(G251)+2,FALSE))))</f>
        <v>1</v>
      </c>
      <c r="M251" s="306">
        <f t="shared" si="54"/>
        <v>1370.0345098039215</v>
      </c>
      <c r="N251" s="305">
        <f>IF(G251=0,0,(IF(OR(E251=$AT$5,E251=$AT$6),AC251,HLOOKUP(YEAR(G251)+(MONTH(G251)/100),TC!$5:$37,DAY(G251)+2,FALSE))))</f>
        <v>20.2483</v>
      </c>
      <c r="O251" s="307">
        <f t="shared" si="55"/>
        <v>27740.869764862746</v>
      </c>
      <c r="P251" s="560">
        <f>IF(G251=0,0,VLOOKUP(YEAR(G251),INPC!$B$4:$P$30,MONTH(G251)+2))</f>
        <v>112.19</v>
      </c>
      <c r="Q251" s="560">
        <f>IF(X251=0,0,IF(OR(E251=$AT$10,E251=$AT$9),VLOOKUP(YEAR(X251),INPC!$B$4:$P$30,MONTH(X251)+1),VLOOKUP(YEAR(X251),INPC!$B$4:$P$30,MONTH(X251)+2,0)))</f>
        <v>118.002</v>
      </c>
      <c r="R251" s="309">
        <f t="shared" si="56"/>
        <v>1.0518000000000001</v>
      </c>
      <c r="S251" s="310">
        <f t="shared" si="57"/>
        <v>29177.846818682639</v>
      </c>
      <c r="T251" s="555">
        <f t="shared" si="58"/>
        <v>1042.0659578100942</v>
      </c>
      <c r="U251" s="311"/>
      <c r="V251" s="312">
        <v>28</v>
      </c>
      <c r="W251" s="299" t="s">
        <v>194</v>
      </c>
      <c r="X251" s="300">
        <v>44579</v>
      </c>
      <c r="Y251" s="299" t="s">
        <v>59</v>
      </c>
      <c r="Z251" s="303">
        <v>1370.1615094339622</v>
      </c>
      <c r="AA251" s="305">
        <f>IF(Z251=0,0,IF(Y251="MXN",1/HLOOKUP(YEAR(X251)+(MONTH(X251)/100),TC!$5:$37,DAY(X251)+2,FALSE),VLOOKUP(Y251,Equivalencia!$1:$23,((MAX(Equivalencia!$3:$3)-YEAR(X251))*14)+MONTH(X251)+2,FALSE)))</f>
        <v>1</v>
      </c>
      <c r="AB251" s="306">
        <f t="shared" si="59"/>
        <v>1370.1615094339622</v>
      </c>
      <c r="AC251" s="305">
        <f>+IF(X251=0,0,HLOOKUP(YEAR(X251)+(MONTH(X251)/100),TC!$5:$37,DAY(X251)+2,FALSE))</f>
        <v>20.311800000000002</v>
      </c>
      <c r="AD251" s="307">
        <f t="shared" si="60"/>
        <v>27830.446547320757</v>
      </c>
      <c r="AE251" s="314">
        <f t="shared" si="61"/>
        <v>29177.846818682639</v>
      </c>
      <c r="AF251" s="315">
        <f t="shared" si="62"/>
        <v>-1347.4002713618829</v>
      </c>
      <c r="AG251" s="316">
        <f t="shared" si="63"/>
        <v>0.78356164383561644</v>
      </c>
      <c r="AH251" s="314">
        <v>1</v>
      </c>
      <c r="AI251" s="314">
        <f t="shared" si="64"/>
        <v>-1347.4002713618829</v>
      </c>
      <c r="AJ251" s="314">
        <f t="shared" si="65"/>
        <v>0</v>
      </c>
      <c r="AK251" s="317"/>
      <c r="AL251" s="315">
        <f t="shared" si="66"/>
        <v>0.12699963004070014</v>
      </c>
      <c r="AN251" s="554">
        <f t="shared" si="67"/>
        <v>9.2698124851523813E-5</v>
      </c>
      <c r="AO251" s="314"/>
      <c r="AP251" s="318"/>
    </row>
    <row r="252" spans="2:42">
      <c r="B252" s="296" t="s">
        <v>1254</v>
      </c>
      <c r="C252" s="299" t="s">
        <v>277</v>
      </c>
      <c r="D252" s="298" t="s">
        <v>708</v>
      </c>
      <c r="E252" s="299" t="s">
        <v>106</v>
      </c>
      <c r="F252" s="299" t="s">
        <v>59</v>
      </c>
      <c r="G252" s="300">
        <v>44293</v>
      </c>
      <c r="H252" s="303">
        <v>1226.5</v>
      </c>
      <c r="I252" s="301" t="str">
        <f t="shared" ref="I252:I315" si="68">IF(D252=0,0,IF(OR(E252=$AT$9,E252=$AT$10),"Ingresos Sección II LISR (SIC &amp; BMV)","Ingresos Sección I LISR"))</f>
        <v>Ingresos Sección I LISR</v>
      </c>
      <c r="J252" s="302">
        <f t="shared" ref="J252:J315" si="69">+V252</f>
        <v>25</v>
      </c>
      <c r="K252" s="304">
        <f t="shared" ref="K252:K315" si="70">IF(H252=0,0,H252/J252)</f>
        <v>49.06</v>
      </c>
      <c r="L252" s="305">
        <f>IF(H252=0,0,IF(OR(E252=$AT$5,E252=$AT$6),AA252,IF(F252="MXN",1/HLOOKUP(YEAR(G252)+(MONTH(G252)/100),TC!$5:$37,DAY(G252)+2,FALSE),VLOOKUP(F252,Equivalencia!$5:$23,((MAX(Equivalencia!$3:$3)-YEAR(G252))*14)+MONTH(G252)+2,FALSE))))</f>
        <v>1</v>
      </c>
      <c r="M252" s="306">
        <f t="shared" ref="M252:M315" si="71">+H252*L252</f>
        <v>1226.5</v>
      </c>
      <c r="N252" s="305">
        <f>IF(G252=0,0,(IF(OR(E252=$AT$5,E252=$AT$6),AC252,HLOOKUP(YEAR(G252)+(MONTH(G252)/100),TC!$5:$37,DAY(G252)+2,FALSE))))</f>
        <v>20.2483</v>
      </c>
      <c r="O252" s="307">
        <f t="shared" ref="O252:O315" si="72">+M252*N252</f>
        <v>24834.539950000002</v>
      </c>
      <c r="P252" s="560">
        <f>IF(G252=0,0,VLOOKUP(YEAR(G252),INPC!$B$4:$P$30,MONTH(G252)+2))</f>
        <v>112.19</v>
      </c>
      <c r="Q252" s="560">
        <f>IF(X252=0,0,IF(OR(E252=$AT$10,E252=$AT$9),VLOOKUP(YEAR(X252),INPC!$B$4:$P$30,MONTH(X252)+1),VLOOKUP(YEAR(X252),INPC!$B$4:$P$30,MONTH(X252)+2,0)))</f>
        <v>118.002</v>
      </c>
      <c r="R252" s="309">
        <f t="shared" ref="R252:R315" si="73">IF(H252=0,0,IF(OR(E252=$AT$5,E252=$AT$6),1,IF(TRUNC(Q252/P252,4)&gt;=1,TRUNC(Q252/P252,4),1)))</f>
        <v>1.0518000000000001</v>
      </c>
      <c r="S252" s="310">
        <f t="shared" ref="S252:S315" si="74">+R252*O252</f>
        <v>26120.969119410005</v>
      </c>
      <c r="T252" s="555">
        <f t="shared" ref="T252:T315" si="75">IF(V252=0,0,S252/V252)</f>
        <v>1044.8387647764002</v>
      </c>
      <c r="U252" s="311"/>
      <c r="V252" s="312">
        <v>25</v>
      </c>
      <c r="W252" s="299" t="s">
        <v>194</v>
      </c>
      <c r="X252" s="300">
        <v>44579</v>
      </c>
      <c r="Y252" s="299" t="s">
        <v>59</v>
      </c>
      <c r="Z252" s="303">
        <v>1223.3584905660377</v>
      </c>
      <c r="AA252" s="305">
        <f>IF(Z252=0,0,IF(Y252="MXN",1/HLOOKUP(YEAR(X252)+(MONTH(X252)/100),TC!$5:$37,DAY(X252)+2,FALSE),VLOOKUP(Y252,Equivalencia!$1:$23,((MAX(Equivalencia!$3:$3)-YEAR(X252))*14)+MONTH(X252)+2,FALSE)))</f>
        <v>1</v>
      </c>
      <c r="AB252" s="306">
        <f t="shared" ref="AB252:AB315" si="76">+AA252*Z252</f>
        <v>1223.3584905660377</v>
      </c>
      <c r="AC252" s="305">
        <f>+IF(X252=0,0,HLOOKUP(YEAR(X252)+(MONTH(X252)/100),TC!$5:$37,DAY(X252)+2,FALSE))</f>
        <v>20.311800000000002</v>
      </c>
      <c r="AD252" s="307">
        <f t="shared" ref="AD252:AD315" si="77">+AC252*AB252</f>
        <v>24848.612988679248</v>
      </c>
      <c r="AE252" s="314">
        <f t="shared" ref="AE252:AE315" si="78">+V252*T252</f>
        <v>26120.969119410005</v>
      </c>
      <c r="AF252" s="315">
        <f t="shared" ref="AF252:AF315" si="79">IF(E252=$AT$11,0,AD252-AE252)</f>
        <v>-1272.3561307307573</v>
      </c>
      <c r="AG252" s="316">
        <f t="shared" ref="AG252:AG315" si="80">+IF(AND(AF252&lt;0,OR(E252=$AT$5,E252=$AT$6)),1,((X252-G252)/365))</f>
        <v>0.78356164383561644</v>
      </c>
      <c r="AH252" s="314">
        <v>1</v>
      </c>
      <c r="AI252" s="314">
        <f t="shared" ref="AI252:AI315" si="81">+IF(OR(E252=$AT$9,E252=$AT$10),AF252,+AF252/AH252)</f>
        <v>-1272.3561307307573</v>
      </c>
      <c r="AJ252" s="314">
        <f t="shared" ref="AJ252:AJ315" si="82">+AF252-AI252</f>
        <v>0</v>
      </c>
      <c r="AK252" s="317"/>
      <c r="AL252" s="315">
        <f t="shared" ref="AL252:AL315" si="83">+AB252-M252</f>
        <v>-3.1415094339622556</v>
      </c>
      <c r="AN252" s="554">
        <f t="shared" ref="AN252:AN315" si="84">IF(AL252=0,0,AL252/H252)</f>
        <v>-2.5613611365366941E-3</v>
      </c>
      <c r="AO252" s="314"/>
      <c r="AP252" s="318"/>
    </row>
    <row r="253" spans="2:42">
      <c r="B253" s="296" t="s">
        <v>1254</v>
      </c>
      <c r="C253" s="299" t="s">
        <v>277</v>
      </c>
      <c r="D253" s="298" t="s">
        <v>708</v>
      </c>
      <c r="E253" s="299" t="s">
        <v>106</v>
      </c>
      <c r="F253" s="299" t="s">
        <v>59</v>
      </c>
      <c r="G253" s="300">
        <v>44293</v>
      </c>
      <c r="H253" s="303">
        <v>1030.26</v>
      </c>
      <c r="I253" s="301" t="str">
        <f t="shared" si="68"/>
        <v>Ingresos Sección I LISR</v>
      </c>
      <c r="J253" s="302">
        <f t="shared" si="69"/>
        <v>21</v>
      </c>
      <c r="K253" s="304">
        <f t="shared" si="70"/>
        <v>49.06</v>
      </c>
      <c r="L253" s="305">
        <f>IF(H253=0,0,IF(OR(E253=$AT$5,E253=$AT$6),AA253,IF(F253="MXN",1/HLOOKUP(YEAR(G253)+(MONTH(G253)/100),TC!$5:$37,DAY(G253)+2,FALSE),VLOOKUP(F253,Equivalencia!$5:$23,((MAX(Equivalencia!$3:$3)-YEAR(G253))*14)+MONTH(G253)+2,FALSE))))</f>
        <v>1</v>
      </c>
      <c r="M253" s="306">
        <f t="shared" si="71"/>
        <v>1030.26</v>
      </c>
      <c r="N253" s="305">
        <f>IF(G253=0,0,(IF(OR(E253=$AT$5,E253=$AT$6),AC253,HLOOKUP(YEAR(G253)+(MONTH(G253)/100),TC!$5:$37,DAY(G253)+2,FALSE))))</f>
        <v>20.2483</v>
      </c>
      <c r="O253" s="307">
        <f t="shared" si="72"/>
        <v>20861.013557999999</v>
      </c>
      <c r="P253" s="560">
        <f>IF(G253=0,0,VLOOKUP(YEAR(G253),INPC!$B$4:$P$30,MONTH(G253)+2))</f>
        <v>112.19</v>
      </c>
      <c r="Q253" s="560">
        <f>IF(X253=0,0,IF(OR(E253=$AT$10,E253=$AT$9),VLOOKUP(YEAR(X253),INPC!$B$4:$P$30,MONTH(X253)+1),VLOOKUP(YEAR(X253),INPC!$B$4:$P$30,MONTH(X253)+2,0)))</f>
        <v>118.002</v>
      </c>
      <c r="R253" s="309">
        <f t="shared" si="73"/>
        <v>1.0518000000000001</v>
      </c>
      <c r="S253" s="310">
        <f t="shared" si="74"/>
        <v>21941.6140603044</v>
      </c>
      <c r="T253" s="555">
        <f t="shared" si="75"/>
        <v>1044.8387647764</v>
      </c>
      <c r="U253" s="311"/>
      <c r="V253" s="312">
        <v>21</v>
      </c>
      <c r="W253" s="299" t="s">
        <v>194</v>
      </c>
      <c r="X253" s="300">
        <v>44579</v>
      </c>
      <c r="Y253" s="299" t="s">
        <v>59</v>
      </c>
      <c r="Z253" s="303">
        <v>1025.89375</v>
      </c>
      <c r="AA253" s="305">
        <f>IF(Z253=0,0,IF(Y253="MXN",1/HLOOKUP(YEAR(X253)+(MONTH(X253)/100),TC!$5:$37,DAY(X253)+2,FALSE),VLOOKUP(Y253,Equivalencia!$1:$23,((MAX(Equivalencia!$3:$3)-YEAR(X253))*14)+MONTH(X253)+2,FALSE)))</f>
        <v>1</v>
      </c>
      <c r="AB253" s="306">
        <f t="shared" si="76"/>
        <v>1025.89375</v>
      </c>
      <c r="AC253" s="305">
        <f>+IF(X253=0,0,HLOOKUP(YEAR(X253)+(MONTH(X253)/100),TC!$5:$37,DAY(X253)+2,FALSE))</f>
        <v>20.311800000000002</v>
      </c>
      <c r="AD253" s="307">
        <f t="shared" si="77"/>
        <v>20837.748671249999</v>
      </c>
      <c r="AE253" s="314">
        <f t="shared" si="78"/>
        <v>21941.6140603044</v>
      </c>
      <c r="AF253" s="315">
        <f t="shared" si="79"/>
        <v>-1103.865389054401</v>
      </c>
      <c r="AG253" s="316">
        <f t="shared" si="80"/>
        <v>0.78356164383561644</v>
      </c>
      <c r="AH253" s="314">
        <v>1</v>
      </c>
      <c r="AI253" s="314">
        <f t="shared" si="81"/>
        <v>-1103.865389054401</v>
      </c>
      <c r="AJ253" s="314">
        <f t="shared" si="82"/>
        <v>0</v>
      </c>
      <c r="AK253" s="317"/>
      <c r="AL253" s="315">
        <f t="shared" si="83"/>
        <v>-4.3662500000000364</v>
      </c>
      <c r="AN253" s="554">
        <f t="shared" si="84"/>
        <v>-4.2380078815056751E-3</v>
      </c>
      <c r="AO253" s="314"/>
      <c r="AP253" s="318"/>
    </row>
    <row r="254" spans="2:42">
      <c r="B254" s="296" t="s">
        <v>1254</v>
      </c>
      <c r="C254" s="299" t="s">
        <v>277</v>
      </c>
      <c r="D254" s="298" t="s">
        <v>708</v>
      </c>
      <c r="E254" s="299" t="s">
        <v>106</v>
      </c>
      <c r="F254" s="299" t="s">
        <v>59</v>
      </c>
      <c r="G254" s="300">
        <v>44293</v>
      </c>
      <c r="H254" s="303">
        <v>2255.12</v>
      </c>
      <c r="I254" s="301" t="str">
        <f t="shared" si="68"/>
        <v>Ingresos Sección I LISR</v>
      </c>
      <c r="J254" s="302">
        <f t="shared" si="69"/>
        <v>46</v>
      </c>
      <c r="K254" s="304">
        <f t="shared" si="70"/>
        <v>49.024347826086952</v>
      </c>
      <c r="L254" s="305">
        <f>IF(H254=0,0,IF(OR(E254=$AT$5,E254=$AT$6),AA254,IF(F254="MXN",1/HLOOKUP(YEAR(G254)+(MONTH(G254)/100),TC!$5:$37,DAY(G254)+2,FALSE),VLOOKUP(F254,Equivalencia!$5:$23,((MAX(Equivalencia!$3:$3)-YEAR(G254))*14)+MONTH(G254)+2,FALSE))))</f>
        <v>1</v>
      </c>
      <c r="M254" s="306">
        <f t="shared" si="71"/>
        <v>2255.12</v>
      </c>
      <c r="N254" s="305">
        <f>IF(G254=0,0,(IF(OR(E254=$AT$5,E254=$AT$6),AC254,HLOOKUP(YEAR(G254)+(MONTH(G254)/100),TC!$5:$37,DAY(G254)+2,FALSE))))</f>
        <v>20.2483</v>
      </c>
      <c r="O254" s="307">
        <f t="shared" si="72"/>
        <v>45662.346295999996</v>
      </c>
      <c r="P254" s="560">
        <f>IF(G254=0,0,VLOOKUP(YEAR(G254),INPC!$B$4:$P$30,MONTH(G254)+2))</f>
        <v>112.19</v>
      </c>
      <c r="Q254" s="560">
        <f>IF(X254=0,0,IF(OR(E254=$AT$10,E254=$AT$9),VLOOKUP(YEAR(X254),INPC!$B$4:$P$30,MONTH(X254)+1),VLOOKUP(YEAR(X254),INPC!$B$4:$P$30,MONTH(X254)+2,0)))</f>
        <v>118.002</v>
      </c>
      <c r="R254" s="309">
        <f t="shared" si="73"/>
        <v>1.0518000000000001</v>
      </c>
      <c r="S254" s="310">
        <f t="shared" si="74"/>
        <v>48027.655834132798</v>
      </c>
      <c r="T254" s="555">
        <f t="shared" si="75"/>
        <v>1044.0794746550607</v>
      </c>
      <c r="U254" s="311"/>
      <c r="V254" s="312">
        <v>46</v>
      </c>
      <c r="W254" s="299" t="s">
        <v>194</v>
      </c>
      <c r="X254" s="300">
        <v>44579</v>
      </c>
      <c r="Y254" s="299" t="s">
        <v>59</v>
      </c>
      <c r="Z254" s="303">
        <v>2247.1958333333332</v>
      </c>
      <c r="AA254" s="305">
        <f>IF(Z254=0,0,IF(Y254="MXN",1/HLOOKUP(YEAR(X254)+(MONTH(X254)/100),TC!$5:$37,DAY(X254)+2,FALSE),VLOOKUP(Y254,Equivalencia!$1:$23,((MAX(Equivalencia!$3:$3)-YEAR(X254))*14)+MONTH(X254)+2,FALSE)))</f>
        <v>1</v>
      </c>
      <c r="AB254" s="306">
        <f t="shared" si="76"/>
        <v>2247.1958333333332</v>
      </c>
      <c r="AC254" s="305">
        <f>+IF(X254=0,0,HLOOKUP(YEAR(X254)+(MONTH(X254)/100),TC!$5:$37,DAY(X254)+2,FALSE))</f>
        <v>20.311800000000002</v>
      </c>
      <c r="AD254" s="307">
        <f t="shared" si="77"/>
        <v>45644.592327500002</v>
      </c>
      <c r="AE254" s="314">
        <f t="shared" si="78"/>
        <v>48027.655834132791</v>
      </c>
      <c r="AF254" s="315">
        <f t="shared" si="79"/>
        <v>-2383.0635066327886</v>
      </c>
      <c r="AG254" s="316">
        <f t="shared" si="80"/>
        <v>0.78356164383561644</v>
      </c>
      <c r="AH254" s="314">
        <v>1</v>
      </c>
      <c r="AI254" s="314">
        <f t="shared" si="81"/>
        <v>-2383.0635066327886</v>
      </c>
      <c r="AJ254" s="314">
        <f t="shared" si="82"/>
        <v>0</v>
      </c>
      <c r="AK254" s="317"/>
      <c r="AL254" s="315">
        <f t="shared" si="83"/>
        <v>-7.9241666666666788</v>
      </c>
      <c r="AN254" s="554">
        <f t="shared" si="84"/>
        <v>-3.5138558775881902E-3</v>
      </c>
      <c r="AO254" s="314"/>
      <c r="AP254" s="318"/>
    </row>
    <row r="255" spans="2:42">
      <c r="B255" s="296" t="s">
        <v>1254</v>
      </c>
      <c r="C255" s="299" t="s">
        <v>277</v>
      </c>
      <c r="D255" s="298" t="s">
        <v>708</v>
      </c>
      <c r="E255" s="299" t="s">
        <v>106</v>
      </c>
      <c r="F255" s="299" t="s">
        <v>59</v>
      </c>
      <c r="G255" s="300">
        <v>44293</v>
      </c>
      <c r="H255" s="303">
        <v>1424.0960952380951</v>
      </c>
      <c r="I255" s="301" t="str">
        <f t="shared" si="68"/>
        <v>Ingresos Sección I LISR</v>
      </c>
      <c r="J255" s="302">
        <f t="shared" si="69"/>
        <v>29</v>
      </c>
      <c r="K255" s="304">
        <f t="shared" si="70"/>
        <v>49.106761904761903</v>
      </c>
      <c r="L255" s="305">
        <f>IF(H255=0,0,IF(OR(E255=$AT$5,E255=$AT$6),AA255,IF(F255="MXN",1/HLOOKUP(YEAR(G255)+(MONTH(G255)/100),TC!$5:$37,DAY(G255)+2,FALSE),VLOOKUP(F255,Equivalencia!$5:$23,((MAX(Equivalencia!$3:$3)-YEAR(G255))*14)+MONTH(G255)+2,FALSE))))</f>
        <v>1</v>
      </c>
      <c r="M255" s="306">
        <f t="shared" si="71"/>
        <v>1424.0960952380951</v>
      </c>
      <c r="N255" s="305">
        <f>IF(G255=0,0,(IF(OR(E255=$AT$5,E255=$AT$6),AC255,HLOOKUP(YEAR(G255)+(MONTH(G255)/100),TC!$5:$37,DAY(G255)+2,FALSE))))</f>
        <v>20.2483</v>
      </c>
      <c r="O255" s="307">
        <f t="shared" si="72"/>
        <v>28835.524965209523</v>
      </c>
      <c r="P255" s="560">
        <f>IF(G255=0,0,VLOOKUP(YEAR(G255),INPC!$B$4:$P$30,MONTH(G255)+2))</f>
        <v>112.19</v>
      </c>
      <c r="Q255" s="560">
        <f>IF(X255=0,0,IF(OR(E255=$AT$10,E255=$AT$9),VLOOKUP(YEAR(X255),INPC!$B$4:$P$30,MONTH(X255)+1),VLOOKUP(YEAR(X255),INPC!$B$4:$P$30,MONTH(X255)+2,0)))</f>
        <v>118.002</v>
      </c>
      <c r="R255" s="309">
        <f t="shared" si="73"/>
        <v>1.0518000000000001</v>
      </c>
      <c r="S255" s="310">
        <f t="shared" si="74"/>
        <v>30329.205158407378</v>
      </c>
      <c r="T255" s="555">
        <f t="shared" si="75"/>
        <v>1045.8346606347372</v>
      </c>
      <c r="U255" s="311"/>
      <c r="V255" s="312">
        <v>29</v>
      </c>
      <c r="W255" s="299" t="s">
        <v>194</v>
      </c>
      <c r="X255" s="300">
        <v>44579</v>
      </c>
      <c r="Y255" s="299" t="s">
        <v>59</v>
      </c>
      <c r="Z255" s="303">
        <v>1416.7104166666666</v>
      </c>
      <c r="AA255" s="305">
        <f>IF(Z255=0,0,IF(Y255="MXN",1/HLOOKUP(YEAR(X255)+(MONTH(X255)/100),TC!$5:$37,DAY(X255)+2,FALSE),VLOOKUP(Y255,Equivalencia!$1:$23,((MAX(Equivalencia!$3:$3)-YEAR(X255))*14)+MONTH(X255)+2,FALSE)))</f>
        <v>1</v>
      </c>
      <c r="AB255" s="306">
        <f t="shared" si="76"/>
        <v>1416.7104166666666</v>
      </c>
      <c r="AC255" s="305">
        <f>+IF(X255=0,0,HLOOKUP(YEAR(X255)+(MONTH(X255)/100),TC!$5:$37,DAY(X255)+2,FALSE))</f>
        <v>20.311800000000002</v>
      </c>
      <c r="AD255" s="307">
        <f t="shared" si="77"/>
        <v>28775.938641249999</v>
      </c>
      <c r="AE255" s="314">
        <f t="shared" si="78"/>
        <v>30329.205158407382</v>
      </c>
      <c r="AF255" s="315">
        <f t="shared" si="79"/>
        <v>-1553.2665171573826</v>
      </c>
      <c r="AG255" s="316">
        <f t="shared" si="80"/>
        <v>0.78356164383561644</v>
      </c>
      <c r="AH255" s="314">
        <v>1</v>
      </c>
      <c r="AI255" s="314">
        <f t="shared" si="81"/>
        <v>-1553.2665171573826</v>
      </c>
      <c r="AJ255" s="314">
        <f t="shared" si="82"/>
        <v>0</v>
      </c>
      <c r="AK255" s="317"/>
      <c r="AL255" s="315">
        <f t="shared" si="83"/>
        <v>-7.3856785714285706</v>
      </c>
      <c r="AN255" s="554">
        <f t="shared" si="84"/>
        <v>-5.1862220506922723E-3</v>
      </c>
      <c r="AO255" s="314"/>
      <c r="AP255" s="318"/>
    </row>
    <row r="256" spans="2:42">
      <c r="B256" s="296" t="s">
        <v>1254</v>
      </c>
      <c r="C256" s="299" t="s">
        <v>277</v>
      </c>
      <c r="D256" s="298" t="s">
        <v>708</v>
      </c>
      <c r="E256" s="299" t="s">
        <v>106</v>
      </c>
      <c r="F256" s="299" t="s">
        <v>59</v>
      </c>
      <c r="G256" s="300">
        <v>44293</v>
      </c>
      <c r="H256" s="303">
        <v>1473.2028571428571</v>
      </c>
      <c r="I256" s="301" t="str">
        <f t="shared" si="68"/>
        <v>Ingresos Sección I LISR</v>
      </c>
      <c r="J256" s="302">
        <f t="shared" si="69"/>
        <v>30</v>
      </c>
      <c r="K256" s="304">
        <f t="shared" si="70"/>
        <v>49.106761904761903</v>
      </c>
      <c r="L256" s="305">
        <f>IF(H256=0,0,IF(OR(E256=$AT$5,E256=$AT$6),AA256,IF(F256="MXN",1/HLOOKUP(YEAR(G256)+(MONTH(G256)/100),TC!$5:$37,DAY(G256)+2,FALSE),VLOOKUP(F256,Equivalencia!$5:$23,((MAX(Equivalencia!$3:$3)-YEAR(G256))*14)+MONTH(G256)+2,FALSE))))</f>
        <v>1</v>
      </c>
      <c r="M256" s="306">
        <f t="shared" si="71"/>
        <v>1473.2028571428571</v>
      </c>
      <c r="N256" s="305">
        <f>IF(G256=0,0,(IF(OR(E256=$AT$5,E256=$AT$6),AC256,HLOOKUP(YEAR(G256)+(MONTH(G256)/100),TC!$5:$37,DAY(G256)+2,FALSE))))</f>
        <v>20.2483</v>
      </c>
      <c r="O256" s="307">
        <f t="shared" si="72"/>
        <v>29829.853412285713</v>
      </c>
      <c r="P256" s="560">
        <f>IF(G256=0,0,VLOOKUP(YEAR(G256),INPC!$B$4:$P$30,MONTH(G256)+2))</f>
        <v>112.19</v>
      </c>
      <c r="Q256" s="560">
        <f>IF(X256=0,0,IF(OR(E256=$AT$10,E256=$AT$9),VLOOKUP(YEAR(X256),INPC!$B$4:$P$30,MONTH(X256)+1),VLOOKUP(YEAR(X256),INPC!$B$4:$P$30,MONTH(X256)+2,0)))</f>
        <v>118.002</v>
      </c>
      <c r="R256" s="309">
        <f t="shared" si="73"/>
        <v>1.0518000000000001</v>
      </c>
      <c r="S256" s="310">
        <f t="shared" si="74"/>
        <v>31375.039819042115</v>
      </c>
      <c r="T256" s="555">
        <f t="shared" si="75"/>
        <v>1045.8346606347372</v>
      </c>
      <c r="U256" s="311"/>
      <c r="V256" s="312">
        <v>30</v>
      </c>
      <c r="W256" s="299" t="s">
        <v>194</v>
      </c>
      <c r="X256" s="300">
        <v>44580</v>
      </c>
      <c r="Y256" s="299" t="s">
        <v>59</v>
      </c>
      <c r="Z256" s="303">
        <v>1421.49</v>
      </c>
      <c r="AA256" s="305">
        <f>IF(Z256=0,0,IF(Y256="MXN",1/HLOOKUP(YEAR(X256)+(MONTH(X256)/100),TC!$5:$37,DAY(X256)+2,FALSE),VLOOKUP(Y256,Equivalencia!$1:$23,((MAX(Equivalencia!$3:$3)-YEAR(X256))*14)+MONTH(X256)+2,FALSE)))</f>
        <v>1</v>
      </c>
      <c r="AB256" s="306">
        <f t="shared" si="76"/>
        <v>1421.49</v>
      </c>
      <c r="AC256" s="305">
        <f>+IF(X256=0,0,HLOOKUP(YEAR(X256)+(MONTH(X256)/100),TC!$5:$37,DAY(X256)+2,FALSE))</f>
        <v>20.3002</v>
      </c>
      <c r="AD256" s="307">
        <f t="shared" si="77"/>
        <v>28856.531298000002</v>
      </c>
      <c r="AE256" s="314">
        <f t="shared" si="78"/>
        <v>31375.039819042118</v>
      </c>
      <c r="AF256" s="315">
        <f t="shared" si="79"/>
        <v>-2518.5085210421166</v>
      </c>
      <c r="AG256" s="316">
        <f t="shared" si="80"/>
        <v>0.78630136986301369</v>
      </c>
      <c r="AH256" s="314">
        <v>1</v>
      </c>
      <c r="AI256" s="314">
        <f t="shared" si="81"/>
        <v>-2518.5085210421166</v>
      </c>
      <c r="AJ256" s="314">
        <f t="shared" si="82"/>
        <v>0</v>
      </c>
      <c r="AK256" s="317"/>
      <c r="AL256" s="315">
        <f t="shared" si="83"/>
        <v>-51.712857142857047</v>
      </c>
      <c r="AN256" s="554">
        <f t="shared" si="84"/>
        <v>-3.5102332915067397E-2</v>
      </c>
      <c r="AO256" s="314"/>
      <c r="AP256" s="318"/>
    </row>
    <row r="257" spans="2:42">
      <c r="B257" s="296" t="s">
        <v>1254</v>
      </c>
      <c r="C257" s="299" t="s">
        <v>277</v>
      </c>
      <c r="D257" s="298" t="s">
        <v>708</v>
      </c>
      <c r="E257" s="299" t="s">
        <v>106</v>
      </c>
      <c r="F257" s="299" t="s">
        <v>59</v>
      </c>
      <c r="G257" s="300">
        <v>44293</v>
      </c>
      <c r="H257" s="303">
        <v>589.28114285714287</v>
      </c>
      <c r="I257" s="301" t="str">
        <f t="shared" si="68"/>
        <v>Ingresos Sección I LISR</v>
      </c>
      <c r="J257" s="302">
        <f t="shared" si="69"/>
        <v>12</v>
      </c>
      <c r="K257" s="304">
        <f t="shared" si="70"/>
        <v>49.106761904761903</v>
      </c>
      <c r="L257" s="305">
        <f>IF(H257=0,0,IF(OR(E257=$AT$5,E257=$AT$6),AA257,IF(F257="MXN",1/HLOOKUP(YEAR(G257)+(MONTH(G257)/100),TC!$5:$37,DAY(G257)+2,FALSE),VLOOKUP(F257,Equivalencia!$5:$23,((MAX(Equivalencia!$3:$3)-YEAR(G257))*14)+MONTH(G257)+2,FALSE))))</f>
        <v>1</v>
      </c>
      <c r="M257" s="306">
        <f t="shared" si="71"/>
        <v>589.28114285714287</v>
      </c>
      <c r="N257" s="305">
        <f>IF(G257=0,0,(IF(OR(E257=$AT$5,E257=$AT$6),AC257,HLOOKUP(YEAR(G257)+(MONTH(G257)/100),TC!$5:$37,DAY(G257)+2,FALSE))))</f>
        <v>20.2483</v>
      </c>
      <c r="O257" s="307">
        <f t="shared" si="72"/>
        <v>11931.941364914286</v>
      </c>
      <c r="P257" s="560">
        <f>IF(G257=0,0,VLOOKUP(YEAR(G257),INPC!$B$4:$P$30,MONTH(G257)+2))</f>
        <v>112.19</v>
      </c>
      <c r="Q257" s="560">
        <f>IF(X257=0,0,IF(OR(E257=$AT$10,E257=$AT$9),VLOOKUP(YEAR(X257),INPC!$B$4:$P$30,MONTH(X257)+1),VLOOKUP(YEAR(X257),INPC!$B$4:$P$30,MONTH(X257)+2,0)))</f>
        <v>118.002</v>
      </c>
      <c r="R257" s="309">
        <f t="shared" si="73"/>
        <v>1.0518000000000001</v>
      </c>
      <c r="S257" s="310">
        <f t="shared" si="74"/>
        <v>12550.015927616847</v>
      </c>
      <c r="T257" s="555">
        <f t="shared" si="75"/>
        <v>1045.8346606347372</v>
      </c>
      <c r="U257" s="311"/>
      <c r="V257" s="312">
        <v>12</v>
      </c>
      <c r="W257" s="299" t="s">
        <v>194</v>
      </c>
      <c r="X257" s="300">
        <v>44587</v>
      </c>
      <c r="Y257" s="299" t="s">
        <v>59</v>
      </c>
      <c r="Z257" s="303">
        <v>519.36</v>
      </c>
      <c r="AA257" s="305">
        <f>IF(Z257=0,0,IF(Y257="MXN",1/HLOOKUP(YEAR(X257)+(MONTH(X257)/100),TC!$5:$37,DAY(X257)+2,FALSE),VLOOKUP(Y257,Equivalencia!$1:$23,((MAX(Equivalencia!$3:$3)-YEAR(X257))*14)+MONTH(X257)+2,FALSE)))</f>
        <v>1</v>
      </c>
      <c r="AB257" s="306">
        <f t="shared" si="76"/>
        <v>519.36</v>
      </c>
      <c r="AC257" s="305">
        <f>+IF(X257=0,0,HLOOKUP(YEAR(X257)+(MONTH(X257)/100),TC!$5:$37,DAY(X257)+2,FALSE))</f>
        <v>20.630800000000001</v>
      </c>
      <c r="AD257" s="307">
        <f t="shared" si="77"/>
        <v>10714.812288000001</v>
      </c>
      <c r="AE257" s="314">
        <f t="shared" si="78"/>
        <v>12550.015927616847</v>
      </c>
      <c r="AF257" s="315">
        <f t="shared" si="79"/>
        <v>-1835.203639616846</v>
      </c>
      <c r="AG257" s="316">
        <f t="shared" si="80"/>
        <v>0.80547945205479454</v>
      </c>
      <c r="AH257" s="314">
        <v>1</v>
      </c>
      <c r="AI257" s="314">
        <f t="shared" si="81"/>
        <v>-1835.203639616846</v>
      </c>
      <c r="AJ257" s="314">
        <f t="shared" si="82"/>
        <v>0</v>
      </c>
      <c r="AK257" s="317"/>
      <c r="AL257" s="315">
        <f t="shared" si="83"/>
        <v>-69.921142857142854</v>
      </c>
      <c r="AN257" s="554">
        <f t="shared" si="84"/>
        <v>-0.11865498108106536</v>
      </c>
      <c r="AO257" s="314"/>
      <c r="AP257" s="318"/>
    </row>
    <row r="258" spans="2:42">
      <c r="B258" s="296" t="s">
        <v>1254</v>
      </c>
      <c r="C258" s="299" t="s">
        <v>277</v>
      </c>
      <c r="D258" s="298" t="s">
        <v>708</v>
      </c>
      <c r="E258" s="299" t="s">
        <v>106</v>
      </c>
      <c r="F258" s="299" t="s">
        <v>59</v>
      </c>
      <c r="G258" s="300">
        <v>44293</v>
      </c>
      <c r="H258" s="303">
        <v>589.28114285714287</v>
      </c>
      <c r="I258" s="301" t="str">
        <f t="shared" si="68"/>
        <v>Ingresos Sección I LISR</v>
      </c>
      <c r="J258" s="302">
        <f t="shared" si="69"/>
        <v>12</v>
      </c>
      <c r="K258" s="304">
        <f t="shared" si="70"/>
        <v>49.106761904761903</v>
      </c>
      <c r="L258" s="305">
        <f>IF(H258=0,0,IF(OR(E258=$AT$5,E258=$AT$6),AA258,IF(F258="MXN",1/HLOOKUP(YEAR(G258)+(MONTH(G258)/100),TC!$5:$37,DAY(G258)+2,FALSE),VLOOKUP(F258,Equivalencia!$5:$23,((MAX(Equivalencia!$3:$3)-YEAR(G258))*14)+MONTH(G258)+2,FALSE))))</f>
        <v>1</v>
      </c>
      <c r="M258" s="306">
        <f t="shared" si="71"/>
        <v>589.28114285714287</v>
      </c>
      <c r="N258" s="305">
        <f>IF(G258=0,0,(IF(OR(E258=$AT$5,E258=$AT$6),AC258,HLOOKUP(YEAR(G258)+(MONTH(G258)/100),TC!$5:$37,DAY(G258)+2,FALSE))))</f>
        <v>20.2483</v>
      </c>
      <c r="O258" s="307">
        <f t="shared" si="72"/>
        <v>11931.941364914286</v>
      </c>
      <c r="P258" s="560">
        <f>IF(G258=0,0,VLOOKUP(YEAR(G258),INPC!$B$4:$P$30,MONTH(G258)+2))</f>
        <v>112.19</v>
      </c>
      <c r="Q258" s="560">
        <f>IF(X258=0,0,IF(OR(E258=$AT$10,E258=$AT$9),VLOOKUP(YEAR(X258),INPC!$B$4:$P$30,MONTH(X258)+1),VLOOKUP(YEAR(X258),INPC!$B$4:$P$30,MONTH(X258)+2,0)))</f>
        <v>118.002</v>
      </c>
      <c r="R258" s="309">
        <f t="shared" si="73"/>
        <v>1.0518000000000001</v>
      </c>
      <c r="S258" s="310">
        <f t="shared" si="74"/>
        <v>12550.015927616847</v>
      </c>
      <c r="T258" s="555">
        <f t="shared" si="75"/>
        <v>1045.8346606347372</v>
      </c>
      <c r="U258" s="311"/>
      <c r="V258" s="312">
        <v>12</v>
      </c>
      <c r="W258" s="299" t="s">
        <v>194</v>
      </c>
      <c r="X258" s="300">
        <v>44587</v>
      </c>
      <c r="Y258" s="299" t="s">
        <v>59</v>
      </c>
      <c r="Z258" s="303">
        <v>541.74</v>
      </c>
      <c r="AA258" s="305">
        <f>IF(Z258=0,0,IF(Y258="MXN",1/HLOOKUP(YEAR(X258)+(MONTH(X258)/100),TC!$5:$37,DAY(X258)+2,FALSE),VLOOKUP(Y258,Equivalencia!$1:$23,((MAX(Equivalencia!$3:$3)-YEAR(X258))*14)+MONTH(X258)+2,FALSE)))</f>
        <v>1</v>
      </c>
      <c r="AB258" s="306">
        <f t="shared" si="76"/>
        <v>541.74</v>
      </c>
      <c r="AC258" s="305">
        <f>+IF(X258=0,0,HLOOKUP(YEAR(X258)+(MONTH(X258)/100),TC!$5:$37,DAY(X258)+2,FALSE))</f>
        <v>20.630800000000001</v>
      </c>
      <c r="AD258" s="307">
        <f t="shared" si="77"/>
        <v>11176.529592000001</v>
      </c>
      <c r="AE258" s="314">
        <f t="shared" si="78"/>
        <v>12550.015927616847</v>
      </c>
      <c r="AF258" s="315">
        <f t="shared" si="79"/>
        <v>-1373.4863356168462</v>
      </c>
      <c r="AG258" s="316">
        <f t="shared" si="80"/>
        <v>0.80547945205479454</v>
      </c>
      <c r="AH258" s="314">
        <v>1</v>
      </c>
      <c r="AI258" s="314">
        <f t="shared" si="81"/>
        <v>-1373.4863356168462</v>
      </c>
      <c r="AJ258" s="314">
        <f t="shared" si="82"/>
        <v>0</v>
      </c>
      <c r="AK258" s="317"/>
      <c r="AL258" s="315">
        <f t="shared" si="83"/>
        <v>-47.541142857142859</v>
      </c>
      <c r="AN258" s="554">
        <f t="shared" si="84"/>
        <v>-8.06765046419754E-2</v>
      </c>
      <c r="AO258" s="314"/>
      <c r="AP258" s="318"/>
    </row>
    <row r="259" spans="2:42">
      <c r="B259" s="296" t="s">
        <v>1254</v>
      </c>
      <c r="C259" s="299" t="s">
        <v>277</v>
      </c>
      <c r="D259" s="298" t="s">
        <v>708</v>
      </c>
      <c r="E259" s="299" t="s">
        <v>106</v>
      </c>
      <c r="F259" s="299" t="s">
        <v>59</v>
      </c>
      <c r="G259" s="300">
        <v>44293</v>
      </c>
      <c r="H259" s="303">
        <v>1080.3487619047619</v>
      </c>
      <c r="I259" s="301" t="str">
        <f t="shared" si="68"/>
        <v>Ingresos Sección I LISR</v>
      </c>
      <c r="J259" s="302">
        <f t="shared" si="69"/>
        <v>22</v>
      </c>
      <c r="K259" s="304">
        <f t="shared" si="70"/>
        <v>49.106761904761903</v>
      </c>
      <c r="L259" s="305">
        <f>IF(H259=0,0,IF(OR(E259=$AT$5,E259=$AT$6),AA259,IF(F259="MXN",1/HLOOKUP(YEAR(G259)+(MONTH(G259)/100),TC!$5:$37,DAY(G259)+2,FALSE),VLOOKUP(F259,Equivalencia!$5:$23,((MAX(Equivalencia!$3:$3)-YEAR(G259))*14)+MONTH(G259)+2,FALSE))))</f>
        <v>1</v>
      </c>
      <c r="M259" s="306">
        <f t="shared" si="71"/>
        <v>1080.3487619047619</v>
      </c>
      <c r="N259" s="305">
        <f>IF(G259=0,0,(IF(OR(E259=$AT$5,E259=$AT$6),AC259,HLOOKUP(YEAR(G259)+(MONTH(G259)/100),TC!$5:$37,DAY(G259)+2,FALSE))))</f>
        <v>20.2483</v>
      </c>
      <c r="O259" s="307">
        <f t="shared" si="72"/>
        <v>21875.225835676192</v>
      </c>
      <c r="P259" s="560">
        <f>IF(G259=0,0,VLOOKUP(YEAR(G259),INPC!$B$4:$P$30,MONTH(G259)+2))</f>
        <v>112.19</v>
      </c>
      <c r="Q259" s="560">
        <f>IF(X259=0,0,IF(OR(E259=$AT$10,E259=$AT$9),VLOOKUP(YEAR(X259),INPC!$B$4:$P$30,MONTH(X259)+1),VLOOKUP(YEAR(X259),INPC!$B$4:$P$30,MONTH(X259)+2,0)))</f>
        <v>118.002</v>
      </c>
      <c r="R259" s="309">
        <f t="shared" si="73"/>
        <v>1.0518000000000001</v>
      </c>
      <c r="S259" s="310">
        <f t="shared" si="74"/>
        <v>23008.36253396422</v>
      </c>
      <c r="T259" s="555">
        <f t="shared" si="75"/>
        <v>1045.8346606347372</v>
      </c>
      <c r="U259" s="311"/>
      <c r="V259" s="312">
        <v>22</v>
      </c>
      <c r="W259" s="299" t="s">
        <v>194</v>
      </c>
      <c r="X259" s="300">
        <v>44588</v>
      </c>
      <c r="Y259" s="299" t="s">
        <v>59</v>
      </c>
      <c r="Z259" s="303">
        <v>984.57920000000001</v>
      </c>
      <c r="AA259" s="305">
        <f>IF(Z259=0,0,IF(Y259="MXN",1/HLOOKUP(YEAR(X259)+(MONTH(X259)/100),TC!$5:$37,DAY(X259)+2,FALSE),VLOOKUP(Y259,Equivalencia!$1:$23,((MAX(Equivalencia!$3:$3)-YEAR(X259))*14)+MONTH(X259)+2,FALSE)))</f>
        <v>1</v>
      </c>
      <c r="AB259" s="306">
        <f t="shared" si="76"/>
        <v>984.57920000000001</v>
      </c>
      <c r="AC259" s="305">
        <f>+IF(X259=0,0,HLOOKUP(YEAR(X259)+(MONTH(X259)/100),TC!$5:$37,DAY(X259)+2,FALSE))</f>
        <v>20.668299999999999</v>
      </c>
      <c r="AD259" s="307">
        <f t="shared" si="77"/>
        <v>20349.578279359997</v>
      </c>
      <c r="AE259" s="314">
        <f t="shared" si="78"/>
        <v>23008.36253396422</v>
      </c>
      <c r="AF259" s="315">
        <f t="shared" si="79"/>
        <v>-2658.784254604223</v>
      </c>
      <c r="AG259" s="316">
        <f t="shared" si="80"/>
        <v>0.80821917808219179</v>
      </c>
      <c r="AH259" s="314">
        <v>1</v>
      </c>
      <c r="AI259" s="314">
        <f t="shared" si="81"/>
        <v>-2658.784254604223</v>
      </c>
      <c r="AJ259" s="314">
        <f t="shared" si="82"/>
        <v>0</v>
      </c>
      <c r="AK259" s="317"/>
      <c r="AL259" s="315">
        <f t="shared" si="83"/>
        <v>-95.769561904761872</v>
      </c>
      <c r="AN259" s="554">
        <f t="shared" si="84"/>
        <v>-8.8646893745599933E-2</v>
      </c>
      <c r="AO259" s="314"/>
      <c r="AP259" s="318"/>
    </row>
    <row r="260" spans="2:42">
      <c r="B260" s="296" t="s">
        <v>1254</v>
      </c>
      <c r="C260" s="299" t="s">
        <v>277</v>
      </c>
      <c r="D260" s="298" t="s">
        <v>708</v>
      </c>
      <c r="E260" s="299" t="s">
        <v>106</v>
      </c>
      <c r="F260" s="299" t="s">
        <v>59</v>
      </c>
      <c r="G260" s="300">
        <v>44349</v>
      </c>
      <c r="H260" s="303">
        <v>151.59873626373627</v>
      </c>
      <c r="I260" s="301" t="str">
        <f t="shared" si="68"/>
        <v>Ingresos Sección I LISR</v>
      </c>
      <c r="J260" s="302">
        <f t="shared" si="69"/>
        <v>3</v>
      </c>
      <c r="K260" s="304">
        <f t="shared" si="70"/>
        <v>50.532912087912088</v>
      </c>
      <c r="L260" s="305">
        <f>IF(H260=0,0,IF(OR(E260=$AT$5,E260=$AT$6),AA260,IF(F260="MXN",1/HLOOKUP(YEAR(G260)+(MONTH(G260)/100),TC!$5:$37,DAY(G260)+2,FALSE),VLOOKUP(F260,Equivalencia!$5:$23,((MAX(Equivalencia!$3:$3)-YEAR(G260))*14)+MONTH(G260)+2,FALSE))))</f>
        <v>1</v>
      </c>
      <c r="M260" s="306">
        <f t="shared" si="71"/>
        <v>151.59873626373627</v>
      </c>
      <c r="N260" s="305">
        <f>IF(G260=0,0,(IF(OR(E260=$AT$5,E260=$AT$6),AC260,HLOOKUP(YEAR(G260)+(MONTH(G260)/100),TC!$5:$37,DAY(G260)+2,FALSE))))</f>
        <v>19.921299999999999</v>
      </c>
      <c r="O260" s="307">
        <f t="shared" si="72"/>
        <v>3020.0439047307691</v>
      </c>
      <c r="P260" s="560">
        <f>IF(G260=0,0,VLOOKUP(YEAR(G260),INPC!$B$4:$P$30,MONTH(G260)+2))</f>
        <v>113.018</v>
      </c>
      <c r="Q260" s="560">
        <f>IF(X260=0,0,IF(OR(E260=$AT$10,E260=$AT$9),VLOOKUP(YEAR(X260),INPC!$B$4:$P$30,MONTH(X260)+1),VLOOKUP(YEAR(X260),INPC!$B$4:$P$30,MONTH(X260)+2,0)))</f>
        <v>118.002</v>
      </c>
      <c r="R260" s="309">
        <f t="shared" si="73"/>
        <v>1.044</v>
      </c>
      <c r="S260" s="310">
        <f t="shared" si="74"/>
        <v>3152.9258365389232</v>
      </c>
      <c r="T260" s="555">
        <f t="shared" si="75"/>
        <v>1050.9752788463077</v>
      </c>
      <c r="U260" s="311"/>
      <c r="V260" s="312">
        <v>3</v>
      </c>
      <c r="W260" s="299" t="s">
        <v>194</v>
      </c>
      <c r="X260" s="300">
        <v>44588</v>
      </c>
      <c r="Y260" s="299" t="s">
        <v>59</v>
      </c>
      <c r="Z260" s="303">
        <v>134.26079999999999</v>
      </c>
      <c r="AA260" s="305">
        <f>IF(Z260=0,0,IF(Y260="MXN",1/HLOOKUP(YEAR(X260)+(MONTH(X260)/100),TC!$5:$37,DAY(X260)+2,FALSE),VLOOKUP(Y260,Equivalencia!$1:$23,((MAX(Equivalencia!$3:$3)-YEAR(X260))*14)+MONTH(X260)+2,FALSE)))</f>
        <v>1</v>
      </c>
      <c r="AB260" s="306">
        <f t="shared" si="76"/>
        <v>134.26079999999999</v>
      </c>
      <c r="AC260" s="305">
        <f>+IF(X260=0,0,HLOOKUP(YEAR(X260)+(MONTH(X260)/100),TC!$5:$37,DAY(X260)+2,FALSE))</f>
        <v>20.668299999999999</v>
      </c>
      <c r="AD260" s="307">
        <f t="shared" si="77"/>
        <v>2774.9424926399997</v>
      </c>
      <c r="AE260" s="314">
        <f t="shared" si="78"/>
        <v>3152.9258365389232</v>
      </c>
      <c r="AF260" s="315">
        <f t="shared" si="79"/>
        <v>-377.98334389892352</v>
      </c>
      <c r="AG260" s="316">
        <f t="shared" si="80"/>
        <v>0.65479452054794518</v>
      </c>
      <c r="AH260" s="314">
        <v>1</v>
      </c>
      <c r="AI260" s="314">
        <f t="shared" si="81"/>
        <v>-377.98334389892352</v>
      </c>
      <c r="AJ260" s="314">
        <f t="shared" si="82"/>
        <v>0</v>
      </c>
      <c r="AK260" s="317"/>
      <c r="AL260" s="315">
        <f t="shared" si="83"/>
        <v>-17.337936263736282</v>
      </c>
      <c r="AN260" s="554">
        <f t="shared" si="84"/>
        <v>-0.1143672875582121</v>
      </c>
      <c r="AO260" s="314"/>
      <c r="AP260" s="318"/>
    </row>
    <row r="261" spans="2:42">
      <c r="B261" s="296" t="s">
        <v>1254</v>
      </c>
      <c r="C261" s="299" t="s">
        <v>277</v>
      </c>
      <c r="D261" s="298" t="s">
        <v>708</v>
      </c>
      <c r="E261" s="299" t="s">
        <v>106</v>
      </c>
      <c r="F261" s="299" t="s">
        <v>59</v>
      </c>
      <c r="G261" s="300">
        <v>44349</v>
      </c>
      <c r="H261" s="303">
        <v>4194.231703296703</v>
      </c>
      <c r="I261" s="301" t="str">
        <f t="shared" si="68"/>
        <v>Ingresos Sección I LISR</v>
      </c>
      <c r="J261" s="302">
        <f t="shared" si="69"/>
        <v>83</v>
      </c>
      <c r="K261" s="304">
        <f t="shared" si="70"/>
        <v>50.532912087912088</v>
      </c>
      <c r="L261" s="305">
        <f>IF(H261=0,0,IF(OR(E261=$AT$5,E261=$AT$6),AA261,IF(F261="MXN",1/HLOOKUP(YEAR(G261)+(MONTH(G261)/100),TC!$5:$37,DAY(G261)+2,FALSE),VLOOKUP(F261,Equivalencia!$5:$23,((MAX(Equivalencia!$3:$3)-YEAR(G261))*14)+MONTH(G261)+2,FALSE))))</f>
        <v>1</v>
      </c>
      <c r="M261" s="306">
        <f t="shared" si="71"/>
        <v>4194.231703296703</v>
      </c>
      <c r="N261" s="305">
        <f>IF(G261=0,0,(IF(OR(E261=$AT$5,E261=$AT$6),AC261,HLOOKUP(YEAR(G261)+(MONTH(G261)/100),TC!$5:$37,DAY(G261)+2,FALSE))))</f>
        <v>19.921299999999999</v>
      </c>
      <c r="O261" s="307">
        <f t="shared" si="72"/>
        <v>83554.548030884602</v>
      </c>
      <c r="P261" s="560">
        <f>IF(G261=0,0,VLOOKUP(YEAR(G261),INPC!$B$4:$P$30,MONTH(G261)+2))</f>
        <v>113.018</v>
      </c>
      <c r="Q261" s="560">
        <f>IF(X261=0,0,IF(OR(E261=$AT$10,E261=$AT$9),VLOOKUP(YEAR(X261),INPC!$B$4:$P$30,MONTH(X261)+1),VLOOKUP(YEAR(X261),INPC!$B$4:$P$30,MONTH(X261)+2,0)))</f>
        <v>118.002</v>
      </c>
      <c r="R261" s="309">
        <f t="shared" si="73"/>
        <v>1.044</v>
      </c>
      <c r="S261" s="310">
        <f t="shared" si="74"/>
        <v>87230.948144243521</v>
      </c>
      <c r="T261" s="555">
        <f t="shared" si="75"/>
        <v>1050.9752788463074</v>
      </c>
      <c r="U261" s="311"/>
      <c r="V261" s="312">
        <v>83</v>
      </c>
      <c r="W261" s="299" t="s">
        <v>194</v>
      </c>
      <c r="X261" s="300">
        <v>44588</v>
      </c>
      <c r="Y261" s="299" t="s">
        <v>59</v>
      </c>
      <c r="Z261" s="303">
        <v>3641.13</v>
      </c>
      <c r="AA261" s="305">
        <f>IF(Z261=0,0,IF(Y261="MXN",1/HLOOKUP(YEAR(X261)+(MONTH(X261)/100),TC!$5:$37,DAY(X261)+2,FALSE),VLOOKUP(Y261,Equivalencia!$1:$23,((MAX(Equivalencia!$3:$3)-YEAR(X261))*14)+MONTH(X261)+2,FALSE)))</f>
        <v>1</v>
      </c>
      <c r="AB261" s="306">
        <f t="shared" si="76"/>
        <v>3641.13</v>
      </c>
      <c r="AC261" s="305">
        <f>+IF(X261=0,0,HLOOKUP(YEAR(X261)+(MONTH(X261)/100),TC!$5:$37,DAY(X261)+2,FALSE))</f>
        <v>20.668299999999999</v>
      </c>
      <c r="AD261" s="307">
        <f t="shared" si="77"/>
        <v>75255.967178999999</v>
      </c>
      <c r="AE261" s="314">
        <f t="shared" si="78"/>
        <v>87230.948144243521</v>
      </c>
      <c r="AF261" s="315">
        <f t="shared" si="79"/>
        <v>-11974.980965243521</v>
      </c>
      <c r="AG261" s="316">
        <f t="shared" si="80"/>
        <v>0.65479452054794518</v>
      </c>
      <c r="AH261" s="314">
        <v>1</v>
      </c>
      <c r="AI261" s="314">
        <f t="shared" si="81"/>
        <v>-11974.980965243521</v>
      </c>
      <c r="AJ261" s="314">
        <f t="shared" si="82"/>
        <v>0</v>
      </c>
      <c r="AK261" s="317"/>
      <c r="AL261" s="315">
        <f t="shared" si="83"/>
        <v>-553.10170329670291</v>
      </c>
      <c r="AN261" s="554">
        <f t="shared" si="84"/>
        <v>-0.13187199526005206</v>
      </c>
      <c r="AO261" s="314"/>
      <c r="AP261" s="318"/>
    </row>
    <row r="262" spans="2:42">
      <c r="B262" s="296" t="s">
        <v>1254</v>
      </c>
      <c r="C262" s="299" t="s">
        <v>277</v>
      </c>
      <c r="D262" s="298" t="s">
        <v>708</v>
      </c>
      <c r="E262" s="299" t="s">
        <v>106</v>
      </c>
      <c r="F262" s="299" t="s">
        <v>59</v>
      </c>
      <c r="G262" s="300">
        <v>44349</v>
      </c>
      <c r="H262" s="303">
        <v>4699.5608241758246</v>
      </c>
      <c r="I262" s="301" t="str">
        <f t="shared" si="68"/>
        <v>Ingresos Sección I LISR</v>
      </c>
      <c r="J262" s="302">
        <f t="shared" si="69"/>
        <v>93</v>
      </c>
      <c r="K262" s="304">
        <f t="shared" si="70"/>
        <v>50.532912087912095</v>
      </c>
      <c r="L262" s="305">
        <f>IF(H262=0,0,IF(OR(E262=$AT$5,E262=$AT$6),AA262,IF(F262="MXN",1/HLOOKUP(YEAR(G262)+(MONTH(G262)/100),TC!$5:$37,DAY(G262)+2,FALSE),VLOOKUP(F262,Equivalencia!$5:$23,((MAX(Equivalencia!$3:$3)-YEAR(G262))*14)+MONTH(G262)+2,FALSE))))</f>
        <v>1</v>
      </c>
      <c r="M262" s="306">
        <f t="shared" si="71"/>
        <v>4699.5608241758246</v>
      </c>
      <c r="N262" s="305">
        <f>IF(G262=0,0,(IF(OR(E262=$AT$5,E262=$AT$6),AC262,HLOOKUP(YEAR(G262)+(MONTH(G262)/100),TC!$5:$37,DAY(G262)+2,FALSE))))</f>
        <v>19.921299999999999</v>
      </c>
      <c r="O262" s="307">
        <f t="shared" si="72"/>
        <v>93621.361046653852</v>
      </c>
      <c r="P262" s="560">
        <f>IF(G262=0,0,VLOOKUP(YEAR(G262),INPC!$B$4:$P$30,MONTH(G262)+2))</f>
        <v>113.018</v>
      </c>
      <c r="Q262" s="560">
        <f>IF(X262=0,0,IF(OR(E262=$AT$10,E262=$AT$9),VLOOKUP(YEAR(X262),INPC!$B$4:$P$30,MONTH(X262)+1),VLOOKUP(YEAR(X262),INPC!$B$4:$P$30,MONTH(X262)+2,0)))</f>
        <v>118.002</v>
      </c>
      <c r="R262" s="309">
        <f t="shared" si="73"/>
        <v>1.044</v>
      </c>
      <c r="S262" s="310">
        <f t="shared" si="74"/>
        <v>97740.700932706619</v>
      </c>
      <c r="T262" s="555">
        <f t="shared" si="75"/>
        <v>1050.9752788463077</v>
      </c>
      <c r="U262" s="311"/>
      <c r="V262" s="312">
        <v>93</v>
      </c>
      <c r="W262" s="299" t="s">
        <v>194</v>
      </c>
      <c r="X262" s="300">
        <v>44587</v>
      </c>
      <c r="Y262" s="299" t="s">
        <v>59</v>
      </c>
      <c r="Z262" s="303">
        <v>4194.3999999999996</v>
      </c>
      <c r="AA262" s="305">
        <f>IF(Z262=0,0,IF(Y262="MXN",1/HLOOKUP(YEAR(X262)+(MONTH(X262)/100),TC!$5:$37,DAY(X262)+2,FALSE),VLOOKUP(Y262,Equivalencia!$1:$23,((MAX(Equivalencia!$3:$3)-YEAR(X262))*14)+MONTH(X262)+2,FALSE)))</f>
        <v>1</v>
      </c>
      <c r="AB262" s="306">
        <f t="shared" si="76"/>
        <v>4194.3999999999996</v>
      </c>
      <c r="AC262" s="305">
        <f>+IF(X262=0,0,HLOOKUP(YEAR(X262)+(MONTH(X262)/100),TC!$5:$37,DAY(X262)+2,FALSE))</f>
        <v>20.630800000000001</v>
      </c>
      <c r="AD262" s="307">
        <f t="shared" si="77"/>
        <v>86533.827519999992</v>
      </c>
      <c r="AE262" s="314">
        <f t="shared" si="78"/>
        <v>97740.700932706619</v>
      </c>
      <c r="AF262" s="315">
        <f t="shared" si="79"/>
        <v>-11206.873412706627</v>
      </c>
      <c r="AG262" s="316">
        <f t="shared" si="80"/>
        <v>0.65205479452054793</v>
      </c>
      <c r="AH262" s="314">
        <v>1</v>
      </c>
      <c r="AI262" s="314">
        <f t="shared" si="81"/>
        <v>-11206.873412706627</v>
      </c>
      <c r="AJ262" s="314">
        <f t="shared" si="82"/>
        <v>0</v>
      </c>
      <c r="AK262" s="317"/>
      <c r="AL262" s="315">
        <f t="shared" si="83"/>
        <v>-505.16082417582493</v>
      </c>
      <c r="AN262" s="554">
        <f t="shared" si="84"/>
        <v>-0.10749107056496421</v>
      </c>
      <c r="AO262" s="314"/>
      <c r="AP262" s="318"/>
    </row>
    <row r="263" spans="2:42">
      <c r="B263" s="296" t="s">
        <v>1254</v>
      </c>
      <c r="C263" s="299" t="s">
        <v>277</v>
      </c>
      <c r="D263" s="298" t="s">
        <v>708</v>
      </c>
      <c r="E263" s="299" t="s">
        <v>106</v>
      </c>
      <c r="F263" s="299" t="s">
        <v>59</v>
      </c>
      <c r="G263" s="300">
        <v>44349</v>
      </c>
      <c r="H263" s="303">
        <v>151.59873626373627</v>
      </c>
      <c r="I263" s="301" t="str">
        <f t="shared" si="68"/>
        <v>Ingresos Sección I LISR</v>
      </c>
      <c r="J263" s="302">
        <f t="shared" si="69"/>
        <v>3</v>
      </c>
      <c r="K263" s="304">
        <f t="shared" si="70"/>
        <v>50.532912087912088</v>
      </c>
      <c r="L263" s="305">
        <f>IF(H263=0,0,IF(OR(E263=$AT$5,E263=$AT$6),AA263,IF(F263="MXN",1/HLOOKUP(YEAR(G263)+(MONTH(G263)/100),TC!$5:$37,DAY(G263)+2,FALSE),VLOOKUP(F263,Equivalencia!$5:$23,((MAX(Equivalencia!$3:$3)-YEAR(G263))*14)+MONTH(G263)+2,FALSE))))</f>
        <v>1</v>
      </c>
      <c r="M263" s="306">
        <f t="shared" si="71"/>
        <v>151.59873626373627</v>
      </c>
      <c r="N263" s="305">
        <f>IF(G263=0,0,(IF(OR(E263=$AT$5,E263=$AT$6),AC263,HLOOKUP(YEAR(G263)+(MONTH(G263)/100),TC!$5:$37,DAY(G263)+2,FALSE))))</f>
        <v>19.921299999999999</v>
      </c>
      <c r="O263" s="307">
        <f t="shared" si="72"/>
        <v>3020.0439047307691</v>
      </c>
      <c r="P263" s="560">
        <f>IF(G263=0,0,VLOOKUP(YEAR(G263),INPC!$B$4:$P$30,MONTH(G263)+2))</f>
        <v>113.018</v>
      </c>
      <c r="Q263" s="560">
        <f>IF(X263=0,0,IF(OR(E263=$AT$10,E263=$AT$9),VLOOKUP(YEAR(X263),INPC!$B$4:$P$30,MONTH(X263)+1),VLOOKUP(YEAR(X263),INPC!$B$4:$P$30,MONTH(X263)+2,0)))</f>
        <v>118.98099999999999</v>
      </c>
      <c r="R263" s="309">
        <f t="shared" si="73"/>
        <v>1.0527</v>
      </c>
      <c r="S263" s="310">
        <f t="shared" si="74"/>
        <v>3179.2002185100805</v>
      </c>
      <c r="T263" s="555">
        <f t="shared" si="75"/>
        <v>1059.7334061700269</v>
      </c>
      <c r="U263" s="311"/>
      <c r="V263" s="312">
        <v>3</v>
      </c>
      <c r="W263" s="299" t="s">
        <v>194</v>
      </c>
      <c r="X263" s="300">
        <v>44600</v>
      </c>
      <c r="Y263" s="299" t="s">
        <v>59</v>
      </c>
      <c r="Z263" s="303">
        <v>148.9425</v>
      </c>
      <c r="AA263" s="305">
        <f>IF(Z263=0,0,IF(Y263="MXN",1/HLOOKUP(YEAR(X263)+(MONTH(X263)/100),TC!$5:$37,DAY(X263)+2,FALSE),VLOOKUP(Y263,Equivalencia!$1:$23,((MAX(Equivalencia!$3:$3)-YEAR(X263))*14)+MONTH(X263)+2,FALSE)))</f>
        <v>1</v>
      </c>
      <c r="AB263" s="306">
        <f t="shared" si="76"/>
        <v>148.9425</v>
      </c>
      <c r="AC263" s="305">
        <f>+IF(X263=0,0,HLOOKUP(YEAR(X263)+(MONTH(X263)/100),TC!$5:$37,DAY(X263)+2,FALSE))</f>
        <v>20.5562</v>
      </c>
      <c r="AD263" s="307">
        <f t="shared" si="77"/>
        <v>3061.6918185</v>
      </c>
      <c r="AE263" s="314">
        <f t="shared" si="78"/>
        <v>3179.200218510081</v>
      </c>
      <c r="AF263" s="315">
        <f t="shared" si="79"/>
        <v>-117.508400010081</v>
      </c>
      <c r="AG263" s="316">
        <f t="shared" si="80"/>
        <v>0.68767123287671228</v>
      </c>
      <c r="AH263" s="314">
        <v>1</v>
      </c>
      <c r="AI263" s="314">
        <f t="shared" si="81"/>
        <v>-117.508400010081</v>
      </c>
      <c r="AJ263" s="314">
        <f t="shared" si="82"/>
        <v>0</v>
      </c>
      <c r="AK263" s="317"/>
      <c r="AL263" s="315">
        <f t="shared" si="83"/>
        <v>-2.6562362637362753</v>
      </c>
      <c r="AN263" s="554">
        <f t="shared" si="84"/>
        <v>-1.7521493445138106E-2</v>
      </c>
      <c r="AO263" s="314"/>
      <c r="AP263" s="318"/>
    </row>
    <row r="264" spans="2:42">
      <c r="B264" s="296" t="s">
        <v>1254</v>
      </c>
      <c r="C264" s="299" t="s">
        <v>277</v>
      </c>
      <c r="D264" s="298" t="s">
        <v>708</v>
      </c>
      <c r="E264" s="299" t="s">
        <v>106</v>
      </c>
      <c r="F264" s="299" t="s">
        <v>59</v>
      </c>
      <c r="G264" s="300">
        <v>44349</v>
      </c>
      <c r="H264" s="303">
        <v>376.93173913043478</v>
      </c>
      <c r="I264" s="301" t="str">
        <f t="shared" si="68"/>
        <v>Ingresos Sección I LISR</v>
      </c>
      <c r="J264" s="302">
        <f t="shared" si="69"/>
        <v>9</v>
      </c>
      <c r="K264" s="304">
        <f t="shared" si="70"/>
        <v>41.881304347826088</v>
      </c>
      <c r="L264" s="305">
        <f>IF(H264=0,0,IF(OR(E264=$AT$5,E264=$AT$6),AA264,IF(F264="MXN",1/HLOOKUP(YEAR(G264)+(MONTH(G264)/100),TC!$5:$37,DAY(G264)+2,FALSE),VLOOKUP(F264,Equivalencia!$5:$23,((MAX(Equivalencia!$3:$3)-YEAR(G264))*14)+MONTH(G264)+2,FALSE))))</f>
        <v>1</v>
      </c>
      <c r="M264" s="306">
        <f t="shared" si="71"/>
        <v>376.93173913043478</v>
      </c>
      <c r="N264" s="305">
        <f>IF(G264=0,0,(IF(OR(E264=$AT$5,E264=$AT$6),AC264,HLOOKUP(YEAR(G264)+(MONTH(G264)/100),TC!$5:$37,DAY(G264)+2,FALSE))))</f>
        <v>19.921299999999999</v>
      </c>
      <c r="O264" s="307">
        <f t="shared" si="72"/>
        <v>7508.9702547391298</v>
      </c>
      <c r="P264" s="560">
        <f>IF(G264=0,0,VLOOKUP(YEAR(G264),INPC!$B$4:$P$30,MONTH(G264)+2))</f>
        <v>113.018</v>
      </c>
      <c r="Q264" s="560">
        <f>IF(X264=0,0,IF(OR(E264=$AT$10,E264=$AT$9),VLOOKUP(YEAR(X264),INPC!$B$4:$P$30,MONTH(X264)+1),VLOOKUP(YEAR(X264),INPC!$B$4:$P$30,MONTH(X264)+2,0)))</f>
        <v>118.98099999999999</v>
      </c>
      <c r="R264" s="309">
        <f t="shared" si="73"/>
        <v>1.0527</v>
      </c>
      <c r="S264" s="310">
        <f t="shared" si="74"/>
        <v>7904.6929871638813</v>
      </c>
      <c r="T264" s="555">
        <f t="shared" si="75"/>
        <v>878.2992207959868</v>
      </c>
      <c r="U264" s="311"/>
      <c r="V264" s="312">
        <v>9</v>
      </c>
      <c r="W264" s="299" t="s">
        <v>194</v>
      </c>
      <c r="X264" s="300">
        <v>44600</v>
      </c>
      <c r="Y264" s="299" t="s">
        <v>59</v>
      </c>
      <c r="Z264" s="303">
        <v>446.82749999999999</v>
      </c>
      <c r="AA264" s="305">
        <f>IF(Z264=0,0,IF(Y264="MXN",1/HLOOKUP(YEAR(X264)+(MONTH(X264)/100),TC!$5:$37,DAY(X264)+2,FALSE),VLOOKUP(Y264,Equivalencia!$1:$23,((MAX(Equivalencia!$3:$3)-YEAR(X264))*14)+MONTH(X264)+2,FALSE)))</f>
        <v>1</v>
      </c>
      <c r="AB264" s="306">
        <f t="shared" si="76"/>
        <v>446.82749999999999</v>
      </c>
      <c r="AC264" s="305">
        <f>+IF(X264=0,0,HLOOKUP(YEAR(X264)+(MONTH(X264)/100),TC!$5:$37,DAY(X264)+2,FALSE))</f>
        <v>20.5562</v>
      </c>
      <c r="AD264" s="307">
        <f t="shared" si="77"/>
        <v>9185.0754555000003</v>
      </c>
      <c r="AE264" s="314">
        <f t="shared" si="78"/>
        <v>7904.6929871638813</v>
      </c>
      <c r="AF264" s="315">
        <f t="shared" si="79"/>
        <v>1280.382468336119</v>
      </c>
      <c r="AG264" s="316">
        <f t="shared" si="80"/>
        <v>0.68767123287671228</v>
      </c>
      <c r="AH264" s="314">
        <v>1</v>
      </c>
      <c r="AI264" s="314">
        <f t="shared" si="81"/>
        <v>1280.382468336119</v>
      </c>
      <c r="AJ264" s="314">
        <f t="shared" si="82"/>
        <v>0</v>
      </c>
      <c r="AK264" s="317"/>
      <c r="AL264" s="315">
        <f t="shared" si="83"/>
        <v>69.895760869565208</v>
      </c>
      <c r="AN264" s="554">
        <f t="shared" si="84"/>
        <v>0.18543347140469441</v>
      </c>
      <c r="AO264" s="314"/>
      <c r="AP264" s="318"/>
    </row>
    <row r="265" spans="2:42">
      <c r="B265" s="296" t="s">
        <v>1254</v>
      </c>
      <c r="C265" s="299" t="s">
        <v>277</v>
      </c>
      <c r="D265" s="298" t="s">
        <v>708</v>
      </c>
      <c r="E265" s="299" t="s">
        <v>106</v>
      </c>
      <c r="F265" s="299" t="s">
        <v>59</v>
      </c>
      <c r="G265" s="300">
        <v>44397</v>
      </c>
      <c r="H265" s="303">
        <v>586.33826086956526</v>
      </c>
      <c r="I265" s="301" t="str">
        <f t="shared" si="68"/>
        <v>Ingresos Sección I LISR</v>
      </c>
      <c r="J265" s="302">
        <f t="shared" si="69"/>
        <v>14</v>
      </c>
      <c r="K265" s="304">
        <f t="shared" si="70"/>
        <v>41.881304347826088</v>
      </c>
      <c r="L265" s="305">
        <f>IF(H265=0,0,IF(OR(E265=$AT$5,E265=$AT$6),AA265,IF(F265="MXN",1/HLOOKUP(YEAR(G265)+(MONTH(G265)/100),TC!$5:$37,DAY(G265)+2,FALSE),VLOOKUP(F265,Equivalencia!$5:$23,((MAX(Equivalencia!$3:$3)-YEAR(G265))*14)+MONTH(G265)+2,FALSE))))</f>
        <v>1</v>
      </c>
      <c r="M265" s="306">
        <f t="shared" si="71"/>
        <v>586.33826086956526</v>
      </c>
      <c r="N265" s="305">
        <f>IF(G265=0,0,(IF(OR(E265=$AT$5,E265=$AT$6),AC265,HLOOKUP(YEAR(G265)+(MONTH(G265)/100),TC!$5:$37,DAY(G265)+2,FALSE))))</f>
        <v>19.8537</v>
      </c>
      <c r="O265" s="307">
        <f t="shared" si="72"/>
        <v>11640.983929826089</v>
      </c>
      <c r="P265" s="560">
        <f>IF(G265=0,0,VLOOKUP(YEAR(G265),INPC!$B$4:$P$30,MONTH(G265)+2))</f>
        <v>113.682</v>
      </c>
      <c r="Q265" s="560">
        <f>IF(X265=0,0,IF(OR(E265=$AT$10,E265=$AT$9),VLOOKUP(YEAR(X265),INPC!$B$4:$P$30,MONTH(X265)+1),VLOOKUP(YEAR(X265),INPC!$B$4:$P$30,MONTH(X265)+2,0)))</f>
        <v>118.98099999999999</v>
      </c>
      <c r="R265" s="309">
        <f t="shared" si="73"/>
        <v>1.0466</v>
      </c>
      <c r="S265" s="310">
        <f t="shared" si="74"/>
        <v>12183.453780955984</v>
      </c>
      <c r="T265" s="555">
        <f t="shared" si="75"/>
        <v>870.24669863971314</v>
      </c>
      <c r="U265" s="311"/>
      <c r="V265" s="312">
        <v>14</v>
      </c>
      <c r="W265" s="299" t="s">
        <v>194</v>
      </c>
      <c r="X265" s="300">
        <v>44600</v>
      </c>
      <c r="Y265" s="299" t="s">
        <v>59</v>
      </c>
      <c r="Z265" s="303">
        <v>691.63906976744192</v>
      </c>
      <c r="AA265" s="305">
        <f>IF(Z265=0,0,IF(Y265="MXN",1/HLOOKUP(YEAR(X265)+(MONTH(X265)/100),TC!$5:$37,DAY(X265)+2,FALSE),VLOOKUP(Y265,Equivalencia!$1:$23,((MAX(Equivalencia!$3:$3)-YEAR(X265))*14)+MONTH(X265)+2,FALSE)))</f>
        <v>1</v>
      </c>
      <c r="AB265" s="306">
        <f t="shared" si="76"/>
        <v>691.63906976744192</v>
      </c>
      <c r="AC265" s="305">
        <f>+IF(X265=0,0,HLOOKUP(YEAR(X265)+(MONTH(X265)/100),TC!$5:$37,DAY(X265)+2,FALSE))</f>
        <v>20.5562</v>
      </c>
      <c r="AD265" s="307">
        <f t="shared" si="77"/>
        <v>14217.471045953491</v>
      </c>
      <c r="AE265" s="314">
        <f t="shared" si="78"/>
        <v>12183.453780955984</v>
      </c>
      <c r="AF265" s="315">
        <f t="shared" si="79"/>
        <v>2034.0172649975066</v>
      </c>
      <c r="AG265" s="316">
        <f t="shared" si="80"/>
        <v>0.55616438356164388</v>
      </c>
      <c r="AH265" s="314">
        <v>1</v>
      </c>
      <c r="AI265" s="314">
        <f t="shared" si="81"/>
        <v>2034.0172649975066</v>
      </c>
      <c r="AJ265" s="314">
        <f t="shared" si="82"/>
        <v>0</v>
      </c>
      <c r="AK265" s="317"/>
      <c r="AL265" s="315">
        <f t="shared" si="83"/>
        <v>105.30080889787666</v>
      </c>
      <c r="AN265" s="554">
        <f t="shared" si="84"/>
        <v>0.17959054683163769</v>
      </c>
      <c r="AO265" s="314"/>
      <c r="AP265" s="318"/>
    </row>
    <row r="266" spans="2:42">
      <c r="B266" s="296" t="s">
        <v>1254</v>
      </c>
      <c r="C266" s="299" t="s">
        <v>277</v>
      </c>
      <c r="D266" s="298" t="s">
        <v>708</v>
      </c>
      <c r="E266" s="299" t="s">
        <v>106</v>
      </c>
      <c r="F266" s="299" t="s">
        <v>59</v>
      </c>
      <c r="G266" s="300">
        <v>44397</v>
      </c>
      <c r="H266" s="303">
        <v>1215.82</v>
      </c>
      <c r="I266" s="301" t="str">
        <f t="shared" si="68"/>
        <v>Ingresos Sección I LISR</v>
      </c>
      <c r="J266" s="302">
        <f t="shared" si="69"/>
        <v>29</v>
      </c>
      <c r="K266" s="304">
        <f t="shared" si="70"/>
        <v>41.924827586206895</v>
      </c>
      <c r="L266" s="305">
        <f>IF(H266=0,0,IF(OR(E266=$AT$5,E266=$AT$6),AA266,IF(F266="MXN",1/HLOOKUP(YEAR(G266)+(MONTH(G266)/100),TC!$5:$37,DAY(G266)+2,FALSE),VLOOKUP(F266,Equivalencia!$5:$23,((MAX(Equivalencia!$3:$3)-YEAR(G266))*14)+MONTH(G266)+2,FALSE))))</f>
        <v>1</v>
      </c>
      <c r="M266" s="306">
        <f t="shared" si="71"/>
        <v>1215.82</v>
      </c>
      <c r="N266" s="305">
        <f>IF(G266=0,0,(IF(OR(E266=$AT$5,E266=$AT$6),AC266,HLOOKUP(YEAR(G266)+(MONTH(G266)/100),TC!$5:$37,DAY(G266)+2,FALSE))))</f>
        <v>19.8537</v>
      </c>
      <c r="O266" s="307">
        <f t="shared" si="72"/>
        <v>24138.525534</v>
      </c>
      <c r="P266" s="560">
        <f>IF(G266=0,0,VLOOKUP(YEAR(G266),INPC!$B$4:$P$30,MONTH(G266)+2))</f>
        <v>113.682</v>
      </c>
      <c r="Q266" s="560">
        <f>IF(X266=0,0,IF(OR(E266=$AT$10,E266=$AT$9),VLOOKUP(YEAR(X266),INPC!$B$4:$P$30,MONTH(X266)+1),VLOOKUP(YEAR(X266),INPC!$B$4:$P$30,MONTH(X266)+2,0)))</f>
        <v>118.98099999999999</v>
      </c>
      <c r="R266" s="309">
        <f t="shared" si="73"/>
        <v>1.0466</v>
      </c>
      <c r="S266" s="310">
        <f t="shared" si="74"/>
        <v>25263.380823884399</v>
      </c>
      <c r="T266" s="555">
        <f t="shared" si="75"/>
        <v>871.15106289256551</v>
      </c>
      <c r="U266" s="311"/>
      <c r="V266" s="312">
        <v>29</v>
      </c>
      <c r="W266" s="299" t="s">
        <v>194</v>
      </c>
      <c r="X266" s="300">
        <v>44600</v>
      </c>
      <c r="Y266" s="299" t="s">
        <v>59</v>
      </c>
      <c r="Z266" s="303">
        <v>1432.6809302325582</v>
      </c>
      <c r="AA266" s="305">
        <f>IF(Z266=0,0,IF(Y266="MXN",1/HLOOKUP(YEAR(X266)+(MONTH(X266)/100),TC!$5:$37,DAY(X266)+2,FALSE),VLOOKUP(Y266,Equivalencia!$1:$23,((MAX(Equivalencia!$3:$3)-YEAR(X266))*14)+MONTH(X266)+2,FALSE)))</f>
        <v>1</v>
      </c>
      <c r="AB266" s="306">
        <f t="shared" si="76"/>
        <v>1432.6809302325582</v>
      </c>
      <c r="AC266" s="305">
        <f>+IF(X266=0,0,HLOOKUP(YEAR(X266)+(MONTH(X266)/100),TC!$5:$37,DAY(X266)+2,FALSE))</f>
        <v>20.5562</v>
      </c>
      <c r="AD266" s="307">
        <f t="shared" si="77"/>
        <v>29450.475738046513</v>
      </c>
      <c r="AE266" s="314">
        <f t="shared" si="78"/>
        <v>25263.380823884399</v>
      </c>
      <c r="AF266" s="315">
        <f t="shared" si="79"/>
        <v>4187.0949141621131</v>
      </c>
      <c r="AG266" s="316">
        <f t="shared" si="80"/>
        <v>0.55616438356164388</v>
      </c>
      <c r="AH266" s="314">
        <v>1</v>
      </c>
      <c r="AI266" s="314">
        <f t="shared" si="81"/>
        <v>4187.0949141621131</v>
      </c>
      <c r="AJ266" s="314">
        <f t="shared" si="82"/>
        <v>0</v>
      </c>
      <c r="AK266" s="317"/>
      <c r="AL266" s="315">
        <f t="shared" si="83"/>
        <v>216.8609302325583</v>
      </c>
      <c r="AN266" s="554">
        <f t="shared" si="84"/>
        <v>0.17836598364277467</v>
      </c>
      <c r="AO266" s="314"/>
      <c r="AP266" s="318"/>
    </row>
    <row r="267" spans="2:42">
      <c r="B267" s="296" t="s">
        <v>1254</v>
      </c>
      <c r="C267" s="299" t="s">
        <v>277</v>
      </c>
      <c r="D267" s="298" t="s">
        <v>708</v>
      </c>
      <c r="E267" s="299" t="s">
        <v>106</v>
      </c>
      <c r="F267" s="299" t="s">
        <v>59</v>
      </c>
      <c r="G267" s="300">
        <v>44397</v>
      </c>
      <c r="H267" s="303">
        <v>251.54896551724136</v>
      </c>
      <c r="I267" s="301" t="str">
        <f t="shared" si="68"/>
        <v>Ingresos Sección I LISR</v>
      </c>
      <c r="J267" s="302">
        <f t="shared" si="69"/>
        <v>6</v>
      </c>
      <c r="K267" s="304">
        <f t="shared" si="70"/>
        <v>41.924827586206895</v>
      </c>
      <c r="L267" s="305">
        <f>IF(H267=0,0,IF(OR(E267=$AT$5,E267=$AT$6),AA267,IF(F267="MXN",1/HLOOKUP(YEAR(G267)+(MONTH(G267)/100),TC!$5:$37,DAY(G267)+2,FALSE),VLOOKUP(F267,Equivalencia!$5:$23,((MAX(Equivalencia!$3:$3)-YEAR(G267))*14)+MONTH(G267)+2,FALSE))))</f>
        <v>1</v>
      </c>
      <c r="M267" s="306">
        <f t="shared" si="71"/>
        <v>251.54896551724136</v>
      </c>
      <c r="N267" s="305">
        <f>IF(G267=0,0,(IF(OR(E267=$AT$5,E267=$AT$6),AC267,HLOOKUP(YEAR(G267)+(MONTH(G267)/100),TC!$5:$37,DAY(G267)+2,FALSE))))</f>
        <v>19.8537</v>
      </c>
      <c r="O267" s="307">
        <f t="shared" si="72"/>
        <v>4994.177696689655</v>
      </c>
      <c r="P267" s="560">
        <f>IF(G267=0,0,VLOOKUP(YEAR(G267),INPC!$B$4:$P$30,MONTH(G267)+2))</f>
        <v>113.682</v>
      </c>
      <c r="Q267" s="560">
        <f>IF(X267=0,0,IF(OR(E267=$AT$10,E267=$AT$9),VLOOKUP(YEAR(X267),INPC!$B$4:$P$30,MONTH(X267)+1),VLOOKUP(YEAR(X267),INPC!$B$4:$P$30,MONTH(X267)+2,0)))</f>
        <v>118.98099999999999</v>
      </c>
      <c r="R267" s="309">
        <f t="shared" si="73"/>
        <v>1.0466</v>
      </c>
      <c r="S267" s="310">
        <f t="shared" si="74"/>
        <v>5226.9063773553926</v>
      </c>
      <c r="T267" s="555">
        <f t="shared" si="75"/>
        <v>871.15106289256539</v>
      </c>
      <c r="U267" s="311"/>
      <c r="V267" s="312">
        <v>6</v>
      </c>
      <c r="W267" s="299" t="s">
        <v>194</v>
      </c>
      <c r="X267" s="300">
        <v>44600</v>
      </c>
      <c r="Y267" s="299" t="s">
        <v>59</v>
      </c>
      <c r="Z267" s="303">
        <v>296.33999999999997</v>
      </c>
      <c r="AA267" s="305">
        <f>IF(Z267=0,0,IF(Y267="MXN",1/HLOOKUP(YEAR(X267)+(MONTH(X267)/100),TC!$5:$37,DAY(X267)+2,FALSE),VLOOKUP(Y267,Equivalencia!$1:$23,((MAX(Equivalencia!$3:$3)-YEAR(X267))*14)+MONTH(X267)+2,FALSE)))</f>
        <v>1</v>
      </c>
      <c r="AB267" s="306">
        <f t="shared" si="76"/>
        <v>296.33999999999997</v>
      </c>
      <c r="AC267" s="305">
        <f>+IF(X267=0,0,HLOOKUP(YEAR(X267)+(MONTH(X267)/100),TC!$5:$37,DAY(X267)+2,FALSE))</f>
        <v>20.5562</v>
      </c>
      <c r="AD267" s="307">
        <f t="shared" si="77"/>
        <v>6091.6243079999995</v>
      </c>
      <c r="AE267" s="314">
        <f t="shared" si="78"/>
        <v>5226.9063773553926</v>
      </c>
      <c r="AF267" s="315">
        <f t="shared" si="79"/>
        <v>864.71793064460689</v>
      </c>
      <c r="AG267" s="316">
        <f t="shared" si="80"/>
        <v>0.55616438356164388</v>
      </c>
      <c r="AH267" s="314">
        <v>1</v>
      </c>
      <c r="AI267" s="314">
        <f t="shared" si="81"/>
        <v>864.71793064460689</v>
      </c>
      <c r="AJ267" s="314">
        <f t="shared" si="82"/>
        <v>0</v>
      </c>
      <c r="AK267" s="317"/>
      <c r="AL267" s="315">
        <f t="shared" si="83"/>
        <v>44.791034482758619</v>
      </c>
      <c r="AN267" s="554">
        <f t="shared" si="84"/>
        <v>0.1780608971722788</v>
      </c>
      <c r="AO267" s="314"/>
      <c r="AP267" s="318"/>
    </row>
    <row r="268" spans="2:42">
      <c r="B268" s="296" t="s">
        <v>1254</v>
      </c>
      <c r="C268" s="299" t="s">
        <v>277</v>
      </c>
      <c r="D268" s="298" t="s">
        <v>708</v>
      </c>
      <c r="E268" s="299" t="s">
        <v>106</v>
      </c>
      <c r="F268" s="299" t="s">
        <v>59</v>
      </c>
      <c r="G268" s="300">
        <v>44397</v>
      </c>
      <c r="H268" s="303">
        <v>251.54896551724136</v>
      </c>
      <c r="I268" s="301" t="str">
        <f t="shared" si="68"/>
        <v>Ingresos Sección I LISR</v>
      </c>
      <c r="J268" s="302">
        <f t="shared" si="69"/>
        <v>6</v>
      </c>
      <c r="K268" s="304">
        <f t="shared" si="70"/>
        <v>41.924827586206895</v>
      </c>
      <c r="L268" s="305">
        <f>IF(H268=0,0,IF(OR(E268=$AT$5,E268=$AT$6),AA268,IF(F268="MXN",1/HLOOKUP(YEAR(G268)+(MONTH(G268)/100),TC!$5:$37,DAY(G268)+2,FALSE),VLOOKUP(F268,Equivalencia!$5:$23,((MAX(Equivalencia!$3:$3)-YEAR(G268))*14)+MONTH(G268)+2,FALSE))))</f>
        <v>1</v>
      </c>
      <c r="M268" s="306">
        <f t="shared" si="71"/>
        <v>251.54896551724136</v>
      </c>
      <c r="N268" s="305">
        <f>IF(G268=0,0,(IF(OR(E268=$AT$5,E268=$AT$6),AC268,HLOOKUP(YEAR(G268)+(MONTH(G268)/100),TC!$5:$37,DAY(G268)+2,FALSE))))</f>
        <v>19.8537</v>
      </c>
      <c r="O268" s="307">
        <f t="shared" si="72"/>
        <v>4994.177696689655</v>
      </c>
      <c r="P268" s="560">
        <f>IF(G268=0,0,VLOOKUP(YEAR(G268),INPC!$B$4:$P$30,MONTH(G268)+2))</f>
        <v>113.682</v>
      </c>
      <c r="Q268" s="560">
        <f>IF(X268=0,0,IF(OR(E268=$AT$10,E268=$AT$9),VLOOKUP(YEAR(X268),INPC!$B$4:$P$30,MONTH(X268)+1),VLOOKUP(YEAR(X268),INPC!$B$4:$P$30,MONTH(X268)+2,0)))</f>
        <v>118.98099999999999</v>
      </c>
      <c r="R268" s="309">
        <f t="shared" si="73"/>
        <v>1.0466</v>
      </c>
      <c r="S268" s="310">
        <f t="shared" si="74"/>
        <v>5226.9063773553926</v>
      </c>
      <c r="T268" s="555">
        <f t="shared" si="75"/>
        <v>871.15106289256539</v>
      </c>
      <c r="U268" s="311"/>
      <c r="V268" s="312">
        <v>6</v>
      </c>
      <c r="W268" s="299" t="s">
        <v>194</v>
      </c>
      <c r="X268" s="300">
        <v>44600</v>
      </c>
      <c r="Y268" s="299" t="s">
        <v>59</v>
      </c>
      <c r="Z268" s="303">
        <v>297.33</v>
      </c>
      <c r="AA268" s="305">
        <f>IF(Z268=0,0,IF(Y268="MXN",1/HLOOKUP(YEAR(X268)+(MONTH(X268)/100),TC!$5:$37,DAY(X268)+2,FALSE),VLOOKUP(Y268,Equivalencia!$1:$23,((MAX(Equivalencia!$3:$3)-YEAR(X268))*14)+MONTH(X268)+2,FALSE)))</f>
        <v>1</v>
      </c>
      <c r="AB268" s="306">
        <f t="shared" si="76"/>
        <v>297.33</v>
      </c>
      <c r="AC268" s="305">
        <f>+IF(X268=0,0,HLOOKUP(YEAR(X268)+(MONTH(X268)/100),TC!$5:$37,DAY(X268)+2,FALSE))</f>
        <v>20.5562</v>
      </c>
      <c r="AD268" s="307">
        <f t="shared" si="77"/>
        <v>6111.9749459999994</v>
      </c>
      <c r="AE268" s="314">
        <f t="shared" si="78"/>
        <v>5226.9063773553926</v>
      </c>
      <c r="AF268" s="315">
        <f t="shared" si="79"/>
        <v>885.06856864460678</v>
      </c>
      <c r="AG268" s="316">
        <f t="shared" si="80"/>
        <v>0.55616438356164388</v>
      </c>
      <c r="AH268" s="314">
        <v>1</v>
      </c>
      <c r="AI268" s="314">
        <f t="shared" si="81"/>
        <v>885.06856864460678</v>
      </c>
      <c r="AJ268" s="314">
        <f t="shared" si="82"/>
        <v>0</v>
      </c>
      <c r="AK268" s="317"/>
      <c r="AL268" s="315">
        <f t="shared" si="83"/>
        <v>45.781034482758628</v>
      </c>
      <c r="AN268" s="554">
        <f t="shared" si="84"/>
        <v>0.18199651264167396</v>
      </c>
      <c r="AO268" s="314"/>
      <c r="AP268" s="318"/>
    </row>
    <row r="269" spans="2:42">
      <c r="B269" s="296" t="s">
        <v>1254</v>
      </c>
      <c r="C269" s="299" t="s">
        <v>277</v>
      </c>
      <c r="D269" s="298" t="s">
        <v>708</v>
      </c>
      <c r="E269" s="299" t="s">
        <v>106</v>
      </c>
      <c r="F269" s="299" t="s">
        <v>59</v>
      </c>
      <c r="G269" s="300">
        <v>44397</v>
      </c>
      <c r="H269" s="303">
        <v>712.72206896551722</v>
      </c>
      <c r="I269" s="301" t="str">
        <f t="shared" si="68"/>
        <v>Ingresos Sección I LISR</v>
      </c>
      <c r="J269" s="302">
        <f t="shared" si="69"/>
        <v>17</v>
      </c>
      <c r="K269" s="304">
        <f t="shared" si="70"/>
        <v>41.924827586206895</v>
      </c>
      <c r="L269" s="305">
        <f>IF(H269=0,0,IF(OR(E269=$AT$5,E269=$AT$6),AA269,IF(F269="MXN",1/HLOOKUP(YEAR(G269)+(MONTH(G269)/100),TC!$5:$37,DAY(G269)+2,FALSE),VLOOKUP(F269,Equivalencia!$5:$23,((MAX(Equivalencia!$3:$3)-YEAR(G269))*14)+MONTH(G269)+2,FALSE))))</f>
        <v>1</v>
      </c>
      <c r="M269" s="306">
        <f t="shared" si="71"/>
        <v>712.72206896551722</v>
      </c>
      <c r="N269" s="305">
        <f>IF(G269=0,0,(IF(OR(E269=$AT$5,E269=$AT$6),AC269,HLOOKUP(YEAR(G269)+(MONTH(G269)/100),TC!$5:$37,DAY(G269)+2,FALSE))))</f>
        <v>19.8537</v>
      </c>
      <c r="O269" s="307">
        <f t="shared" si="72"/>
        <v>14150.170140620688</v>
      </c>
      <c r="P269" s="560">
        <f>IF(G269=0,0,VLOOKUP(YEAR(G269),INPC!$B$4:$P$30,MONTH(G269)+2))</f>
        <v>113.682</v>
      </c>
      <c r="Q269" s="560">
        <f>IF(X269=0,0,IF(OR(E269=$AT$10,E269=$AT$9),VLOOKUP(YEAR(X269),INPC!$B$4:$P$30,MONTH(X269)+1),VLOOKUP(YEAR(X269),INPC!$B$4:$P$30,MONTH(X269)+2,0)))</f>
        <v>118.98099999999999</v>
      </c>
      <c r="R269" s="309">
        <f t="shared" si="73"/>
        <v>1.0466</v>
      </c>
      <c r="S269" s="310">
        <f t="shared" si="74"/>
        <v>14809.568069173612</v>
      </c>
      <c r="T269" s="555">
        <f t="shared" si="75"/>
        <v>871.15106289256539</v>
      </c>
      <c r="U269" s="311"/>
      <c r="V269" s="312">
        <v>17</v>
      </c>
      <c r="W269" s="299" t="s">
        <v>194</v>
      </c>
      <c r="X269" s="300">
        <v>44600</v>
      </c>
      <c r="Y269" s="299" t="s">
        <v>59</v>
      </c>
      <c r="Z269" s="303">
        <v>840.4516666666666</v>
      </c>
      <c r="AA269" s="305">
        <f>IF(Z269=0,0,IF(Y269="MXN",1/HLOOKUP(YEAR(X269)+(MONTH(X269)/100),TC!$5:$37,DAY(X269)+2,FALSE),VLOOKUP(Y269,Equivalencia!$1:$23,((MAX(Equivalencia!$3:$3)-YEAR(X269))*14)+MONTH(X269)+2,FALSE)))</f>
        <v>1</v>
      </c>
      <c r="AB269" s="306">
        <f t="shared" si="76"/>
        <v>840.4516666666666</v>
      </c>
      <c r="AC269" s="305">
        <f>+IF(X269=0,0,HLOOKUP(YEAR(X269)+(MONTH(X269)/100),TC!$5:$37,DAY(X269)+2,FALSE))</f>
        <v>20.5562</v>
      </c>
      <c r="AD269" s="307">
        <f t="shared" si="77"/>
        <v>17276.492550333332</v>
      </c>
      <c r="AE269" s="314">
        <f t="shared" si="78"/>
        <v>14809.568069173612</v>
      </c>
      <c r="AF269" s="315">
        <f t="shared" si="79"/>
        <v>2466.92448115972</v>
      </c>
      <c r="AG269" s="316">
        <f t="shared" si="80"/>
        <v>0.55616438356164388</v>
      </c>
      <c r="AH269" s="314">
        <v>1</v>
      </c>
      <c r="AI269" s="314">
        <f t="shared" si="81"/>
        <v>2466.92448115972</v>
      </c>
      <c r="AJ269" s="314">
        <f t="shared" si="82"/>
        <v>0</v>
      </c>
      <c r="AK269" s="317"/>
      <c r="AL269" s="315">
        <f t="shared" si="83"/>
        <v>127.72959770114937</v>
      </c>
      <c r="AN269" s="554">
        <f t="shared" si="84"/>
        <v>0.17921375422897023</v>
      </c>
      <c r="AO269" s="314"/>
      <c r="AP269" s="318"/>
    </row>
    <row r="270" spans="2:42">
      <c r="B270" s="296" t="s">
        <v>1254</v>
      </c>
      <c r="C270" s="299" t="s">
        <v>277</v>
      </c>
      <c r="D270" s="298" t="s">
        <v>708</v>
      </c>
      <c r="E270" s="299" t="s">
        <v>106</v>
      </c>
      <c r="F270" s="299" t="s">
        <v>59</v>
      </c>
      <c r="G270" s="300">
        <v>44397</v>
      </c>
      <c r="H270" s="303">
        <v>2054.1837226277371</v>
      </c>
      <c r="I270" s="301" t="str">
        <f t="shared" si="68"/>
        <v>Ingresos Sección I LISR</v>
      </c>
      <c r="J270" s="302">
        <f t="shared" si="69"/>
        <v>49</v>
      </c>
      <c r="K270" s="304">
        <f t="shared" si="70"/>
        <v>41.922116788321162</v>
      </c>
      <c r="L270" s="305">
        <f>IF(H270=0,0,IF(OR(E270=$AT$5,E270=$AT$6),AA270,IF(F270="MXN",1/HLOOKUP(YEAR(G270)+(MONTH(G270)/100),TC!$5:$37,DAY(G270)+2,FALSE),VLOOKUP(F270,Equivalencia!$5:$23,((MAX(Equivalencia!$3:$3)-YEAR(G270))*14)+MONTH(G270)+2,FALSE))))</f>
        <v>1</v>
      </c>
      <c r="M270" s="306">
        <f t="shared" si="71"/>
        <v>2054.1837226277371</v>
      </c>
      <c r="N270" s="305">
        <f>IF(G270=0,0,(IF(OR(E270=$AT$5,E270=$AT$6),AC270,HLOOKUP(YEAR(G270)+(MONTH(G270)/100),TC!$5:$37,DAY(G270)+2,FALSE))))</f>
        <v>19.8537</v>
      </c>
      <c r="O270" s="307">
        <f t="shared" si="72"/>
        <v>40783.147373934306</v>
      </c>
      <c r="P270" s="560">
        <f>IF(G270=0,0,VLOOKUP(YEAR(G270),INPC!$B$4:$P$30,MONTH(G270)+2))</f>
        <v>113.682</v>
      </c>
      <c r="Q270" s="560">
        <f>IF(X270=0,0,IF(OR(E270=$AT$10,E270=$AT$9),VLOOKUP(YEAR(X270),INPC!$B$4:$P$30,MONTH(X270)+1),VLOOKUP(YEAR(X270),INPC!$B$4:$P$30,MONTH(X270)+2,0)))</f>
        <v>118.98099999999999</v>
      </c>
      <c r="R270" s="309">
        <f t="shared" si="73"/>
        <v>1.0466</v>
      </c>
      <c r="S270" s="310">
        <f t="shared" si="74"/>
        <v>42683.642041559644</v>
      </c>
      <c r="T270" s="555">
        <f t="shared" si="75"/>
        <v>871.0947355420335</v>
      </c>
      <c r="U270" s="311"/>
      <c r="V270" s="312">
        <v>49</v>
      </c>
      <c r="W270" s="299" t="s">
        <v>194</v>
      </c>
      <c r="X270" s="300">
        <v>44600</v>
      </c>
      <c r="Y270" s="299" t="s">
        <v>59</v>
      </c>
      <c r="Z270" s="303">
        <v>2422.4783333333335</v>
      </c>
      <c r="AA270" s="305">
        <f>IF(Z270=0,0,IF(Y270="MXN",1/HLOOKUP(YEAR(X270)+(MONTH(X270)/100),TC!$5:$37,DAY(X270)+2,FALSE),VLOOKUP(Y270,Equivalencia!$1:$23,((MAX(Equivalencia!$3:$3)-YEAR(X270))*14)+MONTH(X270)+2,FALSE)))</f>
        <v>1</v>
      </c>
      <c r="AB270" s="306">
        <f t="shared" si="76"/>
        <v>2422.4783333333335</v>
      </c>
      <c r="AC270" s="305">
        <f>+IF(X270=0,0,HLOOKUP(YEAR(X270)+(MONTH(X270)/100),TC!$5:$37,DAY(X270)+2,FALSE))</f>
        <v>20.5562</v>
      </c>
      <c r="AD270" s="307">
        <f t="shared" si="77"/>
        <v>49796.94911566667</v>
      </c>
      <c r="AE270" s="314">
        <f t="shared" si="78"/>
        <v>42683.642041559644</v>
      </c>
      <c r="AF270" s="315">
        <f t="shared" si="79"/>
        <v>7113.307074107026</v>
      </c>
      <c r="AG270" s="316">
        <f t="shared" si="80"/>
        <v>0.55616438356164388</v>
      </c>
      <c r="AH270" s="314">
        <v>1</v>
      </c>
      <c r="AI270" s="314">
        <f t="shared" si="81"/>
        <v>7113.307074107026</v>
      </c>
      <c r="AJ270" s="314">
        <f t="shared" si="82"/>
        <v>0</v>
      </c>
      <c r="AK270" s="317"/>
      <c r="AL270" s="315">
        <f t="shared" si="83"/>
        <v>368.29461070559637</v>
      </c>
      <c r="AN270" s="554">
        <f t="shared" si="84"/>
        <v>0.17929000539176182</v>
      </c>
      <c r="AO270" s="314"/>
      <c r="AP270" s="318"/>
    </row>
    <row r="271" spans="2:42">
      <c r="B271" s="296" t="s">
        <v>1254</v>
      </c>
      <c r="C271" s="299" t="s">
        <v>277</v>
      </c>
      <c r="D271" s="298" t="s">
        <v>708</v>
      </c>
      <c r="E271" s="299" t="s">
        <v>106</v>
      </c>
      <c r="F271" s="299" t="s">
        <v>59</v>
      </c>
      <c r="G271" s="300">
        <v>44397</v>
      </c>
      <c r="H271" s="303">
        <v>377.2990510948905</v>
      </c>
      <c r="I271" s="301" t="str">
        <f t="shared" si="68"/>
        <v>Ingresos Sección I LISR</v>
      </c>
      <c r="J271" s="302">
        <f t="shared" si="69"/>
        <v>9</v>
      </c>
      <c r="K271" s="304">
        <f t="shared" si="70"/>
        <v>41.922116788321169</v>
      </c>
      <c r="L271" s="305">
        <f>IF(H271=0,0,IF(OR(E271=$AT$5,E271=$AT$6),AA271,IF(F271="MXN",1/HLOOKUP(YEAR(G271)+(MONTH(G271)/100),TC!$5:$37,DAY(G271)+2,FALSE),VLOOKUP(F271,Equivalencia!$5:$23,((MAX(Equivalencia!$3:$3)-YEAR(G271))*14)+MONTH(G271)+2,FALSE))))</f>
        <v>1</v>
      </c>
      <c r="M271" s="306">
        <f t="shared" si="71"/>
        <v>377.2990510948905</v>
      </c>
      <c r="N271" s="305">
        <f>IF(G271=0,0,(IF(OR(E271=$AT$5,E271=$AT$6),AC271,HLOOKUP(YEAR(G271)+(MONTH(G271)/100),TC!$5:$37,DAY(G271)+2,FALSE))))</f>
        <v>19.8537</v>
      </c>
      <c r="O271" s="307">
        <f t="shared" si="72"/>
        <v>7490.7821707226276</v>
      </c>
      <c r="P271" s="560">
        <f>IF(G271=0,0,VLOOKUP(YEAR(G271),INPC!$B$4:$P$30,MONTH(G271)+2))</f>
        <v>113.682</v>
      </c>
      <c r="Q271" s="560">
        <f>IF(X271=0,0,IF(OR(E271=$AT$10,E271=$AT$9),VLOOKUP(YEAR(X271),INPC!$B$4:$P$30,MONTH(X271)+1),VLOOKUP(YEAR(X271),INPC!$B$4:$P$30,MONTH(X271)+2,0)))</f>
        <v>118.98099999999999</v>
      </c>
      <c r="R271" s="309">
        <f t="shared" si="73"/>
        <v>1.0466</v>
      </c>
      <c r="S271" s="310">
        <f t="shared" si="74"/>
        <v>7839.852619878302</v>
      </c>
      <c r="T271" s="555">
        <f t="shared" si="75"/>
        <v>871.0947355420335</v>
      </c>
      <c r="U271" s="311"/>
      <c r="V271" s="312">
        <v>9</v>
      </c>
      <c r="W271" s="299" t="s">
        <v>194</v>
      </c>
      <c r="X271" s="300">
        <v>44600</v>
      </c>
      <c r="Y271" s="299" t="s">
        <v>59</v>
      </c>
      <c r="Z271" s="303">
        <v>447.57</v>
      </c>
      <c r="AA271" s="305">
        <f>IF(Z271=0,0,IF(Y271="MXN",1/HLOOKUP(YEAR(X271)+(MONTH(X271)/100),TC!$5:$37,DAY(X271)+2,FALSE),VLOOKUP(Y271,Equivalencia!$1:$23,((MAX(Equivalencia!$3:$3)-YEAR(X271))*14)+MONTH(X271)+2,FALSE)))</f>
        <v>1</v>
      </c>
      <c r="AB271" s="306">
        <f t="shared" si="76"/>
        <v>447.57</v>
      </c>
      <c r="AC271" s="305">
        <f>+IF(X271=0,0,HLOOKUP(YEAR(X271)+(MONTH(X271)/100),TC!$5:$37,DAY(X271)+2,FALSE))</f>
        <v>20.5562</v>
      </c>
      <c r="AD271" s="307">
        <f t="shared" si="77"/>
        <v>9200.3384339999993</v>
      </c>
      <c r="AE271" s="314">
        <f t="shared" si="78"/>
        <v>7839.852619878302</v>
      </c>
      <c r="AF271" s="315">
        <f t="shared" si="79"/>
        <v>1360.4858141216973</v>
      </c>
      <c r="AG271" s="316">
        <f t="shared" si="80"/>
        <v>0.55616438356164388</v>
      </c>
      <c r="AH271" s="314">
        <v>1</v>
      </c>
      <c r="AI271" s="314">
        <f t="shared" si="81"/>
        <v>1360.4858141216973</v>
      </c>
      <c r="AJ271" s="314">
        <f t="shared" si="82"/>
        <v>0</v>
      </c>
      <c r="AK271" s="317"/>
      <c r="AL271" s="315">
        <f t="shared" si="83"/>
        <v>70.270948905109492</v>
      </c>
      <c r="AN271" s="554">
        <f t="shared" si="84"/>
        <v>0.18624735127530545</v>
      </c>
      <c r="AO271" s="314"/>
      <c r="AP271" s="318"/>
    </row>
    <row r="272" spans="2:42">
      <c r="B272" s="296" t="s">
        <v>1254</v>
      </c>
      <c r="C272" s="299" t="s">
        <v>277</v>
      </c>
      <c r="D272" s="298" t="s">
        <v>708</v>
      </c>
      <c r="E272" s="299" t="s">
        <v>106</v>
      </c>
      <c r="F272" s="299" t="s">
        <v>59</v>
      </c>
      <c r="G272" s="300">
        <v>44397</v>
      </c>
      <c r="H272" s="303">
        <v>3311.8472262773726</v>
      </c>
      <c r="I272" s="301" t="str">
        <f t="shared" si="68"/>
        <v>Ingresos Sección I LISR</v>
      </c>
      <c r="J272" s="302">
        <f t="shared" si="69"/>
        <v>79</v>
      </c>
      <c r="K272" s="304">
        <f t="shared" si="70"/>
        <v>41.922116788321169</v>
      </c>
      <c r="L272" s="305">
        <f>IF(H272=0,0,IF(OR(E272=$AT$5,E272=$AT$6),AA272,IF(F272="MXN",1/HLOOKUP(YEAR(G272)+(MONTH(G272)/100),TC!$5:$37,DAY(G272)+2,FALSE),VLOOKUP(F272,Equivalencia!$5:$23,((MAX(Equivalencia!$3:$3)-YEAR(G272))*14)+MONTH(G272)+2,FALSE))))</f>
        <v>1</v>
      </c>
      <c r="M272" s="306">
        <f t="shared" si="71"/>
        <v>3311.8472262773726</v>
      </c>
      <c r="N272" s="305">
        <f>IF(G272=0,0,(IF(OR(E272=$AT$5,E272=$AT$6),AC272,HLOOKUP(YEAR(G272)+(MONTH(G272)/100),TC!$5:$37,DAY(G272)+2,FALSE))))</f>
        <v>19.8537</v>
      </c>
      <c r="O272" s="307">
        <f t="shared" si="72"/>
        <v>65752.42127634307</v>
      </c>
      <c r="P272" s="560">
        <f>IF(G272=0,0,VLOOKUP(YEAR(G272),INPC!$B$4:$P$30,MONTH(G272)+2))</f>
        <v>113.682</v>
      </c>
      <c r="Q272" s="560">
        <f>IF(X272=0,0,IF(OR(E272=$AT$10,E272=$AT$9),VLOOKUP(YEAR(X272),INPC!$B$4:$P$30,MONTH(X272)+1),VLOOKUP(YEAR(X272),INPC!$B$4:$P$30,MONTH(X272)+2,0)))</f>
        <v>121.02200000000001</v>
      </c>
      <c r="R272" s="309">
        <f t="shared" si="73"/>
        <v>1.0645</v>
      </c>
      <c r="S272" s="310">
        <f t="shared" si="74"/>
        <v>69993.452448667202</v>
      </c>
      <c r="T272" s="555">
        <f t="shared" si="75"/>
        <v>885.99306897047086</v>
      </c>
      <c r="U272" s="311"/>
      <c r="V272" s="312">
        <v>79</v>
      </c>
      <c r="W272" s="299" t="s">
        <v>194</v>
      </c>
      <c r="X272" s="300">
        <v>44687</v>
      </c>
      <c r="Y272" s="299" t="s">
        <v>59</v>
      </c>
      <c r="Z272" s="303">
        <v>2783.2915384615385</v>
      </c>
      <c r="AA272" s="305">
        <f>IF(Z272=0,0,IF(Y272="MXN",1/HLOOKUP(YEAR(X272)+(MONTH(X272)/100),TC!$5:$37,DAY(X272)+2,FALSE),VLOOKUP(Y272,Equivalencia!$1:$23,((MAX(Equivalencia!$3:$3)-YEAR(X272))*14)+MONTH(X272)+2,FALSE)))</f>
        <v>1</v>
      </c>
      <c r="AB272" s="306">
        <f t="shared" si="76"/>
        <v>2783.2915384615385</v>
      </c>
      <c r="AC272" s="305">
        <f>+IF(X272=0,0,HLOOKUP(YEAR(X272)+(MONTH(X272)/100),TC!$5:$37,DAY(X272)+2,FALSE))</f>
        <v>20.335000000000001</v>
      </c>
      <c r="AD272" s="307">
        <f t="shared" si="77"/>
        <v>56598.233434615388</v>
      </c>
      <c r="AE272" s="314">
        <f t="shared" si="78"/>
        <v>69993.452448667202</v>
      </c>
      <c r="AF272" s="315">
        <f t="shared" si="79"/>
        <v>-13395.219014051814</v>
      </c>
      <c r="AG272" s="316">
        <f t="shared" si="80"/>
        <v>0.79452054794520544</v>
      </c>
      <c r="AH272" s="314">
        <v>1</v>
      </c>
      <c r="AI272" s="314">
        <f t="shared" si="81"/>
        <v>-13395.219014051814</v>
      </c>
      <c r="AJ272" s="314">
        <f t="shared" si="82"/>
        <v>0</v>
      </c>
      <c r="AK272" s="317"/>
      <c r="AL272" s="315">
        <f t="shared" si="83"/>
        <v>-528.55568781583406</v>
      </c>
      <c r="AN272" s="554">
        <f t="shared" si="84"/>
        <v>-0.15959543170412133</v>
      </c>
      <c r="AO272" s="314"/>
      <c r="AP272" s="318"/>
    </row>
    <row r="273" spans="2:42">
      <c r="B273" s="296" t="s">
        <v>1254</v>
      </c>
      <c r="C273" s="299" t="s">
        <v>277</v>
      </c>
      <c r="D273" s="298" t="s">
        <v>708</v>
      </c>
      <c r="E273" s="299" t="s">
        <v>106</v>
      </c>
      <c r="F273" s="299" t="s">
        <v>59</v>
      </c>
      <c r="G273" s="300">
        <v>44397</v>
      </c>
      <c r="H273" s="303">
        <v>3242.855</v>
      </c>
      <c r="I273" s="301" t="str">
        <f t="shared" si="68"/>
        <v>Ingresos Sección I LISR</v>
      </c>
      <c r="J273" s="302">
        <f t="shared" si="69"/>
        <v>77</v>
      </c>
      <c r="K273" s="304">
        <f t="shared" si="70"/>
        <v>42.115000000000002</v>
      </c>
      <c r="L273" s="305">
        <f>IF(H273=0,0,IF(OR(E273=$AT$5,E273=$AT$6),AA273,IF(F273="MXN",1/HLOOKUP(YEAR(G273)+(MONTH(G273)/100),TC!$5:$37,DAY(G273)+2,FALSE),VLOOKUP(F273,Equivalencia!$5:$23,((MAX(Equivalencia!$3:$3)-YEAR(G273))*14)+MONTH(G273)+2,FALSE))))</f>
        <v>1</v>
      </c>
      <c r="M273" s="306">
        <f t="shared" si="71"/>
        <v>3242.855</v>
      </c>
      <c r="N273" s="305">
        <f>IF(G273=0,0,(IF(OR(E273=$AT$5,E273=$AT$6),AC273,HLOOKUP(YEAR(G273)+(MONTH(G273)/100),TC!$5:$37,DAY(G273)+2,FALSE))))</f>
        <v>19.8537</v>
      </c>
      <c r="O273" s="307">
        <f t="shared" si="72"/>
        <v>64382.670313499999</v>
      </c>
      <c r="P273" s="560">
        <f>IF(G273=0,0,VLOOKUP(YEAR(G273),INPC!$B$4:$P$30,MONTH(G273)+2))</f>
        <v>113.682</v>
      </c>
      <c r="Q273" s="560">
        <f>IF(X273=0,0,IF(OR(E273=$AT$10,E273=$AT$9),VLOOKUP(YEAR(X273),INPC!$B$4:$P$30,MONTH(X273)+1),VLOOKUP(YEAR(X273),INPC!$B$4:$P$30,MONTH(X273)+2,0)))</f>
        <v>121.02200000000001</v>
      </c>
      <c r="R273" s="309">
        <f t="shared" si="73"/>
        <v>1.0645</v>
      </c>
      <c r="S273" s="310">
        <f t="shared" si="74"/>
        <v>68535.352548720752</v>
      </c>
      <c r="T273" s="555">
        <f t="shared" si="75"/>
        <v>890.06951361975007</v>
      </c>
      <c r="U273" s="311"/>
      <c r="V273" s="312">
        <v>77</v>
      </c>
      <c r="W273" s="299" t="s">
        <v>194</v>
      </c>
      <c r="X273" s="300">
        <v>44687</v>
      </c>
      <c r="Y273" s="299" t="s">
        <v>59</v>
      </c>
      <c r="Z273" s="303">
        <v>2712.8284615384619</v>
      </c>
      <c r="AA273" s="305">
        <f>IF(Z273=0,0,IF(Y273="MXN",1/HLOOKUP(YEAR(X273)+(MONTH(X273)/100),TC!$5:$37,DAY(X273)+2,FALSE),VLOOKUP(Y273,Equivalencia!$1:$23,((MAX(Equivalencia!$3:$3)-YEAR(X273))*14)+MONTH(X273)+2,FALSE)))</f>
        <v>1</v>
      </c>
      <c r="AB273" s="306">
        <f t="shared" si="76"/>
        <v>2712.8284615384619</v>
      </c>
      <c r="AC273" s="305">
        <f>+IF(X273=0,0,HLOOKUP(YEAR(X273)+(MONTH(X273)/100),TC!$5:$37,DAY(X273)+2,FALSE))</f>
        <v>20.335000000000001</v>
      </c>
      <c r="AD273" s="307">
        <f t="shared" si="77"/>
        <v>55165.366765384621</v>
      </c>
      <c r="AE273" s="314">
        <f t="shared" si="78"/>
        <v>68535.352548720752</v>
      </c>
      <c r="AF273" s="315">
        <f t="shared" si="79"/>
        <v>-13369.985783336131</v>
      </c>
      <c r="AG273" s="316">
        <f t="shared" si="80"/>
        <v>0.79452054794520544</v>
      </c>
      <c r="AH273" s="314">
        <v>1</v>
      </c>
      <c r="AI273" s="314">
        <f t="shared" si="81"/>
        <v>-13369.985783336131</v>
      </c>
      <c r="AJ273" s="314">
        <f t="shared" si="82"/>
        <v>0</v>
      </c>
      <c r="AK273" s="317"/>
      <c r="AL273" s="315">
        <f t="shared" si="83"/>
        <v>-530.02653846153817</v>
      </c>
      <c r="AN273" s="554">
        <f t="shared" si="84"/>
        <v>-0.16344441501748866</v>
      </c>
      <c r="AO273" s="314"/>
      <c r="AP273" s="318"/>
    </row>
    <row r="274" spans="2:42">
      <c r="B274" s="296" t="s">
        <v>1254</v>
      </c>
      <c r="C274" s="299" t="s">
        <v>277</v>
      </c>
      <c r="D274" s="298" t="s">
        <v>708</v>
      </c>
      <c r="E274" s="299" t="s">
        <v>106</v>
      </c>
      <c r="F274" s="299" t="s">
        <v>59</v>
      </c>
      <c r="G274" s="300">
        <v>44397</v>
      </c>
      <c r="H274" s="303">
        <v>463.26500000000004</v>
      </c>
      <c r="I274" s="301" t="str">
        <f t="shared" si="68"/>
        <v>Ingresos Sección I LISR</v>
      </c>
      <c r="J274" s="302">
        <f t="shared" si="69"/>
        <v>11</v>
      </c>
      <c r="K274" s="304">
        <f t="shared" si="70"/>
        <v>42.115000000000002</v>
      </c>
      <c r="L274" s="305">
        <f>IF(H274=0,0,IF(OR(E274=$AT$5,E274=$AT$6),AA274,IF(F274="MXN",1/HLOOKUP(YEAR(G274)+(MONTH(G274)/100),TC!$5:$37,DAY(G274)+2,FALSE),VLOOKUP(F274,Equivalencia!$5:$23,((MAX(Equivalencia!$3:$3)-YEAR(G274))*14)+MONTH(G274)+2,FALSE))))</f>
        <v>1</v>
      </c>
      <c r="M274" s="306">
        <f t="shared" si="71"/>
        <v>463.26500000000004</v>
      </c>
      <c r="N274" s="305">
        <f>IF(G274=0,0,(IF(OR(E274=$AT$5,E274=$AT$6),AC274,HLOOKUP(YEAR(G274)+(MONTH(G274)/100),TC!$5:$37,DAY(G274)+2,FALSE))))</f>
        <v>19.8537</v>
      </c>
      <c r="O274" s="307">
        <f t="shared" si="72"/>
        <v>9197.5243305000004</v>
      </c>
      <c r="P274" s="560">
        <f>IF(G274=0,0,VLOOKUP(YEAR(G274),INPC!$B$4:$P$30,MONTH(G274)+2))</f>
        <v>113.682</v>
      </c>
      <c r="Q274" s="560">
        <f>IF(X274=0,0,IF(OR(E274=$AT$10,E274=$AT$9),VLOOKUP(YEAR(X274),INPC!$B$4:$P$30,MONTH(X274)+1),VLOOKUP(YEAR(X274),INPC!$B$4:$P$30,MONTH(X274)+2,0)))</f>
        <v>121.02200000000001</v>
      </c>
      <c r="R274" s="309">
        <f t="shared" si="73"/>
        <v>1.0645</v>
      </c>
      <c r="S274" s="310">
        <f t="shared" si="74"/>
        <v>9790.7646498172508</v>
      </c>
      <c r="T274" s="555">
        <f t="shared" si="75"/>
        <v>890.06951361975007</v>
      </c>
      <c r="U274" s="311"/>
      <c r="V274" s="312">
        <v>11</v>
      </c>
      <c r="W274" s="299" t="s">
        <v>194</v>
      </c>
      <c r="X274" s="300">
        <v>44687</v>
      </c>
      <c r="Y274" s="299" t="s">
        <v>59</v>
      </c>
      <c r="Z274" s="303">
        <v>383.87282352941179</v>
      </c>
      <c r="AA274" s="305">
        <f>IF(Z274=0,0,IF(Y274="MXN",1/HLOOKUP(YEAR(X274)+(MONTH(X274)/100),TC!$5:$37,DAY(X274)+2,FALSE),VLOOKUP(Y274,Equivalencia!$1:$23,((MAX(Equivalencia!$3:$3)-YEAR(X274))*14)+MONTH(X274)+2,FALSE)))</f>
        <v>1</v>
      </c>
      <c r="AB274" s="306">
        <f t="shared" si="76"/>
        <v>383.87282352941179</v>
      </c>
      <c r="AC274" s="305">
        <f>+IF(X274=0,0,HLOOKUP(YEAR(X274)+(MONTH(X274)/100),TC!$5:$37,DAY(X274)+2,FALSE))</f>
        <v>20.335000000000001</v>
      </c>
      <c r="AD274" s="307">
        <f t="shared" si="77"/>
        <v>7806.0538664705891</v>
      </c>
      <c r="AE274" s="314">
        <f t="shared" si="78"/>
        <v>9790.7646498172508</v>
      </c>
      <c r="AF274" s="315">
        <f t="shared" si="79"/>
        <v>-1984.7107833466616</v>
      </c>
      <c r="AG274" s="316">
        <f t="shared" si="80"/>
        <v>0.79452054794520544</v>
      </c>
      <c r="AH274" s="314">
        <v>1</v>
      </c>
      <c r="AI274" s="314">
        <f t="shared" si="81"/>
        <v>-1984.7107833466616</v>
      </c>
      <c r="AJ274" s="314">
        <f t="shared" si="82"/>
        <v>0</v>
      </c>
      <c r="AK274" s="317"/>
      <c r="AL274" s="315">
        <f t="shared" si="83"/>
        <v>-79.392176470588254</v>
      </c>
      <c r="AN274" s="554">
        <f t="shared" si="84"/>
        <v>-0.17137529593340367</v>
      </c>
      <c r="AO274" s="314"/>
      <c r="AP274" s="318"/>
    </row>
    <row r="275" spans="2:42">
      <c r="B275" s="296" t="s">
        <v>1254</v>
      </c>
      <c r="C275" s="299" t="s">
        <v>277</v>
      </c>
      <c r="D275" s="298" t="s">
        <v>708</v>
      </c>
      <c r="E275" s="299" t="s">
        <v>106</v>
      </c>
      <c r="F275" s="299" t="s">
        <v>59</v>
      </c>
      <c r="G275" s="300">
        <v>44426</v>
      </c>
      <c r="H275" s="303">
        <v>1016.1300000000001</v>
      </c>
      <c r="I275" s="301" t="str">
        <f t="shared" si="68"/>
        <v>Ingresos Sección I LISR</v>
      </c>
      <c r="J275" s="302">
        <f t="shared" si="69"/>
        <v>25</v>
      </c>
      <c r="K275" s="304">
        <f t="shared" si="70"/>
        <v>40.645200000000003</v>
      </c>
      <c r="L275" s="305">
        <f>IF(H275=0,0,IF(OR(E275=$AT$5,E275=$AT$6),AA275,IF(F275="MXN",1/HLOOKUP(YEAR(G275)+(MONTH(G275)/100),TC!$5:$37,DAY(G275)+2,FALSE),VLOOKUP(F275,Equivalencia!$5:$23,((MAX(Equivalencia!$3:$3)-YEAR(G275))*14)+MONTH(G275)+2,FALSE))))</f>
        <v>1</v>
      </c>
      <c r="M275" s="306">
        <f t="shared" si="71"/>
        <v>1016.1300000000001</v>
      </c>
      <c r="N275" s="305">
        <f>IF(G275=0,0,(IF(OR(E275=$AT$5,E275=$AT$6),AC275,HLOOKUP(YEAR(G275)+(MONTH(G275)/100),TC!$5:$37,DAY(G275)+2,FALSE))))</f>
        <v>19.886299999999999</v>
      </c>
      <c r="O275" s="307">
        <f t="shared" si="72"/>
        <v>20207.066019000002</v>
      </c>
      <c r="P275" s="560">
        <f>IF(G275=0,0,VLOOKUP(YEAR(G275),INPC!$B$4:$P$30,MONTH(G275)+2))</f>
        <v>113.899</v>
      </c>
      <c r="Q275" s="560">
        <f>IF(X275=0,0,IF(OR(E275=$AT$10,E275=$AT$9),VLOOKUP(YEAR(X275),INPC!$B$4:$P$30,MONTH(X275)+1),VLOOKUP(YEAR(X275),INPC!$B$4:$P$30,MONTH(X275)+2,0)))</f>
        <v>121.02200000000001</v>
      </c>
      <c r="R275" s="309">
        <f t="shared" si="73"/>
        <v>1.0625</v>
      </c>
      <c r="S275" s="310">
        <f t="shared" si="74"/>
        <v>21470.007645187503</v>
      </c>
      <c r="T275" s="555">
        <f t="shared" si="75"/>
        <v>858.80030580750008</v>
      </c>
      <c r="U275" s="311"/>
      <c r="V275" s="312">
        <v>25</v>
      </c>
      <c r="W275" s="299" t="s">
        <v>194</v>
      </c>
      <c r="X275" s="300">
        <v>44687</v>
      </c>
      <c r="Y275" s="299" t="s">
        <v>59</v>
      </c>
      <c r="Z275" s="303">
        <v>872.4382352941177</v>
      </c>
      <c r="AA275" s="305">
        <f>IF(Z275=0,0,IF(Y275="MXN",1/HLOOKUP(YEAR(X275)+(MONTH(X275)/100),TC!$5:$37,DAY(X275)+2,FALSE),VLOOKUP(Y275,Equivalencia!$1:$23,((MAX(Equivalencia!$3:$3)-YEAR(X275))*14)+MONTH(X275)+2,FALSE)))</f>
        <v>1</v>
      </c>
      <c r="AB275" s="306">
        <f t="shared" si="76"/>
        <v>872.4382352941177</v>
      </c>
      <c r="AC275" s="305">
        <f>+IF(X275=0,0,HLOOKUP(YEAR(X275)+(MONTH(X275)/100),TC!$5:$37,DAY(X275)+2,FALSE))</f>
        <v>20.335000000000001</v>
      </c>
      <c r="AD275" s="307">
        <f t="shared" si="77"/>
        <v>17741.031514705883</v>
      </c>
      <c r="AE275" s="314">
        <f t="shared" si="78"/>
        <v>21470.007645187503</v>
      </c>
      <c r="AF275" s="315">
        <f t="shared" si="79"/>
        <v>-3728.9761304816202</v>
      </c>
      <c r="AG275" s="316">
        <f t="shared" si="80"/>
        <v>0.71506849315068488</v>
      </c>
      <c r="AH275" s="314">
        <v>1</v>
      </c>
      <c r="AI275" s="314">
        <f t="shared" si="81"/>
        <v>-3728.9761304816202</v>
      </c>
      <c r="AJ275" s="314">
        <f t="shared" si="82"/>
        <v>0</v>
      </c>
      <c r="AK275" s="317"/>
      <c r="AL275" s="315">
        <f t="shared" si="83"/>
        <v>-143.69176470588241</v>
      </c>
      <c r="AN275" s="554">
        <f t="shared" si="84"/>
        <v>-0.14141080836692391</v>
      </c>
      <c r="AO275" s="314"/>
      <c r="AP275" s="318"/>
    </row>
    <row r="276" spans="2:42">
      <c r="B276" s="296" t="s">
        <v>1254</v>
      </c>
      <c r="C276" s="299" t="s">
        <v>277</v>
      </c>
      <c r="D276" s="298" t="s">
        <v>708</v>
      </c>
      <c r="E276" s="299" t="s">
        <v>106</v>
      </c>
      <c r="F276" s="299" t="s">
        <v>59</v>
      </c>
      <c r="G276" s="300">
        <v>44426</v>
      </c>
      <c r="H276" s="303">
        <v>4211.78</v>
      </c>
      <c r="I276" s="301" t="str">
        <f t="shared" si="68"/>
        <v>Ingresos Sección I LISR</v>
      </c>
      <c r="J276" s="302">
        <f t="shared" si="69"/>
        <v>104</v>
      </c>
      <c r="K276" s="304">
        <f t="shared" si="70"/>
        <v>40.497884615384613</v>
      </c>
      <c r="L276" s="305">
        <f>IF(H276=0,0,IF(OR(E276=$AT$5,E276=$AT$6),AA276,IF(F276="MXN",1/HLOOKUP(YEAR(G276)+(MONTH(G276)/100),TC!$5:$37,DAY(G276)+2,FALSE),VLOOKUP(F276,Equivalencia!$5:$23,((MAX(Equivalencia!$3:$3)-YEAR(G276))*14)+MONTH(G276)+2,FALSE))))</f>
        <v>1</v>
      </c>
      <c r="M276" s="306">
        <f t="shared" si="71"/>
        <v>4211.78</v>
      </c>
      <c r="N276" s="305">
        <f>IF(G276=0,0,(IF(OR(E276=$AT$5,E276=$AT$6),AC276,HLOOKUP(YEAR(G276)+(MONTH(G276)/100),TC!$5:$37,DAY(G276)+2,FALSE))))</f>
        <v>19.886299999999999</v>
      </c>
      <c r="O276" s="307">
        <f t="shared" si="72"/>
        <v>83756.720613999991</v>
      </c>
      <c r="P276" s="560">
        <f>IF(G276=0,0,VLOOKUP(YEAR(G276),INPC!$B$4:$P$30,MONTH(G276)+2))</f>
        <v>113.899</v>
      </c>
      <c r="Q276" s="560">
        <f>IF(X276=0,0,IF(OR(E276=$AT$10,E276=$AT$9),VLOOKUP(YEAR(X276),INPC!$B$4:$P$30,MONTH(X276)+1),VLOOKUP(YEAR(X276),INPC!$B$4:$P$30,MONTH(X276)+2,0)))</f>
        <v>121.02200000000001</v>
      </c>
      <c r="R276" s="309">
        <f t="shared" si="73"/>
        <v>1.0625</v>
      </c>
      <c r="S276" s="310">
        <f t="shared" si="74"/>
        <v>88991.51565237499</v>
      </c>
      <c r="T276" s="555">
        <f t="shared" si="75"/>
        <v>855.68765050360571</v>
      </c>
      <c r="U276" s="311"/>
      <c r="V276" s="312">
        <v>104</v>
      </c>
      <c r="W276" s="299" t="s">
        <v>194</v>
      </c>
      <c r="X276" s="300">
        <v>44687</v>
      </c>
      <c r="Y276" s="299" t="s">
        <v>59</v>
      </c>
      <c r="Z276" s="303">
        <v>3629.3430588235296</v>
      </c>
      <c r="AA276" s="305">
        <f>IF(Z276=0,0,IF(Y276="MXN",1/HLOOKUP(YEAR(X276)+(MONTH(X276)/100),TC!$5:$37,DAY(X276)+2,FALSE),VLOOKUP(Y276,Equivalencia!$1:$23,((MAX(Equivalencia!$3:$3)-YEAR(X276))*14)+MONTH(X276)+2,FALSE)))</f>
        <v>1</v>
      </c>
      <c r="AB276" s="306">
        <f t="shared" si="76"/>
        <v>3629.3430588235296</v>
      </c>
      <c r="AC276" s="305">
        <f>+IF(X276=0,0,HLOOKUP(YEAR(X276)+(MONTH(X276)/100),TC!$5:$37,DAY(X276)+2,FALSE))</f>
        <v>20.335000000000001</v>
      </c>
      <c r="AD276" s="307">
        <f t="shared" si="77"/>
        <v>73802.691101176475</v>
      </c>
      <c r="AE276" s="314">
        <f t="shared" si="78"/>
        <v>88991.51565237499</v>
      </c>
      <c r="AF276" s="315">
        <f t="shared" si="79"/>
        <v>-15188.824551198515</v>
      </c>
      <c r="AG276" s="316">
        <f t="shared" si="80"/>
        <v>0.71506849315068488</v>
      </c>
      <c r="AH276" s="314">
        <v>1</v>
      </c>
      <c r="AI276" s="314">
        <f t="shared" si="81"/>
        <v>-15188.824551198515</v>
      </c>
      <c r="AJ276" s="314">
        <f t="shared" si="82"/>
        <v>0</v>
      </c>
      <c r="AK276" s="317"/>
      <c r="AL276" s="315">
        <f t="shared" si="83"/>
        <v>-582.4369411764701</v>
      </c>
      <c r="AN276" s="554">
        <f t="shared" si="84"/>
        <v>-0.13828759839698895</v>
      </c>
      <c r="AO276" s="314"/>
      <c r="AP276" s="318"/>
    </row>
    <row r="277" spans="2:42">
      <c r="B277" s="296" t="s">
        <v>1254</v>
      </c>
      <c r="C277" s="299" t="s">
        <v>277</v>
      </c>
      <c r="D277" s="298" t="s">
        <v>708</v>
      </c>
      <c r="E277" s="299" t="s">
        <v>106</v>
      </c>
      <c r="F277" s="299" t="s">
        <v>59</v>
      </c>
      <c r="G277" s="300">
        <v>44426</v>
      </c>
      <c r="H277" s="303">
        <v>1103.9100000000001</v>
      </c>
      <c r="I277" s="301" t="str">
        <f t="shared" si="68"/>
        <v>Ingresos Sección I LISR</v>
      </c>
      <c r="J277" s="302">
        <f t="shared" si="69"/>
        <v>27</v>
      </c>
      <c r="K277" s="304">
        <f t="shared" si="70"/>
        <v>40.885555555555555</v>
      </c>
      <c r="L277" s="305">
        <f>IF(H277=0,0,IF(OR(E277=$AT$5,E277=$AT$6),AA277,IF(F277="MXN",1/HLOOKUP(YEAR(G277)+(MONTH(G277)/100),TC!$5:$37,DAY(G277)+2,FALSE),VLOOKUP(F277,Equivalencia!$5:$23,((MAX(Equivalencia!$3:$3)-YEAR(G277))*14)+MONTH(G277)+2,FALSE))))</f>
        <v>1</v>
      </c>
      <c r="M277" s="306">
        <f t="shared" si="71"/>
        <v>1103.9100000000001</v>
      </c>
      <c r="N277" s="305">
        <f>IF(G277=0,0,(IF(OR(E277=$AT$5,E277=$AT$6),AC277,HLOOKUP(YEAR(G277)+(MONTH(G277)/100),TC!$5:$37,DAY(G277)+2,FALSE))))</f>
        <v>19.886299999999999</v>
      </c>
      <c r="O277" s="307">
        <f t="shared" si="72"/>
        <v>21952.685432999999</v>
      </c>
      <c r="P277" s="560">
        <f>IF(G277=0,0,VLOOKUP(YEAR(G277),INPC!$B$4:$P$30,MONTH(G277)+2))</f>
        <v>113.899</v>
      </c>
      <c r="Q277" s="560">
        <f>IF(X277=0,0,IF(OR(E277=$AT$10,E277=$AT$9),VLOOKUP(YEAR(X277),INPC!$B$4:$P$30,MONTH(X277)+1),VLOOKUP(YEAR(X277),INPC!$B$4:$P$30,MONTH(X277)+2,0)))</f>
        <v>121.02200000000001</v>
      </c>
      <c r="R277" s="309">
        <f t="shared" si="73"/>
        <v>1.0625</v>
      </c>
      <c r="S277" s="310">
        <f t="shared" si="74"/>
        <v>23324.728272562497</v>
      </c>
      <c r="T277" s="555">
        <f t="shared" si="75"/>
        <v>863.87882490972208</v>
      </c>
      <c r="U277" s="311"/>
      <c r="V277" s="312">
        <v>27</v>
      </c>
      <c r="W277" s="299" t="s">
        <v>194</v>
      </c>
      <c r="X277" s="300">
        <v>44687</v>
      </c>
      <c r="Y277" s="299" t="s">
        <v>59</v>
      </c>
      <c r="Z277" s="303">
        <v>942.23329411764712</v>
      </c>
      <c r="AA277" s="305">
        <f>IF(Z277=0,0,IF(Y277="MXN",1/HLOOKUP(YEAR(X277)+(MONTH(X277)/100),TC!$5:$37,DAY(X277)+2,FALSE),VLOOKUP(Y277,Equivalencia!$1:$23,((MAX(Equivalencia!$3:$3)-YEAR(X277))*14)+MONTH(X277)+2,FALSE)))</f>
        <v>1</v>
      </c>
      <c r="AB277" s="306">
        <f t="shared" si="76"/>
        <v>942.23329411764712</v>
      </c>
      <c r="AC277" s="305">
        <f>+IF(X277=0,0,HLOOKUP(YEAR(X277)+(MONTH(X277)/100),TC!$5:$37,DAY(X277)+2,FALSE))</f>
        <v>20.335000000000001</v>
      </c>
      <c r="AD277" s="307">
        <f t="shared" si="77"/>
        <v>19160.314035882355</v>
      </c>
      <c r="AE277" s="314">
        <f t="shared" si="78"/>
        <v>23324.728272562497</v>
      </c>
      <c r="AF277" s="315">
        <f t="shared" si="79"/>
        <v>-4164.4142366801425</v>
      </c>
      <c r="AG277" s="316">
        <f t="shared" si="80"/>
        <v>0.71506849315068488</v>
      </c>
      <c r="AH277" s="314">
        <v>1</v>
      </c>
      <c r="AI277" s="314">
        <f t="shared" si="81"/>
        <v>-4164.4142366801425</v>
      </c>
      <c r="AJ277" s="314">
        <f t="shared" si="82"/>
        <v>0</v>
      </c>
      <c r="AK277" s="317"/>
      <c r="AL277" s="315">
        <f t="shared" si="83"/>
        <v>-161.67670588235296</v>
      </c>
      <c r="AN277" s="554">
        <f t="shared" si="84"/>
        <v>-0.14645823108981071</v>
      </c>
      <c r="AO277" s="314"/>
      <c r="AP277" s="318"/>
    </row>
    <row r="278" spans="2:42">
      <c r="B278" s="296" t="s">
        <v>1254</v>
      </c>
      <c r="C278" s="299" t="s">
        <v>277</v>
      </c>
      <c r="D278" s="298" t="s">
        <v>708</v>
      </c>
      <c r="E278" s="299" t="s">
        <v>106</v>
      </c>
      <c r="F278" s="299" t="s">
        <v>59</v>
      </c>
      <c r="G278" s="300">
        <v>44427</v>
      </c>
      <c r="H278" s="303">
        <v>117.12384</v>
      </c>
      <c r="I278" s="301" t="str">
        <f t="shared" si="68"/>
        <v>Ingresos Sección I LISR</v>
      </c>
      <c r="J278" s="302">
        <f t="shared" si="69"/>
        <v>3</v>
      </c>
      <c r="K278" s="304">
        <f t="shared" si="70"/>
        <v>39.04128</v>
      </c>
      <c r="L278" s="305">
        <f>IF(H278=0,0,IF(OR(E278=$AT$5,E278=$AT$6),AA278,IF(F278="MXN",1/HLOOKUP(YEAR(G278)+(MONTH(G278)/100),TC!$5:$37,DAY(G278)+2,FALSE),VLOOKUP(F278,Equivalencia!$5:$23,((MAX(Equivalencia!$3:$3)-YEAR(G278))*14)+MONTH(G278)+2,FALSE))))</f>
        <v>1</v>
      </c>
      <c r="M278" s="306">
        <f t="shared" si="71"/>
        <v>117.12384</v>
      </c>
      <c r="N278" s="305">
        <f>IF(G278=0,0,(IF(OR(E278=$AT$5,E278=$AT$6),AC278,HLOOKUP(YEAR(G278)+(MONTH(G278)/100),TC!$5:$37,DAY(G278)+2,FALSE))))</f>
        <v>19.991199999999999</v>
      </c>
      <c r="O278" s="307">
        <f t="shared" si="72"/>
        <v>2341.4461102079999</v>
      </c>
      <c r="P278" s="560">
        <f>IF(G278=0,0,VLOOKUP(YEAR(G278),INPC!$B$4:$P$30,MONTH(G278)+2))</f>
        <v>113.899</v>
      </c>
      <c r="Q278" s="560">
        <f>IF(X278=0,0,IF(OR(E278=$AT$10,E278=$AT$9),VLOOKUP(YEAR(X278),INPC!$B$4:$P$30,MONTH(X278)+1),VLOOKUP(YEAR(X278),INPC!$B$4:$P$30,MONTH(X278)+2,0)))</f>
        <v>121.02200000000001</v>
      </c>
      <c r="R278" s="309">
        <f t="shared" si="73"/>
        <v>1.0625</v>
      </c>
      <c r="S278" s="310">
        <f t="shared" si="74"/>
        <v>2487.7864920960001</v>
      </c>
      <c r="T278" s="555">
        <f t="shared" si="75"/>
        <v>829.26216403199999</v>
      </c>
      <c r="U278" s="311"/>
      <c r="V278" s="312">
        <v>3</v>
      </c>
      <c r="W278" s="299" t="s">
        <v>194</v>
      </c>
      <c r="X278" s="300">
        <v>44687</v>
      </c>
      <c r="Y278" s="299" t="s">
        <v>59</v>
      </c>
      <c r="Z278" s="303">
        <v>104.69258823529412</v>
      </c>
      <c r="AA278" s="305">
        <f>IF(Z278=0,0,IF(Y278="MXN",1/HLOOKUP(YEAR(X278)+(MONTH(X278)/100),TC!$5:$37,DAY(X278)+2,FALSE),VLOOKUP(Y278,Equivalencia!$1:$23,((MAX(Equivalencia!$3:$3)-YEAR(X278))*14)+MONTH(X278)+2,FALSE)))</f>
        <v>1</v>
      </c>
      <c r="AB278" s="306">
        <f t="shared" si="76"/>
        <v>104.69258823529412</v>
      </c>
      <c r="AC278" s="305">
        <f>+IF(X278=0,0,HLOOKUP(YEAR(X278)+(MONTH(X278)/100),TC!$5:$37,DAY(X278)+2,FALSE))</f>
        <v>20.335000000000001</v>
      </c>
      <c r="AD278" s="307">
        <f t="shared" si="77"/>
        <v>2128.9237817647063</v>
      </c>
      <c r="AE278" s="314">
        <f t="shared" si="78"/>
        <v>2487.7864920960001</v>
      </c>
      <c r="AF278" s="315">
        <f t="shared" si="79"/>
        <v>-358.86271033129378</v>
      </c>
      <c r="AG278" s="316">
        <f t="shared" si="80"/>
        <v>0.71232876712328763</v>
      </c>
      <c r="AH278" s="314">
        <v>1</v>
      </c>
      <c r="AI278" s="314">
        <f t="shared" si="81"/>
        <v>-358.86271033129378</v>
      </c>
      <c r="AJ278" s="314">
        <f t="shared" si="82"/>
        <v>0</v>
      </c>
      <c r="AK278" s="317"/>
      <c r="AL278" s="315">
        <f t="shared" si="83"/>
        <v>-12.431251764705877</v>
      </c>
      <c r="AN278" s="554">
        <f t="shared" si="84"/>
        <v>-0.10613767243889781</v>
      </c>
      <c r="AO278" s="314"/>
      <c r="AP278" s="318"/>
    </row>
    <row r="279" spans="2:42">
      <c r="B279" s="296" t="s">
        <v>1254</v>
      </c>
      <c r="C279" s="299" t="s">
        <v>277</v>
      </c>
      <c r="D279" s="298" t="s">
        <v>708</v>
      </c>
      <c r="E279" s="299" t="s">
        <v>106</v>
      </c>
      <c r="F279" s="299" t="s">
        <v>59</v>
      </c>
      <c r="G279" s="300">
        <v>44427</v>
      </c>
      <c r="H279" s="303">
        <v>780.82560000000001</v>
      </c>
      <c r="I279" s="301" t="str">
        <f t="shared" si="68"/>
        <v>Ingresos Sección I LISR</v>
      </c>
      <c r="J279" s="302">
        <f t="shared" si="69"/>
        <v>20</v>
      </c>
      <c r="K279" s="304">
        <f t="shared" si="70"/>
        <v>39.04128</v>
      </c>
      <c r="L279" s="305">
        <f>IF(H279=0,0,IF(OR(E279=$AT$5,E279=$AT$6),AA279,IF(F279="MXN",1/HLOOKUP(YEAR(G279)+(MONTH(G279)/100),TC!$5:$37,DAY(G279)+2,FALSE),VLOOKUP(F279,Equivalencia!$5:$23,((MAX(Equivalencia!$3:$3)-YEAR(G279))*14)+MONTH(G279)+2,FALSE))))</f>
        <v>1</v>
      </c>
      <c r="M279" s="306">
        <f t="shared" si="71"/>
        <v>780.82560000000001</v>
      </c>
      <c r="N279" s="305">
        <f>IF(G279=0,0,(IF(OR(E279=$AT$5,E279=$AT$6),AC279,HLOOKUP(YEAR(G279)+(MONTH(G279)/100),TC!$5:$37,DAY(G279)+2,FALSE))))</f>
        <v>19.991199999999999</v>
      </c>
      <c r="O279" s="307">
        <f t="shared" si="72"/>
        <v>15609.64073472</v>
      </c>
      <c r="P279" s="560">
        <f>IF(G279=0,0,VLOOKUP(YEAR(G279),INPC!$B$4:$P$30,MONTH(G279)+2))</f>
        <v>113.899</v>
      </c>
      <c r="Q279" s="560">
        <f>IF(X279=0,0,IF(OR(E279=$AT$10,E279=$AT$9),VLOOKUP(YEAR(X279),INPC!$B$4:$P$30,MONTH(X279)+1),VLOOKUP(YEAR(X279),INPC!$B$4:$P$30,MONTH(X279)+2,0)))</f>
        <v>121.02200000000001</v>
      </c>
      <c r="R279" s="309">
        <f t="shared" si="73"/>
        <v>1.0625</v>
      </c>
      <c r="S279" s="310">
        <f t="shared" si="74"/>
        <v>16585.243280639999</v>
      </c>
      <c r="T279" s="555">
        <f t="shared" si="75"/>
        <v>829.26216403199999</v>
      </c>
      <c r="U279" s="311"/>
      <c r="V279" s="312">
        <v>20</v>
      </c>
      <c r="W279" s="299" t="s">
        <v>194</v>
      </c>
      <c r="X279" s="300">
        <v>44687</v>
      </c>
      <c r="Y279" s="299" t="s">
        <v>59</v>
      </c>
      <c r="Z279" s="303">
        <v>697.36999999999989</v>
      </c>
      <c r="AA279" s="305">
        <f>IF(Z279=0,0,IF(Y279="MXN",1/HLOOKUP(YEAR(X279)+(MONTH(X279)/100),TC!$5:$37,DAY(X279)+2,FALSE),VLOOKUP(Y279,Equivalencia!$1:$23,((MAX(Equivalencia!$3:$3)-YEAR(X279))*14)+MONTH(X279)+2,FALSE)))</f>
        <v>1</v>
      </c>
      <c r="AB279" s="306">
        <f t="shared" si="76"/>
        <v>697.36999999999989</v>
      </c>
      <c r="AC279" s="305">
        <f>+IF(X279=0,0,HLOOKUP(YEAR(X279)+(MONTH(X279)/100),TC!$5:$37,DAY(X279)+2,FALSE))</f>
        <v>20.335000000000001</v>
      </c>
      <c r="AD279" s="307">
        <f t="shared" si="77"/>
        <v>14181.018949999998</v>
      </c>
      <c r="AE279" s="314">
        <f t="shared" si="78"/>
        <v>16585.243280639999</v>
      </c>
      <c r="AF279" s="315">
        <f t="shared" si="79"/>
        <v>-2404.2243306400014</v>
      </c>
      <c r="AG279" s="316">
        <f t="shared" si="80"/>
        <v>0.71232876712328763</v>
      </c>
      <c r="AH279" s="314">
        <v>1</v>
      </c>
      <c r="AI279" s="314">
        <f t="shared" si="81"/>
        <v>-2404.2243306400014</v>
      </c>
      <c r="AJ279" s="314">
        <f t="shared" si="82"/>
        <v>0</v>
      </c>
      <c r="AK279" s="317"/>
      <c r="AL279" s="315">
        <f t="shared" si="83"/>
        <v>-83.455600000000118</v>
      </c>
      <c r="AN279" s="554">
        <f t="shared" si="84"/>
        <v>-0.1068812293039574</v>
      </c>
      <c r="AO279" s="314"/>
      <c r="AP279" s="318"/>
    </row>
    <row r="280" spans="2:42">
      <c r="B280" s="296" t="s">
        <v>1254</v>
      </c>
      <c r="C280" s="299" t="s">
        <v>277</v>
      </c>
      <c r="D280" s="298" t="s">
        <v>708</v>
      </c>
      <c r="E280" s="299" t="s">
        <v>106</v>
      </c>
      <c r="F280" s="299" t="s">
        <v>59</v>
      </c>
      <c r="G280" s="300">
        <v>44427</v>
      </c>
      <c r="H280" s="303">
        <v>1171.2384</v>
      </c>
      <c r="I280" s="301" t="str">
        <f t="shared" si="68"/>
        <v>Ingresos Sección I LISR</v>
      </c>
      <c r="J280" s="302">
        <f t="shared" si="69"/>
        <v>30</v>
      </c>
      <c r="K280" s="304">
        <f t="shared" si="70"/>
        <v>39.04128</v>
      </c>
      <c r="L280" s="305">
        <f>IF(H280=0,0,IF(OR(E280=$AT$5,E280=$AT$6),AA280,IF(F280="MXN",1/HLOOKUP(YEAR(G280)+(MONTH(G280)/100),TC!$5:$37,DAY(G280)+2,FALSE),VLOOKUP(F280,Equivalencia!$5:$23,((MAX(Equivalencia!$3:$3)-YEAR(G280))*14)+MONTH(G280)+2,FALSE))))</f>
        <v>1</v>
      </c>
      <c r="M280" s="306">
        <f t="shared" si="71"/>
        <v>1171.2384</v>
      </c>
      <c r="N280" s="305">
        <f>IF(G280=0,0,(IF(OR(E280=$AT$5,E280=$AT$6),AC280,HLOOKUP(YEAR(G280)+(MONTH(G280)/100),TC!$5:$37,DAY(G280)+2,FALSE))))</f>
        <v>19.991199999999999</v>
      </c>
      <c r="O280" s="307">
        <f t="shared" si="72"/>
        <v>23414.461102079997</v>
      </c>
      <c r="P280" s="560">
        <f>IF(G280=0,0,VLOOKUP(YEAR(G280),INPC!$B$4:$P$30,MONTH(G280)+2))</f>
        <v>113.899</v>
      </c>
      <c r="Q280" s="560">
        <f>IF(X280=0,0,IF(OR(E280=$AT$10,E280=$AT$9),VLOOKUP(YEAR(X280),INPC!$B$4:$P$30,MONTH(X280)+1),VLOOKUP(YEAR(X280),INPC!$B$4:$P$30,MONTH(X280)+2,0)))</f>
        <v>121.02200000000001</v>
      </c>
      <c r="R280" s="309">
        <f t="shared" si="73"/>
        <v>1.0625</v>
      </c>
      <c r="S280" s="310">
        <f t="shared" si="74"/>
        <v>24877.864920959997</v>
      </c>
      <c r="T280" s="555">
        <f t="shared" si="75"/>
        <v>829.26216403199987</v>
      </c>
      <c r="U280" s="311"/>
      <c r="V280" s="312">
        <v>30</v>
      </c>
      <c r="W280" s="299" t="s">
        <v>194</v>
      </c>
      <c r="X280" s="300">
        <v>44687</v>
      </c>
      <c r="Y280" s="299" t="s">
        <v>59</v>
      </c>
      <c r="Z280" s="303">
        <v>1060.99</v>
      </c>
      <c r="AA280" s="305">
        <f>IF(Z280=0,0,IF(Y280="MXN",1/HLOOKUP(YEAR(X280)+(MONTH(X280)/100),TC!$5:$37,DAY(X280)+2,FALSE),VLOOKUP(Y280,Equivalencia!$1:$23,((MAX(Equivalencia!$3:$3)-YEAR(X280))*14)+MONTH(X280)+2,FALSE)))</f>
        <v>1</v>
      </c>
      <c r="AB280" s="306">
        <f t="shared" si="76"/>
        <v>1060.99</v>
      </c>
      <c r="AC280" s="305">
        <f>+IF(X280=0,0,HLOOKUP(YEAR(X280)+(MONTH(X280)/100),TC!$5:$37,DAY(X280)+2,FALSE))</f>
        <v>20.335000000000001</v>
      </c>
      <c r="AD280" s="307">
        <f t="shared" si="77"/>
        <v>21575.231650000002</v>
      </c>
      <c r="AE280" s="314">
        <f t="shared" si="78"/>
        <v>24877.864920959997</v>
      </c>
      <c r="AF280" s="315">
        <f t="shared" si="79"/>
        <v>-3302.6332709599956</v>
      </c>
      <c r="AG280" s="316">
        <f t="shared" si="80"/>
        <v>0.71232876712328763</v>
      </c>
      <c r="AH280" s="314">
        <v>1</v>
      </c>
      <c r="AI280" s="314">
        <f t="shared" si="81"/>
        <v>-3302.6332709599956</v>
      </c>
      <c r="AJ280" s="314">
        <f t="shared" si="82"/>
        <v>0</v>
      </c>
      <c r="AK280" s="317"/>
      <c r="AL280" s="315">
        <f t="shared" si="83"/>
        <v>-110.24839999999995</v>
      </c>
      <c r="AN280" s="554">
        <f t="shared" si="84"/>
        <v>-9.4129768969323374E-2</v>
      </c>
      <c r="AO280" s="314"/>
      <c r="AP280" s="318"/>
    </row>
    <row r="281" spans="2:42">
      <c r="B281" s="296" t="s">
        <v>1254</v>
      </c>
      <c r="C281" s="299" t="s">
        <v>277</v>
      </c>
      <c r="D281" s="298" t="s">
        <v>708</v>
      </c>
      <c r="E281" s="299" t="s">
        <v>106</v>
      </c>
      <c r="F281" s="299" t="s">
        <v>59</v>
      </c>
      <c r="G281" s="300">
        <v>44427</v>
      </c>
      <c r="H281" s="303">
        <v>1561.6512</v>
      </c>
      <c r="I281" s="301" t="str">
        <f t="shared" si="68"/>
        <v>Ingresos Sección I LISR</v>
      </c>
      <c r="J281" s="302">
        <f t="shared" si="69"/>
        <v>40</v>
      </c>
      <c r="K281" s="304">
        <f t="shared" si="70"/>
        <v>39.04128</v>
      </c>
      <c r="L281" s="305">
        <f>IF(H281=0,0,IF(OR(E281=$AT$5,E281=$AT$6),AA281,IF(F281="MXN",1/HLOOKUP(YEAR(G281)+(MONTH(G281)/100),TC!$5:$37,DAY(G281)+2,FALSE),VLOOKUP(F281,Equivalencia!$5:$23,((MAX(Equivalencia!$3:$3)-YEAR(G281))*14)+MONTH(G281)+2,FALSE))))</f>
        <v>1</v>
      </c>
      <c r="M281" s="306">
        <f t="shared" si="71"/>
        <v>1561.6512</v>
      </c>
      <c r="N281" s="305">
        <f>IF(G281=0,0,(IF(OR(E281=$AT$5,E281=$AT$6),AC281,HLOOKUP(YEAR(G281)+(MONTH(G281)/100),TC!$5:$37,DAY(G281)+2,FALSE))))</f>
        <v>19.991199999999999</v>
      </c>
      <c r="O281" s="307">
        <f t="shared" si="72"/>
        <v>31219.28146944</v>
      </c>
      <c r="P281" s="560">
        <f>IF(G281=0,0,VLOOKUP(YEAR(G281),INPC!$B$4:$P$30,MONTH(G281)+2))</f>
        <v>113.899</v>
      </c>
      <c r="Q281" s="560">
        <f>IF(X281=0,0,IF(OR(E281=$AT$10,E281=$AT$9),VLOOKUP(YEAR(X281),INPC!$B$4:$P$30,MONTH(X281)+1),VLOOKUP(YEAR(X281),INPC!$B$4:$P$30,MONTH(X281)+2,0)))</f>
        <v>121.02200000000001</v>
      </c>
      <c r="R281" s="309">
        <f t="shared" si="73"/>
        <v>1.0625</v>
      </c>
      <c r="S281" s="310">
        <f t="shared" si="74"/>
        <v>33170.486561279999</v>
      </c>
      <c r="T281" s="555">
        <f t="shared" si="75"/>
        <v>829.26216403199999</v>
      </c>
      <c r="U281" s="311"/>
      <c r="V281" s="312">
        <v>40</v>
      </c>
      <c r="W281" s="299" t="s">
        <v>194</v>
      </c>
      <c r="X281" s="300">
        <v>44687</v>
      </c>
      <c r="Y281" s="299" t="s">
        <v>59</v>
      </c>
      <c r="Z281" s="303">
        <v>1402.63</v>
      </c>
      <c r="AA281" s="305">
        <f>IF(Z281=0,0,IF(Y281="MXN",1/HLOOKUP(YEAR(X281)+(MONTH(X281)/100),TC!$5:$37,DAY(X281)+2,FALSE),VLOOKUP(Y281,Equivalencia!$1:$23,((MAX(Equivalencia!$3:$3)-YEAR(X281))*14)+MONTH(X281)+2,FALSE)))</f>
        <v>1</v>
      </c>
      <c r="AB281" s="306">
        <f t="shared" si="76"/>
        <v>1402.63</v>
      </c>
      <c r="AC281" s="305">
        <f>+IF(X281=0,0,HLOOKUP(YEAR(X281)+(MONTH(X281)/100),TC!$5:$37,DAY(X281)+2,FALSE))</f>
        <v>20.335000000000001</v>
      </c>
      <c r="AD281" s="307">
        <f t="shared" si="77"/>
        <v>28522.481050000002</v>
      </c>
      <c r="AE281" s="314">
        <f t="shared" si="78"/>
        <v>33170.486561279999</v>
      </c>
      <c r="AF281" s="315">
        <f t="shared" si="79"/>
        <v>-4648.0055112799964</v>
      </c>
      <c r="AG281" s="316">
        <f t="shared" si="80"/>
        <v>0.71232876712328763</v>
      </c>
      <c r="AH281" s="314">
        <v>1</v>
      </c>
      <c r="AI281" s="314">
        <f t="shared" si="81"/>
        <v>-4648.0055112799964</v>
      </c>
      <c r="AJ281" s="314">
        <f t="shared" si="82"/>
        <v>0</v>
      </c>
      <c r="AK281" s="317"/>
      <c r="AL281" s="315">
        <f t="shared" si="83"/>
        <v>-159.02119999999991</v>
      </c>
      <c r="AN281" s="554">
        <f t="shared" si="84"/>
        <v>-0.10182888470869801</v>
      </c>
      <c r="AO281" s="314"/>
      <c r="AP281" s="318"/>
    </row>
    <row r="282" spans="2:42">
      <c r="B282" s="296" t="s">
        <v>1254</v>
      </c>
      <c r="C282" s="299" t="s">
        <v>277</v>
      </c>
      <c r="D282" s="298" t="s">
        <v>708</v>
      </c>
      <c r="E282" s="299" t="s">
        <v>106</v>
      </c>
      <c r="F282" s="299" t="s">
        <v>59</v>
      </c>
      <c r="G282" s="300">
        <v>44427</v>
      </c>
      <c r="H282" s="303">
        <v>273.28895999999997</v>
      </c>
      <c r="I282" s="301" t="str">
        <f t="shared" si="68"/>
        <v>Ingresos Sección I LISR</v>
      </c>
      <c r="J282" s="302">
        <f t="shared" si="69"/>
        <v>7</v>
      </c>
      <c r="K282" s="304">
        <f t="shared" si="70"/>
        <v>39.041279999999993</v>
      </c>
      <c r="L282" s="305">
        <f>IF(H282=0,0,IF(OR(E282=$AT$5,E282=$AT$6),AA282,IF(F282="MXN",1/HLOOKUP(YEAR(G282)+(MONTH(G282)/100),TC!$5:$37,DAY(G282)+2,FALSE),VLOOKUP(F282,Equivalencia!$5:$23,((MAX(Equivalencia!$3:$3)-YEAR(G282))*14)+MONTH(G282)+2,FALSE))))</f>
        <v>1</v>
      </c>
      <c r="M282" s="306">
        <f t="shared" si="71"/>
        <v>273.28895999999997</v>
      </c>
      <c r="N282" s="305">
        <f>IF(G282=0,0,(IF(OR(E282=$AT$5,E282=$AT$6),AC282,HLOOKUP(YEAR(G282)+(MONTH(G282)/100),TC!$5:$37,DAY(G282)+2,FALSE))))</f>
        <v>19.991199999999999</v>
      </c>
      <c r="O282" s="307">
        <f t="shared" si="72"/>
        <v>5463.3742571519997</v>
      </c>
      <c r="P282" s="560">
        <f>IF(G282=0,0,VLOOKUP(YEAR(G282),INPC!$B$4:$P$30,MONTH(G282)+2))</f>
        <v>113.899</v>
      </c>
      <c r="Q282" s="560">
        <f>IF(X282=0,0,IF(OR(E282=$AT$10,E282=$AT$9),VLOOKUP(YEAR(X282),INPC!$B$4:$P$30,MONTH(X282)+1),VLOOKUP(YEAR(X282),INPC!$B$4:$P$30,MONTH(X282)+2,0)))</f>
        <v>121.02200000000001</v>
      </c>
      <c r="R282" s="309">
        <f t="shared" si="73"/>
        <v>1.0625</v>
      </c>
      <c r="S282" s="310">
        <f t="shared" si="74"/>
        <v>5804.8351482239996</v>
      </c>
      <c r="T282" s="555">
        <f t="shared" si="75"/>
        <v>829.26216403199999</v>
      </c>
      <c r="U282" s="311"/>
      <c r="V282" s="312">
        <v>7</v>
      </c>
      <c r="W282" s="299" t="s">
        <v>194</v>
      </c>
      <c r="X282" s="300">
        <v>44687</v>
      </c>
      <c r="Y282" s="299" t="s">
        <v>59</v>
      </c>
      <c r="Z282" s="303">
        <v>246.54</v>
      </c>
      <c r="AA282" s="305">
        <f>IF(Z282=0,0,IF(Y282="MXN",1/HLOOKUP(YEAR(X282)+(MONTH(X282)/100),TC!$5:$37,DAY(X282)+2,FALSE),VLOOKUP(Y282,Equivalencia!$1:$23,((MAX(Equivalencia!$3:$3)-YEAR(X282))*14)+MONTH(X282)+2,FALSE)))</f>
        <v>1</v>
      </c>
      <c r="AB282" s="306">
        <f t="shared" si="76"/>
        <v>246.54</v>
      </c>
      <c r="AC282" s="305">
        <f>+IF(X282=0,0,HLOOKUP(YEAR(X282)+(MONTH(X282)/100),TC!$5:$37,DAY(X282)+2,FALSE))</f>
        <v>20.335000000000001</v>
      </c>
      <c r="AD282" s="307">
        <f t="shared" si="77"/>
        <v>5013.3909000000003</v>
      </c>
      <c r="AE282" s="314">
        <f t="shared" si="78"/>
        <v>5804.8351482239996</v>
      </c>
      <c r="AF282" s="315">
        <f t="shared" si="79"/>
        <v>-791.44424822399924</v>
      </c>
      <c r="AG282" s="316">
        <f t="shared" si="80"/>
        <v>0.71232876712328763</v>
      </c>
      <c r="AH282" s="314">
        <v>1</v>
      </c>
      <c r="AI282" s="314">
        <f t="shared" si="81"/>
        <v>-791.44424822399924</v>
      </c>
      <c r="AJ282" s="314">
        <f t="shared" si="82"/>
        <v>0</v>
      </c>
      <c r="AK282" s="317"/>
      <c r="AL282" s="315">
        <f t="shared" si="83"/>
        <v>-26.748959999999983</v>
      </c>
      <c r="AN282" s="554">
        <f t="shared" si="84"/>
        <v>-9.7877938428248198E-2</v>
      </c>
      <c r="AO282" s="314"/>
      <c r="AP282" s="318"/>
    </row>
    <row r="283" spans="2:42">
      <c r="B283" s="296" t="s">
        <v>1254</v>
      </c>
      <c r="C283" s="299" t="s">
        <v>277</v>
      </c>
      <c r="D283" s="298" t="s">
        <v>708</v>
      </c>
      <c r="E283" s="299" t="s">
        <v>106</v>
      </c>
      <c r="F283" s="299" t="s">
        <v>59</v>
      </c>
      <c r="G283" s="300">
        <v>44427</v>
      </c>
      <c r="H283" s="303">
        <v>976.03200000000004</v>
      </c>
      <c r="I283" s="301" t="str">
        <f t="shared" si="68"/>
        <v>Ingresos Sección I LISR</v>
      </c>
      <c r="J283" s="302">
        <f t="shared" si="69"/>
        <v>25</v>
      </c>
      <c r="K283" s="304">
        <f t="shared" si="70"/>
        <v>39.04128</v>
      </c>
      <c r="L283" s="305">
        <f>IF(H283=0,0,IF(OR(E283=$AT$5,E283=$AT$6),AA283,IF(F283="MXN",1/HLOOKUP(YEAR(G283)+(MONTH(G283)/100),TC!$5:$37,DAY(G283)+2,FALSE),VLOOKUP(F283,Equivalencia!$5:$23,((MAX(Equivalencia!$3:$3)-YEAR(G283))*14)+MONTH(G283)+2,FALSE))))</f>
        <v>1</v>
      </c>
      <c r="M283" s="306">
        <f t="shared" si="71"/>
        <v>976.03200000000004</v>
      </c>
      <c r="N283" s="305">
        <f>IF(G283=0,0,(IF(OR(E283=$AT$5,E283=$AT$6),AC283,HLOOKUP(YEAR(G283)+(MONTH(G283)/100),TC!$5:$37,DAY(G283)+2,FALSE))))</f>
        <v>19.991199999999999</v>
      </c>
      <c r="O283" s="307">
        <f t="shared" si="72"/>
        <v>19512.0509184</v>
      </c>
      <c r="P283" s="560">
        <f>IF(G283=0,0,VLOOKUP(YEAR(G283),INPC!$B$4:$P$30,MONTH(G283)+2))</f>
        <v>113.899</v>
      </c>
      <c r="Q283" s="560">
        <f>IF(X283=0,0,IF(OR(E283=$AT$10,E283=$AT$9),VLOOKUP(YEAR(X283),INPC!$B$4:$P$30,MONTH(X283)+1),VLOOKUP(YEAR(X283),INPC!$B$4:$P$30,MONTH(X283)+2,0)))</f>
        <v>121.02200000000001</v>
      </c>
      <c r="R283" s="309">
        <f t="shared" si="73"/>
        <v>1.0625</v>
      </c>
      <c r="S283" s="310">
        <f t="shared" si="74"/>
        <v>20731.5541008</v>
      </c>
      <c r="T283" s="555">
        <f t="shared" si="75"/>
        <v>829.26216403199999</v>
      </c>
      <c r="U283" s="311"/>
      <c r="V283" s="312">
        <v>25</v>
      </c>
      <c r="W283" s="299" t="s">
        <v>194</v>
      </c>
      <c r="X283" s="300">
        <v>44690</v>
      </c>
      <c r="Y283" s="299" t="s">
        <v>59</v>
      </c>
      <c r="Z283" s="303">
        <v>797.77611940298505</v>
      </c>
      <c r="AA283" s="305">
        <f>IF(Z283=0,0,IF(Y283="MXN",1/HLOOKUP(YEAR(X283)+(MONTH(X283)/100),TC!$5:$37,DAY(X283)+2,FALSE),VLOOKUP(Y283,Equivalencia!$1:$23,((MAX(Equivalencia!$3:$3)-YEAR(X283))*14)+MONTH(X283)+2,FALSE)))</f>
        <v>1</v>
      </c>
      <c r="AB283" s="306">
        <f t="shared" si="76"/>
        <v>797.77611940298505</v>
      </c>
      <c r="AC283" s="305">
        <f>+IF(X283=0,0,HLOOKUP(YEAR(X283)+(MONTH(X283)/100),TC!$5:$37,DAY(X283)+2,FALSE))</f>
        <v>20.253499999999999</v>
      </c>
      <c r="AD283" s="307">
        <f t="shared" si="77"/>
        <v>16157.758634328356</v>
      </c>
      <c r="AE283" s="314">
        <f t="shared" si="78"/>
        <v>20731.5541008</v>
      </c>
      <c r="AF283" s="315">
        <f t="shared" si="79"/>
        <v>-4573.7954664716435</v>
      </c>
      <c r="AG283" s="316">
        <f t="shared" si="80"/>
        <v>0.72054794520547949</v>
      </c>
      <c r="AH283" s="314">
        <v>1</v>
      </c>
      <c r="AI283" s="314">
        <f t="shared" si="81"/>
        <v>-4573.7954664716435</v>
      </c>
      <c r="AJ283" s="314">
        <f t="shared" si="82"/>
        <v>0</v>
      </c>
      <c r="AK283" s="317"/>
      <c r="AL283" s="315">
        <f t="shared" si="83"/>
        <v>-178.25588059701499</v>
      </c>
      <c r="AN283" s="554">
        <f t="shared" si="84"/>
        <v>-0.18263323394828754</v>
      </c>
      <c r="AO283" s="314"/>
      <c r="AP283" s="318"/>
    </row>
    <row r="284" spans="2:42">
      <c r="B284" s="296" t="s">
        <v>1254</v>
      </c>
      <c r="C284" s="299" t="s">
        <v>277</v>
      </c>
      <c r="D284" s="298" t="s">
        <v>708</v>
      </c>
      <c r="E284" s="299" t="s">
        <v>106</v>
      </c>
      <c r="F284" s="299" t="s">
        <v>59</v>
      </c>
      <c r="G284" s="300">
        <v>44427</v>
      </c>
      <c r="H284" s="303">
        <v>534.19000000000005</v>
      </c>
      <c r="I284" s="301" t="str">
        <f t="shared" si="68"/>
        <v>Ingresos Sección I LISR</v>
      </c>
      <c r="J284" s="302">
        <f t="shared" si="69"/>
        <v>14</v>
      </c>
      <c r="K284" s="304">
        <f t="shared" si="70"/>
        <v>38.156428571428577</v>
      </c>
      <c r="L284" s="305">
        <f>IF(H284=0,0,IF(OR(E284=$AT$5,E284=$AT$6),AA284,IF(F284="MXN",1/HLOOKUP(YEAR(G284)+(MONTH(G284)/100),TC!$5:$37,DAY(G284)+2,FALSE),VLOOKUP(F284,Equivalencia!$5:$23,((MAX(Equivalencia!$3:$3)-YEAR(G284))*14)+MONTH(G284)+2,FALSE))))</f>
        <v>1</v>
      </c>
      <c r="M284" s="306">
        <f t="shared" si="71"/>
        <v>534.19000000000005</v>
      </c>
      <c r="N284" s="305">
        <f>IF(G284=0,0,(IF(OR(E284=$AT$5,E284=$AT$6),AC284,HLOOKUP(YEAR(G284)+(MONTH(G284)/100),TC!$5:$37,DAY(G284)+2,FALSE))))</f>
        <v>19.991199999999999</v>
      </c>
      <c r="O284" s="307">
        <f t="shared" si="72"/>
        <v>10679.099128</v>
      </c>
      <c r="P284" s="560">
        <f>IF(G284=0,0,VLOOKUP(YEAR(G284),INPC!$B$4:$P$30,MONTH(G284)+2))</f>
        <v>113.899</v>
      </c>
      <c r="Q284" s="560">
        <f>IF(X284=0,0,IF(OR(E284=$AT$10,E284=$AT$9),VLOOKUP(YEAR(X284),INPC!$B$4:$P$30,MONTH(X284)+1),VLOOKUP(YEAR(X284),INPC!$B$4:$P$30,MONTH(X284)+2,0)))</f>
        <v>121.02200000000001</v>
      </c>
      <c r="R284" s="309">
        <f t="shared" si="73"/>
        <v>1.0625</v>
      </c>
      <c r="S284" s="310">
        <f t="shared" si="74"/>
        <v>11346.5428235</v>
      </c>
      <c r="T284" s="555">
        <f t="shared" si="75"/>
        <v>810.46734453571423</v>
      </c>
      <c r="U284" s="311"/>
      <c r="V284" s="312">
        <v>14</v>
      </c>
      <c r="W284" s="299" t="s">
        <v>194</v>
      </c>
      <c r="X284" s="300">
        <v>44690</v>
      </c>
      <c r="Y284" s="299" t="s">
        <v>59</v>
      </c>
      <c r="Z284" s="303">
        <v>446.75462686567164</v>
      </c>
      <c r="AA284" s="305">
        <f>IF(Z284=0,0,IF(Y284="MXN",1/HLOOKUP(YEAR(X284)+(MONTH(X284)/100),TC!$5:$37,DAY(X284)+2,FALSE),VLOOKUP(Y284,Equivalencia!$1:$23,((MAX(Equivalencia!$3:$3)-YEAR(X284))*14)+MONTH(X284)+2,FALSE)))</f>
        <v>1</v>
      </c>
      <c r="AB284" s="306">
        <f t="shared" si="76"/>
        <v>446.75462686567164</v>
      </c>
      <c r="AC284" s="305">
        <f>+IF(X284=0,0,HLOOKUP(YEAR(X284)+(MONTH(X284)/100),TC!$5:$37,DAY(X284)+2,FALSE))</f>
        <v>20.253499999999999</v>
      </c>
      <c r="AD284" s="307">
        <f t="shared" si="77"/>
        <v>9048.3448352238793</v>
      </c>
      <c r="AE284" s="314">
        <f t="shared" si="78"/>
        <v>11346.5428235</v>
      </c>
      <c r="AF284" s="315">
        <f t="shared" si="79"/>
        <v>-2298.1979882761207</v>
      </c>
      <c r="AG284" s="316">
        <f t="shared" si="80"/>
        <v>0.72054794520547949</v>
      </c>
      <c r="AH284" s="314">
        <v>1</v>
      </c>
      <c r="AI284" s="314">
        <f t="shared" si="81"/>
        <v>-2298.1979882761207</v>
      </c>
      <c r="AJ284" s="314">
        <f t="shared" si="82"/>
        <v>0</v>
      </c>
      <c r="AK284" s="317"/>
      <c r="AL284" s="315">
        <f t="shared" si="83"/>
        <v>-87.435373134328415</v>
      </c>
      <c r="AN284" s="554">
        <f t="shared" si="84"/>
        <v>-0.16367841617089127</v>
      </c>
      <c r="AO284" s="314"/>
      <c r="AP284" s="318"/>
    </row>
    <row r="285" spans="2:42">
      <c r="B285" s="296" t="s">
        <v>1254</v>
      </c>
      <c r="C285" s="299" t="s">
        <v>277</v>
      </c>
      <c r="D285" s="298" t="s">
        <v>708</v>
      </c>
      <c r="E285" s="299" t="s">
        <v>106</v>
      </c>
      <c r="F285" s="299" t="s">
        <v>59</v>
      </c>
      <c r="G285" s="300">
        <v>44529</v>
      </c>
      <c r="H285" s="303">
        <v>2857.72</v>
      </c>
      <c r="I285" s="301" t="str">
        <f t="shared" si="68"/>
        <v>Ingresos Sección I LISR</v>
      </c>
      <c r="J285" s="302">
        <f t="shared" si="69"/>
        <v>74</v>
      </c>
      <c r="K285" s="304">
        <f t="shared" si="70"/>
        <v>38.617837837837833</v>
      </c>
      <c r="L285" s="305">
        <f>IF(H285=0,0,IF(OR(E285=$AT$5,E285=$AT$6),AA285,IF(F285="MXN",1/HLOOKUP(YEAR(G285)+(MONTH(G285)/100),TC!$5:$37,DAY(G285)+2,FALSE),VLOOKUP(F285,Equivalencia!$5:$23,((MAX(Equivalencia!$3:$3)-YEAR(G285))*14)+MONTH(G285)+2,FALSE))))</f>
        <v>1</v>
      </c>
      <c r="M285" s="306">
        <f t="shared" si="71"/>
        <v>2857.72</v>
      </c>
      <c r="N285" s="305">
        <f>IF(G285=0,0,(IF(OR(E285=$AT$5,E285=$AT$6),AC285,HLOOKUP(YEAR(G285)+(MONTH(G285)/100),TC!$5:$37,DAY(G285)+2,FALSE))))</f>
        <v>21.546199999999999</v>
      </c>
      <c r="O285" s="307">
        <f t="shared" si="72"/>
        <v>61573.006663999993</v>
      </c>
      <c r="P285" s="560">
        <f>IF(G285=0,0,VLOOKUP(YEAR(G285),INPC!$B$4:$P$30,MONTH(G285)+2))</f>
        <v>116.884</v>
      </c>
      <c r="Q285" s="560">
        <f>IF(X285=0,0,IF(OR(E285=$AT$10,E285=$AT$9),VLOOKUP(YEAR(X285),INPC!$B$4:$P$30,MONTH(X285)+1),VLOOKUP(YEAR(X285),INPC!$B$4:$P$30,MONTH(X285)+2,0)))</f>
        <v>121.02200000000001</v>
      </c>
      <c r="R285" s="309">
        <f t="shared" si="73"/>
        <v>1.0354000000000001</v>
      </c>
      <c r="S285" s="310">
        <f t="shared" si="74"/>
        <v>63752.691099905598</v>
      </c>
      <c r="T285" s="555">
        <f t="shared" si="75"/>
        <v>861.52285270142704</v>
      </c>
      <c r="U285" s="311"/>
      <c r="V285" s="312">
        <v>74</v>
      </c>
      <c r="W285" s="299" t="s">
        <v>194</v>
      </c>
      <c r="X285" s="300">
        <v>44690</v>
      </c>
      <c r="Y285" s="299" t="s">
        <v>59</v>
      </c>
      <c r="Z285" s="303">
        <v>2361.4173134328357</v>
      </c>
      <c r="AA285" s="305">
        <f>IF(Z285=0,0,IF(Y285="MXN",1/HLOOKUP(YEAR(X285)+(MONTH(X285)/100),TC!$5:$37,DAY(X285)+2,FALSE),VLOOKUP(Y285,Equivalencia!$1:$23,((MAX(Equivalencia!$3:$3)-YEAR(X285))*14)+MONTH(X285)+2,FALSE)))</f>
        <v>1</v>
      </c>
      <c r="AB285" s="306">
        <f t="shared" si="76"/>
        <v>2361.4173134328357</v>
      </c>
      <c r="AC285" s="305">
        <f>+IF(X285=0,0,HLOOKUP(YEAR(X285)+(MONTH(X285)/100),TC!$5:$37,DAY(X285)+2,FALSE))</f>
        <v>20.253499999999999</v>
      </c>
      <c r="AD285" s="307">
        <f t="shared" si="77"/>
        <v>47826.965557611933</v>
      </c>
      <c r="AE285" s="314">
        <f t="shared" si="78"/>
        <v>63752.691099905598</v>
      </c>
      <c r="AF285" s="315">
        <f t="shared" si="79"/>
        <v>-15925.725542293665</v>
      </c>
      <c r="AG285" s="316">
        <f t="shared" si="80"/>
        <v>0.44109589041095892</v>
      </c>
      <c r="AH285" s="314">
        <v>1</v>
      </c>
      <c r="AI285" s="314">
        <f t="shared" si="81"/>
        <v>-15925.725542293665</v>
      </c>
      <c r="AJ285" s="314">
        <f t="shared" si="82"/>
        <v>0</v>
      </c>
      <c r="AK285" s="317"/>
      <c r="AL285" s="315">
        <f t="shared" si="83"/>
        <v>-496.30268656716407</v>
      </c>
      <c r="AN285" s="554">
        <f t="shared" si="84"/>
        <v>-0.17367085878503286</v>
      </c>
      <c r="AO285" s="314"/>
      <c r="AP285" s="318"/>
    </row>
    <row r="286" spans="2:42">
      <c r="B286" s="296" t="s">
        <v>1254</v>
      </c>
      <c r="C286" s="299" t="s">
        <v>277</v>
      </c>
      <c r="D286" s="298" t="s">
        <v>708</v>
      </c>
      <c r="E286" s="299" t="s">
        <v>106</v>
      </c>
      <c r="F286" s="299" t="s">
        <v>59</v>
      </c>
      <c r="G286" s="300">
        <v>44529</v>
      </c>
      <c r="H286" s="303">
        <v>818.89255813953491</v>
      </c>
      <c r="I286" s="301" t="str">
        <f t="shared" si="68"/>
        <v>Ingresos Sección I LISR</v>
      </c>
      <c r="J286" s="302">
        <f t="shared" si="69"/>
        <v>21</v>
      </c>
      <c r="K286" s="304">
        <f t="shared" si="70"/>
        <v>38.994883720930233</v>
      </c>
      <c r="L286" s="305">
        <f>IF(H286=0,0,IF(OR(E286=$AT$5,E286=$AT$6),AA286,IF(F286="MXN",1/HLOOKUP(YEAR(G286)+(MONTH(G286)/100),TC!$5:$37,DAY(G286)+2,FALSE),VLOOKUP(F286,Equivalencia!$5:$23,((MAX(Equivalencia!$3:$3)-YEAR(G286))*14)+MONTH(G286)+2,FALSE))))</f>
        <v>1</v>
      </c>
      <c r="M286" s="306">
        <f t="shared" si="71"/>
        <v>818.89255813953491</v>
      </c>
      <c r="N286" s="305">
        <f>IF(G286=0,0,(IF(OR(E286=$AT$5,E286=$AT$6),AC286,HLOOKUP(YEAR(G286)+(MONTH(G286)/100),TC!$5:$37,DAY(G286)+2,FALSE))))</f>
        <v>21.546199999999999</v>
      </c>
      <c r="O286" s="307">
        <f t="shared" si="72"/>
        <v>17644.022836186046</v>
      </c>
      <c r="P286" s="560">
        <f>IF(G286=0,0,VLOOKUP(YEAR(G286),INPC!$B$4:$P$30,MONTH(G286)+2))</f>
        <v>116.884</v>
      </c>
      <c r="Q286" s="560">
        <f>IF(X286=0,0,IF(OR(E286=$AT$10,E286=$AT$9),VLOOKUP(YEAR(X286),INPC!$B$4:$P$30,MONTH(X286)+1),VLOOKUP(YEAR(X286),INPC!$B$4:$P$30,MONTH(X286)+2,0)))</f>
        <v>121.02200000000001</v>
      </c>
      <c r="R286" s="309">
        <f t="shared" si="73"/>
        <v>1.0354000000000001</v>
      </c>
      <c r="S286" s="310">
        <f t="shared" si="74"/>
        <v>18268.621244587033</v>
      </c>
      <c r="T286" s="555">
        <f t="shared" si="75"/>
        <v>869.93434498033491</v>
      </c>
      <c r="U286" s="311"/>
      <c r="V286" s="312">
        <v>21</v>
      </c>
      <c r="W286" s="299" t="s">
        <v>194</v>
      </c>
      <c r="X286" s="300">
        <v>44690</v>
      </c>
      <c r="Y286" s="299" t="s">
        <v>59</v>
      </c>
      <c r="Z286" s="303">
        <v>670.13194029850752</v>
      </c>
      <c r="AA286" s="305">
        <f>IF(Z286=0,0,IF(Y286="MXN",1/HLOOKUP(YEAR(X286)+(MONTH(X286)/100),TC!$5:$37,DAY(X286)+2,FALSE),VLOOKUP(Y286,Equivalencia!$1:$23,((MAX(Equivalencia!$3:$3)-YEAR(X286))*14)+MONTH(X286)+2,FALSE)))</f>
        <v>1</v>
      </c>
      <c r="AB286" s="306">
        <f t="shared" si="76"/>
        <v>670.13194029850752</v>
      </c>
      <c r="AC286" s="305">
        <f>+IF(X286=0,0,HLOOKUP(YEAR(X286)+(MONTH(X286)/100),TC!$5:$37,DAY(X286)+2,FALSE))</f>
        <v>20.253499999999999</v>
      </c>
      <c r="AD286" s="307">
        <f t="shared" si="77"/>
        <v>13572.517252835822</v>
      </c>
      <c r="AE286" s="314">
        <f t="shared" si="78"/>
        <v>18268.621244587033</v>
      </c>
      <c r="AF286" s="315">
        <f t="shared" si="79"/>
        <v>-4696.1039917512117</v>
      </c>
      <c r="AG286" s="316">
        <f t="shared" si="80"/>
        <v>0.44109589041095892</v>
      </c>
      <c r="AH286" s="314">
        <v>1</v>
      </c>
      <c r="AI286" s="314">
        <f t="shared" si="81"/>
        <v>-4696.1039917512117</v>
      </c>
      <c r="AJ286" s="314">
        <f t="shared" si="82"/>
        <v>0</v>
      </c>
      <c r="AK286" s="317"/>
      <c r="AL286" s="315">
        <f t="shared" si="83"/>
        <v>-148.7606178410274</v>
      </c>
      <c r="AN286" s="554">
        <f t="shared" si="84"/>
        <v>-0.18166072748176004</v>
      </c>
      <c r="AO286" s="314"/>
      <c r="AP286" s="318"/>
    </row>
    <row r="287" spans="2:42">
      <c r="B287" s="296" t="s">
        <v>1254</v>
      </c>
      <c r="C287" s="299" t="s">
        <v>277</v>
      </c>
      <c r="D287" s="298" t="s">
        <v>708</v>
      </c>
      <c r="E287" s="299" t="s">
        <v>106</v>
      </c>
      <c r="F287" s="299" t="s">
        <v>59</v>
      </c>
      <c r="G287" s="300">
        <v>44529</v>
      </c>
      <c r="H287" s="303">
        <v>5888.2274418604648</v>
      </c>
      <c r="I287" s="301" t="str">
        <f t="shared" si="68"/>
        <v>Ingresos Sección I LISR</v>
      </c>
      <c r="J287" s="302">
        <f t="shared" si="69"/>
        <v>151</v>
      </c>
      <c r="K287" s="304">
        <f t="shared" si="70"/>
        <v>38.994883720930233</v>
      </c>
      <c r="L287" s="305">
        <f>IF(H287=0,0,IF(OR(E287=$AT$5,E287=$AT$6),AA287,IF(F287="MXN",1/HLOOKUP(YEAR(G287)+(MONTH(G287)/100),TC!$5:$37,DAY(G287)+2,FALSE),VLOOKUP(F287,Equivalencia!$5:$23,((MAX(Equivalencia!$3:$3)-YEAR(G287))*14)+MONTH(G287)+2,FALSE))))</f>
        <v>1</v>
      </c>
      <c r="M287" s="306">
        <f t="shared" si="71"/>
        <v>5888.2274418604648</v>
      </c>
      <c r="N287" s="305">
        <f>IF(G287=0,0,(IF(OR(E287=$AT$5,E287=$AT$6),AC287,HLOOKUP(YEAR(G287)+(MONTH(G287)/100),TC!$5:$37,DAY(G287)+2,FALSE))))</f>
        <v>21.546199999999999</v>
      </c>
      <c r="O287" s="307">
        <f t="shared" si="72"/>
        <v>126868.92610781394</v>
      </c>
      <c r="P287" s="560">
        <f>IF(G287=0,0,VLOOKUP(YEAR(G287),INPC!$B$4:$P$30,MONTH(G287)+2))</f>
        <v>116.884</v>
      </c>
      <c r="Q287" s="560">
        <f>IF(X287=0,0,IF(OR(E287=$AT$10,E287=$AT$9),VLOOKUP(YEAR(X287),INPC!$B$4:$P$30,MONTH(X287)+1),VLOOKUP(YEAR(X287),INPC!$B$4:$P$30,MONTH(X287)+2,0)))</f>
        <v>121.02200000000001</v>
      </c>
      <c r="R287" s="309">
        <f t="shared" si="73"/>
        <v>1.0354000000000001</v>
      </c>
      <c r="S287" s="310">
        <f t="shared" si="74"/>
        <v>131360.08609203057</v>
      </c>
      <c r="T287" s="555">
        <f t="shared" si="75"/>
        <v>869.93434498033491</v>
      </c>
      <c r="U287" s="311"/>
      <c r="V287" s="312">
        <v>151</v>
      </c>
      <c r="W287" s="299" t="s">
        <v>194</v>
      </c>
      <c r="X287" s="300">
        <v>44691</v>
      </c>
      <c r="Y287" s="299" t="s">
        <v>59</v>
      </c>
      <c r="Z287" s="303">
        <v>4737.9615662650604</v>
      </c>
      <c r="AA287" s="305">
        <f>IF(Z287=0,0,IF(Y287="MXN",1/HLOOKUP(YEAR(X287)+(MONTH(X287)/100),TC!$5:$37,DAY(X287)+2,FALSE),VLOOKUP(Y287,Equivalencia!$1:$23,((MAX(Equivalencia!$3:$3)-YEAR(X287))*14)+MONTH(X287)+2,FALSE)))</f>
        <v>1</v>
      </c>
      <c r="AB287" s="306">
        <f t="shared" si="76"/>
        <v>4737.9615662650604</v>
      </c>
      <c r="AC287" s="305">
        <f>+IF(X287=0,0,HLOOKUP(YEAR(X287)+(MONTH(X287)/100),TC!$5:$37,DAY(X287)+2,FALSE))</f>
        <v>20.108499999999999</v>
      </c>
      <c r="AD287" s="307">
        <f t="shared" si="77"/>
        <v>95273.30015524097</v>
      </c>
      <c r="AE287" s="314">
        <f t="shared" si="78"/>
        <v>131360.08609203057</v>
      </c>
      <c r="AF287" s="315">
        <f t="shared" si="79"/>
        <v>-36086.785936789602</v>
      </c>
      <c r="AG287" s="316">
        <f t="shared" si="80"/>
        <v>0.44383561643835617</v>
      </c>
      <c r="AH287" s="314">
        <v>1</v>
      </c>
      <c r="AI287" s="314">
        <f t="shared" si="81"/>
        <v>-36086.785936789602</v>
      </c>
      <c r="AJ287" s="314">
        <f t="shared" si="82"/>
        <v>0</v>
      </c>
      <c r="AK287" s="317"/>
      <c r="AL287" s="315">
        <f t="shared" si="83"/>
        <v>-1150.2658755954044</v>
      </c>
      <c r="AN287" s="554">
        <f t="shared" si="84"/>
        <v>-0.19535010951138845</v>
      </c>
      <c r="AO287" s="314"/>
      <c r="AP287" s="318"/>
    </row>
    <row r="288" spans="2:42">
      <c r="B288" s="296" t="s">
        <v>1254</v>
      </c>
      <c r="C288" s="299" t="s">
        <v>277</v>
      </c>
      <c r="D288" s="298" t="s">
        <v>708</v>
      </c>
      <c r="E288" s="299" t="s">
        <v>106</v>
      </c>
      <c r="F288" s="299" t="s">
        <v>59</v>
      </c>
      <c r="G288" s="300">
        <v>44629</v>
      </c>
      <c r="H288" s="303">
        <v>472.44999999999993</v>
      </c>
      <c r="I288" s="301" t="str">
        <f t="shared" si="68"/>
        <v>Ingresos Sección I LISR</v>
      </c>
      <c r="J288" s="302">
        <f t="shared" si="69"/>
        <v>11</v>
      </c>
      <c r="K288" s="304">
        <f t="shared" si="70"/>
        <v>42.949999999999996</v>
      </c>
      <c r="L288" s="305">
        <f>IF(H288=0,0,IF(OR(E288=$AT$5,E288=$AT$6),AA288,IF(F288="MXN",1/HLOOKUP(YEAR(G288)+(MONTH(G288)/100),TC!$5:$37,DAY(G288)+2,FALSE),VLOOKUP(F288,Equivalencia!$5:$23,((MAX(Equivalencia!$3:$3)-YEAR(G288))*14)+MONTH(G288)+2,FALSE))))</f>
        <v>1</v>
      </c>
      <c r="M288" s="306">
        <f t="shared" si="71"/>
        <v>472.44999999999993</v>
      </c>
      <c r="N288" s="305">
        <f>IF(G288=0,0,(IF(OR(E288=$AT$5,E288=$AT$6),AC288,HLOOKUP(YEAR(G288)+(MONTH(G288)/100),TC!$5:$37,DAY(G288)+2,FALSE))))</f>
        <v>21.194700000000001</v>
      </c>
      <c r="O288" s="307">
        <f t="shared" si="72"/>
        <v>10013.436014999999</v>
      </c>
      <c r="P288" s="560">
        <f>IF(G288=0,0,VLOOKUP(YEAR(G288),INPC!$B$4:$P$30,MONTH(G288)+2))</f>
        <v>120.15900000000001</v>
      </c>
      <c r="Q288" s="560">
        <f>IF(X288=0,0,IF(OR(E288=$AT$10,E288=$AT$9),VLOOKUP(YEAR(X288),INPC!$B$4:$P$30,MONTH(X288)+1),VLOOKUP(YEAR(X288),INPC!$B$4:$P$30,MONTH(X288)+2,0)))</f>
        <v>121.02200000000001</v>
      </c>
      <c r="R288" s="309">
        <f t="shared" si="73"/>
        <v>1.0071000000000001</v>
      </c>
      <c r="S288" s="310">
        <f t="shared" si="74"/>
        <v>10084.531410706501</v>
      </c>
      <c r="T288" s="555">
        <f t="shared" si="75"/>
        <v>916.77558279150003</v>
      </c>
      <c r="U288" s="311"/>
      <c r="V288" s="312">
        <v>11</v>
      </c>
      <c r="W288" s="299" t="s">
        <v>194</v>
      </c>
      <c r="X288" s="300">
        <v>44691</v>
      </c>
      <c r="Y288" s="299" t="s">
        <v>59</v>
      </c>
      <c r="Z288" s="303">
        <v>345.14951807228914</v>
      </c>
      <c r="AA288" s="305">
        <f>IF(Z288=0,0,IF(Y288="MXN",1/HLOOKUP(YEAR(X288)+(MONTH(X288)/100),TC!$5:$37,DAY(X288)+2,FALSE),VLOOKUP(Y288,Equivalencia!$1:$23,((MAX(Equivalencia!$3:$3)-YEAR(X288))*14)+MONTH(X288)+2,FALSE)))</f>
        <v>1</v>
      </c>
      <c r="AB288" s="306">
        <f t="shared" si="76"/>
        <v>345.14951807228914</v>
      </c>
      <c r="AC288" s="305">
        <f>+IF(X288=0,0,HLOOKUP(YEAR(X288)+(MONTH(X288)/100),TC!$5:$37,DAY(X288)+2,FALSE))</f>
        <v>20.108499999999999</v>
      </c>
      <c r="AD288" s="307">
        <f t="shared" si="77"/>
        <v>6940.4390841566255</v>
      </c>
      <c r="AE288" s="314">
        <f t="shared" si="78"/>
        <v>10084.531410706501</v>
      </c>
      <c r="AF288" s="315">
        <f t="shared" si="79"/>
        <v>-3144.092326549875</v>
      </c>
      <c r="AG288" s="316">
        <f t="shared" si="80"/>
        <v>0.16986301369863013</v>
      </c>
      <c r="AH288" s="314">
        <v>1</v>
      </c>
      <c r="AI288" s="314">
        <f t="shared" si="81"/>
        <v>-3144.092326549875</v>
      </c>
      <c r="AJ288" s="314">
        <f t="shared" si="82"/>
        <v>0</v>
      </c>
      <c r="AK288" s="317"/>
      <c r="AL288" s="315">
        <f t="shared" si="83"/>
        <v>-127.30048192771079</v>
      </c>
      <c r="AN288" s="554">
        <f t="shared" si="84"/>
        <v>-0.26944752233614311</v>
      </c>
      <c r="AO288" s="314"/>
      <c r="AP288" s="318"/>
    </row>
    <row r="289" spans="2:42">
      <c r="B289" s="296" t="s">
        <v>1254</v>
      </c>
      <c r="C289" s="299" t="s">
        <v>277</v>
      </c>
      <c r="D289" s="298" t="s">
        <v>708</v>
      </c>
      <c r="E289" s="299" t="s">
        <v>106</v>
      </c>
      <c r="F289" s="299" t="s">
        <v>59</v>
      </c>
      <c r="G289" s="300">
        <v>44629</v>
      </c>
      <c r="H289" s="303">
        <v>170.67999999999998</v>
      </c>
      <c r="I289" s="301" t="str">
        <f t="shared" si="68"/>
        <v>Ingresos Sección I LISR</v>
      </c>
      <c r="J289" s="302">
        <f t="shared" si="69"/>
        <v>4</v>
      </c>
      <c r="K289" s="304">
        <f t="shared" si="70"/>
        <v>42.669999999999995</v>
      </c>
      <c r="L289" s="305">
        <f>IF(H289=0,0,IF(OR(E289=$AT$5,E289=$AT$6),AA289,IF(F289="MXN",1/HLOOKUP(YEAR(G289)+(MONTH(G289)/100),TC!$5:$37,DAY(G289)+2,FALSE),VLOOKUP(F289,Equivalencia!$5:$23,((MAX(Equivalencia!$3:$3)-YEAR(G289))*14)+MONTH(G289)+2,FALSE))))</f>
        <v>1</v>
      </c>
      <c r="M289" s="306">
        <f t="shared" si="71"/>
        <v>170.67999999999998</v>
      </c>
      <c r="N289" s="305">
        <f>IF(G289=0,0,(IF(OR(E289=$AT$5,E289=$AT$6),AC289,HLOOKUP(YEAR(G289)+(MONTH(G289)/100),TC!$5:$37,DAY(G289)+2,FALSE))))</f>
        <v>21.194700000000001</v>
      </c>
      <c r="O289" s="307">
        <f t="shared" si="72"/>
        <v>3617.5113959999999</v>
      </c>
      <c r="P289" s="560">
        <f>IF(G289=0,0,VLOOKUP(YEAR(G289),INPC!$B$4:$P$30,MONTH(G289)+2))</f>
        <v>120.15900000000001</v>
      </c>
      <c r="Q289" s="560">
        <f>IF(X289=0,0,IF(OR(E289=$AT$10,E289=$AT$9),VLOOKUP(YEAR(X289),INPC!$B$4:$P$30,MONTH(X289)+1),VLOOKUP(YEAR(X289),INPC!$B$4:$P$30,MONTH(X289)+2,0)))</f>
        <v>121.02200000000001</v>
      </c>
      <c r="R289" s="309">
        <f t="shared" si="73"/>
        <v>1.0071000000000001</v>
      </c>
      <c r="S289" s="310">
        <f t="shared" si="74"/>
        <v>3643.1957269116001</v>
      </c>
      <c r="T289" s="555">
        <f t="shared" si="75"/>
        <v>910.79893172790003</v>
      </c>
      <c r="U289" s="311"/>
      <c r="V289" s="312">
        <v>4</v>
      </c>
      <c r="W289" s="299" t="s">
        <v>194</v>
      </c>
      <c r="X289" s="300">
        <v>44691</v>
      </c>
      <c r="Y289" s="299" t="s">
        <v>59</v>
      </c>
      <c r="Z289" s="303">
        <v>125.50891566265059</v>
      </c>
      <c r="AA289" s="305">
        <f>IF(Z289=0,0,IF(Y289="MXN",1/HLOOKUP(YEAR(X289)+(MONTH(X289)/100),TC!$5:$37,DAY(X289)+2,FALSE),VLOOKUP(Y289,Equivalencia!$1:$23,((MAX(Equivalencia!$3:$3)-YEAR(X289))*14)+MONTH(X289)+2,FALSE)))</f>
        <v>1</v>
      </c>
      <c r="AB289" s="306">
        <f t="shared" si="76"/>
        <v>125.50891566265059</v>
      </c>
      <c r="AC289" s="305">
        <f>+IF(X289=0,0,HLOOKUP(YEAR(X289)+(MONTH(X289)/100),TC!$5:$37,DAY(X289)+2,FALSE))</f>
        <v>20.108499999999999</v>
      </c>
      <c r="AD289" s="307">
        <f t="shared" si="77"/>
        <v>2523.7960306024092</v>
      </c>
      <c r="AE289" s="314">
        <f t="shared" si="78"/>
        <v>3643.1957269116001</v>
      </c>
      <c r="AF289" s="315">
        <f t="shared" si="79"/>
        <v>-1119.3996963091909</v>
      </c>
      <c r="AG289" s="316">
        <f t="shared" si="80"/>
        <v>0.16986301369863013</v>
      </c>
      <c r="AH289" s="314">
        <v>1</v>
      </c>
      <c r="AI289" s="314">
        <f t="shared" si="81"/>
        <v>-1119.3996963091909</v>
      </c>
      <c r="AJ289" s="314">
        <f t="shared" si="82"/>
        <v>0</v>
      </c>
      <c r="AK289" s="317"/>
      <c r="AL289" s="315">
        <f t="shared" si="83"/>
        <v>-45.171084337349384</v>
      </c>
      <c r="AN289" s="554">
        <f t="shared" si="84"/>
        <v>-0.26465364622304538</v>
      </c>
      <c r="AO289" s="314"/>
      <c r="AP289" s="318"/>
    </row>
    <row r="290" spans="2:42">
      <c r="B290" s="296" t="s">
        <v>1254</v>
      </c>
      <c r="C290" s="299" t="s">
        <v>277</v>
      </c>
      <c r="D290" s="298" t="s">
        <v>708</v>
      </c>
      <c r="E290" s="299" t="s">
        <v>106</v>
      </c>
      <c r="F290" s="299" t="s">
        <v>59</v>
      </c>
      <c r="G290" s="300">
        <v>44629</v>
      </c>
      <c r="H290" s="303">
        <v>341.35999999999996</v>
      </c>
      <c r="I290" s="301" t="str">
        <f t="shared" si="68"/>
        <v>Ingresos Sección I LISR</v>
      </c>
      <c r="J290" s="302">
        <f t="shared" si="69"/>
        <v>8</v>
      </c>
      <c r="K290" s="304">
        <f t="shared" si="70"/>
        <v>42.669999999999995</v>
      </c>
      <c r="L290" s="305">
        <f>IF(H290=0,0,IF(OR(E290=$AT$5,E290=$AT$6),AA290,IF(F290="MXN",1/HLOOKUP(YEAR(G290)+(MONTH(G290)/100),TC!$5:$37,DAY(G290)+2,FALSE),VLOOKUP(F290,Equivalencia!$5:$23,((MAX(Equivalencia!$3:$3)-YEAR(G290))*14)+MONTH(G290)+2,FALSE))))</f>
        <v>1</v>
      </c>
      <c r="M290" s="306">
        <f t="shared" si="71"/>
        <v>341.35999999999996</v>
      </c>
      <c r="N290" s="305">
        <f>IF(G290=0,0,(IF(OR(E290=$AT$5,E290=$AT$6),AC290,HLOOKUP(YEAR(G290)+(MONTH(G290)/100),TC!$5:$37,DAY(G290)+2,FALSE))))</f>
        <v>21.194700000000001</v>
      </c>
      <c r="O290" s="307">
        <f t="shared" si="72"/>
        <v>7235.0227919999998</v>
      </c>
      <c r="P290" s="560">
        <f>IF(G290=0,0,VLOOKUP(YEAR(G290),INPC!$B$4:$P$30,MONTH(G290)+2))</f>
        <v>120.15900000000001</v>
      </c>
      <c r="Q290" s="560">
        <f>IF(X290=0,0,IF(OR(E290=$AT$10,E290=$AT$9),VLOOKUP(YEAR(X290),INPC!$B$4:$P$30,MONTH(X290)+1),VLOOKUP(YEAR(X290),INPC!$B$4:$P$30,MONTH(X290)+2,0)))</f>
        <v>121.02200000000001</v>
      </c>
      <c r="R290" s="309">
        <f t="shared" si="73"/>
        <v>1.0071000000000001</v>
      </c>
      <c r="S290" s="310">
        <f t="shared" si="74"/>
        <v>7286.3914538232002</v>
      </c>
      <c r="T290" s="555">
        <f t="shared" si="75"/>
        <v>910.79893172790003</v>
      </c>
      <c r="U290" s="311"/>
      <c r="V290" s="312">
        <v>8</v>
      </c>
      <c r="W290" s="299" t="s">
        <v>194</v>
      </c>
      <c r="X290" s="300">
        <v>44691</v>
      </c>
      <c r="Y290" s="299" t="s">
        <v>59</v>
      </c>
      <c r="Z290" s="303">
        <v>249.92</v>
      </c>
      <c r="AA290" s="305">
        <f>IF(Z290=0,0,IF(Y290="MXN",1/HLOOKUP(YEAR(X290)+(MONTH(X290)/100),TC!$5:$37,DAY(X290)+2,FALSE),VLOOKUP(Y290,Equivalencia!$1:$23,((MAX(Equivalencia!$3:$3)-YEAR(X290))*14)+MONTH(X290)+2,FALSE)))</f>
        <v>1</v>
      </c>
      <c r="AB290" s="306">
        <f t="shared" si="76"/>
        <v>249.92</v>
      </c>
      <c r="AC290" s="305">
        <f>+IF(X290=0,0,HLOOKUP(YEAR(X290)+(MONTH(X290)/100),TC!$5:$37,DAY(X290)+2,FALSE))</f>
        <v>20.108499999999999</v>
      </c>
      <c r="AD290" s="307">
        <f t="shared" si="77"/>
        <v>5025.5163199999997</v>
      </c>
      <c r="AE290" s="314">
        <f t="shared" si="78"/>
        <v>7286.3914538232002</v>
      </c>
      <c r="AF290" s="315">
        <f t="shared" si="79"/>
        <v>-2260.8751338232005</v>
      </c>
      <c r="AG290" s="316">
        <f t="shared" si="80"/>
        <v>0.16986301369863013</v>
      </c>
      <c r="AH290" s="314">
        <v>1</v>
      </c>
      <c r="AI290" s="314">
        <f t="shared" si="81"/>
        <v>-2260.8751338232005</v>
      </c>
      <c r="AJ290" s="314">
        <f t="shared" si="82"/>
        <v>0</v>
      </c>
      <c r="AK290" s="317"/>
      <c r="AL290" s="315">
        <f t="shared" si="83"/>
        <v>-91.439999999999969</v>
      </c>
      <c r="AN290" s="554">
        <f t="shared" si="84"/>
        <v>-0.26786969767986868</v>
      </c>
      <c r="AO290" s="314"/>
      <c r="AP290" s="318"/>
    </row>
    <row r="291" spans="2:42">
      <c r="B291" s="296" t="s">
        <v>1254</v>
      </c>
      <c r="C291" s="299" t="s">
        <v>277</v>
      </c>
      <c r="D291" s="298" t="s">
        <v>708</v>
      </c>
      <c r="E291" s="299" t="s">
        <v>106</v>
      </c>
      <c r="F291" s="299" t="s">
        <v>59</v>
      </c>
      <c r="G291" s="300">
        <v>44629</v>
      </c>
      <c r="H291" s="303">
        <v>253.11</v>
      </c>
      <c r="I291" s="301" t="str">
        <f t="shared" si="68"/>
        <v>Ingresos Sección I LISR</v>
      </c>
      <c r="J291" s="302">
        <f t="shared" si="69"/>
        <v>6</v>
      </c>
      <c r="K291" s="304">
        <f t="shared" si="70"/>
        <v>42.185000000000002</v>
      </c>
      <c r="L291" s="305">
        <f>IF(H291=0,0,IF(OR(E291=$AT$5,E291=$AT$6),AA291,IF(F291="MXN",1/HLOOKUP(YEAR(G291)+(MONTH(G291)/100),TC!$5:$37,DAY(G291)+2,FALSE),VLOOKUP(F291,Equivalencia!$5:$23,((MAX(Equivalencia!$3:$3)-YEAR(G291))*14)+MONTH(G291)+2,FALSE))))</f>
        <v>1</v>
      </c>
      <c r="M291" s="306">
        <f t="shared" si="71"/>
        <v>253.11</v>
      </c>
      <c r="N291" s="305">
        <f>IF(G291=0,0,(IF(OR(E291=$AT$5,E291=$AT$6),AC291,HLOOKUP(YEAR(G291)+(MONTH(G291)/100),TC!$5:$37,DAY(G291)+2,FALSE))))</f>
        <v>21.194700000000001</v>
      </c>
      <c r="O291" s="307">
        <f t="shared" si="72"/>
        <v>5364.5905170000005</v>
      </c>
      <c r="P291" s="560">
        <f>IF(G291=0,0,VLOOKUP(YEAR(G291),INPC!$B$4:$P$30,MONTH(G291)+2))</f>
        <v>120.15900000000001</v>
      </c>
      <c r="Q291" s="560">
        <f>IF(X291=0,0,IF(OR(E291=$AT$10,E291=$AT$9),VLOOKUP(YEAR(X291),INPC!$B$4:$P$30,MONTH(X291)+1),VLOOKUP(YEAR(X291),INPC!$B$4:$P$30,MONTH(X291)+2,0)))</f>
        <v>121.02200000000001</v>
      </c>
      <c r="R291" s="309">
        <f t="shared" si="73"/>
        <v>1.0071000000000001</v>
      </c>
      <c r="S291" s="310">
        <f t="shared" si="74"/>
        <v>5402.6791096707011</v>
      </c>
      <c r="T291" s="555">
        <f t="shared" si="75"/>
        <v>900.44651827845018</v>
      </c>
      <c r="U291" s="311"/>
      <c r="V291" s="312">
        <v>6</v>
      </c>
      <c r="W291" s="299" t="s">
        <v>194</v>
      </c>
      <c r="X291" s="300">
        <v>44691</v>
      </c>
      <c r="Y291" s="299" t="s">
        <v>59</v>
      </c>
      <c r="Z291" s="303">
        <v>187.44</v>
      </c>
      <c r="AA291" s="305">
        <f>IF(Z291=0,0,IF(Y291="MXN",1/HLOOKUP(YEAR(X291)+(MONTH(X291)/100),TC!$5:$37,DAY(X291)+2,FALSE),VLOOKUP(Y291,Equivalencia!$1:$23,((MAX(Equivalencia!$3:$3)-YEAR(X291))*14)+MONTH(X291)+2,FALSE)))</f>
        <v>1</v>
      </c>
      <c r="AB291" s="306">
        <f t="shared" si="76"/>
        <v>187.44</v>
      </c>
      <c r="AC291" s="305">
        <f>+IF(X291=0,0,HLOOKUP(YEAR(X291)+(MONTH(X291)/100),TC!$5:$37,DAY(X291)+2,FALSE))</f>
        <v>20.108499999999999</v>
      </c>
      <c r="AD291" s="307">
        <f t="shared" si="77"/>
        <v>3769.13724</v>
      </c>
      <c r="AE291" s="314">
        <f t="shared" si="78"/>
        <v>5402.6791096707011</v>
      </c>
      <c r="AF291" s="315">
        <f t="shared" si="79"/>
        <v>-1633.5418696707011</v>
      </c>
      <c r="AG291" s="316">
        <f t="shared" si="80"/>
        <v>0.16986301369863013</v>
      </c>
      <c r="AH291" s="314">
        <v>1</v>
      </c>
      <c r="AI291" s="314">
        <f t="shared" si="81"/>
        <v>-1633.5418696707011</v>
      </c>
      <c r="AJ291" s="314">
        <f t="shared" si="82"/>
        <v>0</v>
      </c>
      <c r="AK291" s="317"/>
      <c r="AL291" s="315">
        <f t="shared" si="83"/>
        <v>-65.670000000000016</v>
      </c>
      <c r="AN291" s="554">
        <f t="shared" si="84"/>
        <v>-0.25945241199478492</v>
      </c>
      <c r="AO291" s="314"/>
      <c r="AP291" s="318"/>
    </row>
    <row r="292" spans="2:42">
      <c r="B292" s="296" t="s">
        <v>1254</v>
      </c>
      <c r="C292" s="299" t="s">
        <v>277</v>
      </c>
      <c r="D292" s="298" t="s">
        <v>708</v>
      </c>
      <c r="E292" s="299" t="s">
        <v>106</v>
      </c>
      <c r="F292" s="299" t="s">
        <v>59</v>
      </c>
      <c r="G292" s="300">
        <v>44629</v>
      </c>
      <c r="H292" s="303">
        <v>299.97935483870964</v>
      </c>
      <c r="I292" s="301" t="str">
        <f t="shared" si="68"/>
        <v>Ingresos Sección I LISR</v>
      </c>
      <c r="J292" s="302">
        <f t="shared" si="69"/>
        <v>7</v>
      </c>
      <c r="K292" s="304">
        <f t="shared" si="70"/>
        <v>42.854193548387094</v>
      </c>
      <c r="L292" s="305">
        <f>IF(H292=0,0,IF(OR(E292=$AT$5,E292=$AT$6),AA292,IF(F292="MXN",1/HLOOKUP(YEAR(G292)+(MONTH(G292)/100),TC!$5:$37,DAY(G292)+2,FALSE),VLOOKUP(F292,Equivalencia!$5:$23,((MAX(Equivalencia!$3:$3)-YEAR(G292))*14)+MONTH(G292)+2,FALSE))))</f>
        <v>1</v>
      </c>
      <c r="M292" s="306">
        <f t="shared" si="71"/>
        <v>299.97935483870964</v>
      </c>
      <c r="N292" s="305">
        <f>IF(G292=0,0,(IF(OR(E292=$AT$5,E292=$AT$6),AC292,HLOOKUP(YEAR(G292)+(MONTH(G292)/100),TC!$5:$37,DAY(G292)+2,FALSE))))</f>
        <v>21.194700000000001</v>
      </c>
      <c r="O292" s="307">
        <f t="shared" si="72"/>
        <v>6357.9724319999996</v>
      </c>
      <c r="P292" s="560">
        <f>IF(G292=0,0,VLOOKUP(YEAR(G292),INPC!$B$4:$P$30,MONTH(G292)+2))</f>
        <v>120.15900000000001</v>
      </c>
      <c r="Q292" s="560">
        <f>IF(X292=0,0,IF(OR(E292=$AT$10,E292=$AT$9),VLOOKUP(YEAR(X292),INPC!$B$4:$P$30,MONTH(X292)+1),VLOOKUP(YEAR(X292),INPC!$B$4:$P$30,MONTH(X292)+2,0)))</f>
        <v>121.02200000000001</v>
      </c>
      <c r="R292" s="309">
        <f t="shared" si="73"/>
        <v>1.0071000000000001</v>
      </c>
      <c r="S292" s="310">
        <f t="shared" si="74"/>
        <v>6403.1140362672004</v>
      </c>
      <c r="T292" s="555">
        <f t="shared" si="75"/>
        <v>914.73057660960001</v>
      </c>
      <c r="U292" s="311"/>
      <c r="V292" s="312">
        <v>7</v>
      </c>
      <c r="W292" s="299" t="s">
        <v>194</v>
      </c>
      <c r="X292" s="300">
        <v>44691</v>
      </c>
      <c r="Y292" s="299" t="s">
        <v>59</v>
      </c>
      <c r="Z292" s="303">
        <v>218.67999999999998</v>
      </c>
      <c r="AA292" s="305">
        <f>IF(Z292=0,0,IF(Y292="MXN",1/HLOOKUP(YEAR(X292)+(MONTH(X292)/100),TC!$5:$37,DAY(X292)+2,FALSE),VLOOKUP(Y292,Equivalencia!$1:$23,((MAX(Equivalencia!$3:$3)-YEAR(X292))*14)+MONTH(X292)+2,FALSE)))</f>
        <v>1</v>
      </c>
      <c r="AB292" s="306">
        <f t="shared" si="76"/>
        <v>218.67999999999998</v>
      </c>
      <c r="AC292" s="305">
        <f>+IF(X292=0,0,HLOOKUP(YEAR(X292)+(MONTH(X292)/100),TC!$5:$37,DAY(X292)+2,FALSE))</f>
        <v>20.108499999999999</v>
      </c>
      <c r="AD292" s="307">
        <f t="shared" si="77"/>
        <v>4397.3267799999994</v>
      </c>
      <c r="AE292" s="314">
        <f t="shared" si="78"/>
        <v>6403.1140362672004</v>
      </c>
      <c r="AF292" s="315">
        <f t="shared" si="79"/>
        <v>-2005.787256267201</v>
      </c>
      <c r="AG292" s="316">
        <f t="shared" si="80"/>
        <v>0.16986301369863013</v>
      </c>
      <c r="AH292" s="314">
        <v>1</v>
      </c>
      <c r="AI292" s="314">
        <f t="shared" si="81"/>
        <v>-2005.787256267201</v>
      </c>
      <c r="AJ292" s="314">
        <f t="shared" si="82"/>
        <v>0</v>
      </c>
      <c r="AK292" s="317"/>
      <c r="AL292" s="315">
        <f t="shared" si="83"/>
        <v>-81.299354838709661</v>
      </c>
      <c r="AN292" s="554">
        <f t="shared" si="84"/>
        <v>-0.27101650006021916</v>
      </c>
      <c r="AO292" s="314"/>
      <c r="AP292" s="318"/>
    </row>
    <row r="293" spans="2:42">
      <c r="B293" s="296" t="s">
        <v>1254</v>
      </c>
      <c r="C293" s="299" t="s">
        <v>277</v>
      </c>
      <c r="D293" s="298" t="s">
        <v>708</v>
      </c>
      <c r="E293" s="299" t="s">
        <v>106</v>
      </c>
      <c r="F293" s="299" t="s">
        <v>59</v>
      </c>
      <c r="G293" s="300">
        <v>44629</v>
      </c>
      <c r="H293" s="303">
        <v>899.93806451612897</v>
      </c>
      <c r="I293" s="301" t="str">
        <f t="shared" si="68"/>
        <v>Ingresos Sección I LISR</v>
      </c>
      <c r="J293" s="302">
        <f t="shared" si="69"/>
        <v>21</v>
      </c>
      <c r="K293" s="304">
        <f t="shared" si="70"/>
        <v>42.854193548387094</v>
      </c>
      <c r="L293" s="305">
        <f>IF(H293=0,0,IF(OR(E293=$AT$5,E293=$AT$6),AA293,IF(F293="MXN",1/HLOOKUP(YEAR(G293)+(MONTH(G293)/100),TC!$5:$37,DAY(G293)+2,FALSE),VLOOKUP(F293,Equivalencia!$5:$23,((MAX(Equivalencia!$3:$3)-YEAR(G293))*14)+MONTH(G293)+2,FALSE))))</f>
        <v>1</v>
      </c>
      <c r="M293" s="306">
        <f t="shared" si="71"/>
        <v>899.93806451612897</v>
      </c>
      <c r="N293" s="305">
        <f>IF(G293=0,0,(IF(OR(E293=$AT$5,E293=$AT$6),AC293,HLOOKUP(YEAR(G293)+(MONTH(G293)/100),TC!$5:$37,DAY(G293)+2,FALSE))))</f>
        <v>21.194700000000001</v>
      </c>
      <c r="O293" s="307">
        <f t="shared" si="72"/>
        <v>19073.917296</v>
      </c>
      <c r="P293" s="560">
        <f>IF(G293=0,0,VLOOKUP(YEAR(G293),INPC!$B$4:$P$30,MONTH(G293)+2))</f>
        <v>120.15900000000001</v>
      </c>
      <c r="Q293" s="560">
        <f>IF(X293=0,0,IF(OR(E293=$AT$10,E293=$AT$9),VLOOKUP(YEAR(X293),INPC!$B$4:$P$30,MONTH(X293)+1),VLOOKUP(YEAR(X293),INPC!$B$4:$P$30,MONTH(X293)+2,0)))</f>
        <v>121.02200000000001</v>
      </c>
      <c r="R293" s="309">
        <f t="shared" si="73"/>
        <v>1.0071000000000001</v>
      </c>
      <c r="S293" s="310">
        <f t="shared" si="74"/>
        <v>19209.3421088016</v>
      </c>
      <c r="T293" s="555">
        <f t="shared" si="75"/>
        <v>914.73057660960001</v>
      </c>
      <c r="U293" s="311"/>
      <c r="V293" s="312">
        <v>21</v>
      </c>
      <c r="W293" s="299" t="s">
        <v>194</v>
      </c>
      <c r="X293" s="300">
        <v>44691</v>
      </c>
      <c r="Y293" s="299" t="s">
        <v>59</v>
      </c>
      <c r="Z293" s="303">
        <v>664.14</v>
      </c>
      <c r="AA293" s="305">
        <f>IF(Z293=0,0,IF(Y293="MXN",1/HLOOKUP(YEAR(X293)+(MONTH(X293)/100),TC!$5:$37,DAY(X293)+2,FALSE),VLOOKUP(Y293,Equivalencia!$1:$23,((MAX(Equivalencia!$3:$3)-YEAR(X293))*14)+MONTH(X293)+2,FALSE)))</f>
        <v>1</v>
      </c>
      <c r="AB293" s="306">
        <f t="shared" si="76"/>
        <v>664.14</v>
      </c>
      <c r="AC293" s="305">
        <f>+IF(X293=0,0,HLOOKUP(YEAR(X293)+(MONTH(X293)/100),TC!$5:$37,DAY(X293)+2,FALSE))</f>
        <v>20.108499999999999</v>
      </c>
      <c r="AD293" s="307">
        <f t="shared" si="77"/>
        <v>13354.859189999999</v>
      </c>
      <c r="AE293" s="314">
        <f t="shared" si="78"/>
        <v>19209.3421088016</v>
      </c>
      <c r="AF293" s="315">
        <f t="shared" si="79"/>
        <v>-5854.482918801601</v>
      </c>
      <c r="AG293" s="316">
        <f t="shared" si="80"/>
        <v>0.16986301369863013</v>
      </c>
      <c r="AH293" s="314">
        <v>1</v>
      </c>
      <c r="AI293" s="314">
        <f t="shared" si="81"/>
        <v>-5854.482918801601</v>
      </c>
      <c r="AJ293" s="314">
        <f t="shared" si="82"/>
        <v>0</v>
      </c>
      <c r="AK293" s="317"/>
      <c r="AL293" s="315">
        <f t="shared" si="83"/>
        <v>-235.79806451612899</v>
      </c>
      <c r="AN293" s="554">
        <f t="shared" si="84"/>
        <v>-0.26201588066275527</v>
      </c>
      <c r="AO293" s="314"/>
      <c r="AP293" s="318"/>
    </row>
    <row r="294" spans="2:42">
      <c r="B294" s="296" t="s">
        <v>1254</v>
      </c>
      <c r="C294" s="299" t="s">
        <v>277</v>
      </c>
      <c r="D294" s="298" t="s">
        <v>708</v>
      </c>
      <c r="E294" s="299" t="s">
        <v>106</v>
      </c>
      <c r="F294" s="299" t="s">
        <v>59</v>
      </c>
      <c r="G294" s="300">
        <v>44629</v>
      </c>
      <c r="H294" s="303">
        <v>1457.0425806451613</v>
      </c>
      <c r="I294" s="301" t="str">
        <f t="shared" si="68"/>
        <v>Ingresos Sección I LISR</v>
      </c>
      <c r="J294" s="302">
        <f t="shared" si="69"/>
        <v>34</v>
      </c>
      <c r="K294" s="304">
        <f t="shared" si="70"/>
        <v>42.854193548387094</v>
      </c>
      <c r="L294" s="305">
        <f>IF(H294=0,0,IF(OR(E294=$AT$5,E294=$AT$6),AA294,IF(F294="MXN",1/HLOOKUP(YEAR(G294)+(MONTH(G294)/100),TC!$5:$37,DAY(G294)+2,FALSE),VLOOKUP(F294,Equivalencia!$5:$23,((MAX(Equivalencia!$3:$3)-YEAR(G294))*14)+MONTH(G294)+2,FALSE))))</f>
        <v>1</v>
      </c>
      <c r="M294" s="306">
        <f t="shared" si="71"/>
        <v>1457.0425806451613</v>
      </c>
      <c r="N294" s="305">
        <f>IF(G294=0,0,(IF(OR(E294=$AT$5,E294=$AT$6),AC294,HLOOKUP(YEAR(G294)+(MONTH(G294)/100),TC!$5:$37,DAY(G294)+2,FALSE))))</f>
        <v>21.194700000000001</v>
      </c>
      <c r="O294" s="307">
        <f t="shared" si="72"/>
        <v>30881.580384000001</v>
      </c>
      <c r="P294" s="560">
        <f>IF(G294=0,0,VLOOKUP(YEAR(G294),INPC!$B$4:$P$30,MONTH(G294)+2))</f>
        <v>120.15900000000001</v>
      </c>
      <c r="Q294" s="560">
        <f>IF(X294=0,0,IF(OR(E294=$AT$10,E294=$AT$9),VLOOKUP(YEAR(X294),INPC!$B$4:$P$30,MONTH(X294)+1),VLOOKUP(YEAR(X294),INPC!$B$4:$P$30,MONTH(X294)+2,0)))</f>
        <v>121.02200000000001</v>
      </c>
      <c r="R294" s="309">
        <f t="shared" si="73"/>
        <v>1.0071000000000001</v>
      </c>
      <c r="S294" s="310">
        <f t="shared" si="74"/>
        <v>31100.839604726403</v>
      </c>
      <c r="T294" s="555">
        <f t="shared" si="75"/>
        <v>914.73057660960012</v>
      </c>
      <c r="U294" s="311"/>
      <c r="V294" s="312">
        <v>34</v>
      </c>
      <c r="W294" s="299" t="s">
        <v>194</v>
      </c>
      <c r="X294" s="300">
        <v>44691</v>
      </c>
      <c r="Y294" s="299" t="s">
        <v>59</v>
      </c>
      <c r="Z294" s="303">
        <v>1060.8144680851065</v>
      </c>
      <c r="AA294" s="305">
        <f>IF(Z294=0,0,IF(Y294="MXN",1/HLOOKUP(YEAR(X294)+(MONTH(X294)/100),TC!$5:$37,DAY(X294)+2,FALSE),VLOOKUP(Y294,Equivalencia!$1:$23,((MAX(Equivalencia!$3:$3)-YEAR(X294))*14)+MONTH(X294)+2,FALSE)))</f>
        <v>1</v>
      </c>
      <c r="AB294" s="306">
        <f t="shared" si="76"/>
        <v>1060.8144680851065</v>
      </c>
      <c r="AC294" s="305">
        <f>+IF(X294=0,0,HLOOKUP(YEAR(X294)+(MONTH(X294)/100),TC!$5:$37,DAY(X294)+2,FALSE))</f>
        <v>20.108499999999999</v>
      </c>
      <c r="AD294" s="307">
        <f t="shared" si="77"/>
        <v>21331.387731489362</v>
      </c>
      <c r="AE294" s="314">
        <f t="shared" si="78"/>
        <v>31100.839604726403</v>
      </c>
      <c r="AF294" s="315">
        <f t="shared" si="79"/>
        <v>-9769.4518732370416</v>
      </c>
      <c r="AG294" s="316">
        <f t="shared" si="80"/>
        <v>0.16986301369863013</v>
      </c>
      <c r="AH294" s="314">
        <v>1</v>
      </c>
      <c r="AI294" s="314">
        <f t="shared" si="81"/>
        <v>-9769.4518732370416</v>
      </c>
      <c r="AJ294" s="314">
        <f t="shared" si="82"/>
        <v>0</v>
      </c>
      <c r="AK294" s="317"/>
      <c r="AL294" s="315">
        <f t="shared" si="83"/>
        <v>-396.2281125600548</v>
      </c>
      <c r="AN294" s="554">
        <f t="shared" si="84"/>
        <v>-0.27193996786601093</v>
      </c>
      <c r="AO294" s="314"/>
      <c r="AP294" s="318"/>
    </row>
    <row r="295" spans="2:42">
      <c r="B295" s="296" t="s">
        <v>1254</v>
      </c>
      <c r="C295" s="299" t="s">
        <v>277</v>
      </c>
      <c r="D295" s="298" t="s">
        <v>708</v>
      </c>
      <c r="E295" s="299" t="s">
        <v>106</v>
      </c>
      <c r="F295" s="299" t="s">
        <v>59</v>
      </c>
      <c r="G295" s="300">
        <v>44629</v>
      </c>
      <c r="H295" s="303">
        <v>549.74199999999996</v>
      </c>
      <c r="I295" s="301" t="str">
        <f t="shared" si="68"/>
        <v>Ingresos Sección I LISR</v>
      </c>
      <c r="J295" s="302">
        <f t="shared" si="69"/>
        <v>13</v>
      </c>
      <c r="K295" s="304">
        <f t="shared" si="70"/>
        <v>42.287846153846154</v>
      </c>
      <c r="L295" s="305">
        <f>IF(H295=0,0,IF(OR(E295=$AT$5,E295=$AT$6),AA295,IF(F295="MXN",1/HLOOKUP(YEAR(G295)+(MONTH(G295)/100),TC!$5:$37,DAY(G295)+2,FALSE),VLOOKUP(F295,Equivalencia!$5:$23,((MAX(Equivalencia!$3:$3)-YEAR(G295))*14)+MONTH(G295)+2,FALSE))))</f>
        <v>1</v>
      </c>
      <c r="M295" s="306">
        <f t="shared" si="71"/>
        <v>549.74199999999996</v>
      </c>
      <c r="N295" s="305">
        <f>IF(G295=0,0,(IF(OR(E295=$AT$5,E295=$AT$6),AC295,HLOOKUP(YEAR(G295)+(MONTH(G295)/100),TC!$5:$37,DAY(G295)+2,FALSE))))</f>
        <v>21.194700000000001</v>
      </c>
      <c r="O295" s="307">
        <f t="shared" si="72"/>
        <v>11651.616767399999</v>
      </c>
      <c r="P295" s="560">
        <f>IF(G295=0,0,VLOOKUP(YEAR(G295),INPC!$B$4:$P$30,MONTH(G295)+2))</f>
        <v>120.15900000000001</v>
      </c>
      <c r="Q295" s="560">
        <f>IF(X295=0,0,IF(OR(E295=$AT$10,E295=$AT$9),VLOOKUP(YEAR(X295),INPC!$B$4:$P$30,MONTH(X295)+1),VLOOKUP(YEAR(X295),INPC!$B$4:$P$30,MONTH(X295)+2,0)))</f>
        <v>121.02200000000001</v>
      </c>
      <c r="R295" s="309">
        <f t="shared" si="73"/>
        <v>1.0071000000000001</v>
      </c>
      <c r="S295" s="310">
        <f t="shared" si="74"/>
        <v>11734.34324644854</v>
      </c>
      <c r="T295" s="555">
        <f t="shared" si="75"/>
        <v>902.64178818834921</v>
      </c>
      <c r="U295" s="311"/>
      <c r="V295" s="312">
        <v>13</v>
      </c>
      <c r="W295" s="299" t="s">
        <v>194</v>
      </c>
      <c r="X295" s="300">
        <v>44691</v>
      </c>
      <c r="Y295" s="299" t="s">
        <v>59</v>
      </c>
      <c r="Z295" s="303">
        <v>405.60553191489362</v>
      </c>
      <c r="AA295" s="305">
        <f>IF(Z295=0,0,IF(Y295="MXN",1/HLOOKUP(YEAR(X295)+(MONTH(X295)/100),TC!$5:$37,DAY(X295)+2,FALSE),VLOOKUP(Y295,Equivalencia!$1:$23,((MAX(Equivalencia!$3:$3)-YEAR(X295))*14)+MONTH(X295)+2,FALSE)))</f>
        <v>1</v>
      </c>
      <c r="AB295" s="306">
        <f t="shared" si="76"/>
        <v>405.60553191489362</v>
      </c>
      <c r="AC295" s="305">
        <f>+IF(X295=0,0,HLOOKUP(YEAR(X295)+(MONTH(X295)/100),TC!$5:$37,DAY(X295)+2,FALSE))</f>
        <v>20.108499999999999</v>
      </c>
      <c r="AD295" s="307">
        <f t="shared" si="77"/>
        <v>8156.1188385106379</v>
      </c>
      <c r="AE295" s="314">
        <f t="shared" si="78"/>
        <v>11734.34324644854</v>
      </c>
      <c r="AF295" s="315">
        <f t="shared" si="79"/>
        <v>-3578.2244079379016</v>
      </c>
      <c r="AG295" s="316">
        <f t="shared" si="80"/>
        <v>0.16986301369863013</v>
      </c>
      <c r="AH295" s="314">
        <v>1</v>
      </c>
      <c r="AI295" s="314">
        <f t="shared" si="81"/>
        <v>-3578.2244079379016</v>
      </c>
      <c r="AJ295" s="314">
        <f t="shared" si="82"/>
        <v>0</v>
      </c>
      <c r="AK295" s="317"/>
      <c r="AL295" s="315">
        <f t="shared" si="83"/>
        <v>-144.13646808510634</v>
      </c>
      <c r="AN295" s="554">
        <f t="shared" si="84"/>
        <v>-0.26218929622460418</v>
      </c>
      <c r="AO295" s="314"/>
      <c r="AP295" s="318"/>
    </row>
    <row r="296" spans="2:42">
      <c r="B296" s="296" t="s">
        <v>1254</v>
      </c>
      <c r="C296" s="299" t="s">
        <v>277</v>
      </c>
      <c r="D296" s="298" t="s">
        <v>708</v>
      </c>
      <c r="E296" s="299" t="s">
        <v>106</v>
      </c>
      <c r="F296" s="299" t="s">
        <v>59</v>
      </c>
      <c r="G296" s="300">
        <v>44629</v>
      </c>
      <c r="H296" s="303">
        <v>253.72707692307694</v>
      </c>
      <c r="I296" s="301" t="str">
        <f t="shared" si="68"/>
        <v>Ingresos Sección I LISR</v>
      </c>
      <c r="J296" s="302">
        <f t="shared" si="69"/>
        <v>6</v>
      </c>
      <c r="K296" s="304">
        <f t="shared" si="70"/>
        <v>42.287846153846154</v>
      </c>
      <c r="L296" s="305">
        <f>IF(H296=0,0,IF(OR(E296=$AT$5,E296=$AT$6),AA296,IF(F296="MXN",1/HLOOKUP(YEAR(G296)+(MONTH(G296)/100),TC!$5:$37,DAY(G296)+2,FALSE),VLOOKUP(F296,Equivalencia!$5:$23,((MAX(Equivalencia!$3:$3)-YEAR(G296))*14)+MONTH(G296)+2,FALSE))))</f>
        <v>1</v>
      </c>
      <c r="M296" s="306">
        <f t="shared" si="71"/>
        <v>253.72707692307694</v>
      </c>
      <c r="N296" s="305">
        <f>IF(G296=0,0,(IF(OR(E296=$AT$5,E296=$AT$6),AC296,HLOOKUP(YEAR(G296)+(MONTH(G296)/100),TC!$5:$37,DAY(G296)+2,FALSE))))</f>
        <v>21.194700000000001</v>
      </c>
      <c r="O296" s="307">
        <f t="shared" si="72"/>
        <v>5377.6692772615388</v>
      </c>
      <c r="P296" s="560">
        <f>IF(G296=0,0,VLOOKUP(YEAR(G296),INPC!$B$4:$P$30,MONTH(G296)+2))</f>
        <v>120.15900000000001</v>
      </c>
      <c r="Q296" s="560">
        <f>IF(X296=0,0,IF(OR(E296=$AT$10,E296=$AT$9),VLOOKUP(YEAR(X296),INPC!$B$4:$P$30,MONTH(X296)+1),VLOOKUP(YEAR(X296),INPC!$B$4:$P$30,MONTH(X296)+2,0)))</f>
        <v>121.02200000000001</v>
      </c>
      <c r="R296" s="309">
        <f t="shared" si="73"/>
        <v>1.0071000000000001</v>
      </c>
      <c r="S296" s="310">
        <f t="shared" si="74"/>
        <v>5415.8507291300966</v>
      </c>
      <c r="T296" s="555">
        <f t="shared" si="75"/>
        <v>902.64178818834944</v>
      </c>
      <c r="U296" s="311"/>
      <c r="V296" s="312">
        <v>6</v>
      </c>
      <c r="W296" s="299" t="s">
        <v>194</v>
      </c>
      <c r="X296" s="300">
        <v>44691</v>
      </c>
      <c r="Y296" s="299" t="s">
        <v>59</v>
      </c>
      <c r="Z296" s="303">
        <v>186.78</v>
      </c>
      <c r="AA296" s="305">
        <f>IF(Z296=0,0,IF(Y296="MXN",1/HLOOKUP(YEAR(X296)+(MONTH(X296)/100),TC!$5:$37,DAY(X296)+2,FALSE),VLOOKUP(Y296,Equivalencia!$1:$23,((MAX(Equivalencia!$3:$3)-YEAR(X296))*14)+MONTH(X296)+2,FALSE)))</f>
        <v>1</v>
      </c>
      <c r="AB296" s="306">
        <f t="shared" si="76"/>
        <v>186.78</v>
      </c>
      <c r="AC296" s="305">
        <f>+IF(X296=0,0,HLOOKUP(YEAR(X296)+(MONTH(X296)/100),TC!$5:$37,DAY(X296)+2,FALSE))</f>
        <v>20.108499999999999</v>
      </c>
      <c r="AD296" s="307">
        <f t="shared" si="77"/>
        <v>3755.8656299999998</v>
      </c>
      <c r="AE296" s="314">
        <f t="shared" si="78"/>
        <v>5415.8507291300966</v>
      </c>
      <c r="AF296" s="315">
        <f t="shared" si="79"/>
        <v>-1659.9850991300968</v>
      </c>
      <c r="AG296" s="316">
        <f t="shared" si="80"/>
        <v>0.16986301369863013</v>
      </c>
      <c r="AH296" s="314">
        <v>1</v>
      </c>
      <c r="AI296" s="314">
        <f t="shared" si="81"/>
        <v>-1659.9850991300968</v>
      </c>
      <c r="AJ296" s="314">
        <f t="shared" si="82"/>
        <v>0</v>
      </c>
      <c r="AK296" s="317"/>
      <c r="AL296" s="315">
        <f t="shared" si="83"/>
        <v>-66.947076923076935</v>
      </c>
      <c r="AN296" s="554">
        <f t="shared" si="84"/>
        <v>-0.2638546809230512</v>
      </c>
      <c r="AO296" s="314"/>
      <c r="AP296" s="318"/>
    </row>
    <row r="297" spans="2:42">
      <c r="B297" s="296" t="s">
        <v>1254</v>
      </c>
      <c r="C297" s="299" t="s">
        <v>277</v>
      </c>
      <c r="D297" s="298" t="s">
        <v>708</v>
      </c>
      <c r="E297" s="299" t="s">
        <v>106</v>
      </c>
      <c r="F297" s="299" t="s">
        <v>59</v>
      </c>
      <c r="G297" s="300">
        <v>44629</v>
      </c>
      <c r="H297" s="303">
        <v>1945.2409230769231</v>
      </c>
      <c r="I297" s="301" t="str">
        <f t="shared" si="68"/>
        <v>Ingresos Sección I LISR</v>
      </c>
      <c r="J297" s="302">
        <f t="shared" si="69"/>
        <v>46</v>
      </c>
      <c r="K297" s="304">
        <f t="shared" si="70"/>
        <v>42.287846153846154</v>
      </c>
      <c r="L297" s="305">
        <f>IF(H297=0,0,IF(OR(E297=$AT$5,E297=$AT$6),AA297,IF(F297="MXN",1/HLOOKUP(YEAR(G297)+(MONTH(G297)/100),TC!$5:$37,DAY(G297)+2,FALSE),VLOOKUP(F297,Equivalencia!$5:$23,((MAX(Equivalencia!$3:$3)-YEAR(G297))*14)+MONTH(G297)+2,FALSE))))</f>
        <v>1</v>
      </c>
      <c r="M297" s="306">
        <f t="shared" si="71"/>
        <v>1945.2409230769231</v>
      </c>
      <c r="N297" s="305">
        <f>IF(G297=0,0,(IF(OR(E297=$AT$5,E297=$AT$6),AC297,HLOOKUP(YEAR(G297)+(MONTH(G297)/100),TC!$5:$37,DAY(G297)+2,FALSE))))</f>
        <v>21.194700000000001</v>
      </c>
      <c r="O297" s="307">
        <f t="shared" si="72"/>
        <v>41228.797792338461</v>
      </c>
      <c r="P297" s="560">
        <f>IF(G297=0,0,VLOOKUP(YEAR(G297),INPC!$B$4:$P$30,MONTH(G297)+2))</f>
        <v>120.15900000000001</v>
      </c>
      <c r="Q297" s="560">
        <f>IF(X297=0,0,IF(OR(E297=$AT$10,E297=$AT$9),VLOOKUP(YEAR(X297),INPC!$B$4:$P$30,MONTH(X297)+1),VLOOKUP(YEAR(X297),INPC!$B$4:$P$30,MONTH(X297)+2,0)))</f>
        <v>121.02200000000001</v>
      </c>
      <c r="R297" s="309">
        <f t="shared" si="73"/>
        <v>1.0071000000000001</v>
      </c>
      <c r="S297" s="310">
        <f t="shared" si="74"/>
        <v>41521.522256664066</v>
      </c>
      <c r="T297" s="555">
        <f t="shared" si="75"/>
        <v>902.64178818834921</v>
      </c>
      <c r="U297" s="311"/>
      <c r="V297" s="312">
        <v>46</v>
      </c>
      <c r="W297" s="299" t="s">
        <v>194</v>
      </c>
      <c r="X297" s="300">
        <v>44692</v>
      </c>
      <c r="Y297" s="299" t="s">
        <v>59</v>
      </c>
      <c r="Z297" s="303">
        <v>1430.4553225806451</v>
      </c>
      <c r="AA297" s="305">
        <f>IF(Z297=0,0,IF(Y297="MXN",1/HLOOKUP(YEAR(X297)+(MONTH(X297)/100),TC!$5:$37,DAY(X297)+2,FALSE),VLOOKUP(Y297,Equivalencia!$1:$23,((MAX(Equivalencia!$3:$3)-YEAR(X297))*14)+MONTH(X297)+2,FALSE)))</f>
        <v>1</v>
      </c>
      <c r="AB297" s="306">
        <f t="shared" si="76"/>
        <v>1430.4553225806451</v>
      </c>
      <c r="AC297" s="305">
        <f>+IF(X297=0,0,HLOOKUP(YEAR(X297)+(MONTH(X297)/100),TC!$5:$37,DAY(X297)+2,FALSE))</f>
        <v>20.3172</v>
      </c>
      <c r="AD297" s="307">
        <f t="shared" si="77"/>
        <v>29062.846879935481</v>
      </c>
      <c r="AE297" s="314">
        <f t="shared" si="78"/>
        <v>41521.522256664066</v>
      </c>
      <c r="AF297" s="315">
        <f t="shared" si="79"/>
        <v>-12458.675376728585</v>
      </c>
      <c r="AG297" s="316">
        <f t="shared" si="80"/>
        <v>0.17260273972602741</v>
      </c>
      <c r="AH297" s="314">
        <v>1</v>
      </c>
      <c r="AI297" s="314">
        <f t="shared" si="81"/>
        <v>-12458.675376728585</v>
      </c>
      <c r="AJ297" s="314">
        <f t="shared" si="82"/>
        <v>0</v>
      </c>
      <c r="AK297" s="317"/>
      <c r="AL297" s="315">
        <f t="shared" si="83"/>
        <v>-514.78560049627799</v>
      </c>
      <c r="AN297" s="554">
        <f t="shared" si="84"/>
        <v>-0.2646384796809671</v>
      </c>
      <c r="AO297" s="314"/>
      <c r="AP297" s="318"/>
    </row>
    <row r="298" spans="2:42">
      <c r="B298" s="296" t="s">
        <v>1254</v>
      </c>
      <c r="C298" s="299" t="s">
        <v>277</v>
      </c>
      <c r="D298" s="298" t="s">
        <v>708</v>
      </c>
      <c r="E298" s="299" t="s">
        <v>106</v>
      </c>
      <c r="F298" s="299" t="s">
        <v>59</v>
      </c>
      <c r="G298" s="300">
        <v>44629</v>
      </c>
      <c r="H298" s="303">
        <v>2990.97</v>
      </c>
      <c r="I298" s="301" t="str">
        <f t="shared" si="68"/>
        <v>Ingresos Sección I LISR</v>
      </c>
      <c r="J298" s="302">
        <f t="shared" si="69"/>
        <v>70</v>
      </c>
      <c r="K298" s="304">
        <f t="shared" si="70"/>
        <v>42.728142857142856</v>
      </c>
      <c r="L298" s="305">
        <f>IF(H298=0,0,IF(OR(E298=$AT$5,E298=$AT$6),AA298,IF(F298="MXN",1/HLOOKUP(YEAR(G298)+(MONTH(G298)/100),TC!$5:$37,DAY(G298)+2,FALSE),VLOOKUP(F298,Equivalencia!$5:$23,((MAX(Equivalencia!$3:$3)-YEAR(G298))*14)+MONTH(G298)+2,FALSE))))</f>
        <v>1</v>
      </c>
      <c r="M298" s="306">
        <f t="shared" si="71"/>
        <v>2990.97</v>
      </c>
      <c r="N298" s="305">
        <f>IF(G298=0,0,(IF(OR(E298=$AT$5,E298=$AT$6),AC298,HLOOKUP(YEAR(G298)+(MONTH(G298)/100),TC!$5:$37,DAY(G298)+2,FALSE))))</f>
        <v>21.194700000000001</v>
      </c>
      <c r="O298" s="307">
        <f t="shared" si="72"/>
        <v>63392.711858999995</v>
      </c>
      <c r="P298" s="560">
        <f>IF(G298=0,0,VLOOKUP(YEAR(G298),INPC!$B$4:$P$30,MONTH(G298)+2))</f>
        <v>120.15900000000001</v>
      </c>
      <c r="Q298" s="560">
        <f>IF(X298=0,0,IF(OR(E298=$AT$10,E298=$AT$9),VLOOKUP(YEAR(X298),INPC!$B$4:$P$30,MONTH(X298)+1),VLOOKUP(YEAR(X298),INPC!$B$4:$P$30,MONTH(X298)+2,0)))</f>
        <v>121.02200000000001</v>
      </c>
      <c r="R298" s="309">
        <f t="shared" si="73"/>
        <v>1.0071000000000001</v>
      </c>
      <c r="S298" s="310">
        <f t="shared" si="74"/>
        <v>63842.8001131989</v>
      </c>
      <c r="T298" s="555">
        <f t="shared" si="75"/>
        <v>912.04000161712713</v>
      </c>
      <c r="U298" s="311"/>
      <c r="V298" s="312">
        <v>70</v>
      </c>
      <c r="W298" s="299" t="s">
        <v>194</v>
      </c>
      <c r="X298" s="300">
        <v>44692</v>
      </c>
      <c r="Y298" s="299" t="s">
        <v>59</v>
      </c>
      <c r="Z298" s="303">
        <v>2176.7798387096773</v>
      </c>
      <c r="AA298" s="305">
        <f>IF(Z298=0,0,IF(Y298="MXN",1/HLOOKUP(YEAR(X298)+(MONTH(X298)/100),TC!$5:$37,DAY(X298)+2,FALSE),VLOOKUP(Y298,Equivalencia!$1:$23,((MAX(Equivalencia!$3:$3)-YEAR(X298))*14)+MONTH(X298)+2,FALSE)))</f>
        <v>1</v>
      </c>
      <c r="AB298" s="306">
        <f t="shared" si="76"/>
        <v>2176.7798387096773</v>
      </c>
      <c r="AC298" s="305">
        <f>+IF(X298=0,0,HLOOKUP(YEAR(X298)+(MONTH(X298)/100),TC!$5:$37,DAY(X298)+2,FALSE))</f>
        <v>20.3172</v>
      </c>
      <c r="AD298" s="307">
        <f t="shared" si="77"/>
        <v>44226.071339032256</v>
      </c>
      <c r="AE298" s="314">
        <f t="shared" si="78"/>
        <v>63842.8001131989</v>
      </c>
      <c r="AF298" s="315">
        <f t="shared" si="79"/>
        <v>-19616.728774166644</v>
      </c>
      <c r="AG298" s="316">
        <f t="shared" si="80"/>
        <v>0.17260273972602741</v>
      </c>
      <c r="AH298" s="314">
        <v>1</v>
      </c>
      <c r="AI298" s="314">
        <f t="shared" si="81"/>
        <v>-19616.728774166644</v>
      </c>
      <c r="AJ298" s="314">
        <f t="shared" si="82"/>
        <v>0</v>
      </c>
      <c r="AK298" s="317"/>
      <c r="AL298" s="315">
        <f t="shared" si="83"/>
        <v>-814.19016129032252</v>
      </c>
      <c r="AN298" s="554">
        <f t="shared" si="84"/>
        <v>-0.27221609086360699</v>
      </c>
      <c r="AO298" s="314"/>
      <c r="AP298" s="318"/>
    </row>
    <row r="299" spans="2:42">
      <c r="B299" s="296" t="s">
        <v>1254</v>
      </c>
      <c r="C299" s="299" t="s">
        <v>277</v>
      </c>
      <c r="D299" s="298" t="s">
        <v>708</v>
      </c>
      <c r="E299" s="299" t="s">
        <v>106</v>
      </c>
      <c r="F299" s="299" t="s">
        <v>59</v>
      </c>
      <c r="G299" s="300">
        <v>44630</v>
      </c>
      <c r="H299" s="303">
        <v>348.49684210526311</v>
      </c>
      <c r="I299" s="301" t="str">
        <f t="shared" si="68"/>
        <v>Ingresos Sección I LISR</v>
      </c>
      <c r="J299" s="302">
        <f t="shared" si="69"/>
        <v>8</v>
      </c>
      <c r="K299" s="304">
        <f t="shared" si="70"/>
        <v>43.562105263157889</v>
      </c>
      <c r="L299" s="305">
        <f>IF(H299=0,0,IF(OR(E299=$AT$5,E299=$AT$6),AA299,IF(F299="MXN",1/HLOOKUP(YEAR(G299)+(MONTH(G299)/100),TC!$5:$37,DAY(G299)+2,FALSE),VLOOKUP(F299,Equivalencia!$5:$23,((MAX(Equivalencia!$3:$3)-YEAR(G299))*14)+MONTH(G299)+2,FALSE))))</f>
        <v>1</v>
      </c>
      <c r="M299" s="306">
        <f t="shared" si="71"/>
        <v>348.49684210526311</v>
      </c>
      <c r="N299" s="305">
        <f>IF(G299=0,0,(IF(OR(E299=$AT$5,E299=$AT$6),AC299,HLOOKUP(YEAR(G299)+(MONTH(G299)/100),TC!$5:$37,DAY(G299)+2,FALSE))))</f>
        <v>21.377500000000001</v>
      </c>
      <c r="O299" s="307">
        <f t="shared" si="72"/>
        <v>7449.9912421052622</v>
      </c>
      <c r="P299" s="560">
        <f>IF(G299=0,0,VLOOKUP(YEAR(G299),INPC!$B$4:$P$30,MONTH(G299)+2))</f>
        <v>120.15900000000001</v>
      </c>
      <c r="Q299" s="560">
        <f>IF(X299=0,0,IF(OR(E299=$AT$10,E299=$AT$9),VLOOKUP(YEAR(X299),INPC!$B$4:$P$30,MONTH(X299)+1),VLOOKUP(YEAR(X299),INPC!$B$4:$P$30,MONTH(X299)+2,0)))</f>
        <v>121.02200000000001</v>
      </c>
      <c r="R299" s="309">
        <f t="shared" si="73"/>
        <v>1.0071000000000001</v>
      </c>
      <c r="S299" s="310">
        <f t="shared" si="74"/>
        <v>7502.8861799242104</v>
      </c>
      <c r="T299" s="555">
        <f t="shared" si="75"/>
        <v>937.8607724905263</v>
      </c>
      <c r="U299" s="311"/>
      <c r="V299" s="312">
        <v>8</v>
      </c>
      <c r="W299" s="299" t="s">
        <v>194</v>
      </c>
      <c r="X299" s="300">
        <v>44692</v>
      </c>
      <c r="Y299" s="299" t="s">
        <v>59</v>
      </c>
      <c r="Z299" s="303">
        <v>248.77483870967743</v>
      </c>
      <c r="AA299" s="305">
        <f>IF(Z299=0,0,IF(Y299="MXN",1/HLOOKUP(YEAR(X299)+(MONTH(X299)/100),TC!$5:$37,DAY(X299)+2,FALSE),VLOOKUP(Y299,Equivalencia!$1:$23,((MAX(Equivalencia!$3:$3)-YEAR(X299))*14)+MONTH(X299)+2,FALSE)))</f>
        <v>1</v>
      </c>
      <c r="AB299" s="306">
        <f t="shared" si="76"/>
        <v>248.77483870967743</v>
      </c>
      <c r="AC299" s="305">
        <f>+IF(X299=0,0,HLOOKUP(YEAR(X299)+(MONTH(X299)/100),TC!$5:$37,DAY(X299)+2,FALSE))</f>
        <v>20.3172</v>
      </c>
      <c r="AD299" s="307">
        <f t="shared" si="77"/>
        <v>5054.4081530322583</v>
      </c>
      <c r="AE299" s="314">
        <f t="shared" si="78"/>
        <v>7502.8861799242104</v>
      </c>
      <c r="AF299" s="315">
        <f t="shared" si="79"/>
        <v>-2448.4780268919521</v>
      </c>
      <c r="AG299" s="316">
        <f t="shared" si="80"/>
        <v>0.16986301369863013</v>
      </c>
      <c r="AH299" s="314">
        <v>1</v>
      </c>
      <c r="AI299" s="314">
        <f t="shared" si="81"/>
        <v>-2448.4780268919521</v>
      </c>
      <c r="AJ299" s="314">
        <f t="shared" si="82"/>
        <v>0</v>
      </c>
      <c r="AK299" s="317"/>
      <c r="AL299" s="315">
        <f t="shared" si="83"/>
        <v>-99.722003395585688</v>
      </c>
      <c r="AN299" s="554">
        <f t="shared" si="84"/>
        <v>-0.28614894411429059</v>
      </c>
      <c r="AO299" s="314"/>
      <c r="AP299" s="318"/>
    </row>
    <row r="300" spans="2:42">
      <c r="B300" s="296" t="s">
        <v>1254</v>
      </c>
      <c r="C300" s="299" t="s">
        <v>277</v>
      </c>
      <c r="D300" s="298" t="s">
        <v>708</v>
      </c>
      <c r="E300" s="299" t="s">
        <v>106</v>
      </c>
      <c r="F300" s="299" t="s">
        <v>59</v>
      </c>
      <c r="G300" s="300">
        <v>44630</v>
      </c>
      <c r="H300" s="303">
        <v>479.18315789473678</v>
      </c>
      <c r="I300" s="301" t="str">
        <f t="shared" si="68"/>
        <v>Ingresos Sección I LISR</v>
      </c>
      <c r="J300" s="302">
        <f t="shared" si="69"/>
        <v>11</v>
      </c>
      <c r="K300" s="304">
        <f t="shared" si="70"/>
        <v>43.562105263157889</v>
      </c>
      <c r="L300" s="305">
        <f>IF(H300=0,0,IF(OR(E300=$AT$5,E300=$AT$6),AA300,IF(F300="MXN",1/HLOOKUP(YEAR(G300)+(MONTH(G300)/100),TC!$5:$37,DAY(G300)+2,FALSE),VLOOKUP(F300,Equivalencia!$5:$23,((MAX(Equivalencia!$3:$3)-YEAR(G300))*14)+MONTH(G300)+2,FALSE))))</f>
        <v>1</v>
      </c>
      <c r="M300" s="306">
        <f t="shared" si="71"/>
        <v>479.18315789473678</v>
      </c>
      <c r="N300" s="305">
        <f>IF(G300=0,0,(IF(OR(E300=$AT$5,E300=$AT$6),AC300,HLOOKUP(YEAR(G300)+(MONTH(G300)/100),TC!$5:$37,DAY(G300)+2,FALSE))))</f>
        <v>21.377500000000001</v>
      </c>
      <c r="O300" s="307">
        <f t="shared" si="72"/>
        <v>10243.737957894737</v>
      </c>
      <c r="P300" s="560">
        <f>IF(G300=0,0,VLOOKUP(YEAR(G300),INPC!$B$4:$P$30,MONTH(G300)+2))</f>
        <v>120.15900000000001</v>
      </c>
      <c r="Q300" s="560">
        <f>IF(X300=0,0,IF(OR(E300=$AT$10,E300=$AT$9),VLOOKUP(YEAR(X300),INPC!$B$4:$P$30,MONTH(X300)+1),VLOOKUP(YEAR(X300),INPC!$B$4:$P$30,MONTH(X300)+2,0)))</f>
        <v>121.02200000000001</v>
      </c>
      <c r="R300" s="309">
        <f t="shared" si="73"/>
        <v>1.0071000000000001</v>
      </c>
      <c r="S300" s="310">
        <f t="shared" si="74"/>
        <v>10316.46849739579</v>
      </c>
      <c r="T300" s="555">
        <f t="shared" si="75"/>
        <v>937.86077249052641</v>
      </c>
      <c r="U300" s="311"/>
      <c r="V300" s="312">
        <v>11</v>
      </c>
      <c r="W300" s="299" t="s">
        <v>194</v>
      </c>
      <c r="X300" s="300">
        <v>44692</v>
      </c>
      <c r="Y300" s="299" t="s">
        <v>59</v>
      </c>
      <c r="Z300" s="303">
        <v>339.73500000000001</v>
      </c>
      <c r="AA300" s="305">
        <f>IF(Z300=0,0,IF(Y300="MXN",1/HLOOKUP(YEAR(X300)+(MONTH(X300)/100),TC!$5:$37,DAY(X300)+2,FALSE),VLOOKUP(Y300,Equivalencia!$1:$23,((MAX(Equivalencia!$3:$3)-YEAR(X300))*14)+MONTH(X300)+2,FALSE)))</f>
        <v>1</v>
      </c>
      <c r="AB300" s="306">
        <f t="shared" si="76"/>
        <v>339.73500000000001</v>
      </c>
      <c r="AC300" s="305">
        <f>+IF(X300=0,0,HLOOKUP(YEAR(X300)+(MONTH(X300)/100),TC!$5:$37,DAY(X300)+2,FALSE))</f>
        <v>20.3172</v>
      </c>
      <c r="AD300" s="307">
        <f t="shared" si="77"/>
        <v>6902.4639420000003</v>
      </c>
      <c r="AE300" s="314">
        <f t="shared" si="78"/>
        <v>10316.46849739579</v>
      </c>
      <c r="AF300" s="315">
        <f t="shared" si="79"/>
        <v>-3414.0045553957898</v>
      </c>
      <c r="AG300" s="316">
        <f t="shared" si="80"/>
        <v>0.16986301369863013</v>
      </c>
      <c r="AH300" s="314">
        <v>1</v>
      </c>
      <c r="AI300" s="314">
        <f t="shared" si="81"/>
        <v>-3414.0045553957898</v>
      </c>
      <c r="AJ300" s="314">
        <f t="shared" si="82"/>
        <v>0</v>
      </c>
      <c r="AK300" s="317"/>
      <c r="AL300" s="315">
        <f t="shared" si="83"/>
        <v>-139.44815789473677</v>
      </c>
      <c r="AN300" s="554">
        <f t="shared" si="84"/>
        <v>-0.29101222694761247</v>
      </c>
      <c r="AO300" s="314"/>
      <c r="AP300" s="318"/>
    </row>
    <row r="301" spans="2:42">
      <c r="B301" s="296" t="s">
        <v>1254</v>
      </c>
      <c r="C301" s="299" t="s">
        <v>277</v>
      </c>
      <c r="D301" s="298" t="s">
        <v>708</v>
      </c>
      <c r="E301" s="299" t="s">
        <v>106</v>
      </c>
      <c r="F301" s="299" t="s">
        <v>59</v>
      </c>
      <c r="G301" s="300">
        <v>44636</v>
      </c>
      <c r="H301" s="303">
        <v>600.92882352941183</v>
      </c>
      <c r="I301" s="301" t="str">
        <f t="shared" si="68"/>
        <v>Ingresos Sección I LISR</v>
      </c>
      <c r="J301" s="302">
        <f t="shared" si="69"/>
        <v>13</v>
      </c>
      <c r="K301" s="304">
        <f t="shared" si="70"/>
        <v>46.225294117647067</v>
      </c>
      <c r="L301" s="305">
        <f>IF(H301=0,0,IF(OR(E301=$AT$5,E301=$AT$6),AA301,IF(F301="MXN",1/HLOOKUP(YEAR(G301)+(MONTH(G301)/100),TC!$5:$37,DAY(G301)+2,FALSE),VLOOKUP(F301,Equivalencia!$5:$23,((MAX(Equivalencia!$3:$3)-YEAR(G301))*14)+MONTH(G301)+2,FALSE))))</f>
        <v>1</v>
      </c>
      <c r="M301" s="306">
        <f t="shared" si="71"/>
        <v>600.92882352941183</v>
      </c>
      <c r="N301" s="305">
        <f>IF(G301=0,0,(IF(OR(E301=$AT$5,E301=$AT$6),AC301,HLOOKUP(YEAR(G301)+(MONTH(G301)/100),TC!$5:$37,DAY(G301)+2,FALSE))))</f>
        <v>20.890799999999999</v>
      </c>
      <c r="O301" s="307">
        <f t="shared" si="72"/>
        <v>12553.883866588236</v>
      </c>
      <c r="P301" s="560">
        <f>IF(G301=0,0,VLOOKUP(YEAR(G301),INPC!$B$4:$P$30,MONTH(G301)+2))</f>
        <v>120.15900000000001</v>
      </c>
      <c r="Q301" s="560">
        <f>IF(X301=0,0,IF(OR(E301=$AT$10,E301=$AT$9),VLOOKUP(YEAR(X301),INPC!$B$4:$P$30,MONTH(X301)+1),VLOOKUP(YEAR(X301),INPC!$B$4:$P$30,MONTH(X301)+2,0)))</f>
        <v>121.02200000000001</v>
      </c>
      <c r="R301" s="309">
        <f t="shared" si="73"/>
        <v>1.0071000000000001</v>
      </c>
      <c r="S301" s="310">
        <f t="shared" si="74"/>
        <v>12643.016442041013</v>
      </c>
      <c r="T301" s="555">
        <f t="shared" si="75"/>
        <v>972.53972631084719</v>
      </c>
      <c r="U301" s="311"/>
      <c r="V301" s="312">
        <v>13</v>
      </c>
      <c r="W301" s="299" t="s">
        <v>194</v>
      </c>
      <c r="X301" s="300">
        <v>44692</v>
      </c>
      <c r="Y301" s="299" t="s">
        <v>59</v>
      </c>
      <c r="Z301" s="303">
        <v>401.505</v>
      </c>
      <c r="AA301" s="305">
        <f>IF(Z301=0,0,IF(Y301="MXN",1/HLOOKUP(YEAR(X301)+(MONTH(X301)/100),TC!$5:$37,DAY(X301)+2,FALSE),VLOOKUP(Y301,Equivalencia!$1:$23,((MAX(Equivalencia!$3:$3)-YEAR(X301))*14)+MONTH(X301)+2,FALSE)))</f>
        <v>1</v>
      </c>
      <c r="AB301" s="306">
        <f t="shared" si="76"/>
        <v>401.505</v>
      </c>
      <c r="AC301" s="305">
        <f>+IF(X301=0,0,HLOOKUP(YEAR(X301)+(MONTH(X301)/100),TC!$5:$37,DAY(X301)+2,FALSE))</f>
        <v>20.3172</v>
      </c>
      <c r="AD301" s="307">
        <f t="shared" si="77"/>
        <v>8157.457386</v>
      </c>
      <c r="AE301" s="314">
        <f t="shared" si="78"/>
        <v>12643.016442041013</v>
      </c>
      <c r="AF301" s="315">
        <f t="shared" si="79"/>
        <v>-4485.5590560410128</v>
      </c>
      <c r="AG301" s="316">
        <f t="shared" si="80"/>
        <v>0.15342465753424658</v>
      </c>
      <c r="AH301" s="314">
        <v>1</v>
      </c>
      <c r="AI301" s="314">
        <f t="shared" si="81"/>
        <v>-4485.5590560410128</v>
      </c>
      <c r="AJ301" s="314">
        <f t="shared" si="82"/>
        <v>0</v>
      </c>
      <c r="AK301" s="317"/>
      <c r="AL301" s="315">
        <f t="shared" si="83"/>
        <v>-199.42382352941183</v>
      </c>
      <c r="AN301" s="554">
        <f t="shared" si="84"/>
        <v>-0.33185930799282293</v>
      </c>
      <c r="AO301" s="314"/>
      <c r="AP301" s="318"/>
    </row>
    <row r="302" spans="2:42">
      <c r="B302" s="296" t="s">
        <v>1254</v>
      </c>
      <c r="C302" s="299" t="s">
        <v>277</v>
      </c>
      <c r="D302" s="298" t="s">
        <v>708</v>
      </c>
      <c r="E302" s="299" t="s">
        <v>106</v>
      </c>
      <c r="F302" s="299" t="s">
        <v>59</v>
      </c>
      <c r="G302" s="300">
        <v>44636</v>
      </c>
      <c r="H302" s="303">
        <v>184.90117647058824</v>
      </c>
      <c r="I302" s="301" t="str">
        <f t="shared" si="68"/>
        <v>Ingresos Sección I LISR</v>
      </c>
      <c r="J302" s="302">
        <f t="shared" si="69"/>
        <v>4</v>
      </c>
      <c r="K302" s="304">
        <f t="shared" si="70"/>
        <v>46.22529411764706</v>
      </c>
      <c r="L302" s="305">
        <f>IF(H302=0,0,IF(OR(E302=$AT$5,E302=$AT$6),AA302,IF(F302="MXN",1/HLOOKUP(YEAR(G302)+(MONTH(G302)/100),TC!$5:$37,DAY(G302)+2,FALSE),VLOOKUP(F302,Equivalencia!$5:$23,((MAX(Equivalencia!$3:$3)-YEAR(G302))*14)+MONTH(G302)+2,FALSE))))</f>
        <v>1</v>
      </c>
      <c r="M302" s="306">
        <f t="shared" si="71"/>
        <v>184.90117647058824</v>
      </c>
      <c r="N302" s="305">
        <f>IF(G302=0,0,(IF(OR(E302=$AT$5,E302=$AT$6),AC302,HLOOKUP(YEAR(G302)+(MONTH(G302)/100),TC!$5:$37,DAY(G302)+2,FALSE))))</f>
        <v>20.890799999999999</v>
      </c>
      <c r="O302" s="307">
        <f t="shared" si="72"/>
        <v>3862.7334974117643</v>
      </c>
      <c r="P302" s="560">
        <f>IF(G302=0,0,VLOOKUP(YEAR(G302),INPC!$B$4:$P$30,MONTH(G302)+2))</f>
        <v>120.15900000000001</v>
      </c>
      <c r="Q302" s="560">
        <f>IF(X302=0,0,IF(OR(E302=$AT$10,E302=$AT$9),VLOOKUP(YEAR(X302),INPC!$B$4:$P$30,MONTH(X302)+1),VLOOKUP(YEAR(X302),INPC!$B$4:$P$30,MONTH(X302)+2,0)))</f>
        <v>121.02200000000001</v>
      </c>
      <c r="R302" s="309">
        <f t="shared" si="73"/>
        <v>1.0071000000000001</v>
      </c>
      <c r="S302" s="310">
        <f t="shared" si="74"/>
        <v>3890.1589052433883</v>
      </c>
      <c r="T302" s="555">
        <f t="shared" si="75"/>
        <v>972.53972631084707</v>
      </c>
      <c r="U302" s="311"/>
      <c r="V302" s="312">
        <v>4</v>
      </c>
      <c r="W302" s="299" t="s">
        <v>194</v>
      </c>
      <c r="X302" s="300">
        <v>44692</v>
      </c>
      <c r="Y302" s="299" t="s">
        <v>59</v>
      </c>
      <c r="Z302" s="303">
        <v>129.36571428571429</v>
      </c>
      <c r="AA302" s="305">
        <f>IF(Z302=0,0,IF(Y302="MXN",1/HLOOKUP(YEAR(X302)+(MONTH(X302)/100),TC!$5:$37,DAY(X302)+2,FALSE),VLOOKUP(Y302,Equivalencia!$1:$23,((MAX(Equivalencia!$3:$3)-YEAR(X302))*14)+MONTH(X302)+2,FALSE)))</f>
        <v>1</v>
      </c>
      <c r="AB302" s="306">
        <f t="shared" si="76"/>
        <v>129.36571428571429</v>
      </c>
      <c r="AC302" s="305">
        <f>+IF(X302=0,0,HLOOKUP(YEAR(X302)+(MONTH(X302)/100),TC!$5:$37,DAY(X302)+2,FALSE))</f>
        <v>20.3172</v>
      </c>
      <c r="AD302" s="307">
        <f t="shared" si="77"/>
        <v>2628.3490902857143</v>
      </c>
      <c r="AE302" s="314">
        <f t="shared" si="78"/>
        <v>3890.1589052433883</v>
      </c>
      <c r="AF302" s="315">
        <f t="shared" si="79"/>
        <v>-1261.809814957674</v>
      </c>
      <c r="AG302" s="316">
        <f t="shared" si="80"/>
        <v>0.15342465753424658</v>
      </c>
      <c r="AH302" s="314">
        <v>1</v>
      </c>
      <c r="AI302" s="314">
        <f t="shared" si="81"/>
        <v>-1261.809814957674</v>
      </c>
      <c r="AJ302" s="314">
        <f t="shared" si="82"/>
        <v>0</v>
      </c>
      <c r="AK302" s="317"/>
      <c r="AL302" s="315">
        <f t="shared" si="83"/>
        <v>-55.53546218487395</v>
      </c>
      <c r="AN302" s="554">
        <f t="shared" si="84"/>
        <v>-0.30035212995904237</v>
      </c>
      <c r="AO302" s="314"/>
      <c r="AP302" s="318"/>
    </row>
    <row r="303" spans="2:42">
      <c r="B303" s="296" t="s">
        <v>1254</v>
      </c>
      <c r="C303" s="299" t="s">
        <v>277</v>
      </c>
      <c r="D303" s="298" t="s">
        <v>708</v>
      </c>
      <c r="E303" s="299" t="s">
        <v>106</v>
      </c>
      <c r="F303" s="299" t="s">
        <v>59</v>
      </c>
      <c r="G303" s="300">
        <v>44636</v>
      </c>
      <c r="H303" s="303">
        <v>137.11588235294118</v>
      </c>
      <c r="I303" s="301" t="str">
        <f t="shared" si="68"/>
        <v>Ingresos Sección I LISR</v>
      </c>
      <c r="J303" s="302">
        <f t="shared" si="69"/>
        <v>3</v>
      </c>
      <c r="K303" s="304">
        <f t="shared" si="70"/>
        <v>45.705294117647064</v>
      </c>
      <c r="L303" s="305">
        <f>IF(H303=0,0,IF(OR(E303=$AT$5,E303=$AT$6),AA303,IF(F303="MXN",1/HLOOKUP(YEAR(G303)+(MONTH(G303)/100),TC!$5:$37,DAY(G303)+2,FALSE),VLOOKUP(F303,Equivalencia!$5:$23,((MAX(Equivalencia!$3:$3)-YEAR(G303))*14)+MONTH(G303)+2,FALSE))))</f>
        <v>1</v>
      </c>
      <c r="M303" s="306">
        <f t="shared" si="71"/>
        <v>137.11588235294118</v>
      </c>
      <c r="N303" s="305">
        <f>IF(G303=0,0,(IF(OR(E303=$AT$5,E303=$AT$6),AC303,HLOOKUP(YEAR(G303)+(MONTH(G303)/100),TC!$5:$37,DAY(G303)+2,FALSE))))</f>
        <v>20.890799999999999</v>
      </c>
      <c r="O303" s="307">
        <f t="shared" si="72"/>
        <v>2864.4604750588237</v>
      </c>
      <c r="P303" s="560">
        <f>IF(G303=0,0,VLOOKUP(YEAR(G303),INPC!$B$4:$P$30,MONTH(G303)+2))</f>
        <v>120.15900000000001</v>
      </c>
      <c r="Q303" s="560">
        <f>IF(X303=0,0,IF(OR(E303=$AT$10,E303=$AT$9),VLOOKUP(YEAR(X303),INPC!$B$4:$P$30,MONTH(X303)+1),VLOOKUP(YEAR(X303),INPC!$B$4:$P$30,MONTH(X303)+2,0)))</f>
        <v>121.02200000000001</v>
      </c>
      <c r="R303" s="309">
        <f t="shared" si="73"/>
        <v>1.0071000000000001</v>
      </c>
      <c r="S303" s="310">
        <f t="shared" si="74"/>
        <v>2884.7981444317415</v>
      </c>
      <c r="T303" s="555">
        <f t="shared" si="75"/>
        <v>961.59938147724722</v>
      </c>
      <c r="U303" s="311"/>
      <c r="V303" s="312">
        <v>3</v>
      </c>
      <c r="W303" s="299" t="s">
        <v>194</v>
      </c>
      <c r="X303" s="300">
        <v>44692</v>
      </c>
      <c r="Y303" s="299" t="s">
        <v>59</v>
      </c>
      <c r="Z303" s="303">
        <v>97.024285714285725</v>
      </c>
      <c r="AA303" s="305">
        <f>IF(Z303=0,0,IF(Y303="MXN",1/HLOOKUP(YEAR(X303)+(MONTH(X303)/100),TC!$5:$37,DAY(X303)+2,FALSE),VLOOKUP(Y303,Equivalencia!$1:$23,((MAX(Equivalencia!$3:$3)-YEAR(X303))*14)+MONTH(X303)+2,FALSE)))</f>
        <v>1</v>
      </c>
      <c r="AB303" s="306">
        <f t="shared" si="76"/>
        <v>97.024285714285725</v>
      </c>
      <c r="AC303" s="305">
        <f>+IF(X303=0,0,HLOOKUP(YEAR(X303)+(MONTH(X303)/100),TC!$5:$37,DAY(X303)+2,FALSE))</f>
        <v>20.3172</v>
      </c>
      <c r="AD303" s="307">
        <f t="shared" si="77"/>
        <v>1971.2618177142858</v>
      </c>
      <c r="AE303" s="314">
        <f t="shared" si="78"/>
        <v>2884.7981444317415</v>
      </c>
      <c r="AF303" s="315">
        <f t="shared" si="79"/>
        <v>-913.53632671745572</v>
      </c>
      <c r="AG303" s="316">
        <f t="shared" si="80"/>
        <v>0.15342465753424658</v>
      </c>
      <c r="AH303" s="314">
        <v>1</v>
      </c>
      <c r="AI303" s="314">
        <f t="shared" si="81"/>
        <v>-913.53632671745572</v>
      </c>
      <c r="AJ303" s="314">
        <f t="shared" si="82"/>
        <v>0</v>
      </c>
      <c r="AK303" s="317"/>
      <c r="AL303" s="315">
        <f t="shared" si="83"/>
        <v>-40.09159663865546</v>
      </c>
      <c r="AN303" s="554">
        <f t="shared" si="84"/>
        <v>-0.2923920697637219</v>
      </c>
      <c r="AO303" s="314"/>
      <c r="AP303" s="318"/>
    </row>
    <row r="304" spans="2:42">
      <c r="B304" s="296" t="s">
        <v>1254</v>
      </c>
      <c r="C304" s="299" t="s">
        <v>277</v>
      </c>
      <c r="D304" s="298" t="s">
        <v>708</v>
      </c>
      <c r="E304" s="299" t="s">
        <v>106</v>
      </c>
      <c r="F304" s="299" t="s">
        <v>59</v>
      </c>
      <c r="G304" s="300">
        <v>44636</v>
      </c>
      <c r="H304" s="303">
        <v>639.87411764705882</v>
      </c>
      <c r="I304" s="301" t="str">
        <f t="shared" si="68"/>
        <v>Ingresos Sección I LISR</v>
      </c>
      <c r="J304" s="302">
        <f t="shared" si="69"/>
        <v>14</v>
      </c>
      <c r="K304" s="304">
        <f t="shared" si="70"/>
        <v>45.705294117647057</v>
      </c>
      <c r="L304" s="305">
        <f>IF(H304=0,0,IF(OR(E304=$AT$5,E304=$AT$6),AA304,IF(F304="MXN",1/HLOOKUP(YEAR(G304)+(MONTH(G304)/100),TC!$5:$37,DAY(G304)+2,FALSE),VLOOKUP(F304,Equivalencia!$5:$23,((MAX(Equivalencia!$3:$3)-YEAR(G304))*14)+MONTH(G304)+2,FALSE))))</f>
        <v>1</v>
      </c>
      <c r="M304" s="306">
        <f t="shared" si="71"/>
        <v>639.87411764705882</v>
      </c>
      <c r="N304" s="305">
        <f>IF(G304=0,0,(IF(OR(E304=$AT$5,E304=$AT$6),AC304,HLOOKUP(YEAR(G304)+(MONTH(G304)/100),TC!$5:$37,DAY(G304)+2,FALSE))))</f>
        <v>20.890799999999999</v>
      </c>
      <c r="O304" s="307">
        <f t="shared" si="72"/>
        <v>13367.482216941176</v>
      </c>
      <c r="P304" s="560">
        <f>IF(G304=0,0,VLOOKUP(YEAR(G304),INPC!$B$4:$P$30,MONTH(G304)+2))</f>
        <v>120.15900000000001</v>
      </c>
      <c r="Q304" s="560">
        <f>IF(X304=0,0,IF(OR(E304=$AT$10,E304=$AT$9),VLOOKUP(YEAR(X304),INPC!$B$4:$P$30,MONTH(X304)+1),VLOOKUP(YEAR(X304),INPC!$B$4:$P$30,MONTH(X304)+2,0)))</f>
        <v>121.02200000000001</v>
      </c>
      <c r="R304" s="309">
        <f t="shared" si="73"/>
        <v>1.0071000000000001</v>
      </c>
      <c r="S304" s="310">
        <f t="shared" si="74"/>
        <v>13462.391340681461</v>
      </c>
      <c r="T304" s="555">
        <f t="shared" si="75"/>
        <v>961.59938147724722</v>
      </c>
      <c r="U304" s="311"/>
      <c r="V304" s="312">
        <v>14</v>
      </c>
      <c r="W304" s="299" t="s">
        <v>194</v>
      </c>
      <c r="X304" s="300">
        <v>44692</v>
      </c>
      <c r="Y304" s="299" t="s">
        <v>59</v>
      </c>
      <c r="Z304" s="303">
        <v>443.00215053763441</v>
      </c>
      <c r="AA304" s="305">
        <f>IF(Z304=0,0,IF(Y304="MXN",1/HLOOKUP(YEAR(X304)+(MONTH(X304)/100),TC!$5:$37,DAY(X304)+2,FALSE),VLOOKUP(Y304,Equivalencia!$1:$23,((MAX(Equivalencia!$3:$3)-YEAR(X304))*14)+MONTH(X304)+2,FALSE)))</f>
        <v>1</v>
      </c>
      <c r="AB304" s="306">
        <f t="shared" si="76"/>
        <v>443.00215053763441</v>
      </c>
      <c r="AC304" s="305">
        <f>+IF(X304=0,0,HLOOKUP(YEAR(X304)+(MONTH(X304)/100),TC!$5:$37,DAY(X304)+2,FALSE))</f>
        <v>20.3172</v>
      </c>
      <c r="AD304" s="307">
        <f t="shared" si="77"/>
        <v>9000.5632929032254</v>
      </c>
      <c r="AE304" s="314">
        <f t="shared" si="78"/>
        <v>13462.391340681461</v>
      </c>
      <c r="AF304" s="315">
        <f t="shared" si="79"/>
        <v>-4461.8280477782355</v>
      </c>
      <c r="AG304" s="316">
        <f t="shared" si="80"/>
        <v>0.15342465753424658</v>
      </c>
      <c r="AH304" s="314">
        <v>1</v>
      </c>
      <c r="AI304" s="314">
        <f t="shared" si="81"/>
        <v>-4461.8280477782355</v>
      </c>
      <c r="AJ304" s="314">
        <f t="shared" si="82"/>
        <v>0</v>
      </c>
      <c r="AK304" s="317"/>
      <c r="AL304" s="315">
        <f t="shared" si="83"/>
        <v>-196.87196710942442</v>
      </c>
      <c r="AN304" s="554">
        <f t="shared" si="84"/>
        <v>-0.30767296516596232</v>
      </c>
      <c r="AO304" s="314"/>
      <c r="AP304" s="318"/>
    </row>
    <row r="305" spans="2:42">
      <c r="B305" s="296" t="s">
        <v>1254</v>
      </c>
      <c r="C305" s="299" t="s">
        <v>277</v>
      </c>
      <c r="D305" s="298" t="s">
        <v>708</v>
      </c>
      <c r="E305" s="299" t="s">
        <v>106</v>
      </c>
      <c r="F305" s="299" t="s">
        <v>59</v>
      </c>
      <c r="G305" s="300">
        <v>44636</v>
      </c>
      <c r="H305" s="303">
        <v>1156.69</v>
      </c>
      <c r="I305" s="301" t="str">
        <f t="shared" si="68"/>
        <v>Ingresos Sección I LISR</v>
      </c>
      <c r="J305" s="302">
        <f t="shared" si="69"/>
        <v>25</v>
      </c>
      <c r="K305" s="304">
        <f t="shared" si="70"/>
        <v>46.267600000000002</v>
      </c>
      <c r="L305" s="305">
        <f>IF(H305=0,0,IF(OR(E305=$AT$5,E305=$AT$6),AA305,IF(F305="MXN",1/HLOOKUP(YEAR(G305)+(MONTH(G305)/100),TC!$5:$37,DAY(G305)+2,FALSE),VLOOKUP(F305,Equivalencia!$5:$23,((MAX(Equivalencia!$3:$3)-YEAR(G305))*14)+MONTH(G305)+2,FALSE))))</f>
        <v>1</v>
      </c>
      <c r="M305" s="306">
        <f t="shared" si="71"/>
        <v>1156.69</v>
      </c>
      <c r="N305" s="305">
        <f>IF(G305=0,0,(IF(OR(E305=$AT$5,E305=$AT$6),AC305,HLOOKUP(YEAR(G305)+(MONTH(G305)/100),TC!$5:$37,DAY(G305)+2,FALSE))))</f>
        <v>20.890799999999999</v>
      </c>
      <c r="O305" s="307">
        <f t="shared" si="72"/>
        <v>24164.179452</v>
      </c>
      <c r="P305" s="560">
        <f>IF(G305=0,0,VLOOKUP(YEAR(G305),INPC!$B$4:$P$30,MONTH(G305)+2))</f>
        <v>120.15900000000001</v>
      </c>
      <c r="Q305" s="560">
        <f>IF(X305=0,0,IF(OR(E305=$AT$10,E305=$AT$9),VLOOKUP(YEAR(X305),INPC!$B$4:$P$30,MONTH(X305)+1),VLOOKUP(YEAR(X305),INPC!$B$4:$P$30,MONTH(X305)+2,0)))</f>
        <v>121.02200000000001</v>
      </c>
      <c r="R305" s="309">
        <f t="shared" si="73"/>
        <v>1.0071000000000001</v>
      </c>
      <c r="S305" s="310">
        <f t="shared" si="74"/>
        <v>24335.745126109203</v>
      </c>
      <c r="T305" s="555">
        <f t="shared" si="75"/>
        <v>973.42980504436809</v>
      </c>
      <c r="U305" s="311"/>
      <c r="V305" s="312">
        <v>25</v>
      </c>
      <c r="W305" s="299" t="s">
        <v>194</v>
      </c>
      <c r="X305" s="300">
        <v>44692</v>
      </c>
      <c r="Y305" s="299" t="s">
        <v>59</v>
      </c>
      <c r="Z305" s="303">
        <v>791.07526881720435</v>
      </c>
      <c r="AA305" s="305">
        <f>IF(Z305=0,0,IF(Y305="MXN",1/HLOOKUP(YEAR(X305)+(MONTH(X305)/100),TC!$5:$37,DAY(X305)+2,FALSE),VLOOKUP(Y305,Equivalencia!$1:$23,((MAX(Equivalencia!$3:$3)-YEAR(X305))*14)+MONTH(X305)+2,FALSE)))</f>
        <v>1</v>
      </c>
      <c r="AB305" s="306">
        <f t="shared" si="76"/>
        <v>791.07526881720435</v>
      </c>
      <c r="AC305" s="305">
        <f>+IF(X305=0,0,HLOOKUP(YEAR(X305)+(MONTH(X305)/100),TC!$5:$37,DAY(X305)+2,FALSE))</f>
        <v>20.3172</v>
      </c>
      <c r="AD305" s="307">
        <f t="shared" si="77"/>
        <v>16072.434451612904</v>
      </c>
      <c r="AE305" s="314">
        <f t="shared" si="78"/>
        <v>24335.745126109203</v>
      </c>
      <c r="AF305" s="315">
        <f t="shared" si="79"/>
        <v>-8263.3106744962988</v>
      </c>
      <c r="AG305" s="316">
        <f t="shared" si="80"/>
        <v>0.15342465753424658</v>
      </c>
      <c r="AH305" s="314">
        <v>1</v>
      </c>
      <c r="AI305" s="314">
        <f t="shared" si="81"/>
        <v>-8263.3106744962988</v>
      </c>
      <c r="AJ305" s="314">
        <f t="shared" si="82"/>
        <v>0</v>
      </c>
      <c r="AK305" s="317"/>
      <c r="AL305" s="315">
        <f t="shared" si="83"/>
        <v>-365.61473118279571</v>
      </c>
      <c r="AN305" s="554">
        <f t="shared" si="84"/>
        <v>-0.31608705113971391</v>
      </c>
      <c r="AO305" s="314"/>
      <c r="AP305" s="318"/>
    </row>
    <row r="306" spans="2:42">
      <c r="B306" s="296" t="s">
        <v>1254</v>
      </c>
      <c r="C306" s="299" t="s">
        <v>277</v>
      </c>
      <c r="D306" s="298" t="s">
        <v>708</v>
      </c>
      <c r="E306" s="299" t="s">
        <v>106</v>
      </c>
      <c r="F306" s="299" t="s">
        <v>59</v>
      </c>
      <c r="G306" s="300">
        <v>44636</v>
      </c>
      <c r="H306" s="303">
        <v>2484.1583999999998</v>
      </c>
      <c r="I306" s="301" t="str">
        <f t="shared" si="68"/>
        <v>Ingresos Sección I LISR</v>
      </c>
      <c r="J306" s="302">
        <f t="shared" si="69"/>
        <v>54</v>
      </c>
      <c r="K306" s="304">
        <f t="shared" si="70"/>
        <v>46.002933333333331</v>
      </c>
      <c r="L306" s="305">
        <f>IF(H306=0,0,IF(OR(E306=$AT$5,E306=$AT$6),AA306,IF(F306="MXN",1/HLOOKUP(YEAR(G306)+(MONTH(G306)/100),TC!$5:$37,DAY(G306)+2,FALSE),VLOOKUP(F306,Equivalencia!$5:$23,((MAX(Equivalencia!$3:$3)-YEAR(G306))*14)+MONTH(G306)+2,FALSE))))</f>
        <v>1</v>
      </c>
      <c r="M306" s="306">
        <f t="shared" si="71"/>
        <v>2484.1583999999998</v>
      </c>
      <c r="N306" s="305">
        <f>IF(G306=0,0,(IF(OR(E306=$AT$5,E306=$AT$6),AC306,HLOOKUP(YEAR(G306)+(MONTH(G306)/100),TC!$5:$37,DAY(G306)+2,FALSE))))</f>
        <v>20.890799999999999</v>
      </c>
      <c r="O306" s="307">
        <f t="shared" si="72"/>
        <v>51896.05630271999</v>
      </c>
      <c r="P306" s="560">
        <f>IF(G306=0,0,VLOOKUP(YEAR(G306),INPC!$B$4:$P$30,MONTH(G306)+2))</f>
        <v>120.15900000000001</v>
      </c>
      <c r="Q306" s="560">
        <f>IF(X306=0,0,IF(OR(E306=$AT$10,E306=$AT$9),VLOOKUP(YEAR(X306),INPC!$B$4:$P$30,MONTH(X306)+1),VLOOKUP(YEAR(X306),INPC!$B$4:$P$30,MONTH(X306)+2,0)))</f>
        <v>121.02200000000001</v>
      </c>
      <c r="R306" s="309">
        <f t="shared" si="73"/>
        <v>1.0071000000000001</v>
      </c>
      <c r="S306" s="310">
        <f t="shared" si="74"/>
        <v>52264.518302469311</v>
      </c>
      <c r="T306" s="555">
        <f t="shared" si="75"/>
        <v>967.86145004572802</v>
      </c>
      <c r="U306" s="311"/>
      <c r="V306" s="312">
        <v>54</v>
      </c>
      <c r="W306" s="299" t="s">
        <v>194</v>
      </c>
      <c r="X306" s="300">
        <v>44692</v>
      </c>
      <c r="Y306" s="299" t="s">
        <v>59</v>
      </c>
      <c r="Z306" s="303">
        <v>1708.7225806451613</v>
      </c>
      <c r="AA306" s="305">
        <f>IF(Z306=0,0,IF(Y306="MXN",1/HLOOKUP(YEAR(X306)+(MONTH(X306)/100),TC!$5:$37,DAY(X306)+2,FALSE),VLOOKUP(Y306,Equivalencia!$1:$23,((MAX(Equivalencia!$3:$3)-YEAR(X306))*14)+MONTH(X306)+2,FALSE)))</f>
        <v>1</v>
      </c>
      <c r="AB306" s="306">
        <f t="shared" si="76"/>
        <v>1708.7225806451613</v>
      </c>
      <c r="AC306" s="305">
        <f>+IF(X306=0,0,HLOOKUP(YEAR(X306)+(MONTH(X306)/100),TC!$5:$37,DAY(X306)+2,FALSE))</f>
        <v>20.3172</v>
      </c>
      <c r="AD306" s="307">
        <f t="shared" si="77"/>
        <v>34716.458415483874</v>
      </c>
      <c r="AE306" s="314">
        <f t="shared" si="78"/>
        <v>52264.518302469311</v>
      </c>
      <c r="AF306" s="315">
        <f t="shared" si="79"/>
        <v>-17548.059886985437</v>
      </c>
      <c r="AG306" s="316">
        <f t="shared" si="80"/>
        <v>0.15342465753424658</v>
      </c>
      <c r="AH306" s="314">
        <v>1</v>
      </c>
      <c r="AI306" s="314">
        <f t="shared" si="81"/>
        <v>-17548.059886985437</v>
      </c>
      <c r="AJ306" s="314">
        <f t="shared" si="82"/>
        <v>0</v>
      </c>
      <c r="AK306" s="317"/>
      <c r="AL306" s="315">
        <f t="shared" si="83"/>
        <v>-775.43581935483849</v>
      </c>
      <c r="AN306" s="554">
        <f t="shared" si="84"/>
        <v>-0.31215232464839543</v>
      </c>
      <c r="AO306" s="314"/>
      <c r="AP306" s="318"/>
    </row>
    <row r="307" spans="2:42">
      <c r="B307" s="296" t="s">
        <v>1254</v>
      </c>
      <c r="C307" s="299" t="s">
        <v>277</v>
      </c>
      <c r="D307" s="298" t="s">
        <v>708</v>
      </c>
      <c r="E307" s="299" t="s">
        <v>106</v>
      </c>
      <c r="F307" s="299" t="s">
        <v>59</v>
      </c>
      <c r="G307" s="300">
        <v>44636</v>
      </c>
      <c r="H307" s="303">
        <v>966.0616</v>
      </c>
      <c r="I307" s="301" t="str">
        <f t="shared" si="68"/>
        <v>Ingresos Sección I LISR</v>
      </c>
      <c r="J307" s="302">
        <f t="shared" si="69"/>
        <v>21</v>
      </c>
      <c r="K307" s="304">
        <f t="shared" si="70"/>
        <v>46.002933333333331</v>
      </c>
      <c r="L307" s="305">
        <f>IF(H307=0,0,IF(OR(E307=$AT$5,E307=$AT$6),AA307,IF(F307="MXN",1/HLOOKUP(YEAR(G307)+(MONTH(G307)/100),TC!$5:$37,DAY(G307)+2,FALSE),VLOOKUP(F307,Equivalencia!$5:$23,((MAX(Equivalencia!$3:$3)-YEAR(G307))*14)+MONTH(G307)+2,FALSE))))</f>
        <v>1</v>
      </c>
      <c r="M307" s="306">
        <f t="shared" si="71"/>
        <v>966.0616</v>
      </c>
      <c r="N307" s="305">
        <f>IF(G307=0,0,(IF(OR(E307=$AT$5,E307=$AT$6),AC307,HLOOKUP(YEAR(G307)+(MONTH(G307)/100),TC!$5:$37,DAY(G307)+2,FALSE))))</f>
        <v>20.890799999999999</v>
      </c>
      <c r="O307" s="307">
        <f t="shared" si="72"/>
        <v>20181.799673279998</v>
      </c>
      <c r="P307" s="560">
        <f>IF(G307=0,0,VLOOKUP(YEAR(G307),INPC!$B$4:$P$30,MONTH(G307)+2))</f>
        <v>120.15900000000001</v>
      </c>
      <c r="Q307" s="560">
        <f>IF(X307=0,0,IF(OR(E307=$AT$10,E307=$AT$9),VLOOKUP(YEAR(X307),INPC!$B$4:$P$30,MONTH(X307)+1),VLOOKUP(YEAR(X307),INPC!$B$4:$P$30,MONTH(X307)+2,0)))</f>
        <v>121.02200000000001</v>
      </c>
      <c r="R307" s="309">
        <f t="shared" si="73"/>
        <v>1.0071000000000001</v>
      </c>
      <c r="S307" s="310">
        <f t="shared" si="74"/>
        <v>20325.090450960288</v>
      </c>
      <c r="T307" s="555">
        <f t="shared" si="75"/>
        <v>967.86145004572802</v>
      </c>
      <c r="U307" s="311"/>
      <c r="V307" s="312">
        <v>21</v>
      </c>
      <c r="W307" s="299" t="s">
        <v>194</v>
      </c>
      <c r="X307" s="300">
        <v>44693</v>
      </c>
      <c r="Y307" s="299" t="s">
        <v>59</v>
      </c>
      <c r="Z307" s="303">
        <v>619.41999999999996</v>
      </c>
      <c r="AA307" s="305">
        <f>IF(Z307=0,0,IF(Y307="MXN",1/HLOOKUP(YEAR(X307)+(MONTH(X307)/100),TC!$5:$37,DAY(X307)+2,FALSE),VLOOKUP(Y307,Equivalencia!$1:$23,((MAX(Equivalencia!$3:$3)-YEAR(X307))*14)+MONTH(X307)+2,FALSE)))</f>
        <v>1</v>
      </c>
      <c r="AB307" s="306">
        <f t="shared" si="76"/>
        <v>619.41999999999996</v>
      </c>
      <c r="AC307" s="305">
        <f>+IF(X307=0,0,HLOOKUP(YEAR(X307)+(MONTH(X307)/100),TC!$5:$37,DAY(X307)+2,FALSE))</f>
        <v>20.372</v>
      </c>
      <c r="AD307" s="307">
        <f t="shared" si="77"/>
        <v>12618.82424</v>
      </c>
      <c r="AE307" s="314">
        <f t="shared" si="78"/>
        <v>20325.090450960288</v>
      </c>
      <c r="AF307" s="315">
        <f t="shared" si="79"/>
        <v>-7706.2662109602879</v>
      </c>
      <c r="AG307" s="316">
        <f t="shared" si="80"/>
        <v>0.15616438356164383</v>
      </c>
      <c r="AH307" s="314">
        <v>1</v>
      </c>
      <c r="AI307" s="314">
        <f t="shared" si="81"/>
        <v>-7706.2662109602879</v>
      </c>
      <c r="AJ307" s="314">
        <f t="shared" si="82"/>
        <v>0</v>
      </c>
      <c r="AK307" s="317"/>
      <c r="AL307" s="315">
        <f t="shared" si="83"/>
        <v>-346.64160000000004</v>
      </c>
      <c r="AN307" s="554">
        <f t="shared" si="84"/>
        <v>-0.35881935479062621</v>
      </c>
      <c r="AO307" s="314"/>
      <c r="AP307" s="318"/>
    </row>
    <row r="308" spans="2:42">
      <c r="B308" s="296"/>
      <c r="C308" s="299"/>
      <c r="D308" s="298"/>
      <c r="E308" s="299"/>
      <c r="F308" s="299"/>
      <c r="G308" s="300"/>
      <c r="H308" s="303"/>
      <c r="I308" s="301">
        <f t="shared" si="68"/>
        <v>0</v>
      </c>
      <c r="J308" s="302">
        <f t="shared" si="69"/>
        <v>0</v>
      </c>
      <c r="K308" s="304">
        <f t="shared" si="70"/>
        <v>0</v>
      </c>
      <c r="L308" s="305">
        <f>IF(H308=0,0,IF(OR(E308=$AT$5,E308=$AT$6),AA308,IF(F308="MXN",1/HLOOKUP(YEAR(G308)+(MONTH(G308)/100),TC!$5:$37,DAY(G308)+2,FALSE),VLOOKUP(F308,Equivalencia!$5:$23,((MAX(Equivalencia!$3:$3)-YEAR(G308))*14)+MONTH(G308)+2,FALSE))))</f>
        <v>0</v>
      </c>
      <c r="M308" s="306">
        <f t="shared" si="71"/>
        <v>0</v>
      </c>
      <c r="N308" s="305">
        <f>IF(G308=0,0,(IF(OR(E308=$AT$5,E308=$AT$6),AC308,HLOOKUP(YEAR(G308)+(MONTH(G308)/100),TC!$5:$37,DAY(G308)+2,FALSE))))</f>
        <v>0</v>
      </c>
      <c r="O308" s="307">
        <f t="shared" si="72"/>
        <v>0</v>
      </c>
      <c r="P308" s="560">
        <f>IF(G308=0,0,VLOOKUP(YEAR(G308),INPC!$B$4:$P$30,MONTH(G308)+2))</f>
        <v>0</v>
      </c>
      <c r="Q308" s="560">
        <f>IF(X308=0,0,IF(OR(E308=$AT$10,E308=$AT$9),VLOOKUP(YEAR(X308),INPC!$B$4:$P$30,MONTH(X308)+1),VLOOKUP(YEAR(X308),INPC!$B$4:$P$30,MONTH(X308)+2,0)))</f>
        <v>0</v>
      </c>
      <c r="R308" s="309">
        <f t="shared" si="73"/>
        <v>0</v>
      </c>
      <c r="S308" s="310">
        <f t="shared" si="74"/>
        <v>0</v>
      </c>
      <c r="T308" s="555">
        <f t="shared" si="75"/>
        <v>0</v>
      </c>
      <c r="U308" s="311"/>
      <c r="V308" s="312"/>
      <c r="W308" s="299"/>
      <c r="X308" s="300"/>
      <c r="Y308" s="299"/>
      <c r="Z308" s="303"/>
      <c r="AA308" s="305">
        <f>IF(Z308=0,0,IF(Y308="MXN",1/HLOOKUP(YEAR(X308)+(MONTH(X308)/100),TC!$5:$37,DAY(X308)+2,FALSE),VLOOKUP(Y308,Equivalencia!$1:$23,((MAX(Equivalencia!$3:$3)-YEAR(X308))*14)+MONTH(X308)+2,FALSE)))</f>
        <v>0</v>
      </c>
      <c r="AB308" s="306">
        <f t="shared" si="76"/>
        <v>0</v>
      </c>
      <c r="AC308" s="305">
        <f>+IF(X308=0,0,HLOOKUP(YEAR(X308)+(MONTH(X308)/100),TC!$5:$37,DAY(X308)+2,FALSE))</f>
        <v>0</v>
      </c>
      <c r="AD308" s="307">
        <f t="shared" si="77"/>
        <v>0</v>
      </c>
      <c r="AE308" s="314">
        <f t="shared" si="78"/>
        <v>0</v>
      </c>
      <c r="AF308" s="315">
        <f t="shared" si="79"/>
        <v>0</v>
      </c>
      <c r="AG308" s="316">
        <f t="shared" si="80"/>
        <v>0</v>
      </c>
      <c r="AH308" s="314">
        <v>1</v>
      </c>
      <c r="AI308" s="314">
        <f t="shared" si="81"/>
        <v>0</v>
      </c>
      <c r="AJ308" s="314">
        <f t="shared" si="82"/>
        <v>0</v>
      </c>
      <c r="AK308" s="317"/>
      <c r="AL308" s="315">
        <f t="shared" si="83"/>
        <v>0</v>
      </c>
      <c r="AN308" s="554">
        <f t="shared" si="84"/>
        <v>0</v>
      </c>
      <c r="AO308" s="314"/>
      <c r="AP308" s="318"/>
    </row>
    <row r="309" spans="2:42">
      <c r="B309" s="296"/>
      <c r="C309" s="299"/>
      <c r="D309" s="298"/>
      <c r="E309" s="299"/>
      <c r="F309" s="299"/>
      <c r="G309" s="300"/>
      <c r="H309" s="303"/>
      <c r="I309" s="301">
        <f t="shared" si="68"/>
        <v>0</v>
      </c>
      <c r="J309" s="302">
        <f t="shared" si="69"/>
        <v>0</v>
      </c>
      <c r="K309" s="304">
        <f t="shared" si="70"/>
        <v>0</v>
      </c>
      <c r="L309" s="305">
        <f>IF(H309=0,0,IF(OR(E309=$AT$5,E309=$AT$6),AA309,IF(F309="MXN",1/HLOOKUP(YEAR(G309)+(MONTH(G309)/100),TC!$5:$37,DAY(G309)+2,FALSE),VLOOKUP(F309,Equivalencia!$5:$23,((MAX(Equivalencia!$3:$3)-YEAR(G309))*14)+MONTH(G309)+2,FALSE))))</f>
        <v>0</v>
      </c>
      <c r="M309" s="306">
        <f t="shared" si="71"/>
        <v>0</v>
      </c>
      <c r="N309" s="305">
        <f>IF(G309=0,0,(IF(OR(E309=$AT$5,E309=$AT$6),AC309,HLOOKUP(YEAR(G309)+(MONTH(G309)/100),TC!$5:$37,DAY(G309)+2,FALSE))))</f>
        <v>0</v>
      </c>
      <c r="O309" s="307">
        <f t="shared" si="72"/>
        <v>0</v>
      </c>
      <c r="P309" s="560">
        <f>IF(G309=0,0,VLOOKUP(YEAR(G309),INPC!$B$4:$P$30,MONTH(G309)+2))</f>
        <v>0</v>
      </c>
      <c r="Q309" s="560">
        <f>IF(X309=0,0,IF(OR(E309=$AT$10,E309=$AT$9),VLOOKUP(YEAR(X309),INPC!$B$4:$P$30,MONTH(X309)+1),VLOOKUP(YEAR(X309),INPC!$B$4:$P$30,MONTH(X309)+2,0)))</f>
        <v>0</v>
      </c>
      <c r="R309" s="309">
        <f t="shared" si="73"/>
        <v>0</v>
      </c>
      <c r="S309" s="310">
        <f t="shared" si="74"/>
        <v>0</v>
      </c>
      <c r="T309" s="555">
        <f t="shared" si="75"/>
        <v>0</v>
      </c>
      <c r="U309" s="311"/>
      <c r="V309" s="312"/>
      <c r="W309" s="299"/>
      <c r="X309" s="300"/>
      <c r="Y309" s="299"/>
      <c r="Z309" s="303"/>
      <c r="AA309" s="305">
        <f>IF(Z309=0,0,IF(Y309="MXN",1/HLOOKUP(YEAR(X309)+(MONTH(X309)/100),TC!$5:$37,DAY(X309)+2,FALSE),VLOOKUP(Y309,Equivalencia!$1:$23,((MAX(Equivalencia!$3:$3)-YEAR(X309))*14)+MONTH(X309)+2,FALSE)))</f>
        <v>0</v>
      </c>
      <c r="AB309" s="306">
        <f t="shared" si="76"/>
        <v>0</v>
      </c>
      <c r="AC309" s="305">
        <f>+IF(X309=0,0,HLOOKUP(YEAR(X309)+(MONTH(X309)/100),TC!$5:$37,DAY(X309)+2,FALSE))</f>
        <v>0</v>
      </c>
      <c r="AD309" s="307">
        <f t="shared" si="77"/>
        <v>0</v>
      </c>
      <c r="AE309" s="314">
        <f t="shared" si="78"/>
        <v>0</v>
      </c>
      <c r="AF309" s="315">
        <f t="shared" si="79"/>
        <v>0</v>
      </c>
      <c r="AG309" s="316">
        <f t="shared" si="80"/>
        <v>0</v>
      </c>
      <c r="AH309" s="314">
        <v>1</v>
      </c>
      <c r="AI309" s="314">
        <f t="shared" si="81"/>
        <v>0</v>
      </c>
      <c r="AJ309" s="314">
        <f t="shared" si="82"/>
        <v>0</v>
      </c>
      <c r="AK309" s="317"/>
      <c r="AL309" s="315">
        <f t="shared" si="83"/>
        <v>0</v>
      </c>
      <c r="AN309" s="554">
        <f t="shared" si="84"/>
        <v>0</v>
      </c>
      <c r="AO309" s="314"/>
      <c r="AP309" s="318"/>
    </row>
    <row r="310" spans="2:42">
      <c r="B310" s="296"/>
      <c r="C310" s="299"/>
      <c r="D310" s="298"/>
      <c r="E310" s="299"/>
      <c r="F310" s="299"/>
      <c r="G310" s="300"/>
      <c r="H310" s="303"/>
      <c r="I310" s="301">
        <f t="shared" si="68"/>
        <v>0</v>
      </c>
      <c r="J310" s="302">
        <f t="shared" si="69"/>
        <v>0</v>
      </c>
      <c r="K310" s="304">
        <f t="shared" si="70"/>
        <v>0</v>
      </c>
      <c r="L310" s="305">
        <f>IF(H310=0,0,IF(OR(E310=$AT$5,E310=$AT$6),AA310,IF(F310="MXN",1/HLOOKUP(YEAR(G310)+(MONTH(G310)/100),TC!$5:$37,DAY(G310)+2,FALSE),VLOOKUP(F310,Equivalencia!$5:$23,((MAX(Equivalencia!$3:$3)-YEAR(G310))*14)+MONTH(G310)+2,FALSE))))</f>
        <v>0</v>
      </c>
      <c r="M310" s="306">
        <f t="shared" si="71"/>
        <v>0</v>
      </c>
      <c r="N310" s="305">
        <f>IF(G310=0,0,(IF(OR(E310=$AT$5,E310=$AT$6),AC310,HLOOKUP(YEAR(G310)+(MONTH(G310)/100),TC!$5:$37,DAY(G310)+2,FALSE))))</f>
        <v>0</v>
      </c>
      <c r="O310" s="307">
        <f t="shared" si="72"/>
        <v>0</v>
      </c>
      <c r="P310" s="560">
        <f>IF(G310=0,0,VLOOKUP(YEAR(G310),INPC!$B$4:$P$30,MONTH(G310)+2))</f>
        <v>0</v>
      </c>
      <c r="Q310" s="560">
        <f>IF(X310=0,0,IF(OR(E310=$AT$10,E310=$AT$9),VLOOKUP(YEAR(X310),INPC!$B$4:$P$30,MONTH(X310)+1),VLOOKUP(YEAR(X310),INPC!$B$4:$P$30,MONTH(X310)+2,0)))</f>
        <v>0</v>
      </c>
      <c r="R310" s="309">
        <f t="shared" si="73"/>
        <v>0</v>
      </c>
      <c r="S310" s="310">
        <f t="shared" si="74"/>
        <v>0</v>
      </c>
      <c r="T310" s="555">
        <f t="shared" si="75"/>
        <v>0</v>
      </c>
      <c r="U310" s="311"/>
      <c r="V310" s="312"/>
      <c r="W310" s="299"/>
      <c r="X310" s="300"/>
      <c r="Y310" s="299"/>
      <c r="Z310" s="303"/>
      <c r="AA310" s="305">
        <f>IF(Z310=0,0,IF(Y310="MXN",1/HLOOKUP(YEAR(X310)+(MONTH(X310)/100),TC!$5:$37,DAY(X310)+2,FALSE),VLOOKUP(Y310,Equivalencia!$1:$23,((MAX(Equivalencia!$3:$3)-YEAR(X310))*14)+MONTH(X310)+2,FALSE)))</f>
        <v>0</v>
      </c>
      <c r="AB310" s="306">
        <f t="shared" si="76"/>
        <v>0</v>
      </c>
      <c r="AC310" s="305">
        <f>+IF(X310=0,0,HLOOKUP(YEAR(X310)+(MONTH(X310)/100),TC!$5:$37,DAY(X310)+2,FALSE))</f>
        <v>0</v>
      </c>
      <c r="AD310" s="307">
        <f t="shared" si="77"/>
        <v>0</v>
      </c>
      <c r="AE310" s="314">
        <f t="shared" si="78"/>
        <v>0</v>
      </c>
      <c r="AF310" s="315">
        <f t="shared" si="79"/>
        <v>0</v>
      </c>
      <c r="AG310" s="316">
        <f t="shared" si="80"/>
        <v>0</v>
      </c>
      <c r="AH310" s="314">
        <v>1</v>
      </c>
      <c r="AI310" s="314">
        <f t="shared" si="81"/>
        <v>0</v>
      </c>
      <c r="AJ310" s="314">
        <f t="shared" si="82"/>
        <v>0</v>
      </c>
      <c r="AK310" s="317"/>
      <c r="AL310" s="315">
        <f t="shared" si="83"/>
        <v>0</v>
      </c>
      <c r="AN310" s="554">
        <f t="shared" si="84"/>
        <v>0</v>
      </c>
      <c r="AO310" s="314"/>
      <c r="AP310" s="318"/>
    </row>
    <row r="311" spans="2:42">
      <c r="B311" s="296"/>
      <c r="C311" s="299"/>
      <c r="D311" s="298"/>
      <c r="E311" s="299"/>
      <c r="F311" s="299"/>
      <c r="G311" s="300"/>
      <c r="H311" s="303"/>
      <c r="I311" s="301">
        <f t="shared" si="68"/>
        <v>0</v>
      </c>
      <c r="J311" s="302">
        <f t="shared" si="69"/>
        <v>0</v>
      </c>
      <c r="K311" s="304">
        <f t="shared" si="70"/>
        <v>0</v>
      </c>
      <c r="L311" s="305">
        <f>IF(H311=0,0,IF(OR(E311=$AT$5,E311=$AT$6),AA311,IF(F311="MXN",1/HLOOKUP(YEAR(G311)+(MONTH(G311)/100),TC!$5:$37,DAY(G311)+2,FALSE),VLOOKUP(F311,Equivalencia!$5:$23,((MAX(Equivalencia!$3:$3)-YEAR(G311))*14)+MONTH(G311)+2,FALSE))))</f>
        <v>0</v>
      </c>
      <c r="M311" s="306">
        <f t="shared" si="71"/>
        <v>0</v>
      </c>
      <c r="N311" s="305">
        <f>IF(G311=0,0,(IF(OR(E311=$AT$5,E311=$AT$6),AC311,HLOOKUP(YEAR(G311)+(MONTH(G311)/100),TC!$5:$37,DAY(G311)+2,FALSE))))</f>
        <v>0</v>
      </c>
      <c r="O311" s="307">
        <f t="shared" si="72"/>
        <v>0</v>
      </c>
      <c r="P311" s="560">
        <f>IF(G311=0,0,VLOOKUP(YEAR(G311),INPC!$B$4:$P$30,MONTH(G311)+2))</f>
        <v>0</v>
      </c>
      <c r="Q311" s="560">
        <f>IF(X311=0,0,IF(OR(E311=$AT$10,E311=$AT$9),VLOOKUP(YEAR(X311),INPC!$B$4:$P$30,MONTH(X311)+1),VLOOKUP(YEAR(X311),INPC!$B$4:$P$30,MONTH(X311)+2,0)))</f>
        <v>0</v>
      </c>
      <c r="R311" s="309">
        <f t="shared" si="73"/>
        <v>0</v>
      </c>
      <c r="S311" s="310">
        <f t="shared" si="74"/>
        <v>0</v>
      </c>
      <c r="T311" s="555">
        <f t="shared" si="75"/>
        <v>0</v>
      </c>
      <c r="U311" s="311"/>
      <c r="V311" s="312"/>
      <c r="W311" s="299"/>
      <c r="X311" s="300"/>
      <c r="Y311" s="299"/>
      <c r="Z311" s="303"/>
      <c r="AA311" s="305">
        <f>IF(Z311=0,0,IF(Y311="MXN",1/HLOOKUP(YEAR(X311)+(MONTH(X311)/100),TC!$5:$37,DAY(X311)+2,FALSE),VLOOKUP(Y311,Equivalencia!$1:$23,((MAX(Equivalencia!$3:$3)-YEAR(X311))*14)+MONTH(X311)+2,FALSE)))</f>
        <v>0</v>
      </c>
      <c r="AB311" s="306">
        <f t="shared" si="76"/>
        <v>0</v>
      </c>
      <c r="AC311" s="305">
        <f>+IF(X311=0,0,HLOOKUP(YEAR(X311)+(MONTH(X311)/100),TC!$5:$37,DAY(X311)+2,FALSE))</f>
        <v>0</v>
      </c>
      <c r="AD311" s="307">
        <f t="shared" si="77"/>
        <v>0</v>
      </c>
      <c r="AE311" s="314">
        <f t="shared" si="78"/>
        <v>0</v>
      </c>
      <c r="AF311" s="315">
        <f t="shared" si="79"/>
        <v>0</v>
      </c>
      <c r="AG311" s="316">
        <f t="shared" si="80"/>
        <v>0</v>
      </c>
      <c r="AH311" s="314">
        <v>1</v>
      </c>
      <c r="AI311" s="314">
        <f t="shared" si="81"/>
        <v>0</v>
      </c>
      <c r="AJ311" s="314">
        <f t="shared" si="82"/>
        <v>0</v>
      </c>
      <c r="AK311" s="317"/>
      <c r="AL311" s="315">
        <f t="shared" si="83"/>
        <v>0</v>
      </c>
      <c r="AN311" s="554">
        <f t="shared" si="84"/>
        <v>0</v>
      </c>
      <c r="AO311" s="314"/>
      <c r="AP311" s="318"/>
    </row>
    <row r="312" spans="2:42">
      <c r="B312" s="296"/>
      <c r="C312" s="299"/>
      <c r="D312" s="298"/>
      <c r="E312" s="299"/>
      <c r="F312" s="299"/>
      <c r="G312" s="300"/>
      <c r="H312" s="303"/>
      <c r="I312" s="301">
        <f t="shared" si="68"/>
        <v>0</v>
      </c>
      <c r="J312" s="302">
        <f t="shared" si="69"/>
        <v>0</v>
      </c>
      <c r="K312" s="304">
        <f t="shared" si="70"/>
        <v>0</v>
      </c>
      <c r="L312" s="305">
        <f>IF(H312=0,0,IF(OR(E312=$AT$5,E312=$AT$6),AA312,IF(F312="MXN",1/HLOOKUP(YEAR(G312)+(MONTH(G312)/100),TC!$5:$37,DAY(G312)+2,FALSE),VLOOKUP(F312,Equivalencia!$5:$23,((MAX(Equivalencia!$3:$3)-YEAR(G312))*14)+MONTH(G312)+2,FALSE))))</f>
        <v>0</v>
      </c>
      <c r="M312" s="306">
        <f t="shared" si="71"/>
        <v>0</v>
      </c>
      <c r="N312" s="305">
        <f>IF(G312=0,0,(IF(OR(E312=$AT$5,E312=$AT$6),AC312,HLOOKUP(YEAR(G312)+(MONTH(G312)/100),TC!$5:$37,DAY(G312)+2,FALSE))))</f>
        <v>0</v>
      </c>
      <c r="O312" s="307">
        <f t="shared" si="72"/>
        <v>0</v>
      </c>
      <c r="P312" s="560">
        <f>IF(G312=0,0,VLOOKUP(YEAR(G312),INPC!$B$4:$P$30,MONTH(G312)+2))</f>
        <v>0</v>
      </c>
      <c r="Q312" s="560">
        <f>IF(X312=0,0,IF(OR(E312=$AT$10,E312=$AT$9),VLOOKUP(YEAR(X312),INPC!$B$4:$P$30,MONTH(X312)+1),VLOOKUP(YEAR(X312),INPC!$B$4:$P$30,MONTH(X312)+2,0)))</f>
        <v>0</v>
      </c>
      <c r="R312" s="309">
        <f t="shared" si="73"/>
        <v>0</v>
      </c>
      <c r="S312" s="310">
        <f t="shared" si="74"/>
        <v>0</v>
      </c>
      <c r="T312" s="555">
        <f t="shared" si="75"/>
        <v>0</v>
      </c>
      <c r="U312" s="311"/>
      <c r="V312" s="312"/>
      <c r="W312" s="299"/>
      <c r="X312" s="300"/>
      <c r="Y312" s="299"/>
      <c r="Z312" s="303"/>
      <c r="AA312" s="305">
        <f>IF(Z312=0,0,IF(Y312="MXN",1/HLOOKUP(YEAR(X312)+(MONTH(X312)/100),TC!$5:$37,DAY(X312)+2,FALSE),VLOOKUP(Y312,Equivalencia!$1:$23,((MAX(Equivalencia!$3:$3)-YEAR(X312))*14)+MONTH(X312)+2,FALSE)))</f>
        <v>0</v>
      </c>
      <c r="AB312" s="306">
        <f t="shared" si="76"/>
        <v>0</v>
      </c>
      <c r="AC312" s="305">
        <f>+IF(X312=0,0,HLOOKUP(YEAR(X312)+(MONTH(X312)/100),TC!$5:$37,DAY(X312)+2,FALSE))</f>
        <v>0</v>
      </c>
      <c r="AD312" s="307">
        <f t="shared" si="77"/>
        <v>0</v>
      </c>
      <c r="AE312" s="314">
        <f t="shared" si="78"/>
        <v>0</v>
      </c>
      <c r="AF312" s="315">
        <f t="shared" si="79"/>
        <v>0</v>
      </c>
      <c r="AG312" s="316">
        <f t="shared" si="80"/>
        <v>0</v>
      </c>
      <c r="AH312" s="314">
        <v>1</v>
      </c>
      <c r="AI312" s="314">
        <f t="shared" si="81"/>
        <v>0</v>
      </c>
      <c r="AJ312" s="314">
        <f t="shared" si="82"/>
        <v>0</v>
      </c>
      <c r="AK312" s="317"/>
      <c r="AL312" s="315">
        <f t="shared" si="83"/>
        <v>0</v>
      </c>
      <c r="AN312" s="554">
        <f t="shared" si="84"/>
        <v>0</v>
      </c>
      <c r="AO312" s="314"/>
      <c r="AP312" s="318"/>
    </row>
    <row r="313" spans="2:42">
      <c r="B313" s="296"/>
      <c r="C313" s="299"/>
      <c r="D313" s="298"/>
      <c r="E313" s="299"/>
      <c r="F313" s="299"/>
      <c r="G313" s="300"/>
      <c r="H313" s="303"/>
      <c r="I313" s="301">
        <f t="shared" si="68"/>
        <v>0</v>
      </c>
      <c r="J313" s="302">
        <f t="shared" si="69"/>
        <v>0</v>
      </c>
      <c r="K313" s="304">
        <f t="shared" si="70"/>
        <v>0</v>
      </c>
      <c r="L313" s="305">
        <f>IF(H313=0,0,IF(OR(E313=$AT$5,E313=$AT$6),AA313,IF(F313="MXN",1/HLOOKUP(YEAR(G313)+(MONTH(G313)/100),TC!$5:$37,DAY(G313)+2,FALSE),VLOOKUP(F313,Equivalencia!$5:$23,((MAX(Equivalencia!$3:$3)-YEAR(G313))*14)+MONTH(G313)+2,FALSE))))</f>
        <v>0</v>
      </c>
      <c r="M313" s="306">
        <f t="shared" si="71"/>
        <v>0</v>
      </c>
      <c r="N313" s="305">
        <f>IF(G313=0,0,(IF(OR(E313=$AT$5,E313=$AT$6),AC313,HLOOKUP(YEAR(G313)+(MONTH(G313)/100),TC!$5:$37,DAY(G313)+2,FALSE))))</f>
        <v>0</v>
      </c>
      <c r="O313" s="307">
        <f t="shared" si="72"/>
        <v>0</v>
      </c>
      <c r="P313" s="560">
        <f>IF(G313=0,0,VLOOKUP(YEAR(G313),INPC!$B$4:$P$30,MONTH(G313)+2))</f>
        <v>0</v>
      </c>
      <c r="Q313" s="560">
        <f>IF(X313=0,0,IF(OR(E313=$AT$10,E313=$AT$9),VLOOKUP(YEAR(X313),INPC!$B$4:$P$30,MONTH(X313)+1),VLOOKUP(YEAR(X313),INPC!$B$4:$P$30,MONTH(X313)+2,0)))</f>
        <v>0</v>
      </c>
      <c r="R313" s="309">
        <f t="shared" si="73"/>
        <v>0</v>
      </c>
      <c r="S313" s="310">
        <f t="shared" si="74"/>
        <v>0</v>
      </c>
      <c r="T313" s="555">
        <f t="shared" si="75"/>
        <v>0</v>
      </c>
      <c r="U313" s="311"/>
      <c r="V313" s="312"/>
      <c r="W313" s="299"/>
      <c r="X313" s="300"/>
      <c r="Y313" s="299"/>
      <c r="Z313" s="303"/>
      <c r="AA313" s="305">
        <f>IF(Z313=0,0,IF(Y313="MXN",1/HLOOKUP(YEAR(X313)+(MONTH(X313)/100),TC!$5:$37,DAY(X313)+2,FALSE),VLOOKUP(Y313,Equivalencia!$1:$23,((MAX(Equivalencia!$3:$3)-YEAR(X313))*14)+MONTH(X313)+2,FALSE)))</f>
        <v>0</v>
      </c>
      <c r="AB313" s="306">
        <f t="shared" si="76"/>
        <v>0</v>
      </c>
      <c r="AC313" s="305">
        <f>+IF(X313=0,0,HLOOKUP(YEAR(X313)+(MONTH(X313)/100),TC!$5:$37,DAY(X313)+2,FALSE))</f>
        <v>0</v>
      </c>
      <c r="AD313" s="307">
        <f t="shared" si="77"/>
        <v>0</v>
      </c>
      <c r="AE313" s="314">
        <f t="shared" si="78"/>
        <v>0</v>
      </c>
      <c r="AF313" s="315">
        <f t="shared" si="79"/>
        <v>0</v>
      </c>
      <c r="AG313" s="316">
        <f t="shared" si="80"/>
        <v>0</v>
      </c>
      <c r="AH313" s="314">
        <v>1</v>
      </c>
      <c r="AI313" s="314">
        <f t="shared" si="81"/>
        <v>0</v>
      </c>
      <c r="AJ313" s="314">
        <f t="shared" si="82"/>
        <v>0</v>
      </c>
      <c r="AK313" s="317"/>
      <c r="AL313" s="315">
        <f t="shared" si="83"/>
        <v>0</v>
      </c>
      <c r="AN313" s="554">
        <f t="shared" si="84"/>
        <v>0</v>
      </c>
      <c r="AO313" s="314"/>
      <c r="AP313" s="318"/>
    </row>
    <row r="314" spans="2:42">
      <c r="B314" s="296"/>
      <c r="C314" s="299"/>
      <c r="D314" s="298"/>
      <c r="E314" s="299"/>
      <c r="F314" s="299"/>
      <c r="G314" s="300"/>
      <c r="H314" s="303"/>
      <c r="I314" s="301">
        <f t="shared" si="68"/>
        <v>0</v>
      </c>
      <c r="J314" s="302">
        <f t="shared" si="69"/>
        <v>0</v>
      </c>
      <c r="K314" s="304">
        <f t="shared" si="70"/>
        <v>0</v>
      </c>
      <c r="L314" s="305">
        <f>IF(H314=0,0,IF(OR(E314=$AT$5,E314=$AT$6),AA314,IF(F314="MXN",1/HLOOKUP(YEAR(G314)+(MONTH(G314)/100),TC!$5:$37,DAY(G314)+2,FALSE),VLOOKUP(F314,Equivalencia!$5:$23,((MAX(Equivalencia!$3:$3)-YEAR(G314))*14)+MONTH(G314)+2,FALSE))))</f>
        <v>0</v>
      </c>
      <c r="M314" s="306">
        <f t="shared" si="71"/>
        <v>0</v>
      </c>
      <c r="N314" s="305">
        <f>IF(G314=0,0,(IF(OR(E314=$AT$5,E314=$AT$6),AC314,HLOOKUP(YEAR(G314)+(MONTH(G314)/100),TC!$5:$37,DAY(G314)+2,FALSE))))</f>
        <v>0</v>
      </c>
      <c r="O314" s="307">
        <f t="shared" si="72"/>
        <v>0</v>
      </c>
      <c r="P314" s="560">
        <f>IF(G314=0,0,VLOOKUP(YEAR(G314),INPC!$B$4:$P$30,MONTH(G314)+2))</f>
        <v>0</v>
      </c>
      <c r="Q314" s="560">
        <f>IF(X314=0,0,IF(OR(E314=$AT$10,E314=$AT$9),VLOOKUP(YEAR(X314),INPC!$B$4:$P$30,MONTH(X314)+1),VLOOKUP(YEAR(X314),INPC!$B$4:$P$30,MONTH(X314)+2,0)))</f>
        <v>0</v>
      </c>
      <c r="R314" s="309">
        <f t="shared" si="73"/>
        <v>0</v>
      </c>
      <c r="S314" s="310">
        <f t="shared" si="74"/>
        <v>0</v>
      </c>
      <c r="T314" s="555">
        <f t="shared" si="75"/>
        <v>0</v>
      </c>
      <c r="U314" s="311"/>
      <c r="V314" s="312"/>
      <c r="W314" s="299"/>
      <c r="X314" s="300"/>
      <c r="Y314" s="299"/>
      <c r="Z314" s="303"/>
      <c r="AA314" s="305">
        <f>IF(Z314=0,0,IF(Y314="MXN",1/HLOOKUP(YEAR(X314)+(MONTH(X314)/100),TC!$5:$37,DAY(X314)+2,FALSE),VLOOKUP(Y314,Equivalencia!$1:$23,((MAX(Equivalencia!$3:$3)-YEAR(X314))*14)+MONTH(X314)+2,FALSE)))</f>
        <v>0</v>
      </c>
      <c r="AB314" s="306">
        <f t="shared" si="76"/>
        <v>0</v>
      </c>
      <c r="AC314" s="305">
        <f>+IF(X314=0,0,HLOOKUP(YEAR(X314)+(MONTH(X314)/100),TC!$5:$37,DAY(X314)+2,FALSE))</f>
        <v>0</v>
      </c>
      <c r="AD314" s="307">
        <f t="shared" si="77"/>
        <v>0</v>
      </c>
      <c r="AE314" s="314">
        <f t="shared" si="78"/>
        <v>0</v>
      </c>
      <c r="AF314" s="315">
        <f t="shared" si="79"/>
        <v>0</v>
      </c>
      <c r="AG314" s="316">
        <f t="shared" si="80"/>
        <v>0</v>
      </c>
      <c r="AH314" s="314">
        <v>1</v>
      </c>
      <c r="AI314" s="314">
        <f t="shared" si="81"/>
        <v>0</v>
      </c>
      <c r="AJ314" s="314">
        <f t="shared" si="82"/>
        <v>0</v>
      </c>
      <c r="AK314" s="317"/>
      <c r="AL314" s="315">
        <f t="shared" si="83"/>
        <v>0</v>
      </c>
      <c r="AN314" s="554">
        <f t="shared" si="84"/>
        <v>0</v>
      </c>
      <c r="AO314" s="314"/>
      <c r="AP314" s="318"/>
    </row>
    <row r="315" spans="2:42">
      <c r="B315" s="296"/>
      <c r="C315" s="299"/>
      <c r="D315" s="298"/>
      <c r="E315" s="299"/>
      <c r="F315" s="299"/>
      <c r="G315" s="300"/>
      <c r="H315" s="303"/>
      <c r="I315" s="301">
        <f t="shared" si="68"/>
        <v>0</v>
      </c>
      <c r="J315" s="302">
        <f t="shared" si="69"/>
        <v>0</v>
      </c>
      <c r="K315" s="304">
        <f t="shared" si="70"/>
        <v>0</v>
      </c>
      <c r="L315" s="305">
        <f>IF(H315=0,0,IF(OR(E315=$AT$5,E315=$AT$6),AA315,IF(F315="MXN",1/HLOOKUP(YEAR(G315)+(MONTH(G315)/100),TC!$5:$37,DAY(G315)+2,FALSE),VLOOKUP(F315,Equivalencia!$5:$23,((MAX(Equivalencia!$3:$3)-YEAR(G315))*14)+MONTH(G315)+2,FALSE))))</f>
        <v>0</v>
      </c>
      <c r="M315" s="306">
        <f t="shared" si="71"/>
        <v>0</v>
      </c>
      <c r="N315" s="305">
        <f>IF(G315=0,0,(IF(OR(E315=$AT$5,E315=$AT$6),AC315,HLOOKUP(YEAR(G315)+(MONTH(G315)/100),TC!$5:$37,DAY(G315)+2,FALSE))))</f>
        <v>0</v>
      </c>
      <c r="O315" s="307">
        <f t="shared" si="72"/>
        <v>0</v>
      </c>
      <c r="P315" s="560">
        <f>IF(G315=0,0,VLOOKUP(YEAR(G315),INPC!$B$4:$P$30,MONTH(G315)+2))</f>
        <v>0</v>
      </c>
      <c r="Q315" s="560">
        <f>IF(X315=0,0,IF(OR(E315=$AT$10,E315=$AT$9),VLOOKUP(YEAR(X315),INPC!$B$4:$P$30,MONTH(X315)+1),VLOOKUP(YEAR(X315),INPC!$B$4:$P$30,MONTH(X315)+2,0)))</f>
        <v>0</v>
      </c>
      <c r="R315" s="309">
        <f t="shared" si="73"/>
        <v>0</v>
      </c>
      <c r="S315" s="310">
        <f t="shared" si="74"/>
        <v>0</v>
      </c>
      <c r="T315" s="555">
        <f t="shared" si="75"/>
        <v>0</v>
      </c>
      <c r="U315" s="311"/>
      <c r="V315" s="312"/>
      <c r="W315" s="299"/>
      <c r="X315" s="300"/>
      <c r="Y315" s="299"/>
      <c r="Z315" s="303"/>
      <c r="AA315" s="305">
        <f>IF(Z315=0,0,IF(Y315="MXN",1/HLOOKUP(YEAR(X315)+(MONTH(X315)/100),TC!$5:$37,DAY(X315)+2,FALSE),VLOOKUP(Y315,Equivalencia!$1:$23,((MAX(Equivalencia!$3:$3)-YEAR(X315))*14)+MONTH(X315)+2,FALSE)))</f>
        <v>0</v>
      </c>
      <c r="AB315" s="306">
        <f t="shared" si="76"/>
        <v>0</v>
      </c>
      <c r="AC315" s="305">
        <f>+IF(X315=0,0,HLOOKUP(YEAR(X315)+(MONTH(X315)/100),TC!$5:$37,DAY(X315)+2,FALSE))</f>
        <v>0</v>
      </c>
      <c r="AD315" s="307">
        <f t="shared" si="77"/>
        <v>0</v>
      </c>
      <c r="AE315" s="314">
        <f t="shared" si="78"/>
        <v>0</v>
      </c>
      <c r="AF315" s="315">
        <f t="shared" si="79"/>
        <v>0</v>
      </c>
      <c r="AG315" s="316">
        <f t="shared" si="80"/>
        <v>0</v>
      </c>
      <c r="AH315" s="314">
        <v>1</v>
      </c>
      <c r="AI315" s="314">
        <f t="shared" si="81"/>
        <v>0</v>
      </c>
      <c r="AJ315" s="314">
        <f t="shared" si="82"/>
        <v>0</v>
      </c>
      <c r="AK315" s="317"/>
      <c r="AL315" s="315">
        <f t="shared" si="83"/>
        <v>0</v>
      </c>
      <c r="AN315" s="554">
        <f t="shared" si="84"/>
        <v>0</v>
      </c>
      <c r="AO315" s="314"/>
      <c r="AP315" s="318"/>
    </row>
    <row r="316" spans="2:42">
      <c r="B316" s="296"/>
      <c r="C316" s="299"/>
      <c r="D316" s="298"/>
      <c r="E316" s="299"/>
      <c r="F316" s="299"/>
      <c r="G316" s="300"/>
      <c r="H316" s="303"/>
      <c r="I316" s="301">
        <f t="shared" ref="I316:I379" si="85">IF(D316=0,0,IF(OR(E316=$AT$9,E316=$AT$10),"Ingresos Sección II LISR (SIC &amp; BMV)","Ingresos Sección I LISR"))</f>
        <v>0</v>
      </c>
      <c r="J316" s="302">
        <f t="shared" ref="J316:J379" si="86">+V316</f>
        <v>0</v>
      </c>
      <c r="K316" s="304">
        <f t="shared" ref="K316:K379" si="87">IF(H316=0,0,H316/J316)</f>
        <v>0</v>
      </c>
      <c r="L316" s="305">
        <f>IF(H316=0,0,IF(OR(E316=$AT$5,E316=$AT$6),AA316,IF(F316="MXN",1/HLOOKUP(YEAR(G316)+(MONTH(G316)/100),TC!$5:$37,DAY(G316)+2,FALSE),VLOOKUP(F316,Equivalencia!$5:$23,((MAX(Equivalencia!$3:$3)-YEAR(G316))*14)+MONTH(G316)+2,FALSE))))</f>
        <v>0</v>
      </c>
      <c r="M316" s="306">
        <f t="shared" ref="M316:M379" si="88">+H316*L316</f>
        <v>0</v>
      </c>
      <c r="N316" s="305">
        <f>IF(G316=0,0,(IF(OR(E316=$AT$5,E316=$AT$6),AC316,HLOOKUP(YEAR(G316)+(MONTH(G316)/100),TC!$5:$37,DAY(G316)+2,FALSE))))</f>
        <v>0</v>
      </c>
      <c r="O316" s="307">
        <f t="shared" ref="O316:O379" si="89">+M316*N316</f>
        <v>0</v>
      </c>
      <c r="P316" s="560">
        <f>IF(G316=0,0,VLOOKUP(YEAR(G316),INPC!$B$4:$P$30,MONTH(G316)+2))</f>
        <v>0</v>
      </c>
      <c r="Q316" s="560">
        <f>IF(X316=0,0,IF(OR(E316=$AT$10,E316=$AT$9),VLOOKUP(YEAR(X316),INPC!$B$4:$P$30,MONTH(X316)+1),VLOOKUP(YEAR(X316),INPC!$B$4:$P$30,MONTH(X316)+2,0)))</f>
        <v>0</v>
      </c>
      <c r="R316" s="309">
        <f t="shared" ref="R316:R379" si="90">IF(H316=0,0,IF(OR(E316=$AT$5,E316=$AT$6),1,IF(TRUNC(Q316/P316,4)&gt;=1,TRUNC(Q316/P316,4),1)))</f>
        <v>0</v>
      </c>
      <c r="S316" s="310">
        <f t="shared" ref="S316:S379" si="91">+R316*O316</f>
        <v>0</v>
      </c>
      <c r="T316" s="555">
        <f t="shared" ref="T316:T379" si="92">IF(V316=0,0,S316/V316)</f>
        <v>0</v>
      </c>
      <c r="U316" s="311"/>
      <c r="V316" s="312"/>
      <c r="W316" s="299"/>
      <c r="X316" s="300"/>
      <c r="Y316" s="299"/>
      <c r="Z316" s="303"/>
      <c r="AA316" s="305">
        <f>IF(Z316=0,0,IF(Y316="MXN",1/HLOOKUP(YEAR(X316)+(MONTH(X316)/100),TC!$5:$37,DAY(X316)+2,FALSE),VLOOKUP(Y316,Equivalencia!$1:$23,((MAX(Equivalencia!$3:$3)-YEAR(X316))*14)+MONTH(X316)+2,FALSE)))</f>
        <v>0</v>
      </c>
      <c r="AB316" s="306">
        <f t="shared" ref="AB316:AB379" si="93">+AA316*Z316</f>
        <v>0</v>
      </c>
      <c r="AC316" s="305">
        <f>+IF(X316=0,0,HLOOKUP(YEAR(X316)+(MONTH(X316)/100),TC!$5:$37,DAY(X316)+2,FALSE))</f>
        <v>0</v>
      </c>
      <c r="AD316" s="307">
        <f t="shared" ref="AD316:AD379" si="94">+AC316*AB316</f>
        <v>0</v>
      </c>
      <c r="AE316" s="314">
        <f t="shared" ref="AE316:AE379" si="95">+V316*T316</f>
        <v>0</v>
      </c>
      <c r="AF316" s="315">
        <f t="shared" ref="AF316:AF379" si="96">IF(E316=$AT$11,0,AD316-AE316)</f>
        <v>0</v>
      </c>
      <c r="AG316" s="316">
        <f t="shared" ref="AG316:AG379" si="97">+IF(AND(AF316&lt;0,OR(E316=$AT$5,E316=$AT$6)),1,((X316-G316)/365))</f>
        <v>0</v>
      </c>
      <c r="AH316" s="314">
        <v>1</v>
      </c>
      <c r="AI316" s="314">
        <f t="shared" ref="AI316:AI379" si="98">+IF(OR(E316=$AT$9,E316=$AT$10),AF316,+AF316/AH316)</f>
        <v>0</v>
      </c>
      <c r="AJ316" s="314">
        <f t="shared" ref="AJ316:AJ379" si="99">+AF316-AI316</f>
        <v>0</v>
      </c>
      <c r="AK316" s="317"/>
      <c r="AL316" s="315">
        <f t="shared" ref="AL316:AL379" si="100">+AB316-M316</f>
        <v>0</v>
      </c>
      <c r="AN316" s="554">
        <f t="shared" ref="AN316:AN379" si="101">IF(AL316=0,0,AL316/H316)</f>
        <v>0</v>
      </c>
      <c r="AO316" s="314"/>
      <c r="AP316" s="318"/>
    </row>
    <row r="317" spans="2:42">
      <c r="B317" s="296"/>
      <c r="C317" s="299"/>
      <c r="D317" s="298"/>
      <c r="E317" s="299"/>
      <c r="F317" s="299"/>
      <c r="G317" s="300"/>
      <c r="H317" s="303"/>
      <c r="I317" s="301">
        <f t="shared" si="85"/>
        <v>0</v>
      </c>
      <c r="J317" s="302">
        <f t="shared" si="86"/>
        <v>0</v>
      </c>
      <c r="K317" s="304">
        <f t="shared" si="87"/>
        <v>0</v>
      </c>
      <c r="L317" s="305">
        <f>IF(H317=0,0,IF(OR(E317=$AT$5,E317=$AT$6),AA317,IF(F317="MXN",1/HLOOKUP(YEAR(G317)+(MONTH(G317)/100),TC!$5:$37,DAY(G317)+2,FALSE),VLOOKUP(F317,Equivalencia!$5:$23,((MAX(Equivalencia!$3:$3)-YEAR(G317))*14)+MONTH(G317)+2,FALSE))))</f>
        <v>0</v>
      </c>
      <c r="M317" s="306">
        <f t="shared" si="88"/>
        <v>0</v>
      </c>
      <c r="N317" s="305">
        <f>IF(G317=0,0,(IF(OR(E317=$AT$5,E317=$AT$6),AC317,HLOOKUP(YEAR(G317)+(MONTH(G317)/100),TC!$5:$37,DAY(G317)+2,FALSE))))</f>
        <v>0</v>
      </c>
      <c r="O317" s="307">
        <f t="shared" si="89"/>
        <v>0</v>
      </c>
      <c r="P317" s="560">
        <f>IF(G317=0,0,VLOOKUP(YEAR(G317),INPC!$B$4:$P$30,MONTH(G317)+2))</f>
        <v>0</v>
      </c>
      <c r="Q317" s="560">
        <f>IF(X317=0,0,IF(OR(E317=$AT$10,E317=$AT$9),VLOOKUP(YEAR(X317),INPC!$B$4:$P$30,MONTH(X317)+1),VLOOKUP(YEAR(X317),INPC!$B$4:$P$30,MONTH(X317)+2,0)))</f>
        <v>0</v>
      </c>
      <c r="R317" s="309">
        <f t="shared" si="90"/>
        <v>0</v>
      </c>
      <c r="S317" s="310">
        <f t="shared" si="91"/>
        <v>0</v>
      </c>
      <c r="T317" s="555">
        <f t="shared" si="92"/>
        <v>0</v>
      </c>
      <c r="U317" s="311"/>
      <c r="V317" s="312"/>
      <c r="W317" s="299"/>
      <c r="X317" s="300"/>
      <c r="Y317" s="299"/>
      <c r="Z317" s="303"/>
      <c r="AA317" s="305">
        <f>IF(Z317=0,0,IF(Y317="MXN",1/HLOOKUP(YEAR(X317)+(MONTH(X317)/100),TC!$5:$37,DAY(X317)+2,FALSE),VLOOKUP(Y317,Equivalencia!$1:$23,((MAX(Equivalencia!$3:$3)-YEAR(X317))*14)+MONTH(X317)+2,FALSE)))</f>
        <v>0</v>
      </c>
      <c r="AB317" s="306">
        <f t="shared" si="93"/>
        <v>0</v>
      </c>
      <c r="AC317" s="305">
        <f>+IF(X317=0,0,HLOOKUP(YEAR(X317)+(MONTH(X317)/100),TC!$5:$37,DAY(X317)+2,FALSE))</f>
        <v>0</v>
      </c>
      <c r="AD317" s="307">
        <f t="shared" si="94"/>
        <v>0</v>
      </c>
      <c r="AE317" s="314">
        <f t="shared" si="95"/>
        <v>0</v>
      </c>
      <c r="AF317" s="315">
        <f t="shared" si="96"/>
        <v>0</v>
      </c>
      <c r="AG317" s="316">
        <f t="shared" si="97"/>
        <v>0</v>
      </c>
      <c r="AH317" s="314">
        <v>1</v>
      </c>
      <c r="AI317" s="314">
        <f t="shared" si="98"/>
        <v>0</v>
      </c>
      <c r="AJ317" s="314">
        <f t="shared" si="99"/>
        <v>0</v>
      </c>
      <c r="AK317" s="317"/>
      <c r="AL317" s="315">
        <f t="shared" si="100"/>
        <v>0</v>
      </c>
      <c r="AN317" s="554">
        <f t="shared" si="101"/>
        <v>0</v>
      </c>
      <c r="AO317" s="314"/>
      <c r="AP317" s="318"/>
    </row>
    <row r="318" spans="2:42">
      <c r="B318" s="296"/>
      <c r="C318" s="299"/>
      <c r="D318" s="298"/>
      <c r="E318" s="299"/>
      <c r="F318" s="299"/>
      <c r="G318" s="300"/>
      <c r="H318" s="303"/>
      <c r="I318" s="301">
        <f t="shared" si="85"/>
        <v>0</v>
      </c>
      <c r="J318" s="302">
        <f t="shared" si="86"/>
        <v>0</v>
      </c>
      <c r="K318" s="304">
        <f t="shared" si="87"/>
        <v>0</v>
      </c>
      <c r="L318" s="305">
        <f>IF(H318=0,0,IF(OR(E318=$AT$5,E318=$AT$6),AA318,IF(F318="MXN",1/HLOOKUP(YEAR(G318)+(MONTH(G318)/100),TC!$5:$37,DAY(G318)+2,FALSE),VLOOKUP(F318,Equivalencia!$5:$23,((MAX(Equivalencia!$3:$3)-YEAR(G318))*14)+MONTH(G318)+2,FALSE))))</f>
        <v>0</v>
      </c>
      <c r="M318" s="306">
        <f t="shared" si="88"/>
        <v>0</v>
      </c>
      <c r="N318" s="305">
        <f>IF(G318=0,0,(IF(OR(E318=$AT$5,E318=$AT$6),AC318,HLOOKUP(YEAR(G318)+(MONTH(G318)/100),TC!$5:$37,DAY(G318)+2,FALSE))))</f>
        <v>0</v>
      </c>
      <c r="O318" s="307">
        <f t="shared" si="89"/>
        <v>0</v>
      </c>
      <c r="P318" s="560">
        <f>IF(G318=0,0,VLOOKUP(YEAR(G318),INPC!$B$4:$P$30,MONTH(G318)+2))</f>
        <v>0</v>
      </c>
      <c r="Q318" s="560">
        <f>IF(X318=0,0,IF(OR(E318=$AT$10,E318=$AT$9),VLOOKUP(YEAR(X318),INPC!$B$4:$P$30,MONTH(X318)+1),VLOOKUP(YEAR(X318),INPC!$B$4:$P$30,MONTH(X318)+2,0)))</f>
        <v>0</v>
      </c>
      <c r="R318" s="309">
        <f t="shared" si="90"/>
        <v>0</v>
      </c>
      <c r="S318" s="310">
        <f t="shared" si="91"/>
        <v>0</v>
      </c>
      <c r="T318" s="555">
        <f t="shared" si="92"/>
        <v>0</v>
      </c>
      <c r="U318" s="311"/>
      <c r="V318" s="312"/>
      <c r="W318" s="299"/>
      <c r="X318" s="300"/>
      <c r="Y318" s="299"/>
      <c r="Z318" s="303"/>
      <c r="AA318" s="305">
        <f>IF(Z318=0,0,IF(Y318="MXN",1/HLOOKUP(YEAR(X318)+(MONTH(X318)/100),TC!$5:$37,DAY(X318)+2,FALSE),VLOOKUP(Y318,Equivalencia!$1:$23,((MAX(Equivalencia!$3:$3)-YEAR(X318))*14)+MONTH(X318)+2,FALSE)))</f>
        <v>0</v>
      </c>
      <c r="AB318" s="306">
        <f t="shared" si="93"/>
        <v>0</v>
      </c>
      <c r="AC318" s="305">
        <f>+IF(X318=0,0,HLOOKUP(YEAR(X318)+(MONTH(X318)/100),TC!$5:$37,DAY(X318)+2,FALSE))</f>
        <v>0</v>
      </c>
      <c r="AD318" s="307">
        <f t="shared" si="94"/>
        <v>0</v>
      </c>
      <c r="AE318" s="314">
        <f t="shared" si="95"/>
        <v>0</v>
      </c>
      <c r="AF318" s="315">
        <f t="shared" si="96"/>
        <v>0</v>
      </c>
      <c r="AG318" s="316">
        <f t="shared" si="97"/>
        <v>0</v>
      </c>
      <c r="AH318" s="314">
        <v>1</v>
      </c>
      <c r="AI318" s="314">
        <f t="shared" si="98"/>
        <v>0</v>
      </c>
      <c r="AJ318" s="314">
        <f t="shared" si="99"/>
        <v>0</v>
      </c>
      <c r="AK318" s="317"/>
      <c r="AL318" s="315">
        <f t="shared" si="100"/>
        <v>0</v>
      </c>
      <c r="AN318" s="554">
        <f t="shared" si="101"/>
        <v>0</v>
      </c>
      <c r="AO318" s="314"/>
      <c r="AP318" s="318"/>
    </row>
    <row r="319" spans="2:42">
      <c r="B319" s="296"/>
      <c r="C319" s="299"/>
      <c r="D319" s="298"/>
      <c r="E319" s="299"/>
      <c r="F319" s="299"/>
      <c r="G319" s="300"/>
      <c r="H319" s="303"/>
      <c r="I319" s="301">
        <f t="shared" si="85"/>
        <v>0</v>
      </c>
      <c r="J319" s="302">
        <f t="shared" si="86"/>
        <v>0</v>
      </c>
      <c r="K319" s="304">
        <f t="shared" si="87"/>
        <v>0</v>
      </c>
      <c r="L319" s="305">
        <f>IF(H319=0,0,IF(OR(E319=$AT$5,E319=$AT$6),AA319,IF(F319="MXN",1/HLOOKUP(YEAR(G319)+(MONTH(G319)/100),TC!$5:$37,DAY(G319)+2,FALSE),VLOOKUP(F319,Equivalencia!$5:$23,((MAX(Equivalencia!$3:$3)-YEAR(G319))*14)+MONTH(G319)+2,FALSE))))</f>
        <v>0</v>
      </c>
      <c r="M319" s="306">
        <f t="shared" si="88"/>
        <v>0</v>
      </c>
      <c r="N319" s="305">
        <f>IF(G319=0,0,(IF(OR(E319=$AT$5,E319=$AT$6),AC319,HLOOKUP(YEAR(G319)+(MONTH(G319)/100),TC!$5:$37,DAY(G319)+2,FALSE))))</f>
        <v>0</v>
      </c>
      <c r="O319" s="307">
        <f t="shared" si="89"/>
        <v>0</v>
      </c>
      <c r="P319" s="560">
        <f>IF(G319=0,0,VLOOKUP(YEAR(G319),INPC!$B$4:$P$30,MONTH(G319)+2))</f>
        <v>0</v>
      </c>
      <c r="Q319" s="560">
        <f>IF(X319=0,0,IF(OR(E319=$AT$10,E319=$AT$9),VLOOKUP(YEAR(X319),INPC!$B$4:$P$30,MONTH(X319)+1),VLOOKUP(YEAR(X319),INPC!$B$4:$P$30,MONTH(X319)+2,0)))</f>
        <v>0</v>
      </c>
      <c r="R319" s="309">
        <f t="shared" si="90"/>
        <v>0</v>
      </c>
      <c r="S319" s="310">
        <f t="shared" si="91"/>
        <v>0</v>
      </c>
      <c r="T319" s="555">
        <f t="shared" si="92"/>
        <v>0</v>
      </c>
      <c r="U319" s="311"/>
      <c r="V319" s="312"/>
      <c r="W319" s="299"/>
      <c r="X319" s="300"/>
      <c r="Y319" s="299"/>
      <c r="Z319" s="303"/>
      <c r="AA319" s="305">
        <f>IF(Z319=0,0,IF(Y319="MXN",1/HLOOKUP(YEAR(X319)+(MONTH(X319)/100),TC!$5:$37,DAY(X319)+2,FALSE),VLOOKUP(Y319,Equivalencia!$1:$23,((MAX(Equivalencia!$3:$3)-YEAR(X319))*14)+MONTH(X319)+2,FALSE)))</f>
        <v>0</v>
      </c>
      <c r="AB319" s="306">
        <f t="shared" si="93"/>
        <v>0</v>
      </c>
      <c r="AC319" s="305">
        <f>+IF(X319=0,0,HLOOKUP(YEAR(X319)+(MONTH(X319)/100),TC!$5:$37,DAY(X319)+2,FALSE))</f>
        <v>0</v>
      </c>
      <c r="AD319" s="307">
        <f t="shared" si="94"/>
        <v>0</v>
      </c>
      <c r="AE319" s="314">
        <f t="shared" si="95"/>
        <v>0</v>
      </c>
      <c r="AF319" s="315">
        <f t="shared" si="96"/>
        <v>0</v>
      </c>
      <c r="AG319" s="316">
        <f t="shared" si="97"/>
        <v>0</v>
      </c>
      <c r="AH319" s="314">
        <v>1</v>
      </c>
      <c r="AI319" s="314">
        <f t="shared" si="98"/>
        <v>0</v>
      </c>
      <c r="AJ319" s="314">
        <f t="shared" si="99"/>
        <v>0</v>
      </c>
      <c r="AK319" s="317"/>
      <c r="AL319" s="315">
        <f t="shared" si="100"/>
        <v>0</v>
      </c>
      <c r="AN319" s="554">
        <f t="shared" si="101"/>
        <v>0</v>
      </c>
      <c r="AO319" s="314"/>
      <c r="AP319" s="318"/>
    </row>
    <row r="320" spans="2:42">
      <c r="B320" s="296"/>
      <c r="C320" s="299"/>
      <c r="D320" s="298"/>
      <c r="E320" s="299"/>
      <c r="F320" s="299"/>
      <c r="G320" s="300"/>
      <c r="H320" s="303"/>
      <c r="I320" s="301">
        <f t="shared" si="85"/>
        <v>0</v>
      </c>
      <c r="J320" s="302">
        <f t="shared" si="86"/>
        <v>0</v>
      </c>
      <c r="K320" s="304">
        <f t="shared" si="87"/>
        <v>0</v>
      </c>
      <c r="L320" s="305">
        <f>IF(H320=0,0,IF(OR(E320=$AT$5,E320=$AT$6),AA320,IF(F320="MXN",1/HLOOKUP(YEAR(G320)+(MONTH(G320)/100),TC!$5:$37,DAY(G320)+2,FALSE),VLOOKUP(F320,Equivalencia!$5:$23,((MAX(Equivalencia!$3:$3)-YEAR(G320))*14)+MONTH(G320)+2,FALSE))))</f>
        <v>0</v>
      </c>
      <c r="M320" s="306">
        <f t="shared" si="88"/>
        <v>0</v>
      </c>
      <c r="N320" s="305">
        <f>IF(G320=0,0,(IF(OR(E320=$AT$5,E320=$AT$6),AC320,HLOOKUP(YEAR(G320)+(MONTH(G320)/100),TC!$5:$37,DAY(G320)+2,FALSE))))</f>
        <v>0</v>
      </c>
      <c r="O320" s="307">
        <f t="shared" si="89"/>
        <v>0</v>
      </c>
      <c r="P320" s="560">
        <f>IF(G320=0,0,VLOOKUP(YEAR(G320),INPC!$B$4:$P$30,MONTH(G320)+2))</f>
        <v>0</v>
      </c>
      <c r="Q320" s="560">
        <f>IF(X320=0,0,IF(OR(E320=$AT$10,E320=$AT$9),VLOOKUP(YEAR(X320),INPC!$B$4:$P$30,MONTH(X320)+1),VLOOKUP(YEAR(X320),INPC!$B$4:$P$30,MONTH(X320)+2,0)))</f>
        <v>0</v>
      </c>
      <c r="R320" s="309">
        <f t="shared" si="90"/>
        <v>0</v>
      </c>
      <c r="S320" s="310">
        <f t="shared" si="91"/>
        <v>0</v>
      </c>
      <c r="T320" s="555">
        <f t="shared" si="92"/>
        <v>0</v>
      </c>
      <c r="U320" s="311"/>
      <c r="V320" s="312"/>
      <c r="W320" s="299"/>
      <c r="X320" s="300"/>
      <c r="Y320" s="299"/>
      <c r="Z320" s="303"/>
      <c r="AA320" s="305">
        <f>IF(Z320=0,0,IF(Y320="MXN",1/HLOOKUP(YEAR(X320)+(MONTH(X320)/100),TC!$5:$37,DAY(X320)+2,FALSE),VLOOKUP(Y320,Equivalencia!$1:$23,((MAX(Equivalencia!$3:$3)-YEAR(X320))*14)+MONTH(X320)+2,FALSE)))</f>
        <v>0</v>
      </c>
      <c r="AB320" s="306">
        <f t="shared" si="93"/>
        <v>0</v>
      </c>
      <c r="AC320" s="305">
        <f>+IF(X320=0,0,HLOOKUP(YEAR(X320)+(MONTH(X320)/100),TC!$5:$37,DAY(X320)+2,FALSE))</f>
        <v>0</v>
      </c>
      <c r="AD320" s="307">
        <f t="shared" si="94"/>
        <v>0</v>
      </c>
      <c r="AE320" s="314">
        <f t="shared" si="95"/>
        <v>0</v>
      </c>
      <c r="AF320" s="315">
        <f t="shared" si="96"/>
        <v>0</v>
      </c>
      <c r="AG320" s="316">
        <f t="shared" si="97"/>
        <v>0</v>
      </c>
      <c r="AH320" s="314">
        <v>1</v>
      </c>
      <c r="AI320" s="314">
        <f t="shared" si="98"/>
        <v>0</v>
      </c>
      <c r="AJ320" s="314">
        <f t="shared" si="99"/>
        <v>0</v>
      </c>
      <c r="AK320" s="317"/>
      <c r="AL320" s="315">
        <f t="shared" si="100"/>
        <v>0</v>
      </c>
      <c r="AN320" s="554">
        <f t="shared" si="101"/>
        <v>0</v>
      </c>
      <c r="AO320" s="314"/>
      <c r="AP320" s="318"/>
    </row>
    <row r="321" spans="2:42">
      <c r="B321" s="296"/>
      <c r="C321" s="299"/>
      <c r="D321" s="298"/>
      <c r="E321" s="299"/>
      <c r="F321" s="299"/>
      <c r="G321" s="300"/>
      <c r="H321" s="303"/>
      <c r="I321" s="301">
        <f t="shared" si="85"/>
        <v>0</v>
      </c>
      <c r="J321" s="302">
        <f t="shared" si="86"/>
        <v>0</v>
      </c>
      <c r="K321" s="304">
        <f t="shared" si="87"/>
        <v>0</v>
      </c>
      <c r="L321" s="305">
        <f>IF(H321=0,0,IF(OR(E321=$AT$5,E321=$AT$6),AA321,IF(F321="MXN",1/HLOOKUP(YEAR(G321)+(MONTH(G321)/100),TC!$5:$37,DAY(G321)+2,FALSE),VLOOKUP(F321,Equivalencia!$5:$23,((MAX(Equivalencia!$3:$3)-YEAR(G321))*14)+MONTH(G321)+2,FALSE))))</f>
        <v>0</v>
      </c>
      <c r="M321" s="306">
        <f t="shared" si="88"/>
        <v>0</v>
      </c>
      <c r="N321" s="305">
        <f>IF(G321=0,0,(IF(OR(E321=$AT$5,E321=$AT$6),AC321,HLOOKUP(YEAR(G321)+(MONTH(G321)/100),TC!$5:$37,DAY(G321)+2,FALSE))))</f>
        <v>0</v>
      </c>
      <c r="O321" s="307">
        <f t="shared" si="89"/>
        <v>0</v>
      </c>
      <c r="P321" s="560">
        <f>IF(G321=0,0,VLOOKUP(YEAR(G321),INPC!$B$4:$P$30,MONTH(G321)+2))</f>
        <v>0</v>
      </c>
      <c r="Q321" s="560">
        <f>IF(X321=0,0,IF(OR(E321=$AT$10,E321=$AT$9),VLOOKUP(YEAR(X321),INPC!$B$4:$P$30,MONTH(X321)+1),VLOOKUP(YEAR(X321),INPC!$B$4:$P$30,MONTH(X321)+2,0)))</f>
        <v>0</v>
      </c>
      <c r="R321" s="309">
        <f t="shared" si="90"/>
        <v>0</v>
      </c>
      <c r="S321" s="310">
        <f t="shared" si="91"/>
        <v>0</v>
      </c>
      <c r="T321" s="555">
        <f t="shared" si="92"/>
        <v>0</v>
      </c>
      <c r="U321" s="311"/>
      <c r="V321" s="312"/>
      <c r="W321" s="299"/>
      <c r="X321" s="300"/>
      <c r="Y321" s="299"/>
      <c r="Z321" s="303"/>
      <c r="AA321" s="305">
        <f>IF(Z321=0,0,IF(Y321="MXN",1/HLOOKUP(YEAR(X321)+(MONTH(X321)/100),TC!$5:$37,DAY(X321)+2,FALSE),VLOOKUP(Y321,Equivalencia!$1:$23,((MAX(Equivalencia!$3:$3)-YEAR(X321))*14)+MONTH(X321)+2,FALSE)))</f>
        <v>0</v>
      </c>
      <c r="AB321" s="306">
        <f t="shared" si="93"/>
        <v>0</v>
      </c>
      <c r="AC321" s="305">
        <f>+IF(X321=0,0,HLOOKUP(YEAR(X321)+(MONTH(X321)/100),TC!$5:$37,DAY(X321)+2,FALSE))</f>
        <v>0</v>
      </c>
      <c r="AD321" s="307">
        <f t="shared" si="94"/>
        <v>0</v>
      </c>
      <c r="AE321" s="314">
        <f t="shared" si="95"/>
        <v>0</v>
      </c>
      <c r="AF321" s="315">
        <f t="shared" si="96"/>
        <v>0</v>
      </c>
      <c r="AG321" s="316">
        <f t="shared" si="97"/>
        <v>0</v>
      </c>
      <c r="AH321" s="314">
        <v>1</v>
      </c>
      <c r="AI321" s="314">
        <f t="shared" si="98"/>
        <v>0</v>
      </c>
      <c r="AJ321" s="314">
        <f t="shared" si="99"/>
        <v>0</v>
      </c>
      <c r="AK321" s="317"/>
      <c r="AL321" s="315">
        <f t="shared" si="100"/>
        <v>0</v>
      </c>
      <c r="AN321" s="554">
        <f t="shared" si="101"/>
        <v>0</v>
      </c>
      <c r="AO321" s="314"/>
      <c r="AP321" s="318"/>
    </row>
    <row r="322" spans="2:42">
      <c r="B322" s="296"/>
      <c r="C322" s="299"/>
      <c r="D322" s="298"/>
      <c r="E322" s="299"/>
      <c r="F322" s="299"/>
      <c r="G322" s="300"/>
      <c r="H322" s="303"/>
      <c r="I322" s="301">
        <f t="shared" si="85"/>
        <v>0</v>
      </c>
      <c r="J322" s="302">
        <f t="shared" si="86"/>
        <v>0</v>
      </c>
      <c r="K322" s="304">
        <f t="shared" si="87"/>
        <v>0</v>
      </c>
      <c r="L322" s="305">
        <f>IF(H322=0,0,IF(OR(E322=$AT$5,E322=$AT$6),AA322,IF(F322="MXN",1/HLOOKUP(YEAR(G322)+(MONTH(G322)/100),TC!$5:$37,DAY(G322)+2,FALSE),VLOOKUP(F322,Equivalencia!$5:$23,((MAX(Equivalencia!$3:$3)-YEAR(G322))*14)+MONTH(G322)+2,FALSE))))</f>
        <v>0</v>
      </c>
      <c r="M322" s="306">
        <f t="shared" si="88"/>
        <v>0</v>
      </c>
      <c r="N322" s="305">
        <f>IF(G322=0,0,(IF(OR(E322=$AT$5,E322=$AT$6),AC322,HLOOKUP(YEAR(G322)+(MONTH(G322)/100),TC!$5:$37,DAY(G322)+2,FALSE))))</f>
        <v>0</v>
      </c>
      <c r="O322" s="307">
        <f t="shared" si="89"/>
        <v>0</v>
      </c>
      <c r="P322" s="560">
        <f>IF(G322=0,0,VLOOKUP(YEAR(G322),INPC!$B$4:$P$30,MONTH(G322)+2))</f>
        <v>0</v>
      </c>
      <c r="Q322" s="560">
        <f>IF(X322=0,0,IF(OR(E322=$AT$10,E322=$AT$9),VLOOKUP(YEAR(X322),INPC!$B$4:$P$30,MONTH(X322)+1),VLOOKUP(YEAR(X322),INPC!$B$4:$P$30,MONTH(X322)+2,0)))</f>
        <v>0</v>
      </c>
      <c r="R322" s="309">
        <f t="shared" si="90"/>
        <v>0</v>
      </c>
      <c r="S322" s="310">
        <f t="shared" si="91"/>
        <v>0</v>
      </c>
      <c r="T322" s="555">
        <f t="shared" si="92"/>
        <v>0</v>
      </c>
      <c r="U322" s="311"/>
      <c r="V322" s="312"/>
      <c r="W322" s="299"/>
      <c r="X322" s="300"/>
      <c r="Y322" s="299"/>
      <c r="Z322" s="303"/>
      <c r="AA322" s="305">
        <f>IF(Z322=0,0,IF(Y322="MXN",1/HLOOKUP(YEAR(X322)+(MONTH(X322)/100),TC!$5:$37,DAY(X322)+2,FALSE),VLOOKUP(Y322,Equivalencia!$1:$23,((MAX(Equivalencia!$3:$3)-YEAR(X322))*14)+MONTH(X322)+2,FALSE)))</f>
        <v>0</v>
      </c>
      <c r="AB322" s="306">
        <f t="shared" si="93"/>
        <v>0</v>
      </c>
      <c r="AC322" s="305">
        <f>+IF(X322=0,0,HLOOKUP(YEAR(X322)+(MONTH(X322)/100),TC!$5:$37,DAY(X322)+2,FALSE))</f>
        <v>0</v>
      </c>
      <c r="AD322" s="307">
        <f t="shared" si="94"/>
        <v>0</v>
      </c>
      <c r="AE322" s="314">
        <f t="shared" si="95"/>
        <v>0</v>
      </c>
      <c r="AF322" s="315">
        <f t="shared" si="96"/>
        <v>0</v>
      </c>
      <c r="AG322" s="316">
        <f t="shared" si="97"/>
        <v>0</v>
      </c>
      <c r="AH322" s="314">
        <v>1</v>
      </c>
      <c r="AI322" s="314">
        <f t="shared" si="98"/>
        <v>0</v>
      </c>
      <c r="AJ322" s="314">
        <f t="shared" si="99"/>
        <v>0</v>
      </c>
      <c r="AK322" s="317"/>
      <c r="AL322" s="315">
        <f t="shared" si="100"/>
        <v>0</v>
      </c>
      <c r="AN322" s="554">
        <f t="shared" si="101"/>
        <v>0</v>
      </c>
      <c r="AO322" s="314"/>
      <c r="AP322" s="318"/>
    </row>
    <row r="323" spans="2:42">
      <c r="B323" s="296"/>
      <c r="C323" s="299"/>
      <c r="D323" s="298"/>
      <c r="E323" s="299"/>
      <c r="F323" s="299"/>
      <c r="G323" s="300"/>
      <c r="H323" s="303"/>
      <c r="I323" s="301">
        <f t="shared" si="85"/>
        <v>0</v>
      </c>
      <c r="J323" s="302">
        <f t="shared" si="86"/>
        <v>0</v>
      </c>
      <c r="K323" s="304">
        <f t="shared" si="87"/>
        <v>0</v>
      </c>
      <c r="L323" s="305">
        <f>IF(H323=0,0,IF(OR(E323=$AT$5,E323=$AT$6),AA323,IF(F323="MXN",1/HLOOKUP(YEAR(G323)+(MONTH(G323)/100),TC!$5:$37,DAY(G323)+2,FALSE),VLOOKUP(F323,Equivalencia!$5:$23,((MAX(Equivalencia!$3:$3)-YEAR(G323))*14)+MONTH(G323)+2,FALSE))))</f>
        <v>0</v>
      </c>
      <c r="M323" s="306">
        <f t="shared" si="88"/>
        <v>0</v>
      </c>
      <c r="N323" s="305">
        <f>IF(G323=0,0,(IF(OR(E323=$AT$5,E323=$AT$6),AC323,HLOOKUP(YEAR(G323)+(MONTH(G323)/100),TC!$5:$37,DAY(G323)+2,FALSE))))</f>
        <v>0</v>
      </c>
      <c r="O323" s="307">
        <f t="shared" si="89"/>
        <v>0</v>
      </c>
      <c r="P323" s="560">
        <f>IF(G323=0,0,VLOOKUP(YEAR(G323),INPC!$B$4:$P$30,MONTH(G323)+2))</f>
        <v>0</v>
      </c>
      <c r="Q323" s="560">
        <f>IF(X323=0,0,IF(OR(E323=$AT$10,E323=$AT$9),VLOOKUP(YEAR(X323),INPC!$B$4:$P$30,MONTH(X323)+1),VLOOKUP(YEAR(X323),INPC!$B$4:$P$30,MONTH(X323)+2,0)))</f>
        <v>0</v>
      </c>
      <c r="R323" s="309">
        <f t="shared" si="90"/>
        <v>0</v>
      </c>
      <c r="S323" s="310">
        <f t="shared" si="91"/>
        <v>0</v>
      </c>
      <c r="T323" s="555">
        <f t="shared" si="92"/>
        <v>0</v>
      </c>
      <c r="U323" s="311"/>
      <c r="V323" s="312"/>
      <c r="W323" s="299"/>
      <c r="X323" s="300"/>
      <c r="Y323" s="299"/>
      <c r="Z323" s="303"/>
      <c r="AA323" s="305">
        <f>IF(Z323=0,0,IF(Y323="MXN",1/HLOOKUP(YEAR(X323)+(MONTH(X323)/100),TC!$5:$37,DAY(X323)+2,FALSE),VLOOKUP(Y323,Equivalencia!$1:$23,((MAX(Equivalencia!$3:$3)-YEAR(X323))*14)+MONTH(X323)+2,FALSE)))</f>
        <v>0</v>
      </c>
      <c r="AB323" s="306">
        <f t="shared" si="93"/>
        <v>0</v>
      </c>
      <c r="AC323" s="305">
        <f>+IF(X323=0,0,HLOOKUP(YEAR(X323)+(MONTH(X323)/100),TC!$5:$37,DAY(X323)+2,FALSE))</f>
        <v>0</v>
      </c>
      <c r="AD323" s="307">
        <f t="shared" si="94"/>
        <v>0</v>
      </c>
      <c r="AE323" s="314">
        <f t="shared" si="95"/>
        <v>0</v>
      </c>
      <c r="AF323" s="315">
        <f t="shared" si="96"/>
        <v>0</v>
      </c>
      <c r="AG323" s="316">
        <f t="shared" si="97"/>
        <v>0</v>
      </c>
      <c r="AH323" s="314">
        <v>1</v>
      </c>
      <c r="AI323" s="314">
        <f t="shared" si="98"/>
        <v>0</v>
      </c>
      <c r="AJ323" s="314">
        <f t="shared" si="99"/>
        <v>0</v>
      </c>
      <c r="AK323" s="317"/>
      <c r="AL323" s="315">
        <f t="shared" si="100"/>
        <v>0</v>
      </c>
      <c r="AN323" s="554">
        <f t="shared" si="101"/>
        <v>0</v>
      </c>
      <c r="AO323" s="314"/>
      <c r="AP323" s="318"/>
    </row>
    <row r="324" spans="2:42">
      <c r="B324" s="296"/>
      <c r="C324" s="299"/>
      <c r="D324" s="298"/>
      <c r="E324" s="299"/>
      <c r="F324" s="299"/>
      <c r="G324" s="300"/>
      <c r="H324" s="303"/>
      <c r="I324" s="301">
        <f t="shared" si="85"/>
        <v>0</v>
      </c>
      <c r="J324" s="302">
        <f t="shared" si="86"/>
        <v>0</v>
      </c>
      <c r="K324" s="304">
        <f t="shared" si="87"/>
        <v>0</v>
      </c>
      <c r="L324" s="305">
        <f>IF(H324=0,0,IF(OR(E324=$AT$5,E324=$AT$6),AA324,IF(F324="MXN",1/HLOOKUP(YEAR(G324)+(MONTH(G324)/100),TC!$5:$37,DAY(G324)+2,FALSE),VLOOKUP(F324,Equivalencia!$5:$23,((MAX(Equivalencia!$3:$3)-YEAR(G324))*14)+MONTH(G324)+2,FALSE))))</f>
        <v>0</v>
      </c>
      <c r="M324" s="306">
        <f t="shared" si="88"/>
        <v>0</v>
      </c>
      <c r="N324" s="305">
        <f>IF(G324=0,0,(IF(OR(E324=$AT$5,E324=$AT$6),AC324,HLOOKUP(YEAR(G324)+(MONTH(G324)/100),TC!$5:$37,DAY(G324)+2,FALSE))))</f>
        <v>0</v>
      </c>
      <c r="O324" s="307">
        <f t="shared" si="89"/>
        <v>0</v>
      </c>
      <c r="P324" s="560">
        <f>IF(G324=0,0,VLOOKUP(YEAR(G324),INPC!$B$4:$P$30,MONTH(G324)+2))</f>
        <v>0</v>
      </c>
      <c r="Q324" s="560">
        <f>IF(X324=0,0,IF(OR(E324=$AT$10,E324=$AT$9),VLOOKUP(YEAR(X324),INPC!$B$4:$P$30,MONTH(X324)+1),VLOOKUP(YEAR(X324),INPC!$B$4:$P$30,MONTH(X324)+2,0)))</f>
        <v>0</v>
      </c>
      <c r="R324" s="309">
        <f t="shared" si="90"/>
        <v>0</v>
      </c>
      <c r="S324" s="310">
        <f t="shared" si="91"/>
        <v>0</v>
      </c>
      <c r="T324" s="555">
        <f t="shared" si="92"/>
        <v>0</v>
      </c>
      <c r="U324" s="311"/>
      <c r="V324" s="312"/>
      <c r="W324" s="299"/>
      <c r="X324" s="300"/>
      <c r="Y324" s="299"/>
      <c r="Z324" s="303"/>
      <c r="AA324" s="305">
        <f>IF(Z324=0,0,IF(Y324="MXN",1/HLOOKUP(YEAR(X324)+(MONTH(X324)/100),TC!$5:$37,DAY(X324)+2,FALSE),VLOOKUP(Y324,Equivalencia!$1:$23,((MAX(Equivalencia!$3:$3)-YEAR(X324))*14)+MONTH(X324)+2,FALSE)))</f>
        <v>0</v>
      </c>
      <c r="AB324" s="306">
        <f t="shared" si="93"/>
        <v>0</v>
      </c>
      <c r="AC324" s="305">
        <f>+IF(X324=0,0,HLOOKUP(YEAR(X324)+(MONTH(X324)/100),TC!$5:$37,DAY(X324)+2,FALSE))</f>
        <v>0</v>
      </c>
      <c r="AD324" s="307">
        <f t="shared" si="94"/>
        <v>0</v>
      </c>
      <c r="AE324" s="314">
        <f t="shared" si="95"/>
        <v>0</v>
      </c>
      <c r="AF324" s="315">
        <f t="shared" si="96"/>
        <v>0</v>
      </c>
      <c r="AG324" s="316">
        <f t="shared" si="97"/>
        <v>0</v>
      </c>
      <c r="AH324" s="314">
        <v>1</v>
      </c>
      <c r="AI324" s="314">
        <f t="shared" si="98"/>
        <v>0</v>
      </c>
      <c r="AJ324" s="314">
        <f t="shared" si="99"/>
        <v>0</v>
      </c>
      <c r="AK324" s="317"/>
      <c r="AL324" s="315">
        <f t="shared" si="100"/>
        <v>0</v>
      </c>
      <c r="AN324" s="554">
        <f t="shared" si="101"/>
        <v>0</v>
      </c>
      <c r="AO324" s="314"/>
      <c r="AP324" s="318"/>
    </row>
    <row r="325" spans="2:42">
      <c r="B325" s="296"/>
      <c r="C325" s="299"/>
      <c r="D325" s="298"/>
      <c r="E325" s="299"/>
      <c r="F325" s="299"/>
      <c r="G325" s="300"/>
      <c r="H325" s="303"/>
      <c r="I325" s="301">
        <f t="shared" si="85"/>
        <v>0</v>
      </c>
      <c r="J325" s="302">
        <f t="shared" si="86"/>
        <v>0</v>
      </c>
      <c r="K325" s="304">
        <f t="shared" si="87"/>
        <v>0</v>
      </c>
      <c r="L325" s="305">
        <f>IF(H325=0,0,IF(OR(E325=$AT$5,E325=$AT$6),AA325,IF(F325="MXN",1/HLOOKUP(YEAR(G325)+(MONTH(G325)/100),TC!$5:$37,DAY(G325)+2,FALSE),VLOOKUP(F325,Equivalencia!$5:$23,((MAX(Equivalencia!$3:$3)-YEAR(G325))*14)+MONTH(G325)+2,FALSE))))</f>
        <v>0</v>
      </c>
      <c r="M325" s="306">
        <f t="shared" si="88"/>
        <v>0</v>
      </c>
      <c r="N325" s="305">
        <f>IF(G325=0,0,(IF(OR(E325=$AT$5,E325=$AT$6),AC325,HLOOKUP(YEAR(G325)+(MONTH(G325)/100),TC!$5:$37,DAY(G325)+2,FALSE))))</f>
        <v>0</v>
      </c>
      <c r="O325" s="307">
        <f t="shared" si="89"/>
        <v>0</v>
      </c>
      <c r="P325" s="560">
        <f>IF(G325=0,0,VLOOKUP(YEAR(G325),INPC!$B$4:$P$30,MONTH(G325)+2))</f>
        <v>0</v>
      </c>
      <c r="Q325" s="560">
        <f>IF(X325=0,0,IF(OR(E325=$AT$10,E325=$AT$9),VLOOKUP(YEAR(X325),INPC!$B$4:$P$30,MONTH(X325)+1),VLOOKUP(YEAR(X325),INPC!$B$4:$P$30,MONTH(X325)+2,0)))</f>
        <v>0</v>
      </c>
      <c r="R325" s="309">
        <f t="shared" si="90"/>
        <v>0</v>
      </c>
      <c r="S325" s="310">
        <f t="shared" si="91"/>
        <v>0</v>
      </c>
      <c r="T325" s="555">
        <f t="shared" si="92"/>
        <v>0</v>
      </c>
      <c r="U325" s="311"/>
      <c r="V325" s="312"/>
      <c r="W325" s="299"/>
      <c r="X325" s="300"/>
      <c r="Y325" s="299"/>
      <c r="Z325" s="303"/>
      <c r="AA325" s="305">
        <f>IF(Z325=0,0,IF(Y325="MXN",1/HLOOKUP(YEAR(X325)+(MONTH(X325)/100),TC!$5:$37,DAY(X325)+2,FALSE),VLOOKUP(Y325,Equivalencia!$1:$23,((MAX(Equivalencia!$3:$3)-YEAR(X325))*14)+MONTH(X325)+2,FALSE)))</f>
        <v>0</v>
      </c>
      <c r="AB325" s="306">
        <f t="shared" si="93"/>
        <v>0</v>
      </c>
      <c r="AC325" s="305">
        <f>+IF(X325=0,0,HLOOKUP(YEAR(X325)+(MONTH(X325)/100),TC!$5:$37,DAY(X325)+2,FALSE))</f>
        <v>0</v>
      </c>
      <c r="AD325" s="307">
        <f t="shared" si="94"/>
        <v>0</v>
      </c>
      <c r="AE325" s="314">
        <f t="shared" si="95"/>
        <v>0</v>
      </c>
      <c r="AF325" s="315">
        <f t="shared" si="96"/>
        <v>0</v>
      </c>
      <c r="AG325" s="316">
        <f t="shared" si="97"/>
        <v>0</v>
      </c>
      <c r="AH325" s="314">
        <v>1</v>
      </c>
      <c r="AI325" s="314">
        <f t="shared" si="98"/>
        <v>0</v>
      </c>
      <c r="AJ325" s="314">
        <f t="shared" si="99"/>
        <v>0</v>
      </c>
      <c r="AK325" s="317"/>
      <c r="AL325" s="315">
        <f t="shared" si="100"/>
        <v>0</v>
      </c>
      <c r="AN325" s="554">
        <f t="shared" si="101"/>
        <v>0</v>
      </c>
      <c r="AO325" s="314"/>
      <c r="AP325" s="318"/>
    </row>
    <row r="326" spans="2:42">
      <c r="B326" s="296"/>
      <c r="C326" s="299"/>
      <c r="D326" s="298"/>
      <c r="E326" s="299"/>
      <c r="F326" s="299"/>
      <c r="G326" s="300"/>
      <c r="H326" s="303"/>
      <c r="I326" s="301">
        <f t="shared" si="85"/>
        <v>0</v>
      </c>
      <c r="J326" s="302">
        <f t="shared" si="86"/>
        <v>0</v>
      </c>
      <c r="K326" s="304">
        <f t="shared" si="87"/>
        <v>0</v>
      </c>
      <c r="L326" s="305">
        <f>IF(H326=0,0,IF(OR(E326=$AT$5,E326=$AT$6),AA326,IF(F326="MXN",1/HLOOKUP(YEAR(G326)+(MONTH(G326)/100),TC!$5:$37,DAY(G326)+2,FALSE),VLOOKUP(F326,Equivalencia!$5:$23,((MAX(Equivalencia!$3:$3)-YEAR(G326))*14)+MONTH(G326)+2,FALSE))))</f>
        <v>0</v>
      </c>
      <c r="M326" s="306">
        <f t="shared" si="88"/>
        <v>0</v>
      </c>
      <c r="N326" s="305">
        <f>IF(G326=0,0,(IF(OR(E326=$AT$5,E326=$AT$6),AC326,HLOOKUP(YEAR(G326)+(MONTH(G326)/100),TC!$5:$37,DAY(G326)+2,FALSE))))</f>
        <v>0</v>
      </c>
      <c r="O326" s="307">
        <f t="shared" si="89"/>
        <v>0</v>
      </c>
      <c r="P326" s="560">
        <f>IF(G326=0,0,VLOOKUP(YEAR(G326),INPC!$B$4:$P$30,MONTH(G326)+2))</f>
        <v>0</v>
      </c>
      <c r="Q326" s="560">
        <f>IF(X326=0,0,IF(OR(E326=$AT$10,E326=$AT$9),VLOOKUP(YEAR(X326),INPC!$B$4:$P$30,MONTH(X326)+1),VLOOKUP(YEAR(X326),INPC!$B$4:$P$30,MONTH(X326)+2,0)))</f>
        <v>0</v>
      </c>
      <c r="R326" s="309">
        <f t="shared" si="90"/>
        <v>0</v>
      </c>
      <c r="S326" s="310">
        <f t="shared" si="91"/>
        <v>0</v>
      </c>
      <c r="T326" s="555">
        <f t="shared" si="92"/>
        <v>0</v>
      </c>
      <c r="U326" s="311"/>
      <c r="V326" s="312"/>
      <c r="W326" s="299"/>
      <c r="X326" s="300"/>
      <c r="Y326" s="299"/>
      <c r="Z326" s="303"/>
      <c r="AA326" s="305">
        <f>IF(Z326=0,0,IF(Y326="MXN",1/HLOOKUP(YEAR(X326)+(MONTH(X326)/100),TC!$5:$37,DAY(X326)+2,FALSE),VLOOKUP(Y326,Equivalencia!$1:$23,((MAX(Equivalencia!$3:$3)-YEAR(X326))*14)+MONTH(X326)+2,FALSE)))</f>
        <v>0</v>
      </c>
      <c r="AB326" s="306">
        <f t="shared" si="93"/>
        <v>0</v>
      </c>
      <c r="AC326" s="305">
        <f>+IF(X326=0,0,HLOOKUP(YEAR(X326)+(MONTH(X326)/100),TC!$5:$37,DAY(X326)+2,FALSE))</f>
        <v>0</v>
      </c>
      <c r="AD326" s="307">
        <f t="shared" si="94"/>
        <v>0</v>
      </c>
      <c r="AE326" s="314">
        <f t="shared" si="95"/>
        <v>0</v>
      </c>
      <c r="AF326" s="315">
        <f t="shared" si="96"/>
        <v>0</v>
      </c>
      <c r="AG326" s="316">
        <f t="shared" si="97"/>
        <v>0</v>
      </c>
      <c r="AH326" s="314">
        <v>1</v>
      </c>
      <c r="AI326" s="314">
        <f t="shared" si="98"/>
        <v>0</v>
      </c>
      <c r="AJ326" s="314">
        <f t="shared" si="99"/>
        <v>0</v>
      </c>
      <c r="AK326" s="317"/>
      <c r="AL326" s="315">
        <f t="shared" si="100"/>
        <v>0</v>
      </c>
      <c r="AN326" s="554">
        <f t="shared" si="101"/>
        <v>0</v>
      </c>
      <c r="AO326" s="314"/>
      <c r="AP326" s="318"/>
    </row>
    <row r="327" spans="2:42">
      <c r="B327" s="296"/>
      <c r="C327" s="299"/>
      <c r="D327" s="298"/>
      <c r="E327" s="299"/>
      <c r="F327" s="299"/>
      <c r="G327" s="300"/>
      <c r="H327" s="303"/>
      <c r="I327" s="301">
        <f t="shared" si="85"/>
        <v>0</v>
      </c>
      <c r="J327" s="302">
        <f t="shared" si="86"/>
        <v>0</v>
      </c>
      <c r="K327" s="304">
        <f t="shared" si="87"/>
        <v>0</v>
      </c>
      <c r="L327" s="305">
        <f>IF(H327=0,0,IF(OR(E327=$AT$5,E327=$AT$6),AA327,IF(F327="MXN",1/HLOOKUP(YEAR(G327)+(MONTH(G327)/100),TC!$5:$37,DAY(G327)+2,FALSE),VLOOKUP(F327,Equivalencia!$5:$23,((MAX(Equivalencia!$3:$3)-YEAR(G327))*14)+MONTH(G327)+2,FALSE))))</f>
        <v>0</v>
      </c>
      <c r="M327" s="306">
        <f t="shared" si="88"/>
        <v>0</v>
      </c>
      <c r="N327" s="305">
        <f>IF(G327=0,0,(IF(OR(E327=$AT$5,E327=$AT$6),AC327,HLOOKUP(YEAR(G327)+(MONTH(G327)/100),TC!$5:$37,DAY(G327)+2,FALSE))))</f>
        <v>0</v>
      </c>
      <c r="O327" s="307">
        <f t="shared" si="89"/>
        <v>0</v>
      </c>
      <c r="P327" s="560">
        <f>IF(G327=0,0,VLOOKUP(YEAR(G327),INPC!$B$4:$P$30,MONTH(G327)+2))</f>
        <v>0</v>
      </c>
      <c r="Q327" s="560">
        <f>IF(X327=0,0,IF(OR(E327=$AT$10,E327=$AT$9),VLOOKUP(YEAR(X327),INPC!$B$4:$P$30,MONTH(X327)+1),VLOOKUP(YEAR(X327),INPC!$B$4:$P$30,MONTH(X327)+2,0)))</f>
        <v>0</v>
      </c>
      <c r="R327" s="309">
        <f t="shared" si="90"/>
        <v>0</v>
      </c>
      <c r="S327" s="310">
        <f t="shared" si="91"/>
        <v>0</v>
      </c>
      <c r="T327" s="555">
        <f t="shared" si="92"/>
        <v>0</v>
      </c>
      <c r="U327" s="311"/>
      <c r="V327" s="312"/>
      <c r="W327" s="299"/>
      <c r="X327" s="300"/>
      <c r="Y327" s="299"/>
      <c r="Z327" s="303"/>
      <c r="AA327" s="305">
        <f>IF(Z327=0,0,IF(Y327="MXN",1/HLOOKUP(YEAR(X327)+(MONTH(X327)/100),TC!$5:$37,DAY(X327)+2,FALSE),VLOOKUP(Y327,Equivalencia!$1:$23,((MAX(Equivalencia!$3:$3)-YEAR(X327))*14)+MONTH(X327)+2,FALSE)))</f>
        <v>0</v>
      </c>
      <c r="AB327" s="306">
        <f t="shared" si="93"/>
        <v>0</v>
      </c>
      <c r="AC327" s="305">
        <f>+IF(X327=0,0,HLOOKUP(YEAR(X327)+(MONTH(X327)/100),TC!$5:$37,DAY(X327)+2,FALSE))</f>
        <v>0</v>
      </c>
      <c r="AD327" s="307">
        <f t="shared" si="94"/>
        <v>0</v>
      </c>
      <c r="AE327" s="314">
        <f t="shared" si="95"/>
        <v>0</v>
      </c>
      <c r="AF327" s="315">
        <f t="shared" si="96"/>
        <v>0</v>
      </c>
      <c r="AG327" s="316">
        <f t="shared" si="97"/>
        <v>0</v>
      </c>
      <c r="AH327" s="314">
        <v>1</v>
      </c>
      <c r="AI327" s="314">
        <f t="shared" si="98"/>
        <v>0</v>
      </c>
      <c r="AJ327" s="314">
        <f t="shared" si="99"/>
        <v>0</v>
      </c>
      <c r="AK327" s="317"/>
      <c r="AL327" s="315">
        <f t="shared" si="100"/>
        <v>0</v>
      </c>
      <c r="AN327" s="554">
        <f t="shared" si="101"/>
        <v>0</v>
      </c>
      <c r="AO327" s="314"/>
      <c r="AP327" s="318"/>
    </row>
    <row r="328" spans="2:42">
      <c r="B328" s="296"/>
      <c r="C328" s="299"/>
      <c r="D328" s="298"/>
      <c r="E328" s="299"/>
      <c r="F328" s="299"/>
      <c r="G328" s="300"/>
      <c r="H328" s="303"/>
      <c r="I328" s="301">
        <f t="shared" si="85"/>
        <v>0</v>
      </c>
      <c r="J328" s="302">
        <f t="shared" si="86"/>
        <v>0</v>
      </c>
      <c r="K328" s="304">
        <f t="shared" si="87"/>
        <v>0</v>
      </c>
      <c r="L328" s="305">
        <f>IF(H328=0,0,IF(OR(E328=$AT$5,E328=$AT$6),AA328,IF(F328="MXN",1/HLOOKUP(YEAR(G328)+(MONTH(G328)/100),TC!$5:$37,DAY(G328)+2,FALSE),VLOOKUP(F328,Equivalencia!$5:$23,((MAX(Equivalencia!$3:$3)-YEAR(G328))*14)+MONTH(G328)+2,FALSE))))</f>
        <v>0</v>
      </c>
      <c r="M328" s="306">
        <f t="shared" si="88"/>
        <v>0</v>
      </c>
      <c r="N328" s="305">
        <f>IF(G328=0,0,(IF(OR(E328=$AT$5,E328=$AT$6),AC328,HLOOKUP(YEAR(G328)+(MONTH(G328)/100),TC!$5:$37,DAY(G328)+2,FALSE))))</f>
        <v>0</v>
      </c>
      <c r="O328" s="307">
        <f t="shared" si="89"/>
        <v>0</v>
      </c>
      <c r="P328" s="560">
        <f>IF(G328=0,0,VLOOKUP(YEAR(G328),INPC!$B$4:$P$30,MONTH(G328)+2))</f>
        <v>0</v>
      </c>
      <c r="Q328" s="560">
        <f>IF(X328=0,0,IF(OR(E328=$AT$10,E328=$AT$9),VLOOKUP(YEAR(X328),INPC!$B$4:$P$30,MONTH(X328)+1),VLOOKUP(YEAR(X328),INPC!$B$4:$P$30,MONTH(X328)+2,0)))</f>
        <v>0</v>
      </c>
      <c r="R328" s="309">
        <f t="shared" si="90"/>
        <v>0</v>
      </c>
      <c r="S328" s="310">
        <f t="shared" si="91"/>
        <v>0</v>
      </c>
      <c r="T328" s="555">
        <f t="shared" si="92"/>
        <v>0</v>
      </c>
      <c r="U328" s="311"/>
      <c r="V328" s="312"/>
      <c r="W328" s="299"/>
      <c r="X328" s="300"/>
      <c r="Y328" s="299"/>
      <c r="Z328" s="303"/>
      <c r="AA328" s="305">
        <f>IF(Z328=0,0,IF(Y328="MXN",1/HLOOKUP(YEAR(X328)+(MONTH(X328)/100),TC!$5:$37,DAY(X328)+2,FALSE),VLOOKUP(Y328,Equivalencia!$1:$23,((MAX(Equivalencia!$3:$3)-YEAR(X328))*14)+MONTH(X328)+2,FALSE)))</f>
        <v>0</v>
      </c>
      <c r="AB328" s="306">
        <f t="shared" si="93"/>
        <v>0</v>
      </c>
      <c r="AC328" s="305">
        <f>+IF(X328=0,0,HLOOKUP(YEAR(X328)+(MONTH(X328)/100),TC!$5:$37,DAY(X328)+2,FALSE))</f>
        <v>0</v>
      </c>
      <c r="AD328" s="307">
        <f t="shared" si="94"/>
        <v>0</v>
      </c>
      <c r="AE328" s="314">
        <f t="shared" si="95"/>
        <v>0</v>
      </c>
      <c r="AF328" s="315">
        <f t="shared" si="96"/>
        <v>0</v>
      </c>
      <c r="AG328" s="316">
        <f t="shared" si="97"/>
        <v>0</v>
      </c>
      <c r="AH328" s="314">
        <v>1</v>
      </c>
      <c r="AI328" s="314">
        <f t="shared" si="98"/>
        <v>0</v>
      </c>
      <c r="AJ328" s="314">
        <f t="shared" si="99"/>
        <v>0</v>
      </c>
      <c r="AK328" s="317"/>
      <c r="AL328" s="315">
        <f t="shared" si="100"/>
        <v>0</v>
      </c>
      <c r="AN328" s="554">
        <f t="shared" si="101"/>
        <v>0</v>
      </c>
      <c r="AO328" s="314"/>
      <c r="AP328" s="318"/>
    </row>
    <row r="329" spans="2:42">
      <c r="B329" s="296"/>
      <c r="C329" s="299"/>
      <c r="D329" s="298"/>
      <c r="E329" s="299"/>
      <c r="F329" s="299"/>
      <c r="G329" s="300"/>
      <c r="H329" s="303"/>
      <c r="I329" s="301">
        <f t="shared" si="85"/>
        <v>0</v>
      </c>
      <c r="J329" s="302">
        <f t="shared" si="86"/>
        <v>0</v>
      </c>
      <c r="K329" s="304">
        <f t="shared" si="87"/>
        <v>0</v>
      </c>
      <c r="L329" s="305">
        <f>IF(H329=0,0,IF(OR(E329=$AT$5,E329=$AT$6),AA329,IF(F329="MXN",1/HLOOKUP(YEAR(G329)+(MONTH(G329)/100),TC!$5:$37,DAY(G329)+2,FALSE),VLOOKUP(F329,Equivalencia!$5:$23,((MAX(Equivalencia!$3:$3)-YEAR(G329))*14)+MONTH(G329)+2,FALSE))))</f>
        <v>0</v>
      </c>
      <c r="M329" s="306">
        <f t="shared" si="88"/>
        <v>0</v>
      </c>
      <c r="N329" s="305">
        <f>IF(G329=0,0,(IF(OR(E329=$AT$5,E329=$AT$6),AC329,HLOOKUP(YEAR(G329)+(MONTH(G329)/100),TC!$5:$37,DAY(G329)+2,FALSE))))</f>
        <v>0</v>
      </c>
      <c r="O329" s="307">
        <f t="shared" si="89"/>
        <v>0</v>
      </c>
      <c r="P329" s="560">
        <f>IF(G329=0,0,VLOOKUP(YEAR(G329),INPC!$B$4:$P$30,MONTH(G329)+2))</f>
        <v>0</v>
      </c>
      <c r="Q329" s="560">
        <f>IF(X329=0,0,IF(OR(E329=$AT$10,E329=$AT$9),VLOOKUP(YEAR(X329),INPC!$B$4:$P$30,MONTH(X329)+1),VLOOKUP(YEAR(X329),INPC!$B$4:$P$30,MONTH(X329)+2,0)))</f>
        <v>0</v>
      </c>
      <c r="R329" s="309">
        <f t="shared" si="90"/>
        <v>0</v>
      </c>
      <c r="S329" s="310">
        <f t="shared" si="91"/>
        <v>0</v>
      </c>
      <c r="T329" s="555">
        <f t="shared" si="92"/>
        <v>0</v>
      </c>
      <c r="U329" s="311"/>
      <c r="V329" s="312"/>
      <c r="W329" s="299"/>
      <c r="X329" s="300"/>
      <c r="Y329" s="299"/>
      <c r="Z329" s="303"/>
      <c r="AA329" s="305">
        <f>IF(Z329=0,0,IF(Y329="MXN",1/HLOOKUP(YEAR(X329)+(MONTH(X329)/100),TC!$5:$37,DAY(X329)+2,FALSE),VLOOKUP(Y329,Equivalencia!$1:$23,((MAX(Equivalencia!$3:$3)-YEAR(X329))*14)+MONTH(X329)+2,FALSE)))</f>
        <v>0</v>
      </c>
      <c r="AB329" s="306">
        <f t="shared" si="93"/>
        <v>0</v>
      </c>
      <c r="AC329" s="305">
        <f>+IF(X329=0,0,HLOOKUP(YEAR(X329)+(MONTH(X329)/100),TC!$5:$37,DAY(X329)+2,FALSE))</f>
        <v>0</v>
      </c>
      <c r="AD329" s="307">
        <f t="shared" si="94"/>
        <v>0</v>
      </c>
      <c r="AE329" s="314">
        <f t="shared" si="95"/>
        <v>0</v>
      </c>
      <c r="AF329" s="315">
        <f t="shared" si="96"/>
        <v>0</v>
      </c>
      <c r="AG329" s="316">
        <f t="shared" si="97"/>
        <v>0</v>
      </c>
      <c r="AH329" s="314">
        <v>1</v>
      </c>
      <c r="AI329" s="314">
        <f t="shared" si="98"/>
        <v>0</v>
      </c>
      <c r="AJ329" s="314">
        <f t="shared" si="99"/>
        <v>0</v>
      </c>
      <c r="AK329" s="317"/>
      <c r="AL329" s="315">
        <f t="shared" si="100"/>
        <v>0</v>
      </c>
      <c r="AN329" s="554">
        <f t="shared" si="101"/>
        <v>0</v>
      </c>
      <c r="AO329" s="314"/>
      <c r="AP329" s="318"/>
    </row>
    <row r="330" spans="2:42">
      <c r="B330" s="296"/>
      <c r="C330" s="299"/>
      <c r="D330" s="298"/>
      <c r="E330" s="299"/>
      <c r="F330" s="299"/>
      <c r="G330" s="300"/>
      <c r="H330" s="303"/>
      <c r="I330" s="301">
        <f t="shared" si="85"/>
        <v>0</v>
      </c>
      <c r="J330" s="302">
        <f t="shared" si="86"/>
        <v>0</v>
      </c>
      <c r="K330" s="304">
        <f t="shared" si="87"/>
        <v>0</v>
      </c>
      <c r="L330" s="305">
        <f>IF(H330=0,0,IF(OR(E330=$AT$5,E330=$AT$6),AA330,IF(F330="MXN",1/HLOOKUP(YEAR(G330)+(MONTH(G330)/100),TC!$5:$37,DAY(G330)+2,FALSE),VLOOKUP(F330,Equivalencia!$5:$23,((MAX(Equivalencia!$3:$3)-YEAR(G330))*14)+MONTH(G330)+2,FALSE))))</f>
        <v>0</v>
      </c>
      <c r="M330" s="306">
        <f t="shared" si="88"/>
        <v>0</v>
      </c>
      <c r="N330" s="305">
        <f>IF(G330=0,0,(IF(OR(E330=$AT$5,E330=$AT$6),AC330,HLOOKUP(YEAR(G330)+(MONTH(G330)/100),TC!$5:$37,DAY(G330)+2,FALSE))))</f>
        <v>0</v>
      </c>
      <c r="O330" s="307">
        <f t="shared" si="89"/>
        <v>0</v>
      </c>
      <c r="P330" s="560">
        <f>IF(G330=0,0,VLOOKUP(YEAR(G330),INPC!$B$4:$P$30,MONTH(G330)+2))</f>
        <v>0</v>
      </c>
      <c r="Q330" s="560">
        <f>IF(X330=0,0,IF(OR(E330=$AT$10,E330=$AT$9),VLOOKUP(YEAR(X330),INPC!$B$4:$P$30,MONTH(X330)+1),VLOOKUP(YEAR(X330),INPC!$B$4:$P$30,MONTH(X330)+2,0)))</f>
        <v>0</v>
      </c>
      <c r="R330" s="309">
        <f t="shared" si="90"/>
        <v>0</v>
      </c>
      <c r="S330" s="310">
        <f t="shared" si="91"/>
        <v>0</v>
      </c>
      <c r="T330" s="555">
        <f t="shared" si="92"/>
        <v>0</v>
      </c>
      <c r="U330" s="311"/>
      <c r="V330" s="312"/>
      <c r="W330" s="299"/>
      <c r="X330" s="300"/>
      <c r="Y330" s="299"/>
      <c r="Z330" s="303"/>
      <c r="AA330" s="305">
        <f>IF(Z330=0,0,IF(Y330="MXN",1/HLOOKUP(YEAR(X330)+(MONTH(X330)/100),TC!$5:$37,DAY(X330)+2,FALSE),VLOOKUP(Y330,Equivalencia!$1:$23,((MAX(Equivalencia!$3:$3)-YEAR(X330))*14)+MONTH(X330)+2,FALSE)))</f>
        <v>0</v>
      </c>
      <c r="AB330" s="306">
        <f t="shared" si="93"/>
        <v>0</v>
      </c>
      <c r="AC330" s="305">
        <f>+IF(X330=0,0,HLOOKUP(YEAR(X330)+(MONTH(X330)/100),TC!$5:$37,DAY(X330)+2,FALSE))</f>
        <v>0</v>
      </c>
      <c r="AD330" s="307">
        <f t="shared" si="94"/>
        <v>0</v>
      </c>
      <c r="AE330" s="314">
        <f t="shared" si="95"/>
        <v>0</v>
      </c>
      <c r="AF330" s="315">
        <f t="shared" si="96"/>
        <v>0</v>
      </c>
      <c r="AG330" s="316">
        <f t="shared" si="97"/>
        <v>0</v>
      </c>
      <c r="AH330" s="314">
        <v>1</v>
      </c>
      <c r="AI330" s="314">
        <f t="shared" si="98"/>
        <v>0</v>
      </c>
      <c r="AJ330" s="314">
        <f t="shared" si="99"/>
        <v>0</v>
      </c>
      <c r="AK330" s="317"/>
      <c r="AL330" s="315">
        <f t="shared" si="100"/>
        <v>0</v>
      </c>
      <c r="AN330" s="554">
        <f t="shared" si="101"/>
        <v>0</v>
      </c>
      <c r="AO330" s="314"/>
      <c r="AP330" s="318"/>
    </row>
    <row r="331" spans="2:42">
      <c r="B331" s="296"/>
      <c r="C331" s="299"/>
      <c r="D331" s="298"/>
      <c r="E331" s="299"/>
      <c r="F331" s="299"/>
      <c r="G331" s="300"/>
      <c r="H331" s="303"/>
      <c r="I331" s="301">
        <f t="shared" si="85"/>
        <v>0</v>
      </c>
      <c r="J331" s="302">
        <f t="shared" si="86"/>
        <v>0</v>
      </c>
      <c r="K331" s="304">
        <f t="shared" si="87"/>
        <v>0</v>
      </c>
      <c r="L331" s="305">
        <f>IF(H331=0,0,IF(OR(E331=$AT$5,E331=$AT$6),AA331,IF(F331="MXN",1/HLOOKUP(YEAR(G331)+(MONTH(G331)/100),TC!$5:$37,DAY(G331)+2,FALSE),VLOOKUP(F331,Equivalencia!$5:$23,((MAX(Equivalencia!$3:$3)-YEAR(G331))*14)+MONTH(G331)+2,FALSE))))</f>
        <v>0</v>
      </c>
      <c r="M331" s="306">
        <f t="shared" si="88"/>
        <v>0</v>
      </c>
      <c r="N331" s="305">
        <f>IF(G331=0,0,(IF(OR(E331=$AT$5,E331=$AT$6),AC331,HLOOKUP(YEAR(G331)+(MONTH(G331)/100),TC!$5:$37,DAY(G331)+2,FALSE))))</f>
        <v>0</v>
      </c>
      <c r="O331" s="307">
        <f t="shared" si="89"/>
        <v>0</v>
      </c>
      <c r="P331" s="560">
        <f>IF(G331=0,0,VLOOKUP(YEAR(G331),INPC!$B$4:$P$30,MONTH(G331)+2))</f>
        <v>0</v>
      </c>
      <c r="Q331" s="560">
        <f>IF(X331=0,0,IF(OR(E331=$AT$10,E331=$AT$9),VLOOKUP(YEAR(X331),INPC!$B$4:$P$30,MONTH(X331)+1),VLOOKUP(YEAR(X331),INPC!$B$4:$P$30,MONTH(X331)+2,0)))</f>
        <v>0</v>
      </c>
      <c r="R331" s="309">
        <f t="shared" si="90"/>
        <v>0</v>
      </c>
      <c r="S331" s="310">
        <f t="shared" si="91"/>
        <v>0</v>
      </c>
      <c r="T331" s="555">
        <f t="shared" si="92"/>
        <v>0</v>
      </c>
      <c r="U331" s="311"/>
      <c r="V331" s="312"/>
      <c r="W331" s="299"/>
      <c r="X331" s="300"/>
      <c r="Y331" s="299"/>
      <c r="Z331" s="680"/>
      <c r="AA331" s="305">
        <f>IF(Z331=0,0,IF(Y331="MXN",1/HLOOKUP(YEAR(X331)+(MONTH(X331)/100),TC!$5:$37,DAY(X331)+2,FALSE),VLOOKUP(Y331,Equivalencia!$1:$23,((MAX(Equivalencia!$3:$3)-YEAR(X331))*14)+MONTH(X331)+2,FALSE)))</f>
        <v>0</v>
      </c>
      <c r="AB331" s="306">
        <f t="shared" si="93"/>
        <v>0</v>
      </c>
      <c r="AC331" s="305">
        <f>+IF(X331=0,0,HLOOKUP(YEAR(X331)+(MONTH(X331)/100),TC!$5:$37,DAY(X331)+2,FALSE))</f>
        <v>0</v>
      </c>
      <c r="AD331" s="307">
        <f t="shared" si="94"/>
        <v>0</v>
      </c>
      <c r="AE331" s="314">
        <f t="shared" si="95"/>
        <v>0</v>
      </c>
      <c r="AF331" s="315">
        <f t="shared" si="96"/>
        <v>0</v>
      </c>
      <c r="AG331" s="316">
        <f t="shared" si="97"/>
        <v>0</v>
      </c>
      <c r="AH331" s="314">
        <v>1</v>
      </c>
      <c r="AI331" s="314">
        <f t="shared" si="98"/>
        <v>0</v>
      </c>
      <c r="AJ331" s="314">
        <f t="shared" si="99"/>
        <v>0</v>
      </c>
      <c r="AK331" s="317"/>
      <c r="AL331" s="315">
        <f t="shared" si="100"/>
        <v>0</v>
      </c>
      <c r="AN331" s="554">
        <f t="shared" si="101"/>
        <v>0</v>
      </c>
      <c r="AO331" s="314"/>
      <c r="AP331" s="318"/>
    </row>
    <row r="332" spans="2:42">
      <c r="B332" s="296"/>
      <c r="C332" s="299"/>
      <c r="D332" s="298"/>
      <c r="E332" s="299"/>
      <c r="F332" s="299"/>
      <c r="G332" s="300"/>
      <c r="H332" s="303"/>
      <c r="I332" s="301">
        <f t="shared" si="85"/>
        <v>0</v>
      </c>
      <c r="J332" s="302">
        <f t="shared" si="86"/>
        <v>0</v>
      </c>
      <c r="K332" s="304">
        <f t="shared" si="87"/>
        <v>0</v>
      </c>
      <c r="L332" s="305">
        <f>IF(H332=0,0,IF(OR(E332=$AT$5,E332=$AT$6),AA332,IF(F332="MXN",1/HLOOKUP(YEAR(G332)+(MONTH(G332)/100),TC!$5:$37,DAY(G332)+2,FALSE),VLOOKUP(F332,Equivalencia!$5:$23,((MAX(Equivalencia!$3:$3)-YEAR(G332))*14)+MONTH(G332)+2,FALSE))))</f>
        <v>0</v>
      </c>
      <c r="M332" s="306">
        <f t="shared" si="88"/>
        <v>0</v>
      </c>
      <c r="N332" s="305">
        <f>IF(G332=0,0,(IF(OR(E332=$AT$5,E332=$AT$6),AC332,HLOOKUP(YEAR(G332)+(MONTH(G332)/100),TC!$5:$37,DAY(G332)+2,FALSE))))</f>
        <v>0</v>
      </c>
      <c r="O332" s="307">
        <f t="shared" si="89"/>
        <v>0</v>
      </c>
      <c r="P332" s="560">
        <f>IF(G332=0,0,VLOOKUP(YEAR(G332),INPC!$B$4:$P$30,MONTH(G332)+2))</f>
        <v>0</v>
      </c>
      <c r="Q332" s="560">
        <f>IF(X332=0,0,IF(OR(E332=$AT$10,E332=$AT$9),VLOOKUP(YEAR(X332),INPC!$B$4:$P$30,MONTH(X332)+1),VLOOKUP(YEAR(X332),INPC!$B$4:$P$30,MONTH(X332)+2,0)))</f>
        <v>0</v>
      </c>
      <c r="R332" s="309">
        <f t="shared" si="90"/>
        <v>0</v>
      </c>
      <c r="S332" s="310">
        <f t="shared" si="91"/>
        <v>0</v>
      </c>
      <c r="T332" s="555">
        <f t="shared" si="92"/>
        <v>0</v>
      </c>
      <c r="U332" s="311"/>
      <c r="V332" s="312"/>
      <c r="W332" s="299"/>
      <c r="X332" s="300"/>
      <c r="Y332" s="299"/>
      <c r="Z332" s="680"/>
      <c r="AA332" s="305">
        <f>IF(Z332=0,0,IF(Y332="MXN",1/HLOOKUP(YEAR(X332)+(MONTH(X332)/100),TC!$5:$37,DAY(X332)+2,FALSE),VLOOKUP(Y332,Equivalencia!$1:$23,((MAX(Equivalencia!$3:$3)-YEAR(X332))*14)+MONTH(X332)+2,FALSE)))</f>
        <v>0</v>
      </c>
      <c r="AB332" s="306">
        <f t="shared" si="93"/>
        <v>0</v>
      </c>
      <c r="AC332" s="305">
        <f>+IF(X332=0,0,HLOOKUP(YEAR(X332)+(MONTH(X332)/100),TC!$5:$37,DAY(X332)+2,FALSE))</f>
        <v>0</v>
      </c>
      <c r="AD332" s="307">
        <f t="shared" si="94"/>
        <v>0</v>
      </c>
      <c r="AE332" s="314">
        <f t="shared" si="95"/>
        <v>0</v>
      </c>
      <c r="AF332" s="315">
        <f t="shared" si="96"/>
        <v>0</v>
      </c>
      <c r="AG332" s="316">
        <f t="shared" si="97"/>
        <v>0</v>
      </c>
      <c r="AH332" s="314">
        <v>1</v>
      </c>
      <c r="AI332" s="314">
        <f t="shared" si="98"/>
        <v>0</v>
      </c>
      <c r="AJ332" s="314">
        <f t="shared" si="99"/>
        <v>0</v>
      </c>
      <c r="AK332" s="317"/>
      <c r="AL332" s="315">
        <f t="shared" si="100"/>
        <v>0</v>
      </c>
      <c r="AN332" s="554">
        <f t="shared" si="101"/>
        <v>0</v>
      </c>
      <c r="AO332" s="314"/>
      <c r="AP332" s="318"/>
    </row>
    <row r="333" spans="2:42">
      <c r="B333" s="296"/>
      <c r="C333" s="299"/>
      <c r="D333" s="298"/>
      <c r="E333" s="299"/>
      <c r="F333" s="299"/>
      <c r="G333" s="300"/>
      <c r="H333" s="303"/>
      <c r="I333" s="301">
        <f t="shared" si="85"/>
        <v>0</v>
      </c>
      <c r="J333" s="302">
        <f t="shared" si="86"/>
        <v>0</v>
      </c>
      <c r="K333" s="304">
        <f t="shared" si="87"/>
        <v>0</v>
      </c>
      <c r="L333" s="305">
        <f>IF(H333=0,0,IF(OR(E333=$AT$5,E333=$AT$6),AA333,IF(F333="MXN",1/HLOOKUP(YEAR(G333)+(MONTH(G333)/100),TC!$5:$37,DAY(G333)+2,FALSE),VLOOKUP(F333,Equivalencia!$5:$23,((MAX(Equivalencia!$3:$3)-YEAR(G333))*14)+MONTH(G333)+2,FALSE))))</f>
        <v>0</v>
      </c>
      <c r="M333" s="306">
        <f t="shared" si="88"/>
        <v>0</v>
      </c>
      <c r="N333" s="305">
        <f>IF(G333=0,0,(IF(OR(E333=$AT$5,E333=$AT$6),AC333,HLOOKUP(YEAR(G333)+(MONTH(G333)/100),TC!$5:$37,DAY(G333)+2,FALSE))))</f>
        <v>0</v>
      </c>
      <c r="O333" s="307">
        <f t="shared" si="89"/>
        <v>0</v>
      </c>
      <c r="P333" s="560">
        <f>IF(G333=0,0,VLOOKUP(YEAR(G333),INPC!$B$4:$P$30,MONTH(G333)+2))</f>
        <v>0</v>
      </c>
      <c r="Q333" s="560">
        <f>IF(X333=0,0,IF(OR(E333=$AT$10,E333=$AT$9),VLOOKUP(YEAR(X333),INPC!$B$4:$P$30,MONTH(X333)+1),VLOOKUP(YEAR(X333),INPC!$B$4:$P$30,MONTH(X333)+2,0)))</f>
        <v>0</v>
      </c>
      <c r="R333" s="309">
        <f t="shared" si="90"/>
        <v>0</v>
      </c>
      <c r="S333" s="310">
        <f t="shared" si="91"/>
        <v>0</v>
      </c>
      <c r="T333" s="555">
        <f t="shared" si="92"/>
        <v>0</v>
      </c>
      <c r="U333" s="311"/>
      <c r="V333" s="312"/>
      <c r="W333" s="299"/>
      <c r="X333" s="300"/>
      <c r="Y333" s="299"/>
      <c r="Z333" s="680"/>
      <c r="AA333" s="305">
        <f>IF(Z333=0,0,IF(Y333="MXN",1/HLOOKUP(YEAR(X333)+(MONTH(X333)/100),TC!$5:$37,DAY(X333)+2,FALSE),VLOOKUP(Y333,Equivalencia!$1:$23,((MAX(Equivalencia!$3:$3)-YEAR(X333))*14)+MONTH(X333)+2,FALSE)))</f>
        <v>0</v>
      </c>
      <c r="AB333" s="306">
        <f t="shared" si="93"/>
        <v>0</v>
      </c>
      <c r="AC333" s="305">
        <f>+IF(X333=0,0,HLOOKUP(YEAR(X333)+(MONTH(X333)/100),TC!$5:$37,DAY(X333)+2,FALSE))</f>
        <v>0</v>
      </c>
      <c r="AD333" s="307">
        <f t="shared" si="94"/>
        <v>0</v>
      </c>
      <c r="AE333" s="314">
        <f t="shared" si="95"/>
        <v>0</v>
      </c>
      <c r="AF333" s="315">
        <f t="shared" si="96"/>
        <v>0</v>
      </c>
      <c r="AG333" s="316">
        <f t="shared" si="97"/>
        <v>0</v>
      </c>
      <c r="AH333" s="314">
        <v>1</v>
      </c>
      <c r="AI333" s="314">
        <f t="shared" si="98"/>
        <v>0</v>
      </c>
      <c r="AJ333" s="314">
        <f t="shared" si="99"/>
        <v>0</v>
      </c>
      <c r="AK333" s="317"/>
      <c r="AL333" s="315">
        <f t="shared" si="100"/>
        <v>0</v>
      </c>
      <c r="AN333" s="554">
        <f t="shared" si="101"/>
        <v>0</v>
      </c>
      <c r="AO333" s="314"/>
      <c r="AP333" s="318"/>
    </row>
    <row r="334" spans="2:42">
      <c r="B334" s="296"/>
      <c r="C334" s="299"/>
      <c r="D334" s="298"/>
      <c r="E334" s="299"/>
      <c r="F334" s="299"/>
      <c r="G334" s="300"/>
      <c r="H334" s="303"/>
      <c r="I334" s="301">
        <f t="shared" si="85"/>
        <v>0</v>
      </c>
      <c r="J334" s="302">
        <f t="shared" si="86"/>
        <v>0</v>
      </c>
      <c r="K334" s="304">
        <f t="shared" si="87"/>
        <v>0</v>
      </c>
      <c r="L334" s="305">
        <f>IF(H334=0,0,IF(OR(E334=$AT$5,E334=$AT$6),AA334,IF(F334="MXN",1/HLOOKUP(YEAR(G334)+(MONTH(G334)/100),TC!$5:$37,DAY(G334)+2,FALSE),VLOOKUP(F334,Equivalencia!$5:$23,((MAX(Equivalencia!$3:$3)-YEAR(G334))*14)+MONTH(G334)+2,FALSE))))</f>
        <v>0</v>
      </c>
      <c r="M334" s="306">
        <f t="shared" si="88"/>
        <v>0</v>
      </c>
      <c r="N334" s="305">
        <f>IF(G334=0,0,(IF(OR(E334=$AT$5,E334=$AT$6),AC334,HLOOKUP(YEAR(G334)+(MONTH(G334)/100),TC!$5:$37,DAY(G334)+2,FALSE))))</f>
        <v>0</v>
      </c>
      <c r="O334" s="307">
        <f t="shared" si="89"/>
        <v>0</v>
      </c>
      <c r="P334" s="560">
        <f>IF(G334=0,0,VLOOKUP(YEAR(G334),INPC!$B$4:$P$30,MONTH(G334)+2))</f>
        <v>0</v>
      </c>
      <c r="Q334" s="560">
        <f>IF(X334=0,0,IF(OR(E334=$AT$10,E334=$AT$9),VLOOKUP(YEAR(X334),INPC!$B$4:$P$30,MONTH(X334)+1),VLOOKUP(YEAR(X334),INPC!$B$4:$P$30,MONTH(X334)+2,0)))</f>
        <v>0</v>
      </c>
      <c r="R334" s="309">
        <f t="shared" si="90"/>
        <v>0</v>
      </c>
      <c r="S334" s="310">
        <f t="shared" si="91"/>
        <v>0</v>
      </c>
      <c r="T334" s="555">
        <f t="shared" si="92"/>
        <v>0</v>
      </c>
      <c r="U334" s="311"/>
      <c r="V334" s="312"/>
      <c r="W334" s="299"/>
      <c r="X334" s="300"/>
      <c r="Y334" s="299"/>
      <c r="Z334" s="680"/>
      <c r="AA334" s="305">
        <f>IF(Z334=0,0,IF(Y334="MXN",1/HLOOKUP(YEAR(X334)+(MONTH(X334)/100),TC!$5:$37,DAY(X334)+2,FALSE),VLOOKUP(Y334,Equivalencia!$1:$23,((MAX(Equivalencia!$3:$3)-YEAR(X334))*14)+MONTH(X334)+2,FALSE)))</f>
        <v>0</v>
      </c>
      <c r="AB334" s="306">
        <f t="shared" si="93"/>
        <v>0</v>
      </c>
      <c r="AC334" s="305">
        <f>+IF(X334=0,0,HLOOKUP(YEAR(X334)+(MONTH(X334)/100),TC!$5:$37,DAY(X334)+2,FALSE))</f>
        <v>0</v>
      </c>
      <c r="AD334" s="307">
        <f t="shared" si="94"/>
        <v>0</v>
      </c>
      <c r="AE334" s="314">
        <f t="shared" si="95"/>
        <v>0</v>
      </c>
      <c r="AF334" s="315">
        <f t="shared" si="96"/>
        <v>0</v>
      </c>
      <c r="AG334" s="316">
        <f t="shared" si="97"/>
        <v>0</v>
      </c>
      <c r="AH334" s="314">
        <v>1</v>
      </c>
      <c r="AI334" s="314">
        <f t="shared" si="98"/>
        <v>0</v>
      </c>
      <c r="AJ334" s="314">
        <f t="shared" si="99"/>
        <v>0</v>
      </c>
      <c r="AK334" s="317"/>
      <c r="AL334" s="315">
        <f t="shared" si="100"/>
        <v>0</v>
      </c>
      <c r="AN334" s="554">
        <f t="shared" si="101"/>
        <v>0</v>
      </c>
      <c r="AO334" s="314"/>
      <c r="AP334" s="318"/>
    </row>
    <row r="335" spans="2:42">
      <c r="B335" s="296"/>
      <c r="C335" s="299"/>
      <c r="D335" s="298"/>
      <c r="E335" s="299"/>
      <c r="F335" s="299"/>
      <c r="G335" s="300"/>
      <c r="H335" s="303"/>
      <c r="I335" s="301">
        <f t="shared" si="85"/>
        <v>0</v>
      </c>
      <c r="J335" s="302">
        <f t="shared" si="86"/>
        <v>0</v>
      </c>
      <c r="K335" s="304">
        <f t="shared" si="87"/>
        <v>0</v>
      </c>
      <c r="L335" s="305">
        <f>IF(H335=0,0,IF(OR(E335=$AT$5,E335=$AT$6),AA335,IF(F335="MXN",1/HLOOKUP(YEAR(G335)+(MONTH(G335)/100),TC!$5:$37,DAY(G335)+2,FALSE),VLOOKUP(F335,Equivalencia!$5:$23,((MAX(Equivalencia!$3:$3)-YEAR(G335))*14)+MONTH(G335)+2,FALSE))))</f>
        <v>0</v>
      </c>
      <c r="M335" s="306">
        <f t="shared" si="88"/>
        <v>0</v>
      </c>
      <c r="N335" s="305">
        <f>IF(G335=0,0,(IF(OR(E335=$AT$5,E335=$AT$6),AC335,HLOOKUP(YEAR(G335)+(MONTH(G335)/100),TC!$5:$37,DAY(G335)+2,FALSE))))</f>
        <v>0</v>
      </c>
      <c r="O335" s="307">
        <f t="shared" si="89"/>
        <v>0</v>
      </c>
      <c r="P335" s="560">
        <f>IF(G335=0,0,VLOOKUP(YEAR(G335),INPC!$B$4:$P$30,MONTH(G335)+2))</f>
        <v>0</v>
      </c>
      <c r="Q335" s="560">
        <f>IF(X335=0,0,IF(OR(E335=$AT$10,E335=$AT$9),VLOOKUP(YEAR(X335),INPC!$B$4:$P$30,MONTH(X335)+1),VLOOKUP(YEAR(X335),INPC!$B$4:$P$30,MONTH(X335)+2,0)))</f>
        <v>0</v>
      </c>
      <c r="R335" s="309">
        <f t="shared" si="90"/>
        <v>0</v>
      </c>
      <c r="S335" s="310">
        <f t="shared" si="91"/>
        <v>0</v>
      </c>
      <c r="T335" s="555">
        <f t="shared" si="92"/>
        <v>0</v>
      </c>
      <c r="U335" s="311"/>
      <c r="V335" s="312"/>
      <c r="W335" s="299"/>
      <c r="X335" s="300"/>
      <c r="Y335" s="299"/>
      <c r="Z335" s="303"/>
      <c r="AA335" s="305">
        <f>IF(Z335=0,0,IF(Y335="MXN",1/HLOOKUP(YEAR(X335)+(MONTH(X335)/100),TC!$5:$37,DAY(X335)+2,FALSE),VLOOKUP(Y335,Equivalencia!$1:$23,((MAX(Equivalencia!$3:$3)-YEAR(X335))*14)+MONTH(X335)+2,FALSE)))</f>
        <v>0</v>
      </c>
      <c r="AB335" s="306">
        <f t="shared" si="93"/>
        <v>0</v>
      </c>
      <c r="AC335" s="305">
        <f>+IF(X335=0,0,HLOOKUP(YEAR(X335)+(MONTH(X335)/100),TC!$5:$37,DAY(X335)+2,FALSE))</f>
        <v>0</v>
      </c>
      <c r="AD335" s="307">
        <f t="shared" si="94"/>
        <v>0</v>
      </c>
      <c r="AE335" s="314">
        <f t="shared" si="95"/>
        <v>0</v>
      </c>
      <c r="AF335" s="315">
        <f t="shared" si="96"/>
        <v>0</v>
      </c>
      <c r="AG335" s="316">
        <f t="shared" si="97"/>
        <v>0</v>
      </c>
      <c r="AH335" s="314">
        <v>1</v>
      </c>
      <c r="AI335" s="314">
        <f t="shared" si="98"/>
        <v>0</v>
      </c>
      <c r="AJ335" s="314">
        <f t="shared" si="99"/>
        <v>0</v>
      </c>
      <c r="AK335" s="317"/>
      <c r="AL335" s="315">
        <f t="shared" si="100"/>
        <v>0</v>
      </c>
      <c r="AN335" s="554">
        <f t="shared" si="101"/>
        <v>0</v>
      </c>
      <c r="AO335" s="314"/>
      <c r="AP335" s="318"/>
    </row>
    <row r="336" spans="2:42">
      <c r="B336" s="296"/>
      <c r="C336" s="299"/>
      <c r="D336" s="298"/>
      <c r="E336" s="299"/>
      <c r="F336" s="299"/>
      <c r="G336" s="300"/>
      <c r="H336" s="303"/>
      <c r="I336" s="301">
        <f t="shared" si="85"/>
        <v>0</v>
      </c>
      <c r="J336" s="302">
        <f t="shared" si="86"/>
        <v>0</v>
      </c>
      <c r="K336" s="304">
        <f t="shared" si="87"/>
        <v>0</v>
      </c>
      <c r="L336" s="305">
        <f>IF(H336=0,0,IF(OR(E336=$AT$5,E336=$AT$6),AA336,IF(F336="MXN",1/HLOOKUP(YEAR(G336)+(MONTH(G336)/100),TC!$5:$37,DAY(G336)+2,FALSE),VLOOKUP(F336,Equivalencia!$5:$23,((MAX(Equivalencia!$3:$3)-YEAR(G336))*14)+MONTH(G336)+2,FALSE))))</f>
        <v>0</v>
      </c>
      <c r="M336" s="306">
        <f t="shared" si="88"/>
        <v>0</v>
      </c>
      <c r="N336" s="305">
        <f>IF(G336=0,0,(IF(OR(E336=$AT$5,E336=$AT$6),AC336,HLOOKUP(YEAR(G336)+(MONTH(G336)/100),TC!$5:$37,DAY(G336)+2,FALSE))))</f>
        <v>0</v>
      </c>
      <c r="O336" s="307">
        <f t="shared" si="89"/>
        <v>0</v>
      </c>
      <c r="P336" s="560">
        <f>IF(G336=0,0,VLOOKUP(YEAR(G336),INPC!$B$4:$P$30,MONTH(G336)+2))</f>
        <v>0</v>
      </c>
      <c r="Q336" s="560">
        <f>IF(X336=0,0,IF(OR(E336=$AT$10,E336=$AT$9),VLOOKUP(YEAR(X336),INPC!$B$4:$P$30,MONTH(X336)+1),VLOOKUP(YEAR(X336),INPC!$B$4:$P$30,MONTH(X336)+2,0)))</f>
        <v>0</v>
      </c>
      <c r="R336" s="309">
        <f t="shared" si="90"/>
        <v>0</v>
      </c>
      <c r="S336" s="310">
        <f t="shared" si="91"/>
        <v>0</v>
      </c>
      <c r="T336" s="555">
        <f t="shared" si="92"/>
        <v>0</v>
      </c>
      <c r="U336" s="311"/>
      <c r="V336" s="312"/>
      <c r="W336" s="299"/>
      <c r="X336" s="300"/>
      <c r="Y336" s="299"/>
      <c r="Z336" s="303"/>
      <c r="AA336" s="305">
        <f>IF(Z336=0,0,IF(Y336="MXN",1/HLOOKUP(YEAR(X336)+(MONTH(X336)/100),TC!$5:$37,DAY(X336)+2,FALSE),VLOOKUP(Y336,Equivalencia!$1:$23,((MAX(Equivalencia!$3:$3)-YEAR(X336))*14)+MONTH(X336)+2,FALSE)))</f>
        <v>0</v>
      </c>
      <c r="AB336" s="306">
        <f t="shared" si="93"/>
        <v>0</v>
      </c>
      <c r="AC336" s="305">
        <f>+IF(X336=0,0,HLOOKUP(YEAR(X336)+(MONTH(X336)/100),TC!$5:$37,DAY(X336)+2,FALSE))</f>
        <v>0</v>
      </c>
      <c r="AD336" s="307">
        <f t="shared" si="94"/>
        <v>0</v>
      </c>
      <c r="AE336" s="314">
        <f t="shared" si="95"/>
        <v>0</v>
      </c>
      <c r="AF336" s="315">
        <f t="shared" si="96"/>
        <v>0</v>
      </c>
      <c r="AG336" s="316">
        <f t="shared" si="97"/>
        <v>0</v>
      </c>
      <c r="AH336" s="314">
        <v>1</v>
      </c>
      <c r="AI336" s="314">
        <f t="shared" si="98"/>
        <v>0</v>
      </c>
      <c r="AJ336" s="314">
        <f t="shared" si="99"/>
        <v>0</v>
      </c>
      <c r="AK336" s="317"/>
      <c r="AL336" s="315">
        <f t="shared" si="100"/>
        <v>0</v>
      </c>
      <c r="AN336" s="554">
        <f t="shared" si="101"/>
        <v>0</v>
      </c>
      <c r="AO336" s="314"/>
      <c r="AP336" s="318"/>
    </row>
    <row r="337" spans="2:42">
      <c r="B337" s="296"/>
      <c r="C337" s="299"/>
      <c r="D337" s="298"/>
      <c r="E337" s="299"/>
      <c r="F337" s="299"/>
      <c r="G337" s="300"/>
      <c r="H337" s="303"/>
      <c r="I337" s="301">
        <f t="shared" si="85"/>
        <v>0</v>
      </c>
      <c r="J337" s="302">
        <f t="shared" si="86"/>
        <v>0</v>
      </c>
      <c r="K337" s="304">
        <f t="shared" si="87"/>
        <v>0</v>
      </c>
      <c r="L337" s="305">
        <f>IF(H337=0,0,IF(OR(E337=$AT$5,E337=$AT$6),AA337,IF(F337="MXN",1/HLOOKUP(YEAR(G337)+(MONTH(G337)/100),TC!$5:$37,DAY(G337)+2,FALSE),VLOOKUP(F337,Equivalencia!$5:$23,((MAX(Equivalencia!$3:$3)-YEAR(G337))*14)+MONTH(G337)+2,FALSE))))</f>
        <v>0</v>
      </c>
      <c r="M337" s="306">
        <f t="shared" si="88"/>
        <v>0</v>
      </c>
      <c r="N337" s="305">
        <f>IF(G337=0,0,(IF(OR(E337=$AT$5,E337=$AT$6),AC337,HLOOKUP(YEAR(G337)+(MONTH(G337)/100),TC!$5:$37,DAY(G337)+2,FALSE))))</f>
        <v>0</v>
      </c>
      <c r="O337" s="307">
        <f t="shared" si="89"/>
        <v>0</v>
      </c>
      <c r="P337" s="560">
        <f>IF(G337=0,0,VLOOKUP(YEAR(G337),INPC!$B$4:$P$30,MONTH(G337)+2))</f>
        <v>0</v>
      </c>
      <c r="Q337" s="560">
        <f>IF(X337=0,0,IF(OR(E337=$AT$10,E337=$AT$9),VLOOKUP(YEAR(X337),INPC!$B$4:$P$30,MONTH(X337)+1),VLOOKUP(YEAR(X337),INPC!$B$4:$P$30,MONTH(X337)+2,0)))</f>
        <v>0</v>
      </c>
      <c r="R337" s="309">
        <f t="shared" si="90"/>
        <v>0</v>
      </c>
      <c r="S337" s="310">
        <f t="shared" si="91"/>
        <v>0</v>
      </c>
      <c r="T337" s="555">
        <f t="shared" si="92"/>
        <v>0</v>
      </c>
      <c r="U337" s="311"/>
      <c r="V337" s="312"/>
      <c r="W337" s="299"/>
      <c r="X337" s="300"/>
      <c r="Y337" s="299"/>
      <c r="Z337" s="303"/>
      <c r="AA337" s="305">
        <f>IF(Z337=0,0,IF(Y337="MXN",1/HLOOKUP(YEAR(X337)+(MONTH(X337)/100),TC!$5:$37,DAY(X337)+2,FALSE),VLOOKUP(Y337,Equivalencia!$1:$23,((MAX(Equivalencia!$3:$3)-YEAR(X337))*14)+MONTH(X337)+2,FALSE)))</f>
        <v>0</v>
      </c>
      <c r="AB337" s="306">
        <f t="shared" si="93"/>
        <v>0</v>
      </c>
      <c r="AC337" s="305">
        <f>+IF(X337=0,0,HLOOKUP(YEAR(X337)+(MONTH(X337)/100),TC!$5:$37,DAY(X337)+2,FALSE))</f>
        <v>0</v>
      </c>
      <c r="AD337" s="307">
        <f t="shared" si="94"/>
        <v>0</v>
      </c>
      <c r="AE337" s="314">
        <f t="shared" si="95"/>
        <v>0</v>
      </c>
      <c r="AF337" s="315">
        <f t="shared" si="96"/>
        <v>0</v>
      </c>
      <c r="AG337" s="316">
        <f t="shared" si="97"/>
        <v>0</v>
      </c>
      <c r="AH337" s="314">
        <v>1</v>
      </c>
      <c r="AI337" s="314">
        <f t="shared" si="98"/>
        <v>0</v>
      </c>
      <c r="AJ337" s="314">
        <f t="shared" si="99"/>
        <v>0</v>
      </c>
      <c r="AK337" s="317"/>
      <c r="AL337" s="315">
        <f t="shared" si="100"/>
        <v>0</v>
      </c>
      <c r="AN337" s="554">
        <f t="shared" si="101"/>
        <v>0</v>
      </c>
      <c r="AO337" s="314"/>
      <c r="AP337" s="318"/>
    </row>
    <row r="338" spans="2:42">
      <c r="B338" s="296"/>
      <c r="C338" s="299"/>
      <c r="D338" s="298"/>
      <c r="E338" s="299"/>
      <c r="F338" s="299"/>
      <c r="G338" s="300"/>
      <c r="H338" s="303"/>
      <c r="I338" s="301">
        <f t="shared" si="85"/>
        <v>0</v>
      </c>
      <c r="J338" s="302">
        <f t="shared" si="86"/>
        <v>0</v>
      </c>
      <c r="K338" s="304">
        <f t="shared" si="87"/>
        <v>0</v>
      </c>
      <c r="L338" s="305">
        <f>IF(H338=0,0,IF(OR(E338=$AT$5,E338=$AT$6),AA338,IF(F338="MXN",1/HLOOKUP(YEAR(G338)+(MONTH(G338)/100),TC!$5:$37,DAY(G338)+2,FALSE),VLOOKUP(F338,Equivalencia!$5:$23,((MAX(Equivalencia!$3:$3)-YEAR(G338))*14)+MONTH(G338)+2,FALSE))))</f>
        <v>0</v>
      </c>
      <c r="M338" s="306">
        <f t="shared" si="88"/>
        <v>0</v>
      </c>
      <c r="N338" s="305">
        <f>IF(G338=0,0,(IF(OR(E338=$AT$5,E338=$AT$6),AC338,HLOOKUP(YEAR(G338)+(MONTH(G338)/100),TC!$5:$37,DAY(G338)+2,FALSE))))</f>
        <v>0</v>
      </c>
      <c r="O338" s="307">
        <f t="shared" si="89"/>
        <v>0</v>
      </c>
      <c r="P338" s="560">
        <f>IF(G338=0,0,VLOOKUP(YEAR(G338),INPC!$B$4:$P$30,MONTH(G338)+2))</f>
        <v>0</v>
      </c>
      <c r="Q338" s="560">
        <f>IF(X338=0,0,IF(OR(E338=$AT$10,E338=$AT$9),VLOOKUP(YEAR(X338),INPC!$B$4:$P$30,MONTH(X338)+1),VLOOKUP(YEAR(X338),INPC!$B$4:$P$30,MONTH(X338)+2,0)))</f>
        <v>0</v>
      </c>
      <c r="R338" s="309">
        <f t="shared" si="90"/>
        <v>0</v>
      </c>
      <c r="S338" s="310">
        <f t="shared" si="91"/>
        <v>0</v>
      </c>
      <c r="T338" s="555">
        <f t="shared" si="92"/>
        <v>0</v>
      </c>
      <c r="U338" s="311"/>
      <c r="V338" s="312"/>
      <c r="W338" s="299"/>
      <c r="X338" s="300"/>
      <c r="Y338" s="299"/>
      <c r="Z338" s="303"/>
      <c r="AA338" s="305">
        <f>IF(Z338=0,0,IF(Y338="MXN",1/HLOOKUP(YEAR(X338)+(MONTH(X338)/100),TC!$5:$37,DAY(X338)+2,FALSE),VLOOKUP(Y338,Equivalencia!$1:$23,((MAX(Equivalencia!$3:$3)-YEAR(X338))*14)+MONTH(X338)+2,FALSE)))</f>
        <v>0</v>
      </c>
      <c r="AB338" s="306">
        <f t="shared" si="93"/>
        <v>0</v>
      </c>
      <c r="AC338" s="305">
        <f>+IF(X338=0,0,HLOOKUP(YEAR(X338)+(MONTH(X338)/100),TC!$5:$37,DAY(X338)+2,FALSE))</f>
        <v>0</v>
      </c>
      <c r="AD338" s="307">
        <f t="shared" si="94"/>
        <v>0</v>
      </c>
      <c r="AE338" s="314">
        <f t="shared" si="95"/>
        <v>0</v>
      </c>
      <c r="AF338" s="315">
        <f t="shared" si="96"/>
        <v>0</v>
      </c>
      <c r="AG338" s="316">
        <f t="shared" si="97"/>
        <v>0</v>
      </c>
      <c r="AH338" s="314">
        <v>1</v>
      </c>
      <c r="AI338" s="314">
        <f t="shared" si="98"/>
        <v>0</v>
      </c>
      <c r="AJ338" s="314">
        <f t="shared" si="99"/>
        <v>0</v>
      </c>
      <c r="AK338" s="317"/>
      <c r="AL338" s="315">
        <f t="shared" si="100"/>
        <v>0</v>
      </c>
      <c r="AN338" s="554">
        <f t="shared" si="101"/>
        <v>0</v>
      </c>
      <c r="AO338" s="314"/>
      <c r="AP338" s="318"/>
    </row>
    <row r="339" spans="2:42">
      <c r="B339" s="296"/>
      <c r="C339" s="299"/>
      <c r="D339" s="298"/>
      <c r="E339" s="299"/>
      <c r="F339" s="299"/>
      <c r="G339" s="300"/>
      <c r="H339" s="303"/>
      <c r="I339" s="301">
        <f t="shared" si="85"/>
        <v>0</v>
      </c>
      <c r="J339" s="302">
        <f t="shared" si="86"/>
        <v>0</v>
      </c>
      <c r="K339" s="304">
        <f t="shared" si="87"/>
        <v>0</v>
      </c>
      <c r="L339" s="305">
        <f>IF(H339=0,0,IF(OR(E339=$AT$5,E339=$AT$6),AA339,IF(F339="MXN",1/HLOOKUP(YEAR(G339)+(MONTH(G339)/100),TC!$5:$37,DAY(G339)+2,FALSE),VLOOKUP(F339,Equivalencia!$5:$23,((MAX(Equivalencia!$3:$3)-YEAR(G339))*14)+MONTH(G339)+2,FALSE))))</f>
        <v>0</v>
      </c>
      <c r="M339" s="306">
        <f t="shared" si="88"/>
        <v>0</v>
      </c>
      <c r="N339" s="305">
        <f>IF(G339=0,0,(IF(OR(E339=$AT$5,E339=$AT$6),AC339,HLOOKUP(YEAR(G339)+(MONTH(G339)/100),TC!$5:$37,DAY(G339)+2,FALSE))))</f>
        <v>0</v>
      </c>
      <c r="O339" s="307">
        <f t="shared" si="89"/>
        <v>0</v>
      </c>
      <c r="P339" s="560">
        <f>IF(G339=0,0,VLOOKUP(YEAR(G339),INPC!$B$4:$P$30,MONTH(G339)+2))</f>
        <v>0</v>
      </c>
      <c r="Q339" s="560">
        <f>IF(X339=0,0,IF(OR(E339=$AT$10,E339=$AT$9),VLOOKUP(YEAR(X339),INPC!$B$4:$P$30,MONTH(X339)+1),VLOOKUP(YEAR(X339),INPC!$B$4:$P$30,MONTH(X339)+2,0)))</f>
        <v>0</v>
      </c>
      <c r="R339" s="309">
        <f t="shared" si="90"/>
        <v>0</v>
      </c>
      <c r="S339" s="310">
        <f t="shared" si="91"/>
        <v>0</v>
      </c>
      <c r="T339" s="555">
        <f t="shared" si="92"/>
        <v>0</v>
      </c>
      <c r="U339" s="311"/>
      <c r="V339" s="312"/>
      <c r="W339" s="299"/>
      <c r="X339" s="300"/>
      <c r="Y339" s="299"/>
      <c r="Z339" s="303"/>
      <c r="AA339" s="305">
        <f>IF(Z339=0,0,IF(Y339="MXN",1/HLOOKUP(YEAR(X339)+(MONTH(X339)/100),TC!$5:$37,DAY(X339)+2,FALSE),VLOOKUP(Y339,Equivalencia!$1:$23,((MAX(Equivalencia!$3:$3)-YEAR(X339))*14)+MONTH(X339)+2,FALSE)))</f>
        <v>0</v>
      </c>
      <c r="AB339" s="306">
        <f t="shared" si="93"/>
        <v>0</v>
      </c>
      <c r="AC339" s="305">
        <f>+IF(X339=0,0,HLOOKUP(YEAR(X339)+(MONTH(X339)/100),TC!$5:$37,DAY(X339)+2,FALSE))</f>
        <v>0</v>
      </c>
      <c r="AD339" s="307">
        <f t="shared" si="94"/>
        <v>0</v>
      </c>
      <c r="AE339" s="314">
        <f t="shared" si="95"/>
        <v>0</v>
      </c>
      <c r="AF339" s="315">
        <f t="shared" si="96"/>
        <v>0</v>
      </c>
      <c r="AG339" s="316">
        <f t="shared" si="97"/>
        <v>0</v>
      </c>
      <c r="AH339" s="314">
        <v>1</v>
      </c>
      <c r="AI339" s="314">
        <f t="shared" si="98"/>
        <v>0</v>
      </c>
      <c r="AJ339" s="314">
        <f t="shared" si="99"/>
        <v>0</v>
      </c>
      <c r="AK339" s="317"/>
      <c r="AL339" s="315">
        <f t="shared" si="100"/>
        <v>0</v>
      </c>
      <c r="AN339" s="554">
        <f t="shared" si="101"/>
        <v>0</v>
      </c>
      <c r="AO339" s="314"/>
      <c r="AP339" s="318"/>
    </row>
    <row r="340" spans="2:42">
      <c r="B340" s="296"/>
      <c r="C340" s="299"/>
      <c r="D340" s="298"/>
      <c r="E340" s="299"/>
      <c r="F340" s="299"/>
      <c r="G340" s="300"/>
      <c r="H340" s="303"/>
      <c r="I340" s="301">
        <f t="shared" si="85"/>
        <v>0</v>
      </c>
      <c r="J340" s="302">
        <f t="shared" si="86"/>
        <v>0</v>
      </c>
      <c r="K340" s="304">
        <f t="shared" si="87"/>
        <v>0</v>
      </c>
      <c r="L340" s="305">
        <f>IF(H340=0,0,IF(OR(E340=$AT$5,E340=$AT$6),AA340,IF(F340="MXN",1/HLOOKUP(YEAR(G340)+(MONTH(G340)/100),TC!$5:$37,DAY(G340)+2,FALSE),VLOOKUP(F340,Equivalencia!$5:$23,((MAX(Equivalencia!$3:$3)-YEAR(G340))*14)+MONTH(G340)+2,FALSE))))</f>
        <v>0</v>
      </c>
      <c r="M340" s="306">
        <f t="shared" si="88"/>
        <v>0</v>
      </c>
      <c r="N340" s="305">
        <f>IF(G340=0,0,(IF(OR(E340=$AT$5,E340=$AT$6),AC340,HLOOKUP(YEAR(G340)+(MONTH(G340)/100),TC!$5:$37,DAY(G340)+2,FALSE))))</f>
        <v>0</v>
      </c>
      <c r="O340" s="307">
        <f t="shared" si="89"/>
        <v>0</v>
      </c>
      <c r="P340" s="560">
        <f>IF(G340=0,0,VLOOKUP(YEAR(G340),INPC!$B$4:$P$30,MONTH(G340)+2))</f>
        <v>0</v>
      </c>
      <c r="Q340" s="560">
        <f>IF(X340=0,0,IF(OR(E340=$AT$10,E340=$AT$9),VLOOKUP(YEAR(X340),INPC!$B$4:$P$30,MONTH(X340)+1),VLOOKUP(YEAR(X340),INPC!$B$4:$P$30,MONTH(X340)+2,0)))</f>
        <v>0</v>
      </c>
      <c r="R340" s="309">
        <f t="shared" si="90"/>
        <v>0</v>
      </c>
      <c r="S340" s="310">
        <f t="shared" si="91"/>
        <v>0</v>
      </c>
      <c r="T340" s="555">
        <f t="shared" si="92"/>
        <v>0</v>
      </c>
      <c r="U340" s="311"/>
      <c r="V340" s="312"/>
      <c r="W340" s="299"/>
      <c r="X340" s="300"/>
      <c r="Y340" s="299"/>
      <c r="Z340" s="303"/>
      <c r="AA340" s="305">
        <f>IF(Z340=0,0,IF(Y340="MXN",1/HLOOKUP(YEAR(X340)+(MONTH(X340)/100),TC!$5:$37,DAY(X340)+2,FALSE),VLOOKUP(Y340,Equivalencia!$1:$23,((MAX(Equivalencia!$3:$3)-YEAR(X340))*14)+MONTH(X340)+2,FALSE)))</f>
        <v>0</v>
      </c>
      <c r="AB340" s="306">
        <f t="shared" si="93"/>
        <v>0</v>
      </c>
      <c r="AC340" s="305">
        <f>+IF(X340=0,0,HLOOKUP(YEAR(X340)+(MONTH(X340)/100),TC!$5:$37,DAY(X340)+2,FALSE))</f>
        <v>0</v>
      </c>
      <c r="AD340" s="307">
        <f t="shared" si="94"/>
        <v>0</v>
      </c>
      <c r="AE340" s="314">
        <f t="shared" si="95"/>
        <v>0</v>
      </c>
      <c r="AF340" s="315">
        <f t="shared" si="96"/>
        <v>0</v>
      </c>
      <c r="AG340" s="316">
        <f t="shared" si="97"/>
        <v>0</v>
      </c>
      <c r="AH340" s="314">
        <v>1</v>
      </c>
      <c r="AI340" s="314">
        <f t="shared" si="98"/>
        <v>0</v>
      </c>
      <c r="AJ340" s="314">
        <f t="shared" si="99"/>
        <v>0</v>
      </c>
      <c r="AK340" s="317"/>
      <c r="AL340" s="315">
        <f t="shared" si="100"/>
        <v>0</v>
      </c>
      <c r="AN340" s="554">
        <f t="shared" si="101"/>
        <v>0</v>
      </c>
      <c r="AO340" s="314"/>
      <c r="AP340" s="318"/>
    </row>
    <row r="341" spans="2:42">
      <c r="B341" s="296"/>
      <c r="C341" s="299"/>
      <c r="D341" s="298"/>
      <c r="E341" s="299"/>
      <c r="F341" s="299"/>
      <c r="G341" s="300"/>
      <c r="H341" s="303"/>
      <c r="I341" s="301">
        <f t="shared" si="85"/>
        <v>0</v>
      </c>
      <c r="J341" s="302">
        <f t="shared" si="86"/>
        <v>0</v>
      </c>
      <c r="K341" s="304">
        <f t="shared" si="87"/>
        <v>0</v>
      </c>
      <c r="L341" s="305">
        <f>IF(H341=0,0,IF(OR(E341=$AT$5,E341=$AT$6),AA341,IF(F341="MXN",1/HLOOKUP(YEAR(G341)+(MONTH(G341)/100),TC!$5:$37,DAY(G341)+2,FALSE),VLOOKUP(F341,Equivalencia!$5:$23,((MAX(Equivalencia!$3:$3)-YEAR(G341))*14)+MONTH(G341)+2,FALSE))))</f>
        <v>0</v>
      </c>
      <c r="M341" s="306">
        <f t="shared" si="88"/>
        <v>0</v>
      </c>
      <c r="N341" s="305">
        <f>IF(G341=0,0,(IF(OR(E341=$AT$5,E341=$AT$6),AC341,HLOOKUP(YEAR(G341)+(MONTH(G341)/100),TC!$5:$37,DAY(G341)+2,FALSE))))</f>
        <v>0</v>
      </c>
      <c r="O341" s="307">
        <f t="shared" si="89"/>
        <v>0</v>
      </c>
      <c r="P341" s="560">
        <f>IF(G341=0,0,VLOOKUP(YEAR(G341),INPC!$B$4:$P$30,MONTH(G341)+2))</f>
        <v>0</v>
      </c>
      <c r="Q341" s="560">
        <f>IF(X341=0,0,IF(OR(E341=$AT$10,E341=$AT$9),VLOOKUP(YEAR(X341),INPC!$B$4:$P$30,MONTH(X341)+1),VLOOKUP(YEAR(X341),INPC!$B$4:$P$30,MONTH(X341)+2,0)))</f>
        <v>0</v>
      </c>
      <c r="R341" s="309">
        <f t="shared" si="90"/>
        <v>0</v>
      </c>
      <c r="S341" s="310">
        <f t="shared" si="91"/>
        <v>0</v>
      </c>
      <c r="T341" s="555">
        <f t="shared" si="92"/>
        <v>0</v>
      </c>
      <c r="U341" s="311"/>
      <c r="V341" s="312"/>
      <c r="W341" s="299"/>
      <c r="X341" s="300"/>
      <c r="Y341" s="299"/>
      <c r="Z341" s="303"/>
      <c r="AA341" s="305">
        <f>IF(Z341=0,0,IF(Y341="MXN",1/HLOOKUP(YEAR(X341)+(MONTH(X341)/100),TC!$5:$37,DAY(X341)+2,FALSE),VLOOKUP(Y341,Equivalencia!$1:$23,((MAX(Equivalencia!$3:$3)-YEAR(X341))*14)+MONTH(X341)+2,FALSE)))</f>
        <v>0</v>
      </c>
      <c r="AB341" s="306">
        <f t="shared" si="93"/>
        <v>0</v>
      </c>
      <c r="AC341" s="305">
        <f>+IF(X341=0,0,HLOOKUP(YEAR(X341)+(MONTH(X341)/100),TC!$5:$37,DAY(X341)+2,FALSE))</f>
        <v>0</v>
      </c>
      <c r="AD341" s="307">
        <f t="shared" si="94"/>
        <v>0</v>
      </c>
      <c r="AE341" s="314">
        <f t="shared" si="95"/>
        <v>0</v>
      </c>
      <c r="AF341" s="315">
        <f t="shared" si="96"/>
        <v>0</v>
      </c>
      <c r="AG341" s="316">
        <f t="shared" si="97"/>
        <v>0</v>
      </c>
      <c r="AH341" s="314">
        <v>1</v>
      </c>
      <c r="AI341" s="314">
        <f t="shared" si="98"/>
        <v>0</v>
      </c>
      <c r="AJ341" s="314">
        <f t="shared" si="99"/>
        <v>0</v>
      </c>
      <c r="AK341" s="317"/>
      <c r="AL341" s="315">
        <f t="shared" si="100"/>
        <v>0</v>
      </c>
      <c r="AN341" s="554">
        <f t="shared" si="101"/>
        <v>0</v>
      </c>
      <c r="AO341" s="314"/>
      <c r="AP341" s="318"/>
    </row>
    <row r="342" spans="2:42">
      <c r="B342" s="296"/>
      <c r="C342" s="299"/>
      <c r="D342" s="298"/>
      <c r="E342" s="299"/>
      <c r="F342" s="299"/>
      <c r="G342" s="300"/>
      <c r="H342" s="303"/>
      <c r="I342" s="301">
        <f t="shared" si="85"/>
        <v>0</v>
      </c>
      <c r="J342" s="302">
        <f t="shared" si="86"/>
        <v>0</v>
      </c>
      <c r="K342" s="304">
        <f t="shared" si="87"/>
        <v>0</v>
      </c>
      <c r="L342" s="305">
        <f>IF(H342=0,0,IF(OR(E342=$AT$5,E342=$AT$6),AA342,IF(F342="MXN",1/HLOOKUP(YEAR(G342)+(MONTH(G342)/100),TC!$5:$37,DAY(G342)+2,FALSE),VLOOKUP(F342,Equivalencia!$5:$23,((MAX(Equivalencia!$3:$3)-YEAR(G342))*14)+MONTH(G342)+2,FALSE))))</f>
        <v>0</v>
      </c>
      <c r="M342" s="306">
        <f t="shared" si="88"/>
        <v>0</v>
      </c>
      <c r="N342" s="305">
        <f>IF(G342=0,0,(IF(OR(E342=$AT$5,E342=$AT$6),AC342,HLOOKUP(YEAR(G342)+(MONTH(G342)/100),TC!$5:$37,DAY(G342)+2,FALSE))))</f>
        <v>0</v>
      </c>
      <c r="O342" s="307">
        <f t="shared" si="89"/>
        <v>0</v>
      </c>
      <c r="P342" s="560">
        <f>IF(G342=0,0,VLOOKUP(YEAR(G342),INPC!$B$4:$P$30,MONTH(G342)+2))</f>
        <v>0</v>
      </c>
      <c r="Q342" s="560">
        <f>IF(X342=0,0,IF(OR(E342=$AT$10,E342=$AT$9),VLOOKUP(YEAR(X342),INPC!$B$4:$P$30,MONTH(X342)+1),VLOOKUP(YEAR(X342),INPC!$B$4:$P$30,MONTH(X342)+2,0)))</f>
        <v>0</v>
      </c>
      <c r="R342" s="309">
        <f t="shared" si="90"/>
        <v>0</v>
      </c>
      <c r="S342" s="310">
        <f t="shared" si="91"/>
        <v>0</v>
      </c>
      <c r="T342" s="555">
        <f t="shared" si="92"/>
        <v>0</v>
      </c>
      <c r="U342" s="311"/>
      <c r="V342" s="312"/>
      <c r="W342" s="299"/>
      <c r="X342" s="300"/>
      <c r="Y342" s="299"/>
      <c r="Z342" s="303"/>
      <c r="AA342" s="305">
        <f>IF(Z342=0,0,IF(Y342="MXN",1/HLOOKUP(YEAR(X342)+(MONTH(X342)/100),TC!$5:$37,DAY(X342)+2,FALSE),VLOOKUP(Y342,Equivalencia!$1:$23,((MAX(Equivalencia!$3:$3)-YEAR(X342))*14)+MONTH(X342)+2,FALSE)))</f>
        <v>0</v>
      </c>
      <c r="AB342" s="306">
        <f t="shared" si="93"/>
        <v>0</v>
      </c>
      <c r="AC342" s="305">
        <f>+IF(X342=0,0,HLOOKUP(YEAR(X342)+(MONTH(X342)/100),TC!$5:$37,DAY(X342)+2,FALSE))</f>
        <v>0</v>
      </c>
      <c r="AD342" s="307">
        <f t="shared" si="94"/>
        <v>0</v>
      </c>
      <c r="AE342" s="314">
        <f t="shared" si="95"/>
        <v>0</v>
      </c>
      <c r="AF342" s="315">
        <f t="shared" si="96"/>
        <v>0</v>
      </c>
      <c r="AG342" s="316">
        <f t="shared" si="97"/>
        <v>0</v>
      </c>
      <c r="AH342" s="314">
        <v>1</v>
      </c>
      <c r="AI342" s="314">
        <f t="shared" si="98"/>
        <v>0</v>
      </c>
      <c r="AJ342" s="314">
        <f t="shared" si="99"/>
        <v>0</v>
      </c>
      <c r="AK342" s="317"/>
      <c r="AL342" s="315">
        <f t="shared" si="100"/>
        <v>0</v>
      </c>
      <c r="AN342" s="554">
        <f t="shared" si="101"/>
        <v>0</v>
      </c>
      <c r="AO342" s="314"/>
      <c r="AP342" s="318"/>
    </row>
    <row r="343" spans="2:42">
      <c r="B343" s="296"/>
      <c r="C343" s="299"/>
      <c r="D343" s="298"/>
      <c r="E343" s="299"/>
      <c r="F343" s="299"/>
      <c r="G343" s="300"/>
      <c r="H343" s="303"/>
      <c r="I343" s="301">
        <f t="shared" si="85"/>
        <v>0</v>
      </c>
      <c r="J343" s="302">
        <f t="shared" si="86"/>
        <v>0</v>
      </c>
      <c r="K343" s="304">
        <f t="shared" si="87"/>
        <v>0</v>
      </c>
      <c r="L343" s="305">
        <f>IF(H343=0,0,IF(OR(E343=$AT$5,E343=$AT$6),AA343,IF(F343="MXN",1/HLOOKUP(YEAR(G343)+(MONTH(G343)/100),TC!$5:$37,DAY(G343)+2,FALSE),VLOOKUP(F343,Equivalencia!$5:$23,((MAX(Equivalencia!$3:$3)-YEAR(G343))*14)+MONTH(G343)+2,FALSE))))</f>
        <v>0</v>
      </c>
      <c r="M343" s="306">
        <f t="shared" si="88"/>
        <v>0</v>
      </c>
      <c r="N343" s="305">
        <f>IF(G343=0,0,(IF(OR(E343=$AT$5,E343=$AT$6),AC343,HLOOKUP(YEAR(G343)+(MONTH(G343)/100),TC!$5:$37,DAY(G343)+2,FALSE))))</f>
        <v>0</v>
      </c>
      <c r="O343" s="307">
        <f t="shared" si="89"/>
        <v>0</v>
      </c>
      <c r="P343" s="560">
        <f>IF(G343=0,0,VLOOKUP(YEAR(G343),INPC!$B$4:$P$30,MONTH(G343)+2))</f>
        <v>0</v>
      </c>
      <c r="Q343" s="560">
        <f>IF(X343=0,0,IF(OR(E343=$AT$10,E343=$AT$9),VLOOKUP(YEAR(X343),INPC!$B$4:$P$30,MONTH(X343)+1),VLOOKUP(YEAR(X343),INPC!$B$4:$P$30,MONTH(X343)+2,0)))</f>
        <v>0</v>
      </c>
      <c r="R343" s="309">
        <f t="shared" si="90"/>
        <v>0</v>
      </c>
      <c r="S343" s="310">
        <f t="shared" si="91"/>
        <v>0</v>
      </c>
      <c r="T343" s="555">
        <f t="shared" si="92"/>
        <v>0</v>
      </c>
      <c r="U343" s="311"/>
      <c r="V343" s="312"/>
      <c r="W343" s="299"/>
      <c r="X343" s="300"/>
      <c r="Y343" s="299"/>
      <c r="Z343" s="303"/>
      <c r="AA343" s="305">
        <f>IF(Z343=0,0,IF(Y343="MXN",1/HLOOKUP(YEAR(X343)+(MONTH(X343)/100),TC!$5:$37,DAY(X343)+2,FALSE),VLOOKUP(Y343,Equivalencia!$1:$23,((MAX(Equivalencia!$3:$3)-YEAR(X343))*14)+MONTH(X343)+2,FALSE)))</f>
        <v>0</v>
      </c>
      <c r="AB343" s="306">
        <f t="shared" si="93"/>
        <v>0</v>
      </c>
      <c r="AC343" s="305">
        <f>+IF(X343=0,0,HLOOKUP(YEAR(X343)+(MONTH(X343)/100),TC!$5:$37,DAY(X343)+2,FALSE))</f>
        <v>0</v>
      </c>
      <c r="AD343" s="307">
        <f t="shared" si="94"/>
        <v>0</v>
      </c>
      <c r="AE343" s="314">
        <f t="shared" si="95"/>
        <v>0</v>
      </c>
      <c r="AF343" s="315">
        <f t="shared" si="96"/>
        <v>0</v>
      </c>
      <c r="AG343" s="316">
        <f t="shared" si="97"/>
        <v>0</v>
      </c>
      <c r="AH343" s="314">
        <v>1</v>
      </c>
      <c r="AI343" s="314">
        <f t="shared" si="98"/>
        <v>0</v>
      </c>
      <c r="AJ343" s="314">
        <f t="shared" si="99"/>
        <v>0</v>
      </c>
      <c r="AK343" s="317"/>
      <c r="AL343" s="315">
        <f t="shared" si="100"/>
        <v>0</v>
      </c>
      <c r="AN343" s="554">
        <f t="shared" si="101"/>
        <v>0</v>
      </c>
      <c r="AO343" s="314"/>
      <c r="AP343" s="318"/>
    </row>
    <row r="344" spans="2:42">
      <c r="B344" s="296"/>
      <c r="C344" s="299"/>
      <c r="D344" s="298"/>
      <c r="E344" s="299"/>
      <c r="F344" s="299"/>
      <c r="G344" s="300"/>
      <c r="H344" s="303"/>
      <c r="I344" s="301">
        <f t="shared" si="85"/>
        <v>0</v>
      </c>
      <c r="J344" s="302">
        <f t="shared" si="86"/>
        <v>0</v>
      </c>
      <c r="K344" s="304">
        <f t="shared" si="87"/>
        <v>0</v>
      </c>
      <c r="L344" s="305">
        <f>IF(H344=0,0,IF(OR(E344=$AT$5,E344=$AT$6),AA344,IF(F344="MXN",1/HLOOKUP(YEAR(G344)+(MONTH(G344)/100),TC!$5:$37,DAY(G344)+2,FALSE),VLOOKUP(F344,Equivalencia!$5:$23,((MAX(Equivalencia!$3:$3)-YEAR(G344))*14)+MONTH(G344)+2,FALSE))))</f>
        <v>0</v>
      </c>
      <c r="M344" s="306">
        <f t="shared" si="88"/>
        <v>0</v>
      </c>
      <c r="N344" s="305">
        <f>IF(G344=0,0,(IF(OR(E344=$AT$5,E344=$AT$6),AC344,HLOOKUP(YEAR(G344)+(MONTH(G344)/100),TC!$5:$37,DAY(G344)+2,FALSE))))</f>
        <v>0</v>
      </c>
      <c r="O344" s="307">
        <f t="shared" si="89"/>
        <v>0</v>
      </c>
      <c r="P344" s="560">
        <f>IF(G344=0,0,VLOOKUP(YEAR(G344),INPC!$B$4:$P$30,MONTH(G344)+2))</f>
        <v>0</v>
      </c>
      <c r="Q344" s="560">
        <f>IF(X344=0,0,IF(OR(E344=$AT$10,E344=$AT$9),VLOOKUP(YEAR(X344),INPC!$B$4:$P$30,MONTH(X344)+1),VLOOKUP(YEAR(X344),INPC!$B$4:$P$30,MONTH(X344)+2,0)))</f>
        <v>0</v>
      </c>
      <c r="R344" s="309">
        <f t="shared" si="90"/>
        <v>0</v>
      </c>
      <c r="S344" s="310">
        <f t="shared" si="91"/>
        <v>0</v>
      </c>
      <c r="T344" s="555">
        <f t="shared" si="92"/>
        <v>0</v>
      </c>
      <c r="U344" s="311"/>
      <c r="V344" s="312"/>
      <c r="W344" s="299"/>
      <c r="X344" s="300"/>
      <c r="Y344" s="299"/>
      <c r="Z344" s="303"/>
      <c r="AA344" s="305">
        <f>IF(Z344=0,0,IF(Y344="MXN",1/HLOOKUP(YEAR(X344)+(MONTH(X344)/100),TC!$5:$37,DAY(X344)+2,FALSE),VLOOKUP(Y344,Equivalencia!$1:$23,((MAX(Equivalencia!$3:$3)-YEAR(X344))*14)+MONTH(X344)+2,FALSE)))</f>
        <v>0</v>
      </c>
      <c r="AB344" s="306">
        <f t="shared" si="93"/>
        <v>0</v>
      </c>
      <c r="AC344" s="305">
        <f>+IF(X344=0,0,HLOOKUP(YEAR(X344)+(MONTH(X344)/100),TC!$5:$37,DAY(X344)+2,FALSE))</f>
        <v>0</v>
      </c>
      <c r="AD344" s="307">
        <f t="shared" si="94"/>
        <v>0</v>
      </c>
      <c r="AE344" s="314">
        <f t="shared" si="95"/>
        <v>0</v>
      </c>
      <c r="AF344" s="315">
        <f t="shared" si="96"/>
        <v>0</v>
      </c>
      <c r="AG344" s="316">
        <f t="shared" si="97"/>
        <v>0</v>
      </c>
      <c r="AH344" s="314">
        <v>1</v>
      </c>
      <c r="AI344" s="314">
        <f t="shared" si="98"/>
        <v>0</v>
      </c>
      <c r="AJ344" s="314">
        <f t="shared" si="99"/>
        <v>0</v>
      </c>
      <c r="AK344" s="317"/>
      <c r="AL344" s="315">
        <f t="shared" si="100"/>
        <v>0</v>
      </c>
      <c r="AN344" s="554">
        <f t="shared" si="101"/>
        <v>0</v>
      </c>
      <c r="AO344" s="314"/>
      <c r="AP344" s="318"/>
    </row>
    <row r="345" spans="2:42">
      <c r="B345" s="296"/>
      <c r="C345" s="299"/>
      <c r="D345" s="298"/>
      <c r="E345" s="299"/>
      <c r="F345" s="299"/>
      <c r="G345" s="300"/>
      <c r="H345" s="303"/>
      <c r="I345" s="301">
        <f t="shared" si="85"/>
        <v>0</v>
      </c>
      <c r="J345" s="302">
        <f t="shared" si="86"/>
        <v>0</v>
      </c>
      <c r="K345" s="304">
        <f t="shared" si="87"/>
        <v>0</v>
      </c>
      <c r="L345" s="305">
        <f>IF(H345=0,0,IF(OR(E345=$AT$5,E345=$AT$6),AA345,IF(F345="MXN",1/HLOOKUP(YEAR(G345)+(MONTH(G345)/100),TC!$5:$37,DAY(G345)+2,FALSE),VLOOKUP(F345,Equivalencia!$5:$23,((MAX(Equivalencia!$3:$3)-YEAR(G345))*14)+MONTH(G345)+2,FALSE))))</f>
        <v>0</v>
      </c>
      <c r="M345" s="306">
        <f t="shared" si="88"/>
        <v>0</v>
      </c>
      <c r="N345" s="305">
        <f>IF(G345=0,0,(IF(OR(E345=$AT$5,E345=$AT$6),AC345,HLOOKUP(YEAR(G345)+(MONTH(G345)/100),TC!$5:$37,DAY(G345)+2,FALSE))))</f>
        <v>0</v>
      </c>
      <c r="O345" s="307">
        <f t="shared" si="89"/>
        <v>0</v>
      </c>
      <c r="P345" s="560">
        <f>IF(G345=0,0,VLOOKUP(YEAR(G345),INPC!$B$4:$P$30,MONTH(G345)+2))</f>
        <v>0</v>
      </c>
      <c r="Q345" s="560">
        <f>IF(X345=0,0,IF(OR(E345=$AT$10,E345=$AT$9),VLOOKUP(YEAR(X345),INPC!$B$4:$P$30,MONTH(X345)+1),VLOOKUP(YEAR(X345),INPC!$B$4:$P$30,MONTH(X345)+2,0)))</f>
        <v>0</v>
      </c>
      <c r="R345" s="309">
        <f t="shared" si="90"/>
        <v>0</v>
      </c>
      <c r="S345" s="310">
        <f t="shared" si="91"/>
        <v>0</v>
      </c>
      <c r="T345" s="555">
        <f t="shared" si="92"/>
        <v>0</v>
      </c>
      <c r="U345" s="311"/>
      <c r="V345" s="312"/>
      <c r="W345" s="299"/>
      <c r="X345" s="300"/>
      <c r="Y345" s="299"/>
      <c r="Z345" s="303"/>
      <c r="AA345" s="305">
        <f>IF(Z345=0,0,IF(Y345="MXN",1/HLOOKUP(YEAR(X345)+(MONTH(X345)/100),TC!$5:$37,DAY(X345)+2,FALSE),VLOOKUP(Y345,Equivalencia!$1:$23,((MAX(Equivalencia!$3:$3)-YEAR(X345))*14)+MONTH(X345)+2,FALSE)))</f>
        <v>0</v>
      </c>
      <c r="AB345" s="306">
        <f t="shared" si="93"/>
        <v>0</v>
      </c>
      <c r="AC345" s="305">
        <f>+IF(X345=0,0,HLOOKUP(YEAR(X345)+(MONTH(X345)/100),TC!$5:$37,DAY(X345)+2,FALSE))</f>
        <v>0</v>
      </c>
      <c r="AD345" s="307">
        <f t="shared" si="94"/>
        <v>0</v>
      </c>
      <c r="AE345" s="314">
        <f t="shared" si="95"/>
        <v>0</v>
      </c>
      <c r="AF345" s="315">
        <f t="shared" si="96"/>
        <v>0</v>
      </c>
      <c r="AG345" s="316">
        <f t="shared" si="97"/>
        <v>0</v>
      </c>
      <c r="AH345" s="314">
        <v>1</v>
      </c>
      <c r="AI345" s="314">
        <f t="shared" si="98"/>
        <v>0</v>
      </c>
      <c r="AJ345" s="314">
        <f t="shared" si="99"/>
        <v>0</v>
      </c>
      <c r="AK345" s="317"/>
      <c r="AL345" s="315">
        <f t="shared" si="100"/>
        <v>0</v>
      </c>
      <c r="AN345" s="554">
        <f t="shared" si="101"/>
        <v>0</v>
      </c>
      <c r="AO345" s="314"/>
      <c r="AP345" s="318"/>
    </row>
    <row r="346" spans="2:42">
      <c r="B346" s="296"/>
      <c r="C346" s="299"/>
      <c r="D346" s="298"/>
      <c r="E346" s="299"/>
      <c r="F346" s="299"/>
      <c r="G346" s="300"/>
      <c r="H346" s="303"/>
      <c r="I346" s="301">
        <f t="shared" si="85"/>
        <v>0</v>
      </c>
      <c r="J346" s="302">
        <f t="shared" si="86"/>
        <v>0</v>
      </c>
      <c r="K346" s="304">
        <f t="shared" si="87"/>
        <v>0</v>
      </c>
      <c r="L346" s="305">
        <f>IF(H346=0,0,IF(OR(E346=$AT$5,E346=$AT$6),AA346,IF(F346="MXN",1/HLOOKUP(YEAR(G346)+(MONTH(G346)/100),TC!$5:$37,DAY(G346)+2,FALSE),VLOOKUP(F346,Equivalencia!$5:$23,((MAX(Equivalencia!$3:$3)-YEAR(G346))*14)+MONTH(G346)+2,FALSE))))</f>
        <v>0</v>
      </c>
      <c r="M346" s="306">
        <f t="shared" si="88"/>
        <v>0</v>
      </c>
      <c r="N346" s="305">
        <f>IF(G346=0,0,(IF(OR(E346=$AT$5,E346=$AT$6),AC346,HLOOKUP(YEAR(G346)+(MONTH(G346)/100),TC!$5:$37,DAY(G346)+2,FALSE))))</f>
        <v>0</v>
      </c>
      <c r="O346" s="307">
        <f t="shared" si="89"/>
        <v>0</v>
      </c>
      <c r="P346" s="560">
        <f>IF(G346=0,0,VLOOKUP(YEAR(G346),INPC!$B$4:$P$30,MONTH(G346)+2))</f>
        <v>0</v>
      </c>
      <c r="Q346" s="560">
        <f>IF(X346=0,0,IF(OR(E346=$AT$10,E346=$AT$9),VLOOKUP(YEAR(X346),INPC!$B$4:$P$30,MONTH(X346)+1),VLOOKUP(YEAR(X346),INPC!$B$4:$P$30,MONTH(X346)+2,0)))</f>
        <v>0</v>
      </c>
      <c r="R346" s="309">
        <f t="shared" si="90"/>
        <v>0</v>
      </c>
      <c r="S346" s="310">
        <f t="shared" si="91"/>
        <v>0</v>
      </c>
      <c r="T346" s="555">
        <f t="shared" si="92"/>
        <v>0</v>
      </c>
      <c r="U346" s="311"/>
      <c r="V346" s="312"/>
      <c r="W346" s="299"/>
      <c r="X346" s="300"/>
      <c r="Y346" s="299"/>
      <c r="Z346" s="303"/>
      <c r="AA346" s="305">
        <f>IF(Z346=0,0,IF(Y346="MXN",1/HLOOKUP(YEAR(X346)+(MONTH(X346)/100),TC!$5:$37,DAY(X346)+2,FALSE),VLOOKUP(Y346,Equivalencia!$1:$23,((MAX(Equivalencia!$3:$3)-YEAR(X346))*14)+MONTH(X346)+2,FALSE)))</f>
        <v>0</v>
      </c>
      <c r="AB346" s="306">
        <f t="shared" si="93"/>
        <v>0</v>
      </c>
      <c r="AC346" s="305">
        <f>+IF(X346=0,0,HLOOKUP(YEAR(X346)+(MONTH(X346)/100),TC!$5:$37,DAY(X346)+2,FALSE))</f>
        <v>0</v>
      </c>
      <c r="AD346" s="307">
        <f t="shared" si="94"/>
        <v>0</v>
      </c>
      <c r="AE346" s="314">
        <f t="shared" si="95"/>
        <v>0</v>
      </c>
      <c r="AF346" s="315">
        <f t="shared" si="96"/>
        <v>0</v>
      </c>
      <c r="AG346" s="316">
        <f t="shared" si="97"/>
        <v>0</v>
      </c>
      <c r="AH346" s="314">
        <v>1</v>
      </c>
      <c r="AI346" s="314">
        <f t="shared" si="98"/>
        <v>0</v>
      </c>
      <c r="AJ346" s="314">
        <f t="shared" si="99"/>
        <v>0</v>
      </c>
      <c r="AK346" s="317"/>
      <c r="AL346" s="315">
        <f t="shared" si="100"/>
        <v>0</v>
      </c>
      <c r="AN346" s="554">
        <f t="shared" si="101"/>
        <v>0</v>
      </c>
      <c r="AO346" s="314"/>
      <c r="AP346" s="318"/>
    </row>
    <row r="347" spans="2:42">
      <c r="B347" s="296"/>
      <c r="C347" s="299"/>
      <c r="D347" s="298"/>
      <c r="E347" s="299"/>
      <c r="F347" s="299"/>
      <c r="G347" s="300"/>
      <c r="H347" s="303"/>
      <c r="I347" s="301">
        <f t="shared" si="85"/>
        <v>0</v>
      </c>
      <c r="J347" s="302">
        <f t="shared" si="86"/>
        <v>0</v>
      </c>
      <c r="K347" s="304">
        <f t="shared" si="87"/>
        <v>0</v>
      </c>
      <c r="L347" s="305">
        <f>IF(H347=0,0,IF(OR(E347=$AT$5,E347=$AT$6),AA347,IF(F347="MXN",1/HLOOKUP(YEAR(G347)+(MONTH(G347)/100),TC!$5:$37,DAY(G347)+2,FALSE),VLOOKUP(F347,Equivalencia!$5:$23,((MAX(Equivalencia!$3:$3)-YEAR(G347))*14)+MONTH(G347)+2,FALSE))))</f>
        <v>0</v>
      </c>
      <c r="M347" s="306">
        <f t="shared" si="88"/>
        <v>0</v>
      </c>
      <c r="N347" s="305">
        <f>IF(G347=0,0,(IF(OR(E347=$AT$5,E347=$AT$6),AC347,HLOOKUP(YEAR(G347)+(MONTH(G347)/100),TC!$5:$37,DAY(G347)+2,FALSE))))</f>
        <v>0</v>
      </c>
      <c r="O347" s="307">
        <f t="shared" si="89"/>
        <v>0</v>
      </c>
      <c r="P347" s="560">
        <f>IF(G347=0,0,VLOOKUP(YEAR(G347),INPC!$B$4:$P$30,MONTH(G347)+2))</f>
        <v>0</v>
      </c>
      <c r="Q347" s="560">
        <f>IF(X347=0,0,IF(OR(E347=$AT$10,E347=$AT$9),VLOOKUP(YEAR(X347),INPC!$B$4:$P$30,MONTH(X347)+1),VLOOKUP(YEAR(X347),INPC!$B$4:$P$30,MONTH(X347)+2,0)))</f>
        <v>0</v>
      </c>
      <c r="R347" s="309">
        <f t="shared" si="90"/>
        <v>0</v>
      </c>
      <c r="S347" s="310">
        <f t="shared" si="91"/>
        <v>0</v>
      </c>
      <c r="T347" s="555">
        <f t="shared" si="92"/>
        <v>0</v>
      </c>
      <c r="U347" s="311"/>
      <c r="V347" s="312"/>
      <c r="W347" s="299"/>
      <c r="X347" s="300"/>
      <c r="Y347" s="299"/>
      <c r="Z347" s="303"/>
      <c r="AA347" s="305">
        <f>IF(Z347=0,0,IF(Y347="MXN",1/HLOOKUP(YEAR(X347)+(MONTH(X347)/100),TC!$5:$37,DAY(X347)+2,FALSE),VLOOKUP(Y347,Equivalencia!$1:$23,((MAX(Equivalencia!$3:$3)-YEAR(X347))*14)+MONTH(X347)+2,FALSE)))</f>
        <v>0</v>
      </c>
      <c r="AB347" s="306">
        <f t="shared" si="93"/>
        <v>0</v>
      </c>
      <c r="AC347" s="305">
        <f>+IF(X347=0,0,HLOOKUP(YEAR(X347)+(MONTH(X347)/100),TC!$5:$37,DAY(X347)+2,FALSE))</f>
        <v>0</v>
      </c>
      <c r="AD347" s="307">
        <f t="shared" si="94"/>
        <v>0</v>
      </c>
      <c r="AE347" s="314">
        <f t="shared" si="95"/>
        <v>0</v>
      </c>
      <c r="AF347" s="315">
        <f t="shared" si="96"/>
        <v>0</v>
      </c>
      <c r="AG347" s="316">
        <f t="shared" si="97"/>
        <v>0</v>
      </c>
      <c r="AH347" s="314">
        <v>1</v>
      </c>
      <c r="AI347" s="314">
        <f t="shared" si="98"/>
        <v>0</v>
      </c>
      <c r="AJ347" s="314">
        <f t="shared" si="99"/>
        <v>0</v>
      </c>
      <c r="AK347" s="317"/>
      <c r="AL347" s="315">
        <f t="shared" si="100"/>
        <v>0</v>
      </c>
      <c r="AN347" s="554">
        <f t="shared" si="101"/>
        <v>0</v>
      </c>
      <c r="AO347" s="314"/>
      <c r="AP347" s="318"/>
    </row>
    <row r="348" spans="2:42">
      <c r="B348" s="296"/>
      <c r="C348" s="299"/>
      <c r="D348" s="298"/>
      <c r="E348" s="299"/>
      <c r="F348" s="299"/>
      <c r="G348" s="300"/>
      <c r="H348" s="303"/>
      <c r="I348" s="301">
        <f t="shared" si="85"/>
        <v>0</v>
      </c>
      <c r="J348" s="302">
        <f t="shared" si="86"/>
        <v>0</v>
      </c>
      <c r="K348" s="304">
        <f t="shared" si="87"/>
        <v>0</v>
      </c>
      <c r="L348" s="305">
        <f>IF(H348=0,0,IF(OR(E348=$AT$5,E348=$AT$6),AA348,IF(F348="MXN",1/HLOOKUP(YEAR(G348)+(MONTH(G348)/100),TC!$5:$37,DAY(G348)+2,FALSE),VLOOKUP(F348,Equivalencia!$5:$23,((MAX(Equivalencia!$3:$3)-YEAR(G348))*14)+MONTH(G348)+2,FALSE))))</f>
        <v>0</v>
      </c>
      <c r="M348" s="306">
        <f t="shared" si="88"/>
        <v>0</v>
      </c>
      <c r="N348" s="305">
        <f>IF(G348=0,0,(IF(OR(E348=$AT$5,E348=$AT$6),AC348,HLOOKUP(YEAR(G348)+(MONTH(G348)/100),TC!$5:$37,DAY(G348)+2,FALSE))))</f>
        <v>0</v>
      </c>
      <c r="O348" s="307">
        <f t="shared" si="89"/>
        <v>0</v>
      </c>
      <c r="P348" s="560">
        <f>IF(G348=0,0,VLOOKUP(YEAR(G348),INPC!$B$4:$P$30,MONTH(G348)+2))</f>
        <v>0</v>
      </c>
      <c r="Q348" s="560">
        <f>IF(X348=0,0,IF(OR(E348=$AT$10,E348=$AT$9),VLOOKUP(YEAR(X348),INPC!$B$4:$P$30,MONTH(X348)+1),VLOOKUP(YEAR(X348),INPC!$B$4:$P$30,MONTH(X348)+2,0)))</f>
        <v>0</v>
      </c>
      <c r="R348" s="309">
        <f t="shared" si="90"/>
        <v>0</v>
      </c>
      <c r="S348" s="310">
        <f t="shared" si="91"/>
        <v>0</v>
      </c>
      <c r="T348" s="555">
        <f t="shared" si="92"/>
        <v>0</v>
      </c>
      <c r="U348" s="311"/>
      <c r="V348" s="312"/>
      <c r="W348" s="299"/>
      <c r="X348" s="300"/>
      <c r="Y348" s="299"/>
      <c r="Z348" s="303"/>
      <c r="AA348" s="305">
        <f>IF(Z348=0,0,IF(Y348="MXN",1/HLOOKUP(YEAR(X348)+(MONTH(X348)/100),TC!$5:$37,DAY(X348)+2,FALSE),VLOOKUP(Y348,Equivalencia!$1:$23,((MAX(Equivalencia!$3:$3)-YEAR(X348))*14)+MONTH(X348)+2,FALSE)))</f>
        <v>0</v>
      </c>
      <c r="AB348" s="306">
        <f t="shared" si="93"/>
        <v>0</v>
      </c>
      <c r="AC348" s="305">
        <f>+IF(X348=0,0,HLOOKUP(YEAR(X348)+(MONTH(X348)/100),TC!$5:$37,DAY(X348)+2,FALSE))</f>
        <v>0</v>
      </c>
      <c r="AD348" s="307">
        <f t="shared" si="94"/>
        <v>0</v>
      </c>
      <c r="AE348" s="314">
        <f t="shared" si="95"/>
        <v>0</v>
      </c>
      <c r="AF348" s="315">
        <f t="shared" si="96"/>
        <v>0</v>
      </c>
      <c r="AG348" s="316">
        <f t="shared" si="97"/>
        <v>0</v>
      </c>
      <c r="AH348" s="314">
        <v>1</v>
      </c>
      <c r="AI348" s="314">
        <f t="shared" si="98"/>
        <v>0</v>
      </c>
      <c r="AJ348" s="314">
        <f t="shared" si="99"/>
        <v>0</v>
      </c>
      <c r="AK348" s="317"/>
      <c r="AL348" s="315">
        <f t="shared" si="100"/>
        <v>0</v>
      </c>
      <c r="AN348" s="554">
        <f t="shared" si="101"/>
        <v>0</v>
      </c>
      <c r="AO348" s="314"/>
      <c r="AP348" s="318"/>
    </row>
    <row r="349" spans="2:42">
      <c r="B349" s="296"/>
      <c r="C349" s="299"/>
      <c r="D349" s="298"/>
      <c r="E349" s="299"/>
      <c r="F349" s="299"/>
      <c r="G349" s="300"/>
      <c r="H349" s="303"/>
      <c r="I349" s="301">
        <f t="shared" si="85"/>
        <v>0</v>
      </c>
      <c r="J349" s="302">
        <f t="shared" si="86"/>
        <v>0</v>
      </c>
      <c r="K349" s="304">
        <f t="shared" si="87"/>
        <v>0</v>
      </c>
      <c r="L349" s="305">
        <f>IF(H349=0,0,IF(OR(E349=$AT$5,E349=$AT$6),AA349,IF(F349="MXN",1/HLOOKUP(YEAR(G349)+(MONTH(G349)/100),TC!$5:$37,DAY(G349)+2,FALSE),VLOOKUP(F349,Equivalencia!$5:$23,((MAX(Equivalencia!$3:$3)-YEAR(G349))*14)+MONTH(G349)+2,FALSE))))</f>
        <v>0</v>
      </c>
      <c r="M349" s="306">
        <f t="shared" si="88"/>
        <v>0</v>
      </c>
      <c r="N349" s="305">
        <f>IF(G349=0,0,(IF(OR(E349=$AT$5,E349=$AT$6),AC349,HLOOKUP(YEAR(G349)+(MONTH(G349)/100),TC!$5:$37,DAY(G349)+2,FALSE))))</f>
        <v>0</v>
      </c>
      <c r="O349" s="307">
        <f t="shared" si="89"/>
        <v>0</v>
      </c>
      <c r="P349" s="560">
        <f>IF(G349=0,0,VLOOKUP(YEAR(G349),INPC!$B$4:$P$30,MONTH(G349)+2))</f>
        <v>0</v>
      </c>
      <c r="Q349" s="560">
        <f>IF(X349=0,0,IF(OR(E349=$AT$10,E349=$AT$9),VLOOKUP(YEAR(X349),INPC!$B$4:$P$30,MONTH(X349)+1),VLOOKUP(YEAR(X349),INPC!$B$4:$P$30,MONTH(X349)+2,0)))</f>
        <v>0</v>
      </c>
      <c r="R349" s="309">
        <f t="shared" si="90"/>
        <v>0</v>
      </c>
      <c r="S349" s="310">
        <f t="shared" si="91"/>
        <v>0</v>
      </c>
      <c r="T349" s="555">
        <f t="shared" si="92"/>
        <v>0</v>
      </c>
      <c r="U349" s="311"/>
      <c r="V349" s="312"/>
      <c r="W349" s="299"/>
      <c r="X349" s="300"/>
      <c r="Y349" s="299"/>
      <c r="Z349" s="303"/>
      <c r="AA349" s="305">
        <f>IF(Z349=0,0,IF(Y349="MXN",1/HLOOKUP(YEAR(X349)+(MONTH(X349)/100),TC!$5:$37,DAY(X349)+2,FALSE),VLOOKUP(Y349,Equivalencia!$1:$23,((MAX(Equivalencia!$3:$3)-YEAR(X349))*14)+MONTH(X349)+2,FALSE)))</f>
        <v>0</v>
      </c>
      <c r="AB349" s="306">
        <f t="shared" si="93"/>
        <v>0</v>
      </c>
      <c r="AC349" s="305">
        <f>+IF(X349=0,0,HLOOKUP(YEAR(X349)+(MONTH(X349)/100),TC!$5:$37,DAY(X349)+2,FALSE))</f>
        <v>0</v>
      </c>
      <c r="AD349" s="307">
        <f t="shared" si="94"/>
        <v>0</v>
      </c>
      <c r="AE349" s="314">
        <f t="shared" si="95"/>
        <v>0</v>
      </c>
      <c r="AF349" s="315">
        <f t="shared" si="96"/>
        <v>0</v>
      </c>
      <c r="AG349" s="316">
        <f t="shared" si="97"/>
        <v>0</v>
      </c>
      <c r="AH349" s="314">
        <v>1</v>
      </c>
      <c r="AI349" s="314">
        <f t="shared" si="98"/>
        <v>0</v>
      </c>
      <c r="AJ349" s="314">
        <f t="shared" si="99"/>
        <v>0</v>
      </c>
      <c r="AK349" s="317"/>
      <c r="AL349" s="315">
        <f t="shared" si="100"/>
        <v>0</v>
      </c>
      <c r="AN349" s="554">
        <f t="shared" si="101"/>
        <v>0</v>
      </c>
      <c r="AO349" s="314"/>
      <c r="AP349" s="318"/>
    </row>
    <row r="350" spans="2:42">
      <c r="B350" s="296"/>
      <c r="C350" s="299"/>
      <c r="D350" s="298"/>
      <c r="E350" s="299"/>
      <c r="F350" s="299"/>
      <c r="G350" s="300"/>
      <c r="H350" s="303"/>
      <c r="I350" s="301">
        <f t="shared" si="85"/>
        <v>0</v>
      </c>
      <c r="J350" s="302">
        <f t="shared" si="86"/>
        <v>0</v>
      </c>
      <c r="K350" s="304">
        <f t="shared" si="87"/>
        <v>0</v>
      </c>
      <c r="L350" s="305">
        <f>IF(H350=0,0,IF(OR(E350=$AT$5,E350=$AT$6),AA350,IF(F350="MXN",1/HLOOKUP(YEAR(G350)+(MONTH(G350)/100),TC!$5:$37,DAY(G350)+2,FALSE),VLOOKUP(F350,Equivalencia!$5:$23,((MAX(Equivalencia!$3:$3)-YEAR(G350))*14)+MONTH(G350)+2,FALSE))))</f>
        <v>0</v>
      </c>
      <c r="M350" s="306">
        <f t="shared" si="88"/>
        <v>0</v>
      </c>
      <c r="N350" s="305">
        <f>IF(G350=0,0,(IF(OR(E350=$AT$5,E350=$AT$6),AC350,HLOOKUP(YEAR(G350)+(MONTH(G350)/100),TC!$5:$37,DAY(G350)+2,FALSE))))</f>
        <v>0</v>
      </c>
      <c r="O350" s="307">
        <f t="shared" si="89"/>
        <v>0</v>
      </c>
      <c r="P350" s="560">
        <f>IF(G350=0,0,VLOOKUP(YEAR(G350),INPC!$B$4:$P$30,MONTH(G350)+2))</f>
        <v>0</v>
      </c>
      <c r="Q350" s="560">
        <f>IF(X350=0,0,IF(OR(E350=$AT$10,E350=$AT$9),VLOOKUP(YEAR(X350),INPC!$B$4:$P$30,MONTH(X350)+1),VLOOKUP(YEAR(X350),INPC!$B$4:$P$30,MONTH(X350)+2,0)))</f>
        <v>0</v>
      </c>
      <c r="R350" s="309">
        <f t="shared" si="90"/>
        <v>0</v>
      </c>
      <c r="S350" s="310">
        <f t="shared" si="91"/>
        <v>0</v>
      </c>
      <c r="T350" s="555">
        <f t="shared" si="92"/>
        <v>0</v>
      </c>
      <c r="U350" s="311"/>
      <c r="V350" s="312"/>
      <c r="W350" s="299"/>
      <c r="X350" s="300"/>
      <c r="Y350" s="299"/>
      <c r="Z350" s="303"/>
      <c r="AA350" s="305">
        <f>IF(Z350=0,0,IF(Y350="MXN",1/HLOOKUP(YEAR(X350)+(MONTH(X350)/100),TC!$5:$37,DAY(X350)+2,FALSE),VLOOKUP(Y350,Equivalencia!$1:$23,((MAX(Equivalencia!$3:$3)-YEAR(X350))*14)+MONTH(X350)+2,FALSE)))</f>
        <v>0</v>
      </c>
      <c r="AB350" s="306">
        <f t="shared" si="93"/>
        <v>0</v>
      </c>
      <c r="AC350" s="305">
        <f>+IF(X350=0,0,HLOOKUP(YEAR(X350)+(MONTH(X350)/100),TC!$5:$37,DAY(X350)+2,FALSE))</f>
        <v>0</v>
      </c>
      <c r="AD350" s="307">
        <f t="shared" si="94"/>
        <v>0</v>
      </c>
      <c r="AE350" s="314">
        <f t="shared" si="95"/>
        <v>0</v>
      </c>
      <c r="AF350" s="315">
        <f t="shared" si="96"/>
        <v>0</v>
      </c>
      <c r="AG350" s="316">
        <f t="shared" si="97"/>
        <v>0</v>
      </c>
      <c r="AH350" s="314">
        <v>1</v>
      </c>
      <c r="AI350" s="314">
        <f t="shared" si="98"/>
        <v>0</v>
      </c>
      <c r="AJ350" s="314">
        <f t="shared" si="99"/>
        <v>0</v>
      </c>
      <c r="AK350" s="317"/>
      <c r="AL350" s="315">
        <f t="shared" si="100"/>
        <v>0</v>
      </c>
      <c r="AN350" s="554">
        <f t="shared" si="101"/>
        <v>0</v>
      </c>
      <c r="AO350" s="314"/>
      <c r="AP350" s="318"/>
    </row>
    <row r="351" spans="2:42">
      <c r="B351" s="296"/>
      <c r="C351" s="299"/>
      <c r="D351" s="298"/>
      <c r="E351" s="299"/>
      <c r="F351" s="299"/>
      <c r="G351" s="300"/>
      <c r="H351" s="303"/>
      <c r="I351" s="301">
        <f t="shared" si="85"/>
        <v>0</v>
      </c>
      <c r="J351" s="302">
        <f t="shared" si="86"/>
        <v>0</v>
      </c>
      <c r="K351" s="304">
        <f t="shared" si="87"/>
        <v>0</v>
      </c>
      <c r="L351" s="305">
        <f>IF(H351=0,0,IF(OR(E351=$AT$5,E351=$AT$6),AA351,IF(F351="MXN",1/HLOOKUP(YEAR(G351)+(MONTH(G351)/100),TC!$5:$37,DAY(G351)+2,FALSE),VLOOKUP(F351,Equivalencia!$5:$23,((MAX(Equivalencia!$3:$3)-YEAR(G351))*14)+MONTH(G351)+2,FALSE))))</f>
        <v>0</v>
      </c>
      <c r="M351" s="306">
        <f t="shared" si="88"/>
        <v>0</v>
      </c>
      <c r="N351" s="305">
        <f>IF(G351=0,0,(IF(OR(E351=$AT$5,E351=$AT$6),AC351,HLOOKUP(YEAR(G351)+(MONTH(G351)/100),TC!$5:$37,DAY(G351)+2,FALSE))))</f>
        <v>0</v>
      </c>
      <c r="O351" s="307">
        <f t="shared" si="89"/>
        <v>0</v>
      </c>
      <c r="P351" s="560">
        <f>IF(G351=0,0,VLOOKUP(YEAR(G351),INPC!$B$4:$P$30,MONTH(G351)+2))</f>
        <v>0</v>
      </c>
      <c r="Q351" s="560">
        <f>IF(X351=0,0,IF(OR(E351=$AT$10,E351=$AT$9),VLOOKUP(YEAR(X351),INPC!$B$4:$P$30,MONTH(X351)+1),VLOOKUP(YEAR(X351),INPC!$B$4:$P$30,MONTH(X351)+2,0)))</f>
        <v>0</v>
      </c>
      <c r="R351" s="309">
        <f t="shared" si="90"/>
        <v>0</v>
      </c>
      <c r="S351" s="310">
        <f t="shared" si="91"/>
        <v>0</v>
      </c>
      <c r="T351" s="555">
        <f t="shared" si="92"/>
        <v>0</v>
      </c>
      <c r="U351" s="311"/>
      <c r="V351" s="312"/>
      <c r="W351" s="299"/>
      <c r="X351" s="300"/>
      <c r="Y351" s="299"/>
      <c r="Z351" s="303"/>
      <c r="AA351" s="305">
        <f>IF(Z351=0,0,IF(Y351="MXN",1/HLOOKUP(YEAR(X351)+(MONTH(X351)/100),TC!$5:$37,DAY(X351)+2,FALSE),VLOOKUP(Y351,Equivalencia!$1:$23,((MAX(Equivalencia!$3:$3)-YEAR(X351))*14)+MONTH(X351)+2,FALSE)))</f>
        <v>0</v>
      </c>
      <c r="AB351" s="306">
        <f t="shared" si="93"/>
        <v>0</v>
      </c>
      <c r="AC351" s="305">
        <f>+IF(X351=0,0,HLOOKUP(YEAR(X351)+(MONTH(X351)/100),TC!$5:$37,DAY(X351)+2,FALSE))</f>
        <v>0</v>
      </c>
      <c r="AD351" s="307">
        <f t="shared" si="94"/>
        <v>0</v>
      </c>
      <c r="AE351" s="314">
        <f t="shared" si="95"/>
        <v>0</v>
      </c>
      <c r="AF351" s="315">
        <f t="shared" si="96"/>
        <v>0</v>
      </c>
      <c r="AG351" s="316">
        <f t="shared" si="97"/>
        <v>0</v>
      </c>
      <c r="AH351" s="314">
        <v>1</v>
      </c>
      <c r="AI351" s="314">
        <f t="shared" si="98"/>
        <v>0</v>
      </c>
      <c r="AJ351" s="314">
        <f t="shared" si="99"/>
        <v>0</v>
      </c>
      <c r="AK351" s="317"/>
      <c r="AL351" s="315">
        <f t="shared" si="100"/>
        <v>0</v>
      </c>
      <c r="AN351" s="554">
        <f t="shared" si="101"/>
        <v>0</v>
      </c>
      <c r="AO351" s="314"/>
      <c r="AP351" s="318"/>
    </row>
    <row r="352" spans="2:42">
      <c r="B352" s="296"/>
      <c r="C352" s="299"/>
      <c r="D352" s="298"/>
      <c r="E352" s="299"/>
      <c r="F352" s="299"/>
      <c r="G352" s="300"/>
      <c r="H352" s="303"/>
      <c r="I352" s="301">
        <f t="shared" si="85"/>
        <v>0</v>
      </c>
      <c r="J352" s="302">
        <f t="shared" si="86"/>
        <v>0</v>
      </c>
      <c r="K352" s="304">
        <f t="shared" si="87"/>
        <v>0</v>
      </c>
      <c r="L352" s="305">
        <f>IF(H352=0,0,IF(OR(E352=$AT$5,E352=$AT$6),AA352,IF(F352="MXN",1/HLOOKUP(YEAR(G352)+(MONTH(G352)/100),TC!$5:$37,DAY(G352)+2,FALSE),VLOOKUP(F352,Equivalencia!$5:$23,((MAX(Equivalencia!$3:$3)-YEAR(G352))*14)+MONTH(G352)+2,FALSE))))</f>
        <v>0</v>
      </c>
      <c r="M352" s="306">
        <f t="shared" si="88"/>
        <v>0</v>
      </c>
      <c r="N352" s="305">
        <f>IF(G352=0,0,(IF(OR(E352=$AT$5,E352=$AT$6),AC352,HLOOKUP(YEAR(G352)+(MONTH(G352)/100),TC!$5:$37,DAY(G352)+2,FALSE))))</f>
        <v>0</v>
      </c>
      <c r="O352" s="307">
        <f t="shared" si="89"/>
        <v>0</v>
      </c>
      <c r="P352" s="560">
        <f>IF(G352=0,0,VLOOKUP(YEAR(G352),INPC!$B$4:$P$30,MONTH(G352)+2))</f>
        <v>0</v>
      </c>
      <c r="Q352" s="560">
        <f>IF(X352=0,0,IF(OR(E352=$AT$10,E352=$AT$9),VLOOKUP(YEAR(X352),INPC!$B$4:$P$30,MONTH(X352)+1),VLOOKUP(YEAR(X352),INPC!$B$4:$P$30,MONTH(X352)+2,0)))</f>
        <v>0</v>
      </c>
      <c r="R352" s="309">
        <f t="shared" si="90"/>
        <v>0</v>
      </c>
      <c r="S352" s="310">
        <f t="shared" si="91"/>
        <v>0</v>
      </c>
      <c r="T352" s="555">
        <f t="shared" si="92"/>
        <v>0</v>
      </c>
      <c r="U352" s="311"/>
      <c r="V352" s="312"/>
      <c r="W352" s="299"/>
      <c r="X352" s="300"/>
      <c r="Y352" s="299"/>
      <c r="Z352" s="303"/>
      <c r="AA352" s="305">
        <f>IF(Z352=0,0,IF(Y352="MXN",1/HLOOKUP(YEAR(X352)+(MONTH(X352)/100),TC!$5:$37,DAY(X352)+2,FALSE),VLOOKUP(Y352,Equivalencia!$1:$23,((MAX(Equivalencia!$3:$3)-YEAR(X352))*14)+MONTH(X352)+2,FALSE)))</f>
        <v>0</v>
      </c>
      <c r="AB352" s="306">
        <f t="shared" si="93"/>
        <v>0</v>
      </c>
      <c r="AC352" s="305">
        <f>+IF(X352=0,0,HLOOKUP(YEAR(X352)+(MONTH(X352)/100),TC!$5:$37,DAY(X352)+2,FALSE))</f>
        <v>0</v>
      </c>
      <c r="AD352" s="307">
        <f t="shared" si="94"/>
        <v>0</v>
      </c>
      <c r="AE352" s="314">
        <f t="shared" si="95"/>
        <v>0</v>
      </c>
      <c r="AF352" s="315">
        <f t="shared" si="96"/>
        <v>0</v>
      </c>
      <c r="AG352" s="316">
        <f t="shared" si="97"/>
        <v>0</v>
      </c>
      <c r="AH352" s="314">
        <v>1</v>
      </c>
      <c r="AI352" s="314">
        <f t="shared" si="98"/>
        <v>0</v>
      </c>
      <c r="AJ352" s="314">
        <f t="shared" si="99"/>
        <v>0</v>
      </c>
      <c r="AK352" s="317"/>
      <c r="AL352" s="315">
        <f t="shared" si="100"/>
        <v>0</v>
      </c>
      <c r="AN352" s="554">
        <f t="shared" si="101"/>
        <v>0</v>
      </c>
      <c r="AO352" s="314"/>
      <c r="AP352" s="318"/>
    </row>
    <row r="353" spans="2:42">
      <c r="B353" s="296"/>
      <c r="C353" s="299"/>
      <c r="D353" s="298"/>
      <c r="E353" s="299"/>
      <c r="F353" s="299"/>
      <c r="G353" s="300"/>
      <c r="H353" s="303"/>
      <c r="I353" s="301">
        <f t="shared" si="85"/>
        <v>0</v>
      </c>
      <c r="J353" s="302">
        <f t="shared" si="86"/>
        <v>0</v>
      </c>
      <c r="K353" s="304">
        <f t="shared" si="87"/>
        <v>0</v>
      </c>
      <c r="L353" s="305">
        <f>IF(H353=0,0,IF(OR(E353=$AT$5,E353=$AT$6),AA353,IF(F353="MXN",1/HLOOKUP(YEAR(G353)+(MONTH(G353)/100),TC!$5:$37,DAY(G353)+2,FALSE),VLOOKUP(F353,Equivalencia!$5:$23,((MAX(Equivalencia!$3:$3)-YEAR(G353))*14)+MONTH(G353)+2,FALSE))))</f>
        <v>0</v>
      </c>
      <c r="M353" s="306">
        <f t="shared" si="88"/>
        <v>0</v>
      </c>
      <c r="N353" s="305">
        <f>IF(G353=0,0,(IF(OR(E353=$AT$5,E353=$AT$6),AC353,HLOOKUP(YEAR(G353)+(MONTH(G353)/100),TC!$5:$37,DAY(G353)+2,FALSE))))</f>
        <v>0</v>
      </c>
      <c r="O353" s="307">
        <f t="shared" si="89"/>
        <v>0</v>
      </c>
      <c r="P353" s="560">
        <f>IF(G353=0,0,VLOOKUP(YEAR(G353),INPC!$B$4:$P$30,MONTH(G353)+2))</f>
        <v>0</v>
      </c>
      <c r="Q353" s="560">
        <f>IF(X353=0,0,IF(OR(E353=$AT$10,E353=$AT$9),VLOOKUP(YEAR(X353),INPC!$B$4:$P$30,MONTH(X353)+1),VLOOKUP(YEAR(X353),INPC!$B$4:$P$30,MONTH(X353)+2,0)))</f>
        <v>0</v>
      </c>
      <c r="R353" s="309">
        <f t="shared" si="90"/>
        <v>0</v>
      </c>
      <c r="S353" s="310">
        <f t="shared" si="91"/>
        <v>0</v>
      </c>
      <c r="T353" s="555">
        <f t="shared" si="92"/>
        <v>0</v>
      </c>
      <c r="U353" s="311"/>
      <c r="V353" s="312"/>
      <c r="W353" s="299"/>
      <c r="X353" s="300"/>
      <c r="Y353" s="299"/>
      <c r="Z353" s="303"/>
      <c r="AA353" s="305">
        <f>IF(Z353=0,0,IF(Y353="MXN",1/HLOOKUP(YEAR(X353)+(MONTH(X353)/100),TC!$5:$37,DAY(X353)+2,FALSE),VLOOKUP(Y353,Equivalencia!$1:$23,((MAX(Equivalencia!$3:$3)-YEAR(X353))*14)+MONTH(X353)+2,FALSE)))</f>
        <v>0</v>
      </c>
      <c r="AB353" s="306">
        <f t="shared" si="93"/>
        <v>0</v>
      </c>
      <c r="AC353" s="305">
        <f>+IF(X353=0,0,HLOOKUP(YEAR(X353)+(MONTH(X353)/100),TC!$5:$37,DAY(X353)+2,FALSE))</f>
        <v>0</v>
      </c>
      <c r="AD353" s="307">
        <f t="shared" si="94"/>
        <v>0</v>
      </c>
      <c r="AE353" s="314">
        <f t="shared" si="95"/>
        <v>0</v>
      </c>
      <c r="AF353" s="315">
        <f t="shared" si="96"/>
        <v>0</v>
      </c>
      <c r="AG353" s="316">
        <f t="shared" si="97"/>
        <v>0</v>
      </c>
      <c r="AH353" s="314">
        <v>1</v>
      </c>
      <c r="AI353" s="314">
        <f t="shared" si="98"/>
        <v>0</v>
      </c>
      <c r="AJ353" s="314">
        <f t="shared" si="99"/>
        <v>0</v>
      </c>
      <c r="AK353" s="317"/>
      <c r="AL353" s="315">
        <f t="shared" si="100"/>
        <v>0</v>
      </c>
      <c r="AN353" s="554">
        <f t="shared" si="101"/>
        <v>0</v>
      </c>
      <c r="AO353" s="314"/>
      <c r="AP353" s="318"/>
    </row>
    <row r="354" spans="2:42">
      <c r="B354" s="296"/>
      <c r="C354" s="299"/>
      <c r="D354" s="298"/>
      <c r="E354" s="299"/>
      <c r="F354" s="299"/>
      <c r="G354" s="300"/>
      <c r="H354" s="303"/>
      <c r="I354" s="301">
        <f t="shared" si="85"/>
        <v>0</v>
      </c>
      <c r="J354" s="302">
        <f t="shared" si="86"/>
        <v>0</v>
      </c>
      <c r="K354" s="304">
        <f t="shared" si="87"/>
        <v>0</v>
      </c>
      <c r="L354" s="305">
        <f>IF(H354=0,0,IF(OR(E354=$AT$5,E354=$AT$6),AA354,IF(F354="MXN",1/HLOOKUP(YEAR(G354)+(MONTH(G354)/100),TC!$5:$37,DAY(G354)+2,FALSE),VLOOKUP(F354,Equivalencia!$5:$23,((MAX(Equivalencia!$3:$3)-YEAR(G354))*14)+MONTH(G354)+2,FALSE))))</f>
        <v>0</v>
      </c>
      <c r="M354" s="306">
        <f t="shared" si="88"/>
        <v>0</v>
      </c>
      <c r="N354" s="305">
        <f>IF(G354=0,0,(IF(OR(E354=$AT$5,E354=$AT$6),AC354,HLOOKUP(YEAR(G354)+(MONTH(G354)/100),TC!$5:$37,DAY(G354)+2,FALSE))))</f>
        <v>0</v>
      </c>
      <c r="O354" s="307">
        <f t="shared" si="89"/>
        <v>0</v>
      </c>
      <c r="P354" s="560">
        <f>IF(G354=0,0,VLOOKUP(YEAR(G354),INPC!$B$4:$P$30,MONTH(G354)+2))</f>
        <v>0</v>
      </c>
      <c r="Q354" s="560">
        <f>IF(X354=0,0,IF(OR(E354=$AT$10,E354=$AT$9),VLOOKUP(YEAR(X354),INPC!$B$4:$P$30,MONTH(X354)+1),VLOOKUP(YEAR(X354),INPC!$B$4:$P$30,MONTH(X354)+2,0)))</f>
        <v>0</v>
      </c>
      <c r="R354" s="309">
        <f t="shared" si="90"/>
        <v>0</v>
      </c>
      <c r="S354" s="310">
        <f t="shared" si="91"/>
        <v>0</v>
      </c>
      <c r="T354" s="555">
        <f t="shared" si="92"/>
        <v>0</v>
      </c>
      <c r="U354" s="311"/>
      <c r="V354" s="312"/>
      <c r="W354" s="299"/>
      <c r="X354" s="300"/>
      <c r="Y354" s="299"/>
      <c r="Z354" s="303"/>
      <c r="AA354" s="305">
        <f>IF(Z354=0,0,IF(Y354="MXN",1/HLOOKUP(YEAR(X354)+(MONTH(X354)/100),TC!$5:$37,DAY(X354)+2,FALSE),VLOOKUP(Y354,Equivalencia!$1:$23,((MAX(Equivalencia!$3:$3)-YEAR(X354))*14)+MONTH(X354)+2,FALSE)))</f>
        <v>0</v>
      </c>
      <c r="AB354" s="306">
        <f t="shared" si="93"/>
        <v>0</v>
      </c>
      <c r="AC354" s="305">
        <f>+IF(X354=0,0,HLOOKUP(YEAR(X354)+(MONTH(X354)/100),TC!$5:$37,DAY(X354)+2,FALSE))</f>
        <v>0</v>
      </c>
      <c r="AD354" s="307">
        <f t="shared" si="94"/>
        <v>0</v>
      </c>
      <c r="AE354" s="314">
        <f t="shared" si="95"/>
        <v>0</v>
      </c>
      <c r="AF354" s="315">
        <f t="shared" si="96"/>
        <v>0</v>
      </c>
      <c r="AG354" s="316">
        <f t="shared" si="97"/>
        <v>0</v>
      </c>
      <c r="AH354" s="314">
        <v>1</v>
      </c>
      <c r="AI354" s="314">
        <f t="shared" si="98"/>
        <v>0</v>
      </c>
      <c r="AJ354" s="314">
        <f t="shared" si="99"/>
        <v>0</v>
      </c>
      <c r="AK354" s="317"/>
      <c r="AL354" s="315">
        <f t="shared" si="100"/>
        <v>0</v>
      </c>
      <c r="AN354" s="554">
        <f t="shared" si="101"/>
        <v>0</v>
      </c>
      <c r="AO354" s="314"/>
      <c r="AP354" s="318"/>
    </row>
    <row r="355" spans="2:42">
      <c r="B355" s="296"/>
      <c r="C355" s="299"/>
      <c r="D355" s="298"/>
      <c r="E355" s="299"/>
      <c r="F355" s="299"/>
      <c r="G355" s="300"/>
      <c r="H355" s="303"/>
      <c r="I355" s="301">
        <f t="shared" si="85"/>
        <v>0</v>
      </c>
      <c r="J355" s="302">
        <f t="shared" si="86"/>
        <v>0</v>
      </c>
      <c r="K355" s="304">
        <f t="shared" si="87"/>
        <v>0</v>
      </c>
      <c r="L355" s="305">
        <f>IF(H355=0,0,IF(OR(E355=$AT$5,E355=$AT$6),AA355,IF(F355="MXN",1/HLOOKUP(YEAR(G355)+(MONTH(G355)/100),TC!$5:$37,DAY(G355)+2,FALSE),VLOOKUP(F355,Equivalencia!$5:$23,((MAX(Equivalencia!$3:$3)-YEAR(G355))*14)+MONTH(G355)+2,FALSE))))</f>
        <v>0</v>
      </c>
      <c r="M355" s="306">
        <f t="shared" si="88"/>
        <v>0</v>
      </c>
      <c r="N355" s="305">
        <f>IF(G355=0,0,(IF(OR(E355=$AT$5,E355=$AT$6),AC355,HLOOKUP(YEAR(G355)+(MONTH(G355)/100),TC!$5:$37,DAY(G355)+2,FALSE))))</f>
        <v>0</v>
      </c>
      <c r="O355" s="307">
        <f t="shared" si="89"/>
        <v>0</v>
      </c>
      <c r="P355" s="560">
        <f>IF(G355=0,0,VLOOKUP(YEAR(G355),INPC!$B$4:$P$30,MONTH(G355)+2))</f>
        <v>0</v>
      </c>
      <c r="Q355" s="560">
        <f>IF(X355=0,0,IF(OR(E355=$AT$10,E355=$AT$9),VLOOKUP(YEAR(X355),INPC!$B$4:$P$30,MONTH(X355)+1),VLOOKUP(YEAR(X355),INPC!$B$4:$P$30,MONTH(X355)+2,0)))</f>
        <v>0</v>
      </c>
      <c r="R355" s="309">
        <f t="shared" si="90"/>
        <v>0</v>
      </c>
      <c r="S355" s="310">
        <f t="shared" si="91"/>
        <v>0</v>
      </c>
      <c r="T355" s="555">
        <f t="shared" si="92"/>
        <v>0</v>
      </c>
      <c r="U355" s="311"/>
      <c r="V355" s="312"/>
      <c r="W355" s="299"/>
      <c r="X355" s="300"/>
      <c r="Y355" s="299"/>
      <c r="Z355" s="303"/>
      <c r="AA355" s="305">
        <f>IF(Z355=0,0,IF(Y355="MXN",1/HLOOKUP(YEAR(X355)+(MONTH(X355)/100),TC!$5:$37,DAY(X355)+2,FALSE),VLOOKUP(Y355,Equivalencia!$1:$23,((MAX(Equivalencia!$3:$3)-YEAR(X355))*14)+MONTH(X355)+2,FALSE)))</f>
        <v>0</v>
      </c>
      <c r="AB355" s="306">
        <f t="shared" si="93"/>
        <v>0</v>
      </c>
      <c r="AC355" s="305">
        <f>+IF(X355=0,0,HLOOKUP(YEAR(X355)+(MONTH(X355)/100),TC!$5:$37,DAY(X355)+2,FALSE))</f>
        <v>0</v>
      </c>
      <c r="AD355" s="307">
        <f t="shared" si="94"/>
        <v>0</v>
      </c>
      <c r="AE355" s="314">
        <f t="shared" si="95"/>
        <v>0</v>
      </c>
      <c r="AF355" s="315">
        <f t="shared" si="96"/>
        <v>0</v>
      </c>
      <c r="AG355" s="316">
        <f t="shared" si="97"/>
        <v>0</v>
      </c>
      <c r="AH355" s="314">
        <v>1</v>
      </c>
      <c r="AI355" s="314">
        <f t="shared" si="98"/>
        <v>0</v>
      </c>
      <c r="AJ355" s="314">
        <f t="shared" si="99"/>
        <v>0</v>
      </c>
      <c r="AK355" s="317"/>
      <c r="AL355" s="315">
        <f t="shared" si="100"/>
        <v>0</v>
      </c>
      <c r="AN355" s="554">
        <f t="shared" si="101"/>
        <v>0</v>
      </c>
      <c r="AO355" s="314"/>
      <c r="AP355" s="318"/>
    </row>
    <row r="356" spans="2:42">
      <c r="B356" s="296"/>
      <c r="C356" s="299"/>
      <c r="D356" s="298"/>
      <c r="E356" s="299"/>
      <c r="F356" s="299"/>
      <c r="G356" s="300"/>
      <c r="H356" s="303"/>
      <c r="I356" s="301">
        <f t="shared" si="85"/>
        <v>0</v>
      </c>
      <c r="J356" s="302">
        <f t="shared" si="86"/>
        <v>0</v>
      </c>
      <c r="K356" s="304">
        <f t="shared" si="87"/>
        <v>0</v>
      </c>
      <c r="L356" s="305">
        <f>IF(H356=0,0,IF(OR(E356=$AT$5,E356=$AT$6),AA356,IF(F356="MXN",1/HLOOKUP(YEAR(G356)+(MONTH(G356)/100),TC!$5:$37,DAY(G356)+2,FALSE),VLOOKUP(F356,Equivalencia!$5:$23,((MAX(Equivalencia!$3:$3)-YEAR(G356))*14)+MONTH(G356)+2,FALSE))))</f>
        <v>0</v>
      </c>
      <c r="M356" s="306">
        <f t="shared" si="88"/>
        <v>0</v>
      </c>
      <c r="N356" s="305">
        <f>IF(G356=0,0,(IF(OR(E356=$AT$5,E356=$AT$6),AC356,HLOOKUP(YEAR(G356)+(MONTH(G356)/100),TC!$5:$37,DAY(G356)+2,FALSE))))</f>
        <v>0</v>
      </c>
      <c r="O356" s="307">
        <f t="shared" si="89"/>
        <v>0</v>
      </c>
      <c r="P356" s="560">
        <f>IF(G356=0,0,VLOOKUP(YEAR(G356),INPC!$B$4:$P$30,MONTH(G356)+2))</f>
        <v>0</v>
      </c>
      <c r="Q356" s="560">
        <f>IF(X356=0,0,IF(OR(E356=$AT$10,E356=$AT$9),VLOOKUP(YEAR(X356),INPC!$B$4:$P$30,MONTH(X356)+1),VLOOKUP(YEAR(X356),INPC!$B$4:$P$30,MONTH(X356)+2,0)))</f>
        <v>0</v>
      </c>
      <c r="R356" s="309">
        <f t="shared" si="90"/>
        <v>0</v>
      </c>
      <c r="S356" s="310">
        <f t="shared" si="91"/>
        <v>0</v>
      </c>
      <c r="T356" s="555">
        <f t="shared" si="92"/>
        <v>0</v>
      </c>
      <c r="U356" s="311"/>
      <c r="V356" s="312"/>
      <c r="W356" s="299"/>
      <c r="X356" s="300"/>
      <c r="Y356" s="299"/>
      <c r="Z356" s="303"/>
      <c r="AA356" s="305">
        <f>IF(Z356=0,0,IF(Y356="MXN",1/HLOOKUP(YEAR(X356)+(MONTH(X356)/100),TC!$5:$37,DAY(X356)+2,FALSE),VLOOKUP(Y356,Equivalencia!$1:$23,((MAX(Equivalencia!$3:$3)-YEAR(X356))*14)+MONTH(X356)+2,FALSE)))</f>
        <v>0</v>
      </c>
      <c r="AB356" s="306">
        <f t="shared" si="93"/>
        <v>0</v>
      </c>
      <c r="AC356" s="305">
        <f>+IF(X356=0,0,HLOOKUP(YEAR(X356)+(MONTH(X356)/100),TC!$5:$37,DAY(X356)+2,FALSE))</f>
        <v>0</v>
      </c>
      <c r="AD356" s="307">
        <f t="shared" si="94"/>
        <v>0</v>
      </c>
      <c r="AE356" s="314">
        <f t="shared" si="95"/>
        <v>0</v>
      </c>
      <c r="AF356" s="315">
        <f t="shared" si="96"/>
        <v>0</v>
      </c>
      <c r="AG356" s="316">
        <f t="shared" si="97"/>
        <v>0</v>
      </c>
      <c r="AH356" s="314">
        <v>1</v>
      </c>
      <c r="AI356" s="314">
        <f t="shared" si="98"/>
        <v>0</v>
      </c>
      <c r="AJ356" s="314">
        <f t="shared" si="99"/>
        <v>0</v>
      </c>
      <c r="AK356" s="317"/>
      <c r="AL356" s="315">
        <f t="shared" si="100"/>
        <v>0</v>
      </c>
      <c r="AN356" s="554">
        <f t="shared" si="101"/>
        <v>0</v>
      </c>
      <c r="AO356" s="314"/>
      <c r="AP356" s="318"/>
    </row>
    <row r="357" spans="2:42">
      <c r="B357" s="296"/>
      <c r="C357" s="299"/>
      <c r="D357" s="298"/>
      <c r="E357" s="299"/>
      <c r="F357" s="299"/>
      <c r="G357" s="300"/>
      <c r="H357" s="303"/>
      <c r="I357" s="301">
        <f t="shared" si="85"/>
        <v>0</v>
      </c>
      <c r="J357" s="302">
        <f t="shared" si="86"/>
        <v>0</v>
      </c>
      <c r="K357" s="304">
        <f t="shared" si="87"/>
        <v>0</v>
      </c>
      <c r="L357" s="305">
        <f>IF(H357=0,0,IF(OR(E357=$AT$5,E357=$AT$6),AA357,IF(F357="MXN",1/HLOOKUP(YEAR(G357)+(MONTH(G357)/100),TC!$5:$37,DAY(G357)+2,FALSE),VLOOKUP(F357,Equivalencia!$5:$23,((MAX(Equivalencia!$3:$3)-YEAR(G357))*14)+MONTH(G357)+2,FALSE))))</f>
        <v>0</v>
      </c>
      <c r="M357" s="306">
        <f t="shared" si="88"/>
        <v>0</v>
      </c>
      <c r="N357" s="305">
        <f>IF(G357=0,0,(IF(OR(E357=$AT$5,E357=$AT$6),AC357,HLOOKUP(YEAR(G357)+(MONTH(G357)/100),TC!$5:$37,DAY(G357)+2,FALSE))))</f>
        <v>0</v>
      </c>
      <c r="O357" s="307">
        <f t="shared" si="89"/>
        <v>0</v>
      </c>
      <c r="P357" s="560">
        <f>IF(G357=0,0,VLOOKUP(YEAR(G357),INPC!$B$4:$P$30,MONTH(G357)+2))</f>
        <v>0</v>
      </c>
      <c r="Q357" s="560">
        <f>IF(X357=0,0,IF(OR(E357=$AT$10,E357=$AT$9),VLOOKUP(YEAR(X357),INPC!$B$4:$P$30,MONTH(X357)+1),VLOOKUP(YEAR(X357),INPC!$B$4:$P$30,MONTH(X357)+2,0)))</f>
        <v>0</v>
      </c>
      <c r="R357" s="309">
        <f t="shared" si="90"/>
        <v>0</v>
      </c>
      <c r="S357" s="310">
        <f t="shared" si="91"/>
        <v>0</v>
      </c>
      <c r="T357" s="555">
        <f t="shared" si="92"/>
        <v>0</v>
      </c>
      <c r="U357" s="311"/>
      <c r="V357" s="312"/>
      <c r="W357" s="299"/>
      <c r="X357" s="300"/>
      <c r="Y357" s="299"/>
      <c r="Z357" s="303"/>
      <c r="AA357" s="305">
        <f>IF(Z357=0,0,IF(Y357="MXN",1/HLOOKUP(YEAR(X357)+(MONTH(X357)/100),TC!$5:$37,DAY(X357)+2,FALSE),VLOOKUP(Y357,Equivalencia!$1:$23,((MAX(Equivalencia!$3:$3)-YEAR(X357))*14)+MONTH(X357)+2,FALSE)))</f>
        <v>0</v>
      </c>
      <c r="AB357" s="306">
        <f t="shared" si="93"/>
        <v>0</v>
      </c>
      <c r="AC357" s="305">
        <f>+IF(X357=0,0,HLOOKUP(YEAR(X357)+(MONTH(X357)/100),TC!$5:$37,DAY(X357)+2,FALSE))</f>
        <v>0</v>
      </c>
      <c r="AD357" s="307">
        <f t="shared" si="94"/>
        <v>0</v>
      </c>
      <c r="AE357" s="314">
        <f t="shared" si="95"/>
        <v>0</v>
      </c>
      <c r="AF357" s="315">
        <f t="shared" si="96"/>
        <v>0</v>
      </c>
      <c r="AG357" s="316">
        <f t="shared" si="97"/>
        <v>0</v>
      </c>
      <c r="AH357" s="314">
        <v>1</v>
      </c>
      <c r="AI357" s="314">
        <f t="shared" si="98"/>
        <v>0</v>
      </c>
      <c r="AJ357" s="314">
        <f t="shared" si="99"/>
        <v>0</v>
      </c>
      <c r="AK357" s="317"/>
      <c r="AL357" s="315">
        <f t="shared" si="100"/>
        <v>0</v>
      </c>
      <c r="AN357" s="554">
        <f t="shared" si="101"/>
        <v>0</v>
      </c>
      <c r="AO357" s="314"/>
      <c r="AP357" s="318"/>
    </row>
    <row r="358" spans="2:42">
      <c r="B358" s="296"/>
      <c r="C358" s="299"/>
      <c r="D358" s="298"/>
      <c r="E358" s="299"/>
      <c r="F358" s="299"/>
      <c r="G358" s="300"/>
      <c r="H358" s="303"/>
      <c r="I358" s="301">
        <f t="shared" si="85"/>
        <v>0</v>
      </c>
      <c r="J358" s="302">
        <f t="shared" si="86"/>
        <v>0</v>
      </c>
      <c r="K358" s="304">
        <f t="shared" si="87"/>
        <v>0</v>
      </c>
      <c r="L358" s="305">
        <f>IF(H358=0,0,IF(OR(E358=$AT$5,E358=$AT$6),AA358,IF(F358="MXN",1/HLOOKUP(YEAR(G358)+(MONTH(G358)/100),TC!$5:$37,DAY(G358)+2,FALSE),VLOOKUP(F358,Equivalencia!$5:$23,((MAX(Equivalencia!$3:$3)-YEAR(G358))*14)+MONTH(G358)+2,FALSE))))</f>
        <v>0</v>
      </c>
      <c r="M358" s="306">
        <f t="shared" si="88"/>
        <v>0</v>
      </c>
      <c r="N358" s="305">
        <f>IF(G358=0,0,(IF(OR(E358=$AT$5,E358=$AT$6),AC358,HLOOKUP(YEAR(G358)+(MONTH(G358)/100),TC!$5:$37,DAY(G358)+2,FALSE))))</f>
        <v>0</v>
      </c>
      <c r="O358" s="307">
        <f t="shared" si="89"/>
        <v>0</v>
      </c>
      <c r="P358" s="560">
        <f>IF(G358=0,0,VLOOKUP(YEAR(G358),INPC!$B$4:$P$30,MONTH(G358)+2))</f>
        <v>0</v>
      </c>
      <c r="Q358" s="560">
        <f>IF(X358=0,0,IF(OR(E358=$AT$10,E358=$AT$9),VLOOKUP(YEAR(X358),INPC!$B$4:$P$30,MONTH(X358)+1),VLOOKUP(YEAR(X358),INPC!$B$4:$P$30,MONTH(X358)+2,0)))</f>
        <v>0</v>
      </c>
      <c r="R358" s="309">
        <f t="shared" si="90"/>
        <v>0</v>
      </c>
      <c r="S358" s="310">
        <f t="shared" si="91"/>
        <v>0</v>
      </c>
      <c r="T358" s="555">
        <f t="shared" si="92"/>
        <v>0</v>
      </c>
      <c r="U358" s="311"/>
      <c r="V358" s="312"/>
      <c r="W358" s="299"/>
      <c r="X358" s="300"/>
      <c r="Y358" s="299"/>
      <c r="Z358" s="303"/>
      <c r="AA358" s="305">
        <f>IF(Z358=0,0,IF(Y358="MXN",1/HLOOKUP(YEAR(X358)+(MONTH(X358)/100),TC!$5:$37,DAY(X358)+2,FALSE),VLOOKUP(Y358,Equivalencia!$1:$23,((MAX(Equivalencia!$3:$3)-YEAR(X358))*14)+MONTH(X358)+2,FALSE)))</f>
        <v>0</v>
      </c>
      <c r="AB358" s="306">
        <f t="shared" si="93"/>
        <v>0</v>
      </c>
      <c r="AC358" s="305">
        <f>+IF(X358=0,0,HLOOKUP(YEAR(X358)+(MONTH(X358)/100),TC!$5:$37,DAY(X358)+2,FALSE))</f>
        <v>0</v>
      </c>
      <c r="AD358" s="307">
        <f t="shared" si="94"/>
        <v>0</v>
      </c>
      <c r="AE358" s="314">
        <f t="shared" si="95"/>
        <v>0</v>
      </c>
      <c r="AF358" s="315">
        <f t="shared" si="96"/>
        <v>0</v>
      </c>
      <c r="AG358" s="316">
        <f t="shared" si="97"/>
        <v>0</v>
      </c>
      <c r="AH358" s="314">
        <v>1</v>
      </c>
      <c r="AI358" s="314">
        <f t="shared" si="98"/>
        <v>0</v>
      </c>
      <c r="AJ358" s="314">
        <f t="shared" si="99"/>
        <v>0</v>
      </c>
      <c r="AK358" s="317"/>
      <c r="AL358" s="315">
        <f t="shared" si="100"/>
        <v>0</v>
      </c>
      <c r="AN358" s="554">
        <f t="shared" si="101"/>
        <v>0</v>
      </c>
      <c r="AO358" s="314"/>
      <c r="AP358" s="318"/>
    </row>
    <row r="359" spans="2:42">
      <c r="B359" s="296"/>
      <c r="C359" s="299"/>
      <c r="D359" s="298"/>
      <c r="E359" s="299"/>
      <c r="F359" s="299"/>
      <c r="G359" s="300"/>
      <c r="H359" s="303"/>
      <c r="I359" s="301">
        <f t="shared" si="85"/>
        <v>0</v>
      </c>
      <c r="J359" s="302">
        <f t="shared" si="86"/>
        <v>0</v>
      </c>
      <c r="K359" s="304">
        <f t="shared" si="87"/>
        <v>0</v>
      </c>
      <c r="L359" s="305">
        <f>IF(H359=0,0,IF(OR(E359=$AT$5,E359=$AT$6),AA359,IF(F359="MXN",1/HLOOKUP(YEAR(G359)+(MONTH(G359)/100),TC!$5:$37,DAY(G359)+2,FALSE),VLOOKUP(F359,Equivalencia!$5:$23,((MAX(Equivalencia!$3:$3)-YEAR(G359))*14)+MONTH(G359)+2,FALSE))))</f>
        <v>0</v>
      </c>
      <c r="M359" s="306">
        <f t="shared" si="88"/>
        <v>0</v>
      </c>
      <c r="N359" s="305">
        <f>IF(G359=0,0,(IF(OR(E359=$AT$5,E359=$AT$6),AC359,HLOOKUP(YEAR(G359)+(MONTH(G359)/100),TC!$5:$37,DAY(G359)+2,FALSE))))</f>
        <v>0</v>
      </c>
      <c r="O359" s="307">
        <f t="shared" si="89"/>
        <v>0</v>
      </c>
      <c r="P359" s="560">
        <f>IF(G359=0,0,VLOOKUP(YEAR(G359),INPC!$B$4:$P$30,MONTH(G359)+2))</f>
        <v>0</v>
      </c>
      <c r="Q359" s="560">
        <f>IF(X359=0,0,IF(OR(E359=$AT$10,E359=$AT$9),VLOOKUP(YEAR(X359),INPC!$B$4:$P$30,MONTH(X359)+1),VLOOKUP(YEAR(X359),INPC!$B$4:$P$30,MONTH(X359)+2,0)))</f>
        <v>0</v>
      </c>
      <c r="R359" s="309">
        <f t="shared" si="90"/>
        <v>0</v>
      </c>
      <c r="S359" s="310">
        <f t="shared" si="91"/>
        <v>0</v>
      </c>
      <c r="T359" s="555">
        <f t="shared" si="92"/>
        <v>0</v>
      </c>
      <c r="U359" s="311"/>
      <c r="V359" s="312"/>
      <c r="W359" s="299"/>
      <c r="X359" s="300"/>
      <c r="Y359" s="299"/>
      <c r="Z359" s="303"/>
      <c r="AA359" s="305">
        <f>IF(Z359=0,0,IF(Y359="MXN",1/HLOOKUP(YEAR(X359)+(MONTH(X359)/100),TC!$5:$37,DAY(X359)+2,FALSE),VLOOKUP(Y359,Equivalencia!$1:$23,((MAX(Equivalencia!$3:$3)-YEAR(X359))*14)+MONTH(X359)+2,FALSE)))</f>
        <v>0</v>
      </c>
      <c r="AB359" s="306">
        <f t="shared" si="93"/>
        <v>0</v>
      </c>
      <c r="AC359" s="305">
        <f>+IF(X359=0,0,HLOOKUP(YEAR(X359)+(MONTH(X359)/100),TC!$5:$37,DAY(X359)+2,FALSE))</f>
        <v>0</v>
      </c>
      <c r="AD359" s="307">
        <f t="shared" si="94"/>
        <v>0</v>
      </c>
      <c r="AE359" s="314">
        <f t="shared" si="95"/>
        <v>0</v>
      </c>
      <c r="AF359" s="315">
        <f t="shared" si="96"/>
        <v>0</v>
      </c>
      <c r="AG359" s="316">
        <f t="shared" si="97"/>
        <v>0</v>
      </c>
      <c r="AH359" s="314">
        <v>1</v>
      </c>
      <c r="AI359" s="314">
        <f t="shared" si="98"/>
        <v>0</v>
      </c>
      <c r="AJ359" s="314">
        <f t="shared" si="99"/>
        <v>0</v>
      </c>
      <c r="AK359" s="317"/>
      <c r="AL359" s="315">
        <f t="shared" si="100"/>
        <v>0</v>
      </c>
      <c r="AN359" s="554">
        <f t="shared" si="101"/>
        <v>0</v>
      </c>
      <c r="AO359" s="314"/>
      <c r="AP359" s="318"/>
    </row>
    <row r="360" spans="2:42">
      <c r="B360" s="296"/>
      <c r="C360" s="299"/>
      <c r="D360" s="298"/>
      <c r="E360" s="299"/>
      <c r="F360" s="299"/>
      <c r="G360" s="300"/>
      <c r="H360" s="303"/>
      <c r="I360" s="301">
        <f t="shared" si="85"/>
        <v>0</v>
      </c>
      <c r="J360" s="302">
        <f t="shared" si="86"/>
        <v>0</v>
      </c>
      <c r="K360" s="304">
        <f t="shared" si="87"/>
        <v>0</v>
      </c>
      <c r="L360" s="305">
        <f>IF(H360=0,0,IF(OR(E360=$AT$5,E360=$AT$6),AA360,IF(F360="MXN",1/HLOOKUP(YEAR(G360)+(MONTH(G360)/100),TC!$5:$37,DAY(G360)+2,FALSE),VLOOKUP(F360,Equivalencia!$5:$23,((MAX(Equivalencia!$3:$3)-YEAR(G360))*14)+MONTH(G360)+2,FALSE))))</f>
        <v>0</v>
      </c>
      <c r="M360" s="306">
        <f t="shared" si="88"/>
        <v>0</v>
      </c>
      <c r="N360" s="305">
        <f>IF(G360=0,0,(IF(OR(E360=$AT$5,E360=$AT$6),AC360,HLOOKUP(YEAR(G360)+(MONTH(G360)/100),TC!$5:$37,DAY(G360)+2,FALSE))))</f>
        <v>0</v>
      </c>
      <c r="O360" s="307">
        <f t="shared" si="89"/>
        <v>0</v>
      </c>
      <c r="P360" s="560">
        <f>IF(G360=0,0,VLOOKUP(YEAR(G360),INPC!$B$4:$P$30,MONTH(G360)+2))</f>
        <v>0</v>
      </c>
      <c r="Q360" s="560">
        <f>IF(X360=0,0,IF(OR(E360=$AT$10,E360=$AT$9),VLOOKUP(YEAR(X360),INPC!$B$4:$P$30,MONTH(X360)+1),VLOOKUP(YEAR(X360),INPC!$B$4:$P$30,MONTH(X360)+2,0)))</f>
        <v>0</v>
      </c>
      <c r="R360" s="309">
        <f t="shared" si="90"/>
        <v>0</v>
      </c>
      <c r="S360" s="310">
        <f t="shared" si="91"/>
        <v>0</v>
      </c>
      <c r="T360" s="555">
        <f t="shared" si="92"/>
        <v>0</v>
      </c>
      <c r="U360" s="311"/>
      <c r="V360" s="312"/>
      <c r="W360" s="299"/>
      <c r="X360" s="300"/>
      <c r="Y360" s="299"/>
      <c r="Z360" s="303"/>
      <c r="AA360" s="305">
        <f>IF(Z360=0,0,IF(Y360="MXN",1/HLOOKUP(YEAR(X360)+(MONTH(X360)/100),TC!$5:$37,DAY(X360)+2,FALSE),VLOOKUP(Y360,Equivalencia!$1:$23,((MAX(Equivalencia!$3:$3)-YEAR(X360))*14)+MONTH(X360)+2,FALSE)))</f>
        <v>0</v>
      </c>
      <c r="AB360" s="306">
        <f t="shared" si="93"/>
        <v>0</v>
      </c>
      <c r="AC360" s="305">
        <f>+IF(X360=0,0,HLOOKUP(YEAR(X360)+(MONTH(X360)/100),TC!$5:$37,DAY(X360)+2,FALSE))</f>
        <v>0</v>
      </c>
      <c r="AD360" s="307">
        <f t="shared" si="94"/>
        <v>0</v>
      </c>
      <c r="AE360" s="314">
        <f t="shared" si="95"/>
        <v>0</v>
      </c>
      <c r="AF360" s="315">
        <f t="shared" si="96"/>
        <v>0</v>
      </c>
      <c r="AG360" s="316">
        <f t="shared" si="97"/>
        <v>0</v>
      </c>
      <c r="AH360" s="314">
        <v>1</v>
      </c>
      <c r="AI360" s="314">
        <f t="shared" si="98"/>
        <v>0</v>
      </c>
      <c r="AJ360" s="314">
        <f t="shared" si="99"/>
        <v>0</v>
      </c>
      <c r="AK360" s="317"/>
      <c r="AL360" s="315">
        <f t="shared" si="100"/>
        <v>0</v>
      </c>
      <c r="AN360" s="554">
        <f t="shared" si="101"/>
        <v>0</v>
      </c>
      <c r="AO360" s="314"/>
      <c r="AP360" s="318"/>
    </row>
    <row r="361" spans="2:42">
      <c r="B361" s="296"/>
      <c r="C361" s="299"/>
      <c r="D361" s="298"/>
      <c r="E361" s="299"/>
      <c r="F361" s="299"/>
      <c r="G361" s="300"/>
      <c r="H361" s="303"/>
      <c r="I361" s="301">
        <f t="shared" si="85"/>
        <v>0</v>
      </c>
      <c r="J361" s="302">
        <f t="shared" si="86"/>
        <v>0</v>
      </c>
      <c r="K361" s="304">
        <f t="shared" si="87"/>
        <v>0</v>
      </c>
      <c r="L361" s="305">
        <f>IF(H361=0,0,IF(OR(E361=$AT$5,E361=$AT$6),AA361,IF(F361="MXN",1/HLOOKUP(YEAR(G361)+(MONTH(G361)/100),TC!$5:$37,DAY(G361)+2,FALSE),VLOOKUP(F361,Equivalencia!$5:$23,((MAX(Equivalencia!$3:$3)-YEAR(G361))*14)+MONTH(G361)+2,FALSE))))</f>
        <v>0</v>
      </c>
      <c r="M361" s="306">
        <f t="shared" si="88"/>
        <v>0</v>
      </c>
      <c r="N361" s="305">
        <f>IF(G361=0,0,(IF(OR(E361=$AT$5,E361=$AT$6),AC361,HLOOKUP(YEAR(G361)+(MONTH(G361)/100),TC!$5:$37,DAY(G361)+2,FALSE))))</f>
        <v>0</v>
      </c>
      <c r="O361" s="307">
        <f t="shared" si="89"/>
        <v>0</v>
      </c>
      <c r="P361" s="560">
        <f>IF(G361=0,0,VLOOKUP(YEAR(G361),INPC!$B$4:$P$30,MONTH(G361)+2))</f>
        <v>0</v>
      </c>
      <c r="Q361" s="560">
        <f>IF(X361=0,0,IF(OR(E361=$AT$10,E361=$AT$9),VLOOKUP(YEAR(X361),INPC!$B$4:$P$30,MONTH(X361)+1),VLOOKUP(YEAR(X361),INPC!$B$4:$P$30,MONTH(X361)+2,0)))</f>
        <v>0</v>
      </c>
      <c r="R361" s="309">
        <f t="shared" si="90"/>
        <v>0</v>
      </c>
      <c r="S361" s="310">
        <f t="shared" si="91"/>
        <v>0</v>
      </c>
      <c r="T361" s="555">
        <f t="shared" si="92"/>
        <v>0</v>
      </c>
      <c r="U361" s="311"/>
      <c r="V361" s="312"/>
      <c r="W361" s="299"/>
      <c r="X361" s="300"/>
      <c r="Y361" s="299"/>
      <c r="Z361" s="303"/>
      <c r="AA361" s="305">
        <f>IF(Z361=0,0,IF(Y361="MXN",1/HLOOKUP(YEAR(X361)+(MONTH(X361)/100),TC!$5:$37,DAY(X361)+2,FALSE),VLOOKUP(Y361,Equivalencia!$1:$23,((MAX(Equivalencia!$3:$3)-YEAR(X361))*14)+MONTH(X361)+2,FALSE)))</f>
        <v>0</v>
      </c>
      <c r="AB361" s="306">
        <f t="shared" si="93"/>
        <v>0</v>
      </c>
      <c r="AC361" s="305">
        <f>+IF(X361=0,0,HLOOKUP(YEAR(X361)+(MONTH(X361)/100),TC!$5:$37,DAY(X361)+2,FALSE))</f>
        <v>0</v>
      </c>
      <c r="AD361" s="307">
        <f t="shared" si="94"/>
        <v>0</v>
      </c>
      <c r="AE361" s="314">
        <f t="shared" si="95"/>
        <v>0</v>
      </c>
      <c r="AF361" s="315">
        <f t="shared" si="96"/>
        <v>0</v>
      </c>
      <c r="AG361" s="316">
        <f t="shared" si="97"/>
        <v>0</v>
      </c>
      <c r="AH361" s="314">
        <v>1</v>
      </c>
      <c r="AI361" s="314">
        <f t="shared" si="98"/>
        <v>0</v>
      </c>
      <c r="AJ361" s="314">
        <f t="shared" si="99"/>
        <v>0</v>
      </c>
      <c r="AK361" s="317"/>
      <c r="AL361" s="315">
        <f t="shared" si="100"/>
        <v>0</v>
      </c>
      <c r="AN361" s="554">
        <f t="shared" si="101"/>
        <v>0</v>
      </c>
      <c r="AO361" s="314"/>
      <c r="AP361" s="318"/>
    </row>
    <row r="362" spans="2:42">
      <c r="B362" s="296"/>
      <c r="C362" s="299"/>
      <c r="D362" s="298"/>
      <c r="E362" s="299"/>
      <c r="F362" s="299"/>
      <c r="G362" s="300"/>
      <c r="H362" s="303"/>
      <c r="I362" s="301">
        <f t="shared" si="85"/>
        <v>0</v>
      </c>
      <c r="J362" s="302">
        <f t="shared" si="86"/>
        <v>0</v>
      </c>
      <c r="K362" s="304">
        <f t="shared" si="87"/>
        <v>0</v>
      </c>
      <c r="L362" s="305">
        <f>IF(H362=0,0,IF(OR(E362=$AT$5,E362=$AT$6),AA362,IF(F362="MXN",1/HLOOKUP(YEAR(G362)+(MONTH(G362)/100),TC!$5:$37,DAY(G362)+2,FALSE),VLOOKUP(F362,Equivalencia!$5:$23,((MAX(Equivalencia!$3:$3)-YEAR(G362))*14)+MONTH(G362)+2,FALSE))))</f>
        <v>0</v>
      </c>
      <c r="M362" s="306">
        <f t="shared" si="88"/>
        <v>0</v>
      </c>
      <c r="N362" s="305">
        <f>IF(G362=0,0,(IF(OR(E362=$AT$5,E362=$AT$6),AC362,HLOOKUP(YEAR(G362)+(MONTH(G362)/100),TC!$5:$37,DAY(G362)+2,FALSE))))</f>
        <v>0</v>
      </c>
      <c r="O362" s="307">
        <f t="shared" si="89"/>
        <v>0</v>
      </c>
      <c r="P362" s="560">
        <f>IF(G362=0,0,VLOOKUP(YEAR(G362),INPC!$B$4:$P$30,MONTH(G362)+2))</f>
        <v>0</v>
      </c>
      <c r="Q362" s="560">
        <f>IF(X362=0,0,IF(OR(E362=$AT$10,E362=$AT$9),VLOOKUP(YEAR(X362),INPC!$B$4:$P$30,MONTH(X362)+1),VLOOKUP(YEAR(X362),INPC!$B$4:$P$30,MONTH(X362)+2,0)))</f>
        <v>0</v>
      </c>
      <c r="R362" s="309">
        <f t="shared" si="90"/>
        <v>0</v>
      </c>
      <c r="S362" s="310">
        <f t="shared" si="91"/>
        <v>0</v>
      </c>
      <c r="T362" s="555">
        <f t="shared" si="92"/>
        <v>0</v>
      </c>
      <c r="U362" s="311"/>
      <c r="V362" s="312"/>
      <c r="W362" s="299"/>
      <c r="X362" s="300"/>
      <c r="Y362" s="299"/>
      <c r="Z362" s="303"/>
      <c r="AA362" s="305">
        <f>IF(Z362=0,0,IF(Y362="MXN",1/HLOOKUP(YEAR(X362)+(MONTH(X362)/100),TC!$5:$37,DAY(X362)+2,FALSE),VLOOKUP(Y362,Equivalencia!$1:$23,((MAX(Equivalencia!$3:$3)-YEAR(X362))*14)+MONTH(X362)+2,FALSE)))</f>
        <v>0</v>
      </c>
      <c r="AB362" s="306">
        <f t="shared" si="93"/>
        <v>0</v>
      </c>
      <c r="AC362" s="305">
        <f>+IF(X362=0,0,HLOOKUP(YEAR(X362)+(MONTH(X362)/100),TC!$5:$37,DAY(X362)+2,FALSE))</f>
        <v>0</v>
      </c>
      <c r="AD362" s="307">
        <f t="shared" si="94"/>
        <v>0</v>
      </c>
      <c r="AE362" s="314">
        <f t="shared" si="95"/>
        <v>0</v>
      </c>
      <c r="AF362" s="315">
        <f t="shared" si="96"/>
        <v>0</v>
      </c>
      <c r="AG362" s="316">
        <f t="shared" si="97"/>
        <v>0</v>
      </c>
      <c r="AH362" s="314">
        <v>1</v>
      </c>
      <c r="AI362" s="314">
        <f t="shared" si="98"/>
        <v>0</v>
      </c>
      <c r="AJ362" s="314">
        <f t="shared" si="99"/>
        <v>0</v>
      </c>
      <c r="AK362" s="317"/>
      <c r="AL362" s="315">
        <f t="shared" si="100"/>
        <v>0</v>
      </c>
      <c r="AN362" s="554">
        <f t="shared" si="101"/>
        <v>0</v>
      </c>
      <c r="AO362" s="314"/>
      <c r="AP362" s="318"/>
    </row>
    <row r="363" spans="2:42">
      <c r="B363" s="296"/>
      <c r="C363" s="299"/>
      <c r="D363" s="298"/>
      <c r="E363" s="299"/>
      <c r="F363" s="299"/>
      <c r="G363" s="300"/>
      <c r="H363" s="303"/>
      <c r="I363" s="301">
        <f t="shared" si="85"/>
        <v>0</v>
      </c>
      <c r="J363" s="302">
        <f t="shared" si="86"/>
        <v>0</v>
      </c>
      <c r="K363" s="304">
        <f t="shared" si="87"/>
        <v>0</v>
      </c>
      <c r="L363" s="305">
        <f>IF(H363=0,0,IF(OR(E363=$AT$5,E363=$AT$6),AA363,IF(F363="MXN",1/HLOOKUP(YEAR(G363)+(MONTH(G363)/100),TC!$5:$37,DAY(G363)+2,FALSE),VLOOKUP(F363,Equivalencia!$5:$23,((MAX(Equivalencia!$3:$3)-YEAR(G363))*14)+MONTH(G363)+2,FALSE))))</f>
        <v>0</v>
      </c>
      <c r="M363" s="306">
        <f t="shared" si="88"/>
        <v>0</v>
      </c>
      <c r="N363" s="305">
        <f>IF(G363=0,0,(IF(OR(E363=$AT$5,E363=$AT$6),AC363,HLOOKUP(YEAR(G363)+(MONTH(G363)/100),TC!$5:$37,DAY(G363)+2,FALSE))))</f>
        <v>0</v>
      </c>
      <c r="O363" s="307">
        <f t="shared" si="89"/>
        <v>0</v>
      </c>
      <c r="P363" s="560">
        <f>IF(G363=0,0,VLOOKUP(YEAR(G363),INPC!$B$4:$P$30,MONTH(G363)+2))</f>
        <v>0</v>
      </c>
      <c r="Q363" s="560">
        <f>IF(X363=0,0,IF(OR(E363=$AT$10,E363=$AT$9),VLOOKUP(YEAR(X363),INPC!$B$4:$P$30,MONTH(X363)+1),VLOOKUP(YEAR(X363),INPC!$B$4:$P$30,MONTH(X363)+2,0)))</f>
        <v>0</v>
      </c>
      <c r="R363" s="309">
        <f t="shared" si="90"/>
        <v>0</v>
      </c>
      <c r="S363" s="310">
        <f t="shared" si="91"/>
        <v>0</v>
      </c>
      <c r="T363" s="555">
        <f t="shared" si="92"/>
        <v>0</v>
      </c>
      <c r="U363" s="311"/>
      <c r="V363" s="312"/>
      <c r="W363" s="299"/>
      <c r="X363" s="300"/>
      <c r="Y363" s="299"/>
      <c r="Z363" s="303"/>
      <c r="AA363" s="305">
        <f>IF(Z363=0,0,IF(Y363="MXN",1/HLOOKUP(YEAR(X363)+(MONTH(X363)/100),TC!$5:$37,DAY(X363)+2,FALSE),VLOOKUP(Y363,Equivalencia!$1:$23,((MAX(Equivalencia!$3:$3)-YEAR(X363))*14)+MONTH(X363)+2,FALSE)))</f>
        <v>0</v>
      </c>
      <c r="AB363" s="306">
        <f t="shared" si="93"/>
        <v>0</v>
      </c>
      <c r="AC363" s="305">
        <f>+IF(X363=0,0,HLOOKUP(YEAR(X363)+(MONTH(X363)/100),TC!$5:$37,DAY(X363)+2,FALSE))</f>
        <v>0</v>
      </c>
      <c r="AD363" s="307">
        <f t="shared" si="94"/>
        <v>0</v>
      </c>
      <c r="AE363" s="314">
        <f t="shared" si="95"/>
        <v>0</v>
      </c>
      <c r="AF363" s="315">
        <f t="shared" si="96"/>
        <v>0</v>
      </c>
      <c r="AG363" s="316">
        <f t="shared" si="97"/>
        <v>0</v>
      </c>
      <c r="AH363" s="314">
        <v>1</v>
      </c>
      <c r="AI363" s="314">
        <f t="shared" si="98"/>
        <v>0</v>
      </c>
      <c r="AJ363" s="314">
        <f t="shared" si="99"/>
        <v>0</v>
      </c>
      <c r="AK363" s="317"/>
      <c r="AL363" s="315">
        <f t="shared" si="100"/>
        <v>0</v>
      </c>
      <c r="AN363" s="554">
        <f t="shared" si="101"/>
        <v>0</v>
      </c>
      <c r="AO363" s="314"/>
      <c r="AP363" s="318"/>
    </row>
    <row r="364" spans="2:42">
      <c r="B364" s="296"/>
      <c r="C364" s="299"/>
      <c r="D364" s="298"/>
      <c r="E364" s="299"/>
      <c r="F364" s="299"/>
      <c r="G364" s="300"/>
      <c r="H364" s="303"/>
      <c r="I364" s="301">
        <f t="shared" si="85"/>
        <v>0</v>
      </c>
      <c r="J364" s="302">
        <f t="shared" si="86"/>
        <v>0</v>
      </c>
      <c r="K364" s="304">
        <f t="shared" si="87"/>
        <v>0</v>
      </c>
      <c r="L364" s="305">
        <f>IF(H364=0,0,IF(OR(E364=$AT$5,E364=$AT$6),AA364,IF(F364="MXN",1/HLOOKUP(YEAR(G364)+(MONTH(G364)/100),TC!$5:$37,DAY(G364)+2,FALSE),VLOOKUP(F364,Equivalencia!$5:$23,((MAX(Equivalencia!$3:$3)-YEAR(G364))*14)+MONTH(G364)+2,FALSE))))</f>
        <v>0</v>
      </c>
      <c r="M364" s="306">
        <f t="shared" si="88"/>
        <v>0</v>
      </c>
      <c r="N364" s="305">
        <f>IF(G364=0,0,(IF(OR(E364=$AT$5,E364=$AT$6),AC364,HLOOKUP(YEAR(G364)+(MONTH(G364)/100),TC!$5:$37,DAY(G364)+2,FALSE))))</f>
        <v>0</v>
      </c>
      <c r="O364" s="307">
        <f t="shared" si="89"/>
        <v>0</v>
      </c>
      <c r="P364" s="560">
        <f>IF(G364=0,0,VLOOKUP(YEAR(G364),INPC!$B$4:$P$30,MONTH(G364)+2))</f>
        <v>0</v>
      </c>
      <c r="Q364" s="560">
        <f>IF(X364=0,0,IF(OR(E364=$AT$10,E364=$AT$9),VLOOKUP(YEAR(X364),INPC!$B$4:$P$30,MONTH(X364)+1),VLOOKUP(YEAR(X364),INPC!$B$4:$P$30,MONTH(X364)+2,0)))</f>
        <v>0</v>
      </c>
      <c r="R364" s="309">
        <f t="shared" si="90"/>
        <v>0</v>
      </c>
      <c r="S364" s="310">
        <f t="shared" si="91"/>
        <v>0</v>
      </c>
      <c r="T364" s="555">
        <f t="shared" si="92"/>
        <v>0</v>
      </c>
      <c r="U364" s="311"/>
      <c r="V364" s="312"/>
      <c r="W364" s="299"/>
      <c r="X364" s="300"/>
      <c r="Y364" s="299"/>
      <c r="Z364" s="303"/>
      <c r="AA364" s="305">
        <f>IF(Z364=0,0,IF(Y364="MXN",1/HLOOKUP(YEAR(X364)+(MONTH(X364)/100),TC!$5:$37,DAY(X364)+2,FALSE),VLOOKUP(Y364,Equivalencia!$1:$23,((MAX(Equivalencia!$3:$3)-YEAR(X364))*14)+MONTH(X364)+2,FALSE)))</f>
        <v>0</v>
      </c>
      <c r="AB364" s="306">
        <f t="shared" si="93"/>
        <v>0</v>
      </c>
      <c r="AC364" s="305">
        <f>+IF(X364=0,0,HLOOKUP(YEAR(X364)+(MONTH(X364)/100),TC!$5:$37,DAY(X364)+2,FALSE))</f>
        <v>0</v>
      </c>
      <c r="AD364" s="307">
        <f t="shared" si="94"/>
        <v>0</v>
      </c>
      <c r="AE364" s="314">
        <f t="shared" si="95"/>
        <v>0</v>
      </c>
      <c r="AF364" s="315">
        <f t="shared" si="96"/>
        <v>0</v>
      </c>
      <c r="AG364" s="316">
        <f t="shared" si="97"/>
        <v>0</v>
      </c>
      <c r="AH364" s="314">
        <v>1</v>
      </c>
      <c r="AI364" s="314">
        <f t="shared" si="98"/>
        <v>0</v>
      </c>
      <c r="AJ364" s="314">
        <f t="shared" si="99"/>
        <v>0</v>
      </c>
      <c r="AK364" s="317"/>
      <c r="AL364" s="315">
        <f t="shared" si="100"/>
        <v>0</v>
      </c>
      <c r="AN364" s="554">
        <f t="shared" si="101"/>
        <v>0</v>
      </c>
      <c r="AO364" s="314"/>
      <c r="AP364" s="318"/>
    </row>
    <row r="365" spans="2:42">
      <c r="B365" s="296"/>
      <c r="C365" s="299"/>
      <c r="D365" s="298"/>
      <c r="E365" s="299"/>
      <c r="F365" s="299"/>
      <c r="G365" s="300"/>
      <c r="H365" s="303"/>
      <c r="I365" s="301">
        <f t="shared" si="85"/>
        <v>0</v>
      </c>
      <c r="J365" s="302">
        <f t="shared" si="86"/>
        <v>0</v>
      </c>
      <c r="K365" s="304">
        <f t="shared" si="87"/>
        <v>0</v>
      </c>
      <c r="L365" s="305">
        <f>IF(H365=0,0,IF(OR(E365=$AT$5,E365=$AT$6),AA365,IF(F365="MXN",1/HLOOKUP(YEAR(G365)+(MONTH(G365)/100),TC!$5:$37,DAY(G365)+2,FALSE),VLOOKUP(F365,Equivalencia!$5:$23,((MAX(Equivalencia!$3:$3)-YEAR(G365))*14)+MONTH(G365)+2,FALSE))))</f>
        <v>0</v>
      </c>
      <c r="M365" s="306">
        <f t="shared" si="88"/>
        <v>0</v>
      </c>
      <c r="N365" s="305">
        <f>IF(G365=0,0,(IF(OR(E365=$AT$5,E365=$AT$6),AC365,HLOOKUP(YEAR(G365)+(MONTH(G365)/100),TC!$5:$37,DAY(G365)+2,FALSE))))</f>
        <v>0</v>
      </c>
      <c r="O365" s="307">
        <f t="shared" si="89"/>
        <v>0</v>
      </c>
      <c r="P365" s="560">
        <f>IF(G365=0,0,VLOOKUP(YEAR(G365),INPC!$B$4:$P$30,MONTH(G365)+2))</f>
        <v>0</v>
      </c>
      <c r="Q365" s="560">
        <f>IF(X365=0,0,IF(OR(E365=$AT$10,E365=$AT$9),VLOOKUP(YEAR(X365),INPC!$B$4:$P$30,MONTH(X365)+1),VLOOKUP(YEAR(X365),INPC!$B$4:$P$30,MONTH(X365)+2,0)))</f>
        <v>0</v>
      </c>
      <c r="R365" s="309">
        <f t="shared" si="90"/>
        <v>0</v>
      </c>
      <c r="S365" s="310">
        <f t="shared" si="91"/>
        <v>0</v>
      </c>
      <c r="T365" s="555">
        <f t="shared" si="92"/>
        <v>0</v>
      </c>
      <c r="U365" s="311"/>
      <c r="V365" s="312"/>
      <c r="W365" s="299"/>
      <c r="X365" s="300"/>
      <c r="Y365" s="299"/>
      <c r="Z365" s="303"/>
      <c r="AA365" s="305">
        <f>IF(Z365=0,0,IF(Y365="MXN",1/HLOOKUP(YEAR(X365)+(MONTH(X365)/100),TC!$5:$37,DAY(X365)+2,FALSE),VLOOKUP(Y365,Equivalencia!$1:$23,((MAX(Equivalencia!$3:$3)-YEAR(X365))*14)+MONTH(X365)+2,FALSE)))</f>
        <v>0</v>
      </c>
      <c r="AB365" s="306">
        <f t="shared" si="93"/>
        <v>0</v>
      </c>
      <c r="AC365" s="305">
        <f>+IF(X365=0,0,HLOOKUP(YEAR(X365)+(MONTH(X365)/100),TC!$5:$37,DAY(X365)+2,FALSE))</f>
        <v>0</v>
      </c>
      <c r="AD365" s="307">
        <f t="shared" si="94"/>
        <v>0</v>
      </c>
      <c r="AE365" s="314">
        <f t="shared" si="95"/>
        <v>0</v>
      </c>
      <c r="AF365" s="315">
        <f t="shared" si="96"/>
        <v>0</v>
      </c>
      <c r="AG365" s="316">
        <f t="shared" si="97"/>
        <v>0</v>
      </c>
      <c r="AH365" s="314">
        <v>1</v>
      </c>
      <c r="AI365" s="314">
        <f t="shared" si="98"/>
        <v>0</v>
      </c>
      <c r="AJ365" s="314">
        <f t="shared" si="99"/>
        <v>0</v>
      </c>
      <c r="AK365" s="317"/>
      <c r="AL365" s="315">
        <f t="shared" si="100"/>
        <v>0</v>
      </c>
      <c r="AN365" s="554">
        <f t="shared" si="101"/>
        <v>0</v>
      </c>
      <c r="AO365" s="314"/>
      <c r="AP365" s="318"/>
    </row>
    <row r="366" spans="2:42">
      <c r="B366" s="296"/>
      <c r="C366" s="299"/>
      <c r="D366" s="298"/>
      <c r="E366" s="299"/>
      <c r="F366" s="299"/>
      <c r="G366" s="300"/>
      <c r="H366" s="303"/>
      <c r="I366" s="301">
        <f t="shared" si="85"/>
        <v>0</v>
      </c>
      <c r="J366" s="302">
        <f t="shared" si="86"/>
        <v>0</v>
      </c>
      <c r="K366" s="304">
        <f t="shared" si="87"/>
        <v>0</v>
      </c>
      <c r="L366" s="305">
        <f>IF(H366=0,0,IF(OR(E366=$AT$5,E366=$AT$6),AA366,IF(F366="MXN",1/HLOOKUP(YEAR(G366)+(MONTH(G366)/100),TC!$5:$37,DAY(G366)+2,FALSE),VLOOKUP(F366,Equivalencia!$5:$23,((MAX(Equivalencia!$3:$3)-YEAR(G366))*14)+MONTH(G366)+2,FALSE))))</f>
        <v>0</v>
      </c>
      <c r="M366" s="306">
        <f t="shared" si="88"/>
        <v>0</v>
      </c>
      <c r="N366" s="305">
        <f>IF(G366=0,0,(IF(OR(E366=$AT$5,E366=$AT$6),AC366,HLOOKUP(YEAR(G366)+(MONTH(G366)/100),TC!$5:$37,DAY(G366)+2,FALSE))))</f>
        <v>0</v>
      </c>
      <c r="O366" s="307">
        <f t="shared" si="89"/>
        <v>0</v>
      </c>
      <c r="P366" s="560">
        <f>IF(G366=0,0,VLOOKUP(YEAR(G366),INPC!$B$4:$P$30,MONTH(G366)+2))</f>
        <v>0</v>
      </c>
      <c r="Q366" s="560">
        <f>IF(X366=0,0,IF(OR(E366=$AT$10,E366=$AT$9),VLOOKUP(YEAR(X366),INPC!$B$4:$P$30,MONTH(X366)+1),VLOOKUP(YEAR(X366),INPC!$B$4:$P$30,MONTH(X366)+2,0)))</f>
        <v>0</v>
      </c>
      <c r="R366" s="309">
        <f t="shared" si="90"/>
        <v>0</v>
      </c>
      <c r="S366" s="310">
        <f t="shared" si="91"/>
        <v>0</v>
      </c>
      <c r="T366" s="555">
        <f t="shared" si="92"/>
        <v>0</v>
      </c>
      <c r="U366" s="311"/>
      <c r="V366" s="312"/>
      <c r="W366" s="299"/>
      <c r="X366" s="300"/>
      <c r="Y366" s="299"/>
      <c r="Z366" s="303"/>
      <c r="AA366" s="305">
        <f>IF(Z366=0,0,IF(Y366="MXN",1/HLOOKUP(YEAR(X366)+(MONTH(X366)/100),TC!$5:$37,DAY(X366)+2,FALSE),VLOOKUP(Y366,Equivalencia!$1:$23,((MAX(Equivalencia!$3:$3)-YEAR(X366))*14)+MONTH(X366)+2,FALSE)))</f>
        <v>0</v>
      </c>
      <c r="AB366" s="306">
        <f t="shared" si="93"/>
        <v>0</v>
      </c>
      <c r="AC366" s="305">
        <f>+IF(X366=0,0,HLOOKUP(YEAR(X366)+(MONTH(X366)/100),TC!$5:$37,DAY(X366)+2,FALSE))</f>
        <v>0</v>
      </c>
      <c r="AD366" s="307">
        <f t="shared" si="94"/>
        <v>0</v>
      </c>
      <c r="AE366" s="314">
        <f t="shared" si="95"/>
        <v>0</v>
      </c>
      <c r="AF366" s="315">
        <f t="shared" si="96"/>
        <v>0</v>
      </c>
      <c r="AG366" s="316">
        <f t="shared" si="97"/>
        <v>0</v>
      </c>
      <c r="AH366" s="314">
        <v>1</v>
      </c>
      <c r="AI366" s="314">
        <f t="shared" si="98"/>
        <v>0</v>
      </c>
      <c r="AJ366" s="314">
        <f t="shared" si="99"/>
        <v>0</v>
      </c>
      <c r="AK366" s="317"/>
      <c r="AL366" s="315">
        <f t="shared" si="100"/>
        <v>0</v>
      </c>
      <c r="AN366" s="554">
        <f t="shared" si="101"/>
        <v>0</v>
      </c>
      <c r="AO366" s="314"/>
      <c r="AP366" s="318"/>
    </row>
    <row r="367" spans="2:42">
      <c r="B367" s="296"/>
      <c r="C367" s="299"/>
      <c r="D367" s="298"/>
      <c r="E367" s="299"/>
      <c r="F367" s="299"/>
      <c r="G367" s="300"/>
      <c r="H367" s="303"/>
      <c r="I367" s="301">
        <f t="shared" si="85"/>
        <v>0</v>
      </c>
      <c r="J367" s="302">
        <f t="shared" si="86"/>
        <v>0</v>
      </c>
      <c r="K367" s="304">
        <f t="shared" si="87"/>
        <v>0</v>
      </c>
      <c r="L367" s="305">
        <f>IF(H367=0,0,IF(OR(E367=$AT$5,E367=$AT$6),AA367,IF(F367="MXN",1/HLOOKUP(YEAR(G367)+(MONTH(G367)/100),TC!$5:$37,DAY(G367)+2,FALSE),VLOOKUP(F367,Equivalencia!$5:$23,((MAX(Equivalencia!$3:$3)-YEAR(G367))*14)+MONTH(G367)+2,FALSE))))</f>
        <v>0</v>
      </c>
      <c r="M367" s="306">
        <f t="shared" si="88"/>
        <v>0</v>
      </c>
      <c r="N367" s="305">
        <f>IF(G367=0,0,(IF(OR(E367=$AT$5,E367=$AT$6),AC367,HLOOKUP(YEAR(G367)+(MONTH(G367)/100),TC!$5:$37,DAY(G367)+2,FALSE))))</f>
        <v>0</v>
      </c>
      <c r="O367" s="307">
        <f t="shared" si="89"/>
        <v>0</v>
      </c>
      <c r="P367" s="560">
        <f>IF(G367=0,0,VLOOKUP(YEAR(G367),INPC!$B$4:$P$30,MONTH(G367)+2))</f>
        <v>0</v>
      </c>
      <c r="Q367" s="560">
        <f>IF(X367=0,0,IF(OR(E367=$AT$10,E367=$AT$9),VLOOKUP(YEAR(X367),INPC!$B$4:$P$30,MONTH(X367)+1),VLOOKUP(YEAR(X367),INPC!$B$4:$P$30,MONTH(X367)+2,0)))</f>
        <v>0</v>
      </c>
      <c r="R367" s="309">
        <f t="shared" si="90"/>
        <v>0</v>
      </c>
      <c r="S367" s="310">
        <f t="shared" si="91"/>
        <v>0</v>
      </c>
      <c r="T367" s="555">
        <f t="shared" si="92"/>
        <v>0</v>
      </c>
      <c r="U367" s="311"/>
      <c r="V367" s="312"/>
      <c r="W367" s="299"/>
      <c r="X367" s="300"/>
      <c r="Y367" s="299"/>
      <c r="Z367" s="303"/>
      <c r="AA367" s="305">
        <f>IF(Z367=0,0,IF(Y367="MXN",1/HLOOKUP(YEAR(X367)+(MONTH(X367)/100),TC!$5:$37,DAY(X367)+2,FALSE),VLOOKUP(Y367,Equivalencia!$1:$23,((MAX(Equivalencia!$3:$3)-YEAR(X367))*14)+MONTH(X367)+2,FALSE)))</f>
        <v>0</v>
      </c>
      <c r="AB367" s="306">
        <f t="shared" si="93"/>
        <v>0</v>
      </c>
      <c r="AC367" s="305">
        <f>+IF(X367=0,0,HLOOKUP(YEAR(X367)+(MONTH(X367)/100),TC!$5:$37,DAY(X367)+2,FALSE))</f>
        <v>0</v>
      </c>
      <c r="AD367" s="307">
        <f t="shared" si="94"/>
        <v>0</v>
      </c>
      <c r="AE367" s="314">
        <f t="shared" si="95"/>
        <v>0</v>
      </c>
      <c r="AF367" s="315">
        <f t="shared" si="96"/>
        <v>0</v>
      </c>
      <c r="AG367" s="316">
        <f t="shared" si="97"/>
        <v>0</v>
      </c>
      <c r="AH367" s="314">
        <v>1</v>
      </c>
      <c r="AI367" s="314">
        <f t="shared" si="98"/>
        <v>0</v>
      </c>
      <c r="AJ367" s="314">
        <f t="shared" si="99"/>
        <v>0</v>
      </c>
      <c r="AK367" s="317"/>
      <c r="AL367" s="315">
        <f t="shared" si="100"/>
        <v>0</v>
      </c>
      <c r="AN367" s="554">
        <f t="shared" si="101"/>
        <v>0</v>
      </c>
      <c r="AO367" s="314"/>
      <c r="AP367" s="318"/>
    </row>
    <row r="368" spans="2:42">
      <c r="B368" s="296"/>
      <c r="C368" s="299"/>
      <c r="D368" s="298"/>
      <c r="E368" s="299"/>
      <c r="F368" s="299"/>
      <c r="G368" s="300"/>
      <c r="H368" s="303"/>
      <c r="I368" s="301">
        <f t="shared" si="85"/>
        <v>0</v>
      </c>
      <c r="J368" s="302">
        <f t="shared" si="86"/>
        <v>0</v>
      </c>
      <c r="K368" s="304">
        <f t="shared" si="87"/>
        <v>0</v>
      </c>
      <c r="L368" s="305">
        <f>IF(H368=0,0,IF(OR(E368=$AT$5,E368=$AT$6),AA368,IF(F368="MXN",1/HLOOKUP(YEAR(G368)+(MONTH(G368)/100),TC!$5:$37,DAY(G368)+2,FALSE),VLOOKUP(F368,Equivalencia!$5:$23,((MAX(Equivalencia!$3:$3)-YEAR(G368))*14)+MONTH(G368)+2,FALSE))))</f>
        <v>0</v>
      </c>
      <c r="M368" s="306">
        <f t="shared" si="88"/>
        <v>0</v>
      </c>
      <c r="N368" s="305">
        <f>IF(G368=0,0,(IF(OR(E368=$AT$5,E368=$AT$6),AC368,HLOOKUP(YEAR(G368)+(MONTH(G368)/100),TC!$5:$37,DAY(G368)+2,FALSE))))</f>
        <v>0</v>
      </c>
      <c r="O368" s="307">
        <f t="shared" si="89"/>
        <v>0</v>
      </c>
      <c r="P368" s="560">
        <f>IF(G368=0,0,VLOOKUP(YEAR(G368),INPC!$B$4:$P$30,MONTH(G368)+2))</f>
        <v>0</v>
      </c>
      <c r="Q368" s="560">
        <f>IF(X368=0,0,IF(OR(E368=$AT$10,E368=$AT$9),VLOOKUP(YEAR(X368),INPC!$B$4:$P$30,MONTH(X368)+1),VLOOKUP(YEAR(X368),INPC!$B$4:$P$30,MONTH(X368)+2,0)))</f>
        <v>0</v>
      </c>
      <c r="R368" s="309">
        <f t="shared" si="90"/>
        <v>0</v>
      </c>
      <c r="S368" s="310">
        <f t="shared" si="91"/>
        <v>0</v>
      </c>
      <c r="T368" s="555">
        <f t="shared" si="92"/>
        <v>0</v>
      </c>
      <c r="U368" s="311"/>
      <c r="V368" s="312"/>
      <c r="W368" s="299"/>
      <c r="X368" s="300"/>
      <c r="Y368" s="299"/>
      <c r="Z368" s="303"/>
      <c r="AA368" s="305">
        <f>IF(Z368=0,0,IF(Y368="MXN",1/HLOOKUP(YEAR(X368)+(MONTH(X368)/100),TC!$5:$37,DAY(X368)+2,FALSE),VLOOKUP(Y368,Equivalencia!$1:$23,((MAX(Equivalencia!$3:$3)-YEAR(X368))*14)+MONTH(X368)+2,FALSE)))</f>
        <v>0</v>
      </c>
      <c r="AB368" s="306">
        <f t="shared" si="93"/>
        <v>0</v>
      </c>
      <c r="AC368" s="305">
        <f>+IF(X368=0,0,HLOOKUP(YEAR(X368)+(MONTH(X368)/100),TC!$5:$37,DAY(X368)+2,FALSE))</f>
        <v>0</v>
      </c>
      <c r="AD368" s="307">
        <f t="shared" si="94"/>
        <v>0</v>
      </c>
      <c r="AE368" s="314">
        <f t="shared" si="95"/>
        <v>0</v>
      </c>
      <c r="AF368" s="315">
        <f t="shared" si="96"/>
        <v>0</v>
      </c>
      <c r="AG368" s="316">
        <f t="shared" si="97"/>
        <v>0</v>
      </c>
      <c r="AH368" s="314">
        <v>1</v>
      </c>
      <c r="AI368" s="314">
        <f t="shared" si="98"/>
        <v>0</v>
      </c>
      <c r="AJ368" s="314">
        <f t="shared" si="99"/>
        <v>0</v>
      </c>
      <c r="AK368" s="317"/>
      <c r="AL368" s="315">
        <f t="shared" si="100"/>
        <v>0</v>
      </c>
      <c r="AN368" s="554">
        <f t="shared" si="101"/>
        <v>0</v>
      </c>
      <c r="AO368" s="314"/>
      <c r="AP368" s="318"/>
    </row>
    <row r="369" spans="2:42">
      <c r="B369" s="296"/>
      <c r="C369" s="299"/>
      <c r="D369" s="298"/>
      <c r="E369" s="299"/>
      <c r="F369" s="299"/>
      <c r="G369" s="300"/>
      <c r="H369" s="303"/>
      <c r="I369" s="301">
        <f t="shared" si="85"/>
        <v>0</v>
      </c>
      <c r="J369" s="302">
        <f t="shared" si="86"/>
        <v>0</v>
      </c>
      <c r="K369" s="304">
        <f t="shared" si="87"/>
        <v>0</v>
      </c>
      <c r="L369" s="305">
        <f>IF(H369=0,0,IF(OR(E369=$AT$5,E369=$AT$6),AA369,IF(F369="MXN",1/HLOOKUP(YEAR(G369)+(MONTH(G369)/100),TC!$5:$37,DAY(G369)+2,FALSE),VLOOKUP(F369,Equivalencia!$5:$23,((MAX(Equivalencia!$3:$3)-YEAR(G369))*14)+MONTH(G369)+2,FALSE))))</f>
        <v>0</v>
      </c>
      <c r="M369" s="306">
        <f t="shared" si="88"/>
        <v>0</v>
      </c>
      <c r="N369" s="305">
        <f>IF(G369=0,0,(IF(OR(E369=$AT$5,E369=$AT$6),AC369,HLOOKUP(YEAR(G369)+(MONTH(G369)/100),TC!$5:$37,DAY(G369)+2,FALSE))))</f>
        <v>0</v>
      </c>
      <c r="O369" s="307">
        <f t="shared" si="89"/>
        <v>0</v>
      </c>
      <c r="P369" s="560">
        <f>IF(G369=0,0,VLOOKUP(YEAR(G369),INPC!$B$4:$P$30,MONTH(G369)+2))</f>
        <v>0</v>
      </c>
      <c r="Q369" s="560">
        <f>IF(X369=0,0,IF(OR(E369=$AT$10,E369=$AT$9),VLOOKUP(YEAR(X369),INPC!$B$4:$P$30,MONTH(X369)+1),VLOOKUP(YEAR(X369),INPC!$B$4:$P$30,MONTH(X369)+2,0)))</f>
        <v>0</v>
      </c>
      <c r="R369" s="309">
        <f t="shared" si="90"/>
        <v>0</v>
      </c>
      <c r="S369" s="310">
        <f t="shared" si="91"/>
        <v>0</v>
      </c>
      <c r="T369" s="555">
        <f t="shared" si="92"/>
        <v>0</v>
      </c>
      <c r="U369" s="311"/>
      <c r="V369" s="312"/>
      <c r="W369" s="299"/>
      <c r="X369" s="300"/>
      <c r="Y369" s="299"/>
      <c r="Z369" s="303"/>
      <c r="AA369" s="305">
        <f>IF(Z369=0,0,IF(Y369="MXN",1/HLOOKUP(YEAR(X369)+(MONTH(X369)/100),TC!$5:$37,DAY(X369)+2,FALSE),VLOOKUP(Y369,Equivalencia!$1:$23,((MAX(Equivalencia!$3:$3)-YEAR(X369))*14)+MONTH(X369)+2,FALSE)))</f>
        <v>0</v>
      </c>
      <c r="AB369" s="306">
        <f t="shared" si="93"/>
        <v>0</v>
      </c>
      <c r="AC369" s="305">
        <f>+IF(X369=0,0,HLOOKUP(YEAR(X369)+(MONTH(X369)/100),TC!$5:$37,DAY(X369)+2,FALSE))</f>
        <v>0</v>
      </c>
      <c r="AD369" s="307">
        <f t="shared" si="94"/>
        <v>0</v>
      </c>
      <c r="AE369" s="314">
        <f t="shared" si="95"/>
        <v>0</v>
      </c>
      <c r="AF369" s="315">
        <f t="shared" si="96"/>
        <v>0</v>
      </c>
      <c r="AG369" s="316">
        <f t="shared" si="97"/>
        <v>0</v>
      </c>
      <c r="AH369" s="314">
        <v>1</v>
      </c>
      <c r="AI369" s="314">
        <f t="shared" si="98"/>
        <v>0</v>
      </c>
      <c r="AJ369" s="314">
        <f t="shared" si="99"/>
        <v>0</v>
      </c>
      <c r="AK369" s="317"/>
      <c r="AL369" s="315">
        <f t="shared" si="100"/>
        <v>0</v>
      </c>
      <c r="AN369" s="554">
        <f t="shared" si="101"/>
        <v>0</v>
      </c>
      <c r="AO369" s="314"/>
      <c r="AP369" s="318"/>
    </row>
    <row r="370" spans="2:42">
      <c r="B370" s="296" t="s">
        <v>1254</v>
      </c>
      <c r="C370" s="299" t="s">
        <v>277</v>
      </c>
      <c r="D370" s="298" t="s">
        <v>878</v>
      </c>
      <c r="E370" s="299" t="s">
        <v>113</v>
      </c>
      <c r="F370" s="299" t="s">
        <v>59</v>
      </c>
      <c r="G370" s="300">
        <v>44259</v>
      </c>
      <c r="H370" s="303">
        <v>17419.359999999997</v>
      </c>
      <c r="I370" s="301" t="str">
        <f t="shared" si="85"/>
        <v>Ingresos Sección II LISR (SIC &amp; BMV)</v>
      </c>
      <c r="J370" s="302">
        <f t="shared" si="86"/>
        <v>206</v>
      </c>
      <c r="K370" s="304">
        <f t="shared" si="87"/>
        <v>84.559999999999988</v>
      </c>
      <c r="L370" s="305">
        <f>IF(H370=0,0,IF(OR(E370=$AT$5,E370=$AT$6),AA370,IF(F370="MXN",1/HLOOKUP(YEAR(G370)+(MONTH(G370)/100),TC!$5:$37,DAY(G370)+2,FALSE),VLOOKUP(F370,Equivalencia!$5:$23,((MAX(Equivalencia!$3:$3)-YEAR(G370))*14)+MONTH(G370)+2,FALSE))))</f>
        <v>1</v>
      </c>
      <c r="M370" s="306">
        <f t="shared" si="88"/>
        <v>17419.359999999997</v>
      </c>
      <c r="N370" s="305">
        <f>IF(G370=0,0,(IF(OR(E370=$AT$5,E370=$AT$6),AC370,HLOOKUP(YEAR(G370)+(MONTH(G370)/100),TC!$5:$37,DAY(G370)+2,FALSE))))</f>
        <v>20.690300000000001</v>
      </c>
      <c r="O370" s="307">
        <f t="shared" si="89"/>
        <v>360411.78420799994</v>
      </c>
      <c r="P370" s="560">
        <f>IF(G370=0,0,VLOOKUP(YEAR(G370),INPC!$B$4:$P$30,MONTH(G370)+2))</f>
        <v>111.824</v>
      </c>
      <c r="Q370" s="560">
        <f>IF(X370=0,0,IF(OR(E370=$AT$10,E370=$AT$9),VLOOKUP(YEAR(X370),INPC!$B$4:$P$30,MONTH(X370)+1),VLOOKUP(YEAR(X370),INPC!$B$4:$P$30,MONTH(X370)+2,0)))</f>
        <v>121.02200000000001</v>
      </c>
      <c r="R370" s="309">
        <f t="shared" si="90"/>
        <v>1.0822000000000001</v>
      </c>
      <c r="S370" s="310">
        <f t="shared" si="91"/>
        <v>390037.63286989753</v>
      </c>
      <c r="T370" s="555">
        <f t="shared" si="92"/>
        <v>1893.3865673295998</v>
      </c>
      <c r="U370" s="311"/>
      <c r="V370" s="312">
        <v>206</v>
      </c>
      <c r="W370" s="299" t="s">
        <v>194</v>
      </c>
      <c r="X370" s="300">
        <v>44725</v>
      </c>
      <c r="Y370" s="299" t="s">
        <v>59</v>
      </c>
      <c r="Z370" s="303">
        <v>9930.56</v>
      </c>
      <c r="AA370" s="305">
        <f>IF(Z370=0,0,IF(Y370="MXN",1/HLOOKUP(YEAR(X370)+(MONTH(X370)/100),TC!$5:$37,DAY(X370)+2,FALSE),VLOOKUP(Y370,Equivalencia!$1:$23,((MAX(Equivalencia!$3:$3)-YEAR(X370))*14)+MONTH(X370)+2,FALSE)))</f>
        <v>1</v>
      </c>
      <c r="AB370" s="306">
        <f t="shared" si="93"/>
        <v>9930.56</v>
      </c>
      <c r="AC370" s="305">
        <f>+IF(X370=0,0,HLOOKUP(YEAR(X370)+(MONTH(X370)/100),TC!$5:$37,DAY(X370)+2,FALSE))</f>
        <v>19.6128</v>
      </c>
      <c r="AD370" s="307">
        <f t="shared" si="94"/>
        <v>194766.087168</v>
      </c>
      <c r="AE370" s="314">
        <f t="shared" si="95"/>
        <v>390037.63286989753</v>
      </c>
      <c r="AF370" s="315">
        <f t="shared" si="96"/>
        <v>-195271.54570189753</v>
      </c>
      <c r="AG370" s="316">
        <f t="shared" si="97"/>
        <v>1.2767123287671234</v>
      </c>
      <c r="AH370" s="314">
        <v>1</v>
      </c>
      <c r="AI370" s="314">
        <f t="shared" si="98"/>
        <v>-195271.54570189753</v>
      </c>
      <c r="AJ370" s="314">
        <f t="shared" si="99"/>
        <v>0</v>
      </c>
      <c r="AK370" s="317"/>
      <c r="AL370" s="315">
        <f t="shared" si="100"/>
        <v>-7488.7999999999975</v>
      </c>
      <c r="AN370" s="554">
        <f t="shared" si="101"/>
        <v>-0.42991246521112136</v>
      </c>
      <c r="AO370" s="314"/>
      <c r="AP370" s="318"/>
    </row>
    <row r="371" spans="2:42">
      <c r="B371" s="296" t="s">
        <v>1254</v>
      </c>
      <c r="C371" s="299" t="s">
        <v>277</v>
      </c>
      <c r="D371" s="298" t="s">
        <v>878</v>
      </c>
      <c r="E371" s="299" t="s">
        <v>113</v>
      </c>
      <c r="F371" s="299" t="s">
        <v>59</v>
      </c>
      <c r="G371" s="300">
        <v>44259</v>
      </c>
      <c r="H371" s="303">
        <v>1268.3999999999999</v>
      </c>
      <c r="I371" s="301" t="str">
        <f t="shared" si="85"/>
        <v>Ingresos Sección II LISR (SIC &amp; BMV)</v>
      </c>
      <c r="J371" s="302">
        <f t="shared" si="86"/>
        <v>15</v>
      </c>
      <c r="K371" s="304">
        <f t="shared" si="87"/>
        <v>84.559999999999988</v>
      </c>
      <c r="L371" s="305">
        <f>IF(H371=0,0,IF(OR(E371=$AT$5,E371=$AT$6),AA371,IF(F371="MXN",1/HLOOKUP(YEAR(G371)+(MONTH(G371)/100),TC!$5:$37,DAY(G371)+2,FALSE),VLOOKUP(F371,Equivalencia!$5:$23,((MAX(Equivalencia!$3:$3)-YEAR(G371))*14)+MONTH(G371)+2,FALSE))))</f>
        <v>1</v>
      </c>
      <c r="M371" s="306">
        <f t="shared" si="88"/>
        <v>1268.3999999999999</v>
      </c>
      <c r="N371" s="305">
        <f>IF(G371=0,0,(IF(OR(E371=$AT$5,E371=$AT$6),AC371,HLOOKUP(YEAR(G371)+(MONTH(G371)/100),TC!$5:$37,DAY(G371)+2,FALSE))))</f>
        <v>20.690300000000001</v>
      </c>
      <c r="O371" s="307">
        <f t="shared" si="89"/>
        <v>26243.576519999999</v>
      </c>
      <c r="P371" s="560">
        <f>IF(G371=0,0,VLOOKUP(YEAR(G371),INPC!$B$4:$P$30,MONTH(G371)+2))</f>
        <v>111.824</v>
      </c>
      <c r="Q371" s="560">
        <f>IF(X371=0,0,IF(OR(E371=$AT$10,E371=$AT$9),VLOOKUP(YEAR(X371),INPC!$B$4:$P$30,MONTH(X371)+1),VLOOKUP(YEAR(X371),INPC!$B$4:$P$30,MONTH(X371)+2,0)))</f>
        <v>121.02200000000001</v>
      </c>
      <c r="R371" s="309">
        <f t="shared" si="90"/>
        <v>1.0822000000000001</v>
      </c>
      <c r="S371" s="310">
        <f t="shared" si="91"/>
        <v>28400.798509944001</v>
      </c>
      <c r="T371" s="555">
        <f t="shared" si="92"/>
        <v>1893.3865673296</v>
      </c>
      <c r="U371" s="311"/>
      <c r="V371" s="312">
        <v>15</v>
      </c>
      <c r="W371" s="299" t="s">
        <v>194</v>
      </c>
      <c r="X371" s="300">
        <v>44725</v>
      </c>
      <c r="Y371" s="299" t="s">
        <v>59</v>
      </c>
      <c r="Z371" s="303">
        <v>712.92364864864874</v>
      </c>
      <c r="AA371" s="305">
        <f>IF(Z371=0,0,IF(Y371="MXN",1/HLOOKUP(YEAR(X371)+(MONTH(X371)/100),TC!$5:$37,DAY(X371)+2,FALSE),VLOOKUP(Y371,Equivalencia!$1:$23,((MAX(Equivalencia!$3:$3)-YEAR(X371))*14)+MONTH(X371)+2,FALSE)))</f>
        <v>1</v>
      </c>
      <c r="AB371" s="306">
        <f t="shared" si="93"/>
        <v>712.92364864864874</v>
      </c>
      <c r="AC371" s="305">
        <f>+IF(X371=0,0,HLOOKUP(YEAR(X371)+(MONTH(X371)/100),TC!$5:$37,DAY(X371)+2,FALSE))</f>
        <v>19.6128</v>
      </c>
      <c r="AD371" s="307">
        <f t="shared" si="94"/>
        <v>13982.428936216218</v>
      </c>
      <c r="AE371" s="314">
        <f t="shared" si="95"/>
        <v>28400.798509944001</v>
      </c>
      <c r="AF371" s="315">
        <f t="shared" si="96"/>
        <v>-14418.369573727783</v>
      </c>
      <c r="AG371" s="316">
        <f t="shared" si="97"/>
        <v>1.2767123287671234</v>
      </c>
      <c r="AH371" s="314">
        <v>1</v>
      </c>
      <c r="AI371" s="314">
        <f t="shared" si="98"/>
        <v>-14418.369573727783</v>
      </c>
      <c r="AJ371" s="314">
        <f t="shared" si="99"/>
        <v>0</v>
      </c>
      <c r="AK371" s="317"/>
      <c r="AL371" s="315">
        <f t="shared" si="100"/>
        <v>-555.47635135135113</v>
      </c>
      <c r="AN371" s="554">
        <f t="shared" si="101"/>
        <v>-0.43793468255388773</v>
      </c>
      <c r="AO371" s="314"/>
      <c r="AP371" s="318"/>
    </row>
    <row r="372" spans="2:42">
      <c r="B372" s="296" t="s">
        <v>1254</v>
      </c>
      <c r="C372" s="299" t="s">
        <v>277</v>
      </c>
      <c r="D372" s="298" t="s">
        <v>878</v>
      </c>
      <c r="E372" s="299" t="s">
        <v>113</v>
      </c>
      <c r="F372" s="299" t="s">
        <v>59</v>
      </c>
      <c r="G372" s="300">
        <v>44348</v>
      </c>
      <c r="H372" s="303">
        <v>5244.6004032258061</v>
      </c>
      <c r="I372" s="301" t="str">
        <f t="shared" si="85"/>
        <v>Ingresos Sección II LISR (SIC &amp; BMV)</v>
      </c>
      <c r="J372" s="302">
        <f t="shared" si="86"/>
        <v>59</v>
      </c>
      <c r="K372" s="304">
        <f t="shared" si="87"/>
        <v>88.891532258064515</v>
      </c>
      <c r="L372" s="305">
        <f>IF(H372=0,0,IF(OR(E372=$AT$5,E372=$AT$6),AA372,IF(F372="MXN",1/HLOOKUP(YEAR(G372)+(MONTH(G372)/100),TC!$5:$37,DAY(G372)+2,FALSE),VLOOKUP(F372,Equivalencia!$5:$23,((MAX(Equivalencia!$3:$3)-YEAR(G372))*14)+MONTH(G372)+2,FALSE))))</f>
        <v>1</v>
      </c>
      <c r="M372" s="306">
        <f t="shared" si="88"/>
        <v>5244.6004032258061</v>
      </c>
      <c r="N372" s="305">
        <f>IF(G372=0,0,(IF(OR(E372=$AT$5,E372=$AT$6),AC372,HLOOKUP(YEAR(G372)+(MONTH(G372)/100),TC!$5:$37,DAY(G372)+2,FALSE))))</f>
        <v>19.944199999999999</v>
      </c>
      <c r="O372" s="307">
        <f t="shared" si="89"/>
        <v>104599.35936201611</v>
      </c>
      <c r="P372" s="560">
        <f>IF(G372=0,0,VLOOKUP(YEAR(G372),INPC!$B$4:$P$30,MONTH(G372)+2))</f>
        <v>113.018</v>
      </c>
      <c r="Q372" s="560">
        <f>IF(X372=0,0,IF(OR(E372=$AT$10,E372=$AT$9),VLOOKUP(YEAR(X372),INPC!$B$4:$P$30,MONTH(X372)+1),VLOOKUP(YEAR(X372),INPC!$B$4:$P$30,MONTH(X372)+2,0)))</f>
        <v>121.02200000000001</v>
      </c>
      <c r="R372" s="309">
        <f t="shared" si="90"/>
        <v>1.0708</v>
      </c>
      <c r="S372" s="310">
        <f t="shared" si="91"/>
        <v>112004.99400484686</v>
      </c>
      <c r="T372" s="555">
        <f t="shared" si="92"/>
        <v>1898.3897288957094</v>
      </c>
      <c r="U372" s="311"/>
      <c r="V372" s="312">
        <v>59</v>
      </c>
      <c r="W372" s="299" t="s">
        <v>194</v>
      </c>
      <c r="X372" s="300">
        <v>44725</v>
      </c>
      <c r="Y372" s="299" t="s">
        <v>59</v>
      </c>
      <c r="Z372" s="303">
        <v>2804.1663513513513</v>
      </c>
      <c r="AA372" s="305">
        <f>IF(Z372=0,0,IF(Y372="MXN",1/HLOOKUP(YEAR(X372)+(MONTH(X372)/100),TC!$5:$37,DAY(X372)+2,FALSE),VLOOKUP(Y372,Equivalencia!$1:$23,((MAX(Equivalencia!$3:$3)-YEAR(X372))*14)+MONTH(X372)+2,FALSE)))</f>
        <v>1</v>
      </c>
      <c r="AB372" s="306">
        <f t="shared" si="93"/>
        <v>2804.1663513513513</v>
      </c>
      <c r="AC372" s="305">
        <f>+IF(X372=0,0,HLOOKUP(YEAR(X372)+(MONTH(X372)/100),TC!$5:$37,DAY(X372)+2,FALSE))</f>
        <v>19.6128</v>
      </c>
      <c r="AD372" s="307">
        <f t="shared" si="94"/>
        <v>54997.55381578378</v>
      </c>
      <c r="AE372" s="314">
        <f t="shared" si="95"/>
        <v>112004.99400484686</v>
      </c>
      <c r="AF372" s="315">
        <f t="shared" si="96"/>
        <v>-57007.440189063076</v>
      </c>
      <c r="AG372" s="316">
        <f t="shared" si="97"/>
        <v>1.0328767123287672</v>
      </c>
      <c r="AH372" s="314">
        <v>1</v>
      </c>
      <c r="AI372" s="314">
        <f t="shared" si="98"/>
        <v>-57007.440189063076</v>
      </c>
      <c r="AJ372" s="314">
        <f t="shared" si="99"/>
        <v>0</v>
      </c>
      <c r="AK372" s="317"/>
      <c r="AL372" s="315">
        <f t="shared" si="100"/>
        <v>-2440.4340518744548</v>
      </c>
      <c r="AN372" s="554">
        <f t="shared" si="101"/>
        <v>-0.46532316368152898</v>
      </c>
      <c r="AO372" s="314"/>
      <c r="AP372" s="318"/>
    </row>
    <row r="373" spans="2:42">
      <c r="B373" s="296" t="s">
        <v>1254</v>
      </c>
      <c r="C373" s="299" t="s">
        <v>277</v>
      </c>
      <c r="D373" s="298" t="s">
        <v>878</v>
      </c>
      <c r="E373" s="299" t="s">
        <v>113</v>
      </c>
      <c r="F373" s="299" t="s">
        <v>59</v>
      </c>
      <c r="G373" s="300">
        <v>44348</v>
      </c>
      <c r="H373" s="303">
        <v>3377.8782258064516</v>
      </c>
      <c r="I373" s="301" t="str">
        <f t="shared" si="85"/>
        <v>Ingresos Sección II LISR (SIC &amp; BMV)</v>
      </c>
      <c r="J373" s="302">
        <f t="shared" si="86"/>
        <v>38</v>
      </c>
      <c r="K373" s="304">
        <f t="shared" si="87"/>
        <v>88.891532258064515</v>
      </c>
      <c r="L373" s="305">
        <f>IF(H373=0,0,IF(OR(E373=$AT$5,E373=$AT$6),AA373,IF(F373="MXN",1/HLOOKUP(YEAR(G373)+(MONTH(G373)/100),TC!$5:$37,DAY(G373)+2,FALSE),VLOOKUP(F373,Equivalencia!$5:$23,((MAX(Equivalencia!$3:$3)-YEAR(G373))*14)+MONTH(G373)+2,FALSE))))</f>
        <v>1</v>
      </c>
      <c r="M373" s="306">
        <f t="shared" si="88"/>
        <v>3377.8782258064516</v>
      </c>
      <c r="N373" s="305">
        <f>IF(G373=0,0,(IF(OR(E373=$AT$5,E373=$AT$6),AC373,HLOOKUP(YEAR(G373)+(MONTH(G373)/100),TC!$5:$37,DAY(G373)+2,FALSE))))</f>
        <v>19.944199999999999</v>
      </c>
      <c r="O373" s="307">
        <f t="shared" si="89"/>
        <v>67369.078911129021</v>
      </c>
      <c r="P373" s="560">
        <f>IF(G373=0,0,VLOOKUP(YEAR(G373),INPC!$B$4:$P$30,MONTH(G373)+2))</f>
        <v>113.018</v>
      </c>
      <c r="Q373" s="560">
        <f>IF(X373=0,0,IF(OR(E373=$AT$10,E373=$AT$9),VLOOKUP(YEAR(X373),INPC!$B$4:$P$30,MONTH(X373)+1),VLOOKUP(YEAR(X373),INPC!$B$4:$P$30,MONTH(X373)+2,0)))</f>
        <v>121.02200000000001</v>
      </c>
      <c r="R373" s="309">
        <f t="shared" si="90"/>
        <v>1.0708</v>
      </c>
      <c r="S373" s="310">
        <f t="shared" si="91"/>
        <v>72138.809698036959</v>
      </c>
      <c r="T373" s="555">
        <f t="shared" si="92"/>
        <v>1898.3897288957094</v>
      </c>
      <c r="U373" s="311"/>
      <c r="V373" s="312">
        <v>38</v>
      </c>
      <c r="W373" s="299" t="s">
        <v>194</v>
      </c>
      <c r="X373" s="300">
        <v>44726</v>
      </c>
      <c r="Y373" s="299" t="s">
        <v>59</v>
      </c>
      <c r="Z373" s="303">
        <v>1715.66</v>
      </c>
      <c r="AA373" s="305">
        <f>IF(Z373=0,0,IF(Y373="MXN",1/HLOOKUP(YEAR(X373)+(MONTH(X373)/100),TC!$5:$37,DAY(X373)+2,FALSE),VLOOKUP(Y373,Equivalencia!$1:$23,((MAX(Equivalencia!$3:$3)-YEAR(X373))*14)+MONTH(X373)+2,FALSE)))</f>
        <v>1</v>
      </c>
      <c r="AB373" s="306">
        <f t="shared" si="93"/>
        <v>1715.66</v>
      </c>
      <c r="AC373" s="305">
        <f>+IF(X373=0,0,HLOOKUP(YEAR(X373)+(MONTH(X373)/100),TC!$5:$37,DAY(X373)+2,FALSE))</f>
        <v>19.9297</v>
      </c>
      <c r="AD373" s="307">
        <f t="shared" si="94"/>
        <v>34192.589102000005</v>
      </c>
      <c r="AE373" s="314">
        <f t="shared" si="95"/>
        <v>72138.809698036959</v>
      </c>
      <c r="AF373" s="315">
        <f t="shared" si="96"/>
        <v>-37946.220596036954</v>
      </c>
      <c r="AG373" s="316">
        <f t="shared" si="97"/>
        <v>1.0356164383561643</v>
      </c>
      <c r="AH373" s="314">
        <v>1</v>
      </c>
      <c r="AI373" s="314">
        <f t="shared" si="98"/>
        <v>-37946.220596036954</v>
      </c>
      <c r="AJ373" s="314">
        <f t="shared" si="99"/>
        <v>0</v>
      </c>
      <c r="AK373" s="317"/>
      <c r="AL373" s="315">
        <f t="shared" si="100"/>
        <v>-1662.2182258064515</v>
      </c>
      <c r="AN373" s="554">
        <f t="shared" si="101"/>
        <v>-0.49208944630015644</v>
      </c>
      <c r="AO373" s="314"/>
      <c r="AP373" s="318"/>
    </row>
    <row r="374" spans="2:42">
      <c r="B374" s="296" t="s">
        <v>1254</v>
      </c>
      <c r="C374" s="299" t="s">
        <v>277</v>
      </c>
      <c r="D374" s="298" t="s">
        <v>878</v>
      </c>
      <c r="E374" s="299" t="s">
        <v>113</v>
      </c>
      <c r="F374" s="299" t="s">
        <v>59</v>
      </c>
      <c r="G374" s="300">
        <v>44348</v>
      </c>
      <c r="H374" s="303">
        <v>2400.071370967742</v>
      </c>
      <c r="I374" s="301" t="str">
        <f t="shared" si="85"/>
        <v>Ingresos Sección II LISR (SIC &amp; BMV)</v>
      </c>
      <c r="J374" s="302">
        <f t="shared" si="86"/>
        <v>27</v>
      </c>
      <c r="K374" s="304">
        <f t="shared" si="87"/>
        <v>88.891532258064515</v>
      </c>
      <c r="L374" s="305">
        <f>IF(H374=0,0,IF(OR(E374=$AT$5,E374=$AT$6),AA374,IF(F374="MXN",1/HLOOKUP(YEAR(G374)+(MONTH(G374)/100),TC!$5:$37,DAY(G374)+2,FALSE),VLOOKUP(F374,Equivalencia!$5:$23,((MAX(Equivalencia!$3:$3)-YEAR(G374))*14)+MONTH(G374)+2,FALSE))))</f>
        <v>1</v>
      </c>
      <c r="M374" s="306">
        <f t="shared" si="88"/>
        <v>2400.071370967742</v>
      </c>
      <c r="N374" s="305">
        <f>IF(G374=0,0,(IF(OR(E374=$AT$5,E374=$AT$6),AC374,HLOOKUP(YEAR(G374)+(MONTH(G374)/100),TC!$5:$37,DAY(G374)+2,FALSE))))</f>
        <v>19.944199999999999</v>
      </c>
      <c r="O374" s="307">
        <f t="shared" si="89"/>
        <v>47867.503436854837</v>
      </c>
      <c r="P374" s="560">
        <f>IF(G374=0,0,VLOOKUP(YEAR(G374),INPC!$B$4:$P$30,MONTH(G374)+2))</f>
        <v>113.018</v>
      </c>
      <c r="Q374" s="560">
        <f>IF(X374=0,0,IF(OR(E374=$AT$10,E374=$AT$9),VLOOKUP(YEAR(X374),INPC!$B$4:$P$30,MONTH(X374)+1),VLOOKUP(YEAR(X374),INPC!$B$4:$P$30,MONTH(X374)+2,0)))</f>
        <v>121.02200000000001</v>
      </c>
      <c r="R374" s="309">
        <f t="shared" si="90"/>
        <v>1.0708</v>
      </c>
      <c r="S374" s="310">
        <f t="shared" si="91"/>
        <v>51256.522680184156</v>
      </c>
      <c r="T374" s="555">
        <f t="shared" si="92"/>
        <v>1898.3897288957096</v>
      </c>
      <c r="U374" s="311"/>
      <c r="V374" s="312">
        <v>27</v>
      </c>
      <c r="W374" s="299" t="s">
        <v>194</v>
      </c>
      <c r="X374" s="300">
        <v>44726</v>
      </c>
      <c r="Y374" s="299" t="s">
        <v>59</v>
      </c>
      <c r="Z374" s="303">
        <v>1227.8647058823528</v>
      </c>
      <c r="AA374" s="305">
        <f>IF(Z374=0,0,IF(Y374="MXN",1/HLOOKUP(YEAR(X374)+(MONTH(X374)/100),TC!$5:$37,DAY(X374)+2,FALSE),VLOOKUP(Y374,Equivalencia!$1:$23,((MAX(Equivalencia!$3:$3)-YEAR(X374))*14)+MONTH(X374)+2,FALSE)))</f>
        <v>1</v>
      </c>
      <c r="AB374" s="306">
        <f t="shared" si="93"/>
        <v>1227.8647058823528</v>
      </c>
      <c r="AC374" s="305">
        <f>+IF(X374=0,0,HLOOKUP(YEAR(X374)+(MONTH(X374)/100),TC!$5:$37,DAY(X374)+2,FALSE))</f>
        <v>19.9297</v>
      </c>
      <c r="AD374" s="307">
        <f t="shared" si="94"/>
        <v>24470.975228823529</v>
      </c>
      <c r="AE374" s="314">
        <f t="shared" si="95"/>
        <v>51256.522680184156</v>
      </c>
      <c r="AF374" s="315">
        <f t="shared" si="96"/>
        <v>-26785.547451360628</v>
      </c>
      <c r="AG374" s="316">
        <f t="shared" si="97"/>
        <v>1.0356164383561643</v>
      </c>
      <c r="AH374" s="314">
        <v>1</v>
      </c>
      <c r="AI374" s="314">
        <f t="shared" si="98"/>
        <v>-26785.547451360628</v>
      </c>
      <c r="AJ374" s="314">
        <f t="shared" si="99"/>
        <v>0</v>
      </c>
      <c r="AK374" s="317"/>
      <c r="AL374" s="315">
        <f t="shared" si="100"/>
        <v>-1172.2066650853892</v>
      </c>
      <c r="AN374" s="554">
        <f t="shared" si="101"/>
        <v>-0.48840491964734334</v>
      </c>
      <c r="AO374" s="314"/>
      <c r="AP374" s="318"/>
    </row>
    <row r="375" spans="2:42">
      <c r="B375" s="296" t="s">
        <v>1254</v>
      </c>
      <c r="C375" s="299" t="s">
        <v>277</v>
      </c>
      <c r="D375" s="298" t="s">
        <v>878</v>
      </c>
      <c r="E375" s="299" t="s">
        <v>113</v>
      </c>
      <c r="F375" s="299" t="s">
        <v>59</v>
      </c>
      <c r="G375" s="300">
        <v>44547</v>
      </c>
      <c r="H375" s="303">
        <v>2432.0663414634146</v>
      </c>
      <c r="I375" s="301" t="str">
        <f t="shared" si="85"/>
        <v>Ingresos Sección II LISR (SIC &amp; BMV)</v>
      </c>
      <c r="J375" s="302">
        <f t="shared" si="86"/>
        <v>24</v>
      </c>
      <c r="K375" s="304">
        <f t="shared" si="87"/>
        <v>101.3360975609756</v>
      </c>
      <c r="L375" s="305">
        <f>IF(H375=0,0,IF(OR(E375=$AT$5,E375=$AT$6),AA375,IF(F375="MXN",1/HLOOKUP(YEAR(G375)+(MONTH(G375)/100),TC!$5:$37,DAY(G375)+2,FALSE),VLOOKUP(F375,Equivalencia!$5:$23,((MAX(Equivalencia!$3:$3)-YEAR(G375))*14)+MONTH(G375)+2,FALSE))))</f>
        <v>1</v>
      </c>
      <c r="M375" s="306">
        <f t="shared" si="88"/>
        <v>2432.0663414634146</v>
      </c>
      <c r="N375" s="305">
        <f>IF(G375=0,0,(IF(OR(E375=$AT$5,E375=$AT$6),AC375,HLOOKUP(YEAR(G375)+(MONTH(G375)/100),TC!$5:$37,DAY(G375)+2,FALSE))))</f>
        <v>21.2393</v>
      </c>
      <c r="O375" s="307">
        <f t="shared" si="89"/>
        <v>51655.386646243904</v>
      </c>
      <c r="P375" s="560">
        <f>IF(G375=0,0,VLOOKUP(YEAR(G375),INPC!$B$4:$P$30,MONTH(G375)+2))</f>
        <v>117.30800000000001</v>
      </c>
      <c r="Q375" s="560">
        <f>IF(X375=0,0,IF(OR(E375=$AT$10,E375=$AT$9),VLOOKUP(YEAR(X375),INPC!$B$4:$P$30,MONTH(X375)+1),VLOOKUP(YEAR(X375),INPC!$B$4:$P$30,MONTH(X375)+2,0)))</f>
        <v>121.02200000000001</v>
      </c>
      <c r="R375" s="309">
        <f t="shared" si="90"/>
        <v>1.0316000000000001</v>
      </c>
      <c r="S375" s="310">
        <f t="shared" si="91"/>
        <v>53287.696864265214</v>
      </c>
      <c r="T375" s="555">
        <f t="shared" si="92"/>
        <v>2220.3207026777172</v>
      </c>
      <c r="U375" s="311"/>
      <c r="V375" s="312">
        <v>24</v>
      </c>
      <c r="W375" s="299" t="s">
        <v>194</v>
      </c>
      <c r="X375" s="300">
        <v>44726</v>
      </c>
      <c r="Y375" s="299" t="s">
        <v>59</v>
      </c>
      <c r="Z375" s="303">
        <v>1091.4352941176471</v>
      </c>
      <c r="AA375" s="305">
        <f>IF(Z375=0,0,IF(Y375="MXN",1/HLOOKUP(YEAR(X375)+(MONTH(X375)/100),TC!$5:$37,DAY(X375)+2,FALSE),VLOOKUP(Y375,Equivalencia!$1:$23,((MAX(Equivalencia!$3:$3)-YEAR(X375))*14)+MONTH(X375)+2,FALSE)))</f>
        <v>1</v>
      </c>
      <c r="AB375" s="306">
        <f t="shared" si="93"/>
        <v>1091.4352941176471</v>
      </c>
      <c r="AC375" s="305">
        <f>+IF(X375=0,0,HLOOKUP(YEAR(X375)+(MONTH(X375)/100),TC!$5:$37,DAY(X375)+2,FALSE))</f>
        <v>19.9297</v>
      </c>
      <c r="AD375" s="307">
        <f t="shared" si="94"/>
        <v>21751.977981176471</v>
      </c>
      <c r="AE375" s="314">
        <f t="shared" si="95"/>
        <v>53287.696864265214</v>
      </c>
      <c r="AF375" s="315">
        <f t="shared" si="96"/>
        <v>-31535.718883088743</v>
      </c>
      <c r="AG375" s="316">
        <f t="shared" si="97"/>
        <v>0.49041095890410957</v>
      </c>
      <c r="AH375" s="314">
        <v>1</v>
      </c>
      <c r="AI375" s="314">
        <f t="shared" si="98"/>
        <v>-31535.718883088743</v>
      </c>
      <c r="AJ375" s="314">
        <f t="shared" si="99"/>
        <v>0</v>
      </c>
      <c r="AK375" s="317"/>
      <c r="AL375" s="315">
        <f t="shared" si="100"/>
        <v>-1340.6310473457675</v>
      </c>
      <c r="AN375" s="554">
        <f t="shared" si="101"/>
        <v>-0.55123128201309157</v>
      </c>
      <c r="AO375" s="314"/>
      <c r="AP375" s="318"/>
    </row>
    <row r="376" spans="2:42">
      <c r="B376" s="296" t="s">
        <v>1254</v>
      </c>
      <c r="C376" s="299" t="s">
        <v>277</v>
      </c>
      <c r="D376" s="298" t="s">
        <v>878</v>
      </c>
      <c r="E376" s="299" t="s">
        <v>113</v>
      </c>
      <c r="F376" s="299" t="s">
        <v>59</v>
      </c>
      <c r="G376" s="300">
        <v>44547</v>
      </c>
      <c r="H376" s="303">
        <v>5877.4936585365849</v>
      </c>
      <c r="I376" s="301" t="str">
        <f t="shared" si="85"/>
        <v>Ingresos Sección II LISR (SIC &amp; BMV)</v>
      </c>
      <c r="J376" s="302">
        <f t="shared" si="86"/>
        <v>58</v>
      </c>
      <c r="K376" s="304">
        <f t="shared" si="87"/>
        <v>101.3360975609756</v>
      </c>
      <c r="L376" s="305">
        <f>IF(H376=0,0,IF(OR(E376=$AT$5,E376=$AT$6),AA376,IF(F376="MXN",1/HLOOKUP(YEAR(G376)+(MONTH(G376)/100),TC!$5:$37,DAY(G376)+2,FALSE),VLOOKUP(F376,Equivalencia!$5:$23,((MAX(Equivalencia!$3:$3)-YEAR(G376))*14)+MONTH(G376)+2,FALSE))))</f>
        <v>1</v>
      </c>
      <c r="M376" s="306">
        <f t="shared" si="88"/>
        <v>5877.4936585365849</v>
      </c>
      <c r="N376" s="305">
        <f>IF(G376=0,0,(IF(OR(E376=$AT$5,E376=$AT$6),AC376,HLOOKUP(YEAR(G376)+(MONTH(G376)/100),TC!$5:$37,DAY(G376)+2,FALSE))))</f>
        <v>21.2393</v>
      </c>
      <c r="O376" s="307">
        <f t="shared" si="89"/>
        <v>124833.85106175608</v>
      </c>
      <c r="P376" s="560">
        <f>IF(G376=0,0,VLOOKUP(YEAR(G376),INPC!$B$4:$P$30,MONTH(G376)+2))</f>
        <v>117.30800000000001</v>
      </c>
      <c r="Q376" s="560">
        <f>IF(X376=0,0,IF(OR(E376=$AT$10,E376=$AT$9),VLOOKUP(YEAR(X376),INPC!$B$4:$P$30,MONTH(X376)+1),VLOOKUP(YEAR(X376),INPC!$B$4:$P$30,MONTH(X376)+2,0)))</f>
        <v>121.02200000000001</v>
      </c>
      <c r="R376" s="309">
        <f t="shared" si="90"/>
        <v>1.0316000000000001</v>
      </c>
      <c r="S376" s="310">
        <f t="shared" si="91"/>
        <v>128778.60075530759</v>
      </c>
      <c r="T376" s="555">
        <f t="shared" si="92"/>
        <v>2220.3207026777172</v>
      </c>
      <c r="U376" s="311"/>
      <c r="V376" s="312">
        <v>58</v>
      </c>
      <c r="W376" s="299" t="s">
        <v>194</v>
      </c>
      <c r="X376" s="300">
        <v>44726</v>
      </c>
      <c r="Y376" s="299" t="s">
        <v>59</v>
      </c>
      <c r="Z376" s="303">
        <v>2659.4288888888887</v>
      </c>
      <c r="AA376" s="305">
        <f>IF(Z376=0,0,IF(Y376="MXN",1/HLOOKUP(YEAR(X376)+(MONTH(X376)/100),TC!$5:$37,DAY(X376)+2,FALSE),VLOOKUP(Y376,Equivalencia!$1:$23,((MAX(Equivalencia!$3:$3)-YEAR(X376))*14)+MONTH(X376)+2,FALSE)))</f>
        <v>1</v>
      </c>
      <c r="AB376" s="306">
        <f t="shared" si="93"/>
        <v>2659.4288888888887</v>
      </c>
      <c r="AC376" s="305">
        <f>+IF(X376=0,0,HLOOKUP(YEAR(X376)+(MONTH(X376)/100),TC!$5:$37,DAY(X376)+2,FALSE))</f>
        <v>19.9297</v>
      </c>
      <c r="AD376" s="307">
        <f t="shared" si="94"/>
        <v>53001.619926888889</v>
      </c>
      <c r="AE376" s="314">
        <f t="shared" si="95"/>
        <v>128778.60075530761</v>
      </c>
      <c r="AF376" s="315">
        <f t="shared" si="96"/>
        <v>-75776.980828418717</v>
      </c>
      <c r="AG376" s="316">
        <f t="shared" si="97"/>
        <v>0.49041095890410957</v>
      </c>
      <c r="AH376" s="314">
        <v>1</v>
      </c>
      <c r="AI376" s="314">
        <f t="shared" si="98"/>
        <v>-75776.980828418717</v>
      </c>
      <c r="AJ376" s="314">
        <f t="shared" si="99"/>
        <v>0</v>
      </c>
      <c r="AK376" s="317"/>
      <c r="AL376" s="315">
        <f t="shared" si="100"/>
        <v>-3218.0647696476963</v>
      </c>
      <c r="AN376" s="554">
        <f t="shared" si="101"/>
        <v>-0.54752330782589909</v>
      </c>
      <c r="AO376" s="314"/>
      <c r="AP376" s="318"/>
    </row>
    <row r="377" spans="2:42">
      <c r="B377" s="296" t="s">
        <v>1254</v>
      </c>
      <c r="C377" s="299" t="s">
        <v>277</v>
      </c>
      <c r="D377" s="298" t="s">
        <v>878</v>
      </c>
      <c r="E377" s="299" t="s">
        <v>113</v>
      </c>
      <c r="F377" s="299" t="s">
        <v>59</v>
      </c>
      <c r="G377" s="300">
        <v>44557</v>
      </c>
      <c r="H377" s="303">
        <v>105.83</v>
      </c>
      <c r="I377" s="301" t="str">
        <f t="shared" si="85"/>
        <v>Ingresos Sección II LISR (SIC &amp; BMV)</v>
      </c>
      <c r="J377" s="302">
        <f t="shared" si="86"/>
        <v>1</v>
      </c>
      <c r="K377" s="304">
        <f t="shared" si="87"/>
        <v>105.83</v>
      </c>
      <c r="L377" s="305">
        <f>IF(H377=0,0,IF(OR(E377=$AT$5,E377=$AT$6),AA377,IF(F377="MXN",1/HLOOKUP(YEAR(G377)+(MONTH(G377)/100),TC!$5:$37,DAY(G377)+2,FALSE),VLOOKUP(F377,Equivalencia!$5:$23,((MAX(Equivalencia!$3:$3)-YEAR(G377))*14)+MONTH(G377)+2,FALSE))))</f>
        <v>1</v>
      </c>
      <c r="M377" s="306">
        <f t="shared" si="88"/>
        <v>105.83</v>
      </c>
      <c r="N377" s="305">
        <f>IF(G377=0,0,(IF(OR(E377=$AT$5,E377=$AT$6),AC377,HLOOKUP(YEAR(G377)+(MONTH(G377)/100),TC!$5:$37,DAY(G377)+2,FALSE))))</f>
        <v>20.658200000000001</v>
      </c>
      <c r="O377" s="307">
        <f t="shared" si="89"/>
        <v>2186.257306</v>
      </c>
      <c r="P377" s="560">
        <f>IF(G377=0,0,VLOOKUP(YEAR(G377),INPC!$B$4:$P$30,MONTH(G377)+2))</f>
        <v>117.30800000000001</v>
      </c>
      <c r="Q377" s="560">
        <f>IF(X377=0,0,IF(OR(E377=$AT$10,E377=$AT$9),VLOOKUP(YEAR(X377),INPC!$B$4:$P$30,MONTH(X377)+1),VLOOKUP(YEAR(X377),INPC!$B$4:$P$30,MONTH(X377)+2,0)))</f>
        <v>121.02200000000001</v>
      </c>
      <c r="R377" s="309">
        <f t="shared" si="90"/>
        <v>1.0316000000000001</v>
      </c>
      <c r="S377" s="310">
        <f t="shared" si="91"/>
        <v>2255.3430368695999</v>
      </c>
      <c r="T377" s="555">
        <f t="shared" si="92"/>
        <v>2255.3430368695999</v>
      </c>
      <c r="U377" s="311"/>
      <c r="V377" s="312">
        <v>1</v>
      </c>
      <c r="W377" s="299" t="s">
        <v>194</v>
      </c>
      <c r="X377" s="300">
        <v>44726</v>
      </c>
      <c r="Y377" s="299" t="s">
        <v>59</v>
      </c>
      <c r="Z377" s="303">
        <v>45.852222222222217</v>
      </c>
      <c r="AA377" s="305">
        <f>IF(Z377=0,0,IF(Y377="MXN",1/HLOOKUP(YEAR(X377)+(MONTH(X377)/100),TC!$5:$37,DAY(X377)+2,FALSE),VLOOKUP(Y377,Equivalencia!$1:$23,((MAX(Equivalencia!$3:$3)-YEAR(X377))*14)+MONTH(X377)+2,FALSE)))</f>
        <v>1</v>
      </c>
      <c r="AB377" s="306">
        <f t="shared" si="93"/>
        <v>45.852222222222217</v>
      </c>
      <c r="AC377" s="305">
        <f>+IF(X377=0,0,HLOOKUP(YEAR(X377)+(MONTH(X377)/100),TC!$5:$37,DAY(X377)+2,FALSE))</f>
        <v>19.9297</v>
      </c>
      <c r="AD377" s="307">
        <f t="shared" si="94"/>
        <v>913.82103322222213</v>
      </c>
      <c r="AE377" s="314">
        <f t="shared" si="95"/>
        <v>2255.3430368695999</v>
      </c>
      <c r="AF377" s="315">
        <f t="shared" si="96"/>
        <v>-1341.5220036473779</v>
      </c>
      <c r="AG377" s="316">
        <f t="shared" si="97"/>
        <v>0.46301369863013697</v>
      </c>
      <c r="AH377" s="314">
        <v>1</v>
      </c>
      <c r="AI377" s="314">
        <f t="shared" si="98"/>
        <v>-1341.5220036473779</v>
      </c>
      <c r="AJ377" s="314">
        <f t="shared" si="99"/>
        <v>0</v>
      </c>
      <c r="AK377" s="317"/>
      <c r="AL377" s="315">
        <f t="shared" si="100"/>
        <v>-59.977777777777781</v>
      </c>
      <c r="AN377" s="554">
        <f t="shared" si="101"/>
        <v>-0.56673701008955668</v>
      </c>
      <c r="AO377" s="314"/>
      <c r="AP377" s="318"/>
    </row>
    <row r="378" spans="2:42">
      <c r="B378" s="296" t="s">
        <v>1254</v>
      </c>
      <c r="C378" s="299" t="s">
        <v>277</v>
      </c>
      <c r="D378" s="298" t="s">
        <v>878</v>
      </c>
      <c r="E378" s="299" t="s">
        <v>113</v>
      </c>
      <c r="F378" s="299" t="s">
        <v>59</v>
      </c>
      <c r="G378" s="300">
        <v>44557</v>
      </c>
      <c r="H378" s="303">
        <v>632.01</v>
      </c>
      <c r="I378" s="301" t="str">
        <f t="shared" si="85"/>
        <v>Ingresos Sección II LISR (SIC &amp; BMV)</v>
      </c>
      <c r="J378" s="302">
        <f t="shared" si="86"/>
        <v>6</v>
      </c>
      <c r="K378" s="304">
        <f t="shared" si="87"/>
        <v>105.33499999999999</v>
      </c>
      <c r="L378" s="305">
        <f>IF(H378=0,0,IF(OR(E378=$AT$5,E378=$AT$6),AA378,IF(F378="MXN",1/HLOOKUP(YEAR(G378)+(MONTH(G378)/100),TC!$5:$37,DAY(G378)+2,FALSE),VLOOKUP(F378,Equivalencia!$5:$23,((MAX(Equivalencia!$3:$3)-YEAR(G378))*14)+MONTH(G378)+2,FALSE))))</f>
        <v>1</v>
      </c>
      <c r="M378" s="306">
        <f t="shared" si="88"/>
        <v>632.01</v>
      </c>
      <c r="N378" s="305">
        <f>IF(G378=0,0,(IF(OR(E378=$AT$5,E378=$AT$6),AC378,HLOOKUP(YEAR(G378)+(MONTH(G378)/100),TC!$5:$37,DAY(G378)+2,FALSE))))</f>
        <v>20.658200000000001</v>
      </c>
      <c r="O378" s="307">
        <f t="shared" si="89"/>
        <v>13056.188982</v>
      </c>
      <c r="P378" s="560">
        <f>IF(G378=0,0,VLOOKUP(YEAR(G378),INPC!$B$4:$P$30,MONTH(G378)+2))</f>
        <v>117.30800000000001</v>
      </c>
      <c r="Q378" s="560">
        <f>IF(X378=0,0,IF(OR(E378=$AT$10,E378=$AT$9),VLOOKUP(YEAR(X378),INPC!$B$4:$P$30,MONTH(X378)+1),VLOOKUP(YEAR(X378),INPC!$B$4:$P$30,MONTH(X378)+2,0)))</f>
        <v>121.02200000000001</v>
      </c>
      <c r="R378" s="309">
        <f t="shared" si="90"/>
        <v>1.0316000000000001</v>
      </c>
      <c r="S378" s="310">
        <f t="shared" si="91"/>
        <v>13468.764553831201</v>
      </c>
      <c r="T378" s="555">
        <f t="shared" si="92"/>
        <v>2244.7940923052001</v>
      </c>
      <c r="U378" s="311"/>
      <c r="V378" s="312">
        <v>6</v>
      </c>
      <c r="W378" s="299" t="s">
        <v>194</v>
      </c>
      <c r="X378" s="300">
        <v>44726</v>
      </c>
      <c r="Y378" s="299" t="s">
        <v>59</v>
      </c>
      <c r="Z378" s="303">
        <v>275.11333333333329</v>
      </c>
      <c r="AA378" s="305">
        <f>IF(Z378=0,0,IF(Y378="MXN",1/HLOOKUP(YEAR(X378)+(MONTH(X378)/100),TC!$5:$37,DAY(X378)+2,FALSE),VLOOKUP(Y378,Equivalencia!$1:$23,((MAX(Equivalencia!$3:$3)-YEAR(X378))*14)+MONTH(X378)+2,FALSE)))</f>
        <v>1</v>
      </c>
      <c r="AB378" s="306">
        <f t="shared" si="93"/>
        <v>275.11333333333329</v>
      </c>
      <c r="AC378" s="305">
        <f>+IF(X378=0,0,HLOOKUP(YEAR(X378)+(MONTH(X378)/100),TC!$5:$37,DAY(X378)+2,FALSE))</f>
        <v>19.9297</v>
      </c>
      <c r="AD378" s="307">
        <f t="shared" si="94"/>
        <v>5482.9261993333321</v>
      </c>
      <c r="AE378" s="314">
        <f t="shared" si="95"/>
        <v>13468.764553831201</v>
      </c>
      <c r="AF378" s="315">
        <f t="shared" si="96"/>
        <v>-7985.8383544978687</v>
      </c>
      <c r="AG378" s="316">
        <f t="shared" si="97"/>
        <v>0.46301369863013697</v>
      </c>
      <c r="AH378" s="314">
        <v>1</v>
      </c>
      <c r="AI378" s="314">
        <f t="shared" si="98"/>
        <v>-7985.8383544978687</v>
      </c>
      <c r="AJ378" s="314">
        <f t="shared" si="99"/>
        <v>0</v>
      </c>
      <c r="AK378" s="317"/>
      <c r="AL378" s="315">
        <f t="shared" si="100"/>
        <v>-356.8966666666667</v>
      </c>
      <c r="AN378" s="554">
        <f t="shared" si="101"/>
        <v>-0.56470098046971839</v>
      </c>
      <c r="AO378" s="314"/>
      <c r="AP378" s="318"/>
    </row>
    <row r="379" spans="2:42">
      <c r="B379" s="296" t="s">
        <v>1254</v>
      </c>
      <c r="C379" s="299" t="s">
        <v>277</v>
      </c>
      <c r="D379" s="298" t="s">
        <v>878</v>
      </c>
      <c r="E379" s="299" t="s">
        <v>113</v>
      </c>
      <c r="F379" s="299" t="s">
        <v>59</v>
      </c>
      <c r="G379" s="300">
        <v>44557</v>
      </c>
      <c r="H379" s="303">
        <v>1381.64</v>
      </c>
      <c r="I379" s="301" t="str">
        <f t="shared" si="85"/>
        <v>Ingresos Sección II LISR (SIC &amp; BMV)</v>
      </c>
      <c r="J379" s="302">
        <f t="shared" si="86"/>
        <v>13</v>
      </c>
      <c r="K379" s="304">
        <f t="shared" si="87"/>
        <v>106.28</v>
      </c>
      <c r="L379" s="305">
        <f>IF(H379=0,0,IF(OR(E379=$AT$5,E379=$AT$6),AA379,IF(F379="MXN",1/HLOOKUP(YEAR(G379)+(MONTH(G379)/100),TC!$5:$37,DAY(G379)+2,FALSE),VLOOKUP(F379,Equivalencia!$5:$23,((MAX(Equivalencia!$3:$3)-YEAR(G379))*14)+MONTH(G379)+2,FALSE))))</f>
        <v>1</v>
      </c>
      <c r="M379" s="306">
        <f t="shared" si="88"/>
        <v>1381.64</v>
      </c>
      <c r="N379" s="305">
        <f>IF(G379=0,0,(IF(OR(E379=$AT$5,E379=$AT$6),AC379,HLOOKUP(YEAR(G379)+(MONTH(G379)/100),TC!$5:$37,DAY(G379)+2,FALSE))))</f>
        <v>20.658200000000001</v>
      </c>
      <c r="O379" s="307">
        <f t="shared" si="89"/>
        <v>28542.195448000002</v>
      </c>
      <c r="P379" s="560">
        <f>IF(G379=0,0,VLOOKUP(YEAR(G379),INPC!$B$4:$P$30,MONTH(G379)+2))</f>
        <v>117.30800000000001</v>
      </c>
      <c r="Q379" s="560">
        <f>IF(X379=0,0,IF(OR(E379=$AT$10,E379=$AT$9),VLOOKUP(YEAR(X379),INPC!$B$4:$P$30,MONTH(X379)+1),VLOOKUP(YEAR(X379),INPC!$B$4:$P$30,MONTH(X379)+2,0)))</f>
        <v>121.02200000000001</v>
      </c>
      <c r="R379" s="309">
        <f t="shared" si="90"/>
        <v>1.0316000000000001</v>
      </c>
      <c r="S379" s="310">
        <f t="shared" si="91"/>
        <v>29444.128824156804</v>
      </c>
      <c r="T379" s="555">
        <f t="shared" si="92"/>
        <v>2264.9329864736001</v>
      </c>
      <c r="U379" s="311"/>
      <c r="V379" s="312">
        <v>13</v>
      </c>
      <c r="W379" s="299" t="s">
        <v>194</v>
      </c>
      <c r="X379" s="300">
        <v>44726</v>
      </c>
      <c r="Y379" s="299" t="s">
        <v>59</v>
      </c>
      <c r="Z379" s="303">
        <v>596.07888888888886</v>
      </c>
      <c r="AA379" s="305">
        <f>IF(Z379=0,0,IF(Y379="MXN",1/HLOOKUP(YEAR(X379)+(MONTH(X379)/100),TC!$5:$37,DAY(X379)+2,FALSE),VLOOKUP(Y379,Equivalencia!$1:$23,((MAX(Equivalencia!$3:$3)-YEAR(X379))*14)+MONTH(X379)+2,FALSE)))</f>
        <v>1</v>
      </c>
      <c r="AB379" s="306">
        <f t="shared" si="93"/>
        <v>596.07888888888886</v>
      </c>
      <c r="AC379" s="305">
        <f>+IF(X379=0,0,HLOOKUP(YEAR(X379)+(MONTH(X379)/100),TC!$5:$37,DAY(X379)+2,FALSE))</f>
        <v>19.9297</v>
      </c>
      <c r="AD379" s="307">
        <f t="shared" si="94"/>
        <v>11879.673431888888</v>
      </c>
      <c r="AE379" s="314">
        <f t="shared" si="95"/>
        <v>29444.1288241568</v>
      </c>
      <c r="AF379" s="315">
        <f t="shared" si="96"/>
        <v>-17564.455392267912</v>
      </c>
      <c r="AG379" s="316">
        <f t="shared" si="97"/>
        <v>0.46301369863013697</v>
      </c>
      <c r="AH379" s="314">
        <v>1</v>
      </c>
      <c r="AI379" s="314">
        <f t="shared" si="98"/>
        <v>-17564.455392267912</v>
      </c>
      <c r="AJ379" s="314">
        <f t="shared" si="99"/>
        <v>0</v>
      </c>
      <c r="AK379" s="317"/>
      <c r="AL379" s="315">
        <f t="shared" si="100"/>
        <v>-785.56111111111125</v>
      </c>
      <c r="AN379" s="554">
        <f t="shared" si="101"/>
        <v>-0.56857148831179694</v>
      </c>
      <c r="AO379" s="314"/>
      <c r="AP379" s="318"/>
    </row>
    <row r="380" spans="2:42">
      <c r="B380" s="296" t="s">
        <v>1254</v>
      </c>
      <c r="C380" s="299" t="s">
        <v>277</v>
      </c>
      <c r="D380" s="298" t="s">
        <v>878</v>
      </c>
      <c r="E380" s="299" t="s">
        <v>113</v>
      </c>
      <c r="F380" s="299" t="s">
        <v>59</v>
      </c>
      <c r="G380" s="300">
        <v>44557</v>
      </c>
      <c r="H380" s="303">
        <v>1268.9112</v>
      </c>
      <c r="I380" s="301" t="str">
        <f t="shared" ref="I380:I443" si="102">IF(D380=0,0,IF(OR(E380=$AT$9,E380=$AT$10),"Ingresos Sección II LISR (SIC &amp; BMV)","Ingresos Sección I LISR"))</f>
        <v>Ingresos Sección II LISR (SIC &amp; BMV)</v>
      </c>
      <c r="J380" s="302">
        <f t="shared" ref="J380:J443" si="103">+V380</f>
        <v>12</v>
      </c>
      <c r="K380" s="304">
        <f t="shared" ref="K380:K443" si="104">IF(H380=0,0,H380/J380)</f>
        <v>105.7426</v>
      </c>
      <c r="L380" s="305">
        <f>IF(H380=0,0,IF(OR(E380=$AT$5,E380=$AT$6),AA380,IF(F380="MXN",1/HLOOKUP(YEAR(G380)+(MONTH(G380)/100),TC!$5:$37,DAY(G380)+2,FALSE),VLOOKUP(F380,Equivalencia!$5:$23,((MAX(Equivalencia!$3:$3)-YEAR(G380))*14)+MONTH(G380)+2,FALSE))))</f>
        <v>1</v>
      </c>
      <c r="M380" s="306">
        <f t="shared" ref="M380:M443" si="105">+H380*L380</f>
        <v>1268.9112</v>
      </c>
      <c r="N380" s="305">
        <f>IF(G380=0,0,(IF(OR(E380=$AT$5,E380=$AT$6),AC380,HLOOKUP(YEAR(G380)+(MONTH(G380)/100),TC!$5:$37,DAY(G380)+2,FALSE))))</f>
        <v>20.658200000000001</v>
      </c>
      <c r="O380" s="307">
        <f t="shared" ref="O380:O443" si="106">+M380*N380</f>
        <v>26213.421351840003</v>
      </c>
      <c r="P380" s="560">
        <f>IF(G380=0,0,VLOOKUP(YEAR(G380),INPC!$B$4:$P$30,MONTH(G380)+2))</f>
        <v>117.30800000000001</v>
      </c>
      <c r="Q380" s="560">
        <f>IF(X380=0,0,IF(OR(E380=$AT$10,E380=$AT$9),VLOOKUP(YEAR(X380),INPC!$B$4:$P$30,MONTH(X380)+1),VLOOKUP(YEAR(X380),INPC!$B$4:$P$30,MONTH(X380)+2,0)))</f>
        <v>121.02200000000001</v>
      </c>
      <c r="R380" s="309">
        <f t="shared" ref="R380:R443" si="107">IF(H380=0,0,IF(OR(E380=$AT$5,E380=$AT$6),1,IF(TRUNC(Q380/P380,4)&gt;=1,TRUNC(Q380/P380,4),1)))</f>
        <v>1.0316000000000001</v>
      </c>
      <c r="S380" s="310">
        <f t="shared" ref="S380:S443" si="108">+R380*O380</f>
        <v>27041.76546655815</v>
      </c>
      <c r="T380" s="555">
        <f t="shared" ref="T380:T443" si="109">IF(V380=0,0,S380/V380)</f>
        <v>2253.4804555465125</v>
      </c>
      <c r="U380" s="311"/>
      <c r="V380" s="312">
        <v>12</v>
      </c>
      <c r="W380" s="299" t="s">
        <v>194</v>
      </c>
      <c r="X380" s="300">
        <v>44726</v>
      </c>
      <c r="Y380" s="299" t="s">
        <v>59</v>
      </c>
      <c r="Z380" s="303">
        <v>550.22666666666657</v>
      </c>
      <c r="AA380" s="305">
        <f>IF(Z380=0,0,IF(Y380="MXN",1/HLOOKUP(YEAR(X380)+(MONTH(X380)/100),TC!$5:$37,DAY(X380)+2,FALSE),VLOOKUP(Y380,Equivalencia!$1:$23,((MAX(Equivalencia!$3:$3)-YEAR(X380))*14)+MONTH(X380)+2,FALSE)))</f>
        <v>1</v>
      </c>
      <c r="AB380" s="306">
        <f t="shared" ref="AB380:AB443" si="110">+AA380*Z380</f>
        <v>550.22666666666657</v>
      </c>
      <c r="AC380" s="305">
        <f>+IF(X380=0,0,HLOOKUP(YEAR(X380)+(MONTH(X380)/100),TC!$5:$37,DAY(X380)+2,FALSE))</f>
        <v>19.9297</v>
      </c>
      <c r="AD380" s="307">
        <f t="shared" ref="AD380:AD443" si="111">+AC380*AB380</f>
        <v>10965.852398666664</v>
      </c>
      <c r="AE380" s="314">
        <f t="shared" ref="AE380:AE443" si="112">+V380*T380</f>
        <v>27041.76546655815</v>
      </c>
      <c r="AF380" s="315">
        <f t="shared" ref="AF380:AF443" si="113">IF(E380=$AT$11,0,AD380-AE380)</f>
        <v>-16075.913067891486</v>
      </c>
      <c r="AG380" s="316">
        <f t="shared" ref="AG380:AG443" si="114">+IF(AND(AF380&lt;0,OR(E380=$AT$5,E380=$AT$6)),1,((X380-G380)/365))</f>
        <v>0.46301369863013697</v>
      </c>
      <c r="AH380" s="314">
        <v>1</v>
      </c>
      <c r="AI380" s="314">
        <f t="shared" ref="AI380:AI443" si="115">+IF(OR(E380=$AT$9,E380=$AT$10),AF380,+AF380/AH380)</f>
        <v>-16075.913067891486</v>
      </c>
      <c r="AJ380" s="314">
        <f t="shared" ref="AJ380:AJ443" si="116">+AF380-AI380</f>
        <v>0</v>
      </c>
      <c r="AK380" s="317"/>
      <c r="AL380" s="315">
        <f t="shared" ref="AL380:AL443" si="117">+AB380-M380</f>
        <v>-718.68453333333343</v>
      </c>
      <c r="AN380" s="554">
        <f t="shared" ref="AN380:AN443" si="118">IF(AL380=0,0,AL380/H380)</f>
        <v>-0.56637890289985104</v>
      </c>
      <c r="AO380" s="314"/>
      <c r="AP380" s="318"/>
    </row>
    <row r="381" spans="2:42">
      <c r="B381" s="296" t="s">
        <v>1254</v>
      </c>
      <c r="C381" s="299" t="s">
        <v>277</v>
      </c>
      <c r="D381" s="298" t="s">
        <v>878</v>
      </c>
      <c r="E381" s="299" t="s">
        <v>113</v>
      </c>
      <c r="F381" s="299" t="s">
        <v>59</v>
      </c>
      <c r="G381" s="300">
        <v>44557</v>
      </c>
      <c r="H381" s="303">
        <v>1057.4259999999999</v>
      </c>
      <c r="I381" s="301" t="str">
        <f t="shared" si="102"/>
        <v>Ingresos Sección II LISR (SIC &amp; BMV)</v>
      </c>
      <c r="J381" s="302">
        <f t="shared" si="103"/>
        <v>10</v>
      </c>
      <c r="K381" s="304">
        <f t="shared" si="104"/>
        <v>105.7426</v>
      </c>
      <c r="L381" s="305">
        <f>IF(H381=0,0,IF(OR(E381=$AT$5,E381=$AT$6),AA381,IF(F381="MXN",1/HLOOKUP(YEAR(G381)+(MONTH(G381)/100),TC!$5:$37,DAY(G381)+2,FALSE),VLOOKUP(F381,Equivalencia!$5:$23,((MAX(Equivalencia!$3:$3)-YEAR(G381))*14)+MONTH(G381)+2,FALSE))))</f>
        <v>1</v>
      </c>
      <c r="M381" s="306">
        <f t="shared" si="105"/>
        <v>1057.4259999999999</v>
      </c>
      <c r="N381" s="305">
        <f>IF(G381=0,0,(IF(OR(E381=$AT$5,E381=$AT$6),AC381,HLOOKUP(YEAR(G381)+(MONTH(G381)/100),TC!$5:$37,DAY(G381)+2,FALSE))))</f>
        <v>20.658200000000001</v>
      </c>
      <c r="O381" s="307">
        <f t="shared" si="106"/>
        <v>21844.517793200001</v>
      </c>
      <c r="P381" s="560">
        <f>IF(G381=0,0,VLOOKUP(YEAR(G381),INPC!$B$4:$P$30,MONTH(G381)+2))</f>
        <v>117.30800000000001</v>
      </c>
      <c r="Q381" s="560">
        <f>IF(X381=0,0,IF(OR(E381=$AT$10,E381=$AT$9),VLOOKUP(YEAR(X381),INPC!$B$4:$P$30,MONTH(X381)+1),VLOOKUP(YEAR(X381),INPC!$B$4:$P$30,MONTH(X381)+2,0)))</f>
        <v>121.02200000000001</v>
      </c>
      <c r="R381" s="309">
        <f t="shared" si="107"/>
        <v>1.0316000000000001</v>
      </c>
      <c r="S381" s="310">
        <f t="shared" si="108"/>
        <v>22534.804555465122</v>
      </c>
      <c r="T381" s="555">
        <f t="shared" si="109"/>
        <v>2253.4804555465121</v>
      </c>
      <c r="U381" s="311"/>
      <c r="V381" s="312">
        <v>10</v>
      </c>
      <c r="W381" s="299" t="s">
        <v>194</v>
      </c>
      <c r="X381" s="300">
        <v>44727</v>
      </c>
      <c r="Y381" s="299" t="s">
        <v>59</v>
      </c>
      <c r="Z381" s="303">
        <v>465.89</v>
      </c>
      <c r="AA381" s="305">
        <f>IF(Z381=0,0,IF(Y381="MXN",1/HLOOKUP(YEAR(X381)+(MONTH(X381)/100),TC!$5:$37,DAY(X381)+2,FALSE),VLOOKUP(Y381,Equivalencia!$1:$23,((MAX(Equivalencia!$3:$3)-YEAR(X381))*14)+MONTH(X381)+2,FALSE)))</f>
        <v>1</v>
      </c>
      <c r="AB381" s="306">
        <f t="shared" si="110"/>
        <v>465.89</v>
      </c>
      <c r="AC381" s="305">
        <f>+IF(X381=0,0,HLOOKUP(YEAR(X381)+(MONTH(X381)/100),TC!$5:$37,DAY(X381)+2,FALSE))</f>
        <v>20.4527</v>
      </c>
      <c r="AD381" s="307">
        <f t="shared" si="111"/>
        <v>9528.7084030000005</v>
      </c>
      <c r="AE381" s="314">
        <f t="shared" si="112"/>
        <v>22534.804555465122</v>
      </c>
      <c r="AF381" s="315">
        <f t="shared" si="113"/>
        <v>-13006.096152465121</v>
      </c>
      <c r="AG381" s="316">
        <f t="shared" si="114"/>
        <v>0.46575342465753422</v>
      </c>
      <c r="AH381" s="314">
        <v>1</v>
      </c>
      <c r="AI381" s="314">
        <f t="shared" si="115"/>
        <v>-13006.096152465121</v>
      </c>
      <c r="AJ381" s="314">
        <f t="shared" si="116"/>
        <v>0</v>
      </c>
      <c r="AK381" s="317"/>
      <c r="AL381" s="315">
        <f t="shared" si="117"/>
        <v>-591.53599999999994</v>
      </c>
      <c r="AN381" s="554">
        <f t="shared" si="118"/>
        <v>-0.55941124958153099</v>
      </c>
      <c r="AO381" s="314"/>
      <c r="AP381" s="318"/>
    </row>
    <row r="382" spans="2:42">
      <c r="B382" s="296" t="s">
        <v>1254</v>
      </c>
      <c r="C382" s="299" t="s">
        <v>277</v>
      </c>
      <c r="D382" s="298" t="s">
        <v>878</v>
      </c>
      <c r="E382" s="299" t="s">
        <v>113</v>
      </c>
      <c r="F382" s="299" t="s">
        <v>59</v>
      </c>
      <c r="G382" s="300">
        <v>44557</v>
      </c>
      <c r="H382" s="303">
        <v>2960.7927999999997</v>
      </c>
      <c r="I382" s="301" t="str">
        <f t="shared" si="102"/>
        <v>Ingresos Sección II LISR (SIC &amp; BMV)</v>
      </c>
      <c r="J382" s="302">
        <f t="shared" si="103"/>
        <v>28</v>
      </c>
      <c r="K382" s="304">
        <f t="shared" si="104"/>
        <v>105.7426</v>
      </c>
      <c r="L382" s="305">
        <f>IF(H382=0,0,IF(OR(E382=$AT$5,E382=$AT$6),AA382,IF(F382="MXN",1/HLOOKUP(YEAR(G382)+(MONTH(G382)/100),TC!$5:$37,DAY(G382)+2,FALSE),VLOOKUP(F382,Equivalencia!$5:$23,((MAX(Equivalencia!$3:$3)-YEAR(G382))*14)+MONTH(G382)+2,FALSE))))</f>
        <v>1</v>
      </c>
      <c r="M382" s="306">
        <f t="shared" si="105"/>
        <v>2960.7927999999997</v>
      </c>
      <c r="N382" s="305">
        <f>IF(G382=0,0,(IF(OR(E382=$AT$5,E382=$AT$6),AC382,HLOOKUP(YEAR(G382)+(MONTH(G382)/100),TC!$5:$37,DAY(G382)+2,FALSE))))</f>
        <v>20.658200000000001</v>
      </c>
      <c r="O382" s="307">
        <f t="shared" si="106"/>
        <v>61164.649820959996</v>
      </c>
      <c r="P382" s="560">
        <f>IF(G382=0,0,VLOOKUP(YEAR(G382),INPC!$B$4:$P$30,MONTH(G382)+2))</f>
        <v>117.30800000000001</v>
      </c>
      <c r="Q382" s="560">
        <f>IF(X382=0,0,IF(OR(E382=$AT$10,E382=$AT$9),VLOOKUP(YEAR(X382),INPC!$B$4:$P$30,MONTH(X382)+1),VLOOKUP(YEAR(X382),INPC!$B$4:$P$30,MONTH(X382)+2,0)))</f>
        <v>121.02200000000001</v>
      </c>
      <c r="R382" s="309">
        <f t="shared" si="107"/>
        <v>1.0316000000000001</v>
      </c>
      <c r="S382" s="310">
        <f t="shared" si="108"/>
        <v>63097.452755302336</v>
      </c>
      <c r="T382" s="555">
        <f t="shared" si="109"/>
        <v>2253.4804555465121</v>
      </c>
      <c r="U382" s="311"/>
      <c r="V382" s="312">
        <v>28</v>
      </c>
      <c r="W382" s="299" t="s">
        <v>194</v>
      </c>
      <c r="X382" s="300">
        <v>44727</v>
      </c>
      <c r="Y382" s="299" t="s">
        <v>59</v>
      </c>
      <c r="Z382" s="303">
        <v>1316.2372881355932</v>
      </c>
      <c r="AA382" s="305">
        <f>IF(Z382=0,0,IF(Y382="MXN",1/HLOOKUP(YEAR(X382)+(MONTH(X382)/100),TC!$5:$37,DAY(X382)+2,FALSE),VLOOKUP(Y382,Equivalencia!$1:$23,((MAX(Equivalencia!$3:$3)-YEAR(X382))*14)+MONTH(X382)+2,FALSE)))</f>
        <v>1</v>
      </c>
      <c r="AB382" s="306">
        <f t="shared" si="110"/>
        <v>1316.2372881355932</v>
      </c>
      <c r="AC382" s="305">
        <f>+IF(X382=0,0,HLOOKUP(YEAR(X382)+(MONTH(X382)/100),TC!$5:$37,DAY(X382)+2,FALSE))</f>
        <v>20.4527</v>
      </c>
      <c r="AD382" s="307">
        <f t="shared" si="111"/>
        <v>26920.606383050846</v>
      </c>
      <c r="AE382" s="314">
        <f t="shared" si="112"/>
        <v>63097.452755302336</v>
      </c>
      <c r="AF382" s="315">
        <f t="shared" si="113"/>
        <v>-36176.846372251486</v>
      </c>
      <c r="AG382" s="316">
        <f t="shared" si="114"/>
        <v>0.46575342465753422</v>
      </c>
      <c r="AH382" s="314">
        <v>1</v>
      </c>
      <c r="AI382" s="314">
        <f t="shared" si="115"/>
        <v>-36176.846372251486</v>
      </c>
      <c r="AJ382" s="314">
        <f t="shared" si="116"/>
        <v>0</v>
      </c>
      <c r="AK382" s="317"/>
      <c r="AL382" s="315">
        <f t="shared" si="117"/>
        <v>-1644.5555118644065</v>
      </c>
      <c r="AN382" s="554">
        <f t="shared" si="118"/>
        <v>-0.55544430932971967</v>
      </c>
      <c r="AO382" s="314"/>
      <c r="AP382" s="318"/>
    </row>
    <row r="383" spans="2:42">
      <c r="B383" s="296" t="s">
        <v>1254</v>
      </c>
      <c r="C383" s="299" t="s">
        <v>277</v>
      </c>
      <c r="D383" s="298" t="s">
        <v>878</v>
      </c>
      <c r="E383" s="299" t="s">
        <v>113</v>
      </c>
      <c r="F383" s="299" t="s">
        <v>59</v>
      </c>
      <c r="G383" s="300">
        <v>44558</v>
      </c>
      <c r="H383" s="303">
        <v>736.89</v>
      </c>
      <c r="I383" s="301" t="str">
        <f t="shared" si="102"/>
        <v>Ingresos Sección II LISR (SIC &amp; BMV)</v>
      </c>
      <c r="J383" s="302">
        <f t="shared" si="103"/>
        <v>7</v>
      </c>
      <c r="K383" s="304">
        <f t="shared" si="104"/>
        <v>105.27</v>
      </c>
      <c r="L383" s="305">
        <f>IF(H383=0,0,IF(OR(E383=$AT$5,E383=$AT$6),AA383,IF(F383="MXN",1/HLOOKUP(YEAR(G383)+(MONTH(G383)/100),TC!$5:$37,DAY(G383)+2,FALSE),VLOOKUP(F383,Equivalencia!$5:$23,((MAX(Equivalencia!$3:$3)-YEAR(G383))*14)+MONTH(G383)+2,FALSE))))</f>
        <v>1</v>
      </c>
      <c r="M383" s="306">
        <f t="shared" si="105"/>
        <v>736.89</v>
      </c>
      <c r="N383" s="305">
        <f>IF(G383=0,0,(IF(OR(E383=$AT$5,E383=$AT$6),AC383,HLOOKUP(YEAR(G383)+(MONTH(G383)/100),TC!$5:$37,DAY(G383)+2,FALSE))))</f>
        <v>20.6112</v>
      </c>
      <c r="O383" s="307">
        <f t="shared" si="106"/>
        <v>15188.187168</v>
      </c>
      <c r="P383" s="560">
        <f>IF(G383=0,0,VLOOKUP(YEAR(G383),INPC!$B$4:$P$30,MONTH(G383)+2))</f>
        <v>117.30800000000001</v>
      </c>
      <c r="Q383" s="560">
        <f>IF(X383=0,0,IF(OR(E383=$AT$10,E383=$AT$9),VLOOKUP(YEAR(X383),INPC!$B$4:$P$30,MONTH(X383)+1),VLOOKUP(YEAR(X383),INPC!$B$4:$P$30,MONTH(X383)+2,0)))</f>
        <v>121.02200000000001</v>
      </c>
      <c r="R383" s="309">
        <f t="shared" si="107"/>
        <v>1.0316000000000001</v>
      </c>
      <c r="S383" s="310">
        <f t="shared" si="108"/>
        <v>15668.133882508802</v>
      </c>
      <c r="T383" s="555">
        <f t="shared" si="109"/>
        <v>2238.3048403584003</v>
      </c>
      <c r="U383" s="311"/>
      <c r="V383" s="312">
        <v>7</v>
      </c>
      <c r="W383" s="299" t="s">
        <v>194</v>
      </c>
      <c r="X383" s="300">
        <v>44727</v>
      </c>
      <c r="Y383" s="299" t="s">
        <v>59</v>
      </c>
      <c r="Z383" s="303">
        <v>329.0593220338983</v>
      </c>
      <c r="AA383" s="305">
        <f>IF(Z383=0,0,IF(Y383="MXN",1/HLOOKUP(YEAR(X383)+(MONTH(X383)/100),TC!$5:$37,DAY(X383)+2,FALSE),VLOOKUP(Y383,Equivalencia!$1:$23,((MAX(Equivalencia!$3:$3)-YEAR(X383))*14)+MONTH(X383)+2,FALSE)))</f>
        <v>1</v>
      </c>
      <c r="AB383" s="306">
        <f t="shared" si="110"/>
        <v>329.0593220338983</v>
      </c>
      <c r="AC383" s="305">
        <f>+IF(X383=0,0,HLOOKUP(YEAR(X383)+(MONTH(X383)/100),TC!$5:$37,DAY(X383)+2,FALSE))</f>
        <v>20.4527</v>
      </c>
      <c r="AD383" s="307">
        <f t="shared" si="111"/>
        <v>6730.1515957627116</v>
      </c>
      <c r="AE383" s="314">
        <f t="shared" si="112"/>
        <v>15668.133882508802</v>
      </c>
      <c r="AF383" s="315">
        <f t="shared" si="113"/>
        <v>-8937.9822867460898</v>
      </c>
      <c r="AG383" s="316">
        <f t="shared" si="114"/>
        <v>0.46301369863013697</v>
      </c>
      <c r="AH383" s="314">
        <v>1</v>
      </c>
      <c r="AI383" s="314">
        <f t="shared" si="115"/>
        <v>-8937.9822867460898</v>
      </c>
      <c r="AJ383" s="314">
        <f t="shared" si="116"/>
        <v>0</v>
      </c>
      <c r="AK383" s="317"/>
      <c r="AL383" s="315">
        <f t="shared" si="117"/>
        <v>-407.83067796610169</v>
      </c>
      <c r="AN383" s="554">
        <f t="shared" si="118"/>
        <v>-0.55344851737179457</v>
      </c>
      <c r="AO383" s="314"/>
      <c r="AP383" s="318"/>
    </row>
    <row r="384" spans="2:42">
      <c r="B384" s="296" t="s">
        <v>1254</v>
      </c>
      <c r="C384" s="299" t="s">
        <v>277</v>
      </c>
      <c r="D384" s="298" t="s">
        <v>878</v>
      </c>
      <c r="E384" s="299" t="s">
        <v>113</v>
      </c>
      <c r="F384" s="299" t="s">
        <v>59</v>
      </c>
      <c r="G384" s="300">
        <v>44558</v>
      </c>
      <c r="H384" s="303">
        <v>737.55</v>
      </c>
      <c r="I384" s="301" t="str">
        <f t="shared" si="102"/>
        <v>Ingresos Sección II LISR (SIC &amp; BMV)</v>
      </c>
      <c r="J384" s="302">
        <f t="shared" si="103"/>
        <v>7</v>
      </c>
      <c r="K384" s="304">
        <f t="shared" si="104"/>
        <v>105.36428571428571</v>
      </c>
      <c r="L384" s="305">
        <f>IF(H384=0,0,IF(OR(E384=$AT$5,E384=$AT$6),AA384,IF(F384="MXN",1/HLOOKUP(YEAR(G384)+(MONTH(G384)/100),TC!$5:$37,DAY(G384)+2,FALSE),VLOOKUP(F384,Equivalencia!$5:$23,((MAX(Equivalencia!$3:$3)-YEAR(G384))*14)+MONTH(G384)+2,FALSE))))</f>
        <v>1</v>
      </c>
      <c r="M384" s="306">
        <f t="shared" si="105"/>
        <v>737.55</v>
      </c>
      <c r="N384" s="305">
        <f>IF(G384=0,0,(IF(OR(E384=$AT$5,E384=$AT$6),AC384,HLOOKUP(YEAR(G384)+(MONTH(G384)/100),TC!$5:$37,DAY(G384)+2,FALSE))))</f>
        <v>20.6112</v>
      </c>
      <c r="O384" s="307">
        <f t="shared" si="106"/>
        <v>15201.790559999999</v>
      </c>
      <c r="P384" s="560">
        <f>IF(G384=0,0,VLOOKUP(YEAR(G384),INPC!$B$4:$P$30,MONTH(G384)+2))</f>
        <v>117.30800000000001</v>
      </c>
      <c r="Q384" s="560">
        <f>IF(X384=0,0,IF(OR(E384=$AT$10,E384=$AT$9),VLOOKUP(YEAR(X384),INPC!$B$4:$P$30,MONTH(X384)+1),VLOOKUP(YEAR(X384),INPC!$B$4:$P$30,MONTH(X384)+2,0)))</f>
        <v>121.02200000000001</v>
      </c>
      <c r="R384" s="309">
        <f t="shared" si="107"/>
        <v>1.0316000000000001</v>
      </c>
      <c r="S384" s="310">
        <f t="shared" si="108"/>
        <v>15682.167141696</v>
      </c>
      <c r="T384" s="555">
        <f t="shared" si="109"/>
        <v>2240.3095916708571</v>
      </c>
      <c r="U384" s="311"/>
      <c r="V384" s="312">
        <v>7</v>
      </c>
      <c r="W384" s="299" t="s">
        <v>194</v>
      </c>
      <c r="X384" s="300">
        <v>44727</v>
      </c>
      <c r="Y384" s="299" t="s">
        <v>59</v>
      </c>
      <c r="Z384" s="303">
        <v>329.0593220338983</v>
      </c>
      <c r="AA384" s="305">
        <f>IF(Z384=0,0,IF(Y384="MXN",1/HLOOKUP(YEAR(X384)+(MONTH(X384)/100),TC!$5:$37,DAY(X384)+2,FALSE),VLOOKUP(Y384,Equivalencia!$1:$23,((MAX(Equivalencia!$3:$3)-YEAR(X384))*14)+MONTH(X384)+2,FALSE)))</f>
        <v>1</v>
      </c>
      <c r="AB384" s="306">
        <f t="shared" si="110"/>
        <v>329.0593220338983</v>
      </c>
      <c r="AC384" s="305">
        <f>+IF(X384=0,0,HLOOKUP(YEAR(X384)+(MONTH(X384)/100),TC!$5:$37,DAY(X384)+2,FALSE))</f>
        <v>20.4527</v>
      </c>
      <c r="AD384" s="307">
        <f t="shared" si="111"/>
        <v>6730.1515957627116</v>
      </c>
      <c r="AE384" s="314">
        <f t="shared" si="112"/>
        <v>15682.167141696</v>
      </c>
      <c r="AF384" s="315">
        <f t="shared" si="113"/>
        <v>-8952.0155459332891</v>
      </c>
      <c r="AG384" s="316">
        <f t="shared" si="114"/>
        <v>0.46301369863013697</v>
      </c>
      <c r="AH384" s="314">
        <v>1</v>
      </c>
      <c r="AI384" s="314">
        <f t="shared" si="115"/>
        <v>-8952.0155459332891</v>
      </c>
      <c r="AJ384" s="314">
        <f t="shared" si="116"/>
        <v>0</v>
      </c>
      <c r="AK384" s="317"/>
      <c r="AL384" s="315">
        <f t="shared" si="117"/>
        <v>-408.49067796610166</v>
      </c>
      <c r="AN384" s="554">
        <f t="shared" si="118"/>
        <v>-0.55384811601396744</v>
      </c>
      <c r="AO384" s="314"/>
      <c r="AP384" s="318"/>
    </row>
    <row r="385" spans="2:42">
      <c r="B385" s="296" t="s">
        <v>1254</v>
      </c>
      <c r="C385" s="299" t="s">
        <v>277</v>
      </c>
      <c r="D385" s="298" t="s">
        <v>878</v>
      </c>
      <c r="E385" s="299" t="s">
        <v>113</v>
      </c>
      <c r="F385" s="299" t="s">
        <v>59</v>
      </c>
      <c r="G385" s="300">
        <v>44558</v>
      </c>
      <c r="H385" s="303">
        <v>1896.02</v>
      </c>
      <c r="I385" s="301" t="str">
        <f t="shared" si="102"/>
        <v>Ingresos Sección II LISR (SIC &amp; BMV)</v>
      </c>
      <c r="J385" s="302">
        <f t="shared" si="103"/>
        <v>18</v>
      </c>
      <c r="K385" s="304">
        <f t="shared" si="104"/>
        <v>105.33444444444444</v>
      </c>
      <c r="L385" s="305">
        <f>IF(H385=0,0,IF(OR(E385=$AT$5,E385=$AT$6),AA385,IF(F385="MXN",1/HLOOKUP(YEAR(G385)+(MONTH(G385)/100),TC!$5:$37,DAY(G385)+2,FALSE),VLOOKUP(F385,Equivalencia!$5:$23,((MAX(Equivalencia!$3:$3)-YEAR(G385))*14)+MONTH(G385)+2,FALSE))))</f>
        <v>1</v>
      </c>
      <c r="M385" s="306">
        <f t="shared" si="105"/>
        <v>1896.02</v>
      </c>
      <c r="N385" s="305">
        <f>IF(G385=0,0,(IF(OR(E385=$AT$5,E385=$AT$6),AC385,HLOOKUP(YEAR(G385)+(MONTH(G385)/100),TC!$5:$37,DAY(G385)+2,FALSE))))</f>
        <v>20.6112</v>
      </c>
      <c r="O385" s="307">
        <f t="shared" si="106"/>
        <v>39079.247424000001</v>
      </c>
      <c r="P385" s="560">
        <f>IF(G385=0,0,VLOOKUP(YEAR(G385),INPC!$B$4:$P$30,MONTH(G385)+2))</f>
        <v>117.30800000000001</v>
      </c>
      <c r="Q385" s="560">
        <f>IF(X385=0,0,IF(OR(E385=$AT$10,E385=$AT$9),VLOOKUP(YEAR(X385),INPC!$B$4:$P$30,MONTH(X385)+1),VLOOKUP(YEAR(X385),INPC!$B$4:$P$30,MONTH(X385)+2,0)))</f>
        <v>121.02200000000001</v>
      </c>
      <c r="R385" s="309">
        <f t="shared" si="107"/>
        <v>1.0316000000000001</v>
      </c>
      <c r="S385" s="310">
        <f t="shared" si="108"/>
        <v>40314.151642598401</v>
      </c>
      <c r="T385" s="555">
        <f t="shared" si="109"/>
        <v>2239.6750912554667</v>
      </c>
      <c r="U385" s="311"/>
      <c r="V385" s="312">
        <v>18</v>
      </c>
      <c r="W385" s="299" t="s">
        <v>194</v>
      </c>
      <c r="X385" s="300">
        <v>44727</v>
      </c>
      <c r="Y385" s="299" t="s">
        <v>59</v>
      </c>
      <c r="Z385" s="303">
        <v>846.15254237288127</v>
      </c>
      <c r="AA385" s="305">
        <f>IF(Z385=0,0,IF(Y385="MXN",1/HLOOKUP(YEAR(X385)+(MONTH(X385)/100),TC!$5:$37,DAY(X385)+2,FALSE),VLOOKUP(Y385,Equivalencia!$1:$23,((MAX(Equivalencia!$3:$3)-YEAR(X385))*14)+MONTH(X385)+2,FALSE)))</f>
        <v>1</v>
      </c>
      <c r="AB385" s="306">
        <f t="shared" si="110"/>
        <v>846.15254237288127</v>
      </c>
      <c r="AC385" s="305">
        <f>+IF(X385=0,0,HLOOKUP(YEAR(X385)+(MONTH(X385)/100),TC!$5:$37,DAY(X385)+2,FALSE))</f>
        <v>20.4527</v>
      </c>
      <c r="AD385" s="307">
        <f t="shared" si="111"/>
        <v>17306.104103389829</v>
      </c>
      <c r="AE385" s="314">
        <f t="shared" si="112"/>
        <v>40314.151642598401</v>
      </c>
      <c r="AF385" s="315">
        <f t="shared" si="113"/>
        <v>-23008.047539208572</v>
      </c>
      <c r="AG385" s="316">
        <f t="shared" si="114"/>
        <v>0.46301369863013697</v>
      </c>
      <c r="AH385" s="314">
        <v>1</v>
      </c>
      <c r="AI385" s="314">
        <f t="shared" si="115"/>
        <v>-23008.047539208572</v>
      </c>
      <c r="AJ385" s="314">
        <f t="shared" si="116"/>
        <v>0</v>
      </c>
      <c r="AK385" s="317"/>
      <c r="AL385" s="315">
        <f t="shared" si="117"/>
        <v>-1049.8674576271187</v>
      </c>
      <c r="AN385" s="554">
        <f t="shared" si="118"/>
        <v>-0.55372172109319451</v>
      </c>
      <c r="AO385" s="314"/>
      <c r="AP385" s="318"/>
    </row>
    <row r="386" spans="2:42">
      <c r="B386" s="296" t="s">
        <v>1254</v>
      </c>
      <c r="C386" s="299" t="s">
        <v>277</v>
      </c>
      <c r="D386" s="298" t="s">
        <v>878</v>
      </c>
      <c r="E386" s="299" t="s">
        <v>113</v>
      </c>
      <c r="F386" s="299" t="s">
        <v>59</v>
      </c>
      <c r="G386" s="300">
        <v>44559</v>
      </c>
      <c r="H386" s="303">
        <v>1258.26</v>
      </c>
      <c r="I386" s="301" t="str">
        <f t="shared" si="102"/>
        <v>Ingresos Sección II LISR (SIC &amp; BMV)</v>
      </c>
      <c r="J386" s="302">
        <f t="shared" si="103"/>
        <v>12</v>
      </c>
      <c r="K386" s="304">
        <f t="shared" si="104"/>
        <v>104.855</v>
      </c>
      <c r="L386" s="305">
        <f>IF(H386=0,0,IF(OR(E386=$AT$5,E386=$AT$6),AA386,IF(F386="MXN",1/HLOOKUP(YEAR(G386)+(MONTH(G386)/100),TC!$5:$37,DAY(G386)+2,FALSE),VLOOKUP(F386,Equivalencia!$5:$23,((MAX(Equivalencia!$3:$3)-YEAR(G386))*14)+MONTH(G386)+2,FALSE))))</f>
        <v>1</v>
      </c>
      <c r="M386" s="306">
        <f t="shared" si="105"/>
        <v>1258.26</v>
      </c>
      <c r="N386" s="305">
        <f>IF(G386=0,0,(IF(OR(E386=$AT$5,E386=$AT$6),AC386,HLOOKUP(YEAR(G386)+(MONTH(G386)/100),TC!$5:$37,DAY(G386)+2,FALSE))))</f>
        <v>20.6828</v>
      </c>
      <c r="O386" s="307">
        <f t="shared" si="106"/>
        <v>26024.339928000001</v>
      </c>
      <c r="P386" s="560">
        <f>IF(G386=0,0,VLOOKUP(YEAR(G386),INPC!$B$4:$P$30,MONTH(G386)+2))</f>
        <v>117.30800000000001</v>
      </c>
      <c r="Q386" s="560">
        <f>IF(X386=0,0,IF(OR(E386=$AT$10,E386=$AT$9),VLOOKUP(YEAR(X386),INPC!$B$4:$P$30,MONTH(X386)+1),VLOOKUP(YEAR(X386),INPC!$B$4:$P$30,MONTH(X386)+2,0)))</f>
        <v>121.02200000000001</v>
      </c>
      <c r="R386" s="309">
        <f t="shared" si="107"/>
        <v>1.0316000000000001</v>
      </c>
      <c r="S386" s="310">
        <f t="shared" si="108"/>
        <v>26846.709069724802</v>
      </c>
      <c r="T386" s="555">
        <f t="shared" si="109"/>
        <v>2237.2257558104002</v>
      </c>
      <c r="U386" s="311"/>
      <c r="V386" s="312">
        <v>12</v>
      </c>
      <c r="W386" s="299" t="s">
        <v>194</v>
      </c>
      <c r="X386" s="300">
        <v>44727</v>
      </c>
      <c r="Y386" s="299" t="s">
        <v>59</v>
      </c>
      <c r="Z386" s="303">
        <v>564.10169491525426</v>
      </c>
      <c r="AA386" s="305">
        <f>IF(Z386=0,0,IF(Y386="MXN",1/HLOOKUP(YEAR(X386)+(MONTH(X386)/100),TC!$5:$37,DAY(X386)+2,FALSE),VLOOKUP(Y386,Equivalencia!$1:$23,((MAX(Equivalencia!$3:$3)-YEAR(X386))*14)+MONTH(X386)+2,FALSE)))</f>
        <v>1</v>
      </c>
      <c r="AB386" s="306">
        <f t="shared" si="110"/>
        <v>564.10169491525426</v>
      </c>
      <c r="AC386" s="305">
        <f>+IF(X386=0,0,HLOOKUP(YEAR(X386)+(MONTH(X386)/100),TC!$5:$37,DAY(X386)+2,FALSE))</f>
        <v>20.4527</v>
      </c>
      <c r="AD386" s="307">
        <f t="shared" si="111"/>
        <v>11537.402735593221</v>
      </c>
      <c r="AE386" s="314">
        <f t="shared" si="112"/>
        <v>26846.709069724802</v>
      </c>
      <c r="AF386" s="315">
        <f t="shared" si="113"/>
        <v>-15309.306334131581</v>
      </c>
      <c r="AG386" s="316">
        <f t="shared" si="114"/>
        <v>0.46027397260273972</v>
      </c>
      <c r="AH386" s="314">
        <v>1</v>
      </c>
      <c r="AI386" s="314">
        <f t="shared" si="115"/>
        <v>-15309.306334131581</v>
      </c>
      <c r="AJ386" s="314">
        <f t="shared" si="116"/>
        <v>0</v>
      </c>
      <c r="AK386" s="317"/>
      <c r="AL386" s="315">
        <f t="shared" si="117"/>
        <v>-694.15830508474573</v>
      </c>
      <c r="AN386" s="554">
        <f t="shared" si="118"/>
        <v>-0.55168113512687822</v>
      </c>
      <c r="AO386" s="314"/>
      <c r="AP386" s="318"/>
    </row>
    <row r="387" spans="2:42">
      <c r="B387" s="296" t="s">
        <v>1254</v>
      </c>
      <c r="C387" s="299" t="s">
        <v>277</v>
      </c>
      <c r="D387" s="298" t="s">
        <v>878</v>
      </c>
      <c r="E387" s="299" t="s">
        <v>113</v>
      </c>
      <c r="F387" s="299" t="s">
        <v>59</v>
      </c>
      <c r="G387" s="300">
        <v>44559</v>
      </c>
      <c r="H387" s="303">
        <v>4835.6276595744685</v>
      </c>
      <c r="I387" s="301" t="str">
        <f t="shared" si="102"/>
        <v>Ingresos Sección II LISR (SIC &amp; BMV)</v>
      </c>
      <c r="J387" s="302">
        <f t="shared" si="103"/>
        <v>46</v>
      </c>
      <c r="K387" s="304">
        <f t="shared" si="104"/>
        <v>105.12234042553192</v>
      </c>
      <c r="L387" s="305">
        <f>IF(H387=0,0,IF(OR(E387=$AT$5,E387=$AT$6),AA387,IF(F387="MXN",1/HLOOKUP(YEAR(G387)+(MONTH(G387)/100),TC!$5:$37,DAY(G387)+2,FALSE),VLOOKUP(F387,Equivalencia!$5:$23,((MAX(Equivalencia!$3:$3)-YEAR(G387))*14)+MONTH(G387)+2,FALSE))))</f>
        <v>1</v>
      </c>
      <c r="M387" s="306">
        <f t="shared" si="105"/>
        <v>4835.6276595744685</v>
      </c>
      <c r="N387" s="305">
        <f>IF(G387=0,0,(IF(OR(E387=$AT$5,E387=$AT$6),AC387,HLOOKUP(YEAR(G387)+(MONTH(G387)/100),TC!$5:$37,DAY(G387)+2,FALSE))))</f>
        <v>20.6828</v>
      </c>
      <c r="O387" s="307">
        <f t="shared" si="106"/>
        <v>100014.31975744682</v>
      </c>
      <c r="P387" s="560">
        <f>IF(G387=0,0,VLOOKUP(YEAR(G387),INPC!$B$4:$P$30,MONTH(G387)+2))</f>
        <v>117.30800000000001</v>
      </c>
      <c r="Q387" s="560">
        <f>IF(X387=0,0,IF(OR(E387=$AT$10,E387=$AT$9),VLOOKUP(YEAR(X387),INPC!$B$4:$P$30,MONTH(X387)+1),VLOOKUP(YEAR(X387),INPC!$B$4:$P$30,MONTH(X387)+2,0)))</f>
        <v>121.02200000000001</v>
      </c>
      <c r="R387" s="309">
        <f t="shared" si="107"/>
        <v>1.0316000000000001</v>
      </c>
      <c r="S387" s="310">
        <f t="shared" si="108"/>
        <v>103174.77226178214</v>
      </c>
      <c r="T387" s="555">
        <f t="shared" si="109"/>
        <v>2242.9298317778726</v>
      </c>
      <c r="U387" s="311"/>
      <c r="V387" s="312">
        <v>46</v>
      </c>
      <c r="W387" s="299" t="s">
        <v>194</v>
      </c>
      <c r="X387" s="300">
        <v>44727</v>
      </c>
      <c r="Y387" s="299" t="s">
        <v>59</v>
      </c>
      <c r="Z387" s="303">
        <v>2162.3898305084745</v>
      </c>
      <c r="AA387" s="305">
        <f>IF(Z387=0,0,IF(Y387="MXN",1/HLOOKUP(YEAR(X387)+(MONTH(X387)/100),TC!$5:$37,DAY(X387)+2,FALSE),VLOOKUP(Y387,Equivalencia!$1:$23,((MAX(Equivalencia!$3:$3)-YEAR(X387))*14)+MONTH(X387)+2,FALSE)))</f>
        <v>1</v>
      </c>
      <c r="AB387" s="306">
        <f t="shared" si="110"/>
        <v>2162.3898305084745</v>
      </c>
      <c r="AC387" s="305">
        <f>+IF(X387=0,0,HLOOKUP(YEAR(X387)+(MONTH(X387)/100),TC!$5:$37,DAY(X387)+2,FALSE))</f>
        <v>20.4527</v>
      </c>
      <c r="AD387" s="307">
        <f t="shared" si="111"/>
        <v>44226.710486440679</v>
      </c>
      <c r="AE387" s="314">
        <f t="shared" si="112"/>
        <v>103174.77226178214</v>
      </c>
      <c r="AF387" s="315">
        <f t="shared" si="113"/>
        <v>-58948.061775341463</v>
      </c>
      <c r="AG387" s="316">
        <f t="shared" si="114"/>
        <v>0.46027397260273972</v>
      </c>
      <c r="AH387" s="314">
        <v>1</v>
      </c>
      <c r="AI387" s="314">
        <f t="shared" si="115"/>
        <v>-58948.061775341463</v>
      </c>
      <c r="AJ387" s="314">
        <f t="shared" si="116"/>
        <v>0</v>
      </c>
      <c r="AK387" s="317"/>
      <c r="AL387" s="315">
        <f t="shared" si="117"/>
        <v>-2673.237829065994</v>
      </c>
      <c r="AN387" s="554">
        <f t="shared" si="118"/>
        <v>-0.55282127104493339</v>
      </c>
      <c r="AO387" s="314"/>
      <c r="AP387" s="318"/>
    </row>
    <row r="388" spans="2:42">
      <c r="B388" s="296" t="s">
        <v>1254</v>
      </c>
      <c r="C388" s="299" t="s">
        <v>277</v>
      </c>
      <c r="D388" s="298" t="s">
        <v>878</v>
      </c>
      <c r="E388" s="299" t="s">
        <v>113</v>
      </c>
      <c r="F388" s="299" t="s">
        <v>59</v>
      </c>
      <c r="G388" s="300">
        <v>44559</v>
      </c>
      <c r="H388" s="303">
        <v>105.12234042553192</v>
      </c>
      <c r="I388" s="301" t="str">
        <f t="shared" si="102"/>
        <v>Ingresos Sección II LISR (SIC &amp; BMV)</v>
      </c>
      <c r="J388" s="302">
        <f t="shared" si="103"/>
        <v>1</v>
      </c>
      <c r="K388" s="304">
        <f t="shared" si="104"/>
        <v>105.12234042553192</v>
      </c>
      <c r="L388" s="305">
        <f>IF(H388=0,0,IF(OR(E388=$AT$5,E388=$AT$6),AA388,IF(F388="MXN",1/HLOOKUP(YEAR(G388)+(MONTH(G388)/100),TC!$5:$37,DAY(G388)+2,FALSE),VLOOKUP(F388,Equivalencia!$5:$23,((MAX(Equivalencia!$3:$3)-YEAR(G388))*14)+MONTH(G388)+2,FALSE))))</f>
        <v>1</v>
      </c>
      <c r="M388" s="306">
        <f t="shared" si="105"/>
        <v>105.12234042553192</v>
      </c>
      <c r="N388" s="305">
        <f>IF(G388=0,0,(IF(OR(E388=$AT$5,E388=$AT$6),AC388,HLOOKUP(YEAR(G388)+(MONTH(G388)/100),TC!$5:$37,DAY(G388)+2,FALSE))))</f>
        <v>20.6828</v>
      </c>
      <c r="O388" s="307">
        <f t="shared" si="106"/>
        <v>2174.2243425531915</v>
      </c>
      <c r="P388" s="560">
        <f>IF(G388=0,0,VLOOKUP(YEAR(G388),INPC!$B$4:$P$30,MONTH(G388)+2))</f>
        <v>117.30800000000001</v>
      </c>
      <c r="Q388" s="560">
        <f>IF(X388=0,0,IF(OR(E388=$AT$10,E388=$AT$9),VLOOKUP(YEAR(X388),INPC!$B$4:$P$30,MONTH(X388)+1),VLOOKUP(YEAR(X388),INPC!$B$4:$P$30,MONTH(X388)+2,0)))</f>
        <v>121.02200000000001</v>
      </c>
      <c r="R388" s="309">
        <f t="shared" si="107"/>
        <v>1.0316000000000001</v>
      </c>
      <c r="S388" s="310">
        <f t="shared" si="108"/>
        <v>2242.9298317778726</v>
      </c>
      <c r="T388" s="555">
        <f t="shared" si="109"/>
        <v>2242.9298317778726</v>
      </c>
      <c r="U388" s="311"/>
      <c r="V388" s="312">
        <v>1</v>
      </c>
      <c r="W388" s="299" t="s">
        <v>194</v>
      </c>
      <c r="X388" s="300">
        <v>44727</v>
      </c>
      <c r="Y388" s="299" t="s">
        <v>59</v>
      </c>
      <c r="Z388" s="303">
        <v>47.229322033898306</v>
      </c>
      <c r="AA388" s="305">
        <f>IF(Z388=0,0,IF(Y388="MXN",1/HLOOKUP(YEAR(X388)+(MONTH(X388)/100),TC!$5:$37,DAY(X388)+2,FALSE),VLOOKUP(Y388,Equivalencia!$1:$23,((MAX(Equivalencia!$3:$3)-YEAR(X388))*14)+MONTH(X388)+2,FALSE)))</f>
        <v>1</v>
      </c>
      <c r="AB388" s="306">
        <f t="shared" si="110"/>
        <v>47.229322033898306</v>
      </c>
      <c r="AC388" s="305">
        <f>+IF(X388=0,0,HLOOKUP(YEAR(X388)+(MONTH(X388)/100),TC!$5:$37,DAY(X388)+2,FALSE))</f>
        <v>20.4527</v>
      </c>
      <c r="AD388" s="307">
        <f t="shared" si="111"/>
        <v>965.96715476271186</v>
      </c>
      <c r="AE388" s="314">
        <f t="shared" si="112"/>
        <v>2242.9298317778726</v>
      </c>
      <c r="AF388" s="315">
        <f t="shared" si="113"/>
        <v>-1276.9626770151608</v>
      </c>
      <c r="AG388" s="316">
        <f t="shared" si="114"/>
        <v>0.46027397260273972</v>
      </c>
      <c r="AH388" s="314">
        <v>1</v>
      </c>
      <c r="AI388" s="314">
        <f t="shared" si="115"/>
        <v>-1276.9626770151608</v>
      </c>
      <c r="AJ388" s="314">
        <f t="shared" si="116"/>
        <v>0</v>
      </c>
      <c r="AK388" s="317"/>
      <c r="AL388" s="315">
        <f t="shared" si="117"/>
        <v>-57.893018391633611</v>
      </c>
      <c r="AN388" s="554">
        <f t="shared" si="118"/>
        <v>-0.5507204097367363</v>
      </c>
      <c r="AO388" s="314"/>
      <c r="AP388" s="318"/>
    </row>
    <row r="389" spans="2:42">
      <c r="B389" s="296" t="s">
        <v>1254</v>
      </c>
      <c r="C389" s="299" t="s">
        <v>277</v>
      </c>
      <c r="D389" s="298" t="s">
        <v>878</v>
      </c>
      <c r="E389" s="299" t="s">
        <v>113</v>
      </c>
      <c r="F389" s="299" t="s">
        <v>59</v>
      </c>
      <c r="G389" s="300">
        <v>44581</v>
      </c>
      <c r="H389" s="303">
        <v>4684.58</v>
      </c>
      <c r="I389" s="301" t="str">
        <f t="shared" si="102"/>
        <v>Ingresos Sección II LISR (SIC &amp; BMV)</v>
      </c>
      <c r="J389" s="302">
        <f t="shared" si="103"/>
        <v>58</v>
      </c>
      <c r="K389" s="304">
        <f t="shared" si="104"/>
        <v>80.768620689655165</v>
      </c>
      <c r="L389" s="305">
        <f>IF(H389=0,0,IF(OR(E389=$AT$5,E389=$AT$6),AA389,IF(F389="MXN",1/HLOOKUP(YEAR(G389)+(MONTH(G389)/100),TC!$5:$37,DAY(G389)+2,FALSE),VLOOKUP(F389,Equivalencia!$5:$23,((MAX(Equivalencia!$3:$3)-YEAR(G389))*14)+MONTH(G389)+2,FALSE))))</f>
        <v>1</v>
      </c>
      <c r="M389" s="306">
        <f t="shared" si="105"/>
        <v>4684.58</v>
      </c>
      <c r="N389" s="305">
        <f>IF(G389=0,0,(IF(OR(E389=$AT$5,E389=$AT$6),AC389,HLOOKUP(YEAR(G389)+(MONTH(G389)/100),TC!$5:$37,DAY(G389)+2,FALSE))))</f>
        <v>20.402999999999999</v>
      </c>
      <c r="O389" s="307">
        <f t="shared" si="106"/>
        <v>95579.485739999989</v>
      </c>
      <c r="P389" s="560">
        <f>IF(G389=0,0,VLOOKUP(YEAR(G389),INPC!$B$4:$P$30,MONTH(G389)+2))</f>
        <v>118.002</v>
      </c>
      <c r="Q389" s="560">
        <f>IF(X389=0,0,IF(OR(E389=$AT$10,E389=$AT$9),VLOOKUP(YEAR(X389),INPC!$B$4:$P$30,MONTH(X389)+1),VLOOKUP(YEAR(X389),INPC!$B$4:$P$30,MONTH(X389)+2,0)))</f>
        <v>121.02200000000001</v>
      </c>
      <c r="R389" s="309">
        <f t="shared" si="107"/>
        <v>1.0255000000000001</v>
      </c>
      <c r="S389" s="310">
        <f t="shared" si="108"/>
        <v>98016.762626369993</v>
      </c>
      <c r="T389" s="555">
        <f t="shared" si="109"/>
        <v>1689.9441832132757</v>
      </c>
      <c r="U389" s="311"/>
      <c r="V389" s="312">
        <v>58</v>
      </c>
      <c r="W389" s="299" t="s">
        <v>194</v>
      </c>
      <c r="X389" s="300">
        <v>44727</v>
      </c>
      <c r="Y389" s="299" t="s">
        <v>59</v>
      </c>
      <c r="Z389" s="303">
        <v>2739.3006779661018</v>
      </c>
      <c r="AA389" s="305">
        <f>IF(Z389=0,0,IF(Y389="MXN",1/HLOOKUP(YEAR(X389)+(MONTH(X389)/100),TC!$5:$37,DAY(X389)+2,FALSE),VLOOKUP(Y389,Equivalencia!$1:$23,((MAX(Equivalencia!$3:$3)-YEAR(X389))*14)+MONTH(X389)+2,FALSE)))</f>
        <v>1</v>
      </c>
      <c r="AB389" s="306">
        <f t="shared" si="110"/>
        <v>2739.3006779661018</v>
      </c>
      <c r="AC389" s="305">
        <f>+IF(X389=0,0,HLOOKUP(YEAR(X389)+(MONTH(X389)/100),TC!$5:$37,DAY(X389)+2,FALSE))</f>
        <v>20.4527</v>
      </c>
      <c r="AD389" s="307">
        <f t="shared" si="111"/>
        <v>56026.094976237291</v>
      </c>
      <c r="AE389" s="314">
        <f t="shared" si="112"/>
        <v>98016.762626369993</v>
      </c>
      <c r="AF389" s="315">
        <f t="shared" si="113"/>
        <v>-41990.667650132702</v>
      </c>
      <c r="AG389" s="316">
        <f t="shared" si="114"/>
        <v>0.4</v>
      </c>
      <c r="AH389" s="314">
        <v>1</v>
      </c>
      <c r="AI389" s="314">
        <f t="shared" si="115"/>
        <v>-41990.667650132702</v>
      </c>
      <c r="AJ389" s="314">
        <f t="shared" si="116"/>
        <v>0</v>
      </c>
      <c r="AK389" s="317"/>
      <c r="AL389" s="315">
        <f t="shared" si="117"/>
        <v>-1945.2793220338981</v>
      </c>
      <c r="AN389" s="554">
        <f t="shared" si="118"/>
        <v>-0.41525159609482559</v>
      </c>
      <c r="AO389" s="314"/>
      <c r="AP389" s="318"/>
    </row>
    <row r="390" spans="2:42">
      <c r="B390" s="296" t="s">
        <v>1254</v>
      </c>
      <c r="C390" s="299" t="s">
        <v>277</v>
      </c>
      <c r="D390" s="298" t="s">
        <v>879</v>
      </c>
      <c r="E390" s="299" t="s">
        <v>113</v>
      </c>
      <c r="F390" s="299" t="s">
        <v>59</v>
      </c>
      <c r="G390" s="300">
        <v>44104</v>
      </c>
      <c r="H390" s="303">
        <v>4793.2781999999997</v>
      </c>
      <c r="I390" s="301" t="str">
        <f t="shared" si="102"/>
        <v>Ingresos Sección II LISR (SIC &amp; BMV)</v>
      </c>
      <c r="J390" s="302">
        <f t="shared" si="103"/>
        <v>38</v>
      </c>
      <c r="K390" s="304">
        <f t="shared" si="104"/>
        <v>126.13889999999999</v>
      </c>
      <c r="L390" s="305">
        <f>IF(H390=0,0,IF(OR(E390=$AT$5,E390=$AT$6),AA390,IF(F390="MXN",1/HLOOKUP(YEAR(G390)+(MONTH(G390)/100),TC!$5:$37,DAY(G390)+2,FALSE),VLOOKUP(F390,Equivalencia!$5:$23,((MAX(Equivalencia!$3:$3)-YEAR(G390))*14)+MONTH(G390)+2,FALSE))))</f>
        <v>1</v>
      </c>
      <c r="M390" s="306">
        <f t="shared" si="105"/>
        <v>4793.2781999999997</v>
      </c>
      <c r="N390" s="305">
        <f>IF(G390=0,0,(IF(OR(E390=$AT$5,E390=$AT$6),AC390,HLOOKUP(YEAR(G390)+(MONTH(G390)/100),TC!$5:$37,DAY(G390)+2,FALSE))))</f>
        <v>22.4573</v>
      </c>
      <c r="O390" s="307">
        <f t="shared" si="106"/>
        <v>107644.08652086</v>
      </c>
      <c r="P390" s="560">
        <f>IF(G390=0,0,VLOOKUP(YEAR(G390),INPC!$B$4:$P$30,MONTH(G390)+2))</f>
        <v>108.114</v>
      </c>
      <c r="Q390" s="560">
        <f>IF(X390=0,0,IF(OR(E390=$AT$10,E390=$AT$9),VLOOKUP(YEAR(X390),INPC!$B$4:$P$30,MONTH(X390)+1),VLOOKUP(YEAR(X390),INPC!$B$4:$P$30,MONTH(X390)+2,0)))</f>
        <v>118.98099999999999</v>
      </c>
      <c r="R390" s="309">
        <f t="shared" si="107"/>
        <v>1.1005</v>
      </c>
      <c r="S390" s="310">
        <f t="shared" si="108"/>
        <v>118462.31721620643</v>
      </c>
      <c r="T390" s="555">
        <f t="shared" si="109"/>
        <v>3117.4294004264848</v>
      </c>
      <c r="U390" s="311"/>
      <c r="V390" s="312">
        <v>38</v>
      </c>
      <c r="W390" s="299" t="s">
        <v>194</v>
      </c>
      <c r="X390" s="300">
        <v>44634</v>
      </c>
      <c r="Y390" s="299" t="s">
        <v>59</v>
      </c>
      <c r="Z390" s="303">
        <v>4473.6328571428576</v>
      </c>
      <c r="AA390" s="305">
        <f>IF(Z390=0,0,IF(Y390="MXN",1/HLOOKUP(YEAR(X390)+(MONTH(X390)/100),TC!$5:$37,DAY(X390)+2,FALSE),VLOOKUP(Y390,Equivalencia!$1:$23,((MAX(Equivalencia!$3:$3)-YEAR(X390))*14)+MONTH(X390)+2,FALSE)))</f>
        <v>1</v>
      </c>
      <c r="AB390" s="306">
        <f t="shared" si="110"/>
        <v>4473.6328571428576</v>
      </c>
      <c r="AC390" s="305">
        <f>+IF(X390=0,0,HLOOKUP(YEAR(X390)+(MONTH(X390)/100),TC!$5:$37,DAY(X390)+2,FALSE))</f>
        <v>20.974299999999999</v>
      </c>
      <c r="AD390" s="307">
        <f t="shared" si="111"/>
        <v>93831.317635571439</v>
      </c>
      <c r="AE390" s="314">
        <f t="shared" si="112"/>
        <v>118462.31721620643</v>
      </c>
      <c r="AF390" s="315">
        <f t="shared" si="113"/>
        <v>-24630.999580634991</v>
      </c>
      <c r="AG390" s="316">
        <f t="shared" si="114"/>
        <v>1.452054794520548</v>
      </c>
      <c r="AH390" s="314">
        <v>1</v>
      </c>
      <c r="AI390" s="314">
        <f t="shared" si="115"/>
        <v>-24630.999580634991</v>
      </c>
      <c r="AJ390" s="314">
        <f t="shared" si="116"/>
        <v>0</v>
      </c>
      <c r="AK390" s="317"/>
      <c r="AL390" s="315">
        <f t="shared" si="117"/>
        <v>-319.64534285714217</v>
      </c>
      <c r="AN390" s="554">
        <f t="shared" si="118"/>
        <v>-6.6686165400777736E-2</v>
      </c>
      <c r="AO390" s="314"/>
      <c r="AP390" s="318"/>
    </row>
    <row r="391" spans="2:42">
      <c r="B391" s="296" t="s">
        <v>1254</v>
      </c>
      <c r="C391" s="299" t="s">
        <v>277</v>
      </c>
      <c r="D391" s="298" t="s">
        <v>879</v>
      </c>
      <c r="E391" s="299" t="s">
        <v>113</v>
      </c>
      <c r="F391" s="299" t="s">
        <v>59</v>
      </c>
      <c r="G391" s="300">
        <v>44141</v>
      </c>
      <c r="H391" s="303">
        <v>17842.02</v>
      </c>
      <c r="I391" s="301" t="str">
        <f t="shared" si="102"/>
        <v>Ingresos Sección II LISR (SIC &amp; BMV)</v>
      </c>
      <c r="J391" s="302">
        <f t="shared" si="103"/>
        <v>138</v>
      </c>
      <c r="K391" s="304">
        <f t="shared" si="104"/>
        <v>129.29</v>
      </c>
      <c r="L391" s="305">
        <f>IF(H391=0,0,IF(OR(E391=$AT$5,E391=$AT$6),AA391,IF(F391="MXN",1/HLOOKUP(YEAR(G391)+(MONTH(G391)/100),TC!$5:$37,DAY(G391)+2,FALSE),VLOOKUP(F391,Equivalencia!$5:$23,((MAX(Equivalencia!$3:$3)-YEAR(G391))*14)+MONTH(G391)+2,FALSE))))</f>
        <v>1</v>
      </c>
      <c r="M391" s="306">
        <f t="shared" si="105"/>
        <v>17842.02</v>
      </c>
      <c r="N391" s="305">
        <f>IF(G391=0,0,(IF(OR(E391=$AT$5,E391=$AT$6),AC391,HLOOKUP(YEAR(G391)+(MONTH(G391)/100),TC!$5:$37,DAY(G391)+2,FALSE))))</f>
        <v>21.034500000000001</v>
      </c>
      <c r="O391" s="307">
        <f t="shared" si="106"/>
        <v>375297.96969000006</v>
      </c>
      <c r="P391" s="560">
        <f>IF(G391=0,0,VLOOKUP(YEAR(G391),INPC!$B$4:$P$30,MONTH(G391)+2))</f>
        <v>108.85599999999999</v>
      </c>
      <c r="Q391" s="560">
        <f>IF(X391=0,0,IF(OR(E391=$AT$10,E391=$AT$9),VLOOKUP(YEAR(X391),INPC!$B$4:$P$30,MONTH(X391)+1),VLOOKUP(YEAR(X391),INPC!$B$4:$P$30,MONTH(X391)+2,0)))</f>
        <v>118.98099999999999</v>
      </c>
      <c r="R391" s="309">
        <f t="shared" si="107"/>
        <v>1.093</v>
      </c>
      <c r="S391" s="310">
        <f t="shared" si="108"/>
        <v>410200.68087117007</v>
      </c>
      <c r="T391" s="555">
        <f t="shared" si="109"/>
        <v>2972.4687019650005</v>
      </c>
      <c r="U391" s="311"/>
      <c r="V391" s="312">
        <v>138</v>
      </c>
      <c r="W391" s="299" t="s">
        <v>194</v>
      </c>
      <c r="X391" s="300">
        <v>44634</v>
      </c>
      <c r="Y391" s="299" t="s">
        <v>59</v>
      </c>
      <c r="Z391" s="303">
        <v>16246.350902255639</v>
      </c>
      <c r="AA391" s="305">
        <f>IF(Z391=0,0,IF(Y391="MXN",1/HLOOKUP(YEAR(X391)+(MONTH(X391)/100),TC!$5:$37,DAY(X391)+2,FALSE),VLOOKUP(Y391,Equivalencia!$1:$23,((MAX(Equivalencia!$3:$3)-YEAR(X391))*14)+MONTH(X391)+2,FALSE)))</f>
        <v>1</v>
      </c>
      <c r="AB391" s="306">
        <f t="shared" si="110"/>
        <v>16246.350902255639</v>
      </c>
      <c r="AC391" s="305">
        <f>+IF(X391=0,0,HLOOKUP(YEAR(X391)+(MONTH(X391)/100),TC!$5:$37,DAY(X391)+2,FALSE))</f>
        <v>20.974299999999999</v>
      </c>
      <c r="AD391" s="307">
        <f t="shared" si="111"/>
        <v>340755.83772918046</v>
      </c>
      <c r="AE391" s="314">
        <f t="shared" si="112"/>
        <v>410200.68087117007</v>
      </c>
      <c r="AF391" s="315">
        <f t="shared" si="113"/>
        <v>-69444.843141989608</v>
      </c>
      <c r="AG391" s="316">
        <f t="shared" si="114"/>
        <v>1.3506849315068492</v>
      </c>
      <c r="AH391" s="314">
        <v>1</v>
      </c>
      <c r="AI391" s="314">
        <f t="shared" si="115"/>
        <v>-69444.843141989608</v>
      </c>
      <c r="AJ391" s="314">
        <f t="shared" si="116"/>
        <v>0</v>
      </c>
      <c r="AK391" s="317"/>
      <c r="AL391" s="315">
        <f t="shared" si="117"/>
        <v>-1595.6690977443614</v>
      </c>
      <c r="AN391" s="554">
        <f t="shared" si="118"/>
        <v>-8.943320866944221E-2</v>
      </c>
      <c r="AO391" s="314"/>
      <c r="AP391" s="318"/>
    </row>
    <row r="392" spans="2:42">
      <c r="B392" s="296" t="s">
        <v>1254</v>
      </c>
      <c r="C392" s="299" t="s">
        <v>277</v>
      </c>
      <c r="D392" s="298" t="s">
        <v>879</v>
      </c>
      <c r="E392" s="299" t="s">
        <v>113</v>
      </c>
      <c r="F392" s="299" t="s">
        <v>59</v>
      </c>
      <c r="G392" s="300">
        <v>44159</v>
      </c>
      <c r="H392" s="303">
        <v>12140.566666666666</v>
      </c>
      <c r="I392" s="301" t="str">
        <f t="shared" si="102"/>
        <v>Ingresos Sección II LISR (SIC &amp; BMV)</v>
      </c>
      <c r="J392" s="302">
        <f t="shared" si="103"/>
        <v>90</v>
      </c>
      <c r="K392" s="304">
        <f t="shared" si="104"/>
        <v>134.89518518518517</v>
      </c>
      <c r="L392" s="305">
        <f>IF(H392=0,0,IF(OR(E392=$AT$5,E392=$AT$6),AA392,IF(F392="MXN",1/HLOOKUP(YEAR(G392)+(MONTH(G392)/100),TC!$5:$37,DAY(G392)+2,FALSE),VLOOKUP(F392,Equivalencia!$5:$23,((MAX(Equivalencia!$3:$3)-YEAR(G392))*14)+MONTH(G392)+2,FALSE))))</f>
        <v>1</v>
      </c>
      <c r="M392" s="306">
        <f t="shared" si="105"/>
        <v>12140.566666666666</v>
      </c>
      <c r="N392" s="305">
        <f>IF(G392=0,0,(IF(OR(E392=$AT$5,E392=$AT$6),AC392,HLOOKUP(YEAR(G392)+(MONTH(G392)/100),TC!$5:$37,DAY(G392)+2,FALSE))))</f>
        <v>20.1172</v>
      </c>
      <c r="O392" s="307">
        <f t="shared" si="106"/>
        <v>244234.20774666665</v>
      </c>
      <c r="P392" s="560">
        <f>IF(G392=0,0,VLOOKUP(YEAR(G392),INPC!$B$4:$P$30,MONTH(G392)+2))</f>
        <v>108.85599999999999</v>
      </c>
      <c r="Q392" s="560">
        <f>IF(X392=0,0,IF(OR(E392=$AT$10,E392=$AT$9),VLOOKUP(YEAR(X392),INPC!$B$4:$P$30,MONTH(X392)+1),VLOOKUP(YEAR(X392),INPC!$B$4:$P$30,MONTH(X392)+2,0)))</f>
        <v>118.98099999999999</v>
      </c>
      <c r="R392" s="309">
        <f t="shared" si="107"/>
        <v>1.093</v>
      </c>
      <c r="S392" s="310">
        <f t="shared" si="108"/>
        <v>266947.98906710662</v>
      </c>
      <c r="T392" s="555">
        <f t="shared" si="109"/>
        <v>2966.088767412296</v>
      </c>
      <c r="U392" s="311"/>
      <c r="V392" s="312">
        <v>90</v>
      </c>
      <c r="W392" s="299" t="s">
        <v>194</v>
      </c>
      <c r="X392" s="300">
        <v>44634</v>
      </c>
      <c r="Y392" s="299" t="s">
        <v>59</v>
      </c>
      <c r="Z392" s="303">
        <v>10595.446240601505</v>
      </c>
      <c r="AA392" s="305">
        <f>IF(Z392=0,0,IF(Y392="MXN",1/HLOOKUP(YEAR(X392)+(MONTH(X392)/100),TC!$5:$37,DAY(X392)+2,FALSE),VLOOKUP(Y392,Equivalencia!$1:$23,((MAX(Equivalencia!$3:$3)-YEAR(X392))*14)+MONTH(X392)+2,FALSE)))</f>
        <v>1</v>
      </c>
      <c r="AB392" s="306">
        <f t="shared" si="110"/>
        <v>10595.446240601505</v>
      </c>
      <c r="AC392" s="305">
        <f>+IF(X392=0,0,HLOOKUP(YEAR(X392)+(MONTH(X392)/100),TC!$5:$37,DAY(X392)+2,FALSE))</f>
        <v>20.974299999999999</v>
      </c>
      <c r="AD392" s="307">
        <f t="shared" si="111"/>
        <v>222232.06808424814</v>
      </c>
      <c r="AE392" s="314">
        <f t="shared" si="112"/>
        <v>266947.98906710662</v>
      </c>
      <c r="AF392" s="315">
        <f t="shared" si="113"/>
        <v>-44715.920982858486</v>
      </c>
      <c r="AG392" s="316">
        <f t="shared" si="114"/>
        <v>1.3013698630136987</v>
      </c>
      <c r="AH392" s="314">
        <v>1</v>
      </c>
      <c r="AI392" s="314">
        <f t="shared" si="115"/>
        <v>-44715.920982858486</v>
      </c>
      <c r="AJ392" s="314">
        <f t="shared" si="116"/>
        <v>0</v>
      </c>
      <c r="AK392" s="317"/>
      <c r="AL392" s="315">
        <f t="shared" si="117"/>
        <v>-1545.1204260651612</v>
      </c>
      <c r="AN392" s="554">
        <f t="shared" si="118"/>
        <v>-0.12726921802649199</v>
      </c>
      <c r="AO392" s="314"/>
      <c r="AP392" s="318"/>
    </row>
    <row r="393" spans="2:42">
      <c r="B393" s="296" t="s">
        <v>1254</v>
      </c>
      <c r="C393" s="299" t="s">
        <v>277</v>
      </c>
      <c r="D393" s="298" t="s">
        <v>880</v>
      </c>
      <c r="E393" s="299" t="s">
        <v>113</v>
      </c>
      <c r="F393" s="299" t="s">
        <v>59</v>
      </c>
      <c r="G393" s="300">
        <v>44141</v>
      </c>
      <c r="H393" s="303">
        <v>12183.561</v>
      </c>
      <c r="I393" s="301" t="str">
        <f t="shared" si="102"/>
        <v>Ingresos Sección II LISR (SIC &amp; BMV)</v>
      </c>
      <c r="J393" s="302">
        <f t="shared" si="103"/>
        <v>39</v>
      </c>
      <c r="K393" s="304">
        <f t="shared" si="104"/>
        <v>312.399</v>
      </c>
      <c r="L393" s="305">
        <f>IF(H393=0,0,IF(OR(E393=$AT$5,E393=$AT$6),AA393,IF(F393="MXN",1/HLOOKUP(YEAR(G393)+(MONTH(G393)/100),TC!$5:$37,DAY(G393)+2,FALSE),VLOOKUP(F393,Equivalencia!$5:$23,((MAX(Equivalencia!$3:$3)-YEAR(G393))*14)+MONTH(G393)+2,FALSE))))</f>
        <v>1</v>
      </c>
      <c r="M393" s="306">
        <f t="shared" si="105"/>
        <v>12183.561</v>
      </c>
      <c r="N393" s="305">
        <f>IF(G393=0,0,(IF(OR(E393=$AT$5,E393=$AT$6),AC393,HLOOKUP(YEAR(G393)+(MONTH(G393)/100),TC!$5:$37,DAY(G393)+2,FALSE))))</f>
        <v>21.034500000000001</v>
      </c>
      <c r="O393" s="307">
        <f t="shared" si="106"/>
        <v>256275.1138545</v>
      </c>
      <c r="P393" s="560">
        <f>IF(G393=0,0,VLOOKUP(YEAR(G393),INPC!$B$4:$P$30,MONTH(G393)+2))</f>
        <v>108.85599999999999</v>
      </c>
      <c r="Q393" s="560">
        <f>IF(X393=0,0,IF(OR(E393=$AT$10,E393=$AT$9),VLOOKUP(YEAR(X393),INPC!$B$4:$P$30,MONTH(X393)+1),VLOOKUP(YEAR(X393),INPC!$B$4:$P$30,MONTH(X393)+2,0)))</f>
        <v>117.30800000000001</v>
      </c>
      <c r="R393" s="309">
        <f t="shared" si="107"/>
        <v>1.0775999999999999</v>
      </c>
      <c r="S393" s="310">
        <f t="shared" si="108"/>
        <v>276162.06268960919</v>
      </c>
      <c r="T393" s="555">
        <f t="shared" si="109"/>
        <v>7081.0785305027994</v>
      </c>
      <c r="U393" s="311"/>
      <c r="V393" s="312">
        <v>39</v>
      </c>
      <c r="W393" s="299" t="s">
        <v>194</v>
      </c>
      <c r="X393" s="300">
        <v>44581</v>
      </c>
      <c r="Y393" s="299" t="s">
        <v>59</v>
      </c>
      <c r="Z393" s="303">
        <v>14425.139268292683</v>
      </c>
      <c r="AA393" s="305">
        <f>IF(Z393=0,0,IF(Y393="MXN",1/HLOOKUP(YEAR(X393)+(MONTH(X393)/100),TC!$5:$37,DAY(X393)+2,FALSE),VLOOKUP(Y393,Equivalencia!$1:$23,((MAX(Equivalencia!$3:$3)-YEAR(X393))*14)+MONTH(X393)+2,FALSE)))</f>
        <v>1</v>
      </c>
      <c r="AB393" s="306">
        <f t="shared" si="110"/>
        <v>14425.139268292683</v>
      </c>
      <c r="AC393" s="305">
        <f>+IF(X393=0,0,HLOOKUP(YEAR(X393)+(MONTH(X393)/100),TC!$5:$37,DAY(X393)+2,FALSE))</f>
        <v>20.402999999999999</v>
      </c>
      <c r="AD393" s="307">
        <f t="shared" si="111"/>
        <v>294316.1164909756</v>
      </c>
      <c r="AE393" s="314">
        <f t="shared" si="112"/>
        <v>276162.06268960919</v>
      </c>
      <c r="AF393" s="315">
        <f t="shared" si="113"/>
        <v>18154.053801366419</v>
      </c>
      <c r="AG393" s="316">
        <f t="shared" si="114"/>
        <v>1.2054794520547945</v>
      </c>
      <c r="AH393" s="314">
        <v>1</v>
      </c>
      <c r="AI393" s="314">
        <f t="shared" si="115"/>
        <v>18154.053801366419</v>
      </c>
      <c r="AJ393" s="314">
        <f t="shared" si="116"/>
        <v>0</v>
      </c>
      <c r="AK393" s="317"/>
      <c r="AL393" s="315">
        <f t="shared" si="117"/>
        <v>2241.5782682926838</v>
      </c>
      <c r="AN393" s="554">
        <f t="shared" si="118"/>
        <v>0.18398383430695539</v>
      </c>
      <c r="AO393" s="314"/>
      <c r="AP393" s="318"/>
    </row>
    <row r="394" spans="2:42">
      <c r="B394" s="296" t="s">
        <v>1254</v>
      </c>
      <c r="C394" s="299" t="s">
        <v>277</v>
      </c>
      <c r="D394" s="298" t="s">
        <v>880</v>
      </c>
      <c r="E394" s="299" t="s">
        <v>113</v>
      </c>
      <c r="F394" s="299" t="s">
        <v>59</v>
      </c>
      <c r="G394" s="300">
        <v>44144</v>
      </c>
      <c r="H394" s="303">
        <v>689.39032258064515</v>
      </c>
      <c r="I394" s="301" t="str">
        <f t="shared" si="102"/>
        <v>Ingresos Sección II LISR (SIC &amp; BMV)</v>
      </c>
      <c r="J394" s="302">
        <f t="shared" si="103"/>
        <v>2</v>
      </c>
      <c r="K394" s="304">
        <f t="shared" si="104"/>
        <v>344.69516129032257</v>
      </c>
      <c r="L394" s="305">
        <f>IF(H394=0,0,IF(OR(E394=$AT$5,E394=$AT$6),AA394,IF(F394="MXN",1/HLOOKUP(YEAR(G394)+(MONTH(G394)/100),TC!$5:$37,DAY(G394)+2,FALSE),VLOOKUP(F394,Equivalencia!$5:$23,((MAX(Equivalencia!$3:$3)-YEAR(G394))*14)+MONTH(G394)+2,FALSE))))</f>
        <v>1</v>
      </c>
      <c r="M394" s="306">
        <f t="shared" si="105"/>
        <v>689.39032258064515</v>
      </c>
      <c r="N394" s="305">
        <f>IF(G394=0,0,(IF(OR(E394=$AT$5,E394=$AT$6),AC394,HLOOKUP(YEAR(G394)+(MONTH(G394)/100),TC!$5:$37,DAY(G394)+2,FALSE))))</f>
        <v>20.761199999999999</v>
      </c>
      <c r="O394" s="307">
        <f t="shared" si="106"/>
        <v>14312.570365161289</v>
      </c>
      <c r="P394" s="560">
        <f>IF(G394=0,0,VLOOKUP(YEAR(G394),INPC!$B$4:$P$30,MONTH(G394)+2))</f>
        <v>108.85599999999999</v>
      </c>
      <c r="Q394" s="560">
        <f>IF(X394=0,0,IF(OR(E394=$AT$10,E394=$AT$9),VLOOKUP(YEAR(X394),INPC!$B$4:$P$30,MONTH(X394)+1),VLOOKUP(YEAR(X394),INPC!$B$4:$P$30,MONTH(X394)+2,0)))</f>
        <v>117.30800000000001</v>
      </c>
      <c r="R394" s="309">
        <f t="shared" si="107"/>
        <v>1.0775999999999999</v>
      </c>
      <c r="S394" s="310">
        <f t="shared" si="108"/>
        <v>15423.225825497804</v>
      </c>
      <c r="T394" s="555">
        <f t="shared" si="109"/>
        <v>7711.6129127489021</v>
      </c>
      <c r="U394" s="311"/>
      <c r="V394" s="312">
        <v>2</v>
      </c>
      <c r="W394" s="299" t="s">
        <v>194</v>
      </c>
      <c r="X394" s="300">
        <v>44581</v>
      </c>
      <c r="Y394" s="299" t="s">
        <v>59</v>
      </c>
      <c r="Z394" s="303">
        <v>739.75073170731707</v>
      </c>
      <c r="AA394" s="305">
        <f>IF(Z394=0,0,IF(Y394="MXN",1/HLOOKUP(YEAR(X394)+(MONTH(X394)/100),TC!$5:$37,DAY(X394)+2,FALSE),VLOOKUP(Y394,Equivalencia!$1:$23,((MAX(Equivalencia!$3:$3)-YEAR(X394))*14)+MONTH(X394)+2,FALSE)))</f>
        <v>1</v>
      </c>
      <c r="AB394" s="306">
        <f t="shared" si="110"/>
        <v>739.75073170731707</v>
      </c>
      <c r="AC394" s="305">
        <f>+IF(X394=0,0,HLOOKUP(YEAR(X394)+(MONTH(X394)/100),TC!$5:$37,DAY(X394)+2,FALSE))</f>
        <v>20.402999999999999</v>
      </c>
      <c r="AD394" s="307">
        <f t="shared" si="111"/>
        <v>15093.13417902439</v>
      </c>
      <c r="AE394" s="314">
        <f t="shared" si="112"/>
        <v>15423.225825497804</v>
      </c>
      <c r="AF394" s="315">
        <f t="shared" si="113"/>
        <v>-330.09164647341458</v>
      </c>
      <c r="AG394" s="316">
        <f t="shared" si="114"/>
        <v>1.1972602739726028</v>
      </c>
      <c r="AH394" s="314">
        <v>1</v>
      </c>
      <c r="AI394" s="314">
        <f t="shared" si="115"/>
        <v>-330.09164647341458</v>
      </c>
      <c r="AJ394" s="314">
        <f t="shared" si="116"/>
        <v>0</v>
      </c>
      <c r="AK394" s="317"/>
      <c r="AL394" s="315">
        <f t="shared" si="117"/>
        <v>50.360409126671925</v>
      </c>
      <c r="AN394" s="554">
        <f t="shared" si="118"/>
        <v>7.3050647038609598E-2</v>
      </c>
      <c r="AO394" s="314"/>
      <c r="AP394" s="318"/>
    </row>
    <row r="395" spans="2:42">
      <c r="B395" s="296" t="s">
        <v>1254</v>
      </c>
      <c r="C395" s="299" t="s">
        <v>277</v>
      </c>
      <c r="D395" s="298" t="s">
        <v>880</v>
      </c>
      <c r="E395" s="299" t="s">
        <v>113</v>
      </c>
      <c r="F395" s="299" t="s">
        <v>59</v>
      </c>
      <c r="G395" s="300">
        <v>44144</v>
      </c>
      <c r="H395" s="303">
        <v>9996.1596774193549</v>
      </c>
      <c r="I395" s="301" t="str">
        <f t="shared" si="102"/>
        <v>Ingresos Sección II LISR (SIC &amp; BMV)</v>
      </c>
      <c r="J395" s="302">
        <f t="shared" si="103"/>
        <v>29</v>
      </c>
      <c r="K395" s="304">
        <f t="shared" si="104"/>
        <v>344.69516129032257</v>
      </c>
      <c r="L395" s="305">
        <f>IF(H395=0,0,IF(OR(E395=$AT$5,E395=$AT$6),AA395,IF(F395="MXN",1/HLOOKUP(YEAR(G395)+(MONTH(G395)/100),TC!$5:$37,DAY(G395)+2,FALSE),VLOOKUP(F395,Equivalencia!$5:$23,((MAX(Equivalencia!$3:$3)-YEAR(G395))*14)+MONTH(G395)+2,FALSE))))</f>
        <v>1</v>
      </c>
      <c r="M395" s="306">
        <f t="shared" si="105"/>
        <v>9996.1596774193549</v>
      </c>
      <c r="N395" s="305">
        <f>IF(G395=0,0,(IF(OR(E395=$AT$5,E395=$AT$6),AC395,HLOOKUP(YEAR(G395)+(MONTH(G395)/100),TC!$5:$37,DAY(G395)+2,FALSE))))</f>
        <v>20.761199999999999</v>
      </c>
      <c r="O395" s="307">
        <f t="shared" si="106"/>
        <v>207532.2702948387</v>
      </c>
      <c r="P395" s="560">
        <f>IF(G395=0,0,VLOOKUP(YEAR(G395),INPC!$B$4:$P$30,MONTH(G395)+2))</f>
        <v>108.85599999999999</v>
      </c>
      <c r="Q395" s="560">
        <f>IF(X395=0,0,IF(OR(E395=$AT$10,E395=$AT$9),VLOOKUP(YEAR(X395),INPC!$B$4:$P$30,MONTH(X395)+1),VLOOKUP(YEAR(X395),INPC!$B$4:$P$30,MONTH(X395)+2,0)))</f>
        <v>121.02200000000001</v>
      </c>
      <c r="R395" s="309">
        <f t="shared" si="107"/>
        <v>1.1116999999999999</v>
      </c>
      <c r="S395" s="310">
        <f t="shared" si="108"/>
        <v>230713.62488677216</v>
      </c>
      <c r="T395" s="555">
        <f t="shared" si="109"/>
        <v>7955.6422374749018</v>
      </c>
      <c r="U395" s="311"/>
      <c r="V395" s="312">
        <v>29</v>
      </c>
      <c r="W395" s="299" t="s">
        <v>194</v>
      </c>
      <c r="X395" s="300">
        <v>44736</v>
      </c>
      <c r="Y395" s="299" t="s">
        <v>59</v>
      </c>
      <c r="Z395" s="303">
        <v>9502.9547619047626</v>
      </c>
      <c r="AA395" s="305">
        <f>IF(Z395=0,0,IF(Y395="MXN",1/HLOOKUP(YEAR(X395)+(MONTH(X395)/100),TC!$5:$37,DAY(X395)+2,FALSE),VLOOKUP(Y395,Equivalencia!$1:$23,((MAX(Equivalencia!$3:$3)-YEAR(X395))*14)+MONTH(X395)+2,FALSE)))</f>
        <v>1</v>
      </c>
      <c r="AB395" s="306">
        <f t="shared" si="110"/>
        <v>9502.9547619047626</v>
      </c>
      <c r="AC395" s="305">
        <f>+IF(X395=0,0,HLOOKUP(YEAR(X395)+(MONTH(X395)/100),TC!$5:$37,DAY(X395)+2,FALSE))</f>
        <v>20.046500000000002</v>
      </c>
      <c r="AD395" s="307">
        <f t="shared" si="111"/>
        <v>190500.98263452383</v>
      </c>
      <c r="AE395" s="314">
        <f t="shared" si="112"/>
        <v>230713.62488677216</v>
      </c>
      <c r="AF395" s="315">
        <f t="shared" si="113"/>
        <v>-40212.642252248334</v>
      </c>
      <c r="AG395" s="316">
        <f t="shared" si="114"/>
        <v>1.6219178082191781</v>
      </c>
      <c r="AH395" s="314">
        <v>1</v>
      </c>
      <c r="AI395" s="314">
        <f t="shared" si="115"/>
        <v>-40212.642252248334</v>
      </c>
      <c r="AJ395" s="314">
        <f t="shared" si="116"/>
        <v>0</v>
      </c>
      <c r="AK395" s="317"/>
      <c r="AL395" s="315">
        <f t="shared" si="117"/>
        <v>-493.20491551459236</v>
      </c>
      <c r="AN395" s="554">
        <f t="shared" si="118"/>
        <v>-4.9339439487817383E-2</v>
      </c>
      <c r="AO395" s="314"/>
      <c r="AP395" s="318"/>
    </row>
    <row r="396" spans="2:42">
      <c r="B396" s="296" t="s">
        <v>1254</v>
      </c>
      <c r="C396" s="299" t="s">
        <v>277</v>
      </c>
      <c r="D396" s="298" t="s">
        <v>880</v>
      </c>
      <c r="E396" s="299" t="s">
        <v>113</v>
      </c>
      <c r="F396" s="299" t="s">
        <v>59</v>
      </c>
      <c r="G396" s="300">
        <v>44159</v>
      </c>
      <c r="H396" s="303">
        <v>4363.9015789473688</v>
      </c>
      <c r="I396" s="301" t="str">
        <f t="shared" si="102"/>
        <v>Ingresos Sección II LISR (SIC &amp; BMV)</v>
      </c>
      <c r="J396" s="302">
        <f t="shared" si="103"/>
        <v>13</v>
      </c>
      <c r="K396" s="304">
        <f t="shared" si="104"/>
        <v>335.68473684210528</v>
      </c>
      <c r="L396" s="305">
        <f>IF(H396=0,0,IF(OR(E396=$AT$5,E396=$AT$6),AA396,IF(F396="MXN",1/HLOOKUP(YEAR(G396)+(MONTH(G396)/100),TC!$5:$37,DAY(G396)+2,FALSE),VLOOKUP(F396,Equivalencia!$5:$23,((MAX(Equivalencia!$3:$3)-YEAR(G396))*14)+MONTH(G396)+2,FALSE))))</f>
        <v>1</v>
      </c>
      <c r="M396" s="306">
        <f t="shared" si="105"/>
        <v>4363.9015789473688</v>
      </c>
      <c r="N396" s="305">
        <f>IF(G396=0,0,(IF(OR(E396=$AT$5,E396=$AT$6),AC396,HLOOKUP(YEAR(G396)+(MONTH(G396)/100),TC!$5:$37,DAY(G396)+2,FALSE))))</f>
        <v>20.1172</v>
      </c>
      <c r="O396" s="307">
        <f t="shared" si="106"/>
        <v>87789.480844000005</v>
      </c>
      <c r="P396" s="560">
        <f>IF(G396=0,0,VLOOKUP(YEAR(G396),INPC!$B$4:$P$30,MONTH(G396)+2))</f>
        <v>108.85599999999999</v>
      </c>
      <c r="Q396" s="560">
        <f>IF(X396=0,0,IF(OR(E396=$AT$10,E396=$AT$9),VLOOKUP(YEAR(X396),INPC!$B$4:$P$30,MONTH(X396)+1),VLOOKUP(YEAR(X396),INPC!$B$4:$P$30,MONTH(X396)+2,0)))</f>
        <v>121.02200000000001</v>
      </c>
      <c r="R396" s="309">
        <f t="shared" si="107"/>
        <v>1.1116999999999999</v>
      </c>
      <c r="S396" s="310">
        <f t="shared" si="108"/>
        <v>97595.565854274799</v>
      </c>
      <c r="T396" s="555">
        <f t="shared" si="109"/>
        <v>7507.3512195595995</v>
      </c>
      <c r="U396" s="311"/>
      <c r="V396" s="312">
        <v>13</v>
      </c>
      <c r="W396" s="299" t="s">
        <v>194</v>
      </c>
      <c r="X396" s="300">
        <v>44736</v>
      </c>
      <c r="Y396" s="299" t="s">
        <v>59</v>
      </c>
      <c r="Z396" s="303">
        <v>4259.945238095238</v>
      </c>
      <c r="AA396" s="305">
        <f>IF(Z396=0,0,IF(Y396="MXN",1/HLOOKUP(YEAR(X396)+(MONTH(X396)/100),TC!$5:$37,DAY(X396)+2,FALSE),VLOOKUP(Y396,Equivalencia!$1:$23,((MAX(Equivalencia!$3:$3)-YEAR(X396))*14)+MONTH(X396)+2,FALSE)))</f>
        <v>1</v>
      </c>
      <c r="AB396" s="306">
        <f t="shared" si="110"/>
        <v>4259.945238095238</v>
      </c>
      <c r="AC396" s="305">
        <f>+IF(X396=0,0,HLOOKUP(YEAR(X396)+(MONTH(X396)/100),TC!$5:$37,DAY(X396)+2,FALSE))</f>
        <v>20.046500000000002</v>
      </c>
      <c r="AD396" s="307">
        <f t="shared" si="111"/>
        <v>85396.992215476203</v>
      </c>
      <c r="AE396" s="314">
        <f t="shared" si="112"/>
        <v>97595.565854274799</v>
      </c>
      <c r="AF396" s="315">
        <f t="shared" si="113"/>
        <v>-12198.573638798596</v>
      </c>
      <c r="AG396" s="316">
        <f t="shared" si="114"/>
        <v>1.5808219178082192</v>
      </c>
      <c r="AH396" s="314">
        <v>1</v>
      </c>
      <c r="AI396" s="314">
        <f t="shared" si="115"/>
        <v>-12198.573638798596</v>
      </c>
      <c r="AJ396" s="314">
        <f t="shared" si="116"/>
        <v>0</v>
      </c>
      <c r="AK396" s="317"/>
      <c r="AL396" s="315">
        <f t="shared" si="117"/>
        <v>-103.95634085213078</v>
      </c>
      <c r="AN396" s="554">
        <f t="shared" si="118"/>
        <v>-2.3821880253588678E-2</v>
      </c>
      <c r="AO396" s="314"/>
      <c r="AP396" s="318"/>
    </row>
    <row r="397" spans="2:42">
      <c r="B397" s="296" t="s">
        <v>1254</v>
      </c>
      <c r="C397" s="299" t="s">
        <v>277</v>
      </c>
      <c r="D397" s="298" t="s">
        <v>881</v>
      </c>
      <c r="E397" s="299" t="s">
        <v>113</v>
      </c>
      <c r="F397" s="299" t="s">
        <v>59</v>
      </c>
      <c r="G397" s="300">
        <v>44491</v>
      </c>
      <c r="H397" s="303">
        <v>13550.794114713217</v>
      </c>
      <c r="I397" s="301" t="str">
        <f t="shared" si="102"/>
        <v>Ingresos Sección II LISR (SIC &amp; BMV)</v>
      </c>
      <c r="J397" s="302">
        <f t="shared" si="103"/>
        <v>238</v>
      </c>
      <c r="K397" s="304">
        <f t="shared" si="104"/>
        <v>56.936109725685789</v>
      </c>
      <c r="L397" s="305">
        <f>IF(H397=0,0,IF(OR(E397=$AT$5,E397=$AT$6),AA397,IF(F397="MXN",1/HLOOKUP(YEAR(G397)+(MONTH(G397)/100),TC!$5:$37,DAY(G397)+2,FALSE),VLOOKUP(F397,Equivalencia!$5:$23,((MAX(Equivalencia!$3:$3)-YEAR(G397))*14)+MONTH(G397)+2,FALSE))))</f>
        <v>1</v>
      </c>
      <c r="M397" s="306">
        <f t="shared" si="105"/>
        <v>13550.794114713217</v>
      </c>
      <c r="N397" s="305">
        <f>IF(G397=0,0,(IF(OR(E397=$AT$5,E397=$AT$6),AC397,HLOOKUP(YEAR(G397)+(MONTH(G397)/100),TC!$5:$37,DAY(G397)+2,FALSE))))</f>
        <v>20.184999999999999</v>
      </c>
      <c r="O397" s="307">
        <f t="shared" si="106"/>
        <v>273522.77920548629</v>
      </c>
      <c r="P397" s="560">
        <f>IF(G397=0,0,VLOOKUP(YEAR(G397),INPC!$B$4:$P$30,MONTH(G397)+2))</f>
        <v>115.56100000000001</v>
      </c>
      <c r="Q397" s="560">
        <f>IF(X397=0,0,IF(OR(E397=$AT$10,E397=$AT$9),VLOOKUP(YEAR(X397),INPC!$B$4:$P$30,MONTH(X397)+1),VLOOKUP(YEAR(X397),INPC!$B$4:$P$30,MONTH(X397)+2,0)))</f>
        <v>120.809</v>
      </c>
      <c r="R397" s="309">
        <f t="shared" si="107"/>
        <v>1.0454000000000001</v>
      </c>
      <c r="S397" s="310">
        <f t="shared" si="108"/>
        <v>285940.71338141541</v>
      </c>
      <c r="T397" s="555">
        <f t="shared" si="109"/>
        <v>1201.4315688294764</v>
      </c>
      <c r="U397" s="311"/>
      <c r="V397" s="312">
        <v>238</v>
      </c>
      <c r="W397" s="299" t="s">
        <v>194</v>
      </c>
      <c r="X397" s="300">
        <v>44705</v>
      </c>
      <c r="Y397" s="299" t="s">
        <v>59</v>
      </c>
      <c r="Z397" s="303">
        <v>3228.7280613026824</v>
      </c>
      <c r="AA397" s="305">
        <f>IF(Z397=0,0,IF(Y397="MXN",1/HLOOKUP(YEAR(X397)+(MONTH(X397)/100),TC!$5:$37,DAY(X397)+2,FALSE),VLOOKUP(Y397,Equivalencia!$1:$23,((MAX(Equivalencia!$3:$3)-YEAR(X397))*14)+MONTH(X397)+2,FALSE)))</f>
        <v>1</v>
      </c>
      <c r="AB397" s="306">
        <f t="shared" si="110"/>
        <v>3228.7280613026824</v>
      </c>
      <c r="AC397" s="305">
        <f>+IF(X397=0,0,HLOOKUP(YEAR(X397)+(MONTH(X397)/100),TC!$5:$37,DAY(X397)+2,FALSE))</f>
        <v>19.8657</v>
      </c>
      <c r="AD397" s="307">
        <f t="shared" si="111"/>
        <v>64140.943047420697</v>
      </c>
      <c r="AE397" s="314">
        <f t="shared" si="112"/>
        <v>285940.71338141541</v>
      </c>
      <c r="AF397" s="315">
        <f t="shared" si="113"/>
        <v>-221799.7703339947</v>
      </c>
      <c r="AG397" s="316">
        <f t="shared" si="114"/>
        <v>0.58630136986301373</v>
      </c>
      <c r="AH397" s="314">
        <v>1</v>
      </c>
      <c r="AI397" s="314">
        <f t="shared" si="115"/>
        <v>-221799.7703339947</v>
      </c>
      <c r="AJ397" s="314">
        <f t="shared" si="116"/>
        <v>0</v>
      </c>
      <c r="AK397" s="317"/>
      <c r="AL397" s="315">
        <f t="shared" si="117"/>
        <v>-10322.066053410534</v>
      </c>
      <c r="AN397" s="554">
        <f t="shared" si="118"/>
        <v>-0.76173145027736888</v>
      </c>
      <c r="AO397" s="314"/>
      <c r="AP397" s="318"/>
    </row>
    <row r="398" spans="2:42">
      <c r="B398" s="296" t="s">
        <v>1254</v>
      </c>
      <c r="C398" s="299" t="s">
        <v>277</v>
      </c>
      <c r="D398" s="298" t="s">
        <v>881</v>
      </c>
      <c r="E398" s="299" t="s">
        <v>113</v>
      </c>
      <c r="F398" s="299" t="s">
        <v>59</v>
      </c>
      <c r="G398" s="300">
        <v>44495</v>
      </c>
      <c r="H398" s="303">
        <v>735.81</v>
      </c>
      <c r="I398" s="301" t="str">
        <f t="shared" si="102"/>
        <v>Ingresos Sección II LISR (SIC &amp; BMV)</v>
      </c>
      <c r="J398" s="302">
        <f t="shared" si="103"/>
        <v>13</v>
      </c>
      <c r="K398" s="304">
        <f t="shared" si="104"/>
        <v>56.600769230769224</v>
      </c>
      <c r="L398" s="305">
        <f>IF(H398=0,0,IF(OR(E398=$AT$5,E398=$AT$6),AA398,IF(F398="MXN",1/HLOOKUP(YEAR(G398)+(MONTH(G398)/100),TC!$5:$37,DAY(G398)+2,FALSE),VLOOKUP(F398,Equivalencia!$5:$23,((MAX(Equivalencia!$3:$3)-YEAR(G398))*14)+MONTH(G398)+2,FALSE))))</f>
        <v>1</v>
      </c>
      <c r="M398" s="306">
        <f t="shared" si="105"/>
        <v>735.81</v>
      </c>
      <c r="N398" s="305">
        <f>IF(G398=0,0,(IF(OR(E398=$AT$5,E398=$AT$6),AC398,HLOOKUP(YEAR(G398)+(MONTH(G398)/100),TC!$5:$37,DAY(G398)+2,FALSE))))</f>
        <v>20.183700000000002</v>
      </c>
      <c r="O398" s="307">
        <f t="shared" si="106"/>
        <v>14851.368297000001</v>
      </c>
      <c r="P398" s="560">
        <f>IF(G398=0,0,VLOOKUP(YEAR(G398),INPC!$B$4:$P$30,MONTH(G398)+2))</f>
        <v>115.56100000000001</v>
      </c>
      <c r="Q398" s="560">
        <f>IF(X398=0,0,IF(OR(E398=$AT$10,E398=$AT$9),VLOOKUP(YEAR(X398),INPC!$B$4:$P$30,MONTH(X398)+1),VLOOKUP(YEAR(X398),INPC!$B$4:$P$30,MONTH(X398)+2,0)))</f>
        <v>120.809</v>
      </c>
      <c r="R398" s="309">
        <f t="shared" si="107"/>
        <v>1.0454000000000001</v>
      </c>
      <c r="S398" s="310">
        <f t="shared" si="108"/>
        <v>15525.620417683802</v>
      </c>
      <c r="T398" s="555">
        <f t="shared" si="109"/>
        <v>1194.2784936679848</v>
      </c>
      <c r="U398" s="311"/>
      <c r="V398" s="312">
        <v>13</v>
      </c>
      <c r="W398" s="299" t="s">
        <v>194</v>
      </c>
      <c r="X398" s="300">
        <v>44705</v>
      </c>
      <c r="Y398" s="299" t="s">
        <v>59</v>
      </c>
      <c r="Z398" s="303">
        <v>176.35909578544062</v>
      </c>
      <c r="AA398" s="305">
        <f>IF(Z398=0,0,IF(Y398="MXN",1/HLOOKUP(YEAR(X398)+(MONTH(X398)/100),TC!$5:$37,DAY(X398)+2,FALSE),VLOOKUP(Y398,Equivalencia!$1:$23,((MAX(Equivalencia!$3:$3)-YEAR(X398))*14)+MONTH(X398)+2,FALSE)))</f>
        <v>1</v>
      </c>
      <c r="AB398" s="306">
        <f t="shared" si="110"/>
        <v>176.35909578544062</v>
      </c>
      <c r="AC398" s="305">
        <f>+IF(X398=0,0,HLOOKUP(YEAR(X398)+(MONTH(X398)/100),TC!$5:$37,DAY(X398)+2,FALSE))</f>
        <v>19.8657</v>
      </c>
      <c r="AD398" s="307">
        <f t="shared" si="111"/>
        <v>3503.4968891448275</v>
      </c>
      <c r="AE398" s="314">
        <f t="shared" si="112"/>
        <v>15525.620417683802</v>
      </c>
      <c r="AF398" s="315">
        <f t="shared" si="113"/>
        <v>-12022.123528538974</v>
      </c>
      <c r="AG398" s="316">
        <f t="shared" si="114"/>
        <v>0.57534246575342463</v>
      </c>
      <c r="AH398" s="314">
        <v>1</v>
      </c>
      <c r="AI398" s="314">
        <f t="shared" si="115"/>
        <v>-12022.123528538974</v>
      </c>
      <c r="AJ398" s="314">
        <f t="shared" si="116"/>
        <v>0</v>
      </c>
      <c r="AK398" s="317"/>
      <c r="AL398" s="315">
        <f t="shared" si="117"/>
        <v>-559.45090421455939</v>
      </c>
      <c r="AN398" s="554">
        <f t="shared" si="118"/>
        <v>-0.76031978936758049</v>
      </c>
      <c r="AO398" s="314"/>
      <c r="AP398" s="318"/>
    </row>
    <row r="399" spans="2:42">
      <c r="B399" s="296" t="s">
        <v>1254</v>
      </c>
      <c r="C399" s="299" t="s">
        <v>277</v>
      </c>
      <c r="D399" s="298" t="s">
        <v>881</v>
      </c>
      <c r="E399" s="299" t="s">
        <v>113</v>
      </c>
      <c r="F399" s="299" t="s">
        <v>59</v>
      </c>
      <c r="G399" s="300">
        <v>44495</v>
      </c>
      <c r="H399" s="303">
        <v>834.61</v>
      </c>
      <c r="I399" s="301" t="str">
        <f t="shared" si="102"/>
        <v>Ingresos Sección II LISR (SIC &amp; BMV)</v>
      </c>
      <c r="J399" s="302">
        <f t="shared" si="103"/>
        <v>15</v>
      </c>
      <c r="K399" s="304">
        <f t="shared" si="104"/>
        <v>55.640666666666668</v>
      </c>
      <c r="L399" s="305">
        <f>IF(H399=0,0,IF(OR(E399=$AT$5,E399=$AT$6),AA399,IF(F399="MXN",1/HLOOKUP(YEAR(G399)+(MONTH(G399)/100),TC!$5:$37,DAY(G399)+2,FALSE),VLOOKUP(F399,Equivalencia!$5:$23,((MAX(Equivalencia!$3:$3)-YEAR(G399))*14)+MONTH(G399)+2,FALSE))))</f>
        <v>1</v>
      </c>
      <c r="M399" s="306">
        <f t="shared" si="105"/>
        <v>834.61</v>
      </c>
      <c r="N399" s="305">
        <f>IF(G399=0,0,(IF(OR(E399=$AT$5,E399=$AT$6),AC399,HLOOKUP(YEAR(G399)+(MONTH(G399)/100),TC!$5:$37,DAY(G399)+2,FALSE))))</f>
        <v>20.183700000000002</v>
      </c>
      <c r="O399" s="307">
        <f t="shared" si="106"/>
        <v>16845.517857000003</v>
      </c>
      <c r="P399" s="560">
        <f>IF(G399=0,0,VLOOKUP(YEAR(G399),INPC!$B$4:$P$30,MONTH(G399)+2))</f>
        <v>115.56100000000001</v>
      </c>
      <c r="Q399" s="560">
        <f>IF(X399=0,0,IF(OR(E399=$AT$10,E399=$AT$9),VLOOKUP(YEAR(X399),INPC!$B$4:$P$30,MONTH(X399)+1),VLOOKUP(YEAR(X399),INPC!$B$4:$P$30,MONTH(X399)+2,0)))</f>
        <v>120.809</v>
      </c>
      <c r="R399" s="309">
        <f t="shared" si="107"/>
        <v>1.0454000000000001</v>
      </c>
      <c r="S399" s="310">
        <f t="shared" si="108"/>
        <v>17610.304367707806</v>
      </c>
      <c r="T399" s="555">
        <f t="shared" si="109"/>
        <v>1174.0202911805204</v>
      </c>
      <c r="U399" s="311"/>
      <c r="V399" s="312">
        <v>15</v>
      </c>
      <c r="W399" s="299" t="s">
        <v>194</v>
      </c>
      <c r="X399" s="300">
        <v>44705</v>
      </c>
      <c r="Y399" s="299" t="s">
        <v>59</v>
      </c>
      <c r="Z399" s="303">
        <v>203.49126436781611</v>
      </c>
      <c r="AA399" s="305">
        <f>IF(Z399=0,0,IF(Y399="MXN",1/HLOOKUP(YEAR(X399)+(MONTH(X399)/100),TC!$5:$37,DAY(X399)+2,FALSE),VLOOKUP(Y399,Equivalencia!$1:$23,((MAX(Equivalencia!$3:$3)-YEAR(X399))*14)+MONTH(X399)+2,FALSE)))</f>
        <v>1</v>
      </c>
      <c r="AB399" s="306">
        <f t="shared" si="110"/>
        <v>203.49126436781611</v>
      </c>
      <c r="AC399" s="305">
        <f>+IF(X399=0,0,HLOOKUP(YEAR(X399)+(MONTH(X399)/100),TC!$5:$37,DAY(X399)+2,FALSE))</f>
        <v>19.8657</v>
      </c>
      <c r="AD399" s="307">
        <f t="shared" si="111"/>
        <v>4042.4964105517247</v>
      </c>
      <c r="AE399" s="314">
        <f t="shared" si="112"/>
        <v>17610.304367707806</v>
      </c>
      <c r="AF399" s="315">
        <f t="shared" si="113"/>
        <v>-13567.807957156081</v>
      </c>
      <c r="AG399" s="316">
        <f t="shared" si="114"/>
        <v>0.57534246575342463</v>
      </c>
      <c r="AH399" s="314">
        <v>1</v>
      </c>
      <c r="AI399" s="314">
        <f t="shared" si="115"/>
        <v>-13567.807957156081</v>
      </c>
      <c r="AJ399" s="314">
        <f t="shared" si="116"/>
        <v>0</v>
      </c>
      <c r="AK399" s="317"/>
      <c r="AL399" s="315">
        <f t="shared" si="117"/>
        <v>-631.11873563218387</v>
      </c>
      <c r="AN399" s="554">
        <f t="shared" si="118"/>
        <v>-0.75618400885705161</v>
      </c>
      <c r="AO399" s="314"/>
      <c r="AP399" s="318"/>
    </row>
    <row r="400" spans="2:42">
      <c r="B400" s="296" t="s">
        <v>1254</v>
      </c>
      <c r="C400" s="299" t="s">
        <v>277</v>
      </c>
      <c r="D400" s="298" t="s">
        <v>881</v>
      </c>
      <c r="E400" s="299" t="s">
        <v>113</v>
      </c>
      <c r="F400" s="299" t="s">
        <v>59</v>
      </c>
      <c r="G400" s="300">
        <v>44495</v>
      </c>
      <c r="H400" s="303">
        <v>1220.74</v>
      </c>
      <c r="I400" s="301" t="str">
        <f t="shared" si="102"/>
        <v>Ingresos Sección II LISR (SIC &amp; BMV)</v>
      </c>
      <c r="J400" s="302">
        <f t="shared" si="103"/>
        <v>22</v>
      </c>
      <c r="K400" s="304">
        <f t="shared" si="104"/>
        <v>55.488181818181822</v>
      </c>
      <c r="L400" s="305">
        <f>IF(H400=0,0,IF(OR(E400=$AT$5,E400=$AT$6),AA400,IF(F400="MXN",1/HLOOKUP(YEAR(G400)+(MONTH(G400)/100),TC!$5:$37,DAY(G400)+2,FALSE),VLOOKUP(F400,Equivalencia!$5:$23,((MAX(Equivalencia!$3:$3)-YEAR(G400))*14)+MONTH(G400)+2,FALSE))))</f>
        <v>1</v>
      </c>
      <c r="M400" s="306">
        <f t="shared" si="105"/>
        <v>1220.74</v>
      </c>
      <c r="N400" s="305">
        <f>IF(G400=0,0,(IF(OR(E400=$AT$5,E400=$AT$6),AC400,HLOOKUP(YEAR(G400)+(MONTH(G400)/100),TC!$5:$37,DAY(G400)+2,FALSE))))</f>
        <v>20.183700000000002</v>
      </c>
      <c r="O400" s="307">
        <f t="shared" si="106"/>
        <v>24639.049938000004</v>
      </c>
      <c r="P400" s="560">
        <f>IF(G400=0,0,VLOOKUP(YEAR(G400),INPC!$B$4:$P$30,MONTH(G400)+2))</f>
        <v>115.56100000000001</v>
      </c>
      <c r="Q400" s="560">
        <f>IF(X400=0,0,IF(OR(E400=$AT$10,E400=$AT$9),VLOOKUP(YEAR(X400),INPC!$B$4:$P$30,MONTH(X400)+1),VLOOKUP(YEAR(X400),INPC!$B$4:$P$30,MONTH(X400)+2,0)))</f>
        <v>120.809</v>
      </c>
      <c r="R400" s="309">
        <f t="shared" si="107"/>
        <v>1.0454000000000001</v>
      </c>
      <c r="S400" s="310">
        <f t="shared" si="108"/>
        <v>25757.662805185206</v>
      </c>
      <c r="T400" s="555">
        <f t="shared" si="109"/>
        <v>1170.8028547811457</v>
      </c>
      <c r="U400" s="311"/>
      <c r="V400" s="312">
        <v>22</v>
      </c>
      <c r="W400" s="299" t="s">
        <v>194</v>
      </c>
      <c r="X400" s="300">
        <v>44705</v>
      </c>
      <c r="Y400" s="299" t="s">
        <v>59</v>
      </c>
      <c r="Z400" s="303">
        <v>298.45385440613029</v>
      </c>
      <c r="AA400" s="305">
        <f>IF(Z400=0,0,IF(Y400="MXN",1/HLOOKUP(YEAR(X400)+(MONTH(X400)/100),TC!$5:$37,DAY(X400)+2,FALSE),VLOOKUP(Y400,Equivalencia!$1:$23,((MAX(Equivalencia!$3:$3)-YEAR(X400))*14)+MONTH(X400)+2,FALSE)))</f>
        <v>1</v>
      </c>
      <c r="AB400" s="306">
        <f t="shared" si="110"/>
        <v>298.45385440613029</v>
      </c>
      <c r="AC400" s="305">
        <f>+IF(X400=0,0,HLOOKUP(YEAR(X400)+(MONTH(X400)/100),TC!$5:$37,DAY(X400)+2,FALSE))</f>
        <v>19.8657</v>
      </c>
      <c r="AD400" s="307">
        <f t="shared" si="111"/>
        <v>5928.9947354758624</v>
      </c>
      <c r="AE400" s="314">
        <f t="shared" si="112"/>
        <v>25757.662805185206</v>
      </c>
      <c r="AF400" s="315">
        <f t="shared" si="113"/>
        <v>-19828.668069709343</v>
      </c>
      <c r="AG400" s="316">
        <f t="shared" si="114"/>
        <v>0.57534246575342463</v>
      </c>
      <c r="AH400" s="314">
        <v>1</v>
      </c>
      <c r="AI400" s="314">
        <f t="shared" si="115"/>
        <v>-19828.668069709343</v>
      </c>
      <c r="AJ400" s="314">
        <f t="shared" si="116"/>
        <v>0</v>
      </c>
      <c r="AK400" s="317"/>
      <c r="AL400" s="315">
        <f t="shared" si="117"/>
        <v>-922.28614559386972</v>
      </c>
      <c r="AN400" s="554">
        <f t="shared" si="118"/>
        <v>-0.75551398790395141</v>
      </c>
      <c r="AO400" s="314"/>
      <c r="AP400" s="318"/>
    </row>
    <row r="401" spans="2:42">
      <c r="B401" s="296" t="s">
        <v>1254</v>
      </c>
      <c r="C401" s="299" t="s">
        <v>277</v>
      </c>
      <c r="D401" s="298" t="s">
        <v>881</v>
      </c>
      <c r="E401" s="299" t="s">
        <v>113</v>
      </c>
      <c r="F401" s="299" t="s">
        <v>59</v>
      </c>
      <c r="G401" s="300">
        <v>44495</v>
      </c>
      <c r="H401" s="303">
        <v>1714.58</v>
      </c>
      <c r="I401" s="301" t="str">
        <f t="shared" si="102"/>
        <v>Ingresos Sección II LISR (SIC &amp; BMV)</v>
      </c>
      <c r="J401" s="302">
        <f t="shared" si="103"/>
        <v>31</v>
      </c>
      <c r="K401" s="304">
        <f t="shared" si="104"/>
        <v>55.309032258064512</v>
      </c>
      <c r="L401" s="305">
        <f>IF(H401=0,0,IF(OR(E401=$AT$5,E401=$AT$6),AA401,IF(F401="MXN",1/HLOOKUP(YEAR(G401)+(MONTH(G401)/100),TC!$5:$37,DAY(G401)+2,FALSE),VLOOKUP(F401,Equivalencia!$5:$23,((MAX(Equivalencia!$3:$3)-YEAR(G401))*14)+MONTH(G401)+2,FALSE))))</f>
        <v>1</v>
      </c>
      <c r="M401" s="306">
        <f t="shared" si="105"/>
        <v>1714.58</v>
      </c>
      <c r="N401" s="305">
        <f>IF(G401=0,0,(IF(OR(E401=$AT$5,E401=$AT$6),AC401,HLOOKUP(YEAR(G401)+(MONTH(G401)/100),TC!$5:$37,DAY(G401)+2,FALSE))))</f>
        <v>20.183700000000002</v>
      </c>
      <c r="O401" s="307">
        <f t="shared" si="106"/>
        <v>34606.568346</v>
      </c>
      <c r="P401" s="560">
        <f>IF(G401=0,0,VLOOKUP(YEAR(G401),INPC!$B$4:$P$30,MONTH(G401)+2))</f>
        <v>115.56100000000001</v>
      </c>
      <c r="Q401" s="560">
        <f>IF(X401=0,0,IF(OR(E401=$AT$10,E401=$AT$9),VLOOKUP(YEAR(X401),INPC!$B$4:$P$30,MONTH(X401)+1),VLOOKUP(YEAR(X401),INPC!$B$4:$P$30,MONTH(X401)+2,0)))</f>
        <v>120.809</v>
      </c>
      <c r="R401" s="309">
        <f t="shared" si="107"/>
        <v>1.0454000000000001</v>
      </c>
      <c r="S401" s="310">
        <f t="shared" si="108"/>
        <v>36177.706548908405</v>
      </c>
      <c r="T401" s="555">
        <f t="shared" si="109"/>
        <v>1167.0227919002712</v>
      </c>
      <c r="U401" s="311"/>
      <c r="V401" s="312">
        <v>31</v>
      </c>
      <c r="W401" s="299" t="s">
        <v>194</v>
      </c>
      <c r="X401" s="300">
        <v>44705</v>
      </c>
      <c r="Y401" s="299" t="s">
        <v>59</v>
      </c>
      <c r="Z401" s="303">
        <v>420.54861302681996</v>
      </c>
      <c r="AA401" s="305">
        <f>IF(Z401=0,0,IF(Y401="MXN",1/HLOOKUP(YEAR(X401)+(MONTH(X401)/100),TC!$5:$37,DAY(X401)+2,FALSE),VLOOKUP(Y401,Equivalencia!$1:$23,((MAX(Equivalencia!$3:$3)-YEAR(X401))*14)+MONTH(X401)+2,FALSE)))</f>
        <v>1</v>
      </c>
      <c r="AB401" s="306">
        <f t="shared" si="110"/>
        <v>420.54861302681996</v>
      </c>
      <c r="AC401" s="305">
        <f>+IF(X401=0,0,HLOOKUP(YEAR(X401)+(MONTH(X401)/100),TC!$5:$37,DAY(X401)+2,FALSE))</f>
        <v>19.8657</v>
      </c>
      <c r="AD401" s="307">
        <f t="shared" si="111"/>
        <v>8354.4925818068969</v>
      </c>
      <c r="AE401" s="314">
        <f t="shared" si="112"/>
        <v>36177.706548908405</v>
      </c>
      <c r="AF401" s="315">
        <f t="shared" si="113"/>
        <v>-27823.21396710151</v>
      </c>
      <c r="AG401" s="316">
        <f t="shared" si="114"/>
        <v>0.57534246575342463</v>
      </c>
      <c r="AH401" s="314">
        <v>1</v>
      </c>
      <c r="AI401" s="314">
        <f t="shared" si="115"/>
        <v>-27823.21396710151</v>
      </c>
      <c r="AJ401" s="314">
        <f t="shared" si="116"/>
        <v>0</v>
      </c>
      <c r="AK401" s="317"/>
      <c r="AL401" s="315">
        <f t="shared" si="117"/>
        <v>-1294.0313869731799</v>
      </c>
      <c r="AN401" s="554">
        <f t="shared" si="118"/>
        <v>-0.7547220817769833</v>
      </c>
      <c r="AO401" s="314"/>
      <c r="AP401" s="318"/>
    </row>
    <row r="402" spans="2:42">
      <c r="B402" s="296" t="s">
        <v>1254</v>
      </c>
      <c r="C402" s="299" t="s">
        <v>277</v>
      </c>
      <c r="D402" s="298" t="s">
        <v>881</v>
      </c>
      <c r="E402" s="299" t="s">
        <v>113</v>
      </c>
      <c r="F402" s="299" t="s">
        <v>59</v>
      </c>
      <c r="G402" s="300">
        <v>44495</v>
      </c>
      <c r="H402" s="303">
        <v>2678.39</v>
      </c>
      <c r="I402" s="301" t="str">
        <f t="shared" si="102"/>
        <v>Ingresos Sección II LISR (SIC &amp; BMV)</v>
      </c>
      <c r="J402" s="302">
        <f t="shared" si="103"/>
        <v>48</v>
      </c>
      <c r="K402" s="304">
        <f t="shared" si="104"/>
        <v>55.799791666666664</v>
      </c>
      <c r="L402" s="305">
        <f>IF(H402=0,0,IF(OR(E402=$AT$5,E402=$AT$6),AA402,IF(F402="MXN",1/HLOOKUP(YEAR(G402)+(MONTH(G402)/100),TC!$5:$37,DAY(G402)+2,FALSE),VLOOKUP(F402,Equivalencia!$5:$23,((MAX(Equivalencia!$3:$3)-YEAR(G402))*14)+MONTH(G402)+2,FALSE))))</f>
        <v>1</v>
      </c>
      <c r="M402" s="306">
        <f t="shared" si="105"/>
        <v>2678.39</v>
      </c>
      <c r="N402" s="305">
        <f>IF(G402=0,0,(IF(OR(E402=$AT$5,E402=$AT$6),AC402,HLOOKUP(YEAR(G402)+(MONTH(G402)/100),TC!$5:$37,DAY(G402)+2,FALSE))))</f>
        <v>20.183700000000002</v>
      </c>
      <c r="O402" s="307">
        <f t="shared" si="106"/>
        <v>54059.820243000002</v>
      </c>
      <c r="P402" s="560">
        <f>IF(G402=0,0,VLOOKUP(YEAR(G402),INPC!$B$4:$P$30,MONTH(G402)+2))</f>
        <v>115.56100000000001</v>
      </c>
      <c r="Q402" s="560">
        <f>IF(X402=0,0,IF(OR(E402=$AT$10,E402=$AT$9),VLOOKUP(YEAR(X402),INPC!$B$4:$P$30,MONTH(X402)+1),VLOOKUP(YEAR(X402),INPC!$B$4:$P$30,MONTH(X402)+2,0)))</f>
        <v>120.809</v>
      </c>
      <c r="R402" s="309">
        <f t="shared" si="107"/>
        <v>1.0454000000000001</v>
      </c>
      <c r="S402" s="310">
        <f t="shared" si="108"/>
        <v>56514.136082032208</v>
      </c>
      <c r="T402" s="555">
        <f t="shared" si="109"/>
        <v>1177.3778350423377</v>
      </c>
      <c r="U402" s="311"/>
      <c r="V402" s="312">
        <v>48</v>
      </c>
      <c r="W402" s="299" t="s">
        <v>194</v>
      </c>
      <c r="X402" s="300">
        <v>44705</v>
      </c>
      <c r="Y402" s="299" t="s">
        <v>59</v>
      </c>
      <c r="Z402" s="303">
        <v>651.17204597701152</v>
      </c>
      <c r="AA402" s="305">
        <f>IF(Z402=0,0,IF(Y402="MXN",1/HLOOKUP(YEAR(X402)+(MONTH(X402)/100),TC!$5:$37,DAY(X402)+2,FALSE),VLOOKUP(Y402,Equivalencia!$1:$23,((MAX(Equivalencia!$3:$3)-YEAR(X402))*14)+MONTH(X402)+2,FALSE)))</f>
        <v>1</v>
      </c>
      <c r="AB402" s="306">
        <f t="shared" si="110"/>
        <v>651.17204597701152</v>
      </c>
      <c r="AC402" s="305">
        <f>+IF(X402=0,0,HLOOKUP(YEAR(X402)+(MONTH(X402)/100),TC!$5:$37,DAY(X402)+2,FALSE))</f>
        <v>19.8657</v>
      </c>
      <c r="AD402" s="307">
        <f t="shared" si="111"/>
        <v>12935.988513765518</v>
      </c>
      <c r="AE402" s="314">
        <f t="shared" si="112"/>
        <v>56514.136082032208</v>
      </c>
      <c r="AF402" s="315">
        <f t="shared" si="113"/>
        <v>-43578.147568266693</v>
      </c>
      <c r="AG402" s="316">
        <f t="shared" si="114"/>
        <v>0.57534246575342463</v>
      </c>
      <c r="AH402" s="314">
        <v>1</v>
      </c>
      <c r="AI402" s="314">
        <f t="shared" si="115"/>
        <v>-43578.147568266693</v>
      </c>
      <c r="AJ402" s="314">
        <f t="shared" si="116"/>
        <v>0</v>
      </c>
      <c r="AK402" s="317"/>
      <c r="AL402" s="315">
        <f t="shared" si="117"/>
        <v>-2027.2179540229884</v>
      </c>
      <c r="AN402" s="554">
        <f t="shared" si="118"/>
        <v>-0.75687930212664645</v>
      </c>
      <c r="AO402" s="314"/>
      <c r="AP402" s="318"/>
    </row>
    <row r="403" spans="2:42">
      <c r="B403" s="296" t="s">
        <v>1254</v>
      </c>
      <c r="C403" s="299" t="s">
        <v>277</v>
      </c>
      <c r="D403" s="298" t="s">
        <v>881</v>
      </c>
      <c r="E403" s="299" t="s">
        <v>113</v>
      </c>
      <c r="F403" s="299" t="s">
        <v>59</v>
      </c>
      <c r="G403" s="300">
        <v>44495</v>
      </c>
      <c r="H403" s="303">
        <v>8663.83</v>
      </c>
      <c r="I403" s="301" t="str">
        <f t="shared" si="102"/>
        <v>Ingresos Sección II LISR (SIC &amp; BMV)</v>
      </c>
      <c r="J403" s="302">
        <f t="shared" si="103"/>
        <v>155</v>
      </c>
      <c r="K403" s="304">
        <f t="shared" si="104"/>
        <v>55.89567741935484</v>
      </c>
      <c r="L403" s="305">
        <f>IF(H403=0,0,IF(OR(E403=$AT$5,E403=$AT$6),AA403,IF(F403="MXN",1/HLOOKUP(YEAR(G403)+(MONTH(G403)/100),TC!$5:$37,DAY(G403)+2,FALSE),VLOOKUP(F403,Equivalencia!$5:$23,((MAX(Equivalencia!$3:$3)-YEAR(G403))*14)+MONTH(G403)+2,FALSE))))</f>
        <v>1</v>
      </c>
      <c r="M403" s="306">
        <f t="shared" si="105"/>
        <v>8663.83</v>
      </c>
      <c r="N403" s="305">
        <f>IF(G403=0,0,(IF(OR(E403=$AT$5,E403=$AT$6),AC403,HLOOKUP(YEAR(G403)+(MONTH(G403)/100),TC!$5:$37,DAY(G403)+2,FALSE))))</f>
        <v>20.183700000000002</v>
      </c>
      <c r="O403" s="307">
        <f t="shared" si="106"/>
        <v>174868.145571</v>
      </c>
      <c r="P403" s="560">
        <f>IF(G403=0,0,VLOOKUP(YEAR(G403),INPC!$B$4:$P$30,MONTH(G403)+2))</f>
        <v>115.56100000000001</v>
      </c>
      <c r="Q403" s="560">
        <f>IF(X403=0,0,IF(OR(E403=$AT$10,E403=$AT$9),VLOOKUP(YEAR(X403),INPC!$B$4:$P$30,MONTH(X403)+1),VLOOKUP(YEAR(X403),INPC!$B$4:$P$30,MONTH(X403)+2,0)))</f>
        <v>120.809</v>
      </c>
      <c r="R403" s="309">
        <f t="shared" si="107"/>
        <v>1.0454000000000001</v>
      </c>
      <c r="S403" s="310">
        <f t="shared" si="108"/>
        <v>182807.15937992343</v>
      </c>
      <c r="T403" s="555">
        <f t="shared" si="109"/>
        <v>1179.4010282575705</v>
      </c>
      <c r="U403" s="311"/>
      <c r="V403" s="312">
        <v>155</v>
      </c>
      <c r="W403" s="299" t="s">
        <v>194</v>
      </c>
      <c r="X403" s="300">
        <v>44705</v>
      </c>
      <c r="Y403" s="299" t="s">
        <v>59</v>
      </c>
      <c r="Z403" s="303">
        <v>2102.7430651340997</v>
      </c>
      <c r="AA403" s="305">
        <f>IF(Z403=0,0,IF(Y403="MXN",1/HLOOKUP(YEAR(X403)+(MONTH(X403)/100),TC!$5:$37,DAY(X403)+2,FALSE),VLOOKUP(Y403,Equivalencia!$1:$23,((MAX(Equivalencia!$3:$3)-YEAR(X403))*14)+MONTH(X403)+2,FALSE)))</f>
        <v>1</v>
      </c>
      <c r="AB403" s="306">
        <f t="shared" si="110"/>
        <v>2102.7430651340997</v>
      </c>
      <c r="AC403" s="305">
        <f>+IF(X403=0,0,HLOOKUP(YEAR(X403)+(MONTH(X403)/100),TC!$5:$37,DAY(X403)+2,FALSE))</f>
        <v>19.8657</v>
      </c>
      <c r="AD403" s="307">
        <f t="shared" si="111"/>
        <v>41772.462909034482</v>
      </c>
      <c r="AE403" s="314">
        <f t="shared" si="112"/>
        <v>182807.15937992343</v>
      </c>
      <c r="AF403" s="315">
        <f t="shared" si="113"/>
        <v>-141034.69647088894</v>
      </c>
      <c r="AG403" s="316">
        <f t="shared" si="114"/>
        <v>0.57534246575342463</v>
      </c>
      <c r="AH403" s="314">
        <v>1</v>
      </c>
      <c r="AI403" s="314">
        <f t="shared" si="115"/>
        <v>-141034.69647088894</v>
      </c>
      <c r="AJ403" s="314">
        <f t="shared" si="116"/>
        <v>0</v>
      </c>
      <c r="AK403" s="317"/>
      <c r="AL403" s="315">
        <f t="shared" si="117"/>
        <v>-6561.0869348658998</v>
      </c>
      <c r="AN403" s="554">
        <f t="shared" si="118"/>
        <v>-0.75729636140897272</v>
      </c>
      <c r="AO403" s="314"/>
      <c r="AP403" s="318"/>
    </row>
    <row r="404" spans="2:42">
      <c r="B404" s="296" t="s">
        <v>1254</v>
      </c>
      <c r="C404" s="299" t="s">
        <v>277</v>
      </c>
      <c r="D404" s="298" t="s">
        <v>881</v>
      </c>
      <c r="E404" s="299" t="s">
        <v>113</v>
      </c>
      <c r="F404" s="299" t="s">
        <v>59</v>
      </c>
      <c r="G404" s="300">
        <v>44523</v>
      </c>
      <c r="H404" s="303">
        <v>8764.31</v>
      </c>
      <c r="I404" s="301" t="str">
        <f t="shared" si="102"/>
        <v>Ingresos Sección II LISR (SIC &amp; BMV)</v>
      </c>
      <c r="J404" s="302">
        <f t="shared" si="103"/>
        <v>168</v>
      </c>
      <c r="K404" s="304">
        <f t="shared" si="104"/>
        <v>52.1685119047619</v>
      </c>
      <c r="L404" s="305">
        <f>IF(H404=0,0,IF(OR(E404=$AT$5,E404=$AT$6),AA404,IF(F404="MXN",1/HLOOKUP(YEAR(G404)+(MONTH(G404)/100),TC!$5:$37,DAY(G404)+2,FALSE),VLOOKUP(F404,Equivalencia!$5:$23,((MAX(Equivalencia!$3:$3)-YEAR(G404))*14)+MONTH(G404)+2,FALSE))))</f>
        <v>1</v>
      </c>
      <c r="M404" s="306">
        <f t="shared" si="105"/>
        <v>8764.31</v>
      </c>
      <c r="N404" s="305">
        <f>IF(G404=0,0,(IF(OR(E404=$AT$5,E404=$AT$6),AC404,HLOOKUP(YEAR(G404)+(MONTH(G404)/100),TC!$5:$37,DAY(G404)+2,FALSE))))</f>
        <v>20.828299999999999</v>
      </c>
      <c r="O404" s="307">
        <f t="shared" si="106"/>
        <v>182545.67797299998</v>
      </c>
      <c r="P404" s="560">
        <f>IF(G404=0,0,VLOOKUP(YEAR(G404),INPC!$B$4:$P$30,MONTH(G404)+2))</f>
        <v>116.884</v>
      </c>
      <c r="Q404" s="560">
        <f>IF(X404=0,0,IF(OR(E404=$AT$10,E404=$AT$9),VLOOKUP(YEAR(X404),INPC!$B$4:$P$30,MONTH(X404)+1),VLOOKUP(YEAR(X404),INPC!$B$4:$P$30,MONTH(X404)+2,0)))</f>
        <v>120.809</v>
      </c>
      <c r="R404" s="309">
        <f t="shared" si="107"/>
        <v>1.0335000000000001</v>
      </c>
      <c r="S404" s="310">
        <f t="shared" si="108"/>
        <v>188660.95818509549</v>
      </c>
      <c r="T404" s="555">
        <f t="shared" si="109"/>
        <v>1122.9818939589018</v>
      </c>
      <c r="U404" s="311"/>
      <c r="V404" s="312">
        <v>168</v>
      </c>
      <c r="W404" s="299" t="s">
        <v>194</v>
      </c>
      <c r="X404" s="300">
        <v>44705</v>
      </c>
      <c r="Y404" s="299" t="s">
        <v>59</v>
      </c>
      <c r="Z404" s="303">
        <v>2279.1021609195404</v>
      </c>
      <c r="AA404" s="305">
        <f>IF(Z404=0,0,IF(Y404="MXN",1/HLOOKUP(YEAR(X404)+(MONTH(X404)/100),TC!$5:$37,DAY(X404)+2,FALSE),VLOOKUP(Y404,Equivalencia!$1:$23,((MAX(Equivalencia!$3:$3)-YEAR(X404))*14)+MONTH(X404)+2,FALSE)))</f>
        <v>1</v>
      </c>
      <c r="AB404" s="306">
        <f t="shared" si="110"/>
        <v>2279.1021609195404</v>
      </c>
      <c r="AC404" s="305">
        <f>+IF(X404=0,0,HLOOKUP(YEAR(X404)+(MONTH(X404)/100),TC!$5:$37,DAY(X404)+2,FALSE))</f>
        <v>19.8657</v>
      </c>
      <c r="AD404" s="307">
        <f t="shared" si="111"/>
        <v>45275.959798179312</v>
      </c>
      <c r="AE404" s="314">
        <f t="shared" si="112"/>
        <v>188660.95818509549</v>
      </c>
      <c r="AF404" s="315">
        <f t="shared" si="113"/>
        <v>-143384.99838691618</v>
      </c>
      <c r="AG404" s="316">
        <f t="shared" si="114"/>
        <v>0.49863013698630138</v>
      </c>
      <c r="AH404" s="314">
        <v>1</v>
      </c>
      <c r="AI404" s="314">
        <f t="shared" si="115"/>
        <v>-143384.99838691618</v>
      </c>
      <c r="AJ404" s="314">
        <f t="shared" si="116"/>
        <v>0</v>
      </c>
      <c r="AK404" s="317"/>
      <c r="AL404" s="315">
        <f t="shared" si="117"/>
        <v>-6485.2078390804591</v>
      </c>
      <c r="AN404" s="554">
        <f t="shared" si="118"/>
        <v>-0.7399564642373968</v>
      </c>
      <c r="AO404" s="314"/>
      <c r="AP404" s="318"/>
    </row>
    <row r="405" spans="2:42">
      <c r="B405" s="296" t="s">
        <v>1254</v>
      </c>
      <c r="C405" s="299" t="s">
        <v>277</v>
      </c>
      <c r="D405" s="298" t="s">
        <v>881</v>
      </c>
      <c r="E405" s="299" t="s">
        <v>113</v>
      </c>
      <c r="F405" s="299" t="s">
        <v>59</v>
      </c>
      <c r="G405" s="300">
        <v>44523</v>
      </c>
      <c r="H405" s="303">
        <v>49.25</v>
      </c>
      <c r="I405" s="301" t="str">
        <f t="shared" si="102"/>
        <v>Ingresos Sección II LISR (SIC &amp; BMV)</v>
      </c>
      <c r="J405" s="302">
        <f t="shared" si="103"/>
        <v>1</v>
      </c>
      <c r="K405" s="304">
        <f t="shared" si="104"/>
        <v>49.25</v>
      </c>
      <c r="L405" s="305">
        <f>IF(H405=0,0,IF(OR(E405=$AT$5,E405=$AT$6),AA405,IF(F405="MXN",1/HLOOKUP(YEAR(G405)+(MONTH(G405)/100),TC!$5:$37,DAY(G405)+2,FALSE),VLOOKUP(F405,Equivalencia!$5:$23,((MAX(Equivalencia!$3:$3)-YEAR(G405))*14)+MONTH(G405)+2,FALSE))))</f>
        <v>1</v>
      </c>
      <c r="M405" s="306">
        <f t="shared" si="105"/>
        <v>49.25</v>
      </c>
      <c r="N405" s="305">
        <f>IF(G405=0,0,(IF(OR(E405=$AT$5,E405=$AT$6),AC405,HLOOKUP(YEAR(G405)+(MONTH(G405)/100),TC!$5:$37,DAY(G405)+2,FALSE))))</f>
        <v>20.828299999999999</v>
      </c>
      <c r="O405" s="307">
        <f t="shared" si="106"/>
        <v>1025.7937749999999</v>
      </c>
      <c r="P405" s="560">
        <f>IF(G405=0,0,VLOOKUP(YEAR(G405),INPC!$B$4:$P$30,MONTH(G405)+2))</f>
        <v>116.884</v>
      </c>
      <c r="Q405" s="560">
        <f>IF(X405=0,0,IF(OR(E405=$AT$10,E405=$AT$9),VLOOKUP(YEAR(X405),INPC!$B$4:$P$30,MONTH(X405)+1),VLOOKUP(YEAR(X405),INPC!$B$4:$P$30,MONTH(X405)+2,0)))</f>
        <v>120.809</v>
      </c>
      <c r="R405" s="309">
        <f t="shared" si="107"/>
        <v>1.0335000000000001</v>
      </c>
      <c r="S405" s="310">
        <f t="shared" si="108"/>
        <v>1060.1578664624999</v>
      </c>
      <c r="T405" s="555">
        <f t="shared" si="109"/>
        <v>1060.1578664624999</v>
      </c>
      <c r="U405" s="311"/>
      <c r="V405" s="312">
        <v>1</v>
      </c>
      <c r="W405" s="299" t="s">
        <v>194</v>
      </c>
      <c r="X405" s="300">
        <v>44705</v>
      </c>
      <c r="Y405" s="299" t="s">
        <v>59</v>
      </c>
      <c r="Z405" s="303">
        <v>13.566084291187741</v>
      </c>
      <c r="AA405" s="305">
        <f>IF(Z405=0,0,IF(Y405="MXN",1/HLOOKUP(YEAR(X405)+(MONTH(X405)/100),TC!$5:$37,DAY(X405)+2,FALSE),VLOOKUP(Y405,Equivalencia!$1:$23,((MAX(Equivalencia!$3:$3)-YEAR(X405))*14)+MONTH(X405)+2,FALSE)))</f>
        <v>1</v>
      </c>
      <c r="AB405" s="306">
        <f t="shared" si="110"/>
        <v>13.566084291187741</v>
      </c>
      <c r="AC405" s="305">
        <f>+IF(X405=0,0,HLOOKUP(YEAR(X405)+(MONTH(X405)/100),TC!$5:$37,DAY(X405)+2,FALSE))</f>
        <v>19.8657</v>
      </c>
      <c r="AD405" s="307">
        <f t="shared" si="111"/>
        <v>269.49976070344832</v>
      </c>
      <c r="AE405" s="314">
        <f t="shared" si="112"/>
        <v>1060.1578664624999</v>
      </c>
      <c r="AF405" s="315">
        <f t="shared" si="113"/>
        <v>-790.65810575905152</v>
      </c>
      <c r="AG405" s="316">
        <f t="shared" si="114"/>
        <v>0.49863013698630138</v>
      </c>
      <c r="AH405" s="314">
        <v>1</v>
      </c>
      <c r="AI405" s="314">
        <f t="shared" si="115"/>
        <v>-790.65810575905152</v>
      </c>
      <c r="AJ405" s="314">
        <f t="shared" si="116"/>
        <v>0</v>
      </c>
      <c r="AK405" s="317"/>
      <c r="AL405" s="315">
        <f t="shared" si="117"/>
        <v>-35.683915708812258</v>
      </c>
      <c r="AN405" s="554">
        <f t="shared" si="118"/>
        <v>-0.72454651185405594</v>
      </c>
      <c r="AO405" s="314"/>
      <c r="AP405" s="318"/>
    </row>
    <row r="406" spans="2:42">
      <c r="B406" s="296" t="s">
        <v>1254</v>
      </c>
      <c r="C406" s="299" t="s">
        <v>277</v>
      </c>
      <c r="D406" s="298" t="s">
        <v>881</v>
      </c>
      <c r="E406" s="299" t="s">
        <v>113</v>
      </c>
      <c r="F406" s="299" t="s">
        <v>59</v>
      </c>
      <c r="G406" s="300">
        <v>44523</v>
      </c>
      <c r="H406" s="303">
        <v>1767.63</v>
      </c>
      <c r="I406" s="301" t="str">
        <f t="shared" si="102"/>
        <v>Ingresos Sección II LISR (SIC &amp; BMV)</v>
      </c>
      <c r="J406" s="302">
        <f t="shared" si="103"/>
        <v>35</v>
      </c>
      <c r="K406" s="304">
        <f t="shared" si="104"/>
        <v>50.503714285714288</v>
      </c>
      <c r="L406" s="305">
        <f>IF(H406=0,0,IF(OR(E406=$AT$5,E406=$AT$6),AA406,IF(F406="MXN",1/HLOOKUP(YEAR(G406)+(MONTH(G406)/100),TC!$5:$37,DAY(G406)+2,FALSE),VLOOKUP(F406,Equivalencia!$5:$23,((MAX(Equivalencia!$3:$3)-YEAR(G406))*14)+MONTH(G406)+2,FALSE))))</f>
        <v>1</v>
      </c>
      <c r="M406" s="306">
        <f t="shared" si="105"/>
        <v>1767.63</v>
      </c>
      <c r="N406" s="305">
        <f>IF(G406=0,0,(IF(OR(E406=$AT$5,E406=$AT$6),AC406,HLOOKUP(YEAR(G406)+(MONTH(G406)/100),TC!$5:$37,DAY(G406)+2,FALSE))))</f>
        <v>20.828299999999999</v>
      </c>
      <c r="O406" s="307">
        <f t="shared" si="106"/>
        <v>36816.727929000001</v>
      </c>
      <c r="P406" s="560">
        <f>IF(G406=0,0,VLOOKUP(YEAR(G406),INPC!$B$4:$P$30,MONTH(G406)+2))</f>
        <v>116.884</v>
      </c>
      <c r="Q406" s="560">
        <f>IF(X406=0,0,IF(OR(E406=$AT$10,E406=$AT$9),VLOOKUP(YEAR(X406),INPC!$B$4:$P$30,MONTH(X406)+1),VLOOKUP(YEAR(X406),INPC!$B$4:$P$30,MONTH(X406)+2,0)))</f>
        <v>120.809</v>
      </c>
      <c r="R406" s="309">
        <f t="shared" si="107"/>
        <v>1.0335000000000001</v>
      </c>
      <c r="S406" s="310">
        <f t="shared" si="108"/>
        <v>38050.088314621506</v>
      </c>
      <c r="T406" s="555">
        <f t="shared" si="109"/>
        <v>1087.1453804177572</v>
      </c>
      <c r="U406" s="311"/>
      <c r="V406" s="312">
        <v>35</v>
      </c>
      <c r="W406" s="299" t="s">
        <v>194</v>
      </c>
      <c r="X406" s="300">
        <v>44705</v>
      </c>
      <c r="Y406" s="299" t="s">
        <v>59</v>
      </c>
      <c r="Z406" s="303">
        <v>474.81295019157091</v>
      </c>
      <c r="AA406" s="305">
        <f>IF(Z406=0,0,IF(Y406="MXN",1/HLOOKUP(YEAR(X406)+(MONTH(X406)/100),TC!$5:$37,DAY(X406)+2,FALSE),VLOOKUP(Y406,Equivalencia!$1:$23,((MAX(Equivalencia!$3:$3)-YEAR(X406))*14)+MONTH(X406)+2,FALSE)))</f>
        <v>1</v>
      </c>
      <c r="AB406" s="306">
        <f t="shared" si="110"/>
        <v>474.81295019157091</v>
      </c>
      <c r="AC406" s="305">
        <f>+IF(X406=0,0,HLOOKUP(YEAR(X406)+(MONTH(X406)/100),TC!$5:$37,DAY(X406)+2,FALSE))</f>
        <v>19.8657</v>
      </c>
      <c r="AD406" s="307">
        <f t="shared" si="111"/>
        <v>9432.4916246206903</v>
      </c>
      <c r="AE406" s="314">
        <f t="shared" si="112"/>
        <v>38050.088314621506</v>
      </c>
      <c r="AF406" s="315">
        <f t="shared" si="113"/>
        <v>-28617.596690000813</v>
      </c>
      <c r="AG406" s="316">
        <f t="shared" si="114"/>
        <v>0.49863013698630138</v>
      </c>
      <c r="AH406" s="314">
        <v>1</v>
      </c>
      <c r="AI406" s="314">
        <f t="shared" si="115"/>
        <v>-28617.596690000813</v>
      </c>
      <c r="AJ406" s="314">
        <f t="shared" si="116"/>
        <v>0</v>
      </c>
      <c r="AK406" s="317"/>
      <c r="AL406" s="315">
        <f t="shared" si="117"/>
        <v>-1292.8170498084291</v>
      </c>
      <c r="AN406" s="554">
        <f t="shared" si="118"/>
        <v>-0.731384424233821</v>
      </c>
      <c r="AO406" s="314"/>
      <c r="AP406" s="318"/>
    </row>
    <row r="407" spans="2:42">
      <c r="B407" s="296" t="s">
        <v>1254</v>
      </c>
      <c r="C407" s="299" t="s">
        <v>277</v>
      </c>
      <c r="D407" s="298" t="s">
        <v>881</v>
      </c>
      <c r="E407" s="299" t="s">
        <v>113</v>
      </c>
      <c r="F407" s="299" t="s">
        <v>59</v>
      </c>
      <c r="G407" s="300">
        <v>44523</v>
      </c>
      <c r="H407" s="303">
        <v>2532.84</v>
      </c>
      <c r="I407" s="301" t="str">
        <f t="shared" si="102"/>
        <v>Ingresos Sección II LISR (SIC &amp; BMV)</v>
      </c>
      <c r="J407" s="302">
        <f t="shared" si="103"/>
        <v>51</v>
      </c>
      <c r="K407" s="304">
        <f t="shared" si="104"/>
        <v>49.663529411764706</v>
      </c>
      <c r="L407" s="305">
        <f>IF(H407=0,0,IF(OR(E407=$AT$5,E407=$AT$6),AA407,IF(F407="MXN",1/HLOOKUP(YEAR(G407)+(MONTH(G407)/100),TC!$5:$37,DAY(G407)+2,FALSE),VLOOKUP(F407,Equivalencia!$5:$23,((MAX(Equivalencia!$3:$3)-YEAR(G407))*14)+MONTH(G407)+2,FALSE))))</f>
        <v>1</v>
      </c>
      <c r="M407" s="306">
        <f t="shared" si="105"/>
        <v>2532.84</v>
      </c>
      <c r="N407" s="305">
        <f>IF(G407=0,0,(IF(OR(E407=$AT$5,E407=$AT$6),AC407,HLOOKUP(YEAR(G407)+(MONTH(G407)/100),TC!$5:$37,DAY(G407)+2,FALSE))))</f>
        <v>20.828299999999999</v>
      </c>
      <c r="O407" s="307">
        <f t="shared" si="106"/>
        <v>52754.751371999999</v>
      </c>
      <c r="P407" s="560">
        <f>IF(G407=0,0,VLOOKUP(YEAR(G407),INPC!$B$4:$P$30,MONTH(G407)+2))</f>
        <v>116.884</v>
      </c>
      <c r="Q407" s="560">
        <f>IF(X407=0,0,IF(OR(E407=$AT$10,E407=$AT$9),VLOOKUP(YEAR(X407),INPC!$B$4:$P$30,MONTH(X407)+1),VLOOKUP(YEAR(X407),INPC!$B$4:$P$30,MONTH(X407)+2,0)))</f>
        <v>120.809</v>
      </c>
      <c r="R407" s="309">
        <f t="shared" si="107"/>
        <v>1.0335000000000001</v>
      </c>
      <c r="S407" s="310">
        <f t="shared" si="108"/>
        <v>54522.035542962003</v>
      </c>
      <c r="T407" s="555">
        <f t="shared" si="109"/>
        <v>1069.0595204502354</v>
      </c>
      <c r="U407" s="311"/>
      <c r="V407" s="312">
        <v>51</v>
      </c>
      <c r="W407" s="299" t="s">
        <v>194</v>
      </c>
      <c r="X407" s="300">
        <v>44705</v>
      </c>
      <c r="Y407" s="299" t="s">
        <v>59</v>
      </c>
      <c r="Z407" s="303">
        <v>691.87029885057473</v>
      </c>
      <c r="AA407" s="305">
        <f>IF(Z407=0,0,IF(Y407="MXN",1/HLOOKUP(YEAR(X407)+(MONTH(X407)/100),TC!$5:$37,DAY(X407)+2,FALSE),VLOOKUP(Y407,Equivalencia!$1:$23,((MAX(Equivalencia!$3:$3)-YEAR(X407))*14)+MONTH(X407)+2,FALSE)))</f>
        <v>1</v>
      </c>
      <c r="AB407" s="306">
        <f t="shared" si="110"/>
        <v>691.87029885057473</v>
      </c>
      <c r="AC407" s="305">
        <f>+IF(X407=0,0,HLOOKUP(YEAR(X407)+(MONTH(X407)/100),TC!$5:$37,DAY(X407)+2,FALSE))</f>
        <v>19.8657</v>
      </c>
      <c r="AD407" s="307">
        <f t="shared" si="111"/>
        <v>13744.487795875863</v>
      </c>
      <c r="AE407" s="314">
        <f t="shared" si="112"/>
        <v>54522.035542962003</v>
      </c>
      <c r="AF407" s="315">
        <f t="shared" si="113"/>
        <v>-40777.547747086137</v>
      </c>
      <c r="AG407" s="316">
        <f t="shared" si="114"/>
        <v>0.49863013698630138</v>
      </c>
      <c r="AH407" s="314">
        <v>1</v>
      </c>
      <c r="AI407" s="314">
        <f t="shared" si="115"/>
        <v>-40777.547747086137</v>
      </c>
      <c r="AJ407" s="314">
        <f t="shared" si="116"/>
        <v>0</v>
      </c>
      <c r="AK407" s="317"/>
      <c r="AL407" s="315">
        <f t="shared" si="117"/>
        <v>-1840.9697011494254</v>
      </c>
      <c r="AN407" s="554">
        <f t="shared" si="118"/>
        <v>-0.72684010879069549</v>
      </c>
      <c r="AO407" s="314"/>
      <c r="AP407" s="318"/>
    </row>
    <row r="408" spans="2:42">
      <c r="B408" s="296" t="s">
        <v>1254</v>
      </c>
      <c r="C408" s="299" t="s">
        <v>277</v>
      </c>
      <c r="D408" s="298" t="s">
        <v>881</v>
      </c>
      <c r="E408" s="299" t="s">
        <v>113</v>
      </c>
      <c r="F408" s="299" t="s">
        <v>59</v>
      </c>
      <c r="G408" s="300">
        <v>44586</v>
      </c>
      <c r="H408" s="303">
        <v>5645.13</v>
      </c>
      <c r="I408" s="301" t="str">
        <f t="shared" si="102"/>
        <v>Ingresos Sección II LISR (SIC &amp; BMV)</v>
      </c>
      <c r="J408" s="302">
        <f t="shared" si="103"/>
        <v>115</v>
      </c>
      <c r="K408" s="304">
        <f t="shared" si="104"/>
        <v>49.088086956521742</v>
      </c>
      <c r="L408" s="305">
        <f>IF(H408=0,0,IF(OR(E408=$AT$5,E408=$AT$6),AA408,IF(F408="MXN",1/HLOOKUP(YEAR(G408)+(MONTH(G408)/100),TC!$5:$37,DAY(G408)+2,FALSE),VLOOKUP(F408,Equivalencia!$5:$23,((MAX(Equivalencia!$3:$3)-YEAR(G408))*14)+MONTH(G408)+2,FALSE))))</f>
        <v>1</v>
      </c>
      <c r="M408" s="306">
        <f t="shared" si="105"/>
        <v>5645.13</v>
      </c>
      <c r="N408" s="305">
        <f>IF(G408=0,0,(IF(OR(E408=$AT$5,E408=$AT$6),AC408,HLOOKUP(YEAR(G408)+(MONTH(G408)/100),TC!$5:$37,DAY(G408)+2,FALSE))))</f>
        <v>20.459800000000001</v>
      </c>
      <c r="O408" s="307">
        <f t="shared" si="106"/>
        <v>115498.23077400001</v>
      </c>
      <c r="P408" s="560">
        <f>IF(G408=0,0,VLOOKUP(YEAR(G408),INPC!$B$4:$P$30,MONTH(G408)+2))</f>
        <v>118.002</v>
      </c>
      <c r="Q408" s="560">
        <f>IF(X408=0,0,IF(OR(E408=$AT$10,E408=$AT$9),VLOOKUP(YEAR(X408),INPC!$B$4:$P$30,MONTH(X408)+1),VLOOKUP(YEAR(X408),INPC!$B$4:$P$30,MONTH(X408)+2,0)))</f>
        <v>120.809</v>
      </c>
      <c r="R408" s="309">
        <f t="shared" si="107"/>
        <v>1.0237000000000001</v>
      </c>
      <c r="S408" s="310">
        <f t="shared" si="108"/>
        <v>118235.53884334382</v>
      </c>
      <c r="T408" s="555">
        <f t="shared" si="109"/>
        <v>1028.1351203769027</v>
      </c>
      <c r="U408" s="311"/>
      <c r="V408" s="312">
        <v>115</v>
      </c>
      <c r="W408" s="299" t="s">
        <v>194</v>
      </c>
      <c r="X408" s="300">
        <v>44705</v>
      </c>
      <c r="Y408" s="299" t="s">
        <v>59</v>
      </c>
      <c r="Z408" s="303">
        <v>1560.0996934865902</v>
      </c>
      <c r="AA408" s="305">
        <f>IF(Z408=0,0,IF(Y408="MXN",1/HLOOKUP(YEAR(X408)+(MONTH(X408)/100),TC!$5:$37,DAY(X408)+2,FALSE),VLOOKUP(Y408,Equivalencia!$1:$23,((MAX(Equivalencia!$3:$3)-YEAR(X408))*14)+MONTH(X408)+2,FALSE)))</f>
        <v>1</v>
      </c>
      <c r="AB408" s="306">
        <f t="shared" si="110"/>
        <v>1560.0996934865902</v>
      </c>
      <c r="AC408" s="305">
        <f>+IF(X408=0,0,HLOOKUP(YEAR(X408)+(MONTH(X408)/100),TC!$5:$37,DAY(X408)+2,FALSE))</f>
        <v>19.8657</v>
      </c>
      <c r="AD408" s="307">
        <f t="shared" si="111"/>
        <v>30992.472480896555</v>
      </c>
      <c r="AE408" s="314">
        <f t="shared" si="112"/>
        <v>118235.53884334381</v>
      </c>
      <c r="AF408" s="315">
        <f t="shared" si="113"/>
        <v>-87243.066362447251</v>
      </c>
      <c r="AG408" s="316">
        <f t="shared" si="114"/>
        <v>0.32602739726027397</v>
      </c>
      <c r="AH408" s="314">
        <v>1</v>
      </c>
      <c r="AI408" s="314">
        <f t="shared" si="115"/>
        <v>-87243.066362447251</v>
      </c>
      <c r="AJ408" s="314">
        <f t="shared" si="116"/>
        <v>0</v>
      </c>
      <c r="AK408" s="317"/>
      <c r="AL408" s="315">
        <f t="shared" si="117"/>
        <v>-4085.0303065134099</v>
      </c>
      <c r="AN408" s="554">
        <f t="shared" si="118"/>
        <v>-0.72363795103273265</v>
      </c>
      <c r="AO408" s="314"/>
      <c r="AP408" s="318"/>
    </row>
    <row r="409" spans="2:42">
      <c r="B409" s="296" t="s">
        <v>1254</v>
      </c>
      <c r="C409" s="299" t="s">
        <v>277</v>
      </c>
      <c r="D409" s="298" t="s">
        <v>881</v>
      </c>
      <c r="E409" s="299" t="s">
        <v>113</v>
      </c>
      <c r="F409" s="299" t="s">
        <v>59</v>
      </c>
      <c r="G409" s="300">
        <v>44600</v>
      </c>
      <c r="H409" s="303">
        <v>6887.89</v>
      </c>
      <c r="I409" s="301" t="str">
        <f t="shared" si="102"/>
        <v>Ingresos Sección II LISR (SIC &amp; BMV)</v>
      </c>
      <c r="J409" s="302">
        <f t="shared" si="103"/>
        <v>224</v>
      </c>
      <c r="K409" s="304">
        <f t="shared" si="104"/>
        <v>30.74950892857143</v>
      </c>
      <c r="L409" s="305">
        <f>IF(H409=0,0,IF(OR(E409=$AT$5,E409=$AT$6),AA409,IF(F409="MXN",1/HLOOKUP(YEAR(G409)+(MONTH(G409)/100),TC!$5:$37,DAY(G409)+2,FALSE),VLOOKUP(F409,Equivalencia!$5:$23,((MAX(Equivalencia!$3:$3)-YEAR(G409))*14)+MONTH(G409)+2,FALSE))))</f>
        <v>1</v>
      </c>
      <c r="M409" s="306">
        <f t="shared" si="105"/>
        <v>6887.89</v>
      </c>
      <c r="N409" s="305">
        <f>IF(G409=0,0,(IF(OR(E409=$AT$5,E409=$AT$6),AC409,HLOOKUP(YEAR(G409)+(MONTH(G409)/100),TC!$5:$37,DAY(G409)+2,FALSE))))</f>
        <v>20.5562</v>
      </c>
      <c r="O409" s="307">
        <f t="shared" si="106"/>
        <v>141588.84441800002</v>
      </c>
      <c r="P409" s="560">
        <f>IF(G409=0,0,VLOOKUP(YEAR(G409),INPC!$B$4:$P$30,MONTH(G409)+2))</f>
        <v>118.98099999999999</v>
      </c>
      <c r="Q409" s="560">
        <f>IF(X409=0,0,IF(OR(E409=$AT$10,E409=$AT$9),VLOOKUP(YEAR(X409),INPC!$B$4:$P$30,MONTH(X409)+1),VLOOKUP(YEAR(X409),INPC!$B$4:$P$30,MONTH(X409)+2,0)))</f>
        <v>120.809</v>
      </c>
      <c r="R409" s="309">
        <f t="shared" si="107"/>
        <v>1.0153000000000001</v>
      </c>
      <c r="S409" s="310">
        <f t="shared" si="108"/>
        <v>143755.15373759542</v>
      </c>
      <c r="T409" s="555">
        <f t="shared" si="109"/>
        <v>641.76407918569384</v>
      </c>
      <c r="U409" s="311"/>
      <c r="V409" s="312">
        <v>224</v>
      </c>
      <c r="W409" s="299" t="s">
        <v>194</v>
      </c>
      <c r="X409" s="300">
        <v>44705</v>
      </c>
      <c r="Y409" s="299" t="s">
        <v>59</v>
      </c>
      <c r="Z409" s="303">
        <v>3038.8028812260541</v>
      </c>
      <c r="AA409" s="305">
        <f>IF(Z409=0,0,IF(Y409="MXN",1/HLOOKUP(YEAR(X409)+(MONTH(X409)/100),TC!$5:$37,DAY(X409)+2,FALSE),VLOOKUP(Y409,Equivalencia!$1:$23,((MAX(Equivalencia!$3:$3)-YEAR(X409))*14)+MONTH(X409)+2,FALSE)))</f>
        <v>1</v>
      </c>
      <c r="AB409" s="306">
        <f t="shared" si="110"/>
        <v>3038.8028812260541</v>
      </c>
      <c r="AC409" s="305">
        <f>+IF(X409=0,0,HLOOKUP(YEAR(X409)+(MONTH(X409)/100),TC!$5:$37,DAY(X409)+2,FALSE))</f>
        <v>19.8657</v>
      </c>
      <c r="AD409" s="307">
        <f t="shared" si="111"/>
        <v>60367.946397572421</v>
      </c>
      <c r="AE409" s="314">
        <f t="shared" si="112"/>
        <v>143755.15373759542</v>
      </c>
      <c r="AF409" s="315">
        <f t="shared" si="113"/>
        <v>-83387.207340023</v>
      </c>
      <c r="AG409" s="316">
        <f t="shared" si="114"/>
        <v>0.28767123287671231</v>
      </c>
      <c r="AH409" s="314">
        <v>1</v>
      </c>
      <c r="AI409" s="314">
        <f t="shared" si="115"/>
        <v>-83387.207340023</v>
      </c>
      <c r="AJ409" s="314">
        <f t="shared" si="116"/>
        <v>0</v>
      </c>
      <c r="AK409" s="317"/>
      <c r="AL409" s="315">
        <f t="shared" si="117"/>
        <v>-3849.0871187739463</v>
      </c>
      <c r="AN409" s="554">
        <f t="shared" si="118"/>
        <v>-0.55881948155007499</v>
      </c>
      <c r="AO409" s="314"/>
      <c r="AP409" s="318"/>
    </row>
    <row r="410" spans="2:42">
      <c r="B410" s="296" t="s">
        <v>1254</v>
      </c>
      <c r="C410" s="299" t="s">
        <v>277</v>
      </c>
      <c r="D410" s="298" t="s">
        <v>881</v>
      </c>
      <c r="E410" s="299" t="s">
        <v>113</v>
      </c>
      <c r="F410" s="299" t="s">
        <v>59</v>
      </c>
      <c r="G410" s="300">
        <v>44705</v>
      </c>
      <c r="H410" s="303">
        <v>6936.8100000000013</v>
      </c>
      <c r="I410" s="301" t="str">
        <f t="shared" si="102"/>
        <v>Ingresos Sección II LISR (SIC &amp; BMV)</v>
      </c>
      <c r="J410" s="302">
        <f t="shared" si="103"/>
        <v>189</v>
      </c>
      <c r="K410" s="304">
        <f t="shared" si="104"/>
        <v>36.702698412698417</v>
      </c>
      <c r="L410" s="305">
        <f>IF(H410=0,0,IF(OR(E410=$AT$5,E410=$AT$6),AA410,IF(F410="MXN",1/HLOOKUP(YEAR(G410)+(MONTH(G410)/100),TC!$5:$37,DAY(G410)+2,FALSE),VLOOKUP(F410,Equivalencia!$5:$23,((MAX(Equivalencia!$3:$3)-YEAR(G410))*14)+MONTH(G410)+2,FALSE))))</f>
        <v>1</v>
      </c>
      <c r="M410" s="306">
        <f t="shared" si="105"/>
        <v>6936.8100000000013</v>
      </c>
      <c r="N410" s="305">
        <f>IF(G410=0,0,(IF(OR(E410=$AT$5,E410=$AT$6),AC410,HLOOKUP(YEAR(G410)+(MONTH(G410)/100),TC!$5:$37,DAY(G410)+2,FALSE))))</f>
        <v>19.8657</v>
      </c>
      <c r="O410" s="307">
        <f t="shared" si="106"/>
        <v>137804.58641700004</v>
      </c>
      <c r="P410" s="560">
        <f>IF(G410=0,0,VLOOKUP(YEAR(G410),INPC!$B$4:$P$30,MONTH(G410)+2))</f>
        <v>121.02200000000001</v>
      </c>
      <c r="Q410" s="560">
        <f>IF(X410=0,0,IF(OR(E410=$AT$10,E410=$AT$9),VLOOKUP(YEAR(X410),INPC!$B$4:$P$30,MONTH(X410)+1),VLOOKUP(YEAR(X410),INPC!$B$4:$P$30,MONTH(X410)+2,0)))</f>
        <v>120.809</v>
      </c>
      <c r="R410" s="309">
        <f t="shared" si="107"/>
        <v>1</v>
      </c>
      <c r="S410" s="310">
        <f t="shared" si="108"/>
        <v>137804.58641700004</v>
      </c>
      <c r="T410" s="555">
        <f t="shared" si="109"/>
        <v>729.12479585714311</v>
      </c>
      <c r="U410" s="311"/>
      <c r="V410" s="312">
        <v>189</v>
      </c>
      <c r="W410" s="299" t="s">
        <v>194</v>
      </c>
      <c r="X410" s="300">
        <v>44705</v>
      </c>
      <c r="Y410" s="299" t="s">
        <v>59</v>
      </c>
      <c r="Z410" s="303">
        <v>2563.9899310344831</v>
      </c>
      <c r="AA410" s="305">
        <f>IF(Z410=0,0,IF(Y410="MXN",1/HLOOKUP(YEAR(X410)+(MONTH(X410)/100),TC!$5:$37,DAY(X410)+2,FALSE),VLOOKUP(Y410,Equivalencia!$1:$23,((MAX(Equivalencia!$3:$3)-YEAR(X410))*14)+MONTH(X410)+2,FALSE)))</f>
        <v>1</v>
      </c>
      <c r="AB410" s="306">
        <f t="shared" si="110"/>
        <v>2563.9899310344831</v>
      </c>
      <c r="AC410" s="305">
        <f>+IF(X410=0,0,HLOOKUP(YEAR(X410)+(MONTH(X410)/100),TC!$5:$37,DAY(X410)+2,FALSE))</f>
        <v>19.8657</v>
      </c>
      <c r="AD410" s="307">
        <f t="shared" si="111"/>
        <v>50935.454772951729</v>
      </c>
      <c r="AE410" s="314">
        <f t="shared" si="112"/>
        <v>137804.58641700004</v>
      </c>
      <c r="AF410" s="315">
        <f t="shared" si="113"/>
        <v>-86869.131644048321</v>
      </c>
      <c r="AG410" s="316">
        <f t="shared" si="114"/>
        <v>0</v>
      </c>
      <c r="AH410" s="314">
        <v>1</v>
      </c>
      <c r="AI410" s="314">
        <f t="shared" si="115"/>
        <v>-86869.131644048321</v>
      </c>
      <c r="AJ410" s="314">
        <f t="shared" si="116"/>
        <v>0</v>
      </c>
      <c r="AK410" s="317"/>
      <c r="AL410" s="315">
        <f t="shared" si="117"/>
        <v>-4372.8200689655187</v>
      </c>
      <c r="AN410" s="554">
        <f t="shared" si="118"/>
        <v>-0.63037910350226078</v>
      </c>
      <c r="AO410" s="314"/>
      <c r="AP410" s="318"/>
    </row>
    <row r="411" spans="2:42">
      <c r="B411" s="296" t="s">
        <v>1254</v>
      </c>
      <c r="C411" s="299" t="s">
        <v>277</v>
      </c>
      <c r="D411" s="298" t="s">
        <v>711</v>
      </c>
      <c r="E411" s="299" t="s">
        <v>113</v>
      </c>
      <c r="F411" s="299" t="s">
        <v>59</v>
      </c>
      <c r="G411" s="300">
        <v>44104</v>
      </c>
      <c r="H411" s="303">
        <v>377.44393782383418</v>
      </c>
      <c r="I411" s="301" t="str">
        <f t="shared" si="102"/>
        <v>Ingresos Sección II LISR (SIC &amp; BMV)</v>
      </c>
      <c r="J411" s="302">
        <f t="shared" si="103"/>
        <v>4</v>
      </c>
      <c r="K411" s="304">
        <f t="shared" si="104"/>
        <v>94.360984455958544</v>
      </c>
      <c r="L411" s="305">
        <f>IF(H411=0,0,IF(OR(E411=$AT$5,E411=$AT$6),AA411,IF(F411="MXN",1/HLOOKUP(YEAR(G411)+(MONTH(G411)/100),TC!$5:$37,DAY(G411)+2,FALSE),VLOOKUP(F411,Equivalencia!$5:$23,((MAX(Equivalencia!$3:$3)-YEAR(G411))*14)+MONTH(G411)+2,FALSE))))</f>
        <v>1</v>
      </c>
      <c r="M411" s="306">
        <f t="shared" si="105"/>
        <v>377.44393782383418</v>
      </c>
      <c r="N411" s="305">
        <f>IF(G411=0,0,(IF(OR(E411=$AT$5,E411=$AT$6),AC411,HLOOKUP(YEAR(G411)+(MONTH(G411)/100),TC!$5:$37,DAY(G411)+2,FALSE))))</f>
        <v>22.4573</v>
      </c>
      <c r="O411" s="307">
        <f t="shared" si="106"/>
        <v>8476.3717448911921</v>
      </c>
      <c r="P411" s="560">
        <f>IF(G411=0,0,VLOOKUP(YEAR(G411),INPC!$B$4:$P$30,MONTH(G411)+2))</f>
        <v>108.114</v>
      </c>
      <c r="Q411" s="560">
        <f>IF(X411=0,0,IF(OR(E411=$AT$10,E411=$AT$9),VLOOKUP(YEAR(X411),INPC!$B$4:$P$30,MONTH(X411)+1),VLOOKUP(YEAR(X411),INPC!$B$4:$P$30,MONTH(X411)+2,0)))</f>
        <v>117.30800000000001</v>
      </c>
      <c r="R411" s="309">
        <f t="shared" si="107"/>
        <v>1.085</v>
      </c>
      <c r="S411" s="310">
        <f t="shared" si="108"/>
        <v>9196.8633432069437</v>
      </c>
      <c r="T411" s="555">
        <f t="shared" si="109"/>
        <v>2299.2158358017359</v>
      </c>
      <c r="U411" s="311"/>
      <c r="V411" s="312">
        <v>4</v>
      </c>
      <c r="W411" s="299" t="s">
        <v>194</v>
      </c>
      <c r="X411" s="300">
        <v>44573</v>
      </c>
      <c r="Y411" s="299" t="s">
        <v>59</v>
      </c>
      <c r="Z411" s="303">
        <v>437.91803278688525</v>
      </c>
      <c r="AA411" s="305">
        <f>IF(Z411=0,0,IF(Y411="MXN",1/HLOOKUP(YEAR(X411)+(MONTH(X411)/100),TC!$5:$37,DAY(X411)+2,FALSE),VLOOKUP(Y411,Equivalencia!$1:$23,((MAX(Equivalencia!$3:$3)-YEAR(X411))*14)+MONTH(X411)+2,FALSE)))</f>
        <v>1</v>
      </c>
      <c r="AB411" s="306">
        <f t="shared" si="110"/>
        <v>437.91803278688525</v>
      </c>
      <c r="AC411" s="305">
        <f>+IF(X411=0,0,HLOOKUP(YEAR(X411)+(MONTH(X411)/100),TC!$5:$37,DAY(X411)+2,FALSE))</f>
        <v>20.4453</v>
      </c>
      <c r="AD411" s="307">
        <f t="shared" si="111"/>
        <v>8953.3655557377042</v>
      </c>
      <c r="AE411" s="314">
        <f t="shared" si="112"/>
        <v>9196.8633432069437</v>
      </c>
      <c r="AF411" s="315">
        <f t="shared" si="113"/>
        <v>-243.49778746923948</v>
      </c>
      <c r="AG411" s="316">
        <f t="shared" si="114"/>
        <v>1.284931506849315</v>
      </c>
      <c r="AH411" s="314">
        <v>1</v>
      </c>
      <c r="AI411" s="314">
        <f t="shared" si="115"/>
        <v>-243.49778746923948</v>
      </c>
      <c r="AJ411" s="314">
        <f t="shared" si="116"/>
        <v>0</v>
      </c>
      <c r="AK411" s="317"/>
      <c r="AL411" s="315">
        <f t="shared" si="117"/>
        <v>60.474094963051073</v>
      </c>
      <c r="AN411" s="554">
        <f t="shared" si="118"/>
        <v>0.16022007218268366</v>
      </c>
      <c r="AO411" s="314"/>
      <c r="AP411" s="318"/>
    </row>
    <row r="412" spans="2:42">
      <c r="B412" s="296" t="s">
        <v>1254</v>
      </c>
      <c r="C412" s="299" t="s">
        <v>277</v>
      </c>
      <c r="D412" s="298" t="s">
        <v>711</v>
      </c>
      <c r="E412" s="299" t="s">
        <v>113</v>
      </c>
      <c r="F412" s="299" t="s">
        <v>59</v>
      </c>
      <c r="G412" s="300">
        <v>44141</v>
      </c>
      <c r="H412" s="303">
        <v>11507.226917293232</v>
      </c>
      <c r="I412" s="301" t="str">
        <f t="shared" si="102"/>
        <v>Ingresos Sección II LISR (SIC &amp; BMV)</v>
      </c>
      <c r="J412" s="302">
        <f t="shared" si="103"/>
        <v>118</v>
      </c>
      <c r="K412" s="304">
        <f t="shared" si="104"/>
        <v>97.518872180451112</v>
      </c>
      <c r="L412" s="305">
        <f>IF(H412=0,0,IF(OR(E412=$AT$5,E412=$AT$6),AA412,IF(F412="MXN",1/HLOOKUP(YEAR(G412)+(MONTH(G412)/100),TC!$5:$37,DAY(G412)+2,FALSE),VLOOKUP(F412,Equivalencia!$5:$23,((MAX(Equivalencia!$3:$3)-YEAR(G412))*14)+MONTH(G412)+2,FALSE))))</f>
        <v>1</v>
      </c>
      <c r="M412" s="306">
        <f t="shared" si="105"/>
        <v>11507.226917293232</v>
      </c>
      <c r="N412" s="305">
        <f>IF(G412=0,0,(IF(OR(E412=$AT$5,E412=$AT$6),AC412,HLOOKUP(YEAR(G412)+(MONTH(G412)/100),TC!$5:$37,DAY(G412)+2,FALSE))))</f>
        <v>21.034500000000001</v>
      </c>
      <c r="O412" s="307">
        <f t="shared" si="106"/>
        <v>242048.7645918045</v>
      </c>
      <c r="P412" s="560">
        <f>IF(G412=0,0,VLOOKUP(YEAR(G412),INPC!$B$4:$P$30,MONTH(G412)+2))</f>
        <v>108.85599999999999</v>
      </c>
      <c r="Q412" s="560">
        <f>IF(X412=0,0,IF(OR(E412=$AT$10,E412=$AT$9),VLOOKUP(YEAR(X412),INPC!$B$4:$P$30,MONTH(X412)+1),VLOOKUP(YEAR(X412),INPC!$B$4:$P$30,MONTH(X412)+2,0)))</f>
        <v>117.30800000000001</v>
      </c>
      <c r="R412" s="309">
        <f t="shared" si="107"/>
        <v>1.0775999999999999</v>
      </c>
      <c r="S412" s="310">
        <f t="shared" si="108"/>
        <v>260831.7487241285</v>
      </c>
      <c r="T412" s="555">
        <f t="shared" si="109"/>
        <v>2210.4385485095636</v>
      </c>
      <c r="U412" s="311"/>
      <c r="V412" s="312">
        <v>118</v>
      </c>
      <c r="W412" s="299" t="s">
        <v>194</v>
      </c>
      <c r="X412" s="300">
        <v>44573</v>
      </c>
      <c r="Y412" s="299" t="s">
        <v>59</v>
      </c>
      <c r="Z412" s="303">
        <v>12918.581967213115</v>
      </c>
      <c r="AA412" s="305">
        <f>IF(Z412=0,0,IF(Y412="MXN",1/HLOOKUP(YEAR(X412)+(MONTH(X412)/100),TC!$5:$37,DAY(X412)+2,FALSE),VLOOKUP(Y412,Equivalencia!$1:$23,((MAX(Equivalencia!$3:$3)-YEAR(X412))*14)+MONTH(X412)+2,FALSE)))</f>
        <v>1</v>
      </c>
      <c r="AB412" s="306">
        <f t="shared" si="110"/>
        <v>12918.581967213115</v>
      </c>
      <c r="AC412" s="305">
        <f>+IF(X412=0,0,HLOOKUP(YEAR(X412)+(MONTH(X412)/100),TC!$5:$37,DAY(X412)+2,FALSE))</f>
        <v>20.4453</v>
      </c>
      <c r="AD412" s="307">
        <f t="shared" si="111"/>
        <v>264124.28389426228</v>
      </c>
      <c r="AE412" s="314">
        <f t="shared" si="112"/>
        <v>260831.7487241285</v>
      </c>
      <c r="AF412" s="315">
        <f t="shared" si="113"/>
        <v>3292.5351701337786</v>
      </c>
      <c r="AG412" s="316">
        <f t="shared" si="114"/>
        <v>1.1835616438356165</v>
      </c>
      <c r="AH412" s="314">
        <v>1</v>
      </c>
      <c r="AI412" s="314">
        <f t="shared" si="115"/>
        <v>3292.5351701337786</v>
      </c>
      <c r="AJ412" s="314">
        <f t="shared" si="116"/>
        <v>0</v>
      </c>
      <c r="AK412" s="317"/>
      <c r="AL412" s="315">
        <f t="shared" si="117"/>
        <v>1411.3550499198827</v>
      </c>
      <c r="AN412" s="554">
        <f t="shared" si="118"/>
        <v>0.12264944978176083</v>
      </c>
      <c r="AO412" s="314"/>
      <c r="AP412" s="318"/>
    </row>
    <row r="413" spans="2:42">
      <c r="B413" s="296" t="s">
        <v>1254</v>
      </c>
      <c r="C413" s="299" t="s">
        <v>277</v>
      </c>
      <c r="D413" s="298" t="s">
        <v>711</v>
      </c>
      <c r="E413" s="299" t="s">
        <v>113</v>
      </c>
      <c r="F413" s="299" t="s">
        <v>59</v>
      </c>
      <c r="G413" s="300">
        <v>44141</v>
      </c>
      <c r="H413" s="303">
        <v>1462.7830827067669</v>
      </c>
      <c r="I413" s="301" t="str">
        <f t="shared" si="102"/>
        <v>Ingresos Sección II LISR (SIC &amp; BMV)</v>
      </c>
      <c r="J413" s="302">
        <f t="shared" si="103"/>
        <v>15</v>
      </c>
      <c r="K413" s="304">
        <f t="shared" si="104"/>
        <v>97.518872180451126</v>
      </c>
      <c r="L413" s="305">
        <f>IF(H413=0,0,IF(OR(E413=$AT$5,E413=$AT$6),AA413,IF(F413="MXN",1/HLOOKUP(YEAR(G413)+(MONTH(G413)/100),TC!$5:$37,DAY(G413)+2,FALSE),VLOOKUP(F413,Equivalencia!$5:$23,((MAX(Equivalencia!$3:$3)-YEAR(G413))*14)+MONTH(G413)+2,FALSE))))</f>
        <v>1</v>
      </c>
      <c r="M413" s="306">
        <f t="shared" si="105"/>
        <v>1462.7830827067669</v>
      </c>
      <c r="N413" s="305">
        <f>IF(G413=0,0,(IF(OR(E413=$AT$5,E413=$AT$6),AC413,HLOOKUP(YEAR(G413)+(MONTH(G413)/100),TC!$5:$37,DAY(G413)+2,FALSE))))</f>
        <v>21.034500000000001</v>
      </c>
      <c r="O413" s="307">
        <f t="shared" si="106"/>
        <v>30768.910753195491</v>
      </c>
      <c r="P413" s="560">
        <f>IF(G413=0,0,VLOOKUP(YEAR(G413),INPC!$B$4:$P$30,MONTH(G413)+2))</f>
        <v>108.85599999999999</v>
      </c>
      <c r="Q413" s="560">
        <f>IF(X413=0,0,IF(OR(E413=$AT$10,E413=$AT$9),VLOOKUP(YEAR(X413),INPC!$B$4:$P$30,MONTH(X413)+1),VLOOKUP(YEAR(X413),INPC!$B$4:$P$30,MONTH(X413)+2,0)))</f>
        <v>117.30800000000001</v>
      </c>
      <c r="R413" s="309">
        <f t="shared" si="107"/>
        <v>1.0775999999999999</v>
      </c>
      <c r="S413" s="310">
        <f t="shared" si="108"/>
        <v>33156.578227643455</v>
      </c>
      <c r="T413" s="555">
        <f t="shared" si="109"/>
        <v>2210.4385485095636</v>
      </c>
      <c r="U413" s="311"/>
      <c r="V413" s="312">
        <v>15</v>
      </c>
      <c r="W413" s="299" t="s">
        <v>194</v>
      </c>
      <c r="X413" s="300">
        <v>44573</v>
      </c>
      <c r="Y413" s="299" t="s">
        <v>59</v>
      </c>
      <c r="Z413" s="303">
        <v>1637.8423076923077</v>
      </c>
      <c r="AA413" s="305">
        <f>IF(Z413=0,0,IF(Y413="MXN",1/HLOOKUP(YEAR(X413)+(MONTH(X413)/100),TC!$5:$37,DAY(X413)+2,FALSE),VLOOKUP(Y413,Equivalencia!$1:$23,((MAX(Equivalencia!$3:$3)-YEAR(X413))*14)+MONTH(X413)+2,FALSE)))</f>
        <v>1</v>
      </c>
      <c r="AB413" s="306">
        <f t="shared" si="110"/>
        <v>1637.8423076923077</v>
      </c>
      <c r="AC413" s="305">
        <f>+IF(X413=0,0,HLOOKUP(YEAR(X413)+(MONTH(X413)/100),TC!$5:$37,DAY(X413)+2,FALSE))</f>
        <v>20.4453</v>
      </c>
      <c r="AD413" s="307">
        <f t="shared" si="111"/>
        <v>33486.177333461535</v>
      </c>
      <c r="AE413" s="314">
        <f t="shared" si="112"/>
        <v>33156.578227643455</v>
      </c>
      <c r="AF413" s="315">
        <f t="shared" si="113"/>
        <v>329.59910581808072</v>
      </c>
      <c r="AG413" s="316">
        <f t="shared" si="114"/>
        <v>1.1835616438356165</v>
      </c>
      <c r="AH413" s="314">
        <v>1</v>
      </c>
      <c r="AI413" s="314">
        <f t="shared" si="115"/>
        <v>329.59910581808072</v>
      </c>
      <c r="AJ413" s="314">
        <f t="shared" si="116"/>
        <v>0</v>
      </c>
      <c r="AK413" s="317"/>
      <c r="AL413" s="315">
        <f t="shared" si="117"/>
        <v>175.05922498554082</v>
      </c>
      <c r="AN413" s="554">
        <f t="shared" si="118"/>
        <v>0.11967545089570442</v>
      </c>
      <c r="AO413" s="314"/>
      <c r="AP413" s="318"/>
    </row>
    <row r="414" spans="2:42">
      <c r="B414" s="296" t="s">
        <v>1254</v>
      </c>
      <c r="C414" s="299" t="s">
        <v>277</v>
      </c>
      <c r="D414" s="298" t="s">
        <v>711</v>
      </c>
      <c r="E414" s="299" t="s">
        <v>113</v>
      </c>
      <c r="F414" s="299" t="s">
        <v>59</v>
      </c>
      <c r="G414" s="300">
        <v>44159</v>
      </c>
      <c r="H414" s="303">
        <v>2138.9261538461542</v>
      </c>
      <c r="I414" s="301" t="str">
        <f t="shared" si="102"/>
        <v>Ingresos Sección II LISR (SIC &amp; BMV)</v>
      </c>
      <c r="J414" s="302">
        <f t="shared" si="103"/>
        <v>24</v>
      </c>
      <c r="K414" s="304">
        <f t="shared" si="104"/>
        <v>89.121923076923096</v>
      </c>
      <c r="L414" s="305">
        <f>IF(H414=0,0,IF(OR(E414=$AT$5,E414=$AT$6),AA414,IF(F414="MXN",1/HLOOKUP(YEAR(G414)+(MONTH(G414)/100),TC!$5:$37,DAY(G414)+2,FALSE),VLOOKUP(F414,Equivalencia!$5:$23,((MAX(Equivalencia!$3:$3)-YEAR(G414))*14)+MONTH(G414)+2,FALSE))))</f>
        <v>1</v>
      </c>
      <c r="M414" s="306">
        <f t="shared" si="105"/>
        <v>2138.9261538461542</v>
      </c>
      <c r="N414" s="305">
        <f>IF(G414=0,0,(IF(OR(E414=$AT$5,E414=$AT$6),AC414,HLOOKUP(YEAR(G414)+(MONTH(G414)/100),TC!$5:$37,DAY(G414)+2,FALSE))))</f>
        <v>20.1172</v>
      </c>
      <c r="O414" s="307">
        <f t="shared" si="106"/>
        <v>43029.205222153854</v>
      </c>
      <c r="P414" s="560">
        <f>IF(G414=0,0,VLOOKUP(YEAR(G414),INPC!$B$4:$P$30,MONTH(G414)+2))</f>
        <v>108.85599999999999</v>
      </c>
      <c r="Q414" s="560">
        <f>IF(X414=0,0,IF(OR(E414=$AT$10,E414=$AT$9),VLOOKUP(YEAR(X414),INPC!$B$4:$P$30,MONTH(X414)+1),VLOOKUP(YEAR(X414),INPC!$B$4:$P$30,MONTH(X414)+2,0)))</f>
        <v>117.30800000000001</v>
      </c>
      <c r="R414" s="309">
        <f t="shared" si="107"/>
        <v>1.0775999999999999</v>
      </c>
      <c r="S414" s="310">
        <f t="shared" si="108"/>
        <v>46368.271547392986</v>
      </c>
      <c r="T414" s="555">
        <f t="shared" si="109"/>
        <v>1932.0113144747077</v>
      </c>
      <c r="U414" s="311"/>
      <c r="V414" s="312">
        <v>24</v>
      </c>
      <c r="W414" s="299" t="s">
        <v>194</v>
      </c>
      <c r="X414" s="300">
        <v>44573</v>
      </c>
      <c r="Y414" s="299" t="s">
        <v>59</v>
      </c>
      <c r="Z414" s="303">
        <v>2620.5476923076926</v>
      </c>
      <c r="AA414" s="305">
        <f>IF(Z414=0,0,IF(Y414="MXN",1/HLOOKUP(YEAR(X414)+(MONTH(X414)/100),TC!$5:$37,DAY(X414)+2,FALSE),VLOOKUP(Y414,Equivalencia!$1:$23,((MAX(Equivalencia!$3:$3)-YEAR(X414))*14)+MONTH(X414)+2,FALSE)))</f>
        <v>1</v>
      </c>
      <c r="AB414" s="306">
        <f t="shared" si="110"/>
        <v>2620.5476923076926</v>
      </c>
      <c r="AC414" s="305">
        <f>+IF(X414=0,0,HLOOKUP(YEAR(X414)+(MONTH(X414)/100),TC!$5:$37,DAY(X414)+2,FALSE))</f>
        <v>20.4453</v>
      </c>
      <c r="AD414" s="307">
        <f t="shared" si="111"/>
        <v>53577.883733538467</v>
      </c>
      <c r="AE414" s="314">
        <f t="shared" si="112"/>
        <v>46368.271547392986</v>
      </c>
      <c r="AF414" s="315">
        <f t="shared" si="113"/>
        <v>7209.6121861454812</v>
      </c>
      <c r="AG414" s="316">
        <f t="shared" si="114"/>
        <v>1.1342465753424658</v>
      </c>
      <c r="AH414" s="314">
        <v>1</v>
      </c>
      <c r="AI414" s="314">
        <f t="shared" si="115"/>
        <v>7209.6121861454812</v>
      </c>
      <c r="AJ414" s="314">
        <f t="shared" si="116"/>
        <v>0</v>
      </c>
      <c r="AK414" s="317"/>
      <c r="AL414" s="315">
        <f t="shared" si="117"/>
        <v>481.62153846153842</v>
      </c>
      <c r="AN414" s="554">
        <f t="shared" si="118"/>
        <v>0.22516978325572423</v>
      </c>
      <c r="AO414" s="314"/>
      <c r="AP414" s="318"/>
    </row>
    <row r="415" spans="2:42">
      <c r="B415" s="296" t="s">
        <v>1254</v>
      </c>
      <c r="C415" s="299" t="s">
        <v>277</v>
      </c>
      <c r="D415" s="298" t="s">
        <v>711</v>
      </c>
      <c r="E415" s="299" t="s">
        <v>113</v>
      </c>
      <c r="F415" s="299" t="s">
        <v>59</v>
      </c>
      <c r="G415" s="300">
        <v>44159</v>
      </c>
      <c r="H415" s="303">
        <v>1604.1946153846154</v>
      </c>
      <c r="I415" s="301" t="str">
        <f t="shared" si="102"/>
        <v>Ingresos Sección II LISR (SIC &amp; BMV)</v>
      </c>
      <c r="J415" s="302">
        <f t="shared" si="103"/>
        <v>18</v>
      </c>
      <c r="K415" s="304">
        <f t="shared" si="104"/>
        <v>89.121923076923082</v>
      </c>
      <c r="L415" s="305">
        <f>IF(H415=0,0,IF(OR(E415=$AT$5,E415=$AT$6),AA415,IF(F415="MXN",1/HLOOKUP(YEAR(G415)+(MONTH(G415)/100),TC!$5:$37,DAY(G415)+2,FALSE),VLOOKUP(F415,Equivalencia!$5:$23,((MAX(Equivalencia!$3:$3)-YEAR(G415))*14)+MONTH(G415)+2,FALSE))))</f>
        <v>1</v>
      </c>
      <c r="M415" s="306">
        <f t="shared" si="105"/>
        <v>1604.1946153846154</v>
      </c>
      <c r="N415" s="305">
        <f>IF(G415=0,0,(IF(OR(E415=$AT$5,E415=$AT$6),AC415,HLOOKUP(YEAR(G415)+(MONTH(G415)/100),TC!$5:$37,DAY(G415)+2,FALSE))))</f>
        <v>20.1172</v>
      </c>
      <c r="O415" s="307">
        <f t="shared" si="106"/>
        <v>32271.903916615385</v>
      </c>
      <c r="P415" s="560">
        <f>IF(G415=0,0,VLOOKUP(YEAR(G415),INPC!$B$4:$P$30,MONTH(G415)+2))</f>
        <v>108.85599999999999</v>
      </c>
      <c r="Q415" s="560">
        <f>IF(X415=0,0,IF(OR(E415=$AT$10,E415=$AT$9),VLOOKUP(YEAR(X415),INPC!$B$4:$P$30,MONTH(X415)+1),VLOOKUP(YEAR(X415),INPC!$B$4:$P$30,MONTH(X415)+2,0)))</f>
        <v>117.30800000000001</v>
      </c>
      <c r="R415" s="309">
        <f t="shared" si="107"/>
        <v>1.0775999999999999</v>
      </c>
      <c r="S415" s="310">
        <f t="shared" si="108"/>
        <v>34776.203660544736</v>
      </c>
      <c r="T415" s="555">
        <f t="shared" si="109"/>
        <v>1932.0113144747074</v>
      </c>
      <c r="U415" s="311"/>
      <c r="V415" s="312">
        <v>18</v>
      </c>
      <c r="W415" s="299" t="s">
        <v>194</v>
      </c>
      <c r="X415" s="300">
        <v>44580</v>
      </c>
      <c r="Y415" s="299" t="s">
        <v>59</v>
      </c>
      <c r="Z415" s="303">
        <v>1951.02</v>
      </c>
      <c r="AA415" s="305">
        <f>IF(Z415=0,0,IF(Y415="MXN",1/HLOOKUP(YEAR(X415)+(MONTH(X415)/100),TC!$5:$37,DAY(X415)+2,FALSE),VLOOKUP(Y415,Equivalencia!$1:$23,((MAX(Equivalencia!$3:$3)-YEAR(X415))*14)+MONTH(X415)+2,FALSE)))</f>
        <v>1</v>
      </c>
      <c r="AB415" s="306">
        <f t="shared" si="110"/>
        <v>1951.02</v>
      </c>
      <c r="AC415" s="305">
        <f>+IF(X415=0,0,HLOOKUP(YEAR(X415)+(MONTH(X415)/100),TC!$5:$37,DAY(X415)+2,FALSE))</f>
        <v>20.3002</v>
      </c>
      <c r="AD415" s="307">
        <f t="shared" si="111"/>
        <v>39606.096204000001</v>
      </c>
      <c r="AE415" s="314">
        <f t="shared" si="112"/>
        <v>34776.203660544736</v>
      </c>
      <c r="AF415" s="315">
        <f t="shared" si="113"/>
        <v>4829.8925434552657</v>
      </c>
      <c r="AG415" s="316">
        <f t="shared" si="114"/>
        <v>1.1534246575342466</v>
      </c>
      <c r="AH415" s="314">
        <v>1</v>
      </c>
      <c r="AI415" s="314">
        <f t="shared" si="115"/>
        <v>4829.8925434552657</v>
      </c>
      <c r="AJ415" s="314">
        <f t="shared" si="116"/>
        <v>0</v>
      </c>
      <c r="AK415" s="317"/>
      <c r="AL415" s="315">
        <f t="shared" si="117"/>
        <v>346.82538461538456</v>
      </c>
      <c r="AN415" s="554">
        <f t="shared" si="118"/>
        <v>0.21619907041779407</v>
      </c>
      <c r="AO415" s="314"/>
      <c r="AP415" s="318"/>
    </row>
    <row r="416" spans="2:42">
      <c r="B416" s="296" t="s">
        <v>1254</v>
      </c>
      <c r="C416" s="299" t="s">
        <v>277</v>
      </c>
      <c r="D416" s="298" t="s">
        <v>711</v>
      </c>
      <c r="E416" s="299" t="s">
        <v>113</v>
      </c>
      <c r="F416" s="299" t="s">
        <v>59</v>
      </c>
      <c r="G416" s="300">
        <v>44159</v>
      </c>
      <c r="H416" s="303">
        <v>2138.9261538461542</v>
      </c>
      <c r="I416" s="301" t="str">
        <f t="shared" si="102"/>
        <v>Ingresos Sección II LISR (SIC &amp; BMV)</v>
      </c>
      <c r="J416" s="302">
        <f t="shared" si="103"/>
        <v>24</v>
      </c>
      <c r="K416" s="304">
        <f t="shared" si="104"/>
        <v>89.121923076923096</v>
      </c>
      <c r="L416" s="305">
        <f>IF(H416=0,0,IF(OR(E416=$AT$5,E416=$AT$6),AA416,IF(F416="MXN",1/HLOOKUP(YEAR(G416)+(MONTH(G416)/100),TC!$5:$37,DAY(G416)+2,FALSE),VLOOKUP(F416,Equivalencia!$5:$23,((MAX(Equivalencia!$3:$3)-YEAR(G416))*14)+MONTH(G416)+2,FALSE))))</f>
        <v>1</v>
      </c>
      <c r="M416" s="306">
        <f t="shared" si="105"/>
        <v>2138.9261538461542</v>
      </c>
      <c r="N416" s="305">
        <f>IF(G416=0,0,(IF(OR(E416=$AT$5,E416=$AT$6),AC416,HLOOKUP(YEAR(G416)+(MONTH(G416)/100),TC!$5:$37,DAY(G416)+2,FALSE))))</f>
        <v>20.1172</v>
      </c>
      <c r="O416" s="307">
        <f t="shared" si="106"/>
        <v>43029.205222153854</v>
      </c>
      <c r="P416" s="560">
        <f>IF(G416=0,0,VLOOKUP(YEAR(G416),INPC!$B$4:$P$30,MONTH(G416)+2))</f>
        <v>108.85599999999999</v>
      </c>
      <c r="Q416" s="560">
        <f>IF(X416=0,0,IF(OR(E416=$AT$10,E416=$AT$9),VLOOKUP(YEAR(X416),INPC!$B$4:$P$30,MONTH(X416)+1),VLOOKUP(YEAR(X416),INPC!$B$4:$P$30,MONTH(X416)+2,0)))</f>
        <v>117.30800000000001</v>
      </c>
      <c r="R416" s="309">
        <f t="shared" si="107"/>
        <v>1.0775999999999999</v>
      </c>
      <c r="S416" s="310">
        <f t="shared" si="108"/>
        <v>46368.271547392986</v>
      </c>
      <c r="T416" s="555">
        <f t="shared" si="109"/>
        <v>1932.0113144747077</v>
      </c>
      <c r="U416" s="311"/>
      <c r="V416" s="312">
        <v>24</v>
      </c>
      <c r="W416" s="299" t="s">
        <v>194</v>
      </c>
      <c r="X416" s="300">
        <v>44580</v>
      </c>
      <c r="Y416" s="299" t="s">
        <v>59</v>
      </c>
      <c r="Z416" s="303">
        <v>2602.1999999999998</v>
      </c>
      <c r="AA416" s="305">
        <f>IF(Z416=0,0,IF(Y416="MXN",1/HLOOKUP(YEAR(X416)+(MONTH(X416)/100),TC!$5:$37,DAY(X416)+2,FALSE),VLOOKUP(Y416,Equivalencia!$1:$23,((MAX(Equivalencia!$3:$3)-YEAR(X416))*14)+MONTH(X416)+2,FALSE)))</f>
        <v>1</v>
      </c>
      <c r="AB416" s="306">
        <f t="shared" si="110"/>
        <v>2602.1999999999998</v>
      </c>
      <c r="AC416" s="305">
        <f>+IF(X416=0,0,HLOOKUP(YEAR(X416)+(MONTH(X416)/100),TC!$5:$37,DAY(X416)+2,FALSE))</f>
        <v>20.3002</v>
      </c>
      <c r="AD416" s="307">
        <f t="shared" si="111"/>
        <v>52825.180439999996</v>
      </c>
      <c r="AE416" s="314">
        <f t="shared" si="112"/>
        <v>46368.271547392986</v>
      </c>
      <c r="AF416" s="315">
        <f t="shared" si="113"/>
        <v>6456.9088926070108</v>
      </c>
      <c r="AG416" s="316">
        <f t="shared" si="114"/>
        <v>1.1534246575342466</v>
      </c>
      <c r="AH416" s="314">
        <v>1</v>
      </c>
      <c r="AI416" s="314">
        <f t="shared" si="115"/>
        <v>6456.9088926070108</v>
      </c>
      <c r="AJ416" s="314">
        <f t="shared" si="116"/>
        <v>0</v>
      </c>
      <c r="AK416" s="317"/>
      <c r="AL416" s="315">
        <f t="shared" si="117"/>
        <v>463.27384615384562</v>
      </c>
      <c r="AN416" s="554">
        <f t="shared" si="118"/>
        <v>0.216591790848319</v>
      </c>
      <c r="AO416" s="314"/>
      <c r="AP416" s="318"/>
    </row>
    <row r="417" spans="2:42">
      <c r="B417" s="296" t="s">
        <v>1254</v>
      </c>
      <c r="C417" s="299" t="s">
        <v>277</v>
      </c>
      <c r="D417" s="298" t="s">
        <v>711</v>
      </c>
      <c r="E417" s="299" t="s">
        <v>113</v>
      </c>
      <c r="F417" s="299" t="s">
        <v>59</v>
      </c>
      <c r="G417" s="300">
        <v>44159</v>
      </c>
      <c r="H417" s="303">
        <v>2138.9261538461542</v>
      </c>
      <c r="I417" s="301" t="str">
        <f t="shared" si="102"/>
        <v>Ingresos Sección II LISR (SIC &amp; BMV)</v>
      </c>
      <c r="J417" s="302">
        <f t="shared" si="103"/>
        <v>24</v>
      </c>
      <c r="K417" s="304">
        <f t="shared" si="104"/>
        <v>89.121923076923096</v>
      </c>
      <c r="L417" s="305">
        <f>IF(H417=0,0,IF(OR(E417=$AT$5,E417=$AT$6),AA417,IF(F417="MXN",1/HLOOKUP(YEAR(G417)+(MONTH(G417)/100),TC!$5:$37,DAY(G417)+2,FALSE),VLOOKUP(F417,Equivalencia!$5:$23,((MAX(Equivalencia!$3:$3)-YEAR(G417))*14)+MONTH(G417)+2,FALSE))))</f>
        <v>1</v>
      </c>
      <c r="M417" s="306">
        <f t="shared" si="105"/>
        <v>2138.9261538461542</v>
      </c>
      <c r="N417" s="305">
        <f>IF(G417=0,0,(IF(OR(E417=$AT$5,E417=$AT$6),AC417,HLOOKUP(YEAR(G417)+(MONTH(G417)/100),TC!$5:$37,DAY(G417)+2,FALSE))))</f>
        <v>20.1172</v>
      </c>
      <c r="O417" s="307">
        <f t="shared" si="106"/>
        <v>43029.205222153854</v>
      </c>
      <c r="P417" s="560">
        <f>IF(G417=0,0,VLOOKUP(YEAR(G417),INPC!$B$4:$P$30,MONTH(G417)+2))</f>
        <v>108.85599999999999</v>
      </c>
      <c r="Q417" s="560">
        <f>IF(X417=0,0,IF(OR(E417=$AT$10,E417=$AT$9),VLOOKUP(YEAR(X417),INPC!$B$4:$P$30,MONTH(X417)+1),VLOOKUP(YEAR(X417),INPC!$B$4:$P$30,MONTH(X417)+2,0)))</f>
        <v>117.30800000000001</v>
      </c>
      <c r="R417" s="309">
        <f t="shared" si="107"/>
        <v>1.0775999999999999</v>
      </c>
      <c r="S417" s="310">
        <f t="shared" si="108"/>
        <v>46368.271547392986</v>
      </c>
      <c r="T417" s="555">
        <f t="shared" si="109"/>
        <v>1932.0113144747077</v>
      </c>
      <c r="U417" s="311"/>
      <c r="V417" s="312">
        <v>24</v>
      </c>
      <c r="W417" s="299" t="s">
        <v>194</v>
      </c>
      <c r="X417" s="300">
        <v>44580</v>
      </c>
      <c r="Y417" s="299" t="s">
        <v>59</v>
      </c>
      <c r="Z417" s="303">
        <v>2609.3000000000002</v>
      </c>
      <c r="AA417" s="305">
        <f>IF(Z417=0,0,IF(Y417="MXN",1/HLOOKUP(YEAR(X417)+(MONTH(X417)/100),TC!$5:$37,DAY(X417)+2,FALSE),VLOOKUP(Y417,Equivalencia!$1:$23,((MAX(Equivalencia!$3:$3)-YEAR(X417))*14)+MONTH(X417)+2,FALSE)))</f>
        <v>1</v>
      </c>
      <c r="AB417" s="306">
        <f t="shared" si="110"/>
        <v>2609.3000000000002</v>
      </c>
      <c r="AC417" s="305">
        <f>+IF(X417=0,0,HLOOKUP(YEAR(X417)+(MONTH(X417)/100),TC!$5:$37,DAY(X417)+2,FALSE))</f>
        <v>20.3002</v>
      </c>
      <c r="AD417" s="307">
        <f t="shared" si="111"/>
        <v>52969.311860000002</v>
      </c>
      <c r="AE417" s="314">
        <f t="shared" si="112"/>
        <v>46368.271547392986</v>
      </c>
      <c r="AF417" s="315">
        <f t="shared" si="113"/>
        <v>6601.0403126070159</v>
      </c>
      <c r="AG417" s="316">
        <f t="shared" si="114"/>
        <v>1.1534246575342466</v>
      </c>
      <c r="AH417" s="314">
        <v>1</v>
      </c>
      <c r="AI417" s="314">
        <f t="shared" si="115"/>
        <v>6601.0403126070159</v>
      </c>
      <c r="AJ417" s="314">
        <f t="shared" si="116"/>
        <v>0</v>
      </c>
      <c r="AK417" s="317"/>
      <c r="AL417" s="315">
        <f t="shared" si="117"/>
        <v>470.37384615384599</v>
      </c>
      <c r="AN417" s="554">
        <f t="shared" si="118"/>
        <v>0.21991121353490095</v>
      </c>
      <c r="AO417" s="314"/>
      <c r="AP417" s="318"/>
    </row>
    <row r="418" spans="2:42">
      <c r="B418" s="296" t="s">
        <v>1254</v>
      </c>
      <c r="C418" s="299" t="s">
        <v>277</v>
      </c>
      <c r="D418" s="298" t="s">
        <v>711</v>
      </c>
      <c r="E418" s="299" t="s">
        <v>113</v>
      </c>
      <c r="F418" s="299" t="s">
        <v>59</v>
      </c>
      <c r="G418" s="300">
        <v>44159</v>
      </c>
      <c r="H418" s="303">
        <v>267.36576923076927</v>
      </c>
      <c r="I418" s="301" t="str">
        <f t="shared" si="102"/>
        <v>Ingresos Sección II LISR (SIC &amp; BMV)</v>
      </c>
      <c r="J418" s="302">
        <f t="shared" si="103"/>
        <v>3</v>
      </c>
      <c r="K418" s="304">
        <f t="shared" si="104"/>
        <v>89.121923076923096</v>
      </c>
      <c r="L418" s="305">
        <f>IF(H418=0,0,IF(OR(E418=$AT$5,E418=$AT$6),AA418,IF(F418="MXN",1/HLOOKUP(YEAR(G418)+(MONTH(G418)/100),TC!$5:$37,DAY(G418)+2,FALSE),VLOOKUP(F418,Equivalencia!$5:$23,((MAX(Equivalencia!$3:$3)-YEAR(G418))*14)+MONTH(G418)+2,FALSE))))</f>
        <v>1</v>
      </c>
      <c r="M418" s="306">
        <f t="shared" si="105"/>
        <v>267.36576923076927</v>
      </c>
      <c r="N418" s="305">
        <f>IF(G418=0,0,(IF(OR(E418=$AT$5,E418=$AT$6),AC418,HLOOKUP(YEAR(G418)+(MONTH(G418)/100),TC!$5:$37,DAY(G418)+2,FALSE))))</f>
        <v>20.1172</v>
      </c>
      <c r="O418" s="307">
        <f t="shared" si="106"/>
        <v>5378.6506527692318</v>
      </c>
      <c r="P418" s="560">
        <f>IF(G418=0,0,VLOOKUP(YEAR(G418),INPC!$B$4:$P$30,MONTH(G418)+2))</f>
        <v>108.85599999999999</v>
      </c>
      <c r="Q418" s="560">
        <f>IF(X418=0,0,IF(OR(E418=$AT$10,E418=$AT$9),VLOOKUP(YEAR(X418),INPC!$B$4:$P$30,MONTH(X418)+1),VLOOKUP(YEAR(X418),INPC!$B$4:$P$30,MONTH(X418)+2,0)))</f>
        <v>117.30800000000001</v>
      </c>
      <c r="R418" s="309">
        <f t="shared" si="107"/>
        <v>1.0775999999999999</v>
      </c>
      <c r="S418" s="310">
        <f t="shared" si="108"/>
        <v>5796.0339434241232</v>
      </c>
      <c r="T418" s="555">
        <f t="shared" si="109"/>
        <v>1932.0113144747077</v>
      </c>
      <c r="U418" s="311"/>
      <c r="V418" s="312">
        <v>3</v>
      </c>
      <c r="W418" s="299" t="s">
        <v>194</v>
      </c>
      <c r="X418" s="300">
        <v>44580</v>
      </c>
      <c r="Y418" s="299" t="s">
        <v>59</v>
      </c>
      <c r="Z418" s="303">
        <v>324.24</v>
      </c>
      <c r="AA418" s="305">
        <f>IF(Z418=0,0,IF(Y418="MXN",1/HLOOKUP(YEAR(X418)+(MONTH(X418)/100),TC!$5:$37,DAY(X418)+2,FALSE),VLOOKUP(Y418,Equivalencia!$1:$23,((MAX(Equivalencia!$3:$3)-YEAR(X418))*14)+MONTH(X418)+2,FALSE)))</f>
        <v>1</v>
      </c>
      <c r="AB418" s="306">
        <f t="shared" si="110"/>
        <v>324.24</v>
      </c>
      <c r="AC418" s="305">
        <f>+IF(X418=0,0,HLOOKUP(YEAR(X418)+(MONTH(X418)/100),TC!$5:$37,DAY(X418)+2,FALSE))</f>
        <v>20.3002</v>
      </c>
      <c r="AD418" s="307">
        <f t="shared" si="111"/>
        <v>6582.1368480000001</v>
      </c>
      <c r="AE418" s="314">
        <f t="shared" si="112"/>
        <v>5796.0339434241232</v>
      </c>
      <c r="AF418" s="315">
        <f t="shared" si="113"/>
        <v>786.10290457587689</v>
      </c>
      <c r="AG418" s="316">
        <f t="shared" si="114"/>
        <v>1.1534246575342466</v>
      </c>
      <c r="AH418" s="314">
        <v>1</v>
      </c>
      <c r="AI418" s="314">
        <f t="shared" si="115"/>
        <v>786.10290457587689</v>
      </c>
      <c r="AJ418" s="314">
        <f t="shared" si="116"/>
        <v>0</v>
      </c>
      <c r="AK418" s="317"/>
      <c r="AL418" s="315">
        <f t="shared" si="117"/>
        <v>56.874230769230735</v>
      </c>
      <c r="AN418" s="554">
        <f t="shared" si="118"/>
        <v>0.21272068946171391</v>
      </c>
      <c r="AO418" s="314"/>
      <c r="AP418" s="318"/>
    </row>
    <row r="419" spans="2:42">
      <c r="B419" s="296" t="s">
        <v>1254</v>
      </c>
      <c r="C419" s="299" t="s">
        <v>277</v>
      </c>
      <c r="D419" s="298" t="s">
        <v>711</v>
      </c>
      <c r="E419" s="299" t="s">
        <v>113</v>
      </c>
      <c r="F419" s="299" t="s">
        <v>59</v>
      </c>
      <c r="G419" s="300">
        <v>44159</v>
      </c>
      <c r="H419" s="303">
        <v>2673.6576923076923</v>
      </c>
      <c r="I419" s="301" t="str">
        <f t="shared" si="102"/>
        <v>Ingresos Sección II LISR (SIC &amp; BMV)</v>
      </c>
      <c r="J419" s="302">
        <f t="shared" si="103"/>
        <v>30</v>
      </c>
      <c r="K419" s="304">
        <f t="shared" si="104"/>
        <v>89.121923076923082</v>
      </c>
      <c r="L419" s="305">
        <f>IF(H419=0,0,IF(OR(E419=$AT$5,E419=$AT$6),AA419,IF(F419="MXN",1/HLOOKUP(YEAR(G419)+(MONTH(G419)/100),TC!$5:$37,DAY(G419)+2,FALSE),VLOOKUP(F419,Equivalencia!$5:$23,((MAX(Equivalencia!$3:$3)-YEAR(G419))*14)+MONTH(G419)+2,FALSE))))</f>
        <v>1</v>
      </c>
      <c r="M419" s="306">
        <f t="shared" si="105"/>
        <v>2673.6576923076923</v>
      </c>
      <c r="N419" s="305">
        <f>IF(G419=0,0,(IF(OR(E419=$AT$5,E419=$AT$6),AC419,HLOOKUP(YEAR(G419)+(MONTH(G419)/100),TC!$5:$37,DAY(G419)+2,FALSE))))</f>
        <v>20.1172</v>
      </c>
      <c r="O419" s="307">
        <f t="shared" si="106"/>
        <v>53786.506527692305</v>
      </c>
      <c r="P419" s="560">
        <f>IF(G419=0,0,VLOOKUP(YEAR(G419),INPC!$B$4:$P$30,MONTH(G419)+2))</f>
        <v>108.85599999999999</v>
      </c>
      <c r="Q419" s="560">
        <f>IF(X419=0,0,IF(OR(E419=$AT$10,E419=$AT$9),VLOOKUP(YEAR(X419),INPC!$B$4:$P$30,MONTH(X419)+1),VLOOKUP(YEAR(X419),INPC!$B$4:$P$30,MONTH(X419)+2,0)))</f>
        <v>117.30800000000001</v>
      </c>
      <c r="R419" s="309">
        <f t="shared" si="107"/>
        <v>1.0775999999999999</v>
      </c>
      <c r="S419" s="310">
        <f t="shared" si="108"/>
        <v>57960.339434241221</v>
      </c>
      <c r="T419" s="555">
        <f t="shared" si="109"/>
        <v>1932.0113144747074</v>
      </c>
      <c r="U419" s="311"/>
      <c r="V419" s="312">
        <v>30</v>
      </c>
      <c r="W419" s="299" t="s">
        <v>194</v>
      </c>
      <c r="X419" s="300">
        <v>44580</v>
      </c>
      <c r="Y419" s="299" t="s">
        <v>59</v>
      </c>
      <c r="Z419" s="303">
        <v>3259.39</v>
      </c>
      <c r="AA419" s="305">
        <f>IF(Z419=0,0,IF(Y419="MXN",1/HLOOKUP(YEAR(X419)+(MONTH(X419)/100),TC!$5:$37,DAY(X419)+2,FALSE),VLOOKUP(Y419,Equivalencia!$1:$23,((MAX(Equivalencia!$3:$3)-YEAR(X419))*14)+MONTH(X419)+2,FALSE)))</f>
        <v>1</v>
      </c>
      <c r="AB419" s="306">
        <f t="shared" si="110"/>
        <v>3259.39</v>
      </c>
      <c r="AC419" s="305">
        <f>+IF(X419=0,0,HLOOKUP(YEAR(X419)+(MONTH(X419)/100),TC!$5:$37,DAY(X419)+2,FALSE))</f>
        <v>20.3002</v>
      </c>
      <c r="AD419" s="307">
        <f t="shared" si="111"/>
        <v>66166.268878000003</v>
      </c>
      <c r="AE419" s="314">
        <f t="shared" si="112"/>
        <v>57960.339434241221</v>
      </c>
      <c r="AF419" s="315">
        <f t="shared" si="113"/>
        <v>8205.9294437587814</v>
      </c>
      <c r="AG419" s="316">
        <f t="shared" si="114"/>
        <v>1.1534246575342466</v>
      </c>
      <c r="AH419" s="314">
        <v>1</v>
      </c>
      <c r="AI419" s="314">
        <f t="shared" si="115"/>
        <v>8205.9294437587814</v>
      </c>
      <c r="AJ419" s="314">
        <f t="shared" si="116"/>
        <v>0</v>
      </c>
      <c r="AK419" s="317"/>
      <c r="AL419" s="315">
        <f t="shared" si="117"/>
        <v>585.73230769230759</v>
      </c>
      <c r="AN419" s="554">
        <f t="shared" si="118"/>
        <v>0.21907528004706886</v>
      </c>
      <c r="AO419" s="314"/>
      <c r="AP419" s="318"/>
    </row>
    <row r="420" spans="2:42">
      <c r="B420" s="296" t="s">
        <v>1254</v>
      </c>
      <c r="C420" s="299" t="s">
        <v>277</v>
      </c>
      <c r="D420" s="298" t="s">
        <v>711</v>
      </c>
      <c r="E420" s="299" t="s">
        <v>113</v>
      </c>
      <c r="F420" s="299" t="s">
        <v>59</v>
      </c>
      <c r="G420" s="300">
        <v>44159</v>
      </c>
      <c r="H420" s="303">
        <v>623.8534615384616</v>
      </c>
      <c r="I420" s="301" t="str">
        <f t="shared" si="102"/>
        <v>Ingresos Sección II LISR (SIC &amp; BMV)</v>
      </c>
      <c r="J420" s="302">
        <f t="shared" si="103"/>
        <v>7</v>
      </c>
      <c r="K420" s="304">
        <f t="shared" si="104"/>
        <v>89.121923076923082</v>
      </c>
      <c r="L420" s="305">
        <f>IF(H420=0,0,IF(OR(E420=$AT$5,E420=$AT$6),AA420,IF(F420="MXN",1/HLOOKUP(YEAR(G420)+(MONTH(G420)/100),TC!$5:$37,DAY(G420)+2,FALSE),VLOOKUP(F420,Equivalencia!$5:$23,((MAX(Equivalencia!$3:$3)-YEAR(G420))*14)+MONTH(G420)+2,FALSE))))</f>
        <v>1</v>
      </c>
      <c r="M420" s="306">
        <f t="shared" si="105"/>
        <v>623.8534615384616</v>
      </c>
      <c r="N420" s="305">
        <f>IF(G420=0,0,(IF(OR(E420=$AT$5,E420=$AT$6),AC420,HLOOKUP(YEAR(G420)+(MONTH(G420)/100),TC!$5:$37,DAY(G420)+2,FALSE))))</f>
        <v>20.1172</v>
      </c>
      <c r="O420" s="307">
        <f t="shared" si="106"/>
        <v>12550.184856461539</v>
      </c>
      <c r="P420" s="560">
        <f>IF(G420=0,0,VLOOKUP(YEAR(G420),INPC!$B$4:$P$30,MONTH(G420)+2))</f>
        <v>108.85599999999999</v>
      </c>
      <c r="Q420" s="560">
        <f>IF(X420=0,0,IF(OR(E420=$AT$10,E420=$AT$9),VLOOKUP(YEAR(X420),INPC!$B$4:$P$30,MONTH(X420)+1),VLOOKUP(YEAR(X420),INPC!$B$4:$P$30,MONTH(X420)+2,0)))</f>
        <v>117.30800000000001</v>
      </c>
      <c r="R420" s="309">
        <f t="shared" si="107"/>
        <v>1.0775999999999999</v>
      </c>
      <c r="S420" s="310">
        <f t="shared" si="108"/>
        <v>13524.079201322953</v>
      </c>
      <c r="T420" s="555">
        <f t="shared" si="109"/>
        <v>1932.0113144747077</v>
      </c>
      <c r="U420" s="311"/>
      <c r="V420" s="312">
        <v>7</v>
      </c>
      <c r="W420" s="299" t="s">
        <v>194</v>
      </c>
      <c r="X420" s="300">
        <v>44580</v>
      </c>
      <c r="Y420" s="299" t="s">
        <v>59</v>
      </c>
      <c r="Z420" s="303">
        <v>760.47222222222217</v>
      </c>
      <c r="AA420" s="305">
        <f>IF(Z420=0,0,IF(Y420="MXN",1/HLOOKUP(YEAR(X420)+(MONTH(X420)/100),TC!$5:$37,DAY(X420)+2,FALSE),VLOOKUP(Y420,Equivalencia!$1:$23,((MAX(Equivalencia!$3:$3)-YEAR(X420))*14)+MONTH(X420)+2,FALSE)))</f>
        <v>1</v>
      </c>
      <c r="AB420" s="306">
        <f t="shared" si="110"/>
        <v>760.47222222222217</v>
      </c>
      <c r="AC420" s="305">
        <f>+IF(X420=0,0,HLOOKUP(YEAR(X420)+(MONTH(X420)/100),TC!$5:$37,DAY(X420)+2,FALSE))</f>
        <v>20.3002</v>
      </c>
      <c r="AD420" s="307">
        <f t="shared" si="111"/>
        <v>15437.738205555555</v>
      </c>
      <c r="AE420" s="314">
        <f t="shared" si="112"/>
        <v>13524.079201322953</v>
      </c>
      <c r="AF420" s="315">
        <f t="shared" si="113"/>
        <v>1913.6590042326025</v>
      </c>
      <c r="AG420" s="316">
        <f t="shared" si="114"/>
        <v>1.1534246575342466</v>
      </c>
      <c r="AH420" s="314">
        <v>1</v>
      </c>
      <c r="AI420" s="314">
        <f t="shared" si="115"/>
        <v>1913.6590042326025</v>
      </c>
      <c r="AJ420" s="314">
        <f t="shared" si="116"/>
        <v>0</v>
      </c>
      <c r="AK420" s="317"/>
      <c r="AL420" s="315">
        <f t="shared" si="117"/>
        <v>136.61876068376057</v>
      </c>
      <c r="AN420" s="554">
        <f t="shared" si="118"/>
        <v>0.21899174903486177</v>
      </c>
      <c r="AO420" s="314"/>
      <c r="AP420" s="318"/>
    </row>
    <row r="421" spans="2:42">
      <c r="B421" s="296" t="s">
        <v>1254</v>
      </c>
      <c r="C421" s="299" t="s">
        <v>277</v>
      </c>
      <c r="D421" s="298" t="s">
        <v>711</v>
      </c>
      <c r="E421" s="299" t="s">
        <v>113</v>
      </c>
      <c r="F421" s="299" t="s">
        <v>59</v>
      </c>
      <c r="G421" s="300">
        <v>44260</v>
      </c>
      <c r="H421" s="303">
        <v>175.79357894736842</v>
      </c>
      <c r="I421" s="301" t="str">
        <f t="shared" si="102"/>
        <v>Ingresos Sección II LISR (SIC &amp; BMV)</v>
      </c>
      <c r="J421" s="302">
        <f t="shared" si="103"/>
        <v>2</v>
      </c>
      <c r="K421" s="304">
        <f t="shared" si="104"/>
        <v>87.896789473684208</v>
      </c>
      <c r="L421" s="305">
        <f>IF(H421=0,0,IF(OR(E421=$AT$5,E421=$AT$6),AA421,IF(F421="MXN",1/HLOOKUP(YEAR(G421)+(MONTH(G421)/100),TC!$5:$37,DAY(G421)+2,FALSE),VLOOKUP(F421,Equivalencia!$5:$23,((MAX(Equivalencia!$3:$3)-YEAR(G421))*14)+MONTH(G421)+2,FALSE))))</f>
        <v>1</v>
      </c>
      <c r="M421" s="306">
        <f t="shared" si="105"/>
        <v>175.79357894736842</v>
      </c>
      <c r="N421" s="305">
        <f>IF(G421=0,0,(IF(OR(E421=$AT$5,E421=$AT$6),AC421,HLOOKUP(YEAR(G421)+(MONTH(G421)/100),TC!$5:$37,DAY(G421)+2,FALSE))))</f>
        <v>20.895700000000001</v>
      </c>
      <c r="O421" s="307">
        <f t="shared" si="106"/>
        <v>3673.3298876105264</v>
      </c>
      <c r="P421" s="560">
        <f>IF(G421=0,0,VLOOKUP(YEAR(G421),INPC!$B$4:$P$30,MONTH(G421)+2))</f>
        <v>111.824</v>
      </c>
      <c r="Q421" s="560">
        <f>IF(X421=0,0,IF(OR(E421=$AT$10,E421=$AT$9),VLOOKUP(YEAR(X421),INPC!$B$4:$P$30,MONTH(X421)+1),VLOOKUP(YEAR(X421),INPC!$B$4:$P$30,MONTH(X421)+2,0)))</f>
        <v>117.30800000000001</v>
      </c>
      <c r="R421" s="309">
        <f t="shared" si="107"/>
        <v>1.0489999999999999</v>
      </c>
      <c r="S421" s="310">
        <f t="shared" si="108"/>
        <v>3853.323052103442</v>
      </c>
      <c r="T421" s="555">
        <f t="shared" si="109"/>
        <v>1926.661526051721</v>
      </c>
      <c r="U421" s="311"/>
      <c r="V421" s="312">
        <v>2</v>
      </c>
      <c r="W421" s="299" t="s">
        <v>194</v>
      </c>
      <c r="X421" s="300">
        <v>44580</v>
      </c>
      <c r="Y421" s="299" t="s">
        <v>59</v>
      </c>
      <c r="Z421" s="303">
        <v>217.27777777777777</v>
      </c>
      <c r="AA421" s="305">
        <f>IF(Z421=0,0,IF(Y421="MXN",1/HLOOKUP(YEAR(X421)+(MONTH(X421)/100),TC!$5:$37,DAY(X421)+2,FALSE),VLOOKUP(Y421,Equivalencia!$1:$23,((MAX(Equivalencia!$3:$3)-YEAR(X421))*14)+MONTH(X421)+2,FALSE)))</f>
        <v>1</v>
      </c>
      <c r="AB421" s="306">
        <f t="shared" si="110"/>
        <v>217.27777777777777</v>
      </c>
      <c r="AC421" s="305">
        <f>+IF(X421=0,0,HLOOKUP(YEAR(X421)+(MONTH(X421)/100),TC!$5:$37,DAY(X421)+2,FALSE))</f>
        <v>20.3002</v>
      </c>
      <c r="AD421" s="307">
        <f t="shared" si="111"/>
        <v>4410.7823444444448</v>
      </c>
      <c r="AE421" s="314">
        <f t="shared" si="112"/>
        <v>3853.323052103442</v>
      </c>
      <c r="AF421" s="315">
        <f t="shared" si="113"/>
        <v>557.45929234100277</v>
      </c>
      <c r="AG421" s="316">
        <f t="shared" si="114"/>
        <v>0.87671232876712324</v>
      </c>
      <c r="AH421" s="314">
        <v>1</v>
      </c>
      <c r="AI421" s="314">
        <f t="shared" si="115"/>
        <v>557.45929234100277</v>
      </c>
      <c r="AJ421" s="314">
        <f t="shared" si="116"/>
        <v>0</v>
      </c>
      <c r="AK421" s="317"/>
      <c r="AL421" s="315">
        <f t="shared" si="117"/>
        <v>41.484198830409355</v>
      </c>
      <c r="AN421" s="554">
        <f t="shared" si="118"/>
        <v>0.23598244645118399</v>
      </c>
      <c r="AO421" s="314"/>
      <c r="AP421" s="318"/>
    </row>
    <row r="422" spans="2:42">
      <c r="B422" s="296" t="s">
        <v>1254</v>
      </c>
      <c r="C422" s="299" t="s">
        <v>277</v>
      </c>
      <c r="D422" s="298" t="s">
        <v>711</v>
      </c>
      <c r="E422" s="299" t="s">
        <v>113</v>
      </c>
      <c r="F422" s="299" t="s">
        <v>59</v>
      </c>
      <c r="G422" s="300">
        <v>44260</v>
      </c>
      <c r="H422" s="303">
        <v>87.896789473684208</v>
      </c>
      <c r="I422" s="301" t="str">
        <f t="shared" si="102"/>
        <v>Ingresos Sección II LISR (SIC &amp; BMV)</v>
      </c>
      <c r="J422" s="302">
        <f t="shared" si="103"/>
        <v>1</v>
      </c>
      <c r="K422" s="304">
        <f t="shared" si="104"/>
        <v>87.896789473684208</v>
      </c>
      <c r="L422" s="305">
        <f>IF(H422=0,0,IF(OR(E422=$AT$5,E422=$AT$6),AA422,IF(F422="MXN",1/HLOOKUP(YEAR(G422)+(MONTH(G422)/100),TC!$5:$37,DAY(G422)+2,FALSE),VLOOKUP(F422,Equivalencia!$5:$23,((MAX(Equivalencia!$3:$3)-YEAR(G422))*14)+MONTH(G422)+2,FALSE))))</f>
        <v>1</v>
      </c>
      <c r="M422" s="306">
        <f t="shared" si="105"/>
        <v>87.896789473684208</v>
      </c>
      <c r="N422" s="305">
        <f>IF(G422=0,0,(IF(OR(E422=$AT$5,E422=$AT$6),AC422,HLOOKUP(YEAR(G422)+(MONTH(G422)/100),TC!$5:$37,DAY(G422)+2,FALSE))))</f>
        <v>20.895700000000001</v>
      </c>
      <c r="O422" s="307">
        <f t="shared" si="106"/>
        <v>1836.6649438052632</v>
      </c>
      <c r="P422" s="560">
        <f>IF(G422=0,0,VLOOKUP(YEAR(G422),INPC!$B$4:$P$30,MONTH(G422)+2))</f>
        <v>111.824</v>
      </c>
      <c r="Q422" s="560">
        <f>IF(X422=0,0,IF(OR(E422=$AT$10,E422=$AT$9),VLOOKUP(YEAR(X422),INPC!$B$4:$P$30,MONTH(X422)+1),VLOOKUP(YEAR(X422),INPC!$B$4:$P$30,MONTH(X422)+2,0)))</f>
        <v>117.30800000000001</v>
      </c>
      <c r="R422" s="309">
        <f t="shared" si="107"/>
        <v>1.0489999999999999</v>
      </c>
      <c r="S422" s="310">
        <f t="shared" si="108"/>
        <v>1926.661526051721</v>
      </c>
      <c r="T422" s="555">
        <f t="shared" si="109"/>
        <v>1926.661526051721</v>
      </c>
      <c r="U422" s="311"/>
      <c r="V422" s="312">
        <v>1</v>
      </c>
      <c r="W422" s="299" t="s">
        <v>194</v>
      </c>
      <c r="X422" s="300">
        <v>44581</v>
      </c>
      <c r="Y422" s="299" t="s">
        <v>59</v>
      </c>
      <c r="Z422" s="303">
        <v>107.16</v>
      </c>
      <c r="AA422" s="305">
        <f>IF(Z422=0,0,IF(Y422="MXN",1/HLOOKUP(YEAR(X422)+(MONTH(X422)/100),TC!$5:$37,DAY(X422)+2,FALSE),VLOOKUP(Y422,Equivalencia!$1:$23,((MAX(Equivalencia!$3:$3)-YEAR(X422))*14)+MONTH(X422)+2,FALSE)))</f>
        <v>1</v>
      </c>
      <c r="AB422" s="306">
        <f t="shared" si="110"/>
        <v>107.16</v>
      </c>
      <c r="AC422" s="305">
        <f>+IF(X422=0,0,HLOOKUP(YEAR(X422)+(MONTH(X422)/100),TC!$5:$37,DAY(X422)+2,FALSE))</f>
        <v>20.402999999999999</v>
      </c>
      <c r="AD422" s="307">
        <f t="shared" si="111"/>
        <v>2186.3854799999999</v>
      </c>
      <c r="AE422" s="314">
        <f t="shared" si="112"/>
        <v>1926.661526051721</v>
      </c>
      <c r="AF422" s="315">
        <f t="shared" si="113"/>
        <v>259.7239539482789</v>
      </c>
      <c r="AG422" s="316">
        <f t="shared" si="114"/>
        <v>0.8794520547945206</v>
      </c>
      <c r="AH422" s="314">
        <v>1</v>
      </c>
      <c r="AI422" s="314">
        <f t="shared" si="115"/>
        <v>259.7239539482789</v>
      </c>
      <c r="AJ422" s="314">
        <f t="shared" si="116"/>
        <v>0</v>
      </c>
      <c r="AK422" s="317"/>
      <c r="AL422" s="315">
        <f t="shared" si="117"/>
        <v>19.263210526315788</v>
      </c>
      <c r="AN422" s="554">
        <f t="shared" si="118"/>
        <v>0.21915715740770125</v>
      </c>
      <c r="AO422" s="314"/>
      <c r="AP422" s="318"/>
    </row>
    <row r="423" spans="2:42">
      <c r="B423" s="296" t="s">
        <v>1254</v>
      </c>
      <c r="C423" s="299" t="s">
        <v>277</v>
      </c>
      <c r="D423" s="298" t="s">
        <v>711</v>
      </c>
      <c r="E423" s="299" t="s">
        <v>113</v>
      </c>
      <c r="F423" s="299" t="s">
        <v>59</v>
      </c>
      <c r="G423" s="300">
        <v>44260</v>
      </c>
      <c r="H423" s="303">
        <v>1757.9357894736841</v>
      </c>
      <c r="I423" s="301" t="str">
        <f t="shared" si="102"/>
        <v>Ingresos Sección II LISR (SIC &amp; BMV)</v>
      </c>
      <c r="J423" s="302">
        <f t="shared" si="103"/>
        <v>20</v>
      </c>
      <c r="K423" s="304">
        <f t="shared" si="104"/>
        <v>87.896789473684208</v>
      </c>
      <c r="L423" s="305">
        <f>IF(H423=0,0,IF(OR(E423=$AT$5,E423=$AT$6),AA423,IF(F423="MXN",1/HLOOKUP(YEAR(G423)+(MONTH(G423)/100),TC!$5:$37,DAY(G423)+2,FALSE),VLOOKUP(F423,Equivalencia!$5:$23,((MAX(Equivalencia!$3:$3)-YEAR(G423))*14)+MONTH(G423)+2,FALSE))))</f>
        <v>1</v>
      </c>
      <c r="M423" s="306">
        <f t="shared" si="105"/>
        <v>1757.9357894736841</v>
      </c>
      <c r="N423" s="305">
        <f>IF(G423=0,0,(IF(OR(E423=$AT$5,E423=$AT$6),AC423,HLOOKUP(YEAR(G423)+(MONTH(G423)/100),TC!$5:$37,DAY(G423)+2,FALSE))))</f>
        <v>20.895700000000001</v>
      </c>
      <c r="O423" s="307">
        <f t="shared" si="106"/>
        <v>36733.298876105262</v>
      </c>
      <c r="P423" s="560">
        <f>IF(G423=0,0,VLOOKUP(YEAR(G423),INPC!$B$4:$P$30,MONTH(G423)+2))</f>
        <v>111.824</v>
      </c>
      <c r="Q423" s="560">
        <f>IF(X423=0,0,IF(OR(E423=$AT$10,E423=$AT$9),VLOOKUP(YEAR(X423),INPC!$B$4:$P$30,MONTH(X423)+1),VLOOKUP(YEAR(X423),INPC!$B$4:$P$30,MONTH(X423)+2,0)))</f>
        <v>117.30800000000001</v>
      </c>
      <c r="R423" s="309">
        <f t="shared" si="107"/>
        <v>1.0489999999999999</v>
      </c>
      <c r="S423" s="310">
        <f t="shared" si="108"/>
        <v>38533.23052103442</v>
      </c>
      <c r="T423" s="555">
        <f t="shared" si="109"/>
        <v>1926.661526051721</v>
      </c>
      <c r="U423" s="311"/>
      <c r="V423" s="312">
        <v>20</v>
      </c>
      <c r="W423" s="299" t="s">
        <v>194</v>
      </c>
      <c r="X423" s="300">
        <v>44581</v>
      </c>
      <c r="Y423" s="299" t="s">
        <v>59</v>
      </c>
      <c r="Z423" s="303">
        <v>2157.4899999999998</v>
      </c>
      <c r="AA423" s="305">
        <f>IF(Z423=0,0,IF(Y423="MXN",1/HLOOKUP(YEAR(X423)+(MONTH(X423)/100),TC!$5:$37,DAY(X423)+2,FALSE),VLOOKUP(Y423,Equivalencia!$1:$23,((MAX(Equivalencia!$3:$3)-YEAR(X423))*14)+MONTH(X423)+2,FALSE)))</f>
        <v>1</v>
      </c>
      <c r="AB423" s="306">
        <f t="shared" si="110"/>
        <v>2157.4899999999998</v>
      </c>
      <c r="AC423" s="305">
        <f>+IF(X423=0,0,HLOOKUP(YEAR(X423)+(MONTH(X423)/100),TC!$5:$37,DAY(X423)+2,FALSE))</f>
        <v>20.402999999999999</v>
      </c>
      <c r="AD423" s="307">
        <f t="shared" si="111"/>
        <v>44019.268469999995</v>
      </c>
      <c r="AE423" s="314">
        <f t="shared" si="112"/>
        <v>38533.23052103442</v>
      </c>
      <c r="AF423" s="315">
        <f t="shared" si="113"/>
        <v>5486.0379489655752</v>
      </c>
      <c r="AG423" s="316">
        <f t="shared" si="114"/>
        <v>0.8794520547945206</v>
      </c>
      <c r="AH423" s="314">
        <v>1</v>
      </c>
      <c r="AI423" s="314">
        <f t="shared" si="115"/>
        <v>5486.0379489655752</v>
      </c>
      <c r="AJ423" s="314">
        <f t="shared" si="116"/>
        <v>0</v>
      </c>
      <c r="AK423" s="317"/>
      <c r="AL423" s="315">
        <f t="shared" si="117"/>
        <v>399.55421052631573</v>
      </c>
      <c r="AN423" s="554">
        <f t="shared" si="118"/>
        <v>0.22728600948840116</v>
      </c>
      <c r="AO423" s="314"/>
      <c r="AP423" s="318"/>
    </row>
    <row r="424" spans="2:42">
      <c r="B424" s="296" t="s">
        <v>1254</v>
      </c>
      <c r="C424" s="299" t="s">
        <v>277</v>
      </c>
      <c r="D424" s="298" t="s">
        <v>711</v>
      </c>
      <c r="E424" s="299" t="s">
        <v>113</v>
      </c>
      <c r="F424" s="299" t="s">
        <v>59</v>
      </c>
      <c r="G424" s="300">
        <v>44260</v>
      </c>
      <c r="H424" s="303">
        <v>2549.0068947368422</v>
      </c>
      <c r="I424" s="301" t="str">
        <f t="shared" si="102"/>
        <v>Ingresos Sección II LISR (SIC &amp; BMV)</v>
      </c>
      <c r="J424" s="302">
        <f t="shared" si="103"/>
        <v>29</v>
      </c>
      <c r="K424" s="304">
        <f t="shared" si="104"/>
        <v>87.896789473684208</v>
      </c>
      <c r="L424" s="305">
        <f>IF(H424=0,0,IF(OR(E424=$AT$5,E424=$AT$6),AA424,IF(F424="MXN",1/HLOOKUP(YEAR(G424)+(MONTH(G424)/100),TC!$5:$37,DAY(G424)+2,FALSE),VLOOKUP(F424,Equivalencia!$5:$23,((MAX(Equivalencia!$3:$3)-YEAR(G424))*14)+MONTH(G424)+2,FALSE))))</f>
        <v>1</v>
      </c>
      <c r="M424" s="306">
        <f t="shared" si="105"/>
        <v>2549.0068947368422</v>
      </c>
      <c r="N424" s="305">
        <f>IF(G424=0,0,(IF(OR(E424=$AT$5,E424=$AT$6),AC424,HLOOKUP(YEAR(G424)+(MONTH(G424)/100),TC!$5:$37,DAY(G424)+2,FALSE))))</f>
        <v>20.895700000000001</v>
      </c>
      <c r="O424" s="307">
        <f t="shared" si="106"/>
        <v>53263.283370352641</v>
      </c>
      <c r="P424" s="560">
        <f>IF(G424=0,0,VLOOKUP(YEAR(G424),INPC!$B$4:$P$30,MONTH(G424)+2))</f>
        <v>111.824</v>
      </c>
      <c r="Q424" s="560">
        <f>IF(X424=0,0,IF(OR(E424=$AT$10,E424=$AT$9),VLOOKUP(YEAR(X424),INPC!$B$4:$P$30,MONTH(X424)+1),VLOOKUP(YEAR(X424),INPC!$B$4:$P$30,MONTH(X424)+2,0)))</f>
        <v>117.30800000000001</v>
      </c>
      <c r="R424" s="309">
        <f t="shared" si="107"/>
        <v>1.0489999999999999</v>
      </c>
      <c r="S424" s="310">
        <f t="shared" si="108"/>
        <v>55873.184255499917</v>
      </c>
      <c r="T424" s="555">
        <f t="shared" si="109"/>
        <v>1926.6615260517212</v>
      </c>
      <c r="U424" s="311"/>
      <c r="V424" s="312">
        <v>29</v>
      </c>
      <c r="W424" s="299" t="s">
        <v>194</v>
      </c>
      <c r="X424" s="300">
        <v>44581</v>
      </c>
      <c r="Y424" s="299" t="s">
        <v>59</v>
      </c>
      <c r="Z424" s="303">
        <v>3140.98</v>
      </c>
      <c r="AA424" s="305">
        <f>IF(Z424=0,0,IF(Y424="MXN",1/HLOOKUP(YEAR(X424)+(MONTH(X424)/100),TC!$5:$37,DAY(X424)+2,FALSE),VLOOKUP(Y424,Equivalencia!$1:$23,((MAX(Equivalencia!$3:$3)-YEAR(X424))*14)+MONTH(X424)+2,FALSE)))</f>
        <v>1</v>
      </c>
      <c r="AB424" s="306">
        <f t="shared" si="110"/>
        <v>3140.98</v>
      </c>
      <c r="AC424" s="305">
        <f>+IF(X424=0,0,HLOOKUP(YEAR(X424)+(MONTH(X424)/100),TC!$5:$37,DAY(X424)+2,FALSE))</f>
        <v>20.402999999999999</v>
      </c>
      <c r="AD424" s="307">
        <f t="shared" si="111"/>
        <v>64085.414939999995</v>
      </c>
      <c r="AE424" s="314">
        <f t="shared" si="112"/>
        <v>55873.184255499917</v>
      </c>
      <c r="AF424" s="315">
        <f t="shared" si="113"/>
        <v>8212.2306845000785</v>
      </c>
      <c r="AG424" s="316">
        <f t="shared" si="114"/>
        <v>0.8794520547945206</v>
      </c>
      <c r="AH424" s="314">
        <v>1</v>
      </c>
      <c r="AI424" s="314">
        <f t="shared" si="115"/>
        <v>8212.2306845000785</v>
      </c>
      <c r="AJ424" s="314">
        <f t="shared" si="116"/>
        <v>0</v>
      </c>
      <c r="AK424" s="317"/>
      <c r="AL424" s="315">
        <f t="shared" si="117"/>
        <v>591.97310526315778</v>
      </c>
      <c r="AN424" s="554">
        <f t="shared" si="118"/>
        <v>0.23223676110310118</v>
      </c>
      <c r="AO424" s="314"/>
      <c r="AP424" s="318"/>
    </row>
    <row r="425" spans="2:42">
      <c r="B425" s="296" t="s">
        <v>1254</v>
      </c>
      <c r="C425" s="299" t="s">
        <v>277</v>
      </c>
      <c r="D425" s="298" t="s">
        <v>711</v>
      </c>
      <c r="E425" s="299" t="s">
        <v>113</v>
      </c>
      <c r="F425" s="299" t="s">
        <v>59</v>
      </c>
      <c r="G425" s="300">
        <v>44260</v>
      </c>
      <c r="H425" s="303">
        <v>351.58715789473683</v>
      </c>
      <c r="I425" s="301" t="str">
        <f t="shared" si="102"/>
        <v>Ingresos Sección II LISR (SIC &amp; BMV)</v>
      </c>
      <c r="J425" s="302">
        <f t="shared" si="103"/>
        <v>4</v>
      </c>
      <c r="K425" s="304">
        <f t="shared" si="104"/>
        <v>87.896789473684208</v>
      </c>
      <c r="L425" s="305">
        <f>IF(H425=0,0,IF(OR(E425=$AT$5,E425=$AT$6),AA425,IF(F425="MXN",1/HLOOKUP(YEAR(G425)+(MONTH(G425)/100),TC!$5:$37,DAY(G425)+2,FALSE),VLOOKUP(F425,Equivalencia!$5:$23,((MAX(Equivalencia!$3:$3)-YEAR(G425))*14)+MONTH(G425)+2,FALSE))))</f>
        <v>1</v>
      </c>
      <c r="M425" s="306">
        <f t="shared" si="105"/>
        <v>351.58715789473683</v>
      </c>
      <c r="N425" s="305">
        <f>IF(G425=0,0,(IF(OR(E425=$AT$5,E425=$AT$6),AC425,HLOOKUP(YEAR(G425)+(MONTH(G425)/100),TC!$5:$37,DAY(G425)+2,FALSE))))</f>
        <v>20.895700000000001</v>
      </c>
      <c r="O425" s="307">
        <f t="shared" si="106"/>
        <v>7346.6597752210528</v>
      </c>
      <c r="P425" s="560">
        <f>IF(G425=0,0,VLOOKUP(YEAR(G425),INPC!$B$4:$P$30,MONTH(G425)+2))</f>
        <v>111.824</v>
      </c>
      <c r="Q425" s="560">
        <f>IF(X425=0,0,IF(OR(E425=$AT$10,E425=$AT$9),VLOOKUP(YEAR(X425),INPC!$B$4:$P$30,MONTH(X425)+1),VLOOKUP(YEAR(X425),INPC!$B$4:$P$30,MONTH(X425)+2,0)))</f>
        <v>117.30800000000001</v>
      </c>
      <c r="R425" s="309">
        <f t="shared" si="107"/>
        <v>1.0489999999999999</v>
      </c>
      <c r="S425" s="310">
        <f t="shared" si="108"/>
        <v>7706.646104206884</v>
      </c>
      <c r="T425" s="555">
        <f t="shared" si="109"/>
        <v>1926.661526051721</v>
      </c>
      <c r="U425" s="311"/>
      <c r="V425" s="312">
        <v>4</v>
      </c>
      <c r="W425" s="299" t="s">
        <v>194</v>
      </c>
      <c r="X425" s="300">
        <v>44581</v>
      </c>
      <c r="Y425" s="299" t="s">
        <v>59</v>
      </c>
      <c r="Z425" s="303">
        <v>432.12</v>
      </c>
      <c r="AA425" s="305">
        <f>IF(Z425=0,0,IF(Y425="MXN",1/HLOOKUP(YEAR(X425)+(MONTH(X425)/100),TC!$5:$37,DAY(X425)+2,FALSE),VLOOKUP(Y425,Equivalencia!$1:$23,((MAX(Equivalencia!$3:$3)-YEAR(X425))*14)+MONTH(X425)+2,FALSE)))</f>
        <v>1</v>
      </c>
      <c r="AB425" s="306">
        <f t="shared" si="110"/>
        <v>432.12</v>
      </c>
      <c r="AC425" s="305">
        <f>+IF(X425=0,0,HLOOKUP(YEAR(X425)+(MONTH(X425)/100),TC!$5:$37,DAY(X425)+2,FALSE))</f>
        <v>20.402999999999999</v>
      </c>
      <c r="AD425" s="307">
        <f t="shared" si="111"/>
        <v>8816.5443599999999</v>
      </c>
      <c r="AE425" s="314">
        <f t="shared" si="112"/>
        <v>7706.646104206884</v>
      </c>
      <c r="AF425" s="315">
        <f t="shared" si="113"/>
        <v>1109.8982557931158</v>
      </c>
      <c r="AG425" s="316">
        <f t="shared" si="114"/>
        <v>0.8794520547945206</v>
      </c>
      <c r="AH425" s="314">
        <v>1</v>
      </c>
      <c r="AI425" s="314">
        <f t="shared" si="115"/>
        <v>1109.8982557931158</v>
      </c>
      <c r="AJ425" s="314">
        <f t="shared" si="116"/>
        <v>0</v>
      </c>
      <c r="AK425" s="317"/>
      <c r="AL425" s="315">
        <f t="shared" si="117"/>
        <v>80.532842105263171</v>
      </c>
      <c r="AN425" s="554">
        <f t="shared" si="118"/>
        <v>0.22905512985026102</v>
      </c>
      <c r="AO425" s="314"/>
      <c r="AP425" s="318"/>
    </row>
    <row r="426" spans="2:42">
      <c r="B426" s="296" t="s">
        <v>1254</v>
      </c>
      <c r="C426" s="299" t="s">
        <v>277</v>
      </c>
      <c r="D426" s="298" t="s">
        <v>711</v>
      </c>
      <c r="E426" s="299" t="s">
        <v>113</v>
      </c>
      <c r="F426" s="299" t="s">
        <v>59</v>
      </c>
      <c r="G426" s="300">
        <v>44260</v>
      </c>
      <c r="H426" s="303">
        <v>7119.6399473684205</v>
      </c>
      <c r="I426" s="301" t="str">
        <f t="shared" si="102"/>
        <v>Ingresos Sección II LISR (SIC &amp; BMV)</v>
      </c>
      <c r="J426" s="302">
        <f t="shared" si="103"/>
        <v>81</v>
      </c>
      <c r="K426" s="304">
        <f t="shared" si="104"/>
        <v>87.896789473684208</v>
      </c>
      <c r="L426" s="305">
        <f>IF(H426=0,0,IF(OR(E426=$AT$5,E426=$AT$6),AA426,IF(F426="MXN",1/HLOOKUP(YEAR(G426)+(MONTH(G426)/100),TC!$5:$37,DAY(G426)+2,FALSE),VLOOKUP(F426,Equivalencia!$5:$23,((MAX(Equivalencia!$3:$3)-YEAR(G426))*14)+MONTH(G426)+2,FALSE))))</f>
        <v>1</v>
      </c>
      <c r="M426" s="306">
        <f t="shared" si="105"/>
        <v>7119.6399473684205</v>
      </c>
      <c r="N426" s="305">
        <f>IF(G426=0,0,(IF(OR(E426=$AT$5,E426=$AT$6),AC426,HLOOKUP(YEAR(G426)+(MONTH(G426)/100),TC!$5:$37,DAY(G426)+2,FALSE))))</f>
        <v>20.895700000000001</v>
      </c>
      <c r="O426" s="307">
        <f t="shared" si="106"/>
        <v>148769.8604482263</v>
      </c>
      <c r="P426" s="560">
        <f>IF(G426=0,0,VLOOKUP(YEAR(G426),INPC!$B$4:$P$30,MONTH(G426)+2))</f>
        <v>111.824</v>
      </c>
      <c r="Q426" s="560">
        <f>IF(X426=0,0,IF(OR(E426=$AT$10,E426=$AT$9),VLOOKUP(YEAR(X426),INPC!$B$4:$P$30,MONTH(X426)+1),VLOOKUP(YEAR(X426),INPC!$B$4:$P$30,MONTH(X426)+2,0)))</f>
        <v>117.30800000000001</v>
      </c>
      <c r="R426" s="309">
        <f t="shared" si="107"/>
        <v>1.0489999999999999</v>
      </c>
      <c r="S426" s="310">
        <f t="shared" si="108"/>
        <v>156059.58361018938</v>
      </c>
      <c r="T426" s="555">
        <f t="shared" si="109"/>
        <v>1926.6615260517208</v>
      </c>
      <c r="U426" s="311"/>
      <c r="V426" s="312">
        <v>81</v>
      </c>
      <c r="W426" s="299" t="s">
        <v>194</v>
      </c>
      <c r="X426" s="300">
        <v>44587</v>
      </c>
      <c r="Y426" s="299" t="s">
        <v>59</v>
      </c>
      <c r="Z426" s="303">
        <v>8646.7344230769231</v>
      </c>
      <c r="AA426" s="305">
        <f>IF(Z426=0,0,IF(Y426="MXN",1/HLOOKUP(YEAR(X426)+(MONTH(X426)/100),TC!$5:$37,DAY(X426)+2,FALSE),VLOOKUP(Y426,Equivalencia!$1:$23,((MAX(Equivalencia!$3:$3)-YEAR(X426))*14)+MONTH(X426)+2,FALSE)))</f>
        <v>1</v>
      </c>
      <c r="AB426" s="306">
        <f t="shared" si="110"/>
        <v>8646.7344230769231</v>
      </c>
      <c r="AC426" s="305">
        <f>+IF(X426=0,0,HLOOKUP(YEAR(X426)+(MONTH(X426)/100),TC!$5:$37,DAY(X426)+2,FALSE))</f>
        <v>20.630800000000001</v>
      </c>
      <c r="AD426" s="307">
        <f t="shared" si="111"/>
        <v>178389.04853561538</v>
      </c>
      <c r="AE426" s="314">
        <f t="shared" si="112"/>
        <v>156059.58361018938</v>
      </c>
      <c r="AF426" s="315">
        <f t="shared" si="113"/>
        <v>22329.464925426</v>
      </c>
      <c r="AG426" s="316">
        <f t="shared" si="114"/>
        <v>0.89589041095890409</v>
      </c>
      <c r="AH426" s="314">
        <v>1</v>
      </c>
      <c r="AI426" s="314">
        <f t="shared" si="115"/>
        <v>22329.464925426</v>
      </c>
      <c r="AJ426" s="314">
        <f t="shared" si="116"/>
        <v>0</v>
      </c>
      <c r="AK426" s="317"/>
      <c r="AL426" s="315">
        <f t="shared" si="117"/>
        <v>1527.0944757085026</v>
      </c>
      <c r="AN426" s="554">
        <f t="shared" si="118"/>
        <v>0.21449040780116291</v>
      </c>
      <c r="AO426" s="314"/>
      <c r="AP426" s="318"/>
    </row>
    <row r="427" spans="2:42">
      <c r="B427" s="296" t="s">
        <v>1254</v>
      </c>
      <c r="C427" s="299" t="s">
        <v>277</v>
      </c>
      <c r="D427" s="298" t="s">
        <v>711</v>
      </c>
      <c r="E427" s="299" t="s">
        <v>113</v>
      </c>
      <c r="F427" s="299" t="s">
        <v>59</v>
      </c>
      <c r="G427" s="300">
        <v>44267</v>
      </c>
      <c r="H427" s="303">
        <v>2140.7437209302325</v>
      </c>
      <c r="I427" s="301" t="str">
        <f t="shared" si="102"/>
        <v>Ingresos Sección II LISR (SIC &amp; BMV)</v>
      </c>
      <c r="J427" s="302">
        <f t="shared" si="103"/>
        <v>23</v>
      </c>
      <c r="K427" s="304">
        <f t="shared" si="104"/>
        <v>93.075813953488364</v>
      </c>
      <c r="L427" s="305">
        <f>IF(H427=0,0,IF(OR(E427=$AT$5,E427=$AT$6),AA427,IF(F427="MXN",1/HLOOKUP(YEAR(G427)+(MONTH(G427)/100),TC!$5:$37,DAY(G427)+2,FALSE),VLOOKUP(F427,Equivalencia!$5:$23,((MAX(Equivalencia!$3:$3)-YEAR(G427))*14)+MONTH(G427)+2,FALSE))))</f>
        <v>1</v>
      </c>
      <c r="M427" s="306">
        <f t="shared" si="105"/>
        <v>2140.7437209302325</v>
      </c>
      <c r="N427" s="305">
        <f>IF(G427=0,0,(IF(OR(E427=$AT$5,E427=$AT$6),AC427,HLOOKUP(YEAR(G427)+(MONTH(G427)/100),TC!$5:$37,DAY(G427)+2,FALSE))))</f>
        <v>20.985299999999999</v>
      </c>
      <c r="O427" s="307">
        <f t="shared" si="106"/>
        <v>44924.149206837203</v>
      </c>
      <c r="P427" s="560">
        <f>IF(G427=0,0,VLOOKUP(YEAR(G427),INPC!$B$4:$P$30,MONTH(G427)+2))</f>
        <v>111.824</v>
      </c>
      <c r="Q427" s="560">
        <f>IF(X427=0,0,IF(OR(E427=$AT$10,E427=$AT$9),VLOOKUP(YEAR(X427),INPC!$B$4:$P$30,MONTH(X427)+1),VLOOKUP(YEAR(X427),INPC!$B$4:$P$30,MONTH(X427)+2,0)))</f>
        <v>117.30800000000001</v>
      </c>
      <c r="R427" s="309">
        <f t="shared" si="107"/>
        <v>1.0489999999999999</v>
      </c>
      <c r="S427" s="310">
        <f t="shared" si="108"/>
        <v>47125.432517972222</v>
      </c>
      <c r="T427" s="555">
        <f t="shared" si="109"/>
        <v>2048.9318486074881</v>
      </c>
      <c r="U427" s="311"/>
      <c r="V427" s="312">
        <v>23</v>
      </c>
      <c r="W427" s="299" t="s">
        <v>194</v>
      </c>
      <c r="X427" s="300">
        <v>44587</v>
      </c>
      <c r="Y427" s="299" t="s">
        <v>59</v>
      </c>
      <c r="Z427" s="303">
        <v>2455.2455769230769</v>
      </c>
      <c r="AA427" s="305">
        <f>IF(Z427=0,0,IF(Y427="MXN",1/HLOOKUP(YEAR(X427)+(MONTH(X427)/100),TC!$5:$37,DAY(X427)+2,FALSE),VLOOKUP(Y427,Equivalencia!$1:$23,((MAX(Equivalencia!$3:$3)-YEAR(X427))*14)+MONTH(X427)+2,FALSE)))</f>
        <v>1</v>
      </c>
      <c r="AB427" s="306">
        <f t="shared" si="110"/>
        <v>2455.2455769230769</v>
      </c>
      <c r="AC427" s="305">
        <f>+IF(X427=0,0,HLOOKUP(YEAR(X427)+(MONTH(X427)/100),TC!$5:$37,DAY(X427)+2,FALSE))</f>
        <v>20.630800000000001</v>
      </c>
      <c r="AD427" s="307">
        <f t="shared" si="111"/>
        <v>50653.680448384614</v>
      </c>
      <c r="AE427" s="314">
        <f t="shared" si="112"/>
        <v>47125.432517972222</v>
      </c>
      <c r="AF427" s="315">
        <f t="shared" si="113"/>
        <v>3528.2479304123917</v>
      </c>
      <c r="AG427" s="316">
        <f t="shared" si="114"/>
        <v>0.87671232876712324</v>
      </c>
      <c r="AH427" s="314">
        <v>1</v>
      </c>
      <c r="AI427" s="314">
        <f t="shared" si="115"/>
        <v>3528.2479304123917</v>
      </c>
      <c r="AJ427" s="314">
        <f t="shared" si="116"/>
        <v>0</v>
      </c>
      <c r="AK427" s="317"/>
      <c r="AL427" s="315">
        <f t="shared" si="117"/>
        <v>314.50185599284441</v>
      </c>
      <c r="AN427" s="554">
        <f t="shared" si="118"/>
        <v>0.14691242717095612</v>
      </c>
      <c r="AO427" s="314"/>
      <c r="AP427" s="318"/>
    </row>
    <row r="428" spans="2:42">
      <c r="B428" s="296" t="s">
        <v>1254</v>
      </c>
      <c r="C428" s="299" t="s">
        <v>277</v>
      </c>
      <c r="D428" s="298" t="s">
        <v>882</v>
      </c>
      <c r="E428" s="299" t="s">
        <v>113</v>
      </c>
      <c r="F428" s="299" t="s">
        <v>59</v>
      </c>
      <c r="G428" s="300">
        <v>44159</v>
      </c>
      <c r="H428" s="303">
        <v>2457.8999999999996</v>
      </c>
      <c r="I428" s="301" t="str">
        <f t="shared" si="102"/>
        <v>Ingresos Sección II LISR (SIC &amp; BMV)</v>
      </c>
      <c r="J428" s="302">
        <f t="shared" si="103"/>
        <v>12</v>
      </c>
      <c r="K428" s="304">
        <f t="shared" si="104"/>
        <v>204.82499999999996</v>
      </c>
      <c r="L428" s="305">
        <f>IF(H428=0,0,IF(OR(E428=$AT$5,E428=$AT$6),AA428,IF(F428="MXN",1/HLOOKUP(YEAR(G428)+(MONTH(G428)/100),TC!$5:$37,DAY(G428)+2,FALSE),VLOOKUP(F428,Equivalencia!$5:$23,((MAX(Equivalencia!$3:$3)-YEAR(G428))*14)+MONTH(G428)+2,FALSE))))</f>
        <v>1</v>
      </c>
      <c r="M428" s="306">
        <f t="shared" si="105"/>
        <v>2457.8999999999996</v>
      </c>
      <c r="N428" s="305">
        <f>IF(G428=0,0,(IF(OR(E428=$AT$5,E428=$AT$6),AC428,HLOOKUP(YEAR(G428)+(MONTH(G428)/100),TC!$5:$37,DAY(G428)+2,FALSE))))</f>
        <v>20.1172</v>
      </c>
      <c r="O428" s="307">
        <f t="shared" si="106"/>
        <v>49446.065879999995</v>
      </c>
      <c r="P428" s="560">
        <f>IF(G428=0,0,VLOOKUP(YEAR(G428),INPC!$B$4:$P$30,MONTH(G428)+2))</f>
        <v>108.85599999999999</v>
      </c>
      <c r="Q428" s="560">
        <f>IF(X428=0,0,IF(OR(E428=$AT$10,E428=$AT$9),VLOOKUP(YEAR(X428),INPC!$B$4:$P$30,MONTH(X428)+1),VLOOKUP(YEAR(X428),INPC!$B$4:$P$30,MONTH(X428)+2,0)))</f>
        <v>118.002</v>
      </c>
      <c r="R428" s="309">
        <f t="shared" si="107"/>
        <v>1.0840000000000001</v>
      </c>
      <c r="S428" s="310">
        <f t="shared" si="108"/>
        <v>53599.535413919999</v>
      </c>
      <c r="T428" s="555">
        <f t="shared" si="109"/>
        <v>4466.6279511599996</v>
      </c>
      <c r="U428" s="311"/>
      <c r="V428" s="312">
        <v>12</v>
      </c>
      <c r="W428" s="299" t="s">
        <v>194</v>
      </c>
      <c r="X428" s="300">
        <v>44614</v>
      </c>
      <c r="Y428" s="299" t="s">
        <v>59</v>
      </c>
      <c r="Z428" s="303">
        <v>1141.4052705882352</v>
      </c>
      <c r="AA428" s="305">
        <f>IF(Z428=0,0,IF(Y428="MXN",1/HLOOKUP(YEAR(X428)+(MONTH(X428)/100),TC!$5:$37,DAY(X428)+2,FALSE),VLOOKUP(Y428,Equivalencia!$1:$23,((MAX(Equivalencia!$3:$3)-YEAR(X428))*14)+MONTH(X428)+2,FALSE)))</f>
        <v>1</v>
      </c>
      <c r="AB428" s="306">
        <f t="shared" si="110"/>
        <v>1141.4052705882352</v>
      </c>
      <c r="AC428" s="305">
        <f>+IF(X428=0,0,HLOOKUP(YEAR(X428)+(MONTH(X428)/100),TC!$5:$37,DAY(X428)+2,FALSE))</f>
        <v>20.3063</v>
      </c>
      <c r="AD428" s="307">
        <f t="shared" si="111"/>
        <v>23177.717846145883</v>
      </c>
      <c r="AE428" s="314">
        <f t="shared" si="112"/>
        <v>53599.535413919992</v>
      </c>
      <c r="AF428" s="315">
        <f t="shared" si="113"/>
        <v>-30421.817567774109</v>
      </c>
      <c r="AG428" s="316">
        <f t="shared" si="114"/>
        <v>1.2465753424657535</v>
      </c>
      <c r="AH428" s="314">
        <v>1</v>
      </c>
      <c r="AI428" s="314">
        <f t="shared" si="115"/>
        <v>-30421.817567774109</v>
      </c>
      <c r="AJ428" s="314">
        <f t="shared" si="116"/>
        <v>0</v>
      </c>
      <c r="AK428" s="317"/>
      <c r="AL428" s="315">
        <f t="shared" si="117"/>
        <v>-1316.4947294117644</v>
      </c>
      <c r="AN428" s="554">
        <f t="shared" si="118"/>
        <v>-0.53561769372706969</v>
      </c>
      <c r="AO428" s="314"/>
      <c r="AP428" s="318"/>
    </row>
    <row r="429" spans="2:42">
      <c r="B429" s="296" t="s">
        <v>1254</v>
      </c>
      <c r="C429" s="299" t="s">
        <v>277</v>
      </c>
      <c r="D429" s="298" t="s">
        <v>882</v>
      </c>
      <c r="E429" s="299" t="s">
        <v>113</v>
      </c>
      <c r="F429" s="299" t="s">
        <v>59</v>
      </c>
      <c r="G429" s="300">
        <v>44259</v>
      </c>
      <c r="H429" s="303">
        <v>14214.74</v>
      </c>
      <c r="I429" s="301" t="str">
        <f t="shared" si="102"/>
        <v>Ingresos Sección II LISR (SIC &amp; BMV)</v>
      </c>
      <c r="J429" s="302">
        <f t="shared" si="103"/>
        <v>62</v>
      </c>
      <c r="K429" s="304">
        <f t="shared" si="104"/>
        <v>229.27</v>
      </c>
      <c r="L429" s="305">
        <f>IF(H429=0,0,IF(OR(E429=$AT$5,E429=$AT$6),AA429,IF(F429="MXN",1/HLOOKUP(YEAR(G429)+(MONTH(G429)/100),TC!$5:$37,DAY(G429)+2,FALSE),VLOOKUP(F429,Equivalencia!$5:$23,((MAX(Equivalencia!$3:$3)-YEAR(G429))*14)+MONTH(G429)+2,FALSE))))</f>
        <v>1</v>
      </c>
      <c r="M429" s="306">
        <f t="shared" si="105"/>
        <v>14214.74</v>
      </c>
      <c r="N429" s="305">
        <f>IF(G429=0,0,(IF(OR(E429=$AT$5,E429=$AT$6),AC429,HLOOKUP(YEAR(G429)+(MONTH(G429)/100),TC!$5:$37,DAY(G429)+2,FALSE))))</f>
        <v>20.690300000000001</v>
      </c>
      <c r="O429" s="307">
        <f t="shared" si="106"/>
        <v>294107.23502199998</v>
      </c>
      <c r="P429" s="560">
        <f>IF(G429=0,0,VLOOKUP(YEAR(G429),INPC!$B$4:$P$30,MONTH(G429)+2))</f>
        <v>111.824</v>
      </c>
      <c r="Q429" s="560">
        <f>IF(X429=0,0,IF(OR(E429=$AT$10,E429=$AT$9),VLOOKUP(YEAR(X429),INPC!$B$4:$P$30,MONTH(X429)+1),VLOOKUP(YEAR(X429),INPC!$B$4:$P$30,MONTH(X429)+2,0)))</f>
        <v>118.002</v>
      </c>
      <c r="R429" s="309">
        <f t="shared" si="107"/>
        <v>1.0551999999999999</v>
      </c>
      <c r="S429" s="310">
        <f t="shared" si="108"/>
        <v>310341.95439521433</v>
      </c>
      <c r="T429" s="555">
        <f t="shared" si="109"/>
        <v>5005.5153934711989</v>
      </c>
      <c r="U429" s="311"/>
      <c r="V429" s="312">
        <v>62</v>
      </c>
      <c r="W429" s="299" t="s">
        <v>194</v>
      </c>
      <c r="X429" s="300">
        <v>44614</v>
      </c>
      <c r="Y429" s="299" t="s">
        <v>59</v>
      </c>
      <c r="Z429" s="303">
        <v>5897.2605647058817</v>
      </c>
      <c r="AA429" s="305">
        <f>IF(Z429=0,0,IF(Y429="MXN",1/HLOOKUP(YEAR(X429)+(MONTH(X429)/100),TC!$5:$37,DAY(X429)+2,FALSE),VLOOKUP(Y429,Equivalencia!$1:$23,((MAX(Equivalencia!$3:$3)-YEAR(X429))*14)+MONTH(X429)+2,FALSE)))</f>
        <v>1</v>
      </c>
      <c r="AB429" s="306">
        <f t="shared" si="110"/>
        <v>5897.2605647058817</v>
      </c>
      <c r="AC429" s="305">
        <f>+IF(X429=0,0,HLOOKUP(YEAR(X429)+(MONTH(X429)/100),TC!$5:$37,DAY(X429)+2,FALSE))</f>
        <v>20.3063</v>
      </c>
      <c r="AD429" s="307">
        <f t="shared" si="111"/>
        <v>119751.54220508705</v>
      </c>
      <c r="AE429" s="314">
        <f t="shared" si="112"/>
        <v>310341.95439521433</v>
      </c>
      <c r="AF429" s="315">
        <f t="shared" si="113"/>
        <v>-190590.41219012727</v>
      </c>
      <c r="AG429" s="316">
        <f t="shared" si="114"/>
        <v>0.9726027397260274</v>
      </c>
      <c r="AH429" s="314">
        <v>1</v>
      </c>
      <c r="AI429" s="314">
        <f t="shared" si="115"/>
        <v>-190590.41219012727</v>
      </c>
      <c r="AJ429" s="314">
        <f t="shared" si="116"/>
        <v>0</v>
      </c>
      <c r="AK429" s="317"/>
      <c r="AL429" s="315">
        <f t="shared" si="117"/>
        <v>-8317.4794352941171</v>
      </c>
      <c r="AN429" s="554">
        <f t="shared" si="118"/>
        <v>-0.58513060634905156</v>
      </c>
      <c r="AO429" s="314"/>
      <c r="AP429" s="318"/>
    </row>
    <row r="430" spans="2:42">
      <c r="B430" s="296" t="s">
        <v>1254</v>
      </c>
      <c r="C430" s="299" t="s">
        <v>277</v>
      </c>
      <c r="D430" s="298" t="s">
        <v>882</v>
      </c>
      <c r="E430" s="299" t="s">
        <v>113</v>
      </c>
      <c r="F430" s="299" t="s">
        <v>59</v>
      </c>
      <c r="G430" s="300">
        <v>44336</v>
      </c>
      <c r="H430" s="303">
        <v>8868.06</v>
      </c>
      <c r="I430" s="301" t="str">
        <f t="shared" si="102"/>
        <v>Ingresos Sección II LISR (SIC &amp; BMV)</v>
      </c>
      <c r="J430" s="302">
        <f t="shared" si="103"/>
        <v>45</v>
      </c>
      <c r="K430" s="304">
        <f t="shared" si="104"/>
        <v>197.06799999999998</v>
      </c>
      <c r="L430" s="305">
        <f>IF(H430=0,0,IF(OR(E430=$AT$5,E430=$AT$6),AA430,IF(F430="MXN",1/HLOOKUP(YEAR(G430)+(MONTH(G430)/100),TC!$5:$37,DAY(G430)+2,FALSE),VLOOKUP(F430,Equivalencia!$5:$23,((MAX(Equivalencia!$3:$3)-YEAR(G430))*14)+MONTH(G430)+2,FALSE))))</f>
        <v>1</v>
      </c>
      <c r="M430" s="306">
        <f t="shared" si="105"/>
        <v>8868.06</v>
      </c>
      <c r="N430" s="305">
        <f>IF(G430=0,0,(IF(OR(E430=$AT$5,E430=$AT$6),AC430,HLOOKUP(YEAR(G430)+(MONTH(G430)/100),TC!$5:$37,DAY(G430)+2,FALSE))))</f>
        <v>19.831299999999999</v>
      </c>
      <c r="O430" s="307">
        <f t="shared" si="106"/>
        <v>175865.15827799999</v>
      </c>
      <c r="P430" s="560">
        <f>IF(G430=0,0,VLOOKUP(YEAR(G430),INPC!$B$4:$P$30,MONTH(G430)+2))</f>
        <v>112.419</v>
      </c>
      <c r="Q430" s="560">
        <f>IF(X430=0,0,IF(OR(E430=$AT$10,E430=$AT$9),VLOOKUP(YEAR(X430),INPC!$B$4:$P$30,MONTH(X430)+1),VLOOKUP(YEAR(X430),INPC!$B$4:$P$30,MONTH(X430)+2,0)))</f>
        <v>118.002</v>
      </c>
      <c r="R430" s="309">
        <f t="shared" si="107"/>
        <v>1.0496000000000001</v>
      </c>
      <c r="S430" s="310">
        <f t="shared" si="108"/>
        <v>184588.07012858879</v>
      </c>
      <c r="T430" s="555">
        <f t="shared" si="109"/>
        <v>4101.9571139686395</v>
      </c>
      <c r="U430" s="311"/>
      <c r="V430" s="312">
        <v>45</v>
      </c>
      <c r="W430" s="299" t="s">
        <v>194</v>
      </c>
      <c r="X430" s="300">
        <v>44614</v>
      </c>
      <c r="Y430" s="299" t="s">
        <v>59</v>
      </c>
      <c r="Z430" s="303">
        <v>4280.2697647058822</v>
      </c>
      <c r="AA430" s="305">
        <f>IF(Z430=0,0,IF(Y430="MXN",1/HLOOKUP(YEAR(X430)+(MONTH(X430)/100),TC!$5:$37,DAY(X430)+2,FALSE),VLOOKUP(Y430,Equivalencia!$1:$23,((MAX(Equivalencia!$3:$3)-YEAR(X430))*14)+MONTH(X430)+2,FALSE)))</f>
        <v>1</v>
      </c>
      <c r="AB430" s="306">
        <f t="shared" si="110"/>
        <v>4280.2697647058822</v>
      </c>
      <c r="AC430" s="305">
        <f>+IF(X430=0,0,HLOOKUP(YEAR(X430)+(MONTH(X430)/100),TC!$5:$37,DAY(X430)+2,FALSE))</f>
        <v>20.3063</v>
      </c>
      <c r="AD430" s="307">
        <f t="shared" si="111"/>
        <v>86916.441923047052</v>
      </c>
      <c r="AE430" s="314">
        <f t="shared" si="112"/>
        <v>184588.07012858879</v>
      </c>
      <c r="AF430" s="315">
        <f t="shared" si="113"/>
        <v>-97671.62820554174</v>
      </c>
      <c r="AG430" s="316">
        <f t="shared" si="114"/>
        <v>0.76164383561643834</v>
      </c>
      <c r="AH430" s="314">
        <v>1</v>
      </c>
      <c r="AI430" s="314">
        <f t="shared" si="115"/>
        <v>-97671.62820554174</v>
      </c>
      <c r="AJ430" s="314">
        <f t="shared" si="116"/>
        <v>0</v>
      </c>
      <c r="AK430" s="317"/>
      <c r="AL430" s="315">
        <f t="shared" si="117"/>
        <v>-4587.7902352941173</v>
      </c>
      <c r="AN430" s="554">
        <f t="shared" si="118"/>
        <v>-0.51733865527456036</v>
      </c>
      <c r="AO430" s="314"/>
      <c r="AP430" s="318"/>
    </row>
    <row r="431" spans="2:42">
      <c r="B431" s="296" t="s">
        <v>1254</v>
      </c>
      <c r="C431" s="299" t="s">
        <v>277</v>
      </c>
      <c r="D431" s="298" t="s">
        <v>882</v>
      </c>
      <c r="E431" s="299" t="s">
        <v>113</v>
      </c>
      <c r="F431" s="299" t="s">
        <v>59</v>
      </c>
      <c r="G431" s="300">
        <v>44349</v>
      </c>
      <c r="H431" s="303">
        <v>5641.95</v>
      </c>
      <c r="I431" s="301" t="str">
        <f t="shared" si="102"/>
        <v>Ingresos Sección II LISR (SIC &amp; BMV)</v>
      </c>
      <c r="J431" s="302">
        <f t="shared" si="103"/>
        <v>25</v>
      </c>
      <c r="K431" s="304">
        <f t="shared" si="104"/>
        <v>225.678</v>
      </c>
      <c r="L431" s="305">
        <f>IF(H431=0,0,IF(OR(E431=$AT$5,E431=$AT$6),AA431,IF(F431="MXN",1/HLOOKUP(YEAR(G431)+(MONTH(G431)/100),TC!$5:$37,DAY(G431)+2,FALSE),VLOOKUP(F431,Equivalencia!$5:$23,((MAX(Equivalencia!$3:$3)-YEAR(G431))*14)+MONTH(G431)+2,FALSE))))</f>
        <v>1</v>
      </c>
      <c r="M431" s="306">
        <f t="shared" si="105"/>
        <v>5641.95</v>
      </c>
      <c r="N431" s="305">
        <f>IF(G431=0,0,(IF(OR(E431=$AT$5,E431=$AT$6),AC431,HLOOKUP(YEAR(G431)+(MONTH(G431)/100),TC!$5:$37,DAY(G431)+2,FALSE))))</f>
        <v>19.921299999999999</v>
      </c>
      <c r="O431" s="307">
        <f t="shared" si="106"/>
        <v>112394.97853499999</v>
      </c>
      <c r="P431" s="560">
        <f>IF(G431=0,0,VLOOKUP(YEAR(G431),INPC!$B$4:$P$30,MONTH(G431)+2))</f>
        <v>113.018</v>
      </c>
      <c r="Q431" s="560">
        <f>IF(X431=0,0,IF(OR(E431=$AT$10,E431=$AT$9),VLOOKUP(YEAR(X431),INPC!$B$4:$P$30,MONTH(X431)+1),VLOOKUP(YEAR(X431),INPC!$B$4:$P$30,MONTH(X431)+2,0)))</f>
        <v>118.002</v>
      </c>
      <c r="R431" s="309">
        <f t="shared" si="107"/>
        <v>1.044</v>
      </c>
      <c r="S431" s="310">
        <f t="shared" si="108"/>
        <v>117340.35759053999</v>
      </c>
      <c r="T431" s="555">
        <f t="shared" si="109"/>
        <v>4693.6143036215999</v>
      </c>
      <c r="U431" s="311"/>
      <c r="V431" s="312">
        <v>25</v>
      </c>
      <c r="W431" s="299" t="s">
        <v>194</v>
      </c>
      <c r="X431" s="300">
        <v>44614</v>
      </c>
      <c r="Y431" s="299" t="s">
        <v>59</v>
      </c>
      <c r="Z431" s="303">
        <v>2377.9276470588234</v>
      </c>
      <c r="AA431" s="305">
        <f>IF(Z431=0,0,IF(Y431="MXN",1/HLOOKUP(YEAR(X431)+(MONTH(X431)/100),TC!$5:$37,DAY(X431)+2,FALSE),VLOOKUP(Y431,Equivalencia!$1:$23,((MAX(Equivalencia!$3:$3)-YEAR(X431))*14)+MONTH(X431)+2,FALSE)))</f>
        <v>1</v>
      </c>
      <c r="AB431" s="306">
        <f t="shared" si="110"/>
        <v>2377.9276470588234</v>
      </c>
      <c r="AC431" s="305">
        <f>+IF(X431=0,0,HLOOKUP(YEAR(X431)+(MONTH(X431)/100),TC!$5:$37,DAY(X431)+2,FALSE))</f>
        <v>20.3063</v>
      </c>
      <c r="AD431" s="307">
        <f t="shared" si="111"/>
        <v>48286.912179470586</v>
      </c>
      <c r="AE431" s="314">
        <f t="shared" si="112"/>
        <v>117340.35759053999</v>
      </c>
      <c r="AF431" s="315">
        <f t="shared" si="113"/>
        <v>-69053.445411069406</v>
      </c>
      <c r="AG431" s="316">
        <f t="shared" si="114"/>
        <v>0.72602739726027399</v>
      </c>
      <c r="AH431" s="314">
        <v>1</v>
      </c>
      <c r="AI431" s="314">
        <f t="shared" si="115"/>
        <v>-69053.445411069406</v>
      </c>
      <c r="AJ431" s="314">
        <f t="shared" si="116"/>
        <v>0</v>
      </c>
      <c r="AK431" s="317"/>
      <c r="AL431" s="315">
        <f t="shared" si="117"/>
        <v>-3264.0223529411765</v>
      </c>
      <c r="AN431" s="554">
        <f t="shared" si="118"/>
        <v>-0.57852734479057355</v>
      </c>
      <c r="AO431" s="314"/>
      <c r="AP431" s="318"/>
    </row>
    <row r="432" spans="2:42">
      <c r="B432" s="296" t="s">
        <v>1254</v>
      </c>
      <c r="C432" s="299" t="s">
        <v>277</v>
      </c>
      <c r="D432" s="298" t="s">
        <v>882</v>
      </c>
      <c r="E432" s="299" t="s">
        <v>113</v>
      </c>
      <c r="F432" s="299" t="s">
        <v>59</v>
      </c>
      <c r="G432" s="300">
        <v>44355</v>
      </c>
      <c r="H432" s="303">
        <v>11028.3</v>
      </c>
      <c r="I432" s="301" t="str">
        <f t="shared" si="102"/>
        <v>Ingresos Sección II LISR (SIC &amp; BMV)</v>
      </c>
      <c r="J432" s="302">
        <f t="shared" si="103"/>
        <v>51</v>
      </c>
      <c r="K432" s="304">
        <f t="shared" si="104"/>
        <v>216.24117647058821</v>
      </c>
      <c r="L432" s="305">
        <f>IF(H432=0,0,IF(OR(E432=$AT$5,E432=$AT$6),AA432,IF(F432="MXN",1/HLOOKUP(YEAR(G432)+(MONTH(G432)/100),TC!$5:$37,DAY(G432)+2,FALSE),VLOOKUP(F432,Equivalencia!$5:$23,((MAX(Equivalencia!$3:$3)-YEAR(G432))*14)+MONTH(G432)+2,FALSE))))</f>
        <v>1</v>
      </c>
      <c r="M432" s="306">
        <f t="shared" si="105"/>
        <v>11028.3</v>
      </c>
      <c r="N432" s="305">
        <f>IF(G432=0,0,(IF(OR(E432=$AT$5,E432=$AT$6),AC432,HLOOKUP(YEAR(G432)+(MONTH(G432)/100),TC!$5:$37,DAY(G432)+2,FALSE))))</f>
        <v>19.9328</v>
      </c>
      <c r="O432" s="307">
        <f t="shared" si="106"/>
        <v>219824.89823999998</v>
      </c>
      <c r="P432" s="560">
        <f>IF(G432=0,0,VLOOKUP(YEAR(G432),INPC!$B$4:$P$30,MONTH(G432)+2))</f>
        <v>113.018</v>
      </c>
      <c r="Q432" s="560">
        <f>IF(X432=0,0,IF(OR(E432=$AT$10,E432=$AT$9),VLOOKUP(YEAR(X432),INPC!$B$4:$P$30,MONTH(X432)+1),VLOOKUP(YEAR(X432),INPC!$B$4:$P$30,MONTH(X432)+2,0)))</f>
        <v>118.002</v>
      </c>
      <c r="R432" s="309">
        <f t="shared" si="107"/>
        <v>1.044</v>
      </c>
      <c r="S432" s="310">
        <f t="shared" si="108"/>
        <v>229497.19376256</v>
      </c>
      <c r="T432" s="555">
        <f t="shared" si="109"/>
        <v>4499.944975736471</v>
      </c>
      <c r="U432" s="311"/>
      <c r="V432" s="312">
        <v>51</v>
      </c>
      <c r="W432" s="299" t="s">
        <v>194</v>
      </c>
      <c r="X432" s="300">
        <v>44614</v>
      </c>
      <c r="Y432" s="299" t="s">
        <v>59</v>
      </c>
      <c r="Z432" s="303">
        <v>4850.9723999999997</v>
      </c>
      <c r="AA432" s="305">
        <f>IF(Z432=0,0,IF(Y432="MXN",1/HLOOKUP(YEAR(X432)+(MONTH(X432)/100),TC!$5:$37,DAY(X432)+2,FALSE),VLOOKUP(Y432,Equivalencia!$1:$23,((MAX(Equivalencia!$3:$3)-YEAR(X432))*14)+MONTH(X432)+2,FALSE)))</f>
        <v>1</v>
      </c>
      <c r="AB432" s="306">
        <f t="shared" si="110"/>
        <v>4850.9723999999997</v>
      </c>
      <c r="AC432" s="305">
        <f>+IF(X432=0,0,HLOOKUP(YEAR(X432)+(MONTH(X432)/100),TC!$5:$37,DAY(X432)+2,FALSE))</f>
        <v>20.3063</v>
      </c>
      <c r="AD432" s="307">
        <f t="shared" si="111"/>
        <v>98505.300846119993</v>
      </c>
      <c r="AE432" s="314">
        <f t="shared" si="112"/>
        <v>229497.19376256003</v>
      </c>
      <c r="AF432" s="315">
        <f t="shared" si="113"/>
        <v>-130991.89291644003</v>
      </c>
      <c r="AG432" s="316">
        <f t="shared" si="114"/>
        <v>0.70958904109589038</v>
      </c>
      <c r="AH432" s="314">
        <v>1</v>
      </c>
      <c r="AI432" s="314">
        <f t="shared" si="115"/>
        <v>-130991.89291644003</v>
      </c>
      <c r="AJ432" s="314">
        <f t="shared" si="116"/>
        <v>0</v>
      </c>
      <c r="AK432" s="317"/>
      <c r="AL432" s="315">
        <f t="shared" si="117"/>
        <v>-6177.3275999999996</v>
      </c>
      <c r="AN432" s="554">
        <f t="shared" si="118"/>
        <v>-0.5601341639237235</v>
      </c>
      <c r="AO432" s="314"/>
      <c r="AP432" s="318"/>
    </row>
    <row r="433" spans="2:42">
      <c r="B433" s="296" t="s">
        <v>1254</v>
      </c>
      <c r="C433" s="299" t="s">
        <v>277</v>
      </c>
      <c r="D433" s="298" t="s">
        <v>882</v>
      </c>
      <c r="E433" s="299" t="s">
        <v>113</v>
      </c>
      <c r="F433" s="299" t="s">
        <v>59</v>
      </c>
      <c r="G433" s="300">
        <v>44404</v>
      </c>
      <c r="H433" s="303">
        <v>11989.97</v>
      </c>
      <c r="I433" s="301" t="str">
        <f t="shared" si="102"/>
        <v>Ingresos Sección II LISR (SIC &amp; BMV)</v>
      </c>
      <c r="J433" s="302">
        <f t="shared" si="103"/>
        <v>48</v>
      </c>
      <c r="K433" s="304">
        <f t="shared" si="104"/>
        <v>249.79104166666664</v>
      </c>
      <c r="L433" s="305">
        <f>IF(H433=0,0,IF(OR(E433=$AT$5,E433=$AT$6),AA433,IF(F433="MXN",1/HLOOKUP(YEAR(G433)+(MONTH(G433)/100),TC!$5:$37,DAY(G433)+2,FALSE),VLOOKUP(F433,Equivalencia!$5:$23,((MAX(Equivalencia!$3:$3)-YEAR(G433))*14)+MONTH(G433)+2,FALSE))))</f>
        <v>1</v>
      </c>
      <c r="M433" s="306">
        <f t="shared" si="105"/>
        <v>11989.97</v>
      </c>
      <c r="N433" s="305">
        <f>IF(G433=0,0,(IF(OR(E433=$AT$5,E433=$AT$6),AC433,HLOOKUP(YEAR(G433)+(MONTH(G433)/100),TC!$5:$37,DAY(G433)+2,FALSE))))</f>
        <v>20.023800000000001</v>
      </c>
      <c r="O433" s="307">
        <f t="shared" si="106"/>
        <v>240084.76128599999</v>
      </c>
      <c r="P433" s="560">
        <f>IF(G433=0,0,VLOOKUP(YEAR(G433),INPC!$B$4:$P$30,MONTH(G433)+2))</f>
        <v>113.682</v>
      </c>
      <c r="Q433" s="560">
        <f>IF(X433=0,0,IF(OR(E433=$AT$10,E433=$AT$9),VLOOKUP(YEAR(X433),INPC!$B$4:$P$30,MONTH(X433)+1),VLOOKUP(YEAR(X433),INPC!$B$4:$P$30,MONTH(X433)+2,0)))</f>
        <v>118.002</v>
      </c>
      <c r="R433" s="309">
        <f t="shared" si="107"/>
        <v>1.038</v>
      </c>
      <c r="S433" s="310">
        <f t="shared" si="108"/>
        <v>249207.98221486801</v>
      </c>
      <c r="T433" s="555">
        <f t="shared" si="109"/>
        <v>5191.8329628097499</v>
      </c>
      <c r="U433" s="311"/>
      <c r="V433" s="312">
        <v>48</v>
      </c>
      <c r="W433" s="299" t="s">
        <v>194</v>
      </c>
      <c r="X433" s="300">
        <v>44614</v>
      </c>
      <c r="Y433" s="299" t="s">
        <v>59</v>
      </c>
      <c r="Z433" s="303">
        <v>4565.6210823529409</v>
      </c>
      <c r="AA433" s="305">
        <f>IF(Z433=0,0,IF(Y433="MXN",1/HLOOKUP(YEAR(X433)+(MONTH(X433)/100),TC!$5:$37,DAY(X433)+2,FALSE),VLOOKUP(Y433,Equivalencia!$1:$23,((MAX(Equivalencia!$3:$3)-YEAR(X433))*14)+MONTH(X433)+2,FALSE)))</f>
        <v>1</v>
      </c>
      <c r="AB433" s="306">
        <f t="shared" si="110"/>
        <v>4565.6210823529409</v>
      </c>
      <c r="AC433" s="305">
        <f>+IF(X433=0,0,HLOOKUP(YEAR(X433)+(MONTH(X433)/100),TC!$5:$37,DAY(X433)+2,FALSE))</f>
        <v>20.3063</v>
      </c>
      <c r="AD433" s="307">
        <f t="shared" si="111"/>
        <v>92710.87138458353</v>
      </c>
      <c r="AE433" s="314">
        <f t="shared" si="112"/>
        <v>249207.98221486801</v>
      </c>
      <c r="AF433" s="315">
        <f t="shared" si="113"/>
        <v>-156497.11083028448</v>
      </c>
      <c r="AG433" s="316">
        <f t="shared" si="114"/>
        <v>0.57534246575342463</v>
      </c>
      <c r="AH433" s="314">
        <v>1</v>
      </c>
      <c r="AI433" s="314">
        <f t="shared" si="115"/>
        <v>-156497.11083028448</v>
      </c>
      <c r="AJ433" s="314">
        <f t="shared" si="116"/>
        <v>0</v>
      </c>
      <c r="AK433" s="317"/>
      <c r="AL433" s="315">
        <f t="shared" si="117"/>
        <v>-7424.3489176470584</v>
      </c>
      <c r="AN433" s="554">
        <f t="shared" si="118"/>
        <v>-0.61921330225572369</v>
      </c>
      <c r="AO433" s="314"/>
      <c r="AP433" s="318"/>
    </row>
    <row r="434" spans="2:42">
      <c r="B434" s="296" t="s">
        <v>1254</v>
      </c>
      <c r="C434" s="299" t="s">
        <v>277</v>
      </c>
      <c r="D434" s="298" t="s">
        <v>882</v>
      </c>
      <c r="E434" s="299" t="s">
        <v>113</v>
      </c>
      <c r="F434" s="299" t="s">
        <v>59</v>
      </c>
      <c r="G434" s="300">
        <v>44455</v>
      </c>
      <c r="H434" s="303">
        <v>13471.96</v>
      </c>
      <c r="I434" s="301" t="str">
        <f t="shared" si="102"/>
        <v>Ingresos Sección II LISR (SIC &amp; BMV)</v>
      </c>
      <c r="J434" s="302">
        <f t="shared" si="103"/>
        <v>53</v>
      </c>
      <c r="K434" s="304">
        <f t="shared" si="104"/>
        <v>254.18792452830186</v>
      </c>
      <c r="L434" s="305">
        <f>IF(H434=0,0,IF(OR(E434=$AT$5,E434=$AT$6),AA434,IF(F434="MXN",1/HLOOKUP(YEAR(G434)+(MONTH(G434)/100),TC!$5:$37,DAY(G434)+2,FALSE),VLOOKUP(F434,Equivalencia!$5:$23,((MAX(Equivalencia!$3:$3)-YEAR(G434))*14)+MONTH(G434)+2,FALSE))))</f>
        <v>1</v>
      </c>
      <c r="M434" s="306">
        <f t="shared" si="105"/>
        <v>13471.96</v>
      </c>
      <c r="N434" s="305">
        <f>IF(G434=0,0,(IF(OR(E434=$AT$5,E434=$AT$6),AC434,HLOOKUP(YEAR(G434)+(MONTH(G434)/100),TC!$5:$37,DAY(G434)+2,FALSE))))</f>
        <v>19.903500000000001</v>
      </c>
      <c r="O434" s="307">
        <f t="shared" si="106"/>
        <v>268139.15586</v>
      </c>
      <c r="P434" s="560">
        <f>IF(G434=0,0,VLOOKUP(YEAR(G434),INPC!$B$4:$P$30,MONTH(G434)+2))</f>
        <v>114.601</v>
      </c>
      <c r="Q434" s="560">
        <f>IF(X434=0,0,IF(OR(E434=$AT$10,E434=$AT$9),VLOOKUP(YEAR(X434),INPC!$B$4:$P$30,MONTH(X434)+1),VLOOKUP(YEAR(X434),INPC!$B$4:$P$30,MONTH(X434)+2,0)))</f>
        <v>118.002</v>
      </c>
      <c r="R434" s="309">
        <f t="shared" si="107"/>
        <v>1.0296000000000001</v>
      </c>
      <c r="S434" s="310">
        <f t="shared" si="108"/>
        <v>276076.07487345603</v>
      </c>
      <c r="T434" s="555">
        <f t="shared" si="109"/>
        <v>5208.9825447821895</v>
      </c>
      <c r="U434" s="311"/>
      <c r="V434" s="312">
        <v>53</v>
      </c>
      <c r="W434" s="299" t="s">
        <v>194</v>
      </c>
      <c r="X434" s="300">
        <v>44614</v>
      </c>
      <c r="Y434" s="299" t="s">
        <v>59</v>
      </c>
      <c r="Z434" s="303">
        <v>5041.2066117647055</v>
      </c>
      <c r="AA434" s="305">
        <f>IF(Z434=0,0,IF(Y434="MXN",1/HLOOKUP(YEAR(X434)+(MONTH(X434)/100),TC!$5:$37,DAY(X434)+2,FALSE),VLOOKUP(Y434,Equivalencia!$1:$23,((MAX(Equivalencia!$3:$3)-YEAR(X434))*14)+MONTH(X434)+2,FALSE)))</f>
        <v>1</v>
      </c>
      <c r="AB434" s="306">
        <f t="shared" si="110"/>
        <v>5041.2066117647055</v>
      </c>
      <c r="AC434" s="305">
        <f>+IF(X434=0,0,HLOOKUP(YEAR(X434)+(MONTH(X434)/100),TC!$5:$37,DAY(X434)+2,FALSE))</f>
        <v>20.3063</v>
      </c>
      <c r="AD434" s="307">
        <f t="shared" si="111"/>
        <v>102368.25382047764</v>
      </c>
      <c r="AE434" s="314">
        <f t="shared" si="112"/>
        <v>276076.07487345603</v>
      </c>
      <c r="AF434" s="315">
        <f t="shared" si="113"/>
        <v>-173707.8210529784</v>
      </c>
      <c r="AG434" s="316">
        <f t="shared" si="114"/>
        <v>0.43561643835616437</v>
      </c>
      <c r="AH434" s="314">
        <v>1</v>
      </c>
      <c r="AI434" s="314">
        <f t="shared" si="115"/>
        <v>-173707.8210529784</v>
      </c>
      <c r="AJ434" s="314">
        <f t="shared" si="116"/>
        <v>0</v>
      </c>
      <c r="AK434" s="317"/>
      <c r="AL434" s="315">
        <f t="shared" si="117"/>
        <v>-8430.7533882352946</v>
      </c>
      <c r="AN434" s="554">
        <f t="shared" si="118"/>
        <v>-0.62580006088462958</v>
      </c>
      <c r="AO434" s="314"/>
      <c r="AP434" s="318"/>
    </row>
    <row r="435" spans="2:42">
      <c r="B435" s="296" t="s">
        <v>1254</v>
      </c>
      <c r="C435" s="299" t="s">
        <v>277</v>
      </c>
      <c r="D435" s="298" t="s">
        <v>882</v>
      </c>
      <c r="E435" s="299" t="s">
        <v>113</v>
      </c>
      <c r="F435" s="299" t="s">
        <v>59</v>
      </c>
      <c r="G435" s="300">
        <v>44463</v>
      </c>
      <c r="H435" s="303">
        <v>12833.430000000002</v>
      </c>
      <c r="I435" s="301" t="str">
        <f t="shared" si="102"/>
        <v>Ingresos Sección II LISR (SIC &amp; BMV)</v>
      </c>
      <c r="J435" s="302">
        <f t="shared" si="103"/>
        <v>49</v>
      </c>
      <c r="K435" s="304">
        <f t="shared" si="104"/>
        <v>261.90673469387758</v>
      </c>
      <c r="L435" s="305">
        <f>IF(H435=0,0,IF(OR(E435=$AT$5,E435=$AT$6),AA435,IF(F435="MXN",1/HLOOKUP(YEAR(G435)+(MONTH(G435)/100),TC!$5:$37,DAY(G435)+2,FALSE),VLOOKUP(F435,Equivalencia!$5:$23,((MAX(Equivalencia!$3:$3)-YEAR(G435))*14)+MONTH(G435)+2,FALSE))))</f>
        <v>1</v>
      </c>
      <c r="M435" s="306">
        <f t="shared" si="105"/>
        <v>12833.430000000002</v>
      </c>
      <c r="N435" s="305">
        <f>IF(G435=0,0,(IF(OR(E435=$AT$5,E435=$AT$6),AC435,HLOOKUP(YEAR(G435)+(MONTH(G435)/100),TC!$5:$37,DAY(G435)+2,FALSE))))</f>
        <v>20.032800000000002</v>
      </c>
      <c r="O435" s="307">
        <f t="shared" si="106"/>
        <v>257089.53650400008</v>
      </c>
      <c r="P435" s="560">
        <f>IF(G435=0,0,VLOOKUP(YEAR(G435),INPC!$B$4:$P$30,MONTH(G435)+2))</f>
        <v>114.601</v>
      </c>
      <c r="Q435" s="560">
        <f>IF(X435=0,0,IF(OR(E435=$AT$10,E435=$AT$9),VLOOKUP(YEAR(X435),INPC!$B$4:$P$30,MONTH(X435)+1),VLOOKUP(YEAR(X435),INPC!$B$4:$P$30,MONTH(X435)+2,0)))</f>
        <v>118.002</v>
      </c>
      <c r="R435" s="309">
        <f t="shared" si="107"/>
        <v>1.0296000000000001</v>
      </c>
      <c r="S435" s="310">
        <f t="shared" si="108"/>
        <v>264699.38678451849</v>
      </c>
      <c r="T435" s="555">
        <f t="shared" si="109"/>
        <v>5402.0283017248667</v>
      </c>
      <c r="U435" s="311"/>
      <c r="V435" s="312">
        <v>49</v>
      </c>
      <c r="W435" s="299" t="s">
        <v>194</v>
      </c>
      <c r="X435" s="300">
        <v>44614</v>
      </c>
      <c r="Y435" s="299" t="s">
        <v>59</v>
      </c>
      <c r="Z435" s="303">
        <v>4660.7381882352938</v>
      </c>
      <c r="AA435" s="305">
        <f>IF(Z435=0,0,IF(Y435="MXN",1/HLOOKUP(YEAR(X435)+(MONTH(X435)/100),TC!$5:$37,DAY(X435)+2,FALSE),VLOOKUP(Y435,Equivalencia!$1:$23,((MAX(Equivalencia!$3:$3)-YEAR(X435))*14)+MONTH(X435)+2,FALSE)))</f>
        <v>1</v>
      </c>
      <c r="AB435" s="306">
        <f t="shared" si="110"/>
        <v>4660.7381882352938</v>
      </c>
      <c r="AC435" s="305">
        <f>+IF(X435=0,0,HLOOKUP(YEAR(X435)+(MONTH(X435)/100),TC!$5:$37,DAY(X435)+2,FALSE))</f>
        <v>20.3063</v>
      </c>
      <c r="AD435" s="307">
        <f t="shared" si="111"/>
        <v>94642.347871762351</v>
      </c>
      <c r="AE435" s="314">
        <f t="shared" si="112"/>
        <v>264699.38678451849</v>
      </c>
      <c r="AF435" s="315">
        <f t="shared" si="113"/>
        <v>-170057.03891275614</v>
      </c>
      <c r="AG435" s="316">
        <f t="shared" si="114"/>
        <v>0.41369863013698632</v>
      </c>
      <c r="AH435" s="314">
        <v>1</v>
      </c>
      <c r="AI435" s="314">
        <f t="shared" si="115"/>
        <v>-170057.03891275614</v>
      </c>
      <c r="AJ435" s="314">
        <f t="shared" si="116"/>
        <v>0</v>
      </c>
      <c r="AK435" s="317"/>
      <c r="AL435" s="315">
        <f t="shared" si="117"/>
        <v>-8172.6918117647083</v>
      </c>
      <c r="AN435" s="554">
        <f t="shared" si="118"/>
        <v>-0.63682833130072836</v>
      </c>
      <c r="AO435" s="314"/>
      <c r="AP435" s="318"/>
    </row>
    <row r="436" spans="2:42">
      <c r="B436" s="296" t="s">
        <v>1254</v>
      </c>
      <c r="C436" s="299" t="s">
        <v>277</v>
      </c>
      <c r="D436" s="298" t="s">
        <v>882</v>
      </c>
      <c r="E436" s="299" t="s">
        <v>113</v>
      </c>
      <c r="F436" s="299" t="s">
        <v>59</v>
      </c>
      <c r="G436" s="300">
        <v>44602</v>
      </c>
      <c r="H436" s="303">
        <v>9207.5499999999993</v>
      </c>
      <c r="I436" s="301" t="str">
        <f t="shared" si="102"/>
        <v>Ingresos Sección II LISR (SIC &amp; BMV)</v>
      </c>
      <c r="J436" s="302">
        <f t="shared" si="103"/>
        <v>80</v>
      </c>
      <c r="K436" s="304">
        <f t="shared" si="104"/>
        <v>115.09437499999999</v>
      </c>
      <c r="L436" s="305">
        <f>IF(H436=0,0,IF(OR(E436=$AT$5,E436=$AT$6),AA436,IF(F436="MXN",1/HLOOKUP(YEAR(G436)+(MONTH(G436)/100),TC!$5:$37,DAY(G436)+2,FALSE),VLOOKUP(F436,Equivalencia!$5:$23,((MAX(Equivalencia!$3:$3)-YEAR(G436))*14)+MONTH(G436)+2,FALSE))))</f>
        <v>1</v>
      </c>
      <c r="M436" s="306">
        <f t="shared" si="105"/>
        <v>9207.5499999999993</v>
      </c>
      <c r="N436" s="305">
        <f>IF(G436=0,0,(IF(OR(E436=$AT$5,E436=$AT$6),AC436,HLOOKUP(YEAR(G436)+(MONTH(G436)/100),TC!$5:$37,DAY(G436)+2,FALSE))))</f>
        <v>20.641300000000001</v>
      </c>
      <c r="O436" s="307">
        <f t="shared" si="106"/>
        <v>190055.80181499998</v>
      </c>
      <c r="P436" s="560">
        <f>IF(G436=0,0,VLOOKUP(YEAR(G436),INPC!$B$4:$P$30,MONTH(G436)+2))</f>
        <v>118.98099999999999</v>
      </c>
      <c r="Q436" s="560">
        <f>IF(X436=0,0,IF(OR(E436=$AT$10,E436=$AT$9),VLOOKUP(YEAR(X436),INPC!$B$4:$P$30,MONTH(X436)+1),VLOOKUP(YEAR(X436),INPC!$B$4:$P$30,MONTH(X436)+2,0)))</f>
        <v>118.002</v>
      </c>
      <c r="R436" s="309">
        <f t="shared" si="107"/>
        <v>1</v>
      </c>
      <c r="S436" s="310">
        <f t="shared" si="108"/>
        <v>190055.80181499998</v>
      </c>
      <c r="T436" s="555">
        <f t="shared" si="109"/>
        <v>2375.6975226874997</v>
      </c>
      <c r="U436" s="311"/>
      <c r="V436" s="312">
        <v>80</v>
      </c>
      <c r="W436" s="299" t="s">
        <v>194</v>
      </c>
      <c r="X436" s="300">
        <v>44614</v>
      </c>
      <c r="Y436" s="299" t="s">
        <v>59</v>
      </c>
      <c r="Z436" s="303">
        <v>7609.3684705882342</v>
      </c>
      <c r="AA436" s="305">
        <f>IF(Z436=0,0,IF(Y436="MXN",1/HLOOKUP(YEAR(X436)+(MONTH(X436)/100),TC!$5:$37,DAY(X436)+2,FALSE),VLOOKUP(Y436,Equivalencia!$1:$23,((MAX(Equivalencia!$3:$3)-YEAR(X436))*14)+MONTH(X436)+2,FALSE)))</f>
        <v>1</v>
      </c>
      <c r="AB436" s="306">
        <f t="shared" si="110"/>
        <v>7609.3684705882342</v>
      </c>
      <c r="AC436" s="305">
        <f>+IF(X436=0,0,HLOOKUP(YEAR(X436)+(MONTH(X436)/100),TC!$5:$37,DAY(X436)+2,FALSE))</f>
        <v>20.3063</v>
      </c>
      <c r="AD436" s="307">
        <f t="shared" si="111"/>
        <v>154518.11897430586</v>
      </c>
      <c r="AE436" s="314">
        <f t="shared" si="112"/>
        <v>190055.80181499998</v>
      </c>
      <c r="AF436" s="315">
        <f t="shared" si="113"/>
        <v>-35537.68284069412</v>
      </c>
      <c r="AG436" s="316">
        <f t="shared" si="114"/>
        <v>3.287671232876712E-2</v>
      </c>
      <c r="AH436" s="314">
        <v>1</v>
      </c>
      <c r="AI436" s="314">
        <f t="shared" si="115"/>
        <v>-35537.68284069412</v>
      </c>
      <c r="AJ436" s="314">
        <f t="shared" si="116"/>
        <v>0</v>
      </c>
      <c r="AK436" s="317"/>
      <c r="AL436" s="315">
        <f t="shared" si="117"/>
        <v>-1598.181529411765</v>
      </c>
      <c r="AN436" s="554">
        <f t="shared" si="118"/>
        <v>-0.17357294062066078</v>
      </c>
      <c r="AO436" s="314"/>
      <c r="AP436" s="318"/>
    </row>
    <row r="437" spans="2:42">
      <c r="B437" s="296" t="s">
        <v>1254</v>
      </c>
      <c r="C437" s="299" t="s">
        <v>277</v>
      </c>
      <c r="D437" s="298" t="s">
        <v>883</v>
      </c>
      <c r="E437" s="299" t="s">
        <v>113</v>
      </c>
      <c r="F437" s="299" t="s">
        <v>59</v>
      </c>
      <c r="G437" s="300">
        <v>44159</v>
      </c>
      <c r="H437" s="303">
        <v>15548.208372093026</v>
      </c>
      <c r="I437" s="301" t="str">
        <f t="shared" si="102"/>
        <v>Ingresos Sección II LISR (SIC &amp; BMV)</v>
      </c>
      <c r="J437" s="302">
        <f t="shared" si="103"/>
        <v>29</v>
      </c>
      <c r="K437" s="304">
        <f t="shared" si="104"/>
        <v>536.14511627906984</v>
      </c>
      <c r="L437" s="305">
        <f>IF(H437=0,0,IF(OR(E437=$AT$5,E437=$AT$6),AA437,IF(F437="MXN",1/HLOOKUP(YEAR(G437)+(MONTH(G437)/100),TC!$5:$37,DAY(G437)+2,FALSE),VLOOKUP(F437,Equivalencia!$5:$23,((MAX(Equivalencia!$3:$3)-YEAR(G437))*14)+MONTH(G437)+2,FALSE))))</f>
        <v>1</v>
      </c>
      <c r="M437" s="306">
        <f t="shared" si="105"/>
        <v>15548.208372093026</v>
      </c>
      <c r="N437" s="305">
        <f>IF(G437=0,0,(IF(OR(E437=$AT$5,E437=$AT$6),AC437,HLOOKUP(YEAR(G437)+(MONTH(G437)/100),TC!$5:$37,DAY(G437)+2,FALSE))))</f>
        <v>20.1172</v>
      </c>
      <c r="O437" s="307">
        <f t="shared" si="106"/>
        <v>312786.41746306984</v>
      </c>
      <c r="P437" s="560">
        <f>IF(G437=0,0,VLOOKUP(YEAR(G437),INPC!$B$4:$P$30,MONTH(G437)+2))</f>
        <v>108.85599999999999</v>
      </c>
      <c r="Q437" s="560">
        <f>IF(X437=0,0,IF(OR(E437=$AT$10,E437=$AT$9),VLOOKUP(YEAR(X437),INPC!$B$4:$P$30,MONTH(X437)+1),VLOOKUP(YEAR(X437),INPC!$B$4:$P$30,MONTH(X437)+2,0)))</f>
        <v>120.15900000000001</v>
      </c>
      <c r="R437" s="309">
        <f t="shared" si="107"/>
        <v>1.1037999999999999</v>
      </c>
      <c r="S437" s="310">
        <f t="shared" si="108"/>
        <v>345253.64759573643</v>
      </c>
      <c r="T437" s="555">
        <f t="shared" si="109"/>
        <v>11905.298192956428</v>
      </c>
      <c r="U437" s="311"/>
      <c r="V437" s="312">
        <v>29</v>
      </c>
      <c r="W437" s="299" t="s">
        <v>194</v>
      </c>
      <c r="X437" s="300">
        <v>44658</v>
      </c>
      <c r="Y437" s="299" t="s">
        <v>59</v>
      </c>
      <c r="Z437" s="303">
        <v>29806.670655737707</v>
      </c>
      <c r="AA437" s="305">
        <f>IF(Z437=0,0,IF(Y437="MXN",1/HLOOKUP(YEAR(X437)+(MONTH(X437)/100),TC!$5:$37,DAY(X437)+2,FALSE),VLOOKUP(Y437,Equivalencia!$1:$23,((MAX(Equivalencia!$3:$3)-YEAR(X437))*14)+MONTH(X437)+2,FALSE)))</f>
        <v>1</v>
      </c>
      <c r="AB437" s="306">
        <f t="shared" si="110"/>
        <v>29806.670655737707</v>
      </c>
      <c r="AC437" s="305">
        <f>+IF(X437=0,0,HLOOKUP(YEAR(X437)+(MONTH(X437)/100),TC!$5:$37,DAY(X437)+2,FALSE))</f>
        <v>19.901199999999999</v>
      </c>
      <c r="AD437" s="307">
        <f t="shared" si="111"/>
        <v>593188.5140539672</v>
      </c>
      <c r="AE437" s="314">
        <f t="shared" si="112"/>
        <v>345253.64759573643</v>
      </c>
      <c r="AF437" s="315">
        <f t="shared" si="113"/>
        <v>247934.86645823077</v>
      </c>
      <c r="AG437" s="316">
        <f t="shared" si="114"/>
        <v>1.3671232876712329</v>
      </c>
      <c r="AH437" s="314">
        <v>1</v>
      </c>
      <c r="AI437" s="314">
        <f t="shared" si="115"/>
        <v>247934.86645823077</v>
      </c>
      <c r="AJ437" s="314">
        <f t="shared" si="116"/>
        <v>0</v>
      </c>
      <c r="AK437" s="317"/>
      <c r="AL437" s="315">
        <f t="shared" si="117"/>
        <v>14258.462283644682</v>
      </c>
      <c r="AN437" s="554">
        <f t="shared" si="118"/>
        <v>0.91704857192657208</v>
      </c>
      <c r="AO437" s="314"/>
      <c r="AP437" s="318"/>
    </row>
    <row r="438" spans="2:42">
      <c r="B438" s="296" t="s">
        <v>1254</v>
      </c>
      <c r="C438" s="299" t="s">
        <v>277</v>
      </c>
      <c r="D438" s="298" t="s">
        <v>883</v>
      </c>
      <c r="E438" s="299" t="s">
        <v>113</v>
      </c>
      <c r="F438" s="299" t="s">
        <v>59</v>
      </c>
      <c r="G438" s="300">
        <v>44259</v>
      </c>
      <c r="H438" s="303">
        <v>20471.36</v>
      </c>
      <c r="I438" s="301" t="str">
        <f t="shared" si="102"/>
        <v>Ingresos Sección II LISR (SIC &amp; BMV)</v>
      </c>
      <c r="J438" s="302">
        <f t="shared" si="103"/>
        <v>32</v>
      </c>
      <c r="K438" s="304">
        <f t="shared" si="104"/>
        <v>639.73</v>
      </c>
      <c r="L438" s="305">
        <f>IF(H438=0,0,IF(OR(E438=$AT$5,E438=$AT$6),AA438,IF(F438="MXN",1/HLOOKUP(YEAR(G438)+(MONTH(G438)/100),TC!$5:$37,DAY(G438)+2,FALSE),VLOOKUP(F438,Equivalencia!$5:$23,((MAX(Equivalencia!$3:$3)-YEAR(G438))*14)+MONTH(G438)+2,FALSE))))</f>
        <v>1</v>
      </c>
      <c r="M438" s="306">
        <f t="shared" si="105"/>
        <v>20471.36</v>
      </c>
      <c r="N438" s="305">
        <f>IF(G438=0,0,(IF(OR(E438=$AT$5,E438=$AT$6),AC438,HLOOKUP(YEAR(G438)+(MONTH(G438)/100),TC!$5:$37,DAY(G438)+2,FALSE))))</f>
        <v>20.690300000000001</v>
      </c>
      <c r="O438" s="307">
        <f t="shared" si="106"/>
        <v>423558.57980800001</v>
      </c>
      <c r="P438" s="560">
        <f>IF(G438=0,0,VLOOKUP(YEAR(G438),INPC!$B$4:$P$30,MONTH(G438)+2))</f>
        <v>111.824</v>
      </c>
      <c r="Q438" s="560">
        <f>IF(X438=0,0,IF(OR(E438=$AT$10,E438=$AT$9),VLOOKUP(YEAR(X438),INPC!$B$4:$P$30,MONTH(X438)+1),VLOOKUP(YEAR(X438),INPC!$B$4:$P$30,MONTH(X438)+2,0)))</f>
        <v>120.15900000000001</v>
      </c>
      <c r="R438" s="309">
        <f t="shared" si="107"/>
        <v>1.0745</v>
      </c>
      <c r="S438" s="310">
        <f t="shared" si="108"/>
        <v>455113.69400369603</v>
      </c>
      <c r="T438" s="555">
        <f t="shared" si="109"/>
        <v>14222.302937615501</v>
      </c>
      <c r="U438" s="311"/>
      <c r="V438" s="312">
        <v>32</v>
      </c>
      <c r="W438" s="299" t="s">
        <v>194</v>
      </c>
      <c r="X438" s="300">
        <v>44658</v>
      </c>
      <c r="Y438" s="299" t="s">
        <v>59</v>
      </c>
      <c r="Z438" s="303">
        <v>32890.119344262297</v>
      </c>
      <c r="AA438" s="305">
        <f>IF(Z438=0,0,IF(Y438="MXN",1/HLOOKUP(YEAR(X438)+(MONTH(X438)/100),TC!$5:$37,DAY(X438)+2,FALSE),VLOOKUP(Y438,Equivalencia!$1:$23,((MAX(Equivalencia!$3:$3)-YEAR(X438))*14)+MONTH(X438)+2,FALSE)))</f>
        <v>1</v>
      </c>
      <c r="AB438" s="306">
        <f t="shared" si="110"/>
        <v>32890.119344262297</v>
      </c>
      <c r="AC438" s="305">
        <f>+IF(X438=0,0,HLOOKUP(YEAR(X438)+(MONTH(X438)/100),TC!$5:$37,DAY(X438)+2,FALSE))</f>
        <v>19.901199999999999</v>
      </c>
      <c r="AD438" s="307">
        <f t="shared" si="111"/>
        <v>654552.84309403284</v>
      </c>
      <c r="AE438" s="314">
        <f t="shared" si="112"/>
        <v>455113.69400369603</v>
      </c>
      <c r="AF438" s="315">
        <f t="shared" si="113"/>
        <v>199439.14909033681</v>
      </c>
      <c r="AG438" s="316">
        <f t="shared" si="114"/>
        <v>1.0931506849315069</v>
      </c>
      <c r="AH438" s="314">
        <v>1</v>
      </c>
      <c r="AI438" s="314">
        <f t="shared" si="115"/>
        <v>199439.14909033681</v>
      </c>
      <c r="AJ438" s="314">
        <f t="shared" si="116"/>
        <v>0</v>
      </c>
      <c r="AK438" s="317"/>
      <c r="AL438" s="315">
        <f t="shared" si="117"/>
        <v>12418.759344262297</v>
      </c>
      <c r="AN438" s="554">
        <f t="shared" si="118"/>
        <v>0.60664066013505191</v>
      </c>
      <c r="AO438" s="314"/>
      <c r="AP438" s="318"/>
    </row>
    <row r="439" spans="2:42">
      <c r="B439" s="296" t="s">
        <v>1254</v>
      </c>
      <c r="C439" s="299" t="s">
        <v>277</v>
      </c>
      <c r="D439" s="298" t="s">
        <v>884</v>
      </c>
      <c r="E439" s="299" t="s">
        <v>113</v>
      </c>
      <c r="F439" s="299" t="s">
        <v>59</v>
      </c>
      <c r="G439" s="300">
        <v>44176</v>
      </c>
      <c r="H439" s="303">
        <v>348.14781249999999</v>
      </c>
      <c r="I439" s="301" t="str">
        <f t="shared" si="102"/>
        <v>Ingresos Sección II LISR (SIC &amp; BMV)</v>
      </c>
      <c r="J439" s="302">
        <f t="shared" si="103"/>
        <v>1</v>
      </c>
      <c r="K439" s="304">
        <f t="shared" si="104"/>
        <v>348.14781249999999</v>
      </c>
      <c r="L439" s="305">
        <f>IF(H439=0,0,IF(OR(E439=$AT$5,E439=$AT$6),AA439,IF(F439="MXN",1/HLOOKUP(YEAR(G439)+(MONTH(G439)/100),TC!$5:$37,DAY(G439)+2,FALSE),VLOOKUP(F439,Equivalencia!$5:$23,((MAX(Equivalencia!$3:$3)-YEAR(G439))*14)+MONTH(G439)+2,FALSE))))</f>
        <v>1</v>
      </c>
      <c r="M439" s="306">
        <f t="shared" si="105"/>
        <v>348.14781249999999</v>
      </c>
      <c r="N439" s="305">
        <f>IF(G439=0,0,(IF(OR(E439=$AT$5,E439=$AT$6),AC439,HLOOKUP(YEAR(G439)+(MONTH(G439)/100),TC!$5:$37,DAY(G439)+2,FALSE))))</f>
        <v>19.8368</v>
      </c>
      <c r="O439" s="307">
        <f t="shared" si="106"/>
        <v>6906.1385270000001</v>
      </c>
      <c r="P439" s="560">
        <f>IF(G439=0,0,VLOOKUP(YEAR(G439),INPC!$B$4:$P$30,MONTH(G439)+2))</f>
        <v>109.271</v>
      </c>
      <c r="Q439" s="560">
        <f>IF(X439=0,0,IF(OR(E439=$AT$10,E439=$AT$9),VLOOKUP(YEAR(X439),INPC!$B$4:$P$30,MONTH(X439)+1),VLOOKUP(YEAR(X439),INPC!$B$4:$P$30,MONTH(X439)+2,0)))</f>
        <v>120.15900000000001</v>
      </c>
      <c r="R439" s="309">
        <f t="shared" si="107"/>
        <v>1.0995999999999999</v>
      </c>
      <c r="S439" s="310">
        <f t="shared" si="108"/>
        <v>7593.9899242891997</v>
      </c>
      <c r="T439" s="555">
        <f t="shared" si="109"/>
        <v>7593.9899242891997</v>
      </c>
      <c r="U439" s="311"/>
      <c r="V439" s="312">
        <v>1</v>
      </c>
      <c r="W439" s="299" t="s">
        <v>194</v>
      </c>
      <c r="X439" s="300">
        <v>44656</v>
      </c>
      <c r="Y439" s="299" t="s">
        <v>59</v>
      </c>
      <c r="Z439" s="303">
        <v>513.74</v>
      </c>
      <c r="AA439" s="305">
        <f>IF(Z439=0,0,IF(Y439="MXN",1/HLOOKUP(YEAR(X439)+(MONTH(X439)/100),TC!$5:$37,DAY(X439)+2,FALSE),VLOOKUP(Y439,Equivalencia!$1:$23,((MAX(Equivalencia!$3:$3)-YEAR(X439))*14)+MONTH(X439)+2,FALSE)))</f>
        <v>1</v>
      </c>
      <c r="AB439" s="306">
        <f t="shared" si="110"/>
        <v>513.74</v>
      </c>
      <c r="AC439" s="305">
        <f>+IF(X439=0,0,HLOOKUP(YEAR(X439)+(MONTH(X439)/100),TC!$5:$37,DAY(X439)+2,FALSE))</f>
        <v>19.8432</v>
      </c>
      <c r="AD439" s="307">
        <f t="shared" si="111"/>
        <v>10194.245568</v>
      </c>
      <c r="AE439" s="314">
        <f t="shared" si="112"/>
        <v>7593.9899242891997</v>
      </c>
      <c r="AF439" s="315">
        <f t="shared" si="113"/>
        <v>2600.2556437108005</v>
      </c>
      <c r="AG439" s="316">
        <f t="shared" si="114"/>
        <v>1.3150684931506849</v>
      </c>
      <c r="AH439" s="314">
        <v>1</v>
      </c>
      <c r="AI439" s="314">
        <f t="shared" si="115"/>
        <v>2600.2556437108005</v>
      </c>
      <c r="AJ439" s="314">
        <f t="shared" si="116"/>
        <v>0</v>
      </c>
      <c r="AK439" s="317"/>
      <c r="AL439" s="315">
        <f t="shared" si="117"/>
        <v>165.59218750000002</v>
      </c>
      <c r="AN439" s="554">
        <f t="shared" si="118"/>
        <v>0.47563759286869001</v>
      </c>
      <c r="AO439" s="314"/>
      <c r="AP439" s="318"/>
    </row>
    <row r="440" spans="2:42">
      <c r="B440" s="296" t="s">
        <v>1254</v>
      </c>
      <c r="C440" s="299" t="s">
        <v>277</v>
      </c>
      <c r="D440" s="298" t="s">
        <v>884</v>
      </c>
      <c r="E440" s="299" t="s">
        <v>113</v>
      </c>
      <c r="F440" s="299" t="s">
        <v>59</v>
      </c>
      <c r="G440" s="300">
        <v>44176</v>
      </c>
      <c r="H440" s="303">
        <v>2785.1824999999999</v>
      </c>
      <c r="I440" s="301" t="str">
        <f t="shared" si="102"/>
        <v>Ingresos Sección II LISR (SIC &amp; BMV)</v>
      </c>
      <c r="J440" s="302">
        <f t="shared" si="103"/>
        <v>8</v>
      </c>
      <c r="K440" s="304">
        <f t="shared" si="104"/>
        <v>348.14781249999999</v>
      </c>
      <c r="L440" s="305">
        <f>IF(H440=0,0,IF(OR(E440=$AT$5,E440=$AT$6),AA440,IF(F440="MXN",1/HLOOKUP(YEAR(G440)+(MONTH(G440)/100),TC!$5:$37,DAY(G440)+2,FALSE),VLOOKUP(F440,Equivalencia!$5:$23,((MAX(Equivalencia!$3:$3)-YEAR(G440))*14)+MONTH(G440)+2,FALSE))))</f>
        <v>1</v>
      </c>
      <c r="M440" s="306">
        <f t="shared" si="105"/>
        <v>2785.1824999999999</v>
      </c>
      <c r="N440" s="305">
        <f>IF(G440=0,0,(IF(OR(E440=$AT$5,E440=$AT$6),AC440,HLOOKUP(YEAR(G440)+(MONTH(G440)/100),TC!$5:$37,DAY(G440)+2,FALSE))))</f>
        <v>19.8368</v>
      </c>
      <c r="O440" s="307">
        <f t="shared" si="106"/>
        <v>55249.108216000001</v>
      </c>
      <c r="P440" s="560">
        <f>IF(G440=0,0,VLOOKUP(YEAR(G440),INPC!$B$4:$P$30,MONTH(G440)+2))</f>
        <v>109.271</v>
      </c>
      <c r="Q440" s="560">
        <f>IF(X440=0,0,IF(OR(E440=$AT$10,E440=$AT$9),VLOOKUP(YEAR(X440),INPC!$B$4:$P$30,MONTH(X440)+1),VLOOKUP(YEAR(X440),INPC!$B$4:$P$30,MONTH(X440)+2,0)))</f>
        <v>120.15900000000001</v>
      </c>
      <c r="R440" s="309">
        <f t="shared" si="107"/>
        <v>1.0995999999999999</v>
      </c>
      <c r="S440" s="310">
        <f t="shared" si="108"/>
        <v>60751.919394313598</v>
      </c>
      <c r="T440" s="555">
        <f t="shared" si="109"/>
        <v>7593.9899242891997</v>
      </c>
      <c r="U440" s="311"/>
      <c r="V440" s="312">
        <v>8</v>
      </c>
      <c r="W440" s="299" t="s">
        <v>194</v>
      </c>
      <c r="X440" s="300">
        <v>44656</v>
      </c>
      <c r="Y440" s="299" t="s">
        <v>59</v>
      </c>
      <c r="Z440" s="303">
        <v>4084.4184615384615</v>
      </c>
      <c r="AA440" s="305">
        <f>IF(Z440=0,0,IF(Y440="MXN",1/HLOOKUP(YEAR(X440)+(MONTH(X440)/100),TC!$5:$37,DAY(X440)+2,FALSE),VLOOKUP(Y440,Equivalencia!$1:$23,((MAX(Equivalencia!$3:$3)-YEAR(X440))*14)+MONTH(X440)+2,FALSE)))</f>
        <v>1</v>
      </c>
      <c r="AB440" s="306">
        <f t="shared" si="110"/>
        <v>4084.4184615384615</v>
      </c>
      <c r="AC440" s="305">
        <f>+IF(X440=0,0,HLOOKUP(YEAR(X440)+(MONTH(X440)/100),TC!$5:$37,DAY(X440)+2,FALSE))</f>
        <v>19.8432</v>
      </c>
      <c r="AD440" s="307">
        <f t="shared" si="111"/>
        <v>81047.932415999996</v>
      </c>
      <c r="AE440" s="314">
        <f t="shared" si="112"/>
        <v>60751.919394313598</v>
      </c>
      <c r="AF440" s="315">
        <f t="shared" si="113"/>
        <v>20296.013021686398</v>
      </c>
      <c r="AG440" s="316">
        <f t="shared" si="114"/>
        <v>1.3150684931506849</v>
      </c>
      <c r="AH440" s="314">
        <v>1</v>
      </c>
      <c r="AI440" s="314">
        <f t="shared" si="115"/>
        <v>20296.013021686398</v>
      </c>
      <c r="AJ440" s="314">
        <f t="shared" si="116"/>
        <v>0</v>
      </c>
      <c r="AK440" s="317"/>
      <c r="AL440" s="315">
        <f t="shared" si="117"/>
        <v>1299.2359615384617</v>
      </c>
      <c r="AN440" s="554">
        <f t="shared" si="118"/>
        <v>0.46648144656174656</v>
      </c>
      <c r="AO440" s="314"/>
      <c r="AP440" s="318"/>
    </row>
    <row r="441" spans="2:42">
      <c r="B441" s="296" t="s">
        <v>1254</v>
      </c>
      <c r="C441" s="299" t="s">
        <v>277</v>
      </c>
      <c r="D441" s="298" t="s">
        <v>884</v>
      </c>
      <c r="E441" s="299" t="s">
        <v>113</v>
      </c>
      <c r="F441" s="299" t="s">
        <v>59</v>
      </c>
      <c r="G441" s="300">
        <v>44260</v>
      </c>
      <c r="H441" s="303">
        <v>1847.8326086956522</v>
      </c>
      <c r="I441" s="301" t="str">
        <f t="shared" si="102"/>
        <v>Ingresos Sección II LISR (SIC &amp; BMV)</v>
      </c>
      <c r="J441" s="302">
        <f t="shared" si="103"/>
        <v>5</v>
      </c>
      <c r="K441" s="304">
        <f t="shared" si="104"/>
        <v>369.56652173913045</v>
      </c>
      <c r="L441" s="305">
        <f>IF(H441=0,0,IF(OR(E441=$AT$5,E441=$AT$6),AA441,IF(F441="MXN",1/HLOOKUP(YEAR(G441)+(MONTH(G441)/100),TC!$5:$37,DAY(G441)+2,FALSE),VLOOKUP(F441,Equivalencia!$5:$23,((MAX(Equivalencia!$3:$3)-YEAR(G441))*14)+MONTH(G441)+2,FALSE))))</f>
        <v>1</v>
      </c>
      <c r="M441" s="306">
        <f t="shared" si="105"/>
        <v>1847.8326086956522</v>
      </c>
      <c r="N441" s="305">
        <f>IF(G441=0,0,(IF(OR(E441=$AT$5,E441=$AT$6),AC441,HLOOKUP(YEAR(G441)+(MONTH(G441)/100),TC!$5:$37,DAY(G441)+2,FALSE))))</f>
        <v>20.895700000000001</v>
      </c>
      <c r="O441" s="307">
        <f t="shared" si="106"/>
        <v>38611.755841521743</v>
      </c>
      <c r="P441" s="560">
        <f>IF(G441=0,0,VLOOKUP(YEAR(G441),INPC!$B$4:$P$30,MONTH(G441)+2))</f>
        <v>111.824</v>
      </c>
      <c r="Q441" s="560">
        <f>IF(X441=0,0,IF(OR(E441=$AT$10,E441=$AT$9),VLOOKUP(YEAR(X441),INPC!$B$4:$P$30,MONTH(X441)+1),VLOOKUP(YEAR(X441),INPC!$B$4:$P$30,MONTH(X441)+2,0)))</f>
        <v>120.15900000000001</v>
      </c>
      <c r="R441" s="309">
        <f t="shared" si="107"/>
        <v>1.0745</v>
      </c>
      <c r="S441" s="310">
        <f t="shared" si="108"/>
        <v>41488.331651715111</v>
      </c>
      <c r="T441" s="555">
        <f t="shared" si="109"/>
        <v>8297.6663303430214</v>
      </c>
      <c r="U441" s="311"/>
      <c r="V441" s="312">
        <v>5</v>
      </c>
      <c r="W441" s="299" t="s">
        <v>194</v>
      </c>
      <c r="X441" s="300">
        <v>44656</v>
      </c>
      <c r="Y441" s="299" t="s">
        <v>59</v>
      </c>
      <c r="Z441" s="303">
        <v>2552.7615384615383</v>
      </c>
      <c r="AA441" s="305">
        <f>IF(Z441=0,0,IF(Y441="MXN",1/HLOOKUP(YEAR(X441)+(MONTH(X441)/100),TC!$5:$37,DAY(X441)+2,FALSE),VLOOKUP(Y441,Equivalencia!$1:$23,((MAX(Equivalencia!$3:$3)-YEAR(X441))*14)+MONTH(X441)+2,FALSE)))</f>
        <v>1</v>
      </c>
      <c r="AB441" s="306">
        <f t="shared" si="110"/>
        <v>2552.7615384615383</v>
      </c>
      <c r="AC441" s="305">
        <f>+IF(X441=0,0,HLOOKUP(YEAR(X441)+(MONTH(X441)/100),TC!$5:$37,DAY(X441)+2,FALSE))</f>
        <v>19.8432</v>
      </c>
      <c r="AD441" s="307">
        <f t="shared" si="111"/>
        <v>50654.957759999998</v>
      </c>
      <c r="AE441" s="314">
        <f t="shared" si="112"/>
        <v>41488.331651715111</v>
      </c>
      <c r="AF441" s="315">
        <f t="shared" si="113"/>
        <v>9166.6261082848869</v>
      </c>
      <c r="AG441" s="316">
        <f t="shared" si="114"/>
        <v>1.0849315068493151</v>
      </c>
      <c r="AH441" s="314">
        <v>1</v>
      </c>
      <c r="AI441" s="314">
        <f t="shared" si="115"/>
        <v>9166.6261082848869</v>
      </c>
      <c r="AJ441" s="314">
        <f t="shared" si="116"/>
        <v>0</v>
      </c>
      <c r="AK441" s="317"/>
      <c r="AL441" s="315">
        <f t="shared" si="117"/>
        <v>704.9289297658861</v>
      </c>
      <c r="AN441" s="554">
        <f t="shared" si="118"/>
        <v>0.38148960379234848</v>
      </c>
      <c r="AO441" s="314"/>
      <c r="AP441" s="318"/>
    </row>
    <row r="442" spans="2:42">
      <c r="B442" s="296" t="s">
        <v>1254</v>
      </c>
      <c r="C442" s="299" t="s">
        <v>277</v>
      </c>
      <c r="D442" s="298" t="s">
        <v>884</v>
      </c>
      <c r="E442" s="299" t="s">
        <v>113</v>
      </c>
      <c r="F442" s="299" t="s">
        <v>59</v>
      </c>
      <c r="G442" s="300">
        <v>44260</v>
      </c>
      <c r="H442" s="303">
        <v>2956.5321739130436</v>
      </c>
      <c r="I442" s="301" t="str">
        <f t="shared" si="102"/>
        <v>Ingresos Sección II LISR (SIC &amp; BMV)</v>
      </c>
      <c r="J442" s="302">
        <f t="shared" si="103"/>
        <v>8</v>
      </c>
      <c r="K442" s="304">
        <f t="shared" si="104"/>
        <v>369.56652173913045</v>
      </c>
      <c r="L442" s="305">
        <f>IF(H442=0,0,IF(OR(E442=$AT$5,E442=$AT$6),AA442,IF(F442="MXN",1/HLOOKUP(YEAR(G442)+(MONTH(G442)/100),TC!$5:$37,DAY(G442)+2,FALSE),VLOOKUP(F442,Equivalencia!$5:$23,((MAX(Equivalencia!$3:$3)-YEAR(G442))*14)+MONTH(G442)+2,FALSE))))</f>
        <v>1</v>
      </c>
      <c r="M442" s="306">
        <f t="shared" si="105"/>
        <v>2956.5321739130436</v>
      </c>
      <c r="N442" s="305">
        <f>IF(G442=0,0,(IF(OR(E442=$AT$5,E442=$AT$6),AC442,HLOOKUP(YEAR(G442)+(MONTH(G442)/100),TC!$5:$37,DAY(G442)+2,FALSE))))</f>
        <v>20.895700000000001</v>
      </c>
      <c r="O442" s="307">
        <f t="shared" si="106"/>
        <v>61778.809346434791</v>
      </c>
      <c r="P442" s="560">
        <f>IF(G442=0,0,VLOOKUP(YEAR(G442),INPC!$B$4:$P$30,MONTH(G442)+2))</f>
        <v>111.824</v>
      </c>
      <c r="Q442" s="560">
        <f>IF(X442=0,0,IF(OR(E442=$AT$10,E442=$AT$9),VLOOKUP(YEAR(X442),INPC!$B$4:$P$30,MONTH(X442)+1),VLOOKUP(YEAR(X442),INPC!$B$4:$P$30,MONTH(X442)+2,0)))</f>
        <v>120.15900000000001</v>
      </c>
      <c r="R442" s="309">
        <f t="shared" si="107"/>
        <v>1.0745</v>
      </c>
      <c r="S442" s="310">
        <f t="shared" si="108"/>
        <v>66381.330642744186</v>
      </c>
      <c r="T442" s="555">
        <f t="shared" si="109"/>
        <v>8297.6663303430232</v>
      </c>
      <c r="U442" s="311"/>
      <c r="V442" s="312">
        <v>8</v>
      </c>
      <c r="W442" s="299" t="s">
        <v>194</v>
      </c>
      <c r="X442" s="300">
        <v>44656</v>
      </c>
      <c r="Y442" s="299" t="s">
        <v>59</v>
      </c>
      <c r="Z442" s="303">
        <v>4102.5600000000004</v>
      </c>
      <c r="AA442" s="305">
        <f>IF(Z442=0,0,IF(Y442="MXN",1/HLOOKUP(YEAR(X442)+(MONTH(X442)/100),TC!$5:$37,DAY(X442)+2,FALSE),VLOOKUP(Y442,Equivalencia!$1:$23,((MAX(Equivalencia!$3:$3)-YEAR(X442))*14)+MONTH(X442)+2,FALSE)))</f>
        <v>1</v>
      </c>
      <c r="AB442" s="306">
        <f t="shared" si="110"/>
        <v>4102.5600000000004</v>
      </c>
      <c r="AC442" s="305">
        <f>+IF(X442=0,0,HLOOKUP(YEAR(X442)+(MONTH(X442)/100),TC!$5:$37,DAY(X442)+2,FALSE))</f>
        <v>19.8432</v>
      </c>
      <c r="AD442" s="307">
        <f t="shared" si="111"/>
        <v>81407.918592000002</v>
      </c>
      <c r="AE442" s="314">
        <f t="shared" si="112"/>
        <v>66381.330642744186</v>
      </c>
      <c r="AF442" s="315">
        <f t="shared" si="113"/>
        <v>15026.587949255816</v>
      </c>
      <c r="AG442" s="316">
        <f t="shared" si="114"/>
        <v>1.0849315068493151</v>
      </c>
      <c r="AH442" s="314">
        <v>1</v>
      </c>
      <c r="AI442" s="314">
        <f t="shared" si="115"/>
        <v>15026.587949255816</v>
      </c>
      <c r="AJ442" s="314">
        <f t="shared" si="116"/>
        <v>0</v>
      </c>
      <c r="AK442" s="317"/>
      <c r="AL442" s="315">
        <f t="shared" si="117"/>
        <v>1146.0278260869568</v>
      </c>
      <c r="AN442" s="554">
        <f t="shared" si="118"/>
        <v>0.3876256907328563</v>
      </c>
      <c r="AO442" s="314"/>
      <c r="AP442" s="318"/>
    </row>
    <row r="443" spans="2:42">
      <c r="B443" s="296" t="s">
        <v>1254</v>
      </c>
      <c r="C443" s="299" t="s">
        <v>277</v>
      </c>
      <c r="D443" s="298" t="s">
        <v>884</v>
      </c>
      <c r="E443" s="299" t="s">
        <v>113</v>
      </c>
      <c r="F443" s="299" t="s">
        <v>59</v>
      </c>
      <c r="G443" s="300">
        <v>44260</v>
      </c>
      <c r="H443" s="303">
        <v>3326.0986956521742</v>
      </c>
      <c r="I443" s="301" t="str">
        <f t="shared" si="102"/>
        <v>Ingresos Sección II LISR (SIC &amp; BMV)</v>
      </c>
      <c r="J443" s="302">
        <f t="shared" si="103"/>
        <v>9</v>
      </c>
      <c r="K443" s="304">
        <f t="shared" si="104"/>
        <v>369.56652173913045</v>
      </c>
      <c r="L443" s="305">
        <f>IF(H443=0,0,IF(OR(E443=$AT$5,E443=$AT$6),AA443,IF(F443="MXN",1/HLOOKUP(YEAR(G443)+(MONTH(G443)/100),TC!$5:$37,DAY(G443)+2,FALSE),VLOOKUP(F443,Equivalencia!$5:$23,((MAX(Equivalencia!$3:$3)-YEAR(G443))*14)+MONTH(G443)+2,FALSE))))</f>
        <v>1</v>
      </c>
      <c r="M443" s="306">
        <f t="shared" si="105"/>
        <v>3326.0986956521742</v>
      </c>
      <c r="N443" s="305">
        <f>IF(G443=0,0,(IF(OR(E443=$AT$5,E443=$AT$6),AC443,HLOOKUP(YEAR(G443)+(MONTH(G443)/100),TC!$5:$37,DAY(G443)+2,FALSE))))</f>
        <v>20.895700000000001</v>
      </c>
      <c r="O443" s="307">
        <f t="shared" si="106"/>
        <v>69501.160514739138</v>
      </c>
      <c r="P443" s="560">
        <f>IF(G443=0,0,VLOOKUP(YEAR(G443),INPC!$B$4:$P$30,MONTH(G443)+2))</f>
        <v>111.824</v>
      </c>
      <c r="Q443" s="560">
        <f>IF(X443=0,0,IF(OR(E443=$AT$10,E443=$AT$9),VLOOKUP(YEAR(X443),INPC!$B$4:$P$30,MONTH(X443)+1),VLOOKUP(YEAR(X443),INPC!$B$4:$P$30,MONTH(X443)+2,0)))</f>
        <v>120.15900000000001</v>
      </c>
      <c r="R443" s="309">
        <f t="shared" si="107"/>
        <v>1.0745</v>
      </c>
      <c r="S443" s="310">
        <f t="shared" si="108"/>
        <v>74678.996973087211</v>
      </c>
      <c r="T443" s="555">
        <f t="shared" si="109"/>
        <v>8297.6663303430232</v>
      </c>
      <c r="U443" s="311"/>
      <c r="V443" s="312">
        <v>9</v>
      </c>
      <c r="W443" s="299" t="s">
        <v>194</v>
      </c>
      <c r="X443" s="300">
        <v>44656</v>
      </c>
      <c r="Y443" s="299" t="s">
        <v>59</v>
      </c>
      <c r="Z443" s="303">
        <v>4624.84</v>
      </c>
      <c r="AA443" s="305">
        <f>IF(Z443=0,0,IF(Y443="MXN",1/HLOOKUP(YEAR(X443)+(MONTH(X443)/100),TC!$5:$37,DAY(X443)+2,FALSE),VLOOKUP(Y443,Equivalencia!$1:$23,((MAX(Equivalencia!$3:$3)-YEAR(X443))*14)+MONTH(X443)+2,FALSE)))</f>
        <v>1</v>
      </c>
      <c r="AB443" s="306">
        <f t="shared" si="110"/>
        <v>4624.84</v>
      </c>
      <c r="AC443" s="305">
        <f>+IF(X443=0,0,HLOOKUP(YEAR(X443)+(MONTH(X443)/100),TC!$5:$37,DAY(X443)+2,FALSE))</f>
        <v>19.8432</v>
      </c>
      <c r="AD443" s="307">
        <f t="shared" si="111"/>
        <v>91771.625088000001</v>
      </c>
      <c r="AE443" s="314">
        <f t="shared" si="112"/>
        <v>74678.996973087211</v>
      </c>
      <c r="AF443" s="315">
        <f t="shared" si="113"/>
        <v>17092.62811491279</v>
      </c>
      <c r="AG443" s="316">
        <f t="shared" si="114"/>
        <v>1.0849315068493151</v>
      </c>
      <c r="AH443" s="314">
        <v>1</v>
      </c>
      <c r="AI443" s="314">
        <f t="shared" si="115"/>
        <v>17092.62811491279</v>
      </c>
      <c r="AJ443" s="314">
        <f t="shared" si="116"/>
        <v>0</v>
      </c>
      <c r="AK443" s="317"/>
      <c r="AL443" s="315">
        <f t="shared" si="117"/>
        <v>1298.7413043478259</v>
      </c>
      <c r="AN443" s="554">
        <f t="shared" si="118"/>
        <v>0.39046986370113457</v>
      </c>
      <c r="AO443" s="314"/>
      <c r="AP443" s="318"/>
    </row>
    <row r="444" spans="2:42">
      <c r="B444" s="296" t="s">
        <v>1254</v>
      </c>
      <c r="C444" s="299" t="s">
        <v>277</v>
      </c>
      <c r="D444" s="298" t="s">
        <v>884</v>
      </c>
      <c r="E444" s="299" t="s">
        <v>113</v>
      </c>
      <c r="F444" s="299" t="s">
        <v>59</v>
      </c>
      <c r="G444" s="300">
        <v>44260</v>
      </c>
      <c r="H444" s="303">
        <v>3326.0986956521742</v>
      </c>
      <c r="I444" s="301" t="str">
        <f t="shared" ref="I444:I507" si="119">IF(D444=0,0,IF(OR(E444=$AT$9,E444=$AT$10),"Ingresos Sección II LISR (SIC &amp; BMV)","Ingresos Sección I LISR"))</f>
        <v>Ingresos Sección II LISR (SIC &amp; BMV)</v>
      </c>
      <c r="J444" s="302">
        <f t="shared" ref="J444:J507" si="120">+V444</f>
        <v>9</v>
      </c>
      <c r="K444" s="304">
        <f t="shared" ref="K444:K507" si="121">IF(H444=0,0,H444/J444)</f>
        <v>369.56652173913045</v>
      </c>
      <c r="L444" s="305">
        <f>IF(H444=0,0,IF(OR(E444=$AT$5,E444=$AT$6),AA444,IF(F444="MXN",1/HLOOKUP(YEAR(G444)+(MONTH(G444)/100),TC!$5:$37,DAY(G444)+2,FALSE),VLOOKUP(F444,Equivalencia!$5:$23,((MAX(Equivalencia!$3:$3)-YEAR(G444))*14)+MONTH(G444)+2,FALSE))))</f>
        <v>1</v>
      </c>
      <c r="M444" s="306">
        <f t="shared" ref="M444:M507" si="122">+H444*L444</f>
        <v>3326.0986956521742</v>
      </c>
      <c r="N444" s="305">
        <f>IF(G444=0,0,(IF(OR(E444=$AT$5,E444=$AT$6),AC444,HLOOKUP(YEAR(G444)+(MONTH(G444)/100),TC!$5:$37,DAY(G444)+2,FALSE))))</f>
        <v>20.895700000000001</v>
      </c>
      <c r="O444" s="307">
        <f t="shared" ref="O444:O507" si="123">+M444*N444</f>
        <v>69501.160514739138</v>
      </c>
      <c r="P444" s="560">
        <f>IF(G444=0,0,VLOOKUP(YEAR(G444),INPC!$B$4:$P$30,MONTH(G444)+2))</f>
        <v>111.824</v>
      </c>
      <c r="Q444" s="560">
        <f>IF(X444=0,0,IF(OR(E444=$AT$10,E444=$AT$9),VLOOKUP(YEAR(X444),INPC!$B$4:$P$30,MONTH(X444)+1),VLOOKUP(YEAR(X444),INPC!$B$4:$P$30,MONTH(X444)+2,0)))</f>
        <v>120.15900000000001</v>
      </c>
      <c r="R444" s="309">
        <f t="shared" ref="R444:R507" si="124">IF(H444=0,0,IF(OR(E444=$AT$5,E444=$AT$6),1,IF(TRUNC(Q444/P444,4)&gt;=1,TRUNC(Q444/P444,4),1)))</f>
        <v>1.0745</v>
      </c>
      <c r="S444" s="310">
        <f t="shared" ref="S444:S507" si="125">+R444*O444</f>
        <v>74678.996973087211</v>
      </c>
      <c r="T444" s="555">
        <f t="shared" ref="T444:T507" si="126">IF(V444=0,0,S444/V444)</f>
        <v>8297.6663303430232</v>
      </c>
      <c r="U444" s="311"/>
      <c r="V444" s="312">
        <v>9</v>
      </c>
      <c r="W444" s="299" t="s">
        <v>194</v>
      </c>
      <c r="X444" s="300">
        <v>44656</v>
      </c>
      <c r="Y444" s="299" t="s">
        <v>59</v>
      </c>
      <c r="Z444" s="303">
        <v>4632.51</v>
      </c>
      <c r="AA444" s="305">
        <f>IF(Z444=0,0,IF(Y444="MXN",1/HLOOKUP(YEAR(X444)+(MONTH(X444)/100),TC!$5:$37,DAY(X444)+2,FALSE),VLOOKUP(Y444,Equivalencia!$1:$23,((MAX(Equivalencia!$3:$3)-YEAR(X444))*14)+MONTH(X444)+2,FALSE)))</f>
        <v>1</v>
      </c>
      <c r="AB444" s="306">
        <f t="shared" ref="AB444:AB507" si="127">+AA444*Z444</f>
        <v>4632.51</v>
      </c>
      <c r="AC444" s="305">
        <f>+IF(X444=0,0,HLOOKUP(YEAR(X444)+(MONTH(X444)/100),TC!$5:$37,DAY(X444)+2,FALSE))</f>
        <v>19.8432</v>
      </c>
      <c r="AD444" s="307">
        <f t="shared" ref="AD444:AD507" si="128">+AC444*AB444</f>
        <v>91923.822432000001</v>
      </c>
      <c r="AE444" s="314">
        <f t="shared" ref="AE444:AE507" si="129">+V444*T444</f>
        <v>74678.996973087211</v>
      </c>
      <c r="AF444" s="315">
        <f t="shared" ref="AF444:AF507" si="130">IF(E444=$AT$11,0,AD444-AE444)</f>
        <v>17244.82545891279</v>
      </c>
      <c r="AG444" s="316">
        <f t="shared" ref="AG444:AG507" si="131">+IF(AND(AF444&lt;0,OR(E444=$AT$5,E444=$AT$6)),1,((X444-G444)/365))</f>
        <v>1.0849315068493151</v>
      </c>
      <c r="AH444" s="314">
        <v>1</v>
      </c>
      <c r="AI444" s="314">
        <f t="shared" ref="AI444:AI507" si="132">+IF(OR(E444=$AT$9,E444=$AT$10),AF444,+AF444/AH444)</f>
        <v>17244.82545891279</v>
      </c>
      <c r="AJ444" s="314">
        <f t="shared" ref="AJ444:AJ507" si="133">+AF444-AI444</f>
        <v>0</v>
      </c>
      <c r="AK444" s="317"/>
      <c r="AL444" s="315">
        <f t="shared" ref="AL444:AL507" si="134">+AB444-M444</f>
        <v>1306.411304347826</v>
      </c>
      <c r="AN444" s="554">
        <f t="shared" ref="AN444:AN507" si="135">IF(AL444=0,0,AL444/H444)</f>
        <v>0.39277586863418906</v>
      </c>
      <c r="AO444" s="314"/>
      <c r="AP444" s="318"/>
    </row>
    <row r="445" spans="2:42">
      <c r="B445" s="296" t="s">
        <v>1254</v>
      </c>
      <c r="C445" s="299" t="s">
        <v>277</v>
      </c>
      <c r="D445" s="298" t="s">
        <v>884</v>
      </c>
      <c r="E445" s="299" t="s">
        <v>113</v>
      </c>
      <c r="F445" s="299" t="s">
        <v>59</v>
      </c>
      <c r="G445" s="300">
        <v>44260</v>
      </c>
      <c r="H445" s="303">
        <v>2586.965652173913</v>
      </c>
      <c r="I445" s="301" t="str">
        <f t="shared" si="119"/>
        <v>Ingresos Sección II LISR (SIC &amp; BMV)</v>
      </c>
      <c r="J445" s="302">
        <f t="shared" si="120"/>
        <v>7</v>
      </c>
      <c r="K445" s="304">
        <f t="shared" si="121"/>
        <v>369.56652173913045</v>
      </c>
      <c r="L445" s="305">
        <f>IF(H445=0,0,IF(OR(E445=$AT$5,E445=$AT$6),AA445,IF(F445="MXN",1/HLOOKUP(YEAR(G445)+(MONTH(G445)/100),TC!$5:$37,DAY(G445)+2,FALSE),VLOOKUP(F445,Equivalencia!$5:$23,((MAX(Equivalencia!$3:$3)-YEAR(G445))*14)+MONTH(G445)+2,FALSE))))</f>
        <v>1</v>
      </c>
      <c r="M445" s="306">
        <f t="shared" si="122"/>
        <v>2586.965652173913</v>
      </c>
      <c r="N445" s="305">
        <f>IF(G445=0,0,(IF(OR(E445=$AT$5,E445=$AT$6),AC445,HLOOKUP(YEAR(G445)+(MONTH(G445)/100),TC!$5:$37,DAY(G445)+2,FALSE))))</f>
        <v>20.895700000000001</v>
      </c>
      <c r="O445" s="307">
        <f t="shared" si="123"/>
        <v>54056.458178130437</v>
      </c>
      <c r="P445" s="560">
        <f>IF(G445=0,0,VLOOKUP(YEAR(G445),INPC!$B$4:$P$30,MONTH(G445)+2))</f>
        <v>111.824</v>
      </c>
      <c r="Q445" s="560">
        <f>IF(X445=0,0,IF(OR(E445=$AT$10,E445=$AT$9),VLOOKUP(YEAR(X445),INPC!$B$4:$P$30,MONTH(X445)+1),VLOOKUP(YEAR(X445),INPC!$B$4:$P$30,MONTH(X445)+2,0)))</f>
        <v>120.809</v>
      </c>
      <c r="R445" s="309">
        <f t="shared" si="124"/>
        <v>1.0803</v>
      </c>
      <c r="S445" s="310">
        <f t="shared" si="125"/>
        <v>58397.19176983431</v>
      </c>
      <c r="T445" s="555">
        <f t="shared" si="126"/>
        <v>8342.4559671191873</v>
      </c>
      <c r="U445" s="311"/>
      <c r="V445" s="312">
        <v>7</v>
      </c>
      <c r="W445" s="299" t="s">
        <v>194</v>
      </c>
      <c r="X445" s="300">
        <v>44707</v>
      </c>
      <c r="Y445" s="299" t="s">
        <v>59</v>
      </c>
      <c r="Z445" s="303">
        <v>1945.1599999999999</v>
      </c>
      <c r="AA445" s="305">
        <f>IF(Z445=0,0,IF(Y445="MXN",1/HLOOKUP(YEAR(X445)+(MONTH(X445)/100),TC!$5:$37,DAY(X445)+2,FALSE),VLOOKUP(Y445,Equivalencia!$1:$23,((MAX(Equivalencia!$3:$3)-YEAR(X445))*14)+MONTH(X445)+2,FALSE)))</f>
        <v>1</v>
      </c>
      <c r="AB445" s="306">
        <f t="shared" si="127"/>
        <v>1945.1599999999999</v>
      </c>
      <c r="AC445" s="305">
        <f>+IF(X445=0,0,HLOOKUP(YEAR(X445)+(MONTH(X445)/100),TC!$5:$37,DAY(X445)+2,FALSE))</f>
        <v>19.887</v>
      </c>
      <c r="AD445" s="307">
        <f t="shared" si="128"/>
        <v>38683.396919999999</v>
      </c>
      <c r="AE445" s="314">
        <f t="shared" si="129"/>
        <v>58397.19176983431</v>
      </c>
      <c r="AF445" s="315">
        <f t="shared" si="130"/>
        <v>-19713.79484983431</v>
      </c>
      <c r="AG445" s="316">
        <f t="shared" si="131"/>
        <v>1.2246575342465753</v>
      </c>
      <c r="AH445" s="314">
        <v>1</v>
      </c>
      <c r="AI445" s="314">
        <f t="shared" si="132"/>
        <v>-19713.79484983431</v>
      </c>
      <c r="AJ445" s="314">
        <f t="shared" si="133"/>
        <v>0</v>
      </c>
      <c r="AK445" s="317"/>
      <c r="AL445" s="315">
        <f t="shared" si="134"/>
        <v>-641.80565217391313</v>
      </c>
      <c r="AN445" s="554">
        <f t="shared" si="135"/>
        <v>-0.24809206555741573</v>
      </c>
      <c r="AO445" s="314"/>
      <c r="AP445" s="318"/>
    </row>
    <row r="446" spans="2:42">
      <c r="B446" s="296" t="s">
        <v>1254</v>
      </c>
      <c r="C446" s="299" t="s">
        <v>277</v>
      </c>
      <c r="D446" s="298" t="s">
        <v>884</v>
      </c>
      <c r="E446" s="299" t="s">
        <v>113</v>
      </c>
      <c r="F446" s="299" t="s">
        <v>59</v>
      </c>
      <c r="G446" s="300">
        <v>44260</v>
      </c>
      <c r="H446" s="303">
        <v>2956.5321739130436</v>
      </c>
      <c r="I446" s="301" t="str">
        <f t="shared" si="119"/>
        <v>Ingresos Sección II LISR (SIC &amp; BMV)</v>
      </c>
      <c r="J446" s="302">
        <f t="shared" si="120"/>
        <v>8</v>
      </c>
      <c r="K446" s="304">
        <f t="shared" si="121"/>
        <v>369.56652173913045</v>
      </c>
      <c r="L446" s="305">
        <f>IF(H446=0,0,IF(OR(E446=$AT$5,E446=$AT$6),AA446,IF(F446="MXN",1/HLOOKUP(YEAR(G446)+(MONTH(G446)/100),TC!$5:$37,DAY(G446)+2,FALSE),VLOOKUP(F446,Equivalencia!$5:$23,((MAX(Equivalencia!$3:$3)-YEAR(G446))*14)+MONTH(G446)+2,FALSE))))</f>
        <v>1</v>
      </c>
      <c r="M446" s="306">
        <f t="shared" si="122"/>
        <v>2956.5321739130436</v>
      </c>
      <c r="N446" s="305">
        <f>IF(G446=0,0,(IF(OR(E446=$AT$5,E446=$AT$6),AC446,HLOOKUP(YEAR(G446)+(MONTH(G446)/100),TC!$5:$37,DAY(G446)+2,FALSE))))</f>
        <v>20.895700000000001</v>
      </c>
      <c r="O446" s="307">
        <f t="shared" si="123"/>
        <v>61778.809346434791</v>
      </c>
      <c r="P446" s="560">
        <f>IF(G446=0,0,VLOOKUP(YEAR(G446),INPC!$B$4:$P$30,MONTH(G446)+2))</f>
        <v>111.824</v>
      </c>
      <c r="Q446" s="560">
        <f>IF(X446=0,0,IF(OR(E446=$AT$10,E446=$AT$9),VLOOKUP(YEAR(X446),INPC!$B$4:$P$30,MONTH(X446)+1),VLOOKUP(YEAR(X446),INPC!$B$4:$P$30,MONTH(X446)+2,0)))</f>
        <v>120.809</v>
      </c>
      <c r="R446" s="309">
        <f t="shared" si="124"/>
        <v>1.0803</v>
      </c>
      <c r="S446" s="310">
        <f t="shared" si="125"/>
        <v>66739.647736953513</v>
      </c>
      <c r="T446" s="555">
        <f t="shared" si="126"/>
        <v>8342.4559671191892</v>
      </c>
      <c r="U446" s="311"/>
      <c r="V446" s="312">
        <v>8</v>
      </c>
      <c r="W446" s="299" t="s">
        <v>194</v>
      </c>
      <c r="X446" s="300">
        <v>44707</v>
      </c>
      <c r="Y446" s="299" t="s">
        <v>59</v>
      </c>
      <c r="Z446" s="303">
        <v>2238.1524210526318</v>
      </c>
      <c r="AA446" s="305">
        <f>IF(Z446=0,0,IF(Y446="MXN",1/HLOOKUP(YEAR(X446)+(MONTH(X446)/100),TC!$5:$37,DAY(X446)+2,FALSE),VLOOKUP(Y446,Equivalencia!$1:$23,((MAX(Equivalencia!$3:$3)-YEAR(X446))*14)+MONTH(X446)+2,FALSE)))</f>
        <v>1</v>
      </c>
      <c r="AB446" s="306">
        <f t="shared" si="127"/>
        <v>2238.1524210526318</v>
      </c>
      <c r="AC446" s="305">
        <f>+IF(X446=0,0,HLOOKUP(YEAR(X446)+(MONTH(X446)/100),TC!$5:$37,DAY(X446)+2,FALSE))</f>
        <v>19.887</v>
      </c>
      <c r="AD446" s="307">
        <f t="shared" si="128"/>
        <v>44510.13719747369</v>
      </c>
      <c r="AE446" s="314">
        <f t="shared" si="129"/>
        <v>66739.647736953513</v>
      </c>
      <c r="AF446" s="315">
        <f t="shared" si="130"/>
        <v>-22229.510539479823</v>
      </c>
      <c r="AG446" s="316">
        <f t="shared" si="131"/>
        <v>1.2246575342465753</v>
      </c>
      <c r="AH446" s="314">
        <v>1</v>
      </c>
      <c r="AI446" s="314">
        <f t="shared" si="132"/>
        <v>-22229.510539479823</v>
      </c>
      <c r="AJ446" s="314">
        <f t="shared" si="133"/>
        <v>0</v>
      </c>
      <c r="AK446" s="317"/>
      <c r="AL446" s="315">
        <f t="shared" si="134"/>
        <v>-718.37975286041183</v>
      </c>
      <c r="AN446" s="554">
        <f t="shared" si="135"/>
        <v>-0.24298052941856488</v>
      </c>
      <c r="AO446" s="314"/>
      <c r="AP446" s="318"/>
    </row>
    <row r="447" spans="2:42">
      <c r="B447" s="296" t="s">
        <v>1254</v>
      </c>
      <c r="C447" s="299" t="s">
        <v>277</v>
      </c>
      <c r="D447" s="298" t="s">
        <v>884</v>
      </c>
      <c r="E447" s="299" t="s">
        <v>113</v>
      </c>
      <c r="F447" s="299" t="s">
        <v>59</v>
      </c>
      <c r="G447" s="300">
        <v>44348</v>
      </c>
      <c r="H447" s="303">
        <v>8138.83</v>
      </c>
      <c r="I447" s="301" t="str">
        <f t="shared" si="119"/>
        <v>Ingresos Sección II LISR (SIC &amp; BMV)</v>
      </c>
      <c r="J447" s="302">
        <f t="shared" si="120"/>
        <v>22</v>
      </c>
      <c r="K447" s="304">
        <f t="shared" si="121"/>
        <v>369.94681818181817</v>
      </c>
      <c r="L447" s="305">
        <f>IF(H447=0,0,IF(OR(E447=$AT$5,E447=$AT$6),AA447,IF(F447="MXN",1/HLOOKUP(YEAR(G447)+(MONTH(G447)/100),TC!$5:$37,DAY(G447)+2,FALSE),VLOOKUP(F447,Equivalencia!$5:$23,((MAX(Equivalencia!$3:$3)-YEAR(G447))*14)+MONTH(G447)+2,FALSE))))</f>
        <v>1</v>
      </c>
      <c r="M447" s="306">
        <f t="shared" si="122"/>
        <v>8138.83</v>
      </c>
      <c r="N447" s="305">
        <f>IF(G447=0,0,(IF(OR(E447=$AT$5,E447=$AT$6),AC447,HLOOKUP(YEAR(G447)+(MONTH(G447)/100),TC!$5:$37,DAY(G447)+2,FALSE))))</f>
        <v>19.944199999999999</v>
      </c>
      <c r="O447" s="307">
        <f t="shared" si="123"/>
        <v>162322.45328599997</v>
      </c>
      <c r="P447" s="560">
        <f>IF(G447=0,0,VLOOKUP(YEAR(G447),INPC!$B$4:$P$30,MONTH(G447)+2))</f>
        <v>113.018</v>
      </c>
      <c r="Q447" s="560">
        <f>IF(X447=0,0,IF(OR(E447=$AT$10,E447=$AT$9),VLOOKUP(YEAR(X447),INPC!$B$4:$P$30,MONTH(X447)+1),VLOOKUP(YEAR(X447),INPC!$B$4:$P$30,MONTH(X447)+2,0)))</f>
        <v>120.809</v>
      </c>
      <c r="R447" s="309">
        <f t="shared" si="124"/>
        <v>1.0689</v>
      </c>
      <c r="S447" s="310">
        <f t="shared" si="125"/>
        <v>173506.47031740536</v>
      </c>
      <c r="T447" s="555">
        <f t="shared" si="126"/>
        <v>7886.6577417002436</v>
      </c>
      <c r="U447" s="311"/>
      <c r="V447" s="312">
        <v>22</v>
      </c>
      <c r="W447" s="299" t="s">
        <v>194</v>
      </c>
      <c r="X447" s="300">
        <v>44707</v>
      </c>
      <c r="Y447" s="299" t="s">
        <v>59</v>
      </c>
      <c r="Z447" s="303">
        <v>6154.9191578947375</v>
      </c>
      <c r="AA447" s="305">
        <f>IF(Z447=0,0,IF(Y447="MXN",1/HLOOKUP(YEAR(X447)+(MONTH(X447)/100),TC!$5:$37,DAY(X447)+2,FALSE),VLOOKUP(Y447,Equivalencia!$1:$23,((MAX(Equivalencia!$3:$3)-YEAR(X447))*14)+MONTH(X447)+2,FALSE)))</f>
        <v>1</v>
      </c>
      <c r="AB447" s="306">
        <f t="shared" si="127"/>
        <v>6154.9191578947375</v>
      </c>
      <c r="AC447" s="305">
        <f>+IF(X447=0,0,HLOOKUP(YEAR(X447)+(MONTH(X447)/100),TC!$5:$37,DAY(X447)+2,FALSE))</f>
        <v>19.887</v>
      </c>
      <c r="AD447" s="307">
        <f t="shared" si="128"/>
        <v>122402.87729305265</v>
      </c>
      <c r="AE447" s="314">
        <f t="shared" si="129"/>
        <v>173506.47031740536</v>
      </c>
      <c r="AF447" s="315">
        <f t="shared" si="130"/>
        <v>-51103.593024352711</v>
      </c>
      <c r="AG447" s="316">
        <f t="shared" si="131"/>
        <v>0.98356164383561639</v>
      </c>
      <c r="AH447" s="314">
        <v>1</v>
      </c>
      <c r="AI447" s="314">
        <f t="shared" si="132"/>
        <v>-51103.593024352711</v>
      </c>
      <c r="AJ447" s="314">
        <f t="shared" si="133"/>
        <v>0</v>
      </c>
      <c r="AK447" s="317"/>
      <c r="AL447" s="315">
        <f t="shared" si="134"/>
        <v>-1983.9108421052624</v>
      </c>
      <c r="AN447" s="554">
        <f t="shared" si="135"/>
        <v>-0.24375872725014067</v>
      </c>
      <c r="AO447" s="314"/>
      <c r="AP447" s="318"/>
    </row>
    <row r="448" spans="2:42">
      <c r="B448" s="296" t="s">
        <v>1254</v>
      </c>
      <c r="C448" s="299" t="s">
        <v>277</v>
      </c>
      <c r="D448" s="298" t="s">
        <v>884</v>
      </c>
      <c r="E448" s="299" t="s">
        <v>113</v>
      </c>
      <c r="F448" s="299" t="s">
        <v>59</v>
      </c>
      <c r="G448" s="300">
        <v>44350</v>
      </c>
      <c r="H448" s="303">
        <v>4055.3100000000004</v>
      </c>
      <c r="I448" s="301" t="str">
        <f t="shared" si="119"/>
        <v>Ingresos Sección II LISR (SIC &amp; BMV)</v>
      </c>
      <c r="J448" s="302">
        <f t="shared" si="120"/>
        <v>11</v>
      </c>
      <c r="K448" s="304">
        <f t="shared" si="121"/>
        <v>368.66454545454548</v>
      </c>
      <c r="L448" s="305">
        <f>IF(H448=0,0,IF(OR(E448=$AT$5,E448=$AT$6),AA448,IF(F448="MXN",1/HLOOKUP(YEAR(G448)+(MONTH(G448)/100),TC!$5:$37,DAY(G448)+2,FALSE),VLOOKUP(F448,Equivalencia!$5:$23,((MAX(Equivalencia!$3:$3)-YEAR(G448))*14)+MONTH(G448)+2,FALSE))))</f>
        <v>1</v>
      </c>
      <c r="M448" s="306">
        <f t="shared" si="122"/>
        <v>4055.3100000000004</v>
      </c>
      <c r="N448" s="305">
        <f>IF(G448=0,0,(IF(OR(E448=$AT$5,E448=$AT$6),AC448,HLOOKUP(YEAR(G448)+(MONTH(G448)/100),TC!$5:$37,DAY(G448)+2,FALSE))))</f>
        <v>19.892700000000001</v>
      </c>
      <c r="O448" s="307">
        <f t="shared" si="123"/>
        <v>80671.065237000017</v>
      </c>
      <c r="P448" s="560">
        <f>IF(G448=0,0,VLOOKUP(YEAR(G448),INPC!$B$4:$P$30,MONTH(G448)+2))</f>
        <v>113.018</v>
      </c>
      <c r="Q448" s="560">
        <f>IF(X448=0,0,IF(OR(E448=$AT$10,E448=$AT$9),VLOOKUP(YEAR(X448),INPC!$B$4:$P$30,MONTH(X448)+1),VLOOKUP(YEAR(X448),INPC!$B$4:$P$30,MONTH(X448)+2,0)))</f>
        <v>120.809</v>
      </c>
      <c r="R448" s="309">
        <f t="shared" si="124"/>
        <v>1.0689</v>
      </c>
      <c r="S448" s="310">
        <f t="shared" si="125"/>
        <v>86229.301631829308</v>
      </c>
      <c r="T448" s="555">
        <f t="shared" si="126"/>
        <v>7839.0274210753914</v>
      </c>
      <c r="U448" s="311"/>
      <c r="V448" s="312">
        <v>11</v>
      </c>
      <c r="W448" s="299" t="s">
        <v>194</v>
      </c>
      <c r="X448" s="300">
        <v>44707</v>
      </c>
      <c r="Y448" s="299" t="s">
        <v>59</v>
      </c>
      <c r="Z448" s="303">
        <v>3077.4595789473688</v>
      </c>
      <c r="AA448" s="305">
        <f>IF(Z448=0,0,IF(Y448="MXN",1/HLOOKUP(YEAR(X448)+(MONTH(X448)/100),TC!$5:$37,DAY(X448)+2,FALSE),VLOOKUP(Y448,Equivalencia!$1:$23,((MAX(Equivalencia!$3:$3)-YEAR(X448))*14)+MONTH(X448)+2,FALSE)))</f>
        <v>1</v>
      </c>
      <c r="AB448" s="306">
        <f t="shared" si="127"/>
        <v>3077.4595789473688</v>
      </c>
      <c r="AC448" s="305">
        <f>+IF(X448=0,0,HLOOKUP(YEAR(X448)+(MONTH(X448)/100),TC!$5:$37,DAY(X448)+2,FALSE))</f>
        <v>19.887</v>
      </c>
      <c r="AD448" s="307">
        <f t="shared" si="128"/>
        <v>61201.438646526323</v>
      </c>
      <c r="AE448" s="314">
        <f t="shared" si="129"/>
        <v>86229.301631829308</v>
      </c>
      <c r="AF448" s="315">
        <f t="shared" si="130"/>
        <v>-25027.862985302985</v>
      </c>
      <c r="AG448" s="316">
        <f t="shared" si="131"/>
        <v>0.9780821917808219</v>
      </c>
      <c r="AH448" s="314">
        <v>1</v>
      </c>
      <c r="AI448" s="314">
        <f t="shared" si="132"/>
        <v>-25027.862985302985</v>
      </c>
      <c r="AJ448" s="314">
        <f t="shared" si="133"/>
        <v>0</v>
      </c>
      <c r="AK448" s="317"/>
      <c r="AL448" s="315">
        <f t="shared" si="134"/>
        <v>-977.85042105263165</v>
      </c>
      <c r="AN448" s="554">
        <f t="shared" si="135"/>
        <v>-0.24112840228062257</v>
      </c>
      <c r="AO448" s="314"/>
      <c r="AP448" s="318"/>
    </row>
    <row r="449" spans="2:42">
      <c r="B449" s="296" t="s">
        <v>1254</v>
      </c>
      <c r="C449" s="299" t="s">
        <v>277</v>
      </c>
      <c r="D449" s="298" t="s">
        <v>884</v>
      </c>
      <c r="E449" s="299" t="s">
        <v>113</v>
      </c>
      <c r="F449" s="299" t="s">
        <v>59</v>
      </c>
      <c r="G449" s="300">
        <v>44350</v>
      </c>
      <c r="H449" s="303">
        <v>4822.9399999999996</v>
      </c>
      <c r="I449" s="301" t="str">
        <f t="shared" si="119"/>
        <v>Ingresos Sección II LISR (SIC &amp; BMV)</v>
      </c>
      <c r="J449" s="302">
        <f t="shared" si="120"/>
        <v>13</v>
      </c>
      <c r="K449" s="304">
        <f t="shared" si="121"/>
        <v>370.99538461538458</v>
      </c>
      <c r="L449" s="305">
        <f>IF(H449=0,0,IF(OR(E449=$AT$5,E449=$AT$6),AA449,IF(F449="MXN",1/HLOOKUP(YEAR(G449)+(MONTH(G449)/100),TC!$5:$37,DAY(G449)+2,FALSE),VLOOKUP(F449,Equivalencia!$5:$23,((MAX(Equivalencia!$3:$3)-YEAR(G449))*14)+MONTH(G449)+2,FALSE))))</f>
        <v>1</v>
      </c>
      <c r="M449" s="306">
        <f t="shared" si="122"/>
        <v>4822.9399999999996</v>
      </c>
      <c r="N449" s="305">
        <f>IF(G449=0,0,(IF(OR(E449=$AT$5,E449=$AT$6),AC449,HLOOKUP(YEAR(G449)+(MONTH(G449)/100),TC!$5:$37,DAY(G449)+2,FALSE))))</f>
        <v>19.892700000000001</v>
      </c>
      <c r="O449" s="307">
        <f t="shared" si="123"/>
        <v>95941.298538000003</v>
      </c>
      <c r="P449" s="560">
        <f>IF(G449=0,0,VLOOKUP(YEAR(G449),INPC!$B$4:$P$30,MONTH(G449)+2))</f>
        <v>113.018</v>
      </c>
      <c r="Q449" s="560">
        <f>IF(X449=0,0,IF(OR(E449=$AT$10,E449=$AT$9),VLOOKUP(YEAR(X449),INPC!$B$4:$P$30,MONTH(X449)+1),VLOOKUP(YEAR(X449),INPC!$B$4:$P$30,MONTH(X449)+2,0)))</f>
        <v>120.809</v>
      </c>
      <c r="R449" s="309">
        <f t="shared" si="124"/>
        <v>1.0689</v>
      </c>
      <c r="S449" s="310">
        <f t="shared" si="125"/>
        <v>102551.6540072682</v>
      </c>
      <c r="T449" s="555">
        <f t="shared" si="126"/>
        <v>7888.5887697898615</v>
      </c>
      <c r="U449" s="311"/>
      <c r="V449" s="312">
        <v>13</v>
      </c>
      <c r="W449" s="299" t="s">
        <v>194</v>
      </c>
      <c r="X449" s="300">
        <v>44707</v>
      </c>
      <c r="Y449" s="299" t="s">
        <v>59</v>
      </c>
      <c r="Z449" s="303">
        <v>3636.9976842105266</v>
      </c>
      <c r="AA449" s="305">
        <f>IF(Z449=0,0,IF(Y449="MXN",1/HLOOKUP(YEAR(X449)+(MONTH(X449)/100),TC!$5:$37,DAY(X449)+2,FALSE),VLOOKUP(Y449,Equivalencia!$1:$23,((MAX(Equivalencia!$3:$3)-YEAR(X449))*14)+MONTH(X449)+2,FALSE)))</f>
        <v>1</v>
      </c>
      <c r="AB449" s="306">
        <f t="shared" si="127"/>
        <v>3636.9976842105266</v>
      </c>
      <c r="AC449" s="305">
        <f>+IF(X449=0,0,HLOOKUP(YEAR(X449)+(MONTH(X449)/100),TC!$5:$37,DAY(X449)+2,FALSE))</f>
        <v>19.887</v>
      </c>
      <c r="AD449" s="307">
        <f t="shared" si="128"/>
        <v>72328.97294589474</v>
      </c>
      <c r="AE449" s="314">
        <f t="shared" si="129"/>
        <v>102551.6540072682</v>
      </c>
      <c r="AF449" s="315">
        <f t="shared" si="130"/>
        <v>-30222.681061373456</v>
      </c>
      <c r="AG449" s="316">
        <f t="shared" si="131"/>
        <v>0.9780821917808219</v>
      </c>
      <c r="AH449" s="314">
        <v>1</v>
      </c>
      <c r="AI449" s="314">
        <f t="shared" si="132"/>
        <v>-30222.681061373456</v>
      </c>
      <c r="AJ449" s="314">
        <f t="shared" si="133"/>
        <v>0</v>
      </c>
      <c r="AK449" s="317"/>
      <c r="AL449" s="315">
        <f t="shared" si="134"/>
        <v>-1185.942315789473</v>
      </c>
      <c r="AN449" s="554">
        <f t="shared" si="135"/>
        <v>-0.24589613716726169</v>
      </c>
      <c r="AO449" s="314"/>
      <c r="AP449" s="318"/>
    </row>
    <row r="450" spans="2:42">
      <c r="B450" s="296" t="s">
        <v>1254</v>
      </c>
      <c r="C450" s="299" t="s">
        <v>277</v>
      </c>
      <c r="D450" s="298" t="s">
        <v>884</v>
      </c>
      <c r="E450" s="299" t="s">
        <v>113</v>
      </c>
      <c r="F450" s="299" t="s">
        <v>59</v>
      </c>
      <c r="G450" s="300">
        <v>44573</v>
      </c>
      <c r="H450" s="303">
        <v>10422.92</v>
      </c>
      <c r="I450" s="301" t="str">
        <f t="shared" si="119"/>
        <v>Ingresos Sección II LISR (SIC &amp; BMV)</v>
      </c>
      <c r="J450" s="302">
        <f t="shared" si="120"/>
        <v>21</v>
      </c>
      <c r="K450" s="304">
        <f t="shared" si="121"/>
        <v>496.32952380952383</v>
      </c>
      <c r="L450" s="305">
        <f>IF(H450=0,0,IF(OR(E450=$AT$5,E450=$AT$6),AA450,IF(F450="MXN",1/HLOOKUP(YEAR(G450)+(MONTH(G450)/100),TC!$5:$37,DAY(G450)+2,FALSE),VLOOKUP(F450,Equivalencia!$5:$23,((MAX(Equivalencia!$3:$3)-YEAR(G450))*14)+MONTH(G450)+2,FALSE))))</f>
        <v>1</v>
      </c>
      <c r="M450" s="306">
        <f t="shared" si="122"/>
        <v>10422.92</v>
      </c>
      <c r="N450" s="305">
        <f>IF(G450=0,0,(IF(OR(E450=$AT$5,E450=$AT$6),AC450,HLOOKUP(YEAR(G450)+(MONTH(G450)/100),TC!$5:$37,DAY(G450)+2,FALSE))))</f>
        <v>20.4453</v>
      </c>
      <c r="O450" s="307">
        <f t="shared" si="123"/>
        <v>213099.726276</v>
      </c>
      <c r="P450" s="560">
        <f>IF(G450=0,0,VLOOKUP(YEAR(G450),INPC!$B$4:$P$30,MONTH(G450)+2))</f>
        <v>118.002</v>
      </c>
      <c r="Q450" s="560">
        <f>IF(X450=0,0,IF(OR(E450=$AT$10,E450=$AT$9),VLOOKUP(YEAR(X450),INPC!$B$4:$P$30,MONTH(X450)+1),VLOOKUP(YEAR(X450),INPC!$B$4:$P$30,MONTH(X450)+2,0)))</f>
        <v>120.809</v>
      </c>
      <c r="R450" s="309">
        <f t="shared" si="124"/>
        <v>1.0237000000000001</v>
      </c>
      <c r="S450" s="310">
        <f t="shared" si="125"/>
        <v>218150.18978874121</v>
      </c>
      <c r="T450" s="555">
        <f t="shared" si="126"/>
        <v>10388.104275654343</v>
      </c>
      <c r="U450" s="311"/>
      <c r="V450" s="312">
        <v>21</v>
      </c>
      <c r="W450" s="299" t="s">
        <v>194</v>
      </c>
      <c r="X450" s="300">
        <v>44707</v>
      </c>
      <c r="Y450" s="299" t="s">
        <v>59</v>
      </c>
      <c r="Z450" s="303">
        <v>5875.1501052631584</v>
      </c>
      <c r="AA450" s="305">
        <f>IF(Z450=0,0,IF(Y450="MXN",1/HLOOKUP(YEAR(X450)+(MONTH(X450)/100),TC!$5:$37,DAY(X450)+2,FALSE),VLOOKUP(Y450,Equivalencia!$1:$23,((MAX(Equivalencia!$3:$3)-YEAR(X450))*14)+MONTH(X450)+2,FALSE)))</f>
        <v>1</v>
      </c>
      <c r="AB450" s="306">
        <f t="shared" si="127"/>
        <v>5875.1501052631584</v>
      </c>
      <c r="AC450" s="305">
        <f>+IF(X450=0,0,HLOOKUP(YEAR(X450)+(MONTH(X450)/100),TC!$5:$37,DAY(X450)+2,FALSE))</f>
        <v>19.887</v>
      </c>
      <c r="AD450" s="307">
        <f t="shared" si="128"/>
        <v>116839.11014336844</v>
      </c>
      <c r="AE450" s="314">
        <f t="shared" si="129"/>
        <v>218150.18978874121</v>
      </c>
      <c r="AF450" s="315">
        <f t="shared" si="130"/>
        <v>-101311.07964537277</v>
      </c>
      <c r="AG450" s="316">
        <f t="shared" si="131"/>
        <v>0.36712328767123287</v>
      </c>
      <c r="AH450" s="314">
        <v>1</v>
      </c>
      <c r="AI450" s="314">
        <f t="shared" si="132"/>
        <v>-101311.07964537277</v>
      </c>
      <c r="AJ450" s="314">
        <f t="shared" si="133"/>
        <v>0</v>
      </c>
      <c r="AK450" s="317"/>
      <c r="AL450" s="315">
        <f t="shared" si="134"/>
        <v>-4547.7698947368417</v>
      </c>
      <c r="AN450" s="554">
        <f t="shared" si="135"/>
        <v>-0.43632397588553318</v>
      </c>
      <c r="AO450" s="314"/>
      <c r="AP450" s="318"/>
    </row>
    <row r="451" spans="2:42">
      <c r="B451" s="296" t="s">
        <v>1254</v>
      </c>
      <c r="C451" s="299" t="s">
        <v>277</v>
      </c>
      <c r="D451" s="298" t="s">
        <v>884</v>
      </c>
      <c r="E451" s="299" t="s">
        <v>113</v>
      </c>
      <c r="F451" s="299" t="s">
        <v>59</v>
      </c>
      <c r="G451" s="300">
        <v>44574</v>
      </c>
      <c r="H451" s="303">
        <v>9268.69</v>
      </c>
      <c r="I451" s="301" t="str">
        <f t="shared" si="119"/>
        <v>Ingresos Sección II LISR (SIC &amp; BMV)</v>
      </c>
      <c r="J451" s="302">
        <f t="shared" si="120"/>
        <v>20</v>
      </c>
      <c r="K451" s="304">
        <f t="shared" si="121"/>
        <v>463.43450000000001</v>
      </c>
      <c r="L451" s="305">
        <f>IF(H451=0,0,IF(OR(E451=$AT$5,E451=$AT$6),AA451,IF(F451="MXN",1/HLOOKUP(YEAR(G451)+(MONTH(G451)/100),TC!$5:$37,DAY(G451)+2,FALSE),VLOOKUP(F451,Equivalencia!$5:$23,((MAX(Equivalencia!$3:$3)-YEAR(G451))*14)+MONTH(G451)+2,FALSE))))</f>
        <v>1</v>
      </c>
      <c r="M451" s="306">
        <f t="shared" si="122"/>
        <v>9268.69</v>
      </c>
      <c r="N451" s="305">
        <f>IF(G451=0,0,(IF(OR(E451=$AT$5,E451=$AT$6),AC451,HLOOKUP(YEAR(G451)+(MONTH(G451)/100),TC!$5:$37,DAY(G451)+2,FALSE))))</f>
        <v>20.378499999999999</v>
      </c>
      <c r="O451" s="307">
        <f t="shared" si="123"/>
        <v>188881.99916499999</v>
      </c>
      <c r="P451" s="560">
        <f>IF(G451=0,0,VLOOKUP(YEAR(G451),INPC!$B$4:$P$30,MONTH(G451)+2))</f>
        <v>118.002</v>
      </c>
      <c r="Q451" s="560">
        <f>IF(X451=0,0,IF(OR(E451=$AT$10,E451=$AT$9),VLOOKUP(YEAR(X451),INPC!$B$4:$P$30,MONTH(X451)+1),VLOOKUP(YEAR(X451),INPC!$B$4:$P$30,MONTH(X451)+2,0)))</f>
        <v>120.809</v>
      </c>
      <c r="R451" s="309">
        <f t="shared" si="124"/>
        <v>1.0237000000000001</v>
      </c>
      <c r="S451" s="310">
        <f t="shared" si="125"/>
        <v>193358.5025452105</v>
      </c>
      <c r="T451" s="555">
        <f t="shared" si="126"/>
        <v>9667.9251272605252</v>
      </c>
      <c r="U451" s="311"/>
      <c r="V451" s="312">
        <v>20</v>
      </c>
      <c r="W451" s="299" t="s">
        <v>194</v>
      </c>
      <c r="X451" s="300">
        <v>44707</v>
      </c>
      <c r="Y451" s="299" t="s">
        <v>59</v>
      </c>
      <c r="Z451" s="303">
        <v>5595.3810526315792</v>
      </c>
      <c r="AA451" s="305">
        <f>IF(Z451=0,0,IF(Y451="MXN",1/HLOOKUP(YEAR(X451)+(MONTH(X451)/100),TC!$5:$37,DAY(X451)+2,FALSE),VLOOKUP(Y451,Equivalencia!$1:$23,((MAX(Equivalencia!$3:$3)-YEAR(X451))*14)+MONTH(X451)+2,FALSE)))</f>
        <v>1</v>
      </c>
      <c r="AB451" s="306">
        <f t="shared" si="127"/>
        <v>5595.3810526315792</v>
      </c>
      <c r="AC451" s="305">
        <f>+IF(X451=0,0,HLOOKUP(YEAR(X451)+(MONTH(X451)/100),TC!$5:$37,DAY(X451)+2,FALSE))</f>
        <v>19.887</v>
      </c>
      <c r="AD451" s="307">
        <f t="shared" si="128"/>
        <v>111275.34299368421</v>
      </c>
      <c r="AE451" s="314">
        <f t="shared" si="129"/>
        <v>193358.5025452105</v>
      </c>
      <c r="AF451" s="315">
        <f t="shared" si="130"/>
        <v>-82083.159551526289</v>
      </c>
      <c r="AG451" s="316">
        <f t="shared" si="131"/>
        <v>0.36438356164383562</v>
      </c>
      <c r="AH451" s="314">
        <v>1</v>
      </c>
      <c r="AI451" s="314">
        <f t="shared" si="132"/>
        <v>-82083.159551526289</v>
      </c>
      <c r="AJ451" s="314">
        <f t="shared" si="133"/>
        <v>0</v>
      </c>
      <c r="AK451" s="317"/>
      <c r="AL451" s="315">
        <f t="shared" si="134"/>
        <v>-3673.3089473684213</v>
      </c>
      <c r="AN451" s="554">
        <f t="shared" si="135"/>
        <v>-0.39631371287295414</v>
      </c>
      <c r="AO451" s="314"/>
      <c r="AP451" s="318"/>
    </row>
    <row r="452" spans="2:42">
      <c r="B452" s="296" t="s">
        <v>1254</v>
      </c>
      <c r="C452" s="299" t="s">
        <v>277</v>
      </c>
      <c r="D452" s="298" t="s">
        <v>712</v>
      </c>
      <c r="E452" s="299" t="s">
        <v>113</v>
      </c>
      <c r="F452" s="299" t="s">
        <v>59</v>
      </c>
      <c r="G452" s="300">
        <v>44308</v>
      </c>
      <c r="H452" s="303">
        <v>9592.1080550098231</v>
      </c>
      <c r="I452" s="301" t="str">
        <f t="shared" si="119"/>
        <v>Ingresos Sección II LISR (SIC &amp; BMV)</v>
      </c>
      <c r="J452" s="302">
        <f t="shared" si="120"/>
        <v>396</v>
      </c>
      <c r="K452" s="304">
        <f t="shared" si="121"/>
        <v>24.222495088408646</v>
      </c>
      <c r="L452" s="305">
        <f>IF(H452=0,0,IF(OR(E452=$AT$5,E452=$AT$6),AA452,IF(F452="MXN",1/HLOOKUP(YEAR(G452)+(MONTH(G452)/100),TC!$5:$37,DAY(G452)+2,FALSE),VLOOKUP(F452,Equivalencia!$5:$23,((MAX(Equivalencia!$3:$3)-YEAR(G452))*14)+MONTH(G452)+2,FALSE))))</f>
        <v>1</v>
      </c>
      <c r="M452" s="306">
        <f t="shared" si="122"/>
        <v>9592.1080550098231</v>
      </c>
      <c r="N452" s="305">
        <f>IF(G452=0,0,(IF(OR(E452=$AT$5,E452=$AT$6),AC452,HLOOKUP(YEAR(G452)+(MONTH(G452)/100),TC!$5:$37,DAY(G452)+2,FALSE))))</f>
        <v>19.887699999999999</v>
      </c>
      <c r="O452" s="307">
        <f t="shared" si="123"/>
        <v>190764.96736561885</v>
      </c>
      <c r="P452" s="560">
        <f>IF(G452=0,0,VLOOKUP(YEAR(G452),INPC!$B$4:$P$30,MONTH(G452)+2))</f>
        <v>112.19</v>
      </c>
      <c r="Q452" s="560">
        <f>IF(X452=0,0,IF(OR(E452=$AT$10,E452=$AT$9),VLOOKUP(YEAR(X452),INPC!$B$4:$P$30,MONTH(X452)+1),VLOOKUP(YEAR(X452),INPC!$B$4:$P$30,MONTH(X452)+2,0)))</f>
        <v>117.30800000000001</v>
      </c>
      <c r="R452" s="309">
        <f t="shared" si="124"/>
        <v>1.0456000000000001</v>
      </c>
      <c r="S452" s="310">
        <f t="shared" si="125"/>
        <v>199463.8498774911</v>
      </c>
      <c r="T452" s="555">
        <f t="shared" si="126"/>
        <v>503.69659059972497</v>
      </c>
      <c r="U452" s="311"/>
      <c r="V452" s="312">
        <v>396</v>
      </c>
      <c r="W452" s="299" t="s">
        <v>194</v>
      </c>
      <c r="X452" s="300">
        <v>44574</v>
      </c>
      <c r="Y452" s="299" t="s">
        <v>59</v>
      </c>
      <c r="Z452" s="303">
        <v>13782.67</v>
      </c>
      <c r="AA452" s="305">
        <f>IF(Z452=0,0,IF(Y452="MXN",1/HLOOKUP(YEAR(X452)+(MONTH(X452)/100),TC!$5:$37,DAY(X452)+2,FALSE),VLOOKUP(Y452,Equivalencia!$1:$23,((MAX(Equivalencia!$3:$3)-YEAR(X452))*14)+MONTH(X452)+2,FALSE)))</f>
        <v>1</v>
      </c>
      <c r="AB452" s="306">
        <f t="shared" si="127"/>
        <v>13782.67</v>
      </c>
      <c r="AC452" s="305">
        <f>+IF(X452=0,0,HLOOKUP(YEAR(X452)+(MONTH(X452)/100),TC!$5:$37,DAY(X452)+2,FALSE))</f>
        <v>20.378499999999999</v>
      </c>
      <c r="AD452" s="307">
        <f t="shared" si="128"/>
        <v>280870.140595</v>
      </c>
      <c r="AE452" s="314">
        <f t="shared" si="129"/>
        <v>199463.8498774911</v>
      </c>
      <c r="AF452" s="315">
        <f t="shared" si="130"/>
        <v>81406.290717508906</v>
      </c>
      <c r="AG452" s="316">
        <f t="shared" si="131"/>
        <v>0.72876712328767124</v>
      </c>
      <c r="AH452" s="314">
        <v>1</v>
      </c>
      <c r="AI452" s="314">
        <f t="shared" si="132"/>
        <v>81406.290717508906</v>
      </c>
      <c r="AJ452" s="314">
        <f t="shared" si="133"/>
        <v>0</v>
      </c>
      <c r="AK452" s="317"/>
      <c r="AL452" s="315">
        <f t="shared" si="134"/>
        <v>4190.5619449901769</v>
      </c>
      <c r="AN452" s="554">
        <f t="shared" si="135"/>
        <v>0.43687601525730368</v>
      </c>
      <c r="AO452" s="314"/>
      <c r="AP452" s="318"/>
    </row>
    <row r="453" spans="2:42">
      <c r="B453" s="296" t="s">
        <v>1254</v>
      </c>
      <c r="C453" s="299" t="s">
        <v>277</v>
      </c>
      <c r="D453" s="298" t="s">
        <v>712</v>
      </c>
      <c r="E453" s="299" t="s">
        <v>113</v>
      </c>
      <c r="F453" s="299" t="s">
        <v>59</v>
      </c>
      <c r="G453" s="300">
        <v>44308</v>
      </c>
      <c r="H453" s="303">
        <v>2204.2470530451869</v>
      </c>
      <c r="I453" s="301" t="str">
        <f t="shared" si="119"/>
        <v>Ingresos Sección II LISR (SIC &amp; BMV)</v>
      </c>
      <c r="J453" s="302">
        <f t="shared" si="120"/>
        <v>91</v>
      </c>
      <c r="K453" s="304">
        <f t="shared" si="121"/>
        <v>24.222495088408646</v>
      </c>
      <c r="L453" s="305">
        <f>IF(H453=0,0,IF(OR(E453=$AT$5,E453=$AT$6),AA453,IF(F453="MXN",1/HLOOKUP(YEAR(G453)+(MONTH(G453)/100),TC!$5:$37,DAY(G453)+2,FALSE),VLOOKUP(F453,Equivalencia!$5:$23,((MAX(Equivalencia!$3:$3)-YEAR(G453))*14)+MONTH(G453)+2,FALSE))))</f>
        <v>1</v>
      </c>
      <c r="M453" s="306">
        <f t="shared" si="122"/>
        <v>2204.2470530451869</v>
      </c>
      <c r="N453" s="305">
        <f>IF(G453=0,0,(IF(OR(E453=$AT$5,E453=$AT$6),AC453,HLOOKUP(YEAR(G453)+(MONTH(G453)/100),TC!$5:$37,DAY(G453)+2,FALSE))))</f>
        <v>19.887699999999999</v>
      </c>
      <c r="O453" s="307">
        <f t="shared" si="123"/>
        <v>43837.404116846759</v>
      </c>
      <c r="P453" s="560">
        <f>IF(G453=0,0,VLOOKUP(YEAR(G453),INPC!$B$4:$P$30,MONTH(G453)+2))</f>
        <v>112.19</v>
      </c>
      <c r="Q453" s="560">
        <f>IF(X453=0,0,IF(OR(E453=$AT$10,E453=$AT$9),VLOOKUP(YEAR(X453),INPC!$B$4:$P$30,MONTH(X453)+1),VLOOKUP(YEAR(X453),INPC!$B$4:$P$30,MONTH(X453)+2,0)))</f>
        <v>117.30800000000001</v>
      </c>
      <c r="R453" s="309">
        <f t="shared" si="124"/>
        <v>1.0456000000000001</v>
      </c>
      <c r="S453" s="310">
        <f t="shared" si="125"/>
        <v>45836.389744574975</v>
      </c>
      <c r="T453" s="555">
        <f t="shared" si="126"/>
        <v>503.69659059972503</v>
      </c>
      <c r="U453" s="311"/>
      <c r="V453" s="312">
        <v>91</v>
      </c>
      <c r="W453" s="299" t="s">
        <v>194</v>
      </c>
      <c r="X453" s="300">
        <v>44581</v>
      </c>
      <c r="Y453" s="299" t="s">
        <v>59</v>
      </c>
      <c r="Z453" s="303">
        <v>3277.885389221557</v>
      </c>
      <c r="AA453" s="305">
        <f>IF(Z453=0,0,IF(Y453="MXN",1/HLOOKUP(YEAR(X453)+(MONTH(X453)/100),TC!$5:$37,DAY(X453)+2,FALSE),VLOOKUP(Y453,Equivalencia!$1:$23,((MAX(Equivalencia!$3:$3)-YEAR(X453))*14)+MONTH(X453)+2,FALSE)))</f>
        <v>1</v>
      </c>
      <c r="AB453" s="306">
        <f t="shared" si="127"/>
        <v>3277.885389221557</v>
      </c>
      <c r="AC453" s="305">
        <f>+IF(X453=0,0,HLOOKUP(YEAR(X453)+(MONTH(X453)/100),TC!$5:$37,DAY(X453)+2,FALSE))</f>
        <v>20.402999999999999</v>
      </c>
      <c r="AD453" s="307">
        <f t="shared" si="128"/>
        <v>66878.69559628742</v>
      </c>
      <c r="AE453" s="314">
        <f t="shared" si="129"/>
        <v>45836.389744574975</v>
      </c>
      <c r="AF453" s="315">
        <f t="shared" si="130"/>
        <v>21042.305851712445</v>
      </c>
      <c r="AG453" s="316">
        <f t="shared" si="131"/>
        <v>0.74794520547945209</v>
      </c>
      <c r="AH453" s="314">
        <v>1</v>
      </c>
      <c r="AI453" s="314">
        <f t="shared" si="132"/>
        <v>21042.305851712445</v>
      </c>
      <c r="AJ453" s="314">
        <f t="shared" si="133"/>
        <v>0</v>
      </c>
      <c r="AK453" s="317"/>
      <c r="AL453" s="315">
        <f t="shared" si="134"/>
        <v>1073.6383361763701</v>
      </c>
      <c r="AN453" s="554">
        <f t="shared" si="135"/>
        <v>0.4870771335241797</v>
      </c>
      <c r="AO453" s="314"/>
      <c r="AP453" s="318"/>
    </row>
    <row r="454" spans="2:42">
      <c r="B454" s="296" t="s">
        <v>1254</v>
      </c>
      <c r="C454" s="299" t="s">
        <v>277</v>
      </c>
      <c r="D454" s="298" t="s">
        <v>712</v>
      </c>
      <c r="E454" s="299" t="s">
        <v>113</v>
      </c>
      <c r="F454" s="299" t="s">
        <v>59</v>
      </c>
      <c r="G454" s="300">
        <v>44349</v>
      </c>
      <c r="H454" s="303">
        <v>6752.6313934426225</v>
      </c>
      <c r="I454" s="301" t="str">
        <f t="shared" si="119"/>
        <v>Ingresos Sección II LISR (SIC &amp; BMV)</v>
      </c>
      <c r="J454" s="302">
        <f t="shared" si="120"/>
        <v>243</v>
      </c>
      <c r="K454" s="304">
        <f t="shared" si="121"/>
        <v>27.788606557377047</v>
      </c>
      <c r="L454" s="305">
        <f>IF(H454=0,0,IF(OR(E454=$AT$5,E454=$AT$6),AA454,IF(F454="MXN",1/HLOOKUP(YEAR(G454)+(MONTH(G454)/100),TC!$5:$37,DAY(G454)+2,FALSE),VLOOKUP(F454,Equivalencia!$5:$23,((MAX(Equivalencia!$3:$3)-YEAR(G454))*14)+MONTH(G454)+2,FALSE))))</f>
        <v>1</v>
      </c>
      <c r="M454" s="306">
        <f t="shared" si="122"/>
        <v>6752.6313934426225</v>
      </c>
      <c r="N454" s="305">
        <f>IF(G454=0,0,(IF(OR(E454=$AT$5,E454=$AT$6),AC454,HLOOKUP(YEAR(G454)+(MONTH(G454)/100),TC!$5:$37,DAY(G454)+2,FALSE))))</f>
        <v>19.921299999999999</v>
      </c>
      <c r="O454" s="307">
        <f t="shared" si="123"/>
        <v>134521.1957781885</v>
      </c>
      <c r="P454" s="560">
        <f>IF(G454=0,0,VLOOKUP(YEAR(G454),INPC!$B$4:$P$30,MONTH(G454)+2))</f>
        <v>113.018</v>
      </c>
      <c r="Q454" s="560">
        <f>IF(X454=0,0,IF(OR(E454=$AT$10,E454=$AT$9),VLOOKUP(YEAR(X454),INPC!$B$4:$P$30,MONTH(X454)+1),VLOOKUP(YEAR(X454),INPC!$B$4:$P$30,MONTH(X454)+2,0)))</f>
        <v>117.30800000000001</v>
      </c>
      <c r="R454" s="309">
        <f t="shared" si="124"/>
        <v>1.0379</v>
      </c>
      <c r="S454" s="310">
        <f t="shared" si="125"/>
        <v>139619.54909818186</v>
      </c>
      <c r="T454" s="555">
        <f t="shared" si="126"/>
        <v>574.56604567153033</v>
      </c>
      <c r="U454" s="311"/>
      <c r="V454" s="312">
        <v>243</v>
      </c>
      <c r="W454" s="299" t="s">
        <v>194</v>
      </c>
      <c r="X454" s="300">
        <v>44581</v>
      </c>
      <c r="Y454" s="299" t="s">
        <v>59</v>
      </c>
      <c r="Z454" s="303">
        <v>8753.0346107784426</v>
      </c>
      <c r="AA454" s="305">
        <f>IF(Z454=0,0,IF(Y454="MXN",1/HLOOKUP(YEAR(X454)+(MONTH(X454)/100),TC!$5:$37,DAY(X454)+2,FALSE),VLOOKUP(Y454,Equivalencia!$1:$23,((MAX(Equivalencia!$3:$3)-YEAR(X454))*14)+MONTH(X454)+2,FALSE)))</f>
        <v>1</v>
      </c>
      <c r="AB454" s="306">
        <f t="shared" si="127"/>
        <v>8753.0346107784426</v>
      </c>
      <c r="AC454" s="305">
        <f>+IF(X454=0,0,HLOOKUP(YEAR(X454)+(MONTH(X454)/100),TC!$5:$37,DAY(X454)+2,FALSE))</f>
        <v>20.402999999999999</v>
      </c>
      <c r="AD454" s="307">
        <f t="shared" si="128"/>
        <v>178588.16516371255</v>
      </c>
      <c r="AE454" s="314">
        <f t="shared" si="129"/>
        <v>139619.54909818186</v>
      </c>
      <c r="AF454" s="315">
        <f t="shared" si="130"/>
        <v>38968.616065530689</v>
      </c>
      <c r="AG454" s="316">
        <f t="shared" si="131"/>
        <v>0.63561643835616444</v>
      </c>
      <c r="AH454" s="314">
        <v>1</v>
      </c>
      <c r="AI454" s="314">
        <f t="shared" si="132"/>
        <v>38968.616065530689</v>
      </c>
      <c r="AJ454" s="314">
        <f t="shared" si="133"/>
        <v>0</v>
      </c>
      <c r="AK454" s="317"/>
      <c r="AL454" s="315">
        <f t="shared" si="134"/>
        <v>2000.40321733582</v>
      </c>
      <c r="AN454" s="554">
        <f t="shared" si="135"/>
        <v>0.2962405469486134</v>
      </c>
      <c r="AO454" s="314"/>
      <c r="AP454" s="318"/>
    </row>
    <row r="455" spans="2:42">
      <c r="B455" s="296" t="s">
        <v>1254</v>
      </c>
      <c r="C455" s="299" t="s">
        <v>277</v>
      </c>
      <c r="D455" s="298" t="s">
        <v>712</v>
      </c>
      <c r="E455" s="299" t="s">
        <v>113</v>
      </c>
      <c r="F455" s="299" t="s">
        <v>59</v>
      </c>
      <c r="G455" s="300">
        <v>44349</v>
      </c>
      <c r="H455" s="303">
        <v>55.577213114754095</v>
      </c>
      <c r="I455" s="301" t="str">
        <f t="shared" si="119"/>
        <v>Ingresos Sección II LISR (SIC &amp; BMV)</v>
      </c>
      <c r="J455" s="302">
        <f t="shared" si="120"/>
        <v>2</v>
      </c>
      <c r="K455" s="304">
        <f t="shared" si="121"/>
        <v>27.788606557377047</v>
      </c>
      <c r="L455" s="305">
        <f>IF(H455=0,0,IF(OR(E455=$AT$5,E455=$AT$6),AA455,IF(F455="MXN",1/HLOOKUP(YEAR(G455)+(MONTH(G455)/100),TC!$5:$37,DAY(G455)+2,FALSE),VLOOKUP(F455,Equivalencia!$5:$23,((MAX(Equivalencia!$3:$3)-YEAR(G455))*14)+MONTH(G455)+2,FALSE))))</f>
        <v>1</v>
      </c>
      <c r="M455" s="306">
        <f t="shared" si="122"/>
        <v>55.577213114754095</v>
      </c>
      <c r="N455" s="305">
        <f>IF(G455=0,0,(IF(OR(E455=$AT$5,E455=$AT$6),AC455,HLOOKUP(YEAR(G455)+(MONTH(G455)/100),TC!$5:$37,DAY(G455)+2,FALSE))))</f>
        <v>19.921299999999999</v>
      </c>
      <c r="O455" s="307">
        <f t="shared" si="123"/>
        <v>1107.1703356229507</v>
      </c>
      <c r="P455" s="560">
        <f>IF(G455=0,0,VLOOKUP(YEAR(G455),INPC!$B$4:$P$30,MONTH(G455)+2))</f>
        <v>113.018</v>
      </c>
      <c r="Q455" s="560">
        <f>IF(X455=0,0,IF(OR(E455=$AT$10,E455=$AT$9),VLOOKUP(YEAR(X455),INPC!$B$4:$P$30,MONTH(X455)+1),VLOOKUP(YEAR(X455),INPC!$B$4:$P$30,MONTH(X455)+2,0)))</f>
        <v>117.30800000000001</v>
      </c>
      <c r="R455" s="309">
        <f t="shared" si="124"/>
        <v>1.0379</v>
      </c>
      <c r="S455" s="310">
        <f t="shared" si="125"/>
        <v>1149.1320913430607</v>
      </c>
      <c r="T455" s="555">
        <f t="shared" si="126"/>
        <v>574.56604567153033</v>
      </c>
      <c r="U455" s="311"/>
      <c r="V455" s="312">
        <v>2</v>
      </c>
      <c r="W455" s="299" t="s">
        <v>194</v>
      </c>
      <c r="X455" s="300">
        <v>44585</v>
      </c>
      <c r="Y455" s="299" t="s">
        <v>59</v>
      </c>
      <c r="Z455" s="303">
        <v>64.510000000000005</v>
      </c>
      <c r="AA455" s="305">
        <f>IF(Z455=0,0,IF(Y455="MXN",1/HLOOKUP(YEAR(X455)+(MONTH(X455)/100),TC!$5:$37,DAY(X455)+2,FALSE),VLOOKUP(Y455,Equivalencia!$1:$23,((MAX(Equivalencia!$3:$3)-YEAR(X455))*14)+MONTH(X455)+2,FALSE)))</f>
        <v>1</v>
      </c>
      <c r="AB455" s="306">
        <f t="shared" si="127"/>
        <v>64.510000000000005</v>
      </c>
      <c r="AC455" s="305">
        <f>+IF(X455=0,0,HLOOKUP(YEAR(X455)+(MONTH(X455)/100),TC!$5:$37,DAY(X455)+2,FALSE))</f>
        <v>20.450700000000001</v>
      </c>
      <c r="AD455" s="307">
        <f t="shared" si="128"/>
        <v>1319.2746570000002</v>
      </c>
      <c r="AE455" s="314">
        <f t="shared" si="129"/>
        <v>1149.1320913430607</v>
      </c>
      <c r="AF455" s="315">
        <f t="shared" si="130"/>
        <v>170.1425656569395</v>
      </c>
      <c r="AG455" s="316">
        <f t="shared" si="131"/>
        <v>0.64657534246575343</v>
      </c>
      <c r="AH455" s="314">
        <v>1</v>
      </c>
      <c r="AI455" s="314">
        <f t="shared" si="132"/>
        <v>170.1425656569395</v>
      </c>
      <c r="AJ455" s="314">
        <f t="shared" si="133"/>
        <v>0</v>
      </c>
      <c r="AK455" s="317"/>
      <c r="AL455" s="315">
        <f t="shared" si="134"/>
        <v>8.9327868852459105</v>
      </c>
      <c r="AN455" s="554">
        <f t="shared" si="135"/>
        <v>0.16072750655564128</v>
      </c>
      <c r="AO455" s="314"/>
      <c r="AP455" s="318"/>
    </row>
    <row r="456" spans="2:42">
      <c r="B456" s="296" t="s">
        <v>1254</v>
      </c>
      <c r="C456" s="299" t="s">
        <v>277</v>
      </c>
      <c r="D456" s="298" t="s">
        <v>712</v>
      </c>
      <c r="E456" s="299" t="s">
        <v>113</v>
      </c>
      <c r="F456" s="299" t="s">
        <v>59</v>
      </c>
      <c r="G456" s="300">
        <v>44349</v>
      </c>
      <c r="H456" s="303">
        <v>3362.4213934426225</v>
      </c>
      <c r="I456" s="301" t="str">
        <f t="shared" si="119"/>
        <v>Ingresos Sección II LISR (SIC &amp; BMV)</v>
      </c>
      <c r="J456" s="302">
        <f t="shared" si="120"/>
        <v>121</v>
      </c>
      <c r="K456" s="304">
        <f t="shared" si="121"/>
        <v>27.788606557377044</v>
      </c>
      <c r="L456" s="305">
        <f>IF(H456=0,0,IF(OR(E456=$AT$5,E456=$AT$6),AA456,IF(F456="MXN",1/HLOOKUP(YEAR(G456)+(MONTH(G456)/100),TC!$5:$37,DAY(G456)+2,FALSE),VLOOKUP(F456,Equivalencia!$5:$23,((MAX(Equivalencia!$3:$3)-YEAR(G456))*14)+MONTH(G456)+2,FALSE))))</f>
        <v>1</v>
      </c>
      <c r="M456" s="306">
        <f t="shared" si="122"/>
        <v>3362.4213934426225</v>
      </c>
      <c r="N456" s="305">
        <f>IF(G456=0,0,(IF(OR(E456=$AT$5,E456=$AT$6),AC456,HLOOKUP(YEAR(G456)+(MONTH(G456)/100),TC!$5:$37,DAY(G456)+2,FALSE))))</f>
        <v>19.921299999999999</v>
      </c>
      <c r="O456" s="307">
        <f t="shared" si="123"/>
        <v>66983.805305188507</v>
      </c>
      <c r="P456" s="560">
        <f>IF(G456=0,0,VLOOKUP(YEAR(G456),INPC!$B$4:$P$30,MONTH(G456)+2))</f>
        <v>113.018</v>
      </c>
      <c r="Q456" s="560">
        <f>IF(X456=0,0,IF(OR(E456=$AT$10,E456=$AT$9),VLOOKUP(YEAR(X456),INPC!$B$4:$P$30,MONTH(X456)+1),VLOOKUP(YEAR(X456),INPC!$B$4:$P$30,MONTH(X456)+2,0)))</f>
        <v>117.30800000000001</v>
      </c>
      <c r="R456" s="309">
        <f t="shared" si="124"/>
        <v>1.0379</v>
      </c>
      <c r="S456" s="310">
        <f t="shared" si="125"/>
        <v>69522.491526255151</v>
      </c>
      <c r="T456" s="555">
        <f t="shared" si="126"/>
        <v>574.56604567153022</v>
      </c>
      <c r="U456" s="311"/>
      <c r="V456" s="312">
        <v>121</v>
      </c>
      <c r="W456" s="299" t="s">
        <v>194</v>
      </c>
      <c r="X456" s="300">
        <v>44585</v>
      </c>
      <c r="Y456" s="299" t="s">
        <v>59</v>
      </c>
      <c r="Z456" s="303">
        <v>3862.8197826086957</v>
      </c>
      <c r="AA456" s="305">
        <f>IF(Z456=0,0,IF(Y456="MXN",1/HLOOKUP(YEAR(X456)+(MONTH(X456)/100),TC!$5:$37,DAY(X456)+2,FALSE),VLOOKUP(Y456,Equivalencia!$1:$23,((MAX(Equivalencia!$3:$3)-YEAR(X456))*14)+MONTH(X456)+2,FALSE)))</f>
        <v>1</v>
      </c>
      <c r="AB456" s="306">
        <f t="shared" si="127"/>
        <v>3862.8197826086957</v>
      </c>
      <c r="AC456" s="305">
        <f>+IF(X456=0,0,HLOOKUP(YEAR(X456)+(MONTH(X456)/100),TC!$5:$37,DAY(X456)+2,FALSE))</f>
        <v>20.450700000000001</v>
      </c>
      <c r="AD456" s="307">
        <f t="shared" si="128"/>
        <v>78997.368528195657</v>
      </c>
      <c r="AE456" s="314">
        <f t="shared" si="129"/>
        <v>69522.491526255151</v>
      </c>
      <c r="AF456" s="315">
        <f t="shared" si="130"/>
        <v>9474.8770019405056</v>
      </c>
      <c r="AG456" s="316">
        <f t="shared" si="131"/>
        <v>0.64657534246575343</v>
      </c>
      <c r="AH456" s="314">
        <v>1</v>
      </c>
      <c r="AI456" s="314">
        <f t="shared" si="132"/>
        <v>9474.8770019405056</v>
      </c>
      <c r="AJ456" s="314">
        <f t="shared" si="133"/>
        <v>0</v>
      </c>
      <c r="AK456" s="317"/>
      <c r="AL456" s="315">
        <f t="shared" si="134"/>
        <v>500.39838916607323</v>
      </c>
      <c r="AN456" s="554">
        <f t="shared" si="135"/>
        <v>0.14882084385435676</v>
      </c>
      <c r="AO456" s="314"/>
      <c r="AP456" s="318"/>
    </row>
    <row r="457" spans="2:42">
      <c r="B457" s="296" t="s">
        <v>1254</v>
      </c>
      <c r="C457" s="299" t="s">
        <v>277</v>
      </c>
      <c r="D457" s="298" t="s">
        <v>712</v>
      </c>
      <c r="E457" s="299" t="s">
        <v>113</v>
      </c>
      <c r="F457" s="299" t="s">
        <v>59</v>
      </c>
      <c r="G457" s="300">
        <v>44349</v>
      </c>
      <c r="H457" s="303">
        <v>5804.03</v>
      </c>
      <c r="I457" s="301" t="str">
        <f t="shared" si="119"/>
        <v>Ingresos Sección II LISR (SIC &amp; BMV)</v>
      </c>
      <c r="J457" s="302">
        <f t="shared" si="120"/>
        <v>238</v>
      </c>
      <c r="K457" s="304">
        <f t="shared" si="121"/>
        <v>24.386680672268906</v>
      </c>
      <c r="L457" s="305">
        <f>IF(H457=0,0,IF(OR(E457=$AT$5,E457=$AT$6),AA457,IF(F457="MXN",1/HLOOKUP(YEAR(G457)+(MONTH(G457)/100),TC!$5:$37,DAY(G457)+2,FALSE),VLOOKUP(F457,Equivalencia!$5:$23,((MAX(Equivalencia!$3:$3)-YEAR(G457))*14)+MONTH(G457)+2,FALSE))))</f>
        <v>1</v>
      </c>
      <c r="M457" s="306">
        <f t="shared" si="122"/>
        <v>5804.03</v>
      </c>
      <c r="N457" s="305">
        <f>IF(G457=0,0,(IF(OR(E457=$AT$5,E457=$AT$6),AC457,HLOOKUP(YEAR(G457)+(MONTH(G457)/100),TC!$5:$37,DAY(G457)+2,FALSE))))</f>
        <v>19.921299999999999</v>
      </c>
      <c r="O457" s="307">
        <f t="shared" si="123"/>
        <v>115623.82283899999</v>
      </c>
      <c r="P457" s="560">
        <f>IF(G457=0,0,VLOOKUP(YEAR(G457),INPC!$B$4:$P$30,MONTH(G457)+2))</f>
        <v>113.018</v>
      </c>
      <c r="Q457" s="560">
        <f>IF(X457=0,0,IF(OR(E457=$AT$10,E457=$AT$9),VLOOKUP(YEAR(X457),INPC!$B$4:$P$30,MONTH(X457)+1),VLOOKUP(YEAR(X457),INPC!$B$4:$P$30,MONTH(X457)+2,0)))</f>
        <v>117.30800000000001</v>
      </c>
      <c r="R457" s="309">
        <f t="shared" si="124"/>
        <v>1.0379</v>
      </c>
      <c r="S457" s="310">
        <f t="shared" si="125"/>
        <v>120005.96572459809</v>
      </c>
      <c r="T457" s="555">
        <f t="shared" si="126"/>
        <v>504.2267467420088</v>
      </c>
      <c r="U457" s="311"/>
      <c r="V457" s="312">
        <v>238</v>
      </c>
      <c r="W457" s="299" t="s">
        <v>194</v>
      </c>
      <c r="X457" s="300">
        <v>44585</v>
      </c>
      <c r="Y457" s="299" t="s">
        <v>59</v>
      </c>
      <c r="Z457" s="303">
        <v>7597.9430434782607</v>
      </c>
      <c r="AA457" s="305">
        <f>IF(Z457=0,0,IF(Y457="MXN",1/HLOOKUP(YEAR(X457)+(MONTH(X457)/100),TC!$5:$37,DAY(X457)+2,FALSE),VLOOKUP(Y457,Equivalencia!$1:$23,((MAX(Equivalencia!$3:$3)-YEAR(X457))*14)+MONTH(X457)+2,FALSE)))</f>
        <v>1</v>
      </c>
      <c r="AB457" s="306">
        <f t="shared" si="127"/>
        <v>7597.9430434782607</v>
      </c>
      <c r="AC457" s="305">
        <f>+IF(X457=0,0,HLOOKUP(YEAR(X457)+(MONTH(X457)/100),TC!$5:$37,DAY(X457)+2,FALSE))</f>
        <v>20.450700000000001</v>
      </c>
      <c r="AD457" s="307">
        <f t="shared" si="128"/>
        <v>155383.25379926088</v>
      </c>
      <c r="AE457" s="314">
        <f t="shared" si="129"/>
        <v>120005.96572459809</v>
      </c>
      <c r="AF457" s="315">
        <f t="shared" si="130"/>
        <v>35377.288074662792</v>
      </c>
      <c r="AG457" s="316">
        <f t="shared" si="131"/>
        <v>0.64657534246575343</v>
      </c>
      <c r="AH457" s="314">
        <v>1</v>
      </c>
      <c r="AI457" s="314">
        <f t="shared" si="132"/>
        <v>35377.288074662792</v>
      </c>
      <c r="AJ457" s="314">
        <f t="shared" si="133"/>
        <v>0</v>
      </c>
      <c r="AK457" s="317"/>
      <c r="AL457" s="315">
        <f t="shared" si="134"/>
        <v>1793.913043478261</v>
      </c>
      <c r="AN457" s="554">
        <f t="shared" si="135"/>
        <v>0.30908059460034853</v>
      </c>
      <c r="AO457" s="314"/>
      <c r="AP457" s="318"/>
    </row>
    <row r="458" spans="2:42">
      <c r="B458" s="296" t="s">
        <v>1254</v>
      </c>
      <c r="C458" s="299" t="s">
        <v>277</v>
      </c>
      <c r="D458" s="298" t="s">
        <v>712</v>
      </c>
      <c r="E458" s="299" t="s">
        <v>113</v>
      </c>
      <c r="F458" s="299" t="s">
        <v>59</v>
      </c>
      <c r="G458" s="300">
        <v>44349</v>
      </c>
      <c r="H458" s="303">
        <v>1319.3232984293193</v>
      </c>
      <c r="I458" s="301" t="str">
        <f t="shared" si="119"/>
        <v>Ingresos Sección II LISR (SIC &amp; BMV)</v>
      </c>
      <c r="J458" s="302">
        <f t="shared" si="120"/>
        <v>55</v>
      </c>
      <c r="K458" s="304">
        <f t="shared" si="121"/>
        <v>23.987696335078532</v>
      </c>
      <c r="L458" s="305">
        <f>IF(H458=0,0,IF(OR(E458=$AT$5,E458=$AT$6),AA458,IF(F458="MXN",1/HLOOKUP(YEAR(G458)+(MONTH(G458)/100),TC!$5:$37,DAY(G458)+2,FALSE),VLOOKUP(F458,Equivalencia!$5:$23,((MAX(Equivalencia!$3:$3)-YEAR(G458))*14)+MONTH(G458)+2,FALSE))))</f>
        <v>1</v>
      </c>
      <c r="M458" s="306">
        <f t="shared" si="122"/>
        <v>1319.3232984293193</v>
      </c>
      <c r="N458" s="305">
        <f>IF(G458=0,0,(IF(OR(E458=$AT$5,E458=$AT$6),AC458,HLOOKUP(YEAR(G458)+(MONTH(G458)/100),TC!$5:$37,DAY(G458)+2,FALSE))))</f>
        <v>19.921299999999999</v>
      </c>
      <c r="O458" s="307">
        <f t="shared" si="123"/>
        <v>26282.635224999995</v>
      </c>
      <c r="P458" s="560">
        <f>IF(G458=0,0,VLOOKUP(YEAR(G458),INPC!$B$4:$P$30,MONTH(G458)+2))</f>
        <v>113.018</v>
      </c>
      <c r="Q458" s="560">
        <f>IF(X458=0,0,IF(OR(E458=$AT$10,E458=$AT$9),VLOOKUP(YEAR(X458),INPC!$B$4:$P$30,MONTH(X458)+1),VLOOKUP(YEAR(X458),INPC!$B$4:$P$30,MONTH(X458)+2,0)))</f>
        <v>117.30800000000001</v>
      </c>
      <c r="R458" s="309">
        <f t="shared" si="124"/>
        <v>1.0379</v>
      </c>
      <c r="S458" s="310">
        <f t="shared" si="125"/>
        <v>27278.747100027496</v>
      </c>
      <c r="T458" s="555">
        <f t="shared" si="126"/>
        <v>495.97722000049993</v>
      </c>
      <c r="U458" s="311"/>
      <c r="V458" s="312">
        <v>55</v>
      </c>
      <c r="W458" s="299" t="s">
        <v>194</v>
      </c>
      <c r="X458" s="300">
        <v>44585</v>
      </c>
      <c r="Y458" s="299" t="s">
        <v>59</v>
      </c>
      <c r="Z458" s="303">
        <v>1755.8271739130435</v>
      </c>
      <c r="AA458" s="305">
        <f>IF(Z458=0,0,IF(Y458="MXN",1/HLOOKUP(YEAR(X458)+(MONTH(X458)/100),TC!$5:$37,DAY(X458)+2,FALSE),VLOOKUP(Y458,Equivalencia!$1:$23,((MAX(Equivalencia!$3:$3)-YEAR(X458))*14)+MONTH(X458)+2,FALSE)))</f>
        <v>1</v>
      </c>
      <c r="AB458" s="306">
        <f t="shared" si="127"/>
        <v>1755.8271739130435</v>
      </c>
      <c r="AC458" s="305">
        <f>+IF(X458=0,0,HLOOKUP(YEAR(X458)+(MONTH(X458)/100),TC!$5:$37,DAY(X458)+2,FALSE))</f>
        <v>20.450700000000001</v>
      </c>
      <c r="AD458" s="307">
        <f t="shared" si="128"/>
        <v>35907.894785543482</v>
      </c>
      <c r="AE458" s="314">
        <f t="shared" si="129"/>
        <v>27278.747100027496</v>
      </c>
      <c r="AF458" s="315">
        <f t="shared" si="130"/>
        <v>8629.1476855159854</v>
      </c>
      <c r="AG458" s="316">
        <f t="shared" si="131"/>
        <v>0.64657534246575343</v>
      </c>
      <c r="AH458" s="314">
        <v>1</v>
      </c>
      <c r="AI458" s="314">
        <f t="shared" si="132"/>
        <v>8629.1476855159854</v>
      </c>
      <c r="AJ458" s="314">
        <f t="shared" si="133"/>
        <v>0</v>
      </c>
      <c r="AK458" s="317"/>
      <c r="AL458" s="315">
        <f t="shared" si="134"/>
        <v>436.50387548372419</v>
      </c>
      <c r="AN458" s="554">
        <f t="shared" si="135"/>
        <v>0.33085436754083763</v>
      </c>
      <c r="AO458" s="314"/>
      <c r="AP458" s="318"/>
    </row>
    <row r="459" spans="2:42">
      <c r="B459" s="296" t="s">
        <v>1254</v>
      </c>
      <c r="C459" s="299" t="s">
        <v>277</v>
      </c>
      <c r="D459" s="298" t="s">
        <v>712</v>
      </c>
      <c r="E459" s="299" t="s">
        <v>113</v>
      </c>
      <c r="F459" s="299" t="s">
        <v>59</v>
      </c>
      <c r="G459" s="300">
        <v>44426</v>
      </c>
      <c r="H459" s="303">
        <v>3262.3267015706801</v>
      </c>
      <c r="I459" s="301" t="str">
        <f t="shared" si="119"/>
        <v>Ingresos Sección II LISR (SIC &amp; BMV)</v>
      </c>
      <c r="J459" s="302">
        <f t="shared" si="120"/>
        <v>136</v>
      </c>
      <c r="K459" s="304">
        <f t="shared" si="121"/>
        <v>23.987696335078532</v>
      </c>
      <c r="L459" s="305">
        <f>IF(H459=0,0,IF(OR(E459=$AT$5,E459=$AT$6),AA459,IF(F459="MXN",1/HLOOKUP(YEAR(G459)+(MONTH(G459)/100),TC!$5:$37,DAY(G459)+2,FALSE),VLOOKUP(F459,Equivalencia!$5:$23,((MAX(Equivalencia!$3:$3)-YEAR(G459))*14)+MONTH(G459)+2,FALSE))))</f>
        <v>1</v>
      </c>
      <c r="M459" s="306">
        <f t="shared" si="122"/>
        <v>3262.3267015706801</v>
      </c>
      <c r="N459" s="305">
        <f>IF(G459=0,0,(IF(OR(E459=$AT$5,E459=$AT$6),AC459,HLOOKUP(YEAR(G459)+(MONTH(G459)/100),TC!$5:$37,DAY(G459)+2,FALSE))))</f>
        <v>19.886299999999999</v>
      </c>
      <c r="O459" s="307">
        <f t="shared" si="123"/>
        <v>64875.607485445013</v>
      </c>
      <c r="P459" s="560">
        <f>IF(G459=0,0,VLOOKUP(YEAR(G459),INPC!$B$4:$P$30,MONTH(G459)+2))</f>
        <v>113.899</v>
      </c>
      <c r="Q459" s="560">
        <f>IF(X459=0,0,IF(OR(E459=$AT$10,E459=$AT$9),VLOOKUP(YEAR(X459),INPC!$B$4:$P$30,MONTH(X459)+1),VLOOKUP(YEAR(X459),INPC!$B$4:$P$30,MONTH(X459)+2,0)))</f>
        <v>118.002</v>
      </c>
      <c r="R459" s="309">
        <f t="shared" si="124"/>
        <v>1.036</v>
      </c>
      <c r="S459" s="310">
        <f t="shared" si="125"/>
        <v>67211.129354921039</v>
      </c>
      <c r="T459" s="555">
        <f t="shared" si="126"/>
        <v>494.19948055088997</v>
      </c>
      <c r="U459" s="311"/>
      <c r="V459" s="312">
        <v>136</v>
      </c>
      <c r="W459" s="299" t="s">
        <v>194</v>
      </c>
      <c r="X459" s="300">
        <v>44600</v>
      </c>
      <c r="Y459" s="299" t="s">
        <v>59</v>
      </c>
      <c r="Z459" s="303">
        <v>5342.7215094339626</v>
      </c>
      <c r="AA459" s="305">
        <f>IF(Z459=0,0,IF(Y459="MXN",1/HLOOKUP(YEAR(X459)+(MONTH(X459)/100),TC!$5:$37,DAY(X459)+2,FALSE),VLOOKUP(Y459,Equivalencia!$1:$23,((MAX(Equivalencia!$3:$3)-YEAR(X459))*14)+MONTH(X459)+2,FALSE)))</f>
        <v>1</v>
      </c>
      <c r="AB459" s="306">
        <f t="shared" si="127"/>
        <v>5342.7215094339626</v>
      </c>
      <c r="AC459" s="305">
        <f>+IF(X459=0,0,HLOOKUP(YEAR(X459)+(MONTH(X459)/100),TC!$5:$37,DAY(X459)+2,FALSE))</f>
        <v>20.5562</v>
      </c>
      <c r="AD459" s="307">
        <f t="shared" si="128"/>
        <v>109826.05189222643</v>
      </c>
      <c r="AE459" s="314">
        <f t="shared" si="129"/>
        <v>67211.129354921039</v>
      </c>
      <c r="AF459" s="315">
        <f t="shared" si="130"/>
        <v>42614.922537305392</v>
      </c>
      <c r="AG459" s="316">
        <f t="shared" si="131"/>
        <v>0.47671232876712327</v>
      </c>
      <c r="AH459" s="314">
        <v>1</v>
      </c>
      <c r="AI459" s="314">
        <f t="shared" si="132"/>
        <v>42614.922537305392</v>
      </c>
      <c r="AJ459" s="314">
        <f t="shared" si="133"/>
        <v>0</v>
      </c>
      <c r="AK459" s="317"/>
      <c r="AL459" s="315">
        <f t="shared" si="134"/>
        <v>2080.3948078632825</v>
      </c>
      <c r="AN459" s="554">
        <f t="shared" si="135"/>
        <v>0.63770278030758087</v>
      </c>
      <c r="AO459" s="314"/>
      <c r="AP459" s="318"/>
    </row>
    <row r="460" spans="2:42">
      <c r="B460" s="296" t="s">
        <v>1254</v>
      </c>
      <c r="C460" s="299" t="s">
        <v>277</v>
      </c>
      <c r="D460" s="298" t="s">
        <v>712</v>
      </c>
      <c r="E460" s="299" t="s">
        <v>113</v>
      </c>
      <c r="F460" s="299" t="s">
        <v>59</v>
      </c>
      <c r="G460" s="300">
        <v>44426</v>
      </c>
      <c r="H460" s="303">
        <v>1866.57</v>
      </c>
      <c r="I460" s="301" t="str">
        <f t="shared" si="119"/>
        <v>Ingresos Sección II LISR (SIC &amp; BMV)</v>
      </c>
      <c r="J460" s="302">
        <f t="shared" si="120"/>
        <v>77</v>
      </c>
      <c r="K460" s="304">
        <f t="shared" si="121"/>
        <v>24.241168831168832</v>
      </c>
      <c r="L460" s="305">
        <f>IF(H460=0,0,IF(OR(E460=$AT$5,E460=$AT$6),AA460,IF(F460="MXN",1/HLOOKUP(YEAR(G460)+(MONTH(G460)/100),TC!$5:$37,DAY(G460)+2,FALSE),VLOOKUP(F460,Equivalencia!$5:$23,((MAX(Equivalencia!$3:$3)-YEAR(G460))*14)+MONTH(G460)+2,FALSE))))</f>
        <v>1</v>
      </c>
      <c r="M460" s="306">
        <f t="shared" si="122"/>
        <v>1866.57</v>
      </c>
      <c r="N460" s="305">
        <f>IF(G460=0,0,(IF(OR(E460=$AT$5,E460=$AT$6),AC460,HLOOKUP(YEAR(G460)+(MONTH(G460)/100),TC!$5:$37,DAY(G460)+2,FALSE))))</f>
        <v>19.886299999999999</v>
      </c>
      <c r="O460" s="307">
        <f t="shared" si="123"/>
        <v>37119.170990999999</v>
      </c>
      <c r="P460" s="560">
        <f>IF(G460=0,0,VLOOKUP(YEAR(G460),INPC!$B$4:$P$30,MONTH(G460)+2))</f>
        <v>113.899</v>
      </c>
      <c r="Q460" s="560">
        <f>IF(X460=0,0,IF(OR(E460=$AT$10,E460=$AT$9),VLOOKUP(YEAR(X460),INPC!$B$4:$P$30,MONTH(X460)+1),VLOOKUP(YEAR(X460),INPC!$B$4:$P$30,MONTH(X460)+2,0)))</f>
        <v>118.002</v>
      </c>
      <c r="R460" s="309">
        <f t="shared" si="124"/>
        <v>1.036</v>
      </c>
      <c r="S460" s="310">
        <f t="shared" si="125"/>
        <v>38455.461146676003</v>
      </c>
      <c r="T460" s="555">
        <f t="shared" si="126"/>
        <v>499.4215733334546</v>
      </c>
      <c r="U460" s="311"/>
      <c r="V460" s="312">
        <v>77</v>
      </c>
      <c r="W460" s="299" t="s">
        <v>194</v>
      </c>
      <c r="X460" s="300">
        <v>44600</v>
      </c>
      <c r="Y460" s="299" t="s">
        <v>59</v>
      </c>
      <c r="Z460" s="303">
        <v>3024.92320754717</v>
      </c>
      <c r="AA460" s="305">
        <f>IF(Z460=0,0,IF(Y460="MXN",1/HLOOKUP(YEAR(X460)+(MONTH(X460)/100),TC!$5:$37,DAY(X460)+2,FALSE),VLOOKUP(Y460,Equivalencia!$1:$23,((MAX(Equivalencia!$3:$3)-YEAR(X460))*14)+MONTH(X460)+2,FALSE)))</f>
        <v>1</v>
      </c>
      <c r="AB460" s="306">
        <f t="shared" si="127"/>
        <v>3024.92320754717</v>
      </c>
      <c r="AC460" s="305">
        <f>+IF(X460=0,0,HLOOKUP(YEAR(X460)+(MONTH(X460)/100),TC!$5:$37,DAY(X460)+2,FALSE))</f>
        <v>20.5562</v>
      </c>
      <c r="AD460" s="307">
        <f t="shared" si="128"/>
        <v>62180.926438981136</v>
      </c>
      <c r="AE460" s="314">
        <f t="shared" si="129"/>
        <v>38455.461146676003</v>
      </c>
      <c r="AF460" s="315">
        <f t="shared" si="130"/>
        <v>23725.465292305133</v>
      </c>
      <c r="AG460" s="316">
        <f t="shared" si="131"/>
        <v>0.47671232876712327</v>
      </c>
      <c r="AH460" s="314">
        <v>1</v>
      </c>
      <c r="AI460" s="314">
        <f t="shared" si="132"/>
        <v>23725.465292305133</v>
      </c>
      <c r="AJ460" s="314">
        <f t="shared" si="133"/>
        <v>0</v>
      </c>
      <c r="AK460" s="317"/>
      <c r="AL460" s="315">
        <f t="shared" si="134"/>
        <v>1158.3532075471701</v>
      </c>
      <c r="AN460" s="554">
        <f t="shared" si="135"/>
        <v>0.62057849828678813</v>
      </c>
      <c r="AO460" s="314"/>
      <c r="AP460" s="318"/>
    </row>
    <row r="461" spans="2:42">
      <c r="B461" s="296" t="s">
        <v>1254</v>
      </c>
      <c r="C461" s="299" t="s">
        <v>277</v>
      </c>
      <c r="D461" s="298" t="s">
        <v>712</v>
      </c>
      <c r="E461" s="299" t="s">
        <v>113</v>
      </c>
      <c r="F461" s="299" t="s">
        <v>59</v>
      </c>
      <c r="G461" s="300">
        <v>44461</v>
      </c>
      <c r="H461" s="303">
        <v>1391.52</v>
      </c>
      <c r="I461" s="301" t="str">
        <f t="shared" si="119"/>
        <v>Ingresos Sección II LISR (SIC &amp; BMV)</v>
      </c>
      <c r="J461" s="302">
        <f t="shared" si="120"/>
        <v>52</v>
      </c>
      <c r="K461" s="304">
        <f t="shared" si="121"/>
        <v>26.759999999999998</v>
      </c>
      <c r="L461" s="305">
        <f>IF(H461=0,0,IF(OR(E461=$AT$5,E461=$AT$6),AA461,IF(F461="MXN",1/HLOOKUP(YEAR(G461)+(MONTH(G461)/100),TC!$5:$37,DAY(G461)+2,FALSE),VLOOKUP(F461,Equivalencia!$5:$23,((MAX(Equivalencia!$3:$3)-YEAR(G461))*14)+MONTH(G461)+2,FALSE))))</f>
        <v>1</v>
      </c>
      <c r="M461" s="306">
        <f t="shared" si="122"/>
        <v>1391.52</v>
      </c>
      <c r="N461" s="305">
        <f>IF(G461=0,0,(IF(OR(E461=$AT$5,E461=$AT$6),AC461,HLOOKUP(YEAR(G461)+(MONTH(G461)/100),TC!$5:$37,DAY(G461)+2,FALSE))))</f>
        <v>20.173500000000001</v>
      </c>
      <c r="O461" s="307">
        <f t="shared" si="123"/>
        <v>28071.828720000001</v>
      </c>
      <c r="P461" s="560">
        <f>IF(G461=0,0,VLOOKUP(YEAR(G461),INPC!$B$4:$P$30,MONTH(G461)+2))</f>
        <v>114.601</v>
      </c>
      <c r="Q461" s="560">
        <f>IF(X461=0,0,IF(OR(E461=$AT$10,E461=$AT$9),VLOOKUP(YEAR(X461),INPC!$B$4:$P$30,MONTH(X461)+1),VLOOKUP(YEAR(X461),INPC!$B$4:$P$30,MONTH(X461)+2,0)))</f>
        <v>118.002</v>
      </c>
      <c r="R461" s="309">
        <f t="shared" si="124"/>
        <v>1.0296000000000001</v>
      </c>
      <c r="S461" s="310">
        <f t="shared" si="125"/>
        <v>28902.754850112004</v>
      </c>
      <c r="T461" s="555">
        <f t="shared" si="126"/>
        <v>555.82220865600004</v>
      </c>
      <c r="U461" s="311"/>
      <c r="V461" s="312">
        <v>52</v>
      </c>
      <c r="W461" s="299" t="s">
        <v>194</v>
      </c>
      <c r="X461" s="300">
        <v>44600</v>
      </c>
      <c r="Y461" s="299" t="s">
        <v>59</v>
      </c>
      <c r="Z461" s="303">
        <v>2042.8052830188681</v>
      </c>
      <c r="AA461" s="305">
        <f>IF(Z461=0,0,IF(Y461="MXN",1/HLOOKUP(YEAR(X461)+(MONTH(X461)/100),TC!$5:$37,DAY(X461)+2,FALSE),VLOOKUP(Y461,Equivalencia!$1:$23,((MAX(Equivalencia!$3:$3)-YEAR(X461))*14)+MONTH(X461)+2,FALSE)))</f>
        <v>1</v>
      </c>
      <c r="AB461" s="306">
        <f t="shared" si="127"/>
        <v>2042.8052830188681</v>
      </c>
      <c r="AC461" s="305">
        <f>+IF(X461=0,0,HLOOKUP(YEAR(X461)+(MONTH(X461)/100),TC!$5:$37,DAY(X461)+2,FALSE))</f>
        <v>20.5562</v>
      </c>
      <c r="AD461" s="307">
        <f t="shared" si="128"/>
        <v>41992.31395879246</v>
      </c>
      <c r="AE461" s="314">
        <f t="shared" si="129"/>
        <v>28902.754850112004</v>
      </c>
      <c r="AF461" s="315">
        <f t="shared" si="130"/>
        <v>13089.559108680456</v>
      </c>
      <c r="AG461" s="316">
        <f t="shared" si="131"/>
        <v>0.38082191780821917</v>
      </c>
      <c r="AH461" s="314">
        <v>1</v>
      </c>
      <c r="AI461" s="314">
        <f t="shared" si="132"/>
        <v>13089.559108680456</v>
      </c>
      <c r="AJ461" s="314">
        <f t="shared" si="133"/>
        <v>0</v>
      </c>
      <c r="AK461" s="317"/>
      <c r="AL461" s="315">
        <f t="shared" si="134"/>
        <v>651.28528301886809</v>
      </c>
      <c r="AN461" s="554">
        <f t="shared" si="135"/>
        <v>0.46803875116338112</v>
      </c>
      <c r="AO461" s="314"/>
      <c r="AP461" s="318"/>
    </row>
    <row r="462" spans="2:42">
      <c r="B462" s="296" t="s">
        <v>1254</v>
      </c>
      <c r="C462" s="299" t="s">
        <v>277</v>
      </c>
      <c r="D462" s="298" t="s">
        <v>712</v>
      </c>
      <c r="E462" s="299" t="s">
        <v>113</v>
      </c>
      <c r="F462" s="299" t="s">
        <v>59</v>
      </c>
      <c r="G462" s="300">
        <v>44461</v>
      </c>
      <c r="H462" s="303">
        <v>2702.76</v>
      </c>
      <c r="I462" s="301" t="str">
        <f t="shared" si="119"/>
        <v>Ingresos Sección II LISR (SIC &amp; BMV)</v>
      </c>
      <c r="J462" s="302">
        <f t="shared" si="120"/>
        <v>101</v>
      </c>
      <c r="K462" s="304">
        <f t="shared" si="121"/>
        <v>26.76</v>
      </c>
      <c r="L462" s="305">
        <f>IF(H462=0,0,IF(OR(E462=$AT$5,E462=$AT$6),AA462,IF(F462="MXN",1/HLOOKUP(YEAR(G462)+(MONTH(G462)/100),TC!$5:$37,DAY(G462)+2,FALSE),VLOOKUP(F462,Equivalencia!$5:$23,((MAX(Equivalencia!$3:$3)-YEAR(G462))*14)+MONTH(G462)+2,FALSE))))</f>
        <v>1</v>
      </c>
      <c r="M462" s="306">
        <f t="shared" si="122"/>
        <v>2702.76</v>
      </c>
      <c r="N462" s="305">
        <f>IF(G462=0,0,(IF(OR(E462=$AT$5,E462=$AT$6),AC462,HLOOKUP(YEAR(G462)+(MONTH(G462)/100),TC!$5:$37,DAY(G462)+2,FALSE))))</f>
        <v>20.173500000000001</v>
      </c>
      <c r="O462" s="307">
        <f t="shared" si="123"/>
        <v>54524.128860000004</v>
      </c>
      <c r="P462" s="560">
        <f>IF(G462=0,0,VLOOKUP(YEAR(G462),INPC!$B$4:$P$30,MONTH(G462)+2))</f>
        <v>114.601</v>
      </c>
      <c r="Q462" s="560">
        <f>IF(X462=0,0,IF(OR(E462=$AT$10,E462=$AT$9),VLOOKUP(YEAR(X462),INPC!$B$4:$P$30,MONTH(X462)+1),VLOOKUP(YEAR(X462),INPC!$B$4:$P$30,MONTH(X462)+2,0)))</f>
        <v>118.002</v>
      </c>
      <c r="R462" s="309">
        <f t="shared" si="124"/>
        <v>1.0296000000000001</v>
      </c>
      <c r="S462" s="310">
        <f t="shared" si="125"/>
        <v>56138.043074256006</v>
      </c>
      <c r="T462" s="555">
        <f t="shared" si="126"/>
        <v>555.82220865600004</v>
      </c>
      <c r="U462" s="311"/>
      <c r="V462" s="312">
        <v>101</v>
      </c>
      <c r="W462" s="299" t="s">
        <v>194</v>
      </c>
      <c r="X462" s="300">
        <v>44607</v>
      </c>
      <c r="Y462" s="299" t="s">
        <v>59</v>
      </c>
      <c r="Z462" s="303">
        <v>4008.9641428571431</v>
      </c>
      <c r="AA462" s="305">
        <f>IF(Z462=0,0,IF(Y462="MXN",1/HLOOKUP(YEAR(X462)+(MONTH(X462)/100),TC!$5:$37,DAY(X462)+2,FALSE),VLOOKUP(Y462,Equivalencia!$1:$23,((MAX(Equivalencia!$3:$3)-YEAR(X462))*14)+MONTH(X462)+2,FALSE)))</f>
        <v>1</v>
      </c>
      <c r="AB462" s="306">
        <f t="shared" si="127"/>
        <v>4008.9641428571431</v>
      </c>
      <c r="AC462" s="305">
        <f>+IF(X462=0,0,HLOOKUP(YEAR(X462)+(MONTH(X462)/100),TC!$5:$37,DAY(X462)+2,FALSE))</f>
        <v>20.418800000000001</v>
      </c>
      <c r="AD462" s="307">
        <f t="shared" si="128"/>
        <v>81858.237040171443</v>
      </c>
      <c r="AE462" s="314">
        <f t="shared" si="129"/>
        <v>56138.043074256006</v>
      </c>
      <c r="AF462" s="315">
        <f t="shared" si="130"/>
        <v>25720.193965915438</v>
      </c>
      <c r="AG462" s="316">
        <f t="shared" si="131"/>
        <v>0.4</v>
      </c>
      <c r="AH462" s="314">
        <v>1</v>
      </c>
      <c r="AI462" s="314">
        <f t="shared" si="132"/>
        <v>25720.193965915438</v>
      </c>
      <c r="AJ462" s="314">
        <f t="shared" si="133"/>
        <v>0</v>
      </c>
      <c r="AK462" s="317"/>
      <c r="AL462" s="315">
        <f t="shared" si="134"/>
        <v>1306.2041428571429</v>
      </c>
      <c r="AN462" s="554">
        <f t="shared" si="135"/>
        <v>0.483285287209054</v>
      </c>
      <c r="AO462" s="314"/>
      <c r="AP462" s="318"/>
    </row>
    <row r="463" spans="2:42">
      <c r="B463" s="296" t="s">
        <v>1254</v>
      </c>
      <c r="C463" s="299" t="s">
        <v>277</v>
      </c>
      <c r="D463" s="298" t="s">
        <v>712</v>
      </c>
      <c r="E463" s="299" t="s">
        <v>113</v>
      </c>
      <c r="F463" s="299" t="s">
        <v>59</v>
      </c>
      <c r="G463" s="300">
        <v>44461</v>
      </c>
      <c r="H463" s="303">
        <v>6706.7632907348252</v>
      </c>
      <c r="I463" s="301" t="str">
        <f t="shared" si="119"/>
        <v>Ingresos Sección II LISR (SIC &amp; BMV)</v>
      </c>
      <c r="J463" s="302">
        <f t="shared" si="120"/>
        <v>249</v>
      </c>
      <c r="K463" s="304">
        <f t="shared" si="121"/>
        <v>26.934792332268373</v>
      </c>
      <c r="L463" s="305">
        <f>IF(H463=0,0,IF(OR(E463=$AT$5,E463=$AT$6),AA463,IF(F463="MXN",1/HLOOKUP(YEAR(G463)+(MONTH(G463)/100),TC!$5:$37,DAY(G463)+2,FALSE),VLOOKUP(F463,Equivalencia!$5:$23,((MAX(Equivalencia!$3:$3)-YEAR(G463))*14)+MONTH(G463)+2,FALSE))))</f>
        <v>1</v>
      </c>
      <c r="M463" s="306">
        <f t="shared" si="122"/>
        <v>6706.7632907348252</v>
      </c>
      <c r="N463" s="305">
        <f>IF(G463=0,0,(IF(OR(E463=$AT$5,E463=$AT$6),AC463,HLOOKUP(YEAR(G463)+(MONTH(G463)/100),TC!$5:$37,DAY(G463)+2,FALSE))))</f>
        <v>20.173500000000001</v>
      </c>
      <c r="O463" s="307">
        <f t="shared" si="123"/>
        <v>135298.889245639</v>
      </c>
      <c r="P463" s="560">
        <f>IF(G463=0,0,VLOOKUP(YEAR(G463),INPC!$B$4:$P$30,MONTH(G463)+2))</f>
        <v>114.601</v>
      </c>
      <c r="Q463" s="560">
        <f>IF(X463=0,0,IF(OR(E463=$AT$10,E463=$AT$9),VLOOKUP(YEAR(X463),INPC!$B$4:$P$30,MONTH(X463)+1),VLOOKUP(YEAR(X463),INPC!$B$4:$P$30,MONTH(X463)+2,0)))</f>
        <v>118.002</v>
      </c>
      <c r="R463" s="309">
        <f t="shared" si="124"/>
        <v>1.0296000000000001</v>
      </c>
      <c r="S463" s="310">
        <f t="shared" si="125"/>
        <v>139303.73636730993</v>
      </c>
      <c r="T463" s="555">
        <f t="shared" si="126"/>
        <v>559.45275649522057</v>
      </c>
      <c r="U463" s="311"/>
      <c r="V463" s="312">
        <v>249</v>
      </c>
      <c r="W463" s="299" t="s">
        <v>194</v>
      </c>
      <c r="X463" s="300">
        <v>44607</v>
      </c>
      <c r="Y463" s="299" t="s">
        <v>59</v>
      </c>
      <c r="Z463" s="303">
        <v>9883.4858571428576</v>
      </c>
      <c r="AA463" s="305">
        <f>IF(Z463=0,0,IF(Y463="MXN",1/HLOOKUP(YEAR(X463)+(MONTH(X463)/100),TC!$5:$37,DAY(X463)+2,FALSE),VLOOKUP(Y463,Equivalencia!$1:$23,((MAX(Equivalencia!$3:$3)-YEAR(X463))*14)+MONTH(X463)+2,FALSE)))</f>
        <v>1</v>
      </c>
      <c r="AB463" s="306">
        <f t="shared" si="127"/>
        <v>9883.4858571428576</v>
      </c>
      <c r="AC463" s="305">
        <f>+IF(X463=0,0,HLOOKUP(YEAR(X463)+(MONTH(X463)/100),TC!$5:$37,DAY(X463)+2,FALSE))</f>
        <v>20.418800000000001</v>
      </c>
      <c r="AD463" s="307">
        <f t="shared" si="128"/>
        <v>201808.92101982859</v>
      </c>
      <c r="AE463" s="314">
        <f t="shared" si="129"/>
        <v>139303.73636730993</v>
      </c>
      <c r="AF463" s="315">
        <f t="shared" si="130"/>
        <v>62505.184652518656</v>
      </c>
      <c r="AG463" s="316">
        <f t="shared" si="131"/>
        <v>0.4</v>
      </c>
      <c r="AH463" s="314">
        <v>1</v>
      </c>
      <c r="AI463" s="314">
        <f t="shared" si="132"/>
        <v>62505.184652518656</v>
      </c>
      <c r="AJ463" s="314">
        <f t="shared" si="133"/>
        <v>0</v>
      </c>
      <c r="AK463" s="317"/>
      <c r="AL463" s="315">
        <f t="shared" si="134"/>
        <v>3176.7225664080324</v>
      </c>
      <c r="AN463" s="554">
        <f t="shared" si="135"/>
        <v>0.47365956254883351</v>
      </c>
      <c r="AO463" s="314"/>
      <c r="AP463" s="318"/>
    </row>
    <row r="464" spans="2:42">
      <c r="B464" s="296" t="s">
        <v>1254</v>
      </c>
      <c r="C464" s="299" t="s">
        <v>277</v>
      </c>
      <c r="D464" s="298" t="s">
        <v>712</v>
      </c>
      <c r="E464" s="299" t="s">
        <v>113</v>
      </c>
      <c r="F464" s="299" t="s">
        <v>59</v>
      </c>
      <c r="G464" s="300">
        <v>44461</v>
      </c>
      <c r="H464" s="303">
        <v>1723.8267092651759</v>
      </c>
      <c r="I464" s="301" t="str">
        <f t="shared" si="119"/>
        <v>Ingresos Sección II LISR (SIC &amp; BMV)</v>
      </c>
      <c r="J464" s="302">
        <f t="shared" si="120"/>
        <v>64</v>
      </c>
      <c r="K464" s="304">
        <f t="shared" si="121"/>
        <v>26.934792332268373</v>
      </c>
      <c r="L464" s="305">
        <f>IF(H464=0,0,IF(OR(E464=$AT$5,E464=$AT$6),AA464,IF(F464="MXN",1/HLOOKUP(YEAR(G464)+(MONTH(G464)/100),TC!$5:$37,DAY(G464)+2,FALSE),VLOOKUP(F464,Equivalencia!$5:$23,((MAX(Equivalencia!$3:$3)-YEAR(G464))*14)+MONTH(G464)+2,FALSE))))</f>
        <v>1</v>
      </c>
      <c r="M464" s="306">
        <f t="shared" si="122"/>
        <v>1723.8267092651759</v>
      </c>
      <c r="N464" s="305">
        <f>IF(G464=0,0,(IF(OR(E464=$AT$5,E464=$AT$6),AC464,HLOOKUP(YEAR(G464)+(MONTH(G464)/100),TC!$5:$37,DAY(G464)+2,FALSE))))</f>
        <v>20.173500000000001</v>
      </c>
      <c r="O464" s="307">
        <f t="shared" si="123"/>
        <v>34775.618119361025</v>
      </c>
      <c r="P464" s="560">
        <f>IF(G464=0,0,VLOOKUP(YEAR(G464),INPC!$B$4:$P$30,MONTH(G464)+2))</f>
        <v>114.601</v>
      </c>
      <c r="Q464" s="560">
        <f>IF(X464=0,0,IF(OR(E464=$AT$10,E464=$AT$9),VLOOKUP(YEAR(X464),INPC!$B$4:$P$30,MONTH(X464)+1),VLOOKUP(YEAR(X464),INPC!$B$4:$P$30,MONTH(X464)+2,0)))</f>
        <v>118.98099999999999</v>
      </c>
      <c r="R464" s="309">
        <f t="shared" si="124"/>
        <v>1.0382</v>
      </c>
      <c r="S464" s="310">
        <f t="shared" si="125"/>
        <v>36104.046731520619</v>
      </c>
      <c r="T464" s="555">
        <f t="shared" si="126"/>
        <v>564.12573018000967</v>
      </c>
      <c r="U464" s="311"/>
      <c r="V464" s="312">
        <v>64</v>
      </c>
      <c r="W464" s="299" t="s">
        <v>194</v>
      </c>
      <c r="X464" s="300">
        <v>44627</v>
      </c>
      <c r="Y464" s="299" t="s">
        <v>59</v>
      </c>
      <c r="Z464" s="303">
        <v>3521.7788235294115</v>
      </c>
      <c r="AA464" s="305">
        <f>IF(Z464=0,0,IF(Y464="MXN",1/HLOOKUP(YEAR(X464)+(MONTH(X464)/100),TC!$5:$37,DAY(X464)+2,FALSE),VLOOKUP(Y464,Equivalencia!$1:$23,((MAX(Equivalencia!$3:$3)-YEAR(X464))*14)+MONTH(X464)+2,FALSE)))</f>
        <v>1</v>
      </c>
      <c r="AB464" s="306">
        <f t="shared" si="127"/>
        <v>3521.7788235294115</v>
      </c>
      <c r="AC464" s="305">
        <f>+IF(X464=0,0,HLOOKUP(YEAR(X464)+(MONTH(X464)/100),TC!$5:$37,DAY(X464)+2,FALSE))</f>
        <v>20.703299999999999</v>
      </c>
      <c r="AD464" s="307">
        <f t="shared" si="128"/>
        <v>72912.443517176464</v>
      </c>
      <c r="AE464" s="314">
        <f t="shared" si="129"/>
        <v>36104.046731520619</v>
      </c>
      <c r="AF464" s="315">
        <f t="shared" si="130"/>
        <v>36808.396785655845</v>
      </c>
      <c r="AG464" s="316">
        <f t="shared" si="131"/>
        <v>0.45479452054794522</v>
      </c>
      <c r="AH464" s="314">
        <v>1</v>
      </c>
      <c r="AI464" s="314">
        <f t="shared" si="132"/>
        <v>36808.396785655845</v>
      </c>
      <c r="AJ464" s="314">
        <f t="shared" si="133"/>
        <v>0</v>
      </c>
      <c r="AK464" s="317"/>
      <c r="AL464" s="315">
        <f t="shared" si="134"/>
        <v>1797.9521142642357</v>
      </c>
      <c r="AN464" s="554">
        <f t="shared" si="135"/>
        <v>1.0430004968600688</v>
      </c>
      <c r="AO464" s="314"/>
      <c r="AP464" s="318"/>
    </row>
    <row r="465" spans="2:42">
      <c r="B465" s="296" t="s">
        <v>1254</v>
      </c>
      <c r="C465" s="299" t="s">
        <v>277</v>
      </c>
      <c r="D465" s="298" t="s">
        <v>712</v>
      </c>
      <c r="E465" s="299" t="s">
        <v>113</v>
      </c>
      <c r="F465" s="299" t="s">
        <v>59</v>
      </c>
      <c r="G465" s="300">
        <v>44519</v>
      </c>
      <c r="H465" s="303">
        <v>29.75</v>
      </c>
      <c r="I465" s="301" t="str">
        <f t="shared" si="119"/>
        <v>Ingresos Sección II LISR (SIC &amp; BMV)</v>
      </c>
      <c r="J465" s="302">
        <f t="shared" si="120"/>
        <v>1</v>
      </c>
      <c r="K465" s="304">
        <f t="shared" si="121"/>
        <v>29.75</v>
      </c>
      <c r="L465" s="305">
        <f>IF(H465=0,0,IF(OR(E465=$AT$5,E465=$AT$6),AA465,IF(F465="MXN",1/HLOOKUP(YEAR(G465)+(MONTH(G465)/100),TC!$5:$37,DAY(G465)+2,FALSE),VLOOKUP(F465,Equivalencia!$5:$23,((MAX(Equivalencia!$3:$3)-YEAR(G465))*14)+MONTH(G465)+2,FALSE))))</f>
        <v>1</v>
      </c>
      <c r="M465" s="306">
        <f t="shared" si="122"/>
        <v>29.75</v>
      </c>
      <c r="N465" s="305">
        <f>IF(G465=0,0,(IF(OR(E465=$AT$5,E465=$AT$6),AC465,HLOOKUP(YEAR(G465)+(MONTH(G465)/100),TC!$5:$37,DAY(G465)+2,FALSE))))</f>
        <v>20.691199999999998</v>
      </c>
      <c r="O465" s="307">
        <f t="shared" si="123"/>
        <v>615.56319999999994</v>
      </c>
      <c r="P465" s="560">
        <f>IF(G465=0,0,VLOOKUP(YEAR(G465),INPC!$B$4:$P$30,MONTH(G465)+2))</f>
        <v>116.884</v>
      </c>
      <c r="Q465" s="560">
        <f>IF(X465=0,0,IF(OR(E465=$AT$10,E465=$AT$9),VLOOKUP(YEAR(X465),INPC!$B$4:$P$30,MONTH(X465)+1),VLOOKUP(YEAR(X465),INPC!$B$4:$P$30,MONTH(X465)+2,0)))</f>
        <v>118.98099999999999</v>
      </c>
      <c r="R465" s="309">
        <f t="shared" si="124"/>
        <v>1.0179</v>
      </c>
      <c r="S465" s="310">
        <f t="shared" si="125"/>
        <v>626.58178127999997</v>
      </c>
      <c r="T465" s="555">
        <f t="shared" si="126"/>
        <v>626.58178127999997</v>
      </c>
      <c r="U465" s="311"/>
      <c r="V465" s="312">
        <v>1</v>
      </c>
      <c r="W465" s="299" t="s">
        <v>194</v>
      </c>
      <c r="X465" s="300">
        <v>44627</v>
      </c>
      <c r="Y465" s="299" t="s">
        <v>59</v>
      </c>
      <c r="Z465" s="303">
        <v>55.027794117647055</v>
      </c>
      <c r="AA465" s="305">
        <f>IF(Z465=0,0,IF(Y465="MXN",1/HLOOKUP(YEAR(X465)+(MONTH(X465)/100),TC!$5:$37,DAY(X465)+2,FALSE),VLOOKUP(Y465,Equivalencia!$1:$23,((MAX(Equivalencia!$3:$3)-YEAR(X465))*14)+MONTH(X465)+2,FALSE)))</f>
        <v>1</v>
      </c>
      <c r="AB465" s="306">
        <f t="shared" si="127"/>
        <v>55.027794117647055</v>
      </c>
      <c r="AC465" s="305">
        <f>+IF(X465=0,0,HLOOKUP(YEAR(X465)+(MONTH(X465)/100),TC!$5:$37,DAY(X465)+2,FALSE))</f>
        <v>20.703299999999999</v>
      </c>
      <c r="AD465" s="307">
        <f t="shared" si="128"/>
        <v>1139.2569299558822</v>
      </c>
      <c r="AE465" s="314">
        <f t="shared" si="129"/>
        <v>626.58178127999997</v>
      </c>
      <c r="AF465" s="315">
        <f t="shared" si="130"/>
        <v>512.67514867588227</v>
      </c>
      <c r="AG465" s="316">
        <f t="shared" si="131"/>
        <v>0.29589041095890412</v>
      </c>
      <c r="AH465" s="314">
        <v>1</v>
      </c>
      <c r="AI465" s="314">
        <f t="shared" si="132"/>
        <v>512.67514867588227</v>
      </c>
      <c r="AJ465" s="314">
        <f t="shared" si="133"/>
        <v>0</v>
      </c>
      <c r="AK465" s="317"/>
      <c r="AL465" s="315">
        <f t="shared" si="134"/>
        <v>25.277794117647055</v>
      </c>
      <c r="AN465" s="554">
        <f t="shared" si="135"/>
        <v>0.84967375185368255</v>
      </c>
      <c r="AO465" s="314"/>
      <c r="AP465" s="318"/>
    </row>
    <row r="466" spans="2:42">
      <c r="B466" s="296" t="s">
        <v>1254</v>
      </c>
      <c r="C466" s="299" t="s">
        <v>277</v>
      </c>
      <c r="D466" s="298" t="s">
        <v>712</v>
      </c>
      <c r="E466" s="299" t="s">
        <v>113</v>
      </c>
      <c r="F466" s="299" t="s">
        <v>59</v>
      </c>
      <c r="G466" s="300">
        <v>44523</v>
      </c>
      <c r="H466" s="303">
        <v>2238.6807142857142</v>
      </c>
      <c r="I466" s="301" t="str">
        <f t="shared" si="119"/>
        <v>Ingresos Sección II LISR (SIC &amp; BMV)</v>
      </c>
      <c r="J466" s="302">
        <f t="shared" si="120"/>
        <v>71</v>
      </c>
      <c r="K466" s="304">
        <f t="shared" si="121"/>
        <v>31.530714285714286</v>
      </c>
      <c r="L466" s="305">
        <f>IF(H466=0,0,IF(OR(E466=$AT$5,E466=$AT$6),AA466,IF(F466="MXN",1/HLOOKUP(YEAR(G466)+(MONTH(G466)/100),TC!$5:$37,DAY(G466)+2,FALSE),VLOOKUP(F466,Equivalencia!$5:$23,((MAX(Equivalencia!$3:$3)-YEAR(G466))*14)+MONTH(G466)+2,FALSE))))</f>
        <v>1</v>
      </c>
      <c r="M466" s="306">
        <f t="shared" si="122"/>
        <v>2238.6807142857142</v>
      </c>
      <c r="N466" s="305">
        <f>IF(G466=0,0,(IF(OR(E466=$AT$5,E466=$AT$6),AC466,HLOOKUP(YEAR(G466)+(MONTH(G466)/100),TC!$5:$37,DAY(G466)+2,FALSE))))</f>
        <v>20.828299999999999</v>
      </c>
      <c r="O466" s="307">
        <f t="shared" si="123"/>
        <v>46627.913521357135</v>
      </c>
      <c r="P466" s="560">
        <f>IF(G466=0,0,VLOOKUP(YEAR(G466),INPC!$B$4:$P$30,MONTH(G466)+2))</f>
        <v>116.884</v>
      </c>
      <c r="Q466" s="560">
        <f>IF(X466=0,0,IF(OR(E466=$AT$10,E466=$AT$9),VLOOKUP(YEAR(X466),INPC!$B$4:$P$30,MONTH(X466)+1),VLOOKUP(YEAR(X466),INPC!$B$4:$P$30,MONTH(X466)+2,0)))</f>
        <v>118.98099999999999</v>
      </c>
      <c r="R466" s="309">
        <f t="shared" si="124"/>
        <v>1.0179</v>
      </c>
      <c r="S466" s="310">
        <f t="shared" si="125"/>
        <v>47462.553173389431</v>
      </c>
      <c r="T466" s="555">
        <f t="shared" si="126"/>
        <v>668.48666441393561</v>
      </c>
      <c r="U466" s="311"/>
      <c r="V466" s="312">
        <v>71</v>
      </c>
      <c r="W466" s="299" t="s">
        <v>194</v>
      </c>
      <c r="X466" s="300">
        <v>44627</v>
      </c>
      <c r="Y466" s="299" t="s">
        <v>59</v>
      </c>
      <c r="Z466" s="303">
        <v>3906.9733823529409</v>
      </c>
      <c r="AA466" s="305">
        <f>IF(Z466=0,0,IF(Y466="MXN",1/HLOOKUP(YEAR(X466)+(MONTH(X466)/100),TC!$5:$37,DAY(X466)+2,FALSE),VLOOKUP(Y466,Equivalencia!$1:$23,((MAX(Equivalencia!$3:$3)-YEAR(X466))*14)+MONTH(X466)+2,FALSE)))</f>
        <v>1</v>
      </c>
      <c r="AB466" s="306">
        <f t="shared" si="127"/>
        <v>3906.9733823529409</v>
      </c>
      <c r="AC466" s="305">
        <f>+IF(X466=0,0,HLOOKUP(YEAR(X466)+(MONTH(X466)/100),TC!$5:$37,DAY(X466)+2,FALSE))</f>
        <v>20.703299999999999</v>
      </c>
      <c r="AD466" s="307">
        <f t="shared" si="128"/>
        <v>80887.242026867636</v>
      </c>
      <c r="AE466" s="314">
        <f t="shared" si="129"/>
        <v>47462.553173389431</v>
      </c>
      <c r="AF466" s="315">
        <f t="shared" si="130"/>
        <v>33424.688853478205</v>
      </c>
      <c r="AG466" s="316">
        <f t="shared" si="131"/>
        <v>0.28493150684931506</v>
      </c>
      <c r="AH466" s="314">
        <v>1</v>
      </c>
      <c r="AI466" s="314">
        <f t="shared" si="132"/>
        <v>33424.688853478205</v>
      </c>
      <c r="AJ466" s="314">
        <f t="shared" si="133"/>
        <v>0</v>
      </c>
      <c r="AK466" s="317"/>
      <c r="AL466" s="315">
        <f t="shared" si="134"/>
        <v>1668.2926680672267</v>
      </c>
      <c r="AN466" s="554">
        <f t="shared" si="135"/>
        <v>0.74521241793049586</v>
      </c>
      <c r="AO466" s="314"/>
      <c r="AP466" s="318"/>
    </row>
    <row r="467" spans="2:42">
      <c r="B467" s="296" t="s">
        <v>1254</v>
      </c>
      <c r="C467" s="299" t="s">
        <v>277</v>
      </c>
      <c r="D467" s="298" t="s">
        <v>712</v>
      </c>
      <c r="E467" s="299" t="s">
        <v>113</v>
      </c>
      <c r="F467" s="299" t="s">
        <v>59</v>
      </c>
      <c r="G467" s="300">
        <v>44523</v>
      </c>
      <c r="H467" s="303">
        <v>7062.88</v>
      </c>
      <c r="I467" s="301" t="str">
        <f t="shared" si="119"/>
        <v>Ingresos Sección II LISR (SIC &amp; BMV)</v>
      </c>
      <c r="J467" s="302">
        <f t="shared" si="120"/>
        <v>224</v>
      </c>
      <c r="K467" s="304">
        <f t="shared" si="121"/>
        <v>31.530714285714286</v>
      </c>
      <c r="L467" s="305">
        <f>IF(H467=0,0,IF(OR(E467=$AT$5,E467=$AT$6),AA467,IF(F467="MXN",1/HLOOKUP(YEAR(G467)+(MONTH(G467)/100),TC!$5:$37,DAY(G467)+2,FALSE),VLOOKUP(F467,Equivalencia!$5:$23,((MAX(Equivalencia!$3:$3)-YEAR(G467))*14)+MONTH(G467)+2,FALSE))))</f>
        <v>1</v>
      </c>
      <c r="M467" s="306">
        <f t="shared" si="122"/>
        <v>7062.88</v>
      </c>
      <c r="N467" s="305">
        <f>IF(G467=0,0,(IF(OR(E467=$AT$5,E467=$AT$6),AC467,HLOOKUP(YEAR(G467)+(MONTH(G467)/100),TC!$5:$37,DAY(G467)+2,FALSE))))</f>
        <v>20.828299999999999</v>
      </c>
      <c r="O467" s="307">
        <f t="shared" si="123"/>
        <v>147107.78350399999</v>
      </c>
      <c r="P467" s="560">
        <f>IF(G467=0,0,VLOOKUP(YEAR(G467),INPC!$B$4:$P$30,MONTH(G467)+2))</f>
        <v>116.884</v>
      </c>
      <c r="Q467" s="560">
        <f>IF(X467=0,0,IF(OR(E467=$AT$10,E467=$AT$9),VLOOKUP(YEAR(X467),INPC!$B$4:$P$30,MONTH(X467)+1),VLOOKUP(YEAR(X467),INPC!$B$4:$P$30,MONTH(X467)+2,0)))</f>
        <v>118.98099999999999</v>
      </c>
      <c r="R467" s="309">
        <f t="shared" si="124"/>
        <v>1.0179</v>
      </c>
      <c r="S467" s="310">
        <f t="shared" si="125"/>
        <v>149741.01282872161</v>
      </c>
      <c r="T467" s="555">
        <f t="shared" si="126"/>
        <v>668.48666441393573</v>
      </c>
      <c r="U467" s="311"/>
      <c r="V467" s="312">
        <v>224</v>
      </c>
      <c r="W467" s="299" t="s">
        <v>194</v>
      </c>
      <c r="X467" s="300">
        <v>44628</v>
      </c>
      <c r="Y467" s="299" t="s">
        <v>59</v>
      </c>
      <c r="Z467" s="303">
        <v>12365.64</v>
      </c>
      <c r="AA467" s="305">
        <f>IF(Z467=0,0,IF(Y467="MXN",1/HLOOKUP(YEAR(X467)+(MONTH(X467)/100),TC!$5:$37,DAY(X467)+2,FALSE),VLOOKUP(Y467,Equivalencia!$1:$23,((MAX(Equivalencia!$3:$3)-YEAR(X467))*14)+MONTH(X467)+2,FALSE)))</f>
        <v>1</v>
      </c>
      <c r="AB467" s="306">
        <f t="shared" si="127"/>
        <v>12365.64</v>
      </c>
      <c r="AC467" s="305">
        <f>+IF(X467=0,0,HLOOKUP(YEAR(X467)+(MONTH(X467)/100),TC!$5:$37,DAY(X467)+2,FALSE))</f>
        <v>20.926200000000001</v>
      </c>
      <c r="AD467" s="307">
        <f t="shared" si="128"/>
        <v>258765.85576800001</v>
      </c>
      <c r="AE467" s="314">
        <f t="shared" si="129"/>
        <v>149741.01282872161</v>
      </c>
      <c r="AF467" s="315">
        <f t="shared" si="130"/>
        <v>109024.8429392784</v>
      </c>
      <c r="AG467" s="316">
        <f t="shared" si="131"/>
        <v>0.28767123287671231</v>
      </c>
      <c r="AH467" s="314">
        <v>1</v>
      </c>
      <c r="AI467" s="314">
        <f t="shared" si="132"/>
        <v>109024.8429392784</v>
      </c>
      <c r="AJ467" s="314">
        <f t="shared" si="133"/>
        <v>0</v>
      </c>
      <c r="AK467" s="317"/>
      <c r="AL467" s="315">
        <f t="shared" si="134"/>
        <v>5302.7599999999993</v>
      </c>
      <c r="AN467" s="554">
        <f t="shared" si="135"/>
        <v>0.75079287769295233</v>
      </c>
      <c r="AO467" s="314"/>
      <c r="AP467" s="318"/>
    </row>
    <row r="468" spans="2:42">
      <c r="B468" s="296" t="s">
        <v>1254</v>
      </c>
      <c r="C468" s="299" t="s">
        <v>277</v>
      </c>
      <c r="D468" s="298" t="s">
        <v>712</v>
      </c>
      <c r="E468" s="299" t="s">
        <v>113</v>
      </c>
      <c r="F468" s="299" t="s">
        <v>59</v>
      </c>
      <c r="G468" s="300">
        <v>44523</v>
      </c>
      <c r="H468" s="303">
        <v>1734.1892857142857</v>
      </c>
      <c r="I468" s="301" t="str">
        <f t="shared" si="119"/>
        <v>Ingresos Sección II LISR (SIC &amp; BMV)</v>
      </c>
      <c r="J468" s="302">
        <f t="shared" si="120"/>
        <v>55</v>
      </c>
      <c r="K468" s="304">
        <f t="shared" si="121"/>
        <v>31.530714285714286</v>
      </c>
      <c r="L468" s="305">
        <f>IF(H468=0,0,IF(OR(E468=$AT$5,E468=$AT$6),AA468,IF(F468="MXN",1/HLOOKUP(YEAR(G468)+(MONTH(G468)/100),TC!$5:$37,DAY(G468)+2,FALSE),VLOOKUP(F468,Equivalencia!$5:$23,((MAX(Equivalencia!$3:$3)-YEAR(G468))*14)+MONTH(G468)+2,FALSE))))</f>
        <v>1</v>
      </c>
      <c r="M468" s="306">
        <f t="shared" si="122"/>
        <v>1734.1892857142857</v>
      </c>
      <c r="N468" s="305">
        <f>IF(G468=0,0,(IF(OR(E468=$AT$5,E468=$AT$6),AC468,HLOOKUP(YEAR(G468)+(MONTH(G468)/100),TC!$5:$37,DAY(G468)+2,FALSE))))</f>
        <v>20.828299999999999</v>
      </c>
      <c r="O468" s="307">
        <f t="shared" si="123"/>
        <v>36120.214699642856</v>
      </c>
      <c r="P468" s="560">
        <f>IF(G468=0,0,VLOOKUP(YEAR(G468),INPC!$B$4:$P$30,MONTH(G468)+2))</f>
        <v>116.884</v>
      </c>
      <c r="Q468" s="560">
        <f>IF(X468=0,0,IF(OR(E468=$AT$10,E468=$AT$9),VLOOKUP(YEAR(X468),INPC!$B$4:$P$30,MONTH(X468)+1),VLOOKUP(YEAR(X468),INPC!$B$4:$P$30,MONTH(X468)+2,0)))</f>
        <v>118.98099999999999</v>
      </c>
      <c r="R468" s="309">
        <f t="shared" si="124"/>
        <v>1.0179</v>
      </c>
      <c r="S468" s="310">
        <f t="shared" si="125"/>
        <v>36766.766542766461</v>
      </c>
      <c r="T468" s="555">
        <f t="shared" si="126"/>
        <v>668.48666441393561</v>
      </c>
      <c r="U468" s="311"/>
      <c r="V468" s="312">
        <v>55</v>
      </c>
      <c r="W468" s="299" t="s">
        <v>194</v>
      </c>
      <c r="X468" s="300">
        <v>44629</v>
      </c>
      <c r="Y468" s="299" t="s">
        <v>59</v>
      </c>
      <c r="Z468" s="303">
        <v>3029.1751302083335</v>
      </c>
      <c r="AA468" s="305">
        <f>IF(Z468=0,0,IF(Y468="MXN",1/HLOOKUP(YEAR(X468)+(MONTH(X468)/100),TC!$5:$37,DAY(X468)+2,FALSE),VLOOKUP(Y468,Equivalencia!$1:$23,((MAX(Equivalencia!$3:$3)-YEAR(X468))*14)+MONTH(X468)+2,FALSE)))</f>
        <v>1</v>
      </c>
      <c r="AB468" s="306">
        <f t="shared" si="127"/>
        <v>3029.1751302083335</v>
      </c>
      <c r="AC468" s="305">
        <f>+IF(X468=0,0,HLOOKUP(YEAR(X468)+(MONTH(X468)/100),TC!$5:$37,DAY(X468)+2,FALSE))</f>
        <v>21.194700000000001</v>
      </c>
      <c r="AD468" s="307">
        <f t="shared" si="128"/>
        <v>64202.458132226566</v>
      </c>
      <c r="AE468" s="314">
        <f t="shared" si="129"/>
        <v>36766.766542766461</v>
      </c>
      <c r="AF468" s="315">
        <f t="shared" si="130"/>
        <v>27435.691589460104</v>
      </c>
      <c r="AG468" s="316">
        <f t="shared" si="131"/>
        <v>0.29041095890410956</v>
      </c>
      <c r="AH468" s="314">
        <v>1</v>
      </c>
      <c r="AI468" s="314">
        <f t="shared" si="132"/>
        <v>27435.691589460104</v>
      </c>
      <c r="AJ468" s="314">
        <f t="shared" si="133"/>
        <v>0</v>
      </c>
      <c r="AK468" s="317"/>
      <c r="AL468" s="315">
        <f t="shared" si="134"/>
        <v>1294.9858444940478</v>
      </c>
      <c r="AN468" s="554">
        <f t="shared" si="135"/>
        <v>0.74673846457346971</v>
      </c>
      <c r="AO468" s="314"/>
      <c r="AP468" s="318"/>
    </row>
    <row r="469" spans="2:42">
      <c r="B469" s="296" t="s">
        <v>1254</v>
      </c>
      <c r="C469" s="299" t="s">
        <v>277</v>
      </c>
      <c r="D469" s="298" t="s">
        <v>712</v>
      </c>
      <c r="E469" s="299" t="s">
        <v>113</v>
      </c>
      <c r="F469" s="299" t="s">
        <v>59</v>
      </c>
      <c r="G469" s="300">
        <v>44530</v>
      </c>
      <c r="H469" s="303">
        <v>9693.1299999999992</v>
      </c>
      <c r="I469" s="301" t="str">
        <f t="shared" si="119"/>
        <v>Ingresos Sección II LISR (SIC &amp; BMV)</v>
      </c>
      <c r="J469" s="302">
        <f t="shared" si="120"/>
        <v>329</v>
      </c>
      <c r="K469" s="304">
        <f t="shared" si="121"/>
        <v>29.462401215805468</v>
      </c>
      <c r="L469" s="305">
        <f>IF(H469=0,0,IF(OR(E469=$AT$5,E469=$AT$6),AA469,IF(F469="MXN",1/HLOOKUP(YEAR(G469)+(MONTH(G469)/100),TC!$5:$37,DAY(G469)+2,FALSE),VLOOKUP(F469,Equivalencia!$5:$23,((MAX(Equivalencia!$3:$3)-YEAR(G469))*14)+MONTH(G469)+2,FALSE))))</f>
        <v>1</v>
      </c>
      <c r="M469" s="306">
        <f t="shared" si="122"/>
        <v>9693.1299999999992</v>
      </c>
      <c r="N469" s="305">
        <f>IF(G469=0,0,(IF(OR(E469=$AT$5,E469=$AT$6),AC469,HLOOKUP(YEAR(G469)+(MONTH(G469)/100),TC!$5:$37,DAY(G469)+2,FALSE))))</f>
        <v>21.8185</v>
      </c>
      <c r="O469" s="307">
        <f t="shared" si="123"/>
        <v>211489.55690499998</v>
      </c>
      <c r="P469" s="560">
        <f>IF(G469=0,0,VLOOKUP(YEAR(G469),INPC!$B$4:$P$30,MONTH(G469)+2))</f>
        <v>116.884</v>
      </c>
      <c r="Q469" s="560">
        <f>IF(X469=0,0,IF(OR(E469=$AT$10,E469=$AT$9),VLOOKUP(YEAR(X469),INPC!$B$4:$P$30,MONTH(X469)+1),VLOOKUP(YEAR(X469),INPC!$B$4:$P$30,MONTH(X469)+2,0)))</f>
        <v>118.98099999999999</v>
      </c>
      <c r="R469" s="309">
        <f t="shared" si="124"/>
        <v>1.0179</v>
      </c>
      <c r="S469" s="310">
        <f t="shared" si="125"/>
        <v>215275.21997359948</v>
      </c>
      <c r="T469" s="555">
        <f t="shared" si="126"/>
        <v>654.33197560364579</v>
      </c>
      <c r="U469" s="311"/>
      <c r="V469" s="312">
        <v>329</v>
      </c>
      <c r="W469" s="299" t="s">
        <v>194</v>
      </c>
      <c r="X469" s="300">
        <v>44629</v>
      </c>
      <c r="Y469" s="299" t="s">
        <v>59</v>
      </c>
      <c r="Z469" s="303">
        <v>18119.974869791669</v>
      </c>
      <c r="AA469" s="305">
        <f>IF(Z469=0,0,IF(Y469="MXN",1/HLOOKUP(YEAR(X469)+(MONTH(X469)/100),TC!$5:$37,DAY(X469)+2,FALSE),VLOOKUP(Y469,Equivalencia!$1:$23,((MAX(Equivalencia!$3:$3)-YEAR(X469))*14)+MONTH(X469)+2,FALSE)))</f>
        <v>1</v>
      </c>
      <c r="AB469" s="306">
        <f t="shared" si="127"/>
        <v>18119.974869791669</v>
      </c>
      <c r="AC469" s="305">
        <f>+IF(X469=0,0,HLOOKUP(YEAR(X469)+(MONTH(X469)/100),TC!$5:$37,DAY(X469)+2,FALSE))</f>
        <v>21.194700000000001</v>
      </c>
      <c r="AD469" s="307">
        <f t="shared" si="128"/>
        <v>384047.43137277348</v>
      </c>
      <c r="AE469" s="314">
        <f t="shared" si="129"/>
        <v>215275.21997359945</v>
      </c>
      <c r="AF469" s="315">
        <f t="shared" si="130"/>
        <v>168772.21139917403</v>
      </c>
      <c r="AG469" s="316">
        <f t="shared" si="131"/>
        <v>0.27123287671232876</v>
      </c>
      <c r="AH469" s="314">
        <v>1</v>
      </c>
      <c r="AI469" s="314">
        <f t="shared" si="132"/>
        <v>168772.21139917403</v>
      </c>
      <c r="AJ469" s="314">
        <f t="shared" si="133"/>
        <v>0</v>
      </c>
      <c r="AK469" s="317"/>
      <c r="AL469" s="315">
        <f t="shared" si="134"/>
        <v>8426.8448697916701</v>
      </c>
      <c r="AN469" s="554">
        <f t="shared" si="135"/>
        <v>0.86936261762626421</v>
      </c>
      <c r="AO469" s="314"/>
      <c r="AP469" s="318"/>
    </row>
    <row r="470" spans="2:42">
      <c r="B470" s="296" t="s">
        <v>1254</v>
      </c>
      <c r="C470" s="299" t="s">
        <v>277</v>
      </c>
      <c r="D470" s="298" t="s">
        <v>728</v>
      </c>
      <c r="E470" s="299" t="s">
        <v>113</v>
      </c>
      <c r="F470" s="299" t="s">
        <v>59</v>
      </c>
      <c r="G470" s="300">
        <v>44334</v>
      </c>
      <c r="H470" s="303">
        <v>7525.5276923076926</v>
      </c>
      <c r="I470" s="301" t="str">
        <f t="shared" si="119"/>
        <v>Ingresos Sección II LISR (SIC &amp; BMV)</v>
      </c>
      <c r="J470" s="302">
        <f t="shared" si="120"/>
        <v>42</v>
      </c>
      <c r="K470" s="304">
        <f t="shared" si="121"/>
        <v>179.17923076923077</v>
      </c>
      <c r="L470" s="305">
        <f>IF(H470=0,0,IF(OR(E470=$AT$5,E470=$AT$6),AA470,IF(F470="MXN",1/HLOOKUP(YEAR(G470)+(MONTH(G470)/100),TC!$5:$37,DAY(G470)+2,FALSE),VLOOKUP(F470,Equivalencia!$5:$23,((MAX(Equivalencia!$3:$3)-YEAR(G470))*14)+MONTH(G470)+2,FALSE))))</f>
        <v>1</v>
      </c>
      <c r="M470" s="306">
        <f t="shared" si="122"/>
        <v>7525.5276923076926</v>
      </c>
      <c r="N470" s="305">
        <f>IF(G470=0,0,(IF(OR(E470=$AT$5,E470=$AT$6),AC470,HLOOKUP(YEAR(G470)+(MONTH(G470)/100),TC!$5:$37,DAY(G470)+2,FALSE))))</f>
        <v>19.848700000000001</v>
      </c>
      <c r="O470" s="307">
        <f t="shared" si="123"/>
        <v>149371.94150630772</v>
      </c>
      <c r="P470" s="560">
        <f>IF(G470=0,0,VLOOKUP(YEAR(G470),INPC!$B$4:$P$30,MONTH(G470)+2))</f>
        <v>112.419</v>
      </c>
      <c r="Q470" s="560">
        <f>IF(X470=0,0,IF(OR(E470=$AT$10,E470=$AT$9),VLOOKUP(YEAR(X470),INPC!$B$4:$P$30,MONTH(X470)+1),VLOOKUP(YEAR(X470),INPC!$B$4:$P$30,MONTH(X470)+2,0)))</f>
        <v>117.30800000000001</v>
      </c>
      <c r="R470" s="309">
        <f t="shared" si="124"/>
        <v>1.0434000000000001</v>
      </c>
      <c r="S470" s="310">
        <f t="shared" si="125"/>
        <v>155854.68376768148</v>
      </c>
      <c r="T470" s="555">
        <f t="shared" si="126"/>
        <v>3710.8258039924162</v>
      </c>
      <c r="U470" s="311"/>
      <c r="V470" s="312">
        <v>42</v>
      </c>
      <c r="W470" s="299" t="s">
        <v>194</v>
      </c>
      <c r="X470" s="300">
        <v>44573</v>
      </c>
      <c r="Y470" s="299" t="s">
        <v>59</v>
      </c>
      <c r="Z470" s="303">
        <v>7038.9182926829271</v>
      </c>
      <c r="AA470" s="305">
        <f>IF(Z470=0,0,IF(Y470="MXN",1/HLOOKUP(YEAR(X470)+(MONTH(X470)/100),TC!$5:$37,DAY(X470)+2,FALSE),VLOOKUP(Y470,Equivalencia!$1:$23,((MAX(Equivalencia!$3:$3)-YEAR(X470))*14)+MONTH(X470)+2,FALSE)))</f>
        <v>1</v>
      </c>
      <c r="AB470" s="306">
        <f t="shared" si="127"/>
        <v>7038.9182926829271</v>
      </c>
      <c r="AC470" s="305">
        <f>+IF(X470=0,0,HLOOKUP(YEAR(X470)+(MONTH(X470)/100),TC!$5:$37,DAY(X470)+2,FALSE))</f>
        <v>20.4453</v>
      </c>
      <c r="AD470" s="307">
        <f t="shared" si="128"/>
        <v>143912.79616939026</v>
      </c>
      <c r="AE470" s="314">
        <f t="shared" si="129"/>
        <v>155854.68376768148</v>
      </c>
      <c r="AF470" s="315">
        <f t="shared" si="130"/>
        <v>-11941.887598291214</v>
      </c>
      <c r="AG470" s="316">
        <f t="shared" si="131"/>
        <v>0.65479452054794518</v>
      </c>
      <c r="AH470" s="314">
        <v>1</v>
      </c>
      <c r="AI470" s="314">
        <f t="shared" si="132"/>
        <v>-11941.887598291214</v>
      </c>
      <c r="AJ470" s="314">
        <f t="shared" si="133"/>
        <v>0</v>
      </c>
      <c r="AK470" s="317"/>
      <c r="AL470" s="315">
        <f t="shared" si="134"/>
        <v>-486.6093996247655</v>
      </c>
      <c r="AN470" s="554">
        <f t="shared" si="135"/>
        <v>-6.466116656804799E-2</v>
      </c>
      <c r="AO470" s="314"/>
      <c r="AP470" s="318"/>
    </row>
    <row r="471" spans="2:42">
      <c r="B471" s="296" t="s">
        <v>1254</v>
      </c>
      <c r="C471" s="299" t="s">
        <v>277</v>
      </c>
      <c r="D471" s="298" t="s">
        <v>728</v>
      </c>
      <c r="E471" s="299" t="s">
        <v>113</v>
      </c>
      <c r="F471" s="299" t="s">
        <v>59</v>
      </c>
      <c r="G471" s="300">
        <v>44334</v>
      </c>
      <c r="H471" s="303">
        <v>3201.73</v>
      </c>
      <c r="I471" s="301" t="str">
        <f t="shared" si="119"/>
        <v>Ingresos Sección II LISR (SIC &amp; BMV)</v>
      </c>
      <c r="J471" s="302">
        <f t="shared" si="120"/>
        <v>18</v>
      </c>
      <c r="K471" s="304">
        <f t="shared" si="121"/>
        <v>177.8738888888889</v>
      </c>
      <c r="L471" s="305">
        <f>IF(H471=0,0,IF(OR(E471=$AT$5,E471=$AT$6),AA471,IF(F471="MXN",1/HLOOKUP(YEAR(G471)+(MONTH(G471)/100),TC!$5:$37,DAY(G471)+2,FALSE),VLOOKUP(F471,Equivalencia!$5:$23,((MAX(Equivalencia!$3:$3)-YEAR(G471))*14)+MONTH(G471)+2,FALSE))))</f>
        <v>1</v>
      </c>
      <c r="M471" s="306">
        <f t="shared" si="122"/>
        <v>3201.73</v>
      </c>
      <c r="N471" s="305">
        <f>IF(G471=0,0,(IF(OR(E471=$AT$5,E471=$AT$6),AC471,HLOOKUP(YEAR(G471)+(MONTH(G471)/100),TC!$5:$37,DAY(G471)+2,FALSE))))</f>
        <v>19.848700000000001</v>
      </c>
      <c r="O471" s="307">
        <f t="shared" si="123"/>
        <v>63550.178251000005</v>
      </c>
      <c r="P471" s="560">
        <f>IF(G471=0,0,VLOOKUP(YEAR(G471),INPC!$B$4:$P$30,MONTH(G471)+2))</f>
        <v>112.419</v>
      </c>
      <c r="Q471" s="560">
        <f>IF(X471=0,0,IF(OR(E471=$AT$10,E471=$AT$9),VLOOKUP(YEAR(X471),INPC!$B$4:$P$30,MONTH(X471)+1),VLOOKUP(YEAR(X471),INPC!$B$4:$P$30,MONTH(X471)+2,0)))</f>
        <v>117.30800000000001</v>
      </c>
      <c r="R471" s="309">
        <f t="shared" si="124"/>
        <v>1.0434000000000001</v>
      </c>
      <c r="S471" s="310">
        <f t="shared" si="125"/>
        <v>66308.255987093406</v>
      </c>
      <c r="T471" s="555">
        <f t="shared" si="126"/>
        <v>3683.791999282967</v>
      </c>
      <c r="U471" s="311"/>
      <c r="V471" s="312">
        <v>18</v>
      </c>
      <c r="W471" s="299" t="s">
        <v>194</v>
      </c>
      <c r="X471" s="300">
        <v>44573</v>
      </c>
      <c r="Y471" s="299" t="s">
        <v>59</v>
      </c>
      <c r="Z471" s="303">
        <v>3016.679268292683</v>
      </c>
      <c r="AA471" s="305">
        <f>IF(Z471=0,0,IF(Y471="MXN",1/HLOOKUP(YEAR(X471)+(MONTH(X471)/100),TC!$5:$37,DAY(X471)+2,FALSE),VLOOKUP(Y471,Equivalencia!$1:$23,((MAX(Equivalencia!$3:$3)-YEAR(X471))*14)+MONTH(X471)+2,FALSE)))</f>
        <v>1</v>
      </c>
      <c r="AB471" s="306">
        <f t="shared" si="127"/>
        <v>3016.679268292683</v>
      </c>
      <c r="AC471" s="305">
        <f>+IF(X471=0,0,HLOOKUP(YEAR(X471)+(MONTH(X471)/100),TC!$5:$37,DAY(X471)+2,FALSE))</f>
        <v>20.4453</v>
      </c>
      <c r="AD471" s="307">
        <f t="shared" si="128"/>
        <v>61676.912644024393</v>
      </c>
      <c r="AE471" s="314">
        <f t="shared" si="129"/>
        <v>66308.255987093406</v>
      </c>
      <c r="AF471" s="315">
        <f t="shared" si="130"/>
        <v>-4631.3433430690129</v>
      </c>
      <c r="AG471" s="316">
        <f t="shared" si="131"/>
        <v>0.65479452054794518</v>
      </c>
      <c r="AH471" s="314">
        <v>1</v>
      </c>
      <c r="AI471" s="314">
        <f t="shared" si="132"/>
        <v>-4631.3433430690129</v>
      </c>
      <c r="AJ471" s="314">
        <f t="shared" si="133"/>
        <v>0</v>
      </c>
      <c r="AK471" s="317"/>
      <c r="AL471" s="315">
        <f t="shared" si="134"/>
        <v>-185.05073170731703</v>
      </c>
      <c r="AN471" s="554">
        <f t="shared" si="135"/>
        <v>-5.7797107097511978E-2</v>
      </c>
      <c r="AO471" s="314"/>
      <c r="AP471" s="318"/>
    </row>
    <row r="472" spans="2:42">
      <c r="B472" s="296" t="s">
        <v>1254</v>
      </c>
      <c r="C472" s="299" t="s">
        <v>277</v>
      </c>
      <c r="D472" s="298" t="s">
        <v>728</v>
      </c>
      <c r="E472" s="299" t="s">
        <v>113</v>
      </c>
      <c r="F472" s="299" t="s">
        <v>59</v>
      </c>
      <c r="G472" s="300">
        <v>44334</v>
      </c>
      <c r="H472" s="303">
        <v>3959.34</v>
      </c>
      <c r="I472" s="301" t="str">
        <f t="shared" si="119"/>
        <v>Ingresos Sección II LISR (SIC &amp; BMV)</v>
      </c>
      <c r="J472" s="302">
        <f t="shared" si="120"/>
        <v>22</v>
      </c>
      <c r="K472" s="304">
        <f t="shared" si="121"/>
        <v>179.97</v>
      </c>
      <c r="L472" s="305">
        <f>IF(H472=0,0,IF(OR(E472=$AT$5,E472=$AT$6),AA472,IF(F472="MXN",1/HLOOKUP(YEAR(G472)+(MONTH(G472)/100),TC!$5:$37,DAY(G472)+2,FALSE),VLOOKUP(F472,Equivalencia!$5:$23,((MAX(Equivalencia!$3:$3)-YEAR(G472))*14)+MONTH(G472)+2,FALSE))))</f>
        <v>1</v>
      </c>
      <c r="M472" s="306">
        <f t="shared" si="122"/>
        <v>3959.34</v>
      </c>
      <c r="N472" s="305">
        <f>IF(G472=0,0,(IF(OR(E472=$AT$5,E472=$AT$6),AC472,HLOOKUP(YEAR(G472)+(MONTH(G472)/100),TC!$5:$37,DAY(G472)+2,FALSE))))</f>
        <v>19.848700000000001</v>
      </c>
      <c r="O472" s="307">
        <f t="shared" si="123"/>
        <v>78587.751858000003</v>
      </c>
      <c r="P472" s="560">
        <f>IF(G472=0,0,VLOOKUP(YEAR(G472),INPC!$B$4:$P$30,MONTH(G472)+2))</f>
        <v>112.419</v>
      </c>
      <c r="Q472" s="560">
        <f>IF(X472=0,0,IF(OR(E472=$AT$10,E472=$AT$9),VLOOKUP(YEAR(X472),INPC!$B$4:$P$30,MONTH(X472)+1),VLOOKUP(YEAR(X472),INPC!$B$4:$P$30,MONTH(X472)+2,0)))</f>
        <v>117.30800000000001</v>
      </c>
      <c r="R472" s="309">
        <f t="shared" si="124"/>
        <v>1.0434000000000001</v>
      </c>
      <c r="S472" s="310">
        <f t="shared" si="125"/>
        <v>81998.460288637216</v>
      </c>
      <c r="T472" s="555">
        <f t="shared" si="126"/>
        <v>3727.2027403926008</v>
      </c>
      <c r="U472" s="311"/>
      <c r="V472" s="312">
        <v>22</v>
      </c>
      <c r="W472" s="299" t="s">
        <v>194</v>
      </c>
      <c r="X472" s="300">
        <v>44573</v>
      </c>
      <c r="Y472" s="299" t="s">
        <v>59</v>
      </c>
      <c r="Z472" s="303">
        <v>3687.0524390243904</v>
      </c>
      <c r="AA472" s="305">
        <f>IF(Z472=0,0,IF(Y472="MXN",1/HLOOKUP(YEAR(X472)+(MONTH(X472)/100),TC!$5:$37,DAY(X472)+2,FALSE),VLOOKUP(Y472,Equivalencia!$1:$23,((MAX(Equivalencia!$3:$3)-YEAR(X472))*14)+MONTH(X472)+2,FALSE)))</f>
        <v>1</v>
      </c>
      <c r="AB472" s="306">
        <f t="shared" si="127"/>
        <v>3687.0524390243904</v>
      </c>
      <c r="AC472" s="305">
        <f>+IF(X472=0,0,HLOOKUP(YEAR(X472)+(MONTH(X472)/100),TC!$5:$37,DAY(X472)+2,FALSE))</f>
        <v>20.4453</v>
      </c>
      <c r="AD472" s="307">
        <f t="shared" si="128"/>
        <v>75382.893231585374</v>
      </c>
      <c r="AE472" s="314">
        <f t="shared" si="129"/>
        <v>81998.460288637216</v>
      </c>
      <c r="AF472" s="315">
        <f t="shared" si="130"/>
        <v>-6615.5670570518414</v>
      </c>
      <c r="AG472" s="316">
        <f t="shared" si="131"/>
        <v>0.65479452054794518</v>
      </c>
      <c r="AH472" s="314">
        <v>1</v>
      </c>
      <c r="AI472" s="314">
        <f t="shared" si="132"/>
        <v>-6615.5670570518414</v>
      </c>
      <c r="AJ472" s="314">
        <f t="shared" si="133"/>
        <v>0</v>
      </c>
      <c r="AK472" s="317"/>
      <c r="AL472" s="315">
        <f t="shared" si="134"/>
        <v>-272.28756097560972</v>
      </c>
      <c r="AN472" s="554">
        <f t="shared" si="135"/>
        <v>-6.8770946919337494E-2</v>
      </c>
      <c r="AO472" s="314"/>
      <c r="AP472" s="318"/>
    </row>
    <row r="473" spans="2:42">
      <c r="B473" s="296" t="s">
        <v>1254</v>
      </c>
      <c r="C473" s="299" t="s">
        <v>277</v>
      </c>
      <c r="D473" s="298" t="s">
        <v>717</v>
      </c>
      <c r="E473" s="299" t="s">
        <v>113</v>
      </c>
      <c r="F473" s="299" t="s">
        <v>59</v>
      </c>
      <c r="G473" s="300">
        <v>44141</v>
      </c>
      <c r="H473" s="303">
        <v>1718.5662499999999</v>
      </c>
      <c r="I473" s="301" t="str">
        <f t="shared" si="119"/>
        <v>Ingresos Sección II LISR (SIC &amp; BMV)</v>
      </c>
      <c r="J473" s="302">
        <f t="shared" si="120"/>
        <v>3</v>
      </c>
      <c r="K473" s="304">
        <f t="shared" si="121"/>
        <v>572.85541666666666</v>
      </c>
      <c r="L473" s="305">
        <f>IF(H473=0,0,IF(OR(E473=$AT$5,E473=$AT$6),AA473,IF(F473="MXN",1/HLOOKUP(YEAR(G473)+(MONTH(G473)/100),TC!$5:$37,DAY(G473)+2,FALSE),VLOOKUP(F473,Equivalencia!$5:$23,((MAX(Equivalencia!$3:$3)-YEAR(G473))*14)+MONTH(G473)+2,FALSE))))</f>
        <v>1</v>
      </c>
      <c r="M473" s="306">
        <f t="shared" si="122"/>
        <v>1718.5662499999999</v>
      </c>
      <c r="N473" s="305">
        <f>IF(G473=0,0,(IF(OR(E473=$AT$5,E473=$AT$6),AC473,HLOOKUP(YEAR(G473)+(MONTH(G473)/100),TC!$5:$37,DAY(G473)+2,FALSE))))</f>
        <v>21.034500000000001</v>
      </c>
      <c r="O473" s="307">
        <f t="shared" si="123"/>
        <v>36149.181785624998</v>
      </c>
      <c r="P473" s="560">
        <f>IF(G473=0,0,VLOOKUP(YEAR(G473),INPC!$B$4:$P$30,MONTH(G473)+2))</f>
        <v>108.85599999999999</v>
      </c>
      <c r="Q473" s="560">
        <f>IF(X473=0,0,IF(OR(E473=$AT$10,E473=$AT$9),VLOOKUP(YEAR(X473),INPC!$B$4:$P$30,MONTH(X473)+1),VLOOKUP(YEAR(X473),INPC!$B$4:$P$30,MONTH(X473)+2,0)))</f>
        <v>120.15900000000001</v>
      </c>
      <c r="R473" s="309">
        <f t="shared" si="124"/>
        <v>1.1037999999999999</v>
      </c>
      <c r="S473" s="310">
        <f t="shared" si="125"/>
        <v>39901.466854972867</v>
      </c>
      <c r="T473" s="555">
        <f t="shared" si="126"/>
        <v>13300.488951657622</v>
      </c>
      <c r="U473" s="311"/>
      <c r="V473" s="312">
        <v>3</v>
      </c>
      <c r="W473" s="299" t="s">
        <v>194</v>
      </c>
      <c r="X473" s="300">
        <v>44664</v>
      </c>
      <c r="Y473" s="299" t="s">
        <v>59</v>
      </c>
      <c r="Z473" s="303">
        <v>816.46</v>
      </c>
      <c r="AA473" s="305">
        <f>IF(Z473=0,0,IF(Y473="MXN",1/HLOOKUP(YEAR(X473)+(MONTH(X473)/100),TC!$5:$37,DAY(X473)+2,FALSE),VLOOKUP(Y473,Equivalencia!$1:$23,((MAX(Equivalencia!$3:$3)-YEAR(X473))*14)+MONTH(X473)+2,FALSE)))</f>
        <v>1</v>
      </c>
      <c r="AB473" s="306">
        <f t="shared" si="127"/>
        <v>816.46</v>
      </c>
      <c r="AC473" s="305">
        <f>+IF(X473=0,0,HLOOKUP(YEAR(X473)+(MONTH(X473)/100),TC!$5:$37,DAY(X473)+2,FALSE))</f>
        <v>20.0093</v>
      </c>
      <c r="AD473" s="307">
        <f t="shared" si="128"/>
        <v>16336.793078000001</v>
      </c>
      <c r="AE473" s="314">
        <f t="shared" si="129"/>
        <v>39901.466854972867</v>
      </c>
      <c r="AF473" s="315">
        <f t="shared" si="130"/>
        <v>-23564.673776972864</v>
      </c>
      <c r="AG473" s="316">
        <f t="shared" si="131"/>
        <v>1.4328767123287671</v>
      </c>
      <c r="AH473" s="314">
        <v>1</v>
      </c>
      <c r="AI473" s="314">
        <f t="shared" si="132"/>
        <v>-23564.673776972864</v>
      </c>
      <c r="AJ473" s="314">
        <f t="shared" si="133"/>
        <v>0</v>
      </c>
      <c r="AK473" s="317"/>
      <c r="AL473" s="315">
        <f t="shared" si="134"/>
        <v>-902.10624999999982</v>
      </c>
      <c r="AN473" s="554">
        <f t="shared" si="135"/>
        <v>-0.52491793668123055</v>
      </c>
      <c r="AO473" s="314"/>
      <c r="AP473" s="318"/>
    </row>
    <row r="474" spans="2:42">
      <c r="B474" s="296" t="s">
        <v>1254</v>
      </c>
      <c r="C474" s="299" t="s">
        <v>277</v>
      </c>
      <c r="D474" s="298" t="s">
        <v>717</v>
      </c>
      <c r="E474" s="299" t="s">
        <v>113</v>
      </c>
      <c r="F474" s="299" t="s">
        <v>59</v>
      </c>
      <c r="G474" s="300">
        <v>44141</v>
      </c>
      <c r="H474" s="303">
        <v>6874.2649999999994</v>
      </c>
      <c r="I474" s="301" t="str">
        <f t="shared" si="119"/>
        <v>Ingresos Sección II LISR (SIC &amp; BMV)</v>
      </c>
      <c r="J474" s="302">
        <f t="shared" si="120"/>
        <v>12</v>
      </c>
      <c r="K474" s="304">
        <f t="shared" si="121"/>
        <v>572.85541666666666</v>
      </c>
      <c r="L474" s="305">
        <f>IF(H474=0,0,IF(OR(E474=$AT$5,E474=$AT$6),AA474,IF(F474="MXN",1/HLOOKUP(YEAR(G474)+(MONTH(G474)/100),TC!$5:$37,DAY(G474)+2,FALSE),VLOOKUP(F474,Equivalencia!$5:$23,((MAX(Equivalencia!$3:$3)-YEAR(G474))*14)+MONTH(G474)+2,FALSE))))</f>
        <v>1</v>
      </c>
      <c r="M474" s="306">
        <f t="shared" si="122"/>
        <v>6874.2649999999994</v>
      </c>
      <c r="N474" s="305">
        <f>IF(G474=0,0,(IF(OR(E474=$AT$5,E474=$AT$6),AC474,HLOOKUP(YEAR(G474)+(MONTH(G474)/100),TC!$5:$37,DAY(G474)+2,FALSE))))</f>
        <v>21.034500000000001</v>
      </c>
      <c r="O474" s="307">
        <f t="shared" si="123"/>
        <v>144596.72714249999</v>
      </c>
      <c r="P474" s="560">
        <f>IF(G474=0,0,VLOOKUP(YEAR(G474),INPC!$B$4:$P$30,MONTH(G474)+2))</f>
        <v>108.85599999999999</v>
      </c>
      <c r="Q474" s="560">
        <f>IF(X474=0,0,IF(OR(E474=$AT$10,E474=$AT$9),VLOOKUP(YEAR(X474),INPC!$B$4:$P$30,MONTH(X474)+1),VLOOKUP(YEAR(X474),INPC!$B$4:$P$30,MONTH(X474)+2,0)))</f>
        <v>120.15900000000001</v>
      </c>
      <c r="R474" s="309">
        <f t="shared" si="124"/>
        <v>1.1037999999999999</v>
      </c>
      <c r="S474" s="310">
        <f t="shared" si="125"/>
        <v>159605.86741989147</v>
      </c>
      <c r="T474" s="555">
        <f t="shared" si="126"/>
        <v>13300.488951657622</v>
      </c>
      <c r="U474" s="311"/>
      <c r="V474" s="312">
        <v>12</v>
      </c>
      <c r="W474" s="299" t="s">
        <v>194</v>
      </c>
      <c r="X474" s="300">
        <v>44664</v>
      </c>
      <c r="Y474" s="299" t="s">
        <v>59</v>
      </c>
      <c r="Z474" s="303">
        <v>3263.0181818181813</v>
      </c>
      <c r="AA474" s="305">
        <f>IF(Z474=0,0,IF(Y474="MXN",1/HLOOKUP(YEAR(X474)+(MONTH(X474)/100),TC!$5:$37,DAY(X474)+2,FALSE),VLOOKUP(Y474,Equivalencia!$1:$23,((MAX(Equivalencia!$3:$3)-YEAR(X474))*14)+MONTH(X474)+2,FALSE)))</f>
        <v>1</v>
      </c>
      <c r="AB474" s="306">
        <f t="shared" si="127"/>
        <v>3263.0181818181813</v>
      </c>
      <c r="AC474" s="305">
        <f>+IF(X474=0,0,HLOOKUP(YEAR(X474)+(MONTH(X474)/100),TC!$5:$37,DAY(X474)+2,FALSE))</f>
        <v>20.0093</v>
      </c>
      <c r="AD474" s="307">
        <f t="shared" si="128"/>
        <v>65290.709705454537</v>
      </c>
      <c r="AE474" s="314">
        <f t="shared" si="129"/>
        <v>159605.86741989147</v>
      </c>
      <c r="AF474" s="315">
        <f t="shared" si="130"/>
        <v>-94315.157714436937</v>
      </c>
      <c r="AG474" s="316">
        <f t="shared" si="131"/>
        <v>1.4328767123287671</v>
      </c>
      <c r="AH474" s="314">
        <v>1</v>
      </c>
      <c r="AI474" s="314">
        <f t="shared" si="132"/>
        <v>-94315.157714436937</v>
      </c>
      <c r="AJ474" s="314">
        <f t="shared" si="133"/>
        <v>0</v>
      </c>
      <c r="AK474" s="317"/>
      <c r="AL474" s="315">
        <f t="shared" si="134"/>
        <v>-3611.2468181818181</v>
      </c>
      <c r="AN474" s="554">
        <f t="shared" si="135"/>
        <v>-0.52532842684735293</v>
      </c>
      <c r="AO474" s="314"/>
      <c r="AP474" s="318"/>
    </row>
    <row r="475" spans="2:42">
      <c r="B475" s="296" t="s">
        <v>1254</v>
      </c>
      <c r="C475" s="299" t="s">
        <v>277</v>
      </c>
      <c r="D475" s="298" t="s">
        <v>717</v>
      </c>
      <c r="E475" s="299" t="s">
        <v>113</v>
      </c>
      <c r="F475" s="299" t="s">
        <v>59</v>
      </c>
      <c r="G475" s="300">
        <v>44169</v>
      </c>
      <c r="H475" s="303">
        <v>11951.607499999998</v>
      </c>
      <c r="I475" s="301" t="str">
        <f t="shared" si="119"/>
        <v>Ingresos Sección II LISR (SIC &amp; BMV)</v>
      </c>
      <c r="J475" s="302">
        <f t="shared" si="120"/>
        <v>21</v>
      </c>
      <c r="K475" s="304">
        <f t="shared" si="121"/>
        <v>569.12416666666661</v>
      </c>
      <c r="L475" s="305">
        <f>IF(H475=0,0,IF(OR(E475=$AT$5,E475=$AT$6),AA475,IF(F475="MXN",1/HLOOKUP(YEAR(G475)+(MONTH(G475)/100),TC!$5:$37,DAY(G475)+2,FALSE),VLOOKUP(F475,Equivalencia!$5:$23,((MAX(Equivalencia!$3:$3)-YEAR(G475))*14)+MONTH(G475)+2,FALSE))))</f>
        <v>1</v>
      </c>
      <c r="M475" s="306">
        <f t="shared" si="122"/>
        <v>11951.607499999998</v>
      </c>
      <c r="N475" s="305">
        <f>IF(G475=0,0,(IF(OR(E475=$AT$5,E475=$AT$6),AC475,HLOOKUP(YEAR(G475)+(MONTH(G475)/100),TC!$5:$37,DAY(G475)+2,FALSE))))</f>
        <v>20.049700000000001</v>
      </c>
      <c r="O475" s="307">
        <f t="shared" si="123"/>
        <v>239626.14489274999</v>
      </c>
      <c r="P475" s="560">
        <f>IF(G475=0,0,VLOOKUP(YEAR(G475),INPC!$B$4:$P$30,MONTH(G475)+2))</f>
        <v>109.271</v>
      </c>
      <c r="Q475" s="560">
        <f>IF(X475=0,0,IF(OR(E475=$AT$10,E475=$AT$9),VLOOKUP(YEAR(X475),INPC!$B$4:$P$30,MONTH(X475)+1),VLOOKUP(YEAR(X475),INPC!$B$4:$P$30,MONTH(X475)+2,0)))</f>
        <v>120.15900000000001</v>
      </c>
      <c r="R475" s="309">
        <f t="shared" si="124"/>
        <v>1.0995999999999999</v>
      </c>
      <c r="S475" s="310">
        <f t="shared" si="125"/>
        <v>263492.90892406786</v>
      </c>
      <c r="T475" s="555">
        <f t="shared" si="126"/>
        <v>12547.281377336565</v>
      </c>
      <c r="U475" s="311"/>
      <c r="V475" s="312">
        <v>21</v>
      </c>
      <c r="W475" s="299" t="s">
        <v>194</v>
      </c>
      <c r="X475" s="300">
        <v>44664</v>
      </c>
      <c r="Y475" s="299" t="s">
        <v>59</v>
      </c>
      <c r="Z475" s="303">
        <v>5710.2818181818175</v>
      </c>
      <c r="AA475" s="305">
        <f>IF(Z475=0,0,IF(Y475="MXN",1/HLOOKUP(YEAR(X475)+(MONTH(X475)/100),TC!$5:$37,DAY(X475)+2,FALSE),VLOOKUP(Y475,Equivalencia!$1:$23,((MAX(Equivalencia!$3:$3)-YEAR(X475))*14)+MONTH(X475)+2,FALSE)))</f>
        <v>1</v>
      </c>
      <c r="AB475" s="306">
        <f t="shared" si="127"/>
        <v>5710.2818181818175</v>
      </c>
      <c r="AC475" s="305">
        <f>+IF(X475=0,0,HLOOKUP(YEAR(X475)+(MONTH(X475)/100),TC!$5:$37,DAY(X475)+2,FALSE))</f>
        <v>20.0093</v>
      </c>
      <c r="AD475" s="307">
        <f t="shared" si="128"/>
        <v>114258.74198454544</v>
      </c>
      <c r="AE475" s="314">
        <f t="shared" si="129"/>
        <v>263492.90892406786</v>
      </c>
      <c r="AF475" s="315">
        <f t="shared" si="130"/>
        <v>-149234.16693952243</v>
      </c>
      <c r="AG475" s="316">
        <f t="shared" si="131"/>
        <v>1.3561643835616439</v>
      </c>
      <c r="AH475" s="314">
        <v>1</v>
      </c>
      <c r="AI475" s="314">
        <f t="shared" si="132"/>
        <v>-149234.16693952243</v>
      </c>
      <c r="AJ475" s="314">
        <f t="shared" si="133"/>
        <v>0</v>
      </c>
      <c r="AK475" s="317"/>
      <c r="AL475" s="315">
        <f t="shared" si="134"/>
        <v>-6241.3256818181808</v>
      </c>
      <c r="AN475" s="554">
        <f t="shared" si="135"/>
        <v>-0.52221641999356005</v>
      </c>
      <c r="AO475" s="314"/>
      <c r="AP475" s="318"/>
    </row>
    <row r="476" spans="2:42">
      <c r="B476" s="296" t="s">
        <v>1254</v>
      </c>
      <c r="C476" s="299" t="s">
        <v>277</v>
      </c>
      <c r="D476" s="298" t="s">
        <v>717</v>
      </c>
      <c r="E476" s="299" t="s">
        <v>113</v>
      </c>
      <c r="F476" s="299" t="s">
        <v>59</v>
      </c>
      <c r="G476" s="300">
        <v>44169</v>
      </c>
      <c r="H476" s="303">
        <v>1707.3724999999999</v>
      </c>
      <c r="I476" s="301" t="str">
        <f t="shared" si="119"/>
        <v>Ingresos Sección II LISR (SIC &amp; BMV)</v>
      </c>
      <c r="J476" s="302">
        <f t="shared" si="120"/>
        <v>3</v>
      </c>
      <c r="K476" s="304">
        <f t="shared" si="121"/>
        <v>569.12416666666661</v>
      </c>
      <c r="L476" s="305">
        <f>IF(H476=0,0,IF(OR(E476=$AT$5,E476=$AT$6),AA476,IF(F476="MXN",1/HLOOKUP(YEAR(G476)+(MONTH(G476)/100),TC!$5:$37,DAY(G476)+2,FALSE),VLOOKUP(F476,Equivalencia!$5:$23,((MAX(Equivalencia!$3:$3)-YEAR(G476))*14)+MONTH(G476)+2,FALSE))))</f>
        <v>1</v>
      </c>
      <c r="M476" s="306">
        <f t="shared" si="122"/>
        <v>1707.3724999999999</v>
      </c>
      <c r="N476" s="305">
        <f>IF(G476=0,0,(IF(OR(E476=$AT$5,E476=$AT$6),AC476,HLOOKUP(YEAR(G476)+(MONTH(G476)/100),TC!$5:$37,DAY(G476)+2,FALSE))))</f>
        <v>20.049700000000001</v>
      </c>
      <c r="O476" s="307">
        <f t="shared" si="123"/>
        <v>34232.30641325</v>
      </c>
      <c r="P476" s="560">
        <f>IF(G476=0,0,VLOOKUP(YEAR(G476),INPC!$B$4:$P$30,MONTH(G476)+2))</f>
        <v>109.271</v>
      </c>
      <c r="Q476" s="560">
        <f>IF(X476=0,0,IF(OR(E476=$AT$10,E476=$AT$9),VLOOKUP(YEAR(X476),INPC!$B$4:$P$30,MONTH(X476)+1),VLOOKUP(YEAR(X476),INPC!$B$4:$P$30,MONTH(X476)+2,0)))</f>
        <v>120.15900000000001</v>
      </c>
      <c r="R476" s="309">
        <f t="shared" si="124"/>
        <v>1.0995999999999999</v>
      </c>
      <c r="S476" s="310">
        <f t="shared" si="125"/>
        <v>37641.844132009697</v>
      </c>
      <c r="T476" s="555">
        <f t="shared" si="126"/>
        <v>12547.281377336565</v>
      </c>
      <c r="U476" s="311"/>
      <c r="V476" s="312">
        <v>3</v>
      </c>
      <c r="W476" s="299" t="s">
        <v>194</v>
      </c>
      <c r="X476" s="300">
        <v>44665</v>
      </c>
      <c r="Y476" s="299" t="s">
        <v>59</v>
      </c>
      <c r="Z476" s="303">
        <v>815.97</v>
      </c>
      <c r="AA476" s="305">
        <f>IF(Z476=0,0,IF(Y476="MXN",1/HLOOKUP(YEAR(X476)+(MONTH(X476)/100),TC!$5:$37,DAY(X476)+2,FALSE),VLOOKUP(Y476,Equivalencia!$1:$23,((MAX(Equivalencia!$3:$3)-YEAR(X476))*14)+MONTH(X476)+2,FALSE)))</f>
        <v>1</v>
      </c>
      <c r="AB476" s="306">
        <f t="shared" si="127"/>
        <v>815.97</v>
      </c>
      <c r="AC476" s="305">
        <f>+IF(X476=0,0,HLOOKUP(YEAR(X476)+(MONTH(X476)/100),TC!$5:$37,DAY(X476)+2,FALSE))</f>
        <v>19.840699999999998</v>
      </c>
      <c r="AD476" s="307">
        <f t="shared" si="128"/>
        <v>16189.415978999999</v>
      </c>
      <c r="AE476" s="314">
        <f t="shared" si="129"/>
        <v>37641.844132009697</v>
      </c>
      <c r="AF476" s="315">
        <f t="shared" si="130"/>
        <v>-21452.4281530097</v>
      </c>
      <c r="AG476" s="316">
        <f t="shared" si="131"/>
        <v>1.3589041095890411</v>
      </c>
      <c r="AH476" s="314">
        <v>1</v>
      </c>
      <c r="AI476" s="314">
        <f t="shared" si="132"/>
        <v>-21452.4281530097</v>
      </c>
      <c r="AJ476" s="314">
        <f t="shared" si="133"/>
        <v>0</v>
      </c>
      <c r="AK476" s="317"/>
      <c r="AL476" s="315">
        <f t="shared" si="134"/>
        <v>-891.40249999999992</v>
      </c>
      <c r="AN476" s="554">
        <f t="shared" si="135"/>
        <v>-0.52209022928505644</v>
      </c>
      <c r="AO476" s="314"/>
      <c r="AP476" s="318"/>
    </row>
    <row r="477" spans="2:42">
      <c r="B477" s="296" t="s">
        <v>1254</v>
      </c>
      <c r="C477" s="299" t="s">
        <v>277</v>
      </c>
      <c r="D477" s="298" t="s">
        <v>717</v>
      </c>
      <c r="E477" s="299" t="s">
        <v>113</v>
      </c>
      <c r="F477" s="299" t="s">
        <v>59</v>
      </c>
      <c r="G477" s="300">
        <v>44334</v>
      </c>
      <c r="H477" s="303">
        <v>2728.89</v>
      </c>
      <c r="I477" s="301" t="str">
        <f t="shared" si="119"/>
        <v>Ingresos Sección II LISR (SIC &amp; BMV)</v>
      </c>
      <c r="J477" s="302">
        <f t="shared" si="120"/>
        <v>6</v>
      </c>
      <c r="K477" s="304">
        <f t="shared" si="121"/>
        <v>454.815</v>
      </c>
      <c r="L477" s="305">
        <f>IF(H477=0,0,IF(OR(E477=$AT$5,E477=$AT$6),AA477,IF(F477="MXN",1/HLOOKUP(YEAR(G477)+(MONTH(G477)/100),TC!$5:$37,DAY(G477)+2,FALSE),VLOOKUP(F477,Equivalencia!$5:$23,((MAX(Equivalencia!$3:$3)-YEAR(G477))*14)+MONTH(G477)+2,FALSE))))</f>
        <v>1</v>
      </c>
      <c r="M477" s="306">
        <f t="shared" si="122"/>
        <v>2728.89</v>
      </c>
      <c r="N477" s="305">
        <f>IF(G477=0,0,(IF(OR(E477=$AT$5,E477=$AT$6),AC477,HLOOKUP(YEAR(G477)+(MONTH(G477)/100),TC!$5:$37,DAY(G477)+2,FALSE))))</f>
        <v>19.848700000000001</v>
      </c>
      <c r="O477" s="307">
        <f t="shared" si="123"/>
        <v>54164.918942999997</v>
      </c>
      <c r="P477" s="560">
        <f>IF(G477=0,0,VLOOKUP(YEAR(G477),INPC!$B$4:$P$30,MONTH(G477)+2))</f>
        <v>112.419</v>
      </c>
      <c r="Q477" s="560">
        <f>IF(X477=0,0,IF(OR(E477=$AT$10,E477=$AT$9),VLOOKUP(YEAR(X477),INPC!$B$4:$P$30,MONTH(X477)+1),VLOOKUP(YEAR(X477),INPC!$B$4:$P$30,MONTH(X477)+2,0)))</f>
        <v>120.15900000000001</v>
      </c>
      <c r="R477" s="309">
        <f t="shared" si="124"/>
        <v>1.0688</v>
      </c>
      <c r="S477" s="310">
        <f t="shared" si="125"/>
        <v>57891.465366278397</v>
      </c>
      <c r="T477" s="555">
        <f t="shared" si="126"/>
        <v>9648.5775610463988</v>
      </c>
      <c r="U477" s="311"/>
      <c r="V477" s="312">
        <v>6</v>
      </c>
      <c r="W477" s="299" t="s">
        <v>194</v>
      </c>
      <c r="X477" s="300">
        <v>44665</v>
      </c>
      <c r="Y477" s="299" t="s">
        <v>59</v>
      </c>
      <c r="Z477" s="303">
        <v>1631.94</v>
      </c>
      <c r="AA477" s="305">
        <f>IF(Z477=0,0,IF(Y477="MXN",1/HLOOKUP(YEAR(X477)+(MONTH(X477)/100),TC!$5:$37,DAY(X477)+2,FALSE),VLOOKUP(Y477,Equivalencia!$1:$23,((MAX(Equivalencia!$3:$3)-YEAR(X477))*14)+MONTH(X477)+2,FALSE)))</f>
        <v>1</v>
      </c>
      <c r="AB477" s="306">
        <f t="shared" si="127"/>
        <v>1631.94</v>
      </c>
      <c r="AC477" s="305">
        <f>+IF(X477=0,0,HLOOKUP(YEAR(X477)+(MONTH(X477)/100),TC!$5:$37,DAY(X477)+2,FALSE))</f>
        <v>19.840699999999998</v>
      </c>
      <c r="AD477" s="307">
        <f t="shared" si="128"/>
        <v>32378.831957999999</v>
      </c>
      <c r="AE477" s="314">
        <f t="shared" si="129"/>
        <v>57891.465366278397</v>
      </c>
      <c r="AF477" s="315">
        <f t="shared" si="130"/>
        <v>-25512.633408278398</v>
      </c>
      <c r="AG477" s="316">
        <f t="shared" si="131"/>
        <v>0.9068493150684932</v>
      </c>
      <c r="AH477" s="314">
        <v>1</v>
      </c>
      <c r="AI477" s="314">
        <f t="shared" si="132"/>
        <v>-25512.633408278398</v>
      </c>
      <c r="AJ477" s="314">
        <f t="shared" si="133"/>
        <v>0</v>
      </c>
      <c r="AK477" s="317"/>
      <c r="AL477" s="315">
        <f t="shared" si="134"/>
        <v>-1096.9499999999998</v>
      </c>
      <c r="AN477" s="554">
        <f t="shared" si="135"/>
        <v>-0.40197662785967914</v>
      </c>
      <c r="AO477" s="314"/>
      <c r="AP477" s="318"/>
    </row>
    <row r="478" spans="2:42">
      <c r="B478" s="296" t="s">
        <v>1254</v>
      </c>
      <c r="C478" s="299" t="s">
        <v>277</v>
      </c>
      <c r="D478" s="298" t="s">
        <v>717</v>
      </c>
      <c r="E478" s="299" t="s">
        <v>113</v>
      </c>
      <c r="F478" s="299" t="s">
        <v>59</v>
      </c>
      <c r="G478" s="300">
        <v>44343</v>
      </c>
      <c r="H478" s="303">
        <v>2785.8818181818183</v>
      </c>
      <c r="I478" s="301" t="str">
        <f t="shared" si="119"/>
        <v>Ingresos Sección II LISR (SIC &amp; BMV)</v>
      </c>
      <c r="J478" s="302">
        <f t="shared" si="120"/>
        <v>6</v>
      </c>
      <c r="K478" s="304">
        <f t="shared" si="121"/>
        <v>464.31363636363636</v>
      </c>
      <c r="L478" s="305">
        <f>IF(H478=0,0,IF(OR(E478=$AT$5,E478=$AT$6),AA478,IF(F478="MXN",1/HLOOKUP(YEAR(G478)+(MONTH(G478)/100),TC!$5:$37,DAY(G478)+2,FALSE),VLOOKUP(F478,Equivalencia!$5:$23,((MAX(Equivalencia!$3:$3)-YEAR(G478))*14)+MONTH(G478)+2,FALSE))))</f>
        <v>1</v>
      </c>
      <c r="M478" s="306">
        <f t="shared" si="122"/>
        <v>2785.8818181818183</v>
      </c>
      <c r="N478" s="305">
        <f>IF(G478=0,0,(IF(OR(E478=$AT$5,E478=$AT$6),AC478,HLOOKUP(YEAR(G478)+(MONTH(G478)/100),TC!$5:$37,DAY(G478)+2,FALSE))))</f>
        <v>19.8903</v>
      </c>
      <c r="O478" s="307">
        <f t="shared" si="123"/>
        <v>55412.02512818182</v>
      </c>
      <c r="P478" s="560">
        <f>IF(G478=0,0,VLOOKUP(YEAR(G478),INPC!$B$4:$P$30,MONTH(G478)+2))</f>
        <v>112.419</v>
      </c>
      <c r="Q478" s="560">
        <f>IF(X478=0,0,IF(OR(E478=$AT$10,E478=$AT$9),VLOOKUP(YEAR(X478),INPC!$B$4:$P$30,MONTH(X478)+1),VLOOKUP(YEAR(X478),INPC!$B$4:$P$30,MONTH(X478)+2,0)))</f>
        <v>120.15900000000001</v>
      </c>
      <c r="R478" s="309">
        <f t="shared" si="124"/>
        <v>1.0688</v>
      </c>
      <c r="S478" s="310">
        <f t="shared" si="125"/>
        <v>59224.372457000725</v>
      </c>
      <c r="T478" s="555">
        <f t="shared" si="126"/>
        <v>9870.7287428334548</v>
      </c>
      <c r="U478" s="311"/>
      <c r="V478" s="312">
        <v>6</v>
      </c>
      <c r="W478" s="299" t="s">
        <v>194</v>
      </c>
      <c r="X478" s="300">
        <v>44665</v>
      </c>
      <c r="Y478" s="299" t="s">
        <v>59</v>
      </c>
      <c r="Z478" s="303">
        <v>1631.94</v>
      </c>
      <c r="AA478" s="305">
        <f>IF(Z478=0,0,IF(Y478="MXN",1/HLOOKUP(YEAR(X478)+(MONTH(X478)/100),TC!$5:$37,DAY(X478)+2,FALSE),VLOOKUP(Y478,Equivalencia!$1:$23,((MAX(Equivalencia!$3:$3)-YEAR(X478))*14)+MONTH(X478)+2,FALSE)))</f>
        <v>1</v>
      </c>
      <c r="AB478" s="306">
        <f t="shared" si="127"/>
        <v>1631.94</v>
      </c>
      <c r="AC478" s="305">
        <f>+IF(X478=0,0,HLOOKUP(YEAR(X478)+(MONTH(X478)/100),TC!$5:$37,DAY(X478)+2,FALSE))</f>
        <v>19.840699999999998</v>
      </c>
      <c r="AD478" s="307">
        <f t="shared" si="128"/>
        <v>32378.831957999999</v>
      </c>
      <c r="AE478" s="314">
        <f t="shared" si="129"/>
        <v>59224.372457000733</v>
      </c>
      <c r="AF478" s="315">
        <f t="shared" si="130"/>
        <v>-26845.540499000734</v>
      </c>
      <c r="AG478" s="316">
        <f t="shared" si="131"/>
        <v>0.88219178082191785</v>
      </c>
      <c r="AH478" s="314">
        <v>1</v>
      </c>
      <c r="AI478" s="314">
        <f t="shared" si="132"/>
        <v>-26845.540499000734</v>
      </c>
      <c r="AJ478" s="314">
        <f t="shared" si="133"/>
        <v>0</v>
      </c>
      <c r="AK478" s="317"/>
      <c r="AL478" s="315">
        <f t="shared" si="134"/>
        <v>-1153.9418181818182</v>
      </c>
      <c r="AN478" s="554">
        <f t="shared" si="135"/>
        <v>-0.41421061390713565</v>
      </c>
      <c r="AO478" s="314"/>
      <c r="AP478" s="318"/>
    </row>
    <row r="479" spans="2:42">
      <c r="B479" s="296" t="s">
        <v>1254</v>
      </c>
      <c r="C479" s="299" t="s">
        <v>277</v>
      </c>
      <c r="D479" s="298" t="s">
        <v>717</v>
      </c>
      <c r="E479" s="299" t="s">
        <v>113</v>
      </c>
      <c r="F479" s="299" t="s">
        <v>59</v>
      </c>
      <c r="G479" s="300">
        <v>44343</v>
      </c>
      <c r="H479" s="303">
        <v>2321.568181818182</v>
      </c>
      <c r="I479" s="301" t="str">
        <f t="shared" si="119"/>
        <v>Ingresos Sección II LISR (SIC &amp; BMV)</v>
      </c>
      <c r="J479" s="302">
        <f t="shared" si="120"/>
        <v>5</v>
      </c>
      <c r="K479" s="304">
        <f t="shared" si="121"/>
        <v>464.31363636363642</v>
      </c>
      <c r="L479" s="305">
        <f>IF(H479=0,0,IF(OR(E479=$AT$5,E479=$AT$6),AA479,IF(F479="MXN",1/HLOOKUP(YEAR(G479)+(MONTH(G479)/100),TC!$5:$37,DAY(G479)+2,FALSE),VLOOKUP(F479,Equivalencia!$5:$23,((MAX(Equivalencia!$3:$3)-YEAR(G479))*14)+MONTH(G479)+2,FALSE))))</f>
        <v>1</v>
      </c>
      <c r="M479" s="306">
        <f t="shared" si="122"/>
        <v>2321.568181818182</v>
      </c>
      <c r="N479" s="305">
        <f>IF(G479=0,0,(IF(OR(E479=$AT$5,E479=$AT$6),AC479,HLOOKUP(YEAR(G479)+(MONTH(G479)/100),TC!$5:$37,DAY(G479)+2,FALSE))))</f>
        <v>19.8903</v>
      </c>
      <c r="O479" s="307">
        <f t="shared" si="123"/>
        <v>46176.687606818188</v>
      </c>
      <c r="P479" s="560">
        <f>IF(G479=0,0,VLOOKUP(YEAR(G479),INPC!$B$4:$P$30,MONTH(G479)+2))</f>
        <v>112.419</v>
      </c>
      <c r="Q479" s="560">
        <f>IF(X479=0,0,IF(OR(E479=$AT$10,E479=$AT$9),VLOOKUP(YEAR(X479),INPC!$B$4:$P$30,MONTH(X479)+1),VLOOKUP(YEAR(X479),INPC!$B$4:$P$30,MONTH(X479)+2,0)))</f>
        <v>120.15900000000001</v>
      </c>
      <c r="R479" s="309">
        <f t="shared" si="124"/>
        <v>1.0688</v>
      </c>
      <c r="S479" s="310">
        <f t="shared" si="125"/>
        <v>49353.64371416728</v>
      </c>
      <c r="T479" s="555">
        <f t="shared" si="126"/>
        <v>9870.7287428334566</v>
      </c>
      <c r="U479" s="311"/>
      <c r="V479" s="312">
        <v>5</v>
      </c>
      <c r="W479" s="299" t="s">
        <v>194</v>
      </c>
      <c r="X479" s="300">
        <v>44669</v>
      </c>
      <c r="Y479" s="299" t="s">
        <v>59</v>
      </c>
      <c r="Z479" s="303">
        <v>1294.9921875</v>
      </c>
      <c r="AA479" s="305">
        <f>IF(Z479=0,0,IF(Y479="MXN",1/HLOOKUP(YEAR(X479)+(MONTH(X479)/100),TC!$5:$37,DAY(X479)+2,FALSE),VLOOKUP(Y479,Equivalencia!$1:$23,((MAX(Equivalencia!$3:$3)-YEAR(X479))*14)+MONTH(X479)+2,FALSE)))</f>
        <v>1</v>
      </c>
      <c r="AB479" s="306">
        <f t="shared" si="127"/>
        <v>1294.9921875</v>
      </c>
      <c r="AC479" s="305">
        <f>+IF(X479=0,0,HLOOKUP(YEAR(X479)+(MONTH(X479)/100),TC!$5:$37,DAY(X479)+2,FALSE))</f>
        <v>19.840699999999998</v>
      </c>
      <c r="AD479" s="307">
        <f t="shared" si="128"/>
        <v>25693.551494531246</v>
      </c>
      <c r="AE479" s="314">
        <f t="shared" si="129"/>
        <v>49353.64371416728</v>
      </c>
      <c r="AF479" s="315">
        <f t="shared" si="130"/>
        <v>-23660.092219636033</v>
      </c>
      <c r="AG479" s="316">
        <f t="shared" si="131"/>
        <v>0.89315068493150684</v>
      </c>
      <c r="AH479" s="314">
        <v>1</v>
      </c>
      <c r="AI479" s="314">
        <f t="shared" si="132"/>
        <v>-23660.092219636033</v>
      </c>
      <c r="AJ479" s="314">
        <f t="shared" si="133"/>
        <v>0</v>
      </c>
      <c r="AK479" s="317"/>
      <c r="AL479" s="315">
        <f t="shared" si="134"/>
        <v>-1026.575994318182</v>
      </c>
      <c r="AN479" s="554">
        <f t="shared" si="135"/>
        <v>-0.44219075810825365</v>
      </c>
      <c r="AO479" s="314"/>
      <c r="AP479" s="318"/>
    </row>
    <row r="480" spans="2:42">
      <c r="B480" s="296" t="s">
        <v>1254</v>
      </c>
      <c r="C480" s="299" t="s">
        <v>277</v>
      </c>
      <c r="D480" s="298" t="s">
        <v>717</v>
      </c>
      <c r="E480" s="299" t="s">
        <v>113</v>
      </c>
      <c r="F480" s="299" t="s">
        <v>59</v>
      </c>
      <c r="G480" s="300">
        <v>44343</v>
      </c>
      <c r="H480" s="303">
        <v>5551.82</v>
      </c>
      <c r="I480" s="301" t="str">
        <f t="shared" si="119"/>
        <v>Ingresos Sección II LISR (SIC &amp; BMV)</v>
      </c>
      <c r="J480" s="302">
        <f t="shared" si="120"/>
        <v>12</v>
      </c>
      <c r="K480" s="304">
        <f t="shared" si="121"/>
        <v>462.65166666666664</v>
      </c>
      <c r="L480" s="305">
        <f>IF(H480=0,0,IF(OR(E480=$AT$5,E480=$AT$6),AA480,IF(F480="MXN",1/HLOOKUP(YEAR(G480)+(MONTH(G480)/100),TC!$5:$37,DAY(G480)+2,FALSE),VLOOKUP(F480,Equivalencia!$5:$23,((MAX(Equivalencia!$3:$3)-YEAR(G480))*14)+MONTH(G480)+2,FALSE))))</f>
        <v>1</v>
      </c>
      <c r="M480" s="306">
        <f t="shared" si="122"/>
        <v>5551.82</v>
      </c>
      <c r="N480" s="305">
        <f>IF(G480=0,0,(IF(OR(E480=$AT$5,E480=$AT$6),AC480,HLOOKUP(YEAR(G480)+(MONTH(G480)/100),TC!$5:$37,DAY(G480)+2,FALSE))))</f>
        <v>19.8903</v>
      </c>
      <c r="O480" s="307">
        <f t="shared" si="123"/>
        <v>110427.36534599999</v>
      </c>
      <c r="P480" s="560">
        <f>IF(G480=0,0,VLOOKUP(YEAR(G480),INPC!$B$4:$P$30,MONTH(G480)+2))</f>
        <v>112.419</v>
      </c>
      <c r="Q480" s="560">
        <f>IF(X480=0,0,IF(OR(E480=$AT$10,E480=$AT$9),VLOOKUP(YEAR(X480),INPC!$B$4:$P$30,MONTH(X480)+1),VLOOKUP(YEAR(X480),INPC!$B$4:$P$30,MONTH(X480)+2,0)))</f>
        <v>120.15900000000001</v>
      </c>
      <c r="R480" s="309">
        <f t="shared" si="124"/>
        <v>1.0688</v>
      </c>
      <c r="S480" s="310">
        <f t="shared" si="125"/>
        <v>118024.76808180478</v>
      </c>
      <c r="T480" s="555">
        <f t="shared" si="126"/>
        <v>9835.397340150399</v>
      </c>
      <c r="U480" s="311"/>
      <c r="V480" s="312">
        <v>12</v>
      </c>
      <c r="W480" s="299" t="s">
        <v>194</v>
      </c>
      <c r="X480" s="300">
        <v>44669</v>
      </c>
      <c r="Y480" s="299" t="s">
        <v>59</v>
      </c>
      <c r="Z480" s="303">
        <v>3107.9812500000003</v>
      </c>
      <c r="AA480" s="305">
        <f>IF(Z480=0,0,IF(Y480="MXN",1/HLOOKUP(YEAR(X480)+(MONTH(X480)/100),TC!$5:$37,DAY(X480)+2,FALSE),VLOOKUP(Y480,Equivalencia!$1:$23,((MAX(Equivalencia!$3:$3)-YEAR(X480))*14)+MONTH(X480)+2,FALSE)))</f>
        <v>1</v>
      </c>
      <c r="AB480" s="306">
        <f t="shared" si="127"/>
        <v>3107.9812500000003</v>
      </c>
      <c r="AC480" s="305">
        <f>+IF(X480=0,0,HLOOKUP(YEAR(X480)+(MONTH(X480)/100),TC!$5:$37,DAY(X480)+2,FALSE))</f>
        <v>19.840699999999998</v>
      </c>
      <c r="AD480" s="307">
        <f t="shared" si="128"/>
        <v>61664.523586875002</v>
      </c>
      <c r="AE480" s="314">
        <f t="shared" si="129"/>
        <v>118024.7680818048</v>
      </c>
      <c r="AF480" s="315">
        <f t="shared" si="130"/>
        <v>-56360.244494929793</v>
      </c>
      <c r="AG480" s="316">
        <f t="shared" si="131"/>
        <v>0.89315068493150684</v>
      </c>
      <c r="AH480" s="314">
        <v>1</v>
      </c>
      <c r="AI480" s="314">
        <f t="shared" si="132"/>
        <v>-56360.244494929793</v>
      </c>
      <c r="AJ480" s="314">
        <f t="shared" si="133"/>
        <v>0</v>
      </c>
      <c r="AK480" s="317"/>
      <c r="AL480" s="315">
        <f t="shared" si="134"/>
        <v>-2443.8387499999994</v>
      </c>
      <c r="AN480" s="554">
        <f t="shared" si="135"/>
        <v>-0.44018695670969155</v>
      </c>
      <c r="AO480" s="314"/>
      <c r="AP480" s="318"/>
    </row>
    <row r="481" spans="2:42">
      <c r="B481" s="296" t="s">
        <v>1254</v>
      </c>
      <c r="C481" s="299" t="s">
        <v>277</v>
      </c>
      <c r="D481" s="298" t="s">
        <v>717</v>
      </c>
      <c r="E481" s="299" t="s">
        <v>113</v>
      </c>
      <c r="F481" s="299" t="s">
        <v>59</v>
      </c>
      <c r="G481" s="300">
        <v>44348</v>
      </c>
      <c r="H481" s="303">
        <v>6522.74</v>
      </c>
      <c r="I481" s="301" t="str">
        <f t="shared" si="119"/>
        <v>Ingresos Sección II LISR (SIC &amp; BMV)</v>
      </c>
      <c r="J481" s="302">
        <f t="shared" si="120"/>
        <v>14</v>
      </c>
      <c r="K481" s="304">
        <f t="shared" si="121"/>
        <v>465.90999999999997</v>
      </c>
      <c r="L481" s="305">
        <f>IF(H481=0,0,IF(OR(E481=$AT$5,E481=$AT$6),AA481,IF(F481="MXN",1/HLOOKUP(YEAR(G481)+(MONTH(G481)/100),TC!$5:$37,DAY(G481)+2,FALSE),VLOOKUP(F481,Equivalencia!$5:$23,((MAX(Equivalencia!$3:$3)-YEAR(G481))*14)+MONTH(G481)+2,FALSE))))</f>
        <v>1</v>
      </c>
      <c r="M481" s="306">
        <f t="shared" si="122"/>
        <v>6522.74</v>
      </c>
      <c r="N481" s="305">
        <f>IF(G481=0,0,(IF(OR(E481=$AT$5,E481=$AT$6),AC481,HLOOKUP(YEAR(G481)+(MONTH(G481)/100),TC!$5:$37,DAY(G481)+2,FALSE))))</f>
        <v>19.944199999999999</v>
      </c>
      <c r="O481" s="307">
        <f t="shared" si="123"/>
        <v>130090.83110799998</v>
      </c>
      <c r="P481" s="560">
        <f>IF(G481=0,0,VLOOKUP(YEAR(G481),INPC!$B$4:$P$30,MONTH(G481)+2))</f>
        <v>113.018</v>
      </c>
      <c r="Q481" s="560">
        <f>IF(X481=0,0,IF(OR(E481=$AT$10,E481=$AT$9),VLOOKUP(YEAR(X481),INPC!$B$4:$P$30,MONTH(X481)+1),VLOOKUP(YEAR(X481),INPC!$B$4:$P$30,MONTH(X481)+2,0)))</f>
        <v>120.15900000000001</v>
      </c>
      <c r="R481" s="309">
        <f t="shared" si="124"/>
        <v>1.0630999999999999</v>
      </c>
      <c r="S481" s="310">
        <f t="shared" si="125"/>
        <v>138299.56255091476</v>
      </c>
      <c r="T481" s="555">
        <f t="shared" si="126"/>
        <v>9878.5401822081967</v>
      </c>
      <c r="U481" s="311"/>
      <c r="V481" s="312">
        <v>14</v>
      </c>
      <c r="W481" s="299" t="s">
        <v>194</v>
      </c>
      <c r="X481" s="300">
        <v>44669</v>
      </c>
      <c r="Y481" s="299" t="s">
        <v>59</v>
      </c>
      <c r="Z481" s="303">
        <v>3625.9781250000005</v>
      </c>
      <c r="AA481" s="305">
        <f>IF(Z481=0,0,IF(Y481="MXN",1/HLOOKUP(YEAR(X481)+(MONTH(X481)/100),TC!$5:$37,DAY(X481)+2,FALSE),VLOOKUP(Y481,Equivalencia!$1:$23,((MAX(Equivalencia!$3:$3)-YEAR(X481))*14)+MONTH(X481)+2,FALSE)))</f>
        <v>1</v>
      </c>
      <c r="AB481" s="306">
        <f t="shared" si="127"/>
        <v>3625.9781250000005</v>
      </c>
      <c r="AC481" s="305">
        <f>+IF(X481=0,0,HLOOKUP(YEAR(X481)+(MONTH(X481)/100),TC!$5:$37,DAY(X481)+2,FALSE))</f>
        <v>19.840699999999998</v>
      </c>
      <c r="AD481" s="307">
        <f t="shared" si="128"/>
        <v>71941.944184687498</v>
      </c>
      <c r="AE481" s="314">
        <f t="shared" si="129"/>
        <v>138299.56255091476</v>
      </c>
      <c r="AF481" s="315">
        <f t="shared" si="130"/>
        <v>-66357.618366227267</v>
      </c>
      <c r="AG481" s="316">
        <f t="shared" si="131"/>
        <v>0.8794520547945206</v>
      </c>
      <c r="AH481" s="314">
        <v>1</v>
      </c>
      <c r="AI481" s="314">
        <f t="shared" si="132"/>
        <v>-66357.618366227267</v>
      </c>
      <c r="AJ481" s="314">
        <f t="shared" si="133"/>
        <v>0</v>
      </c>
      <c r="AK481" s="317"/>
      <c r="AL481" s="315">
        <f t="shared" si="134"/>
        <v>-2896.7618749999992</v>
      </c>
      <c r="AN481" s="554">
        <f t="shared" si="135"/>
        <v>-0.44410199931317196</v>
      </c>
      <c r="AO481" s="314"/>
      <c r="AP481" s="318"/>
    </row>
    <row r="482" spans="2:42">
      <c r="B482" s="296" t="s">
        <v>1254</v>
      </c>
      <c r="C482" s="299" t="s">
        <v>277</v>
      </c>
      <c r="D482" s="298" t="s">
        <v>717</v>
      </c>
      <c r="E482" s="299" t="s">
        <v>113</v>
      </c>
      <c r="F482" s="299" t="s">
        <v>59</v>
      </c>
      <c r="G482" s="300">
        <v>44410</v>
      </c>
      <c r="H482" s="303">
        <v>476.85</v>
      </c>
      <c r="I482" s="301" t="str">
        <f t="shared" si="119"/>
        <v>Ingresos Sección II LISR (SIC &amp; BMV)</v>
      </c>
      <c r="J482" s="302">
        <f t="shared" si="120"/>
        <v>1</v>
      </c>
      <c r="K482" s="304">
        <f t="shared" si="121"/>
        <v>476.85</v>
      </c>
      <c r="L482" s="305">
        <f>IF(H482=0,0,IF(OR(E482=$AT$5,E482=$AT$6),AA482,IF(F482="MXN",1/HLOOKUP(YEAR(G482)+(MONTH(G482)/100),TC!$5:$37,DAY(G482)+2,FALSE),VLOOKUP(F482,Equivalencia!$5:$23,((MAX(Equivalencia!$3:$3)-YEAR(G482))*14)+MONTH(G482)+2,FALSE))))</f>
        <v>1</v>
      </c>
      <c r="M482" s="306">
        <f t="shared" si="122"/>
        <v>476.85</v>
      </c>
      <c r="N482" s="305">
        <f>IF(G482=0,0,(IF(OR(E482=$AT$5,E482=$AT$6),AC482,HLOOKUP(YEAR(G482)+(MONTH(G482)/100),TC!$5:$37,DAY(G482)+2,FALSE))))</f>
        <v>19.844799999999999</v>
      </c>
      <c r="O482" s="307">
        <f t="shared" si="123"/>
        <v>9462.9928799999998</v>
      </c>
      <c r="P482" s="560">
        <f>IF(G482=0,0,VLOOKUP(YEAR(G482),INPC!$B$4:$P$30,MONTH(G482)+2))</f>
        <v>113.899</v>
      </c>
      <c r="Q482" s="560">
        <f>IF(X482=0,0,IF(OR(E482=$AT$10,E482=$AT$9),VLOOKUP(YEAR(X482),INPC!$B$4:$P$30,MONTH(X482)+1),VLOOKUP(YEAR(X482),INPC!$B$4:$P$30,MONTH(X482)+2,0)))</f>
        <v>120.15900000000001</v>
      </c>
      <c r="R482" s="309">
        <f t="shared" si="124"/>
        <v>1.0548999999999999</v>
      </c>
      <c r="S482" s="310">
        <f t="shared" si="125"/>
        <v>9982.5111891119996</v>
      </c>
      <c r="T482" s="555">
        <f t="shared" si="126"/>
        <v>9982.5111891119996</v>
      </c>
      <c r="U482" s="311"/>
      <c r="V482" s="312">
        <v>1</v>
      </c>
      <c r="W482" s="299" t="s">
        <v>194</v>
      </c>
      <c r="X482" s="300">
        <v>44669</v>
      </c>
      <c r="Y482" s="299" t="s">
        <v>59</v>
      </c>
      <c r="Z482" s="303">
        <v>258.99843750000002</v>
      </c>
      <c r="AA482" s="305">
        <f>IF(Z482=0,0,IF(Y482="MXN",1/HLOOKUP(YEAR(X482)+(MONTH(X482)/100),TC!$5:$37,DAY(X482)+2,FALSE),VLOOKUP(Y482,Equivalencia!$1:$23,((MAX(Equivalencia!$3:$3)-YEAR(X482))*14)+MONTH(X482)+2,FALSE)))</f>
        <v>1</v>
      </c>
      <c r="AB482" s="306">
        <f t="shared" si="127"/>
        <v>258.99843750000002</v>
      </c>
      <c r="AC482" s="305">
        <f>+IF(X482=0,0,HLOOKUP(YEAR(X482)+(MONTH(X482)/100),TC!$5:$37,DAY(X482)+2,FALSE))</f>
        <v>19.840699999999998</v>
      </c>
      <c r="AD482" s="307">
        <f t="shared" si="128"/>
        <v>5138.7102989062496</v>
      </c>
      <c r="AE482" s="314">
        <f t="shared" si="129"/>
        <v>9982.5111891119996</v>
      </c>
      <c r="AF482" s="315">
        <f t="shared" si="130"/>
        <v>-4843.80089020575</v>
      </c>
      <c r="AG482" s="316">
        <f t="shared" si="131"/>
        <v>0.70958904109589038</v>
      </c>
      <c r="AH482" s="314">
        <v>1</v>
      </c>
      <c r="AI482" s="314">
        <f t="shared" si="132"/>
        <v>-4843.80089020575</v>
      </c>
      <c r="AJ482" s="314">
        <f t="shared" si="133"/>
        <v>0</v>
      </c>
      <c r="AK482" s="317"/>
      <c r="AL482" s="315">
        <f t="shared" si="134"/>
        <v>-217.8515625</v>
      </c>
      <c r="AN482" s="554">
        <f t="shared" si="135"/>
        <v>-0.4568555363321799</v>
      </c>
      <c r="AO482" s="314"/>
      <c r="AP482" s="318"/>
    </row>
    <row r="483" spans="2:42">
      <c r="B483" s="296" t="s">
        <v>1254</v>
      </c>
      <c r="C483" s="299" t="s">
        <v>277</v>
      </c>
      <c r="D483" s="298" t="s">
        <v>717</v>
      </c>
      <c r="E483" s="299" t="s">
        <v>113</v>
      </c>
      <c r="F483" s="299" t="s">
        <v>59</v>
      </c>
      <c r="G483" s="300">
        <v>44410</v>
      </c>
      <c r="H483" s="303">
        <v>3381.0583333333334</v>
      </c>
      <c r="I483" s="301" t="str">
        <f t="shared" si="119"/>
        <v>Ingresos Sección II LISR (SIC &amp; BMV)</v>
      </c>
      <c r="J483" s="302">
        <f t="shared" si="120"/>
        <v>7</v>
      </c>
      <c r="K483" s="304">
        <f t="shared" si="121"/>
        <v>483.00833333333333</v>
      </c>
      <c r="L483" s="305">
        <f>IF(H483=0,0,IF(OR(E483=$AT$5,E483=$AT$6),AA483,IF(F483="MXN",1/HLOOKUP(YEAR(G483)+(MONTH(G483)/100),TC!$5:$37,DAY(G483)+2,FALSE),VLOOKUP(F483,Equivalencia!$5:$23,((MAX(Equivalencia!$3:$3)-YEAR(G483))*14)+MONTH(G483)+2,FALSE))))</f>
        <v>1</v>
      </c>
      <c r="M483" s="306">
        <f t="shared" si="122"/>
        <v>3381.0583333333334</v>
      </c>
      <c r="N483" s="305">
        <f>IF(G483=0,0,(IF(OR(E483=$AT$5,E483=$AT$6),AC483,HLOOKUP(YEAR(G483)+(MONTH(G483)/100),TC!$5:$37,DAY(G483)+2,FALSE))))</f>
        <v>19.844799999999999</v>
      </c>
      <c r="O483" s="307">
        <f t="shared" si="123"/>
        <v>67096.426413333334</v>
      </c>
      <c r="P483" s="560">
        <f>IF(G483=0,0,VLOOKUP(YEAR(G483),INPC!$B$4:$P$30,MONTH(G483)+2))</f>
        <v>113.899</v>
      </c>
      <c r="Q483" s="560">
        <f>IF(X483=0,0,IF(OR(E483=$AT$10,E483=$AT$9),VLOOKUP(YEAR(X483),INPC!$B$4:$P$30,MONTH(X483)+1),VLOOKUP(YEAR(X483),INPC!$B$4:$P$30,MONTH(X483)+2,0)))</f>
        <v>120.15900000000001</v>
      </c>
      <c r="R483" s="309">
        <f t="shared" si="124"/>
        <v>1.0548999999999999</v>
      </c>
      <c r="S483" s="310">
        <f t="shared" si="125"/>
        <v>70780.020223425337</v>
      </c>
      <c r="T483" s="555">
        <f t="shared" si="126"/>
        <v>10111.431460489333</v>
      </c>
      <c r="U483" s="311"/>
      <c r="V483" s="312">
        <v>7</v>
      </c>
      <c r="W483" s="299" t="s">
        <v>194</v>
      </c>
      <c r="X483" s="300">
        <v>44669</v>
      </c>
      <c r="Y483" s="299" t="s">
        <v>59</v>
      </c>
      <c r="Z483" s="303">
        <v>1799.7600000000002</v>
      </c>
      <c r="AA483" s="305">
        <f>IF(Z483=0,0,IF(Y483="MXN",1/HLOOKUP(YEAR(X483)+(MONTH(X483)/100),TC!$5:$37,DAY(X483)+2,FALSE),VLOOKUP(Y483,Equivalencia!$1:$23,((MAX(Equivalencia!$3:$3)-YEAR(X483))*14)+MONTH(X483)+2,FALSE)))</f>
        <v>1</v>
      </c>
      <c r="AB483" s="306">
        <f t="shared" si="127"/>
        <v>1799.7600000000002</v>
      </c>
      <c r="AC483" s="305">
        <f>+IF(X483=0,0,HLOOKUP(YEAR(X483)+(MONTH(X483)/100),TC!$5:$37,DAY(X483)+2,FALSE))</f>
        <v>19.840699999999998</v>
      </c>
      <c r="AD483" s="307">
        <f t="shared" si="128"/>
        <v>35708.498231999998</v>
      </c>
      <c r="AE483" s="314">
        <f t="shared" si="129"/>
        <v>70780.020223425337</v>
      </c>
      <c r="AF483" s="315">
        <f t="shared" si="130"/>
        <v>-35071.521991425339</v>
      </c>
      <c r="AG483" s="316">
        <f t="shared" si="131"/>
        <v>0.70958904109589038</v>
      </c>
      <c r="AH483" s="314">
        <v>1</v>
      </c>
      <c r="AI483" s="314">
        <f t="shared" si="132"/>
        <v>-35071.521991425339</v>
      </c>
      <c r="AJ483" s="314">
        <f t="shared" si="133"/>
        <v>0</v>
      </c>
      <c r="AK483" s="317"/>
      <c r="AL483" s="315">
        <f t="shared" si="134"/>
        <v>-1581.2983333333332</v>
      </c>
      <c r="AN483" s="554">
        <f t="shared" si="135"/>
        <v>-0.46769330116063257</v>
      </c>
      <c r="AO483" s="314"/>
      <c r="AP483" s="318"/>
    </row>
    <row r="484" spans="2:42">
      <c r="B484" s="296" t="s">
        <v>1254</v>
      </c>
      <c r="C484" s="299" t="s">
        <v>277</v>
      </c>
      <c r="D484" s="298" t="s">
        <v>717</v>
      </c>
      <c r="E484" s="299" t="s">
        <v>113</v>
      </c>
      <c r="F484" s="299" t="s">
        <v>59</v>
      </c>
      <c r="G484" s="300">
        <v>44410</v>
      </c>
      <c r="H484" s="303">
        <v>5313.0916666666662</v>
      </c>
      <c r="I484" s="301" t="str">
        <f t="shared" si="119"/>
        <v>Ingresos Sección II LISR (SIC &amp; BMV)</v>
      </c>
      <c r="J484" s="302">
        <f t="shared" si="120"/>
        <v>11</v>
      </c>
      <c r="K484" s="304">
        <f t="shared" si="121"/>
        <v>483.00833333333327</v>
      </c>
      <c r="L484" s="305">
        <f>IF(H484=0,0,IF(OR(E484=$AT$5,E484=$AT$6),AA484,IF(F484="MXN",1/HLOOKUP(YEAR(G484)+(MONTH(G484)/100),TC!$5:$37,DAY(G484)+2,FALSE),VLOOKUP(F484,Equivalencia!$5:$23,((MAX(Equivalencia!$3:$3)-YEAR(G484))*14)+MONTH(G484)+2,FALSE))))</f>
        <v>1</v>
      </c>
      <c r="M484" s="306">
        <f t="shared" si="122"/>
        <v>5313.0916666666662</v>
      </c>
      <c r="N484" s="305">
        <f>IF(G484=0,0,(IF(OR(E484=$AT$5,E484=$AT$6),AC484,HLOOKUP(YEAR(G484)+(MONTH(G484)/100),TC!$5:$37,DAY(G484)+2,FALSE))))</f>
        <v>19.844799999999999</v>
      </c>
      <c r="O484" s="307">
        <f t="shared" si="123"/>
        <v>105437.24150666666</v>
      </c>
      <c r="P484" s="560">
        <f>IF(G484=0,0,VLOOKUP(YEAR(G484),INPC!$B$4:$P$30,MONTH(G484)+2))</f>
        <v>113.899</v>
      </c>
      <c r="Q484" s="560">
        <f>IF(X484=0,0,IF(OR(E484=$AT$10,E484=$AT$9),VLOOKUP(YEAR(X484),INPC!$B$4:$P$30,MONTH(X484)+1),VLOOKUP(YEAR(X484),INPC!$B$4:$P$30,MONTH(X484)+2,0)))</f>
        <v>120.15900000000001</v>
      </c>
      <c r="R484" s="309">
        <f t="shared" si="124"/>
        <v>1.0548999999999999</v>
      </c>
      <c r="S484" s="310">
        <f t="shared" si="125"/>
        <v>111225.74606538266</v>
      </c>
      <c r="T484" s="555">
        <f t="shared" si="126"/>
        <v>10111.431460489332</v>
      </c>
      <c r="U484" s="311"/>
      <c r="V484" s="312">
        <v>11</v>
      </c>
      <c r="W484" s="299" t="s">
        <v>194</v>
      </c>
      <c r="X484" s="300">
        <v>44670</v>
      </c>
      <c r="Y484" s="299" t="s">
        <v>59</v>
      </c>
      <c r="Z484" s="303">
        <v>2845.4196774193551</v>
      </c>
      <c r="AA484" s="305">
        <f>IF(Z484=0,0,IF(Y484="MXN",1/HLOOKUP(YEAR(X484)+(MONTH(X484)/100),TC!$5:$37,DAY(X484)+2,FALSE),VLOOKUP(Y484,Equivalencia!$1:$23,((MAX(Equivalencia!$3:$3)-YEAR(X484))*14)+MONTH(X484)+2,FALSE)))</f>
        <v>1</v>
      </c>
      <c r="AB484" s="306">
        <f t="shared" si="127"/>
        <v>2845.4196774193551</v>
      </c>
      <c r="AC484" s="305">
        <f>+IF(X484=0,0,HLOOKUP(YEAR(X484)+(MONTH(X484)/100),TC!$5:$37,DAY(X484)+2,FALSE))</f>
        <v>19.796700000000001</v>
      </c>
      <c r="AD484" s="307">
        <f t="shared" si="128"/>
        <v>56329.919727967754</v>
      </c>
      <c r="AE484" s="314">
        <f t="shared" si="129"/>
        <v>111225.74606538264</v>
      </c>
      <c r="AF484" s="315">
        <f t="shared" si="130"/>
        <v>-54895.826337414888</v>
      </c>
      <c r="AG484" s="316">
        <f t="shared" si="131"/>
        <v>0.71232876712328763</v>
      </c>
      <c r="AH484" s="314">
        <v>1</v>
      </c>
      <c r="AI484" s="314">
        <f t="shared" si="132"/>
        <v>-54895.826337414888</v>
      </c>
      <c r="AJ484" s="314">
        <f t="shared" si="133"/>
        <v>0</v>
      </c>
      <c r="AK484" s="317"/>
      <c r="AL484" s="315">
        <f t="shared" si="134"/>
        <v>-2467.6719892473111</v>
      </c>
      <c r="AN484" s="554">
        <f t="shared" si="135"/>
        <v>-0.46445123556384676</v>
      </c>
      <c r="AO484" s="314"/>
      <c r="AP484" s="318"/>
    </row>
    <row r="485" spans="2:42">
      <c r="B485" s="296" t="s">
        <v>1254</v>
      </c>
      <c r="C485" s="299" t="s">
        <v>277</v>
      </c>
      <c r="D485" s="298" t="s">
        <v>717</v>
      </c>
      <c r="E485" s="299" t="s">
        <v>113</v>
      </c>
      <c r="F485" s="299" t="s">
        <v>59</v>
      </c>
      <c r="G485" s="300">
        <v>44411</v>
      </c>
      <c r="H485" s="303">
        <v>9556.255172413792</v>
      </c>
      <c r="I485" s="301" t="str">
        <f t="shared" si="119"/>
        <v>Ingresos Sección II LISR (SIC &amp; BMV)</v>
      </c>
      <c r="J485" s="302">
        <f t="shared" si="120"/>
        <v>20</v>
      </c>
      <c r="K485" s="304">
        <f t="shared" si="121"/>
        <v>477.81275862068958</v>
      </c>
      <c r="L485" s="305">
        <f>IF(H485=0,0,IF(OR(E485=$AT$5,E485=$AT$6),AA485,IF(F485="MXN",1/HLOOKUP(YEAR(G485)+(MONTH(G485)/100),TC!$5:$37,DAY(G485)+2,FALSE),VLOOKUP(F485,Equivalencia!$5:$23,((MAX(Equivalencia!$3:$3)-YEAR(G485))*14)+MONTH(G485)+2,FALSE))))</f>
        <v>1</v>
      </c>
      <c r="M485" s="306">
        <f t="shared" si="122"/>
        <v>9556.255172413792</v>
      </c>
      <c r="N485" s="305">
        <f>IF(G485=0,0,(IF(OR(E485=$AT$5,E485=$AT$6),AC485,HLOOKUP(YEAR(G485)+(MONTH(G485)/100),TC!$5:$37,DAY(G485)+2,FALSE))))</f>
        <v>19.845500000000001</v>
      </c>
      <c r="O485" s="307">
        <f t="shared" si="123"/>
        <v>189648.66202413791</v>
      </c>
      <c r="P485" s="560">
        <f>IF(G485=0,0,VLOOKUP(YEAR(G485),INPC!$B$4:$P$30,MONTH(G485)+2))</f>
        <v>113.899</v>
      </c>
      <c r="Q485" s="560">
        <f>IF(X485=0,0,IF(OR(E485=$AT$10,E485=$AT$9),VLOOKUP(YEAR(X485),INPC!$B$4:$P$30,MONTH(X485)+1),VLOOKUP(YEAR(X485),INPC!$B$4:$P$30,MONTH(X485)+2,0)))</f>
        <v>120.15900000000001</v>
      </c>
      <c r="R485" s="309">
        <f t="shared" si="124"/>
        <v>1.0548999999999999</v>
      </c>
      <c r="S485" s="310">
        <f t="shared" si="125"/>
        <v>200060.37356926309</v>
      </c>
      <c r="T485" s="555">
        <f t="shared" si="126"/>
        <v>10003.018678463155</v>
      </c>
      <c r="U485" s="311"/>
      <c r="V485" s="312">
        <v>20</v>
      </c>
      <c r="W485" s="299" t="s">
        <v>194</v>
      </c>
      <c r="X485" s="300">
        <v>44670</v>
      </c>
      <c r="Y485" s="299" t="s">
        <v>59</v>
      </c>
      <c r="Z485" s="303">
        <v>5173.4903225806456</v>
      </c>
      <c r="AA485" s="305">
        <f>IF(Z485=0,0,IF(Y485="MXN",1/HLOOKUP(YEAR(X485)+(MONTH(X485)/100),TC!$5:$37,DAY(X485)+2,FALSE),VLOOKUP(Y485,Equivalencia!$1:$23,((MAX(Equivalencia!$3:$3)-YEAR(X485))*14)+MONTH(X485)+2,FALSE)))</f>
        <v>1</v>
      </c>
      <c r="AB485" s="306">
        <f t="shared" si="127"/>
        <v>5173.4903225806456</v>
      </c>
      <c r="AC485" s="305">
        <f>+IF(X485=0,0,HLOOKUP(YEAR(X485)+(MONTH(X485)/100),TC!$5:$37,DAY(X485)+2,FALSE))</f>
        <v>19.796700000000001</v>
      </c>
      <c r="AD485" s="307">
        <f t="shared" si="128"/>
        <v>102418.03586903228</v>
      </c>
      <c r="AE485" s="314">
        <f t="shared" si="129"/>
        <v>200060.37356926309</v>
      </c>
      <c r="AF485" s="315">
        <f t="shared" si="130"/>
        <v>-97642.337700230812</v>
      </c>
      <c r="AG485" s="316">
        <f t="shared" si="131"/>
        <v>0.70958904109589038</v>
      </c>
      <c r="AH485" s="314">
        <v>1</v>
      </c>
      <c r="AI485" s="314">
        <f t="shared" si="132"/>
        <v>-97642.337700230812</v>
      </c>
      <c r="AJ485" s="314">
        <f t="shared" si="133"/>
        <v>0</v>
      </c>
      <c r="AK485" s="317"/>
      <c r="AL485" s="315">
        <f t="shared" si="134"/>
        <v>-4382.7648498331464</v>
      </c>
      <c r="AN485" s="554">
        <f t="shared" si="135"/>
        <v>-0.45862785900537167</v>
      </c>
      <c r="AO485" s="314"/>
      <c r="AP485" s="318"/>
    </row>
    <row r="486" spans="2:42">
      <c r="B486" s="296" t="s">
        <v>1254</v>
      </c>
      <c r="C486" s="299" t="s">
        <v>277</v>
      </c>
      <c r="D486" s="298" t="s">
        <v>717</v>
      </c>
      <c r="E486" s="299" t="s">
        <v>113</v>
      </c>
      <c r="F486" s="299" t="s">
        <v>59</v>
      </c>
      <c r="G486" s="300">
        <v>44411</v>
      </c>
      <c r="H486" s="303">
        <v>4300.3148275862068</v>
      </c>
      <c r="I486" s="301" t="str">
        <f t="shared" si="119"/>
        <v>Ingresos Sección II LISR (SIC &amp; BMV)</v>
      </c>
      <c r="J486" s="302">
        <f t="shared" si="120"/>
        <v>9</v>
      </c>
      <c r="K486" s="304">
        <f t="shared" si="121"/>
        <v>477.81275862068964</v>
      </c>
      <c r="L486" s="305">
        <f>IF(H486=0,0,IF(OR(E486=$AT$5,E486=$AT$6),AA486,IF(F486="MXN",1/HLOOKUP(YEAR(G486)+(MONTH(G486)/100),TC!$5:$37,DAY(G486)+2,FALSE),VLOOKUP(F486,Equivalencia!$5:$23,((MAX(Equivalencia!$3:$3)-YEAR(G486))*14)+MONTH(G486)+2,FALSE))))</f>
        <v>1</v>
      </c>
      <c r="M486" s="306">
        <f t="shared" si="122"/>
        <v>4300.3148275862068</v>
      </c>
      <c r="N486" s="305">
        <f>IF(G486=0,0,(IF(OR(E486=$AT$5,E486=$AT$6),AC486,HLOOKUP(YEAR(G486)+(MONTH(G486)/100),TC!$5:$37,DAY(G486)+2,FALSE))))</f>
        <v>19.845500000000001</v>
      </c>
      <c r="O486" s="307">
        <f t="shared" si="123"/>
        <v>85341.89791086207</v>
      </c>
      <c r="P486" s="560">
        <f>IF(G486=0,0,VLOOKUP(YEAR(G486),INPC!$B$4:$P$30,MONTH(G486)+2))</f>
        <v>113.899</v>
      </c>
      <c r="Q486" s="560">
        <f>IF(X486=0,0,IF(OR(E486=$AT$10,E486=$AT$9),VLOOKUP(YEAR(X486),INPC!$B$4:$P$30,MONTH(X486)+1),VLOOKUP(YEAR(X486),INPC!$B$4:$P$30,MONTH(X486)+2,0)))</f>
        <v>120.15900000000001</v>
      </c>
      <c r="R486" s="309">
        <f t="shared" si="124"/>
        <v>1.0548999999999999</v>
      </c>
      <c r="S486" s="310">
        <f t="shared" si="125"/>
        <v>90027.168106168392</v>
      </c>
      <c r="T486" s="555">
        <f t="shared" si="126"/>
        <v>10003.018678463155</v>
      </c>
      <c r="U486" s="311"/>
      <c r="V486" s="312">
        <v>9</v>
      </c>
      <c r="W486" s="299" t="s">
        <v>194</v>
      </c>
      <c r="X486" s="300">
        <v>44671</v>
      </c>
      <c r="Y486" s="299" t="s">
        <v>59</v>
      </c>
      <c r="Z486" s="303">
        <v>2449.3868181818184</v>
      </c>
      <c r="AA486" s="305">
        <f>IF(Z486=0,0,IF(Y486="MXN",1/HLOOKUP(YEAR(X486)+(MONTH(X486)/100),TC!$5:$37,DAY(X486)+2,FALSE),VLOOKUP(Y486,Equivalencia!$1:$23,((MAX(Equivalencia!$3:$3)-YEAR(X486))*14)+MONTH(X486)+2,FALSE)))</f>
        <v>1</v>
      </c>
      <c r="AB486" s="306">
        <f t="shared" si="127"/>
        <v>2449.3868181818184</v>
      </c>
      <c r="AC486" s="305">
        <f>+IF(X486=0,0,HLOOKUP(YEAR(X486)+(MONTH(X486)/100),TC!$5:$37,DAY(X486)+2,FALSE))</f>
        <v>19.9377</v>
      </c>
      <c r="AD486" s="307">
        <f t="shared" si="128"/>
        <v>48835.139564863639</v>
      </c>
      <c r="AE486" s="314">
        <f t="shared" si="129"/>
        <v>90027.168106168392</v>
      </c>
      <c r="AF486" s="315">
        <f t="shared" si="130"/>
        <v>-41192.028541304753</v>
      </c>
      <c r="AG486" s="316">
        <f t="shared" si="131"/>
        <v>0.71232876712328763</v>
      </c>
      <c r="AH486" s="314">
        <v>1</v>
      </c>
      <c r="AI486" s="314">
        <f t="shared" si="132"/>
        <v>-41192.028541304753</v>
      </c>
      <c r="AJ486" s="314">
        <f t="shared" si="133"/>
        <v>0</v>
      </c>
      <c r="AK486" s="317"/>
      <c r="AL486" s="315">
        <f t="shared" si="134"/>
        <v>-1850.9280094043884</v>
      </c>
      <c r="AN486" s="554">
        <f t="shared" si="135"/>
        <v>-0.43041686100069226</v>
      </c>
      <c r="AO486" s="314"/>
      <c r="AP486" s="318"/>
    </row>
    <row r="487" spans="2:42">
      <c r="B487" s="296" t="s">
        <v>1254</v>
      </c>
      <c r="C487" s="299" t="s">
        <v>277</v>
      </c>
      <c r="D487" s="298" t="s">
        <v>717</v>
      </c>
      <c r="E487" s="299" t="s">
        <v>113</v>
      </c>
      <c r="F487" s="299" t="s">
        <v>59</v>
      </c>
      <c r="G487" s="300">
        <v>44411</v>
      </c>
      <c r="H487" s="303">
        <v>1435.48</v>
      </c>
      <c r="I487" s="301" t="str">
        <f t="shared" si="119"/>
        <v>Ingresos Sección II LISR (SIC &amp; BMV)</v>
      </c>
      <c r="J487" s="302">
        <f t="shared" si="120"/>
        <v>3</v>
      </c>
      <c r="K487" s="304">
        <f t="shared" si="121"/>
        <v>478.49333333333334</v>
      </c>
      <c r="L487" s="305">
        <f>IF(H487=0,0,IF(OR(E487=$AT$5,E487=$AT$6),AA487,IF(F487="MXN",1/HLOOKUP(YEAR(G487)+(MONTH(G487)/100),TC!$5:$37,DAY(G487)+2,FALSE),VLOOKUP(F487,Equivalencia!$5:$23,((MAX(Equivalencia!$3:$3)-YEAR(G487))*14)+MONTH(G487)+2,FALSE))))</f>
        <v>1</v>
      </c>
      <c r="M487" s="306">
        <f t="shared" si="122"/>
        <v>1435.48</v>
      </c>
      <c r="N487" s="305">
        <f>IF(G487=0,0,(IF(OR(E487=$AT$5,E487=$AT$6),AC487,HLOOKUP(YEAR(G487)+(MONTH(G487)/100),TC!$5:$37,DAY(G487)+2,FALSE))))</f>
        <v>19.845500000000001</v>
      </c>
      <c r="O487" s="307">
        <f t="shared" si="123"/>
        <v>28487.818340000002</v>
      </c>
      <c r="P487" s="560">
        <f>IF(G487=0,0,VLOOKUP(YEAR(G487),INPC!$B$4:$P$30,MONTH(G487)+2))</f>
        <v>113.899</v>
      </c>
      <c r="Q487" s="560">
        <f>IF(X487=0,0,IF(OR(E487=$AT$10,E487=$AT$9),VLOOKUP(YEAR(X487),INPC!$B$4:$P$30,MONTH(X487)+1),VLOOKUP(YEAR(X487),INPC!$B$4:$P$30,MONTH(X487)+2,0)))</f>
        <v>120.15900000000001</v>
      </c>
      <c r="R487" s="309">
        <f t="shared" si="124"/>
        <v>1.0548999999999999</v>
      </c>
      <c r="S487" s="310">
        <f t="shared" si="125"/>
        <v>30051.799566866001</v>
      </c>
      <c r="T487" s="555">
        <f t="shared" si="126"/>
        <v>10017.266522288666</v>
      </c>
      <c r="U487" s="311"/>
      <c r="V487" s="312">
        <v>3</v>
      </c>
      <c r="W487" s="299" t="s">
        <v>194</v>
      </c>
      <c r="X487" s="300">
        <v>44671</v>
      </c>
      <c r="Y487" s="299" t="s">
        <v>59</v>
      </c>
      <c r="Z487" s="303">
        <v>816.46227272727288</v>
      </c>
      <c r="AA487" s="305">
        <f>IF(Z487=0,0,IF(Y487="MXN",1/HLOOKUP(YEAR(X487)+(MONTH(X487)/100),TC!$5:$37,DAY(X487)+2,FALSE),VLOOKUP(Y487,Equivalencia!$1:$23,((MAX(Equivalencia!$3:$3)-YEAR(X487))*14)+MONTH(X487)+2,FALSE)))</f>
        <v>1</v>
      </c>
      <c r="AB487" s="306">
        <f t="shared" si="127"/>
        <v>816.46227272727288</v>
      </c>
      <c r="AC487" s="305">
        <f>+IF(X487=0,0,HLOOKUP(YEAR(X487)+(MONTH(X487)/100),TC!$5:$37,DAY(X487)+2,FALSE))</f>
        <v>19.9377</v>
      </c>
      <c r="AD487" s="307">
        <f t="shared" si="128"/>
        <v>16278.379854954548</v>
      </c>
      <c r="AE487" s="314">
        <f t="shared" si="129"/>
        <v>30051.799566866001</v>
      </c>
      <c r="AF487" s="315">
        <f t="shared" si="130"/>
        <v>-13773.419711911452</v>
      </c>
      <c r="AG487" s="316">
        <f t="shared" si="131"/>
        <v>0.71232876712328763</v>
      </c>
      <c r="AH487" s="314">
        <v>1</v>
      </c>
      <c r="AI487" s="314">
        <f t="shared" si="132"/>
        <v>-13773.419711911452</v>
      </c>
      <c r="AJ487" s="314">
        <f t="shared" si="133"/>
        <v>0</v>
      </c>
      <c r="AK487" s="317"/>
      <c r="AL487" s="315">
        <f t="shared" si="134"/>
        <v>-619.01772727272714</v>
      </c>
      <c r="AN487" s="554">
        <f t="shared" si="135"/>
        <v>-0.43122699534143782</v>
      </c>
      <c r="AO487" s="314"/>
      <c r="AP487" s="318"/>
    </row>
    <row r="488" spans="2:42">
      <c r="B488" s="296" t="s">
        <v>1254</v>
      </c>
      <c r="C488" s="299" t="s">
        <v>277</v>
      </c>
      <c r="D488" s="298" t="s">
        <v>717</v>
      </c>
      <c r="E488" s="299" t="s">
        <v>113</v>
      </c>
      <c r="F488" s="299" t="s">
        <v>59</v>
      </c>
      <c r="G488" s="300">
        <v>44426</v>
      </c>
      <c r="H488" s="303">
        <v>2310.4</v>
      </c>
      <c r="I488" s="301" t="str">
        <f t="shared" si="119"/>
        <v>Ingresos Sección II LISR (SIC &amp; BMV)</v>
      </c>
      <c r="J488" s="302">
        <f t="shared" si="120"/>
        <v>5</v>
      </c>
      <c r="K488" s="304">
        <f t="shared" si="121"/>
        <v>462.08000000000004</v>
      </c>
      <c r="L488" s="305">
        <f>IF(H488=0,0,IF(OR(E488=$AT$5,E488=$AT$6),AA488,IF(F488="MXN",1/HLOOKUP(YEAR(G488)+(MONTH(G488)/100),TC!$5:$37,DAY(G488)+2,FALSE),VLOOKUP(F488,Equivalencia!$5:$23,((MAX(Equivalencia!$3:$3)-YEAR(G488))*14)+MONTH(G488)+2,FALSE))))</f>
        <v>1</v>
      </c>
      <c r="M488" s="306">
        <f t="shared" si="122"/>
        <v>2310.4</v>
      </c>
      <c r="N488" s="305">
        <f>IF(G488=0,0,(IF(OR(E488=$AT$5,E488=$AT$6),AC488,HLOOKUP(YEAR(G488)+(MONTH(G488)/100),TC!$5:$37,DAY(G488)+2,FALSE))))</f>
        <v>19.886299999999999</v>
      </c>
      <c r="O488" s="307">
        <f t="shared" si="123"/>
        <v>45945.307519999995</v>
      </c>
      <c r="P488" s="560">
        <f>IF(G488=0,0,VLOOKUP(YEAR(G488),INPC!$B$4:$P$30,MONTH(G488)+2))</f>
        <v>113.899</v>
      </c>
      <c r="Q488" s="560">
        <f>IF(X488=0,0,IF(OR(E488=$AT$10,E488=$AT$9),VLOOKUP(YEAR(X488),INPC!$B$4:$P$30,MONTH(X488)+1),VLOOKUP(YEAR(X488),INPC!$B$4:$P$30,MONTH(X488)+2,0)))</f>
        <v>120.15900000000001</v>
      </c>
      <c r="R488" s="309">
        <f t="shared" si="124"/>
        <v>1.0548999999999999</v>
      </c>
      <c r="S488" s="310">
        <f t="shared" si="125"/>
        <v>48467.704902847989</v>
      </c>
      <c r="T488" s="555">
        <f t="shared" si="126"/>
        <v>9693.5409805695981</v>
      </c>
      <c r="U488" s="311"/>
      <c r="V488" s="312">
        <v>5</v>
      </c>
      <c r="W488" s="299" t="s">
        <v>194</v>
      </c>
      <c r="X488" s="300">
        <v>44671</v>
      </c>
      <c r="Y488" s="299" t="s">
        <v>59</v>
      </c>
      <c r="Z488" s="303">
        <v>1360.7704545454546</v>
      </c>
      <c r="AA488" s="305">
        <f>IF(Z488=0,0,IF(Y488="MXN",1/HLOOKUP(YEAR(X488)+(MONTH(X488)/100),TC!$5:$37,DAY(X488)+2,FALSE),VLOOKUP(Y488,Equivalencia!$1:$23,((MAX(Equivalencia!$3:$3)-YEAR(X488))*14)+MONTH(X488)+2,FALSE)))</f>
        <v>1</v>
      </c>
      <c r="AB488" s="306">
        <f t="shared" si="127"/>
        <v>1360.7704545454546</v>
      </c>
      <c r="AC488" s="305">
        <f>+IF(X488=0,0,HLOOKUP(YEAR(X488)+(MONTH(X488)/100),TC!$5:$37,DAY(X488)+2,FALSE))</f>
        <v>19.9377</v>
      </c>
      <c r="AD488" s="307">
        <f t="shared" si="128"/>
        <v>27130.633091590909</v>
      </c>
      <c r="AE488" s="314">
        <f t="shared" si="129"/>
        <v>48467.704902847989</v>
      </c>
      <c r="AF488" s="315">
        <f t="shared" si="130"/>
        <v>-21337.071811257079</v>
      </c>
      <c r="AG488" s="316">
        <f t="shared" si="131"/>
        <v>0.67123287671232879</v>
      </c>
      <c r="AH488" s="314">
        <v>1</v>
      </c>
      <c r="AI488" s="314">
        <f t="shared" si="132"/>
        <v>-21337.071811257079</v>
      </c>
      <c r="AJ488" s="314">
        <f t="shared" si="133"/>
        <v>0</v>
      </c>
      <c r="AK488" s="317"/>
      <c r="AL488" s="315">
        <f t="shared" si="134"/>
        <v>-949.62954545454545</v>
      </c>
      <c r="AN488" s="554">
        <f t="shared" si="135"/>
        <v>-0.41102386835809618</v>
      </c>
      <c r="AO488" s="314"/>
      <c r="AP488" s="318"/>
    </row>
    <row r="489" spans="2:42">
      <c r="B489" s="296" t="s">
        <v>1254</v>
      </c>
      <c r="C489" s="299" t="s">
        <v>277</v>
      </c>
      <c r="D489" s="298" t="s">
        <v>717</v>
      </c>
      <c r="E489" s="299" t="s">
        <v>113</v>
      </c>
      <c r="F489" s="299" t="s">
        <v>59</v>
      </c>
      <c r="G489" s="300">
        <v>44427</v>
      </c>
      <c r="H489" s="303">
        <v>2356.6999999999998</v>
      </c>
      <c r="I489" s="301" t="str">
        <f t="shared" si="119"/>
        <v>Ingresos Sección II LISR (SIC &amp; BMV)</v>
      </c>
      <c r="J489" s="302">
        <f t="shared" si="120"/>
        <v>5</v>
      </c>
      <c r="K489" s="304">
        <f t="shared" si="121"/>
        <v>471.34</v>
      </c>
      <c r="L489" s="305">
        <f>IF(H489=0,0,IF(OR(E489=$AT$5,E489=$AT$6),AA489,IF(F489="MXN",1/HLOOKUP(YEAR(G489)+(MONTH(G489)/100),TC!$5:$37,DAY(G489)+2,FALSE),VLOOKUP(F489,Equivalencia!$5:$23,((MAX(Equivalencia!$3:$3)-YEAR(G489))*14)+MONTH(G489)+2,FALSE))))</f>
        <v>1</v>
      </c>
      <c r="M489" s="306">
        <f t="shared" si="122"/>
        <v>2356.6999999999998</v>
      </c>
      <c r="N489" s="305">
        <f>IF(G489=0,0,(IF(OR(E489=$AT$5,E489=$AT$6),AC489,HLOOKUP(YEAR(G489)+(MONTH(G489)/100),TC!$5:$37,DAY(G489)+2,FALSE))))</f>
        <v>19.991199999999999</v>
      </c>
      <c r="O489" s="307">
        <f t="shared" si="123"/>
        <v>47113.261039999998</v>
      </c>
      <c r="P489" s="560">
        <f>IF(G489=0,0,VLOOKUP(YEAR(G489),INPC!$B$4:$P$30,MONTH(G489)+2))</f>
        <v>113.899</v>
      </c>
      <c r="Q489" s="560">
        <f>IF(X489=0,0,IF(OR(E489=$AT$10,E489=$AT$9),VLOOKUP(YEAR(X489),INPC!$B$4:$P$30,MONTH(X489)+1),VLOOKUP(YEAR(X489),INPC!$B$4:$P$30,MONTH(X489)+2,0)))</f>
        <v>120.15900000000001</v>
      </c>
      <c r="R489" s="309">
        <f t="shared" si="124"/>
        <v>1.0548999999999999</v>
      </c>
      <c r="S489" s="310">
        <f t="shared" si="125"/>
        <v>49699.779071095996</v>
      </c>
      <c r="T489" s="555">
        <f t="shared" si="126"/>
        <v>9939.9558142192</v>
      </c>
      <c r="U489" s="311"/>
      <c r="V489" s="312">
        <v>5</v>
      </c>
      <c r="W489" s="299" t="s">
        <v>194</v>
      </c>
      <c r="X489" s="300">
        <v>44671</v>
      </c>
      <c r="Y489" s="299" t="s">
        <v>59</v>
      </c>
      <c r="Z489" s="303">
        <v>1360.7704545454546</v>
      </c>
      <c r="AA489" s="305">
        <f>IF(Z489=0,0,IF(Y489="MXN",1/HLOOKUP(YEAR(X489)+(MONTH(X489)/100),TC!$5:$37,DAY(X489)+2,FALSE),VLOOKUP(Y489,Equivalencia!$1:$23,((MAX(Equivalencia!$3:$3)-YEAR(X489))*14)+MONTH(X489)+2,FALSE)))</f>
        <v>1</v>
      </c>
      <c r="AB489" s="306">
        <f t="shared" si="127"/>
        <v>1360.7704545454546</v>
      </c>
      <c r="AC489" s="305">
        <f>+IF(X489=0,0,HLOOKUP(YEAR(X489)+(MONTH(X489)/100),TC!$5:$37,DAY(X489)+2,FALSE))</f>
        <v>19.9377</v>
      </c>
      <c r="AD489" s="307">
        <f t="shared" si="128"/>
        <v>27130.633091590909</v>
      </c>
      <c r="AE489" s="314">
        <f t="shared" si="129"/>
        <v>49699.779071095996</v>
      </c>
      <c r="AF489" s="315">
        <f t="shared" si="130"/>
        <v>-22569.145979505087</v>
      </c>
      <c r="AG489" s="316">
        <f t="shared" si="131"/>
        <v>0.66849315068493154</v>
      </c>
      <c r="AH489" s="314">
        <v>1</v>
      </c>
      <c r="AI489" s="314">
        <f t="shared" si="132"/>
        <v>-22569.145979505087</v>
      </c>
      <c r="AJ489" s="314">
        <f t="shared" si="133"/>
        <v>0</v>
      </c>
      <c r="AK489" s="317"/>
      <c r="AL489" s="315">
        <f t="shared" si="134"/>
        <v>-995.92954545454518</v>
      </c>
      <c r="AN489" s="554">
        <f t="shared" si="135"/>
        <v>-0.42259496136739733</v>
      </c>
      <c r="AO489" s="314"/>
      <c r="AP489" s="318"/>
    </row>
    <row r="490" spans="2:42">
      <c r="B490" s="296" t="s">
        <v>1254</v>
      </c>
      <c r="C490" s="299" t="s">
        <v>277</v>
      </c>
      <c r="D490" s="298" t="s">
        <v>717</v>
      </c>
      <c r="E490" s="299" t="s">
        <v>113</v>
      </c>
      <c r="F490" s="299" t="s">
        <v>59</v>
      </c>
      <c r="G490" s="300">
        <v>44427</v>
      </c>
      <c r="H490" s="303">
        <v>471.34</v>
      </c>
      <c r="I490" s="301" t="str">
        <f t="shared" si="119"/>
        <v>Ingresos Sección II LISR (SIC &amp; BMV)</v>
      </c>
      <c r="J490" s="302">
        <f t="shared" si="120"/>
        <v>1</v>
      </c>
      <c r="K490" s="304">
        <f t="shared" si="121"/>
        <v>471.34</v>
      </c>
      <c r="L490" s="305">
        <f>IF(H490=0,0,IF(OR(E490=$AT$5,E490=$AT$6),AA490,IF(F490="MXN",1/HLOOKUP(YEAR(G490)+(MONTH(G490)/100),TC!$5:$37,DAY(G490)+2,FALSE),VLOOKUP(F490,Equivalencia!$5:$23,((MAX(Equivalencia!$3:$3)-YEAR(G490))*14)+MONTH(G490)+2,FALSE))))</f>
        <v>1</v>
      </c>
      <c r="M490" s="306">
        <f t="shared" si="122"/>
        <v>471.34</v>
      </c>
      <c r="N490" s="305">
        <f>IF(G490=0,0,(IF(OR(E490=$AT$5,E490=$AT$6),AC490,HLOOKUP(YEAR(G490)+(MONTH(G490)/100),TC!$5:$37,DAY(G490)+2,FALSE))))</f>
        <v>19.991199999999999</v>
      </c>
      <c r="O490" s="307">
        <f t="shared" si="123"/>
        <v>9422.6522079999995</v>
      </c>
      <c r="P490" s="560">
        <f>IF(G490=0,0,VLOOKUP(YEAR(G490),INPC!$B$4:$P$30,MONTH(G490)+2))</f>
        <v>113.899</v>
      </c>
      <c r="Q490" s="560">
        <f>IF(X490=0,0,IF(OR(E490=$AT$10,E490=$AT$9),VLOOKUP(YEAR(X490),INPC!$B$4:$P$30,MONTH(X490)+1),VLOOKUP(YEAR(X490),INPC!$B$4:$P$30,MONTH(X490)+2,0)))</f>
        <v>120.15900000000001</v>
      </c>
      <c r="R490" s="309">
        <f t="shared" si="124"/>
        <v>1.0548999999999999</v>
      </c>
      <c r="S490" s="310">
        <f t="shared" si="125"/>
        <v>9939.9558142191981</v>
      </c>
      <c r="T490" s="555">
        <f t="shared" si="126"/>
        <v>9939.9558142191981</v>
      </c>
      <c r="U490" s="311"/>
      <c r="V490" s="312">
        <v>1</v>
      </c>
      <c r="W490" s="299" t="s">
        <v>194</v>
      </c>
      <c r="X490" s="300">
        <v>44671</v>
      </c>
      <c r="Y490" s="299" t="s">
        <v>59</v>
      </c>
      <c r="Z490" s="303">
        <v>274.67454545454547</v>
      </c>
      <c r="AA490" s="305">
        <f>IF(Z490=0,0,IF(Y490="MXN",1/HLOOKUP(YEAR(X490)+(MONTH(X490)/100),TC!$5:$37,DAY(X490)+2,FALSE),VLOOKUP(Y490,Equivalencia!$1:$23,((MAX(Equivalencia!$3:$3)-YEAR(X490))*14)+MONTH(X490)+2,FALSE)))</f>
        <v>1</v>
      </c>
      <c r="AB490" s="306">
        <f t="shared" si="127"/>
        <v>274.67454545454547</v>
      </c>
      <c r="AC490" s="305">
        <f>+IF(X490=0,0,HLOOKUP(YEAR(X490)+(MONTH(X490)/100),TC!$5:$37,DAY(X490)+2,FALSE))</f>
        <v>19.9377</v>
      </c>
      <c r="AD490" s="307">
        <f t="shared" si="128"/>
        <v>5476.3786849090911</v>
      </c>
      <c r="AE490" s="314">
        <f t="shared" si="129"/>
        <v>9939.9558142191981</v>
      </c>
      <c r="AF490" s="315">
        <f t="shared" si="130"/>
        <v>-4463.577129310107</v>
      </c>
      <c r="AG490" s="316">
        <f t="shared" si="131"/>
        <v>0.66849315068493154</v>
      </c>
      <c r="AH490" s="314">
        <v>1</v>
      </c>
      <c r="AI490" s="314">
        <f t="shared" si="132"/>
        <v>-4463.577129310107</v>
      </c>
      <c r="AJ490" s="314">
        <f t="shared" si="133"/>
        <v>0</v>
      </c>
      <c r="AK490" s="317"/>
      <c r="AL490" s="315">
        <f t="shared" si="134"/>
        <v>-196.66545454545451</v>
      </c>
      <c r="AN490" s="554">
        <f t="shared" si="135"/>
        <v>-0.41724753796718828</v>
      </c>
      <c r="AO490" s="314"/>
      <c r="AP490" s="318"/>
    </row>
    <row r="491" spans="2:42">
      <c r="B491" s="296" t="s">
        <v>1254</v>
      </c>
      <c r="C491" s="299" t="s">
        <v>277</v>
      </c>
      <c r="D491" s="298" t="s">
        <v>717</v>
      </c>
      <c r="E491" s="299" t="s">
        <v>113</v>
      </c>
      <c r="F491" s="299" t="s">
        <v>59</v>
      </c>
      <c r="G491" s="300">
        <v>44427</v>
      </c>
      <c r="H491" s="303">
        <v>3299.93</v>
      </c>
      <c r="I491" s="301" t="str">
        <f t="shared" si="119"/>
        <v>Ingresos Sección II LISR (SIC &amp; BMV)</v>
      </c>
      <c r="J491" s="302">
        <f t="shared" si="120"/>
        <v>7</v>
      </c>
      <c r="K491" s="304">
        <f t="shared" si="121"/>
        <v>471.4185714285714</v>
      </c>
      <c r="L491" s="305">
        <f>IF(H491=0,0,IF(OR(E491=$AT$5,E491=$AT$6),AA491,IF(F491="MXN",1/HLOOKUP(YEAR(G491)+(MONTH(G491)/100),TC!$5:$37,DAY(G491)+2,FALSE),VLOOKUP(F491,Equivalencia!$5:$23,((MAX(Equivalencia!$3:$3)-YEAR(G491))*14)+MONTH(G491)+2,FALSE))))</f>
        <v>1</v>
      </c>
      <c r="M491" s="306">
        <f t="shared" si="122"/>
        <v>3299.93</v>
      </c>
      <c r="N491" s="305">
        <f>IF(G491=0,0,(IF(OR(E491=$AT$5,E491=$AT$6),AC491,HLOOKUP(YEAR(G491)+(MONTH(G491)/100),TC!$5:$37,DAY(G491)+2,FALSE))))</f>
        <v>19.991199999999999</v>
      </c>
      <c r="O491" s="307">
        <f t="shared" si="123"/>
        <v>65969.560615999988</v>
      </c>
      <c r="P491" s="560">
        <f>IF(G491=0,0,VLOOKUP(YEAR(G491),INPC!$B$4:$P$30,MONTH(G491)+2))</f>
        <v>113.899</v>
      </c>
      <c r="Q491" s="560">
        <f>IF(X491=0,0,IF(OR(E491=$AT$10,E491=$AT$9),VLOOKUP(YEAR(X491),INPC!$B$4:$P$30,MONTH(X491)+1),VLOOKUP(YEAR(X491),INPC!$B$4:$P$30,MONTH(X491)+2,0)))</f>
        <v>120.15900000000001</v>
      </c>
      <c r="R491" s="309">
        <f t="shared" si="124"/>
        <v>1.0548999999999999</v>
      </c>
      <c r="S491" s="310">
        <f t="shared" si="125"/>
        <v>69591.289493818389</v>
      </c>
      <c r="T491" s="555">
        <f t="shared" si="126"/>
        <v>9941.612784831199</v>
      </c>
      <c r="U491" s="311"/>
      <c r="V491" s="312">
        <v>7</v>
      </c>
      <c r="W491" s="299" t="s">
        <v>194</v>
      </c>
      <c r="X491" s="300">
        <v>44671</v>
      </c>
      <c r="Y491" s="299" t="s">
        <v>59</v>
      </c>
      <c r="Z491" s="303">
        <v>1922.7218181818182</v>
      </c>
      <c r="AA491" s="305">
        <f>IF(Z491=0,0,IF(Y491="MXN",1/HLOOKUP(YEAR(X491)+(MONTH(X491)/100),TC!$5:$37,DAY(X491)+2,FALSE),VLOOKUP(Y491,Equivalencia!$1:$23,((MAX(Equivalencia!$3:$3)-YEAR(X491))*14)+MONTH(X491)+2,FALSE)))</f>
        <v>1</v>
      </c>
      <c r="AB491" s="306">
        <f t="shared" si="127"/>
        <v>1922.7218181818182</v>
      </c>
      <c r="AC491" s="305">
        <f>+IF(X491=0,0,HLOOKUP(YEAR(X491)+(MONTH(X491)/100),TC!$5:$37,DAY(X491)+2,FALSE))</f>
        <v>19.9377</v>
      </c>
      <c r="AD491" s="307">
        <f t="shared" si="128"/>
        <v>38334.650794363639</v>
      </c>
      <c r="AE491" s="314">
        <f t="shared" si="129"/>
        <v>69591.289493818389</v>
      </c>
      <c r="AF491" s="315">
        <f t="shared" si="130"/>
        <v>-31256.63869945475</v>
      </c>
      <c r="AG491" s="316">
        <f t="shared" si="131"/>
        <v>0.66849315068493154</v>
      </c>
      <c r="AH491" s="314">
        <v>1</v>
      </c>
      <c r="AI491" s="314">
        <f t="shared" si="132"/>
        <v>-31256.63869945475</v>
      </c>
      <c r="AJ491" s="314">
        <f t="shared" si="133"/>
        <v>0</v>
      </c>
      <c r="AK491" s="317"/>
      <c r="AL491" s="315">
        <f t="shared" si="134"/>
        <v>-1377.2081818181816</v>
      </c>
      <c r="AN491" s="554">
        <f t="shared" si="135"/>
        <v>-0.41734466543780679</v>
      </c>
      <c r="AO491" s="314"/>
      <c r="AP491" s="318"/>
    </row>
    <row r="492" spans="2:42">
      <c r="B492" s="296" t="s">
        <v>1254</v>
      </c>
      <c r="C492" s="299" t="s">
        <v>277</v>
      </c>
      <c r="D492" s="298" t="s">
        <v>717</v>
      </c>
      <c r="E492" s="299" t="s">
        <v>113</v>
      </c>
      <c r="F492" s="299" t="s">
        <v>59</v>
      </c>
      <c r="G492" s="300">
        <v>44427</v>
      </c>
      <c r="H492" s="303">
        <v>1405.71</v>
      </c>
      <c r="I492" s="301" t="str">
        <f t="shared" si="119"/>
        <v>Ingresos Sección II LISR (SIC &amp; BMV)</v>
      </c>
      <c r="J492" s="302">
        <f t="shared" si="120"/>
        <v>3</v>
      </c>
      <c r="K492" s="304">
        <f t="shared" si="121"/>
        <v>468.57</v>
      </c>
      <c r="L492" s="305">
        <f>IF(H492=0,0,IF(OR(E492=$AT$5,E492=$AT$6),AA492,IF(F492="MXN",1/HLOOKUP(YEAR(G492)+(MONTH(G492)/100),TC!$5:$37,DAY(G492)+2,FALSE),VLOOKUP(F492,Equivalencia!$5:$23,((MAX(Equivalencia!$3:$3)-YEAR(G492))*14)+MONTH(G492)+2,FALSE))))</f>
        <v>1</v>
      </c>
      <c r="M492" s="306">
        <f t="shared" si="122"/>
        <v>1405.71</v>
      </c>
      <c r="N492" s="305">
        <f>IF(G492=0,0,(IF(OR(E492=$AT$5,E492=$AT$6),AC492,HLOOKUP(YEAR(G492)+(MONTH(G492)/100),TC!$5:$37,DAY(G492)+2,FALSE))))</f>
        <v>19.991199999999999</v>
      </c>
      <c r="O492" s="307">
        <f t="shared" si="123"/>
        <v>28101.829751999998</v>
      </c>
      <c r="P492" s="560">
        <f>IF(G492=0,0,VLOOKUP(YEAR(G492),INPC!$B$4:$P$30,MONTH(G492)+2))</f>
        <v>113.899</v>
      </c>
      <c r="Q492" s="560">
        <f>IF(X492=0,0,IF(OR(E492=$AT$10,E492=$AT$9),VLOOKUP(YEAR(X492),INPC!$B$4:$P$30,MONTH(X492)+1),VLOOKUP(YEAR(X492),INPC!$B$4:$P$30,MONTH(X492)+2,0)))</f>
        <v>120.15900000000001</v>
      </c>
      <c r="R492" s="309">
        <f t="shared" si="124"/>
        <v>1.0548999999999999</v>
      </c>
      <c r="S492" s="310">
        <f t="shared" si="125"/>
        <v>29644.620205384796</v>
      </c>
      <c r="T492" s="555">
        <f t="shared" si="126"/>
        <v>9881.5400684615979</v>
      </c>
      <c r="U492" s="311"/>
      <c r="V492" s="312">
        <v>3</v>
      </c>
      <c r="W492" s="299" t="s">
        <v>194</v>
      </c>
      <c r="X492" s="300">
        <v>44671</v>
      </c>
      <c r="Y492" s="299" t="s">
        <v>59</v>
      </c>
      <c r="Z492" s="303">
        <v>824.02363636363634</v>
      </c>
      <c r="AA492" s="305">
        <f>IF(Z492=0,0,IF(Y492="MXN",1/HLOOKUP(YEAR(X492)+(MONTH(X492)/100),TC!$5:$37,DAY(X492)+2,FALSE),VLOOKUP(Y492,Equivalencia!$1:$23,((MAX(Equivalencia!$3:$3)-YEAR(X492))*14)+MONTH(X492)+2,FALSE)))</f>
        <v>1</v>
      </c>
      <c r="AB492" s="306">
        <f t="shared" si="127"/>
        <v>824.02363636363634</v>
      </c>
      <c r="AC492" s="305">
        <f>+IF(X492=0,0,HLOOKUP(YEAR(X492)+(MONTH(X492)/100),TC!$5:$37,DAY(X492)+2,FALSE))</f>
        <v>19.9377</v>
      </c>
      <c r="AD492" s="307">
        <f t="shared" si="128"/>
        <v>16429.136054727271</v>
      </c>
      <c r="AE492" s="314">
        <f t="shared" si="129"/>
        <v>29644.620205384796</v>
      </c>
      <c r="AF492" s="315">
        <f t="shared" si="130"/>
        <v>-13215.484150657525</v>
      </c>
      <c r="AG492" s="316">
        <f t="shared" si="131"/>
        <v>0.66849315068493154</v>
      </c>
      <c r="AH492" s="314">
        <v>1</v>
      </c>
      <c r="AI492" s="314">
        <f t="shared" si="132"/>
        <v>-13215.484150657525</v>
      </c>
      <c r="AJ492" s="314">
        <f t="shared" si="133"/>
        <v>0</v>
      </c>
      <c r="AK492" s="317"/>
      <c r="AL492" s="315">
        <f t="shared" si="134"/>
        <v>-581.68636363636369</v>
      </c>
      <c r="AN492" s="554">
        <f t="shared" si="135"/>
        <v>-0.41380253653766685</v>
      </c>
      <c r="AO492" s="314"/>
      <c r="AP492" s="318"/>
    </row>
    <row r="493" spans="2:42">
      <c r="B493" s="296" t="s">
        <v>1254</v>
      </c>
      <c r="C493" s="299" t="s">
        <v>277</v>
      </c>
      <c r="D493" s="298" t="s">
        <v>717</v>
      </c>
      <c r="E493" s="299" t="s">
        <v>113</v>
      </c>
      <c r="F493" s="299" t="s">
        <v>59</v>
      </c>
      <c r="G493" s="300">
        <v>44427</v>
      </c>
      <c r="H493" s="303">
        <v>1415.58</v>
      </c>
      <c r="I493" s="301" t="str">
        <f t="shared" si="119"/>
        <v>Ingresos Sección II LISR (SIC &amp; BMV)</v>
      </c>
      <c r="J493" s="302">
        <f t="shared" si="120"/>
        <v>3</v>
      </c>
      <c r="K493" s="304">
        <f t="shared" si="121"/>
        <v>471.85999999999996</v>
      </c>
      <c r="L493" s="305">
        <f>IF(H493=0,0,IF(OR(E493=$AT$5,E493=$AT$6),AA493,IF(F493="MXN",1/HLOOKUP(YEAR(G493)+(MONTH(G493)/100),TC!$5:$37,DAY(G493)+2,FALSE),VLOOKUP(F493,Equivalencia!$5:$23,((MAX(Equivalencia!$3:$3)-YEAR(G493))*14)+MONTH(G493)+2,FALSE))))</f>
        <v>1</v>
      </c>
      <c r="M493" s="306">
        <f t="shared" si="122"/>
        <v>1415.58</v>
      </c>
      <c r="N493" s="305">
        <f>IF(G493=0,0,(IF(OR(E493=$AT$5,E493=$AT$6),AC493,HLOOKUP(YEAR(G493)+(MONTH(G493)/100),TC!$5:$37,DAY(G493)+2,FALSE))))</f>
        <v>19.991199999999999</v>
      </c>
      <c r="O493" s="307">
        <f t="shared" si="123"/>
        <v>28299.142895999998</v>
      </c>
      <c r="P493" s="560">
        <f>IF(G493=0,0,VLOOKUP(YEAR(G493),INPC!$B$4:$P$30,MONTH(G493)+2))</f>
        <v>113.899</v>
      </c>
      <c r="Q493" s="560">
        <f>IF(X493=0,0,IF(OR(E493=$AT$10,E493=$AT$9),VLOOKUP(YEAR(X493),INPC!$B$4:$P$30,MONTH(X493)+1),VLOOKUP(YEAR(X493),INPC!$B$4:$P$30,MONTH(X493)+2,0)))</f>
        <v>120.15900000000001</v>
      </c>
      <c r="R493" s="309">
        <f t="shared" si="124"/>
        <v>1.0548999999999999</v>
      </c>
      <c r="S493" s="310">
        <f t="shared" si="125"/>
        <v>29852.765840990396</v>
      </c>
      <c r="T493" s="555">
        <f t="shared" si="126"/>
        <v>9950.9219469967993</v>
      </c>
      <c r="U493" s="311"/>
      <c r="V493" s="312">
        <v>3</v>
      </c>
      <c r="W493" s="299" t="s">
        <v>194</v>
      </c>
      <c r="X493" s="300">
        <v>44671</v>
      </c>
      <c r="Y493" s="299" t="s">
        <v>59</v>
      </c>
      <c r="Z493" s="303">
        <v>824.02363636363634</v>
      </c>
      <c r="AA493" s="305">
        <f>IF(Z493=0,0,IF(Y493="MXN",1/HLOOKUP(YEAR(X493)+(MONTH(X493)/100),TC!$5:$37,DAY(X493)+2,FALSE),VLOOKUP(Y493,Equivalencia!$1:$23,((MAX(Equivalencia!$3:$3)-YEAR(X493))*14)+MONTH(X493)+2,FALSE)))</f>
        <v>1</v>
      </c>
      <c r="AB493" s="306">
        <f t="shared" si="127"/>
        <v>824.02363636363634</v>
      </c>
      <c r="AC493" s="305">
        <f>+IF(X493=0,0,HLOOKUP(YEAR(X493)+(MONTH(X493)/100),TC!$5:$37,DAY(X493)+2,FALSE))</f>
        <v>19.9377</v>
      </c>
      <c r="AD493" s="307">
        <f t="shared" si="128"/>
        <v>16429.136054727271</v>
      </c>
      <c r="AE493" s="314">
        <f t="shared" si="129"/>
        <v>29852.765840990396</v>
      </c>
      <c r="AF493" s="315">
        <f t="shared" si="130"/>
        <v>-13423.629786263125</v>
      </c>
      <c r="AG493" s="316">
        <f t="shared" si="131"/>
        <v>0.66849315068493154</v>
      </c>
      <c r="AH493" s="314">
        <v>1</v>
      </c>
      <c r="AI493" s="314">
        <f t="shared" si="132"/>
        <v>-13423.629786263125</v>
      </c>
      <c r="AJ493" s="314">
        <f t="shared" si="133"/>
        <v>0</v>
      </c>
      <c r="AK493" s="317"/>
      <c r="AL493" s="315">
        <f t="shared" si="134"/>
        <v>-591.55636363636359</v>
      </c>
      <c r="AN493" s="554">
        <f t="shared" si="135"/>
        <v>-0.41788974387626526</v>
      </c>
      <c r="AO493" s="314"/>
      <c r="AP493" s="318"/>
    </row>
    <row r="494" spans="2:42">
      <c r="B494" s="296" t="s">
        <v>1254</v>
      </c>
      <c r="C494" s="299" t="s">
        <v>277</v>
      </c>
      <c r="D494" s="298" t="s">
        <v>717</v>
      </c>
      <c r="E494" s="299" t="s">
        <v>113</v>
      </c>
      <c r="F494" s="299" t="s">
        <v>59</v>
      </c>
      <c r="G494" s="300">
        <v>44476</v>
      </c>
      <c r="H494" s="303">
        <v>2099.25</v>
      </c>
      <c r="I494" s="301" t="str">
        <f t="shared" si="119"/>
        <v>Ingresos Sección II LISR (SIC &amp; BMV)</v>
      </c>
      <c r="J494" s="302">
        <f t="shared" si="120"/>
        <v>5</v>
      </c>
      <c r="K494" s="304">
        <f t="shared" si="121"/>
        <v>419.85</v>
      </c>
      <c r="L494" s="305">
        <f>IF(H494=0,0,IF(OR(E494=$AT$5,E494=$AT$6),AA494,IF(F494="MXN",1/HLOOKUP(YEAR(G494)+(MONTH(G494)/100),TC!$5:$37,DAY(G494)+2,FALSE),VLOOKUP(F494,Equivalencia!$5:$23,((MAX(Equivalencia!$3:$3)-YEAR(G494))*14)+MONTH(G494)+2,FALSE))))</f>
        <v>1</v>
      </c>
      <c r="M494" s="306">
        <f t="shared" si="122"/>
        <v>2099.25</v>
      </c>
      <c r="N494" s="305">
        <f>IF(G494=0,0,(IF(OR(E494=$AT$5,E494=$AT$6),AC494,HLOOKUP(YEAR(G494)+(MONTH(G494)/100),TC!$5:$37,DAY(G494)+2,FALSE))))</f>
        <v>20.581800000000001</v>
      </c>
      <c r="O494" s="307">
        <f t="shared" si="123"/>
        <v>43206.343650000003</v>
      </c>
      <c r="P494" s="560">
        <f>IF(G494=0,0,VLOOKUP(YEAR(G494),INPC!$B$4:$P$30,MONTH(G494)+2))</f>
        <v>115.56100000000001</v>
      </c>
      <c r="Q494" s="560">
        <f>IF(X494=0,0,IF(OR(E494=$AT$10,E494=$AT$9),VLOOKUP(YEAR(X494),INPC!$B$4:$P$30,MONTH(X494)+1),VLOOKUP(YEAR(X494),INPC!$B$4:$P$30,MONTH(X494)+2,0)))</f>
        <v>120.15900000000001</v>
      </c>
      <c r="R494" s="309">
        <f t="shared" si="124"/>
        <v>1.0397000000000001</v>
      </c>
      <c r="S494" s="310">
        <f t="shared" si="125"/>
        <v>44921.635492905007</v>
      </c>
      <c r="T494" s="555">
        <f t="shared" si="126"/>
        <v>8984.3270985810013</v>
      </c>
      <c r="U494" s="311"/>
      <c r="V494" s="312">
        <v>5</v>
      </c>
      <c r="W494" s="299" t="s">
        <v>194</v>
      </c>
      <c r="X494" s="300">
        <v>44671</v>
      </c>
      <c r="Y494" s="299" t="s">
        <v>59</v>
      </c>
      <c r="Z494" s="303">
        <v>1373.3727272727274</v>
      </c>
      <c r="AA494" s="305">
        <f>IF(Z494=0,0,IF(Y494="MXN",1/HLOOKUP(YEAR(X494)+(MONTH(X494)/100),TC!$5:$37,DAY(X494)+2,FALSE),VLOOKUP(Y494,Equivalencia!$1:$23,((MAX(Equivalencia!$3:$3)-YEAR(X494))*14)+MONTH(X494)+2,FALSE)))</f>
        <v>1</v>
      </c>
      <c r="AB494" s="306">
        <f t="shared" si="127"/>
        <v>1373.3727272727274</v>
      </c>
      <c r="AC494" s="305">
        <f>+IF(X494=0,0,HLOOKUP(YEAR(X494)+(MONTH(X494)/100),TC!$5:$37,DAY(X494)+2,FALSE))</f>
        <v>19.9377</v>
      </c>
      <c r="AD494" s="307">
        <f t="shared" si="128"/>
        <v>27381.893424545455</v>
      </c>
      <c r="AE494" s="314">
        <f t="shared" si="129"/>
        <v>44921.635492905007</v>
      </c>
      <c r="AF494" s="315">
        <f t="shared" si="130"/>
        <v>-17539.742068359552</v>
      </c>
      <c r="AG494" s="316">
        <f t="shared" si="131"/>
        <v>0.53424657534246578</v>
      </c>
      <c r="AH494" s="314">
        <v>1</v>
      </c>
      <c r="AI494" s="314">
        <f t="shared" si="132"/>
        <v>-17539.742068359552</v>
      </c>
      <c r="AJ494" s="314">
        <f t="shared" si="133"/>
        <v>0</v>
      </c>
      <c r="AK494" s="317"/>
      <c r="AL494" s="315">
        <f t="shared" si="134"/>
        <v>-725.87727272727261</v>
      </c>
      <c r="AN494" s="554">
        <f t="shared" si="135"/>
        <v>-0.34577933677612127</v>
      </c>
      <c r="AO494" s="314"/>
      <c r="AP494" s="318"/>
    </row>
    <row r="495" spans="2:42">
      <c r="B495" s="296" t="s">
        <v>1254</v>
      </c>
      <c r="C495" s="299" t="s">
        <v>277</v>
      </c>
      <c r="D495" s="298" t="s">
        <v>717</v>
      </c>
      <c r="E495" s="299" t="s">
        <v>113</v>
      </c>
      <c r="F495" s="299" t="s">
        <v>59</v>
      </c>
      <c r="G495" s="300">
        <v>44476</v>
      </c>
      <c r="H495" s="303">
        <v>5895.9809999999998</v>
      </c>
      <c r="I495" s="301" t="str">
        <f t="shared" si="119"/>
        <v>Ingresos Sección II LISR (SIC &amp; BMV)</v>
      </c>
      <c r="J495" s="302">
        <f t="shared" si="120"/>
        <v>14</v>
      </c>
      <c r="K495" s="304">
        <f t="shared" si="121"/>
        <v>421.14150000000001</v>
      </c>
      <c r="L495" s="305">
        <f>IF(H495=0,0,IF(OR(E495=$AT$5,E495=$AT$6),AA495,IF(F495="MXN",1/HLOOKUP(YEAR(G495)+(MONTH(G495)/100),TC!$5:$37,DAY(G495)+2,FALSE),VLOOKUP(F495,Equivalencia!$5:$23,((MAX(Equivalencia!$3:$3)-YEAR(G495))*14)+MONTH(G495)+2,FALSE))))</f>
        <v>1</v>
      </c>
      <c r="M495" s="306">
        <f t="shared" si="122"/>
        <v>5895.9809999999998</v>
      </c>
      <c r="N495" s="305">
        <f>IF(G495=0,0,(IF(OR(E495=$AT$5,E495=$AT$6),AC495,HLOOKUP(YEAR(G495)+(MONTH(G495)/100),TC!$5:$37,DAY(G495)+2,FALSE))))</f>
        <v>20.581800000000001</v>
      </c>
      <c r="O495" s="307">
        <f t="shared" si="123"/>
        <v>121349.9017458</v>
      </c>
      <c r="P495" s="560">
        <f>IF(G495=0,0,VLOOKUP(YEAR(G495),INPC!$B$4:$P$30,MONTH(G495)+2))</f>
        <v>115.56100000000001</v>
      </c>
      <c r="Q495" s="560">
        <f>IF(X495=0,0,IF(OR(E495=$AT$10,E495=$AT$9),VLOOKUP(YEAR(X495),INPC!$B$4:$P$30,MONTH(X495)+1),VLOOKUP(YEAR(X495),INPC!$B$4:$P$30,MONTH(X495)+2,0)))</f>
        <v>120.15900000000001</v>
      </c>
      <c r="R495" s="309">
        <f t="shared" si="124"/>
        <v>1.0397000000000001</v>
      </c>
      <c r="S495" s="310">
        <f t="shared" si="125"/>
        <v>126167.49284510827</v>
      </c>
      <c r="T495" s="555">
        <f t="shared" si="126"/>
        <v>9011.9637746505905</v>
      </c>
      <c r="U495" s="311"/>
      <c r="V495" s="312">
        <v>14</v>
      </c>
      <c r="W495" s="299" t="s">
        <v>194</v>
      </c>
      <c r="X495" s="300">
        <v>44671</v>
      </c>
      <c r="Y495" s="299" t="s">
        <v>59</v>
      </c>
      <c r="Z495" s="303">
        <v>3845.4436363636364</v>
      </c>
      <c r="AA495" s="305">
        <f>IF(Z495=0,0,IF(Y495="MXN",1/HLOOKUP(YEAR(X495)+(MONTH(X495)/100),TC!$5:$37,DAY(X495)+2,FALSE),VLOOKUP(Y495,Equivalencia!$1:$23,((MAX(Equivalencia!$3:$3)-YEAR(X495))*14)+MONTH(X495)+2,FALSE)))</f>
        <v>1</v>
      </c>
      <c r="AB495" s="306">
        <f t="shared" si="127"/>
        <v>3845.4436363636364</v>
      </c>
      <c r="AC495" s="305">
        <f>+IF(X495=0,0,HLOOKUP(YEAR(X495)+(MONTH(X495)/100),TC!$5:$37,DAY(X495)+2,FALSE))</f>
        <v>19.9377</v>
      </c>
      <c r="AD495" s="307">
        <f t="shared" si="128"/>
        <v>76669.301588727278</v>
      </c>
      <c r="AE495" s="314">
        <f t="shared" si="129"/>
        <v>126167.49284510827</v>
      </c>
      <c r="AF495" s="315">
        <f t="shared" si="130"/>
        <v>-49498.191256380989</v>
      </c>
      <c r="AG495" s="316">
        <f t="shared" si="131"/>
        <v>0.53424657534246578</v>
      </c>
      <c r="AH495" s="314">
        <v>1</v>
      </c>
      <c r="AI495" s="314">
        <f t="shared" si="132"/>
        <v>-49498.191256380989</v>
      </c>
      <c r="AJ495" s="314">
        <f t="shared" si="133"/>
        <v>0</v>
      </c>
      <c r="AK495" s="317"/>
      <c r="AL495" s="315">
        <f t="shared" si="134"/>
        <v>-2050.5373636363634</v>
      </c>
      <c r="AN495" s="554">
        <f t="shared" si="135"/>
        <v>-0.34778561254460683</v>
      </c>
      <c r="AO495" s="314"/>
      <c r="AP495" s="318"/>
    </row>
    <row r="496" spans="2:42">
      <c r="B496" s="296" t="s">
        <v>1254</v>
      </c>
      <c r="C496" s="299" t="s">
        <v>277</v>
      </c>
      <c r="D496" s="298" t="s">
        <v>717</v>
      </c>
      <c r="E496" s="299" t="s">
        <v>113</v>
      </c>
      <c r="F496" s="299" t="s">
        <v>59</v>
      </c>
      <c r="G496" s="300">
        <v>44476</v>
      </c>
      <c r="H496" s="303">
        <v>2526.8490000000002</v>
      </c>
      <c r="I496" s="301" t="str">
        <f t="shared" si="119"/>
        <v>Ingresos Sección II LISR (SIC &amp; BMV)</v>
      </c>
      <c r="J496" s="302">
        <f t="shared" si="120"/>
        <v>6</v>
      </c>
      <c r="K496" s="304">
        <f t="shared" si="121"/>
        <v>421.14150000000001</v>
      </c>
      <c r="L496" s="305">
        <f>IF(H496=0,0,IF(OR(E496=$AT$5,E496=$AT$6),AA496,IF(F496="MXN",1/HLOOKUP(YEAR(G496)+(MONTH(G496)/100),TC!$5:$37,DAY(G496)+2,FALSE),VLOOKUP(F496,Equivalencia!$5:$23,((MAX(Equivalencia!$3:$3)-YEAR(G496))*14)+MONTH(G496)+2,FALSE))))</f>
        <v>1</v>
      </c>
      <c r="M496" s="306">
        <f t="shared" si="122"/>
        <v>2526.8490000000002</v>
      </c>
      <c r="N496" s="305">
        <f>IF(G496=0,0,(IF(OR(E496=$AT$5,E496=$AT$6),AC496,HLOOKUP(YEAR(G496)+(MONTH(G496)/100),TC!$5:$37,DAY(G496)+2,FALSE))))</f>
        <v>20.581800000000001</v>
      </c>
      <c r="O496" s="307">
        <f t="shared" si="123"/>
        <v>52007.100748200006</v>
      </c>
      <c r="P496" s="560">
        <f>IF(G496=0,0,VLOOKUP(YEAR(G496),INPC!$B$4:$P$30,MONTH(G496)+2))</f>
        <v>115.56100000000001</v>
      </c>
      <c r="Q496" s="560">
        <f>IF(X496=0,0,IF(OR(E496=$AT$10,E496=$AT$9),VLOOKUP(YEAR(X496),INPC!$B$4:$P$30,MONTH(X496)+1),VLOOKUP(YEAR(X496),INPC!$B$4:$P$30,MONTH(X496)+2,0)))</f>
        <v>120.15900000000001</v>
      </c>
      <c r="R496" s="309">
        <f t="shared" si="124"/>
        <v>1.0397000000000001</v>
      </c>
      <c r="S496" s="310">
        <f t="shared" si="125"/>
        <v>54071.78264790355</v>
      </c>
      <c r="T496" s="555">
        <f t="shared" si="126"/>
        <v>9011.9637746505923</v>
      </c>
      <c r="U496" s="311"/>
      <c r="V496" s="312">
        <v>6</v>
      </c>
      <c r="W496" s="299" t="s">
        <v>194</v>
      </c>
      <c r="X496" s="300">
        <v>44671</v>
      </c>
      <c r="Y496" s="299" t="s">
        <v>59</v>
      </c>
      <c r="Z496" s="303">
        <v>1646.2719402985072</v>
      </c>
      <c r="AA496" s="305">
        <f>IF(Z496=0,0,IF(Y496="MXN",1/HLOOKUP(YEAR(X496)+(MONTH(X496)/100),TC!$5:$37,DAY(X496)+2,FALSE),VLOOKUP(Y496,Equivalencia!$1:$23,((MAX(Equivalencia!$3:$3)-YEAR(X496))*14)+MONTH(X496)+2,FALSE)))</f>
        <v>1</v>
      </c>
      <c r="AB496" s="306">
        <f t="shared" si="127"/>
        <v>1646.2719402985072</v>
      </c>
      <c r="AC496" s="305">
        <f>+IF(X496=0,0,HLOOKUP(YEAR(X496)+(MONTH(X496)/100),TC!$5:$37,DAY(X496)+2,FALSE))</f>
        <v>19.9377</v>
      </c>
      <c r="AD496" s="307">
        <f t="shared" si="128"/>
        <v>32822.876064089549</v>
      </c>
      <c r="AE496" s="314">
        <f t="shared" si="129"/>
        <v>54071.782647903558</v>
      </c>
      <c r="AF496" s="315">
        <f t="shared" si="130"/>
        <v>-21248.906583814009</v>
      </c>
      <c r="AG496" s="316">
        <f t="shared" si="131"/>
        <v>0.53424657534246578</v>
      </c>
      <c r="AH496" s="314">
        <v>1</v>
      </c>
      <c r="AI496" s="314">
        <f t="shared" si="132"/>
        <v>-21248.906583814009</v>
      </c>
      <c r="AJ496" s="314">
        <f t="shared" si="133"/>
        <v>0</v>
      </c>
      <c r="AK496" s="317"/>
      <c r="AL496" s="315">
        <f t="shared" si="134"/>
        <v>-880.577059701493</v>
      </c>
      <c r="AN496" s="554">
        <f t="shared" si="135"/>
        <v>-0.34848820000779346</v>
      </c>
      <c r="AO496" s="314"/>
      <c r="AP496" s="318"/>
    </row>
    <row r="497" spans="2:42">
      <c r="B497" s="296" t="s">
        <v>1254</v>
      </c>
      <c r="C497" s="299" t="s">
        <v>277</v>
      </c>
      <c r="D497" s="298" t="s">
        <v>717</v>
      </c>
      <c r="E497" s="299" t="s">
        <v>113</v>
      </c>
      <c r="F497" s="299" t="s">
        <v>59</v>
      </c>
      <c r="G497" s="300">
        <v>44537</v>
      </c>
      <c r="H497" s="303">
        <v>2272.62</v>
      </c>
      <c r="I497" s="301" t="str">
        <f t="shared" si="119"/>
        <v>Ingresos Sección II LISR (SIC &amp; BMV)</v>
      </c>
      <c r="J497" s="302">
        <f t="shared" si="120"/>
        <v>6</v>
      </c>
      <c r="K497" s="304">
        <f t="shared" si="121"/>
        <v>378.77</v>
      </c>
      <c r="L497" s="305">
        <f>IF(H497=0,0,IF(OR(E497=$AT$5,E497=$AT$6),AA497,IF(F497="MXN",1/HLOOKUP(YEAR(G497)+(MONTH(G497)/100),TC!$5:$37,DAY(G497)+2,FALSE),VLOOKUP(F497,Equivalencia!$5:$23,((MAX(Equivalencia!$3:$3)-YEAR(G497))*14)+MONTH(G497)+2,FALSE))))</f>
        <v>1</v>
      </c>
      <c r="M497" s="306">
        <f t="shared" si="122"/>
        <v>2272.62</v>
      </c>
      <c r="N497" s="305">
        <f>IF(G497=0,0,(IF(OR(E497=$AT$5,E497=$AT$6),AC497,HLOOKUP(YEAR(G497)+(MONTH(G497)/100),TC!$5:$37,DAY(G497)+2,FALSE))))</f>
        <v>21.4177</v>
      </c>
      <c r="O497" s="307">
        <f t="shared" si="123"/>
        <v>48674.293374000001</v>
      </c>
      <c r="P497" s="560">
        <f>IF(G497=0,0,VLOOKUP(YEAR(G497),INPC!$B$4:$P$30,MONTH(G497)+2))</f>
        <v>117.30800000000001</v>
      </c>
      <c r="Q497" s="560">
        <f>IF(X497=0,0,IF(OR(E497=$AT$10,E497=$AT$9),VLOOKUP(YEAR(X497),INPC!$B$4:$P$30,MONTH(X497)+1),VLOOKUP(YEAR(X497),INPC!$B$4:$P$30,MONTH(X497)+2,0)))</f>
        <v>120.15900000000001</v>
      </c>
      <c r="R497" s="309">
        <f t="shared" si="124"/>
        <v>1.0243</v>
      </c>
      <c r="S497" s="310">
        <f t="shared" si="125"/>
        <v>49857.078702988198</v>
      </c>
      <c r="T497" s="555">
        <f t="shared" si="126"/>
        <v>8309.513117164699</v>
      </c>
      <c r="U497" s="311"/>
      <c r="V497" s="312">
        <v>6</v>
      </c>
      <c r="W497" s="299" t="s">
        <v>194</v>
      </c>
      <c r="X497" s="300">
        <v>44671</v>
      </c>
      <c r="Y497" s="299" t="s">
        <v>59</v>
      </c>
      <c r="Z497" s="303">
        <v>1646.2719402985072</v>
      </c>
      <c r="AA497" s="305">
        <f>IF(Z497=0,0,IF(Y497="MXN",1/HLOOKUP(YEAR(X497)+(MONTH(X497)/100),TC!$5:$37,DAY(X497)+2,FALSE),VLOOKUP(Y497,Equivalencia!$1:$23,((MAX(Equivalencia!$3:$3)-YEAR(X497))*14)+MONTH(X497)+2,FALSE)))</f>
        <v>1</v>
      </c>
      <c r="AB497" s="306">
        <f t="shared" si="127"/>
        <v>1646.2719402985072</v>
      </c>
      <c r="AC497" s="305">
        <f>+IF(X497=0,0,HLOOKUP(YEAR(X497)+(MONTH(X497)/100),TC!$5:$37,DAY(X497)+2,FALSE))</f>
        <v>19.9377</v>
      </c>
      <c r="AD497" s="307">
        <f t="shared" si="128"/>
        <v>32822.876064089549</v>
      </c>
      <c r="AE497" s="314">
        <f t="shared" si="129"/>
        <v>49857.07870298819</v>
      </c>
      <c r="AF497" s="315">
        <f t="shared" si="130"/>
        <v>-17034.202638898641</v>
      </c>
      <c r="AG497" s="316">
        <f t="shared" si="131"/>
        <v>0.36712328767123287</v>
      </c>
      <c r="AH497" s="314">
        <v>1</v>
      </c>
      <c r="AI497" s="314">
        <f t="shared" si="132"/>
        <v>-17034.202638898641</v>
      </c>
      <c r="AJ497" s="314">
        <f t="shared" si="133"/>
        <v>0</v>
      </c>
      <c r="AK497" s="317"/>
      <c r="AL497" s="315">
        <f t="shared" si="134"/>
        <v>-626.34805970149273</v>
      </c>
      <c r="AN497" s="554">
        <f t="shared" si="135"/>
        <v>-0.27560615487916712</v>
      </c>
      <c r="AO497" s="314"/>
      <c r="AP497" s="318"/>
    </row>
    <row r="498" spans="2:42">
      <c r="B498" s="296" t="s">
        <v>1254</v>
      </c>
      <c r="C498" s="299" t="s">
        <v>277</v>
      </c>
      <c r="D498" s="298" t="s">
        <v>717</v>
      </c>
      <c r="E498" s="299" t="s">
        <v>113</v>
      </c>
      <c r="F498" s="299" t="s">
        <v>59</v>
      </c>
      <c r="G498" s="300">
        <v>44537</v>
      </c>
      <c r="H498" s="303">
        <v>3045.33</v>
      </c>
      <c r="I498" s="301" t="str">
        <f t="shared" si="119"/>
        <v>Ingresos Sección II LISR (SIC &amp; BMV)</v>
      </c>
      <c r="J498" s="302">
        <f t="shared" si="120"/>
        <v>8</v>
      </c>
      <c r="K498" s="304">
        <f t="shared" si="121"/>
        <v>380.66624999999999</v>
      </c>
      <c r="L498" s="305">
        <f>IF(H498=0,0,IF(OR(E498=$AT$5,E498=$AT$6),AA498,IF(F498="MXN",1/HLOOKUP(YEAR(G498)+(MONTH(G498)/100),TC!$5:$37,DAY(G498)+2,FALSE),VLOOKUP(F498,Equivalencia!$5:$23,((MAX(Equivalencia!$3:$3)-YEAR(G498))*14)+MONTH(G498)+2,FALSE))))</f>
        <v>1</v>
      </c>
      <c r="M498" s="306">
        <f t="shared" si="122"/>
        <v>3045.33</v>
      </c>
      <c r="N498" s="305">
        <f>IF(G498=0,0,(IF(OR(E498=$AT$5,E498=$AT$6),AC498,HLOOKUP(YEAR(G498)+(MONTH(G498)/100),TC!$5:$37,DAY(G498)+2,FALSE))))</f>
        <v>21.4177</v>
      </c>
      <c r="O498" s="307">
        <f t="shared" si="123"/>
        <v>65223.964340999999</v>
      </c>
      <c r="P498" s="560">
        <f>IF(G498=0,0,VLOOKUP(YEAR(G498),INPC!$B$4:$P$30,MONTH(G498)+2))</f>
        <v>117.30800000000001</v>
      </c>
      <c r="Q498" s="560">
        <f>IF(X498=0,0,IF(OR(E498=$AT$10,E498=$AT$9),VLOOKUP(YEAR(X498),INPC!$B$4:$P$30,MONTH(X498)+1),VLOOKUP(YEAR(X498),INPC!$B$4:$P$30,MONTH(X498)+2,0)))</f>
        <v>120.15900000000001</v>
      </c>
      <c r="R498" s="309">
        <f t="shared" si="124"/>
        <v>1.0243</v>
      </c>
      <c r="S498" s="310">
        <f t="shared" si="125"/>
        <v>66808.906674486294</v>
      </c>
      <c r="T498" s="555">
        <f t="shared" si="126"/>
        <v>8351.1133343107867</v>
      </c>
      <c r="U498" s="311"/>
      <c r="V498" s="312">
        <v>8</v>
      </c>
      <c r="W498" s="299" t="s">
        <v>194</v>
      </c>
      <c r="X498" s="300">
        <v>44671</v>
      </c>
      <c r="Y498" s="299" t="s">
        <v>59</v>
      </c>
      <c r="Z498" s="303">
        <v>2195.029253731343</v>
      </c>
      <c r="AA498" s="305">
        <f>IF(Z498=0,0,IF(Y498="MXN",1/HLOOKUP(YEAR(X498)+(MONTH(X498)/100),TC!$5:$37,DAY(X498)+2,FALSE),VLOOKUP(Y498,Equivalencia!$1:$23,((MAX(Equivalencia!$3:$3)-YEAR(X498))*14)+MONTH(X498)+2,FALSE)))</f>
        <v>1</v>
      </c>
      <c r="AB498" s="306">
        <f t="shared" si="127"/>
        <v>2195.029253731343</v>
      </c>
      <c r="AC498" s="305">
        <f>+IF(X498=0,0,HLOOKUP(YEAR(X498)+(MONTH(X498)/100),TC!$5:$37,DAY(X498)+2,FALSE))</f>
        <v>19.9377</v>
      </c>
      <c r="AD498" s="307">
        <f t="shared" si="128"/>
        <v>43763.834752119394</v>
      </c>
      <c r="AE498" s="314">
        <f t="shared" si="129"/>
        <v>66808.906674486294</v>
      </c>
      <c r="AF498" s="315">
        <f t="shared" si="130"/>
        <v>-23045.0719223669</v>
      </c>
      <c r="AG498" s="316">
        <f t="shared" si="131"/>
        <v>0.36712328767123287</v>
      </c>
      <c r="AH498" s="314">
        <v>1</v>
      </c>
      <c r="AI498" s="314">
        <f t="shared" si="132"/>
        <v>-23045.0719223669</v>
      </c>
      <c r="AJ498" s="314">
        <f t="shared" si="133"/>
        <v>0</v>
      </c>
      <c r="AK498" s="317"/>
      <c r="AL498" s="315">
        <f t="shared" si="134"/>
        <v>-850.30074626865689</v>
      </c>
      <c r="AN498" s="554">
        <f t="shared" si="135"/>
        <v>-0.27921464874698537</v>
      </c>
      <c r="AO498" s="314"/>
      <c r="AP498" s="318"/>
    </row>
    <row r="499" spans="2:42">
      <c r="B499" s="296" t="s">
        <v>1254</v>
      </c>
      <c r="C499" s="299" t="s">
        <v>277</v>
      </c>
      <c r="D499" s="298" t="s">
        <v>717</v>
      </c>
      <c r="E499" s="299" t="s">
        <v>113</v>
      </c>
      <c r="F499" s="299" t="s">
        <v>59</v>
      </c>
      <c r="G499" s="300">
        <v>44537</v>
      </c>
      <c r="H499" s="303">
        <v>10256.870000000001</v>
      </c>
      <c r="I499" s="301" t="str">
        <f t="shared" si="119"/>
        <v>Ingresos Sección II LISR (SIC &amp; BMV)</v>
      </c>
      <c r="J499" s="302">
        <f t="shared" si="120"/>
        <v>27</v>
      </c>
      <c r="K499" s="304">
        <f t="shared" si="121"/>
        <v>379.88407407407408</v>
      </c>
      <c r="L499" s="305">
        <f>IF(H499=0,0,IF(OR(E499=$AT$5,E499=$AT$6),AA499,IF(F499="MXN",1/HLOOKUP(YEAR(G499)+(MONTH(G499)/100),TC!$5:$37,DAY(G499)+2,FALSE),VLOOKUP(F499,Equivalencia!$5:$23,((MAX(Equivalencia!$3:$3)-YEAR(G499))*14)+MONTH(G499)+2,FALSE))))</f>
        <v>1</v>
      </c>
      <c r="M499" s="306">
        <f t="shared" si="122"/>
        <v>10256.870000000001</v>
      </c>
      <c r="N499" s="305">
        <f>IF(G499=0,0,(IF(OR(E499=$AT$5,E499=$AT$6),AC499,HLOOKUP(YEAR(G499)+(MONTH(G499)/100),TC!$5:$37,DAY(G499)+2,FALSE))))</f>
        <v>21.4177</v>
      </c>
      <c r="O499" s="307">
        <f t="shared" si="123"/>
        <v>219678.564599</v>
      </c>
      <c r="P499" s="560">
        <f>IF(G499=0,0,VLOOKUP(YEAR(G499),INPC!$B$4:$P$30,MONTH(G499)+2))</f>
        <v>117.30800000000001</v>
      </c>
      <c r="Q499" s="560">
        <f>IF(X499=0,0,IF(OR(E499=$AT$10,E499=$AT$9),VLOOKUP(YEAR(X499),INPC!$B$4:$P$30,MONTH(X499)+1),VLOOKUP(YEAR(X499),INPC!$B$4:$P$30,MONTH(X499)+2,0)))</f>
        <v>120.15900000000001</v>
      </c>
      <c r="R499" s="309">
        <f t="shared" si="124"/>
        <v>1.0243</v>
      </c>
      <c r="S499" s="310">
        <f t="shared" si="125"/>
        <v>225016.7537187557</v>
      </c>
      <c r="T499" s="555">
        <f t="shared" si="126"/>
        <v>8333.9538414353956</v>
      </c>
      <c r="U499" s="311"/>
      <c r="V499" s="312">
        <v>27</v>
      </c>
      <c r="W499" s="299" t="s">
        <v>194</v>
      </c>
      <c r="X499" s="300">
        <v>44671</v>
      </c>
      <c r="Y499" s="299" t="s">
        <v>59</v>
      </c>
      <c r="Z499" s="303">
        <v>7408.2237313432825</v>
      </c>
      <c r="AA499" s="305">
        <f>IF(Z499=0,0,IF(Y499="MXN",1/HLOOKUP(YEAR(X499)+(MONTH(X499)/100),TC!$5:$37,DAY(X499)+2,FALSE),VLOOKUP(Y499,Equivalencia!$1:$23,((MAX(Equivalencia!$3:$3)-YEAR(X499))*14)+MONTH(X499)+2,FALSE)))</f>
        <v>1</v>
      </c>
      <c r="AB499" s="306">
        <f t="shared" si="127"/>
        <v>7408.2237313432825</v>
      </c>
      <c r="AC499" s="305">
        <f>+IF(X499=0,0,HLOOKUP(YEAR(X499)+(MONTH(X499)/100),TC!$5:$37,DAY(X499)+2,FALSE))</f>
        <v>19.9377</v>
      </c>
      <c r="AD499" s="307">
        <f t="shared" si="128"/>
        <v>147702.94228840296</v>
      </c>
      <c r="AE499" s="314">
        <f t="shared" si="129"/>
        <v>225016.75371875567</v>
      </c>
      <c r="AF499" s="315">
        <f t="shared" si="130"/>
        <v>-77313.811430352711</v>
      </c>
      <c r="AG499" s="316">
        <f t="shared" si="131"/>
        <v>0.36712328767123287</v>
      </c>
      <c r="AH499" s="314">
        <v>1</v>
      </c>
      <c r="AI499" s="314">
        <f t="shared" si="132"/>
        <v>-77313.811430352711</v>
      </c>
      <c r="AJ499" s="314">
        <f t="shared" si="133"/>
        <v>0</v>
      </c>
      <c r="AK499" s="317"/>
      <c r="AL499" s="315">
        <f t="shared" si="134"/>
        <v>-2848.6462686567183</v>
      </c>
      <c r="AN499" s="554">
        <f t="shared" si="135"/>
        <v>-0.2777305619215919</v>
      </c>
      <c r="AO499" s="314"/>
      <c r="AP499" s="318"/>
    </row>
    <row r="500" spans="2:42">
      <c r="B500" s="296" t="s">
        <v>1254</v>
      </c>
      <c r="C500" s="299" t="s">
        <v>277</v>
      </c>
      <c r="D500" s="298" t="s">
        <v>717</v>
      </c>
      <c r="E500" s="299" t="s">
        <v>113</v>
      </c>
      <c r="F500" s="299" t="s">
        <v>59</v>
      </c>
      <c r="G500" s="300">
        <v>44599</v>
      </c>
      <c r="H500" s="303">
        <v>373.49</v>
      </c>
      <c r="I500" s="301" t="str">
        <f t="shared" si="119"/>
        <v>Ingresos Sección II LISR (SIC &amp; BMV)</v>
      </c>
      <c r="J500" s="302">
        <f t="shared" si="120"/>
        <v>1</v>
      </c>
      <c r="K500" s="304">
        <f t="shared" si="121"/>
        <v>373.49</v>
      </c>
      <c r="L500" s="305">
        <f>IF(H500=0,0,IF(OR(E500=$AT$5,E500=$AT$6),AA500,IF(F500="MXN",1/HLOOKUP(YEAR(G500)+(MONTH(G500)/100),TC!$5:$37,DAY(G500)+2,FALSE),VLOOKUP(F500,Equivalencia!$5:$23,((MAX(Equivalencia!$3:$3)-YEAR(G500))*14)+MONTH(G500)+2,FALSE))))</f>
        <v>1</v>
      </c>
      <c r="M500" s="306">
        <f t="shared" si="122"/>
        <v>373.49</v>
      </c>
      <c r="N500" s="305">
        <f>IF(G500=0,0,(IF(OR(E500=$AT$5,E500=$AT$6),AC500,HLOOKUP(YEAR(G500)+(MONTH(G500)/100),TC!$5:$37,DAY(G500)+2,FALSE))))</f>
        <v>20.5562</v>
      </c>
      <c r="O500" s="307">
        <f t="shared" si="123"/>
        <v>7677.5351380000002</v>
      </c>
      <c r="P500" s="560">
        <f>IF(G500=0,0,VLOOKUP(YEAR(G500),INPC!$B$4:$P$30,MONTH(G500)+2))</f>
        <v>118.98099999999999</v>
      </c>
      <c r="Q500" s="560">
        <f>IF(X500=0,0,IF(OR(E500=$AT$10,E500=$AT$9),VLOOKUP(YEAR(X500),INPC!$B$4:$P$30,MONTH(X500)+1),VLOOKUP(YEAR(X500),INPC!$B$4:$P$30,MONTH(X500)+2,0)))</f>
        <v>120.15900000000001</v>
      </c>
      <c r="R500" s="309">
        <f t="shared" si="124"/>
        <v>1.0099</v>
      </c>
      <c r="S500" s="310">
        <f t="shared" si="125"/>
        <v>7753.5427358662</v>
      </c>
      <c r="T500" s="555">
        <f t="shared" si="126"/>
        <v>7753.5427358662</v>
      </c>
      <c r="U500" s="311"/>
      <c r="V500" s="312">
        <v>1</v>
      </c>
      <c r="W500" s="299" t="s">
        <v>194</v>
      </c>
      <c r="X500" s="300">
        <v>44671</v>
      </c>
      <c r="Y500" s="299" t="s">
        <v>59</v>
      </c>
      <c r="Z500" s="303">
        <v>274.37865671641788</v>
      </c>
      <c r="AA500" s="305">
        <f>IF(Z500=0,0,IF(Y500="MXN",1/HLOOKUP(YEAR(X500)+(MONTH(X500)/100),TC!$5:$37,DAY(X500)+2,FALSE),VLOOKUP(Y500,Equivalencia!$1:$23,((MAX(Equivalencia!$3:$3)-YEAR(X500))*14)+MONTH(X500)+2,FALSE)))</f>
        <v>1</v>
      </c>
      <c r="AB500" s="306">
        <f t="shared" si="127"/>
        <v>274.37865671641788</v>
      </c>
      <c r="AC500" s="305">
        <f>+IF(X500=0,0,HLOOKUP(YEAR(X500)+(MONTH(X500)/100),TC!$5:$37,DAY(X500)+2,FALSE))</f>
        <v>19.9377</v>
      </c>
      <c r="AD500" s="307">
        <f t="shared" si="128"/>
        <v>5470.4793440149242</v>
      </c>
      <c r="AE500" s="314">
        <f t="shared" si="129"/>
        <v>7753.5427358662</v>
      </c>
      <c r="AF500" s="315">
        <f t="shared" si="130"/>
        <v>-2283.0633918512758</v>
      </c>
      <c r="AG500" s="316">
        <f t="shared" si="131"/>
        <v>0.19726027397260273</v>
      </c>
      <c r="AH500" s="314">
        <v>1</v>
      </c>
      <c r="AI500" s="314">
        <f t="shared" si="132"/>
        <v>-2283.0633918512758</v>
      </c>
      <c r="AJ500" s="314">
        <f t="shared" si="133"/>
        <v>0</v>
      </c>
      <c r="AK500" s="317"/>
      <c r="AL500" s="315">
        <f t="shared" si="134"/>
        <v>-99.11134328358213</v>
      </c>
      <c r="AN500" s="554">
        <f t="shared" si="135"/>
        <v>-0.26536545364958131</v>
      </c>
      <c r="AO500" s="314"/>
      <c r="AP500" s="318"/>
    </row>
    <row r="501" spans="2:42">
      <c r="B501" s="296" t="s">
        <v>1254</v>
      </c>
      <c r="C501" s="299" t="s">
        <v>277</v>
      </c>
      <c r="D501" s="298" t="s">
        <v>717</v>
      </c>
      <c r="E501" s="299" t="s">
        <v>113</v>
      </c>
      <c r="F501" s="299" t="s">
        <v>59</v>
      </c>
      <c r="G501" s="300">
        <v>44599</v>
      </c>
      <c r="H501" s="303">
        <v>4852.6899999999996</v>
      </c>
      <c r="I501" s="301" t="str">
        <f t="shared" si="119"/>
        <v>Ingresos Sección II LISR (SIC &amp; BMV)</v>
      </c>
      <c r="J501" s="302">
        <f t="shared" si="120"/>
        <v>13</v>
      </c>
      <c r="K501" s="304">
        <f t="shared" si="121"/>
        <v>373.28384615384613</v>
      </c>
      <c r="L501" s="305">
        <f>IF(H501=0,0,IF(OR(E501=$AT$5,E501=$AT$6),AA501,IF(F501="MXN",1/HLOOKUP(YEAR(G501)+(MONTH(G501)/100),TC!$5:$37,DAY(G501)+2,FALSE),VLOOKUP(F501,Equivalencia!$5:$23,((MAX(Equivalencia!$3:$3)-YEAR(G501))*14)+MONTH(G501)+2,FALSE))))</f>
        <v>1</v>
      </c>
      <c r="M501" s="306">
        <f t="shared" si="122"/>
        <v>4852.6899999999996</v>
      </c>
      <c r="N501" s="305">
        <f>IF(G501=0,0,(IF(OR(E501=$AT$5,E501=$AT$6),AC501,HLOOKUP(YEAR(G501)+(MONTH(G501)/100),TC!$5:$37,DAY(G501)+2,FALSE))))</f>
        <v>20.5562</v>
      </c>
      <c r="O501" s="307">
        <f t="shared" si="123"/>
        <v>99752.866177999997</v>
      </c>
      <c r="P501" s="560">
        <f>IF(G501=0,0,VLOOKUP(YEAR(G501),INPC!$B$4:$P$30,MONTH(G501)+2))</f>
        <v>118.98099999999999</v>
      </c>
      <c r="Q501" s="560">
        <f>IF(X501=0,0,IF(OR(E501=$AT$10,E501=$AT$9),VLOOKUP(YEAR(X501),INPC!$B$4:$P$30,MONTH(X501)+1),VLOOKUP(YEAR(X501),INPC!$B$4:$P$30,MONTH(X501)+2,0)))</f>
        <v>120.15900000000001</v>
      </c>
      <c r="R501" s="309">
        <f t="shared" si="124"/>
        <v>1.0099</v>
      </c>
      <c r="S501" s="310">
        <f t="shared" si="125"/>
        <v>100740.4195531622</v>
      </c>
      <c r="T501" s="555">
        <f t="shared" si="126"/>
        <v>7749.2630425509378</v>
      </c>
      <c r="U501" s="311"/>
      <c r="V501" s="312">
        <v>13</v>
      </c>
      <c r="W501" s="299" t="s">
        <v>194</v>
      </c>
      <c r="X501" s="300">
        <v>44671</v>
      </c>
      <c r="Y501" s="299" t="s">
        <v>59</v>
      </c>
      <c r="Z501" s="303">
        <v>3566.9225373134323</v>
      </c>
      <c r="AA501" s="305">
        <f>IF(Z501=0,0,IF(Y501="MXN",1/HLOOKUP(YEAR(X501)+(MONTH(X501)/100),TC!$5:$37,DAY(X501)+2,FALSE),VLOOKUP(Y501,Equivalencia!$1:$23,((MAX(Equivalencia!$3:$3)-YEAR(X501))*14)+MONTH(X501)+2,FALSE)))</f>
        <v>1</v>
      </c>
      <c r="AB501" s="306">
        <f t="shared" si="127"/>
        <v>3566.9225373134323</v>
      </c>
      <c r="AC501" s="305">
        <f>+IF(X501=0,0,HLOOKUP(YEAR(X501)+(MONTH(X501)/100),TC!$5:$37,DAY(X501)+2,FALSE))</f>
        <v>19.9377</v>
      </c>
      <c r="AD501" s="307">
        <f t="shared" si="128"/>
        <v>71116.23147219402</v>
      </c>
      <c r="AE501" s="314">
        <f t="shared" si="129"/>
        <v>100740.4195531622</v>
      </c>
      <c r="AF501" s="315">
        <f t="shared" si="130"/>
        <v>-29624.188080968175</v>
      </c>
      <c r="AG501" s="316">
        <f t="shared" si="131"/>
        <v>0.19726027397260273</v>
      </c>
      <c r="AH501" s="314">
        <v>1</v>
      </c>
      <c r="AI501" s="314">
        <f t="shared" si="132"/>
        <v>-29624.188080968175</v>
      </c>
      <c r="AJ501" s="314">
        <f t="shared" si="133"/>
        <v>0</v>
      </c>
      <c r="AK501" s="317"/>
      <c r="AL501" s="315">
        <f t="shared" si="134"/>
        <v>-1285.7674626865673</v>
      </c>
      <c r="AN501" s="554">
        <f t="shared" si="135"/>
        <v>-0.26495973628782538</v>
      </c>
      <c r="AO501" s="314"/>
      <c r="AP501" s="318"/>
    </row>
    <row r="502" spans="2:42">
      <c r="B502" s="296" t="s">
        <v>1254</v>
      </c>
      <c r="C502" s="299" t="s">
        <v>277</v>
      </c>
      <c r="D502" s="298" t="s">
        <v>717</v>
      </c>
      <c r="E502" s="299" t="s">
        <v>113</v>
      </c>
      <c r="F502" s="299" t="s">
        <v>59</v>
      </c>
      <c r="G502" s="300">
        <v>44599</v>
      </c>
      <c r="H502" s="303">
        <v>2248.8200000000002</v>
      </c>
      <c r="I502" s="301" t="str">
        <f t="shared" si="119"/>
        <v>Ingresos Sección II LISR (SIC &amp; BMV)</v>
      </c>
      <c r="J502" s="302">
        <f t="shared" si="120"/>
        <v>6</v>
      </c>
      <c r="K502" s="304">
        <f t="shared" si="121"/>
        <v>374.80333333333334</v>
      </c>
      <c r="L502" s="305">
        <f>IF(H502=0,0,IF(OR(E502=$AT$5,E502=$AT$6),AA502,IF(F502="MXN",1/HLOOKUP(YEAR(G502)+(MONTH(G502)/100),TC!$5:$37,DAY(G502)+2,FALSE),VLOOKUP(F502,Equivalencia!$5:$23,((MAX(Equivalencia!$3:$3)-YEAR(G502))*14)+MONTH(G502)+2,FALSE))))</f>
        <v>1</v>
      </c>
      <c r="M502" s="306">
        <f t="shared" si="122"/>
        <v>2248.8200000000002</v>
      </c>
      <c r="N502" s="305">
        <f>IF(G502=0,0,(IF(OR(E502=$AT$5,E502=$AT$6),AC502,HLOOKUP(YEAR(G502)+(MONTH(G502)/100),TC!$5:$37,DAY(G502)+2,FALSE))))</f>
        <v>20.5562</v>
      </c>
      <c r="O502" s="307">
        <f t="shared" si="123"/>
        <v>46227.193684000005</v>
      </c>
      <c r="P502" s="560">
        <f>IF(G502=0,0,VLOOKUP(YEAR(G502),INPC!$B$4:$P$30,MONTH(G502)+2))</f>
        <v>118.98099999999999</v>
      </c>
      <c r="Q502" s="560">
        <f>IF(X502=0,0,IF(OR(E502=$AT$10,E502=$AT$9),VLOOKUP(YEAR(X502),INPC!$B$4:$P$30,MONTH(X502)+1),VLOOKUP(YEAR(X502),INPC!$B$4:$P$30,MONTH(X502)+2,0)))</f>
        <v>120.15900000000001</v>
      </c>
      <c r="R502" s="309">
        <f t="shared" si="124"/>
        <v>1.0099</v>
      </c>
      <c r="S502" s="310">
        <f t="shared" si="125"/>
        <v>46684.842901471609</v>
      </c>
      <c r="T502" s="555">
        <f t="shared" si="126"/>
        <v>7780.8071502452685</v>
      </c>
      <c r="U502" s="311"/>
      <c r="V502" s="312">
        <v>6</v>
      </c>
      <c r="W502" s="299" t="s">
        <v>194</v>
      </c>
      <c r="X502" s="300">
        <v>44671</v>
      </c>
      <c r="Y502" s="299" t="s">
        <v>59</v>
      </c>
      <c r="Z502" s="303">
        <v>1646.2719402985072</v>
      </c>
      <c r="AA502" s="305">
        <f>IF(Z502=0,0,IF(Y502="MXN",1/HLOOKUP(YEAR(X502)+(MONTH(X502)/100),TC!$5:$37,DAY(X502)+2,FALSE),VLOOKUP(Y502,Equivalencia!$1:$23,((MAX(Equivalencia!$3:$3)-YEAR(X502))*14)+MONTH(X502)+2,FALSE)))</f>
        <v>1</v>
      </c>
      <c r="AB502" s="306">
        <f t="shared" si="127"/>
        <v>1646.2719402985072</v>
      </c>
      <c r="AC502" s="305">
        <f>+IF(X502=0,0,HLOOKUP(YEAR(X502)+(MONTH(X502)/100),TC!$5:$37,DAY(X502)+2,FALSE))</f>
        <v>19.9377</v>
      </c>
      <c r="AD502" s="307">
        <f t="shared" si="128"/>
        <v>32822.876064089549</v>
      </c>
      <c r="AE502" s="314">
        <f t="shared" si="129"/>
        <v>46684.842901471609</v>
      </c>
      <c r="AF502" s="315">
        <f t="shared" si="130"/>
        <v>-13861.96683738206</v>
      </c>
      <c r="AG502" s="316">
        <f t="shared" si="131"/>
        <v>0.19726027397260273</v>
      </c>
      <c r="AH502" s="314">
        <v>1</v>
      </c>
      <c r="AI502" s="314">
        <f t="shared" si="132"/>
        <v>-13861.96683738206</v>
      </c>
      <c r="AJ502" s="314">
        <f t="shared" si="133"/>
        <v>0</v>
      </c>
      <c r="AK502" s="317"/>
      <c r="AL502" s="315">
        <f t="shared" si="134"/>
        <v>-602.548059701493</v>
      </c>
      <c r="AN502" s="554">
        <f t="shared" si="135"/>
        <v>-0.2679396571097255</v>
      </c>
      <c r="AO502" s="314"/>
      <c r="AP502" s="318"/>
    </row>
    <row r="503" spans="2:42">
      <c r="B503" s="296" t="s">
        <v>1254</v>
      </c>
      <c r="C503" s="299" t="s">
        <v>277</v>
      </c>
      <c r="D503" s="298" t="s">
        <v>725</v>
      </c>
      <c r="E503" s="299" t="s">
        <v>106</v>
      </c>
      <c r="F503" s="299" t="s">
        <v>59</v>
      </c>
      <c r="G503" s="300">
        <v>44334</v>
      </c>
      <c r="H503" s="303">
        <v>1495.4802499999998</v>
      </c>
      <c r="I503" s="301" t="str">
        <f t="shared" si="119"/>
        <v>Ingresos Sección I LISR</v>
      </c>
      <c r="J503" s="302">
        <f t="shared" si="120"/>
        <v>11</v>
      </c>
      <c r="K503" s="304">
        <f t="shared" si="121"/>
        <v>135.95274999999998</v>
      </c>
      <c r="L503" s="305">
        <f>IF(H503=0,0,IF(OR(E503=$AT$5,E503=$AT$6),AA503,IF(F503="MXN",1/HLOOKUP(YEAR(G503)+(MONTH(G503)/100),TC!$5:$37,DAY(G503)+2,FALSE),VLOOKUP(F503,Equivalencia!$5:$23,((MAX(Equivalencia!$3:$3)-YEAR(G503))*14)+MONTH(G503)+2,FALSE))))</f>
        <v>1</v>
      </c>
      <c r="M503" s="306">
        <f t="shared" si="122"/>
        <v>1495.4802499999998</v>
      </c>
      <c r="N503" s="305">
        <f>IF(G503=0,0,(IF(OR(E503=$AT$5,E503=$AT$6),AC503,HLOOKUP(YEAR(G503)+(MONTH(G503)/100),TC!$5:$37,DAY(G503)+2,FALSE))))</f>
        <v>19.848700000000001</v>
      </c>
      <c r="O503" s="307">
        <f t="shared" si="123"/>
        <v>29683.338838174997</v>
      </c>
      <c r="P503" s="560">
        <f>IF(G503=0,0,VLOOKUP(YEAR(G503),INPC!$B$4:$P$30,MONTH(G503)+2))</f>
        <v>112.419</v>
      </c>
      <c r="Q503" s="560">
        <f>IF(X503=0,0,IF(OR(E503=$AT$10,E503=$AT$9),VLOOKUP(YEAR(X503),INPC!$B$4:$P$30,MONTH(X503)+1),VLOOKUP(YEAR(X503),INPC!$B$4:$P$30,MONTH(X503)+2,0)))</f>
        <v>118.002</v>
      </c>
      <c r="R503" s="309">
        <f t="shared" si="124"/>
        <v>1.0496000000000001</v>
      </c>
      <c r="S503" s="310">
        <f t="shared" si="125"/>
        <v>31155.632444548479</v>
      </c>
      <c r="T503" s="555">
        <f t="shared" si="126"/>
        <v>2832.3302222316797</v>
      </c>
      <c r="U503" s="311"/>
      <c r="V503" s="312">
        <v>11</v>
      </c>
      <c r="W503" s="299" t="s">
        <v>194</v>
      </c>
      <c r="X503" s="300">
        <v>44573</v>
      </c>
      <c r="Y503" s="299" t="s">
        <v>59</v>
      </c>
      <c r="Z503" s="303">
        <v>1309.5999999999999</v>
      </c>
      <c r="AA503" s="305">
        <f>IF(Z503=0,0,IF(Y503="MXN",1/HLOOKUP(YEAR(X503)+(MONTH(X503)/100),TC!$5:$37,DAY(X503)+2,FALSE),VLOOKUP(Y503,Equivalencia!$1:$23,((MAX(Equivalencia!$3:$3)-YEAR(X503))*14)+MONTH(X503)+2,FALSE)))</f>
        <v>1</v>
      </c>
      <c r="AB503" s="306">
        <f t="shared" si="127"/>
        <v>1309.5999999999999</v>
      </c>
      <c r="AC503" s="305">
        <f>+IF(X503=0,0,HLOOKUP(YEAR(X503)+(MONTH(X503)/100),TC!$5:$37,DAY(X503)+2,FALSE))</f>
        <v>20.4453</v>
      </c>
      <c r="AD503" s="307">
        <f t="shared" si="128"/>
        <v>26775.164879999997</v>
      </c>
      <c r="AE503" s="314">
        <f t="shared" si="129"/>
        <v>31155.632444548479</v>
      </c>
      <c r="AF503" s="315">
        <f t="shared" si="130"/>
        <v>-4380.4675645484822</v>
      </c>
      <c r="AG503" s="316">
        <f t="shared" si="131"/>
        <v>0.65479452054794518</v>
      </c>
      <c r="AH503" s="314">
        <v>1</v>
      </c>
      <c r="AI503" s="314">
        <f t="shared" si="132"/>
        <v>-4380.4675645484822</v>
      </c>
      <c r="AJ503" s="314">
        <f t="shared" si="133"/>
        <v>0</v>
      </c>
      <c r="AK503" s="317"/>
      <c r="AL503" s="315">
        <f t="shared" si="134"/>
        <v>-185.88024999999993</v>
      </c>
      <c r="AN503" s="554">
        <f t="shared" si="135"/>
        <v>-0.12429468727520805</v>
      </c>
      <c r="AO503" s="314"/>
      <c r="AP503" s="318"/>
    </row>
    <row r="504" spans="2:42">
      <c r="B504" s="296" t="s">
        <v>1254</v>
      </c>
      <c r="C504" s="299" t="s">
        <v>277</v>
      </c>
      <c r="D504" s="298" t="s">
        <v>725</v>
      </c>
      <c r="E504" s="299" t="s">
        <v>106</v>
      </c>
      <c r="F504" s="299" t="s">
        <v>59</v>
      </c>
      <c r="G504" s="300">
        <v>44334</v>
      </c>
      <c r="H504" s="303">
        <v>951.66924999999992</v>
      </c>
      <c r="I504" s="301" t="str">
        <f t="shared" si="119"/>
        <v>Ingresos Sección I LISR</v>
      </c>
      <c r="J504" s="302">
        <f t="shared" si="120"/>
        <v>7</v>
      </c>
      <c r="K504" s="304">
        <f t="shared" si="121"/>
        <v>135.95274999999998</v>
      </c>
      <c r="L504" s="305">
        <f>IF(H504=0,0,IF(OR(E504=$AT$5,E504=$AT$6),AA504,IF(F504="MXN",1/HLOOKUP(YEAR(G504)+(MONTH(G504)/100),TC!$5:$37,DAY(G504)+2,FALSE),VLOOKUP(F504,Equivalencia!$5:$23,((MAX(Equivalencia!$3:$3)-YEAR(G504))*14)+MONTH(G504)+2,FALSE))))</f>
        <v>1</v>
      </c>
      <c r="M504" s="306">
        <f t="shared" si="122"/>
        <v>951.66924999999992</v>
      </c>
      <c r="N504" s="305">
        <f>IF(G504=0,0,(IF(OR(E504=$AT$5,E504=$AT$6),AC504,HLOOKUP(YEAR(G504)+(MONTH(G504)/100),TC!$5:$37,DAY(G504)+2,FALSE))))</f>
        <v>19.848700000000001</v>
      </c>
      <c r="O504" s="307">
        <f t="shared" si="123"/>
        <v>18889.397442474998</v>
      </c>
      <c r="P504" s="560">
        <f>IF(G504=0,0,VLOOKUP(YEAR(G504),INPC!$B$4:$P$30,MONTH(G504)+2))</f>
        <v>112.419</v>
      </c>
      <c r="Q504" s="560">
        <f>IF(X504=0,0,IF(OR(E504=$AT$10,E504=$AT$9),VLOOKUP(YEAR(X504),INPC!$B$4:$P$30,MONTH(X504)+1),VLOOKUP(YEAR(X504),INPC!$B$4:$P$30,MONTH(X504)+2,0)))</f>
        <v>118.002</v>
      </c>
      <c r="R504" s="309">
        <f t="shared" si="124"/>
        <v>1.0496000000000001</v>
      </c>
      <c r="S504" s="310">
        <f t="shared" si="125"/>
        <v>19826.31155562176</v>
      </c>
      <c r="T504" s="555">
        <f t="shared" si="126"/>
        <v>2832.3302222316802</v>
      </c>
      <c r="U504" s="311"/>
      <c r="V504" s="312">
        <v>7</v>
      </c>
      <c r="W504" s="299" t="s">
        <v>194</v>
      </c>
      <c r="X504" s="300">
        <v>44573</v>
      </c>
      <c r="Y504" s="299" t="s">
        <v>59</v>
      </c>
      <c r="Z504" s="303">
        <v>832.57416666666666</v>
      </c>
      <c r="AA504" s="305">
        <f>IF(Z504=0,0,IF(Y504="MXN",1/HLOOKUP(YEAR(X504)+(MONTH(X504)/100),TC!$5:$37,DAY(X504)+2,FALSE),VLOOKUP(Y504,Equivalencia!$1:$23,((MAX(Equivalencia!$3:$3)-YEAR(X504))*14)+MONTH(X504)+2,FALSE)))</f>
        <v>1</v>
      </c>
      <c r="AB504" s="306">
        <f t="shared" si="127"/>
        <v>832.57416666666666</v>
      </c>
      <c r="AC504" s="305">
        <f>+IF(X504=0,0,HLOOKUP(YEAR(X504)+(MONTH(X504)/100),TC!$5:$37,DAY(X504)+2,FALSE))</f>
        <v>20.4453</v>
      </c>
      <c r="AD504" s="307">
        <f t="shared" si="128"/>
        <v>17022.22860975</v>
      </c>
      <c r="AE504" s="314">
        <f t="shared" si="129"/>
        <v>19826.31155562176</v>
      </c>
      <c r="AF504" s="315">
        <f t="shared" si="130"/>
        <v>-2804.0829458717599</v>
      </c>
      <c r="AG504" s="316">
        <f t="shared" si="131"/>
        <v>0.65479452054794518</v>
      </c>
      <c r="AH504" s="314">
        <v>1</v>
      </c>
      <c r="AI504" s="314">
        <f t="shared" si="132"/>
        <v>-2804.0829458717599</v>
      </c>
      <c r="AJ504" s="314">
        <f t="shared" si="133"/>
        <v>0</v>
      </c>
      <c r="AK504" s="317"/>
      <c r="AL504" s="315">
        <f t="shared" si="134"/>
        <v>-119.09508333333326</v>
      </c>
      <c r="AN504" s="554">
        <f t="shared" si="135"/>
        <v>-0.12514335556532197</v>
      </c>
      <c r="AO504" s="314"/>
      <c r="AP504" s="318"/>
    </row>
    <row r="505" spans="2:42">
      <c r="B505" s="296" t="s">
        <v>1254</v>
      </c>
      <c r="C505" s="299" t="s">
        <v>277</v>
      </c>
      <c r="D505" s="298" t="s">
        <v>725</v>
      </c>
      <c r="E505" s="299" t="s">
        <v>106</v>
      </c>
      <c r="F505" s="299" t="s">
        <v>59</v>
      </c>
      <c r="G505" s="300">
        <v>44334</v>
      </c>
      <c r="H505" s="303">
        <v>684.75</v>
      </c>
      <c r="I505" s="301" t="str">
        <f t="shared" si="119"/>
        <v>Ingresos Sección I LISR</v>
      </c>
      <c r="J505" s="302">
        <f t="shared" si="120"/>
        <v>5</v>
      </c>
      <c r="K505" s="304">
        <f t="shared" si="121"/>
        <v>136.94999999999999</v>
      </c>
      <c r="L505" s="305">
        <f>IF(H505=0,0,IF(OR(E505=$AT$5,E505=$AT$6),AA505,IF(F505="MXN",1/HLOOKUP(YEAR(G505)+(MONTH(G505)/100),TC!$5:$37,DAY(G505)+2,FALSE),VLOOKUP(F505,Equivalencia!$5:$23,((MAX(Equivalencia!$3:$3)-YEAR(G505))*14)+MONTH(G505)+2,FALSE))))</f>
        <v>1</v>
      </c>
      <c r="M505" s="306">
        <f t="shared" si="122"/>
        <v>684.75</v>
      </c>
      <c r="N505" s="305">
        <f>IF(G505=0,0,(IF(OR(E505=$AT$5,E505=$AT$6),AC505,HLOOKUP(YEAR(G505)+(MONTH(G505)/100),TC!$5:$37,DAY(G505)+2,FALSE))))</f>
        <v>19.848700000000001</v>
      </c>
      <c r="O505" s="307">
        <f t="shared" si="123"/>
        <v>13591.397325</v>
      </c>
      <c r="P505" s="560">
        <f>IF(G505=0,0,VLOOKUP(YEAR(G505),INPC!$B$4:$P$30,MONTH(G505)+2))</f>
        <v>112.419</v>
      </c>
      <c r="Q505" s="560">
        <f>IF(X505=0,0,IF(OR(E505=$AT$10,E505=$AT$9),VLOOKUP(YEAR(X505),INPC!$B$4:$P$30,MONTH(X505)+1),VLOOKUP(YEAR(X505),INPC!$B$4:$P$30,MONTH(X505)+2,0)))</f>
        <v>118.002</v>
      </c>
      <c r="R505" s="309">
        <f t="shared" si="124"/>
        <v>1.0496000000000001</v>
      </c>
      <c r="S505" s="310">
        <f t="shared" si="125"/>
        <v>14265.53063232</v>
      </c>
      <c r="T505" s="555">
        <f t="shared" si="126"/>
        <v>2853.1061264640002</v>
      </c>
      <c r="U505" s="311"/>
      <c r="V505" s="312">
        <v>5</v>
      </c>
      <c r="W505" s="299" t="s">
        <v>194</v>
      </c>
      <c r="X505" s="300">
        <v>44573</v>
      </c>
      <c r="Y505" s="299" t="s">
        <v>59</v>
      </c>
      <c r="Z505" s="303">
        <v>594.69583333333333</v>
      </c>
      <c r="AA505" s="305">
        <f>IF(Z505=0,0,IF(Y505="MXN",1/HLOOKUP(YEAR(X505)+(MONTH(X505)/100),TC!$5:$37,DAY(X505)+2,FALSE),VLOOKUP(Y505,Equivalencia!$1:$23,((MAX(Equivalencia!$3:$3)-YEAR(X505))*14)+MONTH(X505)+2,FALSE)))</f>
        <v>1</v>
      </c>
      <c r="AB505" s="306">
        <f t="shared" si="127"/>
        <v>594.69583333333333</v>
      </c>
      <c r="AC505" s="305">
        <f>+IF(X505=0,0,HLOOKUP(YEAR(X505)+(MONTH(X505)/100),TC!$5:$37,DAY(X505)+2,FALSE))</f>
        <v>20.4453</v>
      </c>
      <c r="AD505" s="307">
        <f t="shared" si="128"/>
        <v>12158.734721249999</v>
      </c>
      <c r="AE505" s="314">
        <f t="shared" si="129"/>
        <v>14265.530632320002</v>
      </c>
      <c r="AF505" s="315">
        <f t="shared" si="130"/>
        <v>-2106.7959110700031</v>
      </c>
      <c r="AG505" s="316">
        <f t="shared" si="131"/>
        <v>0.65479452054794518</v>
      </c>
      <c r="AH505" s="314">
        <v>1</v>
      </c>
      <c r="AI505" s="314">
        <f t="shared" si="132"/>
        <v>-2106.7959110700031</v>
      </c>
      <c r="AJ505" s="314">
        <f t="shared" si="133"/>
        <v>0</v>
      </c>
      <c r="AK505" s="317"/>
      <c r="AL505" s="315">
        <f t="shared" si="134"/>
        <v>-90.054166666666674</v>
      </c>
      <c r="AN505" s="554">
        <f t="shared" si="135"/>
        <v>-0.13151393452598273</v>
      </c>
      <c r="AO505" s="314"/>
      <c r="AP505" s="318"/>
    </row>
    <row r="506" spans="2:42">
      <c r="B506" s="296" t="s">
        <v>1254</v>
      </c>
      <c r="C506" s="299" t="s">
        <v>277</v>
      </c>
      <c r="D506" s="298" t="s">
        <v>725</v>
      </c>
      <c r="E506" s="299" t="s">
        <v>106</v>
      </c>
      <c r="F506" s="299" t="s">
        <v>59</v>
      </c>
      <c r="G506" s="300">
        <v>44334</v>
      </c>
      <c r="H506" s="303">
        <v>1095.5999999999999</v>
      </c>
      <c r="I506" s="301" t="str">
        <f t="shared" si="119"/>
        <v>Ingresos Sección I LISR</v>
      </c>
      <c r="J506" s="302">
        <f t="shared" si="120"/>
        <v>8</v>
      </c>
      <c r="K506" s="304">
        <f t="shared" si="121"/>
        <v>136.94999999999999</v>
      </c>
      <c r="L506" s="305">
        <f>IF(H506=0,0,IF(OR(E506=$AT$5,E506=$AT$6),AA506,IF(F506="MXN",1/HLOOKUP(YEAR(G506)+(MONTH(G506)/100),TC!$5:$37,DAY(G506)+2,FALSE),VLOOKUP(F506,Equivalencia!$5:$23,((MAX(Equivalencia!$3:$3)-YEAR(G506))*14)+MONTH(G506)+2,FALSE))))</f>
        <v>1</v>
      </c>
      <c r="M506" s="306">
        <f t="shared" si="122"/>
        <v>1095.5999999999999</v>
      </c>
      <c r="N506" s="305">
        <f>IF(G506=0,0,(IF(OR(E506=$AT$5,E506=$AT$6),AC506,HLOOKUP(YEAR(G506)+(MONTH(G506)/100),TC!$5:$37,DAY(G506)+2,FALSE))))</f>
        <v>19.848700000000001</v>
      </c>
      <c r="O506" s="307">
        <f t="shared" si="123"/>
        <v>21746.235720000001</v>
      </c>
      <c r="P506" s="560">
        <f>IF(G506=0,0,VLOOKUP(YEAR(G506),INPC!$B$4:$P$30,MONTH(G506)+2))</f>
        <v>112.419</v>
      </c>
      <c r="Q506" s="560">
        <f>IF(X506=0,0,IF(OR(E506=$AT$10,E506=$AT$9),VLOOKUP(YEAR(X506),INPC!$B$4:$P$30,MONTH(X506)+1),VLOOKUP(YEAR(X506),INPC!$B$4:$P$30,MONTH(X506)+2,0)))</f>
        <v>118.002</v>
      </c>
      <c r="R506" s="309">
        <f t="shared" si="124"/>
        <v>1.0496000000000001</v>
      </c>
      <c r="S506" s="310">
        <f t="shared" si="125"/>
        <v>22824.849011712002</v>
      </c>
      <c r="T506" s="555">
        <f t="shared" si="126"/>
        <v>2853.1061264640002</v>
      </c>
      <c r="U506" s="311"/>
      <c r="V506" s="312">
        <v>8</v>
      </c>
      <c r="W506" s="299" t="s">
        <v>194</v>
      </c>
      <c r="X506" s="300">
        <v>44573</v>
      </c>
      <c r="Y506" s="299" t="s">
        <v>59</v>
      </c>
      <c r="Z506" s="303">
        <v>951.54412698412693</v>
      </c>
      <c r="AA506" s="305">
        <f>IF(Z506=0,0,IF(Y506="MXN",1/HLOOKUP(YEAR(X506)+(MONTH(X506)/100),TC!$5:$37,DAY(X506)+2,FALSE),VLOOKUP(Y506,Equivalencia!$1:$23,((MAX(Equivalencia!$3:$3)-YEAR(X506))*14)+MONTH(X506)+2,FALSE)))</f>
        <v>1</v>
      </c>
      <c r="AB506" s="306">
        <f t="shared" si="127"/>
        <v>951.54412698412693</v>
      </c>
      <c r="AC506" s="305">
        <f>+IF(X506=0,0,HLOOKUP(YEAR(X506)+(MONTH(X506)/100),TC!$5:$37,DAY(X506)+2,FALSE))</f>
        <v>20.4453</v>
      </c>
      <c r="AD506" s="307">
        <f t="shared" si="128"/>
        <v>19454.605139428571</v>
      </c>
      <c r="AE506" s="314">
        <f t="shared" si="129"/>
        <v>22824.849011712002</v>
      </c>
      <c r="AF506" s="315">
        <f t="shared" si="130"/>
        <v>-3370.2438722834304</v>
      </c>
      <c r="AG506" s="316">
        <f t="shared" si="131"/>
        <v>0.65479452054794518</v>
      </c>
      <c r="AH506" s="314">
        <v>1</v>
      </c>
      <c r="AI506" s="314">
        <f t="shared" si="132"/>
        <v>-3370.2438722834304</v>
      </c>
      <c r="AJ506" s="314">
        <f t="shared" si="133"/>
        <v>0</v>
      </c>
      <c r="AK506" s="317"/>
      <c r="AL506" s="315">
        <f t="shared" si="134"/>
        <v>-144.05587301587298</v>
      </c>
      <c r="AN506" s="554">
        <f t="shared" si="135"/>
        <v>-0.13148582787137</v>
      </c>
      <c r="AO506" s="314"/>
      <c r="AP506" s="318"/>
    </row>
    <row r="507" spans="2:42">
      <c r="B507" s="296" t="s">
        <v>1254</v>
      </c>
      <c r="C507" s="299" t="s">
        <v>277</v>
      </c>
      <c r="D507" s="298" t="s">
        <v>725</v>
      </c>
      <c r="E507" s="299" t="s">
        <v>106</v>
      </c>
      <c r="F507" s="299" t="s">
        <v>59</v>
      </c>
      <c r="G507" s="300">
        <v>44335</v>
      </c>
      <c r="H507" s="303">
        <v>5159.7700000000004</v>
      </c>
      <c r="I507" s="301" t="str">
        <f t="shared" si="119"/>
        <v>Ingresos Sección I LISR</v>
      </c>
      <c r="J507" s="302">
        <f t="shared" si="120"/>
        <v>38</v>
      </c>
      <c r="K507" s="304">
        <f t="shared" si="121"/>
        <v>135.78342105263158</v>
      </c>
      <c r="L507" s="305">
        <f>IF(H507=0,0,IF(OR(E507=$AT$5,E507=$AT$6),AA507,IF(F507="MXN",1/HLOOKUP(YEAR(G507)+(MONTH(G507)/100),TC!$5:$37,DAY(G507)+2,FALSE),VLOOKUP(F507,Equivalencia!$5:$23,((MAX(Equivalencia!$3:$3)-YEAR(G507))*14)+MONTH(G507)+2,FALSE))))</f>
        <v>1</v>
      </c>
      <c r="M507" s="306">
        <f t="shared" si="122"/>
        <v>5159.7700000000004</v>
      </c>
      <c r="N507" s="305">
        <f>IF(G507=0,0,(IF(OR(E507=$AT$5,E507=$AT$6),AC507,HLOOKUP(YEAR(G507)+(MONTH(G507)/100),TC!$5:$37,DAY(G507)+2,FALSE))))</f>
        <v>19.802800000000001</v>
      </c>
      <c r="O507" s="307">
        <f t="shared" si="123"/>
        <v>102177.89335600002</v>
      </c>
      <c r="P507" s="560">
        <f>IF(G507=0,0,VLOOKUP(YEAR(G507),INPC!$B$4:$P$30,MONTH(G507)+2))</f>
        <v>112.419</v>
      </c>
      <c r="Q507" s="560">
        <f>IF(X507=0,0,IF(OR(E507=$AT$10,E507=$AT$9),VLOOKUP(YEAR(X507),INPC!$B$4:$P$30,MONTH(X507)+1),VLOOKUP(YEAR(X507),INPC!$B$4:$P$30,MONTH(X507)+2,0)))</f>
        <v>118.002</v>
      </c>
      <c r="R507" s="309">
        <f t="shared" si="124"/>
        <v>1.0496000000000001</v>
      </c>
      <c r="S507" s="310">
        <f t="shared" si="125"/>
        <v>107245.91686645763</v>
      </c>
      <c r="T507" s="555">
        <f t="shared" si="126"/>
        <v>2822.2609701699375</v>
      </c>
      <c r="U507" s="311"/>
      <c r="V507" s="312">
        <v>38</v>
      </c>
      <c r="W507" s="299" t="s">
        <v>194</v>
      </c>
      <c r="X507" s="300">
        <v>44573</v>
      </c>
      <c r="Y507" s="299" t="s">
        <v>59</v>
      </c>
      <c r="Z507" s="303">
        <v>4519.8346031746032</v>
      </c>
      <c r="AA507" s="305">
        <f>IF(Z507=0,0,IF(Y507="MXN",1/HLOOKUP(YEAR(X507)+(MONTH(X507)/100),TC!$5:$37,DAY(X507)+2,FALSE),VLOOKUP(Y507,Equivalencia!$1:$23,((MAX(Equivalencia!$3:$3)-YEAR(X507))*14)+MONTH(X507)+2,FALSE)))</f>
        <v>1</v>
      </c>
      <c r="AB507" s="306">
        <f t="shared" si="127"/>
        <v>4519.8346031746032</v>
      </c>
      <c r="AC507" s="305">
        <f>+IF(X507=0,0,HLOOKUP(YEAR(X507)+(MONTH(X507)/100),TC!$5:$37,DAY(X507)+2,FALSE))</f>
        <v>20.4453</v>
      </c>
      <c r="AD507" s="307">
        <f t="shared" si="128"/>
        <v>92409.374412285717</v>
      </c>
      <c r="AE507" s="314">
        <f t="shared" si="129"/>
        <v>107245.91686645763</v>
      </c>
      <c r="AF507" s="315">
        <f t="shared" si="130"/>
        <v>-14836.542454171911</v>
      </c>
      <c r="AG507" s="316">
        <f t="shared" si="131"/>
        <v>0.65205479452054793</v>
      </c>
      <c r="AH507" s="314">
        <v>1</v>
      </c>
      <c r="AI507" s="314">
        <f t="shared" si="132"/>
        <v>-14836.542454171911</v>
      </c>
      <c r="AJ507" s="314">
        <f t="shared" si="133"/>
        <v>0</v>
      </c>
      <c r="AK507" s="317"/>
      <c r="AL507" s="315">
        <f t="shared" si="134"/>
        <v>-639.93539682539722</v>
      </c>
      <c r="AN507" s="554">
        <f t="shared" si="135"/>
        <v>-0.12402401595912166</v>
      </c>
      <c r="AO507" s="314"/>
      <c r="AP507" s="318"/>
    </row>
    <row r="508" spans="2:42">
      <c r="B508" s="296" t="s">
        <v>1254</v>
      </c>
      <c r="C508" s="299" t="s">
        <v>277</v>
      </c>
      <c r="D508" s="298" t="s">
        <v>725</v>
      </c>
      <c r="E508" s="299" t="s">
        <v>106</v>
      </c>
      <c r="F508" s="299" t="s">
        <v>59</v>
      </c>
      <c r="G508" s="300">
        <v>44348</v>
      </c>
      <c r="H508" s="303">
        <v>2277.7258064516127</v>
      </c>
      <c r="I508" s="301" t="str">
        <f t="shared" ref="I508:I571" si="136">IF(D508=0,0,IF(OR(E508=$AT$9,E508=$AT$10),"Ingresos Sección II LISR (SIC &amp; BMV)","Ingresos Sección I LISR"))</f>
        <v>Ingresos Sección I LISR</v>
      </c>
      <c r="J508" s="302">
        <f t="shared" ref="J508:J571" si="137">+V508</f>
        <v>17</v>
      </c>
      <c r="K508" s="304">
        <f t="shared" ref="K508:K571" si="138">IF(H508=0,0,H508/J508)</f>
        <v>133.98387096774192</v>
      </c>
      <c r="L508" s="305">
        <f>IF(H508=0,0,IF(OR(E508=$AT$5,E508=$AT$6),AA508,IF(F508="MXN",1/HLOOKUP(YEAR(G508)+(MONTH(G508)/100),TC!$5:$37,DAY(G508)+2,FALSE),VLOOKUP(F508,Equivalencia!$5:$23,((MAX(Equivalencia!$3:$3)-YEAR(G508))*14)+MONTH(G508)+2,FALSE))))</f>
        <v>1</v>
      </c>
      <c r="M508" s="306">
        <f t="shared" ref="M508:M571" si="139">+H508*L508</f>
        <v>2277.7258064516127</v>
      </c>
      <c r="N508" s="305">
        <f>IF(G508=0,0,(IF(OR(E508=$AT$5,E508=$AT$6),AC508,HLOOKUP(YEAR(G508)+(MONTH(G508)/100),TC!$5:$37,DAY(G508)+2,FALSE))))</f>
        <v>19.944199999999999</v>
      </c>
      <c r="O508" s="307">
        <f t="shared" ref="O508:O571" si="140">+M508*N508</f>
        <v>45427.419029032251</v>
      </c>
      <c r="P508" s="560">
        <f>IF(G508=0,0,VLOOKUP(YEAR(G508),INPC!$B$4:$P$30,MONTH(G508)+2))</f>
        <v>113.018</v>
      </c>
      <c r="Q508" s="560">
        <f>IF(X508=0,0,IF(OR(E508=$AT$10,E508=$AT$9),VLOOKUP(YEAR(X508),INPC!$B$4:$P$30,MONTH(X508)+1),VLOOKUP(YEAR(X508),INPC!$B$4:$P$30,MONTH(X508)+2,0)))</f>
        <v>118.002</v>
      </c>
      <c r="R508" s="309">
        <f t="shared" ref="R508:R571" si="141">IF(H508=0,0,IF(OR(E508=$AT$5,E508=$AT$6),1,IF(TRUNC(Q508/P508,4)&gt;=1,TRUNC(Q508/P508,4),1)))</f>
        <v>1.044</v>
      </c>
      <c r="S508" s="310">
        <f t="shared" ref="S508:S571" si="142">+R508*O508</f>
        <v>47426.225466309676</v>
      </c>
      <c r="T508" s="555">
        <f t="shared" ref="T508:T571" si="143">IF(V508=0,0,S508/V508)</f>
        <v>2789.7779686064514</v>
      </c>
      <c r="U508" s="311"/>
      <c r="V508" s="312">
        <v>17</v>
      </c>
      <c r="W508" s="299" t="s">
        <v>194</v>
      </c>
      <c r="X508" s="300">
        <v>44573</v>
      </c>
      <c r="Y508" s="299" t="s">
        <v>59</v>
      </c>
      <c r="Z508" s="303">
        <v>2022.0312698412697</v>
      </c>
      <c r="AA508" s="305">
        <f>IF(Z508=0,0,IF(Y508="MXN",1/HLOOKUP(YEAR(X508)+(MONTH(X508)/100),TC!$5:$37,DAY(X508)+2,FALSE),VLOOKUP(Y508,Equivalencia!$1:$23,((MAX(Equivalencia!$3:$3)-YEAR(X508))*14)+MONTH(X508)+2,FALSE)))</f>
        <v>1</v>
      </c>
      <c r="AB508" s="306">
        <f t="shared" ref="AB508:AB571" si="144">+AA508*Z508</f>
        <v>2022.0312698412697</v>
      </c>
      <c r="AC508" s="305">
        <f>+IF(X508=0,0,HLOOKUP(YEAR(X508)+(MONTH(X508)/100),TC!$5:$37,DAY(X508)+2,FALSE))</f>
        <v>20.4453</v>
      </c>
      <c r="AD508" s="307">
        <f t="shared" ref="AD508:AD571" si="145">+AC508*AB508</f>
        <v>41341.035921285707</v>
      </c>
      <c r="AE508" s="314">
        <f t="shared" ref="AE508:AE571" si="146">+V508*T508</f>
        <v>47426.225466309676</v>
      </c>
      <c r="AF508" s="315">
        <f t="shared" ref="AF508:AF571" si="147">IF(E508=$AT$11,0,AD508-AE508)</f>
        <v>-6085.1895450239681</v>
      </c>
      <c r="AG508" s="316">
        <f t="shared" ref="AG508:AG571" si="148">+IF(AND(AF508&lt;0,OR(E508=$AT$5,E508=$AT$6)),1,((X508-G508)/365))</f>
        <v>0.61643835616438358</v>
      </c>
      <c r="AH508" s="314">
        <v>1</v>
      </c>
      <c r="AI508" s="314">
        <f t="shared" ref="AI508:AI571" si="149">+IF(OR(E508=$AT$9,E508=$AT$10),AF508,+AF508/AH508)</f>
        <v>-6085.1895450239681</v>
      </c>
      <c r="AJ508" s="314">
        <f t="shared" ref="AJ508:AJ571" si="150">+AF508-AI508</f>
        <v>0</v>
      </c>
      <c r="AK508" s="317"/>
      <c r="AL508" s="315">
        <f t="shared" ref="AL508:AL571" si="151">+AB508-M508</f>
        <v>-255.69453661034299</v>
      </c>
      <c r="AN508" s="554">
        <f t="shared" ref="AN508:AN571" si="152">IF(AL508=0,0,AL508/H508)</f>
        <v>-0.11225869939484961</v>
      </c>
      <c r="AO508" s="314"/>
      <c r="AP508" s="318"/>
    </row>
    <row r="509" spans="2:42">
      <c r="B509" s="296" t="s">
        <v>1254</v>
      </c>
      <c r="C509" s="299" t="s">
        <v>277</v>
      </c>
      <c r="D509" s="298" t="s">
        <v>725</v>
      </c>
      <c r="E509" s="299" t="s">
        <v>106</v>
      </c>
      <c r="F509" s="299" t="s">
        <v>59</v>
      </c>
      <c r="G509" s="300">
        <v>44348</v>
      </c>
      <c r="H509" s="303">
        <v>937.88709677419342</v>
      </c>
      <c r="I509" s="301" t="str">
        <f t="shared" si="136"/>
        <v>Ingresos Sección I LISR</v>
      </c>
      <c r="J509" s="302">
        <f t="shared" si="137"/>
        <v>7</v>
      </c>
      <c r="K509" s="304">
        <f t="shared" si="138"/>
        <v>133.98387096774192</v>
      </c>
      <c r="L509" s="305">
        <f>IF(H509=0,0,IF(OR(E509=$AT$5,E509=$AT$6),AA509,IF(F509="MXN",1/HLOOKUP(YEAR(G509)+(MONTH(G509)/100),TC!$5:$37,DAY(G509)+2,FALSE),VLOOKUP(F509,Equivalencia!$5:$23,((MAX(Equivalencia!$3:$3)-YEAR(G509))*14)+MONTH(G509)+2,FALSE))))</f>
        <v>1</v>
      </c>
      <c r="M509" s="306">
        <f t="shared" si="139"/>
        <v>937.88709677419342</v>
      </c>
      <c r="N509" s="305">
        <f>IF(G509=0,0,(IF(OR(E509=$AT$5,E509=$AT$6),AC509,HLOOKUP(YEAR(G509)+(MONTH(G509)/100),TC!$5:$37,DAY(G509)+2,FALSE))))</f>
        <v>19.944199999999999</v>
      </c>
      <c r="O509" s="307">
        <f t="shared" si="140"/>
        <v>18705.407835483868</v>
      </c>
      <c r="P509" s="560">
        <f>IF(G509=0,0,VLOOKUP(YEAR(G509),INPC!$B$4:$P$30,MONTH(G509)+2))</f>
        <v>113.018</v>
      </c>
      <c r="Q509" s="560">
        <f>IF(X509=0,0,IF(OR(E509=$AT$10,E509=$AT$9),VLOOKUP(YEAR(X509),INPC!$B$4:$P$30,MONTH(X509)+1),VLOOKUP(YEAR(X509),INPC!$B$4:$P$30,MONTH(X509)+2,0)))</f>
        <v>118.002</v>
      </c>
      <c r="R509" s="309">
        <f t="shared" si="141"/>
        <v>1.044</v>
      </c>
      <c r="S509" s="310">
        <f t="shared" si="142"/>
        <v>19528.445780245158</v>
      </c>
      <c r="T509" s="555">
        <f t="shared" si="143"/>
        <v>2789.7779686064509</v>
      </c>
      <c r="U509" s="311"/>
      <c r="V509" s="312">
        <v>7</v>
      </c>
      <c r="W509" s="299" t="s">
        <v>194</v>
      </c>
      <c r="X509" s="300">
        <v>44573</v>
      </c>
      <c r="Y509" s="299" t="s">
        <v>59</v>
      </c>
      <c r="Z509" s="303">
        <v>836.08</v>
      </c>
      <c r="AA509" s="305">
        <f>IF(Z509=0,0,IF(Y509="MXN",1/HLOOKUP(YEAR(X509)+(MONTH(X509)/100),TC!$5:$37,DAY(X509)+2,FALSE),VLOOKUP(Y509,Equivalencia!$1:$23,((MAX(Equivalencia!$3:$3)-YEAR(X509))*14)+MONTH(X509)+2,FALSE)))</f>
        <v>1</v>
      </c>
      <c r="AB509" s="306">
        <f t="shared" si="144"/>
        <v>836.08</v>
      </c>
      <c r="AC509" s="305">
        <f>+IF(X509=0,0,HLOOKUP(YEAR(X509)+(MONTH(X509)/100),TC!$5:$37,DAY(X509)+2,FALSE))</f>
        <v>20.4453</v>
      </c>
      <c r="AD509" s="307">
        <f t="shared" si="145"/>
        <v>17093.906424000001</v>
      </c>
      <c r="AE509" s="314">
        <f t="shared" si="146"/>
        <v>19528.445780245158</v>
      </c>
      <c r="AF509" s="315">
        <f t="shared" si="147"/>
        <v>-2434.5393562451573</v>
      </c>
      <c r="AG509" s="316">
        <f t="shared" si="148"/>
        <v>0.61643835616438358</v>
      </c>
      <c r="AH509" s="314">
        <v>1</v>
      </c>
      <c r="AI509" s="314">
        <f t="shared" si="149"/>
        <v>-2434.5393562451573</v>
      </c>
      <c r="AJ509" s="314">
        <f t="shared" si="150"/>
        <v>0</v>
      </c>
      <c r="AK509" s="317"/>
      <c r="AL509" s="315">
        <f t="shared" si="151"/>
        <v>-101.80709677419338</v>
      </c>
      <c r="AN509" s="554">
        <f t="shared" si="152"/>
        <v>-0.1085494161550498</v>
      </c>
      <c r="AO509" s="314"/>
      <c r="AP509" s="318"/>
    </row>
    <row r="510" spans="2:42">
      <c r="B510" s="296" t="s">
        <v>1254</v>
      </c>
      <c r="C510" s="299" t="s">
        <v>277</v>
      </c>
      <c r="D510" s="298" t="s">
        <v>725</v>
      </c>
      <c r="E510" s="299" t="s">
        <v>106</v>
      </c>
      <c r="F510" s="299" t="s">
        <v>59</v>
      </c>
      <c r="G510" s="300">
        <v>44348</v>
      </c>
      <c r="H510" s="303">
        <v>937.88709677419342</v>
      </c>
      <c r="I510" s="301" t="str">
        <f t="shared" si="136"/>
        <v>Ingresos Sección I LISR</v>
      </c>
      <c r="J510" s="302">
        <f t="shared" si="137"/>
        <v>7</v>
      </c>
      <c r="K510" s="304">
        <f t="shared" si="138"/>
        <v>133.98387096774192</v>
      </c>
      <c r="L510" s="305">
        <f>IF(H510=0,0,IF(OR(E510=$AT$5,E510=$AT$6),AA510,IF(F510="MXN",1/HLOOKUP(YEAR(G510)+(MONTH(G510)/100),TC!$5:$37,DAY(G510)+2,FALSE),VLOOKUP(F510,Equivalencia!$5:$23,((MAX(Equivalencia!$3:$3)-YEAR(G510))*14)+MONTH(G510)+2,FALSE))))</f>
        <v>1</v>
      </c>
      <c r="M510" s="306">
        <f t="shared" si="139"/>
        <v>937.88709677419342</v>
      </c>
      <c r="N510" s="305">
        <f>IF(G510=0,0,(IF(OR(E510=$AT$5,E510=$AT$6),AC510,HLOOKUP(YEAR(G510)+(MONTH(G510)/100),TC!$5:$37,DAY(G510)+2,FALSE))))</f>
        <v>19.944199999999999</v>
      </c>
      <c r="O510" s="307">
        <f t="shared" si="140"/>
        <v>18705.407835483868</v>
      </c>
      <c r="P510" s="560">
        <f>IF(G510=0,0,VLOOKUP(YEAR(G510),INPC!$B$4:$P$30,MONTH(G510)+2))</f>
        <v>113.018</v>
      </c>
      <c r="Q510" s="560">
        <f>IF(X510=0,0,IF(OR(E510=$AT$10,E510=$AT$9),VLOOKUP(YEAR(X510),INPC!$B$4:$P$30,MONTH(X510)+1),VLOOKUP(YEAR(X510),INPC!$B$4:$P$30,MONTH(X510)+2,0)))</f>
        <v>118.002</v>
      </c>
      <c r="R510" s="309">
        <f t="shared" si="141"/>
        <v>1.044</v>
      </c>
      <c r="S510" s="310">
        <f t="shared" si="142"/>
        <v>19528.445780245158</v>
      </c>
      <c r="T510" s="555">
        <f t="shared" si="143"/>
        <v>2789.7779686064509</v>
      </c>
      <c r="U510" s="311"/>
      <c r="V510" s="312">
        <v>7</v>
      </c>
      <c r="W510" s="299" t="s">
        <v>194</v>
      </c>
      <c r="X510" s="300">
        <v>44574</v>
      </c>
      <c r="Y510" s="299" t="s">
        <v>59</v>
      </c>
      <c r="Z510" s="303">
        <v>854.42466666666678</v>
      </c>
      <c r="AA510" s="305">
        <f>IF(Z510=0,0,IF(Y510="MXN",1/HLOOKUP(YEAR(X510)+(MONTH(X510)/100),TC!$5:$37,DAY(X510)+2,FALSE),VLOOKUP(Y510,Equivalencia!$1:$23,((MAX(Equivalencia!$3:$3)-YEAR(X510))*14)+MONTH(X510)+2,FALSE)))</f>
        <v>1</v>
      </c>
      <c r="AB510" s="306">
        <f t="shared" si="144"/>
        <v>854.42466666666678</v>
      </c>
      <c r="AC510" s="305">
        <f>+IF(X510=0,0,HLOOKUP(YEAR(X510)+(MONTH(X510)/100),TC!$5:$37,DAY(X510)+2,FALSE))</f>
        <v>20.378499999999999</v>
      </c>
      <c r="AD510" s="307">
        <f t="shared" si="145"/>
        <v>17411.893069666668</v>
      </c>
      <c r="AE510" s="314">
        <f t="shared" si="146"/>
        <v>19528.445780245158</v>
      </c>
      <c r="AF510" s="315">
        <f t="shared" si="147"/>
        <v>-2116.5527105784895</v>
      </c>
      <c r="AG510" s="316">
        <f t="shared" si="148"/>
        <v>0.61917808219178083</v>
      </c>
      <c r="AH510" s="314">
        <v>1</v>
      </c>
      <c r="AI510" s="314">
        <f t="shared" si="149"/>
        <v>-2116.5527105784895</v>
      </c>
      <c r="AJ510" s="314">
        <f t="shared" si="150"/>
        <v>0</v>
      </c>
      <c r="AK510" s="317"/>
      <c r="AL510" s="315">
        <f t="shared" si="151"/>
        <v>-83.462430107526643</v>
      </c>
      <c r="AN510" s="554">
        <f t="shared" si="152"/>
        <v>-8.8989847919425144E-2</v>
      </c>
      <c r="AO510" s="314"/>
      <c r="AP510" s="318"/>
    </row>
    <row r="511" spans="2:42">
      <c r="B511" s="296" t="s">
        <v>1254</v>
      </c>
      <c r="C511" s="299" t="s">
        <v>277</v>
      </c>
      <c r="D511" s="298" t="s">
        <v>725</v>
      </c>
      <c r="E511" s="299" t="s">
        <v>106</v>
      </c>
      <c r="F511" s="299" t="s">
        <v>59</v>
      </c>
      <c r="G511" s="300">
        <v>44355</v>
      </c>
      <c r="H511" s="303">
        <v>1040.3311111111111</v>
      </c>
      <c r="I511" s="301" t="str">
        <f t="shared" si="136"/>
        <v>Ingresos Sección I LISR</v>
      </c>
      <c r="J511" s="302">
        <f t="shared" si="137"/>
        <v>8</v>
      </c>
      <c r="K511" s="304">
        <f t="shared" si="138"/>
        <v>130.04138888888889</v>
      </c>
      <c r="L511" s="305">
        <f>IF(H511=0,0,IF(OR(E511=$AT$5,E511=$AT$6),AA511,IF(F511="MXN",1/HLOOKUP(YEAR(G511)+(MONTH(G511)/100),TC!$5:$37,DAY(G511)+2,FALSE),VLOOKUP(F511,Equivalencia!$5:$23,((MAX(Equivalencia!$3:$3)-YEAR(G511))*14)+MONTH(G511)+2,FALSE))))</f>
        <v>1</v>
      </c>
      <c r="M511" s="306">
        <f t="shared" si="139"/>
        <v>1040.3311111111111</v>
      </c>
      <c r="N511" s="305">
        <f>IF(G511=0,0,(IF(OR(E511=$AT$5,E511=$AT$6),AC511,HLOOKUP(YEAR(G511)+(MONTH(G511)/100),TC!$5:$37,DAY(G511)+2,FALSE))))</f>
        <v>19.9328</v>
      </c>
      <c r="O511" s="307">
        <f t="shared" si="140"/>
        <v>20736.711971555556</v>
      </c>
      <c r="P511" s="560">
        <f>IF(G511=0,0,VLOOKUP(YEAR(G511),INPC!$B$4:$P$30,MONTH(G511)+2))</f>
        <v>113.018</v>
      </c>
      <c r="Q511" s="560">
        <f>IF(X511=0,0,IF(OR(E511=$AT$10,E511=$AT$9),VLOOKUP(YEAR(X511),INPC!$B$4:$P$30,MONTH(X511)+1),VLOOKUP(YEAR(X511),INPC!$B$4:$P$30,MONTH(X511)+2,0)))</f>
        <v>118.002</v>
      </c>
      <c r="R511" s="309">
        <f t="shared" si="141"/>
        <v>1.044</v>
      </c>
      <c r="S511" s="310">
        <f t="shared" si="142"/>
        <v>21649.127298304</v>
      </c>
      <c r="T511" s="555">
        <f t="shared" si="143"/>
        <v>2706.140912288</v>
      </c>
      <c r="U511" s="311"/>
      <c r="V511" s="312">
        <v>8</v>
      </c>
      <c r="W511" s="299" t="s">
        <v>194</v>
      </c>
      <c r="X511" s="300">
        <v>44574</v>
      </c>
      <c r="Y511" s="299" t="s">
        <v>59</v>
      </c>
      <c r="Z511" s="303">
        <v>976.48533333333341</v>
      </c>
      <c r="AA511" s="305">
        <f>IF(Z511=0,0,IF(Y511="MXN",1/HLOOKUP(YEAR(X511)+(MONTH(X511)/100),TC!$5:$37,DAY(X511)+2,FALSE),VLOOKUP(Y511,Equivalencia!$1:$23,((MAX(Equivalencia!$3:$3)-YEAR(X511))*14)+MONTH(X511)+2,FALSE)))</f>
        <v>1</v>
      </c>
      <c r="AB511" s="306">
        <f t="shared" si="144"/>
        <v>976.48533333333341</v>
      </c>
      <c r="AC511" s="305">
        <f>+IF(X511=0,0,HLOOKUP(YEAR(X511)+(MONTH(X511)/100),TC!$5:$37,DAY(X511)+2,FALSE))</f>
        <v>20.378499999999999</v>
      </c>
      <c r="AD511" s="307">
        <f t="shared" si="145"/>
        <v>19899.306365333334</v>
      </c>
      <c r="AE511" s="314">
        <f t="shared" si="146"/>
        <v>21649.127298304</v>
      </c>
      <c r="AF511" s="315">
        <f t="shared" si="147"/>
        <v>-1749.820932970666</v>
      </c>
      <c r="AG511" s="316">
        <f t="shared" si="148"/>
        <v>0.6</v>
      </c>
      <c r="AH511" s="314">
        <v>1</v>
      </c>
      <c r="AI511" s="314">
        <f t="shared" si="149"/>
        <v>-1749.820932970666</v>
      </c>
      <c r="AJ511" s="314">
        <f t="shared" si="150"/>
        <v>0</v>
      </c>
      <c r="AK511" s="317"/>
      <c r="AL511" s="315">
        <f t="shared" si="151"/>
        <v>-63.845777777777698</v>
      </c>
      <c r="AN511" s="554">
        <f t="shared" si="152"/>
        <v>-6.1370631999641066E-2</v>
      </c>
      <c r="AO511" s="314"/>
      <c r="AP511" s="318"/>
    </row>
    <row r="512" spans="2:42">
      <c r="B512" s="296" t="s">
        <v>1254</v>
      </c>
      <c r="C512" s="299" t="s">
        <v>277</v>
      </c>
      <c r="D512" s="298" t="s">
        <v>725</v>
      </c>
      <c r="E512" s="299" t="s">
        <v>106</v>
      </c>
      <c r="F512" s="299" t="s">
        <v>59</v>
      </c>
      <c r="G512" s="300">
        <v>44355</v>
      </c>
      <c r="H512" s="303">
        <v>910.28972222222228</v>
      </c>
      <c r="I512" s="301" t="str">
        <f t="shared" si="136"/>
        <v>Ingresos Sección I LISR</v>
      </c>
      <c r="J512" s="302">
        <f t="shared" si="137"/>
        <v>7</v>
      </c>
      <c r="K512" s="304">
        <f t="shared" si="138"/>
        <v>130.04138888888889</v>
      </c>
      <c r="L512" s="305">
        <f>IF(H512=0,0,IF(OR(E512=$AT$5,E512=$AT$6),AA512,IF(F512="MXN",1/HLOOKUP(YEAR(G512)+(MONTH(G512)/100),TC!$5:$37,DAY(G512)+2,FALSE),VLOOKUP(F512,Equivalencia!$5:$23,((MAX(Equivalencia!$3:$3)-YEAR(G512))*14)+MONTH(G512)+2,FALSE))))</f>
        <v>1</v>
      </c>
      <c r="M512" s="306">
        <f t="shared" si="139"/>
        <v>910.28972222222228</v>
      </c>
      <c r="N512" s="305">
        <f>IF(G512=0,0,(IF(OR(E512=$AT$5,E512=$AT$6),AC512,HLOOKUP(YEAR(G512)+(MONTH(G512)/100),TC!$5:$37,DAY(G512)+2,FALSE))))</f>
        <v>19.9328</v>
      </c>
      <c r="O512" s="307">
        <f t="shared" si="140"/>
        <v>18144.622975111113</v>
      </c>
      <c r="P512" s="560">
        <f>IF(G512=0,0,VLOOKUP(YEAR(G512),INPC!$B$4:$P$30,MONTH(G512)+2))</f>
        <v>113.018</v>
      </c>
      <c r="Q512" s="560">
        <f>IF(X512=0,0,IF(OR(E512=$AT$10,E512=$AT$9),VLOOKUP(YEAR(X512),INPC!$B$4:$P$30,MONTH(X512)+1),VLOOKUP(YEAR(X512),INPC!$B$4:$P$30,MONTH(X512)+2,0)))</f>
        <v>118.002</v>
      </c>
      <c r="R512" s="309">
        <f t="shared" si="141"/>
        <v>1.044</v>
      </c>
      <c r="S512" s="310">
        <f t="shared" si="142"/>
        <v>18942.986386016004</v>
      </c>
      <c r="T512" s="555">
        <f t="shared" si="143"/>
        <v>2706.1409122880004</v>
      </c>
      <c r="U512" s="311"/>
      <c r="V512" s="312">
        <v>7</v>
      </c>
      <c r="W512" s="299" t="s">
        <v>194</v>
      </c>
      <c r="X512" s="300">
        <v>44574</v>
      </c>
      <c r="Y512" s="299" t="s">
        <v>59</v>
      </c>
      <c r="Z512" s="303">
        <v>845.74</v>
      </c>
      <c r="AA512" s="305">
        <f>IF(Z512=0,0,IF(Y512="MXN",1/HLOOKUP(YEAR(X512)+(MONTH(X512)/100),TC!$5:$37,DAY(X512)+2,FALSE),VLOOKUP(Y512,Equivalencia!$1:$23,((MAX(Equivalencia!$3:$3)-YEAR(X512))*14)+MONTH(X512)+2,FALSE)))</f>
        <v>1</v>
      </c>
      <c r="AB512" s="306">
        <f t="shared" si="144"/>
        <v>845.74</v>
      </c>
      <c r="AC512" s="305">
        <f>+IF(X512=0,0,HLOOKUP(YEAR(X512)+(MONTH(X512)/100),TC!$5:$37,DAY(X512)+2,FALSE))</f>
        <v>20.378499999999999</v>
      </c>
      <c r="AD512" s="307">
        <f t="shared" si="145"/>
        <v>17234.91259</v>
      </c>
      <c r="AE512" s="314">
        <f t="shared" si="146"/>
        <v>18942.986386016004</v>
      </c>
      <c r="AF512" s="315">
        <f t="shared" si="147"/>
        <v>-1708.0737960160041</v>
      </c>
      <c r="AG512" s="316">
        <f t="shared" si="148"/>
        <v>0.6</v>
      </c>
      <c r="AH512" s="314">
        <v>1</v>
      </c>
      <c r="AI512" s="314">
        <f t="shared" si="149"/>
        <v>-1708.0737960160041</v>
      </c>
      <c r="AJ512" s="314">
        <f t="shared" si="150"/>
        <v>0</v>
      </c>
      <c r="AK512" s="317"/>
      <c r="AL512" s="315">
        <f t="shared" si="151"/>
        <v>-64.549722222222272</v>
      </c>
      <c r="AN512" s="554">
        <f t="shared" si="152"/>
        <v>-7.091118425971224E-2</v>
      </c>
      <c r="AO512" s="314"/>
      <c r="AP512" s="318"/>
    </row>
    <row r="513" spans="2:42">
      <c r="B513" s="296" t="s">
        <v>1254</v>
      </c>
      <c r="C513" s="299" t="s">
        <v>277</v>
      </c>
      <c r="D513" s="298" t="s">
        <v>725</v>
      </c>
      <c r="E513" s="299" t="s">
        <v>106</v>
      </c>
      <c r="F513" s="299" t="s">
        <v>59</v>
      </c>
      <c r="G513" s="300">
        <v>44355</v>
      </c>
      <c r="H513" s="303">
        <v>910.28972222222228</v>
      </c>
      <c r="I513" s="301" t="str">
        <f t="shared" si="136"/>
        <v>Ingresos Sección I LISR</v>
      </c>
      <c r="J513" s="302">
        <f t="shared" si="137"/>
        <v>7</v>
      </c>
      <c r="K513" s="304">
        <f t="shared" si="138"/>
        <v>130.04138888888889</v>
      </c>
      <c r="L513" s="305">
        <f>IF(H513=0,0,IF(OR(E513=$AT$5,E513=$AT$6),AA513,IF(F513="MXN",1/HLOOKUP(YEAR(G513)+(MONTH(G513)/100),TC!$5:$37,DAY(G513)+2,FALSE),VLOOKUP(F513,Equivalencia!$5:$23,((MAX(Equivalencia!$3:$3)-YEAR(G513))*14)+MONTH(G513)+2,FALSE))))</f>
        <v>1</v>
      </c>
      <c r="M513" s="306">
        <f t="shared" si="139"/>
        <v>910.28972222222228</v>
      </c>
      <c r="N513" s="305">
        <f>IF(G513=0,0,(IF(OR(E513=$AT$5,E513=$AT$6),AC513,HLOOKUP(YEAR(G513)+(MONTH(G513)/100),TC!$5:$37,DAY(G513)+2,FALSE))))</f>
        <v>19.9328</v>
      </c>
      <c r="O513" s="307">
        <f t="shared" si="140"/>
        <v>18144.622975111113</v>
      </c>
      <c r="P513" s="560">
        <f>IF(G513=0,0,VLOOKUP(YEAR(G513),INPC!$B$4:$P$30,MONTH(G513)+2))</f>
        <v>113.018</v>
      </c>
      <c r="Q513" s="560">
        <f>IF(X513=0,0,IF(OR(E513=$AT$10,E513=$AT$9),VLOOKUP(YEAR(X513),INPC!$B$4:$P$30,MONTH(X513)+1),VLOOKUP(YEAR(X513),INPC!$B$4:$P$30,MONTH(X513)+2,0)))</f>
        <v>118.002</v>
      </c>
      <c r="R513" s="309">
        <f t="shared" si="141"/>
        <v>1.044</v>
      </c>
      <c r="S513" s="310">
        <f t="shared" si="142"/>
        <v>18942.986386016004</v>
      </c>
      <c r="T513" s="555">
        <f t="shared" si="143"/>
        <v>2706.1409122880004</v>
      </c>
      <c r="U513" s="311"/>
      <c r="V513" s="312">
        <v>7</v>
      </c>
      <c r="W513" s="299" t="s">
        <v>194</v>
      </c>
      <c r="X513" s="300">
        <v>44574</v>
      </c>
      <c r="Y513" s="299" t="s">
        <v>59</v>
      </c>
      <c r="Z513" s="303">
        <v>854.25</v>
      </c>
      <c r="AA513" s="305">
        <f>IF(Z513=0,0,IF(Y513="MXN",1/HLOOKUP(YEAR(X513)+(MONTH(X513)/100),TC!$5:$37,DAY(X513)+2,FALSE),VLOOKUP(Y513,Equivalencia!$1:$23,((MAX(Equivalencia!$3:$3)-YEAR(X513))*14)+MONTH(X513)+2,FALSE)))</f>
        <v>1</v>
      </c>
      <c r="AB513" s="306">
        <f t="shared" si="144"/>
        <v>854.25</v>
      </c>
      <c r="AC513" s="305">
        <f>+IF(X513=0,0,HLOOKUP(YEAR(X513)+(MONTH(X513)/100),TC!$5:$37,DAY(X513)+2,FALSE))</f>
        <v>20.378499999999999</v>
      </c>
      <c r="AD513" s="307">
        <f t="shared" si="145"/>
        <v>17408.333624999999</v>
      </c>
      <c r="AE513" s="314">
        <f t="shared" si="146"/>
        <v>18942.986386016004</v>
      </c>
      <c r="AF513" s="315">
        <f t="shared" si="147"/>
        <v>-1534.6527610160047</v>
      </c>
      <c r="AG513" s="316">
        <f t="shared" si="148"/>
        <v>0.6</v>
      </c>
      <c r="AH513" s="314">
        <v>1</v>
      </c>
      <c r="AI513" s="314">
        <f t="shared" si="149"/>
        <v>-1534.6527610160047</v>
      </c>
      <c r="AJ513" s="314">
        <f t="shared" si="150"/>
        <v>0</v>
      </c>
      <c r="AK513" s="317"/>
      <c r="AL513" s="315">
        <f t="shared" si="151"/>
        <v>-56.039722222222281</v>
      </c>
      <c r="AN513" s="554">
        <f t="shared" si="152"/>
        <v>-6.1562512301486495E-2</v>
      </c>
      <c r="AO513" s="314"/>
      <c r="AP513" s="318"/>
    </row>
    <row r="514" spans="2:42">
      <c r="B514" s="296" t="s">
        <v>1254</v>
      </c>
      <c r="C514" s="299" t="s">
        <v>277</v>
      </c>
      <c r="D514" s="298" t="s">
        <v>725</v>
      </c>
      <c r="E514" s="299" t="s">
        <v>106</v>
      </c>
      <c r="F514" s="299" t="s">
        <v>59</v>
      </c>
      <c r="G514" s="300">
        <v>44355</v>
      </c>
      <c r="H514" s="303">
        <v>1820.5794444444446</v>
      </c>
      <c r="I514" s="301" t="str">
        <f t="shared" si="136"/>
        <v>Ingresos Sección I LISR</v>
      </c>
      <c r="J514" s="302">
        <f t="shared" si="137"/>
        <v>14</v>
      </c>
      <c r="K514" s="304">
        <f t="shared" si="138"/>
        <v>130.04138888888889</v>
      </c>
      <c r="L514" s="305">
        <f>IF(H514=0,0,IF(OR(E514=$AT$5,E514=$AT$6),AA514,IF(F514="MXN",1/HLOOKUP(YEAR(G514)+(MONTH(G514)/100),TC!$5:$37,DAY(G514)+2,FALSE),VLOOKUP(F514,Equivalencia!$5:$23,((MAX(Equivalencia!$3:$3)-YEAR(G514))*14)+MONTH(G514)+2,FALSE))))</f>
        <v>1</v>
      </c>
      <c r="M514" s="306">
        <f t="shared" si="139"/>
        <v>1820.5794444444446</v>
      </c>
      <c r="N514" s="305">
        <f>IF(G514=0,0,(IF(OR(E514=$AT$5,E514=$AT$6),AC514,HLOOKUP(YEAR(G514)+(MONTH(G514)/100),TC!$5:$37,DAY(G514)+2,FALSE))))</f>
        <v>19.9328</v>
      </c>
      <c r="O514" s="307">
        <f t="shared" si="140"/>
        <v>36289.245950222226</v>
      </c>
      <c r="P514" s="560">
        <f>IF(G514=0,0,VLOOKUP(YEAR(G514),INPC!$B$4:$P$30,MONTH(G514)+2))</f>
        <v>113.018</v>
      </c>
      <c r="Q514" s="560">
        <f>IF(X514=0,0,IF(OR(E514=$AT$10,E514=$AT$9),VLOOKUP(YEAR(X514),INPC!$B$4:$P$30,MONTH(X514)+1),VLOOKUP(YEAR(X514),INPC!$B$4:$P$30,MONTH(X514)+2,0)))</f>
        <v>118.002</v>
      </c>
      <c r="R514" s="309">
        <f t="shared" si="141"/>
        <v>1.044</v>
      </c>
      <c r="S514" s="310">
        <f t="shared" si="142"/>
        <v>37885.972772032008</v>
      </c>
      <c r="T514" s="555">
        <f t="shared" si="143"/>
        <v>2706.1409122880004</v>
      </c>
      <c r="U514" s="311"/>
      <c r="V514" s="312">
        <v>14</v>
      </c>
      <c r="W514" s="299" t="s">
        <v>194</v>
      </c>
      <c r="X514" s="300">
        <v>44580</v>
      </c>
      <c r="Y514" s="299" t="s">
        <v>59</v>
      </c>
      <c r="Z514" s="303">
        <v>1694.2362499999999</v>
      </c>
      <c r="AA514" s="305">
        <f>IF(Z514=0,0,IF(Y514="MXN",1/HLOOKUP(YEAR(X514)+(MONTH(X514)/100),TC!$5:$37,DAY(X514)+2,FALSE),VLOOKUP(Y514,Equivalencia!$1:$23,((MAX(Equivalencia!$3:$3)-YEAR(X514))*14)+MONTH(X514)+2,FALSE)))</f>
        <v>1</v>
      </c>
      <c r="AB514" s="306">
        <f t="shared" si="144"/>
        <v>1694.2362499999999</v>
      </c>
      <c r="AC514" s="305">
        <f>+IF(X514=0,0,HLOOKUP(YEAR(X514)+(MONTH(X514)/100),TC!$5:$37,DAY(X514)+2,FALSE))</f>
        <v>20.3002</v>
      </c>
      <c r="AD514" s="307">
        <f t="shared" si="145"/>
        <v>34393.334722250002</v>
      </c>
      <c r="AE514" s="314">
        <f t="shared" si="146"/>
        <v>37885.972772032008</v>
      </c>
      <c r="AF514" s="315">
        <f t="shared" si="147"/>
        <v>-3492.6380497820064</v>
      </c>
      <c r="AG514" s="316">
        <f t="shared" si="148"/>
        <v>0.61643835616438358</v>
      </c>
      <c r="AH514" s="314">
        <v>1</v>
      </c>
      <c r="AI514" s="314">
        <f t="shared" si="149"/>
        <v>-3492.6380497820064</v>
      </c>
      <c r="AJ514" s="314">
        <f t="shared" si="150"/>
        <v>0</v>
      </c>
      <c r="AK514" s="317"/>
      <c r="AL514" s="315">
        <f t="shared" si="151"/>
        <v>-126.34319444444463</v>
      </c>
      <c r="AN514" s="554">
        <f t="shared" si="152"/>
        <v>-6.9397243185396196E-2</v>
      </c>
      <c r="AO514" s="314"/>
      <c r="AP514" s="318"/>
    </row>
    <row r="515" spans="2:42">
      <c r="B515" s="296" t="s">
        <v>1254</v>
      </c>
      <c r="C515" s="299" t="s">
        <v>277</v>
      </c>
      <c r="D515" s="298" t="s">
        <v>725</v>
      </c>
      <c r="E515" s="299" t="s">
        <v>106</v>
      </c>
      <c r="F515" s="299" t="s">
        <v>59</v>
      </c>
      <c r="G515" s="300">
        <v>44355</v>
      </c>
      <c r="H515" s="303">
        <v>261.03587301587299</v>
      </c>
      <c r="I515" s="301" t="str">
        <f t="shared" si="136"/>
        <v>Ingresos Sección I LISR</v>
      </c>
      <c r="J515" s="302">
        <f t="shared" si="137"/>
        <v>2</v>
      </c>
      <c r="K515" s="304">
        <f t="shared" si="138"/>
        <v>130.5179365079365</v>
      </c>
      <c r="L515" s="305">
        <f>IF(H515=0,0,IF(OR(E515=$AT$5,E515=$AT$6),AA515,IF(F515="MXN",1/HLOOKUP(YEAR(G515)+(MONTH(G515)/100),TC!$5:$37,DAY(G515)+2,FALSE),VLOOKUP(F515,Equivalencia!$5:$23,((MAX(Equivalencia!$3:$3)-YEAR(G515))*14)+MONTH(G515)+2,FALSE))))</f>
        <v>1</v>
      </c>
      <c r="M515" s="306">
        <f t="shared" si="139"/>
        <v>261.03587301587299</v>
      </c>
      <c r="N515" s="305">
        <f>IF(G515=0,0,(IF(OR(E515=$AT$5,E515=$AT$6),AC515,HLOOKUP(YEAR(G515)+(MONTH(G515)/100),TC!$5:$37,DAY(G515)+2,FALSE))))</f>
        <v>19.9328</v>
      </c>
      <c r="O515" s="307">
        <f t="shared" si="140"/>
        <v>5203.1758496507937</v>
      </c>
      <c r="P515" s="560">
        <f>IF(G515=0,0,VLOOKUP(YEAR(G515),INPC!$B$4:$P$30,MONTH(G515)+2))</f>
        <v>113.018</v>
      </c>
      <c r="Q515" s="560">
        <f>IF(X515=0,0,IF(OR(E515=$AT$10,E515=$AT$9),VLOOKUP(YEAR(X515),INPC!$B$4:$P$30,MONTH(X515)+1),VLOOKUP(YEAR(X515),INPC!$B$4:$P$30,MONTH(X515)+2,0)))</f>
        <v>118.002</v>
      </c>
      <c r="R515" s="309">
        <f t="shared" si="141"/>
        <v>1.044</v>
      </c>
      <c r="S515" s="310">
        <f t="shared" si="142"/>
        <v>5432.1155870354287</v>
      </c>
      <c r="T515" s="555">
        <f t="shared" si="143"/>
        <v>2716.0577935177143</v>
      </c>
      <c r="U515" s="311"/>
      <c r="V515" s="312">
        <v>2</v>
      </c>
      <c r="W515" s="299" t="s">
        <v>194</v>
      </c>
      <c r="X515" s="300">
        <v>44580</v>
      </c>
      <c r="Y515" s="299" t="s">
        <v>59</v>
      </c>
      <c r="Z515" s="303">
        <v>242.03375</v>
      </c>
      <c r="AA515" s="305">
        <f>IF(Z515=0,0,IF(Y515="MXN",1/HLOOKUP(YEAR(X515)+(MONTH(X515)/100),TC!$5:$37,DAY(X515)+2,FALSE),VLOOKUP(Y515,Equivalencia!$1:$23,((MAX(Equivalencia!$3:$3)-YEAR(X515))*14)+MONTH(X515)+2,FALSE)))</f>
        <v>1</v>
      </c>
      <c r="AB515" s="306">
        <f t="shared" si="144"/>
        <v>242.03375</v>
      </c>
      <c r="AC515" s="305">
        <f>+IF(X515=0,0,HLOOKUP(YEAR(X515)+(MONTH(X515)/100),TC!$5:$37,DAY(X515)+2,FALSE))</f>
        <v>20.3002</v>
      </c>
      <c r="AD515" s="307">
        <f t="shared" si="145"/>
        <v>4913.3335317499996</v>
      </c>
      <c r="AE515" s="314">
        <f t="shared" si="146"/>
        <v>5432.1155870354287</v>
      </c>
      <c r="AF515" s="315">
        <f t="shared" si="147"/>
        <v>-518.78205528542912</v>
      </c>
      <c r="AG515" s="316">
        <f t="shared" si="148"/>
        <v>0.61643835616438358</v>
      </c>
      <c r="AH515" s="314">
        <v>1</v>
      </c>
      <c r="AI515" s="314">
        <f t="shared" si="149"/>
        <v>-518.78205528542912</v>
      </c>
      <c r="AJ515" s="314">
        <f t="shared" si="150"/>
        <v>0</v>
      </c>
      <c r="AK515" s="317"/>
      <c r="AL515" s="315">
        <f t="shared" si="151"/>
        <v>-19.002123015872996</v>
      </c>
      <c r="AN515" s="554">
        <f t="shared" si="152"/>
        <v>-7.2795063744811511E-2</v>
      </c>
      <c r="AO515" s="314"/>
      <c r="AP515" s="318"/>
    </row>
    <row r="516" spans="2:42">
      <c r="B516" s="296" t="s">
        <v>1254</v>
      </c>
      <c r="C516" s="299" t="s">
        <v>277</v>
      </c>
      <c r="D516" s="298" t="s">
        <v>725</v>
      </c>
      <c r="E516" s="299" t="s">
        <v>106</v>
      </c>
      <c r="F516" s="299" t="s">
        <v>59</v>
      </c>
      <c r="G516" s="300">
        <v>44355</v>
      </c>
      <c r="H516" s="303">
        <v>2610.3587301587299</v>
      </c>
      <c r="I516" s="301" t="str">
        <f t="shared" si="136"/>
        <v>Ingresos Sección I LISR</v>
      </c>
      <c r="J516" s="302">
        <f t="shared" si="137"/>
        <v>20</v>
      </c>
      <c r="K516" s="304">
        <f t="shared" si="138"/>
        <v>130.5179365079365</v>
      </c>
      <c r="L516" s="305">
        <f>IF(H516=0,0,IF(OR(E516=$AT$5,E516=$AT$6),AA516,IF(F516="MXN",1/HLOOKUP(YEAR(G516)+(MONTH(G516)/100),TC!$5:$37,DAY(G516)+2,FALSE),VLOOKUP(F516,Equivalencia!$5:$23,((MAX(Equivalencia!$3:$3)-YEAR(G516))*14)+MONTH(G516)+2,FALSE))))</f>
        <v>1</v>
      </c>
      <c r="M516" s="306">
        <f t="shared" si="139"/>
        <v>2610.3587301587299</v>
      </c>
      <c r="N516" s="305">
        <f>IF(G516=0,0,(IF(OR(E516=$AT$5,E516=$AT$6),AC516,HLOOKUP(YEAR(G516)+(MONTH(G516)/100),TC!$5:$37,DAY(G516)+2,FALSE))))</f>
        <v>19.9328</v>
      </c>
      <c r="O516" s="307">
        <f t="shared" si="140"/>
        <v>52031.75849650793</v>
      </c>
      <c r="P516" s="560">
        <f>IF(G516=0,0,VLOOKUP(YEAR(G516),INPC!$B$4:$P$30,MONTH(G516)+2))</f>
        <v>113.018</v>
      </c>
      <c r="Q516" s="560">
        <f>IF(X516=0,0,IF(OR(E516=$AT$10,E516=$AT$9),VLOOKUP(YEAR(X516),INPC!$B$4:$P$30,MONTH(X516)+1),VLOOKUP(YEAR(X516),INPC!$B$4:$P$30,MONTH(X516)+2,0)))</f>
        <v>118.002</v>
      </c>
      <c r="R516" s="309">
        <f t="shared" si="141"/>
        <v>1.044</v>
      </c>
      <c r="S516" s="310">
        <f t="shared" si="142"/>
        <v>54321.155870354283</v>
      </c>
      <c r="T516" s="555">
        <f t="shared" si="143"/>
        <v>2716.0577935177143</v>
      </c>
      <c r="U516" s="311"/>
      <c r="V516" s="312">
        <v>20</v>
      </c>
      <c r="W516" s="299" t="s">
        <v>194</v>
      </c>
      <c r="X516" s="300">
        <v>44580</v>
      </c>
      <c r="Y516" s="299" t="s">
        <v>59</v>
      </c>
      <c r="Z516" s="303">
        <v>2421.79</v>
      </c>
      <c r="AA516" s="305">
        <f>IF(Z516=0,0,IF(Y516="MXN",1/HLOOKUP(YEAR(X516)+(MONTH(X516)/100),TC!$5:$37,DAY(X516)+2,FALSE),VLOOKUP(Y516,Equivalencia!$1:$23,((MAX(Equivalencia!$3:$3)-YEAR(X516))*14)+MONTH(X516)+2,FALSE)))</f>
        <v>1</v>
      </c>
      <c r="AB516" s="306">
        <f t="shared" si="144"/>
        <v>2421.79</v>
      </c>
      <c r="AC516" s="305">
        <f>+IF(X516=0,0,HLOOKUP(YEAR(X516)+(MONTH(X516)/100),TC!$5:$37,DAY(X516)+2,FALSE))</f>
        <v>20.3002</v>
      </c>
      <c r="AD516" s="307">
        <f t="shared" si="145"/>
        <v>49162.821358000001</v>
      </c>
      <c r="AE516" s="314">
        <f t="shared" si="146"/>
        <v>54321.155870354283</v>
      </c>
      <c r="AF516" s="315">
        <f t="shared" si="147"/>
        <v>-5158.3345123542822</v>
      </c>
      <c r="AG516" s="316">
        <f t="shared" si="148"/>
        <v>0.61643835616438358</v>
      </c>
      <c r="AH516" s="314">
        <v>1</v>
      </c>
      <c r="AI516" s="314">
        <f t="shared" si="149"/>
        <v>-5158.3345123542822</v>
      </c>
      <c r="AJ516" s="314">
        <f t="shared" si="150"/>
        <v>0</v>
      </c>
      <c r="AK516" s="317"/>
      <c r="AL516" s="315">
        <f t="shared" si="151"/>
        <v>-188.56873015872998</v>
      </c>
      <c r="AN516" s="554">
        <f t="shared" si="152"/>
        <v>-7.2238626814048482E-2</v>
      </c>
      <c r="AO516" s="314"/>
      <c r="AP516" s="318"/>
    </row>
    <row r="517" spans="2:42">
      <c r="B517" s="296" t="s">
        <v>1254</v>
      </c>
      <c r="C517" s="299" t="s">
        <v>277</v>
      </c>
      <c r="D517" s="298" t="s">
        <v>725</v>
      </c>
      <c r="E517" s="299" t="s">
        <v>106</v>
      </c>
      <c r="F517" s="299" t="s">
        <v>59</v>
      </c>
      <c r="G517" s="300">
        <v>44355</v>
      </c>
      <c r="H517" s="303">
        <v>3132.4304761904759</v>
      </c>
      <c r="I517" s="301" t="str">
        <f t="shared" si="136"/>
        <v>Ingresos Sección I LISR</v>
      </c>
      <c r="J517" s="302">
        <f t="shared" si="137"/>
        <v>24</v>
      </c>
      <c r="K517" s="304">
        <f t="shared" si="138"/>
        <v>130.5179365079365</v>
      </c>
      <c r="L517" s="305">
        <f>IF(H517=0,0,IF(OR(E517=$AT$5,E517=$AT$6),AA517,IF(F517="MXN",1/HLOOKUP(YEAR(G517)+(MONTH(G517)/100),TC!$5:$37,DAY(G517)+2,FALSE),VLOOKUP(F517,Equivalencia!$5:$23,((MAX(Equivalencia!$3:$3)-YEAR(G517))*14)+MONTH(G517)+2,FALSE))))</f>
        <v>1</v>
      </c>
      <c r="M517" s="306">
        <f t="shared" si="139"/>
        <v>3132.4304761904759</v>
      </c>
      <c r="N517" s="305">
        <f>IF(G517=0,0,(IF(OR(E517=$AT$5,E517=$AT$6),AC517,HLOOKUP(YEAR(G517)+(MONTH(G517)/100),TC!$5:$37,DAY(G517)+2,FALSE))))</f>
        <v>19.9328</v>
      </c>
      <c r="O517" s="307">
        <f t="shared" si="140"/>
        <v>62438.110195809517</v>
      </c>
      <c r="P517" s="560">
        <f>IF(G517=0,0,VLOOKUP(YEAR(G517),INPC!$B$4:$P$30,MONTH(G517)+2))</f>
        <v>113.018</v>
      </c>
      <c r="Q517" s="560">
        <f>IF(X517=0,0,IF(OR(E517=$AT$10,E517=$AT$9),VLOOKUP(YEAR(X517),INPC!$B$4:$P$30,MONTH(X517)+1),VLOOKUP(YEAR(X517),INPC!$B$4:$P$30,MONTH(X517)+2,0)))</f>
        <v>118.002</v>
      </c>
      <c r="R517" s="309">
        <f t="shared" si="141"/>
        <v>1.044</v>
      </c>
      <c r="S517" s="310">
        <f t="shared" si="142"/>
        <v>65185.387044425137</v>
      </c>
      <c r="T517" s="555">
        <f t="shared" si="143"/>
        <v>2716.0577935177139</v>
      </c>
      <c r="U517" s="311"/>
      <c r="V517" s="312">
        <v>24</v>
      </c>
      <c r="W517" s="299" t="s">
        <v>194</v>
      </c>
      <c r="X517" s="300">
        <v>44580</v>
      </c>
      <c r="Y517" s="299" t="s">
        <v>59</v>
      </c>
      <c r="Z517" s="303">
        <v>2898.53</v>
      </c>
      <c r="AA517" s="305">
        <f>IF(Z517=0,0,IF(Y517="MXN",1/HLOOKUP(YEAR(X517)+(MONTH(X517)/100),TC!$5:$37,DAY(X517)+2,FALSE),VLOOKUP(Y517,Equivalencia!$1:$23,((MAX(Equivalencia!$3:$3)-YEAR(X517))*14)+MONTH(X517)+2,FALSE)))</f>
        <v>1</v>
      </c>
      <c r="AB517" s="306">
        <f t="shared" si="144"/>
        <v>2898.53</v>
      </c>
      <c r="AC517" s="305">
        <f>+IF(X517=0,0,HLOOKUP(YEAR(X517)+(MONTH(X517)/100),TC!$5:$37,DAY(X517)+2,FALSE))</f>
        <v>20.3002</v>
      </c>
      <c r="AD517" s="307">
        <f t="shared" si="145"/>
        <v>58840.738706000004</v>
      </c>
      <c r="AE517" s="314">
        <f t="shared" si="146"/>
        <v>65185.387044425137</v>
      </c>
      <c r="AF517" s="315">
        <f t="shared" si="147"/>
        <v>-6344.6483384251333</v>
      </c>
      <c r="AG517" s="316">
        <f t="shared" si="148"/>
        <v>0.61643835616438358</v>
      </c>
      <c r="AH517" s="314">
        <v>1</v>
      </c>
      <c r="AI517" s="314">
        <f t="shared" si="149"/>
        <v>-6344.6483384251333</v>
      </c>
      <c r="AJ517" s="314">
        <f t="shared" si="150"/>
        <v>0</v>
      </c>
      <c r="AK517" s="317"/>
      <c r="AL517" s="315">
        <f t="shared" si="151"/>
        <v>-233.90047619047573</v>
      </c>
      <c r="AN517" s="554">
        <f t="shared" si="152"/>
        <v>-7.4670604174090147E-2</v>
      </c>
      <c r="AO517" s="314"/>
      <c r="AP517" s="318"/>
    </row>
    <row r="518" spans="2:42">
      <c r="B518" s="296" t="s">
        <v>1254</v>
      </c>
      <c r="C518" s="299" t="s">
        <v>277</v>
      </c>
      <c r="D518" s="298" t="s">
        <v>725</v>
      </c>
      <c r="E518" s="299" t="s">
        <v>106</v>
      </c>
      <c r="F518" s="299" t="s">
        <v>59</v>
      </c>
      <c r="G518" s="300">
        <v>44355</v>
      </c>
      <c r="H518" s="303">
        <v>783.10761904761898</v>
      </c>
      <c r="I518" s="301" t="str">
        <f t="shared" si="136"/>
        <v>Ingresos Sección I LISR</v>
      </c>
      <c r="J518" s="302">
        <f t="shared" si="137"/>
        <v>6</v>
      </c>
      <c r="K518" s="304">
        <f t="shared" si="138"/>
        <v>130.5179365079365</v>
      </c>
      <c r="L518" s="305">
        <f>IF(H518=0,0,IF(OR(E518=$AT$5,E518=$AT$6),AA518,IF(F518="MXN",1/HLOOKUP(YEAR(G518)+(MONTH(G518)/100),TC!$5:$37,DAY(G518)+2,FALSE),VLOOKUP(F518,Equivalencia!$5:$23,((MAX(Equivalencia!$3:$3)-YEAR(G518))*14)+MONTH(G518)+2,FALSE))))</f>
        <v>1</v>
      </c>
      <c r="M518" s="306">
        <f t="shared" si="139"/>
        <v>783.10761904761898</v>
      </c>
      <c r="N518" s="305">
        <f>IF(G518=0,0,(IF(OR(E518=$AT$5,E518=$AT$6),AC518,HLOOKUP(YEAR(G518)+(MONTH(G518)/100),TC!$5:$37,DAY(G518)+2,FALSE))))</f>
        <v>19.9328</v>
      </c>
      <c r="O518" s="307">
        <f t="shared" si="140"/>
        <v>15609.527548952379</v>
      </c>
      <c r="P518" s="560">
        <f>IF(G518=0,0,VLOOKUP(YEAR(G518),INPC!$B$4:$P$30,MONTH(G518)+2))</f>
        <v>113.018</v>
      </c>
      <c r="Q518" s="560">
        <f>IF(X518=0,0,IF(OR(E518=$AT$10,E518=$AT$9),VLOOKUP(YEAR(X518),INPC!$B$4:$P$30,MONTH(X518)+1),VLOOKUP(YEAR(X518),INPC!$B$4:$P$30,MONTH(X518)+2,0)))</f>
        <v>118.002</v>
      </c>
      <c r="R518" s="309">
        <f t="shared" si="141"/>
        <v>1.044</v>
      </c>
      <c r="S518" s="310">
        <f t="shared" si="142"/>
        <v>16296.346761106284</v>
      </c>
      <c r="T518" s="555">
        <f t="shared" si="143"/>
        <v>2716.0577935177139</v>
      </c>
      <c r="U518" s="311"/>
      <c r="V518" s="312">
        <v>6</v>
      </c>
      <c r="W518" s="299" t="s">
        <v>194</v>
      </c>
      <c r="X518" s="300">
        <v>44581</v>
      </c>
      <c r="Y518" s="299" t="s">
        <v>59</v>
      </c>
      <c r="Z518" s="303">
        <v>725.97</v>
      </c>
      <c r="AA518" s="305">
        <f>IF(Z518=0,0,IF(Y518="MXN",1/HLOOKUP(YEAR(X518)+(MONTH(X518)/100),TC!$5:$37,DAY(X518)+2,FALSE),VLOOKUP(Y518,Equivalencia!$1:$23,((MAX(Equivalencia!$3:$3)-YEAR(X518))*14)+MONTH(X518)+2,FALSE)))</f>
        <v>1</v>
      </c>
      <c r="AB518" s="306">
        <f t="shared" si="144"/>
        <v>725.97</v>
      </c>
      <c r="AC518" s="305">
        <f>+IF(X518=0,0,HLOOKUP(YEAR(X518)+(MONTH(X518)/100),TC!$5:$37,DAY(X518)+2,FALSE))</f>
        <v>20.402999999999999</v>
      </c>
      <c r="AD518" s="307">
        <f t="shared" si="145"/>
        <v>14811.965909999999</v>
      </c>
      <c r="AE518" s="314">
        <f t="shared" si="146"/>
        <v>16296.346761106284</v>
      </c>
      <c r="AF518" s="315">
        <f t="shared" si="147"/>
        <v>-1484.3808511062853</v>
      </c>
      <c r="AG518" s="316">
        <f t="shared" si="148"/>
        <v>0.61917808219178083</v>
      </c>
      <c r="AH518" s="314">
        <v>1</v>
      </c>
      <c r="AI518" s="314">
        <f t="shared" si="149"/>
        <v>-1484.3808511062853</v>
      </c>
      <c r="AJ518" s="314">
        <f t="shared" si="150"/>
        <v>0</v>
      </c>
      <c r="AK518" s="317"/>
      <c r="AL518" s="315">
        <f t="shared" si="151"/>
        <v>-57.137619047618955</v>
      </c>
      <c r="AN518" s="554">
        <f t="shared" si="152"/>
        <v>-7.2962665229981044E-2</v>
      </c>
      <c r="AO518" s="314"/>
      <c r="AP518" s="318"/>
    </row>
    <row r="519" spans="2:42">
      <c r="B519" s="296" t="s">
        <v>1254</v>
      </c>
      <c r="C519" s="299" t="s">
        <v>277</v>
      </c>
      <c r="D519" s="298" t="s">
        <v>725</v>
      </c>
      <c r="E519" s="299" t="s">
        <v>106</v>
      </c>
      <c r="F519" s="299" t="s">
        <v>59</v>
      </c>
      <c r="G519" s="300">
        <v>44355</v>
      </c>
      <c r="H519" s="303">
        <v>783.10761904761898</v>
      </c>
      <c r="I519" s="301" t="str">
        <f t="shared" si="136"/>
        <v>Ingresos Sección I LISR</v>
      </c>
      <c r="J519" s="302">
        <f t="shared" si="137"/>
        <v>6</v>
      </c>
      <c r="K519" s="304">
        <f t="shared" si="138"/>
        <v>130.5179365079365</v>
      </c>
      <c r="L519" s="305">
        <f>IF(H519=0,0,IF(OR(E519=$AT$5,E519=$AT$6),AA519,IF(F519="MXN",1/HLOOKUP(YEAR(G519)+(MONTH(G519)/100),TC!$5:$37,DAY(G519)+2,FALSE),VLOOKUP(F519,Equivalencia!$5:$23,((MAX(Equivalencia!$3:$3)-YEAR(G519))*14)+MONTH(G519)+2,FALSE))))</f>
        <v>1</v>
      </c>
      <c r="M519" s="306">
        <f t="shared" si="139"/>
        <v>783.10761904761898</v>
      </c>
      <c r="N519" s="305">
        <f>IF(G519=0,0,(IF(OR(E519=$AT$5,E519=$AT$6),AC519,HLOOKUP(YEAR(G519)+(MONTH(G519)/100),TC!$5:$37,DAY(G519)+2,FALSE))))</f>
        <v>19.9328</v>
      </c>
      <c r="O519" s="307">
        <f t="shared" si="140"/>
        <v>15609.527548952379</v>
      </c>
      <c r="P519" s="560">
        <f>IF(G519=0,0,VLOOKUP(YEAR(G519),INPC!$B$4:$P$30,MONTH(G519)+2))</f>
        <v>113.018</v>
      </c>
      <c r="Q519" s="560">
        <f>IF(X519=0,0,IF(OR(E519=$AT$10,E519=$AT$9),VLOOKUP(YEAR(X519),INPC!$B$4:$P$30,MONTH(X519)+1),VLOOKUP(YEAR(X519),INPC!$B$4:$P$30,MONTH(X519)+2,0)))</f>
        <v>118.002</v>
      </c>
      <c r="R519" s="309">
        <f t="shared" si="141"/>
        <v>1.044</v>
      </c>
      <c r="S519" s="310">
        <f t="shared" si="142"/>
        <v>16296.346761106284</v>
      </c>
      <c r="T519" s="555">
        <f t="shared" si="143"/>
        <v>2716.0577935177139</v>
      </c>
      <c r="U519" s="311"/>
      <c r="V519" s="312">
        <v>6</v>
      </c>
      <c r="W519" s="299" t="s">
        <v>194</v>
      </c>
      <c r="X519" s="300">
        <v>44581</v>
      </c>
      <c r="Y519" s="299" t="s">
        <v>59</v>
      </c>
      <c r="Z519" s="303">
        <v>727.08</v>
      </c>
      <c r="AA519" s="305">
        <f>IF(Z519=0,0,IF(Y519="MXN",1/HLOOKUP(YEAR(X519)+(MONTH(X519)/100),TC!$5:$37,DAY(X519)+2,FALSE),VLOOKUP(Y519,Equivalencia!$1:$23,((MAX(Equivalencia!$3:$3)-YEAR(X519))*14)+MONTH(X519)+2,FALSE)))</f>
        <v>1</v>
      </c>
      <c r="AB519" s="306">
        <f t="shared" si="144"/>
        <v>727.08</v>
      </c>
      <c r="AC519" s="305">
        <f>+IF(X519=0,0,HLOOKUP(YEAR(X519)+(MONTH(X519)/100),TC!$5:$37,DAY(X519)+2,FALSE))</f>
        <v>20.402999999999999</v>
      </c>
      <c r="AD519" s="307">
        <f t="shared" si="145"/>
        <v>14834.613240000001</v>
      </c>
      <c r="AE519" s="314">
        <f t="shared" si="146"/>
        <v>16296.346761106284</v>
      </c>
      <c r="AF519" s="315">
        <f t="shared" si="147"/>
        <v>-1461.7335211062837</v>
      </c>
      <c r="AG519" s="316">
        <f t="shared" si="148"/>
        <v>0.61917808219178083</v>
      </c>
      <c r="AH519" s="314">
        <v>1</v>
      </c>
      <c r="AI519" s="314">
        <f t="shared" si="149"/>
        <v>-1461.7335211062837</v>
      </c>
      <c r="AJ519" s="314">
        <f t="shared" si="150"/>
        <v>0</v>
      </c>
      <c r="AK519" s="317"/>
      <c r="AL519" s="315">
        <f t="shared" si="151"/>
        <v>-56.027619047618941</v>
      </c>
      <c r="AN519" s="554">
        <f t="shared" si="152"/>
        <v>-7.1545235526832521E-2</v>
      </c>
      <c r="AO519" s="314"/>
      <c r="AP519" s="318"/>
    </row>
    <row r="520" spans="2:42">
      <c r="B520" s="296" t="s">
        <v>1254</v>
      </c>
      <c r="C520" s="299" t="s">
        <v>277</v>
      </c>
      <c r="D520" s="298" t="s">
        <v>725</v>
      </c>
      <c r="E520" s="299" t="s">
        <v>106</v>
      </c>
      <c r="F520" s="299" t="s">
        <v>59</v>
      </c>
      <c r="G520" s="300">
        <v>44355</v>
      </c>
      <c r="H520" s="303">
        <v>652.58968253968249</v>
      </c>
      <c r="I520" s="301" t="str">
        <f t="shared" si="136"/>
        <v>Ingresos Sección I LISR</v>
      </c>
      <c r="J520" s="302">
        <f t="shared" si="137"/>
        <v>5</v>
      </c>
      <c r="K520" s="304">
        <f t="shared" si="138"/>
        <v>130.5179365079365</v>
      </c>
      <c r="L520" s="305">
        <f>IF(H520=0,0,IF(OR(E520=$AT$5,E520=$AT$6),AA520,IF(F520="MXN",1/HLOOKUP(YEAR(G520)+(MONTH(G520)/100),TC!$5:$37,DAY(G520)+2,FALSE),VLOOKUP(F520,Equivalencia!$5:$23,((MAX(Equivalencia!$3:$3)-YEAR(G520))*14)+MONTH(G520)+2,FALSE))))</f>
        <v>1</v>
      </c>
      <c r="M520" s="306">
        <f t="shared" si="139"/>
        <v>652.58968253968249</v>
      </c>
      <c r="N520" s="305">
        <f>IF(G520=0,0,(IF(OR(E520=$AT$5,E520=$AT$6),AC520,HLOOKUP(YEAR(G520)+(MONTH(G520)/100),TC!$5:$37,DAY(G520)+2,FALSE))))</f>
        <v>19.9328</v>
      </c>
      <c r="O520" s="307">
        <f t="shared" si="140"/>
        <v>13007.939624126982</v>
      </c>
      <c r="P520" s="560">
        <f>IF(G520=0,0,VLOOKUP(YEAR(G520),INPC!$B$4:$P$30,MONTH(G520)+2))</f>
        <v>113.018</v>
      </c>
      <c r="Q520" s="560">
        <f>IF(X520=0,0,IF(OR(E520=$AT$10,E520=$AT$9),VLOOKUP(YEAR(X520),INPC!$B$4:$P$30,MONTH(X520)+1),VLOOKUP(YEAR(X520),INPC!$B$4:$P$30,MONTH(X520)+2,0)))</f>
        <v>118.002</v>
      </c>
      <c r="R520" s="309">
        <f t="shared" si="141"/>
        <v>1.044</v>
      </c>
      <c r="S520" s="310">
        <f t="shared" si="142"/>
        <v>13580.288967588571</v>
      </c>
      <c r="T520" s="555">
        <f t="shared" si="143"/>
        <v>2716.0577935177143</v>
      </c>
      <c r="U520" s="311"/>
      <c r="V520" s="312">
        <v>5</v>
      </c>
      <c r="W520" s="299" t="s">
        <v>194</v>
      </c>
      <c r="X520" s="300">
        <v>44581</v>
      </c>
      <c r="Y520" s="299" t="s">
        <v>59</v>
      </c>
      <c r="Z520" s="303">
        <v>605.40499999999997</v>
      </c>
      <c r="AA520" s="305">
        <f>IF(Z520=0,0,IF(Y520="MXN",1/HLOOKUP(YEAR(X520)+(MONTH(X520)/100),TC!$5:$37,DAY(X520)+2,FALSE),VLOOKUP(Y520,Equivalencia!$1:$23,((MAX(Equivalencia!$3:$3)-YEAR(X520))*14)+MONTH(X520)+2,FALSE)))</f>
        <v>1</v>
      </c>
      <c r="AB520" s="306">
        <f t="shared" si="144"/>
        <v>605.40499999999997</v>
      </c>
      <c r="AC520" s="305">
        <f>+IF(X520=0,0,HLOOKUP(YEAR(X520)+(MONTH(X520)/100),TC!$5:$37,DAY(X520)+2,FALSE))</f>
        <v>20.402999999999999</v>
      </c>
      <c r="AD520" s="307">
        <f t="shared" si="145"/>
        <v>12352.078215</v>
      </c>
      <c r="AE520" s="314">
        <f t="shared" si="146"/>
        <v>13580.288967588571</v>
      </c>
      <c r="AF520" s="315">
        <f t="shared" si="147"/>
        <v>-1228.2107525885713</v>
      </c>
      <c r="AG520" s="316">
        <f t="shared" si="148"/>
        <v>0.61917808219178083</v>
      </c>
      <c r="AH520" s="314">
        <v>1</v>
      </c>
      <c r="AI520" s="314">
        <f t="shared" si="149"/>
        <v>-1228.2107525885713</v>
      </c>
      <c r="AJ520" s="314">
        <f t="shared" si="150"/>
        <v>0</v>
      </c>
      <c r="AK520" s="317"/>
      <c r="AL520" s="315">
        <f t="shared" si="151"/>
        <v>-47.184682539682512</v>
      </c>
      <c r="AN520" s="554">
        <f t="shared" si="152"/>
        <v>-7.230375196257155E-2</v>
      </c>
      <c r="AO520" s="314"/>
      <c r="AP520" s="318"/>
    </row>
    <row r="521" spans="2:42">
      <c r="B521" s="296" t="s">
        <v>1254</v>
      </c>
      <c r="C521" s="299" t="s">
        <v>277</v>
      </c>
      <c r="D521" s="298" t="s">
        <v>725</v>
      </c>
      <c r="E521" s="299" t="s">
        <v>106</v>
      </c>
      <c r="F521" s="299" t="s">
        <v>59</v>
      </c>
      <c r="G521" s="300">
        <v>44397</v>
      </c>
      <c r="H521" s="303">
        <v>1513.21</v>
      </c>
      <c r="I521" s="301" t="str">
        <f t="shared" si="136"/>
        <v>Ingresos Sección I LISR</v>
      </c>
      <c r="J521" s="302">
        <f t="shared" si="137"/>
        <v>13</v>
      </c>
      <c r="K521" s="304">
        <f t="shared" si="138"/>
        <v>116.40076923076923</v>
      </c>
      <c r="L521" s="305">
        <f>IF(H521=0,0,IF(OR(E521=$AT$5,E521=$AT$6),AA521,IF(F521="MXN",1/HLOOKUP(YEAR(G521)+(MONTH(G521)/100),TC!$5:$37,DAY(G521)+2,FALSE),VLOOKUP(F521,Equivalencia!$5:$23,((MAX(Equivalencia!$3:$3)-YEAR(G521))*14)+MONTH(G521)+2,FALSE))))</f>
        <v>1</v>
      </c>
      <c r="M521" s="306">
        <f t="shared" si="139"/>
        <v>1513.21</v>
      </c>
      <c r="N521" s="305">
        <f>IF(G521=0,0,(IF(OR(E521=$AT$5,E521=$AT$6),AC521,HLOOKUP(YEAR(G521)+(MONTH(G521)/100),TC!$5:$37,DAY(G521)+2,FALSE))))</f>
        <v>19.8537</v>
      </c>
      <c r="O521" s="307">
        <f t="shared" si="140"/>
        <v>30042.817376999999</v>
      </c>
      <c r="P521" s="560">
        <f>IF(G521=0,0,VLOOKUP(YEAR(G521),INPC!$B$4:$P$30,MONTH(G521)+2))</f>
        <v>113.682</v>
      </c>
      <c r="Q521" s="560">
        <f>IF(X521=0,0,IF(OR(E521=$AT$10,E521=$AT$9),VLOOKUP(YEAR(X521),INPC!$B$4:$P$30,MONTH(X521)+1),VLOOKUP(YEAR(X521),INPC!$B$4:$P$30,MONTH(X521)+2,0)))</f>
        <v>118.002</v>
      </c>
      <c r="R521" s="309">
        <f t="shared" si="141"/>
        <v>1.038</v>
      </c>
      <c r="S521" s="310">
        <f t="shared" si="142"/>
        <v>31184.444437326001</v>
      </c>
      <c r="T521" s="555">
        <f t="shared" si="143"/>
        <v>2398.8034182558463</v>
      </c>
      <c r="U521" s="311"/>
      <c r="V521" s="312">
        <v>13</v>
      </c>
      <c r="W521" s="299" t="s">
        <v>194</v>
      </c>
      <c r="X521" s="300">
        <v>44581</v>
      </c>
      <c r="Y521" s="299" t="s">
        <v>59</v>
      </c>
      <c r="Z521" s="303">
        <v>1574.0529999999999</v>
      </c>
      <c r="AA521" s="305">
        <f>IF(Z521=0,0,IF(Y521="MXN",1/HLOOKUP(YEAR(X521)+(MONTH(X521)/100),TC!$5:$37,DAY(X521)+2,FALSE),VLOOKUP(Y521,Equivalencia!$1:$23,((MAX(Equivalencia!$3:$3)-YEAR(X521))*14)+MONTH(X521)+2,FALSE)))</f>
        <v>1</v>
      </c>
      <c r="AB521" s="306">
        <f t="shared" si="144"/>
        <v>1574.0529999999999</v>
      </c>
      <c r="AC521" s="305">
        <f>+IF(X521=0,0,HLOOKUP(YEAR(X521)+(MONTH(X521)/100),TC!$5:$37,DAY(X521)+2,FALSE))</f>
        <v>20.402999999999999</v>
      </c>
      <c r="AD521" s="307">
        <f t="shared" si="145"/>
        <v>32115.403358999996</v>
      </c>
      <c r="AE521" s="314">
        <f t="shared" si="146"/>
        <v>31184.444437326001</v>
      </c>
      <c r="AF521" s="315">
        <f t="shared" si="147"/>
        <v>930.95892167399506</v>
      </c>
      <c r="AG521" s="316">
        <f t="shared" si="148"/>
        <v>0.50410958904109593</v>
      </c>
      <c r="AH521" s="314">
        <v>1</v>
      </c>
      <c r="AI521" s="314">
        <f t="shared" si="149"/>
        <v>930.95892167399506</v>
      </c>
      <c r="AJ521" s="314">
        <f t="shared" si="150"/>
        <v>0</v>
      </c>
      <c r="AK521" s="317"/>
      <c r="AL521" s="315">
        <f t="shared" si="151"/>
        <v>60.842999999999847</v>
      </c>
      <c r="AN521" s="554">
        <f t="shared" si="152"/>
        <v>4.020790240614313E-2</v>
      </c>
      <c r="AO521" s="314"/>
      <c r="AP521" s="318"/>
    </row>
    <row r="522" spans="2:42">
      <c r="B522" s="296" t="s">
        <v>1254</v>
      </c>
      <c r="C522" s="299" t="s">
        <v>277</v>
      </c>
      <c r="D522" s="298" t="s">
        <v>725</v>
      </c>
      <c r="E522" s="299" t="s">
        <v>106</v>
      </c>
      <c r="F522" s="299" t="s">
        <v>59</v>
      </c>
      <c r="G522" s="300">
        <v>44397</v>
      </c>
      <c r="H522" s="303">
        <v>234.9403846153846</v>
      </c>
      <c r="I522" s="301" t="str">
        <f t="shared" si="136"/>
        <v>Ingresos Sección I LISR</v>
      </c>
      <c r="J522" s="302">
        <f t="shared" si="137"/>
        <v>2</v>
      </c>
      <c r="K522" s="304">
        <f t="shared" si="138"/>
        <v>117.4701923076923</v>
      </c>
      <c r="L522" s="305">
        <f>IF(H522=0,0,IF(OR(E522=$AT$5,E522=$AT$6),AA522,IF(F522="MXN",1/HLOOKUP(YEAR(G522)+(MONTH(G522)/100),TC!$5:$37,DAY(G522)+2,FALSE),VLOOKUP(F522,Equivalencia!$5:$23,((MAX(Equivalencia!$3:$3)-YEAR(G522))*14)+MONTH(G522)+2,FALSE))))</f>
        <v>1</v>
      </c>
      <c r="M522" s="306">
        <f t="shared" si="139"/>
        <v>234.9403846153846</v>
      </c>
      <c r="N522" s="305">
        <f>IF(G522=0,0,(IF(OR(E522=$AT$5,E522=$AT$6),AC522,HLOOKUP(YEAR(G522)+(MONTH(G522)/100),TC!$5:$37,DAY(G522)+2,FALSE))))</f>
        <v>19.8537</v>
      </c>
      <c r="O522" s="307">
        <f t="shared" si="140"/>
        <v>4664.4359140384613</v>
      </c>
      <c r="P522" s="560">
        <f>IF(G522=0,0,VLOOKUP(YEAR(G522),INPC!$B$4:$P$30,MONTH(G522)+2))</f>
        <v>113.682</v>
      </c>
      <c r="Q522" s="560">
        <f>IF(X522=0,0,IF(OR(E522=$AT$10,E522=$AT$9),VLOOKUP(YEAR(X522),INPC!$B$4:$P$30,MONTH(X522)+1),VLOOKUP(YEAR(X522),INPC!$B$4:$P$30,MONTH(X522)+2,0)))</f>
        <v>118.002</v>
      </c>
      <c r="R522" s="309">
        <f t="shared" si="141"/>
        <v>1.038</v>
      </c>
      <c r="S522" s="310">
        <f t="shared" si="142"/>
        <v>4841.6844787719228</v>
      </c>
      <c r="T522" s="555">
        <f t="shared" si="143"/>
        <v>2420.8422393859614</v>
      </c>
      <c r="U522" s="311"/>
      <c r="V522" s="312">
        <v>2</v>
      </c>
      <c r="W522" s="299" t="s">
        <v>194</v>
      </c>
      <c r="X522" s="300">
        <v>44581</v>
      </c>
      <c r="Y522" s="299" t="s">
        <v>59</v>
      </c>
      <c r="Z522" s="303">
        <v>242.16199999999998</v>
      </c>
      <c r="AA522" s="305">
        <f>IF(Z522=0,0,IF(Y522="MXN",1/HLOOKUP(YEAR(X522)+(MONTH(X522)/100),TC!$5:$37,DAY(X522)+2,FALSE),VLOOKUP(Y522,Equivalencia!$1:$23,((MAX(Equivalencia!$3:$3)-YEAR(X522))*14)+MONTH(X522)+2,FALSE)))</f>
        <v>1</v>
      </c>
      <c r="AB522" s="306">
        <f t="shared" si="144"/>
        <v>242.16199999999998</v>
      </c>
      <c r="AC522" s="305">
        <f>+IF(X522=0,0,HLOOKUP(YEAR(X522)+(MONTH(X522)/100),TC!$5:$37,DAY(X522)+2,FALSE))</f>
        <v>20.402999999999999</v>
      </c>
      <c r="AD522" s="307">
        <f t="shared" si="145"/>
        <v>4940.8312859999996</v>
      </c>
      <c r="AE522" s="314">
        <f t="shared" si="146"/>
        <v>4841.6844787719228</v>
      </c>
      <c r="AF522" s="315">
        <f t="shared" si="147"/>
        <v>99.146807228076796</v>
      </c>
      <c r="AG522" s="316">
        <f t="shared" si="148"/>
        <v>0.50410958904109593</v>
      </c>
      <c r="AH522" s="314">
        <v>1</v>
      </c>
      <c r="AI522" s="314">
        <f t="shared" si="149"/>
        <v>99.146807228076796</v>
      </c>
      <c r="AJ522" s="314">
        <f t="shared" si="150"/>
        <v>0</v>
      </c>
      <c r="AK522" s="317"/>
      <c r="AL522" s="315">
        <f t="shared" si="151"/>
        <v>7.2216153846153759</v>
      </c>
      <c r="AN522" s="554">
        <f t="shared" si="152"/>
        <v>3.0738075943979207E-2</v>
      </c>
      <c r="AO522" s="314"/>
      <c r="AP522" s="318"/>
    </row>
    <row r="523" spans="2:42">
      <c r="B523" s="296" t="s">
        <v>1254</v>
      </c>
      <c r="C523" s="299" t="s">
        <v>277</v>
      </c>
      <c r="D523" s="298" t="s">
        <v>725</v>
      </c>
      <c r="E523" s="299" t="s">
        <v>106</v>
      </c>
      <c r="F523" s="299" t="s">
        <v>59</v>
      </c>
      <c r="G523" s="300">
        <v>44397</v>
      </c>
      <c r="H523" s="303">
        <v>1057.2317307692308</v>
      </c>
      <c r="I523" s="301" t="str">
        <f t="shared" si="136"/>
        <v>Ingresos Sección I LISR</v>
      </c>
      <c r="J523" s="302">
        <f t="shared" si="137"/>
        <v>9</v>
      </c>
      <c r="K523" s="304">
        <f t="shared" si="138"/>
        <v>117.47019230769232</v>
      </c>
      <c r="L523" s="305">
        <f>IF(H523=0,0,IF(OR(E523=$AT$5,E523=$AT$6),AA523,IF(F523="MXN",1/HLOOKUP(YEAR(G523)+(MONTH(G523)/100),TC!$5:$37,DAY(G523)+2,FALSE),VLOOKUP(F523,Equivalencia!$5:$23,((MAX(Equivalencia!$3:$3)-YEAR(G523))*14)+MONTH(G523)+2,FALSE))))</f>
        <v>1</v>
      </c>
      <c r="M523" s="306">
        <f t="shared" si="139"/>
        <v>1057.2317307692308</v>
      </c>
      <c r="N523" s="305">
        <f>IF(G523=0,0,(IF(OR(E523=$AT$5,E523=$AT$6),AC523,HLOOKUP(YEAR(G523)+(MONTH(G523)/100),TC!$5:$37,DAY(G523)+2,FALSE))))</f>
        <v>19.8537</v>
      </c>
      <c r="O523" s="307">
        <f t="shared" si="140"/>
        <v>20989.961613173076</v>
      </c>
      <c r="P523" s="560">
        <f>IF(G523=0,0,VLOOKUP(YEAR(G523),INPC!$B$4:$P$30,MONTH(G523)+2))</f>
        <v>113.682</v>
      </c>
      <c r="Q523" s="560">
        <f>IF(X523=0,0,IF(OR(E523=$AT$10,E523=$AT$9),VLOOKUP(YEAR(X523),INPC!$B$4:$P$30,MONTH(X523)+1),VLOOKUP(YEAR(X523),INPC!$B$4:$P$30,MONTH(X523)+2,0)))</f>
        <v>118.002</v>
      </c>
      <c r="R523" s="309">
        <f t="shared" si="141"/>
        <v>1.038</v>
      </c>
      <c r="S523" s="310">
        <f t="shared" si="142"/>
        <v>21787.580154473653</v>
      </c>
      <c r="T523" s="555">
        <f t="shared" si="143"/>
        <v>2420.8422393859614</v>
      </c>
      <c r="U523" s="311"/>
      <c r="V523" s="312">
        <v>9</v>
      </c>
      <c r="W523" s="299" t="s">
        <v>194</v>
      </c>
      <c r="X523" s="300">
        <v>44582</v>
      </c>
      <c r="Y523" s="299" t="s">
        <v>59</v>
      </c>
      <c r="Z523" s="303">
        <v>1090.1600000000001</v>
      </c>
      <c r="AA523" s="305">
        <f>IF(Z523=0,0,IF(Y523="MXN",1/HLOOKUP(YEAR(X523)+(MONTH(X523)/100),TC!$5:$37,DAY(X523)+2,FALSE),VLOOKUP(Y523,Equivalencia!$1:$23,((MAX(Equivalencia!$3:$3)-YEAR(X523))*14)+MONTH(X523)+2,FALSE)))</f>
        <v>1</v>
      </c>
      <c r="AB523" s="306">
        <f t="shared" si="144"/>
        <v>1090.1600000000001</v>
      </c>
      <c r="AC523" s="305">
        <f>+IF(X523=0,0,HLOOKUP(YEAR(X523)+(MONTH(X523)/100),TC!$5:$37,DAY(X523)+2,FALSE))</f>
        <v>20.46</v>
      </c>
      <c r="AD523" s="307">
        <f t="shared" si="145"/>
        <v>22304.673600000002</v>
      </c>
      <c r="AE523" s="314">
        <f t="shared" si="146"/>
        <v>21787.580154473653</v>
      </c>
      <c r="AF523" s="315">
        <f t="shared" si="147"/>
        <v>517.09344552634866</v>
      </c>
      <c r="AG523" s="316">
        <f t="shared" si="148"/>
        <v>0.50684931506849318</v>
      </c>
      <c r="AH523" s="314">
        <v>1</v>
      </c>
      <c r="AI523" s="314">
        <f t="shared" si="149"/>
        <v>517.09344552634866</v>
      </c>
      <c r="AJ523" s="314">
        <f t="shared" si="150"/>
        <v>0</v>
      </c>
      <c r="AK523" s="317"/>
      <c r="AL523" s="315">
        <f t="shared" si="151"/>
        <v>32.928269230769274</v>
      </c>
      <c r="AN523" s="554">
        <f t="shared" si="152"/>
        <v>3.1145744374141145E-2</v>
      </c>
      <c r="AO523" s="314"/>
      <c r="AP523" s="318"/>
    </row>
    <row r="524" spans="2:42">
      <c r="B524" s="296" t="s">
        <v>1254</v>
      </c>
      <c r="C524" s="299" t="s">
        <v>277</v>
      </c>
      <c r="D524" s="298" t="s">
        <v>725</v>
      </c>
      <c r="E524" s="299" t="s">
        <v>106</v>
      </c>
      <c r="F524" s="299" t="s">
        <v>59</v>
      </c>
      <c r="G524" s="300">
        <v>44397</v>
      </c>
      <c r="H524" s="303">
        <v>1409.6423076923077</v>
      </c>
      <c r="I524" s="301" t="str">
        <f t="shared" si="136"/>
        <v>Ingresos Sección I LISR</v>
      </c>
      <c r="J524" s="302">
        <f t="shared" si="137"/>
        <v>12</v>
      </c>
      <c r="K524" s="304">
        <f t="shared" si="138"/>
        <v>117.4701923076923</v>
      </c>
      <c r="L524" s="305">
        <f>IF(H524=0,0,IF(OR(E524=$AT$5,E524=$AT$6),AA524,IF(F524="MXN",1/HLOOKUP(YEAR(G524)+(MONTH(G524)/100),TC!$5:$37,DAY(G524)+2,FALSE),VLOOKUP(F524,Equivalencia!$5:$23,((MAX(Equivalencia!$3:$3)-YEAR(G524))*14)+MONTH(G524)+2,FALSE))))</f>
        <v>1</v>
      </c>
      <c r="M524" s="306">
        <f t="shared" si="139"/>
        <v>1409.6423076923077</v>
      </c>
      <c r="N524" s="305">
        <f>IF(G524=0,0,(IF(OR(E524=$AT$5,E524=$AT$6),AC524,HLOOKUP(YEAR(G524)+(MONTH(G524)/100),TC!$5:$37,DAY(G524)+2,FALSE))))</f>
        <v>19.8537</v>
      </c>
      <c r="O524" s="307">
        <f t="shared" si="140"/>
        <v>27986.61548423077</v>
      </c>
      <c r="P524" s="560">
        <f>IF(G524=0,0,VLOOKUP(YEAR(G524),INPC!$B$4:$P$30,MONTH(G524)+2))</f>
        <v>113.682</v>
      </c>
      <c r="Q524" s="560">
        <f>IF(X524=0,0,IF(OR(E524=$AT$10,E524=$AT$9),VLOOKUP(YEAR(X524),INPC!$B$4:$P$30,MONTH(X524)+1),VLOOKUP(YEAR(X524),INPC!$B$4:$P$30,MONTH(X524)+2,0)))</f>
        <v>118.002</v>
      </c>
      <c r="R524" s="309">
        <f t="shared" si="141"/>
        <v>1.038</v>
      </c>
      <c r="S524" s="310">
        <f t="shared" si="142"/>
        <v>29050.106872631539</v>
      </c>
      <c r="T524" s="555">
        <f t="shared" si="143"/>
        <v>2420.8422393859614</v>
      </c>
      <c r="U524" s="311"/>
      <c r="V524" s="312">
        <v>12</v>
      </c>
      <c r="W524" s="299" t="s">
        <v>194</v>
      </c>
      <c r="X524" s="300">
        <v>44587</v>
      </c>
      <c r="Y524" s="299" t="s">
        <v>59</v>
      </c>
      <c r="Z524" s="303">
        <v>1453.32</v>
      </c>
      <c r="AA524" s="305">
        <f>IF(Z524=0,0,IF(Y524="MXN",1/HLOOKUP(YEAR(X524)+(MONTH(X524)/100),TC!$5:$37,DAY(X524)+2,FALSE),VLOOKUP(Y524,Equivalencia!$1:$23,((MAX(Equivalencia!$3:$3)-YEAR(X524))*14)+MONTH(X524)+2,FALSE)))</f>
        <v>1</v>
      </c>
      <c r="AB524" s="306">
        <f t="shared" si="144"/>
        <v>1453.32</v>
      </c>
      <c r="AC524" s="305">
        <f>+IF(X524=0,0,HLOOKUP(YEAR(X524)+(MONTH(X524)/100),TC!$5:$37,DAY(X524)+2,FALSE))</f>
        <v>20.630800000000001</v>
      </c>
      <c r="AD524" s="307">
        <f t="shared" si="145"/>
        <v>29983.154255999998</v>
      </c>
      <c r="AE524" s="314">
        <f t="shared" si="146"/>
        <v>29050.106872631535</v>
      </c>
      <c r="AF524" s="315">
        <f t="shared" si="147"/>
        <v>933.04738336846276</v>
      </c>
      <c r="AG524" s="316">
        <f t="shared" si="148"/>
        <v>0.52054794520547942</v>
      </c>
      <c r="AH524" s="314">
        <v>1</v>
      </c>
      <c r="AI524" s="314">
        <f t="shared" si="149"/>
        <v>933.04738336846276</v>
      </c>
      <c r="AJ524" s="314">
        <f t="shared" si="150"/>
        <v>0</v>
      </c>
      <c r="AK524" s="317"/>
      <c r="AL524" s="315">
        <f t="shared" si="151"/>
        <v>43.677692307692269</v>
      </c>
      <c r="AN524" s="554">
        <f t="shared" si="152"/>
        <v>3.0984947081501828E-2</v>
      </c>
      <c r="AO524" s="314"/>
      <c r="AP524" s="318"/>
    </row>
    <row r="525" spans="2:42">
      <c r="B525" s="296" t="s">
        <v>1254</v>
      </c>
      <c r="C525" s="299" t="s">
        <v>277</v>
      </c>
      <c r="D525" s="298" t="s">
        <v>725</v>
      </c>
      <c r="E525" s="299" t="s">
        <v>106</v>
      </c>
      <c r="F525" s="299" t="s">
        <v>59</v>
      </c>
      <c r="G525" s="300">
        <v>44397</v>
      </c>
      <c r="H525" s="303">
        <v>1879.5230769230768</v>
      </c>
      <c r="I525" s="301" t="str">
        <f t="shared" si="136"/>
        <v>Ingresos Sección I LISR</v>
      </c>
      <c r="J525" s="302">
        <f t="shared" si="137"/>
        <v>16</v>
      </c>
      <c r="K525" s="304">
        <f t="shared" si="138"/>
        <v>117.4701923076923</v>
      </c>
      <c r="L525" s="305">
        <f>IF(H525=0,0,IF(OR(E525=$AT$5,E525=$AT$6),AA525,IF(F525="MXN",1/HLOOKUP(YEAR(G525)+(MONTH(G525)/100),TC!$5:$37,DAY(G525)+2,FALSE),VLOOKUP(F525,Equivalencia!$5:$23,((MAX(Equivalencia!$3:$3)-YEAR(G525))*14)+MONTH(G525)+2,FALSE))))</f>
        <v>1</v>
      </c>
      <c r="M525" s="306">
        <f t="shared" si="139"/>
        <v>1879.5230769230768</v>
      </c>
      <c r="N525" s="305">
        <f>IF(G525=0,0,(IF(OR(E525=$AT$5,E525=$AT$6),AC525,HLOOKUP(YEAR(G525)+(MONTH(G525)/100),TC!$5:$37,DAY(G525)+2,FALSE))))</f>
        <v>19.8537</v>
      </c>
      <c r="O525" s="307">
        <f t="shared" si="140"/>
        <v>37315.48731230769</v>
      </c>
      <c r="P525" s="560">
        <f>IF(G525=0,0,VLOOKUP(YEAR(G525),INPC!$B$4:$P$30,MONTH(G525)+2))</f>
        <v>113.682</v>
      </c>
      <c r="Q525" s="560">
        <f>IF(X525=0,0,IF(OR(E525=$AT$10,E525=$AT$9),VLOOKUP(YEAR(X525),INPC!$B$4:$P$30,MONTH(X525)+1),VLOOKUP(YEAR(X525),INPC!$B$4:$P$30,MONTH(X525)+2,0)))</f>
        <v>118.98099999999999</v>
      </c>
      <c r="R525" s="309">
        <f t="shared" si="141"/>
        <v>1.0466</v>
      </c>
      <c r="S525" s="310">
        <f t="shared" si="142"/>
        <v>39054.38902106123</v>
      </c>
      <c r="T525" s="555">
        <f t="shared" si="143"/>
        <v>2440.8993138163269</v>
      </c>
      <c r="U525" s="311"/>
      <c r="V525" s="312">
        <v>16</v>
      </c>
      <c r="W525" s="299" t="s">
        <v>194</v>
      </c>
      <c r="X525" s="300">
        <v>44593</v>
      </c>
      <c r="Y525" s="299" t="s">
        <v>59</v>
      </c>
      <c r="Z525" s="303">
        <v>1827.17</v>
      </c>
      <c r="AA525" s="305">
        <f>IF(Z525=0,0,IF(Y525="MXN",1/HLOOKUP(YEAR(X525)+(MONTH(X525)/100),TC!$5:$37,DAY(X525)+2,FALSE),VLOOKUP(Y525,Equivalencia!$1:$23,((MAX(Equivalencia!$3:$3)-YEAR(X525))*14)+MONTH(X525)+2,FALSE)))</f>
        <v>1</v>
      </c>
      <c r="AB525" s="306">
        <f t="shared" si="144"/>
        <v>1827.17</v>
      </c>
      <c r="AC525" s="305">
        <f>+IF(X525=0,0,HLOOKUP(YEAR(X525)+(MONTH(X525)/100),TC!$5:$37,DAY(X525)+2,FALSE))</f>
        <v>20.8597</v>
      </c>
      <c r="AD525" s="307">
        <f t="shared" si="145"/>
        <v>38114.218049000003</v>
      </c>
      <c r="AE525" s="314">
        <f t="shared" si="146"/>
        <v>39054.38902106123</v>
      </c>
      <c r="AF525" s="315">
        <f t="shared" si="147"/>
        <v>-940.17097206122708</v>
      </c>
      <c r="AG525" s="316">
        <f t="shared" si="148"/>
        <v>0.53698630136986303</v>
      </c>
      <c r="AH525" s="314">
        <v>1</v>
      </c>
      <c r="AI525" s="314">
        <f t="shared" si="149"/>
        <v>-940.17097206122708</v>
      </c>
      <c r="AJ525" s="314">
        <f t="shared" si="150"/>
        <v>0</v>
      </c>
      <c r="AK525" s="317"/>
      <c r="AL525" s="315">
        <f t="shared" si="151"/>
        <v>-52.353076923076742</v>
      </c>
      <c r="AN525" s="554">
        <f t="shared" si="152"/>
        <v>-2.7854447527605106E-2</v>
      </c>
      <c r="AO525" s="314"/>
      <c r="AP525" s="318"/>
    </row>
    <row r="526" spans="2:42">
      <c r="B526" s="296" t="s">
        <v>1254</v>
      </c>
      <c r="C526" s="299" t="s">
        <v>277</v>
      </c>
      <c r="D526" s="298" t="s">
        <v>725</v>
      </c>
      <c r="E526" s="299" t="s">
        <v>106</v>
      </c>
      <c r="F526" s="299" t="s">
        <v>59</v>
      </c>
      <c r="G526" s="300">
        <v>44397</v>
      </c>
      <c r="H526" s="303">
        <v>704.82115384615383</v>
      </c>
      <c r="I526" s="301" t="str">
        <f t="shared" si="136"/>
        <v>Ingresos Sección I LISR</v>
      </c>
      <c r="J526" s="302">
        <f t="shared" si="137"/>
        <v>6</v>
      </c>
      <c r="K526" s="304">
        <f t="shared" si="138"/>
        <v>117.4701923076923</v>
      </c>
      <c r="L526" s="305">
        <f>IF(H526=0,0,IF(OR(E526=$AT$5,E526=$AT$6),AA526,IF(F526="MXN",1/HLOOKUP(YEAR(G526)+(MONTH(G526)/100),TC!$5:$37,DAY(G526)+2,FALSE),VLOOKUP(F526,Equivalencia!$5:$23,((MAX(Equivalencia!$3:$3)-YEAR(G526))*14)+MONTH(G526)+2,FALSE))))</f>
        <v>1</v>
      </c>
      <c r="M526" s="306">
        <f t="shared" si="139"/>
        <v>704.82115384615383</v>
      </c>
      <c r="N526" s="305">
        <f>IF(G526=0,0,(IF(OR(E526=$AT$5,E526=$AT$6),AC526,HLOOKUP(YEAR(G526)+(MONTH(G526)/100),TC!$5:$37,DAY(G526)+2,FALSE))))</f>
        <v>19.8537</v>
      </c>
      <c r="O526" s="307">
        <f t="shared" si="140"/>
        <v>13993.307742115385</v>
      </c>
      <c r="P526" s="560">
        <f>IF(G526=0,0,VLOOKUP(YEAR(G526),INPC!$B$4:$P$30,MONTH(G526)+2))</f>
        <v>113.682</v>
      </c>
      <c r="Q526" s="560">
        <f>IF(X526=0,0,IF(OR(E526=$AT$10,E526=$AT$9),VLOOKUP(YEAR(X526),INPC!$B$4:$P$30,MONTH(X526)+1),VLOOKUP(YEAR(X526),INPC!$B$4:$P$30,MONTH(X526)+2,0)))</f>
        <v>118.98099999999999</v>
      </c>
      <c r="R526" s="309">
        <f t="shared" si="141"/>
        <v>1.0466</v>
      </c>
      <c r="S526" s="310">
        <f t="shared" si="142"/>
        <v>14645.395882897961</v>
      </c>
      <c r="T526" s="555">
        <f t="shared" si="143"/>
        <v>2440.8993138163269</v>
      </c>
      <c r="U526" s="311"/>
      <c r="V526" s="312">
        <v>6</v>
      </c>
      <c r="W526" s="299" t="s">
        <v>194</v>
      </c>
      <c r="X526" s="300">
        <v>44593</v>
      </c>
      <c r="Y526" s="299" t="s">
        <v>59</v>
      </c>
      <c r="Z526" s="303">
        <v>683.43</v>
      </c>
      <c r="AA526" s="305">
        <f>IF(Z526=0,0,IF(Y526="MXN",1/HLOOKUP(YEAR(X526)+(MONTH(X526)/100),TC!$5:$37,DAY(X526)+2,FALSE),VLOOKUP(Y526,Equivalencia!$1:$23,((MAX(Equivalencia!$3:$3)-YEAR(X526))*14)+MONTH(X526)+2,FALSE)))</f>
        <v>1</v>
      </c>
      <c r="AB526" s="306">
        <f t="shared" si="144"/>
        <v>683.43</v>
      </c>
      <c r="AC526" s="305">
        <f>+IF(X526=0,0,HLOOKUP(YEAR(X526)+(MONTH(X526)/100),TC!$5:$37,DAY(X526)+2,FALSE))</f>
        <v>20.8597</v>
      </c>
      <c r="AD526" s="307">
        <f t="shared" si="145"/>
        <v>14256.144770999999</v>
      </c>
      <c r="AE526" s="314">
        <f t="shared" si="146"/>
        <v>14645.395882897961</v>
      </c>
      <c r="AF526" s="315">
        <f t="shared" si="147"/>
        <v>-389.25111189796189</v>
      </c>
      <c r="AG526" s="316">
        <f t="shared" si="148"/>
        <v>0.53698630136986303</v>
      </c>
      <c r="AH526" s="314">
        <v>1</v>
      </c>
      <c r="AI526" s="314">
        <f t="shared" si="149"/>
        <v>-389.25111189796189</v>
      </c>
      <c r="AJ526" s="314">
        <f t="shared" si="150"/>
        <v>0</v>
      </c>
      <c r="AK526" s="317"/>
      <c r="AL526" s="315">
        <f t="shared" si="151"/>
        <v>-21.391153846153884</v>
      </c>
      <c r="AN526" s="554">
        <f t="shared" si="152"/>
        <v>-3.03497613960989E-2</v>
      </c>
      <c r="AO526" s="314"/>
      <c r="AP526" s="318"/>
    </row>
    <row r="527" spans="2:42">
      <c r="B527" s="296" t="s">
        <v>1254</v>
      </c>
      <c r="C527" s="299" t="s">
        <v>277</v>
      </c>
      <c r="D527" s="298" t="s">
        <v>725</v>
      </c>
      <c r="E527" s="299" t="s">
        <v>106</v>
      </c>
      <c r="F527" s="299" t="s">
        <v>59</v>
      </c>
      <c r="G527" s="300">
        <v>44397</v>
      </c>
      <c r="H527" s="303">
        <v>704.82115384615383</v>
      </c>
      <c r="I527" s="301" t="str">
        <f t="shared" si="136"/>
        <v>Ingresos Sección I LISR</v>
      </c>
      <c r="J527" s="302">
        <f t="shared" si="137"/>
        <v>6</v>
      </c>
      <c r="K527" s="304">
        <f t="shared" si="138"/>
        <v>117.4701923076923</v>
      </c>
      <c r="L527" s="305">
        <f>IF(H527=0,0,IF(OR(E527=$AT$5,E527=$AT$6),AA527,IF(F527="MXN",1/HLOOKUP(YEAR(G527)+(MONTH(G527)/100),TC!$5:$37,DAY(G527)+2,FALSE),VLOOKUP(F527,Equivalencia!$5:$23,((MAX(Equivalencia!$3:$3)-YEAR(G527))*14)+MONTH(G527)+2,FALSE))))</f>
        <v>1</v>
      </c>
      <c r="M527" s="306">
        <f t="shared" si="139"/>
        <v>704.82115384615383</v>
      </c>
      <c r="N527" s="305">
        <f>IF(G527=0,0,(IF(OR(E527=$AT$5,E527=$AT$6),AC527,HLOOKUP(YEAR(G527)+(MONTH(G527)/100),TC!$5:$37,DAY(G527)+2,FALSE))))</f>
        <v>19.8537</v>
      </c>
      <c r="O527" s="307">
        <f t="shared" si="140"/>
        <v>13993.307742115385</v>
      </c>
      <c r="P527" s="560">
        <f>IF(G527=0,0,VLOOKUP(YEAR(G527),INPC!$B$4:$P$30,MONTH(G527)+2))</f>
        <v>113.682</v>
      </c>
      <c r="Q527" s="560">
        <f>IF(X527=0,0,IF(OR(E527=$AT$10,E527=$AT$9),VLOOKUP(YEAR(X527),INPC!$B$4:$P$30,MONTH(X527)+1),VLOOKUP(YEAR(X527),INPC!$B$4:$P$30,MONTH(X527)+2,0)))</f>
        <v>118.98099999999999</v>
      </c>
      <c r="R527" s="309">
        <f t="shared" si="141"/>
        <v>1.0466</v>
      </c>
      <c r="S527" s="310">
        <f t="shared" si="142"/>
        <v>14645.395882897961</v>
      </c>
      <c r="T527" s="555">
        <f t="shared" si="143"/>
        <v>2440.8993138163269</v>
      </c>
      <c r="U527" s="311"/>
      <c r="V527" s="312">
        <v>6</v>
      </c>
      <c r="W527" s="299" t="s">
        <v>194</v>
      </c>
      <c r="X527" s="300">
        <v>44593</v>
      </c>
      <c r="Y527" s="299" t="s">
        <v>59</v>
      </c>
      <c r="Z527" s="303">
        <v>685.26</v>
      </c>
      <c r="AA527" s="305">
        <f>IF(Z527=0,0,IF(Y527="MXN",1/HLOOKUP(YEAR(X527)+(MONTH(X527)/100),TC!$5:$37,DAY(X527)+2,FALSE),VLOOKUP(Y527,Equivalencia!$1:$23,((MAX(Equivalencia!$3:$3)-YEAR(X527))*14)+MONTH(X527)+2,FALSE)))</f>
        <v>1</v>
      </c>
      <c r="AB527" s="306">
        <f t="shared" si="144"/>
        <v>685.26</v>
      </c>
      <c r="AC527" s="305">
        <f>+IF(X527=0,0,HLOOKUP(YEAR(X527)+(MONTH(X527)/100),TC!$5:$37,DAY(X527)+2,FALSE))</f>
        <v>20.8597</v>
      </c>
      <c r="AD527" s="307">
        <f t="shared" si="145"/>
        <v>14294.318021999999</v>
      </c>
      <c r="AE527" s="314">
        <f t="shared" si="146"/>
        <v>14645.395882897961</v>
      </c>
      <c r="AF527" s="315">
        <f t="shared" si="147"/>
        <v>-351.07786089796173</v>
      </c>
      <c r="AG527" s="316">
        <f t="shared" si="148"/>
        <v>0.53698630136986303</v>
      </c>
      <c r="AH527" s="314">
        <v>1</v>
      </c>
      <c r="AI527" s="314">
        <f t="shared" si="149"/>
        <v>-351.07786089796173</v>
      </c>
      <c r="AJ527" s="314">
        <f t="shared" si="150"/>
        <v>0</v>
      </c>
      <c r="AK527" s="317"/>
      <c r="AL527" s="315">
        <f t="shared" si="151"/>
        <v>-19.561153846153843</v>
      </c>
      <c r="AN527" s="554">
        <f t="shared" si="152"/>
        <v>-2.7753358053188612E-2</v>
      </c>
      <c r="AO527" s="314"/>
      <c r="AP527" s="318"/>
    </row>
    <row r="528" spans="2:42">
      <c r="B528" s="296" t="s">
        <v>1254</v>
      </c>
      <c r="C528" s="299" t="s">
        <v>277</v>
      </c>
      <c r="D528" s="298" t="s">
        <v>885</v>
      </c>
      <c r="E528" s="299" t="s">
        <v>113</v>
      </c>
      <c r="F528" s="299" t="s">
        <v>59</v>
      </c>
      <c r="G528" s="300">
        <v>44350</v>
      </c>
      <c r="H528" s="303">
        <v>616.79444444444448</v>
      </c>
      <c r="I528" s="301" t="str">
        <f t="shared" si="136"/>
        <v>Ingresos Sección II LISR (SIC &amp; BMV)</v>
      </c>
      <c r="J528" s="302">
        <f t="shared" si="137"/>
        <v>10</v>
      </c>
      <c r="K528" s="304">
        <f t="shared" si="138"/>
        <v>61.679444444444449</v>
      </c>
      <c r="L528" s="305">
        <f>IF(H528=0,0,IF(OR(E528=$AT$5,E528=$AT$6),AA528,IF(F528="MXN",1/HLOOKUP(YEAR(G528)+(MONTH(G528)/100),TC!$5:$37,DAY(G528)+2,FALSE),VLOOKUP(F528,Equivalencia!$5:$23,((MAX(Equivalencia!$3:$3)-YEAR(G528))*14)+MONTH(G528)+2,FALSE))))</f>
        <v>1</v>
      </c>
      <c r="M528" s="306">
        <f t="shared" si="139"/>
        <v>616.79444444444448</v>
      </c>
      <c r="N528" s="305">
        <f>IF(G528=0,0,(IF(OR(E528=$AT$5,E528=$AT$6),AC528,HLOOKUP(YEAR(G528)+(MONTH(G528)/100),TC!$5:$37,DAY(G528)+2,FALSE))))</f>
        <v>19.892700000000001</v>
      </c>
      <c r="O528" s="307">
        <f t="shared" si="140"/>
        <v>12269.706845000002</v>
      </c>
      <c r="P528" s="560">
        <f>IF(G528=0,0,VLOOKUP(YEAR(G528),INPC!$B$4:$P$30,MONTH(G528)+2))</f>
        <v>113.018</v>
      </c>
      <c r="Q528" s="560">
        <f>IF(X528=0,0,IF(OR(E528=$AT$10,E528=$AT$9),VLOOKUP(YEAR(X528),INPC!$B$4:$P$30,MONTH(X528)+1),VLOOKUP(YEAR(X528),INPC!$B$4:$P$30,MONTH(X528)+2,0)))</f>
        <v>118.98099999999999</v>
      </c>
      <c r="R528" s="309">
        <f t="shared" si="141"/>
        <v>1.0527</v>
      </c>
      <c r="S528" s="310">
        <f t="shared" si="142"/>
        <v>12916.320395731502</v>
      </c>
      <c r="T528" s="555">
        <f t="shared" si="143"/>
        <v>1291.6320395731502</v>
      </c>
      <c r="U528" s="311"/>
      <c r="V528" s="312">
        <v>10</v>
      </c>
      <c r="W528" s="299" t="s">
        <v>194</v>
      </c>
      <c r="X528" s="300">
        <v>44627</v>
      </c>
      <c r="Y528" s="299" t="s">
        <v>59</v>
      </c>
      <c r="Z528" s="303">
        <v>472.24545454545455</v>
      </c>
      <c r="AA528" s="305">
        <f>IF(Z528=0,0,IF(Y528="MXN",1/HLOOKUP(YEAR(X528)+(MONTH(X528)/100),TC!$5:$37,DAY(X528)+2,FALSE),VLOOKUP(Y528,Equivalencia!$1:$23,((MAX(Equivalencia!$3:$3)-YEAR(X528))*14)+MONTH(X528)+2,FALSE)))</f>
        <v>1</v>
      </c>
      <c r="AB528" s="306">
        <f t="shared" si="144"/>
        <v>472.24545454545455</v>
      </c>
      <c r="AC528" s="305">
        <f>+IF(X528=0,0,HLOOKUP(YEAR(X528)+(MONTH(X528)/100),TC!$5:$37,DAY(X528)+2,FALSE))</f>
        <v>20.703299999999999</v>
      </c>
      <c r="AD528" s="307">
        <f t="shared" si="145"/>
        <v>9777.039319090909</v>
      </c>
      <c r="AE528" s="314">
        <f t="shared" si="146"/>
        <v>12916.320395731502</v>
      </c>
      <c r="AF528" s="315">
        <f t="shared" si="147"/>
        <v>-3139.2810766405928</v>
      </c>
      <c r="AG528" s="316">
        <f t="shared" si="148"/>
        <v>0.75890410958904109</v>
      </c>
      <c r="AH528" s="314">
        <v>1</v>
      </c>
      <c r="AI528" s="314">
        <f t="shared" si="149"/>
        <v>-3139.2810766405928</v>
      </c>
      <c r="AJ528" s="314">
        <f t="shared" si="150"/>
        <v>0</v>
      </c>
      <c r="AK528" s="317"/>
      <c r="AL528" s="315">
        <f t="shared" si="151"/>
        <v>-144.54898989898993</v>
      </c>
      <c r="AN528" s="554">
        <f t="shared" si="152"/>
        <v>-0.23435520731576506</v>
      </c>
      <c r="AO528" s="314"/>
      <c r="AP528" s="318"/>
    </row>
    <row r="529" spans="2:42">
      <c r="B529" s="296" t="s">
        <v>1254</v>
      </c>
      <c r="C529" s="299" t="s">
        <v>277</v>
      </c>
      <c r="D529" s="298" t="s">
        <v>885</v>
      </c>
      <c r="E529" s="299" t="s">
        <v>113</v>
      </c>
      <c r="F529" s="299" t="s">
        <v>59</v>
      </c>
      <c r="G529" s="300">
        <v>44350</v>
      </c>
      <c r="H529" s="303">
        <v>61.725172413793103</v>
      </c>
      <c r="I529" s="301" t="str">
        <f t="shared" si="136"/>
        <v>Ingresos Sección II LISR (SIC &amp; BMV)</v>
      </c>
      <c r="J529" s="302">
        <f t="shared" si="137"/>
        <v>1</v>
      </c>
      <c r="K529" s="304">
        <f t="shared" si="138"/>
        <v>61.725172413793103</v>
      </c>
      <c r="L529" s="305">
        <f>IF(H529=0,0,IF(OR(E529=$AT$5,E529=$AT$6),AA529,IF(F529="MXN",1/HLOOKUP(YEAR(G529)+(MONTH(G529)/100),TC!$5:$37,DAY(G529)+2,FALSE),VLOOKUP(F529,Equivalencia!$5:$23,((MAX(Equivalencia!$3:$3)-YEAR(G529))*14)+MONTH(G529)+2,FALSE))))</f>
        <v>1</v>
      </c>
      <c r="M529" s="306">
        <f t="shared" si="139"/>
        <v>61.725172413793103</v>
      </c>
      <c r="N529" s="305">
        <f>IF(G529=0,0,(IF(OR(E529=$AT$5,E529=$AT$6),AC529,HLOOKUP(YEAR(G529)+(MONTH(G529)/100),TC!$5:$37,DAY(G529)+2,FALSE))))</f>
        <v>19.892700000000001</v>
      </c>
      <c r="O529" s="307">
        <f t="shared" si="140"/>
        <v>1227.8803372758621</v>
      </c>
      <c r="P529" s="560">
        <f>IF(G529=0,0,VLOOKUP(YEAR(G529),INPC!$B$4:$P$30,MONTH(G529)+2))</f>
        <v>113.018</v>
      </c>
      <c r="Q529" s="560">
        <f>IF(X529=0,0,IF(OR(E529=$AT$10,E529=$AT$9),VLOOKUP(YEAR(X529),INPC!$B$4:$P$30,MONTH(X529)+1),VLOOKUP(YEAR(X529),INPC!$B$4:$P$30,MONTH(X529)+2,0)))</f>
        <v>118.98099999999999</v>
      </c>
      <c r="R529" s="309">
        <f t="shared" si="141"/>
        <v>1.0527</v>
      </c>
      <c r="S529" s="310">
        <f t="shared" si="142"/>
        <v>1292.5896310502999</v>
      </c>
      <c r="T529" s="555">
        <f t="shared" si="143"/>
        <v>1292.5896310502999</v>
      </c>
      <c r="U529" s="311"/>
      <c r="V529" s="312">
        <v>1</v>
      </c>
      <c r="W529" s="299" t="s">
        <v>194</v>
      </c>
      <c r="X529" s="300">
        <v>44627</v>
      </c>
      <c r="Y529" s="299" t="s">
        <v>59</v>
      </c>
      <c r="Z529" s="303">
        <v>47.224545454545456</v>
      </c>
      <c r="AA529" s="305">
        <f>IF(Z529=0,0,IF(Y529="MXN",1/HLOOKUP(YEAR(X529)+(MONTH(X529)/100),TC!$5:$37,DAY(X529)+2,FALSE),VLOOKUP(Y529,Equivalencia!$1:$23,((MAX(Equivalencia!$3:$3)-YEAR(X529))*14)+MONTH(X529)+2,FALSE)))</f>
        <v>1</v>
      </c>
      <c r="AB529" s="306">
        <f t="shared" si="144"/>
        <v>47.224545454545456</v>
      </c>
      <c r="AC529" s="305">
        <f>+IF(X529=0,0,HLOOKUP(YEAR(X529)+(MONTH(X529)/100),TC!$5:$37,DAY(X529)+2,FALSE))</f>
        <v>20.703299999999999</v>
      </c>
      <c r="AD529" s="307">
        <f t="shared" si="145"/>
        <v>977.7039319090909</v>
      </c>
      <c r="AE529" s="314">
        <f t="shared" si="146"/>
        <v>1292.5896310502999</v>
      </c>
      <c r="AF529" s="315">
        <f t="shared" si="147"/>
        <v>-314.88569914120899</v>
      </c>
      <c r="AG529" s="316">
        <f t="shared" si="148"/>
        <v>0.75890410958904109</v>
      </c>
      <c r="AH529" s="314">
        <v>1</v>
      </c>
      <c r="AI529" s="314">
        <f t="shared" si="149"/>
        <v>-314.88569914120899</v>
      </c>
      <c r="AJ529" s="314">
        <f t="shared" si="150"/>
        <v>0</v>
      </c>
      <c r="AK529" s="317"/>
      <c r="AL529" s="315">
        <f t="shared" si="151"/>
        <v>-14.500626959247647</v>
      </c>
      <c r="AN529" s="554">
        <f t="shared" si="152"/>
        <v>-0.23492242131035893</v>
      </c>
      <c r="AO529" s="314"/>
      <c r="AP529" s="318"/>
    </row>
    <row r="530" spans="2:42">
      <c r="B530" s="296" t="s">
        <v>1254</v>
      </c>
      <c r="C530" s="299" t="s">
        <v>277</v>
      </c>
      <c r="D530" s="298" t="s">
        <v>885</v>
      </c>
      <c r="E530" s="299" t="s">
        <v>113</v>
      </c>
      <c r="F530" s="299" t="s">
        <v>59</v>
      </c>
      <c r="G530" s="300">
        <v>44350</v>
      </c>
      <c r="H530" s="303">
        <v>802.42724137931032</v>
      </c>
      <c r="I530" s="301" t="str">
        <f t="shared" si="136"/>
        <v>Ingresos Sección II LISR (SIC &amp; BMV)</v>
      </c>
      <c r="J530" s="302">
        <f t="shared" si="137"/>
        <v>13</v>
      </c>
      <c r="K530" s="304">
        <f t="shared" si="138"/>
        <v>61.725172413793103</v>
      </c>
      <c r="L530" s="305">
        <f>IF(H530=0,0,IF(OR(E530=$AT$5,E530=$AT$6),AA530,IF(F530="MXN",1/HLOOKUP(YEAR(G530)+(MONTH(G530)/100),TC!$5:$37,DAY(G530)+2,FALSE),VLOOKUP(F530,Equivalencia!$5:$23,((MAX(Equivalencia!$3:$3)-YEAR(G530))*14)+MONTH(G530)+2,FALSE))))</f>
        <v>1</v>
      </c>
      <c r="M530" s="306">
        <f t="shared" si="139"/>
        <v>802.42724137931032</v>
      </c>
      <c r="N530" s="305">
        <f>IF(G530=0,0,(IF(OR(E530=$AT$5,E530=$AT$6),AC530,HLOOKUP(YEAR(G530)+(MONTH(G530)/100),TC!$5:$37,DAY(G530)+2,FALSE))))</f>
        <v>19.892700000000001</v>
      </c>
      <c r="O530" s="307">
        <f t="shared" si="140"/>
        <v>15962.444384586208</v>
      </c>
      <c r="P530" s="560">
        <f>IF(G530=0,0,VLOOKUP(YEAR(G530),INPC!$B$4:$P$30,MONTH(G530)+2))</f>
        <v>113.018</v>
      </c>
      <c r="Q530" s="560">
        <f>IF(X530=0,0,IF(OR(E530=$AT$10,E530=$AT$9),VLOOKUP(YEAR(X530),INPC!$B$4:$P$30,MONTH(X530)+1),VLOOKUP(YEAR(X530),INPC!$B$4:$P$30,MONTH(X530)+2,0)))</f>
        <v>118.98099999999999</v>
      </c>
      <c r="R530" s="309">
        <f t="shared" si="141"/>
        <v>1.0527</v>
      </c>
      <c r="S530" s="310">
        <f t="shared" si="142"/>
        <v>16803.665203653902</v>
      </c>
      <c r="T530" s="555">
        <f t="shared" si="143"/>
        <v>1292.5896310503001</v>
      </c>
      <c r="U530" s="311"/>
      <c r="V530" s="312">
        <v>13</v>
      </c>
      <c r="W530" s="299" t="s">
        <v>194</v>
      </c>
      <c r="X530" s="300">
        <v>44627</v>
      </c>
      <c r="Y530" s="299" t="s">
        <v>59</v>
      </c>
      <c r="Z530" s="303">
        <v>605.15</v>
      </c>
      <c r="AA530" s="305">
        <f>IF(Z530=0,0,IF(Y530="MXN",1/HLOOKUP(YEAR(X530)+(MONTH(X530)/100),TC!$5:$37,DAY(X530)+2,FALSE),VLOOKUP(Y530,Equivalencia!$1:$23,((MAX(Equivalencia!$3:$3)-YEAR(X530))*14)+MONTH(X530)+2,FALSE)))</f>
        <v>1</v>
      </c>
      <c r="AB530" s="306">
        <f t="shared" si="144"/>
        <v>605.15</v>
      </c>
      <c r="AC530" s="305">
        <f>+IF(X530=0,0,HLOOKUP(YEAR(X530)+(MONTH(X530)/100),TC!$5:$37,DAY(X530)+2,FALSE))</f>
        <v>20.703299999999999</v>
      </c>
      <c r="AD530" s="307">
        <f t="shared" si="145"/>
        <v>12528.601994999999</v>
      </c>
      <c r="AE530" s="314">
        <f t="shared" si="146"/>
        <v>16803.665203653902</v>
      </c>
      <c r="AF530" s="315">
        <f t="shared" si="147"/>
        <v>-4275.0632086539026</v>
      </c>
      <c r="AG530" s="316">
        <f t="shared" si="148"/>
        <v>0.75890410958904109</v>
      </c>
      <c r="AH530" s="314">
        <v>1</v>
      </c>
      <c r="AI530" s="314">
        <f t="shared" si="149"/>
        <v>-4275.0632086539026</v>
      </c>
      <c r="AJ530" s="314">
        <f t="shared" si="150"/>
        <v>0</v>
      </c>
      <c r="AK530" s="317"/>
      <c r="AL530" s="315">
        <f t="shared" si="151"/>
        <v>-197.27724137931034</v>
      </c>
      <c r="AN530" s="554">
        <f t="shared" si="152"/>
        <v>-0.24585062820176198</v>
      </c>
      <c r="AO530" s="314"/>
      <c r="AP530" s="318"/>
    </row>
    <row r="531" spans="2:42">
      <c r="B531" s="296" t="s">
        <v>1254</v>
      </c>
      <c r="C531" s="299" t="s">
        <v>277</v>
      </c>
      <c r="D531" s="298" t="s">
        <v>885</v>
      </c>
      <c r="E531" s="299" t="s">
        <v>113</v>
      </c>
      <c r="F531" s="299" t="s">
        <v>59</v>
      </c>
      <c r="G531" s="300">
        <v>44350</v>
      </c>
      <c r="H531" s="303">
        <v>925.87758620689658</v>
      </c>
      <c r="I531" s="301" t="str">
        <f t="shared" si="136"/>
        <v>Ingresos Sección II LISR (SIC &amp; BMV)</v>
      </c>
      <c r="J531" s="302">
        <f t="shared" si="137"/>
        <v>15</v>
      </c>
      <c r="K531" s="304">
        <f t="shared" si="138"/>
        <v>61.725172413793103</v>
      </c>
      <c r="L531" s="305">
        <f>IF(H531=0,0,IF(OR(E531=$AT$5,E531=$AT$6),AA531,IF(F531="MXN",1/HLOOKUP(YEAR(G531)+(MONTH(G531)/100),TC!$5:$37,DAY(G531)+2,FALSE),VLOOKUP(F531,Equivalencia!$5:$23,((MAX(Equivalencia!$3:$3)-YEAR(G531))*14)+MONTH(G531)+2,FALSE))))</f>
        <v>1</v>
      </c>
      <c r="M531" s="306">
        <f t="shared" si="139"/>
        <v>925.87758620689658</v>
      </c>
      <c r="N531" s="305">
        <f>IF(G531=0,0,(IF(OR(E531=$AT$5,E531=$AT$6),AC531,HLOOKUP(YEAR(G531)+(MONTH(G531)/100),TC!$5:$37,DAY(G531)+2,FALSE))))</f>
        <v>19.892700000000001</v>
      </c>
      <c r="O531" s="307">
        <f t="shared" si="140"/>
        <v>18418.205059137934</v>
      </c>
      <c r="P531" s="560">
        <f>IF(G531=0,0,VLOOKUP(YEAR(G531),INPC!$B$4:$P$30,MONTH(G531)+2))</f>
        <v>113.018</v>
      </c>
      <c r="Q531" s="560">
        <f>IF(X531=0,0,IF(OR(E531=$AT$10,E531=$AT$9),VLOOKUP(YEAR(X531),INPC!$B$4:$P$30,MONTH(X531)+1),VLOOKUP(YEAR(X531),INPC!$B$4:$P$30,MONTH(X531)+2,0)))</f>
        <v>118.98099999999999</v>
      </c>
      <c r="R531" s="309">
        <f t="shared" si="141"/>
        <v>1.0527</v>
      </c>
      <c r="S531" s="310">
        <f t="shared" si="142"/>
        <v>19388.844465754504</v>
      </c>
      <c r="T531" s="555">
        <f t="shared" si="143"/>
        <v>1292.5896310503003</v>
      </c>
      <c r="U531" s="311"/>
      <c r="V531" s="312">
        <v>15</v>
      </c>
      <c r="W531" s="299" t="s">
        <v>194</v>
      </c>
      <c r="X531" s="300">
        <v>44627</v>
      </c>
      <c r="Y531" s="299" t="s">
        <v>59</v>
      </c>
      <c r="Z531" s="303">
        <v>698.25</v>
      </c>
      <c r="AA531" s="305">
        <f>IF(Z531=0,0,IF(Y531="MXN",1/HLOOKUP(YEAR(X531)+(MONTH(X531)/100),TC!$5:$37,DAY(X531)+2,FALSE),VLOOKUP(Y531,Equivalencia!$1:$23,((MAX(Equivalencia!$3:$3)-YEAR(X531))*14)+MONTH(X531)+2,FALSE)))</f>
        <v>1</v>
      </c>
      <c r="AB531" s="306">
        <f t="shared" si="144"/>
        <v>698.25</v>
      </c>
      <c r="AC531" s="305">
        <f>+IF(X531=0,0,HLOOKUP(YEAR(X531)+(MONTH(X531)/100),TC!$5:$37,DAY(X531)+2,FALSE))</f>
        <v>20.703299999999999</v>
      </c>
      <c r="AD531" s="307">
        <f t="shared" si="145"/>
        <v>14456.079224999999</v>
      </c>
      <c r="AE531" s="314">
        <f t="shared" si="146"/>
        <v>19388.844465754504</v>
      </c>
      <c r="AF531" s="315">
        <f t="shared" si="147"/>
        <v>-4932.7652407545047</v>
      </c>
      <c r="AG531" s="316">
        <f t="shared" si="148"/>
        <v>0.75890410958904109</v>
      </c>
      <c r="AH531" s="314">
        <v>1</v>
      </c>
      <c r="AI531" s="314">
        <f t="shared" si="149"/>
        <v>-4932.7652407545047</v>
      </c>
      <c r="AJ531" s="314">
        <f t="shared" si="150"/>
        <v>0</v>
      </c>
      <c r="AK531" s="317"/>
      <c r="AL531" s="315">
        <f t="shared" si="151"/>
        <v>-227.62758620689658</v>
      </c>
      <c r="AN531" s="554">
        <f t="shared" si="152"/>
        <v>-0.24585062820176201</v>
      </c>
      <c r="AO531" s="314"/>
      <c r="AP531" s="318"/>
    </row>
    <row r="532" spans="2:42">
      <c r="B532" s="296" t="s">
        <v>1254</v>
      </c>
      <c r="C532" s="299" t="s">
        <v>277</v>
      </c>
      <c r="D532" s="298" t="s">
        <v>885</v>
      </c>
      <c r="E532" s="299" t="s">
        <v>113</v>
      </c>
      <c r="F532" s="299" t="s">
        <v>59</v>
      </c>
      <c r="G532" s="300">
        <v>44350</v>
      </c>
      <c r="H532" s="303">
        <v>61.679411764705883</v>
      </c>
      <c r="I532" s="301" t="str">
        <f t="shared" si="136"/>
        <v>Ingresos Sección II LISR (SIC &amp; BMV)</v>
      </c>
      <c r="J532" s="302">
        <f t="shared" si="137"/>
        <v>1</v>
      </c>
      <c r="K532" s="304">
        <f t="shared" si="138"/>
        <v>61.679411764705883</v>
      </c>
      <c r="L532" s="305">
        <f>IF(H532=0,0,IF(OR(E532=$AT$5,E532=$AT$6),AA532,IF(F532="MXN",1/HLOOKUP(YEAR(G532)+(MONTH(G532)/100),TC!$5:$37,DAY(G532)+2,FALSE),VLOOKUP(F532,Equivalencia!$5:$23,((MAX(Equivalencia!$3:$3)-YEAR(G532))*14)+MONTH(G532)+2,FALSE))))</f>
        <v>1</v>
      </c>
      <c r="M532" s="306">
        <f t="shared" si="139"/>
        <v>61.679411764705883</v>
      </c>
      <c r="N532" s="305">
        <f>IF(G532=0,0,(IF(OR(E532=$AT$5,E532=$AT$6),AC532,HLOOKUP(YEAR(G532)+(MONTH(G532)/100),TC!$5:$37,DAY(G532)+2,FALSE))))</f>
        <v>19.892700000000001</v>
      </c>
      <c r="O532" s="307">
        <f t="shared" si="140"/>
        <v>1226.9700344117648</v>
      </c>
      <c r="P532" s="560">
        <f>IF(G532=0,0,VLOOKUP(YEAR(G532),INPC!$B$4:$P$30,MONTH(G532)+2))</f>
        <v>113.018</v>
      </c>
      <c r="Q532" s="560">
        <f>IF(X532=0,0,IF(OR(E532=$AT$10,E532=$AT$9),VLOOKUP(YEAR(X532),INPC!$B$4:$P$30,MONTH(X532)+1),VLOOKUP(YEAR(X532),INPC!$B$4:$P$30,MONTH(X532)+2,0)))</f>
        <v>118.98099999999999</v>
      </c>
      <c r="R532" s="309">
        <f t="shared" si="141"/>
        <v>1.0527</v>
      </c>
      <c r="S532" s="310">
        <f t="shared" si="142"/>
        <v>1291.6313552252648</v>
      </c>
      <c r="T532" s="555">
        <f t="shared" si="143"/>
        <v>1291.6313552252648</v>
      </c>
      <c r="U532" s="311"/>
      <c r="V532" s="312">
        <v>1</v>
      </c>
      <c r="W532" s="299" t="s">
        <v>194</v>
      </c>
      <c r="X532" s="300">
        <v>44627</v>
      </c>
      <c r="Y532" s="299" t="s">
        <v>59</v>
      </c>
      <c r="Z532" s="303">
        <v>46.55</v>
      </c>
      <c r="AA532" s="305">
        <f>IF(Z532=0,0,IF(Y532="MXN",1/HLOOKUP(YEAR(X532)+(MONTH(X532)/100),TC!$5:$37,DAY(X532)+2,FALSE),VLOOKUP(Y532,Equivalencia!$1:$23,((MAX(Equivalencia!$3:$3)-YEAR(X532))*14)+MONTH(X532)+2,FALSE)))</f>
        <v>1</v>
      </c>
      <c r="AB532" s="306">
        <f t="shared" si="144"/>
        <v>46.55</v>
      </c>
      <c r="AC532" s="305">
        <f>+IF(X532=0,0,HLOOKUP(YEAR(X532)+(MONTH(X532)/100),TC!$5:$37,DAY(X532)+2,FALSE))</f>
        <v>20.703299999999999</v>
      </c>
      <c r="AD532" s="307">
        <f t="shared" si="145"/>
        <v>963.73861499999987</v>
      </c>
      <c r="AE532" s="314">
        <f t="shared" si="146"/>
        <v>1291.6313552252648</v>
      </c>
      <c r="AF532" s="315">
        <f t="shared" si="147"/>
        <v>-327.8927402252649</v>
      </c>
      <c r="AG532" s="316">
        <f t="shared" si="148"/>
        <v>0.75890410958904109</v>
      </c>
      <c r="AH532" s="314">
        <v>1</v>
      </c>
      <c r="AI532" s="314">
        <f t="shared" si="149"/>
        <v>-327.8927402252649</v>
      </c>
      <c r="AJ532" s="314">
        <f t="shared" si="150"/>
        <v>0</v>
      </c>
      <c r="AK532" s="317"/>
      <c r="AL532" s="315">
        <f t="shared" si="151"/>
        <v>-15.129411764705885</v>
      </c>
      <c r="AN532" s="554">
        <f t="shared" si="152"/>
        <v>-0.24529111630346673</v>
      </c>
      <c r="AO532" s="314"/>
      <c r="AP532" s="318"/>
    </row>
    <row r="533" spans="2:42">
      <c r="B533" s="296" t="s">
        <v>1254</v>
      </c>
      <c r="C533" s="299" t="s">
        <v>277</v>
      </c>
      <c r="D533" s="298" t="s">
        <v>885</v>
      </c>
      <c r="E533" s="299" t="s">
        <v>113</v>
      </c>
      <c r="F533" s="299" t="s">
        <v>59</v>
      </c>
      <c r="G533" s="300">
        <v>44350</v>
      </c>
      <c r="H533" s="303">
        <v>1110.2294117647059</v>
      </c>
      <c r="I533" s="301" t="str">
        <f t="shared" si="136"/>
        <v>Ingresos Sección II LISR (SIC &amp; BMV)</v>
      </c>
      <c r="J533" s="302">
        <f t="shared" si="137"/>
        <v>18</v>
      </c>
      <c r="K533" s="304">
        <f t="shared" si="138"/>
        <v>61.679411764705883</v>
      </c>
      <c r="L533" s="305">
        <f>IF(H533=0,0,IF(OR(E533=$AT$5,E533=$AT$6),AA533,IF(F533="MXN",1/HLOOKUP(YEAR(G533)+(MONTH(G533)/100),TC!$5:$37,DAY(G533)+2,FALSE),VLOOKUP(F533,Equivalencia!$5:$23,((MAX(Equivalencia!$3:$3)-YEAR(G533))*14)+MONTH(G533)+2,FALSE))))</f>
        <v>1</v>
      </c>
      <c r="M533" s="306">
        <f t="shared" si="139"/>
        <v>1110.2294117647059</v>
      </c>
      <c r="N533" s="305">
        <f>IF(G533=0,0,(IF(OR(E533=$AT$5,E533=$AT$6),AC533,HLOOKUP(YEAR(G533)+(MONTH(G533)/100),TC!$5:$37,DAY(G533)+2,FALSE))))</f>
        <v>19.892700000000001</v>
      </c>
      <c r="O533" s="307">
        <f t="shared" si="140"/>
        <v>22085.460619411766</v>
      </c>
      <c r="P533" s="560">
        <f>IF(G533=0,0,VLOOKUP(YEAR(G533),INPC!$B$4:$P$30,MONTH(G533)+2))</f>
        <v>113.018</v>
      </c>
      <c r="Q533" s="560">
        <f>IF(X533=0,0,IF(OR(E533=$AT$10,E533=$AT$9),VLOOKUP(YEAR(X533),INPC!$B$4:$P$30,MONTH(X533)+1),VLOOKUP(YEAR(X533),INPC!$B$4:$P$30,MONTH(X533)+2,0)))</f>
        <v>118.98099999999999</v>
      </c>
      <c r="R533" s="309">
        <f t="shared" si="141"/>
        <v>1.0527</v>
      </c>
      <c r="S533" s="310">
        <f t="shared" si="142"/>
        <v>23249.364394054766</v>
      </c>
      <c r="T533" s="555">
        <f t="shared" si="143"/>
        <v>1291.6313552252648</v>
      </c>
      <c r="U533" s="311"/>
      <c r="V533" s="312">
        <v>18</v>
      </c>
      <c r="W533" s="299" t="s">
        <v>194</v>
      </c>
      <c r="X533" s="300">
        <v>44627</v>
      </c>
      <c r="Y533" s="299" t="s">
        <v>59</v>
      </c>
      <c r="Z533" s="303">
        <v>869.12999999999988</v>
      </c>
      <c r="AA533" s="305">
        <f>IF(Z533=0,0,IF(Y533="MXN",1/HLOOKUP(YEAR(X533)+(MONTH(X533)/100),TC!$5:$37,DAY(X533)+2,FALSE),VLOOKUP(Y533,Equivalencia!$1:$23,((MAX(Equivalencia!$3:$3)-YEAR(X533))*14)+MONTH(X533)+2,FALSE)))</f>
        <v>1</v>
      </c>
      <c r="AB533" s="306">
        <f t="shared" si="144"/>
        <v>869.12999999999988</v>
      </c>
      <c r="AC533" s="305">
        <f>+IF(X533=0,0,HLOOKUP(YEAR(X533)+(MONTH(X533)/100),TC!$5:$37,DAY(X533)+2,FALSE))</f>
        <v>20.703299999999999</v>
      </c>
      <c r="AD533" s="307">
        <f t="shared" si="145"/>
        <v>17993.859128999997</v>
      </c>
      <c r="AE533" s="314">
        <f t="shared" si="146"/>
        <v>23249.364394054766</v>
      </c>
      <c r="AF533" s="315">
        <f t="shared" si="147"/>
        <v>-5255.5052650547696</v>
      </c>
      <c r="AG533" s="316">
        <f t="shared" si="148"/>
        <v>0.75890410958904109</v>
      </c>
      <c r="AH533" s="314">
        <v>1</v>
      </c>
      <c r="AI533" s="314">
        <f t="shared" si="149"/>
        <v>-5255.5052650547696</v>
      </c>
      <c r="AJ533" s="314">
        <f t="shared" si="150"/>
        <v>0</v>
      </c>
      <c r="AK533" s="317"/>
      <c r="AL533" s="315">
        <f t="shared" si="151"/>
        <v>-241.09941176470602</v>
      </c>
      <c r="AN533" s="554">
        <f t="shared" si="152"/>
        <v>-0.2171617948595681</v>
      </c>
      <c r="AO533" s="314"/>
      <c r="AP533" s="318"/>
    </row>
    <row r="534" spans="2:42">
      <c r="B534" s="296" t="s">
        <v>1254</v>
      </c>
      <c r="C534" s="299" t="s">
        <v>277</v>
      </c>
      <c r="D534" s="298" t="s">
        <v>885</v>
      </c>
      <c r="E534" s="299" t="s">
        <v>113</v>
      </c>
      <c r="F534" s="299" t="s">
        <v>59</v>
      </c>
      <c r="G534" s="300">
        <v>44350</v>
      </c>
      <c r="H534" s="303">
        <v>925.19117647058829</v>
      </c>
      <c r="I534" s="301" t="str">
        <f t="shared" si="136"/>
        <v>Ingresos Sección II LISR (SIC &amp; BMV)</v>
      </c>
      <c r="J534" s="302">
        <f t="shared" si="137"/>
        <v>15</v>
      </c>
      <c r="K534" s="304">
        <f t="shared" si="138"/>
        <v>61.679411764705883</v>
      </c>
      <c r="L534" s="305">
        <f>IF(H534=0,0,IF(OR(E534=$AT$5,E534=$AT$6),AA534,IF(F534="MXN",1/HLOOKUP(YEAR(G534)+(MONTH(G534)/100),TC!$5:$37,DAY(G534)+2,FALSE),VLOOKUP(F534,Equivalencia!$5:$23,((MAX(Equivalencia!$3:$3)-YEAR(G534))*14)+MONTH(G534)+2,FALSE))))</f>
        <v>1</v>
      </c>
      <c r="M534" s="306">
        <f t="shared" si="139"/>
        <v>925.19117647058829</v>
      </c>
      <c r="N534" s="305">
        <f>IF(G534=0,0,(IF(OR(E534=$AT$5,E534=$AT$6),AC534,HLOOKUP(YEAR(G534)+(MONTH(G534)/100),TC!$5:$37,DAY(G534)+2,FALSE))))</f>
        <v>19.892700000000001</v>
      </c>
      <c r="O534" s="307">
        <f t="shared" si="140"/>
        <v>18404.550516176474</v>
      </c>
      <c r="P534" s="560">
        <f>IF(G534=0,0,VLOOKUP(YEAR(G534),INPC!$B$4:$P$30,MONTH(G534)+2))</f>
        <v>113.018</v>
      </c>
      <c r="Q534" s="560">
        <f>IF(X534=0,0,IF(OR(E534=$AT$10,E534=$AT$9),VLOOKUP(YEAR(X534),INPC!$B$4:$P$30,MONTH(X534)+1),VLOOKUP(YEAR(X534),INPC!$B$4:$P$30,MONTH(X534)+2,0)))</f>
        <v>118.98099999999999</v>
      </c>
      <c r="R534" s="309">
        <f t="shared" si="141"/>
        <v>1.0527</v>
      </c>
      <c r="S534" s="310">
        <f t="shared" si="142"/>
        <v>19374.470328378975</v>
      </c>
      <c r="T534" s="555">
        <f t="shared" si="143"/>
        <v>1291.631355225265</v>
      </c>
      <c r="U534" s="311"/>
      <c r="V534" s="312">
        <v>15</v>
      </c>
      <c r="W534" s="299" t="s">
        <v>194</v>
      </c>
      <c r="X534" s="300">
        <v>44627</v>
      </c>
      <c r="Y534" s="299" t="s">
        <v>59</v>
      </c>
      <c r="Z534" s="303">
        <v>724.27173913043475</v>
      </c>
      <c r="AA534" s="305">
        <f>IF(Z534=0,0,IF(Y534="MXN",1/HLOOKUP(YEAR(X534)+(MONTH(X534)/100),TC!$5:$37,DAY(X534)+2,FALSE),VLOOKUP(Y534,Equivalencia!$1:$23,((MAX(Equivalencia!$3:$3)-YEAR(X534))*14)+MONTH(X534)+2,FALSE)))</f>
        <v>1</v>
      </c>
      <c r="AB534" s="306">
        <f t="shared" si="144"/>
        <v>724.27173913043475</v>
      </c>
      <c r="AC534" s="305">
        <f>+IF(X534=0,0,HLOOKUP(YEAR(X534)+(MONTH(X534)/100),TC!$5:$37,DAY(X534)+2,FALSE))</f>
        <v>20.703299999999999</v>
      </c>
      <c r="AD534" s="307">
        <f t="shared" si="145"/>
        <v>14994.815096739128</v>
      </c>
      <c r="AE534" s="314">
        <f t="shared" si="146"/>
        <v>19374.470328378975</v>
      </c>
      <c r="AF534" s="315">
        <f t="shared" si="147"/>
        <v>-4379.6552316398465</v>
      </c>
      <c r="AG534" s="316">
        <f t="shared" si="148"/>
        <v>0.75890410958904109</v>
      </c>
      <c r="AH534" s="314">
        <v>1</v>
      </c>
      <c r="AI534" s="314">
        <f t="shared" si="149"/>
        <v>-4379.6552316398465</v>
      </c>
      <c r="AJ534" s="314">
        <f t="shared" si="150"/>
        <v>0</v>
      </c>
      <c r="AK534" s="317"/>
      <c r="AL534" s="315">
        <f t="shared" si="151"/>
        <v>-200.91943734015354</v>
      </c>
      <c r="AN534" s="554">
        <f t="shared" si="152"/>
        <v>-0.21716531939552142</v>
      </c>
      <c r="AO534" s="314"/>
      <c r="AP534" s="318"/>
    </row>
    <row r="535" spans="2:42">
      <c r="B535" s="296" t="s">
        <v>1254</v>
      </c>
      <c r="C535" s="299" t="s">
        <v>277</v>
      </c>
      <c r="D535" s="298" t="s">
        <v>885</v>
      </c>
      <c r="E535" s="299" t="s">
        <v>113</v>
      </c>
      <c r="F535" s="299" t="s">
        <v>59</v>
      </c>
      <c r="G535" s="300">
        <v>44355</v>
      </c>
      <c r="H535" s="303">
        <v>493.94742857142859</v>
      </c>
      <c r="I535" s="301" t="str">
        <f t="shared" si="136"/>
        <v>Ingresos Sección II LISR (SIC &amp; BMV)</v>
      </c>
      <c r="J535" s="302">
        <f t="shared" si="137"/>
        <v>8</v>
      </c>
      <c r="K535" s="304">
        <f t="shared" si="138"/>
        <v>61.743428571428574</v>
      </c>
      <c r="L535" s="305">
        <f>IF(H535=0,0,IF(OR(E535=$AT$5,E535=$AT$6),AA535,IF(F535="MXN",1/HLOOKUP(YEAR(G535)+(MONTH(G535)/100),TC!$5:$37,DAY(G535)+2,FALSE),VLOOKUP(F535,Equivalencia!$5:$23,((MAX(Equivalencia!$3:$3)-YEAR(G535))*14)+MONTH(G535)+2,FALSE))))</f>
        <v>1</v>
      </c>
      <c r="M535" s="306">
        <f t="shared" si="139"/>
        <v>493.94742857142859</v>
      </c>
      <c r="N535" s="305">
        <f>IF(G535=0,0,(IF(OR(E535=$AT$5,E535=$AT$6),AC535,HLOOKUP(YEAR(G535)+(MONTH(G535)/100),TC!$5:$37,DAY(G535)+2,FALSE))))</f>
        <v>19.9328</v>
      </c>
      <c r="O535" s="307">
        <f t="shared" si="140"/>
        <v>9845.7553042285726</v>
      </c>
      <c r="P535" s="560">
        <f>IF(G535=0,0,VLOOKUP(YEAR(G535),INPC!$B$4:$P$30,MONTH(G535)+2))</f>
        <v>113.018</v>
      </c>
      <c r="Q535" s="560">
        <f>IF(X535=0,0,IF(OR(E535=$AT$10,E535=$AT$9),VLOOKUP(YEAR(X535),INPC!$B$4:$P$30,MONTH(X535)+1),VLOOKUP(YEAR(X535),INPC!$B$4:$P$30,MONTH(X535)+2,0)))</f>
        <v>118.98099999999999</v>
      </c>
      <c r="R535" s="309">
        <f t="shared" si="141"/>
        <v>1.0527</v>
      </c>
      <c r="S535" s="310">
        <f t="shared" si="142"/>
        <v>10364.626608761419</v>
      </c>
      <c r="T535" s="555">
        <f t="shared" si="143"/>
        <v>1295.5783260951773</v>
      </c>
      <c r="U535" s="311"/>
      <c r="V535" s="312">
        <v>8</v>
      </c>
      <c r="W535" s="299" t="s">
        <v>194</v>
      </c>
      <c r="X535" s="300">
        <v>44627</v>
      </c>
      <c r="Y535" s="299" t="s">
        <v>59</v>
      </c>
      <c r="Z535" s="303">
        <v>386.2782608695652</v>
      </c>
      <c r="AA535" s="305">
        <f>IF(Z535=0,0,IF(Y535="MXN",1/HLOOKUP(YEAR(X535)+(MONTH(X535)/100),TC!$5:$37,DAY(X535)+2,FALSE),VLOOKUP(Y535,Equivalencia!$1:$23,((MAX(Equivalencia!$3:$3)-YEAR(X535))*14)+MONTH(X535)+2,FALSE)))</f>
        <v>1</v>
      </c>
      <c r="AB535" s="306">
        <f t="shared" si="144"/>
        <v>386.2782608695652</v>
      </c>
      <c r="AC535" s="305">
        <f>+IF(X535=0,0,HLOOKUP(YEAR(X535)+(MONTH(X535)/100),TC!$5:$37,DAY(X535)+2,FALSE))</f>
        <v>20.703299999999999</v>
      </c>
      <c r="AD535" s="307">
        <f t="shared" si="145"/>
        <v>7997.2347182608692</v>
      </c>
      <c r="AE535" s="314">
        <f t="shared" si="146"/>
        <v>10364.626608761419</v>
      </c>
      <c r="AF535" s="315">
        <f t="shared" si="147"/>
        <v>-2367.3918905005494</v>
      </c>
      <c r="AG535" s="316">
        <f t="shared" si="148"/>
        <v>0.74520547945205484</v>
      </c>
      <c r="AH535" s="314">
        <v>1</v>
      </c>
      <c r="AI535" s="314">
        <f t="shared" si="149"/>
        <v>-2367.3918905005494</v>
      </c>
      <c r="AJ535" s="314">
        <f t="shared" si="150"/>
        <v>0</v>
      </c>
      <c r="AK535" s="317"/>
      <c r="AL535" s="315">
        <f t="shared" si="151"/>
        <v>-107.66916770186339</v>
      </c>
      <c r="AN535" s="554">
        <f t="shared" si="152"/>
        <v>-0.21797697786029388</v>
      </c>
      <c r="AO535" s="314"/>
      <c r="AP535" s="318"/>
    </row>
    <row r="536" spans="2:42">
      <c r="B536" s="296" t="s">
        <v>1254</v>
      </c>
      <c r="C536" s="299" t="s">
        <v>277</v>
      </c>
      <c r="D536" s="298" t="s">
        <v>885</v>
      </c>
      <c r="E536" s="299" t="s">
        <v>113</v>
      </c>
      <c r="F536" s="299" t="s">
        <v>59</v>
      </c>
      <c r="G536" s="300">
        <v>44355</v>
      </c>
      <c r="H536" s="303">
        <v>2840.1977142857145</v>
      </c>
      <c r="I536" s="301" t="str">
        <f t="shared" si="136"/>
        <v>Ingresos Sección II LISR (SIC &amp; BMV)</v>
      </c>
      <c r="J536" s="302">
        <f t="shared" si="137"/>
        <v>46</v>
      </c>
      <c r="K536" s="304">
        <f t="shared" si="138"/>
        <v>61.743428571428574</v>
      </c>
      <c r="L536" s="305">
        <f>IF(H536=0,0,IF(OR(E536=$AT$5,E536=$AT$6),AA536,IF(F536="MXN",1/HLOOKUP(YEAR(G536)+(MONTH(G536)/100),TC!$5:$37,DAY(G536)+2,FALSE),VLOOKUP(F536,Equivalencia!$5:$23,((MAX(Equivalencia!$3:$3)-YEAR(G536))*14)+MONTH(G536)+2,FALSE))))</f>
        <v>1</v>
      </c>
      <c r="M536" s="306">
        <f t="shared" si="139"/>
        <v>2840.1977142857145</v>
      </c>
      <c r="N536" s="305">
        <f>IF(G536=0,0,(IF(OR(E536=$AT$5,E536=$AT$6),AC536,HLOOKUP(YEAR(G536)+(MONTH(G536)/100),TC!$5:$37,DAY(G536)+2,FALSE))))</f>
        <v>19.9328</v>
      </c>
      <c r="O536" s="307">
        <f t="shared" si="140"/>
        <v>56613.092999314293</v>
      </c>
      <c r="P536" s="560">
        <f>IF(G536=0,0,VLOOKUP(YEAR(G536),INPC!$B$4:$P$30,MONTH(G536)+2))</f>
        <v>113.018</v>
      </c>
      <c r="Q536" s="560">
        <f>IF(X536=0,0,IF(OR(E536=$AT$10,E536=$AT$9),VLOOKUP(YEAR(X536),INPC!$B$4:$P$30,MONTH(X536)+1),VLOOKUP(YEAR(X536),INPC!$B$4:$P$30,MONTH(X536)+2,0)))</f>
        <v>118.98099999999999</v>
      </c>
      <c r="R536" s="309">
        <f t="shared" si="141"/>
        <v>1.0527</v>
      </c>
      <c r="S536" s="310">
        <f t="shared" si="142"/>
        <v>59596.603000378156</v>
      </c>
      <c r="T536" s="555">
        <f t="shared" si="143"/>
        <v>1295.5783260951773</v>
      </c>
      <c r="U536" s="311"/>
      <c r="V536" s="312">
        <v>46</v>
      </c>
      <c r="W536" s="299" t="s">
        <v>194</v>
      </c>
      <c r="X536" s="300">
        <v>44627</v>
      </c>
      <c r="Y536" s="299" t="s">
        <v>59</v>
      </c>
      <c r="Z536" s="303">
        <v>2164.89</v>
      </c>
      <c r="AA536" s="305">
        <f>IF(Z536=0,0,IF(Y536="MXN",1/HLOOKUP(YEAR(X536)+(MONTH(X536)/100),TC!$5:$37,DAY(X536)+2,FALSE),VLOOKUP(Y536,Equivalencia!$1:$23,((MAX(Equivalencia!$3:$3)-YEAR(X536))*14)+MONTH(X536)+2,FALSE)))</f>
        <v>1</v>
      </c>
      <c r="AB536" s="306">
        <f t="shared" si="144"/>
        <v>2164.89</v>
      </c>
      <c r="AC536" s="305">
        <f>+IF(X536=0,0,HLOOKUP(YEAR(X536)+(MONTH(X536)/100),TC!$5:$37,DAY(X536)+2,FALSE))</f>
        <v>20.703299999999999</v>
      </c>
      <c r="AD536" s="307">
        <f t="shared" si="145"/>
        <v>44820.367136999994</v>
      </c>
      <c r="AE536" s="314">
        <f t="shared" si="146"/>
        <v>59596.603000378156</v>
      </c>
      <c r="AF536" s="315">
        <f t="shared" si="147"/>
        <v>-14776.235863378162</v>
      </c>
      <c r="AG536" s="316">
        <f t="shared" si="148"/>
        <v>0.74520547945205484</v>
      </c>
      <c r="AH536" s="314">
        <v>1</v>
      </c>
      <c r="AI536" s="314">
        <f t="shared" si="149"/>
        <v>-14776.235863378162</v>
      </c>
      <c r="AJ536" s="314">
        <f t="shared" si="150"/>
        <v>0</v>
      </c>
      <c r="AK536" s="317"/>
      <c r="AL536" s="315">
        <f t="shared" si="151"/>
        <v>-675.30771428571461</v>
      </c>
      <c r="AN536" s="554">
        <f t="shared" si="152"/>
        <v>-0.23776785358604824</v>
      </c>
      <c r="AO536" s="314"/>
      <c r="AP536" s="318"/>
    </row>
    <row r="537" spans="2:42">
      <c r="B537" s="296" t="s">
        <v>1254</v>
      </c>
      <c r="C537" s="299" t="s">
        <v>277</v>
      </c>
      <c r="D537" s="298" t="s">
        <v>885</v>
      </c>
      <c r="E537" s="299" t="s">
        <v>113</v>
      </c>
      <c r="F537" s="299" t="s">
        <v>59</v>
      </c>
      <c r="G537" s="300">
        <v>44355</v>
      </c>
      <c r="H537" s="303">
        <v>987.89485714285718</v>
      </c>
      <c r="I537" s="301" t="str">
        <f t="shared" si="136"/>
        <v>Ingresos Sección II LISR (SIC &amp; BMV)</v>
      </c>
      <c r="J537" s="302">
        <f t="shared" si="137"/>
        <v>16</v>
      </c>
      <c r="K537" s="304">
        <f t="shared" si="138"/>
        <v>61.743428571428574</v>
      </c>
      <c r="L537" s="305">
        <f>IF(H537=0,0,IF(OR(E537=$AT$5,E537=$AT$6),AA537,IF(F537="MXN",1/HLOOKUP(YEAR(G537)+(MONTH(G537)/100),TC!$5:$37,DAY(G537)+2,FALSE),VLOOKUP(F537,Equivalencia!$5:$23,((MAX(Equivalencia!$3:$3)-YEAR(G537))*14)+MONTH(G537)+2,FALSE))))</f>
        <v>1</v>
      </c>
      <c r="M537" s="306">
        <f t="shared" si="139"/>
        <v>987.89485714285718</v>
      </c>
      <c r="N537" s="305">
        <f>IF(G537=0,0,(IF(OR(E537=$AT$5,E537=$AT$6),AC537,HLOOKUP(YEAR(G537)+(MONTH(G537)/100),TC!$5:$37,DAY(G537)+2,FALSE))))</f>
        <v>19.9328</v>
      </c>
      <c r="O537" s="307">
        <f t="shared" si="140"/>
        <v>19691.510608457145</v>
      </c>
      <c r="P537" s="560">
        <f>IF(G537=0,0,VLOOKUP(YEAR(G537),INPC!$B$4:$P$30,MONTH(G537)+2))</f>
        <v>113.018</v>
      </c>
      <c r="Q537" s="560">
        <f>IF(X537=0,0,IF(OR(E537=$AT$10,E537=$AT$9),VLOOKUP(YEAR(X537),INPC!$B$4:$P$30,MONTH(X537)+1),VLOOKUP(YEAR(X537),INPC!$B$4:$P$30,MONTH(X537)+2,0)))</f>
        <v>118.98099999999999</v>
      </c>
      <c r="R537" s="309">
        <f t="shared" si="141"/>
        <v>1.0527</v>
      </c>
      <c r="S537" s="310">
        <f t="shared" si="142"/>
        <v>20729.253217522837</v>
      </c>
      <c r="T537" s="555">
        <f t="shared" si="143"/>
        <v>1295.5783260951773</v>
      </c>
      <c r="U537" s="311"/>
      <c r="V537" s="312">
        <v>16</v>
      </c>
      <c r="W537" s="299" t="s">
        <v>194</v>
      </c>
      <c r="X537" s="300">
        <v>44627</v>
      </c>
      <c r="Y537" s="299" t="s">
        <v>59</v>
      </c>
      <c r="Z537" s="303">
        <v>753.00571428571425</v>
      </c>
      <c r="AA537" s="305">
        <f>IF(Z537=0,0,IF(Y537="MXN",1/HLOOKUP(YEAR(X537)+(MONTH(X537)/100),TC!$5:$37,DAY(X537)+2,FALSE),VLOOKUP(Y537,Equivalencia!$1:$23,((MAX(Equivalencia!$3:$3)-YEAR(X537))*14)+MONTH(X537)+2,FALSE)))</f>
        <v>1</v>
      </c>
      <c r="AB537" s="306">
        <f t="shared" si="144"/>
        <v>753.00571428571425</v>
      </c>
      <c r="AC537" s="305">
        <f>+IF(X537=0,0,HLOOKUP(YEAR(X537)+(MONTH(X537)/100),TC!$5:$37,DAY(X537)+2,FALSE))</f>
        <v>20.703299999999999</v>
      </c>
      <c r="AD537" s="307">
        <f t="shared" si="145"/>
        <v>15589.703204571428</v>
      </c>
      <c r="AE537" s="314">
        <f t="shared" si="146"/>
        <v>20729.253217522837</v>
      </c>
      <c r="AF537" s="315">
        <f t="shared" si="147"/>
        <v>-5139.5500129514094</v>
      </c>
      <c r="AG537" s="316">
        <f t="shared" si="148"/>
        <v>0.74520547945205484</v>
      </c>
      <c r="AH537" s="314">
        <v>1</v>
      </c>
      <c r="AI537" s="314">
        <f t="shared" si="149"/>
        <v>-5139.5500129514094</v>
      </c>
      <c r="AJ537" s="314">
        <f t="shared" si="150"/>
        <v>0</v>
      </c>
      <c r="AK537" s="317"/>
      <c r="AL537" s="315">
        <f t="shared" si="151"/>
        <v>-234.88914285714293</v>
      </c>
      <c r="AN537" s="554">
        <f t="shared" si="152"/>
        <v>-0.23776735060295606</v>
      </c>
      <c r="AO537" s="314"/>
      <c r="AP537" s="318"/>
    </row>
    <row r="538" spans="2:42">
      <c r="B538" s="296" t="s">
        <v>1254</v>
      </c>
      <c r="C538" s="299" t="s">
        <v>277</v>
      </c>
      <c r="D538" s="298" t="s">
        <v>885</v>
      </c>
      <c r="E538" s="299" t="s">
        <v>113</v>
      </c>
      <c r="F538" s="299" t="s">
        <v>59</v>
      </c>
      <c r="G538" s="300">
        <v>44355</v>
      </c>
      <c r="H538" s="303">
        <v>2511.8169934640528</v>
      </c>
      <c r="I538" s="301" t="str">
        <f t="shared" si="136"/>
        <v>Ingresos Sección II LISR (SIC &amp; BMV)</v>
      </c>
      <c r="J538" s="302">
        <f t="shared" si="137"/>
        <v>40</v>
      </c>
      <c r="K538" s="304">
        <f t="shared" si="138"/>
        <v>62.79542483660132</v>
      </c>
      <c r="L538" s="305">
        <f>IF(H538=0,0,IF(OR(E538=$AT$5,E538=$AT$6),AA538,IF(F538="MXN",1/HLOOKUP(YEAR(G538)+(MONTH(G538)/100),TC!$5:$37,DAY(G538)+2,FALSE),VLOOKUP(F538,Equivalencia!$5:$23,((MAX(Equivalencia!$3:$3)-YEAR(G538))*14)+MONTH(G538)+2,FALSE))))</f>
        <v>1</v>
      </c>
      <c r="M538" s="306">
        <f t="shared" si="139"/>
        <v>2511.8169934640528</v>
      </c>
      <c r="N538" s="305">
        <f>IF(G538=0,0,(IF(OR(E538=$AT$5,E538=$AT$6),AC538,HLOOKUP(YEAR(G538)+(MONTH(G538)/100),TC!$5:$37,DAY(G538)+2,FALSE))))</f>
        <v>19.9328</v>
      </c>
      <c r="O538" s="307">
        <f t="shared" si="140"/>
        <v>50067.545767320269</v>
      </c>
      <c r="P538" s="560">
        <f>IF(G538=0,0,VLOOKUP(YEAR(G538),INPC!$B$4:$P$30,MONTH(G538)+2))</f>
        <v>113.018</v>
      </c>
      <c r="Q538" s="560">
        <f>IF(X538=0,0,IF(OR(E538=$AT$10,E538=$AT$9),VLOOKUP(YEAR(X538),INPC!$B$4:$P$30,MONTH(X538)+1),VLOOKUP(YEAR(X538),INPC!$B$4:$P$30,MONTH(X538)+2,0)))</f>
        <v>118.98099999999999</v>
      </c>
      <c r="R538" s="309">
        <f t="shared" si="141"/>
        <v>1.0527</v>
      </c>
      <c r="S538" s="310">
        <f t="shared" si="142"/>
        <v>52706.105429258045</v>
      </c>
      <c r="T538" s="555">
        <f t="shared" si="143"/>
        <v>1317.652635731451</v>
      </c>
      <c r="U538" s="311"/>
      <c r="V538" s="312">
        <v>40</v>
      </c>
      <c r="W538" s="299" t="s">
        <v>194</v>
      </c>
      <c r="X538" s="300">
        <v>44627</v>
      </c>
      <c r="Y538" s="299" t="s">
        <v>59</v>
      </c>
      <c r="Z538" s="303">
        <v>1882.5142857142855</v>
      </c>
      <c r="AA538" s="305">
        <f>IF(Z538=0,0,IF(Y538="MXN",1/HLOOKUP(YEAR(X538)+(MONTH(X538)/100),TC!$5:$37,DAY(X538)+2,FALSE),VLOOKUP(Y538,Equivalencia!$1:$23,((MAX(Equivalencia!$3:$3)-YEAR(X538))*14)+MONTH(X538)+2,FALSE)))</f>
        <v>1</v>
      </c>
      <c r="AB538" s="306">
        <f t="shared" si="144"/>
        <v>1882.5142857142855</v>
      </c>
      <c r="AC538" s="305">
        <f>+IF(X538=0,0,HLOOKUP(YEAR(X538)+(MONTH(X538)/100),TC!$5:$37,DAY(X538)+2,FALSE))</f>
        <v>20.703299999999999</v>
      </c>
      <c r="AD538" s="307">
        <f t="shared" si="145"/>
        <v>38974.258011428567</v>
      </c>
      <c r="AE538" s="314">
        <f t="shared" si="146"/>
        <v>52706.105429258037</v>
      </c>
      <c r="AF538" s="315">
        <f t="shared" si="147"/>
        <v>-13731.847417829471</v>
      </c>
      <c r="AG538" s="316">
        <f t="shared" si="148"/>
        <v>0.74520547945205484</v>
      </c>
      <c r="AH538" s="314">
        <v>1</v>
      </c>
      <c r="AI538" s="314">
        <f t="shared" si="149"/>
        <v>-13731.847417829471</v>
      </c>
      <c r="AJ538" s="314">
        <f t="shared" si="150"/>
        <v>0</v>
      </c>
      <c r="AK538" s="317"/>
      <c r="AL538" s="315">
        <f t="shared" si="151"/>
        <v>-629.30270774976725</v>
      </c>
      <c r="AN538" s="554">
        <f t="shared" si="152"/>
        <v>-0.25053684619033267</v>
      </c>
      <c r="AO538" s="314"/>
      <c r="AP538" s="318"/>
    </row>
    <row r="539" spans="2:42">
      <c r="B539" s="296" t="s">
        <v>1254</v>
      </c>
      <c r="C539" s="299" t="s">
        <v>277</v>
      </c>
      <c r="D539" s="298" t="s">
        <v>885</v>
      </c>
      <c r="E539" s="299" t="s">
        <v>113</v>
      </c>
      <c r="F539" s="299" t="s">
        <v>59</v>
      </c>
      <c r="G539" s="300">
        <v>44355</v>
      </c>
      <c r="H539" s="303">
        <v>565.15882352941185</v>
      </c>
      <c r="I539" s="301" t="str">
        <f t="shared" si="136"/>
        <v>Ingresos Sección II LISR (SIC &amp; BMV)</v>
      </c>
      <c r="J539" s="302">
        <f t="shared" si="137"/>
        <v>9</v>
      </c>
      <c r="K539" s="304">
        <f t="shared" si="138"/>
        <v>62.795424836601313</v>
      </c>
      <c r="L539" s="305">
        <f>IF(H539=0,0,IF(OR(E539=$AT$5,E539=$AT$6),AA539,IF(F539="MXN",1/HLOOKUP(YEAR(G539)+(MONTH(G539)/100),TC!$5:$37,DAY(G539)+2,FALSE),VLOOKUP(F539,Equivalencia!$5:$23,((MAX(Equivalencia!$3:$3)-YEAR(G539))*14)+MONTH(G539)+2,FALSE))))</f>
        <v>1</v>
      </c>
      <c r="M539" s="306">
        <f t="shared" si="139"/>
        <v>565.15882352941185</v>
      </c>
      <c r="N539" s="305">
        <f>IF(G539=0,0,(IF(OR(E539=$AT$5,E539=$AT$6),AC539,HLOOKUP(YEAR(G539)+(MONTH(G539)/100),TC!$5:$37,DAY(G539)+2,FALSE))))</f>
        <v>19.9328</v>
      </c>
      <c r="O539" s="307">
        <f t="shared" si="140"/>
        <v>11265.197797647061</v>
      </c>
      <c r="P539" s="560">
        <f>IF(G539=0,0,VLOOKUP(YEAR(G539),INPC!$B$4:$P$30,MONTH(G539)+2))</f>
        <v>113.018</v>
      </c>
      <c r="Q539" s="560">
        <f>IF(X539=0,0,IF(OR(E539=$AT$10,E539=$AT$9),VLOOKUP(YEAR(X539),INPC!$B$4:$P$30,MONTH(X539)+1),VLOOKUP(YEAR(X539),INPC!$B$4:$P$30,MONTH(X539)+2,0)))</f>
        <v>118.98099999999999</v>
      </c>
      <c r="R539" s="309">
        <f t="shared" si="141"/>
        <v>1.0527</v>
      </c>
      <c r="S539" s="310">
        <f t="shared" si="142"/>
        <v>11858.873721583061</v>
      </c>
      <c r="T539" s="555">
        <f t="shared" si="143"/>
        <v>1317.6526357314513</v>
      </c>
      <c r="U539" s="311"/>
      <c r="V539" s="312">
        <v>9</v>
      </c>
      <c r="W539" s="299" t="s">
        <v>194</v>
      </c>
      <c r="X539" s="300">
        <v>44627</v>
      </c>
      <c r="Y539" s="299" t="s">
        <v>59</v>
      </c>
      <c r="Z539" s="303">
        <v>425.02</v>
      </c>
      <c r="AA539" s="305">
        <f>IF(Z539=0,0,IF(Y539="MXN",1/HLOOKUP(YEAR(X539)+(MONTH(X539)/100),TC!$5:$37,DAY(X539)+2,FALSE),VLOOKUP(Y539,Equivalencia!$1:$23,((MAX(Equivalencia!$3:$3)-YEAR(X539))*14)+MONTH(X539)+2,FALSE)))</f>
        <v>1</v>
      </c>
      <c r="AB539" s="306">
        <f t="shared" si="144"/>
        <v>425.02</v>
      </c>
      <c r="AC539" s="305">
        <f>+IF(X539=0,0,HLOOKUP(YEAR(X539)+(MONTH(X539)/100),TC!$5:$37,DAY(X539)+2,FALSE))</f>
        <v>20.703299999999999</v>
      </c>
      <c r="AD539" s="307">
        <f t="shared" si="145"/>
        <v>8799.3165659999995</v>
      </c>
      <c r="AE539" s="314">
        <f t="shared" si="146"/>
        <v>11858.873721583061</v>
      </c>
      <c r="AF539" s="315">
        <f t="shared" si="147"/>
        <v>-3059.5571555830611</v>
      </c>
      <c r="AG539" s="316">
        <f t="shared" si="148"/>
        <v>0.74520547945205484</v>
      </c>
      <c r="AH539" s="314">
        <v>1</v>
      </c>
      <c r="AI539" s="314">
        <f t="shared" si="149"/>
        <v>-3059.5571555830611</v>
      </c>
      <c r="AJ539" s="314">
        <f t="shared" si="150"/>
        <v>0</v>
      </c>
      <c r="AK539" s="317"/>
      <c r="AL539" s="315">
        <f t="shared" si="151"/>
        <v>-140.13882352941187</v>
      </c>
      <c r="AN539" s="554">
        <f t="shared" si="152"/>
        <v>-0.24796361251912544</v>
      </c>
      <c r="AO539" s="314"/>
      <c r="AP539" s="318"/>
    </row>
    <row r="540" spans="2:42">
      <c r="B540" s="296" t="s">
        <v>1254</v>
      </c>
      <c r="C540" s="299" t="s">
        <v>277</v>
      </c>
      <c r="D540" s="298" t="s">
        <v>885</v>
      </c>
      <c r="E540" s="299" t="s">
        <v>113</v>
      </c>
      <c r="F540" s="299" t="s">
        <v>59</v>
      </c>
      <c r="G540" s="300">
        <v>44371</v>
      </c>
      <c r="H540" s="303">
        <v>62.795424836601313</v>
      </c>
      <c r="I540" s="301" t="str">
        <f t="shared" si="136"/>
        <v>Ingresos Sección II LISR (SIC &amp; BMV)</v>
      </c>
      <c r="J540" s="302">
        <f t="shared" si="137"/>
        <v>1</v>
      </c>
      <c r="K540" s="304">
        <f t="shared" si="138"/>
        <v>62.795424836601313</v>
      </c>
      <c r="L540" s="305">
        <f>IF(H540=0,0,IF(OR(E540=$AT$5,E540=$AT$6),AA540,IF(F540="MXN",1/HLOOKUP(YEAR(G540)+(MONTH(G540)/100),TC!$5:$37,DAY(G540)+2,FALSE),VLOOKUP(F540,Equivalencia!$5:$23,((MAX(Equivalencia!$3:$3)-YEAR(G540))*14)+MONTH(G540)+2,FALSE))))</f>
        <v>1</v>
      </c>
      <c r="M540" s="306">
        <f t="shared" si="139"/>
        <v>62.795424836601313</v>
      </c>
      <c r="N540" s="305">
        <f>IF(G540=0,0,(IF(OR(E540=$AT$5,E540=$AT$6),AC540,HLOOKUP(YEAR(G540)+(MONTH(G540)/100),TC!$5:$37,DAY(G540)+2,FALSE))))</f>
        <v>20.571200000000001</v>
      </c>
      <c r="O540" s="307">
        <f t="shared" si="140"/>
        <v>1291.7772433986929</v>
      </c>
      <c r="P540" s="560">
        <f>IF(G540=0,0,VLOOKUP(YEAR(G540),INPC!$B$4:$P$30,MONTH(G540)+2))</f>
        <v>113.018</v>
      </c>
      <c r="Q540" s="560">
        <f>IF(X540=0,0,IF(OR(E540=$AT$10,E540=$AT$9),VLOOKUP(YEAR(X540),INPC!$B$4:$P$30,MONTH(X540)+1),VLOOKUP(YEAR(X540),INPC!$B$4:$P$30,MONTH(X540)+2,0)))</f>
        <v>118.98099999999999</v>
      </c>
      <c r="R540" s="309">
        <f t="shared" si="141"/>
        <v>1.0527</v>
      </c>
      <c r="S540" s="310">
        <f t="shared" si="142"/>
        <v>1359.8539041258041</v>
      </c>
      <c r="T540" s="555">
        <f t="shared" si="143"/>
        <v>1359.8539041258041</v>
      </c>
      <c r="U540" s="311"/>
      <c r="V540" s="312">
        <v>1</v>
      </c>
      <c r="W540" s="299" t="s">
        <v>194</v>
      </c>
      <c r="X540" s="300">
        <v>44628</v>
      </c>
      <c r="Y540" s="299" t="s">
        <v>59</v>
      </c>
      <c r="Z540" s="303">
        <v>47.12</v>
      </c>
      <c r="AA540" s="305">
        <f>IF(Z540=0,0,IF(Y540="MXN",1/HLOOKUP(YEAR(X540)+(MONTH(X540)/100),TC!$5:$37,DAY(X540)+2,FALSE),VLOOKUP(Y540,Equivalencia!$1:$23,((MAX(Equivalencia!$3:$3)-YEAR(X540))*14)+MONTH(X540)+2,FALSE)))</f>
        <v>1</v>
      </c>
      <c r="AB540" s="306">
        <f t="shared" si="144"/>
        <v>47.12</v>
      </c>
      <c r="AC540" s="305">
        <f>+IF(X540=0,0,HLOOKUP(YEAR(X540)+(MONTH(X540)/100),TC!$5:$37,DAY(X540)+2,FALSE))</f>
        <v>20.926200000000001</v>
      </c>
      <c r="AD540" s="307">
        <f t="shared" si="145"/>
        <v>986.04254400000002</v>
      </c>
      <c r="AE540" s="314">
        <f t="shared" si="146"/>
        <v>1359.8539041258041</v>
      </c>
      <c r="AF540" s="315">
        <f t="shared" si="147"/>
        <v>-373.81136012580407</v>
      </c>
      <c r="AG540" s="316">
        <f t="shared" si="148"/>
        <v>0.70410958904109588</v>
      </c>
      <c r="AH540" s="314">
        <v>1</v>
      </c>
      <c r="AI540" s="314">
        <f t="shared" si="149"/>
        <v>-373.81136012580407</v>
      </c>
      <c r="AJ540" s="314">
        <f t="shared" si="150"/>
        <v>0</v>
      </c>
      <c r="AK540" s="317"/>
      <c r="AL540" s="315">
        <f t="shared" si="151"/>
        <v>-15.675424836601316</v>
      </c>
      <c r="AN540" s="554">
        <f t="shared" si="152"/>
        <v>-0.24962686178794102</v>
      </c>
      <c r="AO540" s="314"/>
      <c r="AP540" s="318"/>
    </row>
    <row r="541" spans="2:42">
      <c r="B541" s="296" t="s">
        <v>1254</v>
      </c>
      <c r="C541" s="299" t="s">
        <v>277</v>
      </c>
      <c r="D541" s="298" t="s">
        <v>885</v>
      </c>
      <c r="E541" s="299" t="s">
        <v>113</v>
      </c>
      <c r="F541" s="299" t="s">
        <v>59</v>
      </c>
      <c r="G541" s="300">
        <v>44371</v>
      </c>
      <c r="H541" s="303">
        <v>62.795424836601313</v>
      </c>
      <c r="I541" s="301" t="str">
        <f t="shared" si="136"/>
        <v>Ingresos Sección II LISR (SIC &amp; BMV)</v>
      </c>
      <c r="J541" s="302">
        <f t="shared" si="137"/>
        <v>1</v>
      </c>
      <c r="K541" s="304">
        <f t="shared" si="138"/>
        <v>62.795424836601313</v>
      </c>
      <c r="L541" s="305">
        <f>IF(H541=0,0,IF(OR(E541=$AT$5,E541=$AT$6),AA541,IF(F541="MXN",1/HLOOKUP(YEAR(G541)+(MONTH(G541)/100),TC!$5:$37,DAY(G541)+2,FALSE),VLOOKUP(F541,Equivalencia!$5:$23,((MAX(Equivalencia!$3:$3)-YEAR(G541))*14)+MONTH(G541)+2,FALSE))))</f>
        <v>1</v>
      </c>
      <c r="M541" s="306">
        <f t="shared" si="139"/>
        <v>62.795424836601313</v>
      </c>
      <c r="N541" s="305">
        <f>IF(G541=0,0,(IF(OR(E541=$AT$5,E541=$AT$6),AC541,HLOOKUP(YEAR(G541)+(MONTH(G541)/100),TC!$5:$37,DAY(G541)+2,FALSE))))</f>
        <v>20.571200000000001</v>
      </c>
      <c r="O541" s="307">
        <f t="shared" si="140"/>
        <v>1291.7772433986929</v>
      </c>
      <c r="P541" s="560">
        <f>IF(G541=0,0,VLOOKUP(YEAR(G541),INPC!$B$4:$P$30,MONTH(G541)+2))</f>
        <v>113.018</v>
      </c>
      <c r="Q541" s="560">
        <f>IF(X541=0,0,IF(OR(E541=$AT$10,E541=$AT$9),VLOOKUP(YEAR(X541),INPC!$B$4:$P$30,MONTH(X541)+1),VLOOKUP(YEAR(X541),INPC!$B$4:$P$30,MONTH(X541)+2,0)))</f>
        <v>118.98099999999999</v>
      </c>
      <c r="R541" s="309">
        <f t="shared" si="141"/>
        <v>1.0527</v>
      </c>
      <c r="S541" s="310">
        <f t="shared" si="142"/>
        <v>1359.8539041258041</v>
      </c>
      <c r="T541" s="555">
        <f t="shared" si="143"/>
        <v>1359.8539041258041</v>
      </c>
      <c r="U541" s="311"/>
      <c r="V541" s="312">
        <v>1</v>
      </c>
      <c r="W541" s="299" t="s">
        <v>194</v>
      </c>
      <c r="X541" s="300">
        <v>44628</v>
      </c>
      <c r="Y541" s="299" t="s">
        <v>59</v>
      </c>
      <c r="Z541" s="303">
        <v>47.12</v>
      </c>
      <c r="AA541" s="305">
        <f>IF(Z541=0,0,IF(Y541="MXN",1/HLOOKUP(YEAR(X541)+(MONTH(X541)/100),TC!$5:$37,DAY(X541)+2,FALSE),VLOOKUP(Y541,Equivalencia!$1:$23,((MAX(Equivalencia!$3:$3)-YEAR(X541))*14)+MONTH(X541)+2,FALSE)))</f>
        <v>1</v>
      </c>
      <c r="AB541" s="306">
        <f t="shared" si="144"/>
        <v>47.12</v>
      </c>
      <c r="AC541" s="305">
        <f>+IF(X541=0,0,HLOOKUP(YEAR(X541)+(MONTH(X541)/100),TC!$5:$37,DAY(X541)+2,FALSE))</f>
        <v>20.926200000000001</v>
      </c>
      <c r="AD541" s="307">
        <f t="shared" si="145"/>
        <v>986.04254400000002</v>
      </c>
      <c r="AE541" s="314">
        <f t="shared" si="146"/>
        <v>1359.8539041258041</v>
      </c>
      <c r="AF541" s="315">
        <f t="shared" si="147"/>
        <v>-373.81136012580407</v>
      </c>
      <c r="AG541" s="316">
        <f t="shared" si="148"/>
        <v>0.70410958904109588</v>
      </c>
      <c r="AH541" s="314">
        <v>1</v>
      </c>
      <c r="AI541" s="314">
        <f t="shared" si="149"/>
        <v>-373.81136012580407</v>
      </c>
      <c r="AJ541" s="314">
        <f t="shared" si="150"/>
        <v>0</v>
      </c>
      <c r="AK541" s="317"/>
      <c r="AL541" s="315">
        <f t="shared" si="151"/>
        <v>-15.675424836601316</v>
      </c>
      <c r="AN541" s="554">
        <f t="shared" si="152"/>
        <v>-0.24962686178794102</v>
      </c>
      <c r="AO541" s="314"/>
      <c r="AP541" s="318"/>
    </row>
    <row r="542" spans="2:42">
      <c r="B542" s="296" t="s">
        <v>1254</v>
      </c>
      <c r="C542" s="299" t="s">
        <v>277</v>
      </c>
      <c r="D542" s="298" t="s">
        <v>885</v>
      </c>
      <c r="E542" s="299" t="s">
        <v>113</v>
      </c>
      <c r="F542" s="299" t="s">
        <v>59</v>
      </c>
      <c r="G542" s="300">
        <v>44435</v>
      </c>
      <c r="H542" s="303">
        <v>690.74967320261442</v>
      </c>
      <c r="I542" s="301" t="str">
        <f t="shared" si="136"/>
        <v>Ingresos Sección II LISR (SIC &amp; BMV)</v>
      </c>
      <c r="J542" s="302">
        <f t="shared" si="137"/>
        <v>11</v>
      </c>
      <c r="K542" s="304">
        <f t="shared" si="138"/>
        <v>62.795424836601313</v>
      </c>
      <c r="L542" s="305">
        <f>IF(H542=0,0,IF(OR(E542=$AT$5,E542=$AT$6),AA542,IF(F542="MXN",1/HLOOKUP(YEAR(G542)+(MONTH(G542)/100),TC!$5:$37,DAY(G542)+2,FALSE),VLOOKUP(F542,Equivalencia!$5:$23,((MAX(Equivalencia!$3:$3)-YEAR(G542))*14)+MONTH(G542)+2,FALSE))))</f>
        <v>1</v>
      </c>
      <c r="M542" s="306">
        <f t="shared" si="139"/>
        <v>690.74967320261442</v>
      </c>
      <c r="N542" s="305">
        <f>IF(G542=0,0,(IF(OR(E542=$AT$5,E542=$AT$6),AC542,HLOOKUP(YEAR(G542)+(MONTH(G542)/100),TC!$5:$37,DAY(G542)+2,FALSE))))</f>
        <v>20.293299999999999</v>
      </c>
      <c r="O542" s="307">
        <f t="shared" si="140"/>
        <v>14017.590343202613</v>
      </c>
      <c r="P542" s="560">
        <f>IF(G542=0,0,VLOOKUP(YEAR(G542),INPC!$B$4:$P$30,MONTH(G542)+2))</f>
        <v>113.899</v>
      </c>
      <c r="Q542" s="560">
        <f>IF(X542=0,0,IF(OR(E542=$AT$10,E542=$AT$9),VLOOKUP(YEAR(X542),INPC!$B$4:$P$30,MONTH(X542)+1),VLOOKUP(YEAR(X542),INPC!$B$4:$P$30,MONTH(X542)+2,0)))</f>
        <v>118.98099999999999</v>
      </c>
      <c r="R542" s="309">
        <f t="shared" si="141"/>
        <v>1.0446</v>
      </c>
      <c r="S542" s="310">
        <f t="shared" si="142"/>
        <v>14642.77487250945</v>
      </c>
      <c r="T542" s="555">
        <f t="shared" si="143"/>
        <v>1331.1613520463136</v>
      </c>
      <c r="U542" s="311"/>
      <c r="V542" s="312">
        <v>11</v>
      </c>
      <c r="W542" s="299" t="s">
        <v>194</v>
      </c>
      <c r="X542" s="300">
        <v>44628</v>
      </c>
      <c r="Y542" s="299" t="s">
        <v>59</v>
      </c>
      <c r="Z542" s="303">
        <v>518.69000000000005</v>
      </c>
      <c r="AA542" s="305">
        <f>IF(Z542=0,0,IF(Y542="MXN",1/HLOOKUP(YEAR(X542)+(MONTH(X542)/100),TC!$5:$37,DAY(X542)+2,FALSE),VLOOKUP(Y542,Equivalencia!$1:$23,((MAX(Equivalencia!$3:$3)-YEAR(X542))*14)+MONTH(X542)+2,FALSE)))</f>
        <v>1</v>
      </c>
      <c r="AB542" s="306">
        <f t="shared" si="144"/>
        <v>518.69000000000005</v>
      </c>
      <c r="AC542" s="305">
        <f>+IF(X542=0,0,HLOOKUP(YEAR(X542)+(MONTH(X542)/100),TC!$5:$37,DAY(X542)+2,FALSE))</f>
        <v>20.926200000000001</v>
      </c>
      <c r="AD542" s="307">
        <f t="shared" si="145"/>
        <v>10854.210678000001</v>
      </c>
      <c r="AE542" s="314">
        <f t="shared" si="146"/>
        <v>14642.77487250945</v>
      </c>
      <c r="AF542" s="315">
        <f t="shared" si="147"/>
        <v>-3788.5641945094485</v>
      </c>
      <c r="AG542" s="316">
        <f t="shared" si="148"/>
        <v>0.52876712328767128</v>
      </c>
      <c r="AH542" s="314">
        <v>1</v>
      </c>
      <c r="AI542" s="314">
        <f t="shared" si="149"/>
        <v>-3788.5641945094485</v>
      </c>
      <c r="AJ542" s="314">
        <f t="shared" si="150"/>
        <v>0</v>
      </c>
      <c r="AK542" s="317"/>
      <c r="AL542" s="315">
        <f t="shared" si="151"/>
        <v>-172.05967320261436</v>
      </c>
      <c r="AN542" s="554">
        <f t="shared" si="152"/>
        <v>-0.24909121187835132</v>
      </c>
      <c r="AO542" s="314"/>
      <c r="AP542" s="318"/>
    </row>
    <row r="543" spans="2:42">
      <c r="B543" s="296" t="s">
        <v>1254</v>
      </c>
      <c r="C543" s="299" t="s">
        <v>277</v>
      </c>
      <c r="D543" s="298" t="s">
        <v>885</v>
      </c>
      <c r="E543" s="299" t="s">
        <v>113</v>
      </c>
      <c r="F543" s="299" t="s">
        <v>59</v>
      </c>
      <c r="G543" s="300">
        <v>44435</v>
      </c>
      <c r="H543" s="303">
        <v>816.3405228758171</v>
      </c>
      <c r="I543" s="301" t="str">
        <f t="shared" si="136"/>
        <v>Ingresos Sección II LISR (SIC &amp; BMV)</v>
      </c>
      <c r="J543" s="302">
        <f t="shared" si="137"/>
        <v>13</v>
      </c>
      <c r="K543" s="304">
        <f t="shared" si="138"/>
        <v>62.795424836601313</v>
      </c>
      <c r="L543" s="305">
        <f>IF(H543=0,0,IF(OR(E543=$AT$5,E543=$AT$6),AA543,IF(F543="MXN",1/HLOOKUP(YEAR(G543)+(MONTH(G543)/100),TC!$5:$37,DAY(G543)+2,FALSE),VLOOKUP(F543,Equivalencia!$5:$23,((MAX(Equivalencia!$3:$3)-YEAR(G543))*14)+MONTH(G543)+2,FALSE))))</f>
        <v>1</v>
      </c>
      <c r="M543" s="306">
        <f t="shared" si="139"/>
        <v>816.3405228758171</v>
      </c>
      <c r="N543" s="305">
        <f>IF(G543=0,0,(IF(OR(E543=$AT$5,E543=$AT$6),AC543,HLOOKUP(YEAR(G543)+(MONTH(G543)/100),TC!$5:$37,DAY(G543)+2,FALSE))))</f>
        <v>20.293299999999999</v>
      </c>
      <c r="O543" s="307">
        <f t="shared" si="140"/>
        <v>16566.243132875818</v>
      </c>
      <c r="P543" s="560">
        <f>IF(G543=0,0,VLOOKUP(YEAR(G543),INPC!$B$4:$P$30,MONTH(G543)+2))</f>
        <v>113.899</v>
      </c>
      <c r="Q543" s="560">
        <f>IF(X543=0,0,IF(OR(E543=$AT$10,E543=$AT$9),VLOOKUP(YEAR(X543),INPC!$B$4:$P$30,MONTH(X543)+1),VLOOKUP(YEAR(X543),INPC!$B$4:$P$30,MONTH(X543)+2,0)))</f>
        <v>118.98099999999999</v>
      </c>
      <c r="R543" s="309">
        <f t="shared" si="141"/>
        <v>1.0446</v>
      </c>
      <c r="S543" s="310">
        <f t="shared" si="142"/>
        <v>17305.097576602078</v>
      </c>
      <c r="T543" s="555">
        <f t="shared" si="143"/>
        <v>1331.1613520463138</v>
      </c>
      <c r="U543" s="311"/>
      <c r="V543" s="312">
        <v>13</v>
      </c>
      <c r="W543" s="299" t="s">
        <v>194</v>
      </c>
      <c r="X543" s="300">
        <v>44628</v>
      </c>
      <c r="Y543" s="299" t="s">
        <v>59</v>
      </c>
      <c r="Z543" s="303">
        <v>612.99</v>
      </c>
      <c r="AA543" s="305">
        <f>IF(Z543=0,0,IF(Y543="MXN",1/HLOOKUP(YEAR(X543)+(MONTH(X543)/100),TC!$5:$37,DAY(X543)+2,FALSE),VLOOKUP(Y543,Equivalencia!$1:$23,((MAX(Equivalencia!$3:$3)-YEAR(X543))*14)+MONTH(X543)+2,FALSE)))</f>
        <v>1</v>
      </c>
      <c r="AB543" s="306">
        <f t="shared" si="144"/>
        <v>612.99</v>
      </c>
      <c r="AC543" s="305">
        <f>+IF(X543=0,0,HLOOKUP(YEAR(X543)+(MONTH(X543)/100),TC!$5:$37,DAY(X543)+2,FALSE))</f>
        <v>20.926200000000001</v>
      </c>
      <c r="AD543" s="307">
        <f t="shared" si="145"/>
        <v>12827.551338000001</v>
      </c>
      <c r="AE543" s="314">
        <f t="shared" si="146"/>
        <v>17305.097576602078</v>
      </c>
      <c r="AF543" s="315">
        <f t="shared" si="147"/>
        <v>-4477.5462386020772</v>
      </c>
      <c r="AG543" s="316">
        <f t="shared" si="148"/>
        <v>0.52876712328767128</v>
      </c>
      <c r="AH543" s="314">
        <v>1</v>
      </c>
      <c r="AI543" s="314">
        <f t="shared" si="149"/>
        <v>-4477.5462386020772</v>
      </c>
      <c r="AJ543" s="314">
        <f t="shared" si="150"/>
        <v>0</v>
      </c>
      <c r="AK543" s="317"/>
      <c r="AL543" s="315">
        <f t="shared" si="151"/>
        <v>-203.35052287581709</v>
      </c>
      <c r="AN543" s="554">
        <f t="shared" si="152"/>
        <v>-0.24910012081655669</v>
      </c>
      <c r="AO543" s="314"/>
      <c r="AP543" s="318"/>
    </row>
    <row r="544" spans="2:42">
      <c r="B544" s="296" t="s">
        <v>1254</v>
      </c>
      <c r="C544" s="299" t="s">
        <v>277</v>
      </c>
      <c r="D544" s="298" t="s">
        <v>885</v>
      </c>
      <c r="E544" s="299" t="s">
        <v>113</v>
      </c>
      <c r="F544" s="299" t="s">
        <v>59</v>
      </c>
      <c r="G544" s="300">
        <v>44435</v>
      </c>
      <c r="H544" s="303">
        <v>3390.9529411764711</v>
      </c>
      <c r="I544" s="301" t="str">
        <f t="shared" si="136"/>
        <v>Ingresos Sección II LISR (SIC &amp; BMV)</v>
      </c>
      <c r="J544" s="302">
        <f t="shared" si="137"/>
        <v>54</v>
      </c>
      <c r="K544" s="304">
        <f t="shared" si="138"/>
        <v>62.795424836601313</v>
      </c>
      <c r="L544" s="305">
        <f>IF(H544=0,0,IF(OR(E544=$AT$5,E544=$AT$6),AA544,IF(F544="MXN",1/HLOOKUP(YEAR(G544)+(MONTH(G544)/100),TC!$5:$37,DAY(G544)+2,FALSE),VLOOKUP(F544,Equivalencia!$5:$23,((MAX(Equivalencia!$3:$3)-YEAR(G544))*14)+MONTH(G544)+2,FALSE))))</f>
        <v>1</v>
      </c>
      <c r="M544" s="306">
        <f t="shared" si="139"/>
        <v>3390.9529411764711</v>
      </c>
      <c r="N544" s="305">
        <f>IF(G544=0,0,(IF(OR(E544=$AT$5,E544=$AT$6),AC544,HLOOKUP(YEAR(G544)+(MONTH(G544)/100),TC!$5:$37,DAY(G544)+2,FALSE))))</f>
        <v>20.293299999999999</v>
      </c>
      <c r="O544" s="307">
        <f t="shared" si="140"/>
        <v>68813.625321176471</v>
      </c>
      <c r="P544" s="560">
        <f>IF(G544=0,0,VLOOKUP(YEAR(G544),INPC!$B$4:$P$30,MONTH(G544)+2))</f>
        <v>113.899</v>
      </c>
      <c r="Q544" s="560">
        <f>IF(X544=0,0,IF(OR(E544=$AT$10,E544=$AT$9),VLOOKUP(YEAR(X544),INPC!$B$4:$P$30,MONTH(X544)+1),VLOOKUP(YEAR(X544),INPC!$B$4:$P$30,MONTH(X544)+2,0)))</f>
        <v>118.98099999999999</v>
      </c>
      <c r="R544" s="309">
        <f t="shared" si="141"/>
        <v>1.0446</v>
      </c>
      <c r="S544" s="310">
        <f t="shared" si="142"/>
        <v>71882.713010500942</v>
      </c>
      <c r="T544" s="555">
        <f t="shared" si="143"/>
        <v>1331.1613520463138</v>
      </c>
      <c r="U544" s="311"/>
      <c r="V544" s="312">
        <v>54</v>
      </c>
      <c r="W544" s="299" t="s">
        <v>194</v>
      </c>
      <c r="X544" s="300">
        <v>44628</v>
      </c>
      <c r="Y544" s="299" t="s">
        <v>59</v>
      </c>
      <c r="Z544" s="303">
        <v>2564.6799999999998</v>
      </c>
      <c r="AA544" s="305">
        <f>IF(Z544=0,0,IF(Y544="MXN",1/HLOOKUP(YEAR(X544)+(MONTH(X544)/100),TC!$5:$37,DAY(X544)+2,FALSE),VLOOKUP(Y544,Equivalencia!$1:$23,((MAX(Equivalencia!$3:$3)-YEAR(X544))*14)+MONTH(X544)+2,FALSE)))</f>
        <v>1</v>
      </c>
      <c r="AB544" s="306">
        <f t="shared" si="144"/>
        <v>2564.6799999999998</v>
      </c>
      <c r="AC544" s="305">
        <f>+IF(X544=0,0,HLOOKUP(YEAR(X544)+(MONTH(X544)/100),TC!$5:$37,DAY(X544)+2,FALSE))</f>
        <v>20.926200000000001</v>
      </c>
      <c r="AD544" s="307">
        <f t="shared" si="145"/>
        <v>53669.006615999999</v>
      </c>
      <c r="AE544" s="314">
        <f t="shared" si="146"/>
        <v>71882.713010500942</v>
      </c>
      <c r="AF544" s="315">
        <f t="shared" si="147"/>
        <v>-18213.706394500943</v>
      </c>
      <c r="AG544" s="316">
        <f t="shared" si="148"/>
        <v>0.52876712328767128</v>
      </c>
      <c r="AH544" s="314">
        <v>1</v>
      </c>
      <c r="AI544" s="314">
        <f t="shared" si="149"/>
        <v>-18213.706394500943</v>
      </c>
      <c r="AJ544" s="314">
        <f t="shared" si="150"/>
        <v>0</v>
      </c>
      <c r="AK544" s="317"/>
      <c r="AL544" s="315">
        <f t="shared" si="151"/>
        <v>-826.27294117647125</v>
      </c>
      <c r="AN544" s="554">
        <f t="shared" si="152"/>
        <v>-0.24366983426487798</v>
      </c>
      <c r="AO544" s="314"/>
      <c r="AP544" s="318"/>
    </row>
    <row r="545" spans="2:42">
      <c r="B545" s="296" t="s">
        <v>1254</v>
      </c>
      <c r="C545" s="299" t="s">
        <v>277</v>
      </c>
      <c r="D545" s="298" t="s">
        <v>885</v>
      </c>
      <c r="E545" s="299" t="s">
        <v>113</v>
      </c>
      <c r="F545" s="299" t="s">
        <v>59</v>
      </c>
      <c r="G545" s="300">
        <v>44435</v>
      </c>
      <c r="H545" s="303">
        <v>376.77254901960788</v>
      </c>
      <c r="I545" s="301" t="str">
        <f t="shared" si="136"/>
        <v>Ingresos Sección II LISR (SIC &amp; BMV)</v>
      </c>
      <c r="J545" s="302">
        <f t="shared" si="137"/>
        <v>6</v>
      </c>
      <c r="K545" s="304">
        <f t="shared" si="138"/>
        <v>62.795424836601313</v>
      </c>
      <c r="L545" s="305">
        <f>IF(H545=0,0,IF(OR(E545=$AT$5,E545=$AT$6),AA545,IF(F545="MXN",1/HLOOKUP(YEAR(G545)+(MONTH(G545)/100),TC!$5:$37,DAY(G545)+2,FALSE),VLOOKUP(F545,Equivalencia!$5:$23,((MAX(Equivalencia!$3:$3)-YEAR(G545))*14)+MONTH(G545)+2,FALSE))))</f>
        <v>1</v>
      </c>
      <c r="M545" s="306">
        <f t="shared" si="139"/>
        <v>376.77254901960788</v>
      </c>
      <c r="N545" s="305">
        <f>IF(G545=0,0,(IF(OR(E545=$AT$5,E545=$AT$6),AC545,HLOOKUP(YEAR(G545)+(MONTH(G545)/100),TC!$5:$37,DAY(G545)+2,FALSE))))</f>
        <v>20.293299999999999</v>
      </c>
      <c r="O545" s="307">
        <f t="shared" si="140"/>
        <v>7645.9583690196077</v>
      </c>
      <c r="P545" s="560">
        <f>IF(G545=0,0,VLOOKUP(YEAR(G545),INPC!$B$4:$P$30,MONTH(G545)+2))</f>
        <v>113.899</v>
      </c>
      <c r="Q545" s="560">
        <f>IF(X545=0,0,IF(OR(E545=$AT$10,E545=$AT$9),VLOOKUP(YEAR(X545),INPC!$B$4:$P$30,MONTH(X545)+1),VLOOKUP(YEAR(X545),INPC!$B$4:$P$30,MONTH(X545)+2,0)))</f>
        <v>118.98099999999999</v>
      </c>
      <c r="R545" s="309">
        <f t="shared" si="141"/>
        <v>1.0446</v>
      </c>
      <c r="S545" s="310">
        <f t="shared" si="142"/>
        <v>7986.968112277882</v>
      </c>
      <c r="T545" s="555">
        <f t="shared" si="143"/>
        <v>1331.1613520463136</v>
      </c>
      <c r="U545" s="311"/>
      <c r="V545" s="312">
        <v>6</v>
      </c>
      <c r="W545" s="299" t="s">
        <v>194</v>
      </c>
      <c r="X545" s="300">
        <v>44628</v>
      </c>
      <c r="Y545" s="299" t="s">
        <v>59</v>
      </c>
      <c r="Z545" s="303">
        <v>287.52999999999997</v>
      </c>
      <c r="AA545" s="305">
        <f>IF(Z545=0,0,IF(Y545="MXN",1/HLOOKUP(YEAR(X545)+(MONTH(X545)/100),TC!$5:$37,DAY(X545)+2,FALSE),VLOOKUP(Y545,Equivalencia!$1:$23,((MAX(Equivalencia!$3:$3)-YEAR(X545))*14)+MONTH(X545)+2,FALSE)))</f>
        <v>1</v>
      </c>
      <c r="AB545" s="306">
        <f t="shared" si="144"/>
        <v>287.52999999999997</v>
      </c>
      <c r="AC545" s="305">
        <f>+IF(X545=0,0,HLOOKUP(YEAR(X545)+(MONTH(X545)/100),TC!$5:$37,DAY(X545)+2,FALSE))</f>
        <v>20.926200000000001</v>
      </c>
      <c r="AD545" s="307">
        <f t="shared" si="145"/>
        <v>6016.9102860000003</v>
      </c>
      <c r="AE545" s="314">
        <f t="shared" si="146"/>
        <v>7986.968112277882</v>
      </c>
      <c r="AF545" s="315">
        <f t="shared" si="147"/>
        <v>-1970.0578262778818</v>
      </c>
      <c r="AG545" s="316">
        <f t="shared" si="148"/>
        <v>0.52876712328767128</v>
      </c>
      <c r="AH545" s="314">
        <v>1</v>
      </c>
      <c r="AI545" s="314">
        <f t="shared" si="149"/>
        <v>-1970.0578262778818</v>
      </c>
      <c r="AJ545" s="314">
        <f t="shared" si="150"/>
        <v>0</v>
      </c>
      <c r="AK545" s="317"/>
      <c r="AL545" s="315">
        <f t="shared" si="151"/>
        <v>-89.242549019607907</v>
      </c>
      <c r="AN545" s="554">
        <f t="shared" si="152"/>
        <v>-0.23686053894272316</v>
      </c>
      <c r="AO545" s="314"/>
      <c r="AP545" s="318"/>
    </row>
    <row r="546" spans="2:42">
      <c r="B546" s="296" t="s">
        <v>1254</v>
      </c>
      <c r="C546" s="299" t="s">
        <v>277</v>
      </c>
      <c r="D546" s="298" t="s">
        <v>885</v>
      </c>
      <c r="E546" s="299" t="s">
        <v>113</v>
      </c>
      <c r="F546" s="299" t="s">
        <v>59</v>
      </c>
      <c r="G546" s="300">
        <v>44355</v>
      </c>
      <c r="H546" s="303">
        <v>1130.3176470588237</v>
      </c>
      <c r="I546" s="301" t="str">
        <f t="shared" si="136"/>
        <v>Ingresos Sección II LISR (SIC &amp; BMV)</v>
      </c>
      <c r="J546" s="302">
        <f t="shared" si="137"/>
        <v>18</v>
      </c>
      <c r="K546" s="304">
        <f t="shared" si="138"/>
        <v>62.795424836601313</v>
      </c>
      <c r="L546" s="305">
        <f>IF(H546=0,0,IF(OR(E546=$AT$5,E546=$AT$6),AA546,IF(F546="MXN",1/HLOOKUP(YEAR(G546)+(MONTH(G546)/100),TC!$5:$37,DAY(G546)+2,FALSE),VLOOKUP(F546,Equivalencia!$5:$23,((MAX(Equivalencia!$3:$3)-YEAR(G546))*14)+MONTH(G546)+2,FALSE))))</f>
        <v>1</v>
      </c>
      <c r="M546" s="306">
        <f t="shared" si="139"/>
        <v>1130.3176470588237</v>
      </c>
      <c r="N546" s="305">
        <f>IF(G546=0,0,(IF(OR(E546=$AT$5,E546=$AT$6),AC546,HLOOKUP(YEAR(G546)+(MONTH(G546)/100),TC!$5:$37,DAY(G546)+2,FALSE))))</f>
        <v>19.9328</v>
      </c>
      <c r="O546" s="307">
        <f t="shared" si="140"/>
        <v>22530.395595294121</v>
      </c>
      <c r="P546" s="560">
        <f>IF(G546=0,0,VLOOKUP(YEAR(G546),INPC!$B$4:$P$30,MONTH(G546)+2))</f>
        <v>113.018</v>
      </c>
      <c r="Q546" s="560">
        <f>IF(X546=0,0,IF(OR(E546=$AT$10,E546=$AT$9),VLOOKUP(YEAR(X546),INPC!$B$4:$P$30,MONTH(X546)+1),VLOOKUP(YEAR(X546),INPC!$B$4:$P$30,MONTH(X546)+2,0)))</f>
        <v>118.98099999999999</v>
      </c>
      <c r="R546" s="309">
        <f t="shared" si="141"/>
        <v>1.0527</v>
      </c>
      <c r="S546" s="310">
        <f t="shared" si="142"/>
        <v>23717.747443166121</v>
      </c>
      <c r="T546" s="555">
        <f t="shared" si="143"/>
        <v>1317.6526357314513</v>
      </c>
      <c r="U546" s="311"/>
      <c r="V546" s="312">
        <v>18</v>
      </c>
      <c r="W546" s="299" t="s">
        <v>194</v>
      </c>
      <c r="X546" s="300">
        <v>44628</v>
      </c>
      <c r="Y546" s="299" t="s">
        <v>59</v>
      </c>
      <c r="Z546" s="303">
        <v>854.89090909090908</v>
      </c>
      <c r="AA546" s="305">
        <f>IF(Z546=0,0,IF(Y546="MXN",1/HLOOKUP(YEAR(X546)+(MONTH(X546)/100),TC!$5:$37,DAY(X546)+2,FALSE),VLOOKUP(Y546,Equivalencia!$1:$23,((MAX(Equivalencia!$3:$3)-YEAR(X546))*14)+MONTH(X546)+2,FALSE)))</f>
        <v>1</v>
      </c>
      <c r="AB546" s="306">
        <f t="shared" si="144"/>
        <v>854.89090909090908</v>
      </c>
      <c r="AC546" s="305">
        <f>+IF(X546=0,0,HLOOKUP(YEAR(X546)+(MONTH(X546)/100),TC!$5:$37,DAY(X546)+2,FALSE))</f>
        <v>20.926200000000001</v>
      </c>
      <c r="AD546" s="307">
        <f t="shared" si="145"/>
        <v>17889.618141818184</v>
      </c>
      <c r="AE546" s="314">
        <f t="shared" si="146"/>
        <v>23717.747443166121</v>
      </c>
      <c r="AF546" s="315">
        <f t="shared" si="147"/>
        <v>-5828.1293013479371</v>
      </c>
      <c r="AG546" s="316">
        <f t="shared" si="148"/>
        <v>0.74794520547945209</v>
      </c>
      <c r="AH546" s="314">
        <v>1</v>
      </c>
      <c r="AI546" s="314">
        <f t="shared" si="149"/>
        <v>-5828.1293013479371</v>
      </c>
      <c r="AJ546" s="314">
        <f t="shared" si="150"/>
        <v>0</v>
      </c>
      <c r="AK546" s="317"/>
      <c r="AL546" s="315">
        <f t="shared" si="151"/>
        <v>-275.42673796791462</v>
      </c>
      <c r="AN546" s="554">
        <f t="shared" si="152"/>
        <v>-0.24367197900926069</v>
      </c>
      <c r="AO546" s="314"/>
      <c r="AP546" s="318"/>
    </row>
    <row r="547" spans="2:42">
      <c r="B547" s="296" t="s">
        <v>1254</v>
      </c>
      <c r="C547" s="299" t="s">
        <v>277</v>
      </c>
      <c r="D547" s="298" t="s">
        <v>885</v>
      </c>
      <c r="E547" s="299" t="s">
        <v>113</v>
      </c>
      <c r="F547" s="299" t="s">
        <v>59</v>
      </c>
      <c r="G547" s="300">
        <v>44371</v>
      </c>
      <c r="H547" s="303">
        <v>3078.0613953488369</v>
      </c>
      <c r="I547" s="301" t="str">
        <f t="shared" si="136"/>
        <v>Ingresos Sección II LISR (SIC &amp; BMV)</v>
      </c>
      <c r="J547" s="302">
        <f t="shared" si="137"/>
        <v>48</v>
      </c>
      <c r="K547" s="304">
        <f t="shared" si="138"/>
        <v>64.126279069767435</v>
      </c>
      <c r="L547" s="305">
        <f>IF(H547=0,0,IF(OR(E547=$AT$5,E547=$AT$6),AA547,IF(F547="MXN",1/HLOOKUP(YEAR(G547)+(MONTH(G547)/100),TC!$5:$37,DAY(G547)+2,FALSE),VLOOKUP(F547,Equivalencia!$5:$23,((MAX(Equivalencia!$3:$3)-YEAR(G547))*14)+MONTH(G547)+2,FALSE))))</f>
        <v>1</v>
      </c>
      <c r="M547" s="306">
        <f t="shared" si="139"/>
        <v>3078.0613953488369</v>
      </c>
      <c r="N547" s="305">
        <f>IF(G547=0,0,(IF(OR(E547=$AT$5,E547=$AT$6),AC547,HLOOKUP(YEAR(G547)+(MONTH(G547)/100),TC!$5:$37,DAY(G547)+2,FALSE))))</f>
        <v>20.571200000000001</v>
      </c>
      <c r="O547" s="307">
        <f t="shared" si="140"/>
        <v>63319.416575999996</v>
      </c>
      <c r="P547" s="560">
        <f>IF(G547=0,0,VLOOKUP(YEAR(G547),INPC!$B$4:$P$30,MONTH(G547)+2))</f>
        <v>113.018</v>
      </c>
      <c r="Q547" s="560">
        <f>IF(X547=0,0,IF(OR(E547=$AT$10,E547=$AT$9),VLOOKUP(YEAR(X547),INPC!$B$4:$P$30,MONTH(X547)+1),VLOOKUP(YEAR(X547),INPC!$B$4:$P$30,MONTH(X547)+2,0)))</f>
        <v>118.98099999999999</v>
      </c>
      <c r="R547" s="309">
        <f t="shared" si="141"/>
        <v>1.0527</v>
      </c>
      <c r="S547" s="310">
        <f t="shared" si="142"/>
        <v>66656.349829555198</v>
      </c>
      <c r="T547" s="555">
        <f t="shared" si="143"/>
        <v>1388.6739547824</v>
      </c>
      <c r="U547" s="311"/>
      <c r="V547" s="312">
        <v>48</v>
      </c>
      <c r="W547" s="299" t="s">
        <v>194</v>
      </c>
      <c r="X547" s="300">
        <v>44628</v>
      </c>
      <c r="Y547" s="299" t="s">
        <v>59</v>
      </c>
      <c r="Z547" s="303">
        <v>2279.7090909090907</v>
      </c>
      <c r="AA547" s="305">
        <f>IF(Z547=0,0,IF(Y547="MXN",1/HLOOKUP(YEAR(X547)+(MONTH(X547)/100),TC!$5:$37,DAY(X547)+2,FALSE),VLOOKUP(Y547,Equivalencia!$1:$23,((MAX(Equivalencia!$3:$3)-YEAR(X547))*14)+MONTH(X547)+2,FALSE)))</f>
        <v>1</v>
      </c>
      <c r="AB547" s="306">
        <f t="shared" si="144"/>
        <v>2279.7090909090907</v>
      </c>
      <c r="AC547" s="305">
        <f>+IF(X547=0,0,HLOOKUP(YEAR(X547)+(MONTH(X547)/100),TC!$5:$37,DAY(X547)+2,FALSE))</f>
        <v>20.926200000000001</v>
      </c>
      <c r="AD547" s="307">
        <f t="shared" si="145"/>
        <v>47705.648378181817</v>
      </c>
      <c r="AE547" s="314">
        <f t="shared" si="146"/>
        <v>66656.349829555198</v>
      </c>
      <c r="AF547" s="315">
        <f t="shared" si="147"/>
        <v>-18950.701451373381</v>
      </c>
      <c r="AG547" s="316">
        <f t="shared" si="148"/>
        <v>0.70410958904109588</v>
      </c>
      <c r="AH547" s="314">
        <v>1</v>
      </c>
      <c r="AI547" s="314">
        <f t="shared" si="149"/>
        <v>-18950.701451373381</v>
      </c>
      <c r="AJ547" s="314">
        <f t="shared" si="150"/>
        <v>0</v>
      </c>
      <c r="AK547" s="317"/>
      <c r="AL547" s="315">
        <f t="shared" si="151"/>
        <v>-798.35230443974615</v>
      </c>
      <c r="AN547" s="554">
        <f t="shared" si="152"/>
        <v>-0.2593685446450521</v>
      </c>
      <c r="AO547" s="314"/>
      <c r="AP547" s="318"/>
    </row>
    <row r="548" spans="2:42">
      <c r="B548" s="296" t="s">
        <v>1254</v>
      </c>
      <c r="C548" s="299" t="s">
        <v>277</v>
      </c>
      <c r="D548" s="298" t="s">
        <v>885</v>
      </c>
      <c r="E548" s="299" t="s">
        <v>113</v>
      </c>
      <c r="F548" s="299" t="s">
        <v>59</v>
      </c>
      <c r="G548" s="300">
        <v>44371</v>
      </c>
      <c r="H548" s="303">
        <v>448.88395348837207</v>
      </c>
      <c r="I548" s="301" t="str">
        <f t="shared" si="136"/>
        <v>Ingresos Sección II LISR (SIC &amp; BMV)</v>
      </c>
      <c r="J548" s="302">
        <f t="shared" si="137"/>
        <v>7</v>
      </c>
      <c r="K548" s="304">
        <f t="shared" si="138"/>
        <v>64.126279069767435</v>
      </c>
      <c r="L548" s="305">
        <f>IF(H548=0,0,IF(OR(E548=$AT$5,E548=$AT$6),AA548,IF(F548="MXN",1/HLOOKUP(YEAR(G548)+(MONTH(G548)/100),TC!$5:$37,DAY(G548)+2,FALSE),VLOOKUP(F548,Equivalencia!$5:$23,((MAX(Equivalencia!$3:$3)-YEAR(G548))*14)+MONTH(G548)+2,FALSE))))</f>
        <v>1</v>
      </c>
      <c r="M548" s="306">
        <f t="shared" si="139"/>
        <v>448.88395348837207</v>
      </c>
      <c r="N548" s="305">
        <f>IF(G548=0,0,(IF(OR(E548=$AT$5,E548=$AT$6),AC548,HLOOKUP(YEAR(G548)+(MONTH(G548)/100),TC!$5:$37,DAY(G548)+2,FALSE))))</f>
        <v>20.571200000000001</v>
      </c>
      <c r="O548" s="307">
        <f t="shared" si="140"/>
        <v>9234.0815839999996</v>
      </c>
      <c r="P548" s="560">
        <f>IF(G548=0,0,VLOOKUP(YEAR(G548),INPC!$B$4:$P$30,MONTH(G548)+2))</f>
        <v>113.018</v>
      </c>
      <c r="Q548" s="560">
        <f>IF(X548=0,0,IF(OR(E548=$AT$10,E548=$AT$9),VLOOKUP(YEAR(X548),INPC!$B$4:$P$30,MONTH(X548)+1),VLOOKUP(YEAR(X548),INPC!$B$4:$P$30,MONTH(X548)+2,0)))</f>
        <v>118.98099999999999</v>
      </c>
      <c r="R548" s="309">
        <f t="shared" si="141"/>
        <v>1.0527</v>
      </c>
      <c r="S548" s="310">
        <f t="shared" si="142"/>
        <v>9720.7176834767997</v>
      </c>
      <c r="T548" s="555">
        <f t="shared" si="143"/>
        <v>1388.6739547824</v>
      </c>
      <c r="U548" s="311"/>
      <c r="V548" s="312">
        <v>7</v>
      </c>
      <c r="W548" s="299" t="s">
        <v>194</v>
      </c>
      <c r="X548" s="300">
        <v>44628</v>
      </c>
      <c r="Y548" s="299" t="s">
        <v>59</v>
      </c>
      <c r="Z548" s="303">
        <v>318.99</v>
      </c>
      <c r="AA548" s="305">
        <f>IF(Z548=0,0,IF(Y548="MXN",1/HLOOKUP(YEAR(X548)+(MONTH(X548)/100),TC!$5:$37,DAY(X548)+2,FALSE),VLOOKUP(Y548,Equivalencia!$1:$23,((MAX(Equivalencia!$3:$3)-YEAR(X548))*14)+MONTH(X548)+2,FALSE)))</f>
        <v>1</v>
      </c>
      <c r="AB548" s="306">
        <f t="shared" si="144"/>
        <v>318.99</v>
      </c>
      <c r="AC548" s="305">
        <f>+IF(X548=0,0,HLOOKUP(YEAR(X548)+(MONTH(X548)/100),TC!$5:$37,DAY(X548)+2,FALSE))</f>
        <v>20.926200000000001</v>
      </c>
      <c r="AD548" s="307">
        <f t="shared" si="145"/>
        <v>6675.2485380000007</v>
      </c>
      <c r="AE548" s="314">
        <f t="shared" si="146"/>
        <v>9720.7176834767997</v>
      </c>
      <c r="AF548" s="315">
        <f t="shared" si="147"/>
        <v>-3045.469145476799</v>
      </c>
      <c r="AG548" s="316">
        <f t="shared" si="148"/>
        <v>0.70410958904109588</v>
      </c>
      <c r="AH548" s="314">
        <v>1</v>
      </c>
      <c r="AI548" s="314">
        <f t="shared" si="149"/>
        <v>-3045.469145476799</v>
      </c>
      <c r="AJ548" s="314">
        <f t="shared" si="150"/>
        <v>0</v>
      </c>
      <c r="AK548" s="317"/>
      <c r="AL548" s="315">
        <f t="shared" si="151"/>
        <v>-129.89395348837206</v>
      </c>
      <c r="AN548" s="554">
        <f t="shared" si="152"/>
        <v>-0.28937089971458924</v>
      </c>
      <c r="AO548" s="314"/>
      <c r="AP548" s="318"/>
    </row>
    <row r="549" spans="2:42">
      <c r="B549" s="296" t="s">
        <v>1254</v>
      </c>
      <c r="C549" s="299" t="s">
        <v>277</v>
      </c>
      <c r="D549" s="298" t="s">
        <v>885</v>
      </c>
      <c r="E549" s="299" t="s">
        <v>113</v>
      </c>
      <c r="F549" s="299" t="s">
        <v>59</v>
      </c>
      <c r="G549" s="300">
        <v>44371</v>
      </c>
      <c r="H549" s="303">
        <v>513.01023255813948</v>
      </c>
      <c r="I549" s="301" t="str">
        <f t="shared" si="136"/>
        <v>Ingresos Sección II LISR (SIC &amp; BMV)</v>
      </c>
      <c r="J549" s="302">
        <f t="shared" si="137"/>
        <v>8</v>
      </c>
      <c r="K549" s="304">
        <f t="shared" si="138"/>
        <v>64.126279069767435</v>
      </c>
      <c r="L549" s="305">
        <f>IF(H549=0,0,IF(OR(E549=$AT$5,E549=$AT$6),AA549,IF(F549="MXN",1/HLOOKUP(YEAR(G549)+(MONTH(G549)/100),TC!$5:$37,DAY(G549)+2,FALSE),VLOOKUP(F549,Equivalencia!$5:$23,((MAX(Equivalencia!$3:$3)-YEAR(G549))*14)+MONTH(G549)+2,FALSE))))</f>
        <v>1</v>
      </c>
      <c r="M549" s="306">
        <f t="shared" si="139"/>
        <v>513.01023255813948</v>
      </c>
      <c r="N549" s="305">
        <f>IF(G549=0,0,(IF(OR(E549=$AT$5,E549=$AT$6),AC549,HLOOKUP(YEAR(G549)+(MONTH(G549)/100),TC!$5:$37,DAY(G549)+2,FALSE))))</f>
        <v>20.571200000000001</v>
      </c>
      <c r="O549" s="307">
        <f t="shared" si="140"/>
        <v>10553.236095999999</v>
      </c>
      <c r="P549" s="560">
        <f>IF(G549=0,0,VLOOKUP(YEAR(G549),INPC!$B$4:$P$30,MONTH(G549)+2))</f>
        <v>113.018</v>
      </c>
      <c r="Q549" s="560">
        <f>IF(X549=0,0,IF(OR(E549=$AT$10,E549=$AT$9),VLOOKUP(YEAR(X549),INPC!$B$4:$P$30,MONTH(X549)+1),VLOOKUP(YEAR(X549),INPC!$B$4:$P$30,MONTH(X549)+2,0)))</f>
        <v>118.98099999999999</v>
      </c>
      <c r="R549" s="309">
        <f t="shared" si="141"/>
        <v>1.0527</v>
      </c>
      <c r="S549" s="310">
        <f t="shared" si="142"/>
        <v>11109.391638259198</v>
      </c>
      <c r="T549" s="555">
        <f t="shared" si="143"/>
        <v>1388.6739547823997</v>
      </c>
      <c r="U549" s="311"/>
      <c r="V549" s="312">
        <v>8</v>
      </c>
      <c r="W549" s="299" t="s">
        <v>194</v>
      </c>
      <c r="X549" s="300">
        <v>44628</v>
      </c>
      <c r="Y549" s="299" t="s">
        <v>59</v>
      </c>
      <c r="Z549" s="303">
        <v>383.38</v>
      </c>
      <c r="AA549" s="305">
        <f>IF(Z549=0,0,IF(Y549="MXN",1/HLOOKUP(YEAR(X549)+(MONTH(X549)/100),TC!$5:$37,DAY(X549)+2,FALSE),VLOOKUP(Y549,Equivalencia!$1:$23,((MAX(Equivalencia!$3:$3)-YEAR(X549))*14)+MONTH(X549)+2,FALSE)))</f>
        <v>1</v>
      </c>
      <c r="AB549" s="306">
        <f t="shared" si="144"/>
        <v>383.38</v>
      </c>
      <c r="AC549" s="305">
        <f>+IF(X549=0,0,HLOOKUP(YEAR(X549)+(MONTH(X549)/100),TC!$5:$37,DAY(X549)+2,FALSE))</f>
        <v>20.926200000000001</v>
      </c>
      <c r="AD549" s="307">
        <f t="shared" si="145"/>
        <v>8022.6865560000006</v>
      </c>
      <c r="AE549" s="314">
        <f t="shared" si="146"/>
        <v>11109.391638259198</v>
      </c>
      <c r="AF549" s="315">
        <f t="shared" si="147"/>
        <v>-3086.7050822591973</v>
      </c>
      <c r="AG549" s="316">
        <f t="shared" si="148"/>
        <v>0.70410958904109588</v>
      </c>
      <c r="AH549" s="314">
        <v>1</v>
      </c>
      <c r="AI549" s="314">
        <f t="shared" si="149"/>
        <v>-3086.7050822591973</v>
      </c>
      <c r="AJ549" s="314">
        <f t="shared" si="150"/>
        <v>0</v>
      </c>
      <c r="AK549" s="317"/>
      <c r="AL549" s="315">
        <f t="shared" si="151"/>
        <v>-129.63023255813948</v>
      </c>
      <c r="AN549" s="554">
        <f t="shared" si="152"/>
        <v>-0.25268547161668647</v>
      </c>
      <c r="AO549" s="314"/>
      <c r="AP549" s="318"/>
    </row>
    <row r="550" spans="2:42">
      <c r="B550" s="296" t="s">
        <v>1254</v>
      </c>
      <c r="C550" s="299" t="s">
        <v>277</v>
      </c>
      <c r="D550" s="298" t="s">
        <v>885</v>
      </c>
      <c r="E550" s="299" t="s">
        <v>113</v>
      </c>
      <c r="F550" s="299" t="s">
        <v>59</v>
      </c>
      <c r="G550" s="300">
        <v>44371</v>
      </c>
      <c r="H550" s="303">
        <v>577.13651162790688</v>
      </c>
      <c r="I550" s="301" t="str">
        <f t="shared" si="136"/>
        <v>Ingresos Sección II LISR (SIC &amp; BMV)</v>
      </c>
      <c r="J550" s="302">
        <f t="shared" si="137"/>
        <v>9</v>
      </c>
      <c r="K550" s="304">
        <f t="shared" si="138"/>
        <v>64.126279069767435</v>
      </c>
      <c r="L550" s="305">
        <f>IF(H550=0,0,IF(OR(E550=$AT$5,E550=$AT$6),AA550,IF(F550="MXN",1/HLOOKUP(YEAR(G550)+(MONTH(G550)/100),TC!$5:$37,DAY(G550)+2,FALSE),VLOOKUP(F550,Equivalencia!$5:$23,((MAX(Equivalencia!$3:$3)-YEAR(G550))*14)+MONTH(G550)+2,FALSE))))</f>
        <v>1</v>
      </c>
      <c r="M550" s="306">
        <f t="shared" si="139"/>
        <v>577.13651162790688</v>
      </c>
      <c r="N550" s="305">
        <f>IF(G550=0,0,(IF(OR(E550=$AT$5,E550=$AT$6),AC550,HLOOKUP(YEAR(G550)+(MONTH(G550)/100),TC!$5:$37,DAY(G550)+2,FALSE))))</f>
        <v>20.571200000000001</v>
      </c>
      <c r="O550" s="307">
        <f t="shared" si="140"/>
        <v>11872.390607999998</v>
      </c>
      <c r="P550" s="560">
        <f>IF(G550=0,0,VLOOKUP(YEAR(G550),INPC!$B$4:$P$30,MONTH(G550)+2))</f>
        <v>113.018</v>
      </c>
      <c r="Q550" s="560">
        <f>IF(X550=0,0,IF(OR(E550=$AT$10,E550=$AT$9),VLOOKUP(YEAR(X550),INPC!$B$4:$P$30,MONTH(X550)+1),VLOOKUP(YEAR(X550),INPC!$B$4:$P$30,MONTH(X550)+2,0)))</f>
        <v>118.98099999999999</v>
      </c>
      <c r="R550" s="309">
        <f t="shared" si="141"/>
        <v>1.0527</v>
      </c>
      <c r="S550" s="310">
        <f t="shared" si="142"/>
        <v>12498.065593041598</v>
      </c>
      <c r="T550" s="555">
        <f t="shared" si="143"/>
        <v>1388.6739547823997</v>
      </c>
      <c r="U550" s="311"/>
      <c r="V550" s="312">
        <v>9</v>
      </c>
      <c r="W550" s="299" t="s">
        <v>194</v>
      </c>
      <c r="X550" s="300">
        <v>44628</v>
      </c>
      <c r="Y550" s="299" t="s">
        <v>59</v>
      </c>
      <c r="Z550" s="303">
        <v>410.13</v>
      </c>
      <c r="AA550" s="305">
        <f>IF(Z550=0,0,IF(Y550="MXN",1/HLOOKUP(YEAR(X550)+(MONTH(X550)/100),TC!$5:$37,DAY(X550)+2,FALSE),VLOOKUP(Y550,Equivalencia!$1:$23,((MAX(Equivalencia!$3:$3)-YEAR(X550))*14)+MONTH(X550)+2,FALSE)))</f>
        <v>1</v>
      </c>
      <c r="AB550" s="306">
        <f t="shared" si="144"/>
        <v>410.13</v>
      </c>
      <c r="AC550" s="305">
        <f>+IF(X550=0,0,HLOOKUP(YEAR(X550)+(MONTH(X550)/100),TC!$5:$37,DAY(X550)+2,FALSE))</f>
        <v>20.926200000000001</v>
      </c>
      <c r="AD550" s="307">
        <f t="shared" si="145"/>
        <v>8582.4624060000006</v>
      </c>
      <c r="AE550" s="314">
        <f t="shared" si="146"/>
        <v>12498.065593041598</v>
      </c>
      <c r="AF550" s="315">
        <f t="shared" si="147"/>
        <v>-3915.6031870415973</v>
      </c>
      <c r="AG550" s="316">
        <f t="shared" si="148"/>
        <v>0.70410958904109588</v>
      </c>
      <c r="AH550" s="314">
        <v>1</v>
      </c>
      <c r="AI550" s="314">
        <f t="shared" si="149"/>
        <v>-3915.6031870415973</v>
      </c>
      <c r="AJ550" s="314">
        <f t="shared" si="150"/>
        <v>0</v>
      </c>
      <c r="AK550" s="317"/>
      <c r="AL550" s="315">
        <f t="shared" si="151"/>
        <v>-167.00651162790689</v>
      </c>
      <c r="AN550" s="554">
        <f t="shared" si="152"/>
        <v>-0.28937089971458918</v>
      </c>
      <c r="AO550" s="314"/>
      <c r="AP550" s="318"/>
    </row>
    <row r="551" spans="2:42">
      <c r="B551" s="296" t="s">
        <v>1254</v>
      </c>
      <c r="C551" s="299" t="s">
        <v>277</v>
      </c>
      <c r="D551" s="298" t="s">
        <v>885</v>
      </c>
      <c r="E551" s="299" t="s">
        <v>113</v>
      </c>
      <c r="F551" s="299" t="s">
        <v>59</v>
      </c>
      <c r="G551" s="300">
        <v>44371</v>
      </c>
      <c r="H551" s="303">
        <v>833.64162790697662</v>
      </c>
      <c r="I551" s="301" t="str">
        <f t="shared" si="136"/>
        <v>Ingresos Sección II LISR (SIC &amp; BMV)</v>
      </c>
      <c r="J551" s="302">
        <f t="shared" si="137"/>
        <v>13</v>
      </c>
      <c r="K551" s="304">
        <f t="shared" si="138"/>
        <v>64.126279069767435</v>
      </c>
      <c r="L551" s="305">
        <f>IF(H551=0,0,IF(OR(E551=$AT$5,E551=$AT$6),AA551,IF(F551="MXN",1/HLOOKUP(YEAR(G551)+(MONTH(G551)/100),TC!$5:$37,DAY(G551)+2,FALSE),VLOOKUP(F551,Equivalencia!$5:$23,((MAX(Equivalencia!$3:$3)-YEAR(G551))*14)+MONTH(G551)+2,FALSE))))</f>
        <v>1</v>
      </c>
      <c r="M551" s="306">
        <f t="shared" si="139"/>
        <v>833.64162790697662</v>
      </c>
      <c r="N551" s="305">
        <f>IF(G551=0,0,(IF(OR(E551=$AT$5,E551=$AT$6),AC551,HLOOKUP(YEAR(G551)+(MONTH(G551)/100),TC!$5:$37,DAY(G551)+2,FALSE))))</f>
        <v>20.571200000000001</v>
      </c>
      <c r="O551" s="307">
        <f t="shared" si="140"/>
        <v>17149.008655999998</v>
      </c>
      <c r="P551" s="560">
        <f>IF(G551=0,0,VLOOKUP(YEAR(G551),INPC!$B$4:$P$30,MONTH(G551)+2))</f>
        <v>113.018</v>
      </c>
      <c r="Q551" s="560">
        <f>IF(X551=0,0,IF(OR(E551=$AT$10,E551=$AT$9),VLOOKUP(YEAR(X551),INPC!$B$4:$P$30,MONTH(X551)+1),VLOOKUP(YEAR(X551),INPC!$B$4:$P$30,MONTH(X551)+2,0)))</f>
        <v>118.98099999999999</v>
      </c>
      <c r="R551" s="309">
        <f t="shared" si="141"/>
        <v>1.0527</v>
      </c>
      <c r="S551" s="310">
        <f t="shared" si="142"/>
        <v>18052.761412171196</v>
      </c>
      <c r="T551" s="555">
        <f t="shared" si="143"/>
        <v>1388.6739547823997</v>
      </c>
      <c r="U551" s="311"/>
      <c r="V551" s="312">
        <v>13</v>
      </c>
      <c r="W551" s="299" t="s">
        <v>194</v>
      </c>
      <c r="X551" s="300">
        <v>44634</v>
      </c>
      <c r="Y551" s="299" t="s">
        <v>59</v>
      </c>
      <c r="Z551" s="303">
        <v>497.58000000000004</v>
      </c>
      <c r="AA551" s="305">
        <f>IF(Z551=0,0,IF(Y551="MXN",1/HLOOKUP(YEAR(X551)+(MONTH(X551)/100),TC!$5:$37,DAY(X551)+2,FALSE),VLOOKUP(Y551,Equivalencia!$1:$23,((MAX(Equivalencia!$3:$3)-YEAR(X551))*14)+MONTH(X551)+2,FALSE)))</f>
        <v>1</v>
      </c>
      <c r="AB551" s="306">
        <f t="shared" si="144"/>
        <v>497.58000000000004</v>
      </c>
      <c r="AC551" s="305">
        <f>+IF(X551=0,0,HLOOKUP(YEAR(X551)+(MONTH(X551)/100),TC!$5:$37,DAY(X551)+2,FALSE))</f>
        <v>20.974299999999999</v>
      </c>
      <c r="AD551" s="307">
        <f t="shared" si="145"/>
        <v>10436.392194</v>
      </c>
      <c r="AE551" s="314">
        <f t="shared" si="146"/>
        <v>18052.761412171196</v>
      </c>
      <c r="AF551" s="315">
        <f t="shared" si="147"/>
        <v>-7616.3692181711958</v>
      </c>
      <c r="AG551" s="316">
        <f t="shared" si="148"/>
        <v>0.72054794520547949</v>
      </c>
      <c r="AH551" s="314">
        <v>1</v>
      </c>
      <c r="AI551" s="314">
        <f t="shared" si="149"/>
        <v>-7616.3692181711958</v>
      </c>
      <c r="AJ551" s="314">
        <f t="shared" si="150"/>
        <v>0</v>
      </c>
      <c r="AK551" s="317"/>
      <c r="AL551" s="315">
        <f t="shared" si="151"/>
        <v>-336.06162790697658</v>
      </c>
      <c r="AN551" s="554">
        <f t="shared" si="152"/>
        <v>-0.40312481605642253</v>
      </c>
      <c r="AO551" s="314"/>
      <c r="AP551" s="318"/>
    </row>
    <row r="552" spans="2:42">
      <c r="B552" s="296" t="s">
        <v>1254</v>
      </c>
      <c r="C552" s="299" t="s">
        <v>277</v>
      </c>
      <c r="D552" s="298" t="s">
        <v>885</v>
      </c>
      <c r="E552" s="299" t="s">
        <v>113</v>
      </c>
      <c r="F552" s="299" t="s">
        <v>59</v>
      </c>
      <c r="G552" s="300">
        <v>44371</v>
      </c>
      <c r="H552" s="303">
        <v>64.126279069767435</v>
      </c>
      <c r="I552" s="301" t="str">
        <f t="shared" si="136"/>
        <v>Ingresos Sección II LISR (SIC &amp; BMV)</v>
      </c>
      <c r="J552" s="302">
        <f t="shared" si="137"/>
        <v>1</v>
      </c>
      <c r="K552" s="304">
        <f t="shared" si="138"/>
        <v>64.126279069767435</v>
      </c>
      <c r="L552" s="305">
        <f>IF(H552=0,0,IF(OR(E552=$AT$5,E552=$AT$6),AA552,IF(F552="MXN",1/HLOOKUP(YEAR(G552)+(MONTH(G552)/100),TC!$5:$37,DAY(G552)+2,FALSE),VLOOKUP(F552,Equivalencia!$5:$23,((MAX(Equivalencia!$3:$3)-YEAR(G552))*14)+MONTH(G552)+2,FALSE))))</f>
        <v>1</v>
      </c>
      <c r="M552" s="306">
        <f t="shared" si="139"/>
        <v>64.126279069767435</v>
      </c>
      <c r="N552" s="305">
        <f>IF(G552=0,0,(IF(OR(E552=$AT$5,E552=$AT$6),AC552,HLOOKUP(YEAR(G552)+(MONTH(G552)/100),TC!$5:$37,DAY(G552)+2,FALSE))))</f>
        <v>20.571200000000001</v>
      </c>
      <c r="O552" s="307">
        <f t="shared" si="140"/>
        <v>1319.1545119999998</v>
      </c>
      <c r="P552" s="560">
        <f>IF(G552=0,0,VLOOKUP(YEAR(G552),INPC!$B$4:$P$30,MONTH(G552)+2))</f>
        <v>113.018</v>
      </c>
      <c r="Q552" s="560">
        <f>IF(X552=0,0,IF(OR(E552=$AT$10,E552=$AT$9),VLOOKUP(YEAR(X552),INPC!$B$4:$P$30,MONTH(X552)+1),VLOOKUP(YEAR(X552),INPC!$B$4:$P$30,MONTH(X552)+2,0)))</f>
        <v>118.98099999999999</v>
      </c>
      <c r="R552" s="309">
        <f t="shared" si="141"/>
        <v>1.0527</v>
      </c>
      <c r="S552" s="310">
        <f t="shared" si="142"/>
        <v>1388.6739547823997</v>
      </c>
      <c r="T552" s="555">
        <f t="shared" si="143"/>
        <v>1388.6739547823997</v>
      </c>
      <c r="U552" s="311"/>
      <c r="V552" s="312">
        <v>1</v>
      </c>
      <c r="W552" s="299" t="s">
        <v>194</v>
      </c>
      <c r="X552" s="300">
        <v>44634</v>
      </c>
      <c r="Y552" s="299" t="s">
        <v>59</v>
      </c>
      <c r="Z552" s="303">
        <v>38.716923076923074</v>
      </c>
      <c r="AA552" s="305">
        <f>IF(Z552=0,0,IF(Y552="MXN",1/HLOOKUP(YEAR(X552)+(MONTH(X552)/100),TC!$5:$37,DAY(X552)+2,FALSE),VLOOKUP(Y552,Equivalencia!$1:$23,((MAX(Equivalencia!$3:$3)-YEAR(X552))*14)+MONTH(X552)+2,FALSE)))</f>
        <v>1</v>
      </c>
      <c r="AB552" s="306">
        <f t="shared" si="144"/>
        <v>38.716923076923074</v>
      </c>
      <c r="AC552" s="305">
        <f>+IF(X552=0,0,HLOOKUP(YEAR(X552)+(MONTH(X552)/100),TC!$5:$37,DAY(X552)+2,FALSE))</f>
        <v>20.974299999999999</v>
      </c>
      <c r="AD552" s="307">
        <f t="shared" si="145"/>
        <v>812.06035969230766</v>
      </c>
      <c r="AE552" s="314">
        <f t="shared" si="146"/>
        <v>1388.6739547823997</v>
      </c>
      <c r="AF552" s="315">
        <f t="shared" si="147"/>
        <v>-576.61359509009208</v>
      </c>
      <c r="AG552" s="316">
        <f t="shared" si="148"/>
        <v>0.72054794520547949</v>
      </c>
      <c r="AH552" s="314">
        <v>1</v>
      </c>
      <c r="AI552" s="314">
        <f t="shared" si="149"/>
        <v>-576.61359509009208</v>
      </c>
      <c r="AJ552" s="314">
        <f t="shared" si="150"/>
        <v>0</v>
      </c>
      <c r="AK552" s="317"/>
      <c r="AL552" s="315">
        <f t="shared" si="151"/>
        <v>-25.409355992844361</v>
      </c>
      <c r="AN552" s="554">
        <f t="shared" si="152"/>
        <v>-0.39623936335366905</v>
      </c>
      <c r="AO552" s="314"/>
      <c r="AP552" s="318"/>
    </row>
    <row r="553" spans="2:42">
      <c r="B553" s="296" t="s">
        <v>1254</v>
      </c>
      <c r="C553" s="299" t="s">
        <v>277</v>
      </c>
      <c r="D553" s="298" t="s">
        <v>885</v>
      </c>
      <c r="E553" s="299" t="s">
        <v>113</v>
      </c>
      <c r="F553" s="299" t="s">
        <v>59</v>
      </c>
      <c r="G553" s="300">
        <v>44371</v>
      </c>
      <c r="H553" s="303">
        <v>773.07500000000005</v>
      </c>
      <c r="I553" s="301" t="str">
        <f t="shared" si="136"/>
        <v>Ingresos Sección II LISR (SIC &amp; BMV)</v>
      </c>
      <c r="J553" s="302">
        <f t="shared" si="137"/>
        <v>12</v>
      </c>
      <c r="K553" s="304">
        <f t="shared" si="138"/>
        <v>64.422916666666666</v>
      </c>
      <c r="L553" s="305">
        <f>IF(H553=0,0,IF(OR(E553=$AT$5,E553=$AT$6),AA553,IF(F553="MXN",1/HLOOKUP(YEAR(G553)+(MONTH(G553)/100),TC!$5:$37,DAY(G553)+2,FALSE),VLOOKUP(F553,Equivalencia!$5:$23,((MAX(Equivalencia!$3:$3)-YEAR(G553))*14)+MONTH(G553)+2,FALSE))))</f>
        <v>1</v>
      </c>
      <c r="M553" s="306">
        <f t="shared" si="139"/>
        <v>773.07500000000005</v>
      </c>
      <c r="N553" s="305">
        <f>IF(G553=0,0,(IF(OR(E553=$AT$5,E553=$AT$6),AC553,HLOOKUP(YEAR(G553)+(MONTH(G553)/100),TC!$5:$37,DAY(G553)+2,FALSE))))</f>
        <v>20.571200000000001</v>
      </c>
      <c r="O553" s="307">
        <f t="shared" si="140"/>
        <v>15903.080440000002</v>
      </c>
      <c r="P553" s="560">
        <f>IF(G553=0,0,VLOOKUP(YEAR(G553),INPC!$B$4:$P$30,MONTH(G553)+2))</f>
        <v>113.018</v>
      </c>
      <c r="Q553" s="560">
        <f>IF(X553=0,0,IF(OR(E553=$AT$10,E553=$AT$9),VLOOKUP(YEAR(X553),INPC!$B$4:$P$30,MONTH(X553)+1),VLOOKUP(YEAR(X553),INPC!$B$4:$P$30,MONTH(X553)+2,0)))</f>
        <v>118.98099999999999</v>
      </c>
      <c r="R553" s="309">
        <f t="shared" si="141"/>
        <v>1.0527</v>
      </c>
      <c r="S553" s="310">
        <f t="shared" si="142"/>
        <v>16741.172779188</v>
      </c>
      <c r="T553" s="555">
        <f t="shared" si="143"/>
        <v>1395.0977315990001</v>
      </c>
      <c r="U553" s="311"/>
      <c r="V553" s="312">
        <v>12</v>
      </c>
      <c r="W553" s="299" t="s">
        <v>194</v>
      </c>
      <c r="X553" s="300">
        <v>44634</v>
      </c>
      <c r="Y553" s="299" t="s">
        <v>59</v>
      </c>
      <c r="Z553" s="303">
        <v>464.60307692307686</v>
      </c>
      <c r="AA553" s="305">
        <f>IF(Z553=0,0,IF(Y553="MXN",1/HLOOKUP(YEAR(X553)+(MONTH(X553)/100),TC!$5:$37,DAY(X553)+2,FALSE),VLOOKUP(Y553,Equivalencia!$1:$23,((MAX(Equivalencia!$3:$3)-YEAR(X553))*14)+MONTH(X553)+2,FALSE)))</f>
        <v>1</v>
      </c>
      <c r="AB553" s="306">
        <f t="shared" si="144"/>
        <v>464.60307692307686</v>
      </c>
      <c r="AC553" s="305">
        <f>+IF(X553=0,0,HLOOKUP(YEAR(X553)+(MONTH(X553)/100),TC!$5:$37,DAY(X553)+2,FALSE))</f>
        <v>20.974299999999999</v>
      </c>
      <c r="AD553" s="307">
        <f t="shared" si="145"/>
        <v>9744.724316307691</v>
      </c>
      <c r="AE553" s="314">
        <f t="shared" si="146"/>
        <v>16741.172779188</v>
      </c>
      <c r="AF553" s="315">
        <f t="shared" si="147"/>
        <v>-6996.4484628803093</v>
      </c>
      <c r="AG553" s="316">
        <f t="shared" si="148"/>
        <v>0.72054794520547949</v>
      </c>
      <c r="AH553" s="314">
        <v>1</v>
      </c>
      <c r="AI553" s="314">
        <f t="shared" si="149"/>
        <v>-6996.4484628803093</v>
      </c>
      <c r="AJ553" s="314">
        <f t="shared" si="150"/>
        <v>0</v>
      </c>
      <c r="AK553" s="317"/>
      <c r="AL553" s="315">
        <f t="shared" si="151"/>
        <v>-308.47192307692319</v>
      </c>
      <c r="AN553" s="554">
        <f t="shared" si="152"/>
        <v>-0.39901940054577262</v>
      </c>
      <c r="AO553" s="314"/>
      <c r="AP553" s="318"/>
    </row>
    <row r="554" spans="2:42">
      <c r="B554" s="296" t="s">
        <v>1254</v>
      </c>
      <c r="C554" s="299" t="s">
        <v>277</v>
      </c>
      <c r="D554" s="298" t="s">
        <v>885</v>
      </c>
      <c r="E554" s="299" t="s">
        <v>113</v>
      </c>
      <c r="F554" s="299" t="s">
        <v>59</v>
      </c>
      <c r="G554" s="300">
        <v>44371</v>
      </c>
      <c r="H554" s="303">
        <v>3865.375</v>
      </c>
      <c r="I554" s="301" t="str">
        <f t="shared" si="136"/>
        <v>Ingresos Sección II LISR (SIC &amp; BMV)</v>
      </c>
      <c r="J554" s="302">
        <f t="shared" si="137"/>
        <v>60</v>
      </c>
      <c r="K554" s="304">
        <f t="shared" si="138"/>
        <v>64.422916666666666</v>
      </c>
      <c r="L554" s="305">
        <f>IF(H554=0,0,IF(OR(E554=$AT$5,E554=$AT$6),AA554,IF(F554="MXN",1/HLOOKUP(YEAR(G554)+(MONTH(G554)/100),TC!$5:$37,DAY(G554)+2,FALSE),VLOOKUP(F554,Equivalencia!$5:$23,((MAX(Equivalencia!$3:$3)-YEAR(G554))*14)+MONTH(G554)+2,FALSE))))</f>
        <v>1</v>
      </c>
      <c r="M554" s="306">
        <f t="shared" si="139"/>
        <v>3865.375</v>
      </c>
      <c r="N554" s="305">
        <f>IF(G554=0,0,(IF(OR(E554=$AT$5,E554=$AT$6),AC554,HLOOKUP(YEAR(G554)+(MONTH(G554)/100),TC!$5:$37,DAY(G554)+2,FALSE))))</f>
        <v>20.571200000000001</v>
      </c>
      <c r="O554" s="307">
        <f t="shared" si="140"/>
        <v>79515.402199999997</v>
      </c>
      <c r="P554" s="560">
        <f>IF(G554=0,0,VLOOKUP(YEAR(G554),INPC!$B$4:$P$30,MONTH(G554)+2))</f>
        <v>113.018</v>
      </c>
      <c r="Q554" s="560">
        <f>IF(X554=0,0,IF(OR(E554=$AT$10,E554=$AT$9),VLOOKUP(YEAR(X554),INPC!$B$4:$P$30,MONTH(X554)+1),VLOOKUP(YEAR(X554),INPC!$B$4:$P$30,MONTH(X554)+2,0)))</f>
        <v>118.98099999999999</v>
      </c>
      <c r="R554" s="309">
        <f t="shared" si="141"/>
        <v>1.0527</v>
      </c>
      <c r="S554" s="310">
        <f t="shared" si="142"/>
        <v>83705.863895939998</v>
      </c>
      <c r="T554" s="555">
        <f t="shared" si="143"/>
        <v>1395.0977315989999</v>
      </c>
      <c r="U554" s="311"/>
      <c r="V554" s="312">
        <v>60</v>
      </c>
      <c r="W554" s="299" t="s">
        <v>194</v>
      </c>
      <c r="X554" s="300">
        <v>44634</v>
      </c>
      <c r="Y554" s="299" t="s">
        <v>59</v>
      </c>
      <c r="Z554" s="303">
        <v>2390.2055865921789</v>
      </c>
      <c r="AA554" s="305">
        <f>IF(Z554=0,0,IF(Y554="MXN",1/HLOOKUP(YEAR(X554)+(MONTH(X554)/100),TC!$5:$37,DAY(X554)+2,FALSE),VLOOKUP(Y554,Equivalencia!$1:$23,((MAX(Equivalencia!$3:$3)-YEAR(X554))*14)+MONTH(X554)+2,FALSE)))</f>
        <v>1</v>
      </c>
      <c r="AB554" s="306">
        <f t="shared" si="144"/>
        <v>2390.2055865921789</v>
      </c>
      <c r="AC554" s="305">
        <f>+IF(X554=0,0,HLOOKUP(YEAR(X554)+(MONTH(X554)/100),TC!$5:$37,DAY(X554)+2,FALSE))</f>
        <v>20.974299999999999</v>
      </c>
      <c r="AD554" s="307">
        <f t="shared" si="145"/>
        <v>50132.889034860338</v>
      </c>
      <c r="AE554" s="314">
        <f t="shared" si="146"/>
        <v>83705.863895939998</v>
      </c>
      <c r="AF554" s="315">
        <f t="shared" si="147"/>
        <v>-33572.97486107966</v>
      </c>
      <c r="AG554" s="316">
        <f t="shared" si="148"/>
        <v>0.72054794520547949</v>
      </c>
      <c r="AH554" s="314">
        <v>1</v>
      </c>
      <c r="AI554" s="314">
        <f t="shared" si="149"/>
        <v>-33572.97486107966</v>
      </c>
      <c r="AJ554" s="314">
        <f t="shared" si="150"/>
        <v>0</v>
      </c>
      <c r="AK554" s="317"/>
      <c r="AL554" s="315">
        <f t="shared" si="151"/>
        <v>-1475.1694134078211</v>
      </c>
      <c r="AN554" s="554">
        <f t="shared" si="152"/>
        <v>-0.38163681749062411</v>
      </c>
      <c r="AO554" s="314"/>
      <c r="AP554" s="318"/>
    </row>
    <row r="555" spans="2:42">
      <c r="B555" s="296" t="s">
        <v>1254</v>
      </c>
      <c r="C555" s="299" t="s">
        <v>277</v>
      </c>
      <c r="D555" s="298" t="s">
        <v>885</v>
      </c>
      <c r="E555" s="299" t="s">
        <v>113</v>
      </c>
      <c r="F555" s="299" t="s">
        <v>59</v>
      </c>
      <c r="G555" s="300">
        <v>44435</v>
      </c>
      <c r="H555" s="303">
        <v>558.54</v>
      </c>
      <c r="I555" s="301" t="str">
        <f t="shared" si="136"/>
        <v>Ingresos Sección II LISR (SIC &amp; BMV)</v>
      </c>
      <c r="J555" s="302">
        <f t="shared" si="137"/>
        <v>9</v>
      </c>
      <c r="K555" s="304">
        <f t="shared" si="138"/>
        <v>62.059999999999995</v>
      </c>
      <c r="L555" s="305">
        <f>IF(H555=0,0,IF(OR(E555=$AT$5,E555=$AT$6),AA555,IF(F555="MXN",1/HLOOKUP(YEAR(G555)+(MONTH(G555)/100),TC!$5:$37,DAY(G555)+2,FALSE),VLOOKUP(F555,Equivalencia!$5:$23,((MAX(Equivalencia!$3:$3)-YEAR(G555))*14)+MONTH(G555)+2,FALSE))))</f>
        <v>1</v>
      </c>
      <c r="M555" s="306">
        <f t="shared" si="139"/>
        <v>558.54</v>
      </c>
      <c r="N555" s="305">
        <f>IF(G555=0,0,(IF(OR(E555=$AT$5,E555=$AT$6),AC555,HLOOKUP(YEAR(G555)+(MONTH(G555)/100),TC!$5:$37,DAY(G555)+2,FALSE))))</f>
        <v>20.293299999999999</v>
      </c>
      <c r="O555" s="307">
        <f t="shared" si="140"/>
        <v>11334.619781999998</v>
      </c>
      <c r="P555" s="560">
        <f>IF(G555=0,0,VLOOKUP(YEAR(G555),INPC!$B$4:$P$30,MONTH(G555)+2))</f>
        <v>113.899</v>
      </c>
      <c r="Q555" s="560">
        <f>IF(X555=0,0,IF(OR(E555=$AT$10,E555=$AT$9),VLOOKUP(YEAR(X555),INPC!$B$4:$P$30,MONTH(X555)+1),VLOOKUP(YEAR(X555),INPC!$B$4:$P$30,MONTH(X555)+2,0)))</f>
        <v>118.98099999999999</v>
      </c>
      <c r="R555" s="309">
        <f t="shared" si="141"/>
        <v>1.0446</v>
      </c>
      <c r="S555" s="310">
        <f t="shared" si="142"/>
        <v>11840.143824277198</v>
      </c>
      <c r="T555" s="555">
        <f t="shared" si="143"/>
        <v>1315.5715360307997</v>
      </c>
      <c r="U555" s="311"/>
      <c r="V555" s="312">
        <v>9</v>
      </c>
      <c r="W555" s="299" t="s">
        <v>194</v>
      </c>
      <c r="X555" s="300">
        <v>44634</v>
      </c>
      <c r="Y555" s="299" t="s">
        <v>59</v>
      </c>
      <c r="Z555" s="303">
        <v>358.53083798882682</v>
      </c>
      <c r="AA555" s="305">
        <f>IF(Z555=0,0,IF(Y555="MXN",1/HLOOKUP(YEAR(X555)+(MONTH(X555)/100),TC!$5:$37,DAY(X555)+2,FALSE),VLOOKUP(Y555,Equivalencia!$1:$23,((MAX(Equivalencia!$3:$3)-YEAR(X555))*14)+MONTH(X555)+2,FALSE)))</f>
        <v>1</v>
      </c>
      <c r="AB555" s="306">
        <f t="shared" si="144"/>
        <v>358.53083798882682</v>
      </c>
      <c r="AC555" s="305">
        <f>+IF(X555=0,0,HLOOKUP(YEAR(X555)+(MONTH(X555)/100),TC!$5:$37,DAY(X555)+2,FALSE))</f>
        <v>20.974299999999999</v>
      </c>
      <c r="AD555" s="307">
        <f t="shared" si="145"/>
        <v>7519.93335522905</v>
      </c>
      <c r="AE555" s="314">
        <f t="shared" si="146"/>
        <v>11840.143824277198</v>
      </c>
      <c r="AF555" s="315">
        <f t="shared" si="147"/>
        <v>-4320.2104690481483</v>
      </c>
      <c r="AG555" s="316">
        <f t="shared" si="148"/>
        <v>0.54520547945205478</v>
      </c>
      <c r="AH555" s="314">
        <v>1</v>
      </c>
      <c r="AI555" s="314">
        <f t="shared" si="149"/>
        <v>-4320.2104690481483</v>
      </c>
      <c r="AJ555" s="314">
        <f t="shared" si="150"/>
        <v>0</v>
      </c>
      <c r="AK555" s="317"/>
      <c r="AL555" s="315">
        <f t="shared" si="151"/>
        <v>-200.00916201117315</v>
      </c>
      <c r="AN555" s="554">
        <f t="shared" si="152"/>
        <v>-0.35809281700714929</v>
      </c>
      <c r="AO555" s="314"/>
      <c r="AP555" s="318"/>
    </row>
    <row r="556" spans="2:42">
      <c r="B556" s="296" t="s">
        <v>1254</v>
      </c>
      <c r="C556" s="299" t="s">
        <v>277</v>
      </c>
      <c r="D556" s="298" t="s">
        <v>885</v>
      </c>
      <c r="E556" s="299" t="s">
        <v>113</v>
      </c>
      <c r="F556" s="299" t="s">
        <v>59</v>
      </c>
      <c r="G556" s="300">
        <v>44435</v>
      </c>
      <c r="H556" s="303">
        <v>558.14</v>
      </c>
      <c r="I556" s="301" t="str">
        <f t="shared" si="136"/>
        <v>Ingresos Sección II LISR (SIC &amp; BMV)</v>
      </c>
      <c r="J556" s="302">
        <f t="shared" si="137"/>
        <v>9</v>
      </c>
      <c r="K556" s="304">
        <f t="shared" si="138"/>
        <v>62.015555555555551</v>
      </c>
      <c r="L556" s="305">
        <f>IF(H556=0,0,IF(OR(E556=$AT$5,E556=$AT$6),AA556,IF(F556="MXN",1/HLOOKUP(YEAR(G556)+(MONTH(G556)/100),TC!$5:$37,DAY(G556)+2,FALSE),VLOOKUP(F556,Equivalencia!$5:$23,((MAX(Equivalencia!$3:$3)-YEAR(G556))*14)+MONTH(G556)+2,FALSE))))</f>
        <v>1</v>
      </c>
      <c r="M556" s="306">
        <f t="shared" si="139"/>
        <v>558.14</v>
      </c>
      <c r="N556" s="305">
        <f>IF(G556=0,0,(IF(OR(E556=$AT$5,E556=$AT$6),AC556,HLOOKUP(YEAR(G556)+(MONTH(G556)/100),TC!$5:$37,DAY(G556)+2,FALSE))))</f>
        <v>20.293299999999999</v>
      </c>
      <c r="O556" s="307">
        <f t="shared" si="140"/>
        <v>11326.502461999999</v>
      </c>
      <c r="P556" s="560">
        <f>IF(G556=0,0,VLOOKUP(YEAR(G556),INPC!$B$4:$P$30,MONTH(G556)+2))</f>
        <v>113.899</v>
      </c>
      <c r="Q556" s="560">
        <f>IF(X556=0,0,IF(OR(E556=$AT$10,E556=$AT$9),VLOOKUP(YEAR(X556),INPC!$B$4:$P$30,MONTH(X556)+1),VLOOKUP(YEAR(X556),INPC!$B$4:$P$30,MONTH(X556)+2,0)))</f>
        <v>118.98099999999999</v>
      </c>
      <c r="R556" s="309">
        <f t="shared" si="141"/>
        <v>1.0446</v>
      </c>
      <c r="S556" s="310">
        <f t="shared" si="142"/>
        <v>11831.664471805198</v>
      </c>
      <c r="T556" s="555">
        <f t="shared" si="143"/>
        <v>1314.6293857561332</v>
      </c>
      <c r="U556" s="311"/>
      <c r="V556" s="312">
        <v>9</v>
      </c>
      <c r="W556" s="299" t="s">
        <v>194</v>
      </c>
      <c r="X556" s="300">
        <v>44634</v>
      </c>
      <c r="Y556" s="299" t="s">
        <v>59</v>
      </c>
      <c r="Z556" s="303">
        <v>358.53083798882682</v>
      </c>
      <c r="AA556" s="305">
        <f>IF(Z556=0,0,IF(Y556="MXN",1/HLOOKUP(YEAR(X556)+(MONTH(X556)/100),TC!$5:$37,DAY(X556)+2,FALSE),VLOOKUP(Y556,Equivalencia!$1:$23,((MAX(Equivalencia!$3:$3)-YEAR(X556))*14)+MONTH(X556)+2,FALSE)))</f>
        <v>1</v>
      </c>
      <c r="AB556" s="306">
        <f t="shared" si="144"/>
        <v>358.53083798882682</v>
      </c>
      <c r="AC556" s="305">
        <f>+IF(X556=0,0,HLOOKUP(YEAR(X556)+(MONTH(X556)/100),TC!$5:$37,DAY(X556)+2,FALSE))</f>
        <v>20.974299999999999</v>
      </c>
      <c r="AD556" s="307">
        <f t="shared" si="145"/>
        <v>7519.93335522905</v>
      </c>
      <c r="AE556" s="314">
        <f t="shared" si="146"/>
        <v>11831.664471805198</v>
      </c>
      <c r="AF556" s="315">
        <f t="shared" si="147"/>
        <v>-4311.7311165761475</v>
      </c>
      <c r="AG556" s="316">
        <f t="shared" si="148"/>
        <v>0.54520547945205478</v>
      </c>
      <c r="AH556" s="314">
        <v>1</v>
      </c>
      <c r="AI556" s="314">
        <f t="shared" si="149"/>
        <v>-4311.7311165761475</v>
      </c>
      <c r="AJ556" s="314">
        <f t="shared" si="150"/>
        <v>0</v>
      </c>
      <c r="AK556" s="317"/>
      <c r="AL556" s="315">
        <f t="shared" si="151"/>
        <v>-199.60916201117317</v>
      </c>
      <c r="AN556" s="554">
        <f t="shared" si="152"/>
        <v>-0.35763278390936537</v>
      </c>
      <c r="AO556" s="314"/>
      <c r="AP556" s="318"/>
    </row>
    <row r="557" spans="2:42">
      <c r="B557" s="296" t="s">
        <v>1254</v>
      </c>
      <c r="C557" s="299" t="s">
        <v>277</v>
      </c>
      <c r="D557" s="298" t="s">
        <v>885</v>
      </c>
      <c r="E557" s="299" t="s">
        <v>113</v>
      </c>
      <c r="F557" s="299" t="s">
        <v>59</v>
      </c>
      <c r="G557" s="300">
        <v>44435</v>
      </c>
      <c r="H557" s="303">
        <v>496.42</v>
      </c>
      <c r="I557" s="301" t="str">
        <f t="shared" si="136"/>
        <v>Ingresos Sección II LISR (SIC &amp; BMV)</v>
      </c>
      <c r="J557" s="302">
        <f t="shared" si="137"/>
        <v>8</v>
      </c>
      <c r="K557" s="304">
        <f t="shared" si="138"/>
        <v>62.052500000000002</v>
      </c>
      <c r="L557" s="305">
        <f>IF(H557=0,0,IF(OR(E557=$AT$5,E557=$AT$6),AA557,IF(F557="MXN",1/HLOOKUP(YEAR(G557)+(MONTH(G557)/100),TC!$5:$37,DAY(G557)+2,FALSE),VLOOKUP(F557,Equivalencia!$5:$23,((MAX(Equivalencia!$3:$3)-YEAR(G557))*14)+MONTH(G557)+2,FALSE))))</f>
        <v>1</v>
      </c>
      <c r="M557" s="306">
        <f t="shared" si="139"/>
        <v>496.42</v>
      </c>
      <c r="N557" s="305">
        <f>IF(G557=0,0,(IF(OR(E557=$AT$5,E557=$AT$6),AC557,HLOOKUP(YEAR(G557)+(MONTH(G557)/100),TC!$5:$37,DAY(G557)+2,FALSE))))</f>
        <v>20.293299999999999</v>
      </c>
      <c r="O557" s="307">
        <f t="shared" si="140"/>
        <v>10073.999985999999</v>
      </c>
      <c r="P557" s="560">
        <f>IF(G557=0,0,VLOOKUP(YEAR(G557),INPC!$B$4:$P$30,MONTH(G557)+2))</f>
        <v>113.899</v>
      </c>
      <c r="Q557" s="560">
        <f>IF(X557=0,0,IF(OR(E557=$AT$10,E557=$AT$9),VLOOKUP(YEAR(X557),INPC!$B$4:$P$30,MONTH(X557)+1),VLOOKUP(YEAR(X557),INPC!$B$4:$P$30,MONTH(X557)+2,0)))</f>
        <v>118.98099999999999</v>
      </c>
      <c r="R557" s="309">
        <f t="shared" si="141"/>
        <v>1.0446</v>
      </c>
      <c r="S557" s="310">
        <f t="shared" si="142"/>
        <v>10523.300385375598</v>
      </c>
      <c r="T557" s="555">
        <f t="shared" si="143"/>
        <v>1315.4125481719498</v>
      </c>
      <c r="U557" s="311"/>
      <c r="V557" s="312">
        <v>8</v>
      </c>
      <c r="W557" s="299" t="s">
        <v>194</v>
      </c>
      <c r="X557" s="300">
        <v>44634</v>
      </c>
      <c r="Y557" s="299" t="s">
        <v>59</v>
      </c>
      <c r="Z557" s="303">
        <v>318.69407821229049</v>
      </c>
      <c r="AA557" s="305">
        <f>IF(Z557=0,0,IF(Y557="MXN",1/HLOOKUP(YEAR(X557)+(MONTH(X557)/100),TC!$5:$37,DAY(X557)+2,FALSE),VLOOKUP(Y557,Equivalencia!$1:$23,((MAX(Equivalencia!$3:$3)-YEAR(X557))*14)+MONTH(X557)+2,FALSE)))</f>
        <v>1</v>
      </c>
      <c r="AB557" s="306">
        <f t="shared" si="144"/>
        <v>318.69407821229049</v>
      </c>
      <c r="AC557" s="305">
        <f>+IF(X557=0,0,HLOOKUP(YEAR(X557)+(MONTH(X557)/100),TC!$5:$37,DAY(X557)+2,FALSE))</f>
        <v>20.974299999999999</v>
      </c>
      <c r="AD557" s="307">
        <f t="shared" si="145"/>
        <v>6684.3852046480442</v>
      </c>
      <c r="AE557" s="314">
        <f t="shared" si="146"/>
        <v>10523.300385375598</v>
      </c>
      <c r="AF557" s="315">
        <f t="shared" si="147"/>
        <v>-3838.9151807275539</v>
      </c>
      <c r="AG557" s="316">
        <f t="shared" si="148"/>
        <v>0.54520547945205478</v>
      </c>
      <c r="AH557" s="314">
        <v>1</v>
      </c>
      <c r="AI557" s="314">
        <f t="shared" si="149"/>
        <v>-3838.9151807275539</v>
      </c>
      <c r="AJ557" s="314">
        <f t="shared" si="150"/>
        <v>0</v>
      </c>
      <c r="AK557" s="317"/>
      <c r="AL557" s="315">
        <f t="shared" si="151"/>
        <v>-177.72592178770952</v>
      </c>
      <c r="AN557" s="554">
        <f t="shared" si="152"/>
        <v>-0.3580152326411295</v>
      </c>
      <c r="AO557" s="314"/>
      <c r="AP557" s="318"/>
    </row>
    <row r="558" spans="2:42">
      <c r="B558" s="296" t="s">
        <v>1254</v>
      </c>
      <c r="C558" s="299" t="s">
        <v>277</v>
      </c>
      <c r="D558" s="298" t="s">
        <v>885</v>
      </c>
      <c r="E558" s="299" t="s">
        <v>113</v>
      </c>
      <c r="F558" s="299" t="s">
        <v>59</v>
      </c>
      <c r="G558" s="300">
        <v>44435</v>
      </c>
      <c r="H558" s="303">
        <v>3406.85</v>
      </c>
      <c r="I558" s="301" t="str">
        <f t="shared" si="136"/>
        <v>Ingresos Sección II LISR (SIC &amp; BMV)</v>
      </c>
      <c r="J558" s="302">
        <f t="shared" si="137"/>
        <v>55</v>
      </c>
      <c r="K558" s="304">
        <f t="shared" si="138"/>
        <v>61.942727272727268</v>
      </c>
      <c r="L558" s="305">
        <f>IF(H558=0,0,IF(OR(E558=$AT$5,E558=$AT$6),AA558,IF(F558="MXN",1/HLOOKUP(YEAR(G558)+(MONTH(G558)/100),TC!$5:$37,DAY(G558)+2,FALSE),VLOOKUP(F558,Equivalencia!$5:$23,((MAX(Equivalencia!$3:$3)-YEAR(G558))*14)+MONTH(G558)+2,FALSE))))</f>
        <v>1</v>
      </c>
      <c r="M558" s="306">
        <f t="shared" si="139"/>
        <v>3406.85</v>
      </c>
      <c r="N558" s="305">
        <f>IF(G558=0,0,(IF(OR(E558=$AT$5,E558=$AT$6),AC558,HLOOKUP(YEAR(G558)+(MONTH(G558)/100),TC!$5:$37,DAY(G558)+2,FALSE))))</f>
        <v>20.293299999999999</v>
      </c>
      <c r="O558" s="307">
        <f t="shared" si="140"/>
        <v>69136.229104999991</v>
      </c>
      <c r="P558" s="560">
        <f>IF(G558=0,0,VLOOKUP(YEAR(G558),INPC!$B$4:$P$30,MONTH(G558)+2))</f>
        <v>113.899</v>
      </c>
      <c r="Q558" s="560">
        <f>IF(X558=0,0,IF(OR(E558=$AT$10,E558=$AT$9),VLOOKUP(YEAR(X558),INPC!$B$4:$P$30,MONTH(X558)+1),VLOOKUP(YEAR(X558),INPC!$B$4:$P$30,MONTH(X558)+2,0)))</f>
        <v>118.98099999999999</v>
      </c>
      <c r="R558" s="309">
        <f t="shared" si="141"/>
        <v>1.0446</v>
      </c>
      <c r="S558" s="310">
        <f t="shared" si="142"/>
        <v>72219.704923082987</v>
      </c>
      <c r="T558" s="555">
        <f t="shared" si="143"/>
        <v>1313.0855440560542</v>
      </c>
      <c r="U558" s="311"/>
      <c r="V558" s="312">
        <v>55</v>
      </c>
      <c r="W558" s="299" t="s">
        <v>194</v>
      </c>
      <c r="X558" s="300">
        <v>44634</v>
      </c>
      <c r="Y558" s="299" t="s">
        <v>59</v>
      </c>
      <c r="Z558" s="303">
        <v>2191.0217877094969</v>
      </c>
      <c r="AA558" s="305">
        <f>IF(Z558=0,0,IF(Y558="MXN",1/HLOOKUP(YEAR(X558)+(MONTH(X558)/100),TC!$5:$37,DAY(X558)+2,FALSE),VLOOKUP(Y558,Equivalencia!$1:$23,((MAX(Equivalencia!$3:$3)-YEAR(X558))*14)+MONTH(X558)+2,FALSE)))</f>
        <v>1</v>
      </c>
      <c r="AB558" s="306">
        <f t="shared" si="144"/>
        <v>2191.0217877094969</v>
      </c>
      <c r="AC558" s="305">
        <f>+IF(X558=0,0,HLOOKUP(YEAR(X558)+(MONTH(X558)/100),TC!$5:$37,DAY(X558)+2,FALSE))</f>
        <v>20.974299999999999</v>
      </c>
      <c r="AD558" s="307">
        <f t="shared" si="145"/>
        <v>45955.148281955298</v>
      </c>
      <c r="AE558" s="314">
        <f t="shared" si="146"/>
        <v>72219.704923082987</v>
      </c>
      <c r="AF558" s="315">
        <f t="shared" si="147"/>
        <v>-26264.556641127689</v>
      </c>
      <c r="AG558" s="316">
        <f t="shared" si="148"/>
        <v>0.54520547945205478</v>
      </c>
      <c r="AH558" s="314">
        <v>1</v>
      </c>
      <c r="AI558" s="314">
        <f t="shared" si="149"/>
        <v>-26264.556641127689</v>
      </c>
      <c r="AJ558" s="314">
        <f t="shared" si="150"/>
        <v>0</v>
      </c>
      <c r="AK558" s="317"/>
      <c r="AL558" s="315">
        <f t="shared" si="151"/>
        <v>-1215.828212290503</v>
      </c>
      <c r="AN558" s="554">
        <f t="shared" si="152"/>
        <v>-0.3568775297681151</v>
      </c>
      <c r="AO558" s="314"/>
      <c r="AP558" s="318"/>
    </row>
    <row r="559" spans="2:42">
      <c r="B559" s="296" t="s">
        <v>1254</v>
      </c>
      <c r="C559" s="299" t="s">
        <v>277</v>
      </c>
      <c r="D559" s="298" t="s">
        <v>885</v>
      </c>
      <c r="E559" s="299" t="s">
        <v>113</v>
      </c>
      <c r="F559" s="299" t="s">
        <v>59</v>
      </c>
      <c r="G559" s="300">
        <v>44438</v>
      </c>
      <c r="H559" s="303">
        <v>2312.94</v>
      </c>
      <c r="I559" s="301" t="str">
        <f t="shared" si="136"/>
        <v>Ingresos Sección II LISR (SIC &amp; BMV)</v>
      </c>
      <c r="J559" s="302">
        <f t="shared" si="137"/>
        <v>37</v>
      </c>
      <c r="K559" s="304">
        <f t="shared" si="138"/>
        <v>62.511891891891892</v>
      </c>
      <c r="L559" s="305">
        <f>IF(H559=0,0,IF(OR(E559=$AT$5,E559=$AT$6),AA559,IF(F559="MXN",1/HLOOKUP(YEAR(G559)+(MONTH(G559)/100),TC!$5:$37,DAY(G559)+2,FALSE),VLOOKUP(F559,Equivalencia!$5:$23,((MAX(Equivalencia!$3:$3)-YEAR(G559))*14)+MONTH(G559)+2,FALSE))))</f>
        <v>1</v>
      </c>
      <c r="M559" s="306">
        <f t="shared" si="139"/>
        <v>2312.94</v>
      </c>
      <c r="N559" s="305">
        <f>IF(G559=0,0,(IF(OR(E559=$AT$5,E559=$AT$6),AC559,HLOOKUP(YEAR(G559)+(MONTH(G559)/100),TC!$5:$37,DAY(G559)+2,FALSE))))</f>
        <v>20.3522</v>
      </c>
      <c r="O559" s="307">
        <f t="shared" si="140"/>
        <v>47073.417468</v>
      </c>
      <c r="P559" s="560">
        <f>IF(G559=0,0,VLOOKUP(YEAR(G559),INPC!$B$4:$P$30,MONTH(G559)+2))</f>
        <v>113.899</v>
      </c>
      <c r="Q559" s="560">
        <f>IF(X559=0,0,IF(OR(E559=$AT$10,E559=$AT$9),VLOOKUP(YEAR(X559),INPC!$B$4:$P$30,MONTH(X559)+1),VLOOKUP(YEAR(X559),INPC!$B$4:$P$30,MONTH(X559)+2,0)))</f>
        <v>118.98099999999999</v>
      </c>
      <c r="R559" s="309">
        <f t="shared" si="141"/>
        <v>1.0446</v>
      </c>
      <c r="S559" s="310">
        <f t="shared" si="142"/>
        <v>49172.891887072801</v>
      </c>
      <c r="T559" s="555">
        <f t="shared" si="143"/>
        <v>1328.9970780289946</v>
      </c>
      <c r="U559" s="311"/>
      <c r="V559" s="312">
        <v>37</v>
      </c>
      <c r="W559" s="299" t="s">
        <v>194</v>
      </c>
      <c r="X559" s="300">
        <v>44634</v>
      </c>
      <c r="Y559" s="299" t="s">
        <v>59</v>
      </c>
      <c r="Z559" s="303">
        <v>1473.9601117318434</v>
      </c>
      <c r="AA559" s="305">
        <f>IF(Z559=0,0,IF(Y559="MXN",1/HLOOKUP(YEAR(X559)+(MONTH(X559)/100),TC!$5:$37,DAY(X559)+2,FALSE),VLOOKUP(Y559,Equivalencia!$1:$23,((MAX(Equivalencia!$3:$3)-YEAR(X559))*14)+MONTH(X559)+2,FALSE)))</f>
        <v>1</v>
      </c>
      <c r="AB559" s="306">
        <f t="shared" si="144"/>
        <v>1473.9601117318434</v>
      </c>
      <c r="AC559" s="305">
        <f>+IF(X559=0,0,HLOOKUP(YEAR(X559)+(MONTH(X559)/100),TC!$5:$37,DAY(X559)+2,FALSE))</f>
        <v>20.974299999999999</v>
      </c>
      <c r="AD559" s="307">
        <f t="shared" si="145"/>
        <v>30915.281571497202</v>
      </c>
      <c r="AE559" s="314">
        <f t="shared" si="146"/>
        <v>49172.891887072801</v>
      </c>
      <c r="AF559" s="315">
        <f t="shared" si="147"/>
        <v>-18257.610315575599</v>
      </c>
      <c r="AG559" s="316">
        <f t="shared" si="148"/>
        <v>0.53698630136986303</v>
      </c>
      <c r="AH559" s="314">
        <v>1</v>
      </c>
      <c r="AI559" s="314">
        <f t="shared" si="149"/>
        <v>-18257.610315575599</v>
      </c>
      <c r="AJ559" s="314">
        <f t="shared" si="150"/>
        <v>0</v>
      </c>
      <c r="AK559" s="317"/>
      <c r="AL559" s="315">
        <f t="shared" si="151"/>
        <v>-838.97988826815663</v>
      </c>
      <c r="AN559" s="554">
        <f t="shared" si="152"/>
        <v>-0.36273309652137825</v>
      </c>
      <c r="AO559" s="314"/>
      <c r="AP559" s="318"/>
    </row>
    <row r="560" spans="2:42">
      <c r="B560" s="296" t="s">
        <v>1254</v>
      </c>
      <c r="C560" s="299" t="s">
        <v>277</v>
      </c>
      <c r="D560" s="298" t="s">
        <v>885</v>
      </c>
      <c r="E560" s="299" t="s">
        <v>113</v>
      </c>
      <c r="F560" s="299" t="s">
        <v>59</v>
      </c>
      <c r="G560" s="300">
        <v>44495</v>
      </c>
      <c r="H560" s="303">
        <v>70.955555555555563</v>
      </c>
      <c r="I560" s="301" t="str">
        <f t="shared" si="136"/>
        <v>Ingresos Sección II LISR (SIC &amp; BMV)</v>
      </c>
      <c r="J560" s="302">
        <f t="shared" si="137"/>
        <v>1</v>
      </c>
      <c r="K560" s="304">
        <f t="shared" si="138"/>
        <v>70.955555555555563</v>
      </c>
      <c r="L560" s="305">
        <f>IF(H560=0,0,IF(OR(E560=$AT$5,E560=$AT$6),AA560,IF(F560="MXN",1/HLOOKUP(YEAR(G560)+(MONTH(G560)/100),TC!$5:$37,DAY(G560)+2,FALSE),VLOOKUP(F560,Equivalencia!$5:$23,((MAX(Equivalencia!$3:$3)-YEAR(G560))*14)+MONTH(G560)+2,FALSE))))</f>
        <v>1</v>
      </c>
      <c r="M560" s="306">
        <f t="shared" si="139"/>
        <v>70.955555555555563</v>
      </c>
      <c r="N560" s="305">
        <f>IF(G560=0,0,(IF(OR(E560=$AT$5,E560=$AT$6),AC560,HLOOKUP(YEAR(G560)+(MONTH(G560)/100),TC!$5:$37,DAY(G560)+2,FALSE))))</f>
        <v>20.183700000000002</v>
      </c>
      <c r="O560" s="307">
        <f t="shared" si="140"/>
        <v>1432.1456466666668</v>
      </c>
      <c r="P560" s="560">
        <f>IF(G560=0,0,VLOOKUP(YEAR(G560),INPC!$B$4:$P$30,MONTH(G560)+2))</f>
        <v>115.56100000000001</v>
      </c>
      <c r="Q560" s="560">
        <f>IF(X560=0,0,IF(OR(E560=$AT$10,E560=$AT$9),VLOOKUP(YEAR(X560),INPC!$B$4:$P$30,MONTH(X560)+1),VLOOKUP(YEAR(X560),INPC!$B$4:$P$30,MONTH(X560)+2,0)))</f>
        <v>118.98099999999999</v>
      </c>
      <c r="R560" s="309">
        <f t="shared" si="141"/>
        <v>1.0295000000000001</v>
      </c>
      <c r="S560" s="310">
        <f t="shared" si="142"/>
        <v>1474.3939432433335</v>
      </c>
      <c r="T560" s="555">
        <f t="shared" si="143"/>
        <v>1474.3939432433335</v>
      </c>
      <c r="U560" s="311"/>
      <c r="V560" s="312">
        <v>1</v>
      </c>
      <c r="W560" s="299" t="s">
        <v>194</v>
      </c>
      <c r="X560" s="300">
        <v>44634</v>
      </c>
      <c r="Y560" s="299" t="s">
        <v>59</v>
      </c>
      <c r="Z560" s="303">
        <v>39.836759776536312</v>
      </c>
      <c r="AA560" s="305">
        <f>IF(Z560=0,0,IF(Y560="MXN",1/HLOOKUP(YEAR(X560)+(MONTH(X560)/100),TC!$5:$37,DAY(X560)+2,FALSE),VLOOKUP(Y560,Equivalencia!$1:$23,((MAX(Equivalencia!$3:$3)-YEAR(X560))*14)+MONTH(X560)+2,FALSE)))</f>
        <v>1</v>
      </c>
      <c r="AB560" s="306">
        <f t="shared" si="144"/>
        <v>39.836759776536312</v>
      </c>
      <c r="AC560" s="305">
        <f>+IF(X560=0,0,HLOOKUP(YEAR(X560)+(MONTH(X560)/100),TC!$5:$37,DAY(X560)+2,FALSE))</f>
        <v>20.974299999999999</v>
      </c>
      <c r="AD560" s="307">
        <f t="shared" si="145"/>
        <v>835.54815058100553</v>
      </c>
      <c r="AE560" s="314">
        <f t="shared" si="146"/>
        <v>1474.3939432433335</v>
      </c>
      <c r="AF560" s="315">
        <f t="shared" si="147"/>
        <v>-638.84579266232799</v>
      </c>
      <c r="AG560" s="316">
        <f t="shared" si="148"/>
        <v>0.38082191780821917</v>
      </c>
      <c r="AH560" s="314">
        <v>1</v>
      </c>
      <c r="AI560" s="314">
        <f t="shared" si="149"/>
        <v>-638.84579266232799</v>
      </c>
      <c r="AJ560" s="314">
        <f t="shared" si="150"/>
        <v>0</v>
      </c>
      <c r="AK560" s="317"/>
      <c r="AL560" s="315">
        <f t="shared" si="151"/>
        <v>-31.118795779019251</v>
      </c>
      <c r="AN560" s="554">
        <f t="shared" si="152"/>
        <v>-0.43856743189973885</v>
      </c>
      <c r="AO560" s="314"/>
      <c r="AP560" s="318"/>
    </row>
    <row r="561" spans="2:42">
      <c r="B561" s="296" t="s">
        <v>1254</v>
      </c>
      <c r="C561" s="299" t="s">
        <v>277</v>
      </c>
      <c r="D561" s="298" t="s">
        <v>885</v>
      </c>
      <c r="E561" s="299" t="s">
        <v>113</v>
      </c>
      <c r="F561" s="299" t="s">
        <v>59</v>
      </c>
      <c r="G561" s="300">
        <v>44495</v>
      </c>
      <c r="H561" s="303">
        <v>425.73333333333335</v>
      </c>
      <c r="I561" s="301" t="str">
        <f t="shared" si="136"/>
        <v>Ingresos Sección II LISR (SIC &amp; BMV)</v>
      </c>
      <c r="J561" s="302">
        <f t="shared" si="137"/>
        <v>6</v>
      </c>
      <c r="K561" s="304">
        <f t="shared" si="138"/>
        <v>70.955555555555563</v>
      </c>
      <c r="L561" s="305">
        <f>IF(H561=0,0,IF(OR(E561=$AT$5,E561=$AT$6),AA561,IF(F561="MXN",1/HLOOKUP(YEAR(G561)+(MONTH(G561)/100),TC!$5:$37,DAY(G561)+2,FALSE),VLOOKUP(F561,Equivalencia!$5:$23,((MAX(Equivalencia!$3:$3)-YEAR(G561))*14)+MONTH(G561)+2,FALSE))))</f>
        <v>1</v>
      </c>
      <c r="M561" s="306">
        <f t="shared" si="139"/>
        <v>425.73333333333335</v>
      </c>
      <c r="N561" s="305">
        <f>IF(G561=0,0,(IF(OR(E561=$AT$5,E561=$AT$6),AC561,HLOOKUP(YEAR(G561)+(MONTH(G561)/100),TC!$5:$37,DAY(G561)+2,FALSE))))</f>
        <v>20.183700000000002</v>
      </c>
      <c r="O561" s="307">
        <f t="shared" si="140"/>
        <v>8592.873880000001</v>
      </c>
      <c r="P561" s="560">
        <f>IF(G561=0,0,VLOOKUP(YEAR(G561),INPC!$B$4:$P$30,MONTH(G561)+2))</f>
        <v>115.56100000000001</v>
      </c>
      <c r="Q561" s="560">
        <f>IF(X561=0,0,IF(OR(E561=$AT$10,E561=$AT$9),VLOOKUP(YEAR(X561),INPC!$B$4:$P$30,MONTH(X561)+1),VLOOKUP(YEAR(X561),INPC!$B$4:$P$30,MONTH(X561)+2,0)))</f>
        <v>118.98099999999999</v>
      </c>
      <c r="R561" s="309">
        <f t="shared" si="141"/>
        <v>1.0295000000000001</v>
      </c>
      <c r="S561" s="310">
        <f t="shared" si="142"/>
        <v>8846.3636594600011</v>
      </c>
      <c r="T561" s="555">
        <f t="shared" si="143"/>
        <v>1474.3939432433335</v>
      </c>
      <c r="U561" s="311"/>
      <c r="V561" s="312">
        <v>6</v>
      </c>
      <c r="W561" s="299" t="s">
        <v>194</v>
      </c>
      <c r="X561" s="300">
        <v>44634</v>
      </c>
      <c r="Y561" s="299" t="s">
        <v>59</v>
      </c>
      <c r="Z561" s="303">
        <v>233.94</v>
      </c>
      <c r="AA561" s="305">
        <f>IF(Z561=0,0,IF(Y561="MXN",1/HLOOKUP(YEAR(X561)+(MONTH(X561)/100),TC!$5:$37,DAY(X561)+2,FALSE),VLOOKUP(Y561,Equivalencia!$1:$23,((MAX(Equivalencia!$3:$3)-YEAR(X561))*14)+MONTH(X561)+2,FALSE)))</f>
        <v>1</v>
      </c>
      <c r="AB561" s="306">
        <f t="shared" si="144"/>
        <v>233.94</v>
      </c>
      <c r="AC561" s="305">
        <f>+IF(X561=0,0,HLOOKUP(YEAR(X561)+(MONTH(X561)/100),TC!$5:$37,DAY(X561)+2,FALSE))</f>
        <v>20.974299999999999</v>
      </c>
      <c r="AD561" s="307">
        <f t="shared" si="145"/>
        <v>4906.727742</v>
      </c>
      <c r="AE561" s="314">
        <f t="shared" si="146"/>
        <v>8846.3636594600011</v>
      </c>
      <c r="AF561" s="315">
        <f t="shared" si="147"/>
        <v>-3939.6359174600011</v>
      </c>
      <c r="AG561" s="316">
        <f t="shared" si="148"/>
        <v>0.38082191780821917</v>
      </c>
      <c r="AH561" s="314">
        <v>1</v>
      </c>
      <c r="AI561" s="314">
        <f t="shared" si="149"/>
        <v>-3939.6359174600011</v>
      </c>
      <c r="AJ561" s="314">
        <f t="shared" si="150"/>
        <v>0</v>
      </c>
      <c r="AK561" s="317"/>
      <c r="AL561" s="315">
        <f t="shared" si="151"/>
        <v>-191.79333333333335</v>
      </c>
      <c r="AN561" s="554">
        <f t="shared" si="152"/>
        <v>-0.45050109614782341</v>
      </c>
      <c r="AO561" s="314"/>
      <c r="AP561" s="318"/>
    </row>
    <row r="562" spans="2:42">
      <c r="B562" s="296" t="s">
        <v>1254</v>
      </c>
      <c r="C562" s="299" t="s">
        <v>277</v>
      </c>
      <c r="D562" s="298" t="s">
        <v>885</v>
      </c>
      <c r="E562" s="299" t="s">
        <v>113</v>
      </c>
      <c r="F562" s="299" t="s">
        <v>59</v>
      </c>
      <c r="G562" s="300">
        <v>44495</v>
      </c>
      <c r="H562" s="303">
        <v>141.91111111111113</v>
      </c>
      <c r="I562" s="301" t="str">
        <f t="shared" si="136"/>
        <v>Ingresos Sección II LISR (SIC &amp; BMV)</v>
      </c>
      <c r="J562" s="302">
        <f t="shared" si="137"/>
        <v>2</v>
      </c>
      <c r="K562" s="304">
        <f t="shared" si="138"/>
        <v>70.955555555555563</v>
      </c>
      <c r="L562" s="305">
        <f>IF(H562=0,0,IF(OR(E562=$AT$5,E562=$AT$6),AA562,IF(F562="MXN",1/HLOOKUP(YEAR(G562)+(MONTH(G562)/100),TC!$5:$37,DAY(G562)+2,FALSE),VLOOKUP(F562,Equivalencia!$5:$23,((MAX(Equivalencia!$3:$3)-YEAR(G562))*14)+MONTH(G562)+2,FALSE))))</f>
        <v>1</v>
      </c>
      <c r="M562" s="306">
        <f t="shared" si="139"/>
        <v>141.91111111111113</v>
      </c>
      <c r="N562" s="305">
        <f>IF(G562=0,0,(IF(OR(E562=$AT$5,E562=$AT$6),AC562,HLOOKUP(YEAR(G562)+(MONTH(G562)/100),TC!$5:$37,DAY(G562)+2,FALSE))))</f>
        <v>20.183700000000002</v>
      </c>
      <c r="O562" s="307">
        <f t="shared" si="140"/>
        <v>2864.2912933333337</v>
      </c>
      <c r="P562" s="560">
        <f>IF(G562=0,0,VLOOKUP(YEAR(G562),INPC!$B$4:$P$30,MONTH(G562)+2))</f>
        <v>115.56100000000001</v>
      </c>
      <c r="Q562" s="560">
        <f>IF(X562=0,0,IF(OR(E562=$AT$10,E562=$AT$9),VLOOKUP(YEAR(X562),INPC!$B$4:$P$30,MONTH(X562)+1),VLOOKUP(YEAR(X562),INPC!$B$4:$P$30,MONTH(X562)+2,0)))</f>
        <v>118.98099999999999</v>
      </c>
      <c r="R562" s="309">
        <f t="shared" si="141"/>
        <v>1.0295000000000001</v>
      </c>
      <c r="S562" s="310">
        <f t="shared" si="142"/>
        <v>2948.787886486667</v>
      </c>
      <c r="T562" s="555">
        <f t="shared" si="143"/>
        <v>1474.3939432433335</v>
      </c>
      <c r="U562" s="311"/>
      <c r="V562" s="312">
        <v>2</v>
      </c>
      <c r="W562" s="299" t="s">
        <v>194</v>
      </c>
      <c r="X562" s="300">
        <v>44635</v>
      </c>
      <c r="Y562" s="299" t="s">
        <v>59</v>
      </c>
      <c r="Z562" s="303">
        <v>77.572478632478635</v>
      </c>
      <c r="AA562" s="305">
        <f>IF(Z562=0,0,IF(Y562="MXN",1/HLOOKUP(YEAR(X562)+(MONTH(X562)/100),TC!$5:$37,DAY(X562)+2,FALSE),VLOOKUP(Y562,Equivalencia!$1:$23,((MAX(Equivalencia!$3:$3)-YEAR(X562))*14)+MONTH(X562)+2,FALSE)))</f>
        <v>1</v>
      </c>
      <c r="AB562" s="306">
        <f t="shared" si="144"/>
        <v>77.572478632478635</v>
      </c>
      <c r="AC562" s="305">
        <f>+IF(X562=0,0,HLOOKUP(YEAR(X562)+(MONTH(X562)/100),TC!$5:$37,DAY(X562)+2,FALSE))</f>
        <v>20.9695</v>
      </c>
      <c r="AD562" s="307">
        <f t="shared" si="145"/>
        <v>1626.6560906837608</v>
      </c>
      <c r="AE562" s="314">
        <f t="shared" si="146"/>
        <v>2948.787886486667</v>
      </c>
      <c r="AF562" s="315">
        <f t="shared" si="147"/>
        <v>-1322.1317958029063</v>
      </c>
      <c r="AG562" s="316">
        <f t="shared" si="148"/>
        <v>0.38356164383561642</v>
      </c>
      <c r="AH562" s="314">
        <v>1</v>
      </c>
      <c r="AI562" s="314">
        <f t="shared" si="149"/>
        <v>-1322.1317958029063</v>
      </c>
      <c r="AJ562" s="314">
        <f t="shared" si="150"/>
        <v>0</v>
      </c>
      <c r="AK562" s="317"/>
      <c r="AL562" s="315">
        <f t="shared" si="151"/>
        <v>-64.338632478632491</v>
      </c>
      <c r="AN562" s="554">
        <f t="shared" si="152"/>
        <v>-0.45337276253342651</v>
      </c>
      <c r="AO562" s="314"/>
      <c r="AP562" s="318"/>
    </row>
    <row r="563" spans="2:42">
      <c r="B563" s="296" t="s">
        <v>1254</v>
      </c>
      <c r="C563" s="299" t="s">
        <v>277</v>
      </c>
      <c r="D563" s="298" t="s">
        <v>885</v>
      </c>
      <c r="E563" s="299" t="s">
        <v>113</v>
      </c>
      <c r="F563" s="299" t="s">
        <v>59</v>
      </c>
      <c r="G563" s="300">
        <v>44495</v>
      </c>
      <c r="H563" s="303">
        <v>1268.26</v>
      </c>
      <c r="I563" s="301" t="str">
        <f t="shared" si="136"/>
        <v>Ingresos Sección II LISR (SIC &amp; BMV)</v>
      </c>
      <c r="J563" s="302">
        <f t="shared" si="137"/>
        <v>18</v>
      </c>
      <c r="K563" s="304">
        <f t="shared" si="138"/>
        <v>70.458888888888893</v>
      </c>
      <c r="L563" s="305">
        <f>IF(H563=0,0,IF(OR(E563=$AT$5,E563=$AT$6),AA563,IF(F563="MXN",1/HLOOKUP(YEAR(G563)+(MONTH(G563)/100),TC!$5:$37,DAY(G563)+2,FALSE),VLOOKUP(F563,Equivalencia!$5:$23,((MAX(Equivalencia!$3:$3)-YEAR(G563))*14)+MONTH(G563)+2,FALSE))))</f>
        <v>1</v>
      </c>
      <c r="M563" s="306">
        <f t="shared" si="139"/>
        <v>1268.26</v>
      </c>
      <c r="N563" s="305">
        <f>IF(G563=0,0,(IF(OR(E563=$AT$5,E563=$AT$6),AC563,HLOOKUP(YEAR(G563)+(MONTH(G563)/100),TC!$5:$37,DAY(G563)+2,FALSE))))</f>
        <v>20.183700000000002</v>
      </c>
      <c r="O563" s="307">
        <f t="shared" si="140"/>
        <v>25598.179362000003</v>
      </c>
      <c r="P563" s="560">
        <f>IF(G563=0,0,VLOOKUP(YEAR(G563),INPC!$B$4:$P$30,MONTH(G563)+2))</f>
        <v>115.56100000000001</v>
      </c>
      <c r="Q563" s="560">
        <f>IF(X563=0,0,IF(OR(E563=$AT$10,E563=$AT$9),VLOOKUP(YEAR(X563),INPC!$B$4:$P$30,MONTH(X563)+1),VLOOKUP(YEAR(X563),INPC!$B$4:$P$30,MONTH(X563)+2,0)))</f>
        <v>118.98099999999999</v>
      </c>
      <c r="R563" s="309">
        <f t="shared" si="141"/>
        <v>1.0295000000000001</v>
      </c>
      <c r="S563" s="310">
        <f t="shared" si="142"/>
        <v>26353.325653179003</v>
      </c>
      <c r="T563" s="555">
        <f t="shared" si="143"/>
        <v>1464.0736473988336</v>
      </c>
      <c r="U563" s="311"/>
      <c r="V563" s="312">
        <v>18</v>
      </c>
      <c r="W563" s="299" t="s">
        <v>194</v>
      </c>
      <c r="X563" s="300">
        <v>44635</v>
      </c>
      <c r="Y563" s="299" t="s">
        <v>59</v>
      </c>
      <c r="Z563" s="303">
        <v>698.15230769230766</v>
      </c>
      <c r="AA563" s="305">
        <f>IF(Z563=0,0,IF(Y563="MXN",1/HLOOKUP(YEAR(X563)+(MONTH(X563)/100),TC!$5:$37,DAY(X563)+2,FALSE),VLOOKUP(Y563,Equivalencia!$1:$23,((MAX(Equivalencia!$3:$3)-YEAR(X563))*14)+MONTH(X563)+2,FALSE)))</f>
        <v>1</v>
      </c>
      <c r="AB563" s="306">
        <f t="shared" si="144"/>
        <v>698.15230769230766</v>
      </c>
      <c r="AC563" s="305">
        <f>+IF(X563=0,0,HLOOKUP(YEAR(X563)+(MONTH(X563)/100),TC!$5:$37,DAY(X563)+2,FALSE))</f>
        <v>20.9695</v>
      </c>
      <c r="AD563" s="307">
        <f t="shared" si="145"/>
        <v>14639.904816153845</v>
      </c>
      <c r="AE563" s="314">
        <f t="shared" si="146"/>
        <v>26353.325653179003</v>
      </c>
      <c r="AF563" s="315">
        <f t="shared" si="147"/>
        <v>-11713.420837025158</v>
      </c>
      <c r="AG563" s="316">
        <f t="shared" si="148"/>
        <v>0.38356164383561642</v>
      </c>
      <c r="AH563" s="314">
        <v>1</v>
      </c>
      <c r="AI563" s="314">
        <f t="shared" si="149"/>
        <v>-11713.420837025158</v>
      </c>
      <c r="AJ563" s="314">
        <f t="shared" si="150"/>
        <v>0</v>
      </c>
      <c r="AK563" s="317"/>
      <c r="AL563" s="315">
        <f t="shared" si="151"/>
        <v>-570.10769230769233</v>
      </c>
      <c r="AN563" s="554">
        <f t="shared" si="152"/>
        <v>-0.44951957193926506</v>
      </c>
      <c r="AO563" s="314"/>
      <c r="AP563" s="318"/>
    </row>
    <row r="564" spans="2:42">
      <c r="B564" s="296" t="s">
        <v>1254</v>
      </c>
      <c r="C564" s="299" t="s">
        <v>277</v>
      </c>
      <c r="D564" s="298" t="s">
        <v>885</v>
      </c>
      <c r="E564" s="299" t="s">
        <v>113</v>
      </c>
      <c r="F564" s="299" t="s">
        <v>59</v>
      </c>
      <c r="G564" s="300">
        <v>44495</v>
      </c>
      <c r="H564" s="303">
        <v>1833.7900000000002</v>
      </c>
      <c r="I564" s="301" t="str">
        <f t="shared" si="136"/>
        <v>Ingresos Sección II LISR (SIC &amp; BMV)</v>
      </c>
      <c r="J564" s="302">
        <f t="shared" si="137"/>
        <v>26</v>
      </c>
      <c r="K564" s="304">
        <f t="shared" si="138"/>
        <v>70.530384615384619</v>
      </c>
      <c r="L564" s="305">
        <f>IF(H564=0,0,IF(OR(E564=$AT$5,E564=$AT$6),AA564,IF(F564="MXN",1/HLOOKUP(YEAR(G564)+(MONTH(G564)/100),TC!$5:$37,DAY(G564)+2,FALSE),VLOOKUP(F564,Equivalencia!$5:$23,((MAX(Equivalencia!$3:$3)-YEAR(G564))*14)+MONTH(G564)+2,FALSE))))</f>
        <v>1</v>
      </c>
      <c r="M564" s="306">
        <f t="shared" si="139"/>
        <v>1833.7900000000002</v>
      </c>
      <c r="N564" s="305">
        <f>IF(G564=0,0,(IF(OR(E564=$AT$5,E564=$AT$6),AC564,HLOOKUP(YEAR(G564)+(MONTH(G564)/100),TC!$5:$37,DAY(G564)+2,FALSE))))</f>
        <v>20.183700000000002</v>
      </c>
      <c r="O564" s="307">
        <f t="shared" si="140"/>
        <v>37012.667223000004</v>
      </c>
      <c r="P564" s="560">
        <f>IF(G564=0,0,VLOOKUP(YEAR(G564),INPC!$B$4:$P$30,MONTH(G564)+2))</f>
        <v>115.56100000000001</v>
      </c>
      <c r="Q564" s="560">
        <f>IF(X564=0,0,IF(OR(E564=$AT$10,E564=$AT$9),VLOOKUP(YEAR(X564),INPC!$B$4:$P$30,MONTH(X564)+1),VLOOKUP(YEAR(X564),INPC!$B$4:$P$30,MONTH(X564)+2,0)))</f>
        <v>118.98099999999999</v>
      </c>
      <c r="R564" s="309">
        <f t="shared" si="141"/>
        <v>1.0295000000000001</v>
      </c>
      <c r="S564" s="310">
        <f t="shared" si="142"/>
        <v>38104.54090607851</v>
      </c>
      <c r="T564" s="555">
        <f t="shared" si="143"/>
        <v>1465.5592656184042</v>
      </c>
      <c r="U564" s="311"/>
      <c r="V564" s="312">
        <v>26</v>
      </c>
      <c r="W564" s="299" t="s">
        <v>194</v>
      </c>
      <c r="X564" s="300">
        <v>44635</v>
      </c>
      <c r="Y564" s="299" t="s">
        <v>59</v>
      </c>
      <c r="Z564" s="303">
        <v>1008.4422222222222</v>
      </c>
      <c r="AA564" s="305">
        <f>IF(Z564=0,0,IF(Y564="MXN",1/HLOOKUP(YEAR(X564)+(MONTH(X564)/100),TC!$5:$37,DAY(X564)+2,FALSE),VLOOKUP(Y564,Equivalencia!$1:$23,((MAX(Equivalencia!$3:$3)-YEAR(X564))*14)+MONTH(X564)+2,FALSE)))</f>
        <v>1</v>
      </c>
      <c r="AB564" s="306">
        <f t="shared" si="144"/>
        <v>1008.4422222222222</v>
      </c>
      <c r="AC564" s="305">
        <f>+IF(X564=0,0,HLOOKUP(YEAR(X564)+(MONTH(X564)/100),TC!$5:$37,DAY(X564)+2,FALSE))</f>
        <v>20.9695</v>
      </c>
      <c r="AD564" s="307">
        <f t="shared" si="145"/>
        <v>21146.52917888889</v>
      </c>
      <c r="AE564" s="314">
        <f t="shared" si="146"/>
        <v>38104.54090607851</v>
      </c>
      <c r="AF564" s="315">
        <f t="shared" si="147"/>
        <v>-16958.01172718962</v>
      </c>
      <c r="AG564" s="316">
        <f t="shared" si="148"/>
        <v>0.38356164383561642</v>
      </c>
      <c r="AH564" s="314">
        <v>1</v>
      </c>
      <c r="AI564" s="314">
        <f t="shared" si="149"/>
        <v>-16958.01172718962</v>
      </c>
      <c r="AJ564" s="314">
        <f t="shared" si="150"/>
        <v>0</v>
      </c>
      <c r="AK564" s="317"/>
      <c r="AL564" s="315">
        <f t="shared" si="151"/>
        <v>-825.34777777777799</v>
      </c>
      <c r="AN564" s="554">
        <f t="shared" si="152"/>
        <v>-0.45007758673445591</v>
      </c>
      <c r="AO564" s="314"/>
      <c r="AP564" s="318"/>
    </row>
    <row r="565" spans="2:42">
      <c r="B565" s="296" t="s">
        <v>1254</v>
      </c>
      <c r="C565" s="299" t="s">
        <v>277</v>
      </c>
      <c r="D565" s="298" t="s">
        <v>885</v>
      </c>
      <c r="E565" s="299" t="s">
        <v>113</v>
      </c>
      <c r="F565" s="299" t="s">
        <v>59</v>
      </c>
      <c r="G565" s="300">
        <v>44495</v>
      </c>
      <c r="H565" s="303">
        <v>2204.5700000000002</v>
      </c>
      <c r="I565" s="301" t="str">
        <f t="shared" si="136"/>
        <v>Ingresos Sección II LISR (SIC &amp; BMV)</v>
      </c>
      <c r="J565" s="302">
        <f t="shared" si="137"/>
        <v>31</v>
      </c>
      <c r="K565" s="304">
        <f t="shared" si="138"/>
        <v>71.11516129032259</v>
      </c>
      <c r="L565" s="305">
        <f>IF(H565=0,0,IF(OR(E565=$AT$5,E565=$AT$6),AA565,IF(F565="MXN",1/HLOOKUP(YEAR(G565)+(MONTH(G565)/100),TC!$5:$37,DAY(G565)+2,FALSE),VLOOKUP(F565,Equivalencia!$5:$23,((MAX(Equivalencia!$3:$3)-YEAR(G565))*14)+MONTH(G565)+2,FALSE))))</f>
        <v>1</v>
      </c>
      <c r="M565" s="306">
        <f t="shared" si="139"/>
        <v>2204.5700000000002</v>
      </c>
      <c r="N565" s="305">
        <f>IF(G565=0,0,(IF(OR(E565=$AT$5,E565=$AT$6),AC565,HLOOKUP(YEAR(G565)+(MONTH(G565)/100),TC!$5:$37,DAY(G565)+2,FALSE))))</f>
        <v>20.183700000000002</v>
      </c>
      <c r="O565" s="307">
        <f t="shared" si="140"/>
        <v>44496.379509000006</v>
      </c>
      <c r="P565" s="560">
        <f>IF(G565=0,0,VLOOKUP(YEAR(G565),INPC!$B$4:$P$30,MONTH(G565)+2))</f>
        <v>115.56100000000001</v>
      </c>
      <c r="Q565" s="560">
        <f>IF(X565=0,0,IF(OR(E565=$AT$10,E565=$AT$9),VLOOKUP(YEAR(X565),INPC!$B$4:$P$30,MONTH(X565)+1),VLOOKUP(YEAR(X565),INPC!$B$4:$P$30,MONTH(X565)+2,0)))</f>
        <v>118.98099999999999</v>
      </c>
      <c r="R565" s="309">
        <f t="shared" si="141"/>
        <v>1.0295000000000001</v>
      </c>
      <c r="S565" s="310">
        <f t="shared" si="142"/>
        <v>45809.022704515512</v>
      </c>
      <c r="T565" s="555">
        <f t="shared" si="143"/>
        <v>1477.7104098230809</v>
      </c>
      <c r="U565" s="311"/>
      <c r="V565" s="312">
        <v>31</v>
      </c>
      <c r="W565" s="299" t="s">
        <v>194</v>
      </c>
      <c r="X565" s="300">
        <v>44635</v>
      </c>
      <c r="Y565" s="299" t="s">
        <v>59</v>
      </c>
      <c r="Z565" s="303">
        <v>1202.3734188034189</v>
      </c>
      <c r="AA565" s="305">
        <f>IF(Z565=0,0,IF(Y565="MXN",1/HLOOKUP(YEAR(X565)+(MONTH(X565)/100),TC!$5:$37,DAY(X565)+2,FALSE),VLOOKUP(Y565,Equivalencia!$1:$23,((MAX(Equivalencia!$3:$3)-YEAR(X565))*14)+MONTH(X565)+2,FALSE)))</f>
        <v>1</v>
      </c>
      <c r="AB565" s="306">
        <f t="shared" si="144"/>
        <v>1202.3734188034189</v>
      </c>
      <c r="AC565" s="305">
        <f>+IF(X565=0,0,HLOOKUP(YEAR(X565)+(MONTH(X565)/100),TC!$5:$37,DAY(X565)+2,FALSE))</f>
        <v>20.9695</v>
      </c>
      <c r="AD565" s="307">
        <f t="shared" si="145"/>
        <v>25213.169405598292</v>
      </c>
      <c r="AE565" s="314">
        <f t="shared" si="146"/>
        <v>45809.022704515512</v>
      </c>
      <c r="AF565" s="315">
        <f t="shared" si="147"/>
        <v>-20595.85329891722</v>
      </c>
      <c r="AG565" s="316">
        <f t="shared" si="148"/>
        <v>0.38356164383561642</v>
      </c>
      <c r="AH565" s="314">
        <v>1</v>
      </c>
      <c r="AI565" s="314">
        <f t="shared" si="149"/>
        <v>-20595.85329891722</v>
      </c>
      <c r="AJ565" s="314">
        <f t="shared" si="150"/>
        <v>0</v>
      </c>
      <c r="AK565" s="317"/>
      <c r="AL565" s="315">
        <f t="shared" si="151"/>
        <v>-1002.1965811965813</v>
      </c>
      <c r="AN565" s="554">
        <f t="shared" si="152"/>
        <v>-0.45459957324856148</v>
      </c>
      <c r="AO565" s="314"/>
      <c r="AP565" s="318"/>
    </row>
    <row r="566" spans="2:42">
      <c r="B566" s="296" t="s">
        <v>1254</v>
      </c>
      <c r="C566" s="299" t="s">
        <v>277</v>
      </c>
      <c r="D566" s="298" t="s">
        <v>885</v>
      </c>
      <c r="E566" s="299" t="s">
        <v>113</v>
      </c>
      <c r="F566" s="299" t="s">
        <v>59</v>
      </c>
      <c r="G566" s="300">
        <v>44495</v>
      </c>
      <c r="H566" s="303">
        <v>2844.6000000000004</v>
      </c>
      <c r="I566" s="301" t="str">
        <f t="shared" si="136"/>
        <v>Ingresos Sección II LISR (SIC &amp; BMV)</v>
      </c>
      <c r="J566" s="302">
        <f t="shared" si="137"/>
        <v>40</v>
      </c>
      <c r="K566" s="304">
        <f t="shared" si="138"/>
        <v>71.115000000000009</v>
      </c>
      <c r="L566" s="305">
        <f>IF(H566=0,0,IF(OR(E566=$AT$5,E566=$AT$6),AA566,IF(F566="MXN",1/HLOOKUP(YEAR(G566)+(MONTH(G566)/100),TC!$5:$37,DAY(G566)+2,FALSE),VLOOKUP(F566,Equivalencia!$5:$23,((MAX(Equivalencia!$3:$3)-YEAR(G566))*14)+MONTH(G566)+2,FALSE))))</f>
        <v>1</v>
      </c>
      <c r="M566" s="306">
        <f t="shared" si="139"/>
        <v>2844.6000000000004</v>
      </c>
      <c r="N566" s="305">
        <f>IF(G566=0,0,(IF(OR(E566=$AT$5,E566=$AT$6),AC566,HLOOKUP(YEAR(G566)+(MONTH(G566)/100),TC!$5:$37,DAY(G566)+2,FALSE))))</f>
        <v>20.183700000000002</v>
      </c>
      <c r="O566" s="307">
        <f t="shared" si="140"/>
        <v>57414.553020000014</v>
      </c>
      <c r="P566" s="560">
        <f>IF(G566=0,0,VLOOKUP(YEAR(G566),INPC!$B$4:$P$30,MONTH(G566)+2))</f>
        <v>115.56100000000001</v>
      </c>
      <c r="Q566" s="560">
        <f>IF(X566=0,0,IF(OR(E566=$AT$10,E566=$AT$9),VLOOKUP(YEAR(X566),INPC!$B$4:$P$30,MONTH(X566)+1),VLOOKUP(YEAR(X566),INPC!$B$4:$P$30,MONTH(X566)+2,0)))</f>
        <v>118.98099999999999</v>
      </c>
      <c r="R566" s="309">
        <f t="shared" si="141"/>
        <v>1.0295000000000001</v>
      </c>
      <c r="S566" s="310">
        <f t="shared" si="142"/>
        <v>59108.282334090021</v>
      </c>
      <c r="T566" s="555">
        <f t="shared" si="143"/>
        <v>1477.7070583522504</v>
      </c>
      <c r="U566" s="311"/>
      <c r="V566" s="312">
        <v>40</v>
      </c>
      <c r="W566" s="299" t="s">
        <v>194</v>
      </c>
      <c r="X566" s="300">
        <v>44635</v>
      </c>
      <c r="Y566" s="299" t="s">
        <v>59</v>
      </c>
      <c r="Z566" s="303">
        <v>1551.4495726495727</v>
      </c>
      <c r="AA566" s="305">
        <f>IF(Z566=0,0,IF(Y566="MXN",1/HLOOKUP(YEAR(X566)+(MONTH(X566)/100),TC!$5:$37,DAY(X566)+2,FALSE),VLOOKUP(Y566,Equivalencia!$1:$23,((MAX(Equivalencia!$3:$3)-YEAR(X566))*14)+MONTH(X566)+2,FALSE)))</f>
        <v>1</v>
      </c>
      <c r="AB566" s="306">
        <f t="shared" si="144"/>
        <v>1551.4495726495727</v>
      </c>
      <c r="AC566" s="305">
        <f>+IF(X566=0,0,HLOOKUP(YEAR(X566)+(MONTH(X566)/100),TC!$5:$37,DAY(X566)+2,FALSE))</f>
        <v>20.9695</v>
      </c>
      <c r="AD566" s="307">
        <f t="shared" si="145"/>
        <v>32533.121813675214</v>
      </c>
      <c r="AE566" s="314">
        <f t="shared" si="146"/>
        <v>59108.282334090021</v>
      </c>
      <c r="AF566" s="315">
        <f t="shared" si="147"/>
        <v>-26575.160520414807</v>
      </c>
      <c r="AG566" s="316">
        <f t="shared" si="148"/>
        <v>0.38356164383561642</v>
      </c>
      <c r="AH566" s="314">
        <v>1</v>
      </c>
      <c r="AI566" s="314">
        <f t="shared" si="149"/>
        <v>-26575.160520414807</v>
      </c>
      <c r="AJ566" s="314">
        <f t="shared" si="150"/>
        <v>0</v>
      </c>
      <c r="AK566" s="317"/>
      <c r="AL566" s="315">
        <f t="shared" si="151"/>
        <v>-1293.1504273504277</v>
      </c>
      <c r="AN566" s="554">
        <f t="shared" si="152"/>
        <v>-0.45459833626886997</v>
      </c>
      <c r="AO566" s="314"/>
      <c r="AP566" s="318"/>
    </row>
    <row r="567" spans="2:42">
      <c r="B567" s="296" t="s">
        <v>1254</v>
      </c>
      <c r="C567" s="299" t="s">
        <v>277</v>
      </c>
      <c r="D567" s="298" t="s">
        <v>885</v>
      </c>
      <c r="E567" s="299" t="s">
        <v>113</v>
      </c>
      <c r="F567" s="299" t="s">
        <v>59</v>
      </c>
      <c r="G567" s="300">
        <v>44495</v>
      </c>
      <c r="H567" s="303">
        <v>213.34500000000003</v>
      </c>
      <c r="I567" s="301" t="str">
        <f t="shared" si="136"/>
        <v>Ingresos Sección II LISR (SIC &amp; BMV)</v>
      </c>
      <c r="J567" s="302">
        <f t="shared" si="137"/>
        <v>3</v>
      </c>
      <c r="K567" s="304">
        <f t="shared" si="138"/>
        <v>71.115000000000009</v>
      </c>
      <c r="L567" s="305">
        <f>IF(H567=0,0,IF(OR(E567=$AT$5,E567=$AT$6),AA567,IF(F567="MXN",1/HLOOKUP(YEAR(G567)+(MONTH(G567)/100),TC!$5:$37,DAY(G567)+2,FALSE),VLOOKUP(F567,Equivalencia!$5:$23,((MAX(Equivalencia!$3:$3)-YEAR(G567))*14)+MONTH(G567)+2,FALSE))))</f>
        <v>1</v>
      </c>
      <c r="M567" s="306">
        <f t="shared" si="139"/>
        <v>213.34500000000003</v>
      </c>
      <c r="N567" s="305">
        <f>IF(G567=0,0,(IF(OR(E567=$AT$5,E567=$AT$6),AC567,HLOOKUP(YEAR(G567)+(MONTH(G567)/100),TC!$5:$37,DAY(G567)+2,FALSE))))</f>
        <v>20.183700000000002</v>
      </c>
      <c r="O567" s="307">
        <f t="shared" si="140"/>
        <v>4306.0914765000007</v>
      </c>
      <c r="P567" s="560">
        <f>IF(G567=0,0,VLOOKUP(YEAR(G567),INPC!$B$4:$P$30,MONTH(G567)+2))</f>
        <v>115.56100000000001</v>
      </c>
      <c r="Q567" s="560">
        <f>IF(X567=0,0,IF(OR(E567=$AT$10,E567=$AT$9),VLOOKUP(YEAR(X567),INPC!$B$4:$P$30,MONTH(X567)+1),VLOOKUP(YEAR(X567),INPC!$B$4:$P$30,MONTH(X567)+2,0)))</f>
        <v>118.98099999999999</v>
      </c>
      <c r="R567" s="309">
        <f t="shared" si="141"/>
        <v>1.0295000000000001</v>
      </c>
      <c r="S567" s="310">
        <f t="shared" si="142"/>
        <v>4433.1211750567509</v>
      </c>
      <c r="T567" s="555">
        <f t="shared" si="143"/>
        <v>1477.7070583522502</v>
      </c>
      <c r="U567" s="311"/>
      <c r="V567" s="312">
        <v>3</v>
      </c>
      <c r="W567" s="299" t="s">
        <v>194</v>
      </c>
      <c r="X567" s="300">
        <v>44635</v>
      </c>
      <c r="Y567" s="299" t="s">
        <v>59</v>
      </c>
      <c r="Z567" s="303">
        <v>116.1</v>
      </c>
      <c r="AA567" s="305">
        <f>IF(Z567=0,0,IF(Y567="MXN",1/HLOOKUP(YEAR(X567)+(MONTH(X567)/100),TC!$5:$37,DAY(X567)+2,FALSE),VLOOKUP(Y567,Equivalencia!$1:$23,((MAX(Equivalencia!$3:$3)-YEAR(X567))*14)+MONTH(X567)+2,FALSE)))</f>
        <v>1</v>
      </c>
      <c r="AB567" s="306">
        <f t="shared" si="144"/>
        <v>116.1</v>
      </c>
      <c r="AC567" s="305">
        <f>+IF(X567=0,0,HLOOKUP(YEAR(X567)+(MONTH(X567)/100),TC!$5:$37,DAY(X567)+2,FALSE))</f>
        <v>20.9695</v>
      </c>
      <c r="AD567" s="307">
        <f t="shared" si="145"/>
        <v>2434.5589500000001</v>
      </c>
      <c r="AE567" s="314">
        <f t="shared" si="146"/>
        <v>4433.1211750567509</v>
      </c>
      <c r="AF567" s="315">
        <f t="shared" si="147"/>
        <v>-1998.5622250567508</v>
      </c>
      <c r="AG567" s="316">
        <f t="shared" si="148"/>
        <v>0.38356164383561642</v>
      </c>
      <c r="AH567" s="314">
        <v>1</v>
      </c>
      <c r="AI567" s="314">
        <f t="shared" si="149"/>
        <v>-1998.5622250567508</v>
      </c>
      <c r="AJ567" s="314">
        <f t="shared" si="150"/>
        <v>0</v>
      </c>
      <c r="AK567" s="317"/>
      <c r="AL567" s="315">
        <f t="shared" si="151"/>
        <v>-97.245000000000033</v>
      </c>
      <c r="AN567" s="554">
        <f t="shared" si="152"/>
        <v>-0.45581101033537236</v>
      </c>
      <c r="AO567" s="314"/>
      <c r="AP567" s="318"/>
    </row>
    <row r="568" spans="2:42">
      <c r="B568" s="296" t="s">
        <v>1254</v>
      </c>
      <c r="C568" s="299" t="s">
        <v>277</v>
      </c>
      <c r="D568" s="298" t="s">
        <v>885</v>
      </c>
      <c r="E568" s="299" t="s">
        <v>113</v>
      </c>
      <c r="F568" s="299" t="s">
        <v>59</v>
      </c>
      <c r="G568" s="300">
        <v>44495</v>
      </c>
      <c r="H568" s="303">
        <v>1920.1050000000002</v>
      </c>
      <c r="I568" s="301" t="str">
        <f t="shared" si="136"/>
        <v>Ingresos Sección II LISR (SIC &amp; BMV)</v>
      </c>
      <c r="J568" s="302">
        <f t="shared" si="137"/>
        <v>27</v>
      </c>
      <c r="K568" s="304">
        <f t="shared" si="138"/>
        <v>71.115000000000009</v>
      </c>
      <c r="L568" s="305">
        <f>IF(H568=0,0,IF(OR(E568=$AT$5,E568=$AT$6),AA568,IF(F568="MXN",1/HLOOKUP(YEAR(G568)+(MONTH(G568)/100),TC!$5:$37,DAY(G568)+2,FALSE),VLOOKUP(F568,Equivalencia!$5:$23,((MAX(Equivalencia!$3:$3)-YEAR(G568))*14)+MONTH(G568)+2,FALSE))))</f>
        <v>1</v>
      </c>
      <c r="M568" s="306">
        <f t="shared" si="139"/>
        <v>1920.1050000000002</v>
      </c>
      <c r="N568" s="305">
        <f>IF(G568=0,0,(IF(OR(E568=$AT$5,E568=$AT$6),AC568,HLOOKUP(YEAR(G568)+(MONTH(G568)/100),TC!$5:$37,DAY(G568)+2,FALSE))))</f>
        <v>20.183700000000002</v>
      </c>
      <c r="O568" s="307">
        <f t="shared" si="140"/>
        <v>38754.823288500011</v>
      </c>
      <c r="P568" s="560">
        <f>IF(G568=0,0,VLOOKUP(YEAR(G568),INPC!$B$4:$P$30,MONTH(G568)+2))</f>
        <v>115.56100000000001</v>
      </c>
      <c r="Q568" s="560">
        <f>IF(X568=0,0,IF(OR(E568=$AT$10,E568=$AT$9),VLOOKUP(YEAR(X568),INPC!$B$4:$P$30,MONTH(X568)+1),VLOOKUP(YEAR(X568),INPC!$B$4:$P$30,MONTH(X568)+2,0)))</f>
        <v>118.98099999999999</v>
      </c>
      <c r="R568" s="309">
        <f t="shared" si="141"/>
        <v>1.0295000000000001</v>
      </c>
      <c r="S568" s="310">
        <f t="shared" si="142"/>
        <v>39898.090575510767</v>
      </c>
      <c r="T568" s="555">
        <f t="shared" si="143"/>
        <v>1477.7070583522507</v>
      </c>
      <c r="U568" s="311"/>
      <c r="V568" s="312">
        <v>27</v>
      </c>
      <c r="W568" s="299" t="s">
        <v>194</v>
      </c>
      <c r="X568" s="300">
        <v>44635</v>
      </c>
      <c r="Y568" s="299" t="s">
        <v>59</v>
      </c>
      <c r="Z568" s="303">
        <v>1036.233870967742</v>
      </c>
      <c r="AA568" s="305">
        <f>IF(Z568=0,0,IF(Y568="MXN",1/HLOOKUP(YEAR(X568)+(MONTH(X568)/100),TC!$5:$37,DAY(X568)+2,FALSE),VLOOKUP(Y568,Equivalencia!$1:$23,((MAX(Equivalencia!$3:$3)-YEAR(X568))*14)+MONTH(X568)+2,FALSE)))</f>
        <v>1</v>
      </c>
      <c r="AB568" s="306">
        <f t="shared" si="144"/>
        <v>1036.233870967742</v>
      </c>
      <c r="AC568" s="305">
        <f>+IF(X568=0,0,HLOOKUP(YEAR(X568)+(MONTH(X568)/100),TC!$5:$37,DAY(X568)+2,FALSE))</f>
        <v>20.9695</v>
      </c>
      <c r="AD568" s="307">
        <f t="shared" si="145"/>
        <v>21729.306157258066</v>
      </c>
      <c r="AE568" s="314">
        <f t="shared" si="146"/>
        <v>39898.090575510767</v>
      </c>
      <c r="AF568" s="315">
        <f t="shared" si="147"/>
        <v>-18168.784418252701</v>
      </c>
      <c r="AG568" s="316">
        <f t="shared" si="148"/>
        <v>0.38356164383561642</v>
      </c>
      <c r="AH568" s="314">
        <v>1</v>
      </c>
      <c r="AI568" s="314">
        <f t="shared" si="149"/>
        <v>-18168.784418252701</v>
      </c>
      <c r="AJ568" s="314">
        <f t="shared" si="150"/>
        <v>0</v>
      </c>
      <c r="AK568" s="317"/>
      <c r="AL568" s="315">
        <f t="shared" si="151"/>
        <v>-883.8711290322583</v>
      </c>
      <c r="AN568" s="554">
        <f t="shared" si="152"/>
        <v>-0.4603243723818532</v>
      </c>
      <c r="AO568" s="314"/>
      <c r="AP568" s="318"/>
    </row>
    <row r="569" spans="2:42">
      <c r="B569" s="296" t="s">
        <v>1254</v>
      </c>
      <c r="C569" s="299" t="s">
        <v>277</v>
      </c>
      <c r="D569" s="298" t="s">
        <v>885</v>
      </c>
      <c r="E569" s="299" t="s">
        <v>113</v>
      </c>
      <c r="F569" s="299" t="s">
        <v>59</v>
      </c>
      <c r="G569" s="300">
        <v>44496</v>
      </c>
      <c r="H569" s="303">
        <v>273.92</v>
      </c>
      <c r="I569" s="301" t="str">
        <f t="shared" si="136"/>
        <v>Ingresos Sección II LISR (SIC &amp; BMV)</v>
      </c>
      <c r="J569" s="302">
        <f t="shared" si="137"/>
        <v>4</v>
      </c>
      <c r="K569" s="304">
        <f t="shared" si="138"/>
        <v>68.48</v>
      </c>
      <c r="L569" s="305">
        <f>IF(H569=0,0,IF(OR(E569=$AT$5,E569=$AT$6),AA569,IF(F569="MXN",1/HLOOKUP(YEAR(G569)+(MONTH(G569)/100),TC!$5:$37,DAY(G569)+2,FALSE),VLOOKUP(F569,Equivalencia!$5:$23,((MAX(Equivalencia!$3:$3)-YEAR(G569))*14)+MONTH(G569)+2,FALSE))))</f>
        <v>1</v>
      </c>
      <c r="M569" s="306">
        <f t="shared" si="139"/>
        <v>273.92</v>
      </c>
      <c r="N569" s="305">
        <f>IF(G569=0,0,(IF(OR(E569=$AT$5,E569=$AT$6),AC569,HLOOKUP(YEAR(G569)+(MONTH(G569)/100),TC!$5:$37,DAY(G569)+2,FALSE))))</f>
        <v>20.189699999999998</v>
      </c>
      <c r="O569" s="307">
        <f t="shared" si="140"/>
        <v>5530.3626240000003</v>
      </c>
      <c r="P569" s="560">
        <f>IF(G569=0,0,VLOOKUP(YEAR(G569),INPC!$B$4:$P$30,MONTH(G569)+2))</f>
        <v>115.56100000000001</v>
      </c>
      <c r="Q569" s="560">
        <f>IF(X569=0,0,IF(OR(E569=$AT$10,E569=$AT$9),VLOOKUP(YEAR(X569),INPC!$B$4:$P$30,MONTH(X569)+1),VLOOKUP(YEAR(X569),INPC!$B$4:$P$30,MONTH(X569)+2,0)))</f>
        <v>118.98099999999999</v>
      </c>
      <c r="R569" s="309">
        <f t="shared" si="141"/>
        <v>1.0295000000000001</v>
      </c>
      <c r="S569" s="310">
        <f t="shared" si="142"/>
        <v>5693.5083214080005</v>
      </c>
      <c r="T569" s="555">
        <f t="shared" si="143"/>
        <v>1423.3770803520001</v>
      </c>
      <c r="U569" s="311"/>
      <c r="V569" s="312">
        <v>4</v>
      </c>
      <c r="W569" s="299" t="s">
        <v>194</v>
      </c>
      <c r="X569" s="300">
        <v>44635</v>
      </c>
      <c r="Y569" s="299" t="s">
        <v>59</v>
      </c>
      <c r="Z569" s="303">
        <v>153.51612903225808</v>
      </c>
      <c r="AA569" s="305">
        <f>IF(Z569=0,0,IF(Y569="MXN",1/HLOOKUP(YEAR(X569)+(MONTH(X569)/100),TC!$5:$37,DAY(X569)+2,FALSE),VLOOKUP(Y569,Equivalencia!$1:$23,((MAX(Equivalencia!$3:$3)-YEAR(X569))*14)+MONTH(X569)+2,FALSE)))</f>
        <v>1</v>
      </c>
      <c r="AB569" s="306">
        <f t="shared" si="144"/>
        <v>153.51612903225808</v>
      </c>
      <c r="AC569" s="305">
        <f>+IF(X569=0,0,HLOOKUP(YEAR(X569)+(MONTH(X569)/100),TC!$5:$37,DAY(X569)+2,FALSE))</f>
        <v>20.9695</v>
      </c>
      <c r="AD569" s="307">
        <f t="shared" si="145"/>
        <v>3219.1564677419356</v>
      </c>
      <c r="AE569" s="314">
        <f t="shared" si="146"/>
        <v>5693.5083214080005</v>
      </c>
      <c r="AF569" s="315">
        <f t="shared" si="147"/>
        <v>-2474.3518536660649</v>
      </c>
      <c r="AG569" s="316">
        <f t="shared" si="148"/>
        <v>0.38082191780821917</v>
      </c>
      <c r="AH569" s="314">
        <v>1</v>
      </c>
      <c r="AI569" s="314">
        <f t="shared" si="149"/>
        <v>-2474.3518536660649</v>
      </c>
      <c r="AJ569" s="314">
        <f t="shared" si="150"/>
        <v>0</v>
      </c>
      <c r="AK569" s="317"/>
      <c r="AL569" s="315">
        <f t="shared" si="151"/>
        <v>-120.40387096774194</v>
      </c>
      <c r="AN569" s="554">
        <f t="shared" si="152"/>
        <v>-0.43955852426891767</v>
      </c>
      <c r="AO569" s="314"/>
      <c r="AP569" s="318"/>
    </row>
    <row r="570" spans="2:42">
      <c r="B570" s="296" t="s">
        <v>1254</v>
      </c>
      <c r="C570" s="299" t="s">
        <v>277</v>
      </c>
      <c r="D570" s="298" t="s">
        <v>885</v>
      </c>
      <c r="E570" s="299" t="s">
        <v>113</v>
      </c>
      <c r="F570" s="299" t="s">
        <v>59</v>
      </c>
      <c r="G570" s="300">
        <v>44496</v>
      </c>
      <c r="H570" s="303">
        <v>273.92</v>
      </c>
      <c r="I570" s="301" t="str">
        <f t="shared" si="136"/>
        <v>Ingresos Sección II LISR (SIC &amp; BMV)</v>
      </c>
      <c r="J570" s="302">
        <f t="shared" si="137"/>
        <v>4</v>
      </c>
      <c r="K570" s="304">
        <f t="shared" si="138"/>
        <v>68.48</v>
      </c>
      <c r="L570" s="305">
        <f>IF(H570=0,0,IF(OR(E570=$AT$5,E570=$AT$6),AA570,IF(F570="MXN",1/HLOOKUP(YEAR(G570)+(MONTH(G570)/100),TC!$5:$37,DAY(G570)+2,FALSE),VLOOKUP(F570,Equivalencia!$5:$23,((MAX(Equivalencia!$3:$3)-YEAR(G570))*14)+MONTH(G570)+2,FALSE))))</f>
        <v>1</v>
      </c>
      <c r="M570" s="306">
        <f t="shared" si="139"/>
        <v>273.92</v>
      </c>
      <c r="N570" s="305">
        <f>IF(G570=0,0,(IF(OR(E570=$AT$5,E570=$AT$6),AC570,HLOOKUP(YEAR(G570)+(MONTH(G570)/100),TC!$5:$37,DAY(G570)+2,FALSE))))</f>
        <v>20.189699999999998</v>
      </c>
      <c r="O570" s="307">
        <f t="shared" si="140"/>
        <v>5530.3626240000003</v>
      </c>
      <c r="P570" s="560">
        <f>IF(G570=0,0,VLOOKUP(YEAR(G570),INPC!$B$4:$P$30,MONTH(G570)+2))</f>
        <v>115.56100000000001</v>
      </c>
      <c r="Q570" s="560">
        <f>IF(X570=0,0,IF(OR(E570=$AT$10,E570=$AT$9),VLOOKUP(YEAR(X570),INPC!$B$4:$P$30,MONTH(X570)+1),VLOOKUP(YEAR(X570),INPC!$B$4:$P$30,MONTH(X570)+2,0)))</f>
        <v>118.98099999999999</v>
      </c>
      <c r="R570" s="309">
        <f t="shared" si="141"/>
        <v>1.0295000000000001</v>
      </c>
      <c r="S570" s="310">
        <f t="shared" si="142"/>
        <v>5693.5083214080005</v>
      </c>
      <c r="T570" s="555">
        <f t="shared" si="143"/>
        <v>1423.3770803520001</v>
      </c>
      <c r="U570" s="311"/>
      <c r="V570" s="312">
        <v>4</v>
      </c>
      <c r="W570" s="299" t="s">
        <v>194</v>
      </c>
      <c r="X570" s="300">
        <v>44635</v>
      </c>
      <c r="Y570" s="299" t="s">
        <v>59</v>
      </c>
      <c r="Z570" s="303">
        <v>158.52571428571429</v>
      </c>
      <c r="AA570" s="305">
        <f>IF(Z570=0,0,IF(Y570="MXN",1/HLOOKUP(YEAR(X570)+(MONTH(X570)/100),TC!$5:$37,DAY(X570)+2,FALSE),VLOOKUP(Y570,Equivalencia!$1:$23,((MAX(Equivalencia!$3:$3)-YEAR(X570))*14)+MONTH(X570)+2,FALSE)))</f>
        <v>1</v>
      </c>
      <c r="AB570" s="306">
        <f t="shared" si="144"/>
        <v>158.52571428571429</v>
      </c>
      <c r="AC570" s="305">
        <f>+IF(X570=0,0,HLOOKUP(YEAR(X570)+(MONTH(X570)/100),TC!$5:$37,DAY(X570)+2,FALSE))</f>
        <v>20.9695</v>
      </c>
      <c r="AD570" s="307">
        <f t="shared" si="145"/>
        <v>3324.2049657142857</v>
      </c>
      <c r="AE570" s="314">
        <f t="shared" si="146"/>
        <v>5693.5083214080005</v>
      </c>
      <c r="AF570" s="315">
        <f t="shared" si="147"/>
        <v>-2369.3033556937148</v>
      </c>
      <c r="AG570" s="316">
        <f t="shared" si="148"/>
        <v>0.38082191780821917</v>
      </c>
      <c r="AH570" s="314">
        <v>1</v>
      </c>
      <c r="AI570" s="314">
        <f t="shared" si="149"/>
        <v>-2369.3033556937148</v>
      </c>
      <c r="AJ570" s="314">
        <f t="shared" si="150"/>
        <v>0</v>
      </c>
      <c r="AK570" s="317"/>
      <c r="AL570" s="315">
        <f t="shared" si="151"/>
        <v>-115.39428571428573</v>
      </c>
      <c r="AN570" s="554">
        <f t="shared" si="152"/>
        <v>-0.42127002670226971</v>
      </c>
      <c r="AO570" s="314"/>
      <c r="AP570" s="318"/>
    </row>
    <row r="571" spans="2:42">
      <c r="B571" s="296" t="s">
        <v>1254</v>
      </c>
      <c r="C571" s="299" t="s">
        <v>277</v>
      </c>
      <c r="D571" s="298" t="s">
        <v>885</v>
      </c>
      <c r="E571" s="299" t="s">
        <v>113</v>
      </c>
      <c r="F571" s="299" t="s">
        <v>59</v>
      </c>
      <c r="G571" s="300">
        <v>44496</v>
      </c>
      <c r="H571" s="303">
        <v>906.97</v>
      </c>
      <c r="I571" s="301" t="str">
        <f t="shared" si="136"/>
        <v>Ingresos Sección II LISR (SIC &amp; BMV)</v>
      </c>
      <c r="J571" s="302">
        <f t="shared" si="137"/>
        <v>13</v>
      </c>
      <c r="K571" s="304">
        <f t="shared" si="138"/>
        <v>69.766923076923078</v>
      </c>
      <c r="L571" s="305">
        <f>IF(H571=0,0,IF(OR(E571=$AT$5,E571=$AT$6),AA571,IF(F571="MXN",1/HLOOKUP(YEAR(G571)+(MONTH(G571)/100),TC!$5:$37,DAY(G571)+2,FALSE),VLOOKUP(F571,Equivalencia!$5:$23,((MAX(Equivalencia!$3:$3)-YEAR(G571))*14)+MONTH(G571)+2,FALSE))))</f>
        <v>1</v>
      </c>
      <c r="M571" s="306">
        <f t="shared" si="139"/>
        <v>906.97</v>
      </c>
      <c r="N571" s="305">
        <f>IF(G571=0,0,(IF(OR(E571=$AT$5,E571=$AT$6),AC571,HLOOKUP(YEAR(G571)+(MONTH(G571)/100),TC!$5:$37,DAY(G571)+2,FALSE))))</f>
        <v>20.189699999999998</v>
      </c>
      <c r="O571" s="307">
        <f t="shared" si="140"/>
        <v>18311.452208999999</v>
      </c>
      <c r="P571" s="560">
        <f>IF(G571=0,0,VLOOKUP(YEAR(G571),INPC!$B$4:$P$30,MONTH(G571)+2))</f>
        <v>115.56100000000001</v>
      </c>
      <c r="Q571" s="560">
        <f>IF(X571=0,0,IF(OR(E571=$AT$10,E571=$AT$9),VLOOKUP(YEAR(X571),INPC!$B$4:$P$30,MONTH(X571)+1),VLOOKUP(YEAR(X571),INPC!$B$4:$P$30,MONTH(X571)+2,0)))</f>
        <v>118.98099999999999</v>
      </c>
      <c r="R571" s="309">
        <f t="shared" si="141"/>
        <v>1.0295000000000001</v>
      </c>
      <c r="S571" s="310">
        <f t="shared" si="142"/>
        <v>18851.6400491655</v>
      </c>
      <c r="T571" s="555">
        <f t="shared" si="143"/>
        <v>1450.1261576281154</v>
      </c>
      <c r="U571" s="311"/>
      <c r="V571" s="312">
        <v>13</v>
      </c>
      <c r="W571" s="299" t="s">
        <v>194</v>
      </c>
      <c r="X571" s="300">
        <v>44635</v>
      </c>
      <c r="Y571" s="299" t="s">
        <v>59</v>
      </c>
      <c r="Z571" s="303">
        <v>515.20857142857142</v>
      </c>
      <c r="AA571" s="305">
        <f>IF(Z571=0,0,IF(Y571="MXN",1/HLOOKUP(YEAR(X571)+(MONTH(X571)/100),TC!$5:$37,DAY(X571)+2,FALSE),VLOOKUP(Y571,Equivalencia!$1:$23,((MAX(Equivalencia!$3:$3)-YEAR(X571))*14)+MONTH(X571)+2,FALSE)))</f>
        <v>1</v>
      </c>
      <c r="AB571" s="306">
        <f t="shared" si="144"/>
        <v>515.20857142857142</v>
      </c>
      <c r="AC571" s="305">
        <f>+IF(X571=0,0,HLOOKUP(YEAR(X571)+(MONTH(X571)/100),TC!$5:$37,DAY(X571)+2,FALSE))</f>
        <v>20.9695</v>
      </c>
      <c r="AD571" s="307">
        <f t="shared" si="145"/>
        <v>10803.666138571429</v>
      </c>
      <c r="AE571" s="314">
        <f t="shared" si="146"/>
        <v>18851.6400491655</v>
      </c>
      <c r="AF571" s="315">
        <f t="shared" si="147"/>
        <v>-8047.9739105940716</v>
      </c>
      <c r="AG571" s="316">
        <f t="shared" si="148"/>
        <v>0.38082191780821917</v>
      </c>
      <c r="AH571" s="314">
        <v>1</v>
      </c>
      <c r="AI571" s="314">
        <f t="shared" si="149"/>
        <v>-8047.9739105940716</v>
      </c>
      <c r="AJ571" s="314">
        <f t="shared" si="150"/>
        <v>0</v>
      </c>
      <c r="AK571" s="317"/>
      <c r="AL571" s="315">
        <f t="shared" si="151"/>
        <v>-391.76142857142861</v>
      </c>
      <c r="AN571" s="554">
        <f t="shared" si="152"/>
        <v>-0.43194529981303526</v>
      </c>
      <c r="AO571" s="314"/>
      <c r="AP571" s="318"/>
    </row>
    <row r="572" spans="2:42">
      <c r="B572" s="296" t="s">
        <v>1254</v>
      </c>
      <c r="C572" s="299" t="s">
        <v>277</v>
      </c>
      <c r="D572" s="298" t="s">
        <v>885</v>
      </c>
      <c r="E572" s="299" t="s">
        <v>113</v>
      </c>
      <c r="F572" s="299" t="s">
        <v>59</v>
      </c>
      <c r="G572" s="300">
        <v>44496</v>
      </c>
      <c r="H572" s="303">
        <v>1697.375</v>
      </c>
      <c r="I572" s="301" t="str">
        <f t="shared" ref="I572:I635" si="153">IF(D572=0,0,IF(OR(E572=$AT$9,E572=$AT$10),"Ingresos Sección II LISR (SIC &amp; BMV)","Ingresos Sección I LISR"))</f>
        <v>Ingresos Sección II LISR (SIC &amp; BMV)</v>
      </c>
      <c r="J572" s="302">
        <f t="shared" ref="J572:J635" si="154">+V572</f>
        <v>25</v>
      </c>
      <c r="K572" s="304">
        <f t="shared" ref="K572:K635" si="155">IF(H572=0,0,H572/J572)</f>
        <v>67.894999999999996</v>
      </c>
      <c r="L572" s="305">
        <f>IF(H572=0,0,IF(OR(E572=$AT$5,E572=$AT$6),AA572,IF(F572="MXN",1/HLOOKUP(YEAR(G572)+(MONTH(G572)/100),TC!$5:$37,DAY(G572)+2,FALSE),VLOOKUP(F572,Equivalencia!$5:$23,((MAX(Equivalencia!$3:$3)-YEAR(G572))*14)+MONTH(G572)+2,FALSE))))</f>
        <v>1</v>
      </c>
      <c r="M572" s="306">
        <f t="shared" ref="M572:M635" si="156">+H572*L572</f>
        <v>1697.375</v>
      </c>
      <c r="N572" s="305">
        <f>IF(G572=0,0,(IF(OR(E572=$AT$5,E572=$AT$6),AC572,HLOOKUP(YEAR(G572)+(MONTH(G572)/100),TC!$5:$37,DAY(G572)+2,FALSE))))</f>
        <v>20.189699999999998</v>
      </c>
      <c r="O572" s="307">
        <f t="shared" ref="O572:O635" si="157">+M572*N572</f>
        <v>34269.4920375</v>
      </c>
      <c r="P572" s="560">
        <f>IF(G572=0,0,VLOOKUP(YEAR(G572),INPC!$B$4:$P$30,MONTH(G572)+2))</f>
        <v>115.56100000000001</v>
      </c>
      <c r="Q572" s="560">
        <f>IF(X572=0,0,IF(OR(E572=$AT$10,E572=$AT$9),VLOOKUP(YEAR(X572),INPC!$B$4:$P$30,MONTH(X572)+1),VLOOKUP(YEAR(X572),INPC!$B$4:$P$30,MONTH(X572)+2,0)))</f>
        <v>118.98099999999999</v>
      </c>
      <c r="R572" s="309">
        <f t="shared" ref="R572:R635" si="158">IF(H572=0,0,IF(OR(E572=$AT$5,E572=$AT$6),1,IF(TRUNC(Q572/P572,4)&gt;=1,TRUNC(Q572/P572,4),1)))</f>
        <v>1.0295000000000001</v>
      </c>
      <c r="S572" s="310">
        <f t="shared" ref="S572:S635" si="159">+R572*O572</f>
        <v>35280.442052606253</v>
      </c>
      <c r="T572" s="555">
        <f t="shared" ref="T572:T635" si="160">IF(V572=0,0,S572/V572)</f>
        <v>1411.2176821042501</v>
      </c>
      <c r="U572" s="311"/>
      <c r="V572" s="312">
        <v>25</v>
      </c>
      <c r="W572" s="299" t="s">
        <v>194</v>
      </c>
      <c r="X572" s="300">
        <v>44635</v>
      </c>
      <c r="Y572" s="299" t="s">
        <v>59</v>
      </c>
      <c r="Z572" s="303">
        <v>990.78571428571433</v>
      </c>
      <c r="AA572" s="305">
        <f>IF(Z572=0,0,IF(Y572="MXN",1/HLOOKUP(YEAR(X572)+(MONTH(X572)/100),TC!$5:$37,DAY(X572)+2,FALSE),VLOOKUP(Y572,Equivalencia!$1:$23,((MAX(Equivalencia!$3:$3)-YEAR(X572))*14)+MONTH(X572)+2,FALSE)))</f>
        <v>1</v>
      </c>
      <c r="AB572" s="306">
        <f t="shared" ref="AB572:AB635" si="161">+AA572*Z572</f>
        <v>990.78571428571433</v>
      </c>
      <c r="AC572" s="305">
        <f>+IF(X572=0,0,HLOOKUP(YEAR(X572)+(MONTH(X572)/100),TC!$5:$37,DAY(X572)+2,FALSE))</f>
        <v>20.9695</v>
      </c>
      <c r="AD572" s="307">
        <f t="shared" ref="AD572:AD635" si="162">+AC572*AB572</f>
        <v>20776.281035714288</v>
      </c>
      <c r="AE572" s="314">
        <f t="shared" ref="AE572:AE635" si="163">+V572*T572</f>
        <v>35280.442052606253</v>
      </c>
      <c r="AF572" s="315">
        <f t="shared" ref="AF572:AF635" si="164">IF(E572=$AT$11,0,AD572-AE572)</f>
        <v>-14504.161016891965</v>
      </c>
      <c r="AG572" s="316">
        <f t="shared" ref="AG572:AG635" si="165">+IF(AND(AF572&lt;0,OR(E572=$AT$5,E572=$AT$6)),1,((X572-G572)/365))</f>
        <v>0.38082191780821917</v>
      </c>
      <c r="AH572" s="314">
        <v>1</v>
      </c>
      <c r="AI572" s="314">
        <f t="shared" ref="AI572:AI635" si="166">+IF(OR(E572=$AT$9,E572=$AT$10),AF572,+AF572/AH572)</f>
        <v>-14504.161016891965</v>
      </c>
      <c r="AJ572" s="314">
        <f t="shared" ref="AJ572:AJ635" si="167">+AF572-AI572</f>
        <v>0</v>
      </c>
      <c r="AK572" s="317"/>
      <c r="AL572" s="315">
        <f t="shared" ref="AL572:AL635" si="168">+AB572-M572</f>
        <v>-706.58928571428567</v>
      </c>
      <c r="AN572" s="554">
        <f t="shared" ref="AN572:AN635" si="169">IF(AL572=0,0,AL572/H572)</f>
        <v>-0.41628354707373777</v>
      </c>
      <c r="AO572" s="314"/>
      <c r="AP572" s="318"/>
    </row>
    <row r="573" spans="2:42">
      <c r="B573" s="296" t="s">
        <v>1254</v>
      </c>
      <c r="C573" s="299" t="s">
        <v>277</v>
      </c>
      <c r="D573" s="298" t="s">
        <v>885</v>
      </c>
      <c r="E573" s="299" t="s">
        <v>113</v>
      </c>
      <c r="F573" s="299" t="s">
        <v>59</v>
      </c>
      <c r="G573" s="300">
        <v>44496</v>
      </c>
      <c r="H573" s="303">
        <v>339.47499999999997</v>
      </c>
      <c r="I573" s="301" t="str">
        <f t="shared" si="153"/>
        <v>Ingresos Sección II LISR (SIC &amp; BMV)</v>
      </c>
      <c r="J573" s="302">
        <f t="shared" si="154"/>
        <v>5</v>
      </c>
      <c r="K573" s="304">
        <f t="shared" si="155"/>
        <v>67.894999999999996</v>
      </c>
      <c r="L573" s="305">
        <f>IF(H573=0,0,IF(OR(E573=$AT$5,E573=$AT$6),AA573,IF(F573="MXN",1/HLOOKUP(YEAR(G573)+(MONTH(G573)/100),TC!$5:$37,DAY(G573)+2,FALSE),VLOOKUP(F573,Equivalencia!$5:$23,((MAX(Equivalencia!$3:$3)-YEAR(G573))*14)+MONTH(G573)+2,FALSE))))</f>
        <v>1</v>
      </c>
      <c r="M573" s="306">
        <f t="shared" si="156"/>
        <v>339.47499999999997</v>
      </c>
      <c r="N573" s="305">
        <f>IF(G573=0,0,(IF(OR(E573=$AT$5,E573=$AT$6),AC573,HLOOKUP(YEAR(G573)+(MONTH(G573)/100),TC!$5:$37,DAY(G573)+2,FALSE))))</f>
        <v>20.189699999999998</v>
      </c>
      <c r="O573" s="307">
        <f t="shared" si="157"/>
        <v>6853.8984074999989</v>
      </c>
      <c r="P573" s="560">
        <f>IF(G573=0,0,VLOOKUP(YEAR(G573),INPC!$B$4:$P$30,MONTH(G573)+2))</f>
        <v>115.56100000000001</v>
      </c>
      <c r="Q573" s="560">
        <f>IF(X573=0,0,IF(OR(E573=$AT$10,E573=$AT$9),VLOOKUP(YEAR(X573),INPC!$B$4:$P$30,MONTH(X573)+1),VLOOKUP(YEAR(X573),INPC!$B$4:$P$30,MONTH(X573)+2,0)))</f>
        <v>118.98099999999999</v>
      </c>
      <c r="R573" s="309">
        <f t="shared" si="158"/>
        <v>1.0295000000000001</v>
      </c>
      <c r="S573" s="310">
        <f t="shared" si="159"/>
        <v>7056.0884105212499</v>
      </c>
      <c r="T573" s="555">
        <f t="shared" si="160"/>
        <v>1411.2176821042499</v>
      </c>
      <c r="U573" s="311"/>
      <c r="V573" s="312">
        <v>5</v>
      </c>
      <c r="W573" s="299" t="s">
        <v>194</v>
      </c>
      <c r="X573" s="300">
        <v>44635</v>
      </c>
      <c r="Y573" s="299" t="s">
        <v>59</v>
      </c>
      <c r="Z573" s="303">
        <v>198.1</v>
      </c>
      <c r="AA573" s="305">
        <f>IF(Z573=0,0,IF(Y573="MXN",1/HLOOKUP(YEAR(X573)+(MONTH(X573)/100),TC!$5:$37,DAY(X573)+2,FALSE),VLOOKUP(Y573,Equivalencia!$1:$23,((MAX(Equivalencia!$3:$3)-YEAR(X573))*14)+MONTH(X573)+2,FALSE)))</f>
        <v>1</v>
      </c>
      <c r="AB573" s="306">
        <f t="shared" si="161"/>
        <v>198.1</v>
      </c>
      <c r="AC573" s="305">
        <f>+IF(X573=0,0,HLOOKUP(YEAR(X573)+(MONTH(X573)/100),TC!$5:$37,DAY(X573)+2,FALSE))</f>
        <v>20.9695</v>
      </c>
      <c r="AD573" s="307">
        <f t="shared" si="162"/>
        <v>4154.0579499999994</v>
      </c>
      <c r="AE573" s="314">
        <f t="shared" si="163"/>
        <v>7056.0884105212499</v>
      </c>
      <c r="AF573" s="315">
        <f t="shared" si="164"/>
        <v>-2902.0304605212505</v>
      </c>
      <c r="AG573" s="316">
        <f t="shared" si="165"/>
        <v>0.38082191780821917</v>
      </c>
      <c r="AH573" s="314">
        <v>1</v>
      </c>
      <c r="AI573" s="314">
        <f t="shared" si="166"/>
        <v>-2902.0304605212505</v>
      </c>
      <c r="AJ573" s="314">
        <f t="shared" si="167"/>
        <v>0</v>
      </c>
      <c r="AK573" s="317"/>
      <c r="AL573" s="315">
        <f t="shared" si="168"/>
        <v>-141.37499999999997</v>
      </c>
      <c r="AN573" s="554">
        <f t="shared" si="169"/>
        <v>-0.41645187421754176</v>
      </c>
      <c r="AO573" s="314"/>
      <c r="AP573" s="318"/>
    </row>
    <row r="574" spans="2:42">
      <c r="B574" s="296" t="s">
        <v>1254</v>
      </c>
      <c r="C574" s="299" t="s">
        <v>277</v>
      </c>
      <c r="D574" s="298" t="s">
        <v>885</v>
      </c>
      <c r="E574" s="299" t="s">
        <v>113</v>
      </c>
      <c r="F574" s="299" t="s">
        <v>59</v>
      </c>
      <c r="G574" s="300">
        <v>44496</v>
      </c>
      <c r="H574" s="303">
        <v>139.24031746031744</v>
      </c>
      <c r="I574" s="301" t="str">
        <f t="shared" si="153"/>
        <v>Ingresos Sección II LISR (SIC &amp; BMV)</v>
      </c>
      <c r="J574" s="302">
        <f t="shared" si="154"/>
        <v>2</v>
      </c>
      <c r="K574" s="304">
        <f t="shared" si="155"/>
        <v>69.620158730158721</v>
      </c>
      <c r="L574" s="305">
        <f>IF(H574=0,0,IF(OR(E574=$AT$5,E574=$AT$6),AA574,IF(F574="MXN",1/HLOOKUP(YEAR(G574)+(MONTH(G574)/100),TC!$5:$37,DAY(G574)+2,FALSE),VLOOKUP(F574,Equivalencia!$5:$23,((MAX(Equivalencia!$3:$3)-YEAR(G574))*14)+MONTH(G574)+2,FALSE))))</f>
        <v>1</v>
      </c>
      <c r="M574" s="306">
        <f t="shared" si="156"/>
        <v>139.24031746031744</v>
      </c>
      <c r="N574" s="305">
        <f>IF(G574=0,0,(IF(OR(E574=$AT$5,E574=$AT$6),AC574,HLOOKUP(YEAR(G574)+(MONTH(G574)/100),TC!$5:$37,DAY(G574)+2,FALSE))))</f>
        <v>20.189699999999998</v>
      </c>
      <c r="O574" s="307">
        <f t="shared" si="157"/>
        <v>2811.2202374285707</v>
      </c>
      <c r="P574" s="560">
        <f>IF(G574=0,0,VLOOKUP(YEAR(G574),INPC!$B$4:$P$30,MONTH(G574)+2))</f>
        <v>115.56100000000001</v>
      </c>
      <c r="Q574" s="560">
        <f>IF(X574=0,0,IF(OR(E574=$AT$10,E574=$AT$9),VLOOKUP(YEAR(X574),INPC!$B$4:$P$30,MONTH(X574)+1),VLOOKUP(YEAR(X574),INPC!$B$4:$P$30,MONTH(X574)+2,0)))</f>
        <v>118.98099999999999</v>
      </c>
      <c r="R574" s="309">
        <f t="shared" si="158"/>
        <v>1.0295000000000001</v>
      </c>
      <c r="S574" s="310">
        <f t="shared" si="159"/>
        <v>2894.1512344327139</v>
      </c>
      <c r="T574" s="555">
        <f t="shared" si="160"/>
        <v>1447.0756172163569</v>
      </c>
      <c r="U574" s="311"/>
      <c r="V574" s="312">
        <v>2</v>
      </c>
      <c r="W574" s="299" t="s">
        <v>194</v>
      </c>
      <c r="X574" s="300">
        <v>44635</v>
      </c>
      <c r="Y574" s="299" t="s">
        <v>59</v>
      </c>
      <c r="Z574" s="303">
        <v>79.239999999999995</v>
      </c>
      <c r="AA574" s="305">
        <f>IF(Z574=0,0,IF(Y574="MXN",1/HLOOKUP(YEAR(X574)+(MONTH(X574)/100),TC!$5:$37,DAY(X574)+2,FALSE),VLOOKUP(Y574,Equivalencia!$1:$23,((MAX(Equivalencia!$3:$3)-YEAR(X574))*14)+MONTH(X574)+2,FALSE)))</f>
        <v>1</v>
      </c>
      <c r="AB574" s="306">
        <f t="shared" si="161"/>
        <v>79.239999999999995</v>
      </c>
      <c r="AC574" s="305">
        <f>+IF(X574=0,0,HLOOKUP(YEAR(X574)+(MONTH(X574)/100),TC!$5:$37,DAY(X574)+2,FALSE))</f>
        <v>20.9695</v>
      </c>
      <c r="AD574" s="307">
        <f t="shared" si="162"/>
        <v>1661.6231799999998</v>
      </c>
      <c r="AE574" s="314">
        <f t="shared" si="163"/>
        <v>2894.1512344327139</v>
      </c>
      <c r="AF574" s="315">
        <f t="shared" si="164"/>
        <v>-1232.528054432714</v>
      </c>
      <c r="AG574" s="316">
        <f t="shared" si="165"/>
        <v>0.38082191780821917</v>
      </c>
      <c r="AH574" s="314">
        <v>1</v>
      </c>
      <c r="AI574" s="314">
        <f t="shared" si="166"/>
        <v>-1232.528054432714</v>
      </c>
      <c r="AJ574" s="314">
        <f t="shared" si="167"/>
        <v>0</v>
      </c>
      <c r="AK574" s="317"/>
      <c r="AL574" s="315">
        <f t="shared" si="168"/>
        <v>-60.000317460317447</v>
      </c>
      <c r="AN574" s="554">
        <f t="shared" si="169"/>
        <v>-0.43091195534954979</v>
      </c>
      <c r="AO574" s="314"/>
      <c r="AP574" s="318"/>
    </row>
    <row r="575" spans="2:42">
      <c r="B575" s="296" t="s">
        <v>1254</v>
      </c>
      <c r="C575" s="299" t="s">
        <v>277</v>
      </c>
      <c r="D575" s="298" t="s">
        <v>885</v>
      </c>
      <c r="E575" s="299" t="s">
        <v>113</v>
      </c>
      <c r="F575" s="299" t="s">
        <v>59</v>
      </c>
      <c r="G575" s="300">
        <v>44496</v>
      </c>
      <c r="H575" s="303">
        <v>2367.0853968253964</v>
      </c>
      <c r="I575" s="301" t="str">
        <f t="shared" si="153"/>
        <v>Ingresos Sección II LISR (SIC &amp; BMV)</v>
      </c>
      <c r="J575" s="302">
        <f t="shared" si="154"/>
        <v>34</v>
      </c>
      <c r="K575" s="304">
        <f t="shared" si="155"/>
        <v>69.620158730158721</v>
      </c>
      <c r="L575" s="305">
        <f>IF(H575=0,0,IF(OR(E575=$AT$5,E575=$AT$6),AA575,IF(F575="MXN",1/HLOOKUP(YEAR(G575)+(MONTH(G575)/100),TC!$5:$37,DAY(G575)+2,FALSE),VLOOKUP(F575,Equivalencia!$5:$23,((MAX(Equivalencia!$3:$3)-YEAR(G575))*14)+MONTH(G575)+2,FALSE))))</f>
        <v>1</v>
      </c>
      <c r="M575" s="306">
        <f t="shared" si="156"/>
        <v>2367.0853968253964</v>
      </c>
      <c r="N575" s="305">
        <f>IF(G575=0,0,(IF(OR(E575=$AT$5,E575=$AT$6),AC575,HLOOKUP(YEAR(G575)+(MONTH(G575)/100),TC!$5:$37,DAY(G575)+2,FALSE))))</f>
        <v>20.189699999999998</v>
      </c>
      <c r="O575" s="307">
        <f t="shared" si="157"/>
        <v>47790.744036285701</v>
      </c>
      <c r="P575" s="560">
        <f>IF(G575=0,0,VLOOKUP(YEAR(G575),INPC!$B$4:$P$30,MONTH(G575)+2))</f>
        <v>115.56100000000001</v>
      </c>
      <c r="Q575" s="560">
        <f>IF(X575=0,0,IF(OR(E575=$AT$10,E575=$AT$9),VLOOKUP(YEAR(X575),INPC!$B$4:$P$30,MONTH(X575)+1),VLOOKUP(YEAR(X575),INPC!$B$4:$P$30,MONTH(X575)+2,0)))</f>
        <v>118.98099999999999</v>
      </c>
      <c r="R575" s="309">
        <f t="shared" si="158"/>
        <v>1.0295000000000001</v>
      </c>
      <c r="S575" s="310">
        <f t="shared" si="159"/>
        <v>49200.570985356135</v>
      </c>
      <c r="T575" s="555">
        <f t="shared" si="160"/>
        <v>1447.0756172163569</v>
      </c>
      <c r="U575" s="311"/>
      <c r="V575" s="312">
        <v>34</v>
      </c>
      <c r="W575" s="299" t="s">
        <v>194</v>
      </c>
      <c r="X575" s="300">
        <v>44636</v>
      </c>
      <c r="Y575" s="299" t="s">
        <v>59</v>
      </c>
      <c r="Z575" s="303">
        <v>1403.48</v>
      </c>
      <c r="AA575" s="305">
        <f>IF(Z575=0,0,IF(Y575="MXN",1/HLOOKUP(YEAR(X575)+(MONTH(X575)/100),TC!$5:$37,DAY(X575)+2,FALSE),VLOOKUP(Y575,Equivalencia!$1:$23,((MAX(Equivalencia!$3:$3)-YEAR(X575))*14)+MONTH(X575)+2,FALSE)))</f>
        <v>1</v>
      </c>
      <c r="AB575" s="306">
        <f t="shared" si="161"/>
        <v>1403.48</v>
      </c>
      <c r="AC575" s="305">
        <f>+IF(X575=0,0,HLOOKUP(YEAR(X575)+(MONTH(X575)/100),TC!$5:$37,DAY(X575)+2,FALSE))</f>
        <v>20.890799999999999</v>
      </c>
      <c r="AD575" s="307">
        <f t="shared" si="162"/>
        <v>29319.819983999998</v>
      </c>
      <c r="AE575" s="314">
        <f t="shared" si="163"/>
        <v>49200.570985356135</v>
      </c>
      <c r="AF575" s="315">
        <f t="shared" si="164"/>
        <v>-19880.751001356137</v>
      </c>
      <c r="AG575" s="316">
        <f t="shared" si="165"/>
        <v>0.38356164383561642</v>
      </c>
      <c r="AH575" s="314">
        <v>1</v>
      </c>
      <c r="AI575" s="314">
        <f t="shared" si="166"/>
        <v>-19880.751001356137</v>
      </c>
      <c r="AJ575" s="314">
        <f t="shared" si="167"/>
        <v>0</v>
      </c>
      <c r="AK575" s="317"/>
      <c r="AL575" s="315">
        <f t="shared" si="168"/>
        <v>-963.60539682539638</v>
      </c>
      <c r="AN575" s="554">
        <f t="shared" si="169"/>
        <v>-0.40708518506249519</v>
      </c>
      <c r="AO575" s="314"/>
      <c r="AP575" s="318"/>
    </row>
    <row r="576" spans="2:42">
      <c r="B576" s="296" t="s">
        <v>1254</v>
      </c>
      <c r="C576" s="299" t="s">
        <v>277</v>
      </c>
      <c r="D576" s="298" t="s">
        <v>885</v>
      </c>
      <c r="E576" s="299" t="s">
        <v>113</v>
      </c>
      <c r="F576" s="299" t="s">
        <v>59</v>
      </c>
      <c r="G576" s="300">
        <v>44496</v>
      </c>
      <c r="H576" s="303">
        <v>1879.7442857142855</v>
      </c>
      <c r="I576" s="301" t="str">
        <f t="shared" si="153"/>
        <v>Ingresos Sección II LISR (SIC &amp; BMV)</v>
      </c>
      <c r="J576" s="302">
        <f t="shared" si="154"/>
        <v>27</v>
      </c>
      <c r="K576" s="304">
        <f t="shared" si="155"/>
        <v>69.620158730158721</v>
      </c>
      <c r="L576" s="305">
        <f>IF(H576=0,0,IF(OR(E576=$AT$5,E576=$AT$6),AA576,IF(F576="MXN",1/HLOOKUP(YEAR(G576)+(MONTH(G576)/100),TC!$5:$37,DAY(G576)+2,FALSE),VLOOKUP(F576,Equivalencia!$5:$23,((MAX(Equivalencia!$3:$3)-YEAR(G576))*14)+MONTH(G576)+2,FALSE))))</f>
        <v>1</v>
      </c>
      <c r="M576" s="306">
        <f t="shared" si="156"/>
        <v>1879.7442857142855</v>
      </c>
      <c r="N576" s="305">
        <f>IF(G576=0,0,(IF(OR(E576=$AT$5,E576=$AT$6),AC576,HLOOKUP(YEAR(G576)+(MONTH(G576)/100),TC!$5:$37,DAY(G576)+2,FALSE))))</f>
        <v>20.189699999999998</v>
      </c>
      <c r="O576" s="307">
        <f t="shared" si="157"/>
        <v>37951.473205285707</v>
      </c>
      <c r="P576" s="560">
        <f>IF(G576=0,0,VLOOKUP(YEAR(G576),INPC!$B$4:$P$30,MONTH(G576)+2))</f>
        <v>115.56100000000001</v>
      </c>
      <c r="Q576" s="560">
        <f>IF(X576=0,0,IF(OR(E576=$AT$10,E576=$AT$9),VLOOKUP(YEAR(X576),INPC!$B$4:$P$30,MONTH(X576)+1),VLOOKUP(YEAR(X576),INPC!$B$4:$P$30,MONTH(X576)+2,0)))</f>
        <v>118.98099999999999</v>
      </c>
      <c r="R576" s="309">
        <f t="shared" si="158"/>
        <v>1.0295000000000001</v>
      </c>
      <c r="S576" s="310">
        <f t="shared" si="159"/>
        <v>39071.041664841636</v>
      </c>
      <c r="T576" s="555">
        <f t="shared" si="160"/>
        <v>1447.0756172163569</v>
      </c>
      <c r="U576" s="311"/>
      <c r="V576" s="312">
        <v>27</v>
      </c>
      <c r="W576" s="299" t="s">
        <v>194</v>
      </c>
      <c r="X576" s="300">
        <v>44636</v>
      </c>
      <c r="Y576" s="299" t="s">
        <v>59</v>
      </c>
      <c r="Z576" s="303">
        <v>1097.1232258064517</v>
      </c>
      <c r="AA576" s="305">
        <f>IF(Z576=0,0,IF(Y576="MXN",1/HLOOKUP(YEAR(X576)+(MONTH(X576)/100),TC!$5:$37,DAY(X576)+2,FALSE),VLOOKUP(Y576,Equivalencia!$1:$23,((MAX(Equivalencia!$3:$3)-YEAR(X576))*14)+MONTH(X576)+2,FALSE)))</f>
        <v>1</v>
      </c>
      <c r="AB576" s="306">
        <f t="shared" si="161"/>
        <v>1097.1232258064517</v>
      </c>
      <c r="AC576" s="305">
        <f>+IF(X576=0,0,HLOOKUP(YEAR(X576)+(MONTH(X576)/100),TC!$5:$37,DAY(X576)+2,FALSE))</f>
        <v>20.890799999999999</v>
      </c>
      <c r="AD576" s="307">
        <f t="shared" si="162"/>
        <v>22919.781885677421</v>
      </c>
      <c r="AE576" s="314">
        <f t="shared" si="163"/>
        <v>39071.041664841636</v>
      </c>
      <c r="AF576" s="315">
        <f t="shared" si="164"/>
        <v>-16151.259779164215</v>
      </c>
      <c r="AG576" s="316">
        <f t="shared" si="165"/>
        <v>0.38356164383561642</v>
      </c>
      <c r="AH576" s="314">
        <v>1</v>
      </c>
      <c r="AI576" s="314">
        <f t="shared" si="166"/>
        <v>-16151.259779164215</v>
      </c>
      <c r="AJ576" s="314">
        <f t="shared" si="167"/>
        <v>0</v>
      </c>
      <c r="AK576" s="317"/>
      <c r="AL576" s="315">
        <f t="shared" si="168"/>
        <v>-782.6210599078338</v>
      </c>
      <c r="AN576" s="554">
        <f t="shared" si="169"/>
        <v>-0.41634442825846657</v>
      </c>
      <c r="AO576" s="314"/>
      <c r="AP576" s="318"/>
    </row>
    <row r="577" spans="2:42">
      <c r="B577" s="296" t="s">
        <v>1254</v>
      </c>
      <c r="C577" s="299" t="s">
        <v>277</v>
      </c>
      <c r="D577" s="298" t="s">
        <v>885</v>
      </c>
      <c r="E577" s="299" t="s">
        <v>113</v>
      </c>
      <c r="F577" s="299" t="s">
        <v>59</v>
      </c>
      <c r="G577" s="300">
        <v>44497</v>
      </c>
      <c r="H577" s="303">
        <v>562.28</v>
      </c>
      <c r="I577" s="301" t="str">
        <f t="shared" si="153"/>
        <v>Ingresos Sección II LISR (SIC &amp; BMV)</v>
      </c>
      <c r="J577" s="302">
        <f t="shared" si="154"/>
        <v>8</v>
      </c>
      <c r="K577" s="304">
        <f t="shared" si="155"/>
        <v>70.284999999999997</v>
      </c>
      <c r="L577" s="305">
        <f>IF(H577=0,0,IF(OR(E577=$AT$5,E577=$AT$6),AA577,IF(F577="MXN",1/HLOOKUP(YEAR(G577)+(MONTH(G577)/100),TC!$5:$37,DAY(G577)+2,FALSE),VLOOKUP(F577,Equivalencia!$5:$23,((MAX(Equivalencia!$3:$3)-YEAR(G577))*14)+MONTH(G577)+2,FALSE))))</f>
        <v>1</v>
      </c>
      <c r="M577" s="306">
        <f t="shared" si="156"/>
        <v>562.28</v>
      </c>
      <c r="N577" s="305">
        <f>IF(G577=0,0,(IF(OR(E577=$AT$5,E577=$AT$6),AC577,HLOOKUP(YEAR(G577)+(MONTH(G577)/100),TC!$5:$37,DAY(G577)+2,FALSE))))</f>
        <v>20.188800000000001</v>
      </c>
      <c r="O577" s="307">
        <f t="shared" si="157"/>
        <v>11351.758464</v>
      </c>
      <c r="P577" s="560">
        <f>IF(G577=0,0,VLOOKUP(YEAR(G577),INPC!$B$4:$P$30,MONTH(G577)+2))</f>
        <v>115.56100000000001</v>
      </c>
      <c r="Q577" s="560">
        <f>IF(X577=0,0,IF(OR(E577=$AT$10,E577=$AT$9),VLOOKUP(YEAR(X577),INPC!$B$4:$P$30,MONTH(X577)+1),VLOOKUP(YEAR(X577),INPC!$B$4:$P$30,MONTH(X577)+2,0)))</f>
        <v>118.98099999999999</v>
      </c>
      <c r="R577" s="309">
        <f t="shared" si="158"/>
        <v>1.0295000000000001</v>
      </c>
      <c r="S577" s="310">
        <f t="shared" si="159"/>
        <v>11686.635338688002</v>
      </c>
      <c r="T577" s="555">
        <f t="shared" si="160"/>
        <v>1460.8294173360002</v>
      </c>
      <c r="U577" s="311"/>
      <c r="V577" s="312">
        <v>8</v>
      </c>
      <c r="W577" s="299" t="s">
        <v>194</v>
      </c>
      <c r="X577" s="300">
        <v>44636</v>
      </c>
      <c r="Y577" s="299" t="s">
        <v>59</v>
      </c>
      <c r="Z577" s="303">
        <v>325.07354838709682</v>
      </c>
      <c r="AA577" s="305">
        <f>IF(Z577=0,0,IF(Y577="MXN",1/HLOOKUP(YEAR(X577)+(MONTH(X577)/100),TC!$5:$37,DAY(X577)+2,FALSE),VLOOKUP(Y577,Equivalencia!$1:$23,((MAX(Equivalencia!$3:$3)-YEAR(X577))*14)+MONTH(X577)+2,FALSE)))</f>
        <v>1</v>
      </c>
      <c r="AB577" s="306">
        <f t="shared" si="161"/>
        <v>325.07354838709682</v>
      </c>
      <c r="AC577" s="305">
        <f>+IF(X577=0,0,HLOOKUP(YEAR(X577)+(MONTH(X577)/100),TC!$5:$37,DAY(X577)+2,FALSE))</f>
        <v>20.890799999999999</v>
      </c>
      <c r="AD577" s="307">
        <f t="shared" si="162"/>
        <v>6791.0464846451614</v>
      </c>
      <c r="AE577" s="314">
        <f t="shared" si="163"/>
        <v>11686.635338688002</v>
      </c>
      <c r="AF577" s="315">
        <f t="shared" si="164"/>
        <v>-4895.5888540428405</v>
      </c>
      <c r="AG577" s="316">
        <f t="shared" si="165"/>
        <v>0.38082191780821917</v>
      </c>
      <c r="AH577" s="314">
        <v>1</v>
      </c>
      <c r="AI577" s="314">
        <f t="shared" si="166"/>
        <v>-4895.5888540428405</v>
      </c>
      <c r="AJ577" s="314">
        <f t="shared" si="167"/>
        <v>0</v>
      </c>
      <c r="AK577" s="317"/>
      <c r="AL577" s="315">
        <f t="shared" si="168"/>
        <v>-237.20645161290315</v>
      </c>
      <c r="AN577" s="554">
        <f t="shared" si="169"/>
        <v>-0.4218653546505356</v>
      </c>
      <c r="AO577" s="314"/>
      <c r="AP577" s="318"/>
    </row>
    <row r="578" spans="2:42">
      <c r="B578" s="296" t="s">
        <v>1254</v>
      </c>
      <c r="C578" s="299" t="s">
        <v>277</v>
      </c>
      <c r="D578" s="298" t="s">
        <v>885</v>
      </c>
      <c r="E578" s="299" t="s">
        <v>113</v>
      </c>
      <c r="F578" s="299" t="s">
        <v>59</v>
      </c>
      <c r="G578" s="300">
        <v>44497</v>
      </c>
      <c r="H578" s="303">
        <v>1903.3620000000001</v>
      </c>
      <c r="I578" s="301" t="str">
        <f t="shared" si="153"/>
        <v>Ingresos Sección II LISR (SIC &amp; BMV)</v>
      </c>
      <c r="J578" s="302">
        <f t="shared" si="154"/>
        <v>27</v>
      </c>
      <c r="K578" s="304">
        <f t="shared" si="155"/>
        <v>70.494888888888894</v>
      </c>
      <c r="L578" s="305">
        <f>IF(H578=0,0,IF(OR(E578=$AT$5,E578=$AT$6),AA578,IF(F578="MXN",1/HLOOKUP(YEAR(G578)+(MONTH(G578)/100),TC!$5:$37,DAY(G578)+2,FALSE),VLOOKUP(F578,Equivalencia!$5:$23,((MAX(Equivalencia!$3:$3)-YEAR(G578))*14)+MONTH(G578)+2,FALSE))))</f>
        <v>1</v>
      </c>
      <c r="M578" s="306">
        <f t="shared" si="156"/>
        <v>1903.3620000000001</v>
      </c>
      <c r="N578" s="305">
        <f>IF(G578=0,0,(IF(OR(E578=$AT$5,E578=$AT$6),AC578,HLOOKUP(YEAR(G578)+(MONTH(G578)/100),TC!$5:$37,DAY(G578)+2,FALSE))))</f>
        <v>20.188800000000001</v>
      </c>
      <c r="O578" s="307">
        <f t="shared" si="157"/>
        <v>38426.594745599999</v>
      </c>
      <c r="P578" s="560">
        <f>IF(G578=0,0,VLOOKUP(YEAR(G578),INPC!$B$4:$P$30,MONTH(G578)+2))</f>
        <v>115.56100000000001</v>
      </c>
      <c r="Q578" s="560">
        <f>IF(X578=0,0,IF(OR(E578=$AT$10,E578=$AT$9),VLOOKUP(YEAR(X578),INPC!$B$4:$P$30,MONTH(X578)+1),VLOOKUP(YEAR(X578),INPC!$B$4:$P$30,MONTH(X578)+2,0)))</f>
        <v>118.98099999999999</v>
      </c>
      <c r="R578" s="309">
        <f t="shared" si="158"/>
        <v>1.0295000000000001</v>
      </c>
      <c r="S578" s="310">
        <f t="shared" si="159"/>
        <v>39560.179290595202</v>
      </c>
      <c r="T578" s="555">
        <f t="shared" si="160"/>
        <v>1465.1918255776002</v>
      </c>
      <c r="U578" s="311"/>
      <c r="V578" s="312">
        <v>27</v>
      </c>
      <c r="W578" s="299" t="s">
        <v>194</v>
      </c>
      <c r="X578" s="300">
        <v>44636</v>
      </c>
      <c r="Y578" s="299" t="s">
        <v>59</v>
      </c>
      <c r="Z578" s="303">
        <v>1097.1232258064517</v>
      </c>
      <c r="AA578" s="305">
        <f>IF(Z578=0,0,IF(Y578="MXN",1/HLOOKUP(YEAR(X578)+(MONTH(X578)/100),TC!$5:$37,DAY(X578)+2,FALSE),VLOOKUP(Y578,Equivalencia!$1:$23,((MAX(Equivalencia!$3:$3)-YEAR(X578))*14)+MONTH(X578)+2,FALSE)))</f>
        <v>1</v>
      </c>
      <c r="AB578" s="306">
        <f t="shared" si="161"/>
        <v>1097.1232258064517</v>
      </c>
      <c r="AC578" s="305">
        <f>+IF(X578=0,0,HLOOKUP(YEAR(X578)+(MONTH(X578)/100),TC!$5:$37,DAY(X578)+2,FALSE))</f>
        <v>20.890799999999999</v>
      </c>
      <c r="AD578" s="307">
        <f t="shared" si="162"/>
        <v>22919.781885677421</v>
      </c>
      <c r="AE578" s="314">
        <f t="shared" si="163"/>
        <v>39560.179290595202</v>
      </c>
      <c r="AF578" s="315">
        <f t="shared" si="164"/>
        <v>-16640.397404917781</v>
      </c>
      <c r="AG578" s="316">
        <f t="shared" si="165"/>
        <v>0.38082191780821917</v>
      </c>
      <c r="AH578" s="314">
        <v>1</v>
      </c>
      <c r="AI578" s="314">
        <f t="shared" si="166"/>
        <v>-16640.397404917781</v>
      </c>
      <c r="AJ578" s="314">
        <f t="shared" si="167"/>
        <v>0</v>
      </c>
      <c r="AK578" s="317"/>
      <c r="AL578" s="315">
        <f t="shared" si="168"/>
        <v>-806.23877419354835</v>
      </c>
      <c r="AN578" s="554">
        <f t="shared" si="169"/>
        <v>-0.42358667147581403</v>
      </c>
      <c r="AO578" s="314"/>
      <c r="AP578" s="318"/>
    </row>
    <row r="579" spans="2:42">
      <c r="B579" s="296" t="s">
        <v>1254</v>
      </c>
      <c r="C579" s="299" t="s">
        <v>277</v>
      </c>
      <c r="D579" s="298" t="s">
        <v>885</v>
      </c>
      <c r="E579" s="299" t="s">
        <v>113</v>
      </c>
      <c r="F579" s="299" t="s">
        <v>59</v>
      </c>
      <c r="G579" s="300">
        <v>44497</v>
      </c>
      <c r="H579" s="303">
        <v>1268.9080000000001</v>
      </c>
      <c r="I579" s="301" t="str">
        <f t="shared" si="153"/>
        <v>Ingresos Sección II LISR (SIC &amp; BMV)</v>
      </c>
      <c r="J579" s="302">
        <f t="shared" si="154"/>
        <v>18</v>
      </c>
      <c r="K579" s="304">
        <f t="shared" si="155"/>
        <v>70.494888888888894</v>
      </c>
      <c r="L579" s="305">
        <f>IF(H579=0,0,IF(OR(E579=$AT$5,E579=$AT$6),AA579,IF(F579="MXN",1/HLOOKUP(YEAR(G579)+(MONTH(G579)/100),TC!$5:$37,DAY(G579)+2,FALSE),VLOOKUP(F579,Equivalencia!$5:$23,((MAX(Equivalencia!$3:$3)-YEAR(G579))*14)+MONTH(G579)+2,FALSE))))</f>
        <v>1</v>
      </c>
      <c r="M579" s="306">
        <f t="shared" si="156"/>
        <v>1268.9080000000001</v>
      </c>
      <c r="N579" s="305">
        <f>IF(G579=0,0,(IF(OR(E579=$AT$5,E579=$AT$6),AC579,HLOOKUP(YEAR(G579)+(MONTH(G579)/100),TC!$5:$37,DAY(G579)+2,FALSE))))</f>
        <v>20.188800000000001</v>
      </c>
      <c r="O579" s="307">
        <f t="shared" si="157"/>
        <v>25617.729830400003</v>
      </c>
      <c r="P579" s="560">
        <f>IF(G579=0,0,VLOOKUP(YEAR(G579),INPC!$B$4:$P$30,MONTH(G579)+2))</f>
        <v>115.56100000000001</v>
      </c>
      <c r="Q579" s="560">
        <f>IF(X579=0,0,IF(OR(E579=$AT$10,E579=$AT$9),VLOOKUP(YEAR(X579),INPC!$B$4:$P$30,MONTH(X579)+1),VLOOKUP(YEAR(X579),INPC!$B$4:$P$30,MONTH(X579)+2,0)))</f>
        <v>118.98099999999999</v>
      </c>
      <c r="R579" s="309">
        <f t="shared" si="158"/>
        <v>1.0295000000000001</v>
      </c>
      <c r="S579" s="310">
        <f t="shared" si="159"/>
        <v>26373.452860396806</v>
      </c>
      <c r="T579" s="555">
        <f t="shared" si="160"/>
        <v>1465.1918255776004</v>
      </c>
      <c r="U579" s="311"/>
      <c r="V579" s="312">
        <v>18</v>
      </c>
      <c r="W579" s="299" t="s">
        <v>194</v>
      </c>
      <c r="X579" s="300">
        <v>44636</v>
      </c>
      <c r="Y579" s="299" t="s">
        <v>59</v>
      </c>
      <c r="Z579" s="303">
        <v>730.71359999999993</v>
      </c>
      <c r="AA579" s="305">
        <f>IF(Z579=0,0,IF(Y579="MXN",1/HLOOKUP(YEAR(X579)+(MONTH(X579)/100),TC!$5:$37,DAY(X579)+2,FALSE),VLOOKUP(Y579,Equivalencia!$1:$23,((MAX(Equivalencia!$3:$3)-YEAR(X579))*14)+MONTH(X579)+2,FALSE)))</f>
        <v>1</v>
      </c>
      <c r="AB579" s="306">
        <f t="shared" si="161"/>
        <v>730.71359999999993</v>
      </c>
      <c r="AC579" s="305">
        <f>+IF(X579=0,0,HLOOKUP(YEAR(X579)+(MONTH(X579)/100),TC!$5:$37,DAY(X579)+2,FALSE))</f>
        <v>20.890799999999999</v>
      </c>
      <c r="AD579" s="307">
        <f t="shared" si="162"/>
        <v>15265.191674879998</v>
      </c>
      <c r="AE579" s="314">
        <f t="shared" si="163"/>
        <v>26373.452860396806</v>
      </c>
      <c r="AF579" s="315">
        <f t="shared" si="164"/>
        <v>-11108.261185516809</v>
      </c>
      <c r="AG579" s="316">
        <f t="shared" si="165"/>
        <v>0.38082191780821917</v>
      </c>
      <c r="AH579" s="314">
        <v>1</v>
      </c>
      <c r="AI579" s="314">
        <f t="shared" si="166"/>
        <v>-11108.261185516809</v>
      </c>
      <c r="AJ579" s="314">
        <f t="shared" si="167"/>
        <v>0</v>
      </c>
      <c r="AK579" s="317"/>
      <c r="AL579" s="315">
        <f t="shared" si="168"/>
        <v>-538.1944000000002</v>
      </c>
      <c r="AN579" s="554">
        <f t="shared" si="169"/>
        <v>-0.42413981155450209</v>
      </c>
      <c r="AO579" s="314"/>
      <c r="AP579" s="318"/>
    </row>
    <row r="580" spans="2:42">
      <c r="B580" s="296" t="s">
        <v>1254</v>
      </c>
      <c r="C580" s="299" t="s">
        <v>277</v>
      </c>
      <c r="D580" s="298" t="s">
        <v>885</v>
      </c>
      <c r="E580" s="299" t="s">
        <v>113</v>
      </c>
      <c r="F580" s="299" t="s">
        <v>59</v>
      </c>
      <c r="G580" s="300">
        <v>44532</v>
      </c>
      <c r="H580" s="303">
        <v>2897.0333009708738</v>
      </c>
      <c r="I580" s="301" t="str">
        <f t="shared" si="153"/>
        <v>Ingresos Sección II LISR (SIC &amp; BMV)</v>
      </c>
      <c r="J580" s="302">
        <f t="shared" si="154"/>
        <v>57</v>
      </c>
      <c r="K580" s="304">
        <f t="shared" si="155"/>
        <v>50.825145631067961</v>
      </c>
      <c r="L580" s="305">
        <f>IF(H580=0,0,IF(OR(E580=$AT$5,E580=$AT$6),AA580,IF(F580="MXN",1/HLOOKUP(YEAR(G580)+(MONTH(G580)/100),TC!$5:$37,DAY(G580)+2,FALSE),VLOOKUP(F580,Equivalencia!$5:$23,((MAX(Equivalencia!$3:$3)-YEAR(G580))*14)+MONTH(G580)+2,FALSE))))</f>
        <v>1</v>
      </c>
      <c r="M580" s="306">
        <f t="shared" si="156"/>
        <v>2897.0333009708738</v>
      </c>
      <c r="N580" s="305">
        <f>IF(G580=0,0,(IF(OR(E580=$AT$5,E580=$AT$6),AC580,HLOOKUP(YEAR(G580)+(MONTH(G580)/100),TC!$5:$37,DAY(G580)+2,FALSE))))</f>
        <v>21.4453</v>
      </c>
      <c r="O580" s="307">
        <f t="shared" si="157"/>
        <v>62127.74824931068</v>
      </c>
      <c r="P580" s="560">
        <f>IF(G580=0,0,VLOOKUP(YEAR(G580),INPC!$B$4:$P$30,MONTH(G580)+2))</f>
        <v>117.30800000000001</v>
      </c>
      <c r="Q580" s="560">
        <f>IF(X580=0,0,IF(OR(E580=$AT$10,E580=$AT$9),VLOOKUP(YEAR(X580),INPC!$B$4:$P$30,MONTH(X580)+1),VLOOKUP(YEAR(X580),INPC!$B$4:$P$30,MONTH(X580)+2,0)))</f>
        <v>118.98099999999999</v>
      </c>
      <c r="R580" s="309">
        <f t="shared" si="158"/>
        <v>1.0142</v>
      </c>
      <c r="S580" s="310">
        <f t="shared" si="159"/>
        <v>63009.962274450889</v>
      </c>
      <c r="T580" s="555">
        <f t="shared" si="160"/>
        <v>1105.4379346394892</v>
      </c>
      <c r="U580" s="311"/>
      <c r="V580" s="312">
        <v>57</v>
      </c>
      <c r="W580" s="299" t="s">
        <v>194</v>
      </c>
      <c r="X580" s="300">
        <v>44636</v>
      </c>
      <c r="Y580" s="299" t="s">
        <v>59</v>
      </c>
      <c r="Z580" s="303">
        <v>2313.9263999999998</v>
      </c>
      <c r="AA580" s="305">
        <f>IF(Z580=0,0,IF(Y580="MXN",1/HLOOKUP(YEAR(X580)+(MONTH(X580)/100),TC!$5:$37,DAY(X580)+2,FALSE),VLOOKUP(Y580,Equivalencia!$1:$23,((MAX(Equivalencia!$3:$3)-YEAR(X580))*14)+MONTH(X580)+2,FALSE)))</f>
        <v>1</v>
      </c>
      <c r="AB580" s="306">
        <f t="shared" si="161"/>
        <v>2313.9263999999998</v>
      </c>
      <c r="AC580" s="305">
        <f>+IF(X580=0,0,HLOOKUP(YEAR(X580)+(MONTH(X580)/100),TC!$5:$37,DAY(X580)+2,FALSE))</f>
        <v>20.890799999999999</v>
      </c>
      <c r="AD580" s="307">
        <f t="shared" si="162"/>
        <v>48339.773637119994</v>
      </c>
      <c r="AE580" s="314">
        <f t="shared" si="163"/>
        <v>63009.962274450882</v>
      </c>
      <c r="AF580" s="315">
        <f t="shared" si="164"/>
        <v>-14670.188637330888</v>
      </c>
      <c r="AG580" s="316">
        <f t="shared" si="165"/>
        <v>0.28493150684931506</v>
      </c>
      <c r="AH580" s="314">
        <v>1</v>
      </c>
      <c r="AI580" s="314">
        <f t="shared" si="166"/>
        <v>-14670.188637330888</v>
      </c>
      <c r="AJ580" s="314">
        <f t="shared" si="167"/>
        <v>0</v>
      </c>
      <c r="AK580" s="317"/>
      <c r="AL580" s="315">
        <f t="shared" si="168"/>
        <v>-583.10690097087399</v>
      </c>
      <c r="AN580" s="554">
        <f t="shared" si="169"/>
        <v>-0.20127725172349906</v>
      </c>
      <c r="AO580" s="314"/>
      <c r="AP580" s="318"/>
    </row>
    <row r="581" spans="2:42">
      <c r="B581" s="296" t="s">
        <v>1254</v>
      </c>
      <c r="C581" s="299" t="s">
        <v>277</v>
      </c>
      <c r="D581" s="298" t="s">
        <v>885</v>
      </c>
      <c r="E581" s="299" t="s">
        <v>113</v>
      </c>
      <c r="F581" s="299" t="s">
        <v>59</v>
      </c>
      <c r="G581" s="300">
        <v>44532</v>
      </c>
      <c r="H581" s="303">
        <v>2337.9566990291264</v>
      </c>
      <c r="I581" s="301" t="str">
        <f t="shared" si="153"/>
        <v>Ingresos Sección II LISR (SIC &amp; BMV)</v>
      </c>
      <c r="J581" s="302">
        <f t="shared" si="154"/>
        <v>46</v>
      </c>
      <c r="K581" s="304">
        <f t="shared" si="155"/>
        <v>50.825145631067969</v>
      </c>
      <c r="L581" s="305">
        <f>IF(H581=0,0,IF(OR(E581=$AT$5,E581=$AT$6),AA581,IF(F581="MXN",1/HLOOKUP(YEAR(G581)+(MONTH(G581)/100),TC!$5:$37,DAY(G581)+2,FALSE),VLOOKUP(F581,Equivalencia!$5:$23,((MAX(Equivalencia!$3:$3)-YEAR(G581))*14)+MONTH(G581)+2,FALSE))))</f>
        <v>1</v>
      </c>
      <c r="M581" s="306">
        <f t="shared" si="156"/>
        <v>2337.9566990291264</v>
      </c>
      <c r="N581" s="305">
        <f>IF(G581=0,0,(IF(OR(E581=$AT$5,E581=$AT$6),AC581,HLOOKUP(YEAR(G581)+(MONTH(G581)/100),TC!$5:$37,DAY(G581)+2,FALSE))))</f>
        <v>21.4453</v>
      </c>
      <c r="O581" s="307">
        <f t="shared" si="157"/>
        <v>50138.182797689326</v>
      </c>
      <c r="P581" s="560">
        <f>IF(G581=0,0,VLOOKUP(YEAR(G581),INPC!$B$4:$P$30,MONTH(G581)+2))</f>
        <v>117.30800000000001</v>
      </c>
      <c r="Q581" s="560">
        <f>IF(X581=0,0,IF(OR(E581=$AT$10,E581=$AT$9),VLOOKUP(YEAR(X581),INPC!$B$4:$P$30,MONTH(X581)+1),VLOOKUP(YEAR(X581),INPC!$B$4:$P$30,MONTH(X581)+2,0)))</f>
        <v>118.98099999999999</v>
      </c>
      <c r="R581" s="309">
        <f t="shared" si="158"/>
        <v>1.0142</v>
      </c>
      <c r="S581" s="310">
        <f t="shared" si="159"/>
        <v>50850.144993416514</v>
      </c>
      <c r="T581" s="555">
        <f t="shared" si="160"/>
        <v>1105.4379346394894</v>
      </c>
      <c r="U581" s="311"/>
      <c r="V581" s="312">
        <v>46</v>
      </c>
      <c r="W581" s="299" t="s">
        <v>194</v>
      </c>
      <c r="X581" s="300">
        <v>44637</v>
      </c>
      <c r="Y581" s="299" t="s">
        <v>59</v>
      </c>
      <c r="Z581" s="303">
        <v>1966.85</v>
      </c>
      <c r="AA581" s="305">
        <f>IF(Z581=0,0,IF(Y581="MXN",1/HLOOKUP(YEAR(X581)+(MONTH(X581)/100),TC!$5:$37,DAY(X581)+2,FALSE),VLOOKUP(Y581,Equivalencia!$1:$23,((MAX(Equivalencia!$3:$3)-YEAR(X581))*14)+MONTH(X581)+2,FALSE)))</f>
        <v>1</v>
      </c>
      <c r="AB581" s="306">
        <f t="shared" si="161"/>
        <v>1966.85</v>
      </c>
      <c r="AC581" s="305">
        <f>+IF(X581=0,0,HLOOKUP(YEAR(X581)+(MONTH(X581)/100),TC!$5:$37,DAY(X581)+2,FALSE))</f>
        <v>20.874300000000002</v>
      </c>
      <c r="AD581" s="307">
        <f t="shared" si="162"/>
        <v>41056.616954999998</v>
      </c>
      <c r="AE581" s="314">
        <f t="shared" si="163"/>
        <v>50850.144993416514</v>
      </c>
      <c r="AF581" s="315">
        <f t="shared" si="164"/>
        <v>-9793.5280384165162</v>
      </c>
      <c r="AG581" s="316">
        <f t="shared" si="165"/>
        <v>0.28767123287671231</v>
      </c>
      <c r="AH581" s="314">
        <v>1</v>
      </c>
      <c r="AI581" s="314">
        <f t="shared" si="166"/>
        <v>-9793.5280384165162</v>
      </c>
      <c r="AJ581" s="314">
        <f t="shared" si="167"/>
        <v>0</v>
      </c>
      <c r="AK581" s="317"/>
      <c r="AL581" s="315">
        <f t="shared" si="168"/>
        <v>-371.1066990291265</v>
      </c>
      <c r="AN581" s="554">
        <f t="shared" si="169"/>
        <v>-0.15873121139635923</v>
      </c>
      <c r="AO581" s="314"/>
      <c r="AP581" s="318"/>
    </row>
    <row r="582" spans="2:42">
      <c r="B582" s="296" t="s">
        <v>1254</v>
      </c>
      <c r="C582" s="299" t="s">
        <v>277</v>
      </c>
      <c r="D582" s="298" t="s">
        <v>886</v>
      </c>
      <c r="E582" s="299" t="s">
        <v>113</v>
      </c>
      <c r="F582" s="299" t="s">
        <v>59</v>
      </c>
      <c r="G582" s="300">
        <v>44375</v>
      </c>
      <c r="H582" s="303">
        <v>3896.5461165048546</v>
      </c>
      <c r="I582" s="301" t="str">
        <f t="shared" si="153"/>
        <v>Ingresos Sección II LISR (SIC &amp; BMV)</v>
      </c>
      <c r="J582" s="302">
        <f t="shared" si="154"/>
        <v>50</v>
      </c>
      <c r="K582" s="304">
        <f t="shared" si="155"/>
        <v>77.93092233009709</v>
      </c>
      <c r="L582" s="305">
        <f>IF(H582=0,0,IF(OR(E582=$AT$5,E582=$AT$6),AA582,IF(F582="MXN",1/HLOOKUP(YEAR(G582)+(MONTH(G582)/100),TC!$5:$37,DAY(G582)+2,FALSE),VLOOKUP(F582,Equivalencia!$5:$23,((MAX(Equivalencia!$3:$3)-YEAR(G582))*14)+MONTH(G582)+2,FALSE))))</f>
        <v>1</v>
      </c>
      <c r="M582" s="306">
        <f t="shared" si="156"/>
        <v>3896.5461165048546</v>
      </c>
      <c r="N582" s="305">
        <f>IF(G582=0,0,(IF(OR(E582=$AT$5,E582=$AT$6),AC582,HLOOKUP(YEAR(G582)+(MONTH(G582)/100),TC!$5:$37,DAY(G582)+2,FALSE))))</f>
        <v>20.048300000000001</v>
      </c>
      <c r="O582" s="307">
        <f t="shared" si="157"/>
        <v>78119.125507524281</v>
      </c>
      <c r="P582" s="560">
        <f>IF(G582=0,0,VLOOKUP(YEAR(G582),INPC!$B$4:$P$30,MONTH(G582)+2))</f>
        <v>113.018</v>
      </c>
      <c r="Q582" s="560">
        <f>IF(X582=0,0,IF(OR(E582=$AT$10,E582=$AT$9),VLOOKUP(YEAR(X582),INPC!$B$4:$P$30,MONTH(X582)+1),VLOOKUP(YEAR(X582),INPC!$B$4:$P$30,MONTH(X582)+2,0)))</f>
        <v>118.98099999999999</v>
      </c>
      <c r="R582" s="309">
        <f t="shared" si="158"/>
        <v>1.0527</v>
      </c>
      <c r="S582" s="310">
        <f t="shared" si="159"/>
        <v>82236.003421770802</v>
      </c>
      <c r="T582" s="555">
        <f t="shared" si="160"/>
        <v>1644.7200684354161</v>
      </c>
      <c r="U582" s="311"/>
      <c r="V582" s="312">
        <v>50</v>
      </c>
      <c r="W582" s="299" t="s">
        <v>194</v>
      </c>
      <c r="X582" s="300">
        <v>44627</v>
      </c>
      <c r="Y582" s="299" t="s">
        <v>59</v>
      </c>
      <c r="Z582" s="303">
        <v>3060.8161764705878</v>
      </c>
      <c r="AA582" s="305">
        <f>IF(Z582=0,0,IF(Y582="MXN",1/HLOOKUP(YEAR(X582)+(MONTH(X582)/100),TC!$5:$37,DAY(X582)+2,FALSE),VLOOKUP(Y582,Equivalencia!$1:$23,((MAX(Equivalencia!$3:$3)-YEAR(X582))*14)+MONTH(X582)+2,FALSE)))</f>
        <v>1</v>
      </c>
      <c r="AB582" s="306">
        <f t="shared" si="161"/>
        <v>3060.8161764705878</v>
      </c>
      <c r="AC582" s="305">
        <f>+IF(X582=0,0,HLOOKUP(YEAR(X582)+(MONTH(X582)/100),TC!$5:$37,DAY(X582)+2,FALSE))</f>
        <v>20.703299999999999</v>
      </c>
      <c r="AD582" s="307">
        <f t="shared" si="162"/>
        <v>63368.995546323516</v>
      </c>
      <c r="AE582" s="314">
        <f t="shared" si="163"/>
        <v>82236.003421770802</v>
      </c>
      <c r="AF582" s="315">
        <f t="shared" si="164"/>
        <v>-18867.007875447285</v>
      </c>
      <c r="AG582" s="316">
        <f t="shared" si="165"/>
        <v>0.69041095890410964</v>
      </c>
      <c r="AH582" s="314">
        <v>1</v>
      </c>
      <c r="AI582" s="314">
        <f t="shared" si="166"/>
        <v>-18867.007875447285</v>
      </c>
      <c r="AJ582" s="314">
        <f t="shared" si="167"/>
        <v>0</v>
      </c>
      <c r="AK582" s="317"/>
      <c r="AL582" s="315">
        <f t="shared" si="168"/>
        <v>-835.72994003426675</v>
      </c>
      <c r="AN582" s="554">
        <f t="shared" si="169"/>
        <v>-0.2144796738050426</v>
      </c>
      <c r="AO582" s="314"/>
      <c r="AP582" s="318"/>
    </row>
    <row r="583" spans="2:42">
      <c r="B583" s="296" t="s">
        <v>1254</v>
      </c>
      <c r="C583" s="299" t="s">
        <v>277</v>
      </c>
      <c r="D583" s="298" t="s">
        <v>886</v>
      </c>
      <c r="E583" s="299" t="s">
        <v>113</v>
      </c>
      <c r="F583" s="299" t="s">
        <v>59</v>
      </c>
      <c r="G583" s="300">
        <v>44376</v>
      </c>
      <c r="H583" s="303">
        <v>12081.896966292135</v>
      </c>
      <c r="I583" s="301" t="str">
        <f t="shared" si="153"/>
        <v>Ingresos Sección II LISR (SIC &amp; BMV)</v>
      </c>
      <c r="J583" s="302">
        <f t="shared" si="154"/>
        <v>154</v>
      </c>
      <c r="K583" s="304">
        <f t="shared" si="155"/>
        <v>78.45387640449438</v>
      </c>
      <c r="L583" s="305">
        <f>IF(H583=0,0,IF(OR(E583=$AT$5,E583=$AT$6),AA583,IF(F583="MXN",1/HLOOKUP(YEAR(G583)+(MONTH(G583)/100),TC!$5:$37,DAY(G583)+2,FALSE),VLOOKUP(F583,Equivalencia!$5:$23,((MAX(Equivalencia!$3:$3)-YEAR(G583))*14)+MONTH(G583)+2,FALSE))))</f>
        <v>1</v>
      </c>
      <c r="M583" s="306">
        <f t="shared" si="156"/>
        <v>12081.896966292135</v>
      </c>
      <c r="N583" s="305">
        <f>IF(G583=0,0,(IF(OR(E583=$AT$5,E583=$AT$6),AC583,HLOOKUP(YEAR(G583)+(MONTH(G583)/100),TC!$5:$37,DAY(G583)+2,FALSE))))</f>
        <v>19.792999999999999</v>
      </c>
      <c r="O583" s="307">
        <f t="shared" si="157"/>
        <v>239136.98665382023</v>
      </c>
      <c r="P583" s="560">
        <f>IF(G583=0,0,VLOOKUP(YEAR(G583),INPC!$B$4:$P$30,MONTH(G583)+2))</f>
        <v>113.018</v>
      </c>
      <c r="Q583" s="560">
        <f>IF(X583=0,0,IF(OR(E583=$AT$10,E583=$AT$9),VLOOKUP(YEAR(X583),INPC!$B$4:$P$30,MONTH(X583)+1),VLOOKUP(YEAR(X583),INPC!$B$4:$P$30,MONTH(X583)+2,0)))</f>
        <v>118.98099999999999</v>
      </c>
      <c r="R583" s="309">
        <f t="shared" si="158"/>
        <v>1.0527</v>
      </c>
      <c r="S583" s="310">
        <f t="shared" si="159"/>
        <v>251739.50585047656</v>
      </c>
      <c r="T583" s="555">
        <f t="shared" si="160"/>
        <v>1634.6721159121855</v>
      </c>
      <c r="U583" s="311"/>
      <c r="V583" s="312">
        <v>154</v>
      </c>
      <c r="W583" s="299" t="s">
        <v>194</v>
      </c>
      <c r="X583" s="300">
        <v>44627</v>
      </c>
      <c r="Y583" s="299" t="s">
        <v>59</v>
      </c>
      <c r="Z583" s="303">
        <v>9427.3138235294118</v>
      </c>
      <c r="AA583" s="305">
        <f>IF(Z583=0,0,IF(Y583="MXN",1/HLOOKUP(YEAR(X583)+(MONTH(X583)/100),TC!$5:$37,DAY(X583)+2,FALSE),VLOOKUP(Y583,Equivalencia!$1:$23,((MAX(Equivalencia!$3:$3)-YEAR(X583))*14)+MONTH(X583)+2,FALSE)))</f>
        <v>1</v>
      </c>
      <c r="AB583" s="306">
        <f t="shared" si="161"/>
        <v>9427.3138235294118</v>
      </c>
      <c r="AC583" s="305">
        <f>+IF(X583=0,0,HLOOKUP(YEAR(X583)+(MONTH(X583)/100),TC!$5:$37,DAY(X583)+2,FALSE))</f>
        <v>20.703299999999999</v>
      </c>
      <c r="AD583" s="307">
        <f t="shared" si="162"/>
        <v>195176.50628267645</v>
      </c>
      <c r="AE583" s="314">
        <f t="shared" si="163"/>
        <v>251739.50585047656</v>
      </c>
      <c r="AF583" s="315">
        <f t="shared" si="164"/>
        <v>-56562.999567800114</v>
      </c>
      <c r="AG583" s="316">
        <f t="shared" si="165"/>
        <v>0.68767123287671228</v>
      </c>
      <c r="AH583" s="314">
        <v>1</v>
      </c>
      <c r="AI583" s="314">
        <f t="shared" si="166"/>
        <v>-56562.999567800114</v>
      </c>
      <c r="AJ583" s="314">
        <f t="shared" si="167"/>
        <v>0</v>
      </c>
      <c r="AK583" s="317"/>
      <c r="AL583" s="315">
        <f t="shared" si="168"/>
        <v>-2654.5831427627236</v>
      </c>
      <c r="AN583" s="554">
        <f t="shared" si="169"/>
        <v>-0.21971575739876548</v>
      </c>
      <c r="AO583" s="314"/>
      <c r="AP583" s="318"/>
    </row>
    <row r="584" spans="2:42">
      <c r="B584" s="296" t="s">
        <v>1254</v>
      </c>
      <c r="C584" s="299" t="s">
        <v>277</v>
      </c>
      <c r="D584" s="298" t="s">
        <v>886</v>
      </c>
      <c r="E584" s="299" t="s">
        <v>113</v>
      </c>
      <c r="F584" s="299" t="s">
        <v>59</v>
      </c>
      <c r="G584" s="300">
        <v>44376</v>
      </c>
      <c r="H584" s="303">
        <v>1882.893033707865</v>
      </c>
      <c r="I584" s="301" t="str">
        <f t="shared" si="153"/>
        <v>Ingresos Sección II LISR (SIC &amp; BMV)</v>
      </c>
      <c r="J584" s="302">
        <f t="shared" si="154"/>
        <v>24</v>
      </c>
      <c r="K584" s="304">
        <f t="shared" si="155"/>
        <v>78.45387640449438</v>
      </c>
      <c r="L584" s="305">
        <f>IF(H584=0,0,IF(OR(E584=$AT$5,E584=$AT$6),AA584,IF(F584="MXN",1/HLOOKUP(YEAR(G584)+(MONTH(G584)/100),TC!$5:$37,DAY(G584)+2,FALSE),VLOOKUP(F584,Equivalencia!$5:$23,((MAX(Equivalencia!$3:$3)-YEAR(G584))*14)+MONTH(G584)+2,FALSE))))</f>
        <v>1</v>
      </c>
      <c r="M584" s="306">
        <f t="shared" si="156"/>
        <v>1882.893033707865</v>
      </c>
      <c r="N584" s="305">
        <f>IF(G584=0,0,(IF(OR(E584=$AT$5,E584=$AT$6),AC584,HLOOKUP(YEAR(G584)+(MONTH(G584)/100),TC!$5:$37,DAY(G584)+2,FALSE))))</f>
        <v>19.792999999999999</v>
      </c>
      <c r="O584" s="307">
        <f t="shared" si="157"/>
        <v>37268.101816179769</v>
      </c>
      <c r="P584" s="560">
        <f>IF(G584=0,0,VLOOKUP(YEAR(G584),INPC!$B$4:$P$30,MONTH(G584)+2))</f>
        <v>113.018</v>
      </c>
      <c r="Q584" s="560">
        <f>IF(X584=0,0,IF(OR(E584=$AT$10,E584=$AT$9),VLOOKUP(YEAR(X584),INPC!$B$4:$P$30,MONTH(X584)+1),VLOOKUP(YEAR(X584),INPC!$B$4:$P$30,MONTH(X584)+2,0)))</f>
        <v>118.98099999999999</v>
      </c>
      <c r="R584" s="309">
        <f t="shared" si="158"/>
        <v>1.0527</v>
      </c>
      <c r="S584" s="310">
        <f t="shared" si="159"/>
        <v>39232.13078189244</v>
      </c>
      <c r="T584" s="555">
        <f t="shared" si="160"/>
        <v>1634.6721159121851</v>
      </c>
      <c r="U584" s="311"/>
      <c r="V584" s="312">
        <v>24</v>
      </c>
      <c r="W584" s="299" t="s">
        <v>194</v>
      </c>
      <c r="X584" s="300">
        <v>44628</v>
      </c>
      <c r="Y584" s="299" t="s">
        <v>59</v>
      </c>
      <c r="Z584" s="303">
        <v>1420.0757142857144</v>
      </c>
      <c r="AA584" s="305">
        <f>IF(Z584=0,0,IF(Y584="MXN",1/HLOOKUP(YEAR(X584)+(MONTH(X584)/100),TC!$5:$37,DAY(X584)+2,FALSE),VLOOKUP(Y584,Equivalencia!$1:$23,((MAX(Equivalencia!$3:$3)-YEAR(X584))*14)+MONTH(X584)+2,FALSE)))</f>
        <v>1</v>
      </c>
      <c r="AB584" s="306">
        <f t="shared" si="161"/>
        <v>1420.0757142857144</v>
      </c>
      <c r="AC584" s="305">
        <f>+IF(X584=0,0,HLOOKUP(YEAR(X584)+(MONTH(X584)/100),TC!$5:$37,DAY(X584)+2,FALSE))</f>
        <v>20.926200000000001</v>
      </c>
      <c r="AD584" s="307">
        <f t="shared" si="162"/>
        <v>29716.788412285718</v>
      </c>
      <c r="AE584" s="314">
        <f t="shared" si="163"/>
        <v>39232.13078189244</v>
      </c>
      <c r="AF584" s="315">
        <f t="shared" si="164"/>
        <v>-9515.3423696067221</v>
      </c>
      <c r="AG584" s="316">
        <f t="shared" si="165"/>
        <v>0.69041095890410964</v>
      </c>
      <c r="AH584" s="314">
        <v>1</v>
      </c>
      <c r="AI584" s="314">
        <f t="shared" si="166"/>
        <v>-9515.3423696067221</v>
      </c>
      <c r="AJ584" s="314">
        <f t="shared" si="167"/>
        <v>0</v>
      </c>
      <c r="AK584" s="317"/>
      <c r="AL584" s="315">
        <f t="shared" si="168"/>
        <v>-462.8173194221506</v>
      </c>
      <c r="AN584" s="554">
        <f t="shared" si="169"/>
        <v>-0.24580117464811743</v>
      </c>
      <c r="AO584" s="314"/>
      <c r="AP584" s="318"/>
    </row>
    <row r="585" spans="2:42">
      <c r="B585" s="296" t="s">
        <v>1254</v>
      </c>
      <c r="C585" s="299" t="s">
        <v>277</v>
      </c>
      <c r="D585" s="298" t="s">
        <v>886</v>
      </c>
      <c r="E585" s="299" t="s">
        <v>113</v>
      </c>
      <c r="F585" s="299" t="s">
        <v>59</v>
      </c>
      <c r="G585" s="300">
        <v>44391</v>
      </c>
      <c r="H585" s="303">
        <v>6671.9839999999995</v>
      </c>
      <c r="I585" s="301" t="str">
        <f t="shared" si="153"/>
        <v>Ingresos Sección II LISR (SIC &amp; BMV)</v>
      </c>
      <c r="J585" s="302">
        <f t="shared" si="154"/>
        <v>88</v>
      </c>
      <c r="K585" s="304">
        <f t="shared" si="155"/>
        <v>75.817999999999998</v>
      </c>
      <c r="L585" s="305">
        <f>IF(H585=0,0,IF(OR(E585=$AT$5,E585=$AT$6),AA585,IF(F585="MXN",1/HLOOKUP(YEAR(G585)+(MONTH(G585)/100),TC!$5:$37,DAY(G585)+2,FALSE),VLOOKUP(F585,Equivalencia!$5:$23,((MAX(Equivalencia!$3:$3)-YEAR(G585))*14)+MONTH(G585)+2,FALSE))))</f>
        <v>1</v>
      </c>
      <c r="M585" s="306">
        <f t="shared" si="156"/>
        <v>6671.9839999999995</v>
      </c>
      <c r="N585" s="305">
        <f>IF(G585=0,0,(IF(OR(E585=$AT$5,E585=$AT$6),AC585,HLOOKUP(YEAR(G585)+(MONTH(G585)/100),TC!$5:$37,DAY(G585)+2,FALSE))))</f>
        <v>19.857700000000001</v>
      </c>
      <c r="O585" s="307">
        <f t="shared" si="157"/>
        <v>132490.2566768</v>
      </c>
      <c r="P585" s="560">
        <f>IF(G585=0,0,VLOOKUP(YEAR(G585),INPC!$B$4:$P$30,MONTH(G585)+2))</f>
        <v>113.682</v>
      </c>
      <c r="Q585" s="560">
        <f>IF(X585=0,0,IF(OR(E585=$AT$10,E585=$AT$9),VLOOKUP(YEAR(X585),INPC!$B$4:$P$30,MONTH(X585)+1),VLOOKUP(YEAR(X585),INPC!$B$4:$P$30,MONTH(X585)+2,0)))</f>
        <v>118.98099999999999</v>
      </c>
      <c r="R585" s="309">
        <f t="shared" si="158"/>
        <v>1.0466</v>
      </c>
      <c r="S585" s="310">
        <f t="shared" si="159"/>
        <v>138664.30263793888</v>
      </c>
      <c r="T585" s="555">
        <f t="shared" si="160"/>
        <v>1575.7307117947601</v>
      </c>
      <c r="U585" s="311"/>
      <c r="V585" s="312">
        <v>88</v>
      </c>
      <c r="W585" s="299" t="s">
        <v>194</v>
      </c>
      <c r="X585" s="300">
        <v>44628</v>
      </c>
      <c r="Y585" s="299" t="s">
        <v>59</v>
      </c>
      <c r="Z585" s="303">
        <v>5206.9442857142858</v>
      </c>
      <c r="AA585" s="305">
        <f>IF(Z585=0,0,IF(Y585="MXN",1/HLOOKUP(YEAR(X585)+(MONTH(X585)/100),TC!$5:$37,DAY(X585)+2,FALSE),VLOOKUP(Y585,Equivalencia!$1:$23,((MAX(Equivalencia!$3:$3)-YEAR(X585))*14)+MONTH(X585)+2,FALSE)))</f>
        <v>1</v>
      </c>
      <c r="AB585" s="306">
        <f t="shared" si="161"/>
        <v>5206.9442857142858</v>
      </c>
      <c r="AC585" s="305">
        <f>+IF(X585=0,0,HLOOKUP(YEAR(X585)+(MONTH(X585)/100),TC!$5:$37,DAY(X585)+2,FALSE))</f>
        <v>20.926200000000001</v>
      </c>
      <c r="AD585" s="307">
        <f t="shared" si="162"/>
        <v>108961.5575117143</v>
      </c>
      <c r="AE585" s="314">
        <f t="shared" si="163"/>
        <v>138664.30263793888</v>
      </c>
      <c r="AF585" s="315">
        <f t="shared" si="164"/>
        <v>-29702.745126224574</v>
      </c>
      <c r="AG585" s="316">
        <f t="shared" si="165"/>
        <v>0.64931506849315068</v>
      </c>
      <c r="AH585" s="314">
        <v>1</v>
      </c>
      <c r="AI585" s="314">
        <f t="shared" si="166"/>
        <v>-29702.745126224574</v>
      </c>
      <c r="AJ585" s="314">
        <f t="shared" si="167"/>
        <v>0</v>
      </c>
      <c r="AK585" s="317"/>
      <c r="AL585" s="315">
        <f t="shared" si="168"/>
        <v>-1465.0397142857137</v>
      </c>
      <c r="AN585" s="554">
        <f t="shared" si="169"/>
        <v>-0.21958081948123884</v>
      </c>
      <c r="AO585" s="314"/>
      <c r="AP585" s="318"/>
    </row>
    <row r="586" spans="2:42">
      <c r="B586" s="296" t="s">
        <v>1254</v>
      </c>
      <c r="C586" s="299" t="s">
        <v>277</v>
      </c>
      <c r="D586" s="298" t="s">
        <v>886</v>
      </c>
      <c r="E586" s="299" t="s">
        <v>113</v>
      </c>
      <c r="F586" s="299" t="s">
        <v>59</v>
      </c>
      <c r="G586" s="300">
        <v>44391</v>
      </c>
      <c r="H586" s="303">
        <v>303.27199999999999</v>
      </c>
      <c r="I586" s="301" t="str">
        <f t="shared" si="153"/>
        <v>Ingresos Sección II LISR (SIC &amp; BMV)</v>
      </c>
      <c r="J586" s="302">
        <f t="shared" si="154"/>
        <v>4</v>
      </c>
      <c r="K586" s="304">
        <f t="shared" si="155"/>
        <v>75.817999999999998</v>
      </c>
      <c r="L586" s="305">
        <f>IF(H586=0,0,IF(OR(E586=$AT$5,E586=$AT$6),AA586,IF(F586="MXN",1/HLOOKUP(YEAR(G586)+(MONTH(G586)/100),TC!$5:$37,DAY(G586)+2,FALSE),VLOOKUP(F586,Equivalencia!$5:$23,((MAX(Equivalencia!$3:$3)-YEAR(G586))*14)+MONTH(G586)+2,FALSE))))</f>
        <v>1</v>
      </c>
      <c r="M586" s="306">
        <f t="shared" si="156"/>
        <v>303.27199999999999</v>
      </c>
      <c r="N586" s="305">
        <f>IF(G586=0,0,(IF(OR(E586=$AT$5,E586=$AT$6),AC586,HLOOKUP(YEAR(G586)+(MONTH(G586)/100),TC!$5:$37,DAY(G586)+2,FALSE))))</f>
        <v>19.857700000000001</v>
      </c>
      <c r="O586" s="307">
        <f t="shared" si="157"/>
        <v>6022.2843944000006</v>
      </c>
      <c r="P586" s="560">
        <f>IF(G586=0,0,VLOOKUP(YEAR(G586),INPC!$B$4:$P$30,MONTH(G586)+2))</f>
        <v>113.682</v>
      </c>
      <c r="Q586" s="560">
        <f>IF(X586=0,0,IF(OR(E586=$AT$10,E586=$AT$9),VLOOKUP(YEAR(X586),INPC!$B$4:$P$30,MONTH(X586)+1),VLOOKUP(YEAR(X586),INPC!$B$4:$P$30,MONTH(X586)+2,0)))</f>
        <v>118.98099999999999</v>
      </c>
      <c r="R586" s="309">
        <f t="shared" si="158"/>
        <v>1.0466</v>
      </c>
      <c r="S586" s="310">
        <f t="shared" si="159"/>
        <v>6302.9228471790402</v>
      </c>
      <c r="T586" s="555">
        <f t="shared" si="160"/>
        <v>1575.7307117947601</v>
      </c>
      <c r="U586" s="311"/>
      <c r="V586" s="312">
        <v>4</v>
      </c>
      <c r="W586" s="299" t="s">
        <v>194</v>
      </c>
      <c r="X586" s="300">
        <v>44628</v>
      </c>
      <c r="Y586" s="299" t="s">
        <v>59</v>
      </c>
      <c r="Z586" s="303">
        <v>236.49</v>
      </c>
      <c r="AA586" s="305">
        <f>IF(Z586=0,0,IF(Y586="MXN",1/HLOOKUP(YEAR(X586)+(MONTH(X586)/100),TC!$5:$37,DAY(X586)+2,FALSE),VLOOKUP(Y586,Equivalencia!$1:$23,((MAX(Equivalencia!$3:$3)-YEAR(X586))*14)+MONTH(X586)+2,FALSE)))</f>
        <v>1</v>
      </c>
      <c r="AB586" s="306">
        <f t="shared" si="161"/>
        <v>236.49</v>
      </c>
      <c r="AC586" s="305">
        <f>+IF(X586=0,0,HLOOKUP(YEAR(X586)+(MONTH(X586)/100),TC!$5:$37,DAY(X586)+2,FALSE))</f>
        <v>20.926200000000001</v>
      </c>
      <c r="AD586" s="307">
        <f t="shared" si="162"/>
        <v>4948.8370380000006</v>
      </c>
      <c r="AE586" s="314">
        <f t="shared" si="163"/>
        <v>6302.9228471790402</v>
      </c>
      <c r="AF586" s="315">
        <f t="shared" si="164"/>
        <v>-1354.0858091790396</v>
      </c>
      <c r="AG586" s="316">
        <f t="shared" si="165"/>
        <v>0.64931506849315068</v>
      </c>
      <c r="AH586" s="314">
        <v>1</v>
      </c>
      <c r="AI586" s="314">
        <f t="shared" si="166"/>
        <v>-1354.0858091790396</v>
      </c>
      <c r="AJ586" s="314">
        <f t="shared" si="167"/>
        <v>0</v>
      </c>
      <c r="AK586" s="317"/>
      <c r="AL586" s="315">
        <f t="shared" si="168"/>
        <v>-66.781999999999982</v>
      </c>
      <c r="AN586" s="554">
        <f t="shared" si="169"/>
        <v>-0.22020496452029856</v>
      </c>
      <c r="AO586" s="314"/>
      <c r="AP586" s="318"/>
    </row>
    <row r="587" spans="2:42">
      <c r="B587" s="296" t="s">
        <v>1254</v>
      </c>
      <c r="C587" s="299" t="s">
        <v>277</v>
      </c>
      <c r="D587" s="298" t="s">
        <v>886</v>
      </c>
      <c r="E587" s="299" t="s">
        <v>113</v>
      </c>
      <c r="F587" s="299" t="s">
        <v>59</v>
      </c>
      <c r="G587" s="300">
        <v>44391</v>
      </c>
      <c r="H587" s="303">
        <v>454.90800000000002</v>
      </c>
      <c r="I587" s="301" t="str">
        <f t="shared" si="153"/>
        <v>Ingresos Sección II LISR (SIC &amp; BMV)</v>
      </c>
      <c r="J587" s="302">
        <f t="shared" si="154"/>
        <v>6</v>
      </c>
      <c r="K587" s="304">
        <f t="shared" si="155"/>
        <v>75.817999999999998</v>
      </c>
      <c r="L587" s="305">
        <f>IF(H587=0,0,IF(OR(E587=$AT$5,E587=$AT$6),AA587,IF(F587="MXN",1/HLOOKUP(YEAR(G587)+(MONTH(G587)/100),TC!$5:$37,DAY(G587)+2,FALSE),VLOOKUP(F587,Equivalencia!$5:$23,((MAX(Equivalencia!$3:$3)-YEAR(G587))*14)+MONTH(G587)+2,FALSE))))</f>
        <v>1</v>
      </c>
      <c r="M587" s="306">
        <f t="shared" si="156"/>
        <v>454.90800000000002</v>
      </c>
      <c r="N587" s="305">
        <f>IF(G587=0,0,(IF(OR(E587=$AT$5,E587=$AT$6),AC587,HLOOKUP(YEAR(G587)+(MONTH(G587)/100),TC!$5:$37,DAY(G587)+2,FALSE))))</f>
        <v>19.857700000000001</v>
      </c>
      <c r="O587" s="307">
        <f t="shared" si="157"/>
        <v>9033.4265916000004</v>
      </c>
      <c r="P587" s="560">
        <f>IF(G587=0,0,VLOOKUP(YEAR(G587),INPC!$B$4:$P$30,MONTH(G587)+2))</f>
        <v>113.682</v>
      </c>
      <c r="Q587" s="560">
        <f>IF(X587=0,0,IF(OR(E587=$AT$10,E587=$AT$9),VLOOKUP(YEAR(X587),INPC!$B$4:$P$30,MONTH(X587)+1),VLOOKUP(YEAR(X587),INPC!$B$4:$P$30,MONTH(X587)+2,0)))</f>
        <v>118.98099999999999</v>
      </c>
      <c r="R587" s="309">
        <f t="shared" si="158"/>
        <v>1.0466</v>
      </c>
      <c r="S587" s="310">
        <f t="shared" si="159"/>
        <v>9454.3842707685599</v>
      </c>
      <c r="T587" s="555">
        <f t="shared" si="160"/>
        <v>1575.7307117947601</v>
      </c>
      <c r="U587" s="311"/>
      <c r="V587" s="312">
        <v>6</v>
      </c>
      <c r="W587" s="299" t="s">
        <v>194</v>
      </c>
      <c r="X587" s="300">
        <v>44628</v>
      </c>
      <c r="Y587" s="299" t="s">
        <v>59</v>
      </c>
      <c r="Z587" s="303">
        <v>354.89</v>
      </c>
      <c r="AA587" s="305">
        <f>IF(Z587=0,0,IF(Y587="MXN",1/HLOOKUP(YEAR(X587)+(MONTH(X587)/100),TC!$5:$37,DAY(X587)+2,FALSE),VLOOKUP(Y587,Equivalencia!$1:$23,((MAX(Equivalencia!$3:$3)-YEAR(X587))*14)+MONTH(X587)+2,FALSE)))</f>
        <v>1</v>
      </c>
      <c r="AB587" s="306">
        <f t="shared" si="161"/>
        <v>354.89</v>
      </c>
      <c r="AC587" s="305">
        <f>+IF(X587=0,0,HLOOKUP(YEAR(X587)+(MONTH(X587)/100),TC!$5:$37,DAY(X587)+2,FALSE))</f>
        <v>20.926200000000001</v>
      </c>
      <c r="AD587" s="307">
        <f t="shared" si="162"/>
        <v>7426.4991180000006</v>
      </c>
      <c r="AE587" s="314">
        <f t="shared" si="163"/>
        <v>9454.3842707685599</v>
      </c>
      <c r="AF587" s="315">
        <f t="shared" si="164"/>
        <v>-2027.8851527685592</v>
      </c>
      <c r="AG587" s="316">
        <f t="shared" si="165"/>
        <v>0.64931506849315068</v>
      </c>
      <c r="AH587" s="314">
        <v>1</v>
      </c>
      <c r="AI587" s="314">
        <f t="shared" si="166"/>
        <v>-2027.8851527685592</v>
      </c>
      <c r="AJ587" s="314">
        <f t="shared" si="167"/>
        <v>0</v>
      </c>
      <c r="AK587" s="317"/>
      <c r="AL587" s="315">
        <f t="shared" si="168"/>
        <v>-100.01800000000003</v>
      </c>
      <c r="AN587" s="554">
        <f t="shared" si="169"/>
        <v>-0.21986423628513904</v>
      </c>
      <c r="AO587" s="314"/>
      <c r="AP587" s="318"/>
    </row>
    <row r="588" spans="2:42">
      <c r="B588" s="296" t="s">
        <v>1254</v>
      </c>
      <c r="C588" s="299" t="s">
        <v>277</v>
      </c>
      <c r="D588" s="298" t="s">
        <v>886</v>
      </c>
      <c r="E588" s="299" t="s">
        <v>113</v>
      </c>
      <c r="F588" s="299" t="s">
        <v>59</v>
      </c>
      <c r="G588" s="300">
        <v>44391</v>
      </c>
      <c r="H588" s="303">
        <v>4928.17</v>
      </c>
      <c r="I588" s="301" t="str">
        <f t="shared" si="153"/>
        <v>Ingresos Sección II LISR (SIC &amp; BMV)</v>
      </c>
      <c r="J588" s="302">
        <f t="shared" si="154"/>
        <v>65</v>
      </c>
      <c r="K588" s="304">
        <f t="shared" si="155"/>
        <v>75.817999999999998</v>
      </c>
      <c r="L588" s="305">
        <f>IF(H588=0,0,IF(OR(E588=$AT$5,E588=$AT$6),AA588,IF(F588="MXN",1/HLOOKUP(YEAR(G588)+(MONTH(G588)/100),TC!$5:$37,DAY(G588)+2,FALSE),VLOOKUP(F588,Equivalencia!$5:$23,((MAX(Equivalencia!$3:$3)-YEAR(G588))*14)+MONTH(G588)+2,FALSE))))</f>
        <v>1</v>
      </c>
      <c r="M588" s="306">
        <f t="shared" si="156"/>
        <v>4928.17</v>
      </c>
      <c r="N588" s="305">
        <f>IF(G588=0,0,(IF(OR(E588=$AT$5,E588=$AT$6),AC588,HLOOKUP(YEAR(G588)+(MONTH(G588)/100),TC!$5:$37,DAY(G588)+2,FALSE))))</f>
        <v>19.857700000000001</v>
      </c>
      <c r="O588" s="307">
        <f t="shared" si="157"/>
        <v>97862.121409000014</v>
      </c>
      <c r="P588" s="560">
        <f>IF(G588=0,0,VLOOKUP(YEAR(G588),INPC!$B$4:$P$30,MONTH(G588)+2))</f>
        <v>113.682</v>
      </c>
      <c r="Q588" s="560">
        <f>IF(X588=0,0,IF(OR(E588=$AT$10,E588=$AT$9),VLOOKUP(YEAR(X588),INPC!$B$4:$P$30,MONTH(X588)+1),VLOOKUP(YEAR(X588),INPC!$B$4:$P$30,MONTH(X588)+2,0)))</f>
        <v>118.98099999999999</v>
      </c>
      <c r="R588" s="309">
        <f t="shared" si="158"/>
        <v>1.0466</v>
      </c>
      <c r="S588" s="310">
        <f t="shared" si="159"/>
        <v>102422.49626665941</v>
      </c>
      <c r="T588" s="555">
        <f t="shared" si="160"/>
        <v>1575.7307117947601</v>
      </c>
      <c r="U588" s="311"/>
      <c r="V588" s="312">
        <v>65</v>
      </c>
      <c r="W588" s="299" t="s">
        <v>194</v>
      </c>
      <c r="X588" s="300">
        <v>44628</v>
      </c>
      <c r="Y588" s="299" t="s">
        <v>59</v>
      </c>
      <c r="Z588" s="303">
        <v>3825.11</v>
      </c>
      <c r="AA588" s="305">
        <f>IF(Z588=0,0,IF(Y588="MXN",1/HLOOKUP(YEAR(X588)+(MONTH(X588)/100),TC!$5:$37,DAY(X588)+2,FALSE),VLOOKUP(Y588,Equivalencia!$1:$23,((MAX(Equivalencia!$3:$3)-YEAR(X588))*14)+MONTH(X588)+2,FALSE)))</f>
        <v>1</v>
      </c>
      <c r="AB588" s="306">
        <f t="shared" si="161"/>
        <v>3825.11</v>
      </c>
      <c r="AC588" s="305">
        <f>+IF(X588=0,0,HLOOKUP(YEAR(X588)+(MONTH(X588)/100),TC!$5:$37,DAY(X588)+2,FALSE))</f>
        <v>20.926200000000001</v>
      </c>
      <c r="AD588" s="307">
        <f t="shared" si="162"/>
        <v>80045.016882000011</v>
      </c>
      <c r="AE588" s="314">
        <f t="shared" si="163"/>
        <v>102422.49626665941</v>
      </c>
      <c r="AF588" s="315">
        <f t="shared" si="164"/>
        <v>-22377.479384659397</v>
      </c>
      <c r="AG588" s="316">
        <f t="shared" si="165"/>
        <v>0.64931506849315068</v>
      </c>
      <c r="AH588" s="314">
        <v>1</v>
      </c>
      <c r="AI588" s="314">
        <f t="shared" si="166"/>
        <v>-22377.479384659397</v>
      </c>
      <c r="AJ588" s="314">
        <f t="shared" si="167"/>
        <v>0</v>
      </c>
      <c r="AK588" s="317"/>
      <c r="AL588" s="315">
        <f t="shared" si="168"/>
        <v>-1103.06</v>
      </c>
      <c r="AN588" s="554">
        <f t="shared" si="169"/>
        <v>-0.22382750595048465</v>
      </c>
      <c r="AO588" s="314"/>
      <c r="AP588" s="318"/>
    </row>
    <row r="589" spans="2:42">
      <c r="B589" s="296" t="s">
        <v>1254</v>
      </c>
      <c r="C589" s="299" t="s">
        <v>277</v>
      </c>
      <c r="D589" s="298" t="s">
        <v>886</v>
      </c>
      <c r="E589" s="299" t="s">
        <v>113</v>
      </c>
      <c r="F589" s="299" t="s">
        <v>59</v>
      </c>
      <c r="G589" s="300">
        <v>44391</v>
      </c>
      <c r="H589" s="303">
        <v>909.81600000000003</v>
      </c>
      <c r="I589" s="301" t="str">
        <f t="shared" si="153"/>
        <v>Ingresos Sección II LISR (SIC &amp; BMV)</v>
      </c>
      <c r="J589" s="302">
        <f t="shared" si="154"/>
        <v>12</v>
      </c>
      <c r="K589" s="304">
        <f t="shared" si="155"/>
        <v>75.817999999999998</v>
      </c>
      <c r="L589" s="305">
        <f>IF(H589=0,0,IF(OR(E589=$AT$5,E589=$AT$6),AA589,IF(F589="MXN",1/HLOOKUP(YEAR(G589)+(MONTH(G589)/100),TC!$5:$37,DAY(G589)+2,FALSE),VLOOKUP(F589,Equivalencia!$5:$23,((MAX(Equivalencia!$3:$3)-YEAR(G589))*14)+MONTH(G589)+2,FALSE))))</f>
        <v>1</v>
      </c>
      <c r="M589" s="306">
        <f t="shared" si="156"/>
        <v>909.81600000000003</v>
      </c>
      <c r="N589" s="305">
        <f>IF(G589=0,0,(IF(OR(E589=$AT$5,E589=$AT$6),AC589,HLOOKUP(YEAR(G589)+(MONTH(G589)/100),TC!$5:$37,DAY(G589)+2,FALSE))))</f>
        <v>19.857700000000001</v>
      </c>
      <c r="O589" s="307">
        <f t="shared" si="157"/>
        <v>18066.853183200001</v>
      </c>
      <c r="P589" s="560">
        <f>IF(G589=0,0,VLOOKUP(YEAR(G589),INPC!$B$4:$P$30,MONTH(G589)+2))</f>
        <v>113.682</v>
      </c>
      <c r="Q589" s="560">
        <f>IF(X589=0,0,IF(OR(E589=$AT$10,E589=$AT$9),VLOOKUP(YEAR(X589),INPC!$B$4:$P$30,MONTH(X589)+1),VLOOKUP(YEAR(X589),INPC!$B$4:$P$30,MONTH(X589)+2,0)))</f>
        <v>118.98099999999999</v>
      </c>
      <c r="R589" s="309">
        <f t="shared" si="158"/>
        <v>1.0466</v>
      </c>
      <c r="S589" s="310">
        <f t="shared" si="159"/>
        <v>18908.76854153712</v>
      </c>
      <c r="T589" s="555">
        <f t="shared" si="160"/>
        <v>1575.7307117947601</v>
      </c>
      <c r="U589" s="311"/>
      <c r="V589" s="312">
        <v>12</v>
      </c>
      <c r="W589" s="299" t="s">
        <v>194</v>
      </c>
      <c r="X589" s="300">
        <v>44634</v>
      </c>
      <c r="Y589" s="299" t="s">
        <v>59</v>
      </c>
      <c r="Z589" s="303">
        <v>521.24250000000006</v>
      </c>
      <c r="AA589" s="305">
        <f>IF(Z589=0,0,IF(Y589="MXN",1/HLOOKUP(YEAR(X589)+(MONTH(X589)/100),TC!$5:$37,DAY(X589)+2,FALSE),VLOOKUP(Y589,Equivalencia!$1:$23,((MAX(Equivalencia!$3:$3)-YEAR(X589))*14)+MONTH(X589)+2,FALSE)))</f>
        <v>1</v>
      </c>
      <c r="AB589" s="306">
        <f t="shared" si="161"/>
        <v>521.24250000000006</v>
      </c>
      <c r="AC589" s="305">
        <f>+IF(X589=0,0,HLOOKUP(YEAR(X589)+(MONTH(X589)/100),TC!$5:$37,DAY(X589)+2,FALSE))</f>
        <v>20.974299999999999</v>
      </c>
      <c r="AD589" s="307">
        <f t="shared" si="162"/>
        <v>10932.696567750001</v>
      </c>
      <c r="AE589" s="314">
        <f t="shared" si="163"/>
        <v>18908.76854153712</v>
      </c>
      <c r="AF589" s="315">
        <f t="shared" si="164"/>
        <v>-7976.0719737871186</v>
      </c>
      <c r="AG589" s="316">
        <f t="shared" si="165"/>
        <v>0.66575342465753429</v>
      </c>
      <c r="AH589" s="314">
        <v>1</v>
      </c>
      <c r="AI589" s="314">
        <f t="shared" si="166"/>
        <v>-7976.0719737871186</v>
      </c>
      <c r="AJ589" s="314">
        <f t="shared" si="167"/>
        <v>0</v>
      </c>
      <c r="AK589" s="317"/>
      <c r="AL589" s="315">
        <f t="shared" si="168"/>
        <v>-388.57349999999997</v>
      </c>
      <c r="AN589" s="554">
        <f t="shared" si="169"/>
        <v>-0.42709020285420346</v>
      </c>
      <c r="AO589" s="314"/>
      <c r="AP589" s="318"/>
    </row>
    <row r="590" spans="2:42">
      <c r="B590" s="296" t="s">
        <v>1254</v>
      </c>
      <c r="C590" s="299" t="s">
        <v>277</v>
      </c>
      <c r="D590" s="298" t="s">
        <v>886</v>
      </c>
      <c r="E590" s="299" t="s">
        <v>113</v>
      </c>
      <c r="F590" s="299" t="s">
        <v>59</v>
      </c>
      <c r="G590" s="300">
        <v>44392</v>
      </c>
      <c r="H590" s="303">
        <v>11686.99</v>
      </c>
      <c r="I590" s="301" t="str">
        <f t="shared" si="153"/>
        <v>Ingresos Sección II LISR (SIC &amp; BMV)</v>
      </c>
      <c r="J590" s="302">
        <f t="shared" si="154"/>
        <v>152</v>
      </c>
      <c r="K590" s="304">
        <f t="shared" si="155"/>
        <v>76.888092105263155</v>
      </c>
      <c r="L590" s="305">
        <f>IF(H590=0,0,IF(OR(E590=$AT$5,E590=$AT$6),AA590,IF(F590="MXN",1/HLOOKUP(YEAR(G590)+(MONTH(G590)/100),TC!$5:$37,DAY(G590)+2,FALSE),VLOOKUP(F590,Equivalencia!$5:$23,((MAX(Equivalencia!$3:$3)-YEAR(G590))*14)+MONTH(G590)+2,FALSE))))</f>
        <v>1</v>
      </c>
      <c r="M590" s="306">
        <f t="shared" si="156"/>
        <v>11686.99</v>
      </c>
      <c r="N590" s="305">
        <f>IF(G590=0,0,(IF(OR(E590=$AT$5,E590=$AT$6),AC590,HLOOKUP(YEAR(G590)+(MONTH(G590)/100),TC!$5:$37,DAY(G590)+2,FALSE))))</f>
        <v>19.998799999999999</v>
      </c>
      <c r="O590" s="307">
        <f t="shared" si="157"/>
        <v>233725.775612</v>
      </c>
      <c r="P590" s="560">
        <f>IF(G590=0,0,VLOOKUP(YEAR(G590),INPC!$B$4:$P$30,MONTH(G590)+2))</f>
        <v>113.682</v>
      </c>
      <c r="Q590" s="560">
        <f>IF(X590=0,0,IF(OR(E590=$AT$10,E590=$AT$9),VLOOKUP(YEAR(X590),INPC!$B$4:$P$30,MONTH(X590)+1),VLOOKUP(YEAR(X590),INPC!$B$4:$P$30,MONTH(X590)+2,0)))</f>
        <v>118.98099999999999</v>
      </c>
      <c r="R590" s="309">
        <f t="shared" si="158"/>
        <v>1.0466</v>
      </c>
      <c r="S590" s="310">
        <f t="shared" si="159"/>
        <v>244617.39675551918</v>
      </c>
      <c r="T590" s="555">
        <f t="shared" si="160"/>
        <v>1609.3249786547315</v>
      </c>
      <c r="U590" s="311"/>
      <c r="V590" s="312">
        <v>152</v>
      </c>
      <c r="W590" s="299" t="s">
        <v>194</v>
      </c>
      <c r="X590" s="300">
        <v>44634</v>
      </c>
      <c r="Y590" s="299" t="s">
        <v>59</v>
      </c>
      <c r="Z590" s="303">
        <v>6602.4049999999997</v>
      </c>
      <c r="AA590" s="305">
        <f>IF(Z590=0,0,IF(Y590="MXN",1/HLOOKUP(YEAR(X590)+(MONTH(X590)/100),TC!$5:$37,DAY(X590)+2,FALSE),VLOOKUP(Y590,Equivalencia!$1:$23,((MAX(Equivalencia!$3:$3)-YEAR(X590))*14)+MONTH(X590)+2,FALSE)))</f>
        <v>1</v>
      </c>
      <c r="AB590" s="306">
        <f t="shared" si="161"/>
        <v>6602.4049999999997</v>
      </c>
      <c r="AC590" s="305">
        <f>+IF(X590=0,0,HLOOKUP(YEAR(X590)+(MONTH(X590)/100),TC!$5:$37,DAY(X590)+2,FALSE))</f>
        <v>20.974299999999999</v>
      </c>
      <c r="AD590" s="307">
        <f t="shared" si="162"/>
        <v>138480.82319149998</v>
      </c>
      <c r="AE590" s="314">
        <f t="shared" si="163"/>
        <v>244617.39675551918</v>
      </c>
      <c r="AF590" s="315">
        <f t="shared" si="164"/>
        <v>-106136.5735640192</v>
      </c>
      <c r="AG590" s="316">
        <f t="shared" si="165"/>
        <v>0.66301369863013704</v>
      </c>
      <c r="AH590" s="314">
        <v>1</v>
      </c>
      <c r="AI590" s="314">
        <f t="shared" si="166"/>
        <v>-106136.5735640192</v>
      </c>
      <c r="AJ590" s="314">
        <f t="shared" si="167"/>
        <v>0</v>
      </c>
      <c r="AK590" s="317"/>
      <c r="AL590" s="315">
        <f t="shared" si="168"/>
        <v>-5084.585</v>
      </c>
      <c r="AN590" s="554">
        <f t="shared" si="169"/>
        <v>-0.43506369047975568</v>
      </c>
      <c r="AO590" s="314"/>
      <c r="AP590" s="318"/>
    </row>
    <row r="591" spans="2:42">
      <c r="B591" s="296" t="s">
        <v>1254</v>
      </c>
      <c r="C591" s="299" t="s">
        <v>277</v>
      </c>
      <c r="D591" s="298" t="s">
        <v>886</v>
      </c>
      <c r="E591" s="299" t="s">
        <v>113</v>
      </c>
      <c r="F591" s="299" t="s">
        <v>59</v>
      </c>
      <c r="G591" s="300">
        <v>44407</v>
      </c>
      <c r="H591" s="303">
        <v>21306.034188034188</v>
      </c>
      <c r="I591" s="301" t="str">
        <f t="shared" si="153"/>
        <v>Ingresos Sección II LISR (SIC &amp; BMV)</v>
      </c>
      <c r="J591" s="302">
        <f t="shared" si="154"/>
        <v>300</v>
      </c>
      <c r="K591" s="304">
        <f t="shared" si="155"/>
        <v>71.02011396011396</v>
      </c>
      <c r="L591" s="305">
        <f>IF(H591=0,0,IF(OR(E591=$AT$5,E591=$AT$6),AA591,IF(F591="MXN",1/HLOOKUP(YEAR(G591)+(MONTH(G591)/100),TC!$5:$37,DAY(G591)+2,FALSE),VLOOKUP(F591,Equivalencia!$5:$23,((MAX(Equivalencia!$3:$3)-YEAR(G591))*14)+MONTH(G591)+2,FALSE))))</f>
        <v>1</v>
      </c>
      <c r="M591" s="306">
        <f t="shared" si="156"/>
        <v>21306.034188034188</v>
      </c>
      <c r="N591" s="305">
        <f>IF(G591=0,0,(IF(OR(E591=$AT$5,E591=$AT$6),AC591,HLOOKUP(YEAR(G591)+(MONTH(G591)/100),TC!$5:$37,DAY(G591)+2,FALSE))))</f>
        <v>19.953499999999998</v>
      </c>
      <c r="O591" s="307">
        <f t="shared" si="157"/>
        <v>425129.95317094011</v>
      </c>
      <c r="P591" s="560">
        <f>IF(G591=0,0,VLOOKUP(YEAR(G591),INPC!$B$4:$P$30,MONTH(G591)+2))</f>
        <v>113.682</v>
      </c>
      <c r="Q591" s="560">
        <f>IF(X591=0,0,IF(OR(E591=$AT$10,E591=$AT$9),VLOOKUP(YEAR(X591),INPC!$B$4:$P$30,MONTH(X591)+1),VLOOKUP(YEAR(X591),INPC!$B$4:$P$30,MONTH(X591)+2,0)))</f>
        <v>118.98099999999999</v>
      </c>
      <c r="R591" s="309">
        <f t="shared" si="158"/>
        <v>1.0466</v>
      </c>
      <c r="S591" s="310">
        <f t="shared" si="159"/>
        <v>444941.00898870593</v>
      </c>
      <c r="T591" s="555">
        <f t="shared" si="160"/>
        <v>1483.1366966290198</v>
      </c>
      <c r="U591" s="311"/>
      <c r="V591" s="312">
        <v>300</v>
      </c>
      <c r="W591" s="299" t="s">
        <v>194</v>
      </c>
      <c r="X591" s="300">
        <v>44634</v>
      </c>
      <c r="Y591" s="299" t="s">
        <v>59</v>
      </c>
      <c r="Z591" s="303">
        <v>13031.0625</v>
      </c>
      <c r="AA591" s="305">
        <f>IF(Z591=0,0,IF(Y591="MXN",1/HLOOKUP(YEAR(X591)+(MONTH(X591)/100),TC!$5:$37,DAY(X591)+2,FALSE),VLOOKUP(Y591,Equivalencia!$1:$23,((MAX(Equivalencia!$3:$3)-YEAR(X591))*14)+MONTH(X591)+2,FALSE)))</f>
        <v>1</v>
      </c>
      <c r="AB591" s="306">
        <f t="shared" si="161"/>
        <v>13031.0625</v>
      </c>
      <c r="AC591" s="305">
        <f>+IF(X591=0,0,HLOOKUP(YEAR(X591)+(MONTH(X591)/100),TC!$5:$37,DAY(X591)+2,FALSE))</f>
        <v>20.974299999999999</v>
      </c>
      <c r="AD591" s="307">
        <f t="shared" si="162"/>
        <v>273317.41419375001</v>
      </c>
      <c r="AE591" s="314">
        <f t="shared" si="163"/>
        <v>444941.00898870593</v>
      </c>
      <c r="AF591" s="315">
        <f t="shared" si="164"/>
        <v>-171623.59479495592</v>
      </c>
      <c r="AG591" s="316">
        <f t="shared" si="165"/>
        <v>0.62191780821917808</v>
      </c>
      <c r="AH591" s="314">
        <v>1</v>
      </c>
      <c r="AI591" s="314">
        <f t="shared" si="166"/>
        <v>-171623.59479495592</v>
      </c>
      <c r="AJ591" s="314">
        <f t="shared" si="167"/>
        <v>0</v>
      </c>
      <c r="AK591" s="317"/>
      <c r="AL591" s="315">
        <f t="shared" si="168"/>
        <v>-8274.9716880341875</v>
      </c>
      <c r="AN591" s="554">
        <f t="shared" si="169"/>
        <v>-0.38838629540365355</v>
      </c>
      <c r="AO591" s="314"/>
      <c r="AP591" s="318"/>
    </row>
    <row r="592" spans="2:42">
      <c r="B592" s="296" t="s">
        <v>1254</v>
      </c>
      <c r="C592" s="299" t="s">
        <v>277</v>
      </c>
      <c r="D592" s="298" t="s">
        <v>886</v>
      </c>
      <c r="E592" s="299" t="s">
        <v>113</v>
      </c>
      <c r="F592" s="299" t="s">
        <v>59</v>
      </c>
      <c r="G592" s="300">
        <v>44407</v>
      </c>
      <c r="H592" s="303">
        <v>3622.025811965812</v>
      </c>
      <c r="I592" s="301" t="str">
        <f t="shared" si="153"/>
        <v>Ingresos Sección II LISR (SIC &amp; BMV)</v>
      </c>
      <c r="J592" s="302">
        <f t="shared" si="154"/>
        <v>51</v>
      </c>
      <c r="K592" s="304">
        <f t="shared" si="155"/>
        <v>71.02011396011396</v>
      </c>
      <c r="L592" s="305">
        <f>IF(H592=0,0,IF(OR(E592=$AT$5,E592=$AT$6),AA592,IF(F592="MXN",1/HLOOKUP(YEAR(G592)+(MONTH(G592)/100),TC!$5:$37,DAY(G592)+2,FALSE),VLOOKUP(F592,Equivalencia!$5:$23,((MAX(Equivalencia!$3:$3)-YEAR(G592))*14)+MONTH(G592)+2,FALSE))))</f>
        <v>1</v>
      </c>
      <c r="M592" s="306">
        <f t="shared" si="156"/>
        <v>3622.025811965812</v>
      </c>
      <c r="N592" s="305">
        <f>IF(G592=0,0,(IF(OR(E592=$AT$5,E592=$AT$6),AC592,HLOOKUP(YEAR(G592)+(MONTH(G592)/100),TC!$5:$37,DAY(G592)+2,FALSE))))</f>
        <v>19.953499999999998</v>
      </c>
      <c r="O592" s="307">
        <f t="shared" si="157"/>
        <v>72272.092039059818</v>
      </c>
      <c r="P592" s="560">
        <f>IF(G592=0,0,VLOOKUP(YEAR(G592),INPC!$B$4:$P$30,MONTH(G592)+2))</f>
        <v>113.682</v>
      </c>
      <c r="Q592" s="560">
        <f>IF(X592=0,0,IF(OR(E592=$AT$10,E592=$AT$9),VLOOKUP(YEAR(X592),INPC!$B$4:$P$30,MONTH(X592)+1),VLOOKUP(YEAR(X592),INPC!$B$4:$P$30,MONTH(X592)+2,0)))</f>
        <v>118.98099999999999</v>
      </c>
      <c r="R592" s="309">
        <f t="shared" si="158"/>
        <v>1.0466</v>
      </c>
      <c r="S592" s="310">
        <f t="shared" si="159"/>
        <v>75639.971528080001</v>
      </c>
      <c r="T592" s="555">
        <f t="shared" si="160"/>
        <v>1483.1366966290195</v>
      </c>
      <c r="U592" s="311"/>
      <c r="V592" s="312">
        <v>51</v>
      </c>
      <c r="W592" s="299" t="s">
        <v>194</v>
      </c>
      <c r="X592" s="300">
        <v>44634</v>
      </c>
      <c r="Y592" s="299" t="s">
        <v>59</v>
      </c>
      <c r="Z592" s="303">
        <v>2225.470701030928</v>
      </c>
      <c r="AA592" s="305">
        <f>IF(Z592=0,0,IF(Y592="MXN",1/HLOOKUP(YEAR(X592)+(MONTH(X592)/100),TC!$5:$37,DAY(X592)+2,FALSE),VLOOKUP(Y592,Equivalencia!$1:$23,((MAX(Equivalencia!$3:$3)-YEAR(X592))*14)+MONTH(X592)+2,FALSE)))</f>
        <v>1</v>
      </c>
      <c r="AB592" s="306">
        <f t="shared" si="161"/>
        <v>2225.470701030928</v>
      </c>
      <c r="AC592" s="305">
        <f>+IF(X592=0,0,HLOOKUP(YEAR(X592)+(MONTH(X592)/100),TC!$5:$37,DAY(X592)+2,FALSE))</f>
        <v>20.974299999999999</v>
      </c>
      <c r="AD592" s="307">
        <f t="shared" si="162"/>
        <v>46677.690124632994</v>
      </c>
      <c r="AE592" s="314">
        <f t="shared" si="163"/>
        <v>75639.971528080001</v>
      </c>
      <c r="AF592" s="315">
        <f t="shared" si="164"/>
        <v>-28962.281403447007</v>
      </c>
      <c r="AG592" s="316">
        <f t="shared" si="165"/>
        <v>0.62191780821917808</v>
      </c>
      <c r="AH592" s="314">
        <v>1</v>
      </c>
      <c r="AI592" s="314">
        <f t="shared" si="166"/>
        <v>-28962.281403447007</v>
      </c>
      <c r="AJ592" s="314">
        <f t="shared" si="167"/>
        <v>0</v>
      </c>
      <c r="AK592" s="317"/>
      <c r="AL592" s="315">
        <f t="shared" si="168"/>
        <v>-1396.5551109348839</v>
      </c>
      <c r="AN592" s="554">
        <f t="shared" si="169"/>
        <v>-0.38557293167850731</v>
      </c>
      <c r="AO592" s="314"/>
      <c r="AP592" s="318"/>
    </row>
    <row r="593" spans="2:42">
      <c r="B593" s="296" t="s">
        <v>1254</v>
      </c>
      <c r="C593" s="299" t="s">
        <v>277</v>
      </c>
      <c r="D593" s="298" t="s">
        <v>886</v>
      </c>
      <c r="E593" s="299" t="s">
        <v>113</v>
      </c>
      <c r="F593" s="299" t="s">
        <v>59</v>
      </c>
      <c r="G593" s="300">
        <v>44431</v>
      </c>
      <c r="H593" s="303">
        <v>16387.57</v>
      </c>
      <c r="I593" s="301" t="str">
        <f t="shared" si="153"/>
        <v>Ingresos Sección II LISR (SIC &amp; BMV)</v>
      </c>
      <c r="J593" s="302">
        <f t="shared" si="154"/>
        <v>260</v>
      </c>
      <c r="K593" s="304">
        <f t="shared" si="155"/>
        <v>63.02911538461538</v>
      </c>
      <c r="L593" s="305">
        <f>IF(H593=0,0,IF(OR(E593=$AT$5,E593=$AT$6),AA593,IF(F593="MXN",1/HLOOKUP(YEAR(G593)+(MONTH(G593)/100),TC!$5:$37,DAY(G593)+2,FALSE),VLOOKUP(F593,Equivalencia!$5:$23,((MAX(Equivalencia!$3:$3)-YEAR(G593))*14)+MONTH(G593)+2,FALSE))))</f>
        <v>1</v>
      </c>
      <c r="M593" s="306">
        <f t="shared" si="156"/>
        <v>16387.57</v>
      </c>
      <c r="N593" s="305">
        <f>IF(G593=0,0,(IF(OR(E593=$AT$5,E593=$AT$6),AC593,HLOOKUP(YEAR(G593)+(MONTH(G593)/100),TC!$5:$37,DAY(G593)+2,FALSE))))</f>
        <v>20.1175</v>
      </c>
      <c r="O593" s="307">
        <f t="shared" si="157"/>
        <v>329676.93947499996</v>
      </c>
      <c r="P593" s="560">
        <f>IF(G593=0,0,VLOOKUP(YEAR(G593),INPC!$B$4:$P$30,MONTH(G593)+2))</f>
        <v>113.899</v>
      </c>
      <c r="Q593" s="560">
        <f>IF(X593=0,0,IF(OR(E593=$AT$10,E593=$AT$9),VLOOKUP(YEAR(X593),INPC!$B$4:$P$30,MONTH(X593)+1),VLOOKUP(YEAR(X593),INPC!$B$4:$P$30,MONTH(X593)+2,0)))</f>
        <v>118.98099999999999</v>
      </c>
      <c r="R593" s="309">
        <f t="shared" si="158"/>
        <v>1.0446</v>
      </c>
      <c r="S593" s="310">
        <f t="shared" si="159"/>
        <v>344380.53097558493</v>
      </c>
      <c r="T593" s="555">
        <f t="shared" si="160"/>
        <v>1324.5405037522498</v>
      </c>
      <c r="U593" s="311"/>
      <c r="V593" s="312">
        <v>260</v>
      </c>
      <c r="W593" s="299" t="s">
        <v>194</v>
      </c>
      <c r="X593" s="300">
        <v>44634</v>
      </c>
      <c r="Y593" s="299" t="s">
        <v>59</v>
      </c>
      <c r="Z593" s="303">
        <v>11345.536907216496</v>
      </c>
      <c r="AA593" s="305">
        <f>IF(Z593=0,0,IF(Y593="MXN",1/HLOOKUP(YEAR(X593)+(MONTH(X593)/100),TC!$5:$37,DAY(X593)+2,FALSE),VLOOKUP(Y593,Equivalencia!$1:$23,((MAX(Equivalencia!$3:$3)-YEAR(X593))*14)+MONTH(X593)+2,FALSE)))</f>
        <v>1</v>
      </c>
      <c r="AB593" s="306">
        <f t="shared" si="161"/>
        <v>11345.536907216496</v>
      </c>
      <c r="AC593" s="305">
        <f>+IF(X593=0,0,HLOOKUP(YEAR(X593)+(MONTH(X593)/100),TC!$5:$37,DAY(X593)+2,FALSE))</f>
        <v>20.974299999999999</v>
      </c>
      <c r="AD593" s="307">
        <f t="shared" si="162"/>
        <v>237964.69475303096</v>
      </c>
      <c r="AE593" s="314">
        <f t="shared" si="163"/>
        <v>344380.53097558493</v>
      </c>
      <c r="AF593" s="315">
        <f t="shared" si="164"/>
        <v>-106415.83622255397</v>
      </c>
      <c r="AG593" s="316">
        <f t="shared" si="165"/>
        <v>0.55616438356164388</v>
      </c>
      <c r="AH593" s="314">
        <v>1</v>
      </c>
      <c r="AI593" s="314">
        <f t="shared" si="166"/>
        <v>-106415.83622255397</v>
      </c>
      <c r="AJ593" s="314">
        <f t="shared" si="167"/>
        <v>0</v>
      </c>
      <c r="AK593" s="317"/>
      <c r="AL593" s="315">
        <f t="shared" si="168"/>
        <v>-5042.0330927835039</v>
      </c>
      <c r="AN593" s="554">
        <f t="shared" si="169"/>
        <v>-0.30767423680164319</v>
      </c>
      <c r="AO593" s="314"/>
      <c r="AP593" s="318"/>
    </row>
    <row r="594" spans="2:42">
      <c r="B594" s="296" t="s">
        <v>1254</v>
      </c>
      <c r="C594" s="299" t="s">
        <v>277</v>
      </c>
      <c r="D594" s="298" t="s">
        <v>886</v>
      </c>
      <c r="E594" s="299" t="s">
        <v>113</v>
      </c>
      <c r="F594" s="299" t="s">
        <v>59</v>
      </c>
      <c r="G594" s="300">
        <v>44446</v>
      </c>
      <c r="H594" s="303">
        <v>14269.25</v>
      </c>
      <c r="I594" s="301" t="str">
        <f t="shared" si="153"/>
        <v>Ingresos Sección II LISR (SIC &amp; BMV)</v>
      </c>
      <c r="J594" s="302">
        <f t="shared" si="154"/>
        <v>173</v>
      </c>
      <c r="K594" s="304">
        <f t="shared" si="155"/>
        <v>82.48121387283237</v>
      </c>
      <c r="L594" s="305">
        <f>IF(H594=0,0,IF(OR(E594=$AT$5,E594=$AT$6),AA594,IF(F594="MXN",1/HLOOKUP(YEAR(G594)+(MONTH(G594)/100),TC!$5:$37,DAY(G594)+2,FALSE),VLOOKUP(F594,Equivalencia!$5:$23,((MAX(Equivalencia!$3:$3)-YEAR(G594))*14)+MONTH(G594)+2,FALSE))))</f>
        <v>1</v>
      </c>
      <c r="M594" s="306">
        <f t="shared" si="156"/>
        <v>14269.25</v>
      </c>
      <c r="N594" s="305">
        <f>IF(G594=0,0,(IF(OR(E594=$AT$5,E594=$AT$6),AC594,HLOOKUP(YEAR(G594)+(MONTH(G594)/100),TC!$5:$37,DAY(G594)+2,FALSE))))</f>
        <v>19.8992</v>
      </c>
      <c r="O594" s="307">
        <f t="shared" si="157"/>
        <v>283946.65960000001</v>
      </c>
      <c r="P594" s="560">
        <f>IF(G594=0,0,VLOOKUP(YEAR(G594),INPC!$B$4:$P$30,MONTH(G594)+2))</f>
        <v>114.601</v>
      </c>
      <c r="Q594" s="560">
        <f>IF(X594=0,0,IF(OR(E594=$AT$10,E594=$AT$9),VLOOKUP(YEAR(X594),INPC!$B$4:$P$30,MONTH(X594)+1),VLOOKUP(YEAR(X594),INPC!$B$4:$P$30,MONTH(X594)+2,0)))</f>
        <v>118.98099999999999</v>
      </c>
      <c r="R594" s="309">
        <f t="shared" si="158"/>
        <v>1.0382</v>
      </c>
      <c r="S594" s="310">
        <f t="shared" si="159"/>
        <v>294793.42199672002</v>
      </c>
      <c r="T594" s="555">
        <f t="shared" si="160"/>
        <v>1704.0082196342198</v>
      </c>
      <c r="U594" s="311"/>
      <c r="V594" s="312">
        <v>173</v>
      </c>
      <c r="W594" s="299" t="s">
        <v>194</v>
      </c>
      <c r="X594" s="300">
        <v>44634</v>
      </c>
      <c r="Y594" s="299" t="s">
        <v>59</v>
      </c>
      <c r="Z594" s="303">
        <v>7549.1457113402066</v>
      </c>
      <c r="AA594" s="305">
        <f>IF(Z594=0,0,IF(Y594="MXN",1/HLOOKUP(YEAR(X594)+(MONTH(X594)/100),TC!$5:$37,DAY(X594)+2,FALSE),VLOOKUP(Y594,Equivalencia!$1:$23,((MAX(Equivalencia!$3:$3)-YEAR(X594))*14)+MONTH(X594)+2,FALSE)))</f>
        <v>1</v>
      </c>
      <c r="AB594" s="306">
        <f t="shared" si="161"/>
        <v>7549.1457113402066</v>
      </c>
      <c r="AC594" s="305">
        <f>+IF(X594=0,0,HLOOKUP(YEAR(X594)+(MONTH(X594)/100),TC!$5:$37,DAY(X594)+2,FALSE))</f>
        <v>20.974299999999999</v>
      </c>
      <c r="AD594" s="307">
        <f t="shared" si="162"/>
        <v>158338.04689336289</v>
      </c>
      <c r="AE594" s="314">
        <f t="shared" si="163"/>
        <v>294793.42199672002</v>
      </c>
      <c r="AF594" s="315">
        <f t="shared" si="164"/>
        <v>-136455.37510335713</v>
      </c>
      <c r="AG594" s="316">
        <f t="shared" si="165"/>
        <v>0.51506849315068493</v>
      </c>
      <c r="AH594" s="314">
        <v>1</v>
      </c>
      <c r="AI594" s="314">
        <f t="shared" si="166"/>
        <v>-136455.37510335713</v>
      </c>
      <c r="AJ594" s="314">
        <f t="shared" si="167"/>
        <v>0</v>
      </c>
      <c r="AK594" s="317"/>
      <c r="AL594" s="315">
        <f t="shared" si="168"/>
        <v>-6720.1042886597934</v>
      </c>
      <c r="AN594" s="554">
        <f t="shared" si="169"/>
        <v>-0.47095007016204732</v>
      </c>
      <c r="AO594" s="314"/>
      <c r="AP594" s="318"/>
    </row>
    <row r="595" spans="2:42">
      <c r="B595" s="296" t="s">
        <v>1254</v>
      </c>
      <c r="C595" s="299" t="s">
        <v>277</v>
      </c>
      <c r="D595" s="298" t="s">
        <v>886</v>
      </c>
      <c r="E595" s="299" t="s">
        <v>113</v>
      </c>
      <c r="F595" s="299" t="s">
        <v>59</v>
      </c>
      <c r="G595" s="300">
        <v>44519</v>
      </c>
      <c r="H595" s="303">
        <v>89.78</v>
      </c>
      <c r="I595" s="301" t="str">
        <f t="shared" si="153"/>
        <v>Ingresos Sección II LISR (SIC &amp; BMV)</v>
      </c>
      <c r="J595" s="302">
        <f t="shared" si="154"/>
        <v>1</v>
      </c>
      <c r="K595" s="304">
        <f t="shared" si="155"/>
        <v>89.78</v>
      </c>
      <c r="L595" s="305">
        <f>IF(H595=0,0,IF(OR(E595=$AT$5,E595=$AT$6),AA595,IF(F595="MXN",1/HLOOKUP(YEAR(G595)+(MONTH(G595)/100),TC!$5:$37,DAY(G595)+2,FALSE),VLOOKUP(F595,Equivalencia!$5:$23,((MAX(Equivalencia!$3:$3)-YEAR(G595))*14)+MONTH(G595)+2,FALSE))))</f>
        <v>1</v>
      </c>
      <c r="M595" s="306">
        <f t="shared" si="156"/>
        <v>89.78</v>
      </c>
      <c r="N595" s="305">
        <f>IF(G595=0,0,(IF(OR(E595=$AT$5,E595=$AT$6),AC595,HLOOKUP(YEAR(G595)+(MONTH(G595)/100),TC!$5:$37,DAY(G595)+2,FALSE))))</f>
        <v>20.691199999999998</v>
      </c>
      <c r="O595" s="307">
        <f t="shared" si="157"/>
        <v>1857.6559359999999</v>
      </c>
      <c r="P595" s="560">
        <f>IF(G595=0,0,VLOOKUP(YEAR(G595),INPC!$B$4:$P$30,MONTH(G595)+2))</f>
        <v>116.884</v>
      </c>
      <c r="Q595" s="560">
        <f>IF(X595=0,0,IF(OR(E595=$AT$10,E595=$AT$9),VLOOKUP(YEAR(X595),INPC!$B$4:$P$30,MONTH(X595)+1),VLOOKUP(YEAR(X595),INPC!$B$4:$P$30,MONTH(X595)+2,0)))</f>
        <v>118.98099999999999</v>
      </c>
      <c r="R595" s="309">
        <f t="shared" si="158"/>
        <v>1.0179</v>
      </c>
      <c r="S595" s="310">
        <f t="shared" si="159"/>
        <v>1890.9079772543998</v>
      </c>
      <c r="T595" s="555">
        <f t="shared" si="160"/>
        <v>1890.9079772543998</v>
      </c>
      <c r="U595" s="311"/>
      <c r="V595" s="312">
        <v>1</v>
      </c>
      <c r="W595" s="299" t="s">
        <v>194</v>
      </c>
      <c r="X595" s="300">
        <v>44634</v>
      </c>
      <c r="Y595" s="299" t="s">
        <v>59</v>
      </c>
      <c r="Z595" s="303">
        <v>43.636680412371135</v>
      </c>
      <c r="AA595" s="305">
        <f>IF(Z595=0,0,IF(Y595="MXN",1/HLOOKUP(YEAR(X595)+(MONTH(X595)/100),TC!$5:$37,DAY(X595)+2,FALSE),VLOOKUP(Y595,Equivalencia!$1:$23,((MAX(Equivalencia!$3:$3)-YEAR(X595))*14)+MONTH(X595)+2,FALSE)))</f>
        <v>1</v>
      </c>
      <c r="AB595" s="306">
        <f t="shared" si="161"/>
        <v>43.636680412371135</v>
      </c>
      <c r="AC595" s="305">
        <f>+IF(X595=0,0,HLOOKUP(YEAR(X595)+(MONTH(X595)/100),TC!$5:$37,DAY(X595)+2,FALSE))</f>
        <v>20.974299999999999</v>
      </c>
      <c r="AD595" s="307">
        <f t="shared" si="162"/>
        <v>915.24882597319584</v>
      </c>
      <c r="AE595" s="314">
        <f t="shared" si="163"/>
        <v>1890.9079772543998</v>
      </c>
      <c r="AF595" s="315">
        <f t="shared" si="164"/>
        <v>-975.659151281204</v>
      </c>
      <c r="AG595" s="316">
        <f t="shared" si="165"/>
        <v>0.31506849315068491</v>
      </c>
      <c r="AH595" s="314">
        <v>1</v>
      </c>
      <c r="AI595" s="314">
        <f t="shared" si="166"/>
        <v>-975.659151281204</v>
      </c>
      <c r="AJ595" s="314">
        <f t="shared" si="167"/>
        <v>0</v>
      </c>
      <c r="AK595" s="317"/>
      <c r="AL595" s="315">
        <f t="shared" si="168"/>
        <v>-46.143319587628866</v>
      </c>
      <c r="AN595" s="554">
        <f t="shared" si="169"/>
        <v>-0.5139598973894951</v>
      </c>
      <c r="AO595" s="314"/>
      <c r="AP595" s="318"/>
    </row>
    <row r="596" spans="2:42">
      <c r="B596" s="296" t="s">
        <v>1254</v>
      </c>
      <c r="C596" s="299" t="s">
        <v>277</v>
      </c>
      <c r="D596" s="298" t="s">
        <v>887</v>
      </c>
      <c r="E596" s="299" t="s">
        <v>113</v>
      </c>
      <c r="F596" s="299" t="s">
        <v>59</v>
      </c>
      <c r="G596" s="300">
        <v>44638</v>
      </c>
      <c r="H596" s="303">
        <v>7193.28</v>
      </c>
      <c r="I596" s="301" t="str">
        <f t="shared" si="153"/>
        <v>Ingresos Sección II LISR (SIC &amp; BMV)</v>
      </c>
      <c r="J596" s="302">
        <f t="shared" si="154"/>
        <v>242</v>
      </c>
      <c r="K596" s="304">
        <f t="shared" si="155"/>
        <v>29.724297520661157</v>
      </c>
      <c r="L596" s="305">
        <f>IF(H596=0,0,IF(OR(E596=$AT$5,E596=$AT$6),AA596,IF(F596="MXN",1/HLOOKUP(YEAR(G596)+(MONTH(G596)/100),TC!$5:$37,DAY(G596)+2,FALSE),VLOOKUP(F596,Equivalencia!$5:$23,((MAX(Equivalencia!$3:$3)-YEAR(G596))*14)+MONTH(G596)+2,FALSE))))</f>
        <v>1</v>
      </c>
      <c r="M596" s="306">
        <f t="shared" si="156"/>
        <v>7193.28</v>
      </c>
      <c r="N596" s="305">
        <f>IF(G596=0,0,(IF(OR(E596=$AT$5,E596=$AT$6),AC596,HLOOKUP(YEAR(G596)+(MONTH(G596)/100),TC!$5:$37,DAY(G596)+2,FALSE))))</f>
        <v>20.703499999999998</v>
      </c>
      <c r="O596" s="307">
        <f t="shared" si="157"/>
        <v>148926.07247999997</v>
      </c>
      <c r="P596" s="560">
        <f>IF(G596=0,0,VLOOKUP(YEAR(G596),INPC!$B$4:$P$30,MONTH(G596)+2))</f>
        <v>120.15900000000001</v>
      </c>
      <c r="Q596" s="560">
        <f>IF(X596=0,0,IF(OR(E596=$AT$10,E596=$AT$9),VLOOKUP(YEAR(X596),INPC!$B$4:$P$30,MONTH(X596)+1),VLOOKUP(YEAR(X596),INPC!$B$4:$P$30,MONTH(X596)+2,0)))</f>
        <v>120.809</v>
      </c>
      <c r="R596" s="309">
        <f t="shared" si="158"/>
        <v>1.0054000000000001</v>
      </c>
      <c r="S596" s="310">
        <f t="shared" si="159"/>
        <v>149730.27327139198</v>
      </c>
      <c r="T596" s="555">
        <f t="shared" si="160"/>
        <v>618.72013748509085</v>
      </c>
      <c r="U596" s="311"/>
      <c r="V596" s="312">
        <v>242</v>
      </c>
      <c r="W596" s="299" t="s">
        <v>194</v>
      </c>
      <c r="X596" s="300">
        <v>44693</v>
      </c>
      <c r="Y596" s="299" t="s">
        <v>59</v>
      </c>
      <c r="Z596" s="303">
        <v>3650.8729886914375</v>
      </c>
      <c r="AA596" s="305">
        <f>IF(Z596=0,0,IF(Y596="MXN",1/HLOOKUP(YEAR(X596)+(MONTH(X596)/100),TC!$5:$37,DAY(X596)+2,FALSE),VLOOKUP(Y596,Equivalencia!$1:$23,((MAX(Equivalencia!$3:$3)-YEAR(X596))*14)+MONTH(X596)+2,FALSE)))</f>
        <v>1</v>
      </c>
      <c r="AB596" s="306">
        <f t="shared" si="161"/>
        <v>3650.8729886914375</v>
      </c>
      <c r="AC596" s="305">
        <f>+IF(X596=0,0,HLOOKUP(YEAR(X596)+(MONTH(X596)/100),TC!$5:$37,DAY(X596)+2,FALSE))</f>
        <v>20.372</v>
      </c>
      <c r="AD596" s="307">
        <f t="shared" si="162"/>
        <v>74375.584525621962</v>
      </c>
      <c r="AE596" s="314">
        <f t="shared" si="163"/>
        <v>149730.27327139198</v>
      </c>
      <c r="AF596" s="315">
        <f t="shared" si="164"/>
        <v>-75354.688745770021</v>
      </c>
      <c r="AG596" s="316">
        <f t="shared" si="165"/>
        <v>0.15068493150684931</v>
      </c>
      <c r="AH596" s="314">
        <v>1</v>
      </c>
      <c r="AI596" s="314">
        <f t="shared" si="166"/>
        <v>-75354.688745770021</v>
      </c>
      <c r="AJ596" s="314">
        <f t="shared" si="167"/>
        <v>0</v>
      </c>
      <c r="AK596" s="317"/>
      <c r="AL596" s="315">
        <f t="shared" si="168"/>
        <v>-3542.4070113085622</v>
      </c>
      <c r="AN596" s="554">
        <f t="shared" si="169"/>
        <v>-0.49246060368963285</v>
      </c>
      <c r="AO596" s="314"/>
      <c r="AP596" s="318"/>
    </row>
    <row r="597" spans="2:42">
      <c r="B597" s="296" t="s">
        <v>1254</v>
      </c>
      <c r="C597" s="299" t="s">
        <v>277</v>
      </c>
      <c r="D597" s="298" t="s">
        <v>887</v>
      </c>
      <c r="E597" s="299" t="s">
        <v>113</v>
      </c>
      <c r="F597" s="299" t="s">
        <v>59</v>
      </c>
      <c r="G597" s="300">
        <v>44638</v>
      </c>
      <c r="H597" s="303">
        <v>756.7</v>
      </c>
      <c r="I597" s="301" t="str">
        <f t="shared" si="153"/>
        <v>Ingresos Sección II LISR (SIC &amp; BMV)</v>
      </c>
      <c r="J597" s="302">
        <f t="shared" si="154"/>
        <v>26</v>
      </c>
      <c r="K597" s="304">
        <f t="shared" si="155"/>
        <v>29.103846153846156</v>
      </c>
      <c r="L597" s="305">
        <f>IF(H597=0,0,IF(OR(E597=$AT$5,E597=$AT$6),AA597,IF(F597="MXN",1/HLOOKUP(YEAR(G597)+(MONTH(G597)/100),TC!$5:$37,DAY(G597)+2,FALSE),VLOOKUP(F597,Equivalencia!$5:$23,((MAX(Equivalencia!$3:$3)-YEAR(G597))*14)+MONTH(G597)+2,FALSE))))</f>
        <v>1</v>
      </c>
      <c r="M597" s="306">
        <f t="shared" si="156"/>
        <v>756.7</v>
      </c>
      <c r="N597" s="305">
        <f>IF(G597=0,0,(IF(OR(E597=$AT$5,E597=$AT$6),AC597,HLOOKUP(YEAR(G597)+(MONTH(G597)/100),TC!$5:$37,DAY(G597)+2,FALSE))))</f>
        <v>20.703499999999998</v>
      </c>
      <c r="O597" s="307">
        <f t="shared" si="157"/>
        <v>15666.338449999999</v>
      </c>
      <c r="P597" s="560">
        <f>IF(G597=0,0,VLOOKUP(YEAR(G597),INPC!$B$4:$P$30,MONTH(G597)+2))</f>
        <v>120.15900000000001</v>
      </c>
      <c r="Q597" s="560">
        <f>IF(X597=0,0,IF(OR(E597=$AT$10,E597=$AT$9),VLOOKUP(YEAR(X597),INPC!$B$4:$P$30,MONTH(X597)+1),VLOOKUP(YEAR(X597),INPC!$B$4:$P$30,MONTH(X597)+2,0)))</f>
        <v>120.809</v>
      </c>
      <c r="R597" s="309">
        <f t="shared" si="158"/>
        <v>1.0054000000000001</v>
      </c>
      <c r="S597" s="310">
        <f t="shared" si="159"/>
        <v>15750.936677630001</v>
      </c>
      <c r="T597" s="555">
        <f t="shared" si="160"/>
        <v>605.80525683192309</v>
      </c>
      <c r="U597" s="311"/>
      <c r="V597" s="312">
        <v>26</v>
      </c>
      <c r="W597" s="299" t="s">
        <v>194</v>
      </c>
      <c r="X597" s="300">
        <v>44693</v>
      </c>
      <c r="Y597" s="299" t="s">
        <v>59</v>
      </c>
      <c r="Z597" s="303">
        <v>392.24255250403871</v>
      </c>
      <c r="AA597" s="305">
        <f>IF(Z597=0,0,IF(Y597="MXN",1/HLOOKUP(YEAR(X597)+(MONTH(X597)/100),TC!$5:$37,DAY(X597)+2,FALSE),VLOOKUP(Y597,Equivalencia!$1:$23,((MAX(Equivalencia!$3:$3)-YEAR(X597))*14)+MONTH(X597)+2,FALSE)))</f>
        <v>1</v>
      </c>
      <c r="AB597" s="306">
        <f t="shared" si="161"/>
        <v>392.24255250403871</v>
      </c>
      <c r="AC597" s="305">
        <f>+IF(X597=0,0,HLOOKUP(YEAR(X597)+(MONTH(X597)/100),TC!$5:$37,DAY(X597)+2,FALSE))</f>
        <v>20.372</v>
      </c>
      <c r="AD597" s="307">
        <f t="shared" si="162"/>
        <v>7990.7652796122766</v>
      </c>
      <c r="AE597" s="314">
        <f t="shared" si="163"/>
        <v>15750.936677630001</v>
      </c>
      <c r="AF597" s="315">
        <f t="shared" si="164"/>
        <v>-7760.1713980177246</v>
      </c>
      <c r="AG597" s="316">
        <f t="shared" si="165"/>
        <v>0.15068493150684931</v>
      </c>
      <c r="AH597" s="314">
        <v>1</v>
      </c>
      <c r="AI597" s="314">
        <f t="shared" si="166"/>
        <v>-7760.1713980177246</v>
      </c>
      <c r="AJ597" s="314">
        <f t="shared" si="167"/>
        <v>0</v>
      </c>
      <c r="AK597" s="317"/>
      <c r="AL597" s="315">
        <f t="shared" si="168"/>
        <v>-364.45744749596133</v>
      </c>
      <c r="AN597" s="554">
        <f t="shared" si="169"/>
        <v>-0.48164060723663449</v>
      </c>
      <c r="AO597" s="314"/>
      <c r="AP597" s="318"/>
    </row>
    <row r="598" spans="2:42">
      <c r="B598" s="296" t="s">
        <v>1254</v>
      </c>
      <c r="C598" s="299" t="s">
        <v>277</v>
      </c>
      <c r="D598" s="298" t="s">
        <v>887</v>
      </c>
      <c r="E598" s="299" t="s">
        <v>113</v>
      </c>
      <c r="F598" s="299" t="s">
        <v>59</v>
      </c>
      <c r="G598" s="300">
        <v>44638</v>
      </c>
      <c r="H598" s="303">
        <v>1313.24</v>
      </c>
      <c r="I598" s="301" t="str">
        <f t="shared" si="153"/>
        <v>Ingresos Sección II LISR (SIC &amp; BMV)</v>
      </c>
      <c r="J598" s="302">
        <f t="shared" si="154"/>
        <v>44</v>
      </c>
      <c r="K598" s="304">
        <f t="shared" si="155"/>
        <v>29.846363636363638</v>
      </c>
      <c r="L598" s="305">
        <f>IF(H598=0,0,IF(OR(E598=$AT$5,E598=$AT$6),AA598,IF(F598="MXN",1/HLOOKUP(YEAR(G598)+(MONTH(G598)/100),TC!$5:$37,DAY(G598)+2,FALSE),VLOOKUP(F598,Equivalencia!$5:$23,((MAX(Equivalencia!$3:$3)-YEAR(G598))*14)+MONTH(G598)+2,FALSE))))</f>
        <v>1</v>
      </c>
      <c r="M598" s="306">
        <f t="shared" si="156"/>
        <v>1313.24</v>
      </c>
      <c r="N598" s="305">
        <f>IF(G598=0,0,(IF(OR(E598=$AT$5,E598=$AT$6),AC598,HLOOKUP(YEAR(G598)+(MONTH(G598)/100),TC!$5:$37,DAY(G598)+2,FALSE))))</f>
        <v>20.703499999999998</v>
      </c>
      <c r="O598" s="307">
        <f t="shared" si="157"/>
        <v>27188.664339999999</v>
      </c>
      <c r="P598" s="560">
        <f>IF(G598=0,0,VLOOKUP(YEAR(G598),INPC!$B$4:$P$30,MONTH(G598)+2))</f>
        <v>120.15900000000001</v>
      </c>
      <c r="Q598" s="560">
        <f>IF(X598=0,0,IF(OR(E598=$AT$10,E598=$AT$9),VLOOKUP(YEAR(X598),INPC!$B$4:$P$30,MONTH(X598)+1),VLOOKUP(YEAR(X598),INPC!$B$4:$P$30,MONTH(X598)+2,0)))</f>
        <v>120.809</v>
      </c>
      <c r="R598" s="309">
        <f t="shared" si="158"/>
        <v>1.0054000000000001</v>
      </c>
      <c r="S598" s="310">
        <f t="shared" si="159"/>
        <v>27335.483127436</v>
      </c>
      <c r="T598" s="555">
        <f t="shared" si="160"/>
        <v>621.26098016900005</v>
      </c>
      <c r="U598" s="311"/>
      <c r="V598" s="312">
        <v>44</v>
      </c>
      <c r="W598" s="299" t="s">
        <v>194</v>
      </c>
      <c r="X598" s="300">
        <v>44693</v>
      </c>
      <c r="Y598" s="299" t="s">
        <v>59</v>
      </c>
      <c r="Z598" s="303">
        <v>663.79508885298867</v>
      </c>
      <c r="AA598" s="305">
        <f>IF(Z598=0,0,IF(Y598="MXN",1/HLOOKUP(YEAR(X598)+(MONTH(X598)/100),TC!$5:$37,DAY(X598)+2,FALSE),VLOOKUP(Y598,Equivalencia!$1:$23,((MAX(Equivalencia!$3:$3)-YEAR(X598))*14)+MONTH(X598)+2,FALSE)))</f>
        <v>1</v>
      </c>
      <c r="AB598" s="306">
        <f t="shared" si="161"/>
        <v>663.79508885298867</v>
      </c>
      <c r="AC598" s="305">
        <f>+IF(X598=0,0,HLOOKUP(YEAR(X598)+(MONTH(X598)/100),TC!$5:$37,DAY(X598)+2,FALSE))</f>
        <v>20.372</v>
      </c>
      <c r="AD598" s="307">
        <f t="shared" si="162"/>
        <v>13522.833550113086</v>
      </c>
      <c r="AE598" s="314">
        <f t="shared" si="163"/>
        <v>27335.483127436004</v>
      </c>
      <c r="AF598" s="315">
        <f t="shared" si="164"/>
        <v>-13812.649577322918</v>
      </c>
      <c r="AG598" s="316">
        <f t="shared" si="165"/>
        <v>0.15068493150684931</v>
      </c>
      <c r="AH598" s="314">
        <v>1</v>
      </c>
      <c r="AI598" s="314">
        <f t="shared" si="166"/>
        <v>-13812.649577322918</v>
      </c>
      <c r="AJ598" s="314">
        <f t="shared" si="167"/>
        <v>0</v>
      </c>
      <c r="AK598" s="317"/>
      <c r="AL598" s="315">
        <f t="shared" si="168"/>
        <v>-649.44491114701134</v>
      </c>
      <c r="AN598" s="554">
        <f t="shared" si="169"/>
        <v>-0.49453634609592406</v>
      </c>
      <c r="AO598" s="314"/>
      <c r="AP598" s="318"/>
    </row>
    <row r="599" spans="2:42">
      <c r="B599" s="296" t="s">
        <v>1254</v>
      </c>
      <c r="C599" s="299" t="s">
        <v>277</v>
      </c>
      <c r="D599" s="298" t="s">
        <v>887</v>
      </c>
      <c r="E599" s="299" t="s">
        <v>113</v>
      </c>
      <c r="F599" s="299" t="s">
        <v>59</v>
      </c>
      <c r="G599" s="300">
        <v>44638</v>
      </c>
      <c r="H599" s="303">
        <v>1547.12</v>
      </c>
      <c r="I599" s="301" t="str">
        <f t="shared" si="153"/>
        <v>Ingresos Sección II LISR (SIC &amp; BMV)</v>
      </c>
      <c r="J599" s="302">
        <f t="shared" si="154"/>
        <v>52</v>
      </c>
      <c r="K599" s="304">
        <f t="shared" si="155"/>
        <v>29.752307692307689</v>
      </c>
      <c r="L599" s="305">
        <f>IF(H599=0,0,IF(OR(E599=$AT$5,E599=$AT$6),AA599,IF(F599="MXN",1/HLOOKUP(YEAR(G599)+(MONTH(G599)/100),TC!$5:$37,DAY(G599)+2,FALSE),VLOOKUP(F599,Equivalencia!$5:$23,((MAX(Equivalencia!$3:$3)-YEAR(G599))*14)+MONTH(G599)+2,FALSE))))</f>
        <v>1</v>
      </c>
      <c r="M599" s="306">
        <f t="shared" si="156"/>
        <v>1547.12</v>
      </c>
      <c r="N599" s="305">
        <f>IF(G599=0,0,(IF(OR(E599=$AT$5,E599=$AT$6),AC599,HLOOKUP(YEAR(G599)+(MONTH(G599)/100),TC!$5:$37,DAY(G599)+2,FALSE))))</f>
        <v>20.703499999999998</v>
      </c>
      <c r="O599" s="307">
        <f t="shared" si="157"/>
        <v>32030.798919999994</v>
      </c>
      <c r="P599" s="560">
        <f>IF(G599=0,0,VLOOKUP(YEAR(G599),INPC!$B$4:$P$30,MONTH(G599)+2))</f>
        <v>120.15900000000001</v>
      </c>
      <c r="Q599" s="560">
        <f>IF(X599=0,0,IF(OR(E599=$AT$10,E599=$AT$9),VLOOKUP(YEAR(X599),INPC!$B$4:$P$30,MONTH(X599)+1),VLOOKUP(YEAR(X599),INPC!$B$4:$P$30,MONTH(X599)+2,0)))</f>
        <v>120.809</v>
      </c>
      <c r="R599" s="309">
        <f t="shared" si="158"/>
        <v>1.0054000000000001</v>
      </c>
      <c r="S599" s="310">
        <f t="shared" si="159"/>
        <v>32203.765234167997</v>
      </c>
      <c r="T599" s="555">
        <f t="shared" si="160"/>
        <v>619.30317758015383</v>
      </c>
      <c r="U599" s="311"/>
      <c r="V599" s="312">
        <v>52</v>
      </c>
      <c r="W599" s="299" t="s">
        <v>194</v>
      </c>
      <c r="X599" s="300">
        <v>44693</v>
      </c>
      <c r="Y599" s="299" t="s">
        <v>59</v>
      </c>
      <c r="Z599" s="303">
        <v>784.48510500807743</v>
      </c>
      <c r="AA599" s="305">
        <f>IF(Z599=0,0,IF(Y599="MXN",1/HLOOKUP(YEAR(X599)+(MONTH(X599)/100),TC!$5:$37,DAY(X599)+2,FALSE),VLOOKUP(Y599,Equivalencia!$1:$23,((MAX(Equivalencia!$3:$3)-YEAR(X599))*14)+MONTH(X599)+2,FALSE)))</f>
        <v>1</v>
      </c>
      <c r="AB599" s="306">
        <f t="shared" si="161"/>
        <v>784.48510500807743</v>
      </c>
      <c r="AC599" s="305">
        <f>+IF(X599=0,0,HLOOKUP(YEAR(X599)+(MONTH(X599)/100),TC!$5:$37,DAY(X599)+2,FALSE))</f>
        <v>20.372</v>
      </c>
      <c r="AD599" s="307">
        <f t="shared" si="162"/>
        <v>15981.530559224553</v>
      </c>
      <c r="AE599" s="314">
        <f t="shared" si="163"/>
        <v>32203.765234168</v>
      </c>
      <c r="AF599" s="315">
        <f t="shared" si="164"/>
        <v>-16222.234674943447</v>
      </c>
      <c r="AG599" s="316">
        <f t="shared" si="165"/>
        <v>0.15068493150684931</v>
      </c>
      <c r="AH599" s="314">
        <v>1</v>
      </c>
      <c r="AI599" s="314">
        <f t="shared" si="166"/>
        <v>-16222.234674943447</v>
      </c>
      <c r="AJ599" s="314">
        <f t="shared" si="167"/>
        <v>0</v>
      </c>
      <c r="AK599" s="317"/>
      <c r="AL599" s="315">
        <f t="shared" si="168"/>
        <v>-762.63489499192247</v>
      </c>
      <c r="AN599" s="554">
        <f t="shared" si="169"/>
        <v>-0.49293842429282958</v>
      </c>
      <c r="AO599" s="314"/>
      <c r="AP599" s="318"/>
    </row>
    <row r="600" spans="2:42">
      <c r="B600" s="296" t="s">
        <v>1254</v>
      </c>
      <c r="C600" s="299" t="s">
        <v>277</v>
      </c>
      <c r="D600" s="298" t="s">
        <v>887</v>
      </c>
      <c r="E600" s="299" t="s">
        <v>113</v>
      </c>
      <c r="F600" s="299" t="s">
        <v>59</v>
      </c>
      <c r="G600" s="300">
        <v>44638</v>
      </c>
      <c r="H600" s="303">
        <v>266.27</v>
      </c>
      <c r="I600" s="301" t="str">
        <f t="shared" si="153"/>
        <v>Ingresos Sección II LISR (SIC &amp; BMV)</v>
      </c>
      <c r="J600" s="302">
        <f t="shared" si="154"/>
        <v>9</v>
      </c>
      <c r="K600" s="304">
        <f t="shared" si="155"/>
        <v>29.585555555555555</v>
      </c>
      <c r="L600" s="305">
        <f>IF(H600=0,0,IF(OR(E600=$AT$5,E600=$AT$6),AA600,IF(F600="MXN",1/HLOOKUP(YEAR(G600)+(MONTH(G600)/100),TC!$5:$37,DAY(G600)+2,FALSE),VLOOKUP(F600,Equivalencia!$5:$23,((MAX(Equivalencia!$3:$3)-YEAR(G600))*14)+MONTH(G600)+2,FALSE))))</f>
        <v>1</v>
      </c>
      <c r="M600" s="306">
        <f t="shared" si="156"/>
        <v>266.27</v>
      </c>
      <c r="N600" s="305">
        <f>IF(G600=0,0,(IF(OR(E600=$AT$5,E600=$AT$6),AC600,HLOOKUP(YEAR(G600)+(MONTH(G600)/100),TC!$5:$37,DAY(G600)+2,FALSE))))</f>
        <v>20.703499999999998</v>
      </c>
      <c r="O600" s="307">
        <f t="shared" si="157"/>
        <v>5512.7209449999991</v>
      </c>
      <c r="P600" s="560">
        <f>IF(G600=0,0,VLOOKUP(YEAR(G600),INPC!$B$4:$P$30,MONTH(G600)+2))</f>
        <v>120.15900000000001</v>
      </c>
      <c r="Q600" s="560">
        <f>IF(X600=0,0,IF(OR(E600=$AT$10,E600=$AT$9),VLOOKUP(YEAR(X600),INPC!$B$4:$P$30,MONTH(X600)+1),VLOOKUP(YEAR(X600),INPC!$B$4:$P$30,MONTH(X600)+2,0)))</f>
        <v>120.809</v>
      </c>
      <c r="R600" s="309">
        <f t="shared" si="158"/>
        <v>1.0054000000000001</v>
      </c>
      <c r="S600" s="310">
        <f t="shared" si="159"/>
        <v>5542.4896381029994</v>
      </c>
      <c r="T600" s="555">
        <f t="shared" si="160"/>
        <v>615.83218201144439</v>
      </c>
      <c r="U600" s="311"/>
      <c r="V600" s="312">
        <v>9</v>
      </c>
      <c r="W600" s="299" t="s">
        <v>194</v>
      </c>
      <c r="X600" s="300">
        <v>44693</v>
      </c>
      <c r="Y600" s="299" t="s">
        <v>59</v>
      </c>
      <c r="Z600" s="303">
        <v>135.77626817447495</v>
      </c>
      <c r="AA600" s="305">
        <f>IF(Z600=0,0,IF(Y600="MXN",1/HLOOKUP(YEAR(X600)+(MONTH(X600)/100),TC!$5:$37,DAY(X600)+2,FALSE),VLOOKUP(Y600,Equivalencia!$1:$23,((MAX(Equivalencia!$3:$3)-YEAR(X600))*14)+MONTH(X600)+2,FALSE)))</f>
        <v>1</v>
      </c>
      <c r="AB600" s="306">
        <f t="shared" si="161"/>
        <v>135.77626817447495</v>
      </c>
      <c r="AC600" s="305">
        <f>+IF(X600=0,0,HLOOKUP(YEAR(X600)+(MONTH(X600)/100),TC!$5:$37,DAY(X600)+2,FALSE))</f>
        <v>20.372</v>
      </c>
      <c r="AD600" s="307">
        <f t="shared" si="162"/>
        <v>2766.0341352504038</v>
      </c>
      <c r="AE600" s="314">
        <f t="shared" si="163"/>
        <v>5542.4896381029994</v>
      </c>
      <c r="AF600" s="315">
        <f t="shared" si="164"/>
        <v>-2776.4555028525956</v>
      </c>
      <c r="AG600" s="316">
        <f t="shared" si="165"/>
        <v>0.15068493150684931</v>
      </c>
      <c r="AH600" s="314">
        <v>1</v>
      </c>
      <c r="AI600" s="314">
        <f t="shared" si="166"/>
        <v>-2776.4555028525956</v>
      </c>
      <c r="AJ600" s="314">
        <f t="shared" si="167"/>
        <v>0</v>
      </c>
      <c r="AK600" s="317"/>
      <c r="AL600" s="315">
        <f t="shared" si="168"/>
        <v>-130.49373182552503</v>
      </c>
      <c r="AN600" s="554">
        <f t="shared" si="169"/>
        <v>-0.49008048907321533</v>
      </c>
      <c r="AO600" s="314"/>
      <c r="AP600" s="318"/>
    </row>
    <row r="601" spans="2:42">
      <c r="B601" s="296" t="s">
        <v>1254</v>
      </c>
      <c r="C601" s="299" t="s">
        <v>277</v>
      </c>
      <c r="D601" s="298" t="s">
        <v>887</v>
      </c>
      <c r="E601" s="299" t="s">
        <v>113</v>
      </c>
      <c r="F601" s="299" t="s">
        <v>59</v>
      </c>
      <c r="G601" s="300">
        <v>44638</v>
      </c>
      <c r="H601" s="303">
        <v>2676.27</v>
      </c>
      <c r="I601" s="301" t="str">
        <f t="shared" si="153"/>
        <v>Ingresos Sección II LISR (SIC &amp; BMV)</v>
      </c>
      <c r="J601" s="302">
        <f t="shared" si="154"/>
        <v>90</v>
      </c>
      <c r="K601" s="304">
        <f t="shared" si="155"/>
        <v>29.736333333333334</v>
      </c>
      <c r="L601" s="305">
        <f>IF(H601=0,0,IF(OR(E601=$AT$5,E601=$AT$6),AA601,IF(F601="MXN",1/HLOOKUP(YEAR(G601)+(MONTH(G601)/100),TC!$5:$37,DAY(G601)+2,FALSE),VLOOKUP(F601,Equivalencia!$5:$23,((MAX(Equivalencia!$3:$3)-YEAR(G601))*14)+MONTH(G601)+2,FALSE))))</f>
        <v>1</v>
      </c>
      <c r="M601" s="306">
        <f t="shared" si="156"/>
        <v>2676.27</v>
      </c>
      <c r="N601" s="305">
        <f>IF(G601=0,0,(IF(OR(E601=$AT$5,E601=$AT$6),AC601,HLOOKUP(YEAR(G601)+(MONTH(G601)/100),TC!$5:$37,DAY(G601)+2,FALSE))))</f>
        <v>20.703499999999998</v>
      </c>
      <c r="O601" s="307">
        <f t="shared" si="157"/>
        <v>55408.155944999991</v>
      </c>
      <c r="P601" s="560">
        <f>IF(G601=0,0,VLOOKUP(YEAR(G601),INPC!$B$4:$P$30,MONTH(G601)+2))</f>
        <v>120.15900000000001</v>
      </c>
      <c r="Q601" s="560">
        <f>IF(X601=0,0,IF(OR(E601=$AT$10,E601=$AT$9),VLOOKUP(YEAR(X601),INPC!$B$4:$P$30,MONTH(X601)+1),VLOOKUP(YEAR(X601),INPC!$B$4:$P$30,MONTH(X601)+2,0)))</f>
        <v>120.809</v>
      </c>
      <c r="R601" s="309">
        <f t="shared" si="158"/>
        <v>1.0054000000000001</v>
      </c>
      <c r="S601" s="310">
        <f t="shared" si="159"/>
        <v>55707.359987102995</v>
      </c>
      <c r="T601" s="555">
        <f t="shared" si="160"/>
        <v>618.97066652336662</v>
      </c>
      <c r="U601" s="311"/>
      <c r="V601" s="312">
        <v>90</v>
      </c>
      <c r="W601" s="299" t="s">
        <v>194</v>
      </c>
      <c r="X601" s="300">
        <v>44693</v>
      </c>
      <c r="Y601" s="299" t="s">
        <v>59</v>
      </c>
      <c r="Z601" s="303">
        <v>1357.7626817447494</v>
      </c>
      <c r="AA601" s="305">
        <f>IF(Z601=0,0,IF(Y601="MXN",1/HLOOKUP(YEAR(X601)+(MONTH(X601)/100),TC!$5:$37,DAY(X601)+2,FALSE),VLOOKUP(Y601,Equivalencia!$1:$23,((MAX(Equivalencia!$3:$3)-YEAR(X601))*14)+MONTH(X601)+2,FALSE)))</f>
        <v>1</v>
      </c>
      <c r="AB601" s="306">
        <f t="shared" si="161"/>
        <v>1357.7626817447494</v>
      </c>
      <c r="AC601" s="305">
        <f>+IF(X601=0,0,HLOOKUP(YEAR(X601)+(MONTH(X601)/100),TC!$5:$37,DAY(X601)+2,FALSE))</f>
        <v>20.372</v>
      </c>
      <c r="AD601" s="307">
        <f t="shared" si="162"/>
        <v>27660.341352504034</v>
      </c>
      <c r="AE601" s="314">
        <f t="shared" si="163"/>
        <v>55707.359987102995</v>
      </c>
      <c r="AF601" s="315">
        <f t="shared" si="164"/>
        <v>-28047.01863459896</v>
      </c>
      <c r="AG601" s="316">
        <f t="shared" si="165"/>
        <v>0.15068493150684931</v>
      </c>
      <c r="AH601" s="314">
        <v>1</v>
      </c>
      <c r="AI601" s="314">
        <f t="shared" si="166"/>
        <v>-28047.01863459896</v>
      </c>
      <c r="AJ601" s="314">
        <f t="shared" si="167"/>
        <v>0</v>
      </c>
      <c r="AK601" s="317"/>
      <c r="AL601" s="315">
        <f t="shared" si="168"/>
        <v>-1318.5073182552505</v>
      </c>
      <c r="AN601" s="554">
        <f t="shared" si="169"/>
        <v>-0.49266603080229221</v>
      </c>
      <c r="AO601" s="314"/>
      <c r="AP601" s="318"/>
    </row>
    <row r="602" spans="2:42">
      <c r="B602" s="296" t="s">
        <v>1254</v>
      </c>
      <c r="C602" s="299" t="s">
        <v>277</v>
      </c>
      <c r="D602" s="298" t="s">
        <v>887</v>
      </c>
      <c r="E602" s="299" t="s">
        <v>113</v>
      </c>
      <c r="F602" s="299" t="s">
        <v>59</v>
      </c>
      <c r="G602" s="300">
        <v>44641</v>
      </c>
      <c r="H602" s="303">
        <v>525.11</v>
      </c>
      <c r="I602" s="301" t="str">
        <f t="shared" si="153"/>
        <v>Ingresos Sección II LISR (SIC &amp; BMV)</v>
      </c>
      <c r="J602" s="302">
        <f t="shared" si="154"/>
        <v>18</v>
      </c>
      <c r="K602" s="304">
        <f t="shared" si="155"/>
        <v>29.172777777777778</v>
      </c>
      <c r="L602" s="305">
        <f>IF(H602=0,0,IF(OR(E602=$AT$5,E602=$AT$6),AA602,IF(F602="MXN",1/HLOOKUP(YEAR(G602)+(MONTH(G602)/100),TC!$5:$37,DAY(G602)+2,FALSE),VLOOKUP(F602,Equivalencia!$5:$23,((MAX(Equivalencia!$3:$3)-YEAR(G602))*14)+MONTH(G602)+2,FALSE))))</f>
        <v>1</v>
      </c>
      <c r="M602" s="306">
        <f t="shared" si="156"/>
        <v>525.11</v>
      </c>
      <c r="N602" s="305">
        <f>IF(G602=0,0,(IF(OR(E602=$AT$5,E602=$AT$6),AC602,HLOOKUP(YEAR(G602)+(MONTH(G602)/100),TC!$5:$37,DAY(G602)+2,FALSE))))</f>
        <v>20.558499999999999</v>
      </c>
      <c r="O602" s="307">
        <f t="shared" si="157"/>
        <v>10795.473935</v>
      </c>
      <c r="P602" s="560">
        <f>IF(G602=0,0,VLOOKUP(YEAR(G602),INPC!$B$4:$P$30,MONTH(G602)+2))</f>
        <v>120.15900000000001</v>
      </c>
      <c r="Q602" s="560">
        <f>IF(X602=0,0,IF(OR(E602=$AT$10,E602=$AT$9),VLOOKUP(YEAR(X602),INPC!$B$4:$P$30,MONTH(X602)+1),VLOOKUP(YEAR(X602),INPC!$B$4:$P$30,MONTH(X602)+2,0)))</f>
        <v>120.809</v>
      </c>
      <c r="R602" s="309">
        <f t="shared" si="158"/>
        <v>1.0054000000000001</v>
      </c>
      <c r="S602" s="310">
        <f t="shared" si="159"/>
        <v>10853.769494249002</v>
      </c>
      <c r="T602" s="555">
        <f t="shared" si="160"/>
        <v>602.98719412494449</v>
      </c>
      <c r="U602" s="311"/>
      <c r="V602" s="312">
        <v>18</v>
      </c>
      <c r="W602" s="299" t="s">
        <v>194</v>
      </c>
      <c r="X602" s="300">
        <v>44693</v>
      </c>
      <c r="Y602" s="299" t="s">
        <v>59</v>
      </c>
      <c r="Z602" s="303">
        <v>271.5525363489499</v>
      </c>
      <c r="AA602" s="305">
        <f>IF(Z602=0,0,IF(Y602="MXN",1/HLOOKUP(YEAR(X602)+(MONTH(X602)/100),TC!$5:$37,DAY(X602)+2,FALSE),VLOOKUP(Y602,Equivalencia!$1:$23,((MAX(Equivalencia!$3:$3)-YEAR(X602))*14)+MONTH(X602)+2,FALSE)))</f>
        <v>1</v>
      </c>
      <c r="AB602" s="306">
        <f t="shared" si="161"/>
        <v>271.5525363489499</v>
      </c>
      <c r="AC602" s="305">
        <f>+IF(X602=0,0,HLOOKUP(YEAR(X602)+(MONTH(X602)/100),TC!$5:$37,DAY(X602)+2,FALSE))</f>
        <v>20.372</v>
      </c>
      <c r="AD602" s="307">
        <f t="shared" si="162"/>
        <v>5532.0682705008076</v>
      </c>
      <c r="AE602" s="314">
        <f t="shared" si="163"/>
        <v>10853.769494249002</v>
      </c>
      <c r="AF602" s="315">
        <f t="shared" si="164"/>
        <v>-5321.701223748194</v>
      </c>
      <c r="AG602" s="316">
        <f t="shared" si="165"/>
        <v>0.14246575342465753</v>
      </c>
      <c r="AH602" s="314">
        <v>1</v>
      </c>
      <c r="AI602" s="314">
        <f t="shared" si="166"/>
        <v>-5321.701223748194</v>
      </c>
      <c r="AJ602" s="314">
        <f t="shared" si="167"/>
        <v>0</v>
      </c>
      <c r="AK602" s="317"/>
      <c r="AL602" s="315">
        <f t="shared" si="168"/>
        <v>-253.55746365105011</v>
      </c>
      <c r="AN602" s="554">
        <f t="shared" si="169"/>
        <v>-0.48286542562710688</v>
      </c>
      <c r="AO602" s="314"/>
      <c r="AP602" s="318"/>
    </row>
    <row r="603" spans="2:42">
      <c r="B603" s="296" t="s">
        <v>1254</v>
      </c>
      <c r="C603" s="299" t="s">
        <v>277</v>
      </c>
      <c r="D603" s="298" t="s">
        <v>887</v>
      </c>
      <c r="E603" s="299" t="s">
        <v>113</v>
      </c>
      <c r="F603" s="299" t="s">
        <v>59</v>
      </c>
      <c r="G603" s="300">
        <v>44641</v>
      </c>
      <c r="H603" s="303">
        <v>7025.19</v>
      </c>
      <c r="I603" s="301" t="str">
        <f t="shared" si="153"/>
        <v>Ingresos Sección II LISR (SIC &amp; BMV)</v>
      </c>
      <c r="J603" s="302">
        <f t="shared" si="154"/>
        <v>239</v>
      </c>
      <c r="K603" s="304">
        <f t="shared" si="155"/>
        <v>29.394100418410041</v>
      </c>
      <c r="L603" s="305">
        <f>IF(H603=0,0,IF(OR(E603=$AT$5,E603=$AT$6),AA603,IF(F603="MXN",1/HLOOKUP(YEAR(G603)+(MONTH(G603)/100),TC!$5:$37,DAY(G603)+2,FALSE),VLOOKUP(F603,Equivalencia!$5:$23,((MAX(Equivalencia!$3:$3)-YEAR(G603))*14)+MONTH(G603)+2,FALSE))))</f>
        <v>1</v>
      </c>
      <c r="M603" s="306">
        <f t="shared" si="156"/>
        <v>7025.19</v>
      </c>
      <c r="N603" s="305">
        <f>IF(G603=0,0,(IF(OR(E603=$AT$5,E603=$AT$6),AC603,HLOOKUP(YEAR(G603)+(MONTH(G603)/100),TC!$5:$37,DAY(G603)+2,FALSE))))</f>
        <v>20.558499999999999</v>
      </c>
      <c r="O603" s="307">
        <f t="shared" si="157"/>
        <v>144427.36861499998</v>
      </c>
      <c r="P603" s="560">
        <f>IF(G603=0,0,VLOOKUP(YEAR(G603),INPC!$B$4:$P$30,MONTH(G603)+2))</f>
        <v>120.15900000000001</v>
      </c>
      <c r="Q603" s="560">
        <f>IF(X603=0,0,IF(OR(E603=$AT$10,E603=$AT$9),VLOOKUP(YEAR(X603),INPC!$B$4:$P$30,MONTH(X603)+1),VLOOKUP(YEAR(X603),INPC!$B$4:$P$30,MONTH(X603)+2,0)))</f>
        <v>120.809</v>
      </c>
      <c r="R603" s="309">
        <f t="shared" si="158"/>
        <v>1.0054000000000001</v>
      </c>
      <c r="S603" s="310">
        <f t="shared" si="159"/>
        <v>145207.276405521</v>
      </c>
      <c r="T603" s="555">
        <f t="shared" si="160"/>
        <v>607.561825964523</v>
      </c>
      <c r="U603" s="311"/>
      <c r="V603" s="312">
        <v>239</v>
      </c>
      <c r="W603" s="299" t="s">
        <v>194</v>
      </c>
      <c r="X603" s="300">
        <v>44693</v>
      </c>
      <c r="Y603" s="299" t="s">
        <v>59</v>
      </c>
      <c r="Z603" s="303">
        <v>3605.6142326332792</v>
      </c>
      <c r="AA603" s="305">
        <f>IF(Z603=0,0,IF(Y603="MXN",1/HLOOKUP(YEAR(X603)+(MONTH(X603)/100),TC!$5:$37,DAY(X603)+2,FALSE),VLOOKUP(Y603,Equivalencia!$1:$23,((MAX(Equivalencia!$3:$3)-YEAR(X603))*14)+MONTH(X603)+2,FALSE)))</f>
        <v>1</v>
      </c>
      <c r="AB603" s="306">
        <f t="shared" si="161"/>
        <v>3605.6142326332792</v>
      </c>
      <c r="AC603" s="305">
        <f>+IF(X603=0,0,HLOOKUP(YEAR(X603)+(MONTH(X603)/100),TC!$5:$37,DAY(X603)+2,FALSE))</f>
        <v>20.372</v>
      </c>
      <c r="AD603" s="307">
        <f t="shared" si="162"/>
        <v>73453.57314720517</v>
      </c>
      <c r="AE603" s="314">
        <f t="shared" si="163"/>
        <v>145207.276405521</v>
      </c>
      <c r="AF603" s="315">
        <f t="shared" si="164"/>
        <v>-71753.703258315829</v>
      </c>
      <c r="AG603" s="316">
        <f t="shared" si="165"/>
        <v>0.14246575342465753</v>
      </c>
      <c r="AH603" s="314">
        <v>1</v>
      </c>
      <c r="AI603" s="314">
        <f t="shared" si="166"/>
        <v>-71753.703258315829</v>
      </c>
      <c r="AJ603" s="314">
        <f t="shared" si="167"/>
        <v>0</v>
      </c>
      <c r="AK603" s="317"/>
      <c r="AL603" s="315">
        <f t="shared" si="168"/>
        <v>-3419.5757673667204</v>
      </c>
      <c r="AN603" s="554">
        <f t="shared" si="169"/>
        <v>-0.48675918620944353</v>
      </c>
      <c r="AO603" s="314"/>
      <c r="AP603" s="318"/>
    </row>
    <row r="604" spans="2:42">
      <c r="B604" s="296" t="s">
        <v>1254</v>
      </c>
      <c r="C604" s="299" t="s">
        <v>277</v>
      </c>
      <c r="D604" s="298" t="s">
        <v>887</v>
      </c>
      <c r="E604" s="299" t="s">
        <v>113</v>
      </c>
      <c r="F604" s="299" t="s">
        <v>59</v>
      </c>
      <c r="G604" s="300">
        <v>44641</v>
      </c>
      <c r="H604" s="303">
        <v>1060.56</v>
      </c>
      <c r="I604" s="301" t="str">
        <f t="shared" si="153"/>
        <v>Ingresos Sección II LISR (SIC &amp; BMV)</v>
      </c>
      <c r="J604" s="302">
        <f t="shared" si="154"/>
        <v>36</v>
      </c>
      <c r="K604" s="304">
        <f t="shared" si="155"/>
        <v>29.459999999999997</v>
      </c>
      <c r="L604" s="305">
        <f>IF(H604=0,0,IF(OR(E604=$AT$5,E604=$AT$6),AA604,IF(F604="MXN",1/HLOOKUP(YEAR(G604)+(MONTH(G604)/100),TC!$5:$37,DAY(G604)+2,FALSE),VLOOKUP(F604,Equivalencia!$5:$23,((MAX(Equivalencia!$3:$3)-YEAR(G604))*14)+MONTH(G604)+2,FALSE))))</f>
        <v>1</v>
      </c>
      <c r="M604" s="306">
        <f t="shared" si="156"/>
        <v>1060.56</v>
      </c>
      <c r="N604" s="305">
        <f>IF(G604=0,0,(IF(OR(E604=$AT$5,E604=$AT$6),AC604,HLOOKUP(YEAR(G604)+(MONTH(G604)/100),TC!$5:$37,DAY(G604)+2,FALSE))))</f>
        <v>20.558499999999999</v>
      </c>
      <c r="O604" s="307">
        <f t="shared" si="157"/>
        <v>21803.522759999996</v>
      </c>
      <c r="P604" s="560">
        <f>IF(G604=0,0,VLOOKUP(YEAR(G604),INPC!$B$4:$P$30,MONTH(G604)+2))</f>
        <v>120.15900000000001</v>
      </c>
      <c r="Q604" s="560">
        <f>IF(X604=0,0,IF(OR(E604=$AT$10,E604=$AT$9),VLOOKUP(YEAR(X604),INPC!$B$4:$P$30,MONTH(X604)+1),VLOOKUP(YEAR(X604),INPC!$B$4:$P$30,MONTH(X604)+2,0)))</f>
        <v>120.809</v>
      </c>
      <c r="R604" s="309">
        <f t="shared" si="158"/>
        <v>1.0054000000000001</v>
      </c>
      <c r="S604" s="310">
        <f t="shared" si="159"/>
        <v>21921.261782903999</v>
      </c>
      <c r="T604" s="555">
        <f t="shared" si="160"/>
        <v>608.92393841399996</v>
      </c>
      <c r="U604" s="311"/>
      <c r="V604" s="312">
        <v>36</v>
      </c>
      <c r="W604" s="299" t="s">
        <v>194</v>
      </c>
      <c r="X604" s="300">
        <v>44693</v>
      </c>
      <c r="Y604" s="299" t="s">
        <v>59</v>
      </c>
      <c r="Z604" s="303">
        <v>543.1050726978998</v>
      </c>
      <c r="AA604" s="305">
        <f>IF(Z604=0,0,IF(Y604="MXN",1/HLOOKUP(YEAR(X604)+(MONTH(X604)/100),TC!$5:$37,DAY(X604)+2,FALSE),VLOOKUP(Y604,Equivalencia!$1:$23,((MAX(Equivalencia!$3:$3)-YEAR(X604))*14)+MONTH(X604)+2,FALSE)))</f>
        <v>1</v>
      </c>
      <c r="AB604" s="306">
        <f t="shared" si="161"/>
        <v>543.1050726978998</v>
      </c>
      <c r="AC604" s="305">
        <f>+IF(X604=0,0,HLOOKUP(YEAR(X604)+(MONTH(X604)/100),TC!$5:$37,DAY(X604)+2,FALSE))</f>
        <v>20.372</v>
      </c>
      <c r="AD604" s="307">
        <f t="shared" si="162"/>
        <v>11064.136541001615</v>
      </c>
      <c r="AE604" s="314">
        <f t="shared" si="163"/>
        <v>21921.261782903999</v>
      </c>
      <c r="AF604" s="315">
        <f t="shared" si="164"/>
        <v>-10857.125241902384</v>
      </c>
      <c r="AG604" s="316">
        <f t="shared" si="165"/>
        <v>0.14246575342465753</v>
      </c>
      <c r="AH604" s="314">
        <v>1</v>
      </c>
      <c r="AI604" s="314">
        <f t="shared" si="166"/>
        <v>-10857.125241902384</v>
      </c>
      <c r="AJ604" s="314">
        <f t="shared" si="167"/>
        <v>0</v>
      </c>
      <c r="AK604" s="317"/>
      <c r="AL604" s="315">
        <f t="shared" si="168"/>
        <v>-517.45492730210015</v>
      </c>
      <c r="AN604" s="554">
        <f t="shared" si="169"/>
        <v>-0.48790726342884905</v>
      </c>
      <c r="AO604" s="314"/>
      <c r="AP604" s="318"/>
    </row>
    <row r="605" spans="2:42">
      <c r="B605" s="296" t="s">
        <v>1254</v>
      </c>
      <c r="C605" s="299" t="s">
        <v>277</v>
      </c>
      <c r="D605" s="298" t="s">
        <v>887</v>
      </c>
      <c r="E605" s="299" t="s">
        <v>113</v>
      </c>
      <c r="F605" s="299" t="s">
        <v>59</v>
      </c>
      <c r="G605" s="300">
        <v>44642</v>
      </c>
      <c r="H605" s="303">
        <v>310.33999999999997</v>
      </c>
      <c r="I605" s="301" t="str">
        <f t="shared" si="153"/>
        <v>Ingresos Sección II LISR (SIC &amp; BMV)</v>
      </c>
      <c r="J605" s="302">
        <f t="shared" si="154"/>
        <v>10</v>
      </c>
      <c r="K605" s="304">
        <f t="shared" si="155"/>
        <v>31.033999999999999</v>
      </c>
      <c r="L605" s="305">
        <f>IF(H605=0,0,IF(OR(E605=$AT$5,E605=$AT$6),AA605,IF(F605="MXN",1/HLOOKUP(YEAR(G605)+(MONTH(G605)/100),TC!$5:$37,DAY(G605)+2,FALSE),VLOOKUP(F605,Equivalencia!$5:$23,((MAX(Equivalencia!$3:$3)-YEAR(G605))*14)+MONTH(G605)+2,FALSE))))</f>
        <v>1</v>
      </c>
      <c r="M605" s="306">
        <f t="shared" si="156"/>
        <v>310.33999999999997</v>
      </c>
      <c r="N605" s="305">
        <f>IF(G605=0,0,(IF(OR(E605=$AT$5,E605=$AT$6),AC605,HLOOKUP(YEAR(G605)+(MONTH(G605)/100),TC!$5:$37,DAY(G605)+2,FALSE))))</f>
        <v>20.558499999999999</v>
      </c>
      <c r="O605" s="307">
        <f t="shared" si="157"/>
        <v>6380.1248899999991</v>
      </c>
      <c r="P605" s="560">
        <f>IF(G605=0,0,VLOOKUP(YEAR(G605),INPC!$B$4:$P$30,MONTH(G605)+2))</f>
        <v>120.15900000000001</v>
      </c>
      <c r="Q605" s="560">
        <f>IF(X605=0,0,IF(OR(E605=$AT$10,E605=$AT$9),VLOOKUP(YEAR(X605),INPC!$B$4:$P$30,MONTH(X605)+1),VLOOKUP(YEAR(X605),INPC!$B$4:$P$30,MONTH(X605)+2,0)))</f>
        <v>120.809</v>
      </c>
      <c r="R605" s="309">
        <f t="shared" si="158"/>
        <v>1.0054000000000001</v>
      </c>
      <c r="S605" s="310">
        <f t="shared" si="159"/>
        <v>6414.5775644059995</v>
      </c>
      <c r="T605" s="555">
        <f t="shared" si="160"/>
        <v>641.45775644059995</v>
      </c>
      <c r="U605" s="311"/>
      <c r="V605" s="312">
        <v>10</v>
      </c>
      <c r="W605" s="299" t="s">
        <v>194</v>
      </c>
      <c r="X605" s="300">
        <v>44693</v>
      </c>
      <c r="Y605" s="299" t="s">
        <v>59</v>
      </c>
      <c r="Z605" s="303">
        <v>150.86252019386106</v>
      </c>
      <c r="AA605" s="305">
        <f>IF(Z605=0,0,IF(Y605="MXN",1/HLOOKUP(YEAR(X605)+(MONTH(X605)/100),TC!$5:$37,DAY(X605)+2,FALSE),VLOOKUP(Y605,Equivalencia!$1:$23,((MAX(Equivalencia!$3:$3)-YEAR(X605))*14)+MONTH(X605)+2,FALSE)))</f>
        <v>1</v>
      </c>
      <c r="AB605" s="306">
        <f t="shared" si="161"/>
        <v>150.86252019386106</v>
      </c>
      <c r="AC605" s="305">
        <f>+IF(X605=0,0,HLOOKUP(YEAR(X605)+(MONTH(X605)/100),TC!$5:$37,DAY(X605)+2,FALSE))</f>
        <v>20.372</v>
      </c>
      <c r="AD605" s="307">
        <f t="shared" si="162"/>
        <v>3073.3712613893376</v>
      </c>
      <c r="AE605" s="314">
        <f t="shared" si="163"/>
        <v>6414.5775644059995</v>
      </c>
      <c r="AF605" s="315">
        <f t="shared" si="164"/>
        <v>-3341.2063030166619</v>
      </c>
      <c r="AG605" s="316">
        <f t="shared" si="165"/>
        <v>0.13972602739726028</v>
      </c>
      <c r="AH605" s="314">
        <v>1</v>
      </c>
      <c r="AI605" s="314">
        <f t="shared" si="166"/>
        <v>-3341.2063030166619</v>
      </c>
      <c r="AJ605" s="314">
        <f t="shared" si="167"/>
        <v>0</v>
      </c>
      <c r="AK605" s="317"/>
      <c r="AL605" s="315">
        <f t="shared" si="168"/>
        <v>-159.47747980613892</v>
      </c>
      <c r="AN605" s="554">
        <f t="shared" si="169"/>
        <v>-0.5138798730622508</v>
      </c>
      <c r="AO605" s="314"/>
      <c r="AP605" s="318"/>
    </row>
    <row r="606" spans="2:42">
      <c r="B606" s="296" t="s">
        <v>1254</v>
      </c>
      <c r="C606" s="299" t="s">
        <v>277</v>
      </c>
      <c r="D606" s="298" t="s">
        <v>887</v>
      </c>
      <c r="E606" s="299" t="s">
        <v>113</v>
      </c>
      <c r="F606" s="299" t="s">
        <v>59</v>
      </c>
      <c r="G606" s="300">
        <v>44642</v>
      </c>
      <c r="H606" s="303">
        <v>3429.76</v>
      </c>
      <c r="I606" s="301" t="str">
        <f t="shared" si="153"/>
        <v>Ingresos Sección II LISR (SIC &amp; BMV)</v>
      </c>
      <c r="J606" s="302">
        <f t="shared" si="154"/>
        <v>111</v>
      </c>
      <c r="K606" s="304">
        <f t="shared" si="155"/>
        <v>30.898738738738739</v>
      </c>
      <c r="L606" s="305">
        <f>IF(H606=0,0,IF(OR(E606=$AT$5,E606=$AT$6),AA606,IF(F606="MXN",1/HLOOKUP(YEAR(G606)+(MONTH(G606)/100),TC!$5:$37,DAY(G606)+2,FALSE),VLOOKUP(F606,Equivalencia!$5:$23,((MAX(Equivalencia!$3:$3)-YEAR(G606))*14)+MONTH(G606)+2,FALSE))))</f>
        <v>1</v>
      </c>
      <c r="M606" s="306">
        <f t="shared" si="156"/>
        <v>3429.76</v>
      </c>
      <c r="N606" s="305">
        <f>IF(G606=0,0,(IF(OR(E606=$AT$5,E606=$AT$6),AC606,HLOOKUP(YEAR(G606)+(MONTH(G606)/100),TC!$5:$37,DAY(G606)+2,FALSE))))</f>
        <v>20.558499999999999</v>
      </c>
      <c r="O606" s="307">
        <f t="shared" si="157"/>
        <v>70510.720960000006</v>
      </c>
      <c r="P606" s="560">
        <f>IF(G606=0,0,VLOOKUP(YEAR(G606),INPC!$B$4:$P$30,MONTH(G606)+2))</f>
        <v>120.15900000000001</v>
      </c>
      <c r="Q606" s="560">
        <f>IF(X606=0,0,IF(OR(E606=$AT$10,E606=$AT$9),VLOOKUP(YEAR(X606),INPC!$B$4:$P$30,MONTH(X606)+1),VLOOKUP(YEAR(X606),INPC!$B$4:$P$30,MONTH(X606)+2,0)))</f>
        <v>120.809</v>
      </c>
      <c r="R606" s="309">
        <f t="shared" si="158"/>
        <v>1.0054000000000001</v>
      </c>
      <c r="S606" s="310">
        <f t="shared" si="159"/>
        <v>70891.478853184017</v>
      </c>
      <c r="T606" s="555">
        <f t="shared" si="160"/>
        <v>638.66197165030644</v>
      </c>
      <c r="U606" s="311"/>
      <c r="V606" s="312">
        <v>111</v>
      </c>
      <c r="W606" s="299" t="s">
        <v>194</v>
      </c>
      <c r="X606" s="300">
        <v>44693</v>
      </c>
      <c r="Y606" s="299" t="s">
        <v>59</v>
      </c>
      <c r="Z606" s="303">
        <v>1674.5739741518578</v>
      </c>
      <c r="AA606" s="305">
        <f>IF(Z606=0,0,IF(Y606="MXN",1/HLOOKUP(YEAR(X606)+(MONTH(X606)/100),TC!$5:$37,DAY(X606)+2,FALSE),VLOOKUP(Y606,Equivalencia!$1:$23,((MAX(Equivalencia!$3:$3)-YEAR(X606))*14)+MONTH(X606)+2,FALSE)))</f>
        <v>1</v>
      </c>
      <c r="AB606" s="306">
        <f t="shared" si="161"/>
        <v>1674.5739741518578</v>
      </c>
      <c r="AC606" s="305">
        <f>+IF(X606=0,0,HLOOKUP(YEAR(X606)+(MONTH(X606)/100),TC!$5:$37,DAY(X606)+2,FALSE))</f>
        <v>20.372</v>
      </c>
      <c r="AD606" s="307">
        <f t="shared" si="162"/>
        <v>34114.421001421644</v>
      </c>
      <c r="AE606" s="314">
        <f t="shared" si="163"/>
        <v>70891.478853184017</v>
      </c>
      <c r="AF606" s="315">
        <f t="shared" si="164"/>
        <v>-36777.057851762373</v>
      </c>
      <c r="AG606" s="316">
        <f t="shared" si="165"/>
        <v>0.13972602739726028</v>
      </c>
      <c r="AH606" s="314">
        <v>1</v>
      </c>
      <c r="AI606" s="314">
        <f t="shared" si="166"/>
        <v>-36777.057851762373</v>
      </c>
      <c r="AJ606" s="314">
        <f t="shared" si="167"/>
        <v>0</v>
      </c>
      <c r="AK606" s="317"/>
      <c r="AL606" s="315">
        <f t="shared" si="168"/>
        <v>-1755.1860258481424</v>
      </c>
      <c r="AN606" s="554">
        <f t="shared" si="169"/>
        <v>-0.51175185023096148</v>
      </c>
      <c r="AO606" s="314"/>
      <c r="AP606" s="318"/>
    </row>
    <row r="607" spans="2:42">
      <c r="B607" s="296" t="s">
        <v>1254</v>
      </c>
      <c r="C607" s="299" t="s">
        <v>277</v>
      </c>
      <c r="D607" s="298" t="s">
        <v>887</v>
      </c>
      <c r="E607" s="299" t="s">
        <v>113</v>
      </c>
      <c r="F607" s="299" t="s">
        <v>59</v>
      </c>
      <c r="G607" s="300">
        <v>44643</v>
      </c>
      <c r="H607" s="303">
        <v>6627.71</v>
      </c>
      <c r="I607" s="301" t="str">
        <f t="shared" si="153"/>
        <v>Ingresos Sección II LISR (SIC &amp; BMV)</v>
      </c>
      <c r="J607" s="302">
        <f t="shared" si="154"/>
        <v>213</v>
      </c>
      <c r="K607" s="304">
        <f t="shared" si="155"/>
        <v>31.116009389671362</v>
      </c>
      <c r="L607" s="305">
        <f>IF(H607=0,0,IF(OR(E607=$AT$5,E607=$AT$6),AA607,IF(F607="MXN",1/HLOOKUP(YEAR(G607)+(MONTH(G607)/100),TC!$5:$37,DAY(G607)+2,FALSE),VLOOKUP(F607,Equivalencia!$5:$23,((MAX(Equivalencia!$3:$3)-YEAR(G607))*14)+MONTH(G607)+2,FALSE))))</f>
        <v>1</v>
      </c>
      <c r="M607" s="306">
        <f t="shared" si="156"/>
        <v>6627.71</v>
      </c>
      <c r="N607" s="305">
        <f>IF(G607=0,0,(IF(OR(E607=$AT$5,E607=$AT$6),AC607,HLOOKUP(YEAR(G607)+(MONTH(G607)/100),TC!$5:$37,DAY(G607)+2,FALSE))))</f>
        <v>20.4145</v>
      </c>
      <c r="O607" s="307">
        <f t="shared" si="157"/>
        <v>135301.38579500001</v>
      </c>
      <c r="P607" s="560">
        <f>IF(G607=0,0,VLOOKUP(YEAR(G607),INPC!$B$4:$P$30,MONTH(G607)+2))</f>
        <v>120.15900000000001</v>
      </c>
      <c r="Q607" s="560">
        <f>IF(X607=0,0,IF(OR(E607=$AT$10,E607=$AT$9),VLOOKUP(YEAR(X607),INPC!$B$4:$P$30,MONTH(X607)+1),VLOOKUP(YEAR(X607),INPC!$B$4:$P$30,MONTH(X607)+2,0)))</f>
        <v>120.809</v>
      </c>
      <c r="R607" s="309">
        <f t="shared" si="158"/>
        <v>1.0054000000000001</v>
      </c>
      <c r="S607" s="310">
        <f t="shared" si="159"/>
        <v>136032.01327829302</v>
      </c>
      <c r="T607" s="555">
        <f t="shared" si="160"/>
        <v>638.6479496633475</v>
      </c>
      <c r="U607" s="311"/>
      <c r="V607" s="312">
        <v>213</v>
      </c>
      <c r="W607" s="299" t="s">
        <v>194</v>
      </c>
      <c r="X607" s="300">
        <v>44693</v>
      </c>
      <c r="Y607" s="299" t="s">
        <v>59</v>
      </c>
      <c r="Z607" s="303">
        <v>3213.3716801292403</v>
      </c>
      <c r="AA607" s="305">
        <f>IF(Z607=0,0,IF(Y607="MXN",1/HLOOKUP(YEAR(X607)+(MONTH(X607)/100),TC!$5:$37,DAY(X607)+2,FALSE),VLOOKUP(Y607,Equivalencia!$1:$23,((MAX(Equivalencia!$3:$3)-YEAR(X607))*14)+MONTH(X607)+2,FALSE)))</f>
        <v>1</v>
      </c>
      <c r="AB607" s="306">
        <f t="shared" si="161"/>
        <v>3213.3716801292403</v>
      </c>
      <c r="AC607" s="305">
        <f>+IF(X607=0,0,HLOOKUP(YEAR(X607)+(MONTH(X607)/100),TC!$5:$37,DAY(X607)+2,FALSE))</f>
        <v>20.372</v>
      </c>
      <c r="AD607" s="307">
        <f t="shared" si="162"/>
        <v>65462.807867592885</v>
      </c>
      <c r="AE607" s="314">
        <f t="shared" si="163"/>
        <v>136032.01327829302</v>
      </c>
      <c r="AF607" s="315">
        <f t="shared" si="164"/>
        <v>-70569.205410700131</v>
      </c>
      <c r="AG607" s="316">
        <f t="shared" si="165"/>
        <v>0.13698630136986301</v>
      </c>
      <c r="AH607" s="314">
        <v>1</v>
      </c>
      <c r="AI607" s="314">
        <f t="shared" si="166"/>
        <v>-70569.205410700131</v>
      </c>
      <c r="AJ607" s="314">
        <f t="shared" si="167"/>
        <v>0</v>
      </c>
      <c r="AK607" s="317"/>
      <c r="AL607" s="315">
        <f t="shared" si="168"/>
        <v>-3414.3383198707597</v>
      </c>
      <c r="AN607" s="554">
        <f t="shared" si="169"/>
        <v>-0.51516109182066805</v>
      </c>
      <c r="AO607" s="314"/>
      <c r="AP607" s="318"/>
    </row>
    <row r="608" spans="2:42">
      <c r="B608" s="296" t="s">
        <v>1254</v>
      </c>
      <c r="C608" s="299" t="s">
        <v>277</v>
      </c>
      <c r="D608" s="298" t="s">
        <v>887</v>
      </c>
      <c r="E608" s="299" t="s">
        <v>113</v>
      </c>
      <c r="F608" s="299" t="s">
        <v>59</v>
      </c>
      <c r="G608" s="300">
        <v>44643</v>
      </c>
      <c r="H608" s="303">
        <v>183.87</v>
      </c>
      <c r="I608" s="301" t="str">
        <f t="shared" si="153"/>
        <v>Ingresos Sección II LISR (SIC &amp; BMV)</v>
      </c>
      <c r="J608" s="302">
        <f t="shared" si="154"/>
        <v>6</v>
      </c>
      <c r="K608" s="304">
        <f t="shared" si="155"/>
        <v>30.645</v>
      </c>
      <c r="L608" s="305">
        <f>IF(H608=0,0,IF(OR(E608=$AT$5,E608=$AT$6),AA608,IF(F608="MXN",1/HLOOKUP(YEAR(G608)+(MONTH(G608)/100),TC!$5:$37,DAY(G608)+2,FALSE),VLOOKUP(F608,Equivalencia!$5:$23,((MAX(Equivalencia!$3:$3)-YEAR(G608))*14)+MONTH(G608)+2,FALSE))))</f>
        <v>1</v>
      </c>
      <c r="M608" s="306">
        <f t="shared" si="156"/>
        <v>183.87</v>
      </c>
      <c r="N608" s="305">
        <f>IF(G608=0,0,(IF(OR(E608=$AT$5,E608=$AT$6),AC608,HLOOKUP(YEAR(G608)+(MONTH(G608)/100),TC!$5:$37,DAY(G608)+2,FALSE))))</f>
        <v>20.4145</v>
      </c>
      <c r="O608" s="307">
        <f t="shared" si="157"/>
        <v>3753.6141150000003</v>
      </c>
      <c r="P608" s="560">
        <f>IF(G608=0,0,VLOOKUP(YEAR(G608),INPC!$B$4:$P$30,MONTH(G608)+2))</f>
        <v>120.15900000000001</v>
      </c>
      <c r="Q608" s="560">
        <f>IF(X608=0,0,IF(OR(E608=$AT$10,E608=$AT$9),VLOOKUP(YEAR(X608),INPC!$B$4:$P$30,MONTH(X608)+1),VLOOKUP(YEAR(X608),INPC!$B$4:$P$30,MONTH(X608)+2,0)))</f>
        <v>120.809</v>
      </c>
      <c r="R608" s="309">
        <f t="shared" si="158"/>
        <v>1.0054000000000001</v>
      </c>
      <c r="S608" s="310">
        <f t="shared" si="159"/>
        <v>3773.8836312210005</v>
      </c>
      <c r="T608" s="555">
        <f t="shared" si="160"/>
        <v>628.98060520350009</v>
      </c>
      <c r="U608" s="311"/>
      <c r="V608" s="312">
        <v>6</v>
      </c>
      <c r="W608" s="299" t="s">
        <v>194</v>
      </c>
      <c r="X608" s="300">
        <v>44693</v>
      </c>
      <c r="Y608" s="299" t="s">
        <v>59</v>
      </c>
      <c r="Z608" s="303">
        <v>90.517512116316624</v>
      </c>
      <c r="AA608" s="305">
        <f>IF(Z608=0,0,IF(Y608="MXN",1/HLOOKUP(YEAR(X608)+(MONTH(X608)/100),TC!$5:$37,DAY(X608)+2,FALSE),VLOOKUP(Y608,Equivalencia!$1:$23,((MAX(Equivalencia!$3:$3)-YEAR(X608))*14)+MONTH(X608)+2,FALSE)))</f>
        <v>1</v>
      </c>
      <c r="AB608" s="306">
        <f t="shared" si="161"/>
        <v>90.517512116316624</v>
      </c>
      <c r="AC608" s="305">
        <f>+IF(X608=0,0,HLOOKUP(YEAR(X608)+(MONTH(X608)/100),TC!$5:$37,DAY(X608)+2,FALSE))</f>
        <v>20.372</v>
      </c>
      <c r="AD608" s="307">
        <f t="shared" si="162"/>
        <v>1844.0227568336022</v>
      </c>
      <c r="AE608" s="314">
        <f t="shared" si="163"/>
        <v>3773.8836312210005</v>
      </c>
      <c r="AF608" s="315">
        <f t="shared" si="164"/>
        <v>-1929.8608743873983</v>
      </c>
      <c r="AG608" s="316">
        <f t="shared" si="165"/>
        <v>0.13698630136986301</v>
      </c>
      <c r="AH608" s="314">
        <v>1</v>
      </c>
      <c r="AI608" s="314">
        <f t="shared" si="166"/>
        <v>-1929.8608743873983</v>
      </c>
      <c r="AJ608" s="314">
        <f t="shared" si="167"/>
        <v>0</v>
      </c>
      <c r="AK608" s="317"/>
      <c r="AL608" s="315">
        <f t="shared" si="168"/>
        <v>-93.352487883683381</v>
      </c>
      <c r="AN608" s="554">
        <f t="shared" si="169"/>
        <v>-0.50770918520521768</v>
      </c>
      <c r="AO608" s="314"/>
      <c r="AP608" s="318"/>
    </row>
    <row r="609" spans="2:42">
      <c r="B609" s="296" t="s">
        <v>1254</v>
      </c>
      <c r="C609" s="299" t="s">
        <v>277</v>
      </c>
      <c r="D609" s="298" t="s">
        <v>887</v>
      </c>
      <c r="E609" s="299" t="s">
        <v>113</v>
      </c>
      <c r="F609" s="299" t="s">
        <v>59</v>
      </c>
      <c r="G609" s="300">
        <v>44643</v>
      </c>
      <c r="H609" s="303">
        <v>183.81</v>
      </c>
      <c r="I609" s="301" t="str">
        <f t="shared" si="153"/>
        <v>Ingresos Sección II LISR (SIC &amp; BMV)</v>
      </c>
      <c r="J609" s="302">
        <f t="shared" si="154"/>
        <v>6</v>
      </c>
      <c r="K609" s="304">
        <f t="shared" si="155"/>
        <v>30.635000000000002</v>
      </c>
      <c r="L609" s="305">
        <f>IF(H609=0,0,IF(OR(E609=$AT$5,E609=$AT$6),AA609,IF(F609="MXN",1/HLOOKUP(YEAR(G609)+(MONTH(G609)/100),TC!$5:$37,DAY(G609)+2,FALSE),VLOOKUP(F609,Equivalencia!$5:$23,((MAX(Equivalencia!$3:$3)-YEAR(G609))*14)+MONTH(G609)+2,FALSE))))</f>
        <v>1</v>
      </c>
      <c r="M609" s="306">
        <f t="shared" si="156"/>
        <v>183.81</v>
      </c>
      <c r="N609" s="305">
        <f>IF(G609=0,0,(IF(OR(E609=$AT$5,E609=$AT$6),AC609,HLOOKUP(YEAR(G609)+(MONTH(G609)/100),TC!$5:$37,DAY(G609)+2,FALSE))))</f>
        <v>20.4145</v>
      </c>
      <c r="O609" s="307">
        <f t="shared" si="157"/>
        <v>3752.3892450000003</v>
      </c>
      <c r="P609" s="560">
        <f>IF(G609=0,0,VLOOKUP(YEAR(G609),INPC!$B$4:$P$30,MONTH(G609)+2))</f>
        <v>120.15900000000001</v>
      </c>
      <c r="Q609" s="560">
        <f>IF(X609=0,0,IF(OR(E609=$AT$10,E609=$AT$9),VLOOKUP(YEAR(X609),INPC!$B$4:$P$30,MONTH(X609)+1),VLOOKUP(YEAR(X609),INPC!$B$4:$P$30,MONTH(X609)+2,0)))</f>
        <v>120.809</v>
      </c>
      <c r="R609" s="309">
        <f t="shared" si="158"/>
        <v>1.0054000000000001</v>
      </c>
      <c r="S609" s="310">
        <f t="shared" si="159"/>
        <v>3772.6521469230006</v>
      </c>
      <c r="T609" s="555">
        <f t="shared" si="160"/>
        <v>628.77535782050006</v>
      </c>
      <c r="U609" s="311"/>
      <c r="V609" s="312">
        <v>6</v>
      </c>
      <c r="W609" s="299" t="s">
        <v>194</v>
      </c>
      <c r="X609" s="300">
        <v>44693</v>
      </c>
      <c r="Y609" s="299" t="s">
        <v>59</v>
      </c>
      <c r="Z609" s="303">
        <v>90.517512116316624</v>
      </c>
      <c r="AA609" s="305">
        <f>IF(Z609=0,0,IF(Y609="MXN",1/HLOOKUP(YEAR(X609)+(MONTH(X609)/100),TC!$5:$37,DAY(X609)+2,FALSE),VLOOKUP(Y609,Equivalencia!$1:$23,((MAX(Equivalencia!$3:$3)-YEAR(X609))*14)+MONTH(X609)+2,FALSE)))</f>
        <v>1</v>
      </c>
      <c r="AB609" s="306">
        <f t="shared" si="161"/>
        <v>90.517512116316624</v>
      </c>
      <c r="AC609" s="305">
        <f>+IF(X609=0,0,HLOOKUP(YEAR(X609)+(MONTH(X609)/100),TC!$5:$37,DAY(X609)+2,FALSE))</f>
        <v>20.372</v>
      </c>
      <c r="AD609" s="307">
        <f t="shared" si="162"/>
        <v>1844.0227568336022</v>
      </c>
      <c r="AE609" s="314">
        <f t="shared" si="163"/>
        <v>3772.6521469230001</v>
      </c>
      <c r="AF609" s="315">
        <f t="shared" si="164"/>
        <v>-1928.6293900893979</v>
      </c>
      <c r="AG609" s="316">
        <f t="shared" si="165"/>
        <v>0.13698630136986301</v>
      </c>
      <c r="AH609" s="314">
        <v>1</v>
      </c>
      <c r="AI609" s="314">
        <f t="shared" si="166"/>
        <v>-1928.6293900893979</v>
      </c>
      <c r="AJ609" s="314">
        <f t="shared" si="167"/>
        <v>0</v>
      </c>
      <c r="AK609" s="317"/>
      <c r="AL609" s="315">
        <f t="shared" si="168"/>
        <v>-93.292487883683378</v>
      </c>
      <c r="AN609" s="554">
        <f t="shared" si="169"/>
        <v>-0.50754848965607624</v>
      </c>
      <c r="AO609" s="314"/>
      <c r="AP609" s="318"/>
    </row>
    <row r="610" spans="2:42">
      <c r="B610" s="296" t="s">
        <v>1254</v>
      </c>
      <c r="C610" s="299" t="s">
        <v>277</v>
      </c>
      <c r="D610" s="298" t="s">
        <v>887</v>
      </c>
      <c r="E610" s="299" t="s">
        <v>113</v>
      </c>
      <c r="F610" s="299" t="s">
        <v>59</v>
      </c>
      <c r="G610" s="300">
        <v>44644</v>
      </c>
      <c r="H610" s="303">
        <v>4084.2042009132424</v>
      </c>
      <c r="I610" s="301" t="str">
        <f t="shared" si="153"/>
        <v>Ingresos Sección II LISR (SIC &amp; BMV)</v>
      </c>
      <c r="J610" s="302">
        <f t="shared" si="154"/>
        <v>136</v>
      </c>
      <c r="K610" s="304">
        <f t="shared" si="155"/>
        <v>30.030913242009134</v>
      </c>
      <c r="L610" s="305">
        <f>IF(H610=0,0,IF(OR(E610=$AT$5,E610=$AT$6),AA610,IF(F610="MXN",1/HLOOKUP(YEAR(G610)+(MONTH(G610)/100),TC!$5:$37,DAY(G610)+2,FALSE),VLOOKUP(F610,Equivalencia!$5:$23,((MAX(Equivalencia!$3:$3)-YEAR(G610))*14)+MONTH(G610)+2,FALSE))))</f>
        <v>1</v>
      </c>
      <c r="M610" s="306">
        <f t="shared" si="156"/>
        <v>4084.2042009132424</v>
      </c>
      <c r="N610" s="305">
        <f>IF(G610=0,0,(IF(OR(E610=$AT$5,E610=$AT$6),AC610,HLOOKUP(YEAR(G610)+(MONTH(G610)/100),TC!$5:$37,DAY(G610)+2,FALSE))))</f>
        <v>20.278199999999998</v>
      </c>
      <c r="O610" s="307">
        <f t="shared" si="157"/>
        <v>82820.3096269589</v>
      </c>
      <c r="P610" s="560">
        <f>IF(G610=0,0,VLOOKUP(YEAR(G610),INPC!$B$4:$P$30,MONTH(G610)+2))</f>
        <v>120.15900000000001</v>
      </c>
      <c r="Q610" s="560">
        <f>IF(X610=0,0,IF(OR(E610=$AT$10,E610=$AT$9),VLOOKUP(YEAR(X610),INPC!$B$4:$P$30,MONTH(X610)+1),VLOOKUP(YEAR(X610),INPC!$B$4:$P$30,MONTH(X610)+2,0)))</f>
        <v>120.809</v>
      </c>
      <c r="R610" s="309">
        <f t="shared" si="158"/>
        <v>1.0054000000000001</v>
      </c>
      <c r="S610" s="310">
        <f t="shared" si="159"/>
        <v>83267.539298944481</v>
      </c>
      <c r="T610" s="555">
        <f t="shared" si="160"/>
        <v>612.26131837459172</v>
      </c>
      <c r="U610" s="311"/>
      <c r="V610" s="312">
        <v>136</v>
      </c>
      <c r="W610" s="299" t="s">
        <v>194</v>
      </c>
      <c r="X610" s="300">
        <v>44693</v>
      </c>
      <c r="Y610" s="299" t="s">
        <v>59</v>
      </c>
      <c r="Z610" s="303">
        <v>2051.7302746365103</v>
      </c>
      <c r="AA610" s="305">
        <f>IF(Z610=0,0,IF(Y610="MXN",1/HLOOKUP(YEAR(X610)+(MONTH(X610)/100),TC!$5:$37,DAY(X610)+2,FALSE),VLOOKUP(Y610,Equivalencia!$1:$23,((MAX(Equivalencia!$3:$3)-YEAR(X610))*14)+MONTH(X610)+2,FALSE)))</f>
        <v>1</v>
      </c>
      <c r="AB610" s="306">
        <f t="shared" si="161"/>
        <v>2051.7302746365103</v>
      </c>
      <c r="AC610" s="305">
        <f>+IF(X610=0,0,HLOOKUP(YEAR(X610)+(MONTH(X610)/100),TC!$5:$37,DAY(X610)+2,FALSE))</f>
        <v>20.372</v>
      </c>
      <c r="AD610" s="307">
        <f t="shared" si="162"/>
        <v>41797.84915489499</v>
      </c>
      <c r="AE610" s="314">
        <f t="shared" si="163"/>
        <v>83267.539298944481</v>
      </c>
      <c r="AF610" s="315">
        <f t="shared" si="164"/>
        <v>-41469.690144049491</v>
      </c>
      <c r="AG610" s="316">
        <f t="shared" si="165"/>
        <v>0.13424657534246576</v>
      </c>
      <c r="AH610" s="314">
        <v>1</v>
      </c>
      <c r="AI610" s="314">
        <f t="shared" si="166"/>
        <v>-41469.690144049491</v>
      </c>
      <c r="AJ610" s="314">
        <f t="shared" si="167"/>
        <v>0</v>
      </c>
      <c r="AK610" s="317"/>
      <c r="AL610" s="315">
        <f t="shared" si="168"/>
        <v>-2032.4739262767321</v>
      </c>
      <c r="AN610" s="554">
        <f t="shared" si="169"/>
        <v>-0.49764258256780203</v>
      </c>
      <c r="AO610" s="314"/>
      <c r="AP610" s="318"/>
    </row>
    <row r="611" spans="2:42">
      <c r="B611" s="296" t="s">
        <v>1254</v>
      </c>
      <c r="C611" s="299" t="s">
        <v>277</v>
      </c>
      <c r="D611" s="298" t="s">
        <v>887</v>
      </c>
      <c r="E611" s="299" t="s">
        <v>113</v>
      </c>
      <c r="F611" s="299" t="s">
        <v>59</v>
      </c>
      <c r="G611" s="300">
        <v>44644</v>
      </c>
      <c r="H611" s="303">
        <v>420.43278538812785</v>
      </c>
      <c r="I611" s="301" t="str">
        <f t="shared" si="153"/>
        <v>Ingresos Sección II LISR (SIC &amp; BMV)</v>
      </c>
      <c r="J611" s="302">
        <f t="shared" si="154"/>
        <v>14</v>
      </c>
      <c r="K611" s="304">
        <f t="shared" si="155"/>
        <v>30.030913242009131</v>
      </c>
      <c r="L611" s="305">
        <f>IF(H611=0,0,IF(OR(E611=$AT$5,E611=$AT$6),AA611,IF(F611="MXN",1/HLOOKUP(YEAR(G611)+(MONTH(G611)/100),TC!$5:$37,DAY(G611)+2,FALSE),VLOOKUP(F611,Equivalencia!$5:$23,((MAX(Equivalencia!$3:$3)-YEAR(G611))*14)+MONTH(G611)+2,FALSE))))</f>
        <v>1</v>
      </c>
      <c r="M611" s="306">
        <f t="shared" si="156"/>
        <v>420.43278538812785</v>
      </c>
      <c r="N611" s="305">
        <f>IF(G611=0,0,(IF(OR(E611=$AT$5,E611=$AT$6),AC611,HLOOKUP(YEAR(G611)+(MONTH(G611)/100),TC!$5:$37,DAY(G611)+2,FALSE))))</f>
        <v>20.278199999999998</v>
      </c>
      <c r="O611" s="307">
        <f t="shared" si="157"/>
        <v>8525.6201086575329</v>
      </c>
      <c r="P611" s="560">
        <f>IF(G611=0,0,VLOOKUP(YEAR(G611),INPC!$B$4:$P$30,MONTH(G611)+2))</f>
        <v>120.15900000000001</v>
      </c>
      <c r="Q611" s="560">
        <f>IF(X611=0,0,IF(OR(E611=$AT$10,E611=$AT$9),VLOOKUP(YEAR(X611),INPC!$B$4:$P$30,MONTH(X611)+1),VLOOKUP(YEAR(X611),INPC!$B$4:$P$30,MONTH(X611)+2,0)))</f>
        <v>120.809</v>
      </c>
      <c r="R611" s="309">
        <f t="shared" si="158"/>
        <v>1.0054000000000001</v>
      </c>
      <c r="S611" s="310">
        <f t="shared" si="159"/>
        <v>8571.6584572442844</v>
      </c>
      <c r="T611" s="555">
        <f t="shared" si="160"/>
        <v>612.26131837459172</v>
      </c>
      <c r="U611" s="311"/>
      <c r="V611" s="312">
        <v>14</v>
      </c>
      <c r="W611" s="299" t="s">
        <v>194</v>
      </c>
      <c r="X611" s="300">
        <v>44693</v>
      </c>
      <c r="Y611" s="299" t="s">
        <v>59</v>
      </c>
      <c r="Z611" s="303">
        <v>213.29</v>
      </c>
      <c r="AA611" s="305">
        <f>IF(Z611=0,0,IF(Y611="MXN",1/HLOOKUP(YEAR(X611)+(MONTH(X611)/100),TC!$5:$37,DAY(X611)+2,FALSE),VLOOKUP(Y611,Equivalencia!$1:$23,((MAX(Equivalencia!$3:$3)-YEAR(X611))*14)+MONTH(X611)+2,FALSE)))</f>
        <v>1</v>
      </c>
      <c r="AB611" s="306">
        <f t="shared" si="161"/>
        <v>213.29</v>
      </c>
      <c r="AC611" s="305">
        <f>+IF(X611=0,0,HLOOKUP(YEAR(X611)+(MONTH(X611)/100),TC!$5:$37,DAY(X611)+2,FALSE))</f>
        <v>20.372</v>
      </c>
      <c r="AD611" s="307">
        <f t="shared" si="162"/>
        <v>4345.1438799999996</v>
      </c>
      <c r="AE611" s="314">
        <f t="shared" si="163"/>
        <v>8571.6584572442844</v>
      </c>
      <c r="AF611" s="315">
        <f t="shared" si="164"/>
        <v>-4226.5145772442847</v>
      </c>
      <c r="AG611" s="316">
        <f t="shared" si="165"/>
        <v>0.13424657534246576</v>
      </c>
      <c r="AH611" s="314">
        <v>1</v>
      </c>
      <c r="AI611" s="314">
        <f t="shared" si="166"/>
        <v>-4226.5145772442847</v>
      </c>
      <c r="AJ611" s="314">
        <f t="shared" si="167"/>
        <v>0</v>
      </c>
      <c r="AK611" s="317"/>
      <c r="AL611" s="315">
        <f t="shared" si="168"/>
        <v>-207.14278538812786</v>
      </c>
      <c r="AN611" s="554">
        <f t="shared" si="169"/>
        <v>-0.4926894204906056</v>
      </c>
      <c r="AO611" s="314"/>
      <c r="AP611" s="318"/>
    </row>
    <row r="612" spans="2:42">
      <c r="B612" s="296" t="s">
        <v>1254</v>
      </c>
      <c r="C612" s="299" t="s">
        <v>277</v>
      </c>
      <c r="D612" s="298" t="s">
        <v>887</v>
      </c>
      <c r="E612" s="299" t="s">
        <v>113</v>
      </c>
      <c r="F612" s="299" t="s">
        <v>59</v>
      </c>
      <c r="G612" s="300">
        <v>44644</v>
      </c>
      <c r="H612" s="303">
        <v>1411.4529223744294</v>
      </c>
      <c r="I612" s="301" t="str">
        <f t="shared" si="153"/>
        <v>Ingresos Sección II LISR (SIC &amp; BMV)</v>
      </c>
      <c r="J612" s="302">
        <f t="shared" si="154"/>
        <v>47</v>
      </c>
      <c r="K612" s="304">
        <f t="shared" si="155"/>
        <v>30.030913242009134</v>
      </c>
      <c r="L612" s="305">
        <f>IF(H612=0,0,IF(OR(E612=$AT$5,E612=$AT$6),AA612,IF(F612="MXN",1/HLOOKUP(YEAR(G612)+(MONTH(G612)/100),TC!$5:$37,DAY(G612)+2,FALSE),VLOOKUP(F612,Equivalencia!$5:$23,((MAX(Equivalencia!$3:$3)-YEAR(G612))*14)+MONTH(G612)+2,FALSE))))</f>
        <v>1</v>
      </c>
      <c r="M612" s="306">
        <f t="shared" si="156"/>
        <v>1411.4529223744294</v>
      </c>
      <c r="N612" s="305">
        <f>IF(G612=0,0,(IF(OR(E612=$AT$5,E612=$AT$6),AC612,HLOOKUP(YEAR(G612)+(MONTH(G612)/100),TC!$5:$37,DAY(G612)+2,FALSE))))</f>
        <v>20.278199999999998</v>
      </c>
      <c r="O612" s="307">
        <f t="shared" si="157"/>
        <v>28621.72465049315</v>
      </c>
      <c r="P612" s="560">
        <f>IF(G612=0,0,VLOOKUP(YEAR(G612),INPC!$B$4:$P$30,MONTH(G612)+2))</f>
        <v>120.15900000000001</v>
      </c>
      <c r="Q612" s="560">
        <f>IF(X612=0,0,IF(OR(E612=$AT$10,E612=$AT$9),VLOOKUP(YEAR(X612),INPC!$B$4:$P$30,MONTH(X612)+1),VLOOKUP(YEAR(X612),INPC!$B$4:$P$30,MONTH(X612)+2,0)))</f>
        <v>120.809</v>
      </c>
      <c r="R612" s="309">
        <f t="shared" si="158"/>
        <v>1.0054000000000001</v>
      </c>
      <c r="S612" s="310">
        <f t="shared" si="159"/>
        <v>28776.281963605816</v>
      </c>
      <c r="T612" s="555">
        <f t="shared" si="160"/>
        <v>612.26131837459184</v>
      </c>
      <c r="U612" s="311"/>
      <c r="V612" s="312">
        <v>47</v>
      </c>
      <c r="W612" s="299" t="s">
        <v>194</v>
      </c>
      <c r="X612" s="300">
        <v>44693</v>
      </c>
      <c r="Y612" s="299" t="s">
        <v>59</v>
      </c>
      <c r="Z612" s="303">
        <v>704.03</v>
      </c>
      <c r="AA612" s="305">
        <f>IF(Z612=0,0,IF(Y612="MXN",1/HLOOKUP(YEAR(X612)+(MONTH(X612)/100),TC!$5:$37,DAY(X612)+2,FALSE),VLOOKUP(Y612,Equivalencia!$1:$23,((MAX(Equivalencia!$3:$3)-YEAR(X612))*14)+MONTH(X612)+2,FALSE)))</f>
        <v>1</v>
      </c>
      <c r="AB612" s="306">
        <f t="shared" si="161"/>
        <v>704.03</v>
      </c>
      <c r="AC612" s="305">
        <f>+IF(X612=0,0,HLOOKUP(YEAR(X612)+(MONTH(X612)/100),TC!$5:$37,DAY(X612)+2,FALSE))</f>
        <v>20.372</v>
      </c>
      <c r="AD612" s="307">
        <f t="shared" si="162"/>
        <v>14342.499159999999</v>
      </c>
      <c r="AE612" s="314">
        <f t="shared" si="163"/>
        <v>28776.281963605816</v>
      </c>
      <c r="AF612" s="315">
        <f t="shared" si="164"/>
        <v>-14433.782803605816</v>
      </c>
      <c r="AG612" s="316">
        <f t="shared" si="165"/>
        <v>0.13424657534246576</v>
      </c>
      <c r="AH612" s="314">
        <v>1</v>
      </c>
      <c r="AI612" s="314">
        <f t="shared" si="166"/>
        <v>-14433.782803605816</v>
      </c>
      <c r="AJ612" s="314">
        <f t="shared" si="167"/>
        <v>0</v>
      </c>
      <c r="AK612" s="317"/>
      <c r="AL612" s="315">
        <f t="shared" si="168"/>
        <v>-707.42292237442939</v>
      </c>
      <c r="AN612" s="554">
        <f t="shared" si="169"/>
        <v>-0.50120192544882103</v>
      </c>
      <c r="AO612" s="314"/>
      <c r="AP612" s="318"/>
    </row>
    <row r="613" spans="2:42">
      <c r="B613" s="296" t="s">
        <v>1254</v>
      </c>
      <c r="C613" s="299" t="s">
        <v>277</v>
      </c>
      <c r="D613" s="298" t="s">
        <v>887</v>
      </c>
      <c r="E613" s="299" t="s">
        <v>113</v>
      </c>
      <c r="F613" s="299" t="s">
        <v>59</v>
      </c>
      <c r="G613" s="300">
        <v>44644</v>
      </c>
      <c r="H613" s="303">
        <v>660.68009132420093</v>
      </c>
      <c r="I613" s="301" t="str">
        <f t="shared" si="153"/>
        <v>Ingresos Sección II LISR (SIC &amp; BMV)</v>
      </c>
      <c r="J613" s="302">
        <f t="shared" si="154"/>
        <v>22</v>
      </c>
      <c r="K613" s="304">
        <f t="shared" si="155"/>
        <v>30.030913242009134</v>
      </c>
      <c r="L613" s="305">
        <f>IF(H613=0,0,IF(OR(E613=$AT$5,E613=$AT$6),AA613,IF(F613="MXN",1/HLOOKUP(YEAR(G613)+(MONTH(G613)/100),TC!$5:$37,DAY(G613)+2,FALSE),VLOOKUP(F613,Equivalencia!$5:$23,((MAX(Equivalencia!$3:$3)-YEAR(G613))*14)+MONTH(G613)+2,FALSE))))</f>
        <v>1</v>
      </c>
      <c r="M613" s="306">
        <f t="shared" si="156"/>
        <v>660.68009132420093</v>
      </c>
      <c r="N613" s="305">
        <f>IF(G613=0,0,(IF(OR(E613=$AT$5,E613=$AT$6),AC613,HLOOKUP(YEAR(G613)+(MONTH(G613)/100),TC!$5:$37,DAY(G613)+2,FALSE))))</f>
        <v>20.278199999999998</v>
      </c>
      <c r="O613" s="307">
        <f t="shared" si="157"/>
        <v>13397.40302789041</v>
      </c>
      <c r="P613" s="560">
        <f>IF(G613=0,0,VLOOKUP(YEAR(G613),INPC!$B$4:$P$30,MONTH(G613)+2))</f>
        <v>120.15900000000001</v>
      </c>
      <c r="Q613" s="560">
        <f>IF(X613=0,0,IF(OR(E613=$AT$10,E613=$AT$9),VLOOKUP(YEAR(X613),INPC!$B$4:$P$30,MONTH(X613)+1),VLOOKUP(YEAR(X613),INPC!$B$4:$P$30,MONTH(X613)+2,0)))</f>
        <v>120.809</v>
      </c>
      <c r="R613" s="309">
        <f t="shared" si="158"/>
        <v>1.0054000000000001</v>
      </c>
      <c r="S613" s="310">
        <f t="shared" si="159"/>
        <v>13469.749004241019</v>
      </c>
      <c r="T613" s="555">
        <f t="shared" si="160"/>
        <v>612.26131837459172</v>
      </c>
      <c r="U613" s="311"/>
      <c r="V613" s="312">
        <v>22</v>
      </c>
      <c r="W613" s="299" t="s">
        <v>194</v>
      </c>
      <c r="X613" s="300">
        <v>44693</v>
      </c>
      <c r="Y613" s="299" t="s">
        <v>59</v>
      </c>
      <c r="Z613" s="303">
        <v>335.00823529411764</v>
      </c>
      <c r="AA613" s="305">
        <f>IF(Z613=0,0,IF(Y613="MXN",1/HLOOKUP(YEAR(X613)+(MONTH(X613)/100),TC!$5:$37,DAY(X613)+2,FALSE),VLOOKUP(Y613,Equivalencia!$1:$23,((MAX(Equivalencia!$3:$3)-YEAR(X613))*14)+MONTH(X613)+2,FALSE)))</f>
        <v>1</v>
      </c>
      <c r="AB613" s="306">
        <f t="shared" si="161"/>
        <v>335.00823529411764</v>
      </c>
      <c r="AC613" s="305">
        <f>+IF(X613=0,0,HLOOKUP(YEAR(X613)+(MONTH(X613)/100),TC!$5:$37,DAY(X613)+2,FALSE))</f>
        <v>20.372</v>
      </c>
      <c r="AD613" s="307">
        <f t="shared" si="162"/>
        <v>6824.7877694117642</v>
      </c>
      <c r="AE613" s="314">
        <f t="shared" si="163"/>
        <v>13469.749004241017</v>
      </c>
      <c r="AF613" s="315">
        <f t="shared" si="164"/>
        <v>-6644.961234829253</v>
      </c>
      <c r="AG613" s="316">
        <f t="shared" si="165"/>
        <v>0.13424657534246576</v>
      </c>
      <c r="AH613" s="314">
        <v>1</v>
      </c>
      <c r="AI613" s="314">
        <f t="shared" si="166"/>
        <v>-6644.961234829253</v>
      </c>
      <c r="AJ613" s="314">
        <f t="shared" si="167"/>
        <v>0</v>
      </c>
      <c r="AK613" s="317"/>
      <c r="AL613" s="315">
        <f t="shared" si="168"/>
        <v>-325.67185603008329</v>
      </c>
      <c r="AN613" s="554">
        <f t="shared" si="169"/>
        <v>-0.49293426623063408</v>
      </c>
      <c r="AO613" s="314"/>
      <c r="AP613" s="318"/>
    </row>
    <row r="614" spans="2:42">
      <c r="B614" s="296" t="s">
        <v>1254</v>
      </c>
      <c r="C614" s="299" t="s">
        <v>277</v>
      </c>
      <c r="D614" s="298" t="s">
        <v>887</v>
      </c>
      <c r="E614" s="299" t="s">
        <v>113</v>
      </c>
      <c r="F614" s="299" t="s">
        <v>59</v>
      </c>
      <c r="G614" s="300">
        <v>44645</v>
      </c>
      <c r="H614" s="303">
        <v>1310.7796638655461</v>
      </c>
      <c r="I614" s="301" t="str">
        <f t="shared" si="153"/>
        <v>Ingresos Sección II LISR (SIC &amp; BMV)</v>
      </c>
      <c r="J614" s="302">
        <f t="shared" si="154"/>
        <v>46</v>
      </c>
      <c r="K614" s="304">
        <f t="shared" si="155"/>
        <v>28.495210084033612</v>
      </c>
      <c r="L614" s="305">
        <f>IF(H614=0,0,IF(OR(E614=$AT$5,E614=$AT$6),AA614,IF(F614="MXN",1/HLOOKUP(YEAR(G614)+(MONTH(G614)/100),TC!$5:$37,DAY(G614)+2,FALSE),VLOOKUP(F614,Equivalencia!$5:$23,((MAX(Equivalencia!$3:$3)-YEAR(G614))*14)+MONTH(G614)+2,FALSE))))</f>
        <v>1</v>
      </c>
      <c r="M614" s="306">
        <f t="shared" si="156"/>
        <v>1310.7796638655461</v>
      </c>
      <c r="N614" s="305">
        <f>IF(G614=0,0,(IF(OR(E614=$AT$5,E614=$AT$6),AC614,HLOOKUP(YEAR(G614)+(MONTH(G614)/100),TC!$5:$37,DAY(G614)+2,FALSE))))</f>
        <v>20.18</v>
      </c>
      <c r="O614" s="307">
        <f t="shared" si="157"/>
        <v>26451.533616806719</v>
      </c>
      <c r="P614" s="560">
        <f>IF(G614=0,0,VLOOKUP(YEAR(G614),INPC!$B$4:$P$30,MONTH(G614)+2))</f>
        <v>120.15900000000001</v>
      </c>
      <c r="Q614" s="560">
        <f>IF(X614=0,0,IF(OR(E614=$AT$10,E614=$AT$9),VLOOKUP(YEAR(X614),INPC!$B$4:$P$30,MONTH(X614)+1),VLOOKUP(YEAR(X614),INPC!$B$4:$P$30,MONTH(X614)+2,0)))</f>
        <v>120.809</v>
      </c>
      <c r="R614" s="309">
        <f t="shared" si="158"/>
        <v>1.0054000000000001</v>
      </c>
      <c r="S614" s="310">
        <f t="shared" si="159"/>
        <v>26594.371898337478</v>
      </c>
      <c r="T614" s="555">
        <f t="shared" si="160"/>
        <v>578.13851952907567</v>
      </c>
      <c r="U614" s="311"/>
      <c r="V614" s="312">
        <v>46</v>
      </c>
      <c r="W614" s="299" t="s">
        <v>194</v>
      </c>
      <c r="X614" s="300">
        <v>44693</v>
      </c>
      <c r="Y614" s="299" t="s">
        <v>59</v>
      </c>
      <c r="Z614" s="303">
        <v>700.47176470588238</v>
      </c>
      <c r="AA614" s="305">
        <f>IF(Z614=0,0,IF(Y614="MXN",1/HLOOKUP(YEAR(X614)+(MONTH(X614)/100),TC!$5:$37,DAY(X614)+2,FALSE),VLOOKUP(Y614,Equivalencia!$1:$23,((MAX(Equivalencia!$3:$3)-YEAR(X614))*14)+MONTH(X614)+2,FALSE)))</f>
        <v>1</v>
      </c>
      <c r="AB614" s="306">
        <f t="shared" si="161"/>
        <v>700.47176470588238</v>
      </c>
      <c r="AC614" s="305">
        <f>+IF(X614=0,0,HLOOKUP(YEAR(X614)+(MONTH(X614)/100),TC!$5:$37,DAY(X614)+2,FALSE))</f>
        <v>20.372</v>
      </c>
      <c r="AD614" s="307">
        <f t="shared" si="162"/>
        <v>14270.010790588236</v>
      </c>
      <c r="AE614" s="314">
        <f t="shared" si="163"/>
        <v>26594.371898337482</v>
      </c>
      <c r="AF614" s="315">
        <f t="shared" si="164"/>
        <v>-12324.361107749246</v>
      </c>
      <c r="AG614" s="316">
        <f t="shared" si="165"/>
        <v>0.13150684931506848</v>
      </c>
      <c r="AH614" s="314">
        <v>1</v>
      </c>
      <c r="AI614" s="314">
        <f t="shared" si="166"/>
        <v>-12324.361107749246</v>
      </c>
      <c r="AJ614" s="314">
        <f t="shared" si="167"/>
        <v>0</v>
      </c>
      <c r="AK614" s="317"/>
      <c r="AL614" s="315">
        <f t="shared" si="168"/>
        <v>-610.30789915966375</v>
      </c>
      <c r="AN614" s="554">
        <f t="shared" si="169"/>
        <v>-0.46560678044076398</v>
      </c>
      <c r="AO614" s="314"/>
      <c r="AP614" s="318"/>
    </row>
    <row r="615" spans="2:42">
      <c r="B615" s="296" t="s">
        <v>1254</v>
      </c>
      <c r="C615" s="299" t="s">
        <v>277</v>
      </c>
      <c r="D615" s="298" t="s">
        <v>887</v>
      </c>
      <c r="E615" s="299" t="s">
        <v>113</v>
      </c>
      <c r="F615" s="299" t="s">
        <v>59</v>
      </c>
      <c r="G615" s="300">
        <v>44645</v>
      </c>
      <c r="H615" s="303">
        <v>1937.6742857142856</v>
      </c>
      <c r="I615" s="301" t="str">
        <f t="shared" si="153"/>
        <v>Ingresos Sección II LISR (SIC &amp; BMV)</v>
      </c>
      <c r="J615" s="302">
        <f t="shared" si="154"/>
        <v>68</v>
      </c>
      <c r="K615" s="304">
        <f t="shared" si="155"/>
        <v>28.495210084033612</v>
      </c>
      <c r="L615" s="305">
        <f>IF(H615=0,0,IF(OR(E615=$AT$5,E615=$AT$6),AA615,IF(F615="MXN",1/HLOOKUP(YEAR(G615)+(MONTH(G615)/100),TC!$5:$37,DAY(G615)+2,FALSE),VLOOKUP(F615,Equivalencia!$5:$23,((MAX(Equivalencia!$3:$3)-YEAR(G615))*14)+MONTH(G615)+2,FALSE))))</f>
        <v>1</v>
      </c>
      <c r="M615" s="306">
        <f t="shared" si="156"/>
        <v>1937.6742857142856</v>
      </c>
      <c r="N615" s="305">
        <f>IF(G615=0,0,(IF(OR(E615=$AT$5,E615=$AT$6),AC615,HLOOKUP(YEAR(G615)+(MONTH(G615)/100),TC!$5:$37,DAY(G615)+2,FALSE))))</f>
        <v>20.18</v>
      </c>
      <c r="O615" s="307">
        <f t="shared" si="157"/>
        <v>39102.26708571428</v>
      </c>
      <c r="P615" s="560">
        <f>IF(G615=0,0,VLOOKUP(YEAR(G615),INPC!$B$4:$P$30,MONTH(G615)+2))</f>
        <v>120.15900000000001</v>
      </c>
      <c r="Q615" s="560">
        <f>IF(X615=0,0,IF(OR(E615=$AT$10,E615=$AT$9),VLOOKUP(YEAR(X615),INPC!$B$4:$P$30,MONTH(X615)+1),VLOOKUP(YEAR(X615),INPC!$B$4:$P$30,MONTH(X615)+2,0)))</f>
        <v>120.809</v>
      </c>
      <c r="R615" s="309">
        <f t="shared" si="158"/>
        <v>1.0054000000000001</v>
      </c>
      <c r="S615" s="310">
        <f t="shared" si="159"/>
        <v>39313.419327977143</v>
      </c>
      <c r="T615" s="555">
        <f t="shared" si="160"/>
        <v>578.13851952907567</v>
      </c>
      <c r="U615" s="311"/>
      <c r="V615" s="312">
        <v>68</v>
      </c>
      <c r="W615" s="299" t="s">
        <v>194</v>
      </c>
      <c r="X615" s="300">
        <v>44693</v>
      </c>
      <c r="Y615" s="299" t="s">
        <v>59</v>
      </c>
      <c r="Z615" s="303">
        <v>1047.18</v>
      </c>
      <c r="AA615" s="305">
        <f>IF(Z615=0,0,IF(Y615="MXN",1/HLOOKUP(YEAR(X615)+(MONTH(X615)/100),TC!$5:$37,DAY(X615)+2,FALSE),VLOOKUP(Y615,Equivalencia!$1:$23,((MAX(Equivalencia!$3:$3)-YEAR(X615))*14)+MONTH(X615)+2,FALSE)))</f>
        <v>1</v>
      </c>
      <c r="AB615" s="306">
        <f t="shared" si="161"/>
        <v>1047.18</v>
      </c>
      <c r="AC615" s="305">
        <f>+IF(X615=0,0,HLOOKUP(YEAR(X615)+(MONTH(X615)/100),TC!$5:$37,DAY(X615)+2,FALSE))</f>
        <v>20.372</v>
      </c>
      <c r="AD615" s="307">
        <f t="shared" si="162"/>
        <v>21333.150960000003</v>
      </c>
      <c r="AE615" s="314">
        <f t="shared" si="163"/>
        <v>39313.419327977143</v>
      </c>
      <c r="AF615" s="315">
        <f t="shared" si="164"/>
        <v>-17980.26836797714</v>
      </c>
      <c r="AG615" s="316">
        <f t="shared" si="165"/>
        <v>0.13150684931506848</v>
      </c>
      <c r="AH615" s="314">
        <v>1</v>
      </c>
      <c r="AI615" s="314">
        <f t="shared" si="166"/>
        <v>-17980.26836797714</v>
      </c>
      <c r="AJ615" s="314">
        <f t="shared" si="167"/>
        <v>0</v>
      </c>
      <c r="AK615" s="317"/>
      <c r="AL615" s="315">
        <f t="shared" si="168"/>
        <v>-890.49428571428552</v>
      </c>
      <c r="AN615" s="554">
        <f t="shared" si="169"/>
        <v>-0.45956861392007498</v>
      </c>
      <c r="AO615" s="314"/>
      <c r="AP615" s="318"/>
    </row>
    <row r="616" spans="2:42">
      <c r="B616" s="296" t="s">
        <v>1254</v>
      </c>
      <c r="C616" s="299" t="s">
        <v>277</v>
      </c>
      <c r="D616" s="298" t="s">
        <v>887</v>
      </c>
      <c r="E616" s="299" t="s">
        <v>113</v>
      </c>
      <c r="F616" s="299" t="s">
        <v>59</v>
      </c>
      <c r="G616" s="300">
        <v>44645</v>
      </c>
      <c r="H616" s="303">
        <v>28.495210084033612</v>
      </c>
      <c r="I616" s="301" t="str">
        <f t="shared" si="153"/>
        <v>Ingresos Sección II LISR (SIC &amp; BMV)</v>
      </c>
      <c r="J616" s="302">
        <f t="shared" si="154"/>
        <v>1</v>
      </c>
      <c r="K616" s="304">
        <f t="shared" si="155"/>
        <v>28.495210084033612</v>
      </c>
      <c r="L616" s="305">
        <f>IF(H616=0,0,IF(OR(E616=$AT$5,E616=$AT$6),AA616,IF(F616="MXN",1/HLOOKUP(YEAR(G616)+(MONTH(G616)/100),TC!$5:$37,DAY(G616)+2,FALSE),VLOOKUP(F616,Equivalencia!$5:$23,((MAX(Equivalencia!$3:$3)-YEAR(G616))*14)+MONTH(G616)+2,FALSE))))</f>
        <v>1</v>
      </c>
      <c r="M616" s="306">
        <f t="shared" si="156"/>
        <v>28.495210084033612</v>
      </c>
      <c r="N616" s="305">
        <f>IF(G616=0,0,(IF(OR(E616=$AT$5,E616=$AT$6),AC616,HLOOKUP(YEAR(G616)+(MONTH(G616)/100),TC!$5:$37,DAY(G616)+2,FALSE))))</f>
        <v>20.18</v>
      </c>
      <c r="O616" s="307">
        <f t="shared" si="157"/>
        <v>575.03333949579826</v>
      </c>
      <c r="P616" s="560">
        <f>IF(G616=0,0,VLOOKUP(YEAR(G616),INPC!$B$4:$P$30,MONTH(G616)+2))</f>
        <v>120.15900000000001</v>
      </c>
      <c r="Q616" s="560">
        <f>IF(X616=0,0,IF(OR(E616=$AT$10,E616=$AT$9),VLOOKUP(YEAR(X616),INPC!$B$4:$P$30,MONTH(X616)+1),VLOOKUP(YEAR(X616),INPC!$B$4:$P$30,MONTH(X616)+2,0)))</f>
        <v>120.809</v>
      </c>
      <c r="R616" s="309">
        <f t="shared" si="158"/>
        <v>1.0054000000000001</v>
      </c>
      <c r="S616" s="310">
        <f t="shared" si="159"/>
        <v>578.13851952907567</v>
      </c>
      <c r="T616" s="555">
        <f t="shared" si="160"/>
        <v>578.13851952907567</v>
      </c>
      <c r="U616" s="311"/>
      <c r="V616" s="312">
        <v>1</v>
      </c>
      <c r="W616" s="299" t="s">
        <v>194</v>
      </c>
      <c r="X616" s="300">
        <v>44694</v>
      </c>
      <c r="Y616" s="299" t="s">
        <v>59</v>
      </c>
      <c r="Z616" s="303">
        <v>17.190000000000001</v>
      </c>
      <c r="AA616" s="305">
        <f>IF(Z616=0,0,IF(Y616="MXN",1/HLOOKUP(YEAR(X616)+(MONTH(X616)/100),TC!$5:$37,DAY(X616)+2,FALSE),VLOOKUP(Y616,Equivalencia!$1:$23,((MAX(Equivalencia!$3:$3)-YEAR(X616))*14)+MONTH(X616)+2,FALSE)))</f>
        <v>1</v>
      </c>
      <c r="AB616" s="306">
        <f t="shared" si="161"/>
        <v>17.190000000000001</v>
      </c>
      <c r="AC616" s="305">
        <f>+IF(X616=0,0,HLOOKUP(YEAR(X616)+(MONTH(X616)/100),TC!$5:$37,DAY(X616)+2,FALSE))</f>
        <v>20.2592</v>
      </c>
      <c r="AD616" s="307">
        <f t="shared" si="162"/>
        <v>348.25564800000001</v>
      </c>
      <c r="AE616" s="314">
        <f t="shared" si="163"/>
        <v>578.13851952907567</v>
      </c>
      <c r="AF616" s="315">
        <f t="shared" si="164"/>
        <v>-229.88287152907566</v>
      </c>
      <c r="AG616" s="316">
        <f t="shared" si="165"/>
        <v>0.13424657534246576</v>
      </c>
      <c r="AH616" s="314">
        <v>1</v>
      </c>
      <c r="AI616" s="314">
        <f t="shared" si="166"/>
        <v>-229.88287152907566</v>
      </c>
      <c r="AJ616" s="314">
        <f t="shared" si="167"/>
        <v>0</v>
      </c>
      <c r="AK616" s="317"/>
      <c r="AL616" s="315">
        <f t="shared" si="168"/>
        <v>-11.305210084033611</v>
      </c>
      <c r="AN616" s="554">
        <f t="shared" si="169"/>
        <v>-0.39674071714839287</v>
      </c>
      <c r="AO616" s="314"/>
      <c r="AP616" s="318"/>
    </row>
    <row r="617" spans="2:42">
      <c r="B617" s="296" t="s">
        <v>1254</v>
      </c>
      <c r="C617" s="299" t="s">
        <v>277</v>
      </c>
      <c r="D617" s="298" t="s">
        <v>887</v>
      </c>
      <c r="E617" s="299" t="s">
        <v>113</v>
      </c>
      <c r="F617" s="299" t="s">
        <v>59</v>
      </c>
      <c r="G617" s="300">
        <v>44645</v>
      </c>
      <c r="H617" s="303">
        <v>113.98084033613445</v>
      </c>
      <c r="I617" s="301" t="str">
        <f t="shared" si="153"/>
        <v>Ingresos Sección II LISR (SIC &amp; BMV)</v>
      </c>
      <c r="J617" s="302">
        <f t="shared" si="154"/>
        <v>4</v>
      </c>
      <c r="K617" s="304">
        <f t="shared" si="155"/>
        <v>28.495210084033612</v>
      </c>
      <c r="L617" s="305">
        <f>IF(H617=0,0,IF(OR(E617=$AT$5,E617=$AT$6),AA617,IF(F617="MXN",1/HLOOKUP(YEAR(G617)+(MONTH(G617)/100),TC!$5:$37,DAY(G617)+2,FALSE),VLOOKUP(F617,Equivalencia!$5:$23,((MAX(Equivalencia!$3:$3)-YEAR(G617))*14)+MONTH(G617)+2,FALSE))))</f>
        <v>1</v>
      </c>
      <c r="M617" s="306">
        <f t="shared" si="156"/>
        <v>113.98084033613445</v>
      </c>
      <c r="N617" s="305">
        <f>IF(G617=0,0,(IF(OR(E617=$AT$5,E617=$AT$6),AC617,HLOOKUP(YEAR(G617)+(MONTH(G617)/100),TC!$5:$37,DAY(G617)+2,FALSE))))</f>
        <v>20.18</v>
      </c>
      <c r="O617" s="307">
        <f t="shared" si="157"/>
        <v>2300.133357983193</v>
      </c>
      <c r="P617" s="560">
        <f>IF(G617=0,0,VLOOKUP(YEAR(G617),INPC!$B$4:$P$30,MONTH(G617)+2))</f>
        <v>120.15900000000001</v>
      </c>
      <c r="Q617" s="560">
        <f>IF(X617=0,0,IF(OR(E617=$AT$10,E617=$AT$9),VLOOKUP(YEAR(X617),INPC!$B$4:$P$30,MONTH(X617)+1),VLOOKUP(YEAR(X617),INPC!$B$4:$P$30,MONTH(X617)+2,0)))</f>
        <v>120.809</v>
      </c>
      <c r="R617" s="309">
        <f t="shared" si="158"/>
        <v>1.0054000000000001</v>
      </c>
      <c r="S617" s="310">
        <f t="shared" si="159"/>
        <v>2312.5540781163027</v>
      </c>
      <c r="T617" s="555">
        <f t="shared" si="160"/>
        <v>578.13851952907567</v>
      </c>
      <c r="U617" s="311"/>
      <c r="V617" s="312">
        <v>4</v>
      </c>
      <c r="W617" s="299" t="s">
        <v>194</v>
      </c>
      <c r="X617" s="300">
        <v>44694</v>
      </c>
      <c r="Y617" s="299" t="s">
        <v>59</v>
      </c>
      <c r="Z617" s="303">
        <v>68.808839779005524</v>
      </c>
      <c r="AA617" s="305">
        <f>IF(Z617=0,0,IF(Y617="MXN",1/HLOOKUP(YEAR(X617)+(MONTH(X617)/100),TC!$5:$37,DAY(X617)+2,FALSE),VLOOKUP(Y617,Equivalencia!$1:$23,((MAX(Equivalencia!$3:$3)-YEAR(X617))*14)+MONTH(X617)+2,FALSE)))</f>
        <v>1</v>
      </c>
      <c r="AB617" s="306">
        <f t="shared" si="161"/>
        <v>68.808839779005524</v>
      </c>
      <c r="AC617" s="305">
        <f>+IF(X617=0,0,HLOOKUP(YEAR(X617)+(MONTH(X617)/100),TC!$5:$37,DAY(X617)+2,FALSE))</f>
        <v>20.2592</v>
      </c>
      <c r="AD617" s="307">
        <f t="shared" si="162"/>
        <v>1394.0120468508287</v>
      </c>
      <c r="AE617" s="314">
        <f t="shared" si="163"/>
        <v>2312.5540781163027</v>
      </c>
      <c r="AF617" s="315">
        <f t="shared" si="164"/>
        <v>-918.54203126547395</v>
      </c>
      <c r="AG617" s="316">
        <f t="shared" si="165"/>
        <v>0.13424657534246576</v>
      </c>
      <c r="AH617" s="314">
        <v>1</v>
      </c>
      <c r="AI617" s="314">
        <f t="shared" si="166"/>
        <v>-918.54203126547395</v>
      </c>
      <c r="AJ617" s="314">
        <f t="shared" si="167"/>
        <v>0</v>
      </c>
      <c r="AK617" s="317"/>
      <c r="AL617" s="315">
        <f t="shared" si="168"/>
        <v>-45.172000557128925</v>
      </c>
      <c r="AN617" s="554">
        <f t="shared" si="169"/>
        <v>-0.39631222601899346</v>
      </c>
      <c r="AO617" s="314"/>
      <c r="AP617" s="318"/>
    </row>
    <row r="618" spans="2:42">
      <c r="B618" s="296" t="s">
        <v>1254</v>
      </c>
      <c r="C618" s="299" t="s">
        <v>277</v>
      </c>
      <c r="D618" s="298" t="s">
        <v>887</v>
      </c>
      <c r="E618" s="299" t="s">
        <v>113</v>
      </c>
      <c r="F618" s="299" t="s">
        <v>59</v>
      </c>
      <c r="G618" s="300">
        <v>44645</v>
      </c>
      <c r="H618" s="303">
        <v>113.13</v>
      </c>
      <c r="I618" s="301" t="str">
        <f t="shared" si="153"/>
        <v>Ingresos Sección II LISR (SIC &amp; BMV)</v>
      </c>
      <c r="J618" s="302">
        <f t="shared" si="154"/>
        <v>4</v>
      </c>
      <c r="K618" s="304">
        <f t="shared" si="155"/>
        <v>28.282499999999999</v>
      </c>
      <c r="L618" s="305">
        <f>IF(H618=0,0,IF(OR(E618=$AT$5,E618=$AT$6),AA618,IF(F618="MXN",1/HLOOKUP(YEAR(G618)+(MONTH(G618)/100),TC!$5:$37,DAY(G618)+2,FALSE),VLOOKUP(F618,Equivalencia!$5:$23,((MAX(Equivalencia!$3:$3)-YEAR(G618))*14)+MONTH(G618)+2,FALSE))))</f>
        <v>1</v>
      </c>
      <c r="M618" s="306">
        <f t="shared" si="156"/>
        <v>113.13</v>
      </c>
      <c r="N618" s="305">
        <f>IF(G618=0,0,(IF(OR(E618=$AT$5,E618=$AT$6),AC618,HLOOKUP(YEAR(G618)+(MONTH(G618)/100),TC!$5:$37,DAY(G618)+2,FALSE))))</f>
        <v>20.18</v>
      </c>
      <c r="O618" s="307">
        <f t="shared" si="157"/>
        <v>2282.9634000000001</v>
      </c>
      <c r="P618" s="560">
        <f>IF(G618=0,0,VLOOKUP(YEAR(G618),INPC!$B$4:$P$30,MONTH(G618)+2))</f>
        <v>120.15900000000001</v>
      </c>
      <c r="Q618" s="560">
        <f>IF(X618=0,0,IF(OR(E618=$AT$10,E618=$AT$9),VLOOKUP(YEAR(X618),INPC!$B$4:$P$30,MONTH(X618)+1),VLOOKUP(YEAR(X618),INPC!$B$4:$P$30,MONTH(X618)+2,0)))</f>
        <v>120.809</v>
      </c>
      <c r="R618" s="309">
        <f t="shared" si="158"/>
        <v>1.0054000000000001</v>
      </c>
      <c r="S618" s="310">
        <f t="shared" si="159"/>
        <v>2295.2914023600001</v>
      </c>
      <c r="T618" s="555">
        <f t="shared" si="160"/>
        <v>573.82285059000003</v>
      </c>
      <c r="U618" s="311"/>
      <c r="V618" s="312">
        <v>4</v>
      </c>
      <c r="W618" s="299" t="s">
        <v>194</v>
      </c>
      <c r="X618" s="300">
        <v>44694</v>
      </c>
      <c r="Y618" s="299" t="s">
        <v>59</v>
      </c>
      <c r="Z618" s="303">
        <v>68.808839779005524</v>
      </c>
      <c r="AA618" s="305">
        <f>IF(Z618=0,0,IF(Y618="MXN",1/HLOOKUP(YEAR(X618)+(MONTH(X618)/100),TC!$5:$37,DAY(X618)+2,FALSE),VLOOKUP(Y618,Equivalencia!$1:$23,((MAX(Equivalencia!$3:$3)-YEAR(X618))*14)+MONTH(X618)+2,FALSE)))</f>
        <v>1</v>
      </c>
      <c r="AB618" s="306">
        <f t="shared" si="161"/>
        <v>68.808839779005524</v>
      </c>
      <c r="AC618" s="305">
        <f>+IF(X618=0,0,HLOOKUP(YEAR(X618)+(MONTH(X618)/100),TC!$5:$37,DAY(X618)+2,FALSE))</f>
        <v>20.2592</v>
      </c>
      <c r="AD618" s="307">
        <f t="shared" si="162"/>
        <v>1394.0120468508287</v>
      </c>
      <c r="AE618" s="314">
        <f t="shared" si="163"/>
        <v>2295.2914023600001</v>
      </c>
      <c r="AF618" s="315">
        <f t="shared" si="164"/>
        <v>-901.27935550917141</v>
      </c>
      <c r="AG618" s="316">
        <f t="shared" si="165"/>
        <v>0.13424657534246576</v>
      </c>
      <c r="AH618" s="314">
        <v>1</v>
      </c>
      <c r="AI618" s="314">
        <f t="shared" si="166"/>
        <v>-901.27935550917141</v>
      </c>
      <c r="AJ618" s="314">
        <f t="shared" si="167"/>
        <v>0</v>
      </c>
      <c r="AK618" s="317"/>
      <c r="AL618" s="315">
        <f t="shared" si="168"/>
        <v>-44.321160220994472</v>
      </c>
      <c r="AN618" s="554">
        <f t="shared" si="169"/>
        <v>-0.39177194573494628</v>
      </c>
      <c r="AO618" s="314"/>
      <c r="AP618" s="318"/>
    </row>
    <row r="619" spans="2:42">
      <c r="B619" s="296" t="s">
        <v>1254</v>
      </c>
      <c r="C619" s="299" t="s">
        <v>277</v>
      </c>
      <c r="D619" s="298" t="s">
        <v>887</v>
      </c>
      <c r="E619" s="299" t="s">
        <v>113</v>
      </c>
      <c r="F619" s="299" t="s">
        <v>59</v>
      </c>
      <c r="G619" s="300">
        <v>44645</v>
      </c>
      <c r="H619" s="303">
        <v>1835.56</v>
      </c>
      <c r="I619" s="301" t="str">
        <f t="shared" si="153"/>
        <v>Ingresos Sección II LISR (SIC &amp; BMV)</v>
      </c>
      <c r="J619" s="302">
        <f t="shared" si="154"/>
        <v>64</v>
      </c>
      <c r="K619" s="304">
        <f t="shared" si="155"/>
        <v>28.680624999999999</v>
      </c>
      <c r="L619" s="305">
        <f>IF(H619=0,0,IF(OR(E619=$AT$5,E619=$AT$6),AA619,IF(F619="MXN",1/HLOOKUP(YEAR(G619)+(MONTH(G619)/100),TC!$5:$37,DAY(G619)+2,FALSE),VLOOKUP(F619,Equivalencia!$5:$23,((MAX(Equivalencia!$3:$3)-YEAR(G619))*14)+MONTH(G619)+2,FALSE))))</f>
        <v>1</v>
      </c>
      <c r="M619" s="306">
        <f t="shared" si="156"/>
        <v>1835.56</v>
      </c>
      <c r="N619" s="305">
        <f>IF(G619=0,0,(IF(OR(E619=$AT$5,E619=$AT$6),AC619,HLOOKUP(YEAR(G619)+(MONTH(G619)/100),TC!$5:$37,DAY(G619)+2,FALSE))))</f>
        <v>20.18</v>
      </c>
      <c r="O619" s="307">
        <f t="shared" si="157"/>
        <v>37041.6008</v>
      </c>
      <c r="P619" s="560">
        <f>IF(G619=0,0,VLOOKUP(YEAR(G619),INPC!$B$4:$P$30,MONTH(G619)+2))</f>
        <v>120.15900000000001</v>
      </c>
      <c r="Q619" s="560">
        <f>IF(X619=0,0,IF(OR(E619=$AT$10,E619=$AT$9),VLOOKUP(YEAR(X619),INPC!$B$4:$P$30,MONTH(X619)+1),VLOOKUP(YEAR(X619),INPC!$B$4:$P$30,MONTH(X619)+2,0)))</f>
        <v>120.809</v>
      </c>
      <c r="R619" s="309">
        <f t="shared" si="158"/>
        <v>1.0054000000000001</v>
      </c>
      <c r="S619" s="310">
        <f t="shared" si="159"/>
        <v>37241.625444320001</v>
      </c>
      <c r="T619" s="555">
        <f t="shared" si="160"/>
        <v>581.90039756750002</v>
      </c>
      <c r="U619" s="311"/>
      <c r="V619" s="312">
        <v>64</v>
      </c>
      <c r="W619" s="299" t="s">
        <v>194</v>
      </c>
      <c r="X619" s="300">
        <v>44694</v>
      </c>
      <c r="Y619" s="299" t="s">
        <v>59</v>
      </c>
      <c r="Z619" s="303">
        <v>1100.9414364640884</v>
      </c>
      <c r="AA619" s="305">
        <f>IF(Z619=0,0,IF(Y619="MXN",1/HLOOKUP(YEAR(X619)+(MONTH(X619)/100),TC!$5:$37,DAY(X619)+2,FALSE),VLOOKUP(Y619,Equivalencia!$1:$23,((MAX(Equivalencia!$3:$3)-YEAR(X619))*14)+MONTH(X619)+2,FALSE)))</f>
        <v>1</v>
      </c>
      <c r="AB619" s="306">
        <f t="shared" si="161"/>
        <v>1100.9414364640884</v>
      </c>
      <c r="AC619" s="305">
        <f>+IF(X619=0,0,HLOOKUP(YEAR(X619)+(MONTH(X619)/100),TC!$5:$37,DAY(X619)+2,FALSE))</f>
        <v>20.2592</v>
      </c>
      <c r="AD619" s="307">
        <f t="shared" si="162"/>
        <v>22304.192749613259</v>
      </c>
      <c r="AE619" s="314">
        <f t="shared" si="163"/>
        <v>37241.625444320001</v>
      </c>
      <c r="AF619" s="315">
        <f t="shared" si="164"/>
        <v>-14937.432694706742</v>
      </c>
      <c r="AG619" s="316">
        <f t="shared" si="165"/>
        <v>0.13424657534246576</v>
      </c>
      <c r="AH619" s="314">
        <v>1</v>
      </c>
      <c r="AI619" s="314">
        <f t="shared" si="166"/>
        <v>-14937.432694706742</v>
      </c>
      <c r="AJ619" s="314">
        <f t="shared" si="167"/>
        <v>0</v>
      </c>
      <c r="AK619" s="317"/>
      <c r="AL619" s="315">
        <f t="shared" si="168"/>
        <v>-734.61856353591156</v>
      </c>
      <c r="AN619" s="554">
        <f t="shared" si="169"/>
        <v>-0.40021495540102836</v>
      </c>
      <c r="AO619" s="314"/>
      <c r="AP619" s="318"/>
    </row>
    <row r="620" spans="2:42">
      <c r="B620" s="296" t="s">
        <v>1254</v>
      </c>
      <c r="C620" s="299" t="s">
        <v>277</v>
      </c>
      <c r="D620" s="298" t="s">
        <v>887</v>
      </c>
      <c r="E620" s="299" t="s">
        <v>113</v>
      </c>
      <c r="F620" s="299" t="s">
        <v>59</v>
      </c>
      <c r="G620" s="300">
        <v>44656</v>
      </c>
      <c r="H620" s="303">
        <v>6535.93</v>
      </c>
      <c r="I620" s="301" t="str">
        <f t="shared" si="153"/>
        <v>Ingresos Sección II LISR (SIC &amp; BMV)</v>
      </c>
      <c r="J620" s="302">
        <f t="shared" si="154"/>
        <v>290</v>
      </c>
      <c r="K620" s="304">
        <f t="shared" si="155"/>
        <v>22.537689655172414</v>
      </c>
      <c r="L620" s="305">
        <f>IF(H620=0,0,IF(OR(E620=$AT$5,E620=$AT$6),AA620,IF(F620="MXN",1/HLOOKUP(YEAR(G620)+(MONTH(G620)/100),TC!$5:$37,DAY(G620)+2,FALSE),VLOOKUP(F620,Equivalencia!$5:$23,((MAX(Equivalencia!$3:$3)-YEAR(G620))*14)+MONTH(G620)+2,FALSE))))</f>
        <v>1</v>
      </c>
      <c r="M620" s="306">
        <f t="shared" si="156"/>
        <v>6535.93</v>
      </c>
      <c r="N620" s="305">
        <f>IF(G620=0,0,(IF(OR(E620=$AT$5,E620=$AT$6),AC620,HLOOKUP(YEAR(G620)+(MONTH(G620)/100),TC!$5:$37,DAY(G620)+2,FALSE))))</f>
        <v>19.8432</v>
      </c>
      <c r="O620" s="307">
        <f t="shared" si="157"/>
        <v>129693.766176</v>
      </c>
      <c r="P620" s="560">
        <f>IF(G620=0,0,VLOOKUP(YEAR(G620),INPC!$B$4:$P$30,MONTH(G620)+2))</f>
        <v>120.809</v>
      </c>
      <c r="Q620" s="560">
        <f>IF(X620=0,0,IF(OR(E620=$AT$10,E620=$AT$9),VLOOKUP(YEAR(X620),INPC!$B$4:$P$30,MONTH(X620)+1),VLOOKUP(YEAR(X620),INPC!$B$4:$P$30,MONTH(X620)+2,0)))</f>
        <v>120.809</v>
      </c>
      <c r="R620" s="309">
        <f t="shared" si="158"/>
        <v>1</v>
      </c>
      <c r="S620" s="310">
        <f t="shared" si="159"/>
        <v>129693.766176</v>
      </c>
      <c r="T620" s="555">
        <f t="shared" si="160"/>
        <v>447.21988336551726</v>
      </c>
      <c r="U620" s="311"/>
      <c r="V620" s="312">
        <v>290</v>
      </c>
      <c r="W620" s="299" t="s">
        <v>194</v>
      </c>
      <c r="X620" s="300">
        <v>44694</v>
      </c>
      <c r="Y620" s="299" t="s">
        <v>59</v>
      </c>
      <c r="Z620" s="303">
        <v>4988.6408839779006</v>
      </c>
      <c r="AA620" s="305">
        <f>IF(Z620=0,0,IF(Y620="MXN",1/HLOOKUP(YEAR(X620)+(MONTH(X620)/100),TC!$5:$37,DAY(X620)+2,FALSE),VLOOKUP(Y620,Equivalencia!$1:$23,((MAX(Equivalencia!$3:$3)-YEAR(X620))*14)+MONTH(X620)+2,FALSE)))</f>
        <v>1</v>
      </c>
      <c r="AB620" s="306">
        <f t="shared" si="161"/>
        <v>4988.6408839779006</v>
      </c>
      <c r="AC620" s="305">
        <f>+IF(X620=0,0,HLOOKUP(YEAR(X620)+(MONTH(X620)/100),TC!$5:$37,DAY(X620)+2,FALSE))</f>
        <v>20.2592</v>
      </c>
      <c r="AD620" s="307">
        <f t="shared" si="162"/>
        <v>101065.87339668509</v>
      </c>
      <c r="AE620" s="314">
        <f t="shared" si="163"/>
        <v>129693.766176</v>
      </c>
      <c r="AF620" s="315">
        <f t="shared" si="164"/>
        <v>-28627.89277931492</v>
      </c>
      <c r="AG620" s="316">
        <f t="shared" si="165"/>
        <v>0.10410958904109589</v>
      </c>
      <c r="AH620" s="314">
        <v>1</v>
      </c>
      <c r="AI620" s="314">
        <f t="shared" si="166"/>
        <v>-28627.89277931492</v>
      </c>
      <c r="AJ620" s="314">
        <f t="shared" si="167"/>
        <v>0</v>
      </c>
      <c r="AK620" s="317"/>
      <c r="AL620" s="315">
        <f t="shared" si="168"/>
        <v>-1547.2891160220997</v>
      </c>
      <c r="AN620" s="554">
        <f t="shared" si="169"/>
        <v>-0.23673587630560602</v>
      </c>
      <c r="AO620" s="314"/>
      <c r="AP620" s="318"/>
    </row>
    <row r="621" spans="2:42">
      <c r="B621" s="296" t="s">
        <v>1254</v>
      </c>
      <c r="C621" s="299" t="s">
        <v>277</v>
      </c>
      <c r="D621" s="298" t="s">
        <v>888</v>
      </c>
      <c r="E621" s="299" t="s">
        <v>113</v>
      </c>
      <c r="F621" s="299" t="s">
        <v>59</v>
      </c>
      <c r="G621" s="300">
        <v>44467</v>
      </c>
      <c r="H621" s="303">
        <v>924.26275862068974</v>
      </c>
      <c r="I621" s="301" t="str">
        <f t="shared" si="153"/>
        <v>Ingresos Sección II LISR (SIC &amp; BMV)</v>
      </c>
      <c r="J621" s="302">
        <f t="shared" si="154"/>
        <v>6</v>
      </c>
      <c r="K621" s="304">
        <f t="shared" si="155"/>
        <v>154.04379310344828</v>
      </c>
      <c r="L621" s="305">
        <f>IF(H621=0,0,IF(OR(E621=$AT$5,E621=$AT$6),AA621,IF(F621="MXN",1/HLOOKUP(YEAR(G621)+(MONTH(G621)/100),TC!$5:$37,DAY(G621)+2,FALSE),VLOOKUP(F621,Equivalencia!$5:$23,((MAX(Equivalencia!$3:$3)-YEAR(G621))*14)+MONTH(G621)+2,FALSE))))</f>
        <v>1</v>
      </c>
      <c r="M621" s="306">
        <f t="shared" si="156"/>
        <v>924.26275862068974</v>
      </c>
      <c r="N621" s="305">
        <f>IF(G621=0,0,(IF(OR(E621=$AT$5,E621=$AT$6),AC621,HLOOKUP(YEAR(G621)+(MONTH(G621)/100),TC!$5:$37,DAY(G621)+2,FALSE))))</f>
        <v>20.111799999999999</v>
      </c>
      <c r="O621" s="307">
        <f t="shared" si="157"/>
        <v>18588.587748827587</v>
      </c>
      <c r="P621" s="560">
        <f>IF(G621=0,0,VLOOKUP(YEAR(G621),INPC!$B$4:$P$30,MONTH(G621)+2))</f>
        <v>114.601</v>
      </c>
      <c r="Q621" s="560">
        <f>IF(X621=0,0,IF(OR(E621=$AT$10,E621=$AT$9),VLOOKUP(YEAR(X621),INPC!$B$4:$P$30,MONTH(X621)+1),VLOOKUP(YEAR(X621),INPC!$B$4:$P$30,MONTH(X621)+2,0)))</f>
        <v>118.002</v>
      </c>
      <c r="R621" s="309">
        <f t="shared" si="158"/>
        <v>1.0296000000000001</v>
      </c>
      <c r="S621" s="310">
        <f t="shared" si="159"/>
        <v>19138.809946192887</v>
      </c>
      <c r="T621" s="555">
        <f t="shared" si="160"/>
        <v>3189.8016576988143</v>
      </c>
      <c r="U621" s="311"/>
      <c r="V621" s="312">
        <v>6</v>
      </c>
      <c r="W621" s="299" t="s">
        <v>194</v>
      </c>
      <c r="X621" s="300">
        <v>44606</v>
      </c>
      <c r="Y621" s="299" t="s">
        <v>59</v>
      </c>
      <c r="Z621" s="303">
        <v>1029.4722580645162</v>
      </c>
      <c r="AA621" s="305">
        <f>IF(Z621=0,0,IF(Y621="MXN",1/HLOOKUP(YEAR(X621)+(MONTH(X621)/100),TC!$5:$37,DAY(X621)+2,FALSE),VLOOKUP(Y621,Equivalencia!$1:$23,((MAX(Equivalencia!$3:$3)-YEAR(X621))*14)+MONTH(X621)+2,FALSE)))</f>
        <v>1</v>
      </c>
      <c r="AB621" s="306">
        <f t="shared" si="161"/>
        <v>1029.4722580645162</v>
      </c>
      <c r="AC621" s="305">
        <f>+IF(X621=0,0,HLOOKUP(YEAR(X621)+(MONTH(X621)/100),TC!$5:$37,DAY(X621)+2,FALSE))</f>
        <v>20.4148</v>
      </c>
      <c r="AD621" s="307">
        <f t="shared" si="162"/>
        <v>21016.470253935484</v>
      </c>
      <c r="AE621" s="314">
        <f t="shared" si="163"/>
        <v>19138.809946192887</v>
      </c>
      <c r="AF621" s="315">
        <f t="shared" si="164"/>
        <v>1877.6603077425971</v>
      </c>
      <c r="AG621" s="316">
        <f t="shared" si="165"/>
        <v>0.38082191780821917</v>
      </c>
      <c r="AH621" s="314">
        <v>1</v>
      </c>
      <c r="AI621" s="314">
        <f t="shared" si="166"/>
        <v>1877.6603077425971</v>
      </c>
      <c r="AJ621" s="314">
        <f t="shared" si="167"/>
        <v>0</v>
      </c>
      <c r="AK621" s="317"/>
      <c r="AL621" s="315">
        <f t="shared" si="168"/>
        <v>105.20949944382642</v>
      </c>
      <c r="AN621" s="554">
        <f t="shared" si="169"/>
        <v>0.11383072450180109</v>
      </c>
      <c r="AO621" s="314"/>
      <c r="AP621" s="318"/>
    </row>
    <row r="622" spans="2:42">
      <c r="B622" s="296" t="s">
        <v>1254</v>
      </c>
      <c r="C622" s="299" t="s">
        <v>277</v>
      </c>
      <c r="D622" s="298" t="s">
        <v>888</v>
      </c>
      <c r="E622" s="299" t="s">
        <v>113</v>
      </c>
      <c r="F622" s="299" t="s">
        <v>59</v>
      </c>
      <c r="G622" s="300">
        <v>44467</v>
      </c>
      <c r="H622" s="303">
        <v>7398.2</v>
      </c>
      <c r="I622" s="301" t="str">
        <f t="shared" si="153"/>
        <v>Ingresos Sección II LISR (SIC &amp; BMV)</v>
      </c>
      <c r="J622" s="302">
        <f t="shared" si="154"/>
        <v>48</v>
      </c>
      <c r="K622" s="304">
        <f t="shared" si="155"/>
        <v>154.12916666666666</v>
      </c>
      <c r="L622" s="305">
        <f>IF(H622=0,0,IF(OR(E622=$AT$5,E622=$AT$6),AA622,IF(F622="MXN",1/HLOOKUP(YEAR(G622)+(MONTH(G622)/100),TC!$5:$37,DAY(G622)+2,FALSE),VLOOKUP(F622,Equivalencia!$5:$23,((MAX(Equivalencia!$3:$3)-YEAR(G622))*14)+MONTH(G622)+2,FALSE))))</f>
        <v>1</v>
      </c>
      <c r="M622" s="306">
        <f t="shared" si="156"/>
        <v>7398.2</v>
      </c>
      <c r="N622" s="305">
        <f>IF(G622=0,0,(IF(OR(E622=$AT$5,E622=$AT$6),AC622,HLOOKUP(YEAR(G622)+(MONTH(G622)/100),TC!$5:$37,DAY(G622)+2,FALSE))))</f>
        <v>20.111799999999999</v>
      </c>
      <c r="O622" s="307">
        <f t="shared" si="157"/>
        <v>148791.11875999998</v>
      </c>
      <c r="P622" s="560">
        <f>IF(G622=0,0,VLOOKUP(YEAR(G622),INPC!$B$4:$P$30,MONTH(G622)+2))</f>
        <v>114.601</v>
      </c>
      <c r="Q622" s="560">
        <f>IF(X622=0,0,IF(OR(E622=$AT$10,E622=$AT$9),VLOOKUP(YEAR(X622),INPC!$B$4:$P$30,MONTH(X622)+1),VLOOKUP(YEAR(X622),INPC!$B$4:$P$30,MONTH(X622)+2,0)))</f>
        <v>118.002</v>
      </c>
      <c r="R622" s="309">
        <f t="shared" si="158"/>
        <v>1.0296000000000001</v>
      </c>
      <c r="S622" s="310">
        <f t="shared" si="159"/>
        <v>153195.335875296</v>
      </c>
      <c r="T622" s="555">
        <f t="shared" si="160"/>
        <v>3191.5694974020003</v>
      </c>
      <c r="U622" s="311"/>
      <c r="V622" s="312">
        <v>48</v>
      </c>
      <c r="W622" s="299" t="s">
        <v>194</v>
      </c>
      <c r="X622" s="300">
        <v>44606</v>
      </c>
      <c r="Y622" s="299" t="s">
        <v>59</v>
      </c>
      <c r="Z622" s="303">
        <v>8235.7780645161292</v>
      </c>
      <c r="AA622" s="305">
        <f>IF(Z622=0,0,IF(Y622="MXN",1/HLOOKUP(YEAR(X622)+(MONTH(X622)/100),TC!$5:$37,DAY(X622)+2,FALSE),VLOOKUP(Y622,Equivalencia!$1:$23,((MAX(Equivalencia!$3:$3)-YEAR(X622))*14)+MONTH(X622)+2,FALSE)))</f>
        <v>1</v>
      </c>
      <c r="AB622" s="306">
        <f t="shared" si="161"/>
        <v>8235.7780645161292</v>
      </c>
      <c r="AC622" s="305">
        <f>+IF(X622=0,0,HLOOKUP(YEAR(X622)+(MONTH(X622)/100),TC!$5:$37,DAY(X622)+2,FALSE))</f>
        <v>20.4148</v>
      </c>
      <c r="AD622" s="307">
        <f t="shared" si="162"/>
        <v>168131.76203148387</v>
      </c>
      <c r="AE622" s="314">
        <f t="shared" si="163"/>
        <v>153195.335875296</v>
      </c>
      <c r="AF622" s="315">
        <f t="shared" si="164"/>
        <v>14936.426156187867</v>
      </c>
      <c r="AG622" s="316">
        <f t="shared" si="165"/>
        <v>0.38082191780821917</v>
      </c>
      <c r="AH622" s="314">
        <v>1</v>
      </c>
      <c r="AI622" s="314">
        <f t="shared" si="166"/>
        <v>14936.426156187867</v>
      </c>
      <c r="AJ622" s="314">
        <f t="shared" si="167"/>
        <v>0</v>
      </c>
      <c r="AK622" s="317"/>
      <c r="AL622" s="315">
        <f t="shared" si="168"/>
        <v>837.57806451612942</v>
      </c>
      <c r="AN622" s="554">
        <f t="shared" si="169"/>
        <v>0.11321376341760556</v>
      </c>
      <c r="AO622" s="314"/>
      <c r="AP622" s="318"/>
    </row>
    <row r="623" spans="2:42">
      <c r="B623" s="296" t="s">
        <v>1254</v>
      </c>
      <c r="C623" s="299" t="s">
        <v>277</v>
      </c>
      <c r="D623" s="298" t="s">
        <v>888</v>
      </c>
      <c r="E623" s="299" t="s">
        <v>113</v>
      </c>
      <c r="F623" s="299" t="s">
        <v>59</v>
      </c>
      <c r="G623" s="300">
        <v>44467</v>
      </c>
      <c r="H623" s="303">
        <v>1233.2</v>
      </c>
      <c r="I623" s="301" t="str">
        <f t="shared" si="153"/>
        <v>Ingresos Sección II LISR (SIC &amp; BMV)</v>
      </c>
      <c r="J623" s="302">
        <f t="shared" si="154"/>
        <v>8</v>
      </c>
      <c r="K623" s="304">
        <f t="shared" si="155"/>
        <v>154.15</v>
      </c>
      <c r="L623" s="305">
        <f>IF(H623=0,0,IF(OR(E623=$AT$5,E623=$AT$6),AA623,IF(F623="MXN",1/HLOOKUP(YEAR(G623)+(MONTH(G623)/100),TC!$5:$37,DAY(G623)+2,FALSE),VLOOKUP(F623,Equivalencia!$5:$23,((MAX(Equivalencia!$3:$3)-YEAR(G623))*14)+MONTH(G623)+2,FALSE))))</f>
        <v>1</v>
      </c>
      <c r="M623" s="306">
        <f t="shared" si="156"/>
        <v>1233.2</v>
      </c>
      <c r="N623" s="305">
        <f>IF(G623=0,0,(IF(OR(E623=$AT$5,E623=$AT$6),AC623,HLOOKUP(YEAR(G623)+(MONTH(G623)/100),TC!$5:$37,DAY(G623)+2,FALSE))))</f>
        <v>20.111799999999999</v>
      </c>
      <c r="O623" s="307">
        <f t="shared" si="157"/>
        <v>24801.871759999998</v>
      </c>
      <c r="P623" s="560">
        <f>IF(G623=0,0,VLOOKUP(YEAR(G623),INPC!$B$4:$P$30,MONTH(G623)+2))</f>
        <v>114.601</v>
      </c>
      <c r="Q623" s="560">
        <f>IF(X623=0,0,IF(OR(E623=$AT$10,E623=$AT$9),VLOOKUP(YEAR(X623),INPC!$B$4:$P$30,MONTH(X623)+1),VLOOKUP(YEAR(X623),INPC!$B$4:$P$30,MONTH(X623)+2,0)))</f>
        <v>118.002</v>
      </c>
      <c r="R623" s="309">
        <f t="shared" si="158"/>
        <v>1.0296000000000001</v>
      </c>
      <c r="S623" s="310">
        <f t="shared" si="159"/>
        <v>25536.007164096001</v>
      </c>
      <c r="T623" s="555">
        <f t="shared" si="160"/>
        <v>3192.0008955120002</v>
      </c>
      <c r="U623" s="311"/>
      <c r="V623" s="312">
        <v>8</v>
      </c>
      <c r="W623" s="299" t="s">
        <v>194</v>
      </c>
      <c r="X623" s="300">
        <v>44606</v>
      </c>
      <c r="Y623" s="299" t="s">
        <v>59</v>
      </c>
      <c r="Z623" s="303">
        <v>1372.6296774193547</v>
      </c>
      <c r="AA623" s="305">
        <f>IF(Z623=0,0,IF(Y623="MXN",1/HLOOKUP(YEAR(X623)+(MONTH(X623)/100),TC!$5:$37,DAY(X623)+2,FALSE),VLOOKUP(Y623,Equivalencia!$1:$23,((MAX(Equivalencia!$3:$3)-YEAR(X623))*14)+MONTH(X623)+2,FALSE)))</f>
        <v>1</v>
      </c>
      <c r="AB623" s="306">
        <f t="shared" si="161"/>
        <v>1372.6296774193547</v>
      </c>
      <c r="AC623" s="305">
        <f>+IF(X623=0,0,HLOOKUP(YEAR(X623)+(MONTH(X623)/100),TC!$5:$37,DAY(X623)+2,FALSE))</f>
        <v>20.4148</v>
      </c>
      <c r="AD623" s="307">
        <f t="shared" si="162"/>
        <v>28021.960338580644</v>
      </c>
      <c r="AE623" s="314">
        <f t="shared" si="163"/>
        <v>25536.007164096001</v>
      </c>
      <c r="AF623" s="315">
        <f t="shared" si="164"/>
        <v>2485.9531744846427</v>
      </c>
      <c r="AG623" s="316">
        <f t="shared" si="165"/>
        <v>0.38082191780821917</v>
      </c>
      <c r="AH623" s="314">
        <v>1</v>
      </c>
      <c r="AI623" s="314">
        <f t="shared" si="166"/>
        <v>2485.9531744846427</v>
      </c>
      <c r="AJ623" s="314">
        <f t="shared" si="167"/>
        <v>0</v>
      </c>
      <c r="AK623" s="317"/>
      <c r="AL623" s="315">
        <f t="shared" si="168"/>
        <v>139.42967741935468</v>
      </c>
      <c r="AN623" s="554">
        <f t="shared" si="169"/>
        <v>0.11306331286032653</v>
      </c>
      <c r="AO623" s="314"/>
      <c r="AP623" s="318"/>
    </row>
    <row r="624" spans="2:42">
      <c r="B624" s="296" t="s">
        <v>1254</v>
      </c>
      <c r="C624" s="299" t="s">
        <v>277</v>
      </c>
      <c r="D624" s="298" t="s">
        <v>888</v>
      </c>
      <c r="E624" s="299" t="s">
        <v>113</v>
      </c>
      <c r="F624" s="299" t="s">
        <v>59</v>
      </c>
      <c r="G624" s="300">
        <v>44467</v>
      </c>
      <c r="H624" s="303">
        <v>6161.7478260869566</v>
      </c>
      <c r="I624" s="301" t="str">
        <f t="shared" si="153"/>
        <v>Ingresos Sección II LISR (SIC &amp; BMV)</v>
      </c>
      <c r="J624" s="302">
        <f t="shared" si="154"/>
        <v>40</v>
      </c>
      <c r="K624" s="304">
        <f t="shared" si="155"/>
        <v>154.04369565217391</v>
      </c>
      <c r="L624" s="305">
        <f>IF(H624=0,0,IF(OR(E624=$AT$5,E624=$AT$6),AA624,IF(F624="MXN",1/HLOOKUP(YEAR(G624)+(MONTH(G624)/100),TC!$5:$37,DAY(G624)+2,FALSE),VLOOKUP(F624,Equivalencia!$5:$23,((MAX(Equivalencia!$3:$3)-YEAR(G624))*14)+MONTH(G624)+2,FALSE))))</f>
        <v>1</v>
      </c>
      <c r="M624" s="306">
        <f t="shared" si="156"/>
        <v>6161.7478260869566</v>
      </c>
      <c r="N624" s="305">
        <f>IF(G624=0,0,(IF(OR(E624=$AT$5,E624=$AT$6),AC624,HLOOKUP(YEAR(G624)+(MONTH(G624)/100),TC!$5:$37,DAY(G624)+2,FALSE))))</f>
        <v>20.111799999999999</v>
      </c>
      <c r="O624" s="307">
        <f t="shared" si="157"/>
        <v>123923.83992869564</v>
      </c>
      <c r="P624" s="560">
        <f>IF(G624=0,0,VLOOKUP(YEAR(G624),INPC!$B$4:$P$30,MONTH(G624)+2))</f>
        <v>114.601</v>
      </c>
      <c r="Q624" s="560">
        <f>IF(X624=0,0,IF(OR(E624=$AT$10,E624=$AT$9),VLOOKUP(YEAR(X624),INPC!$B$4:$P$30,MONTH(X624)+1),VLOOKUP(YEAR(X624),INPC!$B$4:$P$30,MONTH(X624)+2,0)))</f>
        <v>118.002</v>
      </c>
      <c r="R624" s="309">
        <f t="shared" si="158"/>
        <v>1.0296000000000001</v>
      </c>
      <c r="S624" s="310">
        <f t="shared" si="159"/>
        <v>127591.98559058504</v>
      </c>
      <c r="T624" s="555">
        <f t="shared" si="160"/>
        <v>3189.7996397646261</v>
      </c>
      <c r="U624" s="311"/>
      <c r="V624" s="312">
        <v>40</v>
      </c>
      <c r="W624" s="299" t="s">
        <v>194</v>
      </c>
      <c r="X624" s="300">
        <v>44610</v>
      </c>
      <c r="Y624" s="299" t="s">
        <v>59</v>
      </c>
      <c r="Z624" s="303">
        <v>7079.89</v>
      </c>
      <c r="AA624" s="305">
        <f>IF(Z624=0,0,IF(Y624="MXN",1/HLOOKUP(YEAR(X624)+(MONTH(X624)/100),TC!$5:$37,DAY(X624)+2,FALSE),VLOOKUP(Y624,Equivalencia!$1:$23,((MAX(Equivalencia!$3:$3)-YEAR(X624))*14)+MONTH(X624)+2,FALSE)))</f>
        <v>1</v>
      </c>
      <c r="AB624" s="306">
        <f t="shared" si="161"/>
        <v>7079.89</v>
      </c>
      <c r="AC624" s="305">
        <f>+IF(X624=0,0,HLOOKUP(YEAR(X624)+(MONTH(X624)/100),TC!$5:$37,DAY(X624)+2,FALSE))</f>
        <v>20.333500000000001</v>
      </c>
      <c r="AD624" s="307">
        <f t="shared" si="162"/>
        <v>143958.94331500001</v>
      </c>
      <c r="AE624" s="314">
        <f t="shared" si="163"/>
        <v>127591.98559058504</v>
      </c>
      <c r="AF624" s="315">
        <f t="shared" si="164"/>
        <v>16366.95772441497</v>
      </c>
      <c r="AG624" s="316">
        <f t="shared" si="165"/>
        <v>0.39178082191780822</v>
      </c>
      <c r="AH624" s="314">
        <v>1</v>
      </c>
      <c r="AI624" s="314">
        <f t="shared" si="166"/>
        <v>16366.95772441497</v>
      </c>
      <c r="AJ624" s="314">
        <f t="shared" si="167"/>
        <v>0</v>
      </c>
      <c r="AK624" s="317"/>
      <c r="AL624" s="315">
        <f t="shared" si="168"/>
        <v>918.14217391304373</v>
      </c>
      <c r="AN624" s="554">
        <f t="shared" si="169"/>
        <v>0.14900677532207834</v>
      </c>
      <c r="AO624" s="314"/>
      <c r="AP624" s="318"/>
    </row>
    <row r="625" spans="2:42">
      <c r="B625" s="296" t="s">
        <v>1254</v>
      </c>
      <c r="C625" s="299" t="s">
        <v>277</v>
      </c>
      <c r="D625" s="298" t="s">
        <v>889</v>
      </c>
      <c r="E625" s="299" t="s">
        <v>113</v>
      </c>
      <c r="F625" s="299" t="s">
        <v>59</v>
      </c>
      <c r="G625" s="300">
        <v>44481</v>
      </c>
      <c r="H625" s="303">
        <v>2643.4301249999999</v>
      </c>
      <c r="I625" s="301" t="str">
        <f t="shared" si="153"/>
        <v>Ingresos Sección II LISR (SIC &amp; BMV)</v>
      </c>
      <c r="J625" s="302">
        <f t="shared" si="154"/>
        <v>42</v>
      </c>
      <c r="K625" s="304">
        <f t="shared" si="155"/>
        <v>62.938812499999997</v>
      </c>
      <c r="L625" s="305">
        <f>IF(H625=0,0,IF(OR(E625=$AT$5,E625=$AT$6),AA625,IF(F625="MXN",1/HLOOKUP(YEAR(G625)+(MONTH(G625)/100),TC!$5:$37,DAY(G625)+2,FALSE),VLOOKUP(F625,Equivalencia!$5:$23,((MAX(Equivalencia!$3:$3)-YEAR(G625))*14)+MONTH(G625)+2,FALSE))))</f>
        <v>1</v>
      </c>
      <c r="M625" s="306">
        <f t="shared" si="156"/>
        <v>2643.4301249999999</v>
      </c>
      <c r="N625" s="305">
        <f>IF(G625=0,0,(IF(OR(E625=$AT$5,E625=$AT$6),AC625,HLOOKUP(YEAR(G625)+(MONTH(G625)/100),TC!$5:$37,DAY(G625)+2,FALSE))))</f>
        <v>20.729299999999999</v>
      </c>
      <c r="O625" s="307">
        <f t="shared" si="157"/>
        <v>54796.456090162494</v>
      </c>
      <c r="P625" s="560">
        <f>IF(G625=0,0,VLOOKUP(YEAR(G625),INPC!$B$4:$P$30,MONTH(G625)+2))</f>
        <v>115.56100000000001</v>
      </c>
      <c r="Q625" s="560">
        <f>IF(X625=0,0,IF(OR(E625=$AT$10,E625=$AT$9),VLOOKUP(YEAR(X625),INPC!$B$4:$P$30,MONTH(X625)+1),VLOOKUP(YEAR(X625),INPC!$B$4:$P$30,MONTH(X625)+2,0)))</f>
        <v>117.30800000000001</v>
      </c>
      <c r="R625" s="309">
        <f t="shared" si="158"/>
        <v>1.0150999999999999</v>
      </c>
      <c r="S625" s="310">
        <f t="shared" si="159"/>
        <v>55623.882577123943</v>
      </c>
      <c r="T625" s="555">
        <f t="shared" si="160"/>
        <v>1324.3781565981892</v>
      </c>
      <c r="U625" s="311"/>
      <c r="V625" s="312">
        <v>42</v>
      </c>
      <c r="W625" s="299" t="s">
        <v>194</v>
      </c>
      <c r="X625" s="300">
        <v>44579</v>
      </c>
      <c r="Y625" s="299" t="s">
        <v>59</v>
      </c>
      <c r="Z625" s="303">
        <v>1875.6295384615387</v>
      </c>
      <c r="AA625" s="305">
        <f>IF(Z625=0,0,IF(Y625="MXN",1/HLOOKUP(YEAR(X625)+(MONTH(X625)/100),TC!$5:$37,DAY(X625)+2,FALSE),VLOOKUP(Y625,Equivalencia!$1:$23,((MAX(Equivalencia!$3:$3)-YEAR(X625))*14)+MONTH(X625)+2,FALSE)))</f>
        <v>1</v>
      </c>
      <c r="AB625" s="306">
        <f t="shared" si="161"/>
        <v>1875.6295384615387</v>
      </c>
      <c r="AC625" s="305">
        <f>+IF(X625=0,0,HLOOKUP(YEAR(X625)+(MONTH(X625)/100),TC!$5:$37,DAY(X625)+2,FALSE))</f>
        <v>20.311800000000002</v>
      </c>
      <c r="AD625" s="307">
        <f t="shared" si="162"/>
        <v>38097.412059323084</v>
      </c>
      <c r="AE625" s="314">
        <f t="shared" si="163"/>
        <v>55623.88257712395</v>
      </c>
      <c r="AF625" s="315">
        <f t="shared" si="164"/>
        <v>-17526.470517800866</v>
      </c>
      <c r="AG625" s="316">
        <f t="shared" si="165"/>
        <v>0.26849315068493151</v>
      </c>
      <c r="AH625" s="314">
        <v>1</v>
      </c>
      <c r="AI625" s="314">
        <f t="shared" si="166"/>
        <v>-17526.470517800866</v>
      </c>
      <c r="AJ625" s="314">
        <f t="shared" si="167"/>
        <v>0</v>
      </c>
      <c r="AK625" s="317"/>
      <c r="AL625" s="315">
        <f t="shared" si="168"/>
        <v>-767.80058653846118</v>
      </c>
      <c r="AN625" s="554">
        <f t="shared" si="169"/>
        <v>-0.29045616877747477</v>
      </c>
      <c r="AO625" s="314"/>
      <c r="AP625" s="318"/>
    </row>
    <row r="626" spans="2:42">
      <c r="B626" s="296" t="s">
        <v>1254</v>
      </c>
      <c r="C626" s="299" t="s">
        <v>277</v>
      </c>
      <c r="D626" s="298" t="s">
        <v>889</v>
      </c>
      <c r="E626" s="299" t="s">
        <v>113</v>
      </c>
      <c r="F626" s="299" t="s">
        <v>59</v>
      </c>
      <c r="G626" s="300">
        <v>44482</v>
      </c>
      <c r="H626" s="303">
        <v>1416.99</v>
      </c>
      <c r="I626" s="301" t="str">
        <f t="shared" si="153"/>
        <v>Ingresos Sección II LISR (SIC &amp; BMV)</v>
      </c>
      <c r="J626" s="302">
        <f t="shared" si="154"/>
        <v>23</v>
      </c>
      <c r="K626" s="304">
        <f t="shared" si="155"/>
        <v>61.608260869565221</v>
      </c>
      <c r="L626" s="305">
        <f>IF(H626=0,0,IF(OR(E626=$AT$5,E626=$AT$6),AA626,IF(F626="MXN",1/HLOOKUP(YEAR(G626)+(MONTH(G626)/100),TC!$5:$37,DAY(G626)+2,FALSE),VLOOKUP(F626,Equivalencia!$5:$23,((MAX(Equivalencia!$3:$3)-YEAR(G626))*14)+MONTH(G626)+2,FALSE))))</f>
        <v>1</v>
      </c>
      <c r="M626" s="306">
        <f t="shared" si="156"/>
        <v>1416.99</v>
      </c>
      <c r="N626" s="305">
        <f>IF(G626=0,0,(IF(OR(E626=$AT$5,E626=$AT$6),AC626,HLOOKUP(YEAR(G626)+(MONTH(G626)/100),TC!$5:$37,DAY(G626)+2,FALSE))))</f>
        <v>20.8017</v>
      </c>
      <c r="O626" s="307">
        <f t="shared" si="157"/>
        <v>29475.800883</v>
      </c>
      <c r="P626" s="560">
        <f>IF(G626=0,0,VLOOKUP(YEAR(G626),INPC!$B$4:$P$30,MONTH(G626)+2))</f>
        <v>115.56100000000001</v>
      </c>
      <c r="Q626" s="560">
        <f>IF(X626=0,0,IF(OR(E626=$AT$10,E626=$AT$9),VLOOKUP(YEAR(X626),INPC!$B$4:$P$30,MONTH(X626)+1),VLOOKUP(YEAR(X626),INPC!$B$4:$P$30,MONTH(X626)+2,0)))</f>
        <v>117.30800000000001</v>
      </c>
      <c r="R626" s="309">
        <f t="shared" si="158"/>
        <v>1.0150999999999999</v>
      </c>
      <c r="S626" s="310">
        <f t="shared" si="159"/>
        <v>29920.885476333297</v>
      </c>
      <c r="T626" s="555">
        <f t="shared" si="160"/>
        <v>1300.9080641884043</v>
      </c>
      <c r="U626" s="311"/>
      <c r="V626" s="312">
        <v>23</v>
      </c>
      <c r="W626" s="299" t="s">
        <v>194</v>
      </c>
      <c r="X626" s="300">
        <v>44579</v>
      </c>
      <c r="Y626" s="299" t="s">
        <v>59</v>
      </c>
      <c r="Z626" s="303">
        <v>1027.1304615384615</v>
      </c>
      <c r="AA626" s="305">
        <f>IF(Z626=0,0,IF(Y626="MXN",1/HLOOKUP(YEAR(X626)+(MONTH(X626)/100),TC!$5:$37,DAY(X626)+2,FALSE),VLOOKUP(Y626,Equivalencia!$1:$23,((MAX(Equivalencia!$3:$3)-YEAR(X626))*14)+MONTH(X626)+2,FALSE)))</f>
        <v>1</v>
      </c>
      <c r="AB626" s="306">
        <f t="shared" si="161"/>
        <v>1027.1304615384615</v>
      </c>
      <c r="AC626" s="305">
        <f>+IF(X626=0,0,HLOOKUP(YEAR(X626)+(MONTH(X626)/100),TC!$5:$37,DAY(X626)+2,FALSE))</f>
        <v>20.311800000000002</v>
      </c>
      <c r="AD626" s="307">
        <f t="shared" si="162"/>
        <v>20862.868508676926</v>
      </c>
      <c r="AE626" s="314">
        <f t="shared" si="163"/>
        <v>29920.8854763333</v>
      </c>
      <c r="AF626" s="315">
        <f t="shared" si="164"/>
        <v>-9058.0169676563746</v>
      </c>
      <c r="AG626" s="316">
        <f t="shared" si="165"/>
        <v>0.26575342465753427</v>
      </c>
      <c r="AH626" s="314">
        <v>1</v>
      </c>
      <c r="AI626" s="314">
        <f t="shared" si="166"/>
        <v>-9058.0169676563746</v>
      </c>
      <c r="AJ626" s="314">
        <f t="shared" si="167"/>
        <v>0</v>
      </c>
      <c r="AK626" s="317"/>
      <c r="AL626" s="315">
        <f t="shared" si="168"/>
        <v>-389.85953846153848</v>
      </c>
      <c r="AN626" s="554">
        <f t="shared" si="169"/>
        <v>-0.27513217345326252</v>
      </c>
      <c r="AO626" s="314"/>
      <c r="AP626" s="318"/>
    </row>
    <row r="627" spans="2:42">
      <c r="B627" s="296" t="s">
        <v>1254</v>
      </c>
      <c r="C627" s="299" t="s">
        <v>277</v>
      </c>
      <c r="D627" s="298" t="s">
        <v>889</v>
      </c>
      <c r="E627" s="299" t="s">
        <v>113</v>
      </c>
      <c r="F627" s="299" t="s">
        <v>59</v>
      </c>
      <c r="G627" s="300">
        <v>44482</v>
      </c>
      <c r="H627" s="303">
        <v>1728.81</v>
      </c>
      <c r="I627" s="301" t="str">
        <f t="shared" si="153"/>
        <v>Ingresos Sección II LISR (SIC &amp; BMV)</v>
      </c>
      <c r="J627" s="302">
        <f t="shared" si="154"/>
        <v>28</v>
      </c>
      <c r="K627" s="304">
        <f t="shared" si="155"/>
        <v>61.743214285714281</v>
      </c>
      <c r="L627" s="305">
        <f>IF(H627=0,0,IF(OR(E627=$AT$5,E627=$AT$6),AA627,IF(F627="MXN",1/HLOOKUP(YEAR(G627)+(MONTH(G627)/100),TC!$5:$37,DAY(G627)+2,FALSE),VLOOKUP(F627,Equivalencia!$5:$23,((MAX(Equivalencia!$3:$3)-YEAR(G627))*14)+MONTH(G627)+2,FALSE))))</f>
        <v>1</v>
      </c>
      <c r="M627" s="306">
        <f t="shared" si="156"/>
        <v>1728.81</v>
      </c>
      <c r="N627" s="305">
        <f>IF(G627=0,0,(IF(OR(E627=$AT$5,E627=$AT$6),AC627,HLOOKUP(YEAR(G627)+(MONTH(G627)/100),TC!$5:$37,DAY(G627)+2,FALSE))))</f>
        <v>20.8017</v>
      </c>
      <c r="O627" s="307">
        <f t="shared" si="157"/>
        <v>35962.186976999998</v>
      </c>
      <c r="P627" s="560">
        <f>IF(G627=0,0,VLOOKUP(YEAR(G627),INPC!$B$4:$P$30,MONTH(G627)+2))</f>
        <v>115.56100000000001</v>
      </c>
      <c r="Q627" s="560">
        <f>IF(X627=0,0,IF(OR(E627=$AT$10,E627=$AT$9),VLOOKUP(YEAR(X627),INPC!$B$4:$P$30,MONTH(X627)+1),VLOOKUP(YEAR(X627),INPC!$B$4:$P$30,MONTH(X627)+2,0)))</f>
        <v>117.30800000000001</v>
      </c>
      <c r="R627" s="309">
        <f t="shared" si="158"/>
        <v>1.0150999999999999</v>
      </c>
      <c r="S627" s="310">
        <f t="shared" si="159"/>
        <v>36505.216000352695</v>
      </c>
      <c r="T627" s="555">
        <f t="shared" si="160"/>
        <v>1303.7577142983105</v>
      </c>
      <c r="U627" s="311"/>
      <c r="V627" s="312">
        <v>28</v>
      </c>
      <c r="W627" s="299" t="s">
        <v>194</v>
      </c>
      <c r="X627" s="300">
        <v>44579</v>
      </c>
      <c r="Y627" s="299" t="s">
        <v>59</v>
      </c>
      <c r="Z627" s="303">
        <v>1250.4196923076925</v>
      </c>
      <c r="AA627" s="305">
        <f>IF(Z627=0,0,IF(Y627="MXN",1/HLOOKUP(YEAR(X627)+(MONTH(X627)/100),TC!$5:$37,DAY(X627)+2,FALSE),VLOOKUP(Y627,Equivalencia!$1:$23,((MAX(Equivalencia!$3:$3)-YEAR(X627))*14)+MONTH(X627)+2,FALSE)))</f>
        <v>1</v>
      </c>
      <c r="AB627" s="306">
        <f t="shared" si="161"/>
        <v>1250.4196923076925</v>
      </c>
      <c r="AC627" s="305">
        <f>+IF(X627=0,0,HLOOKUP(YEAR(X627)+(MONTH(X627)/100),TC!$5:$37,DAY(X627)+2,FALSE))</f>
        <v>20.311800000000002</v>
      </c>
      <c r="AD627" s="307">
        <f t="shared" si="162"/>
        <v>25398.27470621539</v>
      </c>
      <c r="AE627" s="314">
        <f t="shared" si="163"/>
        <v>36505.216000352695</v>
      </c>
      <c r="AF627" s="315">
        <f t="shared" si="164"/>
        <v>-11106.941294137305</v>
      </c>
      <c r="AG627" s="316">
        <f t="shared" si="165"/>
        <v>0.26575342465753427</v>
      </c>
      <c r="AH627" s="314">
        <v>1</v>
      </c>
      <c r="AI627" s="314">
        <f t="shared" si="166"/>
        <v>-11106.941294137305</v>
      </c>
      <c r="AJ627" s="314">
        <f t="shared" si="167"/>
        <v>0</v>
      </c>
      <c r="AK627" s="317"/>
      <c r="AL627" s="315">
        <f t="shared" si="168"/>
        <v>-478.39030769230749</v>
      </c>
      <c r="AN627" s="554">
        <f t="shared" si="169"/>
        <v>-0.2767165320031163</v>
      </c>
      <c r="AO627" s="314"/>
      <c r="AP627" s="318"/>
    </row>
    <row r="628" spans="2:42">
      <c r="B628" s="296" t="s">
        <v>1254</v>
      </c>
      <c r="C628" s="299" t="s">
        <v>277</v>
      </c>
      <c r="D628" s="298" t="s">
        <v>889</v>
      </c>
      <c r="E628" s="299" t="s">
        <v>113</v>
      </c>
      <c r="F628" s="299" t="s">
        <v>59</v>
      </c>
      <c r="G628" s="300">
        <v>44482</v>
      </c>
      <c r="H628" s="303">
        <v>2323.2788194444447</v>
      </c>
      <c r="I628" s="301" t="str">
        <f t="shared" si="153"/>
        <v>Ingresos Sección II LISR (SIC &amp; BMV)</v>
      </c>
      <c r="J628" s="302">
        <f t="shared" si="154"/>
        <v>37</v>
      </c>
      <c r="K628" s="304">
        <f t="shared" si="155"/>
        <v>62.791319444444454</v>
      </c>
      <c r="L628" s="305">
        <f>IF(H628=0,0,IF(OR(E628=$AT$5,E628=$AT$6),AA628,IF(F628="MXN",1/HLOOKUP(YEAR(G628)+(MONTH(G628)/100),TC!$5:$37,DAY(G628)+2,FALSE),VLOOKUP(F628,Equivalencia!$5:$23,((MAX(Equivalencia!$3:$3)-YEAR(G628))*14)+MONTH(G628)+2,FALSE))))</f>
        <v>1</v>
      </c>
      <c r="M628" s="306">
        <f t="shared" si="156"/>
        <v>2323.2788194444447</v>
      </c>
      <c r="N628" s="305">
        <f>IF(G628=0,0,(IF(OR(E628=$AT$5,E628=$AT$6),AC628,HLOOKUP(YEAR(G628)+(MONTH(G628)/100),TC!$5:$37,DAY(G628)+2,FALSE))))</f>
        <v>20.8017</v>
      </c>
      <c r="O628" s="307">
        <f t="shared" si="157"/>
        <v>48328.149018437507</v>
      </c>
      <c r="P628" s="560">
        <f>IF(G628=0,0,VLOOKUP(YEAR(G628),INPC!$B$4:$P$30,MONTH(G628)+2))</f>
        <v>115.56100000000001</v>
      </c>
      <c r="Q628" s="560">
        <f>IF(X628=0,0,IF(OR(E628=$AT$10,E628=$AT$9),VLOOKUP(YEAR(X628),INPC!$B$4:$P$30,MONTH(X628)+1),VLOOKUP(YEAR(X628),INPC!$B$4:$P$30,MONTH(X628)+2,0)))</f>
        <v>117.30800000000001</v>
      </c>
      <c r="R628" s="309">
        <f t="shared" si="158"/>
        <v>1.0150999999999999</v>
      </c>
      <c r="S628" s="310">
        <f t="shared" si="159"/>
        <v>49057.904068615906</v>
      </c>
      <c r="T628" s="555">
        <f t="shared" si="160"/>
        <v>1325.8892991517812</v>
      </c>
      <c r="U628" s="311"/>
      <c r="V628" s="312">
        <v>37</v>
      </c>
      <c r="W628" s="299" t="s">
        <v>194</v>
      </c>
      <c r="X628" s="300">
        <v>44579</v>
      </c>
      <c r="Y628" s="299" t="s">
        <v>59</v>
      </c>
      <c r="Z628" s="303">
        <v>1652.3403076923078</v>
      </c>
      <c r="AA628" s="305">
        <f>IF(Z628=0,0,IF(Y628="MXN",1/HLOOKUP(YEAR(X628)+(MONTH(X628)/100),TC!$5:$37,DAY(X628)+2,FALSE),VLOOKUP(Y628,Equivalencia!$1:$23,((MAX(Equivalencia!$3:$3)-YEAR(X628))*14)+MONTH(X628)+2,FALSE)))</f>
        <v>1</v>
      </c>
      <c r="AB628" s="306">
        <f t="shared" si="161"/>
        <v>1652.3403076923078</v>
      </c>
      <c r="AC628" s="305">
        <f>+IF(X628=0,0,HLOOKUP(YEAR(X628)+(MONTH(X628)/100),TC!$5:$37,DAY(X628)+2,FALSE))</f>
        <v>20.311800000000002</v>
      </c>
      <c r="AD628" s="307">
        <f t="shared" si="162"/>
        <v>33562.005861784623</v>
      </c>
      <c r="AE628" s="314">
        <f t="shared" si="163"/>
        <v>49057.904068615906</v>
      </c>
      <c r="AF628" s="315">
        <f t="shared" si="164"/>
        <v>-15495.898206831283</v>
      </c>
      <c r="AG628" s="316">
        <f t="shared" si="165"/>
        <v>0.26575342465753427</v>
      </c>
      <c r="AH628" s="314">
        <v>1</v>
      </c>
      <c r="AI628" s="314">
        <f t="shared" si="166"/>
        <v>-15495.898206831283</v>
      </c>
      <c r="AJ628" s="314">
        <f t="shared" si="167"/>
        <v>0</v>
      </c>
      <c r="AK628" s="317"/>
      <c r="AL628" s="315">
        <f t="shared" si="168"/>
        <v>-670.93851175213695</v>
      </c>
      <c r="AN628" s="554">
        <f t="shared" si="169"/>
        <v>-0.2887894927362078</v>
      </c>
      <c r="AO628" s="314"/>
      <c r="AP628" s="318"/>
    </row>
    <row r="629" spans="2:42">
      <c r="B629" s="296" t="s">
        <v>1254</v>
      </c>
      <c r="C629" s="299" t="s">
        <v>277</v>
      </c>
      <c r="D629" s="298" t="s">
        <v>889</v>
      </c>
      <c r="E629" s="299" t="s">
        <v>113</v>
      </c>
      <c r="F629" s="299" t="s">
        <v>59</v>
      </c>
      <c r="G629" s="300">
        <v>44482</v>
      </c>
      <c r="H629" s="303">
        <v>6718.671180555556</v>
      </c>
      <c r="I629" s="301" t="str">
        <f t="shared" si="153"/>
        <v>Ingresos Sección II LISR (SIC &amp; BMV)</v>
      </c>
      <c r="J629" s="302">
        <f t="shared" si="154"/>
        <v>107</v>
      </c>
      <c r="K629" s="304">
        <f t="shared" si="155"/>
        <v>62.791319444444447</v>
      </c>
      <c r="L629" s="305">
        <f>IF(H629=0,0,IF(OR(E629=$AT$5,E629=$AT$6),AA629,IF(F629="MXN",1/HLOOKUP(YEAR(G629)+(MONTH(G629)/100),TC!$5:$37,DAY(G629)+2,FALSE),VLOOKUP(F629,Equivalencia!$5:$23,((MAX(Equivalencia!$3:$3)-YEAR(G629))*14)+MONTH(G629)+2,FALSE))))</f>
        <v>1</v>
      </c>
      <c r="M629" s="306">
        <f t="shared" si="156"/>
        <v>6718.671180555556</v>
      </c>
      <c r="N629" s="305">
        <f>IF(G629=0,0,(IF(OR(E629=$AT$5,E629=$AT$6),AC629,HLOOKUP(YEAR(G629)+(MONTH(G629)/100),TC!$5:$37,DAY(G629)+2,FALSE))))</f>
        <v>20.8017</v>
      </c>
      <c r="O629" s="307">
        <f t="shared" si="157"/>
        <v>139759.78229656251</v>
      </c>
      <c r="P629" s="560">
        <f>IF(G629=0,0,VLOOKUP(YEAR(G629),INPC!$B$4:$P$30,MONTH(G629)+2))</f>
        <v>115.56100000000001</v>
      </c>
      <c r="Q629" s="560">
        <f>IF(X629=0,0,IF(OR(E629=$AT$10,E629=$AT$9),VLOOKUP(YEAR(X629),INPC!$B$4:$P$30,MONTH(X629)+1),VLOOKUP(YEAR(X629),INPC!$B$4:$P$30,MONTH(X629)+2,0)))</f>
        <v>117.30800000000001</v>
      </c>
      <c r="R629" s="309">
        <f t="shared" si="158"/>
        <v>1.0150999999999999</v>
      </c>
      <c r="S629" s="310">
        <f t="shared" si="159"/>
        <v>141870.15500924058</v>
      </c>
      <c r="T629" s="555">
        <f t="shared" si="160"/>
        <v>1325.8892991517812</v>
      </c>
      <c r="U629" s="311"/>
      <c r="V629" s="312">
        <v>107</v>
      </c>
      <c r="W629" s="299" t="s">
        <v>194</v>
      </c>
      <c r="X629" s="300">
        <v>44579</v>
      </c>
      <c r="Y629" s="299" t="s">
        <v>59</v>
      </c>
      <c r="Z629" s="303">
        <v>4654.979878787879</v>
      </c>
      <c r="AA629" s="305">
        <f>IF(Z629=0,0,IF(Y629="MXN",1/HLOOKUP(YEAR(X629)+(MONTH(X629)/100),TC!$5:$37,DAY(X629)+2,FALSE),VLOOKUP(Y629,Equivalencia!$1:$23,((MAX(Equivalencia!$3:$3)-YEAR(X629))*14)+MONTH(X629)+2,FALSE)))</f>
        <v>1</v>
      </c>
      <c r="AB629" s="306">
        <f t="shared" si="161"/>
        <v>4654.979878787879</v>
      </c>
      <c r="AC629" s="305">
        <f>+IF(X629=0,0,HLOOKUP(YEAR(X629)+(MONTH(X629)/100),TC!$5:$37,DAY(X629)+2,FALSE))</f>
        <v>20.311800000000002</v>
      </c>
      <c r="AD629" s="307">
        <f t="shared" si="162"/>
        <v>94551.020301963654</v>
      </c>
      <c r="AE629" s="314">
        <f t="shared" si="163"/>
        <v>141870.15500924058</v>
      </c>
      <c r="AF629" s="315">
        <f t="shared" si="164"/>
        <v>-47319.134707276928</v>
      </c>
      <c r="AG629" s="316">
        <f t="shared" si="165"/>
        <v>0.26575342465753427</v>
      </c>
      <c r="AH629" s="314">
        <v>1</v>
      </c>
      <c r="AI629" s="314">
        <f t="shared" si="166"/>
        <v>-47319.134707276928</v>
      </c>
      <c r="AJ629" s="314">
        <f t="shared" si="167"/>
        <v>0</v>
      </c>
      <c r="AK629" s="317"/>
      <c r="AL629" s="315">
        <f t="shared" si="168"/>
        <v>-2063.691301767677</v>
      </c>
      <c r="AN629" s="554">
        <f t="shared" si="169"/>
        <v>-0.30715765756481533</v>
      </c>
      <c r="AO629" s="314"/>
      <c r="AP629" s="318"/>
    </row>
    <row r="630" spans="2:42">
      <c r="B630" s="296" t="s">
        <v>1254</v>
      </c>
      <c r="C630" s="299" t="s">
        <v>277</v>
      </c>
      <c r="D630" s="298" t="s">
        <v>889</v>
      </c>
      <c r="E630" s="299" t="s">
        <v>113</v>
      </c>
      <c r="F630" s="299" t="s">
        <v>59</v>
      </c>
      <c r="G630" s="300">
        <v>44484</v>
      </c>
      <c r="H630" s="303">
        <v>1149.47</v>
      </c>
      <c r="I630" s="301" t="str">
        <f t="shared" si="153"/>
        <v>Ingresos Sección II LISR (SIC &amp; BMV)</v>
      </c>
      <c r="J630" s="302">
        <f t="shared" si="154"/>
        <v>18</v>
      </c>
      <c r="K630" s="304">
        <f t="shared" si="155"/>
        <v>63.859444444444449</v>
      </c>
      <c r="L630" s="305">
        <f>IF(H630=0,0,IF(OR(E630=$AT$5,E630=$AT$6),AA630,IF(F630="MXN",1/HLOOKUP(YEAR(G630)+(MONTH(G630)/100),TC!$5:$37,DAY(G630)+2,FALSE),VLOOKUP(F630,Equivalencia!$5:$23,((MAX(Equivalencia!$3:$3)-YEAR(G630))*14)+MONTH(G630)+2,FALSE))))</f>
        <v>1</v>
      </c>
      <c r="M630" s="306">
        <f t="shared" si="156"/>
        <v>1149.47</v>
      </c>
      <c r="N630" s="305">
        <f>IF(G630=0,0,(IF(OR(E630=$AT$5,E630=$AT$6),AC630,HLOOKUP(YEAR(G630)+(MONTH(G630)/100),TC!$5:$37,DAY(G630)+2,FALSE))))</f>
        <v>20.682700000000001</v>
      </c>
      <c r="O630" s="307">
        <f t="shared" si="157"/>
        <v>23774.143169000003</v>
      </c>
      <c r="P630" s="560">
        <f>IF(G630=0,0,VLOOKUP(YEAR(G630),INPC!$B$4:$P$30,MONTH(G630)+2))</f>
        <v>115.56100000000001</v>
      </c>
      <c r="Q630" s="560">
        <f>IF(X630=0,0,IF(OR(E630=$AT$10,E630=$AT$9),VLOOKUP(YEAR(X630),INPC!$B$4:$P$30,MONTH(X630)+1),VLOOKUP(YEAR(X630),INPC!$B$4:$P$30,MONTH(X630)+2,0)))</f>
        <v>117.30800000000001</v>
      </c>
      <c r="R630" s="309">
        <f t="shared" si="158"/>
        <v>1.0150999999999999</v>
      </c>
      <c r="S630" s="310">
        <f t="shared" si="159"/>
        <v>24133.132730851899</v>
      </c>
      <c r="T630" s="555">
        <f t="shared" si="160"/>
        <v>1340.7295961584389</v>
      </c>
      <c r="U630" s="311"/>
      <c r="V630" s="312">
        <v>18</v>
      </c>
      <c r="W630" s="299" t="s">
        <v>194</v>
      </c>
      <c r="X630" s="300">
        <v>44579</v>
      </c>
      <c r="Y630" s="299" t="s">
        <v>59</v>
      </c>
      <c r="Z630" s="303">
        <v>783.08072727272724</v>
      </c>
      <c r="AA630" s="305">
        <f>IF(Z630=0,0,IF(Y630="MXN",1/HLOOKUP(YEAR(X630)+(MONTH(X630)/100),TC!$5:$37,DAY(X630)+2,FALSE),VLOOKUP(Y630,Equivalencia!$1:$23,((MAX(Equivalencia!$3:$3)-YEAR(X630))*14)+MONTH(X630)+2,FALSE)))</f>
        <v>1</v>
      </c>
      <c r="AB630" s="306">
        <f t="shared" si="161"/>
        <v>783.08072727272724</v>
      </c>
      <c r="AC630" s="305">
        <f>+IF(X630=0,0,HLOOKUP(YEAR(X630)+(MONTH(X630)/100),TC!$5:$37,DAY(X630)+2,FALSE))</f>
        <v>20.311800000000002</v>
      </c>
      <c r="AD630" s="307">
        <f t="shared" si="162"/>
        <v>15905.779116218182</v>
      </c>
      <c r="AE630" s="314">
        <f t="shared" si="163"/>
        <v>24133.132730851899</v>
      </c>
      <c r="AF630" s="315">
        <f t="shared" si="164"/>
        <v>-8227.3536146337174</v>
      </c>
      <c r="AG630" s="316">
        <f t="shared" si="165"/>
        <v>0.26027397260273971</v>
      </c>
      <c r="AH630" s="314">
        <v>1</v>
      </c>
      <c r="AI630" s="314">
        <f t="shared" si="166"/>
        <v>-8227.3536146337174</v>
      </c>
      <c r="AJ630" s="314">
        <f t="shared" si="167"/>
        <v>0</v>
      </c>
      <c r="AK630" s="317"/>
      <c r="AL630" s="315">
        <f t="shared" si="168"/>
        <v>-366.38927272727278</v>
      </c>
      <c r="AN630" s="554">
        <f t="shared" si="169"/>
        <v>-0.31874626804290046</v>
      </c>
      <c r="AO630" s="314"/>
      <c r="AP630" s="318"/>
    </row>
    <row r="631" spans="2:42">
      <c r="B631" s="296" t="s">
        <v>1254</v>
      </c>
      <c r="C631" s="299" t="s">
        <v>277</v>
      </c>
      <c r="D631" s="298" t="s">
        <v>889</v>
      </c>
      <c r="E631" s="299" t="s">
        <v>113</v>
      </c>
      <c r="F631" s="299" t="s">
        <v>59</v>
      </c>
      <c r="G631" s="300">
        <v>44484</v>
      </c>
      <c r="H631" s="303">
        <v>1528.8</v>
      </c>
      <c r="I631" s="301" t="str">
        <f t="shared" si="153"/>
        <v>Ingresos Sección II LISR (SIC &amp; BMV)</v>
      </c>
      <c r="J631" s="302">
        <f t="shared" si="154"/>
        <v>24</v>
      </c>
      <c r="K631" s="304">
        <f t="shared" si="155"/>
        <v>63.699999999999996</v>
      </c>
      <c r="L631" s="305">
        <f>IF(H631=0,0,IF(OR(E631=$AT$5,E631=$AT$6),AA631,IF(F631="MXN",1/HLOOKUP(YEAR(G631)+(MONTH(G631)/100),TC!$5:$37,DAY(G631)+2,FALSE),VLOOKUP(F631,Equivalencia!$5:$23,((MAX(Equivalencia!$3:$3)-YEAR(G631))*14)+MONTH(G631)+2,FALSE))))</f>
        <v>1</v>
      </c>
      <c r="M631" s="306">
        <f t="shared" si="156"/>
        <v>1528.8</v>
      </c>
      <c r="N631" s="305">
        <f>IF(G631=0,0,(IF(OR(E631=$AT$5,E631=$AT$6),AC631,HLOOKUP(YEAR(G631)+(MONTH(G631)/100),TC!$5:$37,DAY(G631)+2,FALSE))))</f>
        <v>20.682700000000001</v>
      </c>
      <c r="O631" s="307">
        <f t="shared" si="157"/>
        <v>31619.711759999998</v>
      </c>
      <c r="P631" s="560">
        <f>IF(G631=0,0,VLOOKUP(YEAR(G631),INPC!$B$4:$P$30,MONTH(G631)+2))</f>
        <v>115.56100000000001</v>
      </c>
      <c r="Q631" s="560">
        <f>IF(X631=0,0,IF(OR(E631=$AT$10,E631=$AT$9),VLOOKUP(YEAR(X631),INPC!$B$4:$P$30,MONTH(X631)+1),VLOOKUP(YEAR(X631),INPC!$B$4:$P$30,MONTH(X631)+2,0)))</f>
        <v>117.30800000000001</v>
      </c>
      <c r="R631" s="309">
        <f t="shared" si="158"/>
        <v>1.0150999999999999</v>
      </c>
      <c r="S631" s="310">
        <f t="shared" si="159"/>
        <v>32097.169407575995</v>
      </c>
      <c r="T631" s="555">
        <f t="shared" si="160"/>
        <v>1337.3820586489999</v>
      </c>
      <c r="U631" s="311"/>
      <c r="V631" s="312">
        <v>24</v>
      </c>
      <c r="W631" s="299" t="s">
        <v>194</v>
      </c>
      <c r="X631" s="300">
        <v>44579</v>
      </c>
      <c r="Y631" s="299" t="s">
        <v>59</v>
      </c>
      <c r="Z631" s="303">
        <v>1044.1076363636364</v>
      </c>
      <c r="AA631" s="305">
        <f>IF(Z631=0,0,IF(Y631="MXN",1/HLOOKUP(YEAR(X631)+(MONTH(X631)/100),TC!$5:$37,DAY(X631)+2,FALSE),VLOOKUP(Y631,Equivalencia!$1:$23,((MAX(Equivalencia!$3:$3)-YEAR(X631))*14)+MONTH(X631)+2,FALSE)))</f>
        <v>1</v>
      </c>
      <c r="AB631" s="306">
        <f t="shared" si="161"/>
        <v>1044.1076363636364</v>
      </c>
      <c r="AC631" s="305">
        <f>+IF(X631=0,0,HLOOKUP(YEAR(X631)+(MONTH(X631)/100),TC!$5:$37,DAY(X631)+2,FALSE))</f>
        <v>20.311800000000002</v>
      </c>
      <c r="AD631" s="307">
        <f t="shared" si="162"/>
        <v>21207.705488290911</v>
      </c>
      <c r="AE631" s="314">
        <f t="shared" si="163"/>
        <v>32097.169407575995</v>
      </c>
      <c r="AF631" s="315">
        <f t="shared" si="164"/>
        <v>-10889.463919285085</v>
      </c>
      <c r="AG631" s="316">
        <f t="shared" si="165"/>
        <v>0.26027397260273971</v>
      </c>
      <c r="AH631" s="314">
        <v>1</v>
      </c>
      <c r="AI631" s="314">
        <f t="shared" si="166"/>
        <v>-10889.463919285085</v>
      </c>
      <c r="AJ631" s="314">
        <f t="shared" si="167"/>
        <v>0</v>
      </c>
      <c r="AK631" s="317"/>
      <c r="AL631" s="315">
        <f t="shared" si="168"/>
        <v>-484.69236363636355</v>
      </c>
      <c r="AN631" s="554">
        <f t="shared" si="169"/>
        <v>-0.31704105418391126</v>
      </c>
      <c r="AO631" s="314"/>
      <c r="AP631" s="318"/>
    </row>
    <row r="632" spans="2:42">
      <c r="B632" s="296" t="s">
        <v>1254</v>
      </c>
      <c r="C632" s="299" t="s">
        <v>277</v>
      </c>
      <c r="D632" s="298" t="s">
        <v>889</v>
      </c>
      <c r="E632" s="299" t="s">
        <v>113</v>
      </c>
      <c r="F632" s="299" t="s">
        <v>59</v>
      </c>
      <c r="G632" s="300">
        <v>44484</v>
      </c>
      <c r="H632" s="303">
        <v>1016.0336842105264</v>
      </c>
      <c r="I632" s="301" t="str">
        <f t="shared" si="153"/>
        <v>Ingresos Sección II LISR (SIC &amp; BMV)</v>
      </c>
      <c r="J632" s="302">
        <f t="shared" si="154"/>
        <v>16</v>
      </c>
      <c r="K632" s="304">
        <f t="shared" si="155"/>
        <v>63.502105263157901</v>
      </c>
      <c r="L632" s="305">
        <f>IF(H632=0,0,IF(OR(E632=$AT$5,E632=$AT$6),AA632,IF(F632="MXN",1/HLOOKUP(YEAR(G632)+(MONTH(G632)/100),TC!$5:$37,DAY(G632)+2,FALSE),VLOOKUP(F632,Equivalencia!$5:$23,((MAX(Equivalencia!$3:$3)-YEAR(G632))*14)+MONTH(G632)+2,FALSE))))</f>
        <v>1</v>
      </c>
      <c r="M632" s="306">
        <f t="shared" si="156"/>
        <v>1016.0336842105264</v>
      </c>
      <c r="N632" s="305">
        <f>IF(G632=0,0,(IF(OR(E632=$AT$5,E632=$AT$6),AC632,HLOOKUP(YEAR(G632)+(MONTH(G632)/100),TC!$5:$37,DAY(G632)+2,FALSE))))</f>
        <v>20.682700000000001</v>
      </c>
      <c r="O632" s="307">
        <f t="shared" si="157"/>
        <v>21014.319880421055</v>
      </c>
      <c r="P632" s="560">
        <f>IF(G632=0,0,VLOOKUP(YEAR(G632),INPC!$B$4:$P$30,MONTH(G632)+2))</f>
        <v>115.56100000000001</v>
      </c>
      <c r="Q632" s="560">
        <f>IF(X632=0,0,IF(OR(E632=$AT$10,E632=$AT$9),VLOOKUP(YEAR(X632),INPC!$B$4:$P$30,MONTH(X632)+1),VLOOKUP(YEAR(X632),INPC!$B$4:$P$30,MONTH(X632)+2,0)))</f>
        <v>117.30800000000001</v>
      </c>
      <c r="R632" s="309">
        <f t="shared" si="158"/>
        <v>1.0150999999999999</v>
      </c>
      <c r="S632" s="310">
        <f t="shared" si="159"/>
        <v>21331.636110615411</v>
      </c>
      <c r="T632" s="555">
        <f t="shared" si="160"/>
        <v>1333.2272569134632</v>
      </c>
      <c r="U632" s="311"/>
      <c r="V632" s="312">
        <v>16</v>
      </c>
      <c r="W632" s="299" t="s">
        <v>194</v>
      </c>
      <c r="X632" s="300">
        <v>44579</v>
      </c>
      <c r="Y632" s="299" t="s">
        <v>59</v>
      </c>
      <c r="Z632" s="303">
        <v>696.0717575757576</v>
      </c>
      <c r="AA632" s="305">
        <f>IF(Z632=0,0,IF(Y632="MXN",1/HLOOKUP(YEAR(X632)+(MONTH(X632)/100),TC!$5:$37,DAY(X632)+2,FALSE),VLOOKUP(Y632,Equivalencia!$1:$23,((MAX(Equivalencia!$3:$3)-YEAR(X632))*14)+MONTH(X632)+2,FALSE)))</f>
        <v>1</v>
      </c>
      <c r="AB632" s="306">
        <f t="shared" si="161"/>
        <v>696.0717575757576</v>
      </c>
      <c r="AC632" s="305">
        <f>+IF(X632=0,0,HLOOKUP(YEAR(X632)+(MONTH(X632)/100),TC!$5:$37,DAY(X632)+2,FALSE))</f>
        <v>20.311800000000002</v>
      </c>
      <c r="AD632" s="307">
        <f t="shared" si="162"/>
        <v>14138.470325527274</v>
      </c>
      <c r="AE632" s="314">
        <f t="shared" si="163"/>
        <v>21331.636110615411</v>
      </c>
      <c r="AF632" s="315">
        <f t="shared" si="164"/>
        <v>-7193.1657850881365</v>
      </c>
      <c r="AG632" s="316">
        <f t="shared" si="165"/>
        <v>0.26027397260273971</v>
      </c>
      <c r="AH632" s="314">
        <v>1</v>
      </c>
      <c r="AI632" s="314">
        <f t="shared" si="166"/>
        <v>-7193.1657850881365</v>
      </c>
      <c r="AJ632" s="314">
        <f t="shared" si="167"/>
        <v>0</v>
      </c>
      <c r="AK632" s="317"/>
      <c r="AL632" s="315">
        <f t="shared" si="168"/>
        <v>-319.96192663476882</v>
      </c>
      <c r="AN632" s="554">
        <f t="shared" si="169"/>
        <v>-0.31491271559897555</v>
      </c>
      <c r="AO632" s="314"/>
      <c r="AP632" s="318"/>
    </row>
    <row r="633" spans="2:42">
      <c r="B633" s="296" t="s">
        <v>1254</v>
      </c>
      <c r="C633" s="299" t="s">
        <v>277</v>
      </c>
      <c r="D633" s="298" t="s">
        <v>889</v>
      </c>
      <c r="E633" s="299" t="s">
        <v>113</v>
      </c>
      <c r="F633" s="299" t="s">
        <v>59</v>
      </c>
      <c r="G633" s="300">
        <v>44484</v>
      </c>
      <c r="H633" s="303">
        <v>381.01263157894743</v>
      </c>
      <c r="I633" s="301" t="str">
        <f t="shared" si="153"/>
        <v>Ingresos Sección II LISR (SIC &amp; BMV)</v>
      </c>
      <c r="J633" s="302">
        <f t="shared" si="154"/>
        <v>6</v>
      </c>
      <c r="K633" s="304">
        <f t="shared" si="155"/>
        <v>63.502105263157908</v>
      </c>
      <c r="L633" s="305">
        <f>IF(H633=0,0,IF(OR(E633=$AT$5,E633=$AT$6),AA633,IF(F633="MXN",1/HLOOKUP(YEAR(G633)+(MONTH(G633)/100),TC!$5:$37,DAY(G633)+2,FALSE),VLOOKUP(F633,Equivalencia!$5:$23,((MAX(Equivalencia!$3:$3)-YEAR(G633))*14)+MONTH(G633)+2,FALSE))))</f>
        <v>1</v>
      </c>
      <c r="M633" s="306">
        <f t="shared" si="156"/>
        <v>381.01263157894743</v>
      </c>
      <c r="N633" s="305">
        <f>IF(G633=0,0,(IF(OR(E633=$AT$5,E633=$AT$6),AC633,HLOOKUP(YEAR(G633)+(MONTH(G633)/100),TC!$5:$37,DAY(G633)+2,FALSE))))</f>
        <v>20.682700000000001</v>
      </c>
      <c r="O633" s="307">
        <f t="shared" si="157"/>
        <v>7880.3699551578966</v>
      </c>
      <c r="P633" s="560">
        <f>IF(G633=0,0,VLOOKUP(YEAR(G633),INPC!$B$4:$P$30,MONTH(G633)+2))</f>
        <v>115.56100000000001</v>
      </c>
      <c r="Q633" s="560">
        <f>IF(X633=0,0,IF(OR(E633=$AT$10,E633=$AT$9),VLOOKUP(YEAR(X633),INPC!$B$4:$P$30,MONTH(X633)+1),VLOOKUP(YEAR(X633),INPC!$B$4:$P$30,MONTH(X633)+2,0)))</f>
        <v>117.30800000000001</v>
      </c>
      <c r="R633" s="309">
        <f t="shared" si="158"/>
        <v>1.0150999999999999</v>
      </c>
      <c r="S633" s="310">
        <f t="shared" si="159"/>
        <v>7999.3635414807795</v>
      </c>
      <c r="T633" s="555">
        <f t="shared" si="160"/>
        <v>1333.2272569134632</v>
      </c>
      <c r="U633" s="311"/>
      <c r="V633" s="312">
        <v>6</v>
      </c>
      <c r="W633" s="299" t="s">
        <v>194</v>
      </c>
      <c r="X633" s="300">
        <v>44579</v>
      </c>
      <c r="Y633" s="299" t="s">
        <v>59</v>
      </c>
      <c r="Z633" s="303">
        <v>261.3</v>
      </c>
      <c r="AA633" s="305">
        <f>IF(Z633=0,0,IF(Y633="MXN",1/HLOOKUP(YEAR(X633)+(MONTH(X633)/100),TC!$5:$37,DAY(X633)+2,FALSE),VLOOKUP(Y633,Equivalencia!$1:$23,((MAX(Equivalencia!$3:$3)-YEAR(X633))*14)+MONTH(X633)+2,FALSE)))</f>
        <v>1</v>
      </c>
      <c r="AB633" s="306">
        <f t="shared" si="161"/>
        <v>261.3</v>
      </c>
      <c r="AC633" s="305">
        <f>+IF(X633=0,0,HLOOKUP(YEAR(X633)+(MONTH(X633)/100),TC!$5:$37,DAY(X633)+2,FALSE))</f>
        <v>20.311800000000002</v>
      </c>
      <c r="AD633" s="307">
        <f t="shared" si="162"/>
        <v>5307.4733400000005</v>
      </c>
      <c r="AE633" s="314">
        <f t="shared" si="163"/>
        <v>7999.3635414807795</v>
      </c>
      <c r="AF633" s="315">
        <f t="shared" si="164"/>
        <v>-2691.8902014807791</v>
      </c>
      <c r="AG633" s="316">
        <f t="shared" si="165"/>
        <v>0.26027397260273971</v>
      </c>
      <c r="AH633" s="314">
        <v>1</v>
      </c>
      <c r="AI633" s="314">
        <f t="shared" si="166"/>
        <v>-2691.8902014807791</v>
      </c>
      <c r="AJ633" s="314">
        <f t="shared" si="167"/>
        <v>0</v>
      </c>
      <c r="AK633" s="317"/>
      <c r="AL633" s="315">
        <f t="shared" si="168"/>
        <v>-119.71263157894742</v>
      </c>
      <c r="AN633" s="554">
        <f t="shared" si="169"/>
        <v>-0.31419596532232674</v>
      </c>
      <c r="AO633" s="314"/>
      <c r="AP633" s="318"/>
    </row>
    <row r="634" spans="2:42">
      <c r="B634" s="296" t="s">
        <v>1254</v>
      </c>
      <c r="C634" s="299" t="s">
        <v>277</v>
      </c>
      <c r="D634" s="298" t="s">
        <v>889</v>
      </c>
      <c r="E634" s="299" t="s">
        <v>113</v>
      </c>
      <c r="F634" s="299" t="s">
        <v>59</v>
      </c>
      <c r="G634" s="300">
        <v>44484</v>
      </c>
      <c r="H634" s="303">
        <v>571.5189473684211</v>
      </c>
      <c r="I634" s="301" t="str">
        <f t="shared" si="153"/>
        <v>Ingresos Sección II LISR (SIC &amp; BMV)</v>
      </c>
      <c r="J634" s="302">
        <f t="shared" si="154"/>
        <v>9</v>
      </c>
      <c r="K634" s="304">
        <f t="shared" si="155"/>
        <v>63.502105263157901</v>
      </c>
      <c r="L634" s="305">
        <f>IF(H634=0,0,IF(OR(E634=$AT$5,E634=$AT$6),AA634,IF(F634="MXN",1/HLOOKUP(YEAR(G634)+(MONTH(G634)/100),TC!$5:$37,DAY(G634)+2,FALSE),VLOOKUP(F634,Equivalencia!$5:$23,((MAX(Equivalencia!$3:$3)-YEAR(G634))*14)+MONTH(G634)+2,FALSE))))</f>
        <v>1</v>
      </c>
      <c r="M634" s="306">
        <f t="shared" si="156"/>
        <v>571.5189473684211</v>
      </c>
      <c r="N634" s="305">
        <f>IF(G634=0,0,(IF(OR(E634=$AT$5,E634=$AT$6),AC634,HLOOKUP(YEAR(G634)+(MONTH(G634)/100),TC!$5:$37,DAY(G634)+2,FALSE))))</f>
        <v>20.682700000000001</v>
      </c>
      <c r="O634" s="307">
        <f t="shared" si="157"/>
        <v>11820.554932736843</v>
      </c>
      <c r="P634" s="560">
        <f>IF(G634=0,0,VLOOKUP(YEAR(G634),INPC!$B$4:$P$30,MONTH(G634)+2))</f>
        <v>115.56100000000001</v>
      </c>
      <c r="Q634" s="560">
        <f>IF(X634=0,0,IF(OR(E634=$AT$10,E634=$AT$9),VLOOKUP(YEAR(X634),INPC!$B$4:$P$30,MONTH(X634)+1),VLOOKUP(YEAR(X634),INPC!$B$4:$P$30,MONTH(X634)+2,0)))</f>
        <v>117.30800000000001</v>
      </c>
      <c r="R634" s="309">
        <f t="shared" si="158"/>
        <v>1.0150999999999999</v>
      </c>
      <c r="S634" s="310">
        <f t="shared" si="159"/>
        <v>11999.045312221167</v>
      </c>
      <c r="T634" s="555">
        <f t="shared" si="160"/>
        <v>1333.227256913463</v>
      </c>
      <c r="U634" s="311"/>
      <c r="V634" s="312">
        <v>9</v>
      </c>
      <c r="W634" s="299" t="s">
        <v>194</v>
      </c>
      <c r="X634" s="300">
        <v>44579</v>
      </c>
      <c r="Y634" s="299" t="s">
        <v>59</v>
      </c>
      <c r="Z634" s="303">
        <v>408.06000000000006</v>
      </c>
      <c r="AA634" s="305">
        <f>IF(Z634=0,0,IF(Y634="MXN",1/HLOOKUP(YEAR(X634)+(MONTH(X634)/100),TC!$5:$37,DAY(X634)+2,FALSE),VLOOKUP(Y634,Equivalencia!$1:$23,((MAX(Equivalencia!$3:$3)-YEAR(X634))*14)+MONTH(X634)+2,FALSE)))</f>
        <v>1</v>
      </c>
      <c r="AB634" s="306">
        <f t="shared" si="161"/>
        <v>408.06000000000006</v>
      </c>
      <c r="AC634" s="305">
        <f>+IF(X634=0,0,HLOOKUP(YEAR(X634)+(MONTH(X634)/100),TC!$5:$37,DAY(X634)+2,FALSE))</f>
        <v>20.311800000000002</v>
      </c>
      <c r="AD634" s="307">
        <f t="shared" si="162"/>
        <v>8288.4331080000011</v>
      </c>
      <c r="AE634" s="314">
        <f t="shared" si="163"/>
        <v>11999.045312221166</v>
      </c>
      <c r="AF634" s="315">
        <f t="shared" si="164"/>
        <v>-3710.6122042211646</v>
      </c>
      <c r="AG634" s="316">
        <f t="shared" si="165"/>
        <v>0.26027397260273971</v>
      </c>
      <c r="AH634" s="314">
        <v>1</v>
      </c>
      <c r="AI634" s="314">
        <f t="shared" si="166"/>
        <v>-3710.6122042211646</v>
      </c>
      <c r="AJ634" s="314">
        <f t="shared" si="167"/>
        <v>0</v>
      </c>
      <c r="AK634" s="317"/>
      <c r="AL634" s="315">
        <f t="shared" si="168"/>
        <v>-163.45894736842104</v>
      </c>
      <c r="AN634" s="554">
        <f t="shared" si="169"/>
        <v>-0.28600792348368054</v>
      </c>
      <c r="AO634" s="314"/>
      <c r="AP634" s="318"/>
    </row>
    <row r="635" spans="2:42">
      <c r="B635" s="296" t="s">
        <v>1254</v>
      </c>
      <c r="C635" s="299" t="s">
        <v>277</v>
      </c>
      <c r="D635" s="298" t="s">
        <v>889</v>
      </c>
      <c r="E635" s="299" t="s">
        <v>113</v>
      </c>
      <c r="F635" s="299" t="s">
        <v>59</v>
      </c>
      <c r="G635" s="300">
        <v>44484</v>
      </c>
      <c r="H635" s="303">
        <v>1524.0505263157897</v>
      </c>
      <c r="I635" s="301" t="str">
        <f t="shared" si="153"/>
        <v>Ingresos Sección II LISR (SIC &amp; BMV)</v>
      </c>
      <c r="J635" s="302">
        <f t="shared" si="154"/>
        <v>24</v>
      </c>
      <c r="K635" s="304">
        <f t="shared" si="155"/>
        <v>63.502105263157908</v>
      </c>
      <c r="L635" s="305">
        <f>IF(H635=0,0,IF(OR(E635=$AT$5,E635=$AT$6),AA635,IF(F635="MXN",1/HLOOKUP(YEAR(G635)+(MONTH(G635)/100),TC!$5:$37,DAY(G635)+2,FALSE),VLOOKUP(F635,Equivalencia!$5:$23,((MAX(Equivalencia!$3:$3)-YEAR(G635))*14)+MONTH(G635)+2,FALSE))))</f>
        <v>1</v>
      </c>
      <c r="M635" s="306">
        <f t="shared" si="156"/>
        <v>1524.0505263157897</v>
      </c>
      <c r="N635" s="305">
        <f>IF(G635=0,0,(IF(OR(E635=$AT$5,E635=$AT$6),AC635,HLOOKUP(YEAR(G635)+(MONTH(G635)/100),TC!$5:$37,DAY(G635)+2,FALSE))))</f>
        <v>20.682700000000001</v>
      </c>
      <c r="O635" s="307">
        <f t="shared" si="157"/>
        <v>31521.479820631586</v>
      </c>
      <c r="P635" s="560">
        <f>IF(G635=0,0,VLOOKUP(YEAR(G635),INPC!$B$4:$P$30,MONTH(G635)+2))</f>
        <v>115.56100000000001</v>
      </c>
      <c r="Q635" s="560">
        <f>IF(X635=0,0,IF(OR(E635=$AT$10,E635=$AT$9),VLOOKUP(YEAR(X635),INPC!$B$4:$P$30,MONTH(X635)+1),VLOOKUP(YEAR(X635),INPC!$B$4:$P$30,MONTH(X635)+2,0)))</f>
        <v>117.30800000000001</v>
      </c>
      <c r="R635" s="309">
        <f t="shared" si="158"/>
        <v>1.0150999999999999</v>
      </c>
      <c r="S635" s="310">
        <f t="shared" si="159"/>
        <v>31997.454165923118</v>
      </c>
      <c r="T635" s="555">
        <f t="shared" si="160"/>
        <v>1333.2272569134632</v>
      </c>
      <c r="U635" s="311"/>
      <c r="V635" s="312">
        <v>24</v>
      </c>
      <c r="W635" s="299" t="s">
        <v>194</v>
      </c>
      <c r="X635" s="300">
        <v>44580</v>
      </c>
      <c r="Y635" s="299" t="s">
        <v>59</v>
      </c>
      <c r="Z635" s="303">
        <v>1012.31</v>
      </c>
      <c r="AA635" s="305">
        <f>IF(Z635=0,0,IF(Y635="MXN",1/HLOOKUP(YEAR(X635)+(MONTH(X635)/100),TC!$5:$37,DAY(X635)+2,FALSE),VLOOKUP(Y635,Equivalencia!$1:$23,((MAX(Equivalencia!$3:$3)-YEAR(X635))*14)+MONTH(X635)+2,FALSE)))</f>
        <v>1</v>
      </c>
      <c r="AB635" s="306">
        <f t="shared" si="161"/>
        <v>1012.31</v>
      </c>
      <c r="AC635" s="305">
        <f>+IF(X635=0,0,HLOOKUP(YEAR(X635)+(MONTH(X635)/100),TC!$5:$37,DAY(X635)+2,FALSE))</f>
        <v>20.3002</v>
      </c>
      <c r="AD635" s="307">
        <f t="shared" si="162"/>
        <v>20550.095461999997</v>
      </c>
      <c r="AE635" s="314">
        <f t="shared" si="163"/>
        <v>31997.454165923118</v>
      </c>
      <c r="AF635" s="315">
        <f t="shared" si="164"/>
        <v>-11447.358703923121</v>
      </c>
      <c r="AG635" s="316">
        <f t="shared" si="165"/>
        <v>0.26301369863013696</v>
      </c>
      <c r="AH635" s="314">
        <v>1</v>
      </c>
      <c r="AI635" s="314">
        <f t="shared" si="166"/>
        <v>-11447.358703923121</v>
      </c>
      <c r="AJ635" s="314">
        <f t="shared" si="167"/>
        <v>0</v>
      </c>
      <c r="AK635" s="317"/>
      <c r="AL635" s="315">
        <f t="shared" si="168"/>
        <v>-511.74052631578979</v>
      </c>
      <c r="AN635" s="554">
        <f t="shared" si="169"/>
        <v>-0.33577661467225856</v>
      </c>
      <c r="AO635" s="314"/>
      <c r="AP635" s="318"/>
    </row>
    <row r="636" spans="2:42">
      <c r="B636" s="296" t="s">
        <v>1254</v>
      </c>
      <c r="C636" s="299" t="s">
        <v>277</v>
      </c>
      <c r="D636" s="298" t="s">
        <v>889</v>
      </c>
      <c r="E636" s="299" t="s">
        <v>113</v>
      </c>
      <c r="F636" s="299" t="s">
        <v>59</v>
      </c>
      <c r="G636" s="300">
        <v>44484</v>
      </c>
      <c r="H636" s="303">
        <v>1524.0505263157897</v>
      </c>
      <c r="I636" s="301" t="str">
        <f t="shared" ref="I636:I699" si="170">IF(D636=0,0,IF(OR(E636=$AT$9,E636=$AT$10),"Ingresos Sección II LISR (SIC &amp; BMV)","Ingresos Sección I LISR"))</f>
        <v>Ingresos Sección II LISR (SIC &amp; BMV)</v>
      </c>
      <c r="J636" s="302">
        <f t="shared" ref="J636:J699" si="171">+V636</f>
        <v>24</v>
      </c>
      <c r="K636" s="304">
        <f t="shared" ref="K636:K699" si="172">IF(H636=0,0,H636/J636)</f>
        <v>63.502105263157908</v>
      </c>
      <c r="L636" s="305">
        <f>IF(H636=0,0,IF(OR(E636=$AT$5,E636=$AT$6),AA636,IF(F636="MXN",1/HLOOKUP(YEAR(G636)+(MONTH(G636)/100),TC!$5:$37,DAY(G636)+2,FALSE),VLOOKUP(F636,Equivalencia!$5:$23,((MAX(Equivalencia!$3:$3)-YEAR(G636))*14)+MONTH(G636)+2,FALSE))))</f>
        <v>1</v>
      </c>
      <c r="M636" s="306">
        <f t="shared" ref="M636:M699" si="173">+H636*L636</f>
        <v>1524.0505263157897</v>
      </c>
      <c r="N636" s="305">
        <f>IF(G636=0,0,(IF(OR(E636=$AT$5,E636=$AT$6),AC636,HLOOKUP(YEAR(G636)+(MONTH(G636)/100),TC!$5:$37,DAY(G636)+2,FALSE))))</f>
        <v>20.682700000000001</v>
      </c>
      <c r="O636" s="307">
        <f t="shared" ref="O636:O699" si="174">+M636*N636</f>
        <v>31521.479820631586</v>
      </c>
      <c r="P636" s="560">
        <f>IF(G636=0,0,VLOOKUP(YEAR(G636),INPC!$B$4:$P$30,MONTH(G636)+2))</f>
        <v>115.56100000000001</v>
      </c>
      <c r="Q636" s="560">
        <f>IF(X636=0,0,IF(OR(E636=$AT$10,E636=$AT$9),VLOOKUP(YEAR(X636),INPC!$B$4:$P$30,MONTH(X636)+1),VLOOKUP(YEAR(X636),INPC!$B$4:$P$30,MONTH(X636)+2,0)))</f>
        <v>117.30800000000001</v>
      </c>
      <c r="R636" s="309">
        <f t="shared" ref="R636:R699" si="175">IF(H636=0,0,IF(OR(E636=$AT$5,E636=$AT$6),1,IF(TRUNC(Q636/P636,4)&gt;=1,TRUNC(Q636/P636,4),1)))</f>
        <v>1.0150999999999999</v>
      </c>
      <c r="S636" s="310">
        <f t="shared" ref="S636:S699" si="176">+R636*O636</f>
        <v>31997.454165923118</v>
      </c>
      <c r="T636" s="555">
        <f t="shared" ref="T636:T699" si="177">IF(V636=0,0,S636/V636)</f>
        <v>1333.2272569134632</v>
      </c>
      <c r="U636" s="311"/>
      <c r="V636" s="312">
        <v>24</v>
      </c>
      <c r="W636" s="299" t="s">
        <v>194</v>
      </c>
      <c r="X636" s="300">
        <v>44580</v>
      </c>
      <c r="Y636" s="299" t="s">
        <v>59</v>
      </c>
      <c r="Z636" s="303">
        <v>1023.1100000000001</v>
      </c>
      <c r="AA636" s="305">
        <f>IF(Z636=0,0,IF(Y636="MXN",1/HLOOKUP(YEAR(X636)+(MONTH(X636)/100),TC!$5:$37,DAY(X636)+2,FALSE),VLOOKUP(Y636,Equivalencia!$1:$23,((MAX(Equivalencia!$3:$3)-YEAR(X636))*14)+MONTH(X636)+2,FALSE)))</f>
        <v>1</v>
      </c>
      <c r="AB636" s="306">
        <f t="shared" ref="AB636:AB699" si="178">+AA636*Z636</f>
        <v>1023.1100000000001</v>
      </c>
      <c r="AC636" s="305">
        <f>+IF(X636=0,0,HLOOKUP(YEAR(X636)+(MONTH(X636)/100),TC!$5:$37,DAY(X636)+2,FALSE))</f>
        <v>20.3002</v>
      </c>
      <c r="AD636" s="307">
        <f t="shared" ref="AD636:AD699" si="179">+AC636*AB636</f>
        <v>20769.337622000003</v>
      </c>
      <c r="AE636" s="314">
        <f t="shared" ref="AE636:AE699" si="180">+V636*T636</f>
        <v>31997.454165923118</v>
      </c>
      <c r="AF636" s="315">
        <f t="shared" ref="AF636:AF699" si="181">IF(E636=$AT$11,0,AD636-AE636)</f>
        <v>-11228.116543923115</v>
      </c>
      <c r="AG636" s="316">
        <f t="shared" ref="AG636:AG699" si="182">+IF(AND(AF636&lt;0,OR(E636=$AT$5,E636=$AT$6)),1,((X636-G636)/365))</f>
        <v>0.26301369863013696</v>
      </c>
      <c r="AH636" s="314">
        <v>1</v>
      </c>
      <c r="AI636" s="314">
        <f t="shared" ref="AI636:AI699" si="183">+IF(OR(E636=$AT$9,E636=$AT$10),AF636,+AF636/AH636)</f>
        <v>-11228.116543923115</v>
      </c>
      <c r="AJ636" s="314">
        <f t="shared" ref="AJ636:AJ699" si="184">+AF636-AI636</f>
        <v>0</v>
      </c>
      <c r="AK636" s="317"/>
      <c r="AL636" s="315">
        <f t="shared" ref="AL636:AL699" si="185">+AB636-M636</f>
        <v>-500.94052631578961</v>
      </c>
      <c r="AN636" s="554">
        <f t="shared" ref="AN636:AN699" si="186">IF(AL636=0,0,AL636/H636)</f>
        <v>-0.32869023543907927</v>
      </c>
      <c r="AO636" s="314"/>
      <c r="AP636" s="318"/>
    </row>
    <row r="637" spans="2:42">
      <c r="B637" s="296" t="s">
        <v>1254</v>
      </c>
      <c r="C637" s="299" t="s">
        <v>277</v>
      </c>
      <c r="D637" s="298" t="s">
        <v>889</v>
      </c>
      <c r="E637" s="299" t="s">
        <v>113</v>
      </c>
      <c r="F637" s="299" t="s">
        <v>59</v>
      </c>
      <c r="G637" s="300">
        <v>44484</v>
      </c>
      <c r="H637" s="303">
        <v>5842.193684210527</v>
      </c>
      <c r="I637" s="301" t="str">
        <f t="shared" si="170"/>
        <v>Ingresos Sección II LISR (SIC &amp; BMV)</v>
      </c>
      <c r="J637" s="302">
        <f t="shared" si="171"/>
        <v>92</v>
      </c>
      <c r="K637" s="304">
        <f t="shared" si="172"/>
        <v>63.502105263157901</v>
      </c>
      <c r="L637" s="305">
        <f>IF(H637=0,0,IF(OR(E637=$AT$5,E637=$AT$6),AA637,IF(F637="MXN",1/HLOOKUP(YEAR(G637)+(MONTH(G637)/100),TC!$5:$37,DAY(G637)+2,FALSE),VLOOKUP(F637,Equivalencia!$5:$23,((MAX(Equivalencia!$3:$3)-YEAR(G637))*14)+MONTH(G637)+2,FALSE))))</f>
        <v>1</v>
      </c>
      <c r="M637" s="306">
        <f t="shared" si="173"/>
        <v>5842.193684210527</v>
      </c>
      <c r="N637" s="305">
        <f>IF(G637=0,0,(IF(OR(E637=$AT$5,E637=$AT$6),AC637,HLOOKUP(YEAR(G637)+(MONTH(G637)/100),TC!$5:$37,DAY(G637)+2,FALSE))))</f>
        <v>20.682700000000001</v>
      </c>
      <c r="O637" s="307">
        <f t="shared" si="174"/>
        <v>120832.33931242107</v>
      </c>
      <c r="P637" s="560">
        <f>IF(G637=0,0,VLOOKUP(YEAR(G637),INPC!$B$4:$P$30,MONTH(G637)+2))</f>
        <v>115.56100000000001</v>
      </c>
      <c r="Q637" s="560">
        <f>IF(X637=0,0,IF(OR(E637=$AT$10,E637=$AT$9),VLOOKUP(YEAR(X637),INPC!$B$4:$P$30,MONTH(X637)+1),VLOOKUP(YEAR(X637),INPC!$B$4:$P$30,MONTH(X637)+2,0)))</f>
        <v>117.30800000000001</v>
      </c>
      <c r="R637" s="309">
        <f t="shared" si="175"/>
        <v>1.0150999999999999</v>
      </c>
      <c r="S637" s="310">
        <f t="shared" si="176"/>
        <v>122656.90763603861</v>
      </c>
      <c r="T637" s="555">
        <f t="shared" si="177"/>
        <v>1333.2272569134632</v>
      </c>
      <c r="U637" s="311"/>
      <c r="V637" s="312">
        <v>92</v>
      </c>
      <c r="W637" s="299" t="s">
        <v>194</v>
      </c>
      <c r="X637" s="300">
        <v>44580</v>
      </c>
      <c r="Y637" s="299" t="s">
        <v>59</v>
      </c>
      <c r="Z637" s="303">
        <v>3927.6738842975205</v>
      </c>
      <c r="AA637" s="305">
        <f>IF(Z637=0,0,IF(Y637="MXN",1/HLOOKUP(YEAR(X637)+(MONTH(X637)/100),TC!$5:$37,DAY(X637)+2,FALSE),VLOOKUP(Y637,Equivalencia!$1:$23,((MAX(Equivalencia!$3:$3)-YEAR(X637))*14)+MONTH(X637)+2,FALSE)))</f>
        <v>1</v>
      </c>
      <c r="AB637" s="306">
        <f t="shared" si="178"/>
        <v>3927.6738842975205</v>
      </c>
      <c r="AC637" s="305">
        <f>+IF(X637=0,0,HLOOKUP(YEAR(X637)+(MONTH(X637)/100),TC!$5:$37,DAY(X637)+2,FALSE))</f>
        <v>20.3002</v>
      </c>
      <c r="AD637" s="307">
        <f t="shared" si="179"/>
        <v>79732.565386016533</v>
      </c>
      <c r="AE637" s="314">
        <f t="shared" si="180"/>
        <v>122656.90763603861</v>
      </c>
      <c r="AF637" s="315">
        <f t="shared" si="181"/>
        <v>-42924.342250022077</v>
      </c>
      <c r="AG637" s="316">
        <f t="shared" si="182"/>
        <v>0.26301369863013696</v>
      </c>
      <c r="AH637" s="314">
        <v>1</v>
      </c>
      <c r="AI637" s="314">
        <f t="shared" si="183"/>
        <v>-42924.342250022077</v>
      </c>
      <c r="AJ637" s="314">
        <f t="shared" si="184"/>
        <v>0</v>
      </c>
      <c r="AK637" s="317"/>
      <c r="AL637" s="315">
        <f t="shared" si="185"/>
        <v>-1914.5197999130064</v>
      </c>
      <c r="AN637" s="554">
        <f t="shared" si="186"/>
        <v>-0.32770563651241241</v>
      </c>
      <c r="AO637" s="314"/>
      <c r="AP637" s="318"/>
    </row>
    <row r="638" spans="2:42">
      <c r="B638" s="296" t="s">
        <v>1254</v>
      </c>
      <c r="C638" s="299" t="s">
        <v>277</v>
      </c>
      <c r="D638" s="298" t="s">
        <v>889</v>
      </c>
      <c r="E638" s="299" t="s">
        <v>113</v>
      </c>
      <c r="F638" s="299" t="s">
        <v>59</v>
      </c>
      <c r="G638" s="300">
        <v>44495</v>
      </c>
      <c r="H638" s="303">
        <v>10415.553370786516</v>
      </c>
      <c r="I638" s="301" t="str">
        <f t="shared" si="170"/>
        <v>Ingresos Sección II LISR (SIC &amp; BMV)</v>
      </c>
      <c r="J638" s="302">
        <f t="shared" si="171"/>
        <v>150</v>
      </c>
      <c r="K638" s="304">
        <f t="shared" si="172"/>
        <v>69.437022471910112</v>
      </c>
      <c r="L638" s="305">
        <f>IF(H638=0,0,IF(OR(E638=$AT$5,E638=$AT$6),AA638,IF(F638="MXN",1/HLOOKUP(YEAR(G638)+(MONTH(G638)/100),TC!$5:$37,DAY(G638)+2,FALSE),VLOOKUP(F638,Equivalencia!$5:$23,((MAX(Equivalencia!$3:$3)-YEAR(G638))*14)+MONTH(G638)+2,FALSE))))</f>
        <v>1</v>
      </c>
      <c r="M638" s="306">
        <f t="shared" si="173"/>
        <v>10415.553370786516</v>
      </c>
      <c r="N638" s="305">
        <f>IF(G638=0,0,(IF(OR(E638=$AT$5,E638=$AT$6),AC638,HLOOKUP(YEAR(G638)+(MONTH(G638)/100),TC!$5:$37,DAY(G638)+2,FALSE))))</f>
        <v>20.183700000000002</v>
      </c>
      <c r="O638" s="307">
        <f t="shared" si="174"/>
        <v>210224.40456994381</v>
      </c>
      <c r="P638" s="560">
        <f>IF(G638=0,0,VLOOKUP(YEAR(G638),INPC!$B$4:$P$30,MONTH(G638)+2))</f>
        <v>115.56100000000001</v>
      </c>
      <c r="Q638" s="560">
        <f>IF(X638=0,0,IF(OR(E638=$AT$10,E638=$AT$9),VLOOKUP(YEAR(X638),INPC!$B$4:$P$30,MONTH(X638)+1),VLOOKUP(YEAR(X638),INPC!$B$4:$P$30,MONTH(X638)+2,0)))</f>
        <v>117.30800000000001</v>
      </c>
      <c r="R638" s="309">
        <f t="shared" si="175"/>
        <v>1.0150999999999999</v>
      </c>
      <c r="S638" s="310">
        <f t="shared" si="176"/>
        <v>213398.79307894994</v>
      </c>
      <c r="T638" s="555">
        <f t="shared" si="177"/>
        <v>1422.6586205263329</v>
      </c>
      <c r="U638" s="311"/>
      <c r="V638" s="312">
        <v>150</v>
      </c>
      <c r="W638" s="299" t="s">
        <v>194</v>
      </c>
      <c r="X638" s="300">
        <v>44580</v>
      </c>
      <c r="Y638" s="299" t="s">
        <v>59</v>
      </c>
      <c r="Z638" s="303">
        <v>6403.8161157024788</v>
      </c>
      <c r="AA638" s="305">
        <f>IF(Z638=0,0,IF(Y638="MXN",1/HLOOKUP(YEAR(X638)+(MONTH(X638)/100),TC!$5:$37,DAY(X638)+2,FALSE),VLOOKUP(Y638,Equivalencia!$1:$23,((MAX(Equivalencia!$3:$3)-YEAR(X638))*14)+MONTH(X638)+2,FALSE)))</f>
        <v>1</v>
      </c>
      <c r="AB638" s="306">
        <f t="shared" si="178"/>
        <v>6403.8161157024788</v>
      </c>
      <c r="AC638" s="305">
        <f>+IF(X638=0,0,HLOOKUP(YEAR(X638)+(MONTH(X638)/100),TC!$5:$37,DAY(X638)+2,FALSE))</f>
        <v>20.3002</v>
      </c>
      <c r="AD638" s="307">
        <f t="shared" si="179"/>
        <v>129998.74791198346</v>
      </c>
      <c r="AE638" s="314">
        <f t="shared" si="180"/>
        <v>213398.79307894994</v>
      </c>
      <c r="AF638" s="315">
        <f t="shared" si="181"/>
        <v>-83400.045166966476</v>
      </c>
      <c r="AG638" s="316">
        <f t="shared" si="182"/>
        <v>0.23287671232876711</v>
      </c>
      <c r="AH638" s="314">
        <v>1</v>
      </c>
      <c r="AI638" s="314">
        <f t="shared" si="183"/>
        <v>-83400.045166966476</v>
      </c>
      <c r="AJ638" s="314">
        <f t="shared" si="184"/>
        <v>0</v>
      </c>
      <c r="AK638" s="317"/>
      <c r="AL638" s="315">
        <f t="shared" si="185"/>
        <v>-4011.7372550840373</v>
      </c>
      <c r="AN638" s="554">
        <f t="shared" si="186"/>
        <v>-0.38516794185281933</v>
      </c>
      <c r="AO638" s="314"/>
      <c r="AP638" s="318"/>
    </row>
    <row r="639" spans="2:42">
      <c r="B639" s="296" t="s">
        <v>1254</v>
      </c>
      <c r="C639" s="299" t="s">
        <v>277</v>
      </c>
      <c r="D639" s="298" t="s">
        <v>889</v>
      </c>
      <c r="E639" s="299" t="s">
        <v>113</v>
      </c>
      <c r="F639" s="299" t="s">
        <v>59</v>
      </c>
      <c r="G639" s="300">
        <v>44495</v>
      </c>
      <c r="H639" s="303">
        <v>1944.2366292134832</v>
      </c>
      <c r="I639" s="301" t="str">
        <f t="shared" si="170"/>
        <v>Ingresos Sección II LISR (SIC &amp; BMV)</v>
      </c>
      <c r="J639" s="302">
        <f t="shared" si="171"/>
        <v>28</v>
      </c>
      <c r="K639" s="304">
        <f t="shared" si="172"/>
        <v>69.437022471910112</v>
      </c>
      <c r="L639" s="305">
        <f>IF(H639=0,0,IF(OR(E639=$AT$5,E639=$AT$6),AA639,IF(F639="MXN",1/HLOOKUP(YEAR(G639)+(MONTH(G639)/100),TC!$5:$37,DAY(G639)+2,FALSE),VLOOKUP(F639,Equivalencia!$5:$23,((MAX(Equivalencia!$3:$3)-YEAR(G639))*14)+MONTH(G639)+2,FALSE))))</f>
        <v>1</v>
      </c>
      <c r="M639" s="306">
        <f t="shared" si="173"/>
        <v>1944.2366292134832</v>
      </c>
      <c r="N639" s="305">
        <f>IF(G639=0,0,(IF(OR(E639=$AT$5,E639=$AT$6),AC639,HLOOKUP(YEAR(G639)+(MONTH(G639)/100),TC!$5:$37,DAY(G639)+2,FALSE))))</f>
        <v>20.183700000000002</v>
      </c>
      <c r="O639" s="307">
        <f t="shared" si="174"/>
        <v>39241.888853056182</v>
      </c>
      <c r="P639" s="560">
        <f>IF(G639=0,0,VLOOKUP(YEAR(G639),INPC!$B$4:$P$30,MONTH(G639)+2))</f>
        <v>115.56100000000001</v>
      </c>
      <c r="Q639" s="560">
        <f>IF(X639=0,0,IF(OR(E639=$AT$10,E639=$AT$9),VLOOKUP(YEAR(X639),INPC!$B$4:$P$30,MONTH(X639)+1),VLOOKUP(YEAR(X639),INPC!$B$4:$P$30,MONTH(X639)+2,0)))</f>
        <v>117.30800000000001</v>
      </c>
      <c r="R639" s="309">
        <f t="shared" si="175"/>
        <v>1.0150999999999999</v>
      </c>
      <c r="S639" s="310">
        <f t="shared" si="176"/>
        <v>39834.441374737326</v>
      </c>
      <c r="T639" s="555">
        <f t="shared" si="177"/>
        <v>1422.6586205263332</v>
      </c>
      <c r="U639" s="311"/>
      <c r="V639" s="312">
        <v>28</v>
      </c>
      <c r="W639" s="299" t="s">
        <v>194</v>
      </c>
      <c r="X639" s="300">
        <v>44581</v>
      </c>
      <c r="Y639" s="299" t="s">
        <v>59</v>
      </c>
      <c r="Z639" s="303">
        <v>1210.5268965517241</v>
      </c>
      <c r="AA639" s="305">
        <f>IF(Z639=0,0,IF(Y639="MXN",1/HLOOKUP(YEAR(X639)+(MONTH(X639)/100),TC!$5:$37,DAY(X639)+2,FALSE),VLOOKUP(Y639,Equivalencia!$1:$23,((MAX(Equivalencia!$3:$3)-YEAR(X639))*14)+MONTH(X639)+2,FALSE)))</f>
        <v>1</v>
      </c>
      <c r="AB639" s="306">
        <f t="shared" si="178"/>
        <v>1210.5268965517241</v>
      </c>
      <c r="AC639" s="305">
        <f>+IF(X639=0,0,HLOOKUP(YEAR(X639)+(MONTH(X639)/100),TC!$5:$37,DAY(X639)+2,FALSE))</f>
        <v>20.402999999999999</v>
      </c>
      <c r="AD639" s="307">
        <f t="shared" si="179"/>
        <v>24698.380270344827</v>
      </c>
      <c r="AE639" s="314">
        <f t="shared" si="180"/>
        <v>39834.441374737326</v>
      </c>
      <c r="AF639" s="315">
        <f t="shared" si="181"/>
        <v>-15136.061104392498</v>
      </c>
      <c r="AG639" s="316">
        <f t="shared" si="182"/>
        <v>0.23561643835616439</v>
      </c>
      <c r="AH639" s="314">
        <v>1</v>
      </c>
      <c r="AI639" s="314">
        <f t="shared" si="183"/>
        <v>-15136.061104392498</v>
      </c>
      <c r="AJ639" s="314">
        <f t="shared" si="184"/>
        <v>0</v>
      </c>
      <c r="AK639" s="317"/>
      <c r="AL639" s="315">
        <f t="shared" si="185"/>
        <v>-733.70973266175906</v>
      </c>
      <c r="AN639" s="554">
        <f t="shared" si="186"/>
        <v>-0.37737676661228847</v>
      </c>
      <c r="AO639" s="314"/>
      <c r="AP639" s="318"/>
    </row>
    <row r="640" spans="2:42">
      <c r="B640" s="296" t="s">
        <v>1254</v>
      </c>
      <c r="C640" s="299" t="s">
        <v>277</v>
      </c>
      <c r="D640" s="298" t="s">
        <v>889</v>
      </c>
      <c r="E640" s="299" t="s">
        <v>113</v>
      </c>
      <c r="F640" s="299" t="s">
        <v>59</v>
      </c>
      <c r="G640" s="300">
        <v>44519</v>
      </c>
      <c r="H640" s="303">
        <v>74.98</v>
      </c>
      <c r="I640" s="301" t="str">
        <f t="shared" si="170"/>
        <v>Ingresos Sección II LISR (SIC &amp; BMV)</v>
      </c>
      <c r="J640" s="302">
        <f t="shared" si="171"/>
        <v>1</v>
      </c>
      <c r="K640" s="304">
        <f t="shared" si="172"/>
        <v>74.98</v>
      </c>
      <c r="L640" s="305">
        <f>IF(H640=0,0,IF(OR(E640=$AT$5,E640=$AT$6),AA640,IF(F640="MXN",1/HLOOKUP(YEAR(G640)+(MONTH(G640)/100),TC!$5:$37,DAY(G640)+2,FALSE),VLOOKUP(F640,Equivalencia!$5:$23,((MAX(Equivalencia!$3:$3)-YEAR(G640))*14)+MONTH(G640)+2,FALSE))))</f>
        <v>1</v>
      </c>
      <c r="M640" s="306">
        <f t="shared" si="173"/>
        <v>74.98</v>
      </c>
      <c r="N640" s="305">
        <f>IF(G640=0,0,(IF(OR(E640=$AT$5,E640=$AT$6),AC640,HLOOKUP(YEAR(G640)+(MONTH(G640)/100),TC!$5:$37,DAY(G640)+2,FALSE))))</f>
        <v>20.691199999999998</v>
      </c>
      <c r="O640" s="307">
        <f t="shared" si="174"/>
        <v>1551.4261759999999</v>
      </c>
      <c r="P640" s="560">
        <f>IF(G640=0,0,VLOOKUP(YEAR(G640),INPC!$B$4:$P$30,MONTH(G640)+2))</f>
        <v>116.884</v>
      </c>
      <c r="Q640" s="560">
        <f>IF(X640=0,0,IF(OR(E640=$AT$10,E640=$AT$9),VLOOKUP(YEAR(X640),INPC!$B$4:$P$30,MONTH(X640)+1),VLOOKUP(YEAR(X640),INPC!$B$4:$P$30,MONTH(X640)+2,0)))</f>
        <v>117.30800000000001</v>
      </c>
      <c r="R640" s="309">
        <f t="shared" si="175"/>
        <v>1.0036</v>
      </c>
      <c r="S640" s="310">
        <f t="shared" si="176"/>
        <v>1557.0113102335999</v>
      </c>
      <c r="T640" s="555">
        <f t="shared" si="177"/>
        <v>1557.0113102335999</v>
      </c>
      <c r="U640" s="311"/>
      <c r="V640" s="312">
        <v>1</v>
      </c>
      <c r="W640" s="299" t="s">
        <v>194</v>
      </c>
      <c r="X640" s="300">
        <v>44581</v>
      </c>
      <c r="Y640" s="299" t="s">
        <v>59</v>
      </c>
      <c r="Z640" s="303">
        <v>43.233103448275862</v>
      </c>
      <c r="AA640" s="305">
        <f>IF(Z640=0,0,IF(Y640="MXN",1/HLOOKUP(YEAR(X640)+(MONTH(X640)/100),TC!$5:$37,DAY(X640)+2,FALSE),VLOOKUP(Y640,Equivalencia!$1:$23,((MAX(Equivalencia!$3:$3)-YEAR(X640))*14)+MONTH(X640)+2,FALSE)))</f>
        <v>1</v>
      </c>
      <c r="AB640" s="306">
        <f t="shared" si="178"/>
        <v>43.233103448275862</v>
      </c>
      <c r="AC640" s="305">
        <f>+IF(X640=0,0,HLOOKUP(YEAR(X640)+(MONTH(X640)/100),TC!$5:$37,DAY(X640)+2,FALSE))</f>
        <v>20.402999999999999</v>
      </c>
      <c r="AD640" s="307">
        <f t="shared" si="179"/>
        <v>882.08500965517237</v>
      </c>
      <c r="AE640" s="314">
        <f t="shared" si="180"/>
        <v>1557.0113102335999</v>
      </c>
      <c r="AF640" s="315">
        <f t="shared" si="181"/>
        <v>-674.92630057842757</v>
      </c>
      <c r="AG640" s="316">
        <f t="shared" si="182"/>
        <v>0.16986301369863013</v>
      </c>
      <c r="AH640" s="314">
        <v>1</v>
      </c>
      <c r="AI640" s="314">
        <f t="shared" si="183"/>
        <v>-674.92630057842757</v>
      </c>
      <c r="AJ640" s="314">
        <f t="shared" si="184"/>
        <v>0</v>
      </c>
      <c r="AK640" s="317"/>
      <c r="AL640" s="315">
        <f t="shared" si="185"/>
        <v>-31.746896551724141</v>
      </c>
      <c r="AN640" s="554">
        <f t="shared" si="186"/>
        <v>-0.42340486198618482</v>
      </c>
      <c r="AO640" s="314"/>
      <c r="AP640" s="318"/>
    </row>
    <row r="641" spans="2:42">
      <c r="B641" s="296" t="s">
        <v>1254</v>
      </c>
      <c r="C641" s="299" t="s">
        <v>277</v>
      </c>
      <c r="D641" s="298" t="s">
        <v>890</v>
      </c>
      <c r="E641" s="299" t="s">
        <v>106</v>
      </c>
      <c r="F641" s="299" t="s">
        <v>59</v>
      </c>
      <c r="G641" s="300">
        <v>44550</v>
      </c>
      <c r="H641" s="303">
        <v>177.95</v>
      </c>
      <c r="I641" s="301" t="str">
        <f t="shared" si="170"/>
        <v>Ingresos Sección I LISR</v>
      </c>
      <c r="J641" s="302">
        <f t="shared" si="171"/>
        <v>2</v>
      </c>
      <c r="K641" s="304">
        <f t="shared" si="172"/>
        <v>88.974999999999994</v>
      </c>
      <c r="L641" s="305">
        <f>IF(H641=0,0,IF(OR(E641=$AT$5,E641=$AT$6),AA641,IF(F641="MXN",1/HLOOKUP(YEAR(G641)+(MONTH(G641)/100),TC!$5:$37,DAY(G641)+2,FALSE),VLOOKUP(F641,Equivalencia!$5:$23,((MAX(Equivalencia!$3:$3)-YEAR(G641))*14)+MONTH(G641)+2,FALSE))))</f>
        <v>1</v>
      </c>
      <c r="M641" s="306">
        <f t="shared" si="173"/>
        <v>177.95</v>
      </c>
      <c r="N641" s="305">
        <f>IF(G641=0,0,(IF(OR(E641=$AT$5,E641=$AT$6),AC641,HLOOKUP(YEAR(G641)+(MONTH(G641)/100),TC!$5:$37,DAY(G641)+2,FALSE))))</f>
        <v>20.9238</v>
      </c>
      <c r="O641" s="307">
        <f t="shared" si="174"/>
        <v>3723.3902099999996</v>
      </c>
      <c r="P641" s="560">
        <f>IF(G641=0,0,VLOOKUP(YEAR(G641),INPC!$B$4:$P$30,MONTH(G641)+2))</f>
        <v>117.30800000000001</v>
      </c>
      <c r="Q641" s="560">
        <f>IF(X641=0,0,IF(OR(E641=$AT$10,E641=$AT$9),VLOOKUP(YEAR(X641),INPC!$B$4:$P$30,MONTH(X641)+1),VLOOKUP(YEAR(X641),INPC!$B$4:$P$30,MONTH(X641)+2,0)))</f>
        <v>120.15900000000001</v>
      </c>
      <c r="R641" s="309">
        <f t="shared" si="175"/>
        <v>1.0243</v>
      </c>
      <c r="S641" s="310">
        <f t="shared" si="176"/>
        <v>3813.8685921029996</v>
      </c>
      <c r="T641" s="555">
        <f t="shared" si="177"/>
        <v>1906.9342960514998</v>
      </c>
      <c r="U641" s="311"/>
      <c r="V641" s="312">
        <v>2</v>
      </c>
      <c r="W641" s="299" t="s">
        <v>194</v>
      </c>
      <c r="X641" s="300">
        <v>44627</v>
      </c>
      <c r="Y641" s="299" t="s">
        <v>59</v>
      </c>
      <c r="Z641" s="303">
        <v>78.92192</v>
      </c>
      <c r="AA641" s="305">
        <f>IF(Z641=0,0,IF(Y641="MXN",1/HLOOKUP(YEAR(X641)+(MONTH(X641)/100),TC!$5:$37,DAY(X641)+2,FALSE),VLOOKUP(Y641,Equivalencia!$1:$23,((MAX(Equivalencia!$3:$3)-YEAR(X641))*14)+MONTH(X641)+2,FALSE)))</f>
        <v>1</v>
      </c>
      <c r="AB641" s="306">
        <f t="shared" si="178"/>
        <v>78.92192</v>
      </c>
      <c r="AC641" s="305">
        <f>+IF(X641=0,0,HLOOKUP(YEAR(X641)+(MONTH(X641)/100),TC!$5:$37,DAY(X641)+2,FALSE))</f>
        <v>20.703299999999999</v>
      </c>
      <c r="AD641" s="307">
        <f t="shared" si="179"/>
        <v>1633.9441863359998</v>
      </c>
      <c r="AE641" s="314">
        <f t="shared" si="180"/>
        <v>3813.8685921029996</v>
      </c>
      <c r="AF641" s="315">
        <f t="shared" si="181"/>
        <v>-2179.9244057669998</v>
      </c>
      <c r="AG641" s="316">
        <f t="shared" si="182"/>
        <v>0.21095890410958903</v>
      </c>
      <c r="AH641" s="314">
        <v>1</v>
      </c>
      <c r="AI641" s="314">
        <f t="shared" si="183"/>
        <v>-2179.9244057669998</v>
      </c>
      <c r="AJ641" s="314">
        <f t="shared" si="184"/>
        <v>0</v>
      </c>
      <c r="AK641" s="317"/>
      <c r="AL641" s="315">
        <f t="shared" si="185"/>
        <v>-99.028079999999989</v>
      </c>
      <c r="AN641" s="554">
        <f t="shared" si="186"/>
        <v>-0.55649384658611967</v>
      </c>
      <c r="AO641" s="314"/>
      <c r="AP641" s="318"/>
    </row>
    <row r="642" spans="2:42">
      <c r="B642" s="296" t="s">
        <v>1254</v>
      </c>
      <c r="C642" s="299" t="s">
        <v>277</v>
      </c>
      <c r="D642" s="298" t="s">
        <v>890</v>
      </c>
      <c r="E642" s="299" t="s">
        <v>106</v>
      </c>
      <c r="F642" s="299" t="s">
        <v>59</v>
      </c>
      <c r="G642" s="300">
        <v>44550</v>
      </c>
      <c r="H642" s="303">
        <v>1115.18</v>
      </c>
      <c r="I642" s="301" t="str">
        <f t="shared" si="170"/>
        <v>Ingresos Sección I LISR</v>
      </c>
      <c r="J642" s="302">
        <f t="shared" si="171"/>
        <v>12</v>
      </c>
      <c r="K642" s="304">
        <f t="shared" si="172"/>
        <v>92.931666666666672</v>
      </c>
      <c r="L642" s="305">
        <f>IF(H642=0,0,IF(OR(E642=$AT$5,E642=$AT$6),AA642,IF(F642="MXN",1/HLOOKUP(YEAR(G642)+(MONTH(G642)/100),TC!$5:$37,DAY(G642)+2,FALSE),VLOOKUP(F642,Equivalencia!$5:$23,((MAX(Equivalencia!$3:$3)-YEAR(G642))*14)+MONTH(G642)+2,FALSE))))</f>
        <v>1</v>
      </c>
      <c r="M642" s="306">
        <f t="shared" si="173"/>
        <v>1115.18</v>
      </c>
      <c r="N642" s="305">
        <f>IF(G642=0,0,(IF(OR(E642=$AT$5,E642=$AT$6),AC642,HLOOKUP(YEAR(G642)+(MONTH(G642)/100),TC!$5:$37,DAY(G642)+2,FALSE))))</f>
        <v>20.9238</v>
      </c>
      <c r="O642" s="307">
        <f t="shared" si="174"/>
        <v>23333.803284000001</v>
      </c>
      <c r="P642" s="560">
        <f>IF(G642=0,0,VLOOKUP(YEAR(G642),INPC!$B$4:$P$30,MONTH(G642)+2))</f>
        <v>117.30800000000001</v>
      </c>
      <c r="Q642" s="560">
        <f>IF(X642=0,0,IF(OR(E642=$AT$10,E642=$AT$9),VLOOKUP(YEAR(X642),INPC!$B$4:$P$30,MONTH(X642)+1),VLOOKUP(YEAR(X642),INPC!$B$4:$P$30,MONTH(X642)+2,0)))</f>
        <v>120.15900000000001</v>
      </c>
      <c r="R642" s="309">
        <f t="shared" si="175"/>
        <v>1.0243</v>
      </c>
      <c r="S642" s="310">
        <f t="shared" si="176"/>
        <v>23900.814703801203</v>
      </c>
      <c r="T642" s="555">
        <f t="shared" si="177"/>
        <v>1991.7345586501003</v>
      </c>
      <c r="U642" s="311"/>
      <c r="V642" s="312">
        <v>12</v>
      </c>
      <c r="W642" s="299" t="s">
        <v>194</v>
      </c>
      <c r="X642" s="300">
        <v>44627</v>
      </c>
      <c r="Y642" s="299" t="s">
        <v>59</v>
      </c>
      <c r="Z642" s="303">
        <v>473.53152</v>
      </c>
      <c r="AA642" s="305">
        <f>IF(Z642=0,0,IF(Y642="MXN",1/HLOOKUP(YEAR(X642)+(MONTH(X642)/100),TC!$5:$37,DAY(X642)+2,FALSE),VLOOKUP(Y642,Equivalencia!$1:$23,((MAX(Equivalencia!$3:$3)-YEAR(X642))*14)+MONTH(X642)+2,FALSE)))</f>
        <v>1</v>
      </c>
      <c r="AB642" s="306">
        <f t="shared" si="178"/>
        <v>473.53152</v>
      </c>
      <c r="AC642" s="305">
        <f>+IF(X642=0,0,HLOOKUP(YEAR(X642)+(MONTH(X642)/100),TC!$5:$37,DAY(X642)+2,FALSE))</f>
        <v>20.703299999999999</v>
      </c>
      <c r="AD642" s="307">
        <f t="shared" si="179"/>
        <v>9803.6651180159988</v>
      </c>
      <c r="AE642" s="314">
        <f t="shared" si="180"/>
        <v>23900.814703801203</v>
      </c>
      <c r="AF642" s="315">
        <f t="shared" si="181"/>
        <v>-14097.149585785204</v>
      </c>
      <c r="AG642" s="316">
        <f t="shared" si="182"/>
        <v>0.21095890410958903</v>
      </c>
      <c r="AH642" s="314">
        <v>1</v>
      </c>
      <c r="AI642" s="314">
        <f t="shared" si="183"/>
        <v>-14097.149585785204</v>
      </c>
      <c r="AJ642" s="314">
        <f t="shared" si="184"/>
        <v>0</v>
      </c>
      <c r="AK642" s="317"/>
      <c r="AL642" s="315">
        <f t="shared" si="185"/>
        <v>-641.64848000000006</v>
      </c>
      <c r="AN642" s="554">
        <f t="shared" si="186"/>
        <v>-0.5753766028802525</v>
      </c>
      <c r="AO642" s="314"/>
      <c r="AP642" s="318"/>
    </row>
    <row r="643" spans="2:42">
      <c r="B643" s="296" t="s">
        <v>1254</v>
      </c>
      <c r="C643" s="299" t="s">
        <v>277</v>
      </c>
      <c r="D643" s="298" t="s">
        <v>890</v>
      </c>
      <c r="E643" s="299" t="s">
        <v>106</v>
      </c>
      <c r="F643" s="299" t="s">
        <v>59</v>
      </c>
      <c r="G643" s="300">
        <v>44550</v>
      </c>
      <c r="H643" s="303">
        <v>10134.97640625</v>
      </c>
      <c r="I643" s="301" t="str">
        <f t="shared" si="170"/>
        <v>Ingresos Sección I LISR</v>
      </c>
      <c r="J643" s="302">
        <f t="shared" si="171"/>
        <v>111</v>
      </c>
      <c r="K643" s="304">
        <f t="shared" si="172"/>
        <v>91.306093750000002</v>
      </c>
      <c r="L643" s="305">
        <f>IF(H643=0,0,IF(OR(E643=$AT$5,E643=$AT$6),AA643,IF(F643="MXN",1/HLOOKUP(YEAR(G643)+(MONTH(G643)/100),TC!$5:$37,DAY(G643)+2,FALSE),VLOOKUP(F643,Equivalencia!$5:$23,((MAX(Equivalencia!$3:$3)-YEAR(G643))*14)+MONTH(G643)+2,FALSE))))</f>
        <v>1</v>
      </c>
      <c r="M643" s="306">
        <f t="shared" si="173"/>
        <v>10134.97640625</v>
      </c>
      <c r="N643" s="305">
        <f>IF(G643=0,0,(IF(OR(E643=$AT$5,E643=$AT$6),AC643,HLOOKUP(YEAR(G643)+(MONTH(G643)/100),TC!$5:$37,DAY(G643)+2,FALSE))))</f>
        <v>20.9238</v>
      </c>
      <c r="O643" s="307">
        <f t="shared" si="174"/>
        <v>212062.21932909376</v>
      </c>
      <c r="P643" s="560">
        <f>IF(G643=0,0,VLOOKUP(YEAR(G643),INPC!$B$4:$P$30,MONTH(G643)+2))</f>
        <v>117.30800000000001</v>
      </c>
      <c r="Q643" s="560">
        <f>IF(X643=0,0,IF(OR(E643=$AT$10,E643=$AT$9),VLOOKUP(YEAR(X643),INPC!$B$4:$P$30,MONTH(X643)+1),VLOOKUP(YEAR(X643),INPC!$B$4:$P$30,MONTH(X643)+2,0)))</f>
        <v>120.15900000000001</v>
      </c>
      <c r="R643" s="309">
        <f t="shared" si="175"/>
        <v>1.0243</v>
      </c>
      <c r="S643" s="310">
        <f t="shared" si="176"/>
        <v>217215.33125879074</v>
      </c>
      <c r="T643" s="555">
        <f t="shared" si="177"/>
        <v>1956.8948762053219</v>
      </c>
      <c r="U643" s="311"/>
      <c r="V643" s="312">
        <v>111</v>
      </c>
      <c r="W643" s="299" t="s">
        <v>194</v>
      </c>
      <c r="X643" s="300">
        <v>44627</v>
      </c>
      <c r="Y643" s="299" t="s">
        <v>59</v>
      </c>
      <c r="Z643" s="303">
        <v>4380.1665599999997</v>
      </c>
      <c r="AA643" s="305">
        <f>IF(Z643=0,0,IF(Y643="MXN",1/HLOOKUP(YEAR(X643)+(MONTH(X643)/100),TC!$5:$37,DAY(X643)+2,FALSE),VLOOKUP(Y643,Equivalencia!$1:$23,((MAX(Equivalencia!$3:$3)-YEAR(X643))*14)+MONTH(X643)+2,FALSE)))</f>
        <v>1</v>
      </c>
      <c r="AB643" s="306">
        <f t="shared" si="178"/>
        <v>4380.1665599999997</v>
      </c>
      <c r="AC643" s="305">
        <f>+IF(X643=0,0,HLOOKUP(YEAR(X643)+(MONTH(X643)/100),TC!$5:$37,DAY(X643)+2,FALSE))</f>
        <v>20.703299999999999</v>
      </c>
      <c r="AD643" s="307">
        <f t="shared" si="179"/>
        <v>90683.90234164799</v>
      </c>
      <c r="AE643" s="314">
        <f t="shared" si="180"/>
        <v>217215.33125879074</v>
      </c>
      <c r="AF643" s="315">
        <f t="shared" si="181"/>
        <v>-126531.42891714275</v>
      </c>
      <c r="AG643" s="316">
        <f t="shared" si="182"/>
        <v>0.21095890410958903</v>
      </c>
      <c r="AH643" s="314">
        <v>1</v>
      </c>
      <c r="AI643" s="314">
        <f t="shared" si="183"/>
        <v>-126531.42891714275</v>
      </c>
      <c r="AJ643" s="314">
        <f t="shared" si="184"/>
        <v>0</v>
      </c>
      <c r="AK643" s="317"/>
      <c r="AL643" s="315">
        <f t="shared" si="185"/>
        <v>-5754.8098462500002</v>
      </c>
      <c r="AN643" s="554">
        <f t="shared" si="186"/>
        <v>-0.56781679755082071</v>
      </c>
      <c r="AO643" s="314"/>
      <c r="AP643" s="318"/>
    </row>
    <row r="644" spans="2:42">
      <c r="B644" s="296" t="s">
        <v>1254</v>
      </c>
      <c r="C644" s="299" t="s">
        <v>277</v>
      </c>
      <c r="D644" s="298" t="s">
        <v>890</v>
      </c>
      <c r="E644" s="299" t="s">
        <v>106</v>
      </c>
      <c r="F644" s="299" t="s">
        <v>59</v>
      </c>
      <c r="G644" s="300">
        <v>44550</v>
      </c>
      <c r="H644" s="303">
        <v>456.53046875000001</v>
      </c>
      <c r="I644" s="301" t="str">
        <f t="shared" si="170"/>
        <v>Ingresos Sección I LISR</v>
      </c>
      <c r="J644" s="302">
        <f t="shared" si="171"/>
        <v>5</v>
      </c>
      <c r="K644" s="304">
        <f t="shared" si="172"/>
        <v>91.306093750000002</v>
      </c>
      <c r="L644" s="305">
        <f>IF(H644=0,0,IF(OR(E644=$AT$5,E644=$AT$6),AA644,IF(F644="MXN",1/HLOOKUP(YEAR(G644)+(MONTH(G644)/100),TC!$5:$37,DAY(G644)+2,FALSE),VLOOKUP(F644,Equivalencia!$5:$23,((MAX(Equivalencia!$3:$3)-YEAR(G644))*14)+MONTH(G644)+2,FALSE))))</f>
        <v>1</v>
      </c>
      <c r="M644" s="306">
        <f t="shared" si="173"/>
        <v>456.53046875000001</v>
      </c>
      <c r="N644" s="305">
        <f>IF(G644=0,0,(IF(OR(E644=$AT$5,E644=$AT$6),AC644,HLOOKUP(YEAR(G644)+(MONTH(G644)/100),TC!$5:$37,DAY(G644)+2,FALSE))))</f>
        <v>20.9238</v>
      </c>
      <c r="O644" s="307">
        <f t="shared" si="174"/>
        <v>9552.3522220312498</v>
      </c>
      <c r="P644" s="560">
        <f>IF(G644=0,0,VLOOKUP(YEAR(G644),INPC!$B$4:$P$30,MONTH(G644)+2))</f>
        <v>117.30800000000001</v>
      </c>
      <c r="Q644" s="560">
        <f>IF(X644=0,0,IF(OR(E644=$AT$10,E644=$AT$9),VLOOKUP(YEAR(X644),INPC!$B$4:$P$30,MONTH(X644)+1),VLOOKUP(YEAR(X644),INPC!$B$4:$P$30,MONTH(X644)+2,0)))</f>
        <v>120.15900000000001</v>
      </c>
      <c r="R644" s="309">
        <f t="shared" si="175"/>
        <v>1.0243</v>
      </c>
      <c r="S644" s="310">
        <f t="shared" si="176"/>
        <v>9784.4743810266082</v>
      </c>
      <c r="T644" s="555">
        <f t="shared" si="177"/>
        <v>1956.8948762053217</v>
      </c>
      <c r="U644" s="311"/>
      <c r="V644" s="312">
        <v>5</v>
      </c>
      <c r="W644" s="299" t="s">
        <v>194</v>
      </c>
      <c r="X644" s="300">
        <v>44627</v>
      </c>
      <c r="Y644" s="299" t="s">
        <v>59</v>
      </c>
      <c r="Z644" s="303">
        <v>189.39</v>
      </c>
      <c r="AA644" s="305">
        <f>IF(Z644=0,0,IF(Y644="MXN",1/HLOOKUP(YEAR(X644)+(MONTH(X644)/100),TC!$5:$37,DAY(X644)+2,FALSE),VLOOKUP(Y644,Equivalencia!$1:$23,((MAX(Equivalencia!$3:$3)-YEAR(X644))*14)+MONTH(X644)+2,FALSE)))</f>
        <v>1</v>
      </c>
      <c r="AB644" s="306">
        <f t="shared" si="178"/>
        <v>189.39</v>
      </c>
      <c r="AC644" s="305">
        <f>+IF(X644=0,0,HLOOKUP(YEAR(X644)+(MONTH(X644)/100),TC!$5:$37,DAY(X644)+2,FALSE))</f>
        <v>20.703299999999999</v>
      </c>
      <c r="AD644" s="307">
        <f t="shared" si="179"/>
        <v>3920.9979869999993</v>
      </c>
      <c r="AE644" s="314">
        <f t="shared" si="180"/>
        <v>9784.4743810266082</v>
      </c>
      <c r="AF644" s="315">
        <f t="shared" si="181"/>
        <v>-5863.4763940266093</v>
      </c>
      <c r="AG644" s="316">
        <f t="shared" si="182"/>
        <v>0.21095890410958903</v>
      </c>
      <c r="AH644" s="314">
        <v>1</v>
      </c>
      <c r="AI644" s="314">
        <f t="shared" si="183"/>
        <v>-5863.4763940266093</v>
      </c>
      <c r="AJ644" s="314">
        <f t="shared" si="184"/>
        <v>0</v>
      </c>
      <c r="AK644" s="317"/>
      <c r="AL644" s="315">
        <f t="shared" si="185"/>
        <v>-267.14046875000003</v>
      </c>
      <c r="AN644" s="554">
        <f t="shared" si="186"/>
        <v>-0.5851536469875539</v>
      </c>
      <c r="AO644" s="314"/>
      <c r="AP644" s="318"/>
    </row>
    <row r="645" spans="2:42">
      <c r="B645" s="296" t="s">
        <v>1254</v>
      </c>
      <c r="C645" s="299" t="s">
        <v>277</v>
      </c>
      <c r="D645" s="298" t="s">
        <v>890</v>
      </c>
      <c r="E645" s="299" t="s">
        <v>106</v>
      </c>
      <c r="F645" s="299" t="s">
        <v>59</v>
      </c>
      <c r="G645" s="300">
        <v>44550</v>
      </c>
      <c r="H645" s="303">
        <v>1095.673125</v>
      </c>
      <c r="I645" s="301" t="str">
        <f t="shared" si="170"/>
        <v>Ingresos Sección I LISR</v>
      </c>
      <c r="J645" s="302">
        <f t="shared" si="171"/>
        <v>12</v>
      </c>
      <c r="K645" s="304">
        <f t="shared" si="172"/>
        <v>91.306093750000002</v>
      </c>
      <c r="L645" s="305">
        <f>IF(H645=0,0,IF(OR(E645=$AT$5,E645=$AT$6),AA645,IF(F645="MXN",1/HLOOKUP(YEAR(G645)+(MONTH(G645)/100),TC!$5:$37,DAY(G645)+2,FALSE),VLOOKUP(F645,Equivalencia!$5:$23,((MAX(Equivalencia!$3:$3)-YEAR(G645))*14)+MONTH(G645)+2,FALSE))))</f>
        <v>1</v>
      </c>
      <c r="M645" s="306">
        <f t="shared" si="173"/>
        <v>1095.673125</v>
      </c>
      <c r="N645" s="305">
        <f>IF(G645=0,0,(IF(OR(E645=$AT$5,E645=$AT$6),AC645,HLOOKUP(YEAR(G645)+(MONTH(G645)/100),TC!$5:$37,DAY(G645)+2,FALSE))))</f>
        <v>20.9238</v>
      </c>
      <c r="O645" s="307">
        <f t="shared" si="174"/>
        <v>22925.645332874999</v>
      </c>
      <c r="P645" s="560">
        <f>IF(G645=0,0,VLOOKUP(YEAR(G645),INPC!$B$4:$P$30,MONTH(G645)+2))</f>
        <v>117.30800000000001</v>
      </c>
      <c r="Q645" s="560">
        <f>IF(X645=0,0,IF(OR(E645=$AT$10,E645=$AT$9),VLOOKUP(YEAR(X645),INPC!$B$4:$P$30,MONTH(X645)+1),VLOOKUP(YEAR(X645),INPC!$B$4:$P$30,MONTH(X645)+2,0)))</f>
        <v>120.15900000000001</v>
      </c>
      <c r="R645" s="309">
        <f t="shared" si="175"/>
        <v>1.0243</v>
      </c>
      <c r="S645" s="310">
        <f t="shared" si="176"/>
        <v>23482.738514463861</v>
      </c>
      <c r="T645" s="555">
        <f t="shared" si="177"/>
        <v>1956.8948762053217</v>
      </c>
      <c r="U645" s="311"/>
      <c r="V645" s="312">
        <v>12</v>
      </c>
      <c r="W645" s="299" t="s">
        <v>194</v>
      </c>
      <c r="X645" s="300">
        <v>44628</v>
      </c>
      <c r="Y645" s="299" t="s">
        <v>59</v>
      </c>
      <c r="Z645" s="303">
        <v>447.36</v>
      </c>
      <c r="AA645" s="305">
        <f>IF(Z645=0,0,IF(Y645="MXN",1/HLOOKUP(YEAR(X645)+(MONTH(X645)/100),TC!$5:$37,DAY(X645)+2,FALSE),VLOOKUP(Y645,Equivalencia!$1:$23,((MAX(Equivalencia!$3:$3)-YEAR(X645))*14)+MONTH(X645)+2,FALSE)))</f>
        <v>1</v>
      </c>
      <c r="AB645" s="306">
        <f t="shared" si="178"/>
        <v>447.36</v>
      </c>
      <c r="AC645" s="305">
        <f>+IF(X645=0,0,HLOOKUP(YEAR(X645)+(MONTH(X645)/100),TC!$5:$37,DAY(X645)+2,FALSE))</f>
        <v>20.926200000000001</v>
      </c>
      <c r="AD645" s="307">
        <f t="shared" si="179"/>
        <v>9361.5448320000014</v>
      </c>
      <c r="AE645" s="314">
        <f t="shared" si="180"/>
        <v>23482.738514463861</v>
      </c>
      <c r="AF645" s="315">
        <f t="shared" si="181"/>
        <v>-14121.19368246386</v>
      </c>
      <c r="AG645" s="316">
        <f t="shared" si="182"/>
        <v>0.21369863013698631</v>
      </c>
      <c r="AH645" s="314">
        <v>1</v>
      </c>
      <c r="AI645" s="314">
        <f t="shared" si="183"/>
        <v>-14121.19368246386</v>
      </c>
      <c r="AJ645" s="314">
        <f t="shared" si="184"/>
        <v>0</v>
      </c>
      <c r="AK645" s="317"/>
      <c r="AL645" s="315">
        <f t="shared" si="185"/>
        <v>-648.31312500000001</v>
      </c>
      <c r="AN645" s="554">
        <f t="shared" si="186"/>
        <v>-0.59170304555932229</v>
      </c>
      <c r="AO645" s="314"/>
      <c r="AP645" s="318"/>
    </row>
    <row r="646" spans="2:42">
      <c r="B646" s="296" t="s">
        <v>1254</v>
      </c>
      <c r="C646" s="299" t="s">
        <v>277</v>
      </c>
      <c r="D646" s="298" t="s">
        <v>890</v>
      </c>
      <c r="E646" s="299" t="s">
        <v>106</v>
      </c>
      <c r="F646" s="299" t="s">
        <v>59</v>
      </c>
      <c r="G646" s="300">
        <v>44551</v>
      </c>
      <c r="H646" s="303">
        <v>1222.21</v>
      </c>
      <c r="I646" s="301" t="str">
        <f t="shared" si="170"/>
        <v>Ingresos Sección I LISR</v>
      </c>
      <c r="J646" s="302">
        <f t="shared" si="171"/>
        <v>13</v>
      </c>
      <c r="K646" s="304">
        <f t="shared" si="172"/>
        <v>94.016153846153856</v>
      </c>
      <c r="L646" s="305">
        <f>IF(H646=0,0,IF(OR(E646=$AT$5,E646=$AT$6),AA646,IF(F646="MXN",1/HLOOKUP(YEAR(G646)+(MONTH(G646)/100),TC!$5:$37,DAY(G646)+2,FALSE),VLOOKUP(F646,Equivalencia!$5:$23,((MAX(Equivalencia!$3:$3)-YEAR(G646))*14)+MONTH(G646)+2,FALSE))))</f>
        <v>1</v>
      </c>
      <c r="M646" s="306">
        <f t="shared" si="173"/>
        <v>1222.21</v>
      </c>
      <c r="N646" s="305">
        <f>IF(G646=0,0,(IF(OR(E646=$AT$5,E646=$AT$6),AC646,HLOOKUP(YEAR(G646)+(MONTH(G646)/100),TC!$5:$37,DAY(G646)+2,FALSE))))</f>
        <v>20.733699999999999</v>
      </c>
      <c r="O646" s="307">
        <f t="shared" si="174"/>
        <v>25340.935476999999</v>
      </c>
      <c r="P646" s="560">
        <f>IF(G646=0,0,VLOOKUP(YEAR(G646),INPC!$B$4:$P$30,MONTH(G646)+2))</f>
        <v>117.30800000000001</v>
      </c>
      <c r="Q646" s="560">
        <f>IF(X646=0,0,IF(OR(E646=$AT$10,E646=$AT$9),VLOOKUP(YEAR(X646),INPC!$B$4:$P$30,MONTH(X646)+1),VLOOKUP(YEAR(X646),INPC!$B$4:$P$30,MONTH(X646)+2,0)))</f>
        <v>120.15900000000001</v>
      </c>
      <c r="R646" s="309">
        <f t="shared" si="175"/>
        <v>1.0243</v>
      </c>
      <c r="S646" s="310">
        <f t="shared" si="176"/>
        <v>25956.720209091098</v>
      </c>
      <c r="T646" s="555">
        <f t="shared" si="177"/>
        <v>1996.6707853146997</v>
      </c>
      <c r="U646" s="311"/>
      <c r="V646" s="312">
        <v>13</v>
      </c>
      <c r="W646" s="299" t="s">
        <v>194</v>
      </c>
      <c r="X646" s="300">
        <v>44628</v>
      </c>
      <c r="Y646" s="299" t="s">
        <v>59</v>
      </c>
      <c r="Z646" s="303">
        <v>517.38042168674701</v>
      </c>
      <c r="AA646" s="305">
        <f>IF(Z646=0,0,IF(Y646="MXN",1/HLOOKUP(YEAR(X646)+(MONTH(X646)/100),TC!$5:$37,DAY(X646)+2,FALSE),VLOOKUP(Y646,Equivalencia!$1:$23,((MAX(Equivalencia!$3:$3)-YEAR(X646))*14)+MONTH(X646)+2,FALSE)))</f>
        <v>1</v>
      </c>
      <c r="AB646" s="306">
        <f t="shared" si="178"/>
        <v>517.38042168674701</v>
      </c>
      <c r="AC646" s="305">
        <f>+IF(X646=0,0,HLOOKUP(YEAR(X646)+(MONTH(X646)/100),TC!$5:$37,DAY(X646)+2,FALSE))</f>
        <v>20.926200000000001</v>
      </c>
      <c r="AD646" s="307">
        <f t="shared" si="179"/>
        <v>10826.806180301206</v>
      </c>
      <c r="AE646" s="314">
        <f t="shared" si="180"/>
        <v>25956.720209091098</v>
      </c>
      <c r="AF646" s="315">
        <f t="shared" si="181"/>
        <v>-15129.914028789892</v>
      </c>
      <c r="AG646" s="316">
        <f t="shared" si="182"/>
        <v>0.21095890410958903</v>
      </c>
      <c r="AH646" s="314">
        <v>1</v>
      </c>
      <c r="AI646" s="314">
        <f t="shared" si="183"/>
        <v>-15129.914028789892</v>
      </c>
      <c r="AJ646" s="314">
        <f t="shared" si="184"/>
        <v>0</v>
      </c>
      <c r="AK646" s="317"/>
      <c r="AL646" s="315">
        <f t="shared" si="185"/>
        <v>-704.82957831325302</v>
      </c>
      <c r="AN646" s="554">
        <f t="shared" si="186"/>
        <v>-0.57668451273778898</v>
      </c>
      <c r="AO646" s="314"/>
      <c r="AP646" s="318"/>
    </row>
    <row r="647" spans="2:42">
      <c r="B647" s="296" t="s">
        <v>1254</v>
      </c>
      <c r="C647" s="299" t="s">
        <v>277</v>
      </c>
      <c r="D647" s="298" t="s">
        <v>890</v>
      </c>
      <c r="E647" s="299" t="s">
        <v>106</v>
      </c>
      <c r="F647" s="299" t="s">
        <v>59</v>
      </c>
      <c r="G647" s="300">
        <v>44551</v>
      </c>
      <c r="H647" s="303">
        <v>1611.47</v>
      </c>
      <c r="I647" s="301" t="str">
        <f t="shared" si="170"/>
        <v>Ingresos Sección I LISR</v>
      </c>
      <c r="J647" s="302">
        <f t="shared" si="171"/>
        <v>17</v>
      </c>
      <c r="K647" s="304">
        <f t="shared" si="172"/>
        <v>94.792352941176475</v>
      </c>
      <c r="L647" s="305">
        <f>IF(H647=0,0,IF(OR(E647=$AT$5,E647=$AT$6),AA647,IF(F647="MXN",1/HLOOKUP(YEAR(G647)+(MONTH(G647)/100),TC!$5:$37,DAY(G647)+2,FALSE),VLOOKUP(F647,Equivalencia!$5:$23,((MAX(Equivalencia!$3:$3)-YEAR(G647))*14)+MONTH(G647)+2,FALSE))))</f>
        <v>1</v>
      </c>
      <c r="M647" s="306">
        <f t="shared" si="173"/>
        <v>1611.47</v>
      </c>
      <c r="N647" s="305">
        <f>IF(G647=0,0,(IF(OR(E647=$AT$5,E647=$AT$6),AC647,HLOOKUP(YEAR(G647)+(MONTH(G647)/100),TC!$5:$37,DAY(G647)+2,FALSE))))</f>
        <v>20.733699999999999</v>
      </c>
      <c r="O647" s="307">
        <f t="shared" si="174"/>
        <v>33411.735539000001</v>
      </c>
      <c r="P647" s="560">
        <f>IF(G647=0,0,VLOOKUP(YEAR(G647),INPC!$B$4:$P$30,MONTH(G647)+2))</f>
        <v>117.30800000000001</v>
      </c>
      <c r="Q647" s="560">
        <f>IF(X647=0,0,IF(OR(E647=$AT$10,E647=$AT$9),VLOOKUP(YEAR(X647),INPC!$B$4:$P$30,MONTH(X647)+1),VLOOKUP(YEAR(X647),INPC!$B$4:$P$30,MONTH(X647)+2,0)))</f>
        <v>120.15900000000001</v>
      </c>
      <c r="R647" s="309">
        <f t="shared" si="175"/>
        <v>1.0243</v>
      </c>
      <c r="S647" s="310">
        <f t="shared" si="176"/>
        <v>34223.640712597698</v>
      </c>
      <c r="T647" s="555">
        <f t="shared" si="177"/>
        <v>2013.1553360351588</v>
      </c>
      <c r="U647" s="311"/>
      <c r="V647" s="312">
        <v>17</v>
      </c>
      <c r="W647" s="299" t="s">
        <v>194</v>
      </c>
      <c r="X647" s="300">
        <v>44628</v>
      </c>
      <c r="Y647" s="299" t="s">
        <v>59</v>
      </c>
      <c r="Z647" s="303">
        <v>676.57439759036151</v>
      </c>
      <c r="AA647" s="305">
        <f>IF(Z647=0,0,IF(Y647="MXN",1/HLOOKUP(YEAR(X647)+(MONTH(X647)/100),TC!$5:$37,DAY(X647)+2,FALSE),VLOOKUP(Y647,Equivalencia!$1:$23,((MAX(Equivalencia!$3:$3)-YEAR(X647))*14)+MONTH(X647)+2,FALSE)))</f>
        <v>1</v>
      </c>
      <c r="AB647" s="306">
        <f t="shared" si="178"/>
        <v>676.57439759036151</v>
      </c>
      <c r="AC647" s="305">
        <f>+IF(X647=0,0,HLOOKUP(YEAR(X647)+(MONTH(X647)/100),TC!$5:$37,DAY(X647)+2,FALSE))</f>
        <v>20.926200000000001</v>
      </c>
      <c r="AD647" s="307">
        <f t="shared" si="179"/>
        <v>14158.131158855424</v>
      </c>
      <c r="AE647" s="314">
        <f t="shared" si="180"/>
        <v>34223.640712597698</v>
      </c>
      <c r="AF647" s="315">
        <f t="shared" si="181"/>
        <v>-20065.509553742275</v>
      </c>
      <c r="AG647" s="316">
        <f t="shared" si="182"/>
        <v>0.21095890410958903</v>
      </c>
      <c r="AH647" s="314">
        <v>1</v>
      </c>
      <c r="AI647" s="314">
        <f t="shared" si="183"/>
        <v>-20065.509553742275</v>
      </c>
      <c r="AJ647" s="314">
        <f t="shared" si="184"/>
        <v>0</v>
      </c>
      <c r="AK647" s="317"/>
      <c r="AL647" s="315">
        <f t="shared" si="185"/>
        <v>-934.89560240963851</v>
      </c>
      <c r="AN647" s="554">
        <f t="shared" si="186"/>
        <v>-0.58015079549084902</v>
      </c>
      <c r="AO647" s="314"/>
      <c r="AP647" s="318"/>
    </row>
    <row r="648" spans="2:42">
      <c r="B648" s="296" t="s">
        <v>1254</v>
      </c>
      <c r="C648" s="299" t="s">
        <v>277</v>
      </c>
      <c r="D648" s="298" t="s">
        <v>890</v>
      </c>
      <c r="E648" s="299" t="s">
        <v>106</v>
      </c>
      <c r="F648" s="299" t="s">
        <v>59</v>
      </c>
      <c r="G648" s="300">
        <v>44551</v>
      </c>
      <c r="H648" s="303">
        <v>5252.48</v>
      </c>
      <c r="I648" s="301" t="str">
        <f t="shared" si="170"/>
        <v>Ingresos Sección I LISR</v>
      </c>
      <c r="J648" s="302">
        <f t="shared" si="171"/>
        <v>56</v>
      </c>
      <c r="K648" s="304">
        <f t="shared" si="172"/>
        <v>93.794285714285706</v>
      </c>
      <c r="L648" s="305">
        <f>IF(H648=0,0,IF(OR(E648=$AT$5,E648=$AT$6),AA648,IF(F648="MXN",1/HLOOKUP(YEAR(G648)+(MONTH(G648)/100),TC!$5:$37,DAY(G648)+2,FALSE),VLOOKUP(F648,Equivalencia!$5:$23,((MAX(Equivalencia!$3:$3)-YEAR(G648))*14)+MONTH(G648)+2,FALSE))))</f>
        <v>1</v>
      </c>
      <c r="M648" s="306">
        <f t="shared" si="173"/>
        <v>5252.48</v>
      </c>
      <c r="N648" s="305">
        <f>IF(G648=0,0,(IF(OR(E648=$AT$5,E648=$AT$6),AC648,HLOOKUP(YEAR(G648)+(MONTH(G648)/100),TC!$5:$37,DAY(G648)+2,FALSE))))</f>
        <v>20.733699999999999</v>
      </c>
      <c r="O648" s="307">
        <f t="shared" si="174"/>
        <v>108903.34457599999</v>
      </c>
      <c r="P648" s="560">
        <f>IF(G648=0,0,VLOOKUP(YEAR(G648),INPC!$B$4:$P$30,MONTH(G648)+2))</f>
        <v>117.30800000000001</v>
      </c>
      <c r="Q648" s="560">
        <f>IF(X648=0,0,IF(OR(E648=$AT$10,E648=$AT$9),VLOOKUP(YEAR(X648),INPC!$B$4:$P$30,MONTH(X648)+1),VLOOKUP(YEAR(X648),INPC!$B$4:$P$30,MONTH(X648)+2,0)))</f>
        <v>120.15900000000001</v>
      </c>
      <c r="R648" s="309">
        <f t="shared" si="175"/>
        <v>1.0243</v>
      </c>
      <c r="S648" s="310">
        <f t="shared" si="176"/>
        <v>111549.69584919678</v>
      </c>
      <c r="T648" s="555">
        <f t="shared" si="177"/>
        <v>1991.9588544499425</v>
      </c>
      <c r="U648" s="311"/>
      <c r="V648" s="312">
        <v>56</v>
      </c>
      <c r="W648" s="299" t="s">
        <v>194</v>
      </c>
      <c r="X648" s="300">
        <v>44628</v>
      </c>
      <c r="Y648" s="299" t="s">
        <v>59</v>
      </c>
      <c r="Z648" s="303">
        <v>2228.7156626506026</v>
      </c>
      <c r="AA648" s="305">
        <f>IF(Z648=0,0,IF(Y648="MXN",1/HLOOKUP(YEAR(X648)+(MONTH(X648)/100),TC!$5:$37,DAY(X648)+2,FALSE),VLOOKUP(Y648,Equivalencia!$1:$23,((MAX(Equivalencia!$3:$3)-YEAR(X648))*14)+MONTH(X648)+2,FALSE)))</f>
        <v>1</v>
      </c>
      <c r="AB648" s="306">
        <f t="shared" si="178"/>
        <v>2228.7156626506026</v>
      </c>
      <c r="AC648" s="305">
        <f>+IF(X648=0,0,HLOOKUP(YEAR(X648)+(MONTH(X648)/100),TC!$5:$37,DAY(X648)+2,FALSE))</f>
        <v>20.926200000000001</v>
      </c>
      <c r="AD648" s="307">
        <f t="shared" si="179"/>
        <v>46638.549699759045</v>
      </c>
      <c r="AE648" s="314">
        <f t="shared" si="180"/>
        <v>111549.69584919678</v>
      </c>
      <c r="AF648" s="315">
        <f t="shared" si="181"/>
        <v>-64911.146149437736</v>
      </c>
      <c r="AG648" s="316">
        <f t="shared" si="182"/>
        <v>0.21095890410958903</v>
      </c>
      <c r="AH648" s="314">
        <v>1</v>
      </c>
      <c r="AI648" s="314">
        <f t="shared" si="183"/>
        <v>-64911.146149437736</v>
      </c>
      <c r="AJ648" s="314">
        <f t="shared" si="184"/>
        <v>0</v>
      </c>
      <c r="AK648" s="317"/>
      <c r="AL648" s="315">
        <f t="shared" si="185"/>
        <v>-3023.764337349397</v>
      </c>
      <c r="AN648" s="554">
        <f t="shared" si="186"/>
        <v>-0.5756831701119085</v>
      </c>
      <c r="AO648" s="314"/>
      <c r="AP648" s="318"/>
    </row>
    <row r="649" spans="2:42">
      <c r="B649" s="296" t="s">
        <v>1254</v>
      </c>
      <c r="C649" s="299" t="s">
        <v>277</v>
      </c>
      <c r="D649" s="298" t="s">
        <v>890</v>
      </c>
      <c r="E649" s="299" t="s">
        <v>106</v>
      </c>
      <c r="F649" s="299" t="s">
        <v>59</v>
      </c>
      <c r="G649" s="300">
        <v>44552</v>
      </c>
      <c r="H649" s="303">
        <v>1247.52</v>
      </c>
      <c r="I649" s="301" t="str">
        <f t="shared" si="170"/>
        <v>Ingresos Sección I LISR</v>
      </c>
      <c r="J649" s="302">
        <f t="shared" si="171"/>
        <v>13</v>
      </c>
      <c r="K649" s="304">
        <f t="shared" si="172"/>
        <v>95.963076923076926</v>
      </c>
      <c r="L649" s="305">
        <f>IF(H649=0,0,IF(OR(E649=$AT$5,E649=$AT$6),AA649,IF(F649="MXN",1/HLOOKUP(YEAR(G649)+(MONTH(G649)/100),TC!$5:$37,DAY(G649)+2,FALSE),VLOOKUP(F649,Equivalencia!$5:$23,((MAX(Equivalencia!$3:$3)-YEAR(G649))*14)+MONTH(G649)+2,FALSE))))</f>
        <v>1</v>
      </c>
      <c r="M649" s="306">
        <f t="shared" si="173"/>
        <v>1247.52</v>
      </c>
      <c r="N649" s="305">
        <f>IF(G649=0,0,(IF(OR(E649=$AT$5,E649=$AT$6),AC649,HLOOKUP(YEAR(G649)+(MONTH(G649)/100),TC!$5:$37,DAY(G649)+2,FALSE))))</f>
        <v>20.7363</v>
      </c>
      <c r="O649" s="307">
        <f t="shared" si="174"/>
        <v>25868.948976</v>
      </c>
      <c r="P649" s="560">
        <f>IF(G649=0,0,VLOOKUP(YEAR(G649),INPC!$B$4:$P$30,MONTH(G649)+2))</f>
        <v>117.30800000000001</v>
      </c>
      <c r="Q649" s="560">
        <f>IF(X649=0,0,IF(OR(E649=$AT$10,E649=$AT$9),VLOOKUP(YEAR(X649),INPC!$B$4:$P$30,MONTH(X649)+1),VLOOKUP(YEAR(X649),INPC!$B$4:$P$30,MONTH(X649)+2,0)))</f>
        <v>120.15900000000001</v>
      </c>
      <c r="R649" s="309">
        <f t="shared" si="175"/>
        <v>1.0243</v>
      </c>
      <c r="S649" s="310">
        <f t="shared" si="176"/>
        <v>26497.564436116798</v>
      </c>
      <c r="T649" s="555">
        <f t="shared" si="177"/>
        <v>2038.2741873935997</v>
      </c>
      <c r="U649" s="311"/>
      <c r="V649" s="312">
        <v>13</v>
      </c>
      <c r="W649" s="299" t="s">
        <v>194</v>
      </c>
      <c r="X649" s="300">
        <v>44628</v>
      </c>
      <c r="Y649" s="299" t="s">
        <v>59</v>
      </c>
      <c r="Z649" s="303">
        <v>517.38042168674701</v>
      </c>
      <c r="AA649" s="305">
        <f>IF(Z649=0,0,IF(Y649="MXN",1/HLOOKUP(YEAR(X649)+(MONTH(X649)/100),TC!$5:$37,DAY(X649)+2,FALSE),VLOOKUP(Y649,Equivalencia!$1:$23,((MAX(Equivalencia!$3:$3)-YEAR(X649))*14)+MONTH(X649)+2,FALSE)))</f>
        <v>1</v>
      </c>
      <c r="AB649" s="306">
        <f t="shared" si="178"/>
        <v>517.38042168674701</v>
      </c>
      <c r="AC649" s="305">
        <f>+IF(X649=0,0,HLOOKUP(YEAR(X649)+(MONTH(X649)/100),TC!$5:$37,DAY(X649)+2,FALSE))</f>
        <v>20.926200000000001</v>
      </c>
      <c r="AD649" s="307">
        <f t="shared" si="179"/>
        <v>10826.806180301206</v>
      </c>
      <c r="AE649" s="314">
        <f t="shared" si="180"/>
        <v>26497.564436116798</v>
      </c>
      <c r="AF649" s="315">
        <f t="shared" si="181"/>
        <v>-15670.758255815592</v>
      </c>
      <c r="AG649" s="316">
        <f t="shared" si="182"/>
        <v>0.20821917808219179</v>
      </c>
      <c r="AH649" s="314">
        <v>1</v>
      </c>
      <c r="AI649" s="314">
        <f t="shared" si="183"/>
        <v>-15670.758255815592</v>
      </c>
      <c r="AJ649" s="314">
        <f t="shared" si="184"/>
        <v>0</v>
      </c>
      <c r="AK649" s="317"/>
      <c r="AL649" s="315">
        <f t="shared" si="185"/>
        <v>-730.13957831325297</v>
      </c>
      <c r="AN649" s="554">
        <f t="shared" si="186"/>
        <v>-0.58527284397304491</v>
      </c>
      <c r="AO649" s="314"/>
      <c r="AP649" s="318"/>
    </row>
    <row r="650" spans="2:42">
      <c r="B650" s="296" t="s">
        <v>1254</v>
      </c>
      <c r="C650" s="299" t="s">
        <v>277</v>
      </c>
      <c r="D650" s="298" t="s">
        <v>890</v>
      </c>
      <c r="E650" s="299" t="s">
        <v>106</v>
      </c>
      <c r="F650" s="299" t="s">
        <v>59</v>
      </c>
      <c r="G650" s="300">
        <v>44553</v>
      </c>
      <c r="H650" s="303">
        <v>93.44</v>
      </c>
      <c r="I650" s="301" t="str">
        <f t="shared" si="170"/>
        <v>Ingresos Sección I LISR</v>
      </c>
      <c r="J650" s="302">
        <f t="shared" si="171"/>
        <v>1</v>
      </c>
      <c r="K650" s="304">
        <f t="shared" si="172"/>
        <v>93.44</v>
      </c>
      <c r="L650" s="305">
        <f>IF(H650=0,0,IF(OR(E650=$AT$5,E650=$AT$6),AA650,IF(F650="MXN",1/HLOOKUP(YEAR(G650)+(MONTH(G650)/100),TC!$5:$37,DAY(G650)+2,FALSE),VLOOKUP(F650,Equivalencia!$5:$23,((MAX(Equivalencia!$3:$3)-YEAR(G650))*14)+MONTH(G650)+2,FALSE))))</f>
        <v>1</v>
      </c>
      <c r="M650" s="306">
        <f t="shared" si="173"/>
        <v>93.44</v>
      </c>
      <c r="N650" s="305">
        <f>IF(G650=0,0,(IF(OR(E650=$AT$5,E650=$AT$6),AC650,HLOOKUP(YEAR(G650)+(MONTH(G650)/100),TC!$5:$37,DAY(G650)+2,FALSE))))</f>
        <v>20.782299999999999</v>
      </c>
      <c r="O650" s="307">
        <f t="shared" si="174"/>
        <v>1941.8981119999999</v>
      </c>
      <c r="P650" s="560">
        <f>IF(G650=0,0,VLOOKUP(YEAR(G650),INPC!$B$4:$P$30,MONTH(G650)+2))</f>
        <v>117.30800000000001</v>
      </c>
      <c r="Q650" s="560">
        <f>IF(X650=0,0,IF(OR(E650=$AT$10,E650=$AT$9),VLOOKUP(YEAR(X650),INPC!$B$4:$P$30,MONTH(X650)+1),VLOOKUP(YEAR(X650),INPC!$B$4:$P$30,MONTH(X650)+2,0)))</f>
        <v>120.15900000000001</v>
      </c>
      <c r="R650" s="309">
        <f t="shared" si="175"/>
        <v>1.0243</v>
      </c>
      <c r="S650" s="310">
        <f t="shared" si="176"/>
        <v>1989.0862361215998</v>
      </c>
      <c r="T650" s="555">
        <f t="shared" si="177"/>
        <v>1989.0862361215998</v>
      </c>
      <c r="U650" s="311"/>
      <c r="V650" s="312">
        <v>1</v>
      </c>
      <c r="W650" s="299" t="s">
        <v>194</v>
      </c>
      <c r="X650" s="300">
        <v>44628</v>
      </c>
      <c r="Y650" s="299" t="s">
        <v>59</v>
      </c>
      <c r="Z650" s="303">
        <v>39.798493975903618</v>
      </c>
      <c r="AA650" s="305">
        <f>IF(Z650=0,0,IF(Y650="MXN",1/HLOOKUP(YEAR(X650)+(MONTH(X650)/100),TC!$5:$37,DAY(X650)+2,FALSE),VLOOKUP(Y650,Equivalencia!$1:$23,((MAX(Equivalencia!$3:$3)-YEAR(X650))*14)+MONTH(X650)+2,FALSE)))</f>
        <v>1</v>
      </c>
      <c r="AB650" s="306">
        <f t="shared" si="178"/>
        <v>39.798493975903618</v>
      </c>
      <c r="AC650" s="305">
        <f>+IF(X650=0,0,HLOOKUP(YEAR(X650)+(MONTH(X650)/100),TC!$5:$37,DAY(X650)+2,FALSE))</f>
        <v>20.926200000000001</v>
      </c>
      <c r="AD650" s="307">
        <f t="shared" si="179"/>
        <v>832.83124463855438</v>
      </c>
      <c r="AE650" s="314">
        <f t="shared" si="180"/>
        <v>1989.0862361215998</v>
      </c>
      <c r="AF650" s="315">
        <f t="shared" si="181"/>
        <v>-1156.2549914830454</v>
      </c>
      <c r="AG650" s="316">
        <f t="shared" si="182"/>
        <v>0.20547945205479451</v>
      </c>
      <c r="AH650" s="314">
        <v>1</v>
      </c>
      <c r="AI650" s="314">
        <f t="shared" si="183"/>
        <v>-1156.2549914830454</v>
      </c>
      <c r="AJ650" s="314">
        <f t="shared" si="184"/>
        <v>0</v>
      </c>
      <c r="AK650" s="317"/>
      <c r="AL650" s="315">
        <f t="shared" si="185"/>
        <v>-53.64150602409638</v>
      </c>
      <c r="AN650" s="554">
        <f t="shared" si="186"/>
        <v>-0.57407433673048358</v>
      </c>
      <c r="AO650" s="314"/>
      <c r="AP650" s="318"/>
    </row>
    <row r="651" spans="2:42">
      <c r="B651" s="296" t="s">
        <v>1254</v>
      </c>
      <c r="C651" s="299" t="s">
        <v>277</v>
      </c>
      <c r="D651" s="298" t="s">
        <v>890</v>
      </c>
      <c r="E651" s="299" t="s">
        <v>106</v>
      </c>
      <c r="F651" s="299" t="s">
        <v>59</v>
      </c>
      <c r="G651" s="300">
        <v>44553</v>
      </c>
      <c r="H651" s="303">
        <v>376.78</v>
      </c>
      <c r="I651" s="301" t="str">
        <f t="shared" si="170"/>
        <v>Ingresos Sección I LISR</v>
      </c>
      <c r="J651" s="302">
        <f t="shared" si="171"/>
        <v>4</v>
      </c>
      <c r="K651" s="304">
        <f t="shared" si="172"/>
        <v>94.194999999999993</v>
      </c>
      <c r="L651" s="305">
        <f>IF(H651=0,0,IF(OR(E651=$AT$5,E651=$AT$6),AA651,IF(F651="MXN",1/HLOOKUP(YEAR(G651)+(MONTH(G651)/100),TC!$5:$37,DAY(G651)+2,FALSE),VLOOKUP(F651,Equivalencia!$5:$23,((MAX(Equivalencia!$3:$3)-YEAR(G651))*14)+MONTH(G651)+2,FALSE))))</f>
        <v>1</v>
      </c>
      <c r="M651" s="306">
        <f t="shared" si="173"/>
        <v>376.78</v>
      </c>
      <c r="N651" s="305">
        <f>IF(G651=0,0,(IF(OR(E651=$AT$5,E651=$AT$6),AC651,HLOOKUP(YEAR(G651)+(MONTH(G651)/100),TC!$5:$37,DAY(G651)+2,FALSE))))</f>
        <v>20.782299999999999</v>
      </c>
      <c r="O651" s="307">
        <f t="shared" si="174"/>
        <v>7830.3549939999994</v>
      </c>
      <c r="P651" s="560">
        <f>IF(G651=0,0,VLOOKUP(YEAR(G651),INPC!$B$4:$P$30,MONTH(G651)+2))</f>
        <v>117.30800000000001</v>
      </c>
      <c r="Q651" s="560">
        <f>IF(X651=0,0,IF(OR(E651=$AT$10,E651=$AT$9),VLOOKUP(YEAR(X651),INPC!$B$4:$P$30,MONTH(X651)+1),VLOOKUP(YEAR(X651),INPC!$B$4:$P$30,MONTH(X651)+2,0)))</f>
        <v>120.15900000000001</v>
      </c>
      <c r="R651" s="309">
        <f t="shared" si="175"/>
        <v>1.0243</v>
      </c>
      <c r="S651" s="310">
        <f t="shared" si="176"/>
        <v>8020.6326203541994</v>
      </c>
      <c r="T651" s="555">
        <f t="shared" si="177"/>
        <v>2005.1581550885498</v>
      </c>
      <c r="U651" s="311"/>
      <c r="V651" s="312">
        <v>4</v>
      </c>
      <c r="W651" s="299" t="s">
        <v>194</v>
      </c>
      <c r="X651" s="300">
        <v>44628</v>
      </c>
      <c r="Y651" s="299" t="s">
        <v>59</v>
      </c>
      <c r="Z651" s="303">
        <v>159.19397590361447</v>
      </c>
      <c r="AA651" s="305">
        <f>IF(Z651=0,0,IF(Y651="MXN",1/HLOOKUP(YEAR(X651)+(MONTH(X651)/100),TC!$5:$37,DAY(X651)+2,FALSE),VLOOKUP(Y651,Equivalencia!$1:$23,((MAX(Equivalencia!$3:$3)-YEAR(X651))*14)+MONTH(X651)+2,FALSE)))</f>
        <v>1</v>
      </c>
      <c r="AB651" s="306">
        <f t="shared" si="178"/>
        <v>159.19397590361447</v>
      </c>
      <c r="AC651" s="305">
        <f>+IF(X651=0,0,HLOOKUP(YEAR(X651)+(MONTH(X651)/100),TC!$5:$37,DAY(X651)+2,FALSE))</f>
        <v>20.926200000000001</v>
      </c>
      <c r="AD651" s="307">
        <f t="shared" si="179"/>
        <v>3331.3249785542175</v>
      </c>
      <c r="AE651" s="314">
        <f t="shared" si="180"/>
        <v>8020.6326203541994</v>
      </c>
      <c r="AF651" s="315">
        <f t="shared" si="181"/>
        <v>-4689.3076417999819</v>
      </c>
      <c r="AG651" s="316">
        <f t="shared" si="182"/>
        <v>0.20547945205479451</v>
      </c>
      <c r="AH651" s="314">
        <v>1</v>
      </c>
      <c r="AI651" s="314">
        <f t="shared" si="183"/>
        <v>-4689.3076417999819</v>
      </c>
      <c r="AJ651" s="314">
        <f t="shared" si="184"/>
        <v>0</v>
      </c>
      <c r="AK651" s="317"/>
      <c r="AL651" s="315">
        <f t="shared" si="185"/>
        <v>-217.5860240963855</v>
      </c>
      <c r="AN651" s="554">
        <f t="shared" si="186"/>
        <v>-0.57748825334780385</v>
      </c>
      <c r="AO651" s="314"/>
      <c r="AP651" s="318"/>
    </row>
    <row r="652" spans="2:42">
      <c r="B652" s="296" t="s">
        <v>1254</v>
      </c>
      <c r="C652" s="299" t="s">
        <v>277</v>
      </c>
      <c r="D652" s="298" t="s">
        <v>890</v>
      </c>
      <c r="E652" s="299" t="s">
        <v>106</v>
      </c>
      <c r="F652" s="299" t="s">
        <v>59</v>
      </c>
      <c r="G652" s="300">
        <v>44553</v>
      </c>
      <c r="H652" s="303">
        <v>553.74</v>
      </c>
      <c r="I652" s="301" t="str">
        <f t="shared" si="170"/>
        <v>Ingresos Sección I LISR</v>
      </c>
      <c r="J652" s="302">
        <f t="shared" si="171"/>
        <v>6</v>
      </c>
      <c r="K652" s="304">
        <f t="shared" si="172"/>
        <v>92.29</v>
      </c>
      <c r="L652" s="305">
        <f>IF(H652=0,0,IF(OR(E652=$AT$5,E652=$AT$6),AA652,IF(F652="MXN",1/HLOOKUP(YEAR(G652)+(MONTH(G652)/100),TC!$5:$37,DAY(G652)+2,FALSE),VLOOKUP(F652,Equivalencia!$5:$23,((MAX(Equivalencia!$3:$3)-YEAR(G652))*14)+MONTH(G652)+2,FALSE))))</f>
        <v>1</v>
      </c>
      <c r="M652" s="306">
        <f t="shared" si="173"/>
        <v>553.74</v>
      </c>
      <c r="N652" s="305">
        <f>IF(G652=0,0,(IF(OR(E652=$AT$5,E652=$AT$6),AC652,HLOOKUP(YEAR(G652)+(MONTH(G652)/100),TC!$5:$37,DAY(G652)+2,FALSE))))</f>
        <v>20.782299999999999</v>
      </c>
      <c r="O652" s="307">
        <f t="shared" si="174"/>
        <v>11507.990802</v>
      </c>
      <c r="P652" s="560">
        <f>IF(G652=0,0,VLOOKUP(YEAR(G652),INPC!$B$4:$P$30,MONTH(G652)+2))</f>
        <v>117.30800000000001</v>
      </c>
      <c r="Q652" s="560">
        <f>IF(X652=0,0,IF(OR(E652=$AT$10,E652=$AT$9),VLOOKUP(YEAR(X652),INPC!$B$4:$P$30,MONTH(X652)+1),VLOOKUP(YEAR(X652),INPC!$B$4:$P$30,MONTH(X652)+2,0)))</f>
        <v>120.15900000000001</v>
      </c>
      <c r="R652" s="309">
        <f t="shared" si="175"/>
        <v>1.0243</v>
      </c>
      <c r="S652" s="310">
        <f t="shared" si="176"/>
        <v>11787.634978488601</v>
      </c>
      <c r="T652" s="555">
        <f t="shared" si="177"/>
        <v>1964.6058297481002</v>
      </c>
      <c r="U652" s="311"/>
      <c r="V652" s="312">
        <v>6</v>
      </c>
      <c r="W652" s="299" t="s">
        <v>194</v>
      </c>
      <c r="X652" s="300">
        <v>44628</v>
      </c>
      <c r="Y652" s="299" t="s">
        <v>59</v>
      </c>
      <c r="Z652" s="303">
        <v>238.79096385542169</v>
      </c>
      <c r="AA652" s="305">
        <f>IF(Z652=0,0,IF(Y652="MXN",1/HLOOKUP(YEAR(X652)+(MONTH(X652)/100),TC!$5:$37,DAY(X652)+2,FALSE),VLOOKUP(Y652,Equivalencia!$1:$23,((MAX(Equivalencia!$3:$3)-YEAR(X652))*14)+MONTH(X652)+2,FALSE)))</f>
        <v>1</v>
      </c>
      <c r="AB652" s="306">
        <f t="shared" si="178"/>
        <v>238.79096385542169</v>
      </c>
      <c r="AC652" s="305">
        <f>+IF(X652=0,0,HLOOKUP(YEAR(X652)+(MONTH(X652)/100),TC!$5:$37,DAY(X652)+2,FALSE))</f>
        <v>20.926200000000001</v>
      </c>
      <c r="AD652" s="307">
        <f t="shared" si="179"/>
        <v>4996.9874678313254</v>
      </c>
      <c r="AE652" s="314">
        <f t="shared" si="180"/>
        <v>11787.634978488601</v>
      </c>
      <c r="AF652" s="315">
        <f t="shared" si="181"/>
        <v>-6790.6475106572752</v>
      </c>
      <c r="AG652" s="316">
        <f t="shared" si="182"/>
        <v>0.20547945205479451</v>
      </c>
      <c r="AH652" s="314">
        <v>1</v>
      </c>
      <c r="AI652" s="314">
        <f t="shared" si="183"/>
        <v>-6790.6475106572752</v>
      </c>
      <c r="AJ652" s="314">
        <f t="shared" si="184"/>
        <v>0</v>
      </c>
      <c r="AK652" s="317"/>
      <c r="AL652" s="315">
        <f t="shared" si="185"/>
        <v>-314.94903614457832</v>
      </c>
      <c r="AN652" s="554">
        <f t="shared" si="186"/>
        <v>-0.56876699560186783</v>
      </c>
      <c r="AO652" s="314"/>
      <c r="AP652" s="318"/>
    </row>
    <row r="653" spans="2:42">
      <c r="B653" s="296" t="s">
        <v>1254</v>
      </c>
      <c r="C653" s="299" t="s">
        <v>277</v>
      </c>
      <c r="D653" s="298" t="s">
        <v>890</v>
      </c>
      <c r="E653" s="299" t="s">
        <v>106</v>
      </c>
      <c r="F653" s="299" t="s">
        <v>59</v>
      </c>
      <c r="G653" s="300">
        <v>44553</v>
      </c>
      <c r="H653" s="303">
        <v>3060.12</v>
      </c>
      <c r="I653" s="301" t="str">
        <f t="shared" si="170"/>
        <v>Ingresos Sección I LISR</v>
      </c>
      <c r="J653" s="302">
        <f t="shared" si="171"/>
        <v>32</v>
      </c>
      <c r="K653" s="304">
        <f t="shared" si="172"/>
        <v>95.628749999999997</v>
      </c>
      <c r="L653" s="305">
        <f>IF(H653=0,0,IF(OR(E653=$AT$5,E653=$AT$6),AA653,IF(F653="MXN",1/HLOOKUP(YEAR(G653)+(MONTH(G653)/100),TC!$5:$37,DAY(G653)+2,FALSE),VLOOKUP(F653,Equivalencia!$5:$23,((MAX(Equivalencia!$3:$3)-YEAR(G653))*14)+MONTH(G653)+2,FALSE))))</f>
        <v>1</v>
      </c>
      <c r="M653" s="306">
        <f t="shared" si="173"/>
        <v>3060.12</v>
      </c>
      <c r="N653" s="305">
        <f>IF(G653=0,0,(IF(OR(E653=$AT$5,E653=$AT$6),AC653,HLOOKUP(YEAR(G653)+(MONTH(G653)/100),TC!$5:$37,DAY(G653)+2,FALSE))))</f>
        <v>20.782299999999999</v>
      </c>
      <c r="O653" s="307">
        <f t="shared" si="174"/>
        <v>63596.331875999997</v>
      </c>
      <c r="P653" s="560">
        <f>IF(G653=0,0,VLOOKUP(YEAR(G653),INPC!$B$4:$P$30,MONTH(G653)+2))</f>
        <v>117.30800000000001</v>
      </c>
      <c r="Q653" s="560">
        <f>IF(X653=0,0,IF(OR(E653=$AT$10,E653=$AT$9),VLOOKUP(YEAR(X653),INPC!$B$4:$P$30,MONTH(X653)+1),VLOOKUP(YEAR(X653),INPC!$B$4:$P$30,MONTH(X653)+2,0)))</f>
        <v>120.15900000000001</v>
      </c>
      <c r="R653" s="309">
        <f t="shared" si="175"/>
        <v>1.0243</v>
      </c>
      <c r="S653" s="310">
        <f t="shared" si="176"/>
        <v>65141.722740586796</v>
      </c>
      <c r="T653" s="555">
        <f t="shared" si="177"/>
        <v>2035.6788356433374</v>
      </c>
      <c r="U653" s="311"/>
      <c r="V653" s="312">
        <v>32</v>
      </c>
      <c r="W653" s="299" t="s">
        <v>194</v>
      </c>
      <c r="X653" s="300">
        <v>44628</v>
      </c>
      <c r="Y653" s="299" t="s">
        <v>59</v>
      </c>
      <c r="Z653" s="303">
        <v>1273.5518072289158</v>
      </c>
      <c r="AA653" s="305">
        <f>IF(Z653=0,0,IF(Y653="MXN",1/HLOOKUP(YEAR(X653)+(MONTH(X653)/100),TC!$5:$37,DAY(X653)+2,FALSE),VLOOKUP(Y653,Equivalencia!$1:$23,((MAX(Equivalencia!$3:$3)-YEAR(X653))*14)+MONTH(X653)+2,FALSE)))</f>
        <v>1</v>
      </c>
      <c r="AB653" s="306">
        <f t="shared" si="178"/>
        <v>1273.5518072289158</v>
      </c>
      <c r="AC653" s="305">
        <f>+IF(X653=0,0,HLOOKUP(YEAR(X653)+(MONTH(X653)/100),TC!$5:$37,DAY(X653)+2,FALSE))</f>
        <v>20.926200000000001</v>
      </c>
      <c r="AD653" s="307">
        <f t="shared" si="179"/>
        <v>26650.59982843374</v>
      </c>
      <c r="AE653" s="314">
        <f t="shared" si="180"/>
        <v>65141.722740586796</v>
      </c>
      <c r="AF653" s="315">
        <f t="shared" si="181"/>
        <v>-38491.122912153056</v>
      </c>
      <c r="AG653" s="316">
        <f t="shared" si="182"/>
        <v>0.20547945205479451</v>
      </c>
      <c r="AH653" s="314">
        <v>1</v>
      </c>
      <c r="AI653" s="314">
        <f t="shared" si="183"/>
        <v>-38491.122912153056</v>
      </c>
      <c r="AJ653" s="314">
        <f t="shared" si="184"/>
        <v>0</v>
      </c>
      <c r="AK653" s="317"/>
      <c r="AL653" s="315">
        <f t="shared" si="185"/>
        <v>-1786.5681927710841</v>
      </c>
      <c r="AN653" s="554">
        <f t="shared" si="186"/>
        <v>-0.58382291961461774</v>
      </c>
      <c r="AO653" s="314"/>
      <c r="AP653" s="318"/>
    </row>
    <row r="654" spans="2:42">
      <c r="B654" s="296" t="s">
        <v>1254</v>
      </c>
      <c r="C654" s="299" t="s">
        <v>277</v>
      </c>
      <c r="D654" s="298" t="s">
        <v>890</v>
      </c>
      <c r="E654" s="299" t="s">
        <v>106</v>
      </c>
      <c r="F654" s="299" t="s">
        <v>59</v>
      </c>
      <c r="G654" s="300">
        <v>44557</v>
      </c>
      <c r="H654" s="303">
        <v>193.99</v>
      </c>
      <c r="I654" s="301" t="str">
        <f t="shared" si="170"/>
        <v>Ingresos Sección I LISR</v>
      </c>
      <c r="J654" s="302">
        <f t="shared" si="171"/>
        <v>2</v>
      </c>
      <c r="K654" s="304">
        <f t="shared" si="172"/>
        <v>96.995000000000005</v>
      </c>
      <c r="L654" s="305">
        <f>IF(H654=0,0,IF(OR(E654=$AT$5,E654=$AT$6),AA654,IF(F654="MXN",1/HLOOKUP(YEAR(G654)+(MONTH(G654)/100),TC!$5:$37,DAY(G654)+2,FALSE),VLOOKUP(F654,Equivalencia!$5:$23,((MAX(Equivalencia!$3:$3)-YEAR(G654))*14)+MONTH(G654)+2,FALSE))))</f>
        <v>1</v>
      </c>
      <c r="M654" s="306">
        <f t="shared" si="173"/>
        <v>193.99</v>
      </c>
      <c r="N654" s="305">
        <f>IF(G654=0,0,(IF(OR(E654=$AT$5,E654=$AT$6),AC654,HLOOKUP(YEAR(G654)+(MONTH(G654)/100),TC!$5:$37,DAY(G654)+2,FALSE))))</f>
        <v>20.658200000000001</v>
      </c>
      <c r="O654" s="307">
        <f t="shared" si="174"/>
        <v>4007.4842180000005</v>
      </c>
      <c r="P654" s="560">
        <f>IF(G654=0,0,VLOOKUP(YEAR(G654),INPC!$B$4:$P$30,MONTH(G654)+2))</f>
        <v>117.30800000000001</v>
      </c>
      <c r="Q654" s="560">
        <f>IF(X654=0,0,IF(OR(E654=$AT$10,E654=$AT$9),VLOOKUP(YEAR(X654),INPC!$B$4:$P$30,MONTH(X654)+1),VLOOKUP(YEAR(X654),INPC!$B$4:$P$30,MONTH(X654)+2,0)))</f>
        <v>120.15900000000001</v>
      </c>
      <c r="R654" s="309">
        <f t="shared" si="175"/>
        <v>1.0243</v>
      </c>
      <c r="S654" s="310">
        <f t="shared" si="176"/>
        <v>4104.8660844974002</v>
      </c>
      <c r="T654" s="555">
        <f t="shared" si="177"/>
        <v>2052.4330422487001</v>
      </c>
      <c r="U654" s="311"/>
      <c r="V654" s="312">
        <v>2</v>
      </c>
      <c r="W654" s="299" t="s">
        <v>194</v>
      </c>
      <c r="X654" s="300">
        <v>44628</v>
      </c>
      <c r="Y654" s="299" t="s">
        <v>59</v>
      </c>
      <c r="Z654" s="303">
        <v>79.596987951807236</v>
      </c>
      <c r="AA654" s="305">
        <f>IF(Z654=0,0,IF(Y654="MXN",1/HLOOKUP(YEAR(X654)+(MONTH(X654)/100),TC!$5:$37,DAY(X654)+2,FALSE),VLOOKUP(Y654,Equivalencia!$1:$23,((MAX(Equivalencia!$3:$3)-YEAR(X654))*14)+MONTH(X654)+2,FALSE)))</f>
        <v>1</v>
      </c>
      <c r="AB654" s="306">
        <f t="shared" si="178"/>
        <v>79.596987951807236</v>
      </c>
      <c r="AC654" s="305">
        <f>+IF(X654=0,0,HLOOKUP(YEAR(X654)+(MONTH(X654)/100),TC!$5:$37,DAY(X654)+2,FALSE))</f>
        <v>20.926200000000001</v>
      </c>
      <c r="AD654" s="307">
        <f t="shared" si="179"/>
        <v>1665.6624892771088</v>
      </c>
      <c r="AE654" s="314">
        <f t="shared" si="180"/>
        <v>4104.8660844974002</v>
      </c>
      <c r="AF654" s="315">
        <f t="shared" si="181"/>
        <v>-2439.2035952202914</v>
      </c>
      <c r="AG654" s="316">
        <f t="shared" si="182"/>
        <v>0.19452054794520549</v>
      </c>
      <c r="AH654" s="314">
        <v>1</v>
      </c>
      <c r="AI654" s="314">
        <f t="shared" si="183"/>
        <v>-2439.2035952202914</v>
      </c>
      <c r="AJ654" s="314">
        <f t="shared" si="184"/>
        <v>0</v>
      </c>
      <c r="AK654" s="317"/>
      <c r="AL654" s="315">
        <f t="shared" si="185"/>
        <v>-114.39301204819277</v>
      </c>
      <c r="AN654" s="554">
        <f t="shared" si="186"/>
        <v>-0.58968509741838637</v>
      </c>
      <c r="AO654" s="314"/>
      <c r="AP654" s="318"/>
    </row>
    <row r="655" spans="2:42">
      <c r="B655" s="296" t="s">
        <v>1254</v>
      </c>
      <c r="C655" s="299" t="s">
        <v>277</v>
      </c>
      <c r="D655" s="298" t="s">
        <v>890</v>
      </c>
      <c r="E655" s="299" t="s">
        <v>106</v>
      </c>
      <c r="F655" s="299" t="s">
        <v>59</v>
      </c>
      <c r="G655" s="300">
        <v>44557</v>
      </c>
      <c r="H655" s="303">
        <v>387.98</v>
      </c>
      <c r="I655" s="301" t="str">
        <f t="shared" si="170"/>
        <v>Ingresos Sección I LISR</v>
      </c>
      <c r="J655" s="302">
        <f t="shared" si="171"/>
        <v>4</v>
      </c>
      <c r="K655" s="304">
        <f t="shared" si="172"/>
        <v>96.995000000000005</v>
      </c>
      <c r="L655" s="305">
        <f>IF(H655=0,0,IF(OR(E655=$AT$5,E655=$AT$6),AA655,IF(F655="MXN",1/HLOOKUP(YEAR(G655)+(MONTH(G655)/100),TC!$5:$37,DAY(G655)+2,FALSE),VLOOKUP(F655,Equivalencia!$5:$23,((MAX(Equivalencia!$3:$3)-YEAR(G655))*14)+MONTH(G655)+2,FALSE))))</f>
        <v>1</v>
      </c>
      <c r="M655" s="306">
        <f t="shared" si="173"/>
        <v>387.98</v>
      </c>
      <c r="N655" s="305">
        <f>IF(G655=0,0,(IF(OR(E655=$AT$5,E655=$AT$6),AC655,HLOOKUP(YEAR(G655)+(MONTH(G655)/100),TC!$5:$37,DAY(G655)+2,FALSE))))</f>
        <v>20.658200000000001</v>
      </c>
      <c r="O655" s="307">
        <f t="shared" si="174"/>
        <v>8014.968436000001</v>
      </c>
      <c r="P655" s="560">
        <f>IF(G655=0,0,VLOOKUP(YEAR(G655),INPC!$B$4:$P$30,MONTH(G655)+2))</f>
        <v>117.30800000000001</v>
      </c>
      <c r="Q655" s="560">
        <f>IF(X655=0,0,IF(OR(E655=$AT$10,E655=$AT$9),VLOOKUP(YEAR(X655),INPC!$B$4:$P$30,MONTH(X655)+1),VLOOKUP(YEAR(X655),INPC!$B$4:$P$30,MONTH(X655)+2,0)))</f>
        <v>120.15900000000001</v>
      </c>
      <c r="R655" s="309">
        <f t="shared" si="175"/>
        <v>1.0243</v>
      </c>
      <c r="S655" s="310">
        <f t="shared" si="176"/>
        <v>8209.7321689948003</v>
      </c>
      <c r="T655" s="555">
        <f t="shared" si="177"/>
        <v>2052.4330422487001</v>
      </c>
      <c r="U655" s="311"/>
      <c r="V655" s="312">
        <v>4</v>
      </c>
      <c r="W655" s="299" t="s">
        <v>194</v>
      </c>
      <c r="X655" s="300">
        <v>44628</v>
      </c>
      <c r="Y655" s="299" t="s">
        <v>59</v>
      </c>
      <c r="Z655" s="303">
        <v>159.19397590361447</v>
      </c>
      <c r="AA655" s="305">
        <f>IF(Z655=0,0,IF(Y655="MXN",1/HLOOKUP(YEAR(X655)+(MONTH(X655)/100),TC!$5:$37,DAY(X655)+2,FALSE),VLOOKUP(Y655,Equivalencia!$1:$23,((MAX(Equivalencia!$3:$3)-YEAR(X655))*14)+MONTH(X655)+2,FALSE)))</f>
        <v>1</v>
      </c>
      <c r="AB655" s="306">
        <f t="shared" si="178"/>
        <v>159.19397590361447</v>
      </c>
      <c r="AC655" s="305">
        <f>+IF(X655=0,0,HLOOKUP(YEAR(X655)+(MONTH(X655)/100),TC!$5:$37,DAY(X655)+2,FALSE))</f>
        <v>20.926200000000001</v>
      </c>
      <c r="AD655" s="307">
        <f t="shared" si="179"/>
        <v>3331.3249785542175</v>
      </c>
      <c r="AE655" s="314">
        <f t="shared" si="180"/>
        <v>8209.7321689948003</v>
      </c>
      <c r="AF655" s="315">
        <f t="shared" si="181"/>
        <v>-4878.4071904405828</v>
      </c>
      <c r="AG655" s="316">
        <f t="shared" si="182"/>
        <v>0.19452054794520549</v>
      </c>
      <c r="AH655" s="314">
        <v>1</v>
      </c>
      <c r="AI655" s="314">
        <f t="shared" si="183"/>
        <v>-4878.4071904405828</v>
      </c>
      <c r="AJ655" s="314">
        <f t="shared" si="184"/>
        <v>0</v>
      </c>
      <c r="AK655" s="317"/>
      <c r="AL655" s="315">
        <f t="shared" si="185"/>
        <v>-228.78602409638555</v>
      </c>
      <c r="AN655" s="554">
        <f t="shared" si="186"/>
        <v>-0.58968509741838637</v>
      </c>
      <c r="AO655" s="314"/>
      <c r="AP655" s="318"/>
    </row>
    <row r="656" spans="2:42">
      <c r="B656" s="296" t="s">
        <v>1254</v>
      </c>
      <c r="C656" s="299" t="s">
        <v>277</v>
      </c>
      <c r="D656" s="298" t="s">
        <v>890</v>
      </c>
      <c r="E656" s="299" t="s">
        <v>106</v>
      </c>
      <c r="F656" s="299" t="s">
        <v>59</v>
      </c>
      <c r="G656" s="300">
        <v>44557</v>
      </c>
      <c r="H656" s="303">
        <v>1721.4627272727273</v>
      </c>
      <c r="I656" s="301" t="str">
        <f t="shared" si="170"/>
        <v>Ingresos Sección I LISR</v>
      </c>
      <c r="J656" s="302">
        <f t="shared" si="171"/>
        <v>18</v>
      </c>
      <c r="K656" s="304">
        <f t="shared" si="172"/>
        <v>95.636818181818185</v>
      </c>
      <c r="L656" s="305">
        <f>IF(H656=0,0,IF(OR(E656=$AT$5,E656=$AT$6),AA656,IF(F656="MXN",1/HLOOKUP(YEAR(G656)+(MONTH(G656)/100),TC!$5:$37,DAY(G656)+2,FALSE),VLOOKUP(F656,Equivalencia!$5:$23,((MAX(Equivalencia!$3:$3)-YEAR(G656))*14)+MONTH(G656)+2,FALSE))))</f>
        <v>1</v>
      </c>
      <c r="M656" s="306">
        <f t="shared" si="173"/>
        <v>1721.4627272727273</v>
      </c>
      <c r="N656" s="305">
        <f>IF(G656=0,0,(IF(OR(E656=$AT$5,E656=$AT$6),AC656,HLOOKUP(YEAR(G656)+(MONTH(G656)/100),TC!$5:$37,DAY(G656)+2,FALSE))))</f>
        <v>20.658200000000001</v>
      </c>
      <c r="O656" s="307">
        <f t="shared" si="174"/>
        <v>35562.321312545457</v>
      </c>
      <c r="P656" s="560">
        <f>IF(G656=0,0,VLOOKUP(YEAR(G656),INPC!$B$4:$P$30,MONTH(G656)+2))</f>
        <v>117.30800000000001</v>
      </c>
      <c r="Q656" s="560">
        <f>IF(X656=0,0,IF(OR(E656=$AT$10,E656=$AT$9),VLOOKUP(YEAR(X656),INPC!$B$4:$P$30,MONTH(X656)+1),VLOOKUP(YEAR(X656),INPC!$B$4:$P$30,MONTH(X656)+2,0)))</f>
        <v>120.15900000000001</v>
      </c>
      <c r="R656" s="309">
        <f t="shared" si="175"/>
        <v>1.0243</v>
      </c>
      <c r="S656" s="310">
        <f t="shared" si="176"/>
        <v>36426.485720440309</v>
      </c>
      <c r="T656" s="555">
        <f t="shared" si="177"/>
        <v>2023.6936511355727</v>
      </c>
      <c r="U656" s="311"/>
      <c r="V656" s="312">
        <v>18</v>
      </c>
      <c r="W656" s="299" t="s">
        <v>194</v>
      </c>
      <c r="X656" s="300">
        <v>44628</v>
      </c>
      <c r="Y656" s="299" t="s">
        <v>59</v>
      </c>
      <c r="Z656" s="303">
        <v>716.37289156626514</v>
      </c>
      <c r="AA656" s="305">
        <f>IF(Z656=0,0,IF(Y656="MXN",1/HLOOKUP(YEAR(X656)+(MONTH(X656)/100),TC!$5:$37,DAY(X656)+2,FALSE),VLOOKUP(Y656,Equivalencia!$1:$23,((MAX(Equivalencia!$3:$3)-YEAR(X656))*14)+MONTH(X656)+2,FALSE)))</f>
        <v>1</v>
      </c>
      <c r="AB656" s="306">
        <f t="shared" si="178"/>
        <v>716.37289156626514</v>
      </c>
      <c r="AC656" s="305">
        <f>+IF(X656=0,0,HLOOKUP(YEAR(X656)+(MONTH(X656)/100),TC!$5:$37,DAY(X656)+2,FALSE))</f>
        <v>20.926200000000001</v>
      </c>
      <c r="AD656" s="307">
        <f t="shared" si="179"/>
        <v>14990.962403493979</v>
      </c>
      <c r="AE656" s="314">
        <f t="shared" si="180"/>
        <v>36426.485720440309</v>
      </c>
      <c r="AF656" s="315">
        <f t="shared" si="181"/>
        <v>-21435.523316946332</v>
      </c>
      <c r="AG656" s="316">
        <f t="shared" si="182"/>
        <v>0.19452054794520549</v>
      </c>
      <c r="AH656" s="314">
        <v>1</v>
      </c>
      <c r="AI656" s="314">
        <f t="shared" si="183"/>
        <v>-21435.523316946332</v>
      </c>
      <c r="AJ656" s="314">
        <f t="shared" si="184"/>
        <v>0</v>
      </c>
      <c r="AK656" s="317"/>
      <c r="AL656" s="315">
        <f t="shared" si="185"/>
        <v>-1005.0898357064622</v>
      </c>
      <c r="AN656" s="554">
        <f t="shared" si="186"/>
        <v>-0.58385802944383358</v>
      </c>
      <c r="AO656" s="314"/>
      <c r="AP656" s="318"/>
    </row>
    <row r="657" spans="2:42">
      <c r="B657" s="296" t="s">
        <v>1254</v>
      </c>
      <c r="C657" s="299" t="s">
        <v>277</v>
      </c>
      <c r="D657" s="298" t="s">
        <v>890</v>
      </c>
      <c r="E657" s="299" t="s">
        <v>106</v>
      </c>
      <c r="F657" s="299" t="s">
        <v>59</v>
      </c>
      <c r="G657" s="300">
        <v>44557</v>
      </c>
      <c r="H657" s="303">
        <v>286.91045454545457</v>
      </c>
      <c r="I657" s="301" t="str">
        <f t="shared" si="170"/>
        <v>Ingresos Sección I LISR</v>
      </c>
      <c r="J657" s="302">
        <f t="shared" si="171"/>
        <v>3</v>
      </c>
      <c r="K657" s="304">
        <f t="shared" si="172"/>
        <v>95.636818181818185</v>
      </c>
      <c r="L657" s="305">
        <f>IF(H657=0,0,IF(OR(E657=$AT$5,E657=$AT$6),AA657,IF(F657="MXN",1/HLOOKUP(YEAR(G657)+(MONTH(G657)/100),TC!$5:$37,DAY(G657)+2,FALSE),VLOOKUP(F657,Equivalencia!$5:$23,((MAX(Equivalencia!$3:$3)-YEAR(G657))*14)+MONTH(G657)+2,FALSE))))</f>
        <v>1</v>
      </c>
      <c r="M657" s="306">
        <f t="shared" si="173"/>
        <v>286.91045454545457</v>
      </c>
      <c r="N657" s="305">
        <f>IF(G657=0,0,(IF(OR(E657=$AT$5,E657=$AT$6),AC657,HLOOKUP(YEAR(G657)+(MONTH(G657)/100),TC!$5:$37,DAY(G657)+2,FALSE))))</f>
        <v>20.658200000000001</v>
      </c>
      <c r="O657" s="307">
        <f t="shared" si="174"/>
        <v>5927.0535520909098</v>
      </c>
      <c r="P657" s="560">
        <f>IF(G657=0,0,VLOOKUP(YEAR(G657),INPC!$B$4:$P$30,MONTH(G657)+2))</f>
        <v>117.30800000000001</v>
      </c>
      <c r="Q657" s="560">
        <f>IF(X657=0,0,IF(OR(E657=$AT$10,E657=$AT$9),VLOOKUP(YEAR(X657),INPC!$B$4:$P$30,MONTH(X657)+1),VLOOKUP(YEAR(X657),INPC!$B$4:$P$30,MONTH(X657)+2,0)))</f>
        <v>120.15900000000001</v>
      </c>
      <c r="R657" s="309">
        <f t="shared" si="175"/>
        <v>1.0243</v>
      </c>
      <c r="S657" s="310">
        <f t="shared" si="176"/>
        <v>6071.0809534067184</v>
      </c>
      <c r="T657" s="555">
        <f t="shared" si="177"/>
        <v>2023.6936511355727</v>
      </c>
      <c r="U657" s="311"/>
      <c r="V657" s="312">
        <v>3</v>
      </c>
      <c r="W657" s="299" t="s">
        <v>194</v>
      </c>
      <c r="X657" s="300">
        <v>44628</v>
      </c>
      <c r="Y657" s="299" t="s">
        <v>59</v>
      </c>
      <c r="Z657" s="303">
        <v>112.09</v>
      </c>
      <c r="AA657" s="305">
        <f>IF(Z657=0,0,IF(Y657="MXN",1/HLOOKUP(YEAR(X657)+(MONTH(X657)/100),TC!$5:$37,DAY(X657)+2,FALSE),VLOOKUP(Y657,Equivalencia!$1:$23,((MAX(Equivalencia!$3:$3)-YEAR(X657))*14)+MONTH(X657)+2,FALSE)))</f>
        <v>1</v>
      </c>
      <c r="AB657" s="306">
        <f t="shared" si="178"/>
        <v>112.09</v>
      </c>
      <c r="AC657" s="305">
        <f>+IF(X657=0,0,HLOOKUP(YEAR(X657)+(MONTH(X657)/100),TC!$5:$37,DAY(X657)+2,FALSE))</f>
        <v>20.926200000000001</v>
      </c>
      <c r="AD657" s="307">
        <f t="shared" si="179"/>
        <v>2345.6177580000003</v>
      </c>
      <c r="AE657" s="314">
        <f t="shared" si="180"/>
        <v>6071.0809534067184</v>
      </c>
      <c r="AF657" s="315">
        <f t="shared" si="181"/>
        <v>-3725.4631954067181</v>
      </c>
      <c r="AG657" s="316">
        <f t="shared" si="182"/>
        <v>0.19452054794520549</v>
      </c>
      <c r="AH657" s="314">
        <v>1</v>
      </c>
      <c r="AI657" s="314">
        <f t="shared" si="183"/>
        <v>-3725.4631954067181</v>
      </c>
      <c r="AJ657" s="314">
        <f t="shared" si="184"/>
        <v>0</v>
      </c>
      <c r="AK657" s="317"/>
      <c r="AL657" s="315">
        <f t="shared" si="185"/>
        <v>-174.82045454545457</v>
      </c>
      <c r="AN657" s="554">
        <f t="shared" si="186"/>
        <v>-0.60932061476260413</v>
      </c>
      <c r="AO657" s="314"/>
      <c r="AP657" s="318"/>
    </row>
    <row r="658" spans="2:42">
      <c r="B658" s="296" t="s">
        <v>1254</v>
      </c>
      <c r="C658" s="299" t="s">
        <v>277</v>
      </c>
      <c r="D658" s="298" t="s">
        <v>890</v>
      </c>
      <c r="E658" s="299" t="s">
        <v>106</v>
      </c>
      <c r="F658" s="299" t="s">
        <v>59</v>
      </c>
      <c r="G658" s="300">
        <v>44557</v>
      </c>
      <c r="H658" s="303">
        <v>95.636818181818185</v>
      </c>
      <c r="I658" s="301" t="str">
        <f t="shared" si="170"/>
        <v>Ingresos Sección I LISR</v>
      </c>
      <c r="J658" s="302">
        <f t="shared" si="171"/>
        <v>1</v>
      </c>
      <c r="K658" s="304">
        <f t="shared" si="172"/>
        <v>95.636818181818185</v>
      </c>
      <c r="L658" s="305">
        <f>IF(H658=0,0,IF(OR(E658=$AT$5,E658=$AT$6),AA658,IF(F658="MXN",1/HLOOKUP(YEAR(G658)+(MONTH(G658)/100),TC!$5:$37,DAY(G658)+2,FALSE),VLOOKUP(F658,Equivalencia!$5:$23,((MAX(Equivalencia!$3:$3)-YEAR(G658))*14)+MONTH(G658)+2,FALSE))))</f>
        <v>1</v>
      </c>
      <c r="M658" s="306">
        <f t="shared" si="173"/>
        <v>95.636818181818185</v>
      </c>
      <c r="N658" s="305">
        <f>IF(G658=0,0,(IF(OR(E658=$AT$5,E658=$AT$6),AC658,HLOOKUP(YEAR(G658)+(MONTH(G658)/100),TC!$5:$37,DAY(G658)+2,FALSE))))</f>
        <v>20.658200000000001</v>
      </c>
      <c r="O658" s="307">
        <f t="shared" si="174"/>
        <v>1975.6845173636366</v>
      </c>
      <c r="P658" s="560">
        <f>IF(G658=0,0,VLOOKUP(YEAR(G658),INPC!$B$4:$P$30,MONTH(G658)+2))</f>
        <v>117.30800000000001</v>
      </c>
      <c r="Q658" s="560">
        <f>IF(X658=0,0,IF(OR(E658=$AT$10,E658=$AT$9),VLOOKUP(YEAR(X658),INPC!$B$4:$P$30,MONTH(X658)+1),VLOOKUP(YEAR(X658),INPC!$B$4:$P$30,MONTH(X658)+2,0)))</f>
        <v>120.15900000000001</v>
      </c>
      <c r="R658" s="309">
        <f t="shared" si="175"/>
        <v>1.0243</v>
      </c>
      <c r="S658" s="310">
        <f t="shared" si="176"/>
        <v>2023.693651135573</v>
      </c>
      <c r="T658" s="555">
        <f t="shared" si="177"/>
        <v>2023.693651135573</v>
      </c>
      <c r="U658" s="311"/>
      <c r="V658" s="312">
        <v>1</v>
      </c>
      <c r="W658" s="299" t="s">
        <v>194</v>
      </c>
      <c r="X658" s="300">
        <v>44628</v>
      </c>
      <c r="Y658" s="299" t="s">
        <v>59</v>
      </c>
      <c r="Z658" s="303">
        <v>37.135714285714286</v>
      </c>
      <c r="AA658" s="305">
        <f>IF(Z658=0,0,IF(Y658="MXN",1/HLOOKUP(YEAR(X658)+(MONTH(X658)/100),TC!$5:$37,DAY(X658)+2,FALSE),VLOOKUP(Y658,Equivalencia!$1:$23,((MAX(Equivalencia!$3:$3)-YEAR(X658))*14)+MONTH(X658)+2,FALSE)))</f>
        <v>1</v>
      </c>
      <c r="AB658" s="306">
        <f t="shared" si="178"/>
        <v>37.135714285714286</v>
      </c>
      <c r="AC658" s="305">
        <f>+IF(X658=0,0,HLOOKUP(YEAR(X658)+(MONTH(X658)/100),TC!$5:$37,DAY(X658)+2,FALSE))</f>
        <v>20.926200000000001</v>
      </c>
      <c r="AD658" s="307">
        <f t="shared" si="179"/>
        <v>777.10938428571433</v>
      </c>
      <c r="AE658" s="314">
        <f t="shared" si="180"/>
        <v>2023.693651135573</v>
      </c>
      <c r="AF658" s="315">
        <f t="shared" si="181"/>
        <v>-1246.5842668498585</v>
      </c>
      <c r="AG658" s="316">
        <f t="shared" si="182"/>
        <v>0.19452054794520549</v>
      </c>
      <c r="AH658" s="314">
        <v>1</v>
      </c>
      <c r="AI658" s="314">
        <f t="shared" si="183"/>
        <v>-1246.5842668498585</v>
      </c>
      <c r="AJ658" s="314">
        <f t="shared" si="184"/>
        <v>0</v>
      </c>
      <c r="AK658" s="317"/>
      <c r="AL658" s="315">
        <f t="shared" si="185"/>
        <v>-58.501103896103899</v>
      </c>
      <c r="AN658" s="554">
        <f t="shared" si="186"/>
        <v>-0.61170065052651168</v>
      </c>
      <c r="AO658" s="314"/>
      <c r="AP658" s="318"/>
    </row>
    <row r="659" spans="2:42">
      <c r="B659" s="296" t="s">
        <v>1254</v>
      </c>
      <c r="C659" s="299" t="s">
        <v>277</v>
      </c>
      <c r="D659" s="298" t="s">
        <v>890</v>
      </c>
      <c r="E659" s="299" t="s">
        <v>106</v>
      </c>
      <c r="F659" s="299" t="s">
        <v>59</v>
      </c>
      <c r="G659" s="300">
        <v>44557</v>
      </c>
      <c r="H659" s="303">
        <v>5164.3900000000003</v>
      </c>
      <c r="I659" s="301" t="str">
        <f t="shared" si="170"/>
        <v>Ingresos Sección I LISR</v>
      </c>
      <c r="J659" s="302">
        <f t="shared" si="171"/>
        <v>54</v>
      </c>
      <c r="K659" s="304">
        <f t="shared" si="172"/>
        <v>95.636851851851858</v>
      </c>
      <c r="L659" s="305">
        <f>IF(H659=0,0,IF(OR(E659=$AT$5,E659=$AT$6),AA659,IF(F659="MXN",1/HLOOKUP(YEAR(G659)+(MONTH(G659)/100),TC!$5:$37,DAY(G659)+2,FALSE),VLOOKUP(F659,Equivalencia!$5:$23,((MAX(Equivalencia!$3:$3)-YEAR(G659))*14)+MONTH(G659)+2,FALSE))))</f>
        <v>1</v>
      </c>
      <c r="M659" s="306">
        <f t="shared" si="173"/>
        <v>5164.3900000000003</v>
      </c>
      <c r="N659" s="305">
        <f>IF(G659=0,0,(IF(OR(E659=$AT$5,E659=$AT$6),AC659,HLOOKUP(YEAR(G659)+(MONTH(G659)/100),TC!$5:$37,DAY(G659)+2,FALSE))))</f>
        <v>20.658200000000001</v>
      </c>
      <c r="O659" s="307">
        <f t="shared" si="174"/>
        <v>106687.00149800001</v>
      </c>
      <c r="P659" s="560">
        <f>IF(G659=0,0,VLOOKUP(YEAR(G659),INPC!$B$4:$P$30,MONTH(G659)+2))</f>
        <v>117.30800000000001</v>
      </c>
      <c r="Q659" s="560">
        <f>IF(X659=0,0,IF(OR(E659=$AT$10,E659=$AT$9),VLOOKUP(YEAR(X659),INPC!$B$4:$P$30,MONTH(X659)+1),VLOOKUP(YEAR(X659),INPC!$B$4:$P$30,MONTH(X659)+2,0)))</f>
        <v>120.15900000000001</v>
      </c>
      <c r="R659" s="309">
        <f t="shared" si="175"/>
        <v>1.0243</v>
      </c>
      <c r="S659" s="310">
        <f t="shared" si="176"/>
        <v>109279.49563440141</v>
      </c>
      <c r="T659" s="555">
        <f t="shared" si="177"/>
        <v>2023.694363600026</v>
      </c>
      <c r="U659" s="311"/>
      <c r="V659" s="312">
        <v>54</v>
      </c>
      <c r="W659" s="299" t="s">
        <v>194</v>
      </c>
      <c r="X659" s="300">
        <v>44628</v>
      </c>
      <c r="Y659" s="299" t="s">
        <v>59</v>
      </c>
      <c r="Z659" s="303">
        <v>2005.3285714285714</v>
      </c>
      <c r="AA659" s="305">
        <f>IF(Z659=0,0,IF(Y659="MXN",1/HLOOKUP(YEAR(X659)+(MONTH(X659)/100),TC!$5:$37,DAY(X659)+2,FALSE),VLOOKUP(Y659,Equivalencia!$1:$23,((MAX(Equivalencia!$3:$3)-YEAR(X659))*14)+MONTH(X659)+2,FALSE)))</f>
        <v>1</v>
      </c>
      <c r="AB659" s="306">
        <f t="shared" si="178"/>
        <v>2005.3285714285714</v>
      </c>
      <c r="AC659" s="305">
        <f>+IF(X659=0,0,HLOOKUP(YEAR(X659)+(MONTH(X659)/100),TC!$5:$37,DAY(X659)+2,FALSE))</f>
        <v>20.926200000000001</v>
      </c>
      <c r="AD659" s="307">
        <f t="shared" si="179"/>
        <v>41963.906751428571</v>
      </c>
      <c r="AE659" s="314">
        <f t="shared" si="180"/>
        <v>109279.49563440141</v>
      </c>
      <c r="AF659" s="315">
        <f t="shared" si="181"/>
        <v>-67315.588882972836</v>
      </c>
      <c r="AG659" s="316">
        <f t="shared" si="182"/>
        <v>0.19452054794520549</v>
      </c>
      <c r="AH659" s="314">
        <v>1</v>
      </c>
      <c r="AI659" s="314">
        <f t="shared" si="183"/>
        <v>-67315.588882972836</v>
      </c>
      <c r="AJ659" s="314">
        <f t="shared" si="184"/>
        <v>0</v>
      </c>
      <c r="AK659" s="317"/>
      <c r="AL659" s="315">
        <f t="shared" si="185"/>
        <v>-3159.0614285714291</v>
      </c>
      <c r="AN659" s="554">
        <f t="shared" si="186"/>
        <v>-0.61170078723168253</v>
      </c>
      <c r="AO659" s="314"/>
      <c r="AP659" s="318"/>
    </row>
    <row r="660" spans="2:42">
      <c r="B660" s="296" t="s">
        <v>1254</v>
      </c>
      <c r="C660" s="299" t="s">
        <v>277</v>
      </c>
      <c r="D660" s="298" t="s">
        <v>890</v>
      </c>
      <c r="E660" s="299" t="s">
        <v>106</v>
      </c>
      <c r="F660" s="299" t="s">
        <v>59</v>
      </c>
      <c r="G660" s="300">
        <v>44566</v>
      </c>
      <c r="H660" s="303">
        <v>599.59999999999991</v>
      </c>
      <c r="I660" s="301" t="str">
        <f t="shared" si="170"/>
        <v>Ingresos Sección I LISR</v>
      </c>
      <c r="J660" s="302">
        <f t="shared" si="171"/>
        <v>8</v>
      </c>
      <c r="K660" s="304">
        <f t="shared" si="172"/>
        <v>74.949999999999989</v>
      </c>
      <c r="L660" s="305">
        <f>IF(H660=0,0,IF(OR(E660=$AT$5,E660=$AT$6),AA660,IF(F660="MXN",1/HLOOKUP(YEAR(G660)+(MONTH(G660)/100),TC!$5:$37,DAY(G660)+2,FALSE),VLOOKUP(F660,Equivalencia!$5:$23,((MAX(Equivalencia!$3:$3)-YEAR(G660))*14)+MONTH(G660)+2,FALSE))))</f>
        <v>1</v>
      </c>
      <c r="M660" s="306">
        <f t="shared" si="173"/>
        <v>599.59999999999991</v>
      </c>
      <c r="N660" s="305">
        <f>IF(G660=0,0,(IF(OR(E660=$AT$5,E660=$AT$6),AC660,HLOOKUP(YEAR(G660)+(MONTH(G660)/100),TC!$5:$37,DAY(G660)+2,FALSE))))</f>
        <v>20.588999999999999</v>
      </c>
      <c r="O660" s="307">
        <f t="shared" si="174"/>
        <v>12345.164399999998</v>
      </c>
      <c r="P660" s="560">
        <f>IF(G660=0,0,VLOOKUP(YEAR(G660),INPC!$B$4:$P$30,MONTH(G660)+2))</f>
        <v>118.002</v>
      </c>
      <c r="Q660" s="560">
        <f>IF(X660=0,0,IF(OR(E660=$AT$10,E660=$AT$9),VLOOKUP(YEAR(X660),INPC!$B$4:$P$30,MONTH(X660)+1),VLOOKUP(YEAR(X660),INPC!$B$4:$P$30,MONTH(X660)+2,0)))</f>
        <v>120.15900000000001</v>
      </c>
      <c r="R660" s="309">
        <f t="shared" si="175"/>
        <v>1.0182</v>
      </c>
      <c r="S660" s="310">
        <f t="shared" si="176"/>
        <v>12569.846392079999</v>
      </c>
      <c r="T660" s="555">
        <f t="shared" si="177"/>
        <v>1571.2307990099998</v>
      </c>
      <c r="U660" s="311"/>
      <c r="V660" s="312">
        <v>8</v>
      </c>
      <c r="W660" s="299" t="s">
        <v>194</v>
      </c>
      <c r="X660" s="300">
        <v>44628</v>
      </c>
      <c r="Y660" s="299" t="s">
        <v>59</v>
      </c>
      <c r="Z660" s="303">
        <v>297.08571428571429</v>
      </c>
      <c r="AA660" s="305">
        <f>IF(Z660=0,0,IF(Y660="MXN",1/HLOOKUP(YEAR(X660)+(MONTH(X660)/100),TC!$5:$37,DAY(X660)+2,FALSE),VLOOKUP(Y660,Equivalencia!$1:$23,((MAX(Equivalencia!$3:$3)-YEAR(X660))*14)+MONTH(X660)+2,FALSE)))</f>
        <v>1</v>
      </c>
      <c r="AB660" s="306">
        <f t="shared" si="178"/>
        <v>297.08571428571429</v>
      </c>
      <c r="AC660" s="305">
        <f>+IF(X660=0,0,HLOOKUP(YEAR(X660)+(MONTH(X660)/100),TC!$5:$37,DAY(X660)+2,FALSE))</f>
        <v>20.926200000000001</v>
      </c>
      <c r="AD660" s="307">
        <f t="shared" si="179"/>
        <v>6216.8750742857146</v>
      </c>
      <c r="AE660" s="314">
        <f t="shared" si="180"/>
        <v>12569.846392079999</v>
      </c>
      <c r="AF660" s="315">
        <f t="shared" si="181"/>
        <v>-6352.971317794284</v>
      </c>
      <c r="AG660" s="316">
        <f t="shared" si="182"/>
        <v>0.16986301369863013</v>
      </c>
      <c r="AH660" s="314">
        <v>1</v>
      </c>
      <c r="AI660" s="314">
        <f t="shared" si="183"/>
        <v>-6352.971317794284</v>
      </c>
      <c r="AJ660" s="314">
        <f t="shared" si="184"/>
        <v>0</v>
      </c>
      <c r="AK660" s="317"/>
      <c r="AL660" s="315">
        <f t="shared" si="185"/>
        <v>-302.51428571428562</v>
      </c>
      <c r="AN660" s="554">
        <f t="shared" si="186"/>
        <v>-0.50452682740874866</v>
      </c>
      <c r="AO660" s="314"/>
      <c r="AP660" s="318"/>
    </row>
    <row r="661" spans="2:42">
      <c r="B661" s="296" t="s">
        <v>1254</v>
      </c>
      <c r="C661" s="299" t="s">
        <v>277</v>
      </c>
      <c r="D661" s="298" t="s">
        <v>890</v>
      </c>
      <c r="E661" s="299" t="s">
        <v>106</v>
      </c>
      <c r="F661" s="299" t="s">
        <v>59</v>
      </c>
      <c r="G661" s="300">
        <v>44566</v>
      </c>
      <c r="H661" s="303">
        <v>2098.5999999999995</v>
      </c>
      <c r="I661" s="301" t="str">
        <f t="shared" si="170"/>
        <v>Ingresos Sección I LISR</v>
      </c>
      <c r="J661" s="302">
        <f t="shared" si="171"/>
        <v>28</v>
      </c>
      <c r="K661" s="304">
        <f t="shared" si="172"/>
        <v>74.949999999999974</v>
      </c>
      <c r="L661" s="305">
        <f>IF(H661=0,0,IF(OR(E661=$AT$5,E661=$AT$6),AA661,IF(F661="MXN",1/HLOOKUP(YEAR(G661)+(MONTH(G661)/100),TC!$5:$37,DAY(G661)+2,FALSE),VLOOKUP(F661,Equivalencia!$5:$23,((MAX(Equivalencia!$3:$3)-YEAR(G661))*14)+MONTH(G661)+2,FALSE))))</f>
        <v>1</v>
      </c>
      <c r="M661" s="306">
        <f t="shared" si="173"/>
        <v>2098.5999999999995</v>
      </c>
      <c r="N661" s="305">
        <f>IF(G661=0,0,(IF(OR(E661=$AT$5,E661=$AT$6),AC661,HLOOKUP(YEAR(G661)+(MONTH(G661)/100),TC!$5:$37,DAY(G661)+2,FALSE))))</f>
        <v>20.588999999999999</v>
      </c>
      <c r="O661" s="307">
        <f t="shared" si="174"/>
        <v>43208.075399999987</v>
      </c>
      <c r="P661" s="560">
        <f>IF(G661=0,0,VLOOKUP(YEAR(G661),INPC!$B$4:$P$30,MONTH(G661)+2))</f>
        <v>118.002</v>
      </c>
      <c r="Q661" s="560">
        <f>IF(X661=0,0,IF(OR(E661=$AT$10,E661=$AT$9),VLOOKUP(YEAR(X661),INPC!$B$4:$P$30,MONTH(X661)+1),VLOOKUP(YEAR(X661),INPC!$B$4:$P$30,MONTH(X661)+2,0)))</f>
        <v>120.15900000000001</v>
      </c>
      <c r="R661" s="309">
        <f t="shared" si="175"/>
        <v>1.0182</v>
      </c>
      <c r="S661" s="310">
        <f t="shared" si="176"/>
        <v>43994.462372279988</v>
      </c>
      <c r="T661" s="555">
        <f t="shared" si="177"/>
        <v>1571.2307990099996</v>
      </c>
      <c r="U661" s="311"/>
      <c r="V661" s="312">
        <v>28</v>
      </c>
      <c r="W661" s="299" t="s">
        <v>194</v>
      </c>
      <c r="X661" s="300">
        <v>44629</v>
      </c>
      <c r="Y661" s="299" t="s">
        <v>59</v>
      </c>
      <c r="Z661" s="303">
        <v>1162.4459259259261</v>
      </c>
      <c r="AA661" s="305">
        <f>IF(Z661=0,0,IF(Y661="MXN",1/HLOOKUP(YEAR(X661)+(MONTH(X661)/100),TC!$5:$37,DAY(X661)+2,FALSE),VLOOKUP(Y661,Equivalencia!$1:$23,((MAX(Equivalencia!$3:$3)-YEAR(X661))*14)+MONTH(X661)+2,FALSE)))</f>
        <v>1</v>
      </c>
      <c r="AB661" s="306">
        <f t="shared" si="178"/>
        <v>1162.4459259259261</v>
      </c>
      <c r="AC661" s="305">
        <f>+IF(X661=0,0,HLOOKUP(YEAR(X661)+(MONTH(X661)/100),TC!$5:$37,DAY(X661)+2,FALSE))</f>
        <v>21.194700000000001</v>
      </c>
      <c r="AD661" s="307">
        <f t="shared" si="179"/>
        <v>24637.692666222225</v>
      </c>
      <c r="AE661" s="314">
        <f t="shared" si="180"/>
        <v>43994.462372279988</v>
      </c>
      <c r="AF661" s="315">
        <f t="shared" si="181"/>
        <v>-19356.769706057763</v>
      </c>
      <c r="AG661" s="316">
        <f t="shared" si="182"/>
        <v>0.17260273972602741</v>
      </c>
      <c r="AH661" s="314">
        <v>1</v>
      </c>
      <c r="AI661" s="314">
        <f t="shared" si="183"/>
        <v>-19356.769706057763</v>
      </c>
      <c r="AJ661" s="314">
        <f t="shared" si="184"/>
        <v>0</v>
      </c>
      <c r="AK661" s="317"/>
      <c r="AL661" s="315">
        <f t="shared" si="185"/>
        <v>-936.15407407407338</v>
      </c>
      <c r="AN661" s="554">
        <f t="shared" si="186"/>
        <v>-0.44608504435055446</v>
      </c>
      <c r="AO661" s="314"/>
      <c r="AP661" s="318"/>
    </row>
    <row r="662" spans="2:42">
      <c r="B662" s="296" t="s">
        <v>1254</v>
      </c>
      <c r="C662" s="299" t="s">
        <v>277</v>
      </c>
      <c r="D662" s="298" t="s">
        <v>890</v>
      </c>
      <c r="E662" s="299" t="s">
        <v>106</v>
      </c>
      <c r="F662" s="299" t="s">
        <v>59</v>
      </c>
      <c r="G662" s="300">
        <v>44566</v>
      </c>
      <c r="H662" s="303">
        <v>1929.3964444444446</v>
      </c>
      <c r="I662" s="301" t="str">
        <f t="shared" si="170"/>
        <v>Ingresos Sección I LISR</v>
      </c>
      <c r="J662" s="302">
        <f t="shared" si="171"/>
        <v>26</v>
      </c>
      <c r="K662" s="304">
        <f t="shared" si="172"/>
        <v>74.207555555555558</v>
      </c>
      <c r="L662" s="305">
        <f>IF(H662=0,0,IF(OR(E662=$AT$5,E662=$AT$6),AA662,IF(F662="MXN",1/HLOOKUP(YEAR(G662)+(MONTH(G662)/100),TC!$5:$37,DAY(G662)+2,FALSE),VLOOKUP(F662,Equivalencia!$5:$23,((MAX(Equivalencia!$3:$3)-YEAR(G662))*14)+MONTH(G662)+2,FALSE))))</f>
        <v>1</v>
      </c>
      <c r="M662" s="306">
        <f t="shared" si="173"/>
        <v>1929.3964444444446</v>
      </c>
      <c r="N662" s="305">
        <f>IF(G662=0,0,(IF(OR(E662=$AT$5,E662=$AT$6),AC662,HLOOKUP(YEAR(G662)+(MONTH(G662)/100),TC!$5:$37,DAY(G662)+2,FALSE))))</f>
        <v>20.588999999999999</v>
      </c>
      <c r="O662" s="307">
        <f t="shared" si="174"/>
        <v>39724.34339466667</v>
      </c>
      <c r="P662" s="560">
        <f>IF(G662=0,0,VLOOKUP(YEAR(G662),INPC!$B$4:$P$30,MONTH(G662)+2))</f>
        <v>118.002</v>
      </c>
      <c r="Q662" s="560">
        <f>IF(X662=0,0,IF(OR(E662=$AT$10,E662=$AT$9),VLOOKUP(YEAR(X662),INPC!$B$4:$P$30,MONTH(X662)+1),VLOOKUP(YEAR(X662),INPC!$B$4:$P$30,MONTH(X662)+2,0)))</f>
        <v>120.15900000000001</v>
      </c>
      <c r="R662" s="309">
        <f t="shared" si="175"/>
        <v>1.0182</v>
      </c>
      <c r="S662" s="310">
        <f t="shared" si="176"/>
        <v>40447.326444449602</v>
      </c>
      <c r="T662" s="555">
        <f t="shared" si="177"/>
        <v>1555.6664017096</v>
      </c>
      <c r="U662" s="311"/>
      <c r="V662" s="312">
        <v>26</v>
      </c>
      <c r="W662" s="299" t="s">
        <v>194</v>
      </c>
      <c r="X662" s="300">
        <v>44629</v>
      </c>
      <c r="Y662" s="299" t="s">
        <v>59</v>
      </c>
      <c r="Z662" s="303">
        <v>1079.4140740740741</v>
      </c>
      <c r="AA662" s="305">
        <f>IF(Z662=0,0,IF(Y662="MXN",1/HLOOKUP(YEAR(X662)+(MONTH(X662)/100),TC!$5:$37,DAY(X662)+2,FALSE),VLOOKUP(Y662,Equivalencia!$1:$23,((MAX(Equivalencia!$3:$3)-YEAR(X662))*14)+MONTH(X662)+2,FALSE)))</f>
        <v>1</v>
      </c>
      <c r="AB662" s="306">
        <f t="shared" si="178"/>
        <v>1079.4140740740741</v>
      </c>
      <c r="AC662" s="305">
        <f>+IF(X662=0,0,HLOOKUP(YEAR(X662)+(MONTH(X662)/100),TC!$5:$37,DAY(X662)+2,FALSE))</f>
        <v>21.194700000000001</v>
      </c>
      <c r="AD662" s="307">
        <f t="shared" si="179"/>
        <v>22877.857475777779</v>
      </c>
      <c r="AE662" s="314">
        <f t="shared" si="180"/>
        <v>40447.326444449602</v>
      </c>
      <c r="AF662" s="315">
        <f t="shared" si="181"/>
        <v>-17569.468968671823</v>
      </c>
      <c r="AG662" s="316">
        <f t="shared" si="182"/>
        <v>0.17260273972602741</v>
      </c>
      <c r="AH662" s="314">
        <v>1</v>
      </c>
      <c r="AI662" s="314">
        <f t="shared" si="183"/>
        <v>-17569.468968671823</v>
      </c>
      <c r="AJ662" s="314">
        <f t="shared" si="184"/>
        <v>0</v>
      </c>
      <c r="AK662" s="317"/>
      <c r="AL662" s="315">
        <f t="shared" si="185"/>
        <v>-849.98237037037052</v>
      </c>
      <c r="AN662" s="554">
        <f t="shared" si="186"/>
        <v>-0.44054314125945054</v>
      </c>
      <c r="AO662" s="314"/>
      <c r="AP662" s="318"/>
    </row>
    <row r="663" spans="2:42">
      <c r="B663" s="296" t="s">
        <v>1254</v>
      </c>
      <c r="C663" s="299" t="s">
        <v>277</v>
      </c>
      <c r="D663" s="298" t="s">
        <v>890</v>
      </c>
      <c r="E663" s="299" t="s">
        <v>106</v>
      </c>
      <c r="F663" s="299" t="s">
        <v>59</v>
      </c>
      <c r="G663" s="300">
        <v>44566</v>
      </c>
      <c r="H663" s="303">
        <v>1409.9435555555556</v>
      </c>
      <c r="I663" s="301" t="str">
        <f t="shared" si="170"/>
        <v>Ingresos Sección I LISR</v>
      </c>
      <c r="J663" s="302">
        <f t="shared" si="171"/>
        <v>19</v>
      </c>
      <c r="K663" s="304">
        <f t="shared" si="172"/>
        <v>74.207555555555558</v>
      </c>
      <c r="L663" s="305">
        <f>IF(H663=0,0,IF(OR(E663=$AT$5,E663=$AT$6),AA663,IF(F663="MXN",1/HLOOKUP(YEAR(G663)+(MONTH(G663)/100),TC!$5:$37,DAY(G663)+2,FALSE),VLOOKUP(F663,Equivalencia!$5:$23,((MAX(Equivalencia!$3:$3)-YEAR(G663))*14)+MONTH(G663)+2,FALSE))))</f>
        <v>1</v>
      </c>
      <c r="M663" s="306">
        <f t="shared" si="173"/>
        <v>1409.9435555555556</v>
      </c>
      <c r="N663" s="305">
        <f>IF(G663=0,0,(IF(OR(E663=$AT$5,E663=$AT$6),AC663,HLOOKUP(YEAR(G663)+(MONTH(G663)/100),TC!$5:$37,DAY(G663)+2,FALSE))))</f>
        <v>20.588999999999999</v>
      </c>
      <c r="O663" s="307">
        <f t="shared" si="174"/>
        <v>29029.327865333333</v>
      </c>
      <c r="P663" s="560">
        <f>IF(G663=0,0,VLOOKUP(YEAR(G663),INPC!$B$4:$P$30,MONTH(G663)+2))</f>
        <v>118.002</v>
      </c>
      <c r="Q663" s="560">
        <f>IF(X663=0,0,IF(OR(E663=$AT$10,E663=$AT$9),VLOOKUP(YEAR(X663),INPC!$B$4:$P$30,MONTH(X663)+1),VLOOKUP(YEAR(X663),INPC!$B$4:$P$30,MONTH(X663)+2,0)))</f>
        <v>120.15900000000001</v>
      </c>
      <c r="R663" s="309">
        <f t="shared" si="175"/>
        <v>1.0182</v>
      </c>
      <c r="S663" s="310">
        <f t="shared" si="176"/>
        <v>29557.661632482399</v>
      </c>
      <c r="T663" s="555">
        <f t="shared" si="177"/>
        <v>1555.6664017096</v>
      </c>
      <c r="U663" s="311"/>
      <c r="V663" s="312">
        <v>19</v>
      </c>
      <c r="W663" s="299" t="s">
        <v>194</v>
      </c>
      <c r="X663" s="300">
        <v>44630</v>
      </c>
      <c r="Y663" s="299" t="s">
        <v>59</v>
      </c>
      <c r="Z663" s="303">
        <v>744.25590909090909</v>
      </c>
      <c r="AA663" s="305">
        <f>IF(Z663=0,0,IF(Y663="MXN",1/HLOOKUP(YEAR(X663)+(MONTH(X663)/100),TC!$5:$37,DAY(X663)+2,FALSE),VLOOKUP(Y663,Equivalencia!$1:$23,((MAX(Equivalencia!$3:$3)-YEAR(X663))*14)+MONTH(X663)+2,FALSE)))</f>
        <v>1</v>
      </c>
      <c r="AB663" s="306">
        <f t="shared" si="178"/>
        <v>744.25590909090909</v>
      </c>
      <c r="AC663" s="305">
        <f>+IF(X663=0,0,HLOOKUP(YEAR(X663)+(MONTH(X663)/100),TC!$5:$37,DAY(X663)+2,FALSE))</f>
        <v>21.377500000000001</v>
      </c>
      <c r="AD663" s="307">
        <f t="shared" si="179"/>
        <v>15910.330696590911</v>
      </c>
      <c r="AE663" s="314">
        <f t="shared" si="180"/>
        <v>29557.661632482399</v>
      </c>
      <c r="AF663" s="315">
        <f t="shared" si="181"/>
        <v>-13647.330935891488</v>
      </c>
      <c r="AG663" s="316">
        <f t="shared" si="182"/>
        <v>0.17534246575342466</v>
      </c>
      <c r="AH663" s="314">
        <v>1</v>
      </c>
      <c r="AI663" s="314">
        <f t="shared" si="183"/>
        <v>-13647.330935891488</v>
      </c>
      <c r="AJ663" s="314">
        <f t="shared" si="184"/>
        <v>0</v>
      </c>
      <c r="AK663" s="317"/>
      <c r="AL663" s="315">
        <f t="shared" si="185"/>
        <v>-665.68764646464649</v>
      </c>
      <c r="AN663" s="554">
        <f t="shared" si="186"/>
        <v>-0.4721377985960209</v>
      </c>
      <c r="AO663" s="314"/>
      <c r="AP663" s="318"/>
    </row>
    <row r="664" spans="2:42">
      <c r="B664" s="296" t="s">
        <v>1254</v>
      </c>
      <c r="C664" s="299" t="s">
        <v>277</v>
      </c>
      <c r="D664" s="298" t="s">
        <v>890</v>
      </c>
      <c r="E664" s="299" t="s">
        <v>106</v>
      </c>
      <c r="F664" s="299" t="s">
        <v>59</v>
      </c>
      <c r="G664" s="300">
        <v>44581</v>
      </c>
      <c r="H664" s="303">
        <v>184.00071428571428</v>
      </c>
      <c r="I664" s="301" t="str">
        <f t="shared" si="170"/>
        <v>Ingresos Sección I LISR</v>
      </c>
      <c r="J664" s="302">
        <f t="shared" si="171"/>
        <v>3</v>
      </c>
      <c r="K664" s="304">
        <f t="shared" si="172"/>
        <v>61.333571428571425</v>
      </c>
      <c r="L664" s="305">
        <f>IF(H664=0,0,IF(OR(E664=$AT$5,E664=$AT$6),AA664,IF(F664="MXN",1/HLOOKUP(YEAR(G664)+(MONTH(G664)/100),TC!$5:$37,DAY(G664)+2,FALSE),VLOOKUP(F664,Equivalencia!$5:$23,((MAX(Equivalencia!$3:$3)-YEAR(G664))*14)+MONTH(G664)+2,FALSE))))</f>
        <v>1</v>
      </c>
      <c r="M664" s="306">
        <f t="shared" si="173"/>
        <v>184.00071428571428</v>
      </c>
      <c r="N664" s="305">
        <f>IF(G664=0,0,(IF(OR(E664=$AT$5,E664=$AT$6),AC664,HLOOKUP(YEAR(G664)+(MONTH(G664)/100),TC!$5:$37,DAY(G664)+2,FALSE))))</f>
        <v>20.402999999999999</v>
      </c>
      <c r="O664" s="307">
        <f t="shared" si="174"/>
        <v>3754.1665735714282</v>
      </c>
      <c r="P664" s="560">
        <f>IF(G664=0,0,VLOOKUP(YEAR(G664),INPC!$B$4:$P$30,MONTH(G664)+2))</f>
        <v>118.002</v>
      </c>
      <c r="Q664" s="560">
        <f>IF(X664=0,0,IF(OR(E664=$AT$10,E664=$AT$9),VLOOKUP(YEAR(X664),INPC!$B$4:$P$30,MONTH(X664)+1),VLOOKUP(YEAR(X664),INPC!$B$4:$P$30,MONTH(X664)+2,0)))</f>
        <v>120.15900000000001</v>
      </c>
      <c r="R664" s="309">
        <f t="shared" si="175"/>
        <v>1.0182</v>
      </c>
      <c r="S664" s="310">
        <f t="shared" si="176"/>
        <v>3822.4924052104284</v>
      </c>
      <c r="T664" s="555">
        <f t="shared" si="177"/>
        <v>1274.1641350701427</v>
      </c>
      <c r="U664" s="311"/>
      <c r="V664" s="312">
        <v>3</v>
      </c>
      <c r="W664" s="299" t="s">
        <v>194</v>
      </c>
      <c r="X664" s="300">
        <v>44630</v>
      </c>
      <c r="Y664" s="299" t="s">
        <v>59</v>
      </c>
      <c r="Z664" s="303">
        <v>117.51409090909091</v>
      </c>
      <c r="AA664" s="305">
        <f>IF(Z664=0,0,IF(Y664="MXN",1/HLOOKUP(YEAR(X664)+(MONTH(X664)/100),TC!$5:$37,DAY(X664)+2,FALSE),VLOOKUP(Y664,Equivalencia!$1:$23,((MAX(Equivalencia!$3:$3)-YEAR(X664))*14)+MONTH(X664)+2,FALSE)))</f>
        <v>1</v>
      </c>
      <c r="AB664" s="306">
        <f t="shared" si="178"/>
        <v>117.51409090909091</v>
      </c>
      <c r="AC664" s="305">
        <f>+IF(X664=0,0,HLOOKUP(YEAR(X664)+(MONTH(X664)/100),TC!$5:$37,DAY(X664)+2,FALSE))</f>
        <v>21.377500000000001</v>
      </c>
      <c r="AD664" s="307">
        <f t="shared" si="179"/>
        <v>2512.1574784090913</v>
      </c>
      <c r="AE664" s="314">
        <f t="shared" si="180"/>
        <v>3822.4924052104279</v>
      </c>
      <c r="AF664" s="315">
        <f t="shared" si="181"/>
        <v>-1310.3349268013367</v>
      </c>
      <c r="AG664" s="316">
        <f t="shared" si="182"/>
        <v>0.13424657534246576</v>
      </c>
      <c r="AH664" s="314">
        <v>1</v>
      </c>
      <c r="AI664" s="314">
        <f t="shared" si="183"/>
        <v>-1310.3349268013367</v>
      </c>
      <c r="AJ664" s="314">
        <f t="shared" si="184"/>
        <v>0</v>
      </c>
      <c r="AK664" s="317"/>
      <c r="AL664" s="315">
        <f t="shared" si="185"/>
        <v>-66.486623376623371</v>
      </c>
      <c r="AN664" s="554">
        <f t="shared" si="186"/>
        <v>-0.3613389417248874</v>
      </c>
      <c r="AO664" s="314"/>
      <c r="AP664" s="318"/>
    </row>
    <row r="665" spans="2:42">
      <c r="B665" s="296" t="s">
        <v>1254</v>
      </c>
      <c r="C665" s="299" t="s">
        <v>277</v>
      </c>
      <c r="D665" s="298" t="s">
        <v>890</v>
      </c>
      <c r="E665" s="299" t="s">
        <v>106</v>
      </c>
      <c r="F665" s="299" t="s">
        <v>59</v>
      </c>
      <c r="G665" s="300">
        <v>44581</v>
      </c>
      <c r="H665" s="303">
        <v>306.66785714285714</v>
      </c>
      <c r="I665" s="301" t="str">
        <f t="shared" si="170"/>
        <v>Ingresos Sección I LISR</v>
      </c>
      <c r="J665" s="302">
        <f t="shared" si="171"/>
        <v>5</v>
      </c>
      <c r="K665" s="304">
        <f t="shared" si="172"/>
        <v>61.333571428571432</v>
      </c>
      <c r="L665" s="305">
        <f>IF(H665=0,0,IF(OR(E665=$AT$5,E665=$AT$6),AA665,IF(F665="MXN",1/HLOOKUP(YEAR(G665)+(MONTH(G665)/100),TC!$5:$37,DAY(G665)+2,FALSE),VLOOKUP(F665,Equivalencia!$5:$23,((MAX(Equivalencia!$3:$3)-YEAR(G665))*14)+MONTH(G665)+2,FALSE))))</f>
        <v>1</v>
      </c>
      <c r="M665" s="306">
        <f t="shared" si="173"/>
        <v>306.66785714285714</v>
      </c>
      <c r="N665" s="305">
        <f>IF(G665=0,0,(IF(OR(E665=$AT$5,E665=$AT$6),AC665,HLOOKUP(YEAR(G665)+(MONTH(G665)/100),TC!$5:$37,DAY(G665)+2,FALSE))))</f>
        <v>20.402999999999999</v>
      </c>
      <c r="O665" s="307">
        <f t="shared" si="174"/>
        <v>6256.9442892857141</v>
      </c>
      <c r="P665" s="560">
        <f>IF(G665=0,0,VLOOKUP(YEAR(G665),INPC!$B$4:$P$30,MONTH(G665)+2))</f>
        <v>118.002</v>
      </c>
      <c r="Q665" s="560">
        <f>IF(X665=0,0,IF(OR(E665=$AT$10,E665=$AT$9),VLOOKUP(YEAR(X665),INPC!$B$4:$P$30,MONTH(X665)+1),VLOOKUP(YEAR(X665),INPC!$B$4:$P$30,MONTH(X665)+2,0)))</f>
        <v>120.15900000000001</v>
      </c>
      <c r="R665" s="309">
        <f t="shared" si="175"/>
        <v>1.0182</v>
      </c>
      <c r="S665" s="310">
        <f t="shared" si="176"/>
        <v>6370.8206753507138</v>
      </c>
      <c r="T665" s="555">
        <f t="shared" si="177"/>
        <v>1274.1641350701427</v>
      </c>
      <c r="U665" s="311"/>
      <c r="V665" s="312">
        <v>5</v>
      </c>
      <c r="W665" s="299" t="s">
        <v>194</v>
      </c>
      <c r="X665" s="300">
        <v>44630</v>
      </c>
      <c r="Y665" s="299" t="s">
        <v>59</v>
      </c>
      <c r="Z665" s="303">
        <v>194.53</v>
      </c>
      <c r="AA665" s="305">
        <f>IF(Z665=0,0,IF(Y665="MXN",1/HLOOKUP(YEAR(X665)+(MONTH(X665)/100),TC!$5:$37,DAY(X665)+2,FALSE),VLOOKUP(Y665,Equivalencia!$1:$23,((MAX(Equivalencia!$3:$3)-YEAR(X665))*14)+MONTH(X665)+2,FALSE)))</f>
        <v>1</v>
      </c>
      <c r="AB665" s="306">
        <f t="shared" si="178"/>
        <v>194.53</v>
      </c>
      <c r="AC665" s="305">
        <f>+IF(X665=0,0,HLOOKUP(YEAR(X665)+(MONTH(X665)/100),TC!$5:$37,DAY(X665)+2,FALSE))</f>
        <v>21.377500000000001</v>
      </c>
      <c r="AD665" s="307">
        <f t="shared" si="179"/>
        <v>4158.5650750000004</v>
      </c>
      <c r="AE665" s="314">
        <f t="shared" si="180"/>
        <v>6370.8206753507138</v>
      </c>
      <c r="AF665" s="315">
        <f t="shared" si="181"/>
        <v>-2212.2556003507134</v>
      </c>
      <c r="AG665" s="316">
        <f t="shared" si="182"/>
        <v>0.13424657534246576</v>
      </c>
      <c r="AH665" s="314">
        <v>1</v>
      </c>
      <c r="AI665" s="314">
        <f t="shared" si="183"/>
        <v>-2212.2556003507134</v>
      </c>
      <c r="AJ665" s="314">
        <f t="shared" si="184"/>
        <v>0</v>
      </c>
      <c r="AK665" s="317"/>
      <c r="AL665" s="315">
        <f t="shared" si="185"/>
        <v>-112.13785714285714</v>
      </c>
      <c r="AN665" s="554">
        <f t="shared" si="186"/>
        <v>-0.36566550595688679</v>
      </c>
      <c r="AO665" s="314"/>
      <c r="AP665" s="318"/>
    </row>
    <row r="666" spans="2:42">
      <c r="B666" s="296" t="s">
        <v>1254</v>
      </c>
      <c r="C666" s="299" t="s">
        <v>277</v>
      </c>
      <c r="D666" s="298" t="s">
        <v>890</v>
      </c>
      <c r="E666" s="299" t="s">
        <v>106</v>
      </c>
      <c r="F666" s="299" t="s">
        <v>59</v>
      </c>
      <c r="G666" s="300">
        <v>44581</v>
      </c>
      <c r="H666" s="303">
        <v>368.00142857142856</v>
      </c>
      <c r="I666" s="301" t="str">
        <f t="shared" si="170"/>
        <v>Ingresos Sección I LISR</v>
      </c>
      <c r="J666" s="302">
        <f t="shared" si="171"/>
        <v>6</v>
      </c>
      <c r="K666" s="304">
        <f t="shared" si="172"/>
        <v>61.333571428571425</v>
      </c>
      <c r="L666" s="305">
        <f>IF(H666=0,0,IF(OR(E666=$AT$5,E666=$AT$6),AA666,IF(F666="MXN",1/HLOOKUP(YEAR(G666)+(MONTH(G666)/100),TC!$5:$37,DAY(G666)+2,FALSE),VLOOKUP(F666,Equivalencia!$5:$23,((MAX(Equivalencia!$3:$3)-YEAR(G666))*14)+MONTH(G666)+2,FALSE))))</f>
        <v>1</v>
      </c>
      <c r="M666" s="306">
        <f t="shared" si="173"/>
        <v>368.00142857142856</v>
      </c>
      <c r="N666" s="305">
        <f>IF(G666=0,0,(IF(OR(E666=$AT$5,E666=$AT$6),AC666,HLOOKUP(YEAR(G666)+(MONTH(G666)/100),TC!$5:$37,DAY(G666)+2,FALSE))))</f>
        <v>20.402999999999999</v>
      </c>
      <c r="O666" s="307">
        <f t="shared" si="174"/>
        <v>7508.3331471428564</v>
      </c>
      <c r="P666" s="560">
        <f>IF(G666=0,0,VLOOKUP(YEAR(G666),INPC!$B$4:$P$30,MONTH(G666)+2))</f>
        <v>118.002</v>
      </c>
      <c r="Q666" s="560">
        <f>IF(X666=0,0,IF(OR(E666=$AT$10,E666=$AT$9),VLOOKUP(YEAR(X666),INPC!$B$4:$P$30,MONTH(X666)+1),VLOOKUP(YEAR(X666),INPC!$B$4:$P$30,MONTH(X666)+2,0)))</f>
        <v>120.15900000000001</v>
      </c>
      <c r="R666" s="309">
        <f t="shared" si="175"/>
        <v>1.0182</v>
      </c>
      <c r="S666" s="310">
        <f t="shared" si="176"/>
        <v>7644.9848104208568</v>
      </c>
      <c r="T666" s="555">
        <f t="shared" si="177"/>
        <v>1274.1641350701427</v>
      </c>
      <c r="U666" s="311"/>
      <c r="V666" s="312">
        <v>6</v>
      </c>
      <c r="W666" s="299" t="s">
        <v>194</v>
      </c>
      <c r="X666" s="300">
        <v>44630</v>
      </c>
      <c r="Y666" s="299" t="s">
        <v>59</v>
      </c>
      <c r="Z666" s="303">
        <v>227.64794117647062</v>
      </c>
      <c r="AA666" s="305">
        <f>IF(Z666=0,0,IF(Y666="MXN",1/HLOOKUP(YEAR(X666)+(MONTH(X666)/100),TC!$5:$37,DAY(X666)+2,FALSE),VLOOKUP(Y666,Equivalencia!$1:$23,((MAX(Equivalencia!$3:$3)-YEAR(X666))*14)+MONTH(X666)+2,FALSE)))</f>
        <v>1</v>
      </c>
      <c r="AB666" s="306">
        <f t="shared" si="178"/>
        <v>227.64794117647062</v>
      </c>
      <c r="AC666" s="305">
        <f>+IF(X666=0,0,HLOOKUP(YEAR(X666)+(MONTH(X666)/100),TC!$5:$37,DAY(X666)+2,FALSE))</f>
        <v>21.377500000000001</v>
      </c>
      <c r="AD666" s="307">
        <f t="shared" si="179"/>
        <v>4866.5438625000006</v>
      </c>
      <c r="AE666" s="314">
        <f t="shared" si="180"/>
        <v>7644.9848104208559</v>
      </c>
      <c r="AF666" s="315">
        <f t="shared" si="181"/>
        <v>-2778.4409479208553</v>
      </c>
      <c r="AG666" s="316">
        <f t="shared" si="182"/>
        <v>0.13424657534246576</v>
      </c>
      <c r="AH666" s="314">
        <v>1</v>
      </c>
      <c r="AI666" s="314">
        <f t="shared" si="183"/>
        <v>-2778.4409479208553</v>
      </c>
      <c r="AJ666" s="314">
        <f t="shared" si="184"/>
        <v>0</v>
      </c>
      <c r="AK666" s="317"/>
      <c r="AL666" s="315">
        <f t="shared" si="185"/>
        <v>-140.35348739495794</v>
      </c>
      <c r="AN666" s="554">
        <f t="shared" si="186"/>
        <v>-0.38139386561570243</v>
      </c>
      <c r="AO666" s="314"/>
      <c r="AP666" s="318"/>
    </row>
    <row r="667" spans="2:42">
      <c r="B667" s="296" t="s">
        <v>1254</v>
      </c>
      <c r="C667" s="299" t="s">
        <v>277</v>
      </c>
      <c r="D667" s="298" t="s">
        <v>890</v>
      </c>
      <c r="E667" s="299" t="s">
        <v>106</v>
      </c>
      <c r="F667" s="299" t="s">
        <v>59</v>
      </c>
      <c r="G667" s="300">
        <v>44581</v>
      </c>
      <c r="H667" s="303">
        <v>3302.06</v>
      </c>
      <c r="I667" s="301" t="str">
        <f t="shared" si="170"/>
        <v>Ingresos Sección I LISR</v>
      </c>
      <c r="J667" s="302">
        <f t="shared" si="171"/>
        <v>53</v>
      </c>
      <c r="K667" s="304">
        <f t="shared" si="172"/>
        <v>62.303018867924528</v>
      </c>
      <c r="L667" s="305">
        <f>IF(H667=0,0,IF(OR(E667=$AT$5,E667=$AT$6),AA667,IF(F667="MXN",1/HLOOKUP(YEAR(G667)+(MONTH(G667)/100),TC!$5:$37,DAY(G667)+2,FALSE),VLOOKUP(F667,Equivalencia!$5:$23,((MAX(Equivalencia!$3:$3)-YEAR(G667))*14)+MONTH(G667)+2,FALSE))))</f>
        <v>1</v>
      </c>
      <c r="M667" s="306">
        <f t="shared" si="173"/>
        <v>3302.06</v>
      </c>
      <c r="N667" s="305">
        <f>IF(G667=0,0,(IF(OR(E667=$AT$5,E667=$AT$6),AC667,HLOOKUP(YEAR(G667)+(MONTH(G667)/100),TC!$5:$37,DAY(G667)+2,FALSE))))</f>
        <v>20.402999999999999</v>
      </c>
      <c r="O667" s="307">
        <f t="shared" si="174"/>
        <v>67371.930179999996</v>
      </c>
      <c r="P667" s="560">
        <f>IF(G667=0,0,VLOOKUP(YEAR(G667),INPC!$B$4:$P$30,MONTH(G667)+2))</f>
        <v>118.002</v>
      </c>
      <c r="Q667" s="560">
        <f>IF(X667=0,0,IF(OR(E667=$AT$10,E667=$AT$9),VLOOKUP(YEAR(X667),INPC!$B$4:$P$30,MONTH(X667)+1),VLOOKUP(YEAR(X667),INPC!$B$4:$P$30,MONTH(X667)+2,0)))</f>
        <v>120.15900000000001</v>
      </c>
      <c r="R667" s="309">
        <f t="shared" si="175"/>
        <v>1.0182</v>
      </c>
      <c r="S667" s="310">
        <f t="shared" si="176"/>
        <v>68598.099309275989</v>
      </c>
      <c r="T667" s="555">
        <f t="shared" si="177"/>
        <v>1294.3037605523771</v>
      </c>
      <c r="U667" s="311"/>
      <c r="V667" s="312">
        <v>53</v>
      </c>
      <c r="W667" s="299" t="s">
        <v>194</v>
      </c>
      <c r="X667" s="300">
        <v>44630</v>
      </c>
      <c r="Y667" s="299" t="s">
        <v>59</v>
      </c>
      <c r="Z667" s="303">
        <v>2010.8901470588237</v>
      </c>
      <c r="AA667" s="305">
        <f>IF(Z667=0,0,IF(Y667="MXN",1/HLOOKUP(YEAR(X667)+(MONTH(X667)/100),TC!$5:$37,DAY(X667)+2,FALSE),VLOOKUP(Y667,Equivalencia!$1:$23,((MAX(Equivalencia!$3:$3)-YEAR(X667))*14)+MONTH(X667)+2,FALSE)))</f>
        <v>1</v>
      </c>
      <c r="AB667" s="306">
        <f t="shared" si="178"/>
        <v>2010.8901470588237</v>
      </c>
      <c r="AC667" s="305">
        <f>+IF(X667=0,0,HLOOKUP(YEAR(X667)+(MONTH(X667)/100),TC!$5:$37,DAY(X667)+2,FALSE))</f>
        <v>21.377500000000001</v>
      </c>
      <c r="AD667" s="307">
        <f t="shared" si="179"/>
        <v>42987.804118750006</v>
      </c>
      <c r="AE667" s="314">
        <f t="shared" si="180"/>
        <v>68598.099309275989</v>
      </c>
      <c r="AF667" s="315">
        <f t="shared" si="181"/>
        <v>-25610.295190525983</v>
      </c>
      <c r="AG667" s="316">
        <f t="shared" si="182"/>
        <v>0.13424657534246576</v>
      </c>
      <c r="AH667" s="314">
        <v>1</v>
      </c>
      <c r="AI667" s="314">
        <f t="shared" si="183"/>
        <v>-25610.295190525983</v>
      </c>
      <c r="AJ667" s="314">
        <f t="shared" si="184"/>
        <v>0</v>
      </c>
      <c r="AK667" s="317"/>
      <c r="AL667" s="315">
        <f t="shared" si="185"/>
        <v>-1291.1698529411763</v>
      </c>
      <c r="AN667" s="554">
        <f t="shared" si="186"/>
        <v>-0.39101950083922649</v>
      </c>
      <c r="AO667" s="314"/>
      <c r="AP667" s="318"/>
    </row>
    <row r="668" spans="2:42">
      <c r="B668" s="296" t="s">
        <v>1254</v>
      </c>
      <c r="C668" s="299" t="s">
        <v>277</v>
      </c>
      <c r="D668" s="298" t="s">
        <v>890</v>
      </c>
      <c r="E668" s="299" t="s">
        <v>106</v>
      </c>
      <c r="F668" s="299" t="s">
        <v>59</v>
      </c>
      <c r="G668" s="300">
        <v>44581</v>
      </c>
      <c r="H668" s="303">
        <v>570.24</v>
      </c>
      <c r="I668" s="301" t="str">
        <f t="shared" si="170"/>
        <v>Ingresos Sección I LISR</v>
      </c>
      <c r="J668" s="302">
        <f t="shared" si="171"/>
        <v>9</v>
      </c>
      <c r="K668" s="304">
        <f t="shared" si="172"/>
        <v>63.36</v>
      </c>
      <c r="L668" s="305">
        <f>IF(H668=0,0,IF(OR(E668=$AT$5,E668=$AT$6),AA668,IF(F668="MXN",1/HLOOKUP(YEAR(G668)+(MONTH(G668)/100),TC!$5:$37,DAY(G668)+2,FALSE),VLOOKUP(F668,Equivalencia!$5:$23,((MAX(Equivalencia!$3:$3)-YEAR(G668))*14)+MONTH(G668)+2,FALSE))))</f>
        <v>1</v>
      </c>
      <c r="M668" s="306">
        <f t="shared" si="173"/>
        <v>570.24</v>
      </c>
      <c r="N668" s="305">
        <f>IF(G668=0,0,(IF(OR(E668=$AT$5,E668=$AT$6),AC668,HLOOKUP(YEAR(G668)+(MONTH(G668)/100),TC!$5:$37,DAY(G668)+2,FALSE))))</f>
        <v>20.402999999999999</v>
      </c>
      <c r="O668" s="307">
        <f t="shared" si="174"/>
        <v>11634.60672</v>
      </c>
      <c r="P668" s="560">
        <f>IF(G668=0,0,VLOOKUP(YEAR(G668),INPC!$B$4:$P$30,MONTH(G668)+2))</f>
        <v>118.002</v>
      </c>
      <c r="Q668" s="560">
        <f>IF(X668=0,0,IF(OR(E668=$AT$10,E668=$AT$9),VLOOKUP(YEAR(X668),INPC!$B$4:$P$30,MONTH(X668)+1),VLOOKUP(YEAR(X668),INPC!$B$4:$P$30,MONTH(X668)+2,0)))</f>
        <v>120.15900000000001</v>
      </c>
      <c r="R668" s="309">
        <f t="shared" si="175"/>
        <v>1.0182</v>
      </c>
      <c r="S668" s="310">
        <f t="shared" si="176"/>
        <v>11846.356562303999</v>
      </c>
      <c r="T668" s="555">
        <f t="shared" si="177"/>
        <v>1316.2618402559999</v>
      </c>
      <c r="U668" s="311"/>
      <c r="V668" s="312">
        <v>9</v>
      </c>
      <c r="W668" s="299" t="s">
        <v>194</v>
      </c>
      <c r="X668" s="300">
        <v>44630</v>
      </c>
      <c r="Y668" s="299" t="s">
        <v>59</v>
      </c>
      <c r="Z668" s="303">
        <v>341.47191176470591</v>
      </c>
      <c r="AA668" s="305">
        <f>IF(Z668=0,0,IF(Y668="MXN",1/HLOOKUP(YEAR(X668)+(MONTH(X668)/100),TC!$5:$37,DAY(X668)+2,FALSE),VLOOKUP(Y668,Equivalencia!$1:$23,((MAX(Equivalencia!$3:$3)-YEAR(X668))*14)+MONTH(X668)+2,FALSE)))</f>
        <v>1</v>
      </c>
      <c r="AB668" s="306">
        <f t="shared" si="178"/>
        <v>341.47191176470591</v>
      </c>
      <c r="AC668" s="305">
        <f>+IF(X668=0,0,HLOOKUP(YEAR(X668)+(MONTH(X668)/100),TC!$5:$37,DAY(X668)+2,FALSE))</f>
        <v>21.377500000000001</v>
      </c>
      <c r="AD668" s="307">
        <f t="shared" si="179"/>
        <v>7299.8157937500009</v>
      </c>
      <c r="AE668" s="314">
        <f t="shared" si="180"/>
        <v>11846.356562303999</v>
      </c>
      <c r="AF668" s="315">
        <f t="shared" si="181"/>
        <v>-4546.5407685539985</v>
      </c>
      <c r="AG668" s="316">
        <f t="shared" si="182"/>
        <v>0.13424657534246576</v>
      </c>
      <c r="AH668" s="314">
        <v>1</v>
      </c>
      <c r="AI668" s="314">
        <f t="shared" si="183"/>
        <v>-4546.5407685539985</v>
      </c>
      <c r="AJ668" s="314">
        <f t="shared" si="184"/>
        <v>0</v>
      </c>
      <c r="AK668" s="317"/>
      <c r="AL668" s="315">
        <f t="shared" si="185"/>
        <v>-228.7680882352941</v>
      </c>
      <c r="AN668" s="554">
        <f t="shared" si="186"/>
        <v>-0.40117860591206178</v>
      </c>
      <c r="AO668" s="314"/>
      <c r="AP668" s="318"/>
    </row>
    <row r="669" spans="2:42">
      <c r="B669" s="296" t="s">
        <v>1254</v>
      </c>
      <c r="C669" s="299" t="s">
        <v>277</v>
      </c>
      <c r="D669" s="298" t="s">
        <v>891</v>
      </c>
      <c r="E669" s="299" t="s">
        <v>113</v>
      </c>
      <c r="F669" s="299" t="s">
        <v>59</v>
      </c>
      <c r="G669" s="300">
        <v>44550</v>
      </c>
      <c r="H669" s="303">
        <v>1372.16</v>
      </c>
      <c r="I669" s="301" t="str">
        <f t="shared" si="170"/>
        <v>Ingresos Sección II LISR (SIC &amp; BMV)</v>
      </c>
      <c r="J669" s="302">
        <f t="shared" si="171"/>
        <v>10</v>
      </c>
      <c r="K669" s="304">
        <f t="shared" si="172"/>
        <v>137.21600000000001</v>
      </c>
      <c r="L669" s="305">
        <f>IF(H669=0,0,IF(OR(E669=$AT$5,E669=$AT$6),AA669,IF(F669="MXN",1/HLOOKUP(YEAR(G669)+(MONTH(G669)/100),TC!$5:$37,DAY(G669)+2,FALSE),VLOOKUP(F669,Equivalencia!$5:$23,((MAX(Equivalencia!$3:$3)-YEAR(G669))*14)+MONTH(G669)+2,FALSE))))</f>
        <v>1</v>
      </c>
      <c r="M669" s="306">
        <f t="shared" si="173"/>
        <v>1372.16</v>
      </c>
      <c r="N669" s="305">
        <f>IF(G669=0,0,(IF(OR(E669=$AT$5,E669=$AT$6),AC669,HLOOKUP(YEAR(G669)+(MONTH(G669)/100),TC!$5:$37,DAY(G669)+2,FALSE))))</f>
        <v>20.9238</v>
      </c>
      <c r="O669" s="307">
        <f t="shared" si="174"/>
        <v>28710.801408000003</v>
      </c>
      <c r="P669" s="560">
        <f>IF(G669=0,0,VLOOKUP(YEAR(G669),INPC!$B$4:$P$30,MONTH(G669)+2))</f>
        <v>117.30800000000001</v>
      </c>
      <c r="Q669" s="560">
        <f>IF(X669=0,0,IF(OR(E669=$AT$10,E669=$AT$9),VLOOKUP(YEAR(X669),INPC!$B$4:$P$30,MONTH(X669)+1),VLOOKUP(YEAR(X669),INPC!$B$4:$P$30,MONTH(X669)+2,0)))</f>
        <v>117.30800000000001</v>
      </c>
      <c r="R669" s="309">
        <f t="shared" si="175"/>
        <v>1</v>
      </c>
      <c r="S669" s="310">
        <f t="shared" si="176"/>
        <v>28710.801408000003</v>
      </c>
      <c r="T669" s="555">
        <f t="shared" si="177"/>
        <v>2871.0801408000002</v>
      </c>
      <c r="U669" s="311"/>
      <c r="V669" s="312">
        <v>10</v>
      </c>
      <c r="W669" s="299" t="s">
        <v>194</v>
      </c>
      <c r="X669" s="300">
        <v>44589</v>
      </c>
      <c r="Y669" s="299" t="s">
        <v>59</v>
      </c>
      <c r="Z669" s="303">
        <v>941.98922155688615</v>
      </c>
      <c r="AA669" s="305">
        <f>IF(Z669=0,0,IF(Y669="MXN",1/HLOOKUP(YEAR(X669)+(MONTH(X669)/100),TC!$5:$37,DAY(X669)+2,FALSE),VLOOKUP(Y669,Equivalencia!$1:$23,((MAX(Equivalencia!$3:$3)-YEAR(X669))*14)+MONTH(X669)+2,FALSE)))</f>
        <v>1</v>
      </c>
      <c r="AB669" s="306">
        <f t="shared" si="178"/>
        <v>941.98922155688615</v>
      </c>
      <c r="AC669" s="305">
        <f>+IF(X669=0,0,HLOOKUP(YEAR(X669)+(MONTH(X669)/100),TC!$5:$37,DAY(X669)+2,FALSE))</f>
        <v>20.641500000000001</v>
      </c>
      <c r="AD669" s="307">
        <f t="shared" si="179"/>
        <v>19444.070516766467</v>
      </c>
      <c r="AE669" s="314">
        <f t="shared" si="180"/>
        <v>28710.801408000003</v>
      </c>
      <c r="AF669" s="315">
        <f t="shared" si="181"/>
        <v>-9266.7308912335357</v>
      </c>
      <c r="AG669" s="316">
        <f t="shared" si="182"/>
        <v>0.10684931506849316</v>
      </c>
      <c r="AH669" s="314">
        <v>1</v>
      </c>
      <c r="AI669" s="314">
        <f t="shared" si="183"/>
        <v>-9266.7308912335357</v>
      </c>
      <c r="AJ669" s="314">
        <f t="shared" si="184"/>
        <v>0</v>
      </c>
      <c r="AK669" s="317"/>
      <c r="AL669" s="315">
        <f t="shared" si="185"/>
        <v>-430.17077844311393</v>
      </c>
      <c r="AN669" s="554">
        <f t="shared" si="186"/>
        <v>-0.31349899315175628</v>
      </c>
      <c r="AO669" s="314"/>
      <c r="AP669" s="318"/>
    </row>
    <row r="670" spans="2:42">
      <c r="B670" s="296" t="s">
        <v>1254</v>
      </c>
      <c r="C670" s="299" t="s">
        <v>277</v>
      </c>
      <c r="D670" s="298" t="s">
        <v>891</v>
      </c>
      <c r="E670" s="299" t="s">
        <v>113</v>
      </c>
      <c r="F670" s="299" t="s">
        <v>59</v>
      </c>
      <c r="G670" s="300">
        <v>44550</v>
      </c>
      <c r="H670" s="303">
        <v>9784.94</v>
      </c>
      <c r="I670" s="301" t="str">
        <f t="shared" si="170"/>
        <v>Ingresos Sección II LISR (SIC &amp; BMV)</v>
      </c>
      <c r="J670" s="302">
        <f t="shared" si="171"/>
        <v>71</v>
      </c>
      <c r="K670" s="304">
        <f t="shared" si="172"/>
        <v>137.81605633802818</v>
      </c>
      <c r="L670" s="305">
        <f>IF(H670=0,0,IF(OR(E670=$AT$5,E670=$AT$6),AA670,IF(F670="MXN",1/HLOOKUP(YEAR(G670)+(MONTH(G670)/100),TC!$5:$37,DAY(G670)+2,FALSE),VLOOKUP(F670,Equivalencia!$5:$23,((MAX(Equivalencia!$3:$3)-YEAR(G670))*14)+MONTH(G670)+2,FALSE))))</f>
        <v>1</v>
      </c>
      <c r="M670" s="306">
        <f t="shared" si="173"/>
        <v>9784.94</v>
      </c>
      <c r="N670" s="305">
        <f>IF(G670=0,0,(IF(OR(E670=$AT$5,E670=$AT$6),AC670,HLOOKUP(YEAR(G670)+(MONTH(G670)/100),TC!$5:$37,DAY(G670)+2,FALSE))))</f>
        <v>20.9238</v>
      </c>
      <c r="O670" s="307">
        <f t="shared" si="174"/>
        <v>204738.127572</v>
      </c>
      <c r="P670" s="560">
        <f>IF(G670=0,0,VLOOKUP(YEAR(G670),INPC!$B$4:$P$30,MONTH(G670)+2))</f>
        <v>117.30800000000001</v>
      </c>
      <c r="Q670" s="560">
        <f>IF(X670=0,0,IF(OR(E670=$AT$10,E670=$AT$9),VLOOKUP(YEAR(X670),INPC!$B$4:$P$30,MONTH(X670)+1),VLOOKUP(YEAR(X670),INPC!$B$4:$P$30,MONTH(X670)+2,0)))</f>
        <v>117.30800000000001</v>
      </c>
      <c r="R670" s="309">
        <f t="shared" si="175"/>
        <v>1</v>
      </c>
      <c r="S670" s="310">
        <f t="shared" si="176"/>
        <v>204738.127572</v>
      </c>
      <c r="T670" s="555">
        <f t="shared" si="177"/>
        <v>2883.6355996056336</v>
      </c>
      <c r="U670" s="311"/>
      <c r="V670" s="312">
        <v>71</v>
      </c>
      <c r="W670" s="299" t="s">
        <v>194</v>
      </c>
      <c r="X670" s="300">
        <v>44589</v>
      </c>
      <c r="Y670" s="299" t="s">
        <v>59</v>
      </c>
      <c r="Z670" s="303">
        <v>6688.1234730538918</v>
      </c>
      <c r="AA670" s="305">
        <f>IF(Z670=0,0,IF(Y670="MXN",1/HLOOKUP(YEAR(X670)+(MONTH(X670)/100),TC!$5:$37,DAY(X670)+2,FALSE),VLOOKUP(Y670,Equivalencia!$1:$23,((MAX(Equivalencia!$3:$3)-YEAR(X670))*14)+MONTH(X670)+2,FALSE)))</f>
        <v>1</v>
      </c>
      <c r="AB670" s="306">
        <f t="shared" si="178"/>
        <v>6688.1234730538918</v>
      </c>
      <c r="AC670" s="305">
        <f>+IF(X670=0,0,HLOOKUP(YEAR(X670)+(MONTH(X670)/100),TC!$5:$37,DAY(X670)+2,FALSE))</f>
        <v>20.641500000000001</v>
      </c>
      <c r="AD670" s="307">
        <f t="shared" si="179"/>
        <v>138052.9006690419</v>
      </c>
      <c r="AE670" s="314">
        <f t="shared" si="180"/>
        <v>204738.127572</v>
      </c>
      <c r="AF670" s="315">
        <f t="shared" si="181"/>
        <v>-66685.226902958093</v>
      </c>
      <c r="AG670" s="316">
        <f t="shared" si="182"/>
        <v>0.10684931506849316</v>
      </c>
      <c r="AH670" s="314">
        <v>1</v>
      </c>
      <c r="AI670" s="314">
        <f t="shared" si="183"/>
        <v>-66685.226902958093</v>
      </c>
      <c r="AJ670" s="314">
        <f t="shared" si="184"/>
        <v>0</v>
      </c>
      <c r="AK670" s="317"/>
      <c r="AL670" s="315">
        <f t="shared" si="185"/>
        <v>-3096.8165269461088</v>
      </c>
      <c r="AN670" s="554">
        <f t="shared" si="186"/>
        <v>-0.31648804458137797</v>
      </c>
      <c r="AO670" s="314"/>
      <c r="AP670" s="318"/>
    </row>
    <row r="671" spans="2:42">
      <c r="B671" s="296" t="s">
        <v>1254</v>
      </c>
      <c r="C671" s="299" t="s">
        <v>277</v>
      </c>
      <c r="D671" s="298" t="s">
        <v>891</v>
      </c>
      <c r="E671" s="299" t="s">
        <v>113</v>
      </c>
      <c r="F671" s="299" t="s">
        <v>59</v>
      </c>
      <c r="G671" s="300">
        <v>44553</v>
      </c>
      <c r="H671" s="303">
        <v>5825.08</v>
      </c>
      <c r="I671" s="301" t="str">
        <f t="shared" si="170"/>
        <v>Ingresos Sección II LISR (SIC &amp; BMV)</v>
      </c>
      <c r="J671" s="302">
        <f t="shared" si="171"/>
        <v>40</v>
      </c>
      <c r="K671" s="304">
        <f t="shared" si="172"/>
        <v>145.62700000000001</v>
      </c>
      <c r="L671" s="305">
        <f>IF(H671=0,0,IF(OR(E671=$AT$5,E671=$AT$6),AA671,IF(F671="MXN",1/HLOOKUP(YEAR(G671)+(MONTH(G671)/100),TC!$5:$37,DAY(G671)+2,FALSE),VLOOKUP(F671,Equivalencia!$5:$23,((MAX(Equivalencia!$3:$3)-YEAR(G671))*14)+MONTH(G671)+2,FALSE))))</f>
        <v>1</v>
      </c>
      <c r="M671" s="306">
        <f t="shared" si="173"/>
        <v>5825.08</v>
      </c>
      <c r="N671" s="305">
        <f>IF(G671=0,0,(IF(OR(E671=$AT$5,E671=$AT$6),AC671,HLOOKUP(YEAR(G671)+(MONTH(G671)/100),TC!$5:$37,DAY(G671)+2,FALSE))))</f>
        <v>20.782299999999999</v>
      </c>
      <c r="O671" s="307">
        <f t="shared" si="174"/>
        <v>121058.560084</v>
      </c>
      <c r="P671" s="560">
        <f>IF(G671=0,0,VLOOKUP(YEAR(G671),INPC!$B$4:$P$30,MONTH(G671)+2))</f>
        <v>117.30800000000001</v>
      </c>
      <c r="Q671" s="560">
        <f>IF(X671=0,0,IF(OR(E671=$AT$10,E671=$AT$9),VLOOKUP(YEAR(X671),INPC!$B$4:$P$30,MONTH(X671)+1),VLOOKUP(YEAR(X671),INPC!$B$4:$P$30,MONTH(X671)+2,0)))</f>
        <v>117.30800000000001</v>
      </c>
      <c r="R671" s="309">
        <f t="shared" si="175"/>
        <v>1</v>
      </c>
      <c r="S671" s="310">
        <f t="shared" si="176"/>
        <v>121058.560084</v>
      </c>
      <c r="T671" s="555">
        <f t="shared" si="177"/>
        <v>3026.4640021</v>
      </c>
      <c r="U671" s="311"/>
      <c r="V671" s="312">
        <v>40</v>
      </c>
      <c r="W671" s="299" t="s">
        <v>194</v>
      </c>
      <c r="X671" s="300">
        <v>44589</v>
      </c>
      <c r="Y671" s="299" t="s">
        <v>59</v>
      </c>
      <c r="Z671" s="303">
        <v>3767.9568862275446</v>
      </c>
      <c r="AA671" s="305">
        <f>IF(Z671=0,0,IF(Y671="MXN",1/HLOOKUP(YEAR(X671)+(MONTH(X671)/100),TC!$5:$37,DAY(X671)+2,FALSE),VLOOKUP(Y671,Equivalencia!$1:$23,((MAX(Equivalencia!$3:$3)-YEAR(X671))*14)+MONTH(X671)+2,FALSE)))</f>
        <v>1</v>
      </c>
      <c r="AB671" s="306">
        <f t="shared" si="178"/>
        <v>3767.9568862275446</v>
      </c>
      <c r="AC671" s="305">
        <f>+IF(X671=0,0,HLOOKUP(YEAR(X671)+(MONTH(X671)/100),TC!$5:$37,DAY(X671)+2,FALSE))</f>
        <v>20.641500000000001</v>
      </c>
      <c r="AD671" s="307">
        <f t="shared" si="179"/>
        <v>77776.282067065869</v>
      </c>
      <c r="AE671" s="314">
        <f t="shared" si="180"/>
        <v>121058.560084</v>
      </c>
      <c r="AF671" s="315">
        <f t="shared" si="181"/>
        <v>-43282.278016934128</v>
      </c>
      <c r="AG671" s="316">
        <f t="shared" si="182"/>
        <v>9.8630136986301367E-2</v>
      </c>
      <c r="AH671" s="314">
        <v>1</v>
      </c>
      <c r="AI671" s="314">
        <f t="shared" si="183"/>
        <v>-43282.278016934128</v>
      </c>
      <c r="AJ671" s="314">
        <f t="shared" si="184"/>
        <v>0</v>
      </c>
      <c r="AK671" s="317"/>
      <c r="AL671" s="315">
        <f t="shared" si="185"/>
        <v>-2057.1231137724553</v>
      </c>
      <c r="AN671" s="554">
        <f t="shared" si="186"/>
        <v>-0.35314933250229275</v>
      </c>
      <c r="AO671" s="314"/>
      <c r="AP671" s="318"/>
    </row>
    <row r="672" spans="2:42">
      <c r="B672" s="296" t="s">
        <v>1254</v>
      </c>
      <c r="C672" s="299" t="s">
        <v>277</v>
      </c>
      <c r="D672" s="298" t="s">
        <v>891</v>
      </c>
      <c r="E672" s="299" t="s">
        <v>113</v>
      </c>
      <c r="F672" s="299" t="s">
        <v>59</v>
      </c>
      <c r="G672" s="300">
        <v>44557</v>
      </c>
      <c r="H672" s="303">
        <v>6035.93</v>
      </c>
      <c r="I672" s="301" t="str">
        <f t="shared" si="170"/>
        <v>Ingresos Sección II LISR (SIC &amp; BMV)</v>
      </c>
      <c r="J672" s="302">
        <f t="shared" si="171"/>
        <v>41</v>
      </c>
      <c r="K672" s="304">
        <f t="shared" si="172"/>
        <v>147.21780487804878</v>
      </c>
      <c r="L672" s="305">
        <f>IF(H672=0,0,IF(OR(E672=$AT$5,E672=$AT$6),AA672,IF(F672="MXN",1/HLOOKUP(YEAR(G672)+(MONTH(G672)/100),TC!$5:$37,DAY(G672)+2,FALSE),VLOOKUP(F672,Equivalencia!$5:$23,((MAX(Equivalencia!$3:$3)-YEAR(G672))*14)+MONTH(G672)+2,FALSE))))</f>
        <v>1</v>
      </c>
      <c r="M672" s="306">
        <f t="shared" si="173"/>
        <v>6035.93</v>
      </c>
      <c r="N672" s="305">
        <f>IF(G672=0,0,(IF(OR(E672=$AT$5,E672=$AT$6),AC672,HLOOKUP(YEAR(G672)+(MONTH(G672)/100),TC!$5:$37,DAY(G672)+2,FALSE))))</f>
        <v>20.658200000000001</v>
      </c>
      <c r="O672" s="307">
        <f t="shared" si="174"/>
        <v>124691.44912600001</v>
      </c>
      <c r="P672" s="560">
        <f>IF(G672=0,0,VLOOKUP(YEAR(G672),INPC!$B$4:$P$30,MONTH(G672)+2))</f>
        <v>117.30800000000001</v>
      </c>
      <c r="Q672" s="560">
        <f>IF(X672=0,0,IF(OR(E672=$AT$10,E672=$AT$9),VLOOKUP(YEAR(X672),INPC!$B$4:$P$30,MONTH(X672)+1),VLOOKUP(YEAR(X672),INPC!$B$4:$P$30,MONTH(X672)+2,0)))</f>
        <v>117.30800000000001</v>
      </c>
      <c r="R672" s="309">
        <f t="shared" si="175"/>
        <v>1</v>
      </c>
      <c r="S672" s="310">
        <f t="shared" si="176"/>
        <v>124691.44912600001</v>
      </c>
      <c r="T672" s="555">
        <f t="shared" si="177"/>
        <v>3041.2548567317076</v>
      </c>
      <c r="U672" s="311"/>
      <c r="V672" s="312">
        <v>41</v>
      </c>
      <c r="W672" s="299" t="s">
        <v>194</v>
      </c>
      <c r="X672" s="300">
        <v>44589</v>
      </c>
      <c r="Y672" s="299" t="s">
        <v>59</v>
      </c>
      <c r="Z672" s="303">
        <v>3862.1558083832333</v>
      </c>
      <c r="AA672" s="305">
        <f>IF(Z672=0,0,IF(Y672="MXN",1/HLOOKUP(YEAR(X672)+(MONTH(X672)/100),TC!$5:$37,DAY(X672)+2,FALSE),VLOOKUP(Y672,Equivalencia!$1:$23,((MAX(Equivalencia!$3:$3)-YEAR(X672))*14)+MONTH(X672)+2,FALSE)))</f>
        <v>1</v>
      </c>
      <c r="AB672" s="306">
        <f t="shared" si="178"/>
        <v>3862.1558083832333</v>
      </c>
      <c r="AC672" s="305">
        <f>+IF(X672=0,0,HLOOKUP(YEAR(X672)+(MONTH(X672)/100),TC!$5:$37,DAY(X672)+2,FALSE))</f>
        <v>20.641500000000001</v>
      </c>
      <c r="AD672" s="307">
        <f t="shared" si="179"/>
        <v>79720.689118742506</v>
      </c>
      <c r="AE672" s="314">
        <f t="shared" si="180"/>
        <v>124691.44912600001</v>
      </c>
      <c r="AF672" s="315">
        <f t="shared" si="181"/>
        <v>-44970.760007257501</v>
      </c>
      <c r="AG672" s="316">
        <f t="shared" si="182"/>
        <v>8.7671232876712329E-2</v>
      </c>
      <c r="AH672" s="314">
        <v>1</v>
      </c>
      <c r="AI672" s="314">
        <f t="shared" si="183"/>
        <v>-44970.760007257501</v>
      </c>
      <c r="AJ672" s="314">
        <f t="shared" si="184"/>
        <v>0</v>
      </c>
      <c r="AK672" s="317"/>
      <c r="AL672" s="315">
        <f t="shared" si="185"/>
        <v>-2173.774191616767</v>
      </c>
      <c r="AN672" s="554">
        <f t="shared" si="186"/>
        <v>-0.36013906583024768</v>
      </c>
      <c r="AO672" s="314"/>
      <c r="AP672" s="318"/>
    </row>
    <row r="673" spans="2:42">
      <c r="B673" s="296" t="s">
        <v>1254</v>
      </c>
      <c r="C673" s="299" t="s">
        <v>277</v>
      </c>
      <c r="D673" s="298" t="s">
        <v>891</v>
      </c>
      <c r="E673" s="299" t="s">
        <v>113</v>
      </c>
      <c r="F673" s="299" t="s">
        <v>59</v>
      </c>
      <c r="G673" s="300">
        <v>44559</v>
      </c>
      <c r="H673" s="303">
        <v>719.25666666666666</v>
      </c>
      <c r="I673" s="301" t="str">
        <f t="shared" si="170"/>
        <v>Ingresos Sección II LISR (SIC &amp; BMV)</v>
      </c>
      <c r="J673" s="302">
        <f t="shared" si="171"/>
        <v>5</v>
      </c>
      <c r="K673" s="304">
        <f t="shared" si="172"/>
        <v>143.85133333333334</v>
      </c>
      <c r="L673" s="305">
        <f>IF(H673=0,0,IF(OR(E673=$AT$5,E673=$AT$6),AA673,IF(F673="MXN",1/HLOOKUP(YEAR(G673)+(MONTH(G673)/100),TC!$5:$37,DAY(G673)+2,FALSE),VLOOKUP(F673,Equivalencia!$5:$23,((MAX(Equivalencia!$3:$3)-YEAR(G673))*14)+MONTH(G673)+2,FALSE))))</f>
        <v>1</v>
      </c>
      <c r="M673" s="306">
        <f t="shared" si="173"/>
        <v>719.25666666666666</v>
      </c>
      <c r="N673" s="305">
        <f>IF(G673=0,0,(IF(OR(E673=$AT$5,E673=$AT$6),AC673,HLOOKUP(YEAR(G673)+(MONTH(G673)/100),TC!$5:$37,DAY(G673)+2,FALSE))))</f>
        <v>20.6828</v>
      </c>
      <c r="O673" s="307">
        <f t="shared" si="174"/>
        <v>14876.241785333334</v>
      </c>
      <c r="P673" s="560">
        <f>IF(G673=0,0,VLOOKUP(YEAR(G673),INPC!$B$4:$P$30,MONTH(G673)+2))</f>
        <v>117.30800000000001</v>
      </c>
      <c r="Q673" s="560">
        <f>IF(X673=0,0,IF(OR(E673=$AT$10,E673=$AT$9),VLOOKUP(YEAR(X673),INPC!$B$4:$P$30,MONTH(X673)+1),VLOOKUP(YEAR(X673),INPC!$B$4:$P$30,MONTH(X673)+2,0)))</f>
        <v>117.30800000000001</v>
      </c>
      <c r="R673" s="309">
        <f t="shared" si="175"/>
        <v>1</v>
      </c>
      <c r="S673" s="310">
        <f t="shared" si="176"/>
        <v>14876.241785333334</v>
      </c>
      <c r="T673" s="555">
        <f t="shared" si="177"/>
        <v>2975.2483570666668</v>
      </c>
      <c r="U673" s="311"/>
      <c r="V673" s="312">
        <v>5</v>
      </c>
      <c r="W673" s="299" t="s">
        <v>194</v>
      </c>
      <c r="X673" s="300">
        <v>44589</v>
      </c>
      <c r="Y673" s="299" t="s">
        <v>59</v>
      </c>
      <c r="Z673" s="303">
        <v>470.99461077844308</v>
      </c>
      <c r="AA673" s="305">
        <f>IF(Z673=0,0,IF(Y673="MXN",1/HLOOKUP(YEAR(X673)+(MONTH(X673)/100),TC!$5:$37,DAY(X673)+2,FALSE),VLOOKUP(Y673,Equivalencia!$1:$23,((MAX(Equivalencia!$3:$3)-YEAR(X673))*14)+MONTH(X673)+2,FALSE)))</f>
        <v>1</v>
      </c>
      <c r="AB673" s="306">
        <f t="shared" si="178"/>
        <v>470.99461077844308</v>
      </c>
      <c r="AC673" s="305">
        <f>+IF(X673=0,0,HLOOKUP(YEAR(X673)+(MONTH(X673)/100),TC!$5:$37,DAY(X673)+2,FALSE))</f>
        <v>20.641500000000001</v>
      </c>
      <c r="AD673" s="307">
        <f t="shared" si="179"/>
        <v>9722.0352583832337</v>
      </c>
      <c r="AE673" s="314">
        <f t="shared" si="180"/>
        <v>14876.241785333334</v>
      </c>
      <c r="AF673" s="315">
        <f t="shared" si="181"/>
        <v>-5154.2065269500999</v>
      </c>
      <c r="AG673" s="316">
        <f t="shared" si="182"/>
        <v>8.2191780821917804E-2</v>
      </c>
      <c r="AH673" s="314">
        <v>1</v>
      </c>
      <c r="AI673" s="314">
        <f t="shared" si="183"/>
        <v>-5154.2065269500999</v>
      </c>
      <c r="AJ673" s="314">
        <f t="shared" si="184"/>
        <v>0</v>
      </c>
      <c r="AK673" s="317"/>
      <c r="AL673" s="315">
        <f t="shared" si="185"/>
        <v>-248.26205588822359</v>
      </c>
      <c r="AN673" s="554">
        <f t="shared" si="186"/>
        <v>-0.3451647616125309</v>
      </c>
      <c r="AO673" s="314"/>
      <c r="AP673" s="318"/>
    </row>
    <row r="674" spans="2:42">
      <c r="B674" s="296" t="s">
        <v>1254</v>
      </c>
      <c r="C674" s="299" t="s">
        <v>277</v>
      </c>
      <c r="D674" s="298" t="s">
        <v>891</v>
      </c>
      <c r="E674" s="299" t="s">
        <v>113</v>
      </c>
      <c r="F674" s="299" t="s">
        <v>59</v>
      </c>
      <c r="G674" s="300">
        <v>44559</v>
      </c>
      <c r="H674" s="303">
        <v>7911.8233333333337</v>
      </c>
      <c r="I674" s="301" t="str">
        <f t="shared" si="170"/>
        <v>Ingresos Sección II LISR (SIC &amp; BMV)</v>
      </c>
      <c r="J674" s="302">
        <f t="shared" si="171"/>
        <v>55</v>
      </c>
      <c r="K674" s="304">
        <f t="shared" si="172"/>
        <v>143.85133333333334</v>
      </c>
      <c r="L674" s="305">
        <f>IF(H674=0,0,IF(OR(E674=$AT$5,E674=$AT$6),AA674,IF(F674="MXN",1/HLOOKUP(YEAR(G674)+(MONTH(G674)/100),TC!$5:$37,DAY(G674)+2,FALSE),VLOOKUP(F674,Equivalencia!$5:$23,((MAX(Equivalencia!$3:$3)-YEAR(G674))*14)+MONTH(G674)+2,FALSE))))</f>
        <v>1</v>
      </c>
      <c r="M674" s="306">
        <f t="shared" si="173"/>
        <v>7911.8233333333337</v>
      </c>
      <c r="N674" s="305">
        <f>IF(G674=0,0,(IF(OR(E674=$AT$5,E674=$AT$6),AC674,HLOOKUP(YEAR(G674)+(MONTH(G674)/100),TC!$5:$37,DAY(G674)+2,FALSE))))</f>
        <v>20.6828</v>
      </c>
      <c r="O674" s="307">
        <f t="shared" si="174"/>
        <v>163638.65963866666</v>
      </c>
      <c r="P674" s="560">
        <f>IF(G674=0,0,VLOOKUP(YEAR(G674),INPC!$B$4:$P$30,MONTH(G674)+2))</f>
        <v>117.30800000000001</v>
      </c>
      <c r="Q674" s="560">
        <f>IF(X674=0,0,IF(OR(E674=$AT$10,E674=$AT$9),VLOOKUP(YEAR(X674),INPC!$B$4:$P$30,MONTH(X674)+1),VLOOKUP(YEAR(X674),INPC!$B$4:$P$30,MONTH(X674)+2,0)))</f>
        <v>117.30800000000001</v>
      </c>
      <c r="R674" s="309">
        <f t="shared" si="175"/>
        <v>1</v>
      </c>
      <c r="S674" s="310">
        <f t="shared" si="176"/>
        <v>163638.65963866666</v>
      </c>
      <c r="T674" s="555">
        <f t="shared" si="177"/>
        <v>2975.2483570666668</v>
      </c>
      <c r="U674" s="311"/>
      <c r="V674" s="312">
        <v>55</v>
      </c>
      <c r="W674" s="299" t="s">
        <v>194</v>
      </c>
      <c r="X674" s="300">
        <v>44589</v>
      </c>
      <c r="Y674" s="299" t="s">
        <v>59</v>
      </c>
      <c r="Z674" s="303">
        <v>5172.1011235955057</v>
      </c>
      <c r="AA674" s="305">
        <f>IF(Z674=0,0,IF(Y674="MXN",1/HLOOKUP(YEAR(X674)+(MONTH(X674)/100),TC!$5:$37,DAY(X674)+2,FALSE),VLOOKUP(Y674,Equivalencia!$1:$23,((MAX(Equivalencia!$3:$3)-YEAR(X674))*14)+MONTH(X674)+2,FALSE)))</f>
        <v>1</v>
      </c>
      <c r="AB674" s="306">
        <f t="shared" si="178"/>
        <v>5172.1011235955057</v>
      </c>
      <c r="AC674" s="305">
        <f>+IF(X674=0,0,HLOOKUP(YEAR(X674)+(MONTH(X674)/100),TC!$5:$37,DAY(X674)+2,FALSE))</f>
        <v>20.641500000000001</v>
      </c>
      <c r="AD674" s="307">
        <f t="shared" si="179"/>
        <v>106759.92534269663</v>
      </c>
      <c r="AE674" s="314">
        <f t="shared" si="180"/>
        <v>163638.65963866666</v>
      </c>
      <c r="AF674" s="315">
        <f t="shared" si="181"/>
        <v>-56878.734295970033</v>
      </c>
      <c r="AG674" s="316">
        <f t="shared" si="182"/>
        <v>8.2191780821917804E-2</v>
      </c>
      <c r="AH674" s="314">
        <v>1</v>
      </c>
      <c r="AI674" s="314">
        <f t="shared" si="183"/>
        <v>-56878.734295970033</v>
      </c>
      <c r="AJ674" s="314">
        <f t="shared" si="184"/>
        <v>0</v>
      </c>
      <c r="AK674" s="317"/>
      <c r="AL674" s="315">
        <f t="shared" si="185"/>
        <v>-2739.7222097378281</v>
      </c>
      <c r="AN674" s="554">
        <f t="shared" si="186"/>
        <v>-0.34628202555978388</v>
      </c>
      <c r="AO674" s="314"/>
      <c r="AP674" s="318"/>
    </row>
    <row r="675" spans="2:42">
      <c r="B675" s="296" t="s">
        <v>1254</v>
      </c>
      <c r="C675" s="299" t="s">
        <v>277</v>
      </c>
      <c r="D675" s="298" t="s">
        <v>891</v>
      </c>
      <c r="E675" s="299" t="s">
        <v>113</v>
      </c>
      <c r="F675" s="299" t="s">
        <v>59</v>
      </c>
      <c r="G675" s="300">
        <v>44564</v>
      </c>
      <c r="H675" s="303">
        <v>6098.5099999999993</v>
      </c>
      <c r="I675" s="301" t="str">
        <f t="shared" si="170"/>
        <v>Ingresos Sección II LISR (SIC &amp; BMV)</v>
      </c>
      <c r="J675" s="302">
        <f t="shared" si="171"/>
        <v>44</v>
      </c>
      <c r="K675" s="304">
        <f t="shared" si="172"/>
        <v>138.60249999999999</v>
      </c>
      <c r="L675" s="305">
        <f>IF(H675=0,0,IF(OR(E675=$AT$5,E675=$AT$6),AA675,IF(F675="MXN",1/HLOOKUP(YEAR(G675)+(MONTH(G675)/100),TC!$5:$37,DAY(G675)+2,FALSE),VLOOKUP(F675,Equivalencia!$5:$23,((MAX(Equivalencia!$3:$3)-YEAR(G675))*14)+MONTH(G675)+2,FALSE))))</f>
        <v>1</v>
      </c>
      <c r="M675" s="306">
        <f t="shared" si="173"/>
        <v>6098.5099999999993</v>
      </c>
      <c r="N675" s="305">
        <f>IF(G675=0,0,(IF(OR(E675=$AT$5,E675=$AT$6),AC675,HLOOKUP(YEAR(G675)+(MONTH(G675)/100),TC!$5:$37,DAY(G675)+2,FALSE))))</f>
        <v>20.515699999999999</v>
      </c>
      <c r="O675" s="307">
        <f t="shared" si="174"/>
        <v>125115.20160699998</v>
      </c>
      <c r="P675" s="560">
        <f>IF(G675=0,0,VLOOKUP(YEAR(G675),INPC!$B$4:$P$30,MONTH(G675)+2))</f>
        <v>118.002</v>
      </c>
      <c r="Q675" s="560">
        <f>IF(X675=0,0,IF(OR(E675=$AT$10,E675=$AT$9),VLOOKUP(YEAR(X675),INPC!$B$4:$P$30,MONTH(X675)+1),VLOOKUP(YEAR(X675),INPC!$B$4:$P$30,MONTH(X675)+2,0)))</f>
        <v>117.30800000000001</v>
      </c>
      <c r="R675" s="309">
        <f t="shared" si="175"/>
        <v>1</v>
      </c>
      <c r="S675" s="310">
        <f t="shared" si="176"/>
        <v>125115.20160699998</v>
      </c>
      <c r="T675" s="555">
        <f t="shared" si="177"/>
        <v>2843.5273092499997</v>
      </c>
      <c r="U675" s="311"/>
      <c r="V675" s="312">
        <v>44</v>
      </c>
      <c r="W675" s="299" t="s">
        <v>194</v>
      </c>
      <c r="X675" s="300">
        <v>44589</v>
      </c>
      <c r="Y675" s="299" t="s">
        <v>59</v>
      </c>
      <c r="Z675" s="303">
        <v>4137.6808988764042</v>
      </c>
      <c r="AA675" s="305">
        <f>IF(Z675=0,0,IF(Y675="MXN",1/HLOOKUP(YEAR(X675)+(MONTH(X675)/100),TC!$5:$37,DAY(X675)+2,FALSE),VLOOKUP(Y675,Equivalencia!$1:$23,((MAX(Equivalencia!$3:$3)-YEAR(X675))*14)+MONTH(X675)+2,FALSE)))</f>
        <v>1</v>
      </c>
      <c r="AB675" s="306">
        <f t="shared" si="178"/>
        <v>4137.6808988764042</v>
      </c>
      <c r="AC675" s="305">
        <f>+IF(X675=0,0,HLOOKUP(YEAR(X675)+(MONTH(X675)/100),TC!$5:$37,DAY(X675)+2,FALSE))</f>
        <v>20.641500000000001</v>
      </c>
      <c r="AD675" s="307">
        <f t="shared" si="179"/>
        <v>85407.940274157299</v>
      </c>
      <c r="AE675" s="314">
        <f t="shared" si="180"/>
        <v>125115.20160699998</v>
      </c>
      <c r="AF675" s="315">
        <f t="shared" si="181"/>
        <v>-39707.261332842681</v>
      </c>
      <c r="AG675" s="316">
        <f t="shared" si="182"/>
        <v>6.8493150684931503E-2</v>
      </c>
      <c r="AH675" s="314">
        <v>1</v>
      </c>
      <c r="AI675" s="314">
        <f t="shared" si="183"/>
        <v>-39707.261332842681</v>
      </c>
      <c r="AJ675" s="314">
        <f t="shared" si="184"/>
        <v>0</v>
      </c>
      <c r="AK675" s="317"/>
      <c r="AL675" s="315">
        <f t="shared" si="185"/>
        <v>-1960.8291011235951</v>
      </c>
      <c r="AN675" s="554">
        <f t="shared" si="186"/>
        <v>-0.32152593028847953</v>
      </c>
      <c r="AO675" s="314"/>
      <c r="AP675" s="318"/>
    </row>
    <row r="676" spans="2:42">
      <c r="B676" s="296" t="s">
        <v>1254</v>
      </c>
      <c r="C676" s="299" t="s">
        <v>277</v>
      </c>
      <c r="D676" s="298" t="s">
        <v>891</v>
      </c>
      <c r="E676" s="299" t="s">
        <v>113</v>
      </c>
      <c r="F676" s="299" t="s">
        <v>59</v>
      </c>
      <c r="G676" s="300">
        <v>44573</v>
      </c>
      <c r="H676" s="303">
        <v>5018.2299999999996</v>
      </c>
      <c r="I676" s="301" t="str">
        <f t="shared" si="170"/>
        <v>Ingresos Sección II LISR (SIC &amp; BMV)</v>
      </c>
      <c r="J676" s="302">
        <f t="shared" si="171"/>
        <v>39</v>
      </c>
      <c r="K676" s="304">
        <f t="shared" si="172"/>
        <v>128.67256410256408</v>
      </c>
      <c r="L676" s="305">
        <f>IF(H676=0,0,IF(OR(E676=$AT$5,E676=$AT$6),AA676,IF(F676="MXN",1/HLOOKUP(YEAR(G676)+(MONTH(G676)/100),TC!$5:$37,DAY(G676)+2,FALSE),VLOOKUP(F676,Equivalencia!$5:$23,((MAX(Equivalencia!$3:$3)-YEAR(G676))*14)+MONTH(G676)+2,FALSE))))</f>
        <v>1</v>
      </c>
      <c r="M676" s="306">
        <f t="shared" si="173"/>
        <v>5018.2299999999996</v>
      </c>
      <c r="N676" s="305">
        <f>IF(G676=0,0,(IF(OR(E676=$AT$5,E676=$AT$6),AC676,HLOOKUP(YEAR(G676)+(MONTH(G676)/100),TC!$5:$37,DAY(G676)+2,FALSE))))</f>
        <v>20.4453</v>
      </c>
      <c r="O676" s="307">
        <f t="shared" si="174"/>
        <v>102599.21781899998</v>
      </c>
      <c r="P676" s="560">
        <f>IF(G676=0,0,VLOOKUP(YEAR(G676),INPC!$B$4:$P$30,MONTH(G676)+2))</f>
        <v>118.002</v>
      </c>
      <c r="Q676" s="560">
        <f>IF(X676=0,0,IF(OR(E676=$AT$10,E676=$AT$9),VLOOKUP(YEAR(X676),INPC!$B$4:$P$30,MONTH(X676)+1),VLOOKUP(YEAR(X676),INPC!$B$4:$P$30,MONTH(X676)+2,0)))</f>
        <v>117.30800000000001</v>
      </c>
      <c r="R676" s="309">
        <f t="shared" si="175"/>
        <v>1</v>
      </c>
      <c r="S676" s="310">
        <f t="shared" si="176"/>
        <v>102599.21781899998</v>
      </c>
      <c r="T676" s="555">
        <f t="shared" si="177"/>
        <v>2630.7491748461534</v>
      </c>
      <c r="U676" s="311"/>
      <c r="V676" s="312">
        <v>39</v>
      </c>
      <c r="W676" s="299" t="s">
        <v>194</v>
      </c>
      <c r="X676" s="300">
        <v>44589</v>
      </c>
      <c r="Y676" s="299" t="s">
        <v>59</v>
      </c>
      <c r="Z676" s="303">
        <v>3667.4898876404495</v>
      </c>
      <c r="AA676" s="305">
        <f>IF(Z676=0,0,IF(Y676="MXN",1/HLOOKUP(YEAR(X676)+(MONTH(X676)/100),TC!$5:$37,DAY(X676)+2,FALSE),VLOOKUP(Y676,Equivalencia!$1:$23,((MAX(Equivalencia!$3:$3)-YEAR(X676))*14)+MONTH(X676)+2,FALSE)))</f>
        <v>1</v>
      </c>
      <c r="AB676" s="306">
        <f t="shared" si="178"/>
        <v>3667.4898876404495</v>
      </c>
      <c r="AC676" s="305">
        <f>+IF(X676=0,0,HLOOKUP(YEAR(X676)+(MONTH(X676)/100),TC!$5:$37,DAY(X676)+2,FALSE))</f>
        <v>20.641500000000001</v>
      </c>
      <c r="AD676" s="307">
        <f t="shared" si="179"/>
        <v>75702.492515730337</v>
      </c>
      <c r="AE676" s="314">
        <f t="shared" si="180"/>
        <v>102599.21781899998</v>
      </c>
      <c r="AF676" s="315">
        <f t="shared" si="181"/>
        <v>-26896.725303269646</v>
      </c>
      <c r="AG676" s="316">
        <f t="shared" si="182"/>
        <v>4.3835616438356165E-2</v>
      </c>
      <c r="AH676" s="314">
        <v>1</v>
      </c>
      <c r="AI676" s="314">
        <f t="shared" si="183"/>
        <v>-26896.725303269646</v>
      </c>
      <c r="AJ676" s="314">
        <f t="shared" si="184"/>
        <v>0</v>
      </c>
      <c r="AK676" s="317"/>
      <c r="AL676" s="315">
        <f t="shared" si="185"/>
        <v>-1350.74011235955</v>
      </c>
      <c r="AN676" s="554">
        <f t="shared" si="186"/>
        <v>-0.26916664089919157</v>
      </c>
      <c r="AO676" s="314"/>
      <c r="AP676" s="318"/>
    </row>
    <row r="677" spans="2:42">
      <c r="B677" s="296" t="s">
        <v>1254</v>
      </c>
      <c r="C677" s="299" t="s">
        <v>277</v>
      </c>
      <c r="D677" s="298" t="s">
        <v>891</v>
      </c>
      <c r="E677" s="299" t="s">
        <v>113</v>
      </c>
      <c r="F677" s="299" t="s">
        <v>59</v>
      </c>
      <c r="G677" s="300">
        <v>44581</v>
      </c>
      <c r="H677" s="303">
        <v>4718.1000000000004</v>
      </c>
      <c r="I677" s="301" t="str">
        <f t="shared" si="170"/>
        <v>Ingresos Sección II LISR (SIC &amp; BMV)</v>
      </c>
      <c r="J677" s="302">
        <f t="shared" si="171"/>
        <v>40</v>
      </c>
      <c r="K677" s="304">
        <f t="shared" si="172"/>
        <v>117.95250000000001</v>
      </c>
      <c r="L677" s="305">
        <f>IF(H677=0,0,IF(OR(E677=$AT$5,E677=$AT$6),AA677,IF(F677="MXN",1/HLOOKUP(YEAR(G677)+(MONTH(G677)/100),TC!$5:$37,DAY(G677)+2,FALSE),VLOOKUP(F677,Equivalencia!$5:$23,((MAX(Equivalencia!$3:$3)-YEAR(G677))*14)+MONTH(G677)+2,FALSE))))</f>
        <v>1</v>
      </c>
      <c r="M677" s="306">
        <f t="shared" si="173"/>
        <v>4718.1000000000004</v>
      </c>
      <c r="N677" s="305">
        <f>IF(G677=0,0,(IF(OR(E677=$AT$5,E677=$AT$6),AC677,HLOOKUP(YEAR(G677)+(MONTH(G677)/100),TC!$5:$37,DAY(G677)+2,FALSE))))</f>
        <v>20.402999999999999</v>
      </c>
      <c r="O677" s="307">
        <f t="shared" si="174"/>
        <v>96263.3943</v>
      </c>
      <c r="P677" s="560">
        <f>IF(G677=0,0,VLOOKUP(YEAR(G677),INPC!$B$4:$P$30,MONTH(G677)+2))</f>
        <v>118.002</v>
      </c>
      <c r="Q677" s="560">
        <f>IF(X677=0,0,IF(OR(E677=$AT$10,E677=$AT$9),VLOOKUP(YEAR(X677),INPC!$B$4:$P$30,MONTH(X677)+1),VLOOKUP(YEAR(X677),INPC!$B$4:$P$30,MONTH(X677)+2,0)))</f>
        <v>117.30800000000001</v>
      </c>
      <c r="R677" s="309">
        <f t="shared" si="175"/>
        <v>1</v>
      </c>
      <c r="S677" s="310">
        <f t="shared" si="176"/>
        <v>96263.3943</v>
      </c>
      <c r="T677" s="555">
        <f t="shared" si="177"/>
        <v>2406.5848575</v>
      </c>
      <c r="U677" s="311"/>
      <c r="V677" s="312">
        <v>40</v>
      </c>
      <c r="W677" s="299" t="s">
        <v>194</v>
      </c>
      <c r="X677" s="300">
        <v>44589</v>
      </c>
      <c r="Y677" s="299" t="s">
        <v>59</v>
      </c>
      <c r="Z677" s="303">
        <v>3761.5280898876404</v>
      </c>
      <c r="AA677" s="305">
        <f>IF(Z677=0,0,IF(Y677="MXN",1/HLOOKUP(YEAR(X677)+(MONTH(X677)/100),TC!$5:$37,DAY(X677)+2,FALSE),VLOOKUP(Y677,Equivalencia!$1:$23,((MAX(Equivalencia!$3:$3)-YEAR(X677))*14)+MONTH(X677)+2,FALSE)))</f>
        <v>1</v>
      </c>
      <c r="AB677" s="306">
        <f t="shared" si="178"/>
        <v>3761.5280898876404</v>
      </c>
      <c r="AC677" s="305">
        <f>+IF(X677=0,0,HLOOKUP(YEAR(X677)+(MONTH(X677)/100),TC!$5:$37,DAY(X677)+2,FALSE))</f>
        <v>20.641500000000001</v>
      </c>
      <c r="AD677" s="307">
        <f t="shared" si="179"/>
        <v>77643.582067415729</v>
      </c>
      <c r="AE677" s="314">
        <f t="shared" si="180"/>
        <v>96263.3943</v>
      </c>
      <c r="AF677" s="315">
        <f t="shared" si="181"/>
        <v>-18619.812232584271</v>
      </c>
      <c r="AG677" s="316">
        <f t="shared" si="182"/>
        <v>2.1917808219178082E-2</v>
      </c>
      <c r="AH677" s="314">
        <v>1</v>
      </c>
      <c r="AI677" s="314">
        <f t="shared" si="183"/>
        <v>-18619.812232584271</v>
      </c>
      <c r="AJ677" s="314">
        <f t="shared" si="184"/>
        <v>0</v>
      </c>
      <c r="AK677" s="317"/>
      <c r="AL677" s="315">
        <f t="shared" si="185"/>
        <v>-956.57191011236</v>
      </c>
      <c r="AN677" s="554">
        <f t="shared" si="186"/>
        <v>-0.20274515379334052</v>
      </c>
      <c r="AO677" s="314"/>
      <c r="AP677" s="318"/>
    </row>
    <row r="678" spans="2:42">
      <c r="B678" s="296" t="s">
        <v>1254</v>
      </c>
      <c r="C678" s="299" t="s">
        <v>277</v>
      </c>
      <c r="D678" s="298" t="s">
        <v>892</v>
      </c>
      <c r="E678" s="299" t="s">
        <v>113</v>
      </c>
      <c r="F678" s="299" t="s">
        <v>59</v>
      </c>
      <c r="G678" s="300">
        <v>44592</v>
      </c>
      <c r="H678" s="303">
        <v>15186.91</v>
      </c>
      <c r="I678" s="301" t="str">
        <f t="shared" si="170"/>
        <v>Ingresos Sección II LISR (SIC &amp; BMV)</v>
      </c>
      <c r="J678" s="302">
        <f t="shared" si="171"/>
        <v>36</v>
      </c>
      <c r="K678" s="304">
        <f t="shared" si="172"/>
        <v>421.85861111111109</v>
      </c>
      <c r="L678" s="305">
        <f>IF(H678=0,0,IF(OR(E678=$AT$5,E678=$AT$6),AA678,IF(F678="MXN",1/HLOOKUP(YEAR(G678)+(MONTH(G678)/100),TC!$5:$37,DAY(G678)+2,FALSE),VLOOKUP(F678,Equivalencia!$5:$23,((MAX(Equivalencia!$3:$3)-YEAR(G678))*14)+MONTH(G678)+2,FALSE))))</f>
        <v>1</v>
      </c>
      <c r="M678" s="306">
        <f t="shared" si="173"/>
        <v>15186.91</v>
      </c>
      <c r="N678" s="305">
        <f>IF(G678=0,0,(IF(OR(E678=$AT$5,E678=$AT$6),AC678,HLOOKUP(YEAR(G678)+(MONTH(G678)/100),TC!$5:$37,DAY(G678)+2,FALSE))))</f>
        <v>20.738299999999999</v>
      </c>
      <c r="O678" s="307">
        <f t="shared" si="174"/>
        <v>314950.69565299997</v>
      </c>
      <c r="P678" s="560">
        <f>IF(G678=0,0,VLOOKUP(YEAR(G678),INPC!$B$4:$P$30,MONTH(G678)+2))</f>
        <v>118.002</v>
      </c>
      <c r="Q678" s="560">
        <f>IF(X678=0,0,IF(OR(E678=$AT$10,E678=$AT$9),VLOOKUP(YEAR(X678),INPC!$B$4:$P$30,MONTH(X678)+1),VLOOKUP(YEAR(X678),INPC!$B$4:$P$30,MONTH(X678)+2,0)))</f>
        <v>120.15900000000001</v>
      </c>
      <c r="R678" s="309">
        <f t="shared" si="175"/>
        <v>1.0182</v>
      </c>
      <c r="S678" s="310">
        <f t="shared" si="176"/>
        <v>320682.79831388459</v>
      </c>
      <c r="T678" s="555">
        <f t="shared" si="177"/>
        <v>8907.8555087190161</v>
      </c>
      <c r="U678" s="311"/>
      <c r="V678" s="312">
        <v>36</v>
      </c>
      <c r="W678" s="299" t="s">
        <v>194</v>
      </c>
      <c r="X678" s="300">
        <v>44671</v>
      </c>
      <c r="Y678" s="299" t="s">
        <v>59</v>
      </c>
      <c r="Z678" s="303">
        <v>7804.329504950495</v>
      </c>
      <c r="AA678" s="305">
        <f>IF(Z678=0,0,IF(Y678="MXN",1/HLOOKUP(YEAR(X678)+(MONTH(X678)/100),TC!$5:$37,DAY(X678)+2,FALSE),VLOOKUP(Y678,Equivalencia!$1:$23,((MAX(Equivalencia!$3:$3)-YEAR(X678))*14)+MONTH(X678)+2,FALSE)))</f>
        <v>1</v>
      </c>
      <c r="AB678" s="306">
        <f t="shared" si="178"/>
        <v>7804.329504950495</v>
      </c>
      <c r="AC678" s="305">
        <f>+IF(X678=0,0,HLOOKUP(YEAR(X678)+(MONTH(X678)/100),TC!$5:$37,DAY(X678)+2,FALSE))</f>
        <v>19.9377</v>
      </c>
      <c r="AD678" s="307">
        <f t="shared" si="179"/>
        <v>155600.38037085149</v>
      </c>
      <c r="AE678" s="314">
        <f t="shared" si="180"/>
        <v>320682.79831388459</v>
      </c>
      <c r="AF678" s="315">
        <f t="shared" si="181"/>
        <v>-165082.4179430331</v>
      </c>
      <c r="AG678" s="316">
        <f t="shared" si="182"/>
        <v>0.21643835616438356</v>
      </c>
      <c r="AH678" s="314">
        <v>1</v>
      </c>
      <c r="AI678" s="314">
        <f t="shared" si="183"/>
        <v>-165082.4179430331</v>
      </c>
      <c r="AJ678" s="314">
        <f t="shared" si="184"/>
        <v>0</v>
      </c>
      <c r="AK678" s="317"/>
      <c r="AL678" s="315">
        <f t="shared" si="185"/>
        <v>-7382.5804950495049</v>
      </c>
      <c r="AN678" s="554">
        <f t="shared" si="186"/>
        <v>-0.48611471952158175</v>
      </c>
      <c r="AO678" s="314"/>
      <c r="AP678" s="318"/>
    </row>
    <row r="679" spans="2:42">
      <c r="B679" s="296" t="s">
        <v>1254</v>
      </c>
      <c r="C679" s="299" t="s">
        <v>277</v>
      </c>
      <c r="D679" s="298" t="s">
        <v>892</v>
      </c>
      <c r="E679" s="299" t="s">
        <v>113</v>
      </c>
      <c r="F679" s="299" t="s">
        <v>59</v>
      </c>
      <c r="G679" s="300">
        <v>44592</v>
      </c>
      <c r="H679" s="303">
        <v>16808.14</v>
      </c>
      <c r="I679" s="301" t="str">
        <f t="shared" si="170"/>
        <v>Ingresos Sección II LISR (SIC &amp; BMV)</v>
      </c>
      <c r="J679" s="302">
        <f t="shared" si="171"/>
        <v>40</v>
      </c>
      <c r="K679" s="304">
        <f t="shared" si="172"/>
        <v>420.20349999999996</v>
      </c>
      <c r="L679" s="305">
        <f>IF(H679=0,0,IF(OR(E679=$AT$5,E679=$AT$6),AA679,IF(F679="MXN",1/HLOOKUP(YEAR(G679)+(MONTH(G679)/100),TC!$5:$37,DAY(G679)+2,FALSE),VLOOKUP(F679,Equivalencia!$5:$23,((MAX(Equivalencia!$3:$3)-YEAR(G679))*14)+MONTH(G679)+2,FALSE))))</f>
        <v>1</v>
      </c>
      <c r="M679" s="306">
        <f t="shared" si="173"/>
        <v>16808.14</v>
      </c>
      <c r="N679" s="305">
        <f>IF(G679=0,0,(IF(OR(E679=$AT$5,E679=$AT$6),AC679,HLOOKUP(YEAR(G679)+(MONTH(G679)/100),TC!$5:$37,DAY(G679)+2,FALSE))))</f>
        <v>20.738299999999999</v>
      </c>
      <c r="O679" s="307">
        <f t="shared" si="174"/>
        <v>348572.24976199999</v>
      </c>
      <c r="P679" s="560">
        <f>IF(G679=0,0,VLOOKUP(YEAR(G679),INPC!$B$4:$P$30,MONTH(G679)+2))</f>
        <v>118.002</v>
      </c>
      <c r="Q679" s="560">
        <f>IF(X679=0,0,IF(OR(E679=$AT$10,E679=$AT$9),VLOOKUP(YEAR(X679),INPC!$B$4:$P$30,MONTH(X679)+1),VLOOKUP(YEAR(X679),INPC!$B$4:$P$30,MONTH(X679)+2,0)))</f>
        <v>120.15900000000001</v>
      </c>
      <c r="R679" s="309">
        <f t="shared" si="175"/>
        <v>1.0182</v>
      </c>
      <c r="S679" s="310">
        <f t="shared" si="176"/>
        <v>354916.26470766839</v>
      </c>
      <c r="T679" s="555">
        <f t="shared" si="177"/>
        <v>8872.9066176917095</v>
      </c>
      <c r="U679" s="311"/>
      <c r="V679" s="312">
        <v>40</v>
      </c>
      <c r="W679" s="299" t="s">
        <v>194</v>
      </c>
      <c r="X679" s="300">
        <v>44671</v>
      </c>
      <c r="Y679" s="299" t="s">
        <v>59</v>
      </c>
      <c r="Z679" s="303">
        <v>8671.477227722773</v>
      </c>
      <c r="AA679" s="305">
        <f>IF(Z679=0,0,IF(Y679="MXN",1/HLOOKUP(YEAR(X679)+(MONTH(X679)/100),TC!$5:$37,DAY(X679)+2,FALSE),VLOOKUP(Y679,Equivalencia!$1:$23,((MAX(Equivalencia!$3:$3)-YEAR(X679))*14)+MONTH(X679)+2,FALSE)))</f>
        <v>1</v>
      </c>
      <c r="AB679" s="306">
        <f t="shared" si="178"/>
        <v>8671.477227722773</v>
      </c>
      <c r="AC679" s="305">
        <f>+IF(X679=0,0,HLOOKUP(YEAR(X679)+(MONTH(X679)/100),TC!$5:$37,DAY(X679)+2,FALSE))</f>
        <v>19.9377</v>
      </c>
      <c r="AD679" s="307">
        <f t="shared" si="179"/>
        <v>172889.31152316832</v>
      </c>
      <c r="AE679" s="314">
        <f t="shared" si="180"/>
        <v>354916.26470766839</v>
      </c>
      <c r="AF679" s="315">
        <f t="shared" si="181"/>
        <v>-182026.95318450007</v>
      </c>
      <c r="AG679" s="316">
        <f t="shared" si="182"/>
        <v>0.21643835616438356</v>
      </c>
      <c r="AH679" s="314">
        <v>1</v>
      </c>
      <c r="AI679" s="314">
        <f t="shared" si="183"/>
        <v>-182026.95318450007</v>
      </c>
      <c r="AJ679" s="314">
        <f t="shared" si="184"/>
        <v>0</v>
      </c>
      <c r="AK679" s="317"/>
      <c r="AL679" s="315">
        <f t="shared" si="185"/>
        <v>-8136.6627722772264</v>
      </c>
      <c r="AN679" s="554">
        <f t="shared" si="186"/>
        <v>-0.48409061158921968</v>
      </c>
      <c r="AO679" s="314"/>
      <c r="AP679" s="318"/>
    </row>
    <row r="680" spans="2:42">
      <c r="B680" s="296" t="s">
        <v>1254</v>
      </c>
      <c r="C680" s="299" t="s">
        <v>277</v>
      </c>
      <c r="D680" s="298" t="s">
        <v>892</v>
      </c>
      <c r="E680" s="299" t="s">
        <v>113</v>
      </c>
      <c r="F680" s="299" t="s">
        <v>59</v>
      </c>
      <c r="G680" s="300">
        <v>44592</v>
      </c>
      <c r="H680" s="303">
        <v>2105.3200000000002</v>
      </c>
      <c r="I680" s="301" t="str">
        <f t="shared" si="170"/>
        <v>Ingresos Sección II LISR (SIC &amp; BMV)</v>
      </c>
      <c r="J680" s="302">
        <f t="shared" si="171"/>
        <v>5</v>
      </c>
      <c r="K680" s="304">
        <f t="shared" si="172"/>
        <v>421.06400000000002</v>
      </c>
      <c r="L680" s="305">
        <f>IF(H680=0,0,IF(OR(E680=$AT$5,E680=$AT$6),AA680,IF(F680="MXN",1/HLOOKUP(YEAR(G680)+(MONTH(G680)/100),TC!$5:$37,DAY(G680)+2,FALSE),VLOOKUP(F680,Equivalencia!$5:$23,((MAX(Equivalencia!$3:$3)-YEAR(G680))*14)+MONTH(G680)+2,FALSE))))</f>
        <v>1</v>
      </c>
      <c r="M680" s="306">
        <f t="shared" si="173"/>
        <v>2105.3200000000002</v>
      </c>
      <c r="N680" s="305">
        <f>IF(G680=0,0,(IF(OR(E680=$AT$5,E680=$AT$6),AC680,HLOOKUP(YEAR(G680)+(MONTH(G680)/100),TC!$5:$37,DAY(G680)+2,FALSE))))</f>
        <v>20.738299999999999</v>
      </c>
      <c r="O680" s="307">
        <f t="shared" si="174"/>
        <v>43660.757755999999</v>
      </c>
      <c r="P680" s="560">
        <f>IF(G680=0,0,VLOOKUP(YEAR(G680),INPC!$B$4:$P$30,MONTH(G680)+2))</f>
        <v>118.002</v>
      </c>
      <c r="Q680" s="560">
        <f>IF(X680=0,0,IF(OR(E680=$AT$10,E680=$AT$9),VLOOKUP(YEAR(X680),INPC!$B$4:$P$30,MONTH(X680)+1),VLOOKUP(YEAR(X680),INPC!$B$4:$P$30,MONTH(X680)+2,0)))</f>
        <v>120.15900000000001</v>
      </c>
      <c r="R680" s="309">
        <f t="shared" si="175"/>
        <v>1.0182</v>
      </c>
      <c r="S680" s="310">
        <f t="shared" si="176"/>
        <v>44455.383547159196</v>
      </c>
      <c r="T680" s="555">
        <f t="shared" si="177"/>
        <v>8891.0767094318398</v>
      </c>
      <c r="U680" s="311"/>
      <c r="V680" s="312">
        <v>5</v>
      </c>
      <c r="W680" s="299" t="s">
        <v>194</v>
      </c>
      <c r="X680" s="300">
        <v>44671</v>
      </c>
      <c r="Y680" s="299" t="s">
        <v>59</v>
      </c>
      <c r="Z680" s="303">
        <v>1083.9346534653466</v>
      </c>
      <c r="AA680" s="305">
        <f>IF(Z680=0,0,IF(Y680="MXN",1/HLOOKUP(YEAR(X680)+(MONTH(X680)/100),TC!$5:$37,DAY(X680)+2,FALSE),VLOOKUP(Y680,Equivalencia!$1:$23,((MAX(Equivalencia!$3:$3)-YEAR(X680))*14)+MONTH(X680)+2,FALSE)))</f>
        <v>1</v>
      </c>
      <c r="AB680" s="306">
        <f t="shared" si="178"/>
        <v>1083.9346534653466</v>
      </c>
      <c r="AC680" s="305">
        <f>+IF(X680=0,0,HLOOKUP(YEAR(X680)+(MONTH(X680)/100),TC!$5:$37,DAY(X680)+2,FALSE))</f>
        <v>19.9377</v>
      </c>
      <c r="AD680" s="307">
        <f t="shared" si="179"/>
        <v>21611.16394039604</v>
      </c>
      <c r="AE680" s="314">
        <f t="shared" si="180"/>
        <v>44455.383547159203</v>
      </c>
      <c r="AF680" s="315">
        <f t="shared" si="181"/>
        <v>-22844.219606763163</v>
      </c>
      <c r="AG680" s="316">
        <f t="shared" si="182"/>
        <v>0.21643835616438356</v>
      </c>
      <c r="AH680" s="314">
        <v>1</v>
      </c>
      <c r="AI680" s="314">
        <f t="shared" si="183"/>
        <v>-22844.219606763163</v>
      </c>
      <c r="AJ680" s="314">
        <f t="shared" si="184"/>
        <v>0</v>
      </c>
      <c r="AK680" s="317"/>
      <c r="AL680" s="315">
        <f t="shared" si="185"/>
        <v>-1021.3853465346535</v>
      </c>
      <c r="AN680" s="554">
        <f t="shared" si="186"/>
        <v>-0.48514494069056174</v>
      </c>
      <c r="AO680" s="314"/>
      <c r="AP680" s="318"/>
    </row>
    <row r="681" spans="2:42">
      <c r="B681" s="296" t="s">
        <v>1254</v>
      </c>
      <c r="C681" s="299" t="s">
        <v>277</v>
      </c>
      <c r="D681" s="298" t="s">
        <v>892</v>
      </c>
      <c r="E681" s="299" t="s">
        <v>113</v>
      </c>
      <c r="F681" s="299" t="s">
        <v>59</v>
      </c>
      <c r="G681" s="300">
        <v>44594</v>
      </c>
      <c r="H681" s="303">
        <v>8656.68</v>
      </c>
      <c r="I681" s="301" t="str">
        <f t="shared" si="170"/>
        <v>Ingresos Sección II LISR (SIC &amp; BMV)</v>
      </c>
      <c r="J681" s="302">
        <f t="shared" si="171"/>
        <v>20</v>
      </c>
      <c r="K681" s="304">
        <f t="shared" si="172"/>
        <v>432.834</v>
      </c>
      <c r="L681" s="305">
        <f>IF(H681=0,0,IF(OR(E681=$AT$5,E681=$AT$6),AA681,IF(F681="MXN",1/HLOOKUP(YEAR(G681)+(MONTH(G681)/100),TC!$5:$37,DAY(G681)+2,FALSE),VLOOKUP(F681,Equivalencia!$5:$23,((MAX(Equivalencia!$3:$3)-YEAR(G681))*14)+MONTH(G681)+2,FALSE))))</f>
        <v>1</v>
      </c>
      <c r="M681" s="306">
        <f t="shared" si="173"/>
        <v>8656.68</v>
      </c>
      <c r="N681" s="305">
        <f>IF(G681=0,0,(IF(OR(E681=$AT$5,E681=$AT$6),AC681,HLOOKUP(YEAR(G681)+(MONTH(G681)/100),TC!$5:$37,DAY(G681)+2,FALSE))))</f>
        <v>20.635200000000001</v>
      </c>
      <c r="O681" s="307">
        <f t="shared" si="174"/>
        <v>178632.32313600002</v>
      </c>
      <c r="P681" s="560">
        <f>IF(G681=0,0,VLOOKUP(YEAR(G681),INPC!$B$4:$P$30,MONTH(G681)+2))</f>
        <v>118.98099999999999</v>
      </c>
      <c r="Q681" s="560">
        <f>IF(X681=0,0,IF(OR(E681=$AT$10,E681=$AT$9),VLOOKUP(YEAR(X681),INPC!$B$4:$P$30,MONTH(X681)+1),VLOOKUP(YEAR(X681),INPC!$B$4:$P$30,MONTH(X681)+2,0)))</f>
        <v>120.15900000000001</v>
      </c>
      <c r="R681" s="309">
        <f t="shared" si="175"/>
        <v>1.0099</v>
      </c>
      <c r="S681" s="310">
        <f t="shared" si="176"/>
        <v>180400.78313504643</v>
      </c>
      <c r="T681" s="555">
        <f t="shared" si="177"/>
        <v>9020.039156752322</v>
      </c>
      <c r="U681" s="311"/>
      <c r="V681" s="312">
        <v>20</v>
      </c>
      <c r="W681" s="299" t="s">
        <v>194</v>
      </c>
      <c r="X681" s="300">
        <v>44671</v>
      </c>
      <c r="Y681" s="299" t="s">
        <v>59</v>
      </c>
      <c r="Z681" s="303">
        <v>4335.7386138613865</v>
      </c>
      <c r="AA681" s="305">
        <f>IF(Z681=0,0,IF(Y681="MXN",1/HLOOKUP(YEAR(X681)+(MONTH(X681)/100),TC!$5:$37,DAY(X681)+2,FALSE),VLOOKUP(Y681,Equivalencia!$1:$23,((MAX(Equivalencia!$3:$3)-YEAR(X681))*14)+MONTH(X681)+2,FALSE)))</f>
        <v>1</v>
      </c>
      <c r="AB681" s="306">
        <f t="shared" si="178"/>
        <v>4335.7386138613865</v>
      </c>
      <c r="AC681" s="305">
        <f>+IF(X681=0,0,HLOOKUP(YEAR(X681)+(MONTH(X681)/100),TC!$5:$37,DAY(X681)+2,FALSE))</f>
        <v>19.9377</v>
      </c>
      <c r="AD681" s="307">
        <f t="shared" si="179"/>
        <v>86444.655761584159</v>
      </c>
      <c r="AE681" s="314">
        <f t="shared" si="180"/>
        <v>180400.78313504643</v>
      </c>
      <c r="AF681" s="315">
        <f t="shared" si="181"/>
        <v>-93956.127373462266</v>
      </c>
      <c r="AG681" s="316">
        <f t="shared" si="182"/>
        <v>0.21095890410958903</v>
      </c>
      <c r="AH681" s="314">
        <v>1</v>
      </c>
      <c r="AI681" s="314">
        <f t="shared" si="183"/>
        <v>-93956.127373462266</v>
      </c>
      <c r="AJ681" s="314">
        <f t="shared" si="184"/>
        <v>0</v>
      </c>
      <c r="AK681" s="317"/>
      <c r="AL681" s="315">
        <f t="shared" si="185"/>
        <v>-4320.9413861386138</v>
      </c>
      <c r="AN681" s="554">
        <f t="shared" si="186"/>
        <v>-0.49914532894118918</v>
      </c>
      <c r="AO681" s="314"/>
      <c r="AP681" s="318"/>
    </row>
    <row r="682" spans="2:42">
      <c r="B682" s="296"/>
      <c r="C682" s="299"/>
      <c r="D682" s="298"/>
      <c r="E682" s="299"/>
      <c r="F682" s="299"/>
      <c r="G682" s="300"/>
      <c r="H682" s="303"/>
      <c r="I682" s="301">
        <f t="shared" si="170"/>
        <v>0</v>
      </c>
      <c r="J682" s="302">
        <f t="shared" si="171"/>
        <v>0</v>
      </c>
      <c r="K682" s="304">
        <f t="shared" si="172"/>
        <v>0</v>
      </c>
      <c r="L682" s="305">
        <f>IF(H682=0,0,IF(OR(E682=$AT$5,E682=$AT$6),AA682,IF(F682="MXN",1/HLOOKUP(YEAR(G682)+(MONTH(G682)/100),TC!$5:$37,DAY(G682)+2,FALSE),VLOOKUP(F682,Equivalencia!$5:$23,((MAX(Equivalencia!$3:$3)-YEAR(G682))*14)+MONTH(G682)+2,FALSE))))</f>
        <v>0</v>
      </c>
      <c r="M682" s="306">
        <f t="shared" si="173"/>
        <v>0</v>
      </c>
      <c r="N682" s="305">
        <f>IF(G682=0,0,(IF(OR(E682=$AT$5,E682=$AT$6),AC682,HLOOKUP(YEAR(G682)+(MONTH(G682)/100),TC!$5:$37,DAY(G682)+2,FALSE))))</f>
        <v>0</v>
      </c>
      <c r="O682" s="307">
        <f t="shared" si="174"/>
        <v>0</v>
      </c>
      <c r="P682" s="560">
        <f>IF(G682=0,0,VLOOKUP(YEAR(G682),INPC!$B$4:$P$30,MONTH(G682)+2))</f>
        <v>0</v>
      </c>
      <c r="Q682" s="560">
        <f>IF(X682=0,0,IF(OR(E682=$AT$10,E682=$AT$9),VLOOKUP(YEAR(X682),INPC!$B$4:$P$30,MONTH(X682)+1),VLOOKUP(YEAR(X682),INPC!$B$4:$P$30,MONTH(X682)+2,0)))</f>
        <v>0</v>
      </c>
      <c r="R682" s="309">
        <f t="shared" si="175"/>
        <v>0</v>
      </c>
      <c r="S682" s="310">
        <f t="shared" si="176"/>
        <v>0</v>
      </c>
      <c r="T682" s="555">
        <f t="shared" si="177"/>
        <v>0</v>
      </c>
      <c r="U682" s="311"/>
      <c r="V682" s="312"/>
      <c r="W682" s="299"/>
      <c r="X682" s="300"/>
      <c r="Y682" s="299"/>
      <c r="Z682" s="303"/>
      <c r="AA682" s="305">
        <f>IF(Z682=0,0,IF(Y682="MXN",1/HLOOKUP(YEAR(X682)+(MONTH(X682)/100),TC!$5:$37,DAY(X682)+2,FALSE),VLOOKUP(Y682,Equivalencia!$1:$23,((MAX(Equivalencia!$3:$3)-YEAR(X682))*14)+MONTH(X682)+2,FALSE)))</f>
        <v>0</v>
      </c>
      <c r="AB682" s="306">
        <f t="shared" si="178"/>
        <v>0</v>
      </c>
      <c r="AC682" s="305">
        <f>+IF(X682=0,0,HLOOKUP(YEAR(X682)+(MONTH(X682)/100),TC!$5:$37,DAY(X682)+2,FALSE))</f>
        <v>0</v>
      </c>
      <c r="AD682" s="307">
        <f t="shared" si="179"/>
        <v>0</v>
      </c>
      <c r="AE682" s="314">
        <f t="shared" si="180"/>
        <v>0</v>
      </c>
      <c r="AF682" s="315">
        <f t="shared" si="181"/>
        <v>0</v>
      </c>
      <c r="AG682" s="316">
        <f t="shared" si="182"/>
        <v>0</v>
      </c>
      <c r="AH682" s="314">
        <v>1</v>
      </c>
      <c r="AI682" s="314">
        <f t="shared" si="183"/>
        <v>0</v>
      </c>
      <c r="AJ682" s="314">
        <f t="shared" si="184"/>
        <v>0</v>
      </c>
      <c r="AK682" s="317"/>
      <c r="AL682" s="315">
        <f t="shared" si="185"/>
        <v>0</v>
      </c>
      <c r="AN682" s="554">
        <f t="shared" si="186"/>
        <v>0</v>
      </c>
      <c r="AO682" s="314"/>
      <c r="AP682" s="318"/>
    </row>
    <row r="683" spans="2:42">
      <c r="B683" s="296" t="s">
        <v>1250</v>
      </c>
      <c r="C683" s="299" t="s">
        <v>277</v>
      </c>
      <c r="D683" s="298" t="s">
        <v>893</v>
      </c>
      <c r="E683" s="299" t="s">
        <v>113</v>
      </c>
      <c r="F683" s="299" t="s">
        <v>60</v>
      </c>
      <c r="G683" s="300">
        <v>44123</v>
      </c>
      <c r="H683" s="303">
        <v>3044487.8936550836</v>
      </c>
      <c r="I683" s="301" t="str">
        <f t="shared" si="170"/>
        <v>Ingresos Sección II LISR (SIC &amp; BMV)</v>
      </c>
      <c r="J683" s="302">
        <f t="shared" si="171"/>
        <v>2691</v>
      </c>
      <c r="K683" s="304">
        <f t="shared" si="172"/>
        <v>1131.3593064493064</v>
      </c>
      <c r="L683" s="305">
        <f>IF(H683=0,0,IF(OR(E683=$AT$5,E683=$AT$6),AA683,IF(F683="MXN",1/HLOOKUP(YEAR(G683)+(MONTH(G683)/100),TC!$5:$37,DAY(G683)+2,FALSE),VLOOKUP(F683,Equivalencia!$5:$23,((MAX(Equivalencia!$3:$3)-YEAR(G683))*14)+MONTH(G683)+2,FALSE))))</f>
        <v>4.676568521081971E-2</v>
      </c>
      <c r="M683" s="306">
        <f t="shared" si="173"/>
        <v>142377.56246282518</v>
      </c>
      <c r="N683" s="305">
        <f>IF(G683=0,0,(IF(OR(E683=$AT$5,E683=$AT$6),AC683,HLOOKUP(YEAR(G683)+(MONTH(G683)/100),TC!$5:$37,DAY(G683)+2,FALSE))))</f>
        <v>21.383199999999999</v>
      </c>
      <c r="O683" s="307">
        <f t="shared" si="174"/>
        <v>3044487.8936550831</v>
      </c>
      <c r="P683" s="560">
        <f>IF(G683=0,0,VLOOKUP(YEAR(G683),INPC!$B$4:$P$30,MONTH(G683)+2))</f>
        <v>108.774</v>
      </c>
      <c r="Q683" s="560">
        <f>IF(X683=0,0,IF(OR(E683=$AT$10,E683=$AT$9),VLOOKUP(YEAR(X683),INPC!$B$4:$P$30,MONTH(X683)+1),VLOOKUP(YEAR(X683),INPC!$B$4:$P$30,MONTH(X683)+2,0)))</f>
        <v>120.809</v>
      </c>
      <c r="R683" s="309">
        <f t="shared" si="175"/>
        <v>1.1106</v>
      </c>
      <c r="S683" s="310">
        <f t="shared" si="176"/>
        <v>3381208.2546933354</v>
      </c>
      <c r="T683" s="555">
        <f t="shared" si="177"/>
        <v>1256.4876457425996</v>
      </c>
      <c r="U683" s="311"/>
      <c r="V683" s="312">
        <v>2691</v>
      </c>
      <c r="W683" s="299" t="s">
        <v>194</v>
      </c>
      <c r="X683" s="300">
        <v>44685</v>
      </c>
      <c r="Y683" s="299" t="s">
        <v>60</v>
      </c>
      <c r="Z683" s="303">
        <v>2719267.77</v>
      </c>
      <c r="AA683" s="305">
        <f>IF(Z683=0,0,IF(Y683="MXN",1/HLOOKUP(YEAR(X683)+(MONTH(X683)/100),TC!$5:$37,DAY(X683)+2,FALSE),VLOOKUP(Y683,Equivalencia!$1:$23,((MAX(Equivalencia!$3:$3)-YEAR(X683))*14)+MONTH(X683)+2,FALSE)))</f>
        <v>4.9001592551757935E-2</v>
      </c>
      <c r="AB683" s="306">
        <f t="shared" si="178"/>
        <v>133248.4513046674</v>
      </c>
      <c r="AC683" s="305">
        <f>+IF(X683=0,0,HLOOKUP(YEAR(X683)+(MONTH(X683)/100),TC!$5:$37,DAY(X683)+2,FALSE))</f>
        <v>20.407499999999999</v>
      </c>
      <c r="AD683" s="307">
        <f t="shared" si="179"/>
        <v>2719267.7699999996</v>
      </c>
      <c r="AE683" s="314">
        <f t="shared" si="180"/>
        <v>3381208.2546933354</v>
      </c>
      <c r="AF683" s="315">
        <f t="shared" si="181"/>
        <v>-661940.48469333583</v>
      </c>
      <c r="AG683" s="316">
        <f t="shared" si="182"/>
        <v>1.5397260273972602</v>
      </c>
      <c r="AH683" s="314">
        <v>1</v>
      </c>
      <c r="AI683" s="314">
        <f t="shared" si="183"/>
        <v>-661940.48469333583</v>
      </c>
      <c r="AJ683" s="314">
        <f t="shared" si="184"/>
        <v>0</v>
      </c>
      <c r="AK683" s="317"/>
      <c r="AL683" s="315">
        <f t="shared" si="185"/>
        <v>-9129.1111581577861</v>
      </c>
      <c r="AN683" s="554">
        <f t="shared" si="186"/>
        <v>-2.9985703596271361E-3</v>
      </c>
      <c r="AO683" s="314"/>
      <c r="AP683" s="318"/>
    </row>
    <row r="684" spans="2:42">
      <c r="B684" s="296" t="s">
        <v>1250</v>
      </c>
      <c r="C684" s="299" t="s">
        <v>277</v>
      </c>
      <c r="D684" s="298" t="s">
        <v>894</v>
      </c>
      <c r="E684" s="299" t="s">
        <v>113</v>
      </c>
      <c r="F684" s="299" t="s">
        <v>60</v>
      </c>
      <c r="G684" s="300">
        <v>43448</v>
      </c>
      <c r="H684" s="303">
        <v>6917081.0616542399</v>
      </c>
      <c r="I684" s="301" t="str">
        <f t="shared" si="170"/>
        <v>Ingresos Sección II LISR (SIC &amp; BMV)</v>
      </c>
      <c r="J684" s="302">
        <f t="shared" si="171"/>
        <v>6556</v>
      </c>
      <c r="K684" s="304">
        <f t="shared" si="172"/>
        <v>1055.0764279521416</v>
      </c>
      <c r="L684" s="305">
        <f>IF(H684=0,0,IF(OR(E684=$AT$5,E684=$AT$6),AA684,IF(F684="MXN",1/HLOOKUP(YEAR(G684)+(MONTH(G684)/100),TC!$5:$37,DAY(G684)+2,FALSE),VLOOKUP(F684,Equivalencia!$5:$23,((MAX(Equivalencia!$3:$3)-YEAR(G684))*14)+MONTH(G684)+2,FALSE))))</f>
        <v>4.9288034343902325E-2</v>
      </c>
      <c r="M684" s="306">
        <f t="shared" si="173"/>
        <v>340929.32892637054</v>
      </c>
      <c r="N684" s="305">
        <f>IF(G684=0,0,(IF(OR(E684=$AT$5,E684=$AT$6),AC684,HLOOKUP(YEAR(G684)+(MONTH(G684)/100),TC!$5:$37,DAY(G684)+2,FALSE))))</f>
        <v>20.288900000000002</v>
      </c>
      <c r="O684" s="307">
        <f t="shared" si="174"/>
        <v>6917081.0616542399</v>
      </c>
      <c r="P684" s="560">
        <f>IF(G684=0,0,VLOOKUP(YEAR(G684),INPC!$B$4:$P$30,MONTH(G684)+2))</f>
        <v>103.02</v>
      </c>
      <c r="Q684" s="560">
        <f>IF(X684=0,0,IF(OR(E684=$AT$10,E684=$AT$9),VLOOKUP(YEAR(X684),INPC!$B$4:$P$30,MONTH(X684)+1),VLOOKUP(YEAR(X684),INPC!$B$4:$P$30,MONTH(X684)+2,0)))</f>
        <v>118.002</v>
      </c>
      <c r="R684" s="309">
        <f t="shared" si="175"/>
        <v>1.1454</v>
      </c>
      <c r="S684" s="310">
        <f t="shared" si="176"/>
        <v>7922824.6480187662</v>
      </c>
      <c r="T684" s="555">
        <f t="shared" si="177"/>
        <v>1208.4845405763829</v>
      </c>
      <c r="U684" s="311"/>
      <c r="V684" s="312">
        <v>6556</v>
      </c>
      <c r="W684" s="299" t="s">
        <v>194</v>
      </c>
      <c r="X684" s="300">
        <v>44593</v>
      </c>
      <c r="Y684" s="299" t="s">
        <v>60</v>
      </c>
      <c r="Z684" s="303">
        <v>10135681.261487681</v>
      </c>
      <c r="AA684" s="305">
        <f>IF(Z684=0,0,IF(Y684="MXN",1/HLOOKUP(YEAR(X684)+(MONTH(X684)/100),TC!$5:$37,DAY(X684)+2,FALSE),VLOOKUP(Y684,Equivalencia!$1:$23,((MAX(Equivalencia!$3:$3)-YEAR(X684))*14)+MONTH(X684)+2,FALSE)))</f>
        <v>4.7939327986500288E-2</v>
      </c>
      <c r="AB684" s="306">
        <f t="shared" si="178"/>
        <v>485897.74836108292</v>
      </c>
      <c r="AC684" s="305">
        <f>+IF(X684=0,0,HLOOKUP(YEAR(X684)+(MONTH(X684)/100),TC!$5:$37,DAY(X684)+2,FALSE))</f>
        <v>20.8597</v>
      </c>
      <c r="AD684" s="307">
        <f t="shared" si="179"/>
        <v>10135681.261487681</v>
      </c>
      <c r="AE684" s="314">
        <f t="shared" si="180"/>
        <v>7922824.6480187662</v>
      </c>
      <c r="AF684" s="315">
        <f t="shared" si="181"/>
        <v>2212856.6134689152</v>
      </c>
      <c r="AG684" s="316">
        <f t="shared" si="182"/>
        <v>3.1369863013698631</v>
      </c>
      <c r="AH684" s="314">
        <v>1</v>
      </c>
      <c r="AI684" s="314">
        <f t="shared" si="183"/>
        <v>2212856.6134689152</v>
      </c>
      <c r="AJ684" s="314">
        <f t="shared" si="184"/>
        <v>0</v>
      </c>
      <c r="AK684" s="317"/>
      <c r="AL684" s="315">
        <f t="shared" si="185"/>
        <v>144968.41943471238</v>
      </c>
      <c r="AN684" s="554">
        <f t="shared" si="186"/>
        <v>2.095803390802576E-2</v>
      </c>
      <c r="AO684" s="314"/>
      <c r="AP684" s="318"/>
    </row>
    <row r="685" spans="2:42">
      <c r="B685" s="296" t="s">
        <v>1250</v>
      </c>
      <c r="C685" s="299" t="s">
        <v>277</v>
      </c>
      <c r="D685" s="298" t="s">
        <v>894</v>
      </c>
      <c r="E685" s="299" t="s">
        <v>113</v>
      </c>
      <c r="F685" s="299" t="s">
        <v>60</v>
      </c>
      <c r="G685" s="300">
        <v>43767</v>
      </c>
      <c r="H685" s="303">
        <v>2335356.59</v>
      </c>
      <c r="I685" s="301" t="str">
        <f t="shared" si="170"/>
        <v>Ingresos Sección II LISR (SIC &amp; BMV)</v>
      </c>
      <c r="J685" s="302">
        <f t="shared" si="171"/>
        <v>2044</v>
      </c>
      <c r="K685" s="304">
        <f t="shared" si="172"/>
        <v>1142.5423630136986</v>
      </c>
      <c r="L685" s="305">
        <f>IF(H685=0,0,IF(OR(E685=$AT$5,E685=$AT$6),AA685,IF(F685="MXN",1/HLOOKUP(YEAR(G685)+(MONTH(G685)/100),TC!$5:$37,DAY(G685)+2,FALSE),VLOOKUP(F685,Equivalencia!$5:$23,((MAX(Equivalencia!$3:$3)-YEAR(G685))*14)+MONTH(G685)+2,FALSE))))</f>
        <v>5.2405408238130176E-2</v>
      </c>
      <c r="M685" s="306">
        <f t="shared" si="173"/>
        <v>122385.31548055759</v>
      </c>
      <c r="N685" s="305">
        <f>IF(G685=0,0,(IF(OR(E685=$AT$5,E685=$AT$6),AC685,HLOOKUP(YEAR(G685)+(MONTH(G685)/100),TC!$5:$37,DAY(G685)+2,FALSE))))</f>
        <v>19.082000000000001</v>
      </c>
      <c r="O685" s="307">
        <f t="shared" si="174"/>
        <v>2335356.59</v>
      </c>
      <c r="P685" s="560">
        <f>IF(G685=0,0,VLOOKUP(YEAR(G685),INPC!$B$4:$P$30,MONTH(G685)+2))</f>
        <v>104.503</v>
      </c>
      <c r="Q685" s="560">
        <f>IF(X685=0,0,IF(OR(E685=$AT$10,E685=$AT$9),VLOOKUP(YEAR(X685),INPC!$B$4:$P$30,MONTH(X685)+1),VLOOKUP(YEAR(X685),INPC!$B$4:$P$30,MONTH(X685)+2,0)))</f>
        <v>118.002</v>
      </c>
      <c r="R685" s="309">
        <f t="shared" si="175"/>
        <v>1.1291</v>
      </c>
      <c r="S685" s="310">
        <f t="shared" si="176"/>
        <v>2636851.125769</v>
      </c>
      <c r="T685" s="555">
        <f t="shared" si="177"/>
        <v>1290.0445820787672</v>
      </c>
      <c r="U685" s="311"/>
      <c r="V685" s="312">
        <v>2044</v>
      </c>
      <c r="W685" s="299" t="s">
        <v>194</v>
      </c>
      <c r="X685" s="300">
        <v>44593</v>
      </c>
      <c r="Y685" s="299" t="s">
        <v>60</v>
      </c>
      <c r="Z685" s="303">
        <v>3160056.8179500946</v>
      </c>
      <c r="AA685" s="305">
        <f>IF(Z685=0,0,IF(Y685="MXN",1/HLOOKUP(YEAR(X685)+(MONTH(X685)/100),TC!$5:$37,DAY(X685)+2,FALSE),VLOOKUP(Y685,Equivalencia!$1:$23,((MAX(Equivalencia!$3:$3)-YEAR(X685))*14)+MONTH(X685)+2,FALSE)))</f>
        <v>4.7939327986500288E-2</v>
      </c>
      <c r="AB685" s="306">
        <f t="shared" si="178"/>
        <v>151491.00025168603</v>
      </c>
      <c r="AC685" s="305">
        <f>+IF(X685=0,0,HLOOKUP(YEAR(X685)+(MONTH(X685)/100),TC!$5:$37,DAY(X685)+2,FALSE))</f>
        <v>20.8597</v>
      </c>
      <c r="AD685" s="307">
        <f t="shared" si="179"/>
        <v>3160056.8179500951</v>
      </c>
      <c r="AE685" s="314">
        <f t="shared" si="180"/>
        <v>2636851.125769</v>
      </c>
      <c r="AF685" s="315">
        <f t="shared" si="181"/>
        <v>523205.69218109502</v>
      </c>
      <c r="AG685" s="316">
        <f t="shared" si="182"/>
        <v>2.2630136986301368</v>
      </c>
      <c r="AH685" s="314">
        <v>1</v>
      </c>
      <c r="AI685" s="314">
        <f t="shared" si="183"/>
        <v>523205.69218109502</v>
      </c>
      <c r="AJ685" s="314">
        <f t="shared" si="184"/>
        <v>0</v>
      </c>
      <c r="AK685" s="317"/>
      <c r="AL685" s="315">
        <f t="shared" si="185"/>
        <v>29105.684771128435</v>
      </c>
      <c r="AN685" s="554">
        <f t="shared" si="186"/>
        <v>1.2463058059638094E-2</v>
      </c>
      <c r="AO685" s="314"/>
      <c r="AP685" s="318"/>
    </row>
    <row r="686" spans="2:42">
      <c r="B686" s="296" t="s">
        <v>1250</v>
      </c>
      <c r="C686" s="299" t="s">
        <v>277</v>
      </c>
      <c r="D686" s="298" t="s">
        <v>894</v>
      </c>
      <c r="E686" s="299" t="s">
        <v>113</v>
      </c>
      <c r="F686" s="299" t="s">
        <v>60</v>
      </c>
      <c r="G686" s="300">
        <v>43937</v>
      </c>
      <c r="H686" s="303">
        <v>2672527.52</v>
      </c>
      <c r="I686" s="301" t="str">
        <f t="shared" si="170"/>
        <v>Ingresos Sección II LISR (SIC &amp; BMV)</v>
      </c>
      <c r="J686" s="302">
        <f t="shared" si="171"/>
        <v>2300</v>
      </c>
      <c r="K686" s="304">
        <f t="shared" si="172"/>
        <v>1161.9684869565217</v>
      </c>
      <c r="L686" s="305">
        <f>IF(H686=0,0,IF(OR(E686=$AT$5,E686=$AT$6),AA686,IF(F686="MXN",1/HLOOKUP(YEAR(G686)+(MONTH(G686)/100),TC!$5:$37,DAY(G686)+2,FALSE),VLOOKUP(F686,Equivalencia!$5:$23,((MAX(Equivalencia!$3:$3)-YEAR(G686))*14)+MONTH(G686)+2,FALSE))))</f>
        <v>4.2436716246896815E-2</v>
      </c>
      <c r="M686" s="306">
        <f t="shared" si="173"/>
        <v>113413.29202826285</v>
      </c>
      <c r="N686" s="305">
        <f>IF(G686=0,0,(IF(OR(E686=$AT$5,E686=$AT$6),AC686,HLOOKUP(YEAR(G686)+(MONTH(G686)/100),TC!$5:$37,DAY(G686)+2,FALSE))))</f>
        <v>23.564499999999999</v>
      </c>
      <c r="O686" s="307">
        <f t="shared" si="174"/>
        <v>2672527.5199999996</v>
      </c>
      <c r="P686" s="560">
        <f>IF(G686=0,0,VLOOKUP(YEAR(G686),INPC!$B$4:$P$30,MONTH(G686)+2))</f>
        <v>105.755</v>
      </c>
      <c r="Q686" s="560">
        <f>IF(X686=0,0,IF(OR(E686=$AT$10,E686=$AT$9),VLOOKUP(YEAR(X686),INPC!$B$4:$P$30,MONTH(X686)+1),VLOOKUP(YEAR(X686),INPC!$B$4:$P$30,MONTH(X686)+2,0)))</f>
        <v>118.002</v>
      </c>
      <c r="R686" s="309">
        <f t="shared" si="175"/>
        <v>1.1157999999999999</v>
      </c>
      <c r="S686" s="310">
        <f t="shared" si="176"/>
        <v>2982006.2068159995</v>
      </c>
      <c r="T686" s="555">
        <f t="shared" si="177"/>
        <v>1296.5244377460867</v>
      </c>
      <c r="U686" s="311"/>
      <c r="V686" s="312">
        <v>2300</v>
      </c>
      <c r="W686" s="299" t="s">
        <v>194</v>
      </c>
      <c r="X686" s="300">
        <v>44593</v>
      </c>
      <c r="Y686" s="299" t="s">
        <v>60</v>
      </c>
      <c r="Z686" s="303">
        <v>3555836.9282217305</v>
      </c>
      <c r="AA686" s="305">
        <f>IF(Z686=0,0,IF(Y686="MXN",1/HLOOKUP(YEAR(X686)+(MONTH(X686)/100),TC!$5:$37,DAY(X686)+2,FALSE),VLOOKUP(Y686,Equivalencia!$1:$23,((MAX(Equivalencia!$3:$3)-YEAR(X686))*14)+MONTH(X686)+2,FALSE)))</f>
        <v>4.7939327986500288E-2</v>
      </c>
      <c r="AB686" s="306">
        <f t="shared" si="178"/>
        <v>170464.43276853123</v>
      </c>
      <c r="AC686" s="305">
        <f>+IF(X686=0,0,HLOOKUP(YEAR(X686)+(MONTH(X686)/100),TC!$5:$37,DAY(X686)+2,FALSE))</f>
        <v>20.8597</v>
      </c>
      <c r="AD686" s="307">
        <f t="shared" si="179"/>
        <v>3555836.928221731</v>
      </c>
      <c r="AE686" s="314">
        <f t="shared" si="180"/>
        <v>2982006.2068159995</v>
      </c>
      <c r="AF686" s="315">
        <f t="shared" si="181"/>
        <v>573830.72140573151</v>
      </c>
      <c r="AG686" s="316">
        <f t="shared" si="182"/>
        <v>1.7972602739726027</v>
      </c>
      <c r="AH686" s="314">
        <v>1</v>
      </c>
      <c r="AI686" s="314">
        <f t="shared" si="183"/>
        <v>573830.72140573151</v>
      </c>
      <c r="AJ686" s="314">
        <f t="shared" si="184"/>
        <v>0</v>
      </c>
      <c r="AK686" s="317"/>
      <c r="AL686" s="315">
        <f t="shared" si="185"/>
        <v>57051.140740268384</v>
      </c>
      <c r="AN686" s="554">
        <f t="shared" si="186"/>
        <v>2.1347260341876062E-2</v>
      </c>
      <c r="AO686" s="314"/>
      <c r="AP686" s="318"/>
    </row>
    <row r="687" spans="2:42">
      <c r="B687" s="296" t="s">
        <v>1250</v>
      </c>
      <c r="C687" s="299" t="s">
        <v>277</v>
      </c>
      <c r="D687" s="298" t="s">
        <v>894</v>
      </c>
      <c r="E687" s="299" t="s">
        <v>113</v>
      </c>
      <c r="F687" s="299" t="s">
        <v>60</v>
      </c>
      <c r="G687" s="300">
        <v>43987</v>
      </c>
      <c r="H687" s="303">
        <v>2049712.4109913043</v>
      </c>
      <c r="I687" s="301" t="str">
        <f t="shared" si="170"/>
        <v>Ingresos Sección II LISR (SIC &amp; BMV)</v>
      </c>
      <c r="J687" s="302">
        <f t="shared" si="171"/>
        <v>1764</v>
      </c>
      <c r="K687" s="304">
        <f t="shared" si="172"/>
        <v>1161.9684869565217</v>
      </c>
      <c r="L687" s="305">
        <f>IF(H687=0,0,IF(OR(E687=$AT$5,E687=$AT$6),AA687,IF(F687="MXN",1/HLOOKUP(YEAR(G687)+(MONTH(G687)/100),TC!$5:$37,DAY(G687)+2,FALSE),VLOOKUP(F687,Equivalencia!$5:$23,((MAX(Equivalencia!$3:$3)-YEAR(G687))*14)+MONTH(G687)+2,FALSE))))</f>
        <v>4.6287081738357647E-2</v>
      </c>
      <c r="M687" s="306">
        <f t="shared" si="173"/>
        <v>94875.205907680633</v>
      </c>
      <c r="N687" s="305">
        <f>IF(G687=0,0,(IF(OR(E687=$AT$5,E687=$AT$6),AC687,HLOOKUP(YEAR(G687)+(MONTH(G687)/100),TC!$5:$37,DAY(G687)+2,FALSE))))</f>
        <v>21.604299999999999</v>
      </c>
      <c r="O687" s="307">
        <f t="shared" si="174"/>
        <v>2049712.4109913046</v>
      </c>
      <c r="P687" s="560">
        <f>IF(G687=0,0,VLOOKUP(YEAR(G687),INPC!$B$4:$P$30,MONTH(G687)+2))</f>
        <v>106.74299999999999</v>
      </c>
      <c r="Q687" s="560">
        <f>IF(X687=0,0,IF(OR(E687=$AT$10,E687=$AT$9),VLOOKUP(YEAR(X687),INPC!$B$4:$P$30,MONTH(X687)+1),VLOOKUP(YEAR(X687),INPC!$B$4:$P$30,MONTH(X687)+2,0)))</f>
        <v>118.002</v>
      </c>
      <c r="R687" s="309">
        <f t="shared" si="175"/>
        <v>1.1053999999999999</v>
      </c>
      <c r="S687" s="310">
        <f t="shared" si="176"/>
        <v>2265752.099109788</v>
      </c>
      <c r="T687" s="555">
        <f t="shared" si="177"/>
        <v>1284.4399654817391</v>
      </c>
      <c r="U687" s="311"/>
      <c r="V687" s="312">
        <v>1764</v>
      </c>
      <c r="W687" s="299" t="s">
        <v>194</v>
      </c>
      <c r="X687" s="300">
        <v>44593</v>
      </c>
      <c r="Y687" s="299" t="s">
        <v>60</v>
      </c>
      <c r="Z687" s="303">
        <v>2727172.3223404926</v>
      </c>
      <c r="AA687" s="305">
        <f>IF(Z687=0,0,IF(Y687="MXN",1/HLOOKUP(YEAR(X687)+(MONTH(X687)/100),TC!$5:$37,DAY(X687)+2,FALSE),VLOOKUP(Y687,Equivalencia!$1:$23,((MAX(Equivalencia!$3:$3)-YEAR(X687))*14)+MONTH(X687)+2,FALSE)))</f>
        <v>4.7939327986500288E-2</v>
      </c>
      <c r="AB687" s="306">
        <f t="shared" si="178"/>
        <v>130738.80843638656</v>
      </c>
      <c r="AC687" s="305">
        <f>+IF(X687=0,0,HLOOKUP(YEAR(X687)+(MONTH(X687)/100),TC!$5:$37,DAY(X687)+2,FALSE))</f>
        <v>20.8597</v>
      </c>
      <c r="AD687" s="307">
        <f t="shared" si="179"/>
        <v>2727172.3223404926</v>
      </c>
      <c r="AE687" s="314">
        <f t="shared" si="180"/>
        <v>2265752.099109788</v>
      </c>
      <c r="AF687" s="315">
        <f t="shared" si="181"/>
        <v>461420.22323070467</v>
      </c>
      <c r="AG687" s="316">
        <f t="shared" si="182"/>
        <v>1.6602739726027398</v>
      </c>
      <c r="AH687" s="314">
        <v>1</v>
      </c>
      <c r="AI687" s="314">
        <f t="shared" si="183"/>
        <v>461420.22323070467</v>
      </c>
      <c r="AJ687" s="314">
        <f t="shared" si="184"/>
        <v>0</v>
      </c>
      <c r="AK687" s="317"/>
      <c r="AL687" s="315">
        <f t="shared" si="185"/>
        <v>35863.602528705931</v>
      </c>
      <c r="AN687" s="554">
        <f t="shared" si="186"/>
        <v>1.7496894850415227E-2</v>
      </c>
      <c r="AO687" s="314"/>
      <c r="AP687" s="318"/>
    </row>
    <row r="688" spans="2:42">
      <c r="B688" s="296" t="s">
        <v>1250</v>
      </c>
      <c r="C688" s="299" t="s">
        <v>277</v>
      </c>
      <c r="D688" s="298" t="s">
        <v>895</v>
      </c>
      <c r="E688" s="299" t="s">
        <v>113</v>
      </c>
      <c r="F688" s="299" t="s">
        <v>60</v>
      </c>
      <c r="G688" s="300">
        <v>43103</v>
      </c>
      <c r="H688" s="303">
        <v>3159668.4962039096</v>
      </c>
      <c r="I688" s="301" t="str">
        <f t="shared" si="170"/>
        <v>Ingresos Sección II LISR (SIC &amp; BMV)</v>
      </c>
      <c r="J688" s="302">
        <f t="shared" si="171"/>
        <v>626</v>
      </c>
      <c r="K688" s="304">
        <f t="shared" si="172"/>
        <v>5047.3937639040087</v>
      </c>
      <c r="L688" s="305">
        <f>IF(H688=0,0,IF(OR(E688=$AT$5,E688=$AT$6),AA688,IF(F688="MXN",1/HLOOKUP(YEAR(G688)+(MONTH(G688)/100),TC!$5:$37,DAY(G688)+2,FALSE),VLOOKUP(F688,Equivalencia!$5:$23,((MAX(Equivalencia!$3:$3)-YEAR(G688))*14)+MONTH(G688)+2,FALSE))))</f>
        <v>5.0857198073529335E-2</v>
      </c>
      <c r="M688" s="306">
        <f t="shared" si="173"/>
        <v>160691.8865581328</v>
      </c>
      <c r="N688" s="305">
        <f>IF(G688=0,0,(IF(OR(E688=$AT$5,E688=$AT$6),AC688,HLOOKUP(YEAR(G688)+(MONTH(G688)/100),TC!$5:$37,DAY(G688)+2,FALSE))))</f>
        <v>19.6629</v>
      </c>
      <c r="O688" s="307">
        <f t="shared" si="174"/>
        <v>3159668.4962039096</v>
      </c>
      <c r="P688" s="560">
        <f>IF(G688=0,0,VLOOKUP(YEAR(G688),INPC!$B$4:$P$30,MONTH(G688)+2))</f>
        <v>98.794999699501005</v>
      </c>
      <c r="Q688" s="560">
        <f>IF(X688=0,0,IF(OR(E688=$AT$10,E688=$AT$9),VLOOKUP(YEAR(X688),INPC!$B$4:$P$30,MONTH(X688)+1),VLOOKUP(YEAR(X688),INPC!$B$4:$P$30,MONTH(X688)+2,0)))</f>
        <v>118.002</v>
      </c>
      <c r="R688" s="309">
        <f t="shared" si="175"/>
        <v>1.1943999999999999</v>
      </c>
      <c r="S688" s="310">
        <f t="shared" si="176"/>
        <v>3773908.0518659493</v>
      </c>
      <c r="T688" s="555">
        <f t="shared" si="177"/>
        <v>6028.6071116069479</v>
      </c>
      <c r="U688" s="311"/>
      <c r="V688" s="312">
        <v>626</v>
      </c>
      <c r="W688" s="299" t="s">
        <v>194</v>
      </c>
      <c r="X688" s="300">
        <v>44593</v>
      </c>
      <c r="Y688" s="299" t="s">
        <v>60</v>
      </c>
      <c r="Z688" s="303">
        <v>5914751.3600000003</v>
      </c>
      <c r="AA688" s="305">
        <f>IF(Z688=0,0,IF(Y688="MXN",1/HLOOKUP(YEAR(X688)+(MONTH(X688)/100),TC!$5:$37,DAY(X688)+2,FALSE),VLOOKUP(Y688,Equivalencia!$1:$23,((MAX(Equivalencia!$3:$3)-YEAR(X688))*14)+MONTH(X688)+2,FALSE)))</f>
        <v>4.7939327986500288E-2</v>
      </c>
      <c r="AB688" s="306">
        <f t="shared" si="178"/>
        <v>283549.20540563867</v>
      </c>
      <c r="AC688" s="305">
        <f>+IF(X688=0,0,HLOOKUP(YEAR(X688)+(MONTH(X688)/100),TC!$5:$37,DAY(X688)+2,FALSE))</f>
        <v>20.8597</v>
      </c>
      <c r="AD688" s="307">
        <f t="shared" si="179"/>
        <v>5914751.3600000013</v>
      </c>
      <c r="AE688" s="314">
        <f t="shared" si="180"/>
        <v>3773908.0518659493</v>
      </c>
      <c r="AF688" s="315">
        <f t="shared" si="181"/>
        <v>2140843.308134052</v>
      </c>
      <c r="AG688" s="316">
        <f t="shared" si="182"/>
        <v>4.0821917808219181</v>
      </c>
      <c r="AH688" s="314">
        <v>1</v>
      </c>
      <c r="AI688" s="314">
        <f t="shared" si="183"/>
        <v>2140843.308134052</v>
      </c>
      <c r="AJ688" s="314">
        <f t="shared" si="184"/>
        <v>0</v>
      </c>
      <c r="AK688" s="317"/>
      <c r="AL688" s="315">
        <f t="shared" si="185"/>
        <v>122857.31884750587</v>
      </c>
      <c r="AN688" s="554">
        <f t="shared" si="186"/>
        <v>3.8882977437382803E-2</v>
      </c>
      <c r="AO688" s="314"/>
      <c r="AP688" s="318"/>
    </row>
    <row r="689" spans="2:42">
      <c r="B689" s="296" t="s">
        <v>1250</v>
      </c>
      <c r="C689" s="299" t="s">
        <v>277</v>
      </c>
      <c r="D689" s="298" t="s">
        <v>896</v>
      </c>
      <c r="E689" s="299" t="s">
        <v>113</v>
      </c>
      <c r="F689" s="299" t="s">
        <v>60</v>
      </c>
      <c r="G689" s="300">
        <v>43159</v>
      </c>
      <c r="H689" s="303">
        <v>580283.94273609284</v>
      </c>
      <c r="I689" s="301" t="str">
        <f t="shared" si="170"/>
        <v>Ingresos Sección II LISR (SIC &amp; BMV)</v>
      </c>
      <c r="J689" s="302">
        <f t="shared" si="171"/>
        <v>3657</v>
      </c>
      <c r="K689" s="304">
        <f t="shared" si="172"/>
        <v>158.67758893521815</v>
      </c>
      <c r="L689" s="305">
        <f>IF(H689=0,0,IF(OR(E689=$AT$5,E689=$AT$6),AA689,IF(F689="MXN",1/HLOOKUP(YEAR(G689)+(MONTH(G689)/100),TC!$5:$37,DAY(G689)+2,FALSE),VLOOKUP(F689,Equivalencia!$5:$23,((MAX(Equivalencia!$3:$3)-YEAR(G689))*14)+MONTH(G689)+2,FALSE))))</f>
        <v>5.3631956064701586E-2</v>
      </c>
      <c r="M689" s="306">
        <f t="shared" si="173"/>
        <v>31121.762921873942</v>
      </c>
      <c r="N689" s="305">
        <f>IF(G689=0,0,(IF(OR(E689=$AT$5,E689=$AT$6),AC689,HLOOKUP(YEAR(G689)+(MONTH(G689)/100),TC!$5:$37,DAY(G689)+2,FALSE))))</f>
        <v>18.645600000000002</v>
      </c>
      <c r="O689" s="307">
        <f t="shared" si="174"/>
        <v>580283.94273609284</v>
      </c>
      <c r="P689" s="560">
        <f>IF(G689=0,0,VLOOKUP(YEAR(G689),INPC!$B$4:$P$30,MONTH(G689)+2))</f>
        <v>99.171374481640001</v>
      </c>
      <c r="Q689" s="560">
        <f>IF(X689=0,0,IF(OR(E689=$AT$10,E689=$AT$9),VLOOKUP(YEAR(X689),INPC!$B$4:$P$30,MONTH(X689)+1),VLOOKUP(YEAR(X689),INPC!$B$4:$P$30,MONTH(X689)+2,0)))</f>
        <v>118.002</v>
      </c>
      <c r="R689" s="309">
        <f t="shared" si="175"/>
        <v>1.1898</v>
      </c>
      <c r="S689" s="310">
        <f t="shared" si="176"/>
        <v>690421.83506740327</v>
      </c>
      <c r="T689" s="555">
        <f t="shared" si="177"/>
        <v>188.79459531512259</v>
      </c>
      <c r="U689" s="311"/>
      <c r="V689" s="312">
        <v>3657</v>
      </c>
      <c r="W689" s="299" t="s">
        <v>194</v>
      </c>
      <c r="X689" s="300">
        <v>44594</v>
      </c>
      <c r="Y689" s="299" t="s">
        <v>60</v>
      </c>
      <c r="Z689" s="303">
        <v>1540634.04</v>
      </c>
      <c r="AA689" s="305">
        <f>IF(Z689=0,0,IF(Y689="MXN",1/HLOOKUP(YEAR(X689)+(MONTH(X689)/100),TC!$5:$37,DAY(X689)+2,FALSE),VLOOKUP(Y689,Equivalencia!$1:$23,((MAX(Equivalencia!$3:$3)-YEAR(X689))*14)+MONTH(X689)+2,FALSE)))</f>
        <v>4.8460882375746292E-2</v>
      </c>
      <c r="AB689" s="306">
        <f t="shared" si="178"/>
        <v>74660.484996510815</v>
      </c>
      <c r="AC689" s="305">
        <f>+IF(X689=0,0,HLOOKUP(YEAR(X689)+(MONTH(X689)/100),TC!$5:$37,DAY(X689)+2,FALSE))</f>
        <v>20.635200000000001</v>
      </c>
      <c r="AD689" s="307">
        <f t="shared" si="179"/>
        <v>1540634.04</v>
      </c>
      <c r="AE689" s="314">
        <f t="shared" si="180"/>
        <v>690421.83506740327</v>
      </c>
      <c r="AF689" s="315">
        <f t="shared" si="181"/>
        <v>850212.20493259677</v>
      </c>
      <c r="AG689" s="316">
        <f t="shared" si="182"/>
        <v>3.9315068493150687</v>
      </c>
      <c r="AH689" s="314">
        <v>1</v>
      </c>
      <c r="AI689" s="314">
        <f t="shared" si="183"/>
        <v>850212.20493259677</v>
      </c>
      <c r="AJ689" s="314">
        <f t="shared" si="184"/>
        <v>0</v>
      </c>
      <c r="AK689" s="317"/>
      <c r="AL689" s="315">
        <f t="shared" si="185"/>
        <v>43538.722074636869</v>
      </c>
      <c r="AN689" s="554">
        <f t="shared" si="186"/>
        <v>7.5030030762780961E-2</v>
      </c>
      <c r="AO689" s="314"/>
      <c r="AP689" s="318"/>
    </row>
    <row r="690" spans="2:42">
      <c r="B690" s="296" t="s">
        <v>1250</v>
      </c>
      <c r="C690" s="299" t="s">
        <v>277</v>
      </c>
      <c r="D690" s="298" t="s">
        <v>897</v>
      </c>
      <c r="E690" s="299" t="s">
        <v>113</v>
      </c>
      <c r="F690" s="299" t="s">
        <v>60</v>
      </c>
      <c r="G690" s="300">
        <v>44217</v>
      </c>
      <c r="H690" s="303">
        <v>4885645.1357849203</v>
      </c>
      <c r="I690" s="301" t="str">
        <f t="shared" si="170"/>
        <v>Ingresos Sección II LISR (SIC &amp; BMV)</v>
      </c>
      <c r="J690" s="302">
        <f t="shared" si="171"/>
        <v>1433</v>
      </c>
      <c r="K690" s="304">
        <f t="shared" si="172"/>
        <v>3409.3825092707052</v>
      </c>
      <c r="L690" s="305">
        <f>IF(H690=0,0,IF(OR(E690=$AT$5,E690=$AT$6),AA690,IF(F690="MXN",1/HLOOKUP(YEAR(G690)+(MONTH(G690)/100),TC!$5:$37,DAY(G690)+2,FALSE),VLOOKUP(F690,Equivalencia!$5:$23,((MAX(Equivalencia!$3:$3)-YEAR(G690))*14)+MONTH(G690)+2,FALSE))))</f>
        <v>5.081610667317113E-2</v>
      </c>
      <c r="M690" s="306">
        <f t="shared" si="173"/>
        <v>248269.46438730616</v>
      </c>
      <c r="N690" s="305">
        <f>IF(G690=0,0,(IF(OR(E690=$AT$5,E690=$AT$6),AC690,HLOOKUP(YEAR(G690)+(MONTH(G690)/100),TC!$5:$37,DAY(G690)+2,FALSE))))</f>
        <v>19.678799999999999</v>
      </c>
      <c r="O690" s="307">
        <f t="shared" si="174"/>
        <v>4885645.1357849203</v>
      </c>
      <c r="P690" s="560">
        <f>IF(G690=0,0,VLOOKUP(YEAR(G690),INPC!$B$4:$P$30,MONTH(G690)+2))</f>
        <v>110.21</v>
      </c>
      <c r="Q690" s="560">
        <f>IF(X690=0,0,IF(OR(E690=$AT$10,E690=$AT$9),VLOOKUP(YEAR(X690),INPC!$B$4:$P$30,MONTH(X690)+1),VLOOKUP(YEAR(X690),INPC!$B$4:$P$30,MONTH(X690)+2,0)))</f>
        <v>120.809</v>
      </c>
      <c r="R690" s="309">
        <f t="shared" si="175"/>
        <v>1.0961000000000001</v>
      </c>
      <c r="S690" s="310">
        <f t="shared" si="176"/>
        <v>5355155.6333338516</v>
      </c>
      <c r="T690" s="555">
        <f t="shared" si="177"/>
        <v>3737.0241684116199</v>
      </c>
      <c r="U690" s="311"/>
      <c r="V690" s="312">
        <v>1433</v>
      </c>
      <c r="W690" s="299" t="s">
        <v>194</v>
      </c>
      <c r="X690" s="300">
        <v>44685</v>
      </c>
      <c r="Y690" s="299" t="s">
        <v>60</v>
      </c>
      <c r="Z690" s="303">
        <v>4182376.2300000004</v>
      </c>
      <c r="AA690" s="305">
        <f>IF(Z690=0,0,IF(Y690="MXN",1/HLOOKUP(YEAR(X690)+(MONTH(X690)/100),TC!$5:$37,DAY(X690)+2,FALSE),VLOOKUP(Y690,Equivalencia!$1:$23,((MAX(Equivalencia!$3:$3)-YEAR(X690))*14)+MONTH(X690)+2,FALSE)))</f>
        <v>4.9001592551757935E-2</v>
      </c>
      <c r="AB690" s="306">
        <f t="shared" si="178"/>
        <v>204943.09592061746</v>
      </c>
      <c r="AC690" s="305">
        <f>+IF(X690=0,0,HLOOKUP(YEAR(X690)+(MONTH(X690)/100),TC!$5:$37,DAY(X690)+2,FALSE))</f>
        <v>20.407499999999999</v>
      </c>
      <c r="AD690" s="307">
        <f t="shared" si="179"/>
        <v>4182376.2300000004</v>
      </c>
      <c r="AE690" s="314">
        <f t="shared" si="180"/>
        <v>5355155.6333338516</v>
      </c>
      <c r="AF690" s="315">
        <f t="shared" si="181"/>
        <v>-1172779.4033338511</v>
      </c>
      <c r="AG690" s="316">
        <f t="shared" si="182"/>
        <v>1.2821917808219179</v>
      </c>
      <c r="AH690" s="314">
        <v>1</v>
      </c>
      <c r="AI690" s="314">
        <f t="shared" si="183"/>
        <v>-1172779.4033338511</v>
      </c>
      <c r="AJ690" s="314">
        <f t="shared" si="184"/>
        <v>0</v>
      </c>
      <c r="AK690" s="317"/>
      <c r="AL690" s="315">
        <f t="shared" si="185"/>
        <v>-43326.368466688698</v>
      </c>
      <c r="AN690" s="554">
        <f t="shared" si="186"/>
        <v>-8.8680956685422366E-3</v>
      </c>
      <c r="AO690" s="314"/>
      <c r="AP690" s="318"/>
    </row>
    <row r="691" spans="2:42">
      <c r="B691" s="296" t="s">
        <v>1250</v>
      </c>
      <c r="C691" s="299" t="s">
        <v>277</v>
      </c>
      <c r="D691" s="298" t="s">
        <v>898</v>
      </c>
      <c r="E691" s="299" t="s">
        <v>113</v>
      </c>
      <c r="F691" s="299" t="s">
        <v>60</v>
      </c>
      <c r="G691" s="300">
        <v>43868</v>
      </c>
      <c r="H691" s="303">
        <v>720679.41905280913</v>
      </c>
      <c r="I691" s="301" t="str">
        <f t="shared" si="170"/>
        <v>Ingresos Sección II LISR (SIC &amp; BMV)</v>
      </c>
      <c r="J691" s="302">
        <f t="shared" si="171"/>
        <v>604</v>
      </c>
      <c r="K691" s="304">
        <f t="shared" si="172"/>
        <v>1193.1778461139224</v>
      </c>
      <c r="L691" s="305">
        <f>IF(H691=0,0,IF(OR(E691=$AT$5,E691=$AT$6),AA691,IF(F691="MXN",1/HLOOKUP(YEAR(G691)+(MONTH(G691)/100),TC!$5:$37,DAY(G691)+2,FALSE),VLOOKUP(F691,Equivalencia!$5:$23,((MAX(Equivalencia!$3:$3)-YEAR(G691))*14)+MONTH(G691)+2,FALSE))))</f>
        <v>5.3692716582995514E-2</v>
      </c>
      <c r="M691" s="306">
        <f t="shared" si="173"/>
        <v>38695.235794400338</v>
      </c>
      <c r="N691" s="305">
        <f>IF(G691=0,0,(IF(OR(E691=$AT$5,E691=$AT$6),AC691,HLOOKUP(YEAR(G691)+(MONTH(G691)/100),TC!$5:$37,DAY(G691)+2,FALSE))))</f>
        <v>18.624500000000001</v>
      </c>
      <c r="O691" s="307">
        <f t="shared" si="174"/>
        <v>720679.41905280913</v>
      </c>
      <c r="P691" s="560">
        <f>IF(G691=0,0,VLOOKUP(YEAR(G691),INPC!$B$4:$P$30,MONTH(G691)+2))</f>
        <v>106.889</v>
      </c>
      <c r="Q691" s="560">
        <f>IF(X691=0,0,IF(OR(E691=$AT$10,E691=$AT$9),VLOOKUP(YEAR(X691),INPC!$B$4:$P$30,MONTH(X691)+1),VLOOKUP(YEAR(X691),INPC!$B$4:$P$30,MONTH(X691)+2,0)))</f>
        <v>118.002</v>
      </c>
      <c r="R691" s="309">
        <f t="shared" si="175"/>
        <v>1.1039000000000001</v>
      </c>
      <c r="S691" s="310">
        <f t="shared" si="176"/>
        <v>795558.01069239608</v>
      </c>
      <c r="T691" s="555">
        <f t="shared" si="177"/>
        <v>1317.1490243251592</v>
      </c>
      <c r="U691" s="311"/>
      <c r="V691" s="312">
        <v>604</v>
      </c>
      <c r="W691" s="299" t="s">
        <v>194</v>
      </c>
      <c r="X691" s="300">
        <v>44593</v>
      </c>
      <c r="Y691" s="299" t="s">
        <v>60</v>
      </c>
      <c r="Z691" s="303">
        <v>916301.06747474754</v>
      </c>
      <c r="AA691" s="305">
        <f>IF(Z691=0,0,IF(Y691="MXN",1/HLOOKUP(YEAR(X691)+(MONTH(X691)/100),TC!$5:$37,DAY(X691)+2,FALSE),VLOOKUP(Y691,Equivalencia!$1:$23,((MAX(Equivalencia!$3:$3)-YEAR(X691))*14)+MONTH(X691)+2,FALSE)))</f>
        <v>4.7939327986500288E-2</v>
      </c>
      <c r="AB691" s="306">
        <f t="shared" si="178"/>
        <v>43926.857408052252</v>
      </c>
      <c r="AC691" s="305">
        <f>+IF(X691=0,0,HLOOKUP(YEAR(X691)+(MONTH(X691)/100),TC!$5:$37,DAY(X691)+2,FALSE))</f>
        <v>20.8597</v>
      </c>
      <c r="AD691" s="307">
        <f t="shared" si="179"/>
        <v>916301.06747474754</v>
      </c>
      <c r="AE691" s="314">
        <f t="shared" si="180"/>
        <v>795558.0106923962</v>
      </c>
      <c r="AF691" s="315">
        <f t="shared" si="181"/>
        <v>120743.05678235134</v>
      </c>
      <c r="AG691" s="316">
        <f t="shared" si="182"/>
        <v>1.9863013698630136</v>
      </c>
      <c r="AH691" s="314">
        <v>1</v>
      </c>
      <c r="AI691" s="314">
        <f t="shared" si="183"/>
        <v>120743.05678235134</v>
      </c>
      <c r="AJ691" s="314">
        <f t="shared" si="184"/>
        <v>0</v>
      </c>
      <c r="AK691" s="317"/>
      <c r="AL691" s="315">
        <f t="shared" si="185"/>
        <v>5231.6216136519142</v>
      </c>
      <c r="AN691" s="554">
        <f t="shared" si="186"/>
        <v>7.2592909903377682E-3</v>
      </c>
      <c r="AO691" s="314"/>
      <c r="AP691" s="318"/>
    </row>
    <row r="692" spans="2:42">
      <c r="B692" s="296" t="s">
        <v>1250</v>
      </c>
      <c r="C692" s="299" t="s">
        <v>277</v>
      </c>
      <c r="D692" s="298" t="s">
        <v>898</v>
      </c>
      <c r="E692" s="299" t="s">
        <v>113</v>
      </c>
      <c r="F692" s="299" t="s">
        <v>60</v>
      </c>
      <c r="G692" s="300">
        <v>43994</v>
      </c>
      <c r="H692" s="303">
        <v>4732665.82</v>
      </c>
      <c r="I692" s="301" t="str">
        <f t="shared" si="170"/>
        <v>Ingresos Sección II LISR (SIC &amp; BMV)</v>
      </c>
      <c r="J692" s="302">
        <f t="shared" si="171"/>
        <v>4415</v>
      </c>
      <c r="K692" s="304">
        <f t="shared" si="172"/>
        <v>1071.9514881087202</v>
      </c>
      <c r="L692" s="305">
        <f>IF(H692=0,0,IF(OR(E692=$AT$5,E692=$AT$6),AA692,IF(F692="MXN",1/HLOOKUP(YEAR(G692)+(MONTH(G692)/100),TC!$5:$37,DAY(G692)+2,FALSE),VLOOKUP(F692,Equivalencia!$5:$23,((MAX(Equivalencia!$3:$3)-YEAR(G692))*14)+MONTH(G692)+2,FALSE))))</f>
        <v>4.5614195137526799E-2</v>
      </c>
      <c r="M692" s="306">
        <f t="shared" si="173"/>
        <v>215876.7422341833</v>
      </c>
      <c r="N692" s="305">
        <f>IF(G692=0,0,(IF(OR(E692=$AT$5,E692=$AT$6),AC692,HLOOKUP(YEAR(G692)+(MONTH(G692)/100),TC!$5:$37,DAY(G692)+2,FALSE))))</f>
        <v>21.922999999999998</v>
      </c>
      <c r="O692" s="307">
        <f t="shared" si="174"/>
        <v>4732665.82</v>
      </c>
      <c r="P692" s="560">
        <f>IF(G692=0,0,VLOOKUP(YEAR(G692),INPC!$B$4:$P$30,MONTH(G692)+2))</f>
        <v>106.74299999999999</v>
      </c>
      <c r="Q692" s="560">
        <f>IF(X692=0,0,IF(OR(E692=$AT$10,E692=$AT$9),VLOOKUP(YEAR(X692),INPC!$B$4:$P$30,MONTH(X692)+1),VLOOKUP(YEAR(X692),INPC!$B$4:$P$30,MONTH(X692)+2,0)))</f>
        <v>118.002</v>
      </c>
      <c r="R692" s="309">
        <f t="shared" si="175"/>
        <v>1.1053999999999999</v>
      </c>
      <c r="S692" s="310">
        <f t="shared" si="176"/>
        <v>5231488.7974279998</v>
      </c>
      <c r="T692" s="555">
        <f t="shared" si="177"/>
        <v>1184.9351749553794</v>
      </c>
      <c r="U692" s="311"/>
      <c r="V692" s="312">
        <v>4415</v>
      </c>
      <c r="W692" s="299" t="s">
        <v>194</v>
      </c>
      <c r="X692" s="300">
        <v>44593</v>
      </c>
      <c r="Y692" s="299" t="s">
        <v>60</v>
      </c>
      <c r="Z692" s="303">
        <v>6697796.7101010103</v>
      </c>
      <c r="AA692" s="305">
        <f>IF(Z692=0,0,IF(Y692="MXN",1/HLOOKUP(YEAR(X692)+(MONTH(X692)/100),TC!$5:$37,DAY(X692)+2,FALSE),VLOOKUP(Y692,Equivalencia!$1:$23,((MAX(Equivalencia!$3:$3)-YEAR(X692))*14)+MONTH(X692)+2,FALSE)))</f>
        <v>4.7939327986500288E-2</v>
      </c>
      <c r="AB692" s="306">
        <f t="shared" si="178"/>
        <v>321087.87327243492</v>
      </c>
      <c r="AC692" s="305">
        <f>+IF(X692=0,0,HLOOKUP(YEAR(X692)+(MONTH(X692)/100),TC!$5:$37,DAY(X692)+2,FALSE))</f>
        <v>20.8597</v>
      </c>
      <c r="AD692" s="307">
        <f t="shared" si="179"/>
        <v>6697796.7101010112</v>
      </c>
      <c r="AE692" s="314">
        <f t="shared" si="180"/>
        <v>5231488.7974279998</v>
      </c>
      <c r="AF692" s="315">
        <f t="shared" si="181"/>
        <v>1466307.9126730114</v>
      </c>
      <c r="AG692" s="316">
        <f t="shared" si="182"/>
        <v>1.6410958904109589</v>
      </c>
      <c r="AH692" s="314">
        <v>1</v>
      </c>
      <c r="AI692" s="314">
        <f t="shared" si="183"/>
        <v>1466307.9126730114</v>
      </c>
      <c r="AJ692" s="314">
        <f t="shared" si="184"/>
        <v>0</v>
      </c>
      <c r="AK692" s="317"/>
      <c r="AL692" s="315">
        <f t="shared" si="185"/>
        <v>105211.13103825162</v>
      </c>
      <c r="AN692" s="554">
        <f t="shared" si="186"/>
        <v>2.2230838821037151E-2</v>
      </c>
      <c r="AO692" s="314"/>
      <c r="AP692" s="318"/>
    </row>
    <row r="693" spans="2:42">
      <c r="B693" s="296" t="s">
        <v>1250</v>
      </c>
      <c r="C693" s="299" t="s">
        <v>277</v>
      </c>
      <c r="D693" s="298" t="s">
        <v>898</v>
      </c>
      <c r="E693" s="299" t="s">
        <v>113</v>
      </c>
      <c r="F693" s="299" t="s">
        <v>60</v>
      </c>
      <c r="G693" s="300">
        <v>44176</v>
      </c>
      <c r="H693" s="303">
        <v>606430.87491124263</v>
      </c>
      <c r="I693" s="301" t="str">
        <f t="shared" si="170"/>
        <v>Ingresos Sección II LISR (SIC &amp; BMV)</v>
      </c>
      <c r="J693" s="302">
        <f t="shared" si="171"/>
        <v>525</v>
      </c>
      <c r="K693" s="304">
        <f t="shared" si="172"/>
        <v>1155.1064284023669</v>
      </c>
      <c r="L693" s="305">
        <f>IF(H693=0,0,IF(OR(E693=$AT$5,E693=$AT$6),AA693,IF(F693="MXN",1/HLOOKUP(YEAR(G693)+(MONTH(G693)/100),TC!$5:$37,DAY(G693)+2,FALSE),VLOOKUP(F693,Equivalencia!$5:$23,((MAX(Equivalencia!$3:$3)-YEAR(G693))*14)+MONTH(G693)+2,FALSE))))</f>
        <v>5.0411356670430715E-2</v>
      </c>
      <c r="M693" s="306">
        <f t="shared" si="173"/>
        <v>30571.003131112007</v>
      </c>
      <c r="N693" s="305">
        <f>IF(G693=0,0,(IF(OR(E693=$AT$5,E693=$AT$6),AC693,HLOOKUP(YEAR(G693)+(MONTH(G693)/100),TC!$5:$37,DAY(G693)+2,FALSE))))</f>
        <v>19.8368</v>
      </c>
      <c r="O693" s="307">
        <f t="shared" si="174"/>
        <v>606430.87491124263</v>
      </c>
      <c r="P693" s="560">
        <f>IF(G693=0,0,VLOOKUP(YEAR(G693),INPC!$B$4:$P$30,MONTH(G693)+2))</f>
        <v>109.271</v>
      </c>
      <c r="Q693" s="560">
        <f>IF(X693=0,0,IF(OR(E693=$AT$10,E693=$AT$9),VLOOKUP(YEAR(X693),INPC!$B$4:$P$30,MONTH(X693)+1),VLOOKUP(YEAR(X693),INPC!$B$4:$P$30,MONTH(X693)+2,0)))</f>
        <v>118.002</v>
      </c>
      <c r="R693" s="309">
        <f t="shared" si="175"/>
        <v>1.0799000000000001</v>
      </c>
      <c r="S693" s="310">
        <f t="shared" si="176"/>
        <v>654884.70181665092</v>
      </c>
      <c r="T693" s="555">
        <f t="shared" si="177"/>
        <v>1247.3994320317161</v>
      </c>
      <c r="U693" s="311"/>
      <c r="V693" s="312">
        <v>525</v>
      </c>
      <c r="W693" s="299" t="s">
        <v>194</v>
      </c>
      <c r="X693" s="300">
        <v>44593</v>
      </c>
      <c r="Y693" s="299" t="s">
        <v>60</v>
      </c>
      <c r="Z693" s="303">
        <v>796453.74242424243</v>
      </c>
      <c r="AA693" s="305">
        <f>IF(Z693=0,0,IF(Y693="MXN",1/HLOOKUP(YEAR(X693)+(MONTH(X693)/100),TC!$5:$37,DAY(X693)+2,FALSE),VLOOKUP(Y693,Equivalencia!$1:$23,((MAX(Equivalencia!$3:$3)-YEAR(X693))*14)+MONTH(X693)+2,FALSE)))</f>
        <v>4.7939327986500288E-2</v>
      </c>
      <c r="AB693" s="306">
        <f t="shared" si="178"/>
        <v>38181.457184151375</v>
      </c>
      <c r="AC693" s="305">
        <f>+IF(X693=0,0,HLOOKUP(YEAR(X693)+(MONTH(X693)/100),TC!$5:$37,DAY(X693)+2,FALSE))</f>
        <v>20.8597</v>
      </c>
      <c r="AD693" s="307">
        <f t="shared" si="179"/>
        <v>796453.74242424243</v>
      </c>
      <c r="AE693" s="314">
        <f t="shared" si="180"/>
        <v>654884.70181665092</v>
      </c>
      <c r="AF693" s="315">
        <f t="shared" si="181"/>
        <v>141569.04060759151</v>
      </c>
      <c r="AG693" s="316">
        <f t="shared" si="182"/>
        <v>1.1424657534246576</v>
      </c>
      <c r="AH693" s="314">
        <v>1</v>
      </c>
      <c r="AI693" s="314">
        <f t="shared" si="183"/>
        <v>141569.04060759151</v>
      </c>
      <c r="AJ693" s="314">
        <f t="shared" si="184"/>
        <v>0</v>
      </c>
      <c r="AK693" s="317"/>
      <c r="AL693" s="315">
        <f t="shared" si="185"/>
        <v>7610.4540530393679</v>
      </c>
      <c r="AN693" s="554">
        <f t="shared" si="186"/>
        <v>1.2549582100603364E-2</v>
      </c>
      <c r="AO693" s="314"/>
      <c r="AP693" s="318"/>
    </row>
    <row r="694" spans="2:42">
      <c r="B694" s="296" t="s">
        <v>1250</v>
      </c>
      <c r="C694" s="299" t="s">
        <v>277</v>
      </c>
      <c r="D694" s="298" t="s">
        <v>899</v>
      </c>
      <c r="E694" s="299" t="s">
        <v>113</v>
      </c>
      <c r="F694" s="299" t="s">
        <v>60</v>
      </c>
      <c r="G694" s="300">
        <v>43929</v>
      </c>
      <c r="H694" s="303">
        <v>4454925.6586010763</v>
      </c>
      <c r="I694" s="301" t="str">
        <f t="shared" si="170"/>
        <v>Ingresos Sección II LISR (SIC &amp; BMV)</v>
      </c>
      <c r="J694" s="302">
        <f t="shared" si="171"/>
        <v>2398</v>
      </c>
      <c r="K694" s="304">
        <f t="shared" si="172"/>
        <v>1857.7671637202154</v>
      </c>
      <c r="L694" s="305">
        <f>IF(H694=0,0,IF(OR(E694=$AT$5,E694=$AT$6),AA694,IF(F694="MXN",1/HLOOKUP(YEAR(G694)+(MONTH(G694)/100),TC!$5:$37,DAY(G694)+2,FALSE),VLOOKUP(F694,Equivalencia!$5:$23,((MAX(Equivalencia!$3:$3)-YEAR(G694))*14)+MONTH(G694)+2,FALSE))))</f>
        <v>4.0503047854351042E-2</v>
      </c>
      <c r="M694" s="306">
        <f t="shared" si="173"/>
        <v>180438.06713789573</v>
      </c>
      <c r="N694" s="305">
        <f>IF(G694=0,0,(IF(OR(E694=$AT$5,E694=$AT$6),AC694,HLOOKUP(YEAR(G694)+(MONTH(G694)/100),TC!$5:$37,DAY(G694)+2,FALSE))))</f>
        <v>24.689499999999999</v>
      </c>
      <c r="O694" s="307">
        <f t="shared" si="174"/>
        <v>4454925.6586010763</v>
      </c>
      <c r="P694" s="560">
        <f>IF(G694=0,0,VLOOKUP(YEAR(G694),INPC!$B$4:$P$30,MONTH(G694)+2))</f>
        <v>105.755</v>
      </c>
      <c r="Q694" s="560">
        <f>IF(X694=0,0,IF(OR(E694=$AT$10,E694=$AT$9),VLOOKUP(YEAR(X694),INPC!$B$4:$P$30,MONTH(X694)+1),VLOOKUP(YEAR(X694),INPC!$B$4:$P$30,MONTH(X694)+2,0)))</f>
        <v>120.809</v>
      </c>
      <c r="R694" s="309">
        <f t="shared" si="175"/>
        <v>1.1423000000000001</v>
      </c>
      <c r="S694" s="310">
        <f t="shared" si="176"/>
        <v>5088861.5798200099</v>
      </c>
      <c r="T694" s="555">
        <f t="shared" si="177"/>
        <v>2122.1274311176021</v>
      </c>
      <c r="U694" s="311"/>
      <c r="V694" s="312">
        <v>2398</v>
      </c>
      <c r="W694" s="299" t="s">
        <v>194</v>
      </c>
      <c r="X694" s="300">
        <v>44685</v>
      </c>
      <c r="Y694" s="299" t="s">
        <v>60</v>
      </c>
      <c r="Z694" s="303">
        <v>5083753.79</v>
      </c>
      <c r="AA694" s="305">
        <f>IF(Z694=0,0,IF(Y694="MXN",1/HLOOKUP(YEAR(X694)+(MONTH(X694)/100),TC!$5:$37,DAY(X694)+2,FALSE),VLOOKUP(Y694,Equivalencia!$1:$23,((MAX(Equivalencia!$3:$3)-YEAR(X694))*14)+MONTH(X694)+2,FALSE)))</f>
        <v>4.9001592551757935E-2</v>
      </c>
      <c r="AB694" s="306">
        <f t="shared" si="178"/>
        <v>249112.03185103516</v>
      </c>
      <c r="AC694" s="305">
        <f>+IF(X694=0,0,HLOOKUP(YEAR(X694)+(MONTH(X694)/100),TC!$5:$37,DAY(X694)+2,FALSE))</f>
        <v>20.407499999999999</v>
      </c>
      <c r="AD694" s="307">
        <f t="shared" si="179"/>
        <v>5083753.79</v>
      </c>
      <c r="AE694" s="314">
        <f t="shared" si="180"/>
        <v>5088861.5798200099</v>
      </c>
      <c r="AF694" s="315">
        <f t="shared" si="181"/>
        <v>-5107.7898200098425</v>
      </c>
      <c r="AG694" s="316">
        <f t="shared" si="182"/>
        <v>2.0712328767123287</v>
      </c>
      <c r="AH694" s="314">
        <v>1</v>
      </c>
      <c r="AI694" s="314">
        <f t="shared" si="183"/>
        <v>-5107.7898200098425</v>
      </c>
      <c r="AJ694" s="314">
        <f t="shared" si="184"/>
        <v>0</v>
      </c>
      <c r="AK694" s="317"/>
      <c r="AL694" s="315">
        <f t="shared" si="185"/>
        <v>68673.96471313943</v>
      </c>
      <c r="AN694" s="554">
        <f t="shared" si="186"/>
        <v>1.5415288598711262E-2</v>
      </c>
      <c r="AO694" s="314"/>
      <c r="AP694" s="318"/>
    </row>
    <row r="695" spans="2:42">
      <c r="B695" s="296"/>
      <c r="C695" s="299"/>
      <c r="D695" s="298"/>
      <c r="E695" s="299"/>
      <c r="F695" s="299"/>
      <c r="G695" s="300"/>
      <c r="H695" s="303"/>
      <c r="I695" s="301">
        <f t="shared" si="170"/>
        <v>0</v>
      </c>
      <c r="J695" s="302">
        <f t="shared" si="171"/>
        <v>0</v>
      </c>
      <c r="K695" s="304">
        <f t="shared" si="172"/>
        <v>0</v>
      </c>
      <c r="L695" s="305">
        <f>IF(H695=0,0,IF(OR(E695=$AT$5,E695=$AT$6),AA695,IF(F695="MXN",1/HLOOKUP(YEAR(G695)+(MONTH(G695)/100),TC!$5:$37,DAY(G695)+2,FALSE),VLOOKUP(F695,Equivalencia!$5:$23,((MAX(Equivalencia!$3:$3)-YEAR(G695))*14)+MONTH(G695)+2,FALSE))))</f>
        <v>0</v>
      </c>
      <c r="M695" s="306">
        <f t="shared" si="173"/>
        <v>0</v>
      </c>
      <c r="N695" s="305">
        <f>IF(G695=0,0,(IF(OR(E695=$AT$5,E695=$AT$6),AC695,HLOOKUP(YEAR(G695)+(MONTH(G695)/100),TC!$5:$37,DAY(G695)+2,FALSE))))</f>
        <v>0</v>
      </c>
      <c r="O695" s="307">
        <f t="shared" si="174"/>
        <v>0</v>
      </c>
      <c r="P695" s="560">
        <f>IF(G695=0,0,VLOOKUP(YEAR(G695),INPC!$B$4:$P$30,MONTH(G695)+2))</f>
        <v>0</v>
      </c>
      <c r="Q695" s="560">
        <f>IF(X695=0,0,IF(OR(E695=$AT$10,E695=$AT$9),VLOOKUP(YEAR(X695),INPC!$B$4:$P$30,MONTH(X695)+1),VLOOKUP(YEAR(X695),INPC!$B$4:$P$30,MONTH(X695)+2,0)))</f>
        <v>0</v>
      </c>
      <c r="R695" s="309">
        <f t="shared" si="175"/>
        <v>0</v>
      </c>
      <c r="S695" s="310">
        <f t="shared" si="176"/>
        <v>0</v>
      </c>
      <c r="T695" s="555">
        <f t="shared" si="177"/>
        <v>0</v>
      </c>
      <c r="U695" s="311"/>
      <c r="V695" s="312"/>
      <c r="W695" s="299"/>
      <c r="X695" s="300"/>
      <c r="Y695" s="299"/>
      <c r="Z695" s="303"/>
      <c r="AA695" s="305">
        <f>IF(Z695=0,0,IF(Y695="MXN",1/HLOOKUP(YEAR(X695)+(MONTH(X695)/100),TC!$5:$37,DAY(X695)+2,FALSE),VLOOKUP(Y695,Equivalencia!$1:$23,((MAX(Equivalencia!$3:$3)-YEAR(X695))*14)+MONTH(X695)+2,FALSE)))</f>
        <v>0</v>
      </c>
      <c r="AB695" s="306">
        <f t="shared" si="178"/>
        <v>0</v>
      </c>
      <c r="AC695" s="305">
        <f>+IF(X695=0,0,HLOOKUP(YEAR(X695)+(MONTH(X695)/100),TC!$5:$37,DAY(X695)+2,FALSE))</f>
        <v>0</v>
      </c>
      <c r="AD695" s="307">
        <f t="shared" si="179"/>
        <v>0</v>
      </c>
      <c r="AE695" s="314">
        <f t="shared" si="180"/>
        <v>0</v>
      </c>
      <c r="AF695" s="315">
        <f t="shared" si="181"/>
        <v>0</v>
      </c>
      <c r="AG695" s="316">
        <f t="shared" si="182"/>
        <v>0</v>
      </c>
      <c r="AH695" s="314">
        <v>1</v>
      </c>
      <c r="AI695" s="314">
        <f t="shared" si="183"/>
        <v>0</v>
      </c>
      <c r="AJ695" s="314">
        <f t="shared" si="184"/>
        <v>0</v>
      </c>
      <c r="AK695" s="317"/>
      <c r="AL695" s="315">
        <f t="shared" si="185"/>
        <v>0</v>
      </c>
      <c r="AN695" s="554">
        <f t="shared" si="186"/>
        <v>0</v>
      </c>
      <c r="AO695" s="314"/>
      <c r="AP695" s="318"/>
    </row>
    <row r="696" spans="2:42">
      <c r="B696" s="296" t="s">
        <v>1246</v>
      </c>
      <c r="C696" s="299" t="s">
        <v>277</v>
      </c>
      <c r="D696" s="298" t="s">
        <v>900</v>
      </c>
      <c r="E696" s="299" t="s">
        <v>113</v>
      </c>
      <c r="F696" s="299" t="s">
        <v>60</v>
      </c>
      <c r="G696" s="300">
        <v>44299</v>
      </c>
      <c r="H696" s="303">
        <v>2428652.0608228785</v>
      </c>
      <c r="I696" s="301" t="str">
        <f t="shared" si="170"/>
        <v>Ingresos Sección II LISR (SIC &amp; BMV)</v>
      </c>
      <c r="J696" s="302">
        <f t="shared" si="171"/>
        <v>3772</v>
      </c>
      <c r="K696" s="304">
        <f t="shared" si="172"/>
        <v>643.8632186699042</v>
      </c>
      <c r="L696" s="305">
        <f>IF(H696=0,0,IF(OR(E696=$AT$5,E696=$AT$6),AA696,IF(F696="MXN",1/HLOOKUP(YEAR(G696)+(MONTH(G696)/100),TC!$5:$37,DAY(G696)+2,FALSE),VLOOKUP(F696,Equivalencia!$5:$23,((MAX(Equivalencia!$3:$3)-YEAR(G696))*14)+MONTH(G696)+2,FALSE))))</f>
        <v>4.9595794276645337E-2</v>
      </c>
      <c r="M696" s="306">
        <f t="shared" si="173"/>
        <v>120450.92797812221</v>
      </c>
      <c r="N696" s="305">
        <f>IF(G696=0,0,(IF(OR(E696=$AT$5,E696=$AT$6),AC696,HLOOKUP(YEAR(G696)+(MONTH(G696)/100),TC!$5:$37,DAY(G696)+2,FALSE))))</f>
        <v>20.163</v>
      </c>
      <c r="O696" s="307">
        <f t="shared" si="174"/>
        <v>2428652.060822878</v>
      </c>
      <c r="P696" s="560">
        <f>IF(G696=0,0,VLOOKUP(YEAR(G696),INPC!$B$4:$P$30,MONTH(G696)+2))</f>
        <v>112.19</v>
      </c>
      <c r="Q696" s="560">
        <f>IF(X696=0,0,IF(OR(E696=$AT$10,E696=$AT$9),VLOOKUP(YEAR(X696),INPC!$B$4:$P$30,MONTH(X696)+1),VLOOKUP(YEAR(X696),INPC!$B$4:$P$30,MONTH(X696)+2,0)))</f>
        <v>118.002</v>
      </c>
      <c r="R696" s="309">
        <f t="shared" si="175"/>
        <v>1.0518000000000001</v>
      </c>
      <c r="S696" s="310">
        <f t="shared" si="176"/>
        <v>2554456.2375735031</v>
      </c>
      <c r="T696" s="555">
        <f t="shared" si="177"/>
        <v>677.215333397005</v>
      </c>
      <c r="U696" s="311"/>
      <c r="V696" s="312">
        <v>3772</v>
      </c>
      <c r="W696" s="299" t="s">
        <v>194</v>
      </c>
      <c r="X696" s="300">
        <v>44601</v>
      </c>
      <c r="Y696" s="299" t="s">
        <v>60</v>
      </c>
      <c r="Z696" s="303">
        <v>2677853.5499999998</v>
      </c>
      <c r="AA696" s="305">
        <f>IF(Z696=0,0,IF(Y696="MXN",1/HLOOKUP(YEAR(X696)+(MONTH(X696)/100),TC!$5:$37,DAY(X696)+2,FALSE),VLOOKUP(Y696,Equivalencia!$1:$23,((MAX(Equivalencia!$3:$3)-YEAR(X696))*14)+MONTH(X696)+2,FALSE)))</f>
        <v>4.8233449897503916E-2</v>
      </c>
      <c r="AB696" s="306">
        <f t="shared" si="178"/>
        <v>129162.11503677799</v>
      </c>
      <c r="AC696" s="305">
        <f>+IF(X696=0,0,HLOOKUP(YEAR(X696)+(MONTH(X696)/100),TC!$5:$37,DAY(X696)+2,FALSE))</f>
        <v>20.732500000000002</v>
      </c>
      <c r="AD696" s="307">
        <f t="shared" si="179"/>
        <v>2677853.5499999998</v>
      </c>
      <c r="AE696" s="314">
        <f t="shared" si="180"/>
        <v>2554456.2375735031</v>
      </c>
      <c r="AF696" s="315">
        <f t="shared" si="181"/>
        <v>123397.31242649676</v>
      </c>
      <c r="AG696" s="316">
        <f t="shared" si="182"/>
        <v>0.82739726027397265</v>
      </c>
      <c r="AH696" s="314">
        <v>1</v>
      </c>
      <c r="AI696" s="314">
        <f t="shared" si="183"/>
        <v>123397.31242649676</v>
      </c>
      <c r="AJ696" s="314">
        <f t="shared" si="184"/>
        <v>0</v>
      </c>
      <c r="AK696" s="317"/>
      <c r="AL696" s="315">
        <f t="shared" si="185"/>
        <v>8711.1870586557779</v>
      </c>
      <c r="AN696" s="554">
        <f t="shared" si="186"/>
        <v>3.5868402885608258E-3</v>
      </c>
      <c r="AO696" s="314"/>
      <c r="AP696" s="318"/>
    </row>
    <row r="697" spans="2:42">
      <c r="B697" s="296" t="s">
        <v>1246</v>
      </c>
      <c r="C697" s="299" t="s">
        <v>277</v>
      </c>
      <c r="D697" s="298" t="s">
        <v>900</v>
      </c>
      <c r="E697" s="299" t="s">
        <v>113</v>
      </c>
      <c r="F697" s="299" t="s">
        <v>60</v>
      </c>
      <c r="G697" s="300">
        <v>44299</v>
      </c>
      <c r="H697" s="303">
        <v>2344305.9791771211</v>
      </c>
      <c r="I697" s="301" t="str">
        <f t="shared" si="170"/>
        <v>Ingresos Sección II LISR (SIC &amp; BMV)</v>
      </c>
      <c r="J697" s="302">
        <f t="shared" si="171"/>
        <v>3641</v>
      </c>
      <c r="K697" s="304">
        <f t="shared" si="172"/>
        <v>643.8632186699042</v>
      </c>
      <c r="L697" s="305">
        <f>IF(H697=0,0,IF(OR(E697=$AT$5,E697=$AT$6),AA697,IF(F697="MXN",1/HLOOKUP(YEAR(G697)+(MONTH(G697)/100),TC!$5:$37,DAY(G697)+2,FALSE),VLOOKUP(F697,Equivalencia!$5:$23,((MAX(Equivalencia!$3:$3)-YEAR(G697))*14)+MONTH(G697)+2,FALSE))))</f>
        <v>4.9595794276645337E-2</v>
      </c>
      <c r="M697" s="306">
        <f t="shared" si="173"/>
        <v>116267.7170647781</v>
      </c>
      <c r="N697" s="305">
        <f>IF(G697=0,0,(IF(OR(E697=$AT$5,E697=$AT$6),AC697,HLOOKUP(YEAR(G697)+(MONTH(G697)/100),TC!$5:$37,DAY(G697)+2,FALSE))))</f>
        <v>20.163</v>
      </c>
      <c r="O697" s="307">
        <f t="shared" si="174"/>
        <v>2344305.9791771211</v>
      </c>
      <c r="P697" s="560">
        <f>IF(G697=0,0,VLOOKUP(YEAR(G697),INPC!$B$4:$P$30,MONTH(G697)+2))</f>
        <v>112.19</v>
      </c>
      <c r="Q697" s="560">
        <f>IF(X697=0,0,IF(OR(E697=$AT$10,E697=$AT$9),VLOOKUP(YEAR(X697),INPC!$B$4:$P$30,MONTH(X697)+1),VLOOKUP(YEAR(X697),INPC!$B$4:$P$30,MONTH(X697)+2,0)))</f>
        <v>118.98099999999999</v>
      </c>
      <c r="R697" s="309">
        <f t="shared" si="175"/>
        <v>1.0605</v>
      </c>
      <c r="S697" s="310">
        <f t="shared" si="176"/>
        <v>2486136.4909173367</v>
      </c>
      <c r="T697" s="555">
        <f t="shared" si="177"/>
        <v>682.81694339943328</v>
      </c>
      <c r="U697" s="311"/>
      <c r="V697" s="312">
        <v>3641</v>
      </c>
      <c r="W697" s="299" t="s">
        <v>194</v>
      </c>
      <c r="X697" s="300">
        <v>44635</v>
      </c>
      <c r="Y697" s="299" t="s">
        <v>60</v>
      </c>
      <c r="Z697" s="303">
        <v>2415788.35</v>
      </c>
      <c r="AA697" s="305">
        <f>IF(Z697=0,0,IF(Y697="MXN",1/HLOOKUP(YEAR(X697)+(MONTH(X697)/100),TC!$5:$37,DAY(X697)+2,FALSE),VLOOKUP(Y697,Equivalencia!$1:$23,((MAX(Equivalencia!$3:$3)-YEAR(X697))*14)+MONTH(X697)+2,FALSE)))</f>
        <v>4.7688309210996926E-2</v>
      </c>
      <c r="AB697" s="306">
        <f t="shared" si="178"/>
        <v>115204.86182312407</v>
      </c>
      <c r="AC697" s="305">
        <f>+IF(X697=0,0,HLOOKUP(YEAR(X697)+(MONTH(X697)/100),TC!$5:$37,DAY(X697)+2,FALSE))</f>
        <v>20.9695</v>
      </c>
      <c r="AD697" s="307">
        <f t="shared" si="179"/>
        <v>2415788.35</v>
      </c>
      <c r="AE697" s="314">
        <f t="shared" si="180"/>
        <v>2486136.4909173367</v>
      </c>
      <c r="AF697" s="315">
        <f t="shared" si="181"/>
        <v>-70348.140917336568</v>
      </c>
      <c r="AG697" s="316">
        <f t="shared" si="182"/>
        <v>0.92054794520547945</v>
      </c>
      <c r="AH697" s="314">
        <v>1</v>
      </c>
      <c r="AI697" s="314">
        <f t="shared" si="183"/>
        <v>-70348.140917336568</v>
      </c>
      <c r="AJ697" s="314">
        <f t="shared" si="184"/>
        <v>0</v>
      </c>
      <c r="AK697" s="317"/>
      <c r="AL697" s="315">
        <f t="shared" si="185"/>
        <v>-1062.8552416540333</v>
      </c>
      <c r="AN697" s="554">
        <f t="shared" si="186"/>
        <v>-4.5337735393530325E-4</v>
      </c>
      <c r="AO697" s="314"/>
      <c r="AP697" s="318"/>
    </row>
    <row r="698" spans="2:42">
      <c r="B698" s="296" t="s">
        <v>1246</v>
      </c>
      <c r="C698" s="299" t="s">
        <v>277</v>
      </c>
      <c r="D698" s="298" t="s">
        <v>901</v>
      </c>
      <c r="E698" s="299" t="s">
        <v>113</v>
      </c>
      <c r="F698" s="299" t="s">
        <v>60</v>
      </c>
      <c r="G698" s="300">
        <v>44012</v>
      </c>
      <c r="H698" s="303">
        <v>2383197.06</v>
      </c>
      <c r="I698" s="301" t="str">
        <f t="shared" si="170"/>
        <v>Ingresos Sección II LISR (SIC &amp; BMV)</v>
      </c>
      <c r="J698" s="302">
        <f t="shared" si="171"/>
        <v>4161</v>
      </c>
      <c r="K698" s="304">
        <f t="shared" si="172"/>
        <v>572.74622927180963</v>
      </c>
      <c r="L698" s="305">
        <f>IF(H698=0,0,IF(OR(E698=$AT$5,E698=$AT$6),AA698,IF(F698="MXN",1/HLOOKUP(YEAR(G698)+(MONTH(G698)/100),TC!$5:$37,DAY(G698)+2,FALSE),VLOOKUP(F698,Equivalencia!$5:$23,((MAX(Equivalencia!$3:$3)-YEAR(G698))*14)+MONTH(G698)+2,FALSE))))</f>
        <v>4.3532202947130144E-2</v>
      </c>
      <c r="M698" s="306">
        <f t="shared" si="173"/>
        <v>103745.8180789239</v>
      </c>
      <c r="N698" s="305">
        <f>IF(G698=0,0,(IF(OR(E698=$AT$5,E698=$AT$6),AC698,HLOOKUP(YEAR(G698)+(MONTH(G698)/100),TC!$5:$37,DAY(G698)+2,FALSE))))</f>
        <v>22.971499999999999</v>
      </c>
      <c r="O698" s="307">
        <f t="shared" si="174"/>
        <v>2383197.06</v>
      </c>
      <c r="P698" s="560">
        <f>IF(G698=0,0,VLOOKUP(YEAR(G698),INPC!$B$4:$P$30,MONTH(G698)+2))</f>
        <v>106.74299999999999</v>
      </c>
      <c r="Q698" s="560">
        <f>IF(X698=0,0,IF(OR(E698=$AT$10,E698=$AT$9),VLOOKUP(YEAR(X698),INPC!$B$4:$P$30,MONTH(X698)+1),VLOOKUP(YEAR(X698),INPC!$B$4:$P$30,MONTH(X698)+2,0)))</f>
        <v>118.002</v>
      </c>
      <c r="R698" s="309">
        <f t="shared" si="175"/>
        <v>1.1053999999999999</v>
      </c>
      <c r="S698" s="310">
        <f t="shared" si="176"/>
        <v>2634386.0301239998</v>
      </c>
      <c r="T698" s="555">
        <f t="shared" si="177"/>
        <v>633.11368183705838</v>
      </c>
      <c r="U698" s="311"/>
      <c r="V698" s="312">
        <v>4161</v>
      </c>
      <c r="W698" s="299" t="s">
        <v>194</v>
      </c>
      <c r="X698" s="300">
        <v>44601</v>
      </c>
      <c r="Y698" s="299" t="s">
        <v>60</v>
      </c>
      <c r="Z698" s="303">
        <v>2846387.71</v>
      </c>
      <c r="AA698" s="305">
        <f>IF(Z698=0,0,IF(Y698="MXN",1/HLOOKUP(YEAR(X698)+(MONTH(X698)/100),TC!$5:$37,DAY(X698)+2,FALSE),VLOOKUP(Y698,Equivalencia!$1:$23,((MAX(Equivalencia!$3:$3)-YEAR(X698))*14)+MONTH(X698)+2,FALSE)))</f>
        <v>4.8233449897503916E-2</v>
      </c>
      <c r="AB698" s="306">
        <f t="shared" si="178"/>
        <v>137291.09899915592</v>
      </c>
      <c r="AC698" s="305">
        <f>+IF(X698=0,0,HLOOKUP(YEAR(X698)+(MONTH(X698)/100),TC!$5:$37,DAY(X698)+2,FALSE))</f>
        <v>20.732500000000002</v>
      </c>
      <c r="AD698" s="307">
        <f t="shared" si="179"/>
        <v>2846387.7100000004</v>
      </c>
      <c r="AE698" s="314">
        <f t="shared" si="180"/>
        <v>2634386.0301239998</v>
      </c>
      <c r="AF698" s="315">
        <f t="shared" si="181"/>
        <v>212001.67987600062</v>
      </c>
      <c r="AG698" s="316">
        <f t="shared" si="182"/>
        <v>1.6136986301369862</v>
      </c>
      <c r="AH698" s="314">
        <v>1</v>
      </c>
      <c r="AI698" s="314">
        <f t="shared" si="183"/>
        <v>212001.67987600062</v>
      </c>
      <c r="AJ698" s="314">
        <f t="shared" si="184"/>
        <v>0</v>
      </c>
      <c r="AK698" s="317"/>
      <c r="AL698" s="315">
        <f t="shared" si="185"/>
        <v>33545.28092023202</v>
      </c>
      <c r="AN698" s="554">
        <f t="shared" si="186"/>
        <v>1.4075747861249887E-2</v>
      </c>
      <c r="AO698" s="314"/>
      <c r="AP698" s="318"/>
    </row>
    <row r="699" spans="2:42">
      <c r="B699" s="296" t="s">
        <v>1246</v>
      </c>
      <c r="C699" s="299" t="s">
        <v>277</v>
      </c>
      <c r="D699" s="298" t="s">
        <v>705</v>
      </c>
      <c r="E699" s="299" t="s">
        <v>113</v>
      </c>
      <c r="F699" s="299" t="s">
        <v>60</v>
      </c>
      <c r="G699" s="300">
        <v>43649</v>
      </c>
      <c r="H699" s="303">
        <v>9138950.4919166341</v>
      </c>
      <c r="I699" s="301" t="str">
        <f t="shared" si="170"/>
        <v>Ingresos Sección II LISR (SIC &amp; BMV)</v>
      </c>
      <c r="J699" s="302">
        <f t="shared" si="171"/>
        <v>1610</v>
      </c>
      <c r="K699" s="304">
        <f t="shared" si="172"/>
        <v>5676.3667651656115</v>
      </c>
      <c r="L699" s="305">
        <f>IF(H699=0,0,IF(OR(E699=$AT$5,E699=$AT$6),AA699,IF(F699="MXN",1/HLOOKUP(YEAR(G699)+(MONTH(G699)/100),TC!$5:$37,DAY(G699)+2,FALSE),VLOOKUP(F699,Equivalencia!$5:$23,((MAX(Equivalencia!$3:$3)-YEAR(G699))*14)+MONTH(G699)+2,FALSE))))</f>
        <v>5.2421891381841057E-2</v>
      </c>
      <c r="M699" s="306">
        <f t="shared" si="173"/>
        <v>479081.07003127667</v>
      </c>
      <c r="N699" s="305">
        <f>IF(G699=0,0,(IF(OR(E699=$AT$5,E699=$AT$6),AC699,HLOOKUP(YEAR(G699)+(MONTH(G699)/100),TC!$5:$37,DAY(G699)+2,FALSE))))</f>
        <v>19.076000000000001</v>
      </c>
      <c r="O699" s="307">
        <f t="shared" si="174"/>
        <v>9138950.4919166341</v>
      </c>
      <c r="P699" s="560">
        <f>IF(G699=0,0,VLOOKUP(YEAR(G699),INPC!$B$4:$P$30,MONTH(G699)+2))</f>
        <v>103.687</v>
      </c>
      <c r="Q699" s="560">
        <f>IF(X699=0,0,IF(OR(E699=$AT$10,E699=$AT$9),VLOOKUP(YEAR(X699),INPC!$B$4:$P$30,MONTH(X699)+1),VLOOKUP(YEAR(X699),INPC!$B$4:$P$30,MONTH(X699)+2,0)))</f>
        <v>118.002</v>
      </c>
      <c r="R699" s="309">
        <f t="shared" si="175"/>
        <v>1.1379999999999999</v>
      </c>
      <c r="S699" s="310">
        <f t="shared" si="176"/>
        <v>10400125.659801129</v>
      </c>
      <c r="T699" s="555">
        <f t="shared" si="177"/>
        <v>6459.7053787584655</v>
      </c>
      <c r="U699" s="311"/>
      <c r="V699" s="312">
        <v>1610</v>
      </c>
      <c r="W699" s="299" t="s">
        <v>194</v>
      </c>
      <c r="X699" s="300">
        <v>44601</v>
      </c>
      <c r="Y699" s="299" t="s">
        <v>60</v>
      </c>
      <c r="Z699" s="303">
        <v>15034619.740000002</v>
      </c>
      <c r="AA699" s="305">
        <f>IF(Z699=0,0,IF(Y699="MXN",1/HLOOKUP(YEAR(X699)+(MONTH(X699)/100),TC!$5:$37,DAY(X699)+2,FALSE),VLOOKUP(Y699,Equivalencia!$1:$23,((MAX(Equivalencia!$3:$3)-YEAR(X699))*14)+MONTH(X699)+2,FALSE)))</f>
        <v>4.8233449897503916E-2</v>
      </c>
      <c r="AB699" s="306">
        <f t="shared" si="178"/>
        <v>725171.57795731351</v>
      </c>
      <c r="AC699" s="305">
        <f>+IF(X699=0,0,HLOOKUP(YEAR(X699)+(MONTH(X699)/100),TC!$5:$37,DAY(X699)+2,FALSE))</f>
        <v>20.732500000000002</v>
      </c>
      <c r="AD699" s="307">
        <f t="shared" si="179"/>
        <v>15034619.740000004</v>
      </c>
      <c r="AE699" s="314">
        <f t="shared" si="180"/>
        <v>10400125.659801129</v>
      </c>
      <c r="AF699" s="315">
        <f t="shared" si="181"/>
        <v>4634494.0801988747</v>
      </c>
      <c r="AG699" s="316">
        <f t="shared" si="182"/>
        <v>2.6082191780821917</v>
      </c>
      <c r="AH699" s="314">
        <v>1</v>
      </c>
      <c r="AI699" s="314">
        <f t="shared" si="183"/>
        <v>4634494.0801988747</v>
      </c>
      <c r="AJ699" s="314">
        <f t="shared" si="184"/>
        <v>0</v>
      </c>
      <c r="AK699" s="317"/>
      <c r="AL699" s="315">
        <f t="shared" si="185"/>
        <v>246090.50792603684</v>
      </c>
      <c r="AN699" s="554">
        <f t="shared" si="186"/>
        <v>2.6927655220772114E-2</v>
      </c>
      <c r="AO699" s="314"/>
      <c r="AP699" s="318"/>
    </row>
    <row r="700" spans="2:42">
      <c r="B700" s="296" t="s">
        <v>1246</v>
      </c>
      <c r="C700" s="299" t="s">
        <v>277</v>
      </c>
      <c r="D700" s="298" t="s">
        <v>705</v>
      </c>
      <c r="E700" s="299" t="s">
        <v>113</v>
      </c>
      <c r="F700" s="299" t="s">
        <v>60</v>
      </c>
      <c r="G700" s="300">
        <v>43649</v>
      </c>
      <c r="H700" s="303">
        <v>2009433.8348686264</v>
      </c>
      <c r="I700" s="301" t="str">
        <f t="shared" ref="I700:I763" si="187">IF(D700=0,0,IF(OR(E700=$AT$9,E700=$AT$10),"Ingresos Sección II LISR (SIC &amp; BMV)","Ingresos Sección I LISR"))</f>
        <v>Ingresos Sección II LISR (SIC &amp; BMV)</v>
      </c>
      <c r="J700" s="302">
        <f t="shared" ref="J700:J763" si="188">+V700</f>
        <v>354</v>
      </c>
      <c r="K700" s="304">
        <f t="shared" ref="K700:K763" si="189">IF(H700=0,0,H700/J700)</f>
        <v>5676.3667651656115</v>
      </c>
      <c r="L700" s="305">
        <f>IF(H700=0,0,IF(OR(E700=$AT$5,E700=$AT$6),AA700,IF(F700="MXN",1/HLOOKUP(YEAR(G700)+(MONTH(G700)/100),TC!$5:$37,DAY(G700)+2,FALSE),VLOOKUP(F700,Equivalencia!$5:$23,((MAX(Equivalencia!$3:$3)-YEAR(G700))*14)+MONTH(G700)+2,FALSE))))</f>
        <v>5.2421891381841057E-2</v>
      </c>
      <c r="M700" s="306">
        <f t="shared" ref="M700:M763" si="190">+H700*L700</f>
        <v>105338.32223047948</v>
      </c>
      <c r="N700" s="305">
        <f>IF(G700=0,0,(IF(OR(E700=$AT$5,E700=$AT$6),AC700,HLOOKUP(YEAR(G700)+(MONTH(G700)/100),TC!$5:$37,DAY(G700)+2,FALSE))))</f>
        <v>19.076000000000001</v>
      </c>
      <c r="O700" s="307">
        <f t="shared" ref="O700:O763" si="191">+M700*N700</f>
        <v>2009433.8348686264</v>
      </c>
      <c r="P700" s="560">
        <f>IF(G700=0,0,VLOOKUP(YEAR(G700),INPC!$B$4:$P$30,MONTH(G700)+2))</f>
        <v>103.687</v>
      </c>
      <c r="Q700" s="560">
        <f>IF(X700=0,0,IF(OR(E700=$AT$10,E700=$AT$9),VLOOKUP(YEAR(X700),INPC!$B$4:$P$30,MONTH(X700)+1),VLOOKUP(YEAR(X700),INPC!$B$4:$P$30,MONTH(X700)+2,0)))</f>
        <v>118.98099999999999</v>
      </c>
      <c r="R700" s="309">
        <f t="shared" ref="R700:R763" si="192">IF(H700=0,0,IF(OR(E700=$AT$5,E700=$AT$6),1,IF(TRUNC(Q700/P700,4)&gt;=1,TRUNC(Q700/P700,4),1)))</f>
        <v>1.1475</v>
      </c>
      <c r="S700" s="310">
        <f t="shared" ref="S700:S763" si="193">+R700*O700</f>
        <v>2305825.3255117489</v>
      </c>
      <c r="T700" s="555">
        <f t="shared" ref="T700:T763" si="194">IF(V700=0,0,S700/V700)</f>
        <v>6513.6308630275389</v>
      </c>
      <c r="U700" s="311"/>
      <c r="V700" s="312">
        <v>354</v>
      </c>
      <c r="W700" s="299" t="s">
        <v>194</v>
      </c>
      <c r="X700" s="300">
        <v>44635</v>
      </c>
      <c r="Y700" s="299" t="s">
        <v>60</v>
      </c>
      <c r="Z700" s="303">
        <v>3118054.35</v>
      </c>
      <c r="AA700" s="305">
        <f>IF(Z700=0,0,IF(Y700="MXN",1/HLOOKUP(YEAR(X700)+(MONTH(X700)/100),TC!$5:$37,DAY(X700)+2,FALSE),VLOOKUP(Y700,Equivalencia!$1:$23,((MAX(Equivalencia!$3:$3)-YEAR(X700))*14)+MONTH(X700)+2,FALSE)))</f>
        <v>4.7688309210996926E-2</v>
      </c>
      <c r="AB700" s="306">
        <f t="shared" ref="AB700:AB763" si="195">+AA700*Z700</f>
        <v>148694.73997949404</v>
      </c>
      <c r="AC700" s="305">
        <f>+IF(X700=0,0,HLOOKUP(YEAR(X700)+(MONTH(X700)/100),TC!$5:$37,DAY(X700)+2,FALSE))</f>
        <v>20.9695</v>
      </c>
      <c r="AD700" s="307">
        <f t="shared" ref="AD700:AD763" si="196">+AC700*AB700</f>
        <v>3118054.3500000006</v>
      </c>
      <c r="AE700" s="314">
        <f t="shared" ref="AE700:AE763" si="197">+V700*T700</f>
        <v>2305825.3255117489</v>
      </c>
      <c r="AF700" s="315">
        <f t="shared" ref="AF700:AF763" si="198">IF(E700=$AT$11,0,AD700-AE700)</f>
        <v>812229.02448825166</v>
      </c>
      <c r="AG700" s="316">
        <f t="shared" ref="AG700:AG763" si="199">+IF(AND(AF700&lt;0,OR(E700=$AT$5,E700=$AT$6)),1,((X700-G700)/365))</f>
        <v>2.7013698630136984</v>
      </c>
      <c r="AH700" s="314">
        <v>1</v>
      </c>
      <c r="AI700" s="314">
        <f t="shared" ref="AI700:AI763" si="200">+IF(OR(E700=$AT$9,E700=$AT$10),AF700,+AF700/AH700)</f>
        <v>812229.02448825166</v>
      </c>
      <c r="AJ700" s="314">
        <f t="shared" ref="AJ700:AJ763" si="201">+AF700-AI700</f>
        <v>0</v>
      </c>
      <c r="AK700" s="317"/>
      <c r="AL700" s="315">
        <f t="shared" ref="AL700:AL763" si="202">+AB700-M700</f>
        <v>43356.417749014567</v>
      </c>
      <c r="AN700" s="554">
        <f t="shared" ref="AN700:AN763" si="203">IF(AL700=0,0,AL700/H700)</f>
        <v>2.1576434613906629E-2</v>
      </c>
      <c r="AO700" s="314"/>
      <c r="AP700" s="318"/>
    </row>
    <row r="701" spans="2:42">
      <c r="B701" s="296" t="s">
        <v>1246</v>
      </c>
      <c r="C701" s="299" t="s">
        <v>277</v>
      </c>
      <c r="D701" s="298" t="s">
        <v>902</v>
      </c>
      <c r="E701" s="299" t="s">
        <v>113</v>
      </c>
      <c r="F701" s="299" t="s">
        <v>60</v>
      </c>
      <c r="G701" s="300">
        <v>43649</v>
      </c>
      <c r="H701" s="303">
        <v>1358644.6728331277</v>
      </c>
      <c r="I701" s="301" t="str">
        <f t="shared" si="187"/>
        <v>Ingresos Sección II LISR (SIC &amp; BMV)</v>
      </c>
      <c r="J701" s="302">
        <f t="shared" si="188"/>
        <v>1283</v>
      </c>
      <c r="K701" s="304">
        <f t="shared" si="189"/>
        <v>1058.9592149907464</v>
      </c>
      <c r="L701" s="305">
        <f>IF(H701=0,0,IF(OR(E701=$AT$5,E701=$AT$6),AA701,IF(F701="MXN",1/HLOOKUP(YEAR(G701)+(MONTH(G701)/100),TC!$5:$37,DAY(G701)+2,FALSE),VLOOKUP(F701,Equivalencia!$5:$23,((MAX(Equivalencia!$3:$3)-YEAR(G701))*14)+MONTH(G701)+2,FALSE))))</f>
        <v>5.2421891381841057E-2</v>
      </c>
      <c r="M701" s="306">
        <f t="shared" si="190"/>
        <v>71222.723465775198</v>
      </c>
      <c r="N701" s="305">
        <f>IF(G701=0,0,(IF(OR(E701=$AT$5,E701=$AT$6),AC701,HLOOKUP(YEAR(G701)+(MONTH(G701)/100),TC!$5:$37,DAY(G701)+2,FALSE))))</f>
        <v>19.076000000000001</v>
      </c>
      <c r="O701" s="307">
        <f t="shared" si="191"/>
        <v>1358644.6728331277</v>
      </c>
      <c r="P701" s="560">
        <f>IF(G701=0,0,VLOOKUP(YEAR(G701),INPC!$B$4:$P$30,MONTH(G701)+2))</f>
        <v>103.687</v>
      </c>
      <c r="Q701" s="560">
        <f>IF(X701=0,0,IF(OR(E701=$AT$10,E701=$AT$9),VLOOKUP(YEAR(X701),INPC!$B$4:$P$30,MONTH(X701)+1),VLOOKUP(YEAR(X701),INPC!$B$4:$P$30,MONTH(X701)+2,0)))</f>
        <v>118.002</v>
      </c>
      <c r="R701" s="309">
        <f t="shared" si="192"/>
        <v>1.1379999999999999</v>
      </c>
      <c r="S701" s="310">
        <f t="shared" si="193"/>
        <v>1546137.6376840991</v>
      </c>
      <c r="T701" s="555">
        <f t="shared" si="194"/>
        <v>1205.0955866594693</v>
      </c>
      <c r="U701" s="311"/>
      <c r="V701" s="312">
        <v>1283</v>
      </c>
      <c r="W701" s="299" t="s">
        <v>194</v>
      </c>
      <c r="X701" s="300">
        <v>44601</v>
      </c>
      <c r="Y701" s="299" t="s">
        <v>60</v>
      </c>
      <c r="Z701" s="303">
        <v>1763834.85</v>
      </c>
      <c r="AA701" s="305">
        <f>IF(Z701=0,0,IF(Y701="MXN",1/HLOOKUP(YEAR(X701)+(MONTH(X701)/100),TC!$5:$37,DAY(X701)+2,FALSE),VLOOKUP(Y701,Equivalencia!$1:$23,((MAX(Equivalencia!$3:$3)-YEAR(X701))*14)+MONTH(X701)+2,FALSE)))</f>
        <v>4.8233449897503916E-2</v>
      </c>
      <c r="AB701" s="306">
        <f t="shared" si="195"/>
        <v>85075.839864946334</v>
      </c>
      <c r="AC701" s="305">
        <f>+IF(X701=0,0,HLOOKUP(YEAR(X701)+(MONTH(X701)/100),TC!$5:$37,DAY(X701)+2,FALSE))</f>
        <v>20.732500000000002</v>
      </c>
      <c r="AD701" s="307">
        <f t="shared" si="196"/>
        <v>1763834.85</v>
      </c>
      <c r="AE701" s="314">
        <f t="shared" si="197"/>
        <v>1546137.6376840991</v>
      </c>
      <c r="AF701" s="315">
        <f t="shared" si="198"/>
        <v>217697.21231590095</v>
      </c>
      <c r="AG701" s="316">
        <f t="shared" si="199"/>
        <v>2.6082191780821917</v>
      </c>
      <c r="AH701" s="314">
        <v>1</v>
      </c>
      <c r="AI701" s="314">
        <f t="shared" si="200"/>
        <v>217697.21231590095</v>
      </c>
      <c r="AJ701" s="314">
        <f t="shared" si="201"/>
        <v>0</v>
      </c>
      <c r="AK701" s="317"/>
      <c r="AL701" s="315">
        <f t="shared" si="202"/>
        <v>13853.116399171136</v>
      </c>
      <c r="AN701" s="554">
        <f t="shared" si="203"/>
        <v>1.0196276242178746E-2</v>
      </c>
      <c r="AO701" s="314"/>
      <c r="AP701" s="318"/>
    </row>
    <row r="702" spans="2:42">
      <c r="B702" s="296" t="s">
        <v>1246</v>
      </c>
      <c r="C702" s="299" t="s">
        <v>277</v>
      </c>
      <c r="D702" s="298" t="s">
        <v>902</v>
      </c>
      <c r="E702" s="299" t="s">
        <v>113</v>
      </c>
      <c r="F702" s="299" t="s">
        <v>60</v>
      </c>
      <c r="G702" s="300">
        <v>43649</v>
      </c>
      <c r="H702" s="303">
        <v>6355873.2083744602</v>
      </c>
      <c r="I702" s="301" t="str">
        <f t="shared" si="187"/>
        <v>Ingresos Sección II LISR (SIC &amp; BMV)</v>
      </c>
      <c r="J702" s="302">
        <f t="shared" si="188"/>
        <v>6002</v>
      </c>
      <c r="K702" s="304">
        <f t="shared" si="189"/>
        <v>1058.9592149907464</v>
      </c>
      <c r="L702" s="305">
        <f>IF(H702=0,0,IF(OR(E702=$AT$5,E702=$AT$6),AA702,IF(F702="MXN",1/HLOOKUP(YEAR(G702)+(MONTH(G702)/100),TC!$5:$37,DAY(G702)+2,FALSE),VLOOKUP(F702,Equivalencia!$5:$23,((MAX(Equivalencia!$3:$3)-YEAR(G702))*14)+MONTH(G702)+2,FALSE))))</f>
        <v>5.2421891381841057E-2</v>
      </c>
      <c r="M702" s="306">
        <f t="shared" si="190"/>
        <v>333186.8949661596</v>
      </c>
      <c r="N702" s="305">
        <f>IF(G702=0,0,(IF(OR(E702=$AT$5,E702=$AT$6),AC702,HLOOKUP(YEAR(G702)+(MONTH(G702)/100),TC!$5:$37,DAY(G702)+2,FALSE))))</f>
        <v>19.076000000000001</v>
      </c>
      <c r="O702" s="307">
        <f t="shared" si="191"/>
        <v>6355873.2083744602</v>
      </c>
      <c r="P702" s="560">
        <f>IF(G702=0,0,VLOOKUP(YEAR(G702),INPC!$B$4:$P$30,MONTH(G702)+2))</f>
        <v>103.687</v>
      </c>
      <c r="Q702" s="560">
        <f>IF(X702=0,0,IF(OR(E702=$AT$10,E702=$AT$9),VLOOKUP(YEAR(X702),INPC!$B$4:$P$30,MONTH(X702)+1),VLOOKUP(YEAR(X702),INPC!$B$4:$P$30,MONTH(X702)+2,0)))</f>
        <v>118.98099999999999</v>
      </c>
      <c r="R702" s="309">
        <f t="shared" si="192"/>
        <v>1.1475</v>
      </c>
      <c r="S702" s="310">
        <f t="shared" si="193"/>
        <v>7293364.5066096932</v>
      </c>
      <c r="T702" s="555">
        <f t="shared" si="194"/>
        <v>1215.1556992018816</v>
      </c>
      <c r="U702" s="311"/>
      <c r="V702" s="312">
        <v>6002</v>
      </c>
      <c r="W702" s="299" t="s">
        <v>194</v>
      </c>
      <c r="X702" s="300">
        <v>44635</v>
      </c>
      <c r="Y702" s="299" t="s">
        <v>60</v>
      </c>
      <c r="Z702" s="303">
        <v>7413032.21</v>
      </c>
      <c r="AA702" s="305">
        <f>IF(Z702=0,0,IF(Y702="MXN",1/HLOOKUP(YEAR(X702)+(MONTH(X702)/100),TC!$5:$37,DAY(X702)+2,FALSE),VLOOKUP(Y702,Equivalencia!$1:$23,((MAX(Equivalencia!$3:$3)-YEAR(X702))*14)+MONTH(X702)+2,FALSE)))</f>
        <v>4.7688309210996926E-2</v>
      </c>
      <c r="AB702" s="306">
        <f t="shared" si="195"/>
        <v>353514.9722215599</v>
      </c>
      <c r="AC702" s="305">
        <f>+IF(X702=0,0,HLOOKUP(YEAR(X702)+(MONTH(X702)/100),TC!$5:$37,DAY(X702)+2,FALSE))</f>
        <v>20.9695</v>
      </c>
      <c r="AD702" s="307">
        <f t="shared" si="196"/>
        <v>7413032.21</v>
      </c>
      <c r="AE702" s="314">
        <f t="shared" si="197"/>
        <v>7293364.5066096932</v>
      </c>
      <c r="AF702" s="315">
        <f t="shared" si="198"/>
        <v>119667.70339030679</v>
      </c>
      <c r="AG702" s="316">
        <f t="shared" si="199"/>
        <v>2.7013698630136984</v>
      </c>
      <c r="AH702" s="314">
        <v>1</v>
      </c>
      <c r="AI702" s="314">
        <f t="shared" si="200"/>
        <v>119667.70339030679</v>
      </c>
      <c r="AJ702" s="314">
        <f t="shared" si="201"/>
        <v>0</v>
      </c>
      <c r="AK702" s="317"/>
      <c r="AL702" s="315">
        <f t="shared" si="202"/>
        <v>20328.077255400305</v>
      </c>
      <c r="AN702" s="554">
        <f t="shared" si="203"/>
        <v>3.1983138412226587E-3</v>
      </c>
      <c r="AO702" s="314"/>
      <c r="AP702" s="318"/>
    </row>
    <row r="703" spans="2:42">
      <c r="B703" s="296" t="s">
        <v>1246</v>
      </c>
      <c r="C703" s="299" t="s">
        <v>277</v>
      </c>
      <c r="D703" s="298" t="s">
        <v>903</v>
      </c>
      <c r="E703" s="299" t="s">
        <v>113</v>
      </c>
      <c r="F703" s="299" t="s">
        <v>60</v>
      </c>
      <c r="G703" s="300">
        <v>44237</v>
      </c>
      <c r="H703" s="303">
        <v>4803804.8440579707</v>
      </c>
      <c r="I703" s="301" t="str">
        <f t="shared" si="187"/>
        <v>Ingresos Sección II LISR (SIC &amp; BMV)</v>
      </c>
      <c r="J703" s="302">
        <f t="shared" si="188"/>
        <v>3074</v>
      </c>
      <c r="K703" s="304">
        <f t="shared" si="189"/>
        <v>1562.7211594202897</v>
      </c>
      <c r="L703" s="305">
        <f>IF(H703=0,0,IF(OR(E703=$AT$5,E703=$AT$6),AA703,IF(F703="MXN",1/HLOOKUP(YEAR(G703)+(MONTH(G703)/100),TC!$5:$37,DAY(G703)+2,FALSE),VLOOKUP(F703,Equivalencia!$5:$23,((MAX(Equivalencia!$3:$3)-YEAR(G703))*14)+MONTH(G703)+2,FALSE))))</f>
        <v>4.9695120436124382E-2</v>
      </c>
      <c r="M703" s="306">
        <f t="shared" si="190"/>
        <v>238725.66027709856</v>
      </c>
      <c r="N703" s="305">
        <f>IF(G703=0,0,(IF(OR(E703=$AT$5,E703=$AT$6),AC703,HLOOKUP(YEAR(G703)+(MONTH(G703)/100),TC!$5:$37,DAY(G703)+2,FALSE))))</f>
        <v>20.122699999999998</v>
      </c>
      <c r="O703" s="307">
        <f t="shared" si="191"/>
        <v>4803804.8440579707</v>
      </c>
      <c r="P703" s="560">
        <f>IF(G703=0,0,VLOOKUP(YEAR(G703),INPC!$B$4:$P$30,MONTH(G703)+2))</f>
        <v>110.907</v>
      </c>
      <c r="Q703" s="560">
        <f>IF(X703=0,0,IF(OR(E703=$AT$10,E703=$AT$9),VLOOKUP(YEAR(X703),INPC!$B$4:$P$30,MONTH(X703)+1),VLOOKUP(YEAR(X703),INPC!$B$4:$P$30,MONTH(X703)+2,0)))</f>
        <v>118.002</v>
      </c>
      <c r="R703" s="309">
        <f t="shared" si="192"/>
        <v>1.0639000000000001</v>
      </c>
      <c r="S703" s="310">
        <f t="shared" si="193"/>
        <v>5110767.9735932751</v>
      </c>
      <c r="T703" s="555">
        <f t="shared" si="194"/>
        <v>1662.5790415072463</v>
      </c>
      <c r="U703" s="311"/>
      <c r="V703" s="312">
        <v>3074</v>
      </c>
      <c r="W703" s="299" t="s">
        <v>194</v>
      </c>
      <c r="X703" s="300">
        <v>44601</v>
      </c>
      <c r="Y703" s="299" t="s">
        <v>60</v>
      </c>
      <c r="Z703" s="303">
        <v>5371487.9308666326</v>
      </c>
      <c r="AA703" s="305">
        <f>IF(Z703=0,0,IF(Y703="MXN",1/HLOOKUP(YEAR(X703)+(MONTH(X703)/100),TC!$5:$37,DAY(X703)+2,FALSE),VLOOKUP(Y703,Equivalencia!$1:$23,((MAX(Equivalencia!$3:$3)-YEAR(X703))*14)+MONTH(X703)+2,FALSE)))</f>
        <v>4.8233449897503916E-2</v>
      </c>
      <c r="AB703" s="306">
        <f t="shared" si="195"/>
        <v>259085.39398850271</v>
      </c>
      <c r="AC703" s="305">
        <f>+IF(X703=0,0,HLOOKUP(YEAR(X703)+(MONTH(X703)/100),TC!$5:$37,DAY(X703)+2,FALSE))</f>
        <v>20.732500000000002</v>
      </c>
      <c r="AD703" s="307">
        <f t="shared" si="196"/>
        <v>5371487.9308666326</v>
      </c>
      <c r="AE703" s="314">
        <f t="shared" si="197"/>
        <v>5110767.9735932751</v>
      </c>
      <c r="AF703" s="315">
        <f t="shared" si="198"/>
        <v>260719.95727335755</v>
      </c>
      <c r="AG703" s="316">
        <f t="shared" si="199"/>
        <v>0.99726027397260275</v>
      </c>
      <c r="AH703" s="314">
        <v>1</v>
      </c>
      <c r="AI703" s="314">
        <f t="shared" si="200"/>
        <v>260719.95727335755</v>
      </c>
      <c r="AJ703" s="314">
        <f t="shared" si="201"/>
        <v>0</v>
      </c>
      <c r="AK703" s="317"/>
      <c r="AL703" s="315">
        <f t="shared" si="202"/>
        <v>20359.733711404144</v>
      </c>
      <c r="AN703" s="554">
        <f t="shared" si="203"/>
        <v>4.2382516301818461E-3</v>
      </c>
      <c r="AO703" s="314"/>
      <c r="AP703" s="318"/>
    </row>
    <row r="704" spans="2:42">
      <c r="B704" s="296" t="s">
        <v>1246</v>
      </c>
      <c r="C704" s="299" t="s">
        <v>277</v>
      </c>
      <c r="D704" s="298" t="s">
        <v>903</v>
      </c>
      <c r="E704" s="299" t="s">
        <v>113</v>
      </c>
      <c r="F704" s="299" t="s">
        <v>60</v>
      </c>
      <c r="G704" s="300">
        <v>44245</v>
      </c>
      <c r="H704" s="303">
        <v>969623.61</v>
      </c>
      <c r="I704" s="301" t="str">
        <f t="shared" si="187"/>
        <v>Ingresos Sección II LISR (SIC &amp; BMV)</v>
      </c>
      <c r="J704" s="302">
        <f t="shared" si="188"/>
        <v>611</v>
      </c>
      <c r="K704" s="304">
        <f t="shared" si="189"/>
        <v>1586.9453518821604</v>
      </c>
      <c r="L704" s="305">
        <f>IF(H704=0,0,IF(OR(E704=$AT$5,E704=$AT$6),AA704,IF(F704="MXN",1/HLOOKUP(YEAR(G704)+(MONTH(G704)/100),TC!$5:$37,DAY(G704)+2,FALSE),VLOOKUP(F704,Equivalencia!$5:$23,((MAX(Equivalencia!$3:$3)-YEAR(G704))*14)+MONTH(G704)+2,FALSE))))</f>
        <v>4.9499314434495081E-2</v>
      </c>
      <c r="M704" s="306">
        <f t="shared" si="190"/>
        <v>47995.703954500226</v>
      </c>
      <c r="N704" s="305">
        <f>IF(G704=0,0,(IF(OR(E704=$AT$5,E704=$AT$6),AC704,HLOOKUP(YEAR(G704)+(MONTH(G704)/100),TC!$5:$37,DAY(G704)+2,FALSE))))</f>
        <v>20.202300000000001</v>
      </c>
      <c r="O704" s="307">
        <f t="shared" si="191"/>
        <v>969623.61</v>
      </c>
      <c r="P704" s="560">
        <f>IF(G704=0,0,VLOOKUP(YEAR(G704),INPC!$B$4:$P$30,MONTH(G704)+2))</f>
        <v>110.907</v>
      </c>
      <c r="Q704" s="560">
        <f>IF(X704=0,0,IF(OR(E704=$AT$10,E704=$AT$9),VLOOKUP(YEAR(X704),INPC!$B$4:$P$30,MONTH(X704)+1),VLOOKUP(YEAR(X704),INPC!$B$4:$P$30,MONTH(X704)+2,0)))</f>
        <v>118.002</v>
      </c>
      <c r="R704" s="309">
        <f t="shared" si="192"/>
        <v>1.0639000000000001</v>
      </c>
      <c r="S704" s="310">
        <f t="shared" si="193"/>
        <v>1031582.558679</v>
      </c>
      <c r="T704" s="555">
        <f t="shared" si="194"/>
        <v>1688.3511598674304</v>
      </c>
      <c r="U704" s="311"/>
      <c r="V704" s="312">
        <v>611</v>
      </c>
      <c r="W704" s="299" t="s">
        <v>194</v>
      </c>
      <c r="X704" s="300">
        <v>44601</v>
      </c>
      <c r="Y704" s="299" t="s">
        <v>60</v>
      </c>
      <c r="Z704" s="303">
        <v>1067657.4904878049</v>
      </c>
      <c r="AA704" s="305">
        <f>IF(Z704=0,0,IF(Y704="MXN",1/HLOOKUP(YEAR(X704)+(MONTH(X704)/100),TC!$5:$37,DAY(X704)+2,FALSE),VLOOKUP(Y704,Equivalencia!$1:$23,((MAX(Equivalencia!$3:$3)-YEAR(X704))*14)+MONTH(X704)+2,FALSE)))</f>
        <v>4.8233449897503916E-2</v>
      </c>
      <c r="AB704" s="306">
        <f t="shared" si="195"/>
        <v>51496.804075138301</v>
      </c>
      <c r="AC704" s="305">
        <f>+IF(X704=0,0,HLOOKUP(YEAR(X704)+(MONTH(X704)/100),TC!$5:$37,DAY(X704)+2,FALSE))</f>
        <v>20.732500000000002</v>
      </c>
      <c r="AD704" s="307">
        <f t="shared" si="196"/>
        <v>1067657.4904878049</v>
      </c>
      <c r="AE704" s="314">
        <f t="shared" si="197"/>
        <v>1031582.558679</v>
      </c>
      <c r="AF704" s="315">
        <f t="shared" si="198"/>
        <v>36074.93180880486</v>
      </c>
      <c r="AG704" s="316">
        <f t="shared" si="199"/>
        <v>0.97534246575342465</v>
      </c>
      <c r="AH704" s="314">
        <v>1</v>
      </c>
      <c r="AI704" s="314">
        <f t="shared" si="200"/>
        <v>36074.93180880486</v>
      </c>
      <c r="AJ704" s="314">
        <f t="shared" si="201"/>
        <v>0</v>
      </c>
      <c r="AK704" s="317"/>
      <c r="AL704" s="315">
        <f t="shared" si="202"/>
        <v>3501.1001206380752</v>
      </c>
      <c r="AN704" s="554">
        <f t="shared" si="203"/>
        <v>3.6107826630150594E-3</v>
      </c>
      <c r="AO704" s="314"/>
      <c r="AP704" s="318"/>
    </row>
    <row r="705" spans="2:42">
      <c r="B705" s="296" t="s">
        <v>1246</v>
      </c>
      <c r="C705" s="299" t="s">
        <v>277</v>
      </c>
      <c r="D705" s="298" t="s">
        <v>903</v>
      </c>
      <c r="E705" s="299" t="s">
        <v>113</v>
      </c>
      <c r="F705" s="299" t="s">
        <v>60</v>
      </c>
      <c r="G705" s="300">
        <v>44321</v>
      </c>
      <c r="H705" s="303">
        <v>274605.27079123136</v>
      </c>
      <c r="I705" s="301" t="str">
        <f t="shared" si="187"/>
        <v>Ingresos Sección II LISR (SIC &amp; BMV)</v>
      </c>
      <c r="J705" s="302">
        <f t="shared" si="188"/>
        <v>169</v>
      </c>
      <c r="K705" s="304">
        <f t="shared" si="189"/>
        <v>1624.8832591197122</v>
      </c>
      <c r="L705" s="305">
        <f>IF(H705=0,0,IF(OR(E705=$AT$5,E705=$AT$6),AA705,IF(F705="MXN",1/HLOOKUP(YEAR(G705)+(MONTH(G705)/100),TC!$5:$37,DAY(G705)+2,FALSE),VLOOKUP(F705,Equivalencia!$5:$23,((MAX(Equivalencia!$3:$3)-YEAR(G705))*14)+MONTH(G705)+2,FALSE))))</f>
        <v>4.9528979405850361E-2</v>
      </c>
      <c r="M705" s="306">
        <f t="shared" si="190"/>
        <v>13600.918801756859</v>
      </c>
      <c r="N705" s="305">
        <f>IF(G705=0,0,(IF(OR(E705=$AT$5,E705=$AT$6),AC705,HLOOKUP(YEAR(G705)+(MONTH(G705)/100),TC!$5:$37,DAY(G705)+2,FALSE))))</f>
        <v>20.190200000000001</v>
      </c>
      <c r="O705" s="307">
        <f t="shared" si="191"/>
        <v>274605.27079123136</v>
      </c>
      <c r="P705" s="560">
        <f>IF(G705=0,0,VLOOKUP(YEAR(G705),INPC!$B$4:$P$30,MONTH(G705)+2))</f>
        <v>112.419</v>
      </c>
      <c r="Q705" s="560">
        <f>IF(X705=0,0,IF(OR(E705=$AT$10,E705=$AT$9),VLOOKUP(YEAR(X705),INPC!$B$4:$P$30,MONTH(X705)+1),VLOOKUP(YEAR(X705),INPC!$B$4:$P$30,MONTH(X705)+2,0)))</f>
        <v>118.002</v>
      </c>
      <c r="R705" s="309">
        <f t="shared" si="192"/>
        <v>1.0496000000000001</v>
      </c>
      <c r="S705" s="310">
        <f t="shared" si="193"/>
        <v>288225.69222247647</v>
      </c>
      <c r="T705" s="555">
        <f t="shared" si="194"/>
        <v>1705.4774687720501</v>
      </c>
      <c r="U705" s="311"/>
      <c r="V705" s="312">
        <v>169</v>
      </c>
      <c r="W705" s="299" t="s">
        <v>194</v>
      </c>
      <c r="X705" s="300">
        <v>44601</v>
      </c>
      <c r="Y705" s="299" t="s">
        <v>60</v>
      </c>
      <c r="Z705" s="303">
        <v>295309.51864556305</v>
      </c>
      <c r="AA705" s="305">
        <f>IF(Z705=0,0,IF(Y705="MXN",1/HLOOKUP(YEAR(X705)+(MONTH(X705)/100),TC!$5:$37,DAY(X705)+2,FALSE),VLOOKUP(Y705,Equivalencia!$1:$23,((MAX(Equivalencia!$3:$3)-YEAR(X705))*14)+MONTH(X705)+2,FALSE)))</f>
        <v>4.8233449897503916E-2</v>
      </c>
      <c r="AB705" s="306">
        <f t="shared" si="195"/>
        <v>14243.796871846764</v>
      </c>
      <c r="AC705" s="305">
        <f>+IF(X705=0,0,HLOOKUP(YEAR(X705)+(MONTH(X705)/100),TC!$5:$37,DAY(X705)+2,FALSE))</f>
        <v>20.732500000000002</v>
      </c>
      <c r="AD705" s="307">
        <f t="shared" si="196"/>
        <v>295309.51864556305</v>
      </c>
      <c r="AE705" s="314">
        <f t="shared" si="197"/>
        <v>288225.69222247647</v>
      </c>
      <c r="AF705" s="315">
        <f t="shared" si="198"/>
        <v>7083.8264230865752</v>
      </c>
      <c r="AG705" s="316">
        <f t="shared" si="199"/>
        <v>0.76712328767123283</v>
      </c>
      <c r="AH705" s="314">
        <v>1</v>
      </c>
      <c r="AI705" s="314">
        <f t="shared" si="200"/>
        <v>7083.8264230865752</v>
      </c>
      <c r="AJ705" s="314">
        <f t="shared" si="201"/>
        <v>0</v>
      </c>
      <c r="AK705" s="317"/>
      <c r="AL705" s="315">
        <f t="shared" si="202"/>
        <v>642.87807008990421</v>
      </c>
      <c r="AN705" s="554">
        <f t="shared" si="203"/>
        <v>2.3410988006076993E-3</v>
      </c>
      <c r="AO705" s="314"/>
      <c r="AP705" s="318"/>
    </row>
    <row r="706" spans="2:42">
      <c r="B706" s="296" t="s">
        <v>1246</v>
      </c>
      <c r="C706" s="299" t="s">
        <v>277</v>
      </c>
      <c r="D706" s="298" t="s">
        <v>903</v>
      </c>
      <c r="E706" s="299" t="s">
        <v>113</v>
      </c>
      <c r="F706" s="299" t="s">
        <v>60</v>
      </c>
      <c r="G706" s="300">
        <v>44321</v>
      </c>
      <c r="H706" s="303">
        <v>682450.96883027907</v>
      </c>
      <c r="I706" s="301" t="str">
        <f t="shared" si="187"/>
        <v>Ingresos Sección II LISR (SIC &amp; BMV)</v>
      </c>
      <c r="J706" s="302">
        <f t="shared" si="188"/>
        <v>420</v>
      </c>
      <c r="K706" s="304">
        <f t="shared" si="189"/>
        <v>1624.8832591197122</v>
      </c>
      <c r="L706" s="305">
        <f>IF(H706=0,0,IF(OR(E706=$AT$5,E706=$AT$6),AA706,IF(F706="MXN",1/HLOOKUP(YEAR(G706)+(MONTH(G706)/100),TC!$5:$37,DAY(G706)+2,FALSE),VLOOKUP(F706,Equivalencia!$5:$23,((MAX(Equivalencia!$3:$3)-YEAR(G706))*14)+MONTH(G706)+2,FALSE))))</f>
        <v>4.9528979405850361E-2</v>
      </c>
      <c r="M706" s="306">
        <f t="shared" si="190"/>
        <v>33801.099980697516</v>
      </c>
      <c r="N706" s="305">
        <f>IF(G706=0,0,(IF(OR(E706=$AT$5,E706=$AT$6),AC706,HLOOKUP(YEAR(G706)+(MONTH(G706)/100),TC!$5:$37,DAY(G706)+2,FALSE))))</f>
        <v>20.190200000000001</v>
      </c>
      <c r="O706" s="307">
        <f t="shared" si="191"/>
        <v>682450.96883027896</v>
      </c>
      <c r="P706" s="560">
        <f>IF(G706=0,0,VLOOKUP(YEAR(G706),INPC!$B$4:$P$30,MONTH(G706)+2))</f>
        <v>112.419</v>
      </c>
      <c r="Q706" s="560">
        <f>IF(X706=0,0,IF(OR(E706=$AT$10,E706=$AT$9),VLOOKUP(YEAR(X706),INPC!$B$4:$P$30,MONTH(X706)+1),VLOOKUP(YEAR(X706),INPC!$B$4:$P$30,MONTH(X706)+2,0)))</f>
        <v>118.98099999999999</v>
      </c>
      <c r="R706" s="309">
        <f t="shared" si="192"/>
        <v>1.0583</v>
      </c>
      <c r="S706" s="310">
        <f t="shared" si="193"/>
        <v>722237.86031308421</v>
      </c>
      <c r="T706" s="555">
        <f t="shared" si="194"/>
        <v>1719.6139531263909</v>
      </c>
      <c r="U706" s="311"/>
      <c r="V706" s="312">
        <v>420</v>
      </c>
      <c r="W706" s="299" t="s">
        <v>194</v>
      </c>
      <c r="X706" s="300">
        <v>44635</v>
      </c>
      <c r="Y706" s="299" t="s">
        <v>60</v>
      </c>
      <c r="Z706" s="303">
        <v>729175.04000000004</v>
      </c>
      <c r="AA706" s="305">
        <f>IF(Z706=0,0,IF(Y706="MXN",1/HLOOKUP(YEAR(X706)+(MONTH(X706)/100),TC!$5:$37,DAY(X706)+2,FALSE),VLOOKUP(Y706,Equivalencia!$1:$23,((MAX(Equivalencia!$3:$3)-YEAR(X706))*14)+MONTH(X706)+2,FALSE)))</f>
        <v>4.7688309210996926E-2</v>
      </c>
      <c r="AB706" s="306">
        <f t="shared" si="195"/>
        <v>34773.124776461053</v>
      </c>
      <c r="AC706" s="305">
        <f>+IF(X706=0,0,HLOOKUP(YEAR(X706)+(MONTH(X706)/100),TC!$5:$37,DAY(X706)+2,FALSE))</f>
        <v>20.9695</v>
      </c>
      <c r="AD706" s="307">
        <f t="shared" si="196"/>
        <v>729175.04000000004</v>
      </c>
      <c r="AE706" s="314">
        <f t="shared" si="197"/>
        <v>722237.86031308421</v>
      </c>
      <c r="AF706" s="315">
        <f t="shared" si="198"/>
        <v>6937.1796869158279</v>
      </c>
      <c r="AG706" s="316">
        <f t="shared" si="199"/>
        <v>0.86027397260273974</v>
      </c>
      <c r="AH706" s="314">
        <v>1</v>
      </c>
      <c r="AI706" s="314">
        <f t="shared" si="200"/>
        <v>6937.1796869158279</v>
      </c>
      <c r="AJ706" s="314">
        <f t="shared" si="201"/>
        <v>0</v>
      </c>
      <c r="AK706" s="317"/>
      <c r="AL706" s="315">
        <f t="shared" si="202"/>
        <v>972.02479576353653</v>
      </c>
      <c r="AN706" s="554">
        <f t="shared" si="203"/>
        <v>1.4243144784885967E-3</v>
      </c>
      <c r="AO706" s="314"/>
      <c r="AP706" s="318"/>
    </row>
    <row r="707" spans="2:42">
      <c r="B707" s="296" t="s">
        <v>1246</v>
      </c>
      <c r="C707" s="299" t="s">
        <v>277</v>
      </c>
      <c r="D707" s="298" t="s">
        <v>701</v>
      </c>
      <c r="E707" s="299" t="s">
        <v>113</v>
      </c>
      <c r="F707" s="299" t="s">
        <v>60</v>
      </c>
      <c r="G707" s="300">
        <v>43649</v>
      </c>
      <c r="H707" s="303">
        <v>592114.96962483402</v>
      </c>
      <c r="I707" s="301" t="str">
        <f t="shared" si="187"/>
        <v>Ingresos Sección II LISR (SIC &amp; BMV)</v>
      </c>
      <c r="J707" s="302">
        <f t="shared" si="188"/>
        <v>193</v>
      </c>
      <c r="K707" s="304">
        <f t="shared" si="189"/>
        <v>3067.9532104913678</v>
      </c>
      <c r="L707" s="305">
        <f>IF(H707=0,0,IF(OR(E707=$AT$5,E707=$AT$6),AA707,IF(F707="MXN",1/HLOOKUP(YEAR(G707)+(MONTH(G707)/100),TC!$5:$37,DAY(G707)+2,FALSE),VLOOKUP(F707,Equivalencia!$5:$23,((MAX(Equivalencia!$3:$3)-YEAR(G707))*14)+MONTH(G707)+2,FALSE))))</f>
        <v>5.2421891381841057E-2</v>
      </c>
      <c r="M707" s="306">
        <f t="shared" si="190"/>
        <v>31039.786623235166</v>
      </c>
      <c r="N707" s="305">
        <f>IF(G707=0,0,(IF(OR(E707=$AT$5,E707=$AT$6),AC707,HLOOKUP(YEAR(G707)+(MONTH(G707)/100),TC!$5:$37,DAY(G707)+2,FALSE))))</f>
        <v>19.076000000000001</v>
      </c>
      <c r="O707" s="307">
        <f t="shared" si="191"/>
        <v>592114.96962483402</v>
      </c>
      <c r="P707" s="560">
        <f>IF(G707=0,0,VLOOKUP(YEAR(G707),INPC!$B$4:$P$30,MONTH(G707)+2))</f>
        <v>103.687</v>
      </c>
      <c r="Q707" s="560">
        <f>IF(X707=0,0,IF(OR(E707=$AT$10,E707=$AT$9),VLOOKUP(YEAR(X707),INPC!$B$4:$P$30,MONTH(X707)+1),VLOOKUP(YEAR(X707),INPC!$B$4:$P$30,MONTH(X707)+2,0)))</f>
        <v>118.98099999999999</v>
      </c>
      <c r="R707" s="309">
        <f t="shared" si="192"/>
        <v>1.1475</v>
      </c>
      <c r="S707" s="310">
        <f t="shared" si="193"/>
        <v>679451.92764449702</v>
      </c>
      <c r="T707" s="555">
        <f t="shared" si="194"/>
        <v>3520.4763090388446</v>
      </c>
      <c r="U707" s="311"/>
      <c r="V707" s="312">
        <v>193</v>
      </c>
      <c r="W707" s="299" t="s">
        <v>194</v>
      </c>
      <c r="X707" s="300">
        <v>44635</v>
      </c>
      <c r="Y707" s="299" t="s">
        <v>60</v>
      </c>
      <c r="Z707" s="303">
        <v>1010536.19</v>
      </c>
      <c r="AA707" s="305">
        <f>IF(Z707=0,0,IF(Y707="MXN",1/HLOOKUP(YEAR(X707)+(MONTH(X707)/100),TC!$5:$37,DAY(X707)+2,FALSE),VLOOKUP(Y707,Equivalencia!$1:$23,((MAX(Equivalencia!$3:$3)-YEAR(X707))*14)+MONTH(X707)+2,FALSE)))</f>
        <v>4.7688309210996926E-2</v>
      </c>
      <c r="AB707" s="306">
        <f t="shared" si="195"/>
        <v>48190.762297622736</v>
      </c>
      <c r="AC707" s="305">
        <f>+IF(X707=0,0,HLOOKUP(YEAR(X707)+(MONTH(X707)/100),TC!$5:$37,DAY(X707)+2,FALSE))</f>
        <v>20.9695</v>
      </c>
      <c r="AD707" s="307">
        <f t="shared" si="196"/>
        <v>1010536.19</v>
      </c>
      <c r="AE707" s="314">
        <f t="shared" si="197"/>
        <v>679451.92764449702</v>
      </c>
      <c r="AF707" s="315">
        <f t="shared" si="198"/>
        <v>331084.26235550293</v>
      </c>
      <c r="AG707" s="316">
        <f t="shared" si="199"/>
        <v>2.7013698630136984</v>
      </c>
      <c r="AH707" s="314">
        <v>1</v>
      </c>
      <c r="AI707" s="314">
        <f t="shared" si="200"/>
        <v>331084.26235550293</v>
      </c>
      <c r="AJ707" s="314">
        <f t="shared" si="201"/>
        <v>0</v>
      </c>
      <c r="AK707" s="317"/>
      <c r="AL707" s="315">
        <f t="shared" si="202"/>
        <v>17150.97567438757</v>
      </c>
      <c r="AN707" s="554">
        <f t="shared" si="203"/>
        <v>2.8965617412534738E-2</v>
      </c>
      <c r="AO707" s="314"/>
      <c r="AP707" s="318"/>
    </row>
    <row r="708" spans="2:42">
      <c r="B708" s="296" t="s">
        <v>1246</v>
      </c>
      <c r="C708" s="299" t="s">
        <v>277</v>
      </c>
      <c r="D708" s="298" t="s">
        <v>904</v>
      </c>
      <c r="E708" s="299" t="s">
        <v>113</v>
      </c>
      <c r="F708" s="299" t="s">
        <v>60</v>
      </c>
      <c r="G708" s="300">
        <v>43871</v>
      </c>
      <c r="H708" s="303">
        <v>2879379.9304030286</v>
      </c>
      <c r="I708" s="301" t="str">
        <f t="shared" si="187"/>
        <v>Ingresos Sección II LISR (SIC &amp; BMV)</v>
      </c>
      <c r="J708" s="302">
        <f t="shared" si="188"/>
        <v>1192</v>
      </c>
      <c r="K708" s="304">
        <f t="shared" si="189"/>
        <v>2415.5871899354265</v>
      </c>
      <c r="L708" s="305">
        <f>IF(H708=0,0,IF(OR(E708=$AT$5,E708=$AT$6),AA708,IF(F708="MXN",1/HLOOKUP(YEAR(G708)+(MONTH(G708)/100),TC!$5:$37,DAY(G708)+2,FALSE),VLOOKUP(F708,Equivalencia!$5:$23,((MAX(Equivalencia!$3:$3)-YEAR(G708))*14)+MONTH(G708)+2,FALSE))))</f>
        <v>5.3577647405502422E-2</v>
      </c>
      <c r="M708" s="306">
        <f t="shared" si="190"/>
        <v>154270.40265761357</v>
      </c>
      <c r="N708" s="305">
        <f>IF(G708=0,0,(IF(OR(E708=$AT$5,E708=$AT$6),AC708,HLOOKUP(YEAR(G708)+(MONTH(G708)/100),TC!$5:$37,DAY(G708)+2,FALSE))))</f>
        <v>18.6645</v>
      </c>
      <c r="O708" s="307">
        <f t="shared" si="191"/>
        <v>2879379.9304030286</v>
      </c>
      <c r="P708" s="560">
        <f>IF(G708=0,0,VLOOKUP(YEAR(G708),INPC!$B$4:$P$30,MONTH(G708)+2))</f>
        <v>106.889</v>
      </c>
      <c r="Q708" s="560">
        <f>IF(X708=0,0,IF(OR(E708=$AT$10,E708=$AT$9),VLOOKUP(YEAR(X708),INPC!$B$4:$P$30,MONTH(X708)+1),VLOOKUP(YEAR(X708),INPC!$B$4:$P$30,MONTH(X708)+2,0)))</f>
        <v>118.98099999999999</v>
      </c>
      <c r="R708" s="309">
        <f t="shared" si="192"/>
        <v>1.1131</v>
      </c>
      <c r="S708" s="310">
        <f t="shared" si="193"/>
        <v>3205037.8005316113</v>
      </c>
      <c r="T708" s="555">
        <f t="shared" si="194"/>
        <v>2688.7901011171234</v>
      </c>
      <c r="U708" s="311"/>
      <c r="V708" s="312">
        <v>1192</v>
      </c>
      <c r="W708" s="299" t="s">
        <v>194</v>
      </c>
      <c r="X708" s="300">
        <v>44635</v>
      </c>
      <c r="Y708" s="299" t="s">
        <v>60</v>
      </c>
      <c r="Z708" s="303">
        <v>3876854.07</v>
      </c>
      <c r="AA708" s="305">
        <f>IF(Z708=0,0,IF(Y708="MXN",1/HLOOKUP(YEAR(X708)+(MONTH(X708)/100),TC!$5:$37,DAY(X708)+2,FALSE),VLOOKUP(Y708,Equivalencia!$1:$23,((MAX(Equivalencia!$3:$3)-YEAR(X708))*14)+MONTH(X708)+2,FALSE)))</f>
        <v>4.7688309210996926E-2</v>
      </c>
      <c r="AB708" s="306">
        <f t="shared" si="195"/>
        <v>184880.61565607192</v>
      </c>
      <c r="AC708" s="305">
        <f>+IF(X708=0,0,HLOOKUP(YEAR(X708)+(MONTH(X708)/100),TC!$5:$37,DAY(X708)+2,FALSE))</f>
        <v>20.9695</v>
      </c>
      <c r="AD708" s="307">
        <f t="shared" si="196"/>
        <v>3876854.0700000003</v>
      </c>
      <c r="AE708" s="314">
        <f t="shared" si="197"/>
        <v>3205037.8005316113</v>
      </c>
      <c r="AF708" s="315">
        <f t="shared" si="198"/>
        <v>671816.26946838899</v>
      </c>
      <c r="AG708" s="316">
        <f t="shared" si="199"/>
        <v>2.0931506849315067</v>
      </c>
      <c r="AH708" s="314">
        <v>1</v>
      </c>
      <c r="AI708" s="314">
        <f t="shared" si="200"/>
        <v>671816.26946838899</v>
      </c>
      <c r="AJ708" s="314">
        <f t="shared" si="201"/>
        <v>0</v>
      </c>
      <c r="AK708" s="317"/>
      <c r="AL708" s="315">
        <f t="shared" si="202"/>
        <v>30610.212998458359</v>
      </c>
      <c r="AN708" s="554">
        <f t="shared" si="203"/>
        <v>1.0630835019459842E-2</v>
      </c>
      <c r="AO708" s="314"/>
      <c r="AP708" s="318"/>
    </row>
    <row r="709" spans="2:42">
      <c r="B709" s="296" t="s">
        <v>1246</v>
      </c>
      <c r="C709" s="299" t="s">
        <v>277</v>
      </c>
      <c r="D709" s="298" t="s">
        <v>702</v>
      </c>
      <c r="E709" s="299" t="s">
        <v>113</v>
      </c>
      <c r="F709" s="299" t="s">
        <v>60</v>
      </c>
      <c r="G709" s="300">
        <v>44012</v>
      </c>
      <c r="H709" s="303">
        <v>2880727.3555289758</v>
      </c>
      <c r="I709" s="301" t="str">
        <f t="shared" si="187"/>
        <v>Ingresos Sección II LISR (SIC &amp; BMV)</v>
      </c>
      <c r="J709" s="302">
        <f t="shared" si="188"/>
        <v>1119</v>
      </c>
      <c r="K709" s="304">
        <f t="shared" si="189"/>
        <v>2574.376546495957</v>
      </c>
      <c r="L709" s="305">
        <f>IF(H709=0,0,IF(OR(E709=$AT$5,E709=$AT$6),AA709,IF(F709="MXN",1/HLOOKUP(YEAR(G709)+(MONTH(G709)/100),TC!$5:$37,DAY(G709)+2,FALSE),VLOOKUP(F709,Equivalencia!$5:$23,((MAX(Equivalencia!$3:$3)-YEAR(G709))*14)+MONTH(G709)+2,FALSE))))</f>
        <v>4.3532202947130144E-2</v>
      </c>
      <c r="M709" s="306">
        <f t="shared" si="190"/>
        <v>125404.4078762369</v>
      </c>
      <c r="N709" s="305">
        <f>IF(G709=0,0,(IF(OR(E709=$AT$5,E709=$AT$6),AC709,HLOOKUP(YEAR(G709)+(MONTH(G709)/100),TC!$5:$37,DAY(G709)+2,FALSE))))</f>
        <v>22.971499999999999</v>
      </c>
      <c r="O709" s="307">
        <f t="shared" si="191"/>
        <v>2880727.3555289758</v>
      </c>
      <c r="P709" s="560">
        <f>IF(G709=0,0,VLOOKUP(YEAR(G709),INPC!$B$4:$P$30,MONTH(G709)+2))</f>
        <v>106.74299999999999</v>
      </c>
      <c r="Q709" s="560">
        <f>IF(X709=0,0,IF(OR(E709=$AT$10,E709=$AT$9),VLOOKUP(YEAR(X709),INPC!$B$4:$P$30,MONTH(X709)+1),VLOOKUP(YEAR(X709),INPC!$B$4:$P$30,MONTH(X709)+2,0)))</f>
        <v>118.98099999999999</v>
      </c>
      <c r="R709" s="309">
        <f t="shared" si="192"/>
        <v>1.1146</v>
      </c>
      <c r="S709" s="310">
        <f t="shared" si="193"/>
        <v>3210858.7104725963</v>
      </c>
      <c r="T709" s="555">
        <f t="shared" si="194"/>
        <v>2869.4000987243935</v>
      </c>
      <c r="U709" s="311"/>
      <c r="V709" s="312">
        <v>1119</v>
      </c>
      <c r="W709" s="299" t="s">
        <v>194</v>
      </c>
      <c r="X709" s="300">
        <v>44635</v>
      </c>
      <c r="Y709" s="299" t="s">
        <v>60</v>
      </c>
      <c r="Z709" s="303">
        <v>3715545.79</v>
      </c>
      <c r="AA709" s="305">
        <f>IF(Z709=0,0,IF(Y709="MXN",1/HLOOKUP(YEAR(X709)+(MONTH(X709)/100),TC!$5:$37,DAY(X709)+2,FALSE),VLOOKUP(Y709,Equivalencia!$1:$23,((MAX(Equivalencia!$3:$3)-YEAR(X709))*14)+MONTH(X709)+2,FALSE)))</f>
        <v>4.7688309210996926E-2</v>
      </c>
      <c r="AB709" s="306">
        <f t="shared" si="195"/>
        <v>177188.09652113786</v>
      </c>
      <c r="AC709" s="305">
        <f>+IF(X709=0,0,HLOOKUP(YEAR(X709)+(MONTH(X709)/100),TC!$5:$37,DAY(X709)+2,FALSE))</f>
        <v>20.9695</v>
      </c>
      <c r="AD709" s="307">
        <f t="shared" si="196"/>
        <v>3715545.7900000005</v>
      </c>
      <c r="AE709" s="314">
        <f t="shared" si="197"/>
        <v>3210858.7104725963</v>
      </c>
      <c r="AF709" s="315">
        <f t="shared" si="198"/>
        <v>504687.07952740416</v>
      </c>
      <c r="AG709" s="316">
        <f t="shared" si="199"/>
        <v>1.7068493150684931</v>
      </c>
      <c r="AH709" s="314">
        <v>1</v>
      </c>
      <c r="AI709" s="314">
        <f t="shared" si="200"/>
        <v>504687.07952740416</v>
      </c>
      <c r="AJ709" s="314">
        <f t="shared" si="201"/>
        <v>0</v>
      </c>
      <c r="AK709" s="317"/>
      <c r="AL709" s="315">
        <f t="shared" si="202"/>
        <v>51783.688644900962</v>
      </c>
      <c r="AN709" s="554">
        <f t="shared" si="203"/>
        <v>1.7975907558732556E-2</v>
      </c>
      <c r="AO709" s="314"/>
      <c r="AP709" s="318"/>
    </row>
    <row r="710" spans="2:42">
      <c r="B710" s="296" t="s">
        <v>1246</v>
      </c>
      <c r="C710" s="299" t="s">
        <v>277</v>
      </c>
      <c r="D710" s="298" t="s">
        <v>905</v>
      </c>
      <c r="E710" s="299" t="s">
        <v>113</v>
      </c>
      <c r="F710" s="299" t="s">
        <v>60</v>
      </c>
      <c r="G710" s="300">
        <v>43752</v>
      </c>
      <c r="H710" s="303">
        <v>451586.02876651986</v>
      </c>
      <c r="I710" s="301" t="str">
        <f t="shared" si="187"/>
        <v>Ingresos Sección II LISR (SIC &amp; BMV)</v>
      </c>
      <c r="J710" s="302">
        <f t="shared" si="188"/>
        <v>203</v>
      </c>
      <c r="K710" s="304">
        <f t="shared" si="189"/>
        <v>2224.5617180616741</v>
      </c>
      <c r="L710" s="305">
        <f>IF(H710=0,0,IF(OR(E710=$AT$5,E710=$AT$6),AA710,IF(F710="MXN",1/HLOOKUP(YEAR(G710)+(MONTH(G710)/100),TC!$5:$37,DAY(G710)+2,FALSE),VLOOKUP(F710,Equivalencia!$5:$23,((MAX(Equivalencia!$3:$3)-YEAR(G710))*14)+MONTH(G710)+2,FALSE))))</f>
        <v>5.1344190918239503E-2</v>
      </c>
      <c r="M710" s="306">
        <f t="shared" si="190"/>
        <v>23186.31927699779</v>
      </c>
      <c r="N710" s="305">
        <f>IF(G710=0,0,(IF(OR(E710=$AT$5,E710=$AT$6),AC710,HLOOKUP(YEAR(G710)+(MONTH(G710)/100),TC!$5:$37,DAY(G710)+2,FALSE))))</f>
        <v>19.476400000000002</v>
      </c>
      <c r="O710" s="307">
        <f t="shared" si="191"/>
        <v>451586.0287665198</v>
      </c>
      <c r="P710" s="560">
        <f>IF(G710=0,0,VLOOKUP(YEAR(G710),INPC!$B$4:$P$30,MONTH(G710)+2))</f>
        <v>104.503</v>
      </c>
      <c r="Q710" s="560">
        <f>IF(X710=0,0,IF(OR(E710=$AT$10,E710=$AT$9),VLOOKUP(YEAR(X710),INPC!$B$4:$P$30,MONTH(X710)+1),VLOOKUP(YEAR(X710),INPC!$B$4:$P$30,MONTH(X710)+2,0)))</f>
        <v>118.98099999999999</v>
      </c>
      <c r="R710" s="309">
        <f t="shared" si="192"/>
        <v>1.1385000000000001</v>
      </c>
      <c r="S710" s="310">
        <f t="shared" si="193"/>
        <v>514130.69375068281</v>
      </c>
      <c r="T710" s="555">
        <f t="shared" si="194"/>
        <v>2532.6635160132159</v>
      </c>
      <c r="U710" s="311"/>
      <c r="V710" s="312">
        <v>203</v>
      </c>
      <c r="W710" s="299" t="s">
        <v>194</v>
      </c>
      <c r="X710" s="300">
        <v>44635</v>
      </c>
      <c r="Y710" s="299" t="s">
        <v>60</v>
      </c>
      <c r="Z710" s="303">
        <v>641605.09331804281</v>
      </c>
      <c r="AA710" s="305">
        <f>IF(Z710=0,0,IF(Y710="MXN",1/HLOOKUP(YEAR(X710)+(MONTH(X710)/100),TC!$5:$37,DAY(X710)+2,FALSE),VLOOKUP(Y710,Equivalencia!$1:$23,((MAX(Equivalencia!$3:$3)-YEAR(X710))*14)+MONTH(X710)+2,FALSE)))</f>
        <v>4.7688309210996926E-2</v>
      </c>
      <c r="AB710" s="306">
        <f t="shared" si="195"/>
        <v>30597.062081501364</v>
      </c>
      <c r="AC710" s="305">
        <f>+IF(X710=0,0,HLOOKUP(YEAR(X710)+(MONTH(X710)/100),TC!$5:$37,DAY(X710)+2,FALSE))</f>
        <v>20.9695</v>
      </c>
      <c r="AD710" s="307">
        <f t="shared" si="196"/>
        <v>641605.09331804281</v>
      </c>
      <c r="AE710" s="314">
        <f t="shared" si="197"/>
        <v>514130.69375068281</v>
      </c>
      <c r="AF710" s="315">
        <f t="shared" si="198"/>
        <v>127474.39956736</v>
      </c>
      <c r="AG710" s="316">
        <f t="shared" si="199"/>
        <v>2.419178082191781</v>
      </c>
      <c r="AH710" s="314">
        <v>1</v>
      </c>
      <c r="AI710" s="314">
        <f t="shared" si="200"/>
        <v>127474.39956736</v>
      </c>
      <c r="AJ710" s="314">
        <f t="shared" si="201"/>
        <v>0</v>
      </c>
      <c r="AK710" s="317"/>
      <c r="AL710" s="315">
        <f t="shared" si="202"/>
        <v>7410.742804503574</v>
      </c>
      <c r="AN710" s="554">
        <f t="shared" si="203"/>
        <v>1.6410478474601115E-2</v>
      </c>
      <c r="AO710" s="314"/>
      <c r="AP710" s="318"/>
    </row>
    <row r="711" spans="2:42">
      <c r="B711" s="296" t="s">
        <v>1246</v>
      </c>
      <c r="C711" s="299" t="s">
        <v>277</v>
      </c>
      <c r="D711" s="298" t="s">
        <v>905</v>
      </c>
      <c r="E711" s="299" t="s">
        <v>113</v>
      </c>
      <c r="F711" s="299" t="s">
        <v>60</v>
      </c>
      <c r="G711" s="300">
        <v>43934</v>
      </c>
      <c r="H711" s="303">
        <v>1474546.5</v>
      </c>
      <c r="I711" s="301" t="str">
        <f t="shared" si="187"/>
        <v>Ingresos Sección II LISR (SIC &amp; BMV)</v>
      </c>
      <c r="J711" s="302">
        <f t="shared" si="188"/>
        <v>635</v>
      </c>
      <c r="K711" s="304">
        <f t="shared" si="189"/>
        <v>2322.1204724409449</v>
      </c>
      <c r="L711" s="305">
        <f>IF(H711=0,0,IF(OR(E711=$AT$5,E711=$AT$6),AA711,IF(F711="MXN",1/HLOOKUP(YEAR(G711)+(MONTH(G711)/100),TC!$5:$37,DAY(G711)+2,FALSE),VLOOKUP(F711,Equivalencia!$5:$23,((MAX(Equivalencia!$3:$3)-YEAR(G711))*14)+MONTH(G711)+2,FALSE))))</f>
        <v>4.1599414280246938E-2</v>
      </c>
      <c r="M711" s="306">
        <f t="shared" si="190"/>
        <v>61340.270728988144</v>
      </c>
      <c r="N711" s="305">
        <f>IF(G711=0,0,(IF(OR(E711=$AT$5,E711=$AT$6),AC711,HLOOKUP(YEAR(G711)+(MONTH(G711)/100),TC!$5:$37,DAY(G711)+2,FALSE))))</f>
        <v>24.038799999999998</v>
      </c>
      <c r="O711" s="307">
        <f t="shared" si="191"/>
        <v>1474546.5</v>
      </c>
      <c r="P711" s="560">
        <f>IF(G711=0,0,VLOOKUP(YEAR(G711),INPC!$B$4:$P$30,MONTH(G711)+2))</f>
        <v>105.755</v>
      </c>
      <c r="Q711" s="560">
        <f>IF(X711=0,0,IF(OR(E711=$AT$10,E711=$AT$9),VLOOKUP(YEAR(X711),INPC!$B$4:$P$30,MONTH(X711)+1),VLOOKUP(YEAR(X711),INPC!$B$4:$P$30,MONTH(X711)+2,0)))</f>
        <v>118.98099999999999</v>
      </c>
      <c r="R711" s="309">
        <f t="shared" si="192"/>
        <v>1.125</v>
      </c>
      <c r="S711" s="310">
        <f t="shared" si="193"/>
        <v>1658864.8125</v>
      </c>
      <c r="T711" s="555">
        <f t="shared" si="194"/>
        <v>2612.3855314960629</v>
      </c>
      <c r="U711" s="311"/>
      <c r="V711" s="312">
        <v>635</v>
      </c>
      <c r="W711" s="299" t="s">
        <v>194</v>
      </c>
      <c r="X711" s="300">
        <v>44635</v>
      </c>
      <c r="Y711" s="299" t="s">
        <v>60</v>
      </c>
      <c r="Z711" s="303">
        <v>2006991.3017584099</v>
      </c>
      <c r="AA711" s="305">
        <f>IF(Z711=0,0,IF(Y711="MXN",1/HLOOKUP(YEAR(X711)+(MONTH(X711)/100),TC!$5:$37,DAY(X711)+2,FALSE),VLOOKUP(Y711,Equivalencia!$1:$23,((MAX(Equivalencia!$3:$3)-YEAR(X711))*14)+MONTH(X711)+2,FALSE)))</f>
        <v>4.7688309210996926E-2</v>
      </c>
      <c r="AB711" s="306">
        <f t="shared" si="195"/>
        <v>95710.021782036289</v>
      </c>
      <c r="AC711" s="305">
        <f>+IF(X711=0,0,HLOOKUP(YEAR(X711)+(MONTH(X711)/100),TC!$5:$37,DAY(X711)+2,FALSE))</f>
        <v>20.9695</v>
      </c>
      <c r="AD711" s="307">
        <f t="shared" si="196"/>
        <v>2006991.3017584099</v>
      </c>
      <c r="AE711" s="314">
        <f t="shared" si="197"/>
        <v>1658864.8125</v>
      </c>
      <c r="AF711" s="315">
        <f t="shared" si="198"/>
        <v>348126.48925840994</v>
      </c>
      <c r="AG711" s="316">
        <f t="shared" si="199"/>
        <v>1.9205479452054794</v>
      </c>
      <c r="AH711" s="314">
        <v>1</v>
      </c>
      <c r="AI711" s="314">
        <f t="shared" si="200"/>
        <v>348126.48925840994</v>
      </c>
      <c r="AJ711" s="314">
        <f t="shared" si="201"/>
        <v>0</v>
      </c>
      <c r="AK711" s="317"/>
      <c r="AL711" s="315">
        <f t="shared" si="202"/>
        <v>34369.751053048145</v>
      </c>
      <c r="AN711" s="554">
        <f t="shared" si="203"/>
        <v>2.3308692572969483E-2</v>
      </c>
      <c r="AO711" s="314"/>
      <c r="AP711" s="318"/>
    </row>
    <row r="712" spans="2:42">
      <c r="B712" s="296" t="s">
        <v>1246</v>
      </c>
      <c r="C712" s="299" t="s">
        <v>277</v>
      </c>
      <c r="D712" s="298" t="s">
        <v>905</v>
      </c>
      <c r="E712" s="299" t="s">
        <v>113</v>
      </c>
      <c r="F712" s="299" t="s">
        <v>60</v>
      </c>
      <c r="G712" s="300">
        <v>43963</v>
      </c>
      <c r="H712" s="303">
        <v>1211301.8488397193</v>
      </c>
      <c r="I712" s="301" t="str">
        <f t="shared" si="187"/>
        <v>Ingresos Sección II LISR (SIC &amp; BMV)</v>
      </c>
      <c r="J712" s="302">
        <f t="shared" si="188"/>
        <v>470</v>
      </c>
      <c r="K712" s="304">
        <f t="shared" si="189"/>
        <v>2577.2379762547221</v>
      </c>
      <c r="L712" s="305">
        <f>IF(H712=0,0,IF(OR(E712=$AT$5,E712=$AT$6),AA712,IF(F712="MXN",1/HLOOKUP(YEAR(G712)+(MONTH(G712)/100),TC!$5:$37,DAY(G712)+2,FALSE),VLOOKUP(F712,Equivalencia!$5:$23,((MAX(Equivalencia!$3:$3)-YEAR(G712))*14)+MONTH(G712)+2,FALSE))))</f>
        <v>4.222883807352041E-2</v>
      </c>
      <c r="M712" s="306">
        <f t="shared" si="190"/>
        <v>51151.869632808404</v>
      </c>
      <c r="N712" s="305">
        <f>IF(G712=0,0,(IF(OR(E712=$AT$5,E712=$AT$6),AC712,HLOOKUP(YEAR(G712)+(MONTH(G712)/100),TC!$5:$37,DAY(G712)+2,FALSE))))</f>
        <v>23.680499999999999</v>
      </c>
      <c r="O712" s="307">
        <f t="shared" si="191"/>
        <v>1211301.8488397193</v>
      </c>
      <c r="P712" s="560">
        <f>IF(G712=0,0,VLOOKUP(YEAR(G712),INPC!$B$4:$P$30,MONTH(G712)+2))</f>
        <v>106.16200000000001</v>
      </c>
      <c r="Q712" s="560">
        <f>IF(X712=0,0,IF(OR(E712=$AT$10,E712=$AT$9),VLOOKUP(YEAR(X712),INPC!$B$4:$P$30,MONTH(X712)+1),VLOOKUP(YEAR(X712),INPC!$B$4:$P$30,MONTH(X712)+2,0)))</f>
        <v>118.98099999999999</v>
      </c>
      <c r="R712" s="309">
        <f t="shared" si="192"/>
        <v>1.1207</v>
      </c>
      <c r="S712" s="310">
        <f t="shared" si="193"/>
        <v>1357505.9819946734</v>
      </c>
      <c r="T712" s="555">
        <f t="shared" si="194"/>
        <v>2888.3105999886666</v>
      </c>
      <c r="U712" s="311"/>
      <c r="V712" s="312">
        <v>470</v>
      </c>
      <c r="W712" s="299" t="s">
        <v>194</v>
      </c>
      <c r="X712" s="300">
        <v>44635</v>
      </c>
      <c r="Y712" s="299" t="s">
        <v>60</v>
      </c>
      <c r="Z712" s="303">
        <v>1485489.6249235475</v>
      </c>
      <c r="AA712" s="305">
        <f>IF(Z712=0,0,IF(Y712="MXN",1/HLOOKUP(YEAR(X712)+(MONTH(X712)/100),TC!$5:$37,DAY(X712)+2,FALSE),VLOOKUP(Y712,Equivalencia!$1:$23,((MAX(Equivalencia!$3:$3)-YEAR(X712))*14)+MONTH(X712)+2,FALSE)))</f>
        <v>4.7688309210996926E-2</v>
      </c>
      <c r="AB712" s="306">
        <f t="shared" si="195"/>
        <v>70840.488563081977</v>
      </c>
      <c r="AC712" s="305">
        <f>+IF(X712=0,0,HLOOKUP(YEAR(X712)+(MONTH(X712)/100),TC!$5:$37,DAY(X712)+2,FALSE))</f>
        <v>20.9695</v>
      </c>
      <c r="AD712" s="307">
        <f t="shared" si="196"/>
        <v>1485489.6249235475</v>
      </c>
      <c r="AE712" s="314">
        <f t="shared" si="197"/>
        <v>1357505.9819946734</v>
      </c>
      <c r="AF712" s="315">
        <f t="shared" si="198"/>
        <v>127983.64292887412</v>
      </c>
      <c r="AG712" s="316">
        <f t="shared" si="199"/>
        <v>1.8410958904109589</v>
      </c>
      <c r="AH712" s="314">
        <v>1</v>
      </c>
      <c r="AI712" s="314">
        <f t="shared" si="200"/>
        <v>127983.64292887412</v>
      </c>
      <c r="AJ712" s="314">
        <f t="shared" si="201"/>
        <v>0</v>
      </c>
      <c r="AK712" s="317"/>
      <c r="AL712" s="315">
        <f t="shared" si="202"/>
        <v>19688.618930273573</v>
      </c>
      <c r="AN712" s="554">
        <f t="shared" si="203"/>
        <v>1.625409797659674E-2</v>
      </c>
      <c r="AO712" s="314"/>
      <c r="AP712" s="318"/>
    </row>
    <row r="713" spans="2:42">
      <c r="B713" s="296" t="s">
        <v>1246</v>
      </c>
      <c r="C713" s="299" t="s">
        <v>277</v>
      </c>
      <c r="D713" s="298" t="s">
        <v>906</v>
      </c>
      <c r="E713" s="299" t="s">
        <v>113</v>
      </c>
      <c r="F713" s="299" t="s">
        <v>60</v>
      </c>
      <c r="G713" s="300">
        <v>44413</v>
      </c>
      <c r="H713" s="303">
        <v>2401298.6202153955</v>
      </c>
      <c r="I713" s="301" t="str">
        <f t="shared" si="187"/>
        <v>Ingresos Sección II LISR (SIC &amp; BMV)</v>
      </c>
      <c r="J713" s="302">
        <f t="shared" si="188"/>
        <v>1349</v>
      </c>
      <c r="K713" s="304">
        <f t="shared" si="189"/>
        <v>1780.0582803672316</v>
      </c>
      <c r="L713" s="305">
        <f>IF(H713=0,0,IF(OR(E713=$AT$5,E713=$AT$6),AA713,IF(F713="MXN",1/HLOOKUP(YEAR(G713)+(MONTH(G713)/100),TC!$5:$37,DAY(G713)+2,FALSE),VLOOKUP(F713,Equivalencia!$5:$23,((MAX(Equivalencia!$3:$3)-YEAR(G713))*14)+MONTH(G713)+2,FALSE))))</f>
        <v>5.0271465915946112E-2</v>
      </c>
      <c r="M713" s="306">
        <f t="shared" si="190"/>
        <v>120716.80174016669</v>
      </c>
      <c r="N713" s="305">
        <f>IF(G713=0,0,(IF(OR(E713=$AT$5,E713=$AT$6),AC713,HLOOKUP(YEAR(G713)+(MONTH(G713)/100),TC!$5:$37,DAY(G713)+2,FALSE))))</f>
        <v>19.891999999999999</v>
      </c>
      <c r="O713" s="307">
        <f t="shared" si="191"/>
        <v>2401298.6202153955</v>
      </c>
      <c r="P713" s="560">
        <f>IF(G713=0,0,VLOOKUP(YEAR(G713),INPC!$B$4:$P$30,MONTH(G713)+2))</f>
        <v>113.899</v>
      </c>
      <c r="Q713" s="560">
        <f>IF(X713=0,0,IF(OR(E713=$AT$10,E713=$AT$9),VLOOKUP(YEAR(X713),INPC!$B$4:$P$30,MONTH(X713)+1),VLOOKUP(YEAR(X713),INPC!$B$4:$P$30,MONTH(X713)+2,0)))</f>
        <v>118.98099999999999</v>
      </c>
      <c r="R713" s="309">
        <f t="shared" si="192"/>
        <v>1.0446</v>
      </c>
      <c r="S713" s="310">
        <f t="shared" si="193"/>
        <v>2508396.5386770018</v>
      </c>
      <c r="T713" s="555">
        <f t="shared" si="194"/>
        <v>1859.44887967161</v>
      </c>
      <c r="U713" s="311"/>
      <c r="V713" s="312">
        <v>1349</v>
      </c>
      <c r="W713" s="299" t="s">
        <v>194</v>
      </c>
      <c r="X713" s="300">
        <v>44635</v>
      </c>
      <c r="Y713" s="299" t="s">
        <v>60</v>
      </c>
      <c r="Z713" s="303">
        <v>2114626.14</v>
      </c>
      <c r="AA713" s="305">
        <f>IF(Z713=0,0,IF(Y713="MXN",1/HLOOKUP(YEAR(X713)+(MONTH(X713)/100),TC!$5:$37,DAY(X713)+2,FALSE),VLOOKUP(Y713,Equivalencia!$1:$23,((MAX(Equivalencia!$3:$3)-YEAR(X713))*14)+MONTH(X713)+2,FALSE)))</f>
        <v>4.7688309210996926E-2</v>
      </c>
      <c r="AB713" s="306">
        <f t="shared" si="195"/>
        <v>100842.94522997689</v>
      </c>
      <c r="AC713" s="305">
        <f>+IF(X713=0,0,HLOOKUP(YEAR(X713)+(MONTH(X713)/100),TC!$5:$37,DAY(X713)+2,FALSE))</f>
        <v>20.9695</v>
      </c>
      <c r="AD713" s="307">
        <f t="shared" si="196"/>
        <v>2114626.1400000006</v>
      </c>
      <c r="AE713" s="314">
        <f t="shared" si="197"/>
        <v>2508396.5386770018</v>
      </c>
      <c r="AF713" s="315">
        <f t="shared" si="198"/>
        <v>-393770.39867700124</v>
      </c>
      <c r="AG713" s="316">
        <f t="shared" si="199"/>
        <v>0.60821917808219184</v>
      </c>
      <c r="AH713" s="314">
        <v>1</v>
      </c>
      <c r="AI713" s="314">
        <f t="shared" si="200"/>
        <v>-393770.39867700124</v>
      </c>
      <c r="AJ713" s="314">
        <f t="shared" si="201"/>
        <v>0</v>
      </c>
      <c r="AK713" s="317"/>
      <c r="AL713" s="315">
        <f t="shared" si="202"/>
        <v>-19873.856510189798</v>
      </c>
      <c r="AN713" s="554">
        <f t="shared" si="203"/>
        <v>-8.2762953107461176E-3</v>
      </c>
      <c r="AO713" s="314"/>
      <c r="AP713" s="318"/>
    </row>
    <row r="714" spans="2:42">
      <c r="B714" s="296" t="s">
        <v>1246</v>
      </c>
      <c r="C714" s="299" t="s">
        <v>277</v>
      </c>
      <c r="D714" s="298" t="s">
        <v>907</v>
      </c>
      <c r="E714" s="299" t="s">
        <v>113</v>
      </c>
      <c r="F714" s="299" t="s">
        <v>60</v>
      </c>
      <c r="G714" s="300">
        <v>43649</v>
      </c>
      <c r="H714" s="303">
        <v>1105482.8654981789</v>
      </c>
      <c r="I714" s="301" t="str">
        <f t="shared" si="187"/>
        <v>Ingresos Sección II LISR (SIC &amp; BMV)</v>
      </c>
      <c r="J714" s="302">
        <f t="shared" si="188"/>
        <v>994</v>
      </c>
      <c r="K714" s="304">
        <f t="shared" si="189"/>
        <v>1112.1558002999786</v>
      </c>
      <c r="L714" s="305">
        <f>IF(H714=0,0,IF(OR(E714=$AT$5,E714=$AT$6),AA714,IF(F714="MXN",1/HLOOKUP(YEAR(G714)+(MONTH(G714)/100),TC!$5:$37,DAY(G714)+2,FALSE),VLOOKUP(F714,Equivalencia!$5:$23,((MAX(Equivalencia!$3:$3)-YEAR(G714))*14)+MONTH(G714)+2,FALSE))))</f>
        <v>5.2421891381841057E-2</v>
      </c>
      <c r="M714" s="306">
        <f t="shared" si="190"/>
        <v>57951.502699631943</v>
      </c>
      <c r="N714" s="305">
        <f>IF(G714=0,0,(IF(OR(E714=$AT$5,E714=$AT$6),AC714,HLOOKUP(YEAR(G714)+(MONTH(G714)/100),TC!$5:$37,DAY(G714)+2,FALSE))))</f>
        <v>19.076000000000001</v>
      </c>
      <c r="O714" s="307">
        <f t="shared" si="191"/>
        <v>1105482.8654981789</v>
      </c>
      <c r="P714" s="560">
        <f>IF(G714=0,0,VLOOKUP(YEAR(G714),INPC!$B$4:$P$30,MONTH(G714)+2))</f>
        <v>103.687</v>
      </c>
      <c r="Q714" s="560">
        <f>IF(X714=0,0,IF(OR(E714=$AT$10,E714=$AT$9),VLOOKUP(YEAR(X714),INPC!$B$4:$P$30,MONTH(X714)+1),VLOOKUP(YEAR(X714),INPC!$B$4:$P$30,MONTH(X714)+2,0)))</f>
        <v>118.98099999999999</v>
      </c>
      <c r="R714" s="309">
        <f t="shared" si="192"/>
        <v>1.1475</v>
      </c>
      <c r="S714" s="310">
        <f t="shared" si="193"/>
        <v>1268541.5881591602</v>
      </c>
      <c r="T714" s="555">
        <f t="shared" si="194"/>
        <v>1276.1987808442257</v>
      </c>
      <c r="U714" s="311"/>
      <c r="V714" s="312">
        <v>994</v>
      </c>
      <c r="W714" s="299" t="s">
        <v>194</v>
      </c>
      <c r="X714" s="300">
        <v>44635</v>
      </c>
      <c r="Y714" s="299" t="s">
        <v>60</v>
      </c>
      <c r="Z714" s="303">
        <v>1316745.8163253013</v>
      </c>
      <c r="AA714" s="305">
        <f>IF(Z714=0,0,IF(Y714="MXN",1/HLOOKUP(YEAR(X714)+(MONTH(X714)/100),TC!$5:$37,DAY(X714)+2,FALSE),VLOOKUP(Y714,Equivalencia!$1:$23,((MAX(Equivalencia!$3:$3)-YEAR(X714))*14)+MONTH(X714)+2,FALSE)))</f>
        <v>4.7688309210996926E-2</v>
      </c>
      <c r="AB714" s="306">
        <f t="shared" si="195"/>
        <v>62793.381641207532</v>
      </c>
      <c r="AC714" s="305">
        <f>+IF(X714=0,0,HLOOKUP(YEAR(X714)+(MONTH(X714)/100),TC!$5:$37,DAY(X714)+2,FALSE))</f>
        <v>20.9695</v>
      </c>
      <c r="AD714" s="307">
        <f t="shared" si="196"/>
        <v>1316745.8163253013</v>
      </c>
      <c r="AE714" s="314">
        <f t="shared" si="197"/>
        <v>1268541.5881591602</v>
      </c>
      <c r="AF714" s="315">
        <f t="shared" si="198"/>
        <v>48204.228166141082</v>
      </c>
      <c r="AG714" s="316">
        <f t="shared" si="199"/>
        <v>2.7013698630136984</v>
      </c>
      <c r="AH714" s="314">
        <v>1</v>
      </c>
      <c r="AI714" s="314">
        <f t="shared" si="200"/>
        <v>48204.228166141082</v>
      </c>
      <c r="AJ714" s="314">
        <f t="shared" si="201"/>
        <v>0</v>
      </c>
      <c r="AK714" s="317"/>
      <c r="AL714" s="315">
        <f t="shared" si="202"/>
        <v>4841.8789415755891</v>
      </c>
      <c r="AN714" s="554">
        <f t="shared" si="203"/>
        <v>4.3798769684174404E-3</v>
      </c>
      <c r="AO714" s="314"/>
      <c r="AP714" s="318"/>
    </row>
    <row r="715" spans="2:42">
      <c r="B715" s="296" t="s">
        <v>1246</v>
      </c>
      <c r="C715" s="299" t="s">
        <v>277</v>
      </c>
      <c r="D715" s="298" t="s">
        <v>907</v>
      </c>
      <c r="E715" s="299" t="s">
        <v>113</v>
      </c>
      <c r="F715" s="299" t="s">
        <v>60</v>
      </c>
      <c r="G715" s="300">
        <v>43934</v>
      </c>
      <c r="H715" s="303">
        <v>582910.32999999996</v>
      </c>
      <c r="I715" s="301" t="str">
        <f t="shared" si="187"/>
        <v>Ingresos Sección II LISR (SIC &amp; BMV)</v>
      </c>
      <c r="J715" s="302">
        <f t="shared" si="188"/>
        <v>519</v>
      </c>
      <c r="K715" s="304">
        <f t="shared" si="189"/>
        <v>1123.1412909441233</v>
      </c>
      <c r="L715" s="305">
        <f>IF(H715=0,0,IF(OR(E715=$AT$5,E715=$AT$6),AA715,IF(F715="MXN",1/HLOOKUP(YEAR(G715)+(MONTH(G715)/100),TC!$5:$37,DAY(G715)+2,FALSE),VLOOKUP(F715,Equivalencia!$5:$23,((MAX(Equivalencia!$3:$3)-YEAR(G715))*14)+MONTH(G715)+2,FALSE))))</f>
        <v>4.1599414280246938E-2</v>
      </c>
      <c r="M715" s="306">
        <f t="shared" si="190"/>
        <v>24248.728305905453</v>
      </c>
      <c r="N715" s="305">
        <f>IF(G715=0,0,(IF(OR(E715=$AT$5,E715=$AT$6),AC715,HLOOKUP(YEAR(G715)+(MONTH(G715)/100),TC!$5:$37,DAY(G715)+2,FALSE))))</f>
        <v>24.038799999999998</v>
      </c>
      <c r="O715" s="307">
        <f t="shared" si="191"/>
        <v>582910.32999999996</v>
      </c>
      <c r="P715" s="560">
        <f>IF(G715=0,0,VLOOKUP(YEAR(G715),INPC!$B$4:$P$30,MONTH(G715)+2))</f>
        <v>105.755</v>
      </c>
      <c r="Q715" s="560">
        <f>IF(X715=0,0,IF(OR(E715=$AT$10,E715=$AT$9),VLOOKUP(YEAR(X715),INPC!$B$4:$P$30,MONTH(X715)+1),VLOOKUP(YEAR(X715),INPC!$B$4:$P$30,MONTH(X715)+2,0)))</f>
        <v>118.98099999999999</v>
      </c>
      <c r="R715" s="309">
        <f t="shared" si="192"/>
        <v>1.125</v>
      </c>
      <c r="S715" s="310">
        <f t="shared" si="193"/>
        <v>655774.12124999997</v>
      </c>
      <c r="T715" s="555">
        <f t="shared" si="194"/>
        <v>1263.5339523121386</v>
      </c>
      <c r="U715" s="311"/>
      <c r="V715" s="312">
        <v>519</v>
      </c>
      <c r="W715" s="299" t="s">
        <v>194</v>
      </c>
      <c r="X715" s="300">
        <v>44635</v>
      </c>
      <c r="Y715" s="299" t="s">
        <v>60</v>
      </c>
      <c r="Z715" s="303">
        <v>687516.17572719452</v>
      </c>
      <c r="AA715" s="305">
        <f>IF(Z715=0,0,IF(Y715="MXN",1/HLOOKUP(YEAR(X715)+(MONTH(X715)/100),TC!$5:$37,DAY(X715)+2,FALSE),VLOOKUP(Y715,Equivalencia!$1:$23,((MAX(Equivalencia!$3:$3)-YEAR(X715))*14)+MONTH(X715)+2,FALSE)))</f>
        <v>4.7688309210996926E-2</v>
      </c>
      <c r="AB715" s="306">
        <f t="shared" si="195"/>
        <v>32786.483975640549</v>
      </c>
      <c r="AC715" s="305">
        <f>+IF(X715=0,0,HLOOKUP(YEAR(X715)+(MONTH(X715)/100),TC!$5:$37,DAY(X715)+2,FALSE))</f>
        <v>20.9695</v>
      </c>
      <c r="AD715" s="307">
        <f t="shared" si="196"/>
        <v>687516.17572719452</v>
      </c>
      <c r="AE715" s="314">
        <f t="shared" si="197"/>
        <v>655774.12124999997</v>
      </c>
      <c r="AF715" s="315">
        <f t="shared" si="198"/>
        <v>31742.054477194557</v>
      </c>
      <c r="AG715" s="316">
        <f t="shared" si="199"/>
        <v>1.9205479452054794</v>
      </c>
      <c r="AH715" s="314">
        <v>1</v>
      </c>
      <c r="AI715" s="314">
        <f t="shared" si="200"/>
        <v>31742.054477194557</v>
      </c>
      <c r="AJ715" s="314">
        <f t="shared" si="201"/>
        <v>0</v>
      </c>
      <c r="AK715" s="317"/>
      <c r="AL715" s="315">
        <f t="shared" si="202"/>
        <v>8537.7556697350956</v>
      </c>
      <c r="AN715" s="554">
        <f t="shared" si="203"/>
        <v>1.4646773663686996E-2</v>
      </c>
      <c r="AO715" s="314"/>
      <c r="AP715" s="318"/>
    </row>
    <row r="716" spans="2:42">
      <c r="B716" s="296" t="s">
        <v>1246</v>
      </c>
      <c r="C716" s="299" t="s">
        <v>277</v>
      </c>
      <c r="D716" s="298" t="s">
        <v>907</v>
      </c>
      <c r="E716" s="299" t="s">
        <v>113</v>
      </c>
      <c r="F716" s="299" t="s">
        <v>60</v>
      </c>
      <c r="G716" s="300">
        <v>44084</v>
      </c>
      <c r="H716" s="303">
        <v>1671663.73</v>
      </c>
      <c r="I716" s="301" t="str">
        <f t="shared" si="187"/>
        <v>Ingresos Sección II LISR (SIC &amp; BMV)</v>
      </c>
      <c r="J716" s="302">
        <f t="shared" si="188"/>
        <v>1336</v>
      </c>
      <c r="K716" s="304">
        <f t="shared" si="189"/>
        <v>1251.2453068862276</v>
      </c>
      <c r="L716" s="305">
        <f>IF(H716=0,0,IF(OR(E716=$AT$5,E716=$AT$6),AA716,IF(F716="MXN",1/HLOOKUP(YEAR(G716)+(MONTH(G716)/100),TC!$5:$37,DAY(G716)+2,FALSE),VLOOKUP(F716,Equivalencia!$5:$23,((MAX(Equivalencia!$3:$3)-YEAR(G716))*14)+MONTH(G716)+2,FALSE))))</f>
        <v>4.6053661726643887E-2</v>
      </c>
      <c r="M716" s="306">
        <f t="shared" si="190"/>
        <v>76986.235942119762</v>
      </c>
      <c r="N716" s="305">
        <f>IF(G716=0,0,(IF(OR(E716=$AT$5,E716=$AT$6),AC716,HLOOKUP(YEAR(G716)+(MONTH(G716)/100),TC!$5:$37,DAY(G716)+2,FALSE))))</f>
        <v>21.713799999999999</v>
      </c>
      <c r="O716" s="307">
        <f t="shared" si="191"/>
        <v>1671663.73</v>
      </c>
      <c r="P716" s="560">
        <f>IF(G716=0,0,VLOOKUP(YEAR(G716),INPC!$B$4:$P$30,MONTH(G716)+2))</f>
        <v>108.114</v>
      </c>
      <c r="Q716" s="560">
        <f>IF(X716=0,0,IF(OR(E716=$AT$10,E716=$AT$9),VLOOKUP(YEAR(X716),INPC!$B$4:$P$30,MONTH(X716)+1),VLOOKUP(YEAR(X716),INPC!$B$4:$P$30,MONTH(X716)+2,0)))</f>
        <v>118.98099999999999</v>
      </c>
      <c r="R716" s="309">
        <f t="shared" si="192"/>
        <v>1.1005</v>
      </c>
      <c r="S716" s="310">
        <f t="shared" si="193"/>
        <v>1839665.934865</v>
      </c>
      <c r="T716" s="555">
        <f t="shared" si="194"/>
        <v>1376.9954602282935</v>
      </c>
      <c r="U716" s="311"/>
      <c r="V716" s="312">
        <v>1336</v>
      </c>
      <c r="W716" s="299" t="s">
        <v>194</v>
      </c>
      <c r="X716" s="300">
        <v>44635</v>
      </c>
      <c r="Y716" s="299" t="s">
        <v>60</v>
      </c>
      <c r="Z716" s="303">
        <v>1769791.1575559382</v>
      </c>
      <c r="AA716" s="305">
        <f>IF(Z716=0,0,IF(Y716="MXN",1/HLOOKUP(YEAR(X716)+(MONTH(X716)/100),TC!$5:$37,DAY(X716)+2,FALSE),VLOOKUP(Y716,Equivalencia!$1:$23,((MAX(Equivalencia!$3:$3)-YEAR(X716))*14)+MONTH(X716)+2,FALSE)))</f>
        <v>4.7688309210996926E-2</v>
      </c>
      <c r="AB716" s="306">
        <f t="shared" si="195"/>
        <v>84398.347960415762</v>
      </c>
      <c r="AC716" s="305">
        <f>+IF(X716=0,0,HLOOKUP(YEAR(X716)+(MONTH(X716)/100),TC!$5:$37,DAY(X716)+2,FALSE))</f>
        <v>20.9695</v>
      </c>
      <c r="AD716" s="307">
        <f t="shared" si="196"/>
        <v>1769791.1575559382</v>
      </c>
      <c r="AE716" s="314">
        <f t="shared" si="197"/>
        <v>1839665.9348650002</v>
      </c>
      <c r="AF716" s="315">
        <f t="shared" si="198"/>
        <v>-69874.777309061959</v>
      </c>
      <c r="AG716" s="316">
        <f t="shared" si="199"/>
        <v>1.5095890410958903</v>
      </c>
      <c r="AH716" s="314">
        <v>1</v>
      </c>
      <c r="AI716" s="314">
        <f t="shared" si="200"/>
        <v>-69874.777309061959</v>
      </c>
      <c r="AJ716" s="314">
        <f t="shared" si="201"/>
        <v>0</v>
      </c>
      <c r="AK716" s="317"/>
      <c r="AL716" s="315">
        <f t="shared" si="202"/>
        <v>7412.1120182960003</v>
      </c>
      <c r="AN716" s="554">
        <f t="shared" si="203"/>
        <v>4.4339731043252341E-3</v>
      </c>
      <c r="AO716" s="314"/>
      <c r="AP716" s="318"/>
    </row>
    <row r="717" spans="2:42">
      <c r="B717" s="296" t="s">
        <v>1246</v>
      </c>
      <c r="C717" s="299" t="s">
        <v>277</v>
      </c>
      <c r="D717" s="298" t="s">
        <v>907</v>
      </c>
      <c r="E717" s="299" t="s">
        <v>113</v>
      </c>
      <c r="F717" s="299" t="s">
        <v>60</v>
      </c>
      <c r="G717" s="300">
        <v>44167</v>
      </c>
      <c r="H717" s="303">
        <v>1784084.95</v>
      </c>
      <c r="I717" s="301" t="str">
        <f t="shared" si="187"/>
        <v>Ingresos Sección II LISR (SIC &amp; BMV)</v>
      </c>
      <c r="J717" s="302">
        <f t="shared" si="188"/>
        <v>1352</v>
      </c>
      <c r="K717" s="304">
        <f t="shared" si="189"/>
        <v>1319.5894600591716</v>
      </c>
      <c r="L717" s="305">
        <f>IF(H717=0,0,IF(OR(E717=$AT$5,E717=$AT$6),AA717,IF(F717="MXN",1/HLOOKUP(YEAR(G717)+(MONTH(G717)/100),TC!$5:$37,DAY(G717)+2,FALSE),VLOOKUP(F717,Equivalencia!$5:$23,((MAX(Equivalencia!$3:$3)-YEAR(G717))*14)+MONTH(G717)+2,FALSE))))</f>
        <v>4.9652926046931944E-2</v>
      </c>
      <c r="M717" s="306">
        <f t="shared" si="190"/>
        <v>88585.038083794279</v>
      </c>
      <c r="N717" s="305">
        <f>IF(G717=0,0,(IF(OR(E717=$AT$5,E717=$AT$6),AC717,HLOOKUP(YEAR(G717)+(MONTH(G717)/100),TC!$5:$37,DAY(G717)+2,FALSE))))</f>
        <v>20.139800000000001</v>
      </c>
      <c r="O717" s="307">
        <f t="shared" si="191"/>
        <v>1784084.9500000002</v>
      </c>
      <c r="P717" s="560">
        <f>IF(G717=0,0,VLOOKUP(YEAR(G717),INPC!$B$4:$P$30,MONTH(G717)+2))</f>
        <v>109.271</v>
      </c>
      <c r="Q717" s="560">
        <f>IF(X717=0,0,IF(OR(E717=$AT$10,E717=$AT$9),VLOOKUP(YEAR(X717),INPC!$B$4:$P$30,MONTH(X717)+1),VLOOKUP(YEAR(X717),INPC!$B$4:$P$30,MONTH(X717)+2,0)))</f>
        <v>118.98099999999999</v>
      </c>
      <c r="R717" s="309">
        <f t="shared" si="192"/>
        <v>1.0888</v>
      </c>
      <c r="S717" s="310">
        <f t="shared" si="193"/>
        <v>1942511.6935600003</v>
      </c>
      <c r="T717" s="555">
        <f t="shared" si="194"/>
        <v>1436.7690041124263</v>
      </c>
      <c r="U717" s="311"/>
      <c r="V717" s="312">
        <v>1352</v>
      </c>
      <c r="W717" s="299" t="s">
        <v>194</v>
      </c>
      <c r="X717" s="300">
        <v>44635</v>
      </c>
      <c r="Y717" s="299" t="s">
        <v>60</v>
      </c>
      <c r="Z717" s="303">
        <v>1790986.2612392427</v>
      </c>
      <c r="AA717" s="305">
        <f>IF(Z717=0,0,IF(Y717="MXN",1/HLOOKUP(YEAR(X717)+(MONTH(X717)/100),TC!$5:$37,DAY(X717)+2,FALSE),VLOOKUP(Y717,Equivalencia!$1:$23,((MAX(Equivalencia!$3:$3)-YEAR(X717))*14)+MONTH(X717)+2,FALSE)))</f>
        <v>4.7688309210996926E-2</v>
      </c>
      <c r="AB717" s="306">
        <f t="shared" si="195"/>
        <v>85409.106618624326</v>
      </c>
      <c r="AC717" s="305">
        <f>+IF(X717=0,0,HLOOKUP(YEAR(X717)+(MONTH(X717)/100),TC!$5:$37,DAY(X717)+2,FALSE))</f>
        <v>20.9695</v>
      </c>
      <c r="AD717" s="307">
        <f t="shared" si="196"/>
        <v>1790986.2612392427</v>
      </c>
      <c r="AE717" s="314">
        <f t="shared" si="197"/>
        <v>1942511.6935600003</v>
      </c>
      <c r="AF717" s="315">
        <f t="shared" si="198"/>
        <v>-151525.43232075754</v>
      </c>
      <c r="AG717" s="316">
        <f t="shared" si="199"/>
        <v>1.2821917808219179</v>
      </c>
      <c r="AH717" s="314">
        <v>1</v>
      </c>
      <c r="AI717" s="314">
        <f t="shared" si="200"/>
        <v>-151525.43232075754</v>
      </c>
      <c r="AJ717" s="314">
        <f t="shared" si="201"/>
        <v>0</v>
      </c>
      <c r="AK717" s="317"/>
      <c r="AL717" s="315">
        <f t="shared" si="202"/>
        <v>-3175.9314651699533</v>
      </c>
      <c r="AN717" s="554">
        <f t="shared" si="203"/>
        <v>-1.7801458754360061E-3</v>
      </c>
      <c r="AO717" s="314"/>
      <c r="AP717" s="318"/>
    </row>
    <row r="718" spans="2:42">
      <c r="B718" s="296" t="s">
        <v>1246</v>
      </c>
      <c r="C718" s="299" t="s">
        <v>277</v>
      </c>
      <c r="D718" s="298" t="s">
        <v>907</v>
      </c>
      <c r="E718" s="299" t="s">
        <v>113</v>
      </c>
      <c r="F718" s="299" t="s">
        <v>60</v>
      </c>
      <c r="G718" s="300">
        <v>44245</v>
      </c>
      <c r="H718" s="303">
        <v>649867.55000000005</v>
      </c>
      <c r="I718" s="301" t="str">
        <f t="shared" si="187"/>
        <v>Ingresos Sección II LISR (SIC &amp; BMV)</v>
      </c>
      <c r="J718" s="302">
        <f t="shared" si="188"/>
        <v>447</v>
      </c>
      <c r="K718" s="304">
        <f t="shared" si="189"/>
        <v>1453.842393736018</v>
      </c>
      <c r="L718" s="305">
        <f>IF(H718=0,0,IF(OR(E718=$AT$5,E718=$AT$6),AA718,IF(F718="MXN",1/HLOOKUP(YEAR(G718)+(MONTH(G718)/100),TC!$5:$37,DAY(G718)+2,FALSE),VLOOKUP(F718,Equivalencia!$5:$23,((MAX(Equivalencia!$3:$3)-YEAR(G718))*14)+MONTH(G718)+2,FALSE))))</f>
        <v>4.9499314434495081E-2</v>
      </c>
      <c r="M718" s="306">
        <f t="shared" si="190"/>
        <v>32167.998198224956</v>
      </c>
      <c r="N718" s="305">
        <f>IF(G718=0,0,(IF(OR(E718=$AT$5,E718=$AT$6),AC718,HLOOKUP(YEAR(G718)+(MONTH(G718)/100),TC!$5:$37,DAY(G718)+2,FALSE))))</f>
        <v>20.202300000000001</v>
      </c>
      <c r="O718" s="307">
        <f t="shared" si="191"/>
        <v>649867.55000000005</v>
      </c>
      <c r="P718" s="560">
        <f>IF(G718=0,0,VLOOKUP(YEAR(G718),INPC!$B$4:$P$30,MONTH(G718)+2))</f>
        <v>110.907</v>
      </c>
      <c r="Q718" s="560">
        <f>IF(X718=0,0,IF(OR(E718=$AT$10,E718=$AT$9),VLOOKUP(YEAR(X718),INPC!$B$4:$P$30,MONTH(X718)+1),VLOOKUP(YEAR(X718),INPC!$B$4:$P$30,MONTH(X718)+2,0)))</f>
        <v>118.98099999999999</v>
      </c>
      <c r="R718" s="309">
        <f t="shared" si="192"/>
        <v>1.0727</v>
      </c>
      <c r="S718" s="310">
        <f t="shared" si="193"/>
        <v>697112.92088500003</v>
      </c>
      <c r="T718" s="555">
        <f t="shared" si="194"/>
        <v>1559.5367357606265</v>
      </c>
      <c r="U718" s="311"/>
      <c r="V718" s="312">
        <v>447</v>
      </c>
      <c r="W718" s="299" t="s">
        <v>194</v>
      </c>
      <c r="X718" s="300">
        <v>44635</v>
      </c>
      <c r="Y718" s="299" t="s">
        <v>60</v>
      </c>
      <c r="Z718" s="303">
        <v>592138.20915232366</v>
      </c>
      <c r="AA718" s="305">
        <f>IF(Z718=0,0,IF(Y718="MXN",1/HLOOKUP(YEAR(X718)+(MONTH(X718)/100),TC!$5:$37,DAY(X718)+2,FALSE),VLOOKUP(Y718,Equivalencia!$1:$23,((MAX(Equivalencia!$3:$3)-YEAR(X718))*14)+MONTH(X718)+2,FALSE)))</f>
        <v>4.7688309210996926E-2</v>
      </c>
      <c r="AB718" s="306">
        <f t="shared" si="195"/>
        <v>28238.070013701981</v>
      </c>
      <c r="AC718" s="305">
        <f>+IF(X718=0,0,HLOOKUP(YEAR(X718)+(MONTH(X718)/100),TC!$5:$37,DAY(X718)+2,FALSE))</f>
        <v>20.9695</v>
      </c>
      <c r="AD718" s="307">
        <f t="shared" si="196"/>
        <v>592138.20915232366</v>
      </c>
      <c r="AE718" s="314">
        <f t="shared" si="197"/>
        <v>697112.92088500003</v>
      </c>
      <c r="AF718" s="315">
        <f t="shared" si="198"/>
        <v>-104974.71173267637</v>
      </c>
      <c r="AG718" s="316">
        <f t="shared" si="199"/>
        <v>1.0684931506849316</v>
      </c>
      <c r="AH718" s="314">
        <v>1</v>
      </c>
      <c r="AI718" s="314">
        <f t="shared" si="200"/>
        <v>-104974.71173267637</v>
      </c>
      <c r="AJ718" s="314">
        <f t="shared" si="201"/>
        <v>0</v>
      </c>
      <c r="AK718" s="317"/>
      <c r="AL718" s="315">
        <f t="shared" si="202"/>
        <v>-3929.9281845229743</v>
      </c>
      <c r="AN718" s="554">
        <f t="shared" si="203"/>
        <v>-6.0472756095037734E-3</v>
      </c>
      <c r="AO718" s="314"/>
      <c r="AP718" s="318"/>
    </row>
    <row r="719" spans="2:42">
      <c r="B719" s="296" t="s">
        <v>1246</v>
      </c>
      <c r="C719" s="299" t="s">
        <v>277</v>
      </c>
      <c r="D719" s="298" t="s">
        <v>908</v>
      </c>
      <c r="E719" s="299" t="s">
        <v>113</v>
      </c>
      <c r="F719" s="299" t="s">
        <v>60</v>
      </c>
      <c r="G719" s="300">
        <v>44601</v>
      </c>
      <c r="H719" s="303">
        <v>312940.48354154034</v>
      </c>
      <c r="I719" s="301" t="str">
        <f t="shared" si="187"/>
        <v>Ingresos Sección II LISR (SIC &amp; BMV)</v>
      </c>
      <c r="J719" s="302">
        <f t="shared" si="188"/>
        <v>312</v>
      </c>
      <c r="K719" s="304">
        <f t="shared" si="189"/>
        <v>1003.0143703254498</v>
      </c>
      <c r="L719" s="305">
        <f>IF(H719=0,0,IF(OR(E719=$AT$5,E719=$AT$6),AA719,IF(F719="MXN",1/HLOOKUP(YEAR(G719)+(MONTH(G719)/100),TC!$5:$37,DAY(G719)+2,FALSE),VLOOKUP(F719,Equivalencia!$5:$23,((MAX(Equivalencia!$3:$3)-YEAR(G719))*14)+MONTH(G719)+2,FALSE))))</f>
        <v>4.8233449897503916E-2</v>
      </c>
      <c r="M719" s="306">
        <f t="shared" si="190"/>
        <v>15094.199133801534</v>
      </c>
      <c r="N719" s="305">
        <f>IF(G719=0,0,(IF(OR(E719=$AT$5,E719=$AT$6),AC719,HLOOKUP(YEAR(G719)+(MONTH(G719)/100),TC!$5:$37,DAY(G719)+2,FALSE))))</f>
        <v>20.732500000000002</v>
      </c>
      <c r="O719" s="307">
        <f t="shared" si="191"/>
        <v>312940.48354154034</v>
      </c>
      <c r="P719" s="560">
        <f>IF(G719=0,0,VLOOKUP(YEAR(G719),INPC!$B$4:$P$30,MONTH(G719)+2))</f>
        <v>118.98099999999999</v>
      </c>
      <c r="Q719" s="560">
        <f>IF(X719=0,0,IF(OR(E719=$AT$10,E719=$AT$9),VLOOKUP(YEAR(X719),INPC!$B$4:$P$30,MONTH(X719)+1),VLOOKUP(YEAR(X719),INPC!$B$4:$P$30,MONTH(X719)+2,0)))</f>
        <v>118.98099999999999</v>
      </c>
      <c r="R719" s="309">
        <f t="shared" si="192"/>
        <v>1</v>
      </c>
      <c r="S719" s="310">
        <f t="shared" si="193"/>
        <v>312940.48354154034</v>
      </c>
      <c r="T719" s="555">
        <f t="shared" si="194"/>
        <v>1003.0143703254498</v>
      </c>
      <c r="U719" s="311"/>
      <c r="V719" s="312">
        <v>312</v>
      </c>
      <c r="W719" s="299" t="s">
        <v>194</v>
      </c>
      <c r="X719" s="300">
        <v>44635</v>
      </c>
      <c r="Y719" s="299" t="s">
        <v>60</v>
      </c>
      <c r="Z719" s="303">
        <v>306816.31</v>
      </c>
      <c r="AA719" s="305">
        <f>IF(Z719=0,0,IF(Y719="MXN",1/HLOOKUP(YEAR(X719)+(MONTH(X719)/100),TC!$5:$37,DAY(X719)+2,FALSE),VLOOKUP(Y719,Equivalencia!$1:$23,((MAX(Equivalencia!$3:$3)-YEAR(X719))*14)+MONTH(X719)+2,FALSE)))</f>
        <v>4.7688309210996926E-2</v>
      </c>
      <c r="AB719" s="306">
        <f t="shared" si="195"/>
        <v>14631.551062257089</v>
      </c>
      <c r="AC719" s="305">
        <f>+IF(X719=0,0,HLOOKUP(YEAR(X719)+(MONTH(X719)/100),TC!$5:$37,DAY(X719)+2,FALSE))</f>
        <v>20.9695</v>
      </c>
      <c r="AD719" s="307">
        <f t="shared" si="196"/>
        <v>306816.31000000006</v>
      </c>
      <c r="AE719" s="314">
        <f t="shared" si="197"/>
        <v>312940.48354154034</v>
      </c>
      <c r="AF719" s="315">
        <f t="shared" si="198"/>
        <v>-6124.17354154028</v>
      </c>
      <c r="AG719" s="316">
        <f t="shared" si="199"/>
        <v>9.3150684931506855E-2</v>
      </c>
      <c r="AH719" s="314">
        <v>1</v>
      </c>
      <c r="AI719" s="314">
        <f t="shared" si="200"/>
        <v>-6124.17354154028</v>
      </c>
      <c r="AJ719" s="314">
        <f t="shared" si="201"/>
        <v>0</v>
      </c>
      <c r="AK719" s="317"/>
      <c r="AL719" s="315">
        <f t="shared" si="202"/>
        <v>-462.64807154444497</v>
      </c>
      <c r="AN719" s="554">
        <f t="shared" si="203"/>
        <v>-1.47838996830537E-3</v>
      </c>
      <c r="AO719" s="314"/>
      <c r="AP719" s="318"/>
    </row>
    <row r="720" spans="2:42">
      <c r="B720" s="296" t="s">
        <v>1246</v>
      </c>
      <c r="C720" s="299" t="s">
        <v>277</v>
      </c>
      <c r="D720" s="298" t="s">
        <v>865</v>
      </c>
      <c r="E720" s="299" t="s">
        <v>113</v>
      </c>
      <c r="F720" s="299" t="s">
        <v>60</v>
      </c>
      <c r="G720" s="300">
        <v>43752</v>
      </c>
      <c r="H720" s="303">
        <v>629148.33733681461</v>
      </c>
      <c r="I720" s="301" t="str">
        <f t="shared" si="187"/>
        <v>Ingresos Sección II LISR (SIC &amp; BMV)</v>
      </c>
      <c r="J720" s="302">
        <f t="shared" si="188"/>
        <v>352</v>
      </c>
      <c r="K720" s="304">
        <f t="shared" si="189"/>
        <v>1787.3532310704961</v>
      </c>
      <c r="L720" s="305">
        <f>IF(H720=0,0,IF(OR(E720=$AT$5,E720=$AT$6),AA720,IF(F720="MXN",1/HLOOKUP(YEAR(G720)+(MONTH(G720)/100),TC!$5:$37,DAY(G720)+2,FALSE),VLOOKUP(F720,Equivalencia!$5:$23,((MAX(Equivalencia!$3:$3)-YEAR(G720))*14)+MONTH(G720)+2,FALSE))))</f>
        <v>5.1344190918239503E-2</v>
      </c>
      <c r="M720" s="306">
        <f t="shared" si="190"/>
        <v>32303.112348114359</v>
      </c>
      <c r="N720" s="305">
        <f>IF(G720=0,0,(IF(OR(E720=$AT$5,E720=$AT$6),AC720,HLOOKUP(YEAR(G720)+(MONTH(G720)/100),TC!$5:$37,DAY(G720)+2,FALSE))))</f>
        <v>19.476400000000002</v>
      </c>
      <c r="O720" s="307">
        <f t="shared" si="191"/>
        <v>629148.3373368145</v>
      </c>
      <c r="P720" s="560">
        <f>IF(G720=0,0,VLOOKUP(YEAR(G720),INPC!$B$4:$P$30,MONTH(G720)+2))</f>
        <v>104.503</v>
      </c>
      <c r="Q720" s="560">
        <f>IF(X720=0,0,IF(OR(E720=$AT$10,E720=$AT$9),VLOOKUP(YEAR(X720),INPC!$B$4:$P$30,MONTH(X720)+1),VLOOKUP(YEAR(X720),INPC!$B$4:$P$30,MONTH(X720)+2,0)))</f>
        <v>118.98099999999999</v>
      </c>
      <c r="R720" s="309">
        <f t="shared" si="192"/>
        <v>1.1385000000000001</v>
      </c>
      <c r="S720" s="310">
        <f t="shared" si="193"/>
        <v>716285.3820579634</v>
      </c>
      <c r="T720" s="555">
        <f t="shared" si="194"/>
        <v>2034.9016535737596</v>
      </c>
      <c r="U720" s="311"/>
      <c r="V720" s="312">
        <v>352</v>
      </c>
      <c r="W720" s="299" t="s">
        <v>194</v>
      </c>
      <c r="X720" s="300">
        <v>44635</v>
      </c>
      <c r="Y720" s="299" t="s">
        <v>60</v>
      </c>
      <c r="Z720" s="303">
        <v>917185.89000000013</v>
      </c>
      <c r="AA720" s="305">
        <f>IF(Z720=0,0,IF(Y720="MXN",1/HLOOKUP(YEAR(X720)+(MONTH(X720)/100),TC!$5:$37,DAY(X720)+2,FALSE),VLOOKUP(Y720,Equivalencia!$1:$23,((MAX(Equivalencia!$3:$3)-YEAR(X720))*14)+MONTH(X720)+2,FALSE)))</f>
        <v>4.7688309210996926E-2</v>
      </c>
      <c r="AB720" s="306">
        <f t="shared" si="195"/>
        <v>43739.044326283423</v>
      </c>
      <c r="AC720" s="305">
        <f>+IF(X720=0,0,HLOOKUP(YEAR(X720)+(MONTH(X720)/100),TC!$5:$37,DAY(X720)+2,FALSE))</f>
        <v>20.9695</v>
      </c>
      <c r="AD720" s="307">
        <f t="shared" si="196"/>
        <v>917185.89000000025</v>
      </c>
      <c r="AE720" s="314">
        <f t="shared" si="197"/>
        <v>716285.3820579634</v>
      </c>
      <c r="AF720" s="315">
        <f t="shared" si="198"/>
        <v>200900.50794203684</v>
      </c>
      <c r="AG720" s="316">
        <f t="shared" si="199"/>
        <v>2.419178082191781</v>
      </c>
      <c r="AH720" s="314">
        <v>1</v>
      </c>
      <c r="AI720" s="314">
        <f t="shared" si="200"/>
        <v>200900.50794203684</v>
      </c>
      <c r="AJ720" s="314">
        <f t="shared" si="201"/>
        <v>0</v>
      </c>
      <c r="AK720" s="317"/>
      <c r="AL720" s="315">
        <f t="shared" si="202"/>
        <v>11435.931978169065</v>
      </c>
      <c r="AN720" s="554">
        <f t="shared" si="203"/>
        <v>1.8176845267647648E-2</v>
      </c>
      <c r="AO720" s="314"/>
      <c r="AP720" s="318"/>
    </row>
    <row r="721" spans="2:42">
      <c r="B721" s="296" t="s">
        <v>1246</v>
      </c>
      <c r="C721" s="299" t="s">
        <v>277</v>
      </c>
      <c r="D721" s="298" t="s">
        <v>863</v>
      </c>
      <c r="E721" s="299" t="s">
        <v>113</v>
      </c>
      <c r="F721" s="299" t="s">
        <v>60</v>
      </c>
      <c r="G721" s="300">
        <v>43649</v>
      </c>
      <c r="H721" s="303">
        <v>2705560.7150884005</v>
      </c>
      <c r="I721" s="301" t="str">
        <f t="shared" si="187"/>
        <v>Ingresos Sección II LISR (SIC &amp; BMV)</v>
      </c>
      <c r="J721" s="302">
        <f t="shared" si="188"/>
        <v>2549</v>
      </c>
      <c r="K721" s="304">
        <f t="shared" si="189"/>
        <v>1061.4204453073364</v>
      </c>
      <c r="L721" s="305">
        <f>IF(H721=0,0,IF(OR(E721=$AT$5,E721=$AT$6),AA721,IF(F721="MXN",1/HLOOKUP(YEAR(G721)+(MONTH(G721)/100),TC!$5:$37,DAY(G721)+2,FALSE),VLOOKUP(F721,Equivalencia!$5:$23,((MAX(Equivalencia!$3:$3)-YEAR(G721))*14)+MONTH(G721)+2,FALSE))))</f>
        <v>5.2421891381841057E-2</v>
      </c>
      <c r="M721" s="306">
        <f t="shared" si="190"/>
        <v>141830.60993334034</v>
      </c>
      <c r="N721" s="305">
        <f>IF(G721=0,0,(IF(OR(E721=$AT$5,E721=$AT$6),AC721,HLOOKUP(YEAR(G721)+(MONTH(G721)/100),TC!$5:$37,DAY(G721)+2,FALSE))))</f>
        <v>19.076000000000001</v>
      </c>
      <c r="O721" s="307">
        <f t="shared" si="191"/>
        <v>2705560.7150884005</v>
      </c>
      <c r="P721" s="560">
        <f>IF(G721=0,0,VLOOKUP(YEAR(G721),INPC!$B$4:$P$30,MONTH(G721)+2))</f>
        <v>103.687</v>
      </c>
      <c r="Q721" s="560">
        <f>IF(X721=0,0,IF(OR(E721=$AT$10,E721=$AT$9),VLOOKUP(YEAR(X721),INPC!$B$4:$P$30,MONTH(X721)+1),VLOOKUP(YEAR(X721),INPC!$B$4:$P$30,MONTH(X721)+2,0)))</f>
        <v>118.98099999999999</v>
      </c>
      <c r="R721" s="309">
        <f t="shared" si="192"/>
        <v>1.1475</v>
      </c>
      <c r="S721" s="310">
        <f t="shared" si="193"/>
        <v>3104630.9205639395</v>
      </c>
      <c r="T721" s="555">
        <f t="shared" si="194"/>
        <v>1217.9799609901686</v>
      </c>
      <c r="U721" s="311"/>
      <c r="V721" s="312">
        <v>2549</v>
      </c>
      <c r="W721" s="299" t="s">
        <v>194</v>
      </c>
      <c r="X721" s="300">
        <v>44635</v>
      </c>
      <c r="Y721" s="299" t="s">
        <v>60</v>
      </c>
      <c r="Z721" s="303">
        <v>3150876.61</v>
      </c>
      <c r="AA721" s="305">
        <f>IF(Z721=0,0,IF(Y721="MXN",1/HLOOKUP(YEAR(X721)+(MONTH(X721)/100),TC!$5:$37,DAY(X721)+2,FALSE),VLOOKUP(Y721,Equivalencia!$1:$23,((MAX(Equivalencia!$3:$3)-YEAR(X721))*14)+MONTH(X721)+2,FALSE)))</f>
        <v>4.7688309210996926E-2</v>
      </c>
      <c r="AB721" s="306">
        <f t="shared" si="195"/>
        <v>150259.97806337776</v>
      </c>
      <c r="AC721" s="305">
        <f>+IF(X721=0,0,HLOOKUP(YEAR(X721)+(MONTH(X721)/100),TC!$5:$37,DAY(X721)+2,FALSE))</f>
        <v>20.9695</v>
      </c>
      <c r="AD721" s="307">
        <f t="shared" si="196"/>
        <v>3150876.61</v>
      </c>
      <c r="AE721" s="314">
        <f t="shared" si="197"/>
        <v>3104630.92056394</v>
      </c>
      <c r="AF721" s="315">
        <f t="shared" si="198"/>
        <v>46245.689436059911</v>
      </c>
      <c r="AG721" s="316">
        <f t="shared" si="199"/>
        <v>2.7013698630136984</v>
      </c>
      <c r="AH721" s="314">
        <v>1</v>
      </c>
      <c r="AI721" s="314">
        <f t="shared" si="200"/>
        <v>46245.689436059911</v>
      </c>
      <c r="AJ721" s="314">
        <f t="shared" si="201"/>
        <v>0</v>
      </c>
      <c r="AK721" s="317"/>
      <c r="AL721" s="315">
        <f t="shared" si="202"/>
        <v>8429.3681300374155</v>
      </c>
      <c r="AN721" s="554">
        <f t="shared" si="203"/>
        <v>3.1155716014903763E-3</v>
      </c>
      <c r="AO721" s="314"/>
      <c r="AP721" s="318"/>
    </row>
    <row r="722" spans="2:42">
      <c r="B722" s="296" t="s">
        <v>1246</v>
      </c>
      <c r="C722" s="299" t="s">
        <v>277</v>
      </c>
      <c r="D722" s="298" t="s">
        <v>909</v>
      </c>
      <c r="E722" s="299" t="s">
        <v>113</v>
      </c>
      <c r="F722" s="299" t="s">
        <v>60</v>
      </c>
      <c r="G722" s="300">
        <v>43649</v>
      </c>
      <c r="H722" s="303">
        <v>851598.63699516747</v>
      </c>
      <c r="I722" s="301" t="str">
        <f t="shared" si="187"/>
        <v>Ingresos Sección II LISR (SIC &amp; BMV)</v>
      </c>
      <c r="J722" s="302">
        <f t="shared" si="188"/>
        <v>635</v>
      </c>
      <c r="K722" s="304">
        <f t="shared" si="189"/>
        <v>1341.1002157404212</v>
      </c>
      <c r="L722" s="305">
        <f>IF(H722=0,0,IF(OR(E722=$AT$5,E722=$AT$6),AA722,IF(F722="MXN",1/HLOOKUP(YEAR(G722)+(MONTH(G722)/100),TC!$5:$37,DAY(G722)+2,FALSE),VLOOKUP(F722,Equivalencia!$5:$23,((MAX(Equivalencia!$3:$3)-YEAR(G722))*14)+MONTH(G722)+2,FALSE))))</f>
        <v>5.2421891381841057E-2</v>
      </c>
      <c r="M722" s="306">
        <f t="shared" si="190"/>
        <v>44642.411249484561</v>
      </c>
      <c r="N722" s="305">
        <f>IF(G722=0,0,(IF(OR(E722=$AT$5,E722=$AT$6),AC722,HLOOKUP(YEAR(G722)+(MONTH(G722)/100),TC!$5:$37,DAY(G722)+2,FALSE))))</f>
        <v>19.076000000000001</v>
      </c>
      <c r="O722" s="307">
        <f t="shared" si="191"/>
        <v>851598.63699516747</v>
      </c>
      <c r="P722" s="560">
        <f>IF(G722=0,0,VLOOKUP(YEAR(G722),INPC!$B$4:$P$30,MONTH(G722)+2))</f>
        <v>103.687</v>
      </c>
      <c r="Q722" s="560">
        <f>IF(X722=0,0,IF(OR(E722=$AT$10,E722=$AT$9),VLOOKUP(YEAR(X722),INPC!$B$4:$P$30,MONTH(X722)+1),VLOOKUP(YEAR(X722),INPC!$B$4:$P$30,MONTH(X722)+2,0)))</f>
        <v>118.98099999999999</v>
      </c>
      <c r="R722" s="309">
        <f t="shared" si="192"/>
        <v>1.1475</v>
      </c>
      <c r="S722" s="310">
        <f t="shared" si="193"/>
        <v>977209.43595195469</v>
      </c>
      <c r="T722" s="555">
        <f t="shared" si="194"/>
        <v>1538.9124975621335</v>
      </c>
      <c r="U722" s="311"/>
      <c r="V722" s="312">
        <v>635</v>
      </c>
      <c r="W722" s="299" t="s">
        <v>194</v>
      </c>
      <c r="X722" s="300">
        <v>44635</v>
      </c>
      <c r="Y722" s="299" t="s">
        <v>60</v>
      </c>
      <c r="Z722" s="303">
        <v>913263.57</v>
      </c>
      <c r="AA722" s="305">
        <f>IF(Z722=0,0,IF(Y722="MXN",1/HLOOKUP(YEAR(X722)+(MONTH(X722)/100),TC!$5:$37,DAY(X722)+2,FALSE),VLOOKUP(Y722,Equivalencia!$1:$23,((MAX(Equivalencia!$3:$3)-YEAR(X722))*14)+MONTH(X722)+2,FALSE)))</f>
        <v>4.7688309210996926E-2</v>
      </c>
      <c r="AB722" s="306">
        <f t="shared" si="195"/>
        <v>43551.995517298936</v>
      </c>
      <c r="AC722" s="305">
        <f>+IF(X722=0,0,HLOOKUP(YEAR(X722)+(MONTH(X722)/100),TC!$5:$37,DAY(X722)+2,FALSE))</f>
        <v>20.9695</v>
      </c>
      <c r="AD722" s="307">
        <f t="shared" si="196"/>
        <v>913263.57000000007</v>
      </c>
      <c r="AE722" s="314">
        <f t="shared" si="197"/>
        <v>977209.4359519548</v>
      </c>
      <c r="AF722" s="315">
        <f t="shared" si="198"/>
        <v>-63945.865951954736</v>
      </c>
      <c r="AG722" s="316">
        <f t="shared" si="199"/>
        <v>2.7013698630136984</v>
      </c>
      <c r="AH722" s="314">
        <v>1</v>
      </c>
      <c r="AI722" s="314">
        <f t="shared" si="200"/>
        <v>-63945.865951954736</v>
      </c>
      <c r="AJ722" s="314">
        <f t="shared" si="201"/>
        <v>0</v>
      </c>
      <c r="AK722" s="317"/>
      <c r="AL722" s="315">
        <f t="shared" si="202"/>
        <v>-1090.4157321856255</v>
      </c>
      <c r="AN722" s="554">
        <f t="shared" si="203"/>
        <v>-1.28043386263876E-3</v>
      </c>
      <c r="AO722" s="314"/>
      <c r="AP722" s="318"/>
    </row>
    <row r="723" spans="2:42">
      <c r="B723" s="296"/>
      <c r="C723" s="299"/>
      <c r="D723" s="298"/>
      <c r="E723" s="299"/>
      <c r="F723" s="299"/>
      <c r="G723" s="300"/>
      <c r="H723" s="303"/>
      <c r="I723" s="301">
        <f t="shared" si="187"/>
        <v>0</v>
      </c>
      <c r="J723" s="302">
        <f t="shared" si="188"/>
        <v>0</v>
      </c>
      <c r="K723" s="304">
        <f t="shared" si="189"/>
        <v>0</v>
      </c>
      <c r="L723" s="305">
        <f>IF(H723=0,0,IF(OR(E723=$AT$5,E723=$AT$6),AA723,IF(F723="MXN",1/HLOOKUP(YEAR(G723)+(MONTH(G723)/100),TC!$5:$37,DAY(G723)+2,FALSE),VLOOKUP(F723,Equivalencia!$5:$23,((MAX(Equivalencia!$3:$3)-YEAR(G723))*14)+MONTH(G723)+2,FALSE))))</f>
        <v>0</v>
      </c>
      <c r="M723" s="306">
        <f t="shared" si="190"/>
        <v>0</v>
      </c>
      <c r="N723" s="305">
        <f>IF(G723=0,0,(IF(OR(E723=$AT$5,E723=$AT$6),AC723,HLOOKUP(YEAR(G723)+(MONTH(G723)/100),TC!$5:$37,DAY(G723)+2,FALSE))))</f>
        <v>0</v>
      </c>
      <c r="O723" s="307">
        <f t="shared" si="191"/>
        <v>0</v>
      </c>
      <c r="P723" s="560">
        <f>IF(G723=0,0,VLOOKUP(YEAR(G723),INPC!$B$4:$P$30,MONTH(G723)+2))</f>
        <v>0</v>
      </c>
      <c r="Q723" s="560">
        <f>IF(X723=0,0,IF(OR(E723=$AT$10,E723=$AT$9),VLOOKUP(YEAR(X723),INPC!$B$4:$P$30,MONTH(X723)+1),VLOOKUP(YEAR(X723),INPC!$B$4:$P$30,MONTH(X723)+2,0)))</f>
        <v>0</v>
      </c>
      <c r="R723" s="309">
        <f t="shared" si="192"/>
        <v>0</v>
      </c>
      <c r="S723" s="310">
        <f t="shared" si="193"/>
        <v>0</v>
      </c>
      <c r="T723" s="555">
        <f t="shared" si="194"/>
        <v>0</v>
      </c>
      <c r="U723" s="311"/>
      <c r="V723" s="312"/>
      <c r="W723" s="299"/>
      <c r="X723" s="300"/>
      <c r="Y723" s="299"/>
      <c r="Z723" s="303"/>
      <c r="AA723" s="305">
        <f>IF(Z723=0,0,IF(Y723="MXN",1/HLOOKUP(YEAR(X723)+(MONTH(X723)/100),TC!$5:$37,DAY(X723)+2,FALSE),VLOOKUP(Y723,Equivalencia!$1:$23,((MAX(Equivalencia!$3:$3)-YEAR(X723))*14)+MONTH(X723)+2,FALSE)))</f>
        <v>0</v>
      </c>
      <c r="AB723" s="306">
        <f t="shared" si="195"/>
        <v>0</v>
      </c>
      <c r="AC723" s="305">
        <f>+IF(X723=0,0,HLOOKUP(YEAR(X723)+(MONTH(X723)/100),TC!$5:$37,DAY(X723)+2,FALSE))</f>
        <v>0</v>
      </c>
      <c r="AD723" s="307">
        <f t="shared" si="196"/>
        <v>0</v>
      </c>
      <c r="AE723" s="314">
        <f t="shared" si="197"/>
        <v>0</v>
      </c>
      <c r="AF723" s="315">
        <f t="shared" si="198"/>
        <v>0</v>
      </c>
      <c r="AG723" s="316">
        <f t="shared" si="199"/>
        <v>0</v>
      </c>
      <c r="AH723" s="314">
        <v>1</v>
      </c>
      <c r="AI723" s="314">
        <f t="shared" si="200"/>
        <v>0</v>
      </c>
      <c r="AJ723" s="314">
        <f t="shared" si="201"/>
        <v>0</v>
      </c>
      <c r="AK723" s="317"/>
      <c r="AL723" s="315">
        <f t="shared" si="202"/>
        <v>0</v>
      </c>
      <c r="AN723" s="554">
        <f t="shared" si="203"/>
        <v>0</v>
      </c>
      <c r="AO723" s="314"/>
      <c r="AP723" s="318"/>
    </row>
    <row r="724" spans="2:42">
      <c r="B724" s="296" t="s">
        <v>1266</v>
      </c>
      <c r="C724" s="299" t="s">
        <v>277</v>
      </c>
      <c r="D724" s="298" t="s">
        <v>938</v>
      </c>
      <c r="E724" s="299" t="s">
        <v>106</v>
      </c>
      <c r="F724" s="299" t="s">
        <v>59</v>
      </c>
      <c r="G724" s="300">
        <v>44720</v>
      </c>
      <c r="H724" s="682">
        <v>5370.18</v>
      </c>
      <c r="I724" s="301" t="str">
        <f t="shared" si="187"/>
        <v>Ingresos Sección I LISR</v>
      </c>
      <c r="J724" s="302">
        <f t="shared" si="188"/>
        <v>41</v>
      </c>
      <c r="K724" s="304">
        <f t="shared" si="189"/>
        <v>130.98000000000002</v>
      </c>
      <c r="L724" s="305">
        <f>IF(H724=0,0,IF(OR(E724=$AT$5,E724=$AT$6),AA724,IF(F724="MXN",1/HLOOKUP(YEAR(G724)+(MONTH(G724)/100),TC!$5:$37,DAY(G724)+2,FALSE),VLOOKUP(F724,Equivalencia!$5:$23,((MAX(Equivalencia!$3:$3)-YEAR(G724))*14)+MONTH(G724)+2,FALSE))))</f>
        <v>1</v>
      </c>
      <c r="M724" s="306">
        <f t="shared" si="190"/>
        <v>5370.18</v>
      </c>
      <c r="N724" s="305">
        <f>IF(G724=0,0,(IF(OR(E724=$AT$5,E724=$AT$6),AC724,HLOOKUP(YEAR(G724)+(MONTH(G724)/100),TC!$5:$37,DAY(G724)+2,FALSE))))</f>
        <v>19.5547</v>
      </c>
      <c r="O724" s="307">
        <f t="shared" si="191"/>
        <v>105012.25884600001</v>
      </c>
      <c r="P724" s="560">
        <f>IF(G724=0,0,VLOOKUP(YEAR(G724),INPC!$B$4:$P$30,MONTH(G724)+2))</f>
        <v>122.044</v>
      </c>
      <c r="Q724" s="560">
        <f>IF(X724=0,0,IF(OR(E724=$AT$10,E724=$AT$9),VLOOKUP(YEAR(X724),INPC!$B$4:$P$30,MONTH(X724)+1),VLOOKUP(YEAR(X724),INPC!$B$4:$P$30,MONTH(X724)+2,0)))</f>
        <v>122.94799999999999</v>
      </c>
      <c r="R724" s="309">
        <f t="shared" si="192"/>
        <v>1.0074000000000001</v>
      </c>
      <c r="S724" s="310">
        <f t="shared" si="193"/>
        <v>105789.34956146042</v>
      </c>
      <c r="T724" s="555">
        <f t="shared" si="194"/>
        <v>2580.2280380844004</v>
      </c>
      <c r="U724" s="311"/>
      <c r="V724" s="312">
        <v>41</v>
      </c>
      <c r="W724" s="299" t="s">
        <v>194</v>
      </c>
      <c r="X724" s="300">
        <v>44755</v>
      </c>
      <c r="Y724" s="299" t="s">
        <v>59</v>
      </c>
      <c r="Z724" s="682">
        <v>5209.78</v>
      </c>
      <c r="AA724" s="305">
        <f>IF(Z724=0,0,IF(Y724="MXN",1/HLOOKUP(YEAR(X724)+(MONTH(X724)/100),TC!$5:$37,DAY(X724)+2,FALSE),VLOOKUP(Y724,Equivalencia!$1:$23,((MAX(Equivalencia!$3:$3)-YEAR(X724))*14)+MONTH(X724)+2,FALSE)))</f>
        <v>1</v>
      </c>
      <c r="AB724" s="306">
        <f t="shared" si="195"/>
        <v>5209.78</v>
      </c>
      <c r="AC724" s="305">
        <f>+IF(X724=0,0,HLOOKUP(YEAR(X724)+(MONTH(X724)/100),TC!$5:$37,DAY(X724)+2,FALSE))</f>
        <v>20.747299999999999</v>
      </c>
      <c r="AD724" s="307">
        <f t="shared" si="196"/>
        <v>108088.86859399999</v>
      </c>
      <c r="AE724" s="314">
        <f t="shared" si="197"/>
        <v>105789.34956146042</v>
      </c>
      <c r="AF724" s="315">
        <f t="shared" si="198"/>
        <v>2299.519032539567</v>
      </c>
      <c r="AG724" s="316">
        <f t="shared" si="199"/>
        <v>9.5890410958904104E-2</v>
      </c>
      <c r="AH724" s="314">
        <v>1</v>
      </c>
      <c r="AI724" s="314">
        <f t="shared" si="200"/>
        <v>2299.519032539567</v>
      </c>
      <c r="AJ724" s="314">
        <f t="shared" si="201"/>
        <v>0</v>
      </c>
      <c r="AK724" s="317"/>
      <c r="AL724" s="315">
        <f t="shared" si="202"/>
        <v>-160.40000000000055</v>
      </c>
      <c r="AN724" s="554">
        <f t="shared" si="203"/>
        <v>-2.9868644998864196E-2</v>
      </c>
      <c r="AO724" s="314"/>
      <c r="AP724" s="318"/>
    </row>
    <row r="725" spans="2:42">
      <c r="B725" s="296" t="s">
        <v>1266</v>
      </c>
      <c r="C725" s="299" t="s">
        <v>277</v>
      </c>
      <c r="D725" s="298" t="s">
        <v>939</v>
      </c>
      <c r="E725" s="299" t="s">
        <v>113</v>
      </c>
      <c r="F725" s="299" t="s">
        <v>59</v>
      </c>
      <c r="G725" s="300">
        <v>44720</v>
      </c>
      <c r="H725" s="682">
        <v>4393.8</v>
      </c>
      <c r="I725" s="301" t="str">
        <f t="shared" si="187"/>
        <v>Ingresos Sección II LISR (SIC &amp; BMV)</v>
      </c>
      <c r="J725" s="302">
        <f t="shared" si="188"/>
        <v>329</v>
      </c>
      <c r="K725" s="304">
        <f t="shared" si="189"/>
        <v>13.35501519756839</v>
      </c>
      <c r="L725" s="305">
        <f>IF(H725=0,0,IF(OR(E725=$AT$5,E725=$AT$6),AA725,IF(F725="MXN",1/HLOOKUP(YEAR(G725)+(MONTH(G725)/100),TC!$5:$37,DAY(G725)+2,FALSE),VLOOKUP(F725,Equivalencia!$5:$23,((MAX(Equivalencia!$3:$3)-YEAR(G725))*14)+MONTH(G725)+2,FALSE))))</f>
        <v>1</v>
      </c>
      <c r="M725" s="306">
        <f t="shared" si="190"/>
        <v>4393.8</v>
      </c>
      <c r="N725" s="305">
        <f>IF(G725=0,0,(IF(OR(E725=$AT$5,E725=$AT$6),AC725,HLOOKUP(YEAR(G725)+(MONTH(G725)/100),TC!$5:$37,DAY(G725)+2,FALSE))))</f>
        <v>19.5547</v>
      </c>
      <c r="O725" s="307">
        <f t="shared" si="191"/>
        <v>85919.440860000002</v>
      </c>
      <c r="P725" s="560">
        <f>IF(G725=0,0,VLOOKUP(YEAR(G725),INPC!$B$4:$P$30,MONTH(G725)+2))</f>
        <v>122.044</v>
      </c>
      <c r="Q725" s="560">
        <f>IF(X725=0,0,IF(OR(E725=$AT$10,E725=$AT$9),VLOOKUP(YEAR(X725),INPC!$B$4:$P$30,MONTH(X725)+1),VLOOKUP(YEAR(X725),INPC!$B$4:$P$30,MONTH(X725)+2,0)))</f>
        <v>122.044</v>
      </c>
      <c r="R725" s="309">
        <f t="shared" si="192"/>
        <v>1</v>
      </c>
      <c r="S725" s="310">
        <f t="shared" si="193"/>
        <v>85919.440860000002</v>
      </c>
      <c r="T725" s="555">
        <f t="shared" si="194"/>
        <v>261.15331568389058</v>
      </c>
      <c r="U725" s="311"/>
      <c r="V725" s="312">
        <v>329</v>
      </c>
      <c r="W725" s="299" t="s">
        <v>194</v>
      </c>
      <c r="X725" s="300">
        <v>44755</v>
      </c>
      <c r="Y725" s="299" t="s">
        <v>59</v>
      </c>
      <c r="Z725" s="682">
        <v>4069.28</v>
      </c>
      <c r="AA725" s="305">
        <f>IF(Z725=0,0,IF(Y725="MXN",1/HLOOKUP(YEAR(X725)+(MONTH(X725)/100),TC!$5:$37,DAY(X725)+2,FALSE),VLOOKUP(Y725,Equivalencia!$1:$23,((MAX(Equivalencia!$3:$3)-YEAR(X725))*14)+MONTH(X725)+2,FALSE)))</f>
        <v>1</v>
      </c>
      <c r="AB725" s="306">
        <f t="shared" si="195"/>
        <v>4069.28</v>
      </c>
      <c r="AC725" s="305">
        <f>+IF(X725=0,0,HLOOKUP(YEAR(X725)+(MONTH(X725)/100),TC!$5:$37,DAY(X725)+2,FALSE))</f>
        <v>20.747299999999999</v>
      </c>
      <c r="AD725" s="307">
        <f t="shared" si="196"/>
        <v>84426.572944</v>
      </c>
      <c r="AE725" s="314">
        <f t="shared" si="197"/>
        <v>85919.440860000002</v>
      </c>
      <c r="AF725" s="315">
        <f t="shared" si="198"/>
        <v>-1492.8679160000029</v>
      </c>
      <c r="AG725" s="316">
        <f t="shared" si="199"/>
        <v>9.5890410958904104E-2</v>
      </c>
      <c r="AH725" s="314">
        <v>1</v>
      </c>
      <c r="AI725" s="314">
        <f t="shared" si="200"/>
        <v>-1492.8679160000029</v>
      </c>
      <c r="AJ725" s="314">
        <f t="shared" si="201"/>
        <v>0</v>
      </c>
      <c r="AK725" s="317"/>
      <c r="AL725" s="315">
        <f t="shared" si="202"/>
        <v>-324.52</v>
      </c>
      <c r="AN725" s="554">
        <f t="shared" si="203"/>
        <v>-7.3858618963084335E-2</v>
      </c>
      <c r="AO725" s="314"/>
      <c r="AP725" s="318"/>
    </row>
    <row r="726" spans="2:42">
      <c r="B726" s="296" t="s">
        <v>1266</v>
      </c>
      <c r="C726" s="299" t="s">
        <v>277</v>
      </c>
      <c r="D726" s="298" t="s">
        <v>940</v>
      </c>
      <c r="E726" s="299" t="s">
        <v>106</v>
      </c>
      <c r="F726" s="299" t="s">
        <v>59</v>
      </c>
      <c r="G726" s="300">
        <v>44720</v>
      </c>
      <c r="H726" s="682">
        <v>2561.7199999999998</v>
      </c>
      <c r="I726" s="301" t="str">
        <f t="shared" si="187"/>
        <v>Ingresos Sección I LISR</v>
      </c>
      <c r="J726" s="302">
        <f t="shared" si="188"/>
        <v>87</v>
      </c>
      <c r="K726" s="304">
        <f t="shared" si="189"/>
        <v>29.445057471264366</v>
      </c>
      <c r="L726" s="305">
        <f>IF(H726=0,0,IF(OR(E726=$AT$5,E726=$AT$6),AA726,IF(F726="MXN",1/HLOOKUP(YEAR(G726)+(MONTH(G726)/100),TC!$5:$37,DAY(G726)+2,FALSE),VLOOKUP(F726,Equivalencia!$5:$23,((MAX(Equivalencia!$3:$3)-YEAR(G726))*14)+MONTH(G726)+2,FALSE))))</f>
        <v>1</v>
      </c>
      <c r="M726" s="306">
        <f t="shared" si="190"/>
        <v>2561.7199999999998</v>
      </c>
      <c r="N726" s="305">
        <f>IF(G726=0,0,(IF(OR(E726=$AT$5,E726=$AT$6),AC726,HLOOKUP(YEAR(G726)+(MONTH(G726)/100),TC!$5:$37,DAY(G726)+2,FALSE))))</f>
        <v>19.5547</v>
      </c>
      <c r="O726" s="307">
        <f t="shared" si="191"/>
        <v>50093.666083999997</v>
      </c>
      <c r="P726" s="560">
        <f>IF(G726=0,0,VLOOKUP(YEAR(G726),INPC!$B$4:$P$30,MONTH(G726)+2))</f>
        <v>122.044</v>
      </c>
      <c r="Q726" s="560">
        <f>IF(X726=0,0,IF(OR(E726=$AT$10,E726=$AT$9),VLOOKUP(YEAR(X726),INPC!$B$4:$P$30,MONTH(X726)+1),VLOOKUP(YEAR(X726),INPC!$B$4:$P$30,MONTH(X726)+2,0)))</f>
        <v>122.94799999999999</v>
      </c>
      <c r="R726" s="309">
        <f t="shared" si="192"/>
        <v>1.0074000000000001</v>
      </c>
      <c r="S726" s="310">
        <f t="shared" si="193"/>
        <v>50464.359213021598</v>
      </c>
      <c r="T726" s="555">
        <f t="shared" si="194"/>
        <v>580.05010589680001</v>
      </c>
      <c r="U726" s="311"/>
      <c r="V726" s="312">
        <v>87</v>
      </c>
      <c r="W726" s="299" t="s">
        <v>194</v>
      </c>
      <c r="X726" s="300">
        <v>44755</v>
      </c>
      <c r="Y726" s="299" t="s">
        <v>59</v>
      </c>
      <c r="Z726" s="682">
        <v>2217.5500000000002</v>
      </c>
      <c r="AA726" s="305">
        <f>IF(Z726=0,0,IF(Y726="MXN",1/HLOOKUP(YEAR(X726)+(MONTH(X726)/100),TC!$5:$37,DAY(X726)+2,FALSE),VLOOKUP(Y726,Equivalencia!$1:$23,((MAX(Equivalencia!$3:$3)-YEAR(X726))*14)+MONTH(X726)+2,FALSE)))</f>
        <v>1</v>
      </c>
      <c r="AB726" s="306">
        <f t="shared" si="195"/>
        <v>2217.5500000000002</v>
      </c>
      <c r="AC726" s="305">
        <f>+IF(X726=0,0,HLOOKUP(YEAR(X726)+(MONTH(X726)/100),TC!$5:$37,DAY(X726)+2,FALSE))</f>
        <v>20.747299999999999</v>
      </c>
      <c r="AD726" s="307">
        <f t="shared" si="196"/>
        <v>46008.175115000005</v>
      </c>
      <c r="AE726" s="314">
        <f t="shared" si="197"/>
        <v>50464.359213021598</v>
      </c>
      <c r="AF726" s="315">
        <f t="shared" si="198"/>
        <v>-4456.1840980215929</v>
      </c>
      <c r="AG726" s="316">
        <f t="shared" si="199"/>
        <v>9.5890410958904104E-2</v>
      </c>
      <c r="AH726" s="314">
        <v>1</v>
      </c>
      <c r="AI726" s="314">
        <f t="shared" si="200"/>
        <v>-4456.1840980215929</v>
      </c>
      <c r="AJ726" s="314">
        <f t="shared" si="201"/>
        <v>0</v>
      </c>
      <c r="AK726" s="317"/>
      <c r="AL726" s="315">
        <f t="shared" si="202"/>
        <v>-344.16999999999962</v>
      </c>
      <c r="AN726" s="554">
        <f t="shared" si="203"/>
        <v>-0.13435113907843155</v>
      </c>
      <c r="AO726" s="314"/>
      <c r="AP726" s="318"/>
    </row>
    <row r="727" spans="2:42">
      <c r="B727" s="296" t="s">
        <v>1266</v>
      </c>
      <c r="C727" s="299" t="s">
        <v>277</v>
      </c>
      <c r="D727" s="298" t="s">
        <v>758</v>
      </c>
      <c r="E727" s="299" t="s">
        <v>113</v>
      </c>
      <c r="F727" s="299" t="s">
        <v>59</v>
      </c>
      <c r="G727" s="300">
        <v>44720</v>
      </c>
      <c r="H727" s="682">
        <v>906.14</v>
      </c>
      <c r="I727" s="301" t="str">
        <f t="shared" si="187"/>
        <v>Ingresos Sección II LISR (SIC &amp; BMV)</v>
      </c>
      <c r="J727" s="302">
        <f t="shared" si="188"/>
        <v>22</v>
      </c>
      <c r="K727" s="304">
        <f t="shared" si="189"/>
        <v>41.188181818181818</v>
      </c>
      <c r="L727" s="305">
        <f>IF(H727=0,0,IF(OR(E727=$AT$5,E727=$AT$6),AA727,IF(F727="MXN",1/HLOOKUP(YEAR(G727)+(MONTH(G727)/100),TC!$5:$37,DAY(G727)+2,FALSE),VLOOKUP(F727,Equivalencia!$5:$23,((MAX(Equivalencia!$3:$3)-YEAR(G727))*14)+MONTH(G727)+2,FALSE))))</f>
        <v>1</v>
      </c>
      <c r="M727" s="306">
        <f t="shared" si="190"/>
        <v>906.14</v>
      </c>
      <c r="N727" s="305">
        <f>IF(G727=0,0,(IF(OR(E727=$AT$5,E727=$AT$6),AC727,HLOOKUP(YEAR(G727)+(MONTH(G727)/100),TC!$5:$37,DAY(G727)+2,FALSE))))</f>
        <v>19.5547</v>
      </c>
      <c r="O727" s="307">
        <f t="shared" si="191"/>
        <v>17719.295858000001</v>
      </c>
      <c r="P727" s="560">
        <f>IF(G727=0,0,VLOOKUP(YEAR(G727),INPC!$B$4:$P$30,MONTH(G727)+2))</f>
        <v>122.044</v>
      </c>
      <c r="Q727" s="560">
        <f>IF(X727=0,0,IF(OR(E727=$AT$10,E727=$AT$9),VLOOKUP(YEAR(X727),INPC!$B$4:$P$30,MONTH(X727)+1),VLOOKUP(YEAR(X727),INPC!$B$4:$P$30,MONTH(X727)+2,0)))</f>
        <v>122.044</v>
      </c>
      <c r="R727" s="309">
        <f t="shared" si="192"/>
        <v>1</v>
      </c>
      <c r="S727" s="310">
        <f t="shared" si="193"/>
        <v>17719.295858000001</v>
      </c>
      <c r="T727" s="555">
        <f t="shared" si="194"/>
        <v>805.42253900000003</v>
      </c>
      <c r="U727" s="311"/>
      <c r="V727" s="312">
        <v>22</v>
      </c>
      <c r="W727" s="299" t="s">
        <v>194</v>
      </c>
      <c r="X727" s="300">
        <v>44755</v>
      </c>
      <c r="Y727" s="299" t="s">
        <v>59</v>
      </c>
      <c r="Z727" s="682">
        <v>820.4</v>
      </c>
      <c r="AA727" s="305">
        <f>IF(Z727=0,0,IF(Y727="MXN",1/HLOOKUP(YEAR(X727)+(MONTH(X727)/100),TC!$5:$37,DAY(X727)+2,FALSE),VLOOKUP(Y727,Equivalencia!$1:$23,((MAX(Equivalencia!$3:$3)-YEAR(X727))*14)+MONTH(X727)+2,FALSE)))</f>
        <v>1</v>
      </c>
      <c r="AB727" s="306">
        <f t="shared" si="195"/>
        <v>820.4</v>
      </c>
      <c r="AC727" s="305">
        <f>+IF(X727=0,0,HLOOKUP(YEAR(X727)+(MONTH(X727)/100),TC!$5:$37,DAY(X727)+2,FALSE))</f>
        <v>20.747299999999999</v>
      </c>
      <c r="AD727" s="307">
        <f t="shared" si="196"/>
        <v>17021.084919999998</v>
      </c>
      <c r="AE727" s="314">
        <f t="shared" si="197"/>
        <v>17719.295858000001</v>
      </c>
      <c r="AF727" s="315">
        <f t="shared" si="198"/>
        <v>-698.21093800000381</v>
      </c>
      <c r="AG727" s="316">
        <f t="shared" si="199"/>
        <v>9.5890410958904104E-2</v>
      </c>
      <c r="AH727" s="314">
        <v>1</v>
      </c>
      <c r="AI727" s="314">
        <f t="shared" si="200"/>
        <v>-698.21093800000381</v>
      </c>
      <c r="AJ727" s="314">
        <f t="shared" si="201"/>
        <v>0</v>
      </c>
      <c r="AK727" s="317"/>
      <c r="AL727" s="315">
        <f t="shared" si="202"/>
        <v>-85.740000000000009</v>
      </c>
      <c r="AN727" s="554">
        <f t="shared" si="203"/>
        <v>-9.462114022115789E-2</v>
      </c>
      <c r="AO727" s="314"/>
      <c r="AP727" s="318"/>
    </row>
    <row r="728" spans="2:42">
      <c r="B728" s="296" t="s">
        <v>1266</v>
      </c>
      <c r="C728" s="299" t="s">
        <v>277</v>
      </c>
      <c r="D728" s="298" t="s">
        <v>941</v>
      </c>
      <c r="E728" s="299" t="s">
        <v>113</v>
      </c>
      <c r="F728" s="299" t="s">
        <v>59</v>
      </c>
      <c r="G728" s="300">
        <v>44720</v>
      </c>
      <c r="H728" s="682">
        <v>3394.08</v>
      </c>
      <c r="I728" s="301" t="str">
        <f t="shared" si="187"/>
        <v>Ingresos Sección II LISR (SIC &amp; BMV)</v>
      </c>
      <c r="J728" s="302">
        <f t="shared" si="188"/>
        <v>171</v>
      </c>
      <c r="K728" s="304">
        <f t="shared" si="189"/>
        <v>19.848421052631579</v>
      </c>
      <c r="L728" s="305">
        <f>IF(H728=0,0,IF(OR(E728=$AT$5,E728=$AT$6),AA728,IF(F728="MXN",1/HLOOKUP(YEAR(G728)+(MONTH(G728)/100),TC!$5:$37,DAY(G728)+2,FALSE),VLOOKUP(F728,Equivalencia!$5:$23,((MAX(Equivalencia!$3:$3)-YEAR(G728))*14)+MONTH(G728)+2,FALSE))))</f>
        <v>1</v>
      </c>
      <c r="M728" s="306">
        <f t="shared" si="190"/>
        <v>3394.08</v>
      </c>
      <c r="N728" s="305">
        <f>IF(G728=0,0,(IF(OR(E728=$AT$5,E728=$AT$6),AC728,HLOOKUP(YEAR(G728)+(MONTH(G728)/100),TC!$5:$37,DAY(G728)+2,FALSE))))</f>
        <v>19.5547</v>
      </c>
      <c r="O728" s="307">
        <f t="shared" si="191"/>
        <v>66370.216176000002</v>
      </c>
      <c r="P728" s="560">
        <f>IF(G728=0,0,VLOOKUP(YEAR(G728),INPC!$B$4:$P$30,MONTH(G728)+2))</f>
        <v>122.044</v>
      </c>
      <c r="Q728" s="560">
        <f>IF(X728=0,0,IF(OR(E728=$AT$10,E728=$AT$9),VLOOKUP(YEAR(X728),INPC!$B$4:$P$30,MONTH(X728)+1),VLOOKUP(YEAR(X728),INPC!$B$4:$P$30,MONTH(X728)+2,0)))</f>
        <v>122.044</v>
      </c>
      <c r="R728" s="309">
        <f t="shared" si="192"/>
        <v>1</v>
      </c>
      <c r="S728" s="310">
        <f t="shared" si="193"/>
        <v>66370.216176000002</v>
      </c>
      <c r="T728" s="555">
        <f t="shared" si="194"/>
        <v>388.12991915789473</v>
      </c>
      <c r="U728" s="311"/>
      <c r="V728" s="312">
        <v>171</v>
      </c>
      <c r="W728" s="299" t="s">
        <v>194</v>
      </c>
      <c r="X728" s="300">
        <v>44755</v>
      </c>
      <c r="Y728" s="299" t="s">
        <v>59</v>
      </c>
      <c r="Z728" s="682">
        <v>2844.57</v>
      </c>
      <c r="AA728" s="305">
        <f>IF(Z728=0,0,IF(Y728="MXN",1/HLOOKUP(YEAR(X728)+(MONTH(X728)/100),TC!$5:$37,DAY(X728)+2,FALSE),VLOOKUP(Y728,Equivalencia!$1:$23,((MAX(Equivalencia!$3:$3)-YEAR(X728))*14)+MONTH(X728)+2,FALSE)))</f>
        <v>1</v>
      </c>
      <c r="AB728" s="306">
        <f t="shared" si="195"/>
        <v>2844.57</v>
      </c>
      <c r="AC728" s="305">
        <f>+IF(X728=0,0,HLOOKUP(YEAR(X728)+(MONTH(X728)/100),TC!$5:$37,DAY(X728)+2,FALSE))</f>
        <v>20.747299999999999</v>
      </c>
      <c r="AD728" s="307">
        <f t="shared" si="196"/>
        <v>59017.147161000001</v>
      </c>
      <c r="AE728" s="314">
        <f t="shared" si="197"/>
        <v>66370.216176000002</v>
      </c>
      <c r="AF728" s="315">
        <f t="shared" si="198"/>
        <v>-7353.0690150000009</v>
      </c>
      <c r="AG728" s="316">
        <f t="shared" si="199"/>
        <v>9.5890410958904104E-2</v>
      </c>
      <c r="AH728" s="314">
        <v>1</v>
      </c>
      <c r="AI728" s="314">
        <f t="shared" si="200"/>
        <v>-7353.0690150000009</v>
      </c>
      <c r="AJ728" s="314">
        <f t="shared" si="201"/>
        <v>0</v>
      </c>
      <c r="AK728" s="317"/>
      <c r="AL728" s="315">
        <f t="shared" si="202"/>
        <v>-549.50999999999976</v>
      </c>
      <c r="AN728" s="554">
        <f t="shared" si="203"/>
        <v>-0.16190248903973972</v>
      </c>
      <c r="AO728" s="314"/>
      <c r="AP728" s="318"/>
    </row>
    <row r="729" spans="2:42">
      <c r="B729" s="296" t="s">
        <v>1266</v>
      </c>
      <c r="C729" s="299" t="s">
        <v>277</v>
      </c>
      <c r="D729" s="298" t="s">
        <v>942</v>
      </c>
      <c r="E729" s="299" t="s">
        <v>113</v>
      </c>
      <c r="F729" s="299" t="s">
        <v>59</v>
      </c>
      <c r="G729" s="300">
        <v>44720</v>
      </c>
      <c r="H729" s="682">
        <v>7430.88</v>
      </c>
      <c r="I729" s="301" t="str">
        <f t="shared" si="187"/>
        <v>Ingresos Sección II LISR (SIC &amp; BMV)</v>
      </c>
      <c r="J729" s="302">
        <f t="shared" si="188"/>
        <v>145</v>
      </c>
      <c r="K729" s="304">
        <f t="shared" si="189"/>
        <v>51.24744827586207</v>
      </c>
      <c r="L729" s="305">
        <f>IF(H729=0,0,IF(OR(E729=$AT$5,E729=$AT$6),AA729,IF(F729="MXN",1/HLOOKUP(YEAR(G729)+(MONTH(G729)/100),TC!$5:$37,DAY(G729)+2,FALSE),VLOOKUP(F729,Equivalencia!$5:$23,((MAX(Equivalencia!$3:$3)-YEAR(G729))*14)+MONTH(G729)+2,FALSE))))</f>
        <v>1</v>
      </c>
      <c r="M729" s="306">
        <f t="shared" si="190"/>
        <v>7430.88</v>
      </c>
      <c r="N729" s="305">
        <f>IF(G729=0,0,(IF(OR(E729=$AT$5,E729=$AT$6),AC729,HLOOKUP(YEAR(G729)+(MONTH(G729)/100),TC!$5:$37,DAY(G729)+2,FALSE))))</f>
        <v>19.5547</v>
      </c>
      <c r="O729" s="307">
        <f t="shared" si="191"/>
        <v>145308.629136</v>
      </c>
      <c r="P729" s="560">
        <f>IF(G729=0,0,VLOOKUP(YEAR(G729),INPC!$B$4:$P$30,MONTH(G729)+2))</f>
        <v>122.044</v>
      </c>
      <c r="Q729" s="560">
        <f>IF(X729=0,0,IF(OR(E729=$AT$10,E729=$AT$9),VLOOKUP(YEAR(X729),INPC!$B$4:$P$30,MONTH(X729)+1),VLOOKUP(YEAR(X729),INPC!$B$4:$P$30,MONTH(X729)+2,0)))</f>
        <v>122.044</v>
      </c>
      <c r="R729" s="309">
        <f t="shared" si="192"/>
        <v>1</v>
      </c>
      <c r="S729" s="310">
        <f t="shared" si="193"/>
        <v>145308.629136</v>
      </c>
      <c r="T729" s="555">
        <f t="shared" si="194"/>
        <v>1002.1284768</v>
      </c>
      <c r="U729" s="311"/>
      <c r="V729" s="312">
        <v>145</v>
      </c>
      <c r="W729" s="299" t="s">
        <v>194</v>
      </c>
      <c r="X729" s="300">
        <v>44755</v>
      </c>
      <c r="Y729" s="299" t="s">
        <v>59</v>
      </c>
      <c r="Z729" s="682">
        <v>6965.05</v>
      </c>
      <c r="AA729" s="305">
        <f>IF(Z729=0,0,IF(Y729="MXN",1/HLOOKUP(YEAR(X729)+(MONTH(X729)/100),TC!$5:$37,DAY(X729)+2,FALSE),VLOOKUP(Y729,Equivalencia!$1:$23,((MAX(Equivalencia!$3:$3)-YEAR(X729))*14)+MONTH(X729)+2,FALSE)))</f>
        <v>1</v>
      </c>
      <c r="AB729" s="306">
        <f t="shared" si="195"/>
        <v>6965.05</v>
      </c>
      <c r="AC729" s="305">
        <f>+IF(X729=0,0,HLOOKUP(YEAR(X729)+(MONTH(X729)/100),TC!$5:$37,DAY(X729)+2,FALSE))</f>
        <v>20.747299999999999</v>
      </c>
      <c r="AD729" s="307">
        <f t="shared" si="196"/>
        <v>144505.98186500001</v>
      </c>
      <c r="AE729" s="314">
        <f t="shared" si="197"/>
        <v>145308.629136</v>
      </c>
      <c r="AF729" s="315">
        <f t="shared" si="198"/>
        <v>-802.64727099999436</v>
      </c>
      <c r="AG729" s="316">
        <f t="shared" si="199"/>
        <v>9.5890410958904104E-2</v>
      </c>
      <c r="AH729" s="314">
        <v>1</v>
      </c>
      <c r="AI729" s="314">
        <f t="shared" si="200"/>
        <v>-802.64727099999436</v>
      </c>
      <c r="AJ729" s="314">
        <f t="shared" si="201"/>
        <v>0</v>
      </c>
      <c r="AK729" s="317"/>
      <c r="AL729" s="315">
        <f t="shared" si="202"/>
        <v>-465.82999999999993</v>
      </c>
      <c r="AN729" s="554">
        <f t="shared" si="203"/>
        <v>-6.2688402988609684E-2</v>
      </c>
      <c r="AO729" s="314"/>
      <c r="AP729" s="318"/>
    </row>
    <row r="730" spans="2:42">
      <c r="B730" s="296" t="s">
        <v>1266</v>
      </c>
      <c r="C730" s="299" t="s">
        <v>277</v>
      </c>
      <c r="D730" s="298" t="s">
        <v>943</v>
      </c>
      <c r="E730" s="299" t="s">
        <v>113</v>
      </c>
      <c r="F730" s="299" t="s">
        <v>59</v>
      </c>
      <c r="G730" s="300">
        <v>44720</v>
      </c>
      <c r="H730" s="682">
        <v>6107.74</v>
      </c>
      <c r="I730" s="301" t="str">
        <f t="shared" si="187"/>
        <v>Ingresos Sección II LISR (SIC &amp; BMV)</v>
      </c>
      <c r="J730" s="302">
        <f t="shared" si="188"/>
        <v>25</v>
      </c>
      <c r="K730" s="304">
        <f t="shared" si="189"/>
        <v>244.30959999999999</v>
      </c>
      <c r="L730" s="305">
        <f>IF(H730=0,0,IF(OR(E730=$AT$5,E730=$AT$6),AA730,IF(F730="MXN",1/HLOOKUP(YEAR(G730)+(MONTH(G730)/100),TC!$5:$37,DAY(G730)+2,FALSE),VLOOKUP(F730,Equivalencia!$5:$23,((MAX(Equivalencia!$3:$3)-YEAR(G730))*14)+MONTH(G730)+2,FALSE))))</f>
        <v>1</v>
      </c>
      <c r="M730" s="306">
        <f t="shared" si="190"/>
        <v>6107.74</v>
      </c>
      <c r="N730" s="305">
        <f>IF(G730=0,0,(IF(OR(E730=$AT$5,E730=$AT$6),AC730,HLOOKUP(YEAR(G730)+(MONTH(G730)/100),TC!$5:$37,DAY(G730)+2,FALSE))))</f>
        <v>19.5547</v>
      </c>
      <c r="O730" s="307">
        <f t="shared" si="191"/>
        <v>119435.023378</v>
      </c>
      <c r="P730" s="560">
        <f>IF(G730=0,0,VLOOKUP(YEAR(G730),INPC!$B$4:$P$30,MONTH(G730)+2))</f>
        <v>122.044</v>
      </c>
      <c r="Q730" s="560">
        <f>IF(X730=0,0,IF(OR(E730=$AT$10,E730=$AT$9),VLOOKUP(YEAR(X730),INPC!$B$4:$P$30,MONTH(X730)+1),VLOOKUP(YEAR(X730),INPC!$B$4:$P$30,MONTH(X730)+2,0)))</f>
        <v>122.044</v>
      </c>
      <c r="R730" s="309">
        <f t="shared" si="192"/>
        <v>1</v>
      </c>
      <c r="S730" s="310">
        <f t="shared" si="193"/>
        <v>119435.023378</v>
      </c>
      <c r="T730" s="555">
        <f t="shared" si="194"/>
        <v>4777.4009351200002</v>
      </c>
      <c r="U730" s="311"/>
      <c r="V730" s="312">
        <v>25</v>
      </c>
      <c r="W730" s="299" t="s">
        <v>194</v>
      </c>
      <c r="X730" s="300">
        <v>44755</v>
      </c>
      <c r="Y730" s="299" t="s">
        <v>59</v>
      </c>
      <c r="Z730" s="682">
        <v>5696.42</v>
      </c>
      <c r="AA730" s="305">
        <f>IF(Z730=0,0,IF(Y730="MXN",1/HLOOKUP(YEAR(X730)+(MONTH(X730)/100),TC!$5:$37,DAY(X730)+2,FALSE),VLOOKUP(Y730,Equivalencia!$1:$23,((MAX(Equivalencia!$3:$3)-YEAR(X730))*14)+MONTH(X730)+2,FALSE)))</f>
        <v>1</v>
      </c>
      <c r="AB730" s="306">
        <f t="shared" si="195"/>
        <v>5696.42</v>
      </c>
      <c r="AC730" s="305">
        <f>+IF(X730=0,0,HLOOKUP(YEAR(X730)+(MONTH(X730)/100),TC!$5:$37,DAY(X730)+2,FALSE))</f>
        <v>20.747299999999999</v>
      </c>
      <c r="AD730" s="307">
        <f t="shared" si="196"/>
        <v>118185.334666</v>
      </c>
      <c r="AE730" s="314">
        <f t="shared" si="197"/>
        <v>119435.02337800001</v>
      </c>
      <c r="AF730" s="315">
        <f t="shared" si="198"/>
        <v>-1249.6887120000174</v>
      </c>
      <c r="AG730" s="316">
        <f t="shared" si="199"/>
        <v>9.5890410958904104E-2</v>
      </c>
      <c r="AH730" s="314">
        <v>1</v>
      </c>
      <c r="AI730" s="314">
        <f t="shared" si="200"/>
        <v>-1249.6887120000174</v>
      </c>
      <c r="AJ730" s="314">
        <f t="shared" si="201"/>
        <v>0</v>
      </c>
      <c r="AK730" s="317"/>
      <c r="AL730" s="315">
        <f t="shared" si="202"/>
        <v>-411.31999999999971</v>
      </c>
      <c r="AN730" s="554">
        <f t="shared" si="203"/>
        <v>-6.7344058522464889E-2</v>
      </c>
      <c r="AO730" s="314"/>
      <c r="AP730" s="318"/>
    </row>
    <row r="731" spans="2:42">
      <c r="B731" s="296" t="s">
        <v>1266</v>
      </c>
      <c r="C731" s="299" t="s">
        <v>277</v>
      </c>
      <c r="D731" s="298" t="s">
        <v>944</v>
      </c>
      <c r="E731" s="299" t="s">
        <v>113</v>
      </c>
      <c r="F731" s="299" t="s">
        <v>59</v>
      </c>
      <c r="G731" s="300">
        <v>44720</v>
      </c>
      <c r="H731" s="682">
        <v>8988.33</v>
      </c>
      <c r="I731" s="301" t="str">
        <f t="shared" si="187"/>
        <v>Ingresos Sección II LISR (SIC &amp; BMV)</v>
      </c>
      <c r="J731" s="302">
        <f t="shared" si="188"/>
        <v>19</v>
      </c>
      <c r="K731" s="304">
        <f t="shared" si="189"/>
        <v>473.07</v>
      </c>
      <c r="L731" s="305">
        <f>IF(H731=0,0,IF(OR(E731=$AT$5,E731=$AT$6),AA731,IF(F731="MXN",1/HLOOKUP(YEAR(G731)+(MONTH(G731)/100),TC!$5:$37,DAY(G731)+2,FALSE),VLOOKUP(F731,Equivalencia!$5:$23,((MAX(Equivalencia!$3:$3)-YEAR(G731))*14)+MONTH(G731)+2,FALSE))))</f>
        <v>1</v>
      </c>
      <c r="M731" s="306">
        <f t="shared" si="190"/>
        <v>8988.33</v>
      </c>
      <c r="N731" s="305">
        <f>IF(G731=0,0,(IF(OR(E731=$AT$5,E731=$AT$6),AC731,HLOOKUP(YEAR(G731)+(MONTH(G731)/100),TC!$5:$37,DAY(G731)+2,FALSE))))</f>
        <v>19.5547</v>
      </c>
      <c r="O731" s="307">
        <f t="shared" si="191"/>
        <v>175764.096651</v>
      </c>
      <c r="P731" s="560">
        <f>IF(G731=0,0,VLOOKUP(YEAR(G731),INPC!$B$4:$P$30,MONTH(G731)+2))</f>
        <v>122.044</v>
      </c>
      <c r="Q731" s="560">
        <f>IF(X731=0,0,IF(OR(E731=$AT$10,E731=$AT$9),VLOOKUP(YEAR(X731),INPC!$B$4:$P$30,MONTH(X731)+1),VLOOKUP(YEAR(X731),INPC!$B$4:$P$30,MONTH(X731)+2,0)))</f>
        <v>122.044</v>
      </c>
      <c r="R731" s="309">
        <f t="shared" si="192"/>
        <v>1</v>
      </c>
      <c r="S731" s="310">
        <f t="shared" si="193"/>
        <v>175764.096651</v>
      </c>
      <c r="T731" s="555">
        <f t="shared" si="194"/>
        <v>9250.7419289999998</v>
      </c>
      <c r="U731" s="311"/>
      <c r="V731" s="312">
        <v>19</v>
      </c>
      <c r="W731" s="299" t="s">
        <v>194</v>
      </c>
      <c r="X731" s="300">
        <v>44755</v>
      </c>
      <c r="Y731" s="299" t="s">
        <v>59</v>
      </c>
      <c r="Z731" s="682">
        <v>8891.61</v>
      </c>
      <c r="AA731" s="305">
        <f>IF(Z731=0,0,IF(Y731="MXN",1/HLOOKUP(YEAR(X731)+(MONTH(X731)/100),TC!$5:$37,DAY(X731)+2,FALSE),VLOOKUP(Y731,Equivalencia!$1:$23,((MAX(Equivalencia!$3:$3)-YEAR(X731))*14)+MONTH(X731)+2,FALSE)))</f>
        <v>1</v>
      </c>
      <c r="AB731" s="306">
        <f t="shared" si="195"/>
        <v>8891.61</v>
      </c>
      <c r="AC731" s="305">
        <f>+IF(X731=0,0,HLOOKUP(YEAR(X731)+(MONTH(X731)/100),TC!$5:$37,DAY(X731)+2,FALSE))</f>
        <v>20.747299999999999</v>
      </c>
      <c r="AD731" s="307">
        <f t="shared" si="196"/>
        <v>184476.900153</v>
      </c>
      <c r="AE731" s="314">
        <f t="shared" si="197"/>
        <v>175764.096651</v>
      </c>
      <c r="AF731" s="315">
        <f t="shared" si="198"/>
        <v>8712.8035019999952</v>
      </c>
      <c r="AG731" s="316">
        <f t="shared" si="199"/>
        <v>9.5890410958904104E-2</v>
      </c>
      <c r="AH731" s="314">
        <v>1</v>
      </c>
      <c r="AI731" s="314">
        <f t="shared" si="200"/>
        <v>8712.8035019999952</v>
      </c>
      <c r="AJ731" s="314">
        <f t="shared" si="201"/>
        <v>0</v>
      </c>
      <c r="AK731" s="317"/>
      <c r="AL731" s="315">
        <f t="shared" si="202"/>
        <v>-96.719999999999345</v>
      </c>
      <c r="AN731" s="554">
        <f t="shared" si="203"/>
        <v>-1.0760619603419027E-2</v>
      </c>
      <c r="AO731" s="314"/>
      <c r="AP731" s="318"/>
    </row>
    <row r="732" spans="2:42" ht="17" thickBot="1">
      <c r="B732" s="296" t="s">
        <v>1266</v>
      </c>
      <c r="C732" s="299" t="s">
        <v>277</v>
      </c>
      <c r="D732" s="298" t="s">
        <v>711</v>
      </c>
      <c r="E732" s="299" t="s">
        <v>113</v>
      </c>
      <c r="F732" s="299" t="s">
        <v>59</v>
      </c>
      <c r="G732" s="300">
        <v>44720</v>
      </c>
      <c r="H732" s="682">
        <v>2271.25</v>
      </c>
      <c r="I732" s="301" t="str">
        <f t="shared" si="187"/>
        <v>Ingresos Sección II LISR (SIC &amp; BMV)</v>
      </c>
      <c r="J732" s="302">
        <f t="shared" si="188"/>
        <v>19</v>
      </c>
      <c r="K732" s="304">
        <f t="shared" si="189"/>
        <v>119.53947368421052</v>
      </c>
      <c r="L732" s="305">
        <f>IF(H732=0,0,IF(OR(E732=$AT$5,E732=$AT$6),AA732,IF(F732="MXN",1/HLOOKUP(YEAR(G732)+(MONTH(G732)/100),TC!$5:$37,DAY(G732)+2,FALSE),VLOOKUP(F732,Equivalencia!$5:$23,((MAX(Equivalencia!$3:$3)-YEAR(G732))*14)+MONTH(G732)+2,FALSE))))</f>
        <v>1</v>
      </c>
      <c r="M732" s="306">
        <f t="shared" si="190"/>
        <v>2271.25</v>
      </c>
      <c r="N732" s="305">
        <f>IF(G732=0,0,(IF(OR(E732=$AT$5,E732=$AT$6),AC732,HLOOKUP(YEAR(G732)+(MONTH(G732)/100),TC!$5:$37,DAY(G732)+2,FALSE))))</f>
        <v>19.5547</v>
      </c>
      <c r="O732" s="307">
        <f t="shared" si="191"/>
        <v>44413.612375000004</v>
      </c>
      <c r="P732" s="560">
        <f>IF(G732=0,0,VLOOKUP(YEAR(G732),INPC!$B$4:$P$30,MONTH(G732)+2))</f>
        <v>122.044</v>
      </c>
      <c r="Q732" s="560">
        <f>IF(X732=0,0,IF(OR(E732=$AT$10,E732=$AT$9),VLOOKUP(YEAR(X732),INPC!$B$4:$P$30,MONTH(X732)+1),VLOOKUP(YEAR(X732),INPC!$B$4:$P$30,MONTH(X732)+2,0)))</f>
        <v>122.044</v>
      </c>
      <c r="R732" s="309">
        <f t="shared" si="192"/>
        <v>1</v>
      </c>
      <c r="S732" s="310">
        <f t="shared" si="193"/>
        <v>44413.612375000004</v>
      </c>
      <c r="T732" s="555">
        <f t="shared" si="194"/>
        <v>2337.5585460526318</v>
      </c>
      <c r="U732" s="311"/>
      <c r="V732" s="312">
        <v>19</v>
      </c>
      <c r="W732" s="299" t="s">
        <v>194</v>
      </c>
      <c r="X732" s="300">
        <v>44755</v>
      </c>
      <c r="Y732" s="299" t="s">
        <v>59</v>
      </c>
      <c r="Z732" s="682">
        <v>2234.12</v>
      </c>
      <c r="AA732" s="305">
        <f>IF(Z732=0,0,IF(Y732="MXN",1/HLOOKUP(YEAR(X732)+(MONTH(X732)/100),TC!$5:$37,DAY(X732)+2,FALSE),VLOOKUP(Y732,Equivalencia!$1:$23,((MAX(Equivalencia!$3:$3)-YEAR(X732))*14)+MONTH(X732)+2,FALSE)))</f>
        <v>1</v>
      </c>
      <c r="AB732" s="306">
        <f t="shared" si="195"/>
        <v>2234.12</v>
      </c>
      <c r="AC732" s="305">
        <f>+IF(X732=0,0,HLOOKUP(YEAR(X732)+(MONTH(X732)/100),TC!$5:$37,DAY(X732)+2,FALSE))</f>
        <v>20.747299999999999</v>
      </c>
      <c r="AD732" s="307">
        <f t="shared" si="196"/>
        <v>46351.957875999993</v>
      </c>
      <c r="AE732" s="314">
        <f t="shared" si="197"/>
        <v>44413.612375000004</v>
      </c>
      <c r="AF732" s="315">
        <f t="shared" si="198"/>
        <v>1938.3455009999889</v>
      </c>
      <c r="AG732" s="316">
        <f t="shared" si="199"/>
        <v>9.5890410958904104E-2</v>
      </c>
      <c r="AH732" s="314">
        <v>1</v>
      </c>
      <c r="AI732" s="314">
        <f t="shared" si="200"/>
        <v>1938.3455009999889</v>
      </c>
      <c r="AJ732" s="314">
        <f t="shared" si="201"/>
        <v>0</v>
      </c>
      <c r="AK732" s="317"/>
      <c r="AL732" s="315">
        <f t="shared" si="202"/>
        <v>-37.130000000000109</v>
      </c>
      <c r="AN732" s="554">
        <f t="shared" si="203"/>
        <v>-1.634782608695657E-2</v>
      </c>
      <c r="AO732" s="314"/>
      <c r="AP732" s="318"/>
    </row>
    <row r="733" spans="2:42">
      <c r="B733" s="296" t="s">
        <v>1266</v>
      </c>
      <c r="C733" s="299" t="s">
        <v>277</v>
      </c>
      <c r="D733" s="298" t="s">
        <v>738</v>
      </c>
      <c r="E733" s="299" t="s">
        <v>113</v>
      </c>
      <c r="F733" s="299" t="s">
        <v>59</v>
      </c>
      <c r="G733" s="300">
        <v>44102</v>
      </c>
      <c r="H733" s="683">
        <v>440.67</v>
      </c>
      <c r="I733" s="301" t="str">
        <f t="shared" si="187"/>
        <v>Ingresos Sección II LISR (SIC &amp; BMV)</v>
      </c>
      <c r="J733" s="302">
        <f t="shared" si="188"/>
        <v>13</v>
      </c>
      <c r="K733" s="304">
        <f t="shared" si="189"/>
        <v>33.89769230769231</v>
      </c>
      <c r="L733" s="305">
        <f>IF(H733=0,0,IF(OR(E733=$AT$5,E733=$AT$6),AA733,IF(F733="MXN",1/HLOOKUP(YEAR(G733)+(MONTH(G733)/100),TC!$5:$37,DAY(G733)+2,FALSE),VLOOKUP(F733,Equivalencia!$5:$23,((MAX(Equivalencia!$3:$3)-YEAR(G733))*14)+MONTH(G733)+2,FALSE))))</f>
        <v>1</v>
      </c>
      <c r="M733" s="306">
        <f t="shared" si="190"/>
        <v>440.67</v>
      </c>
      <c r="N733" s="305">
        <f>IF(G733=0,0,(IF(OR(E733=$AT$5,E733=$AT$6),AC733,HLOOKUP(YEAR(G733)+(MONTH(G733)/100),TC!$5:$37,DAY(G733)+2,FALSE))))</f>
        <v>22.367799999999999</v>
      </c>
      <c r="O733" s="307">
        <f t="shared" si="191"/>
        <v>9856.8184259999998</v>
      </c>
      <c r="P733" s="560">
        <f>IF(G733=0,0,VLOOKUP(YEAR(G733),INPC!$B$4:$P$30,MONTH(G733)+2))</f>
        <v>108.114</v>
      </c>
      <c r="Q733" s="560">
        <f>IF(X733=0,0,IF(OR(E733=$AT$10,E733=$AT$9),VLOOKUP(YEAR(X733),INPC!$B$4:$P$30,MONTH(X733)+1),VLOOKUP(YEAR(X733),INPC!$B$4:$P$30,MONTH(X733)+2,0)))</f>
        <v>122.044</v>
      </c>
      <c r="R733" s="309">
        <f t="shared" si="192"/>
        <v>1.1288</v>
      </c>
      <c r="S733" s="310">
        <f t="shared" si="193"/>
        <v>11126.376639268799</v>
      </c>
      <c r="T733" s="555">
        <f t="shared" si="194"/>
        <v>855.87512609759995</v>
      </c>
      <c r="U733" s="311"/>
      <c r="V733" s="312">
        <v>13</v>
      </c>
      <c r="W733" s="299" t="s">
        <v>194</v>
      </c>
      <c r="X733" s="300">
        <v>44767</v>
      </c>
      <c r="Y733" s="299" t="s">
        <v>59</v>
      </c>
      <c r="Z733" s="683">
        <v>1157.29</v>
      </c>
      <c r="AA733" s="305">
        <f>IF(Z733=0,0,IF(Y733="MXN",1/HLOOKUP(YEAR(X733)+(MONTH(X733)/100),TC!$5:$37,DAY(X733)+2,FALSE),VLOOKUP(Y733,Equivalencia!$1:$23,((MAX(Equivalencia!$3:$3)-YEAR(X733))*14)+MONTH(X733)+2,FALSE)))</f>
        <v>1</v>
      </c>
      <c r="AB733" s="306">
        <f t="shared" si="195"/>
        <v>1157.29</v>
      </c>
      <c r="AC733" s="305">
        <f>+IF(X733=0,0,HLOOKUP(YEAR(X733)+(MONTH(X733)/100),TC!$5:$37,DAY(X733)+2,FALSE))</f>
        <v>20.656199999999998</v>
      </c>
      <c r="AD733" s="307">
        <f t="shared" si="196"/>
        <v>23905.213697999996</v>
      </c>
      <c r="AE733" s="314">
        <f t="shared" si="197"/>
        <v>11126.376639268799</v>
      </c>
      <c r="AF733" s="315">
        <f t="shared" si="198"/>
        <v>12778.837058731197</v>
      </c>
      <c r="AG733" s="316">
        <f t="shared" si="199"/>
        <v>1.821917808219178</v>
      </c>
      <c r="AH733" s="314">
        <v>1</v>
      </c>
      <c r="AI733" s="314">
        <f t="shared" si="200"/>
        <v>12778.837058731197</v>
      </c>
      <c r="AJ733" s="314">
        <f t="shared" si="201"/>
        <v>0</v>
      </c>
      <c r="AK733" s="317"/>
      <c r="AL733" s="315">
        <f t="shared" si="202"/>
        <v>716.61999999999989</v>
      </c>
      <c r="AN733" s="554">
        <f t="shared" si="203"/>
        <v>1.6262055506387998</v>
      </c>
      <c r="AO733" s="314"/>
      <c r="AP733" s="318"/>
    </row>
    <row r="734" spans="2:42" ht="17" thickBot="1">
      <c r="B734" s="296" t="s">
        <v>1266</v>
      </c>
      <c r="C734" s="299" t="s">
        <v>277</v>
      </c>
      <c r="D734" s="298" t="s">
        <v>738</v>
      </c>
      <c r="E734" s="299" t="s">
        <v>113</v>
      </c>
      <c r="F734" s="299" t="s">
        <v>59</v>
      </c>
      <c r="G734" s="300">
        <v>44126</v>
      </c>
      <c r="H734" s="684">
        <v>5362.2</v>
      </c>
      <c r="I734" s="301" t="str">
        <f t="shared" si="187"/>
        <v>Ingresos Sección II LISR (SIC &amp; BMV)</v>
      </c>
      <c r="J734" s="302">
        <f t="shared" si="188"/>
        <v>169</v>
      </c>
      <c r="K734" s="304">
        <f t="shared" si="189"/>
        <v>31.728994082840234</v>
      </c>
      <c r="L734" s="305">
        <f>IF(H734=0,0,IF(OR(E734=$AT$5,E734=$AT$6),AA734,IF(F734="MXN",1/HLOOKUP(YEAR(G734)+(MONTH(G734)/100),TC!$5:$37,DAY(G734)+2,FALSE),VLOOKUP(F734,Equivalencia!$5:$23,((MAX(Equivalencia!$3:$3)-YEAR(G734))*14)+MONTH(G734)+2,FALSE))))</f>
        <v>1</v>
      </c>
      <c r="M734" s="306">
        <f t="shared" si="190"/>
        <v>5362.2</v>
      </c>
      <c r="N734" s="305">
        <f>IF(G734=0,0,(IF(OR(E734=$AT$5,E734=$AT$6),AC734,HLOOKUP(YEAR(G734)+(MONTH(G734)/100),TC!$5:$37,DAY(G734)+2,FALSE))))</f>
        <v>21.090199999999999</v>
      </c>
      <c r="O734" s="307">
        <f t="shared" si="191"/>
        <v>113089.87044</v>
      </c>
      <c r="P734" s="560">
        <f>IF(G734=0,0,VLOOKUP(YEAR(G734),INPC!$B$4:$P$30,MONTH(G734)+2))</f>
        <v>108.774</v>
      </c>
      <c r="Q734" s="560">
        <f>IF(X734=0,0,IF(OR(E734=$AT$10,E734=$AT$9),VLOOKUP(YEAR(X734),INPC!$B$4:$P$30,MONTH(X734)+1),VLOOKUP(YEAR(X734),INPC!$B$4:$P$30,MONTH(X734)+2,0)))</f>
        <v>122.044</v>
      </c>
      <c r="R734" s="309">
        <f t="shared" si="192"/>
        <v>1.1218999999999999</v>
      </c>
      <c r="S734" s="310">
        <f t="shared" si="193"/>
        <v>126875.52564663599</v>
      </c>
      <c r="T734" s="555">
        <f t="shared" si="194"/>
        <v>750.74275530553837</v>
      </c>
      <c r="U734" s="311"/>
      <c r="V734" s="312">
        <v>169</v>
      </c>
      <c r="W734" s="299" t="s">
        <v>194</v>
      </c>
      <c r="X734" s="300">
        <v>44767</v>
      </c>
      <c r="Y734" s="299" t="s">
        <v>59</v>
      </c>
      <c r="Z734" s="684">
        <v>15044.82</v>
      </c>
      <c r="AA734" s="305">
        <f>IF(Z734=0,0,IF(Y734="MXN",1/HLOOKUP(YEAR(X734)+(MONTH(X734)/100),TC!$5:$37,DAY(X734)+2,FALSE),VLOOKUP(Y734,Equivalencia!$1:$23,((MAX(Equivalencia!$3:$3)-YEAR(X734))*14)+MONTH(X734)+2,FALSE)))</f>
        <v>1</v>
      </c>
      <c r="AB734" s="306">
        <f t="shared" si="195"/>
        <v>15044.82</v>
      </c>
      <c r="AC734" s="305">
        <f>+IF(X734=0,0,HLOOKUP(YEAR(X734)+(MONTH(X734)/100),TC!$5:$37,DAY(X734)+2,FALSE))</f>
        <v>20.656199999999998</v>
      </c>
      <c r="AD734" s="307">
        <f t="shared" si="196"/>
        <v>310768.81088399998</v>
      </c>
      <c r="AE734" s="314">
        <f t="shared" si="197"/>
        <v>126875.52564663599</v>
      </c>
      <c r="AF734" s="315">
        <f t="shared" si="198"/>
        <v>183893.28523736401</v>
      </c>
      <c r="AG734" s="316">
        <f t="shared" si="199"/>
        <v>1.7561643835616438</v>
      </c>
      <c r="AH734" s="314">
        <v>1</v>
      </c>
      <c r="AI734" s="314">
        <f t="shared" si="200"/>
        <v>183893.28523736401</v>
      </c>
      <c r="AJ734" s="314">
        <f t="shared" si="201"/>
        <v>0</v>
      </c>
      <c r="AK734" s="317"/>
      <c r="AL734" s="315">
        <f t="shared" si="202"/>
        <v>9682.619999999999</v>
      </c>
      <c r="AN734" s="554">
        <f t="shared" si="203"/>
        <v>1.8057178023945395</v>
      </c>
      <c r="AO734" s="314"/>
      <c r="AP734" s="318"/>
    </row>
    <row r="735" spans="2:42">
      <c r="B735" s="296" t="s">
        <v>1266</v>
      </c>
      <c r="C735" s="299" t="s">
        <v>277</v>
      </c>
      <c r="D735" s="298" t="s">
        <v>758</v>
      </c>
      <c r="E735" s="299" t="s">
        <v>113</v>
      </c>
      <c r="F735" s="299" t="s">
        <v>59</v>
      </c>
      <c r="G735" s="300">
        <v>43965</v>
      </c>
      <c r="H735" s="683">
        <v>31677.22</v>
      </c>
      <c r="I735" s="301" t="str">
        <f t="shared" si="187"/>
        <v>Ingresos Sección II LISR (SIC &amp; BMV)</v>
      </c>
      <c r="J735" s="302">
        <f t="shared" si="188"/>
        <v>553</v>
      </c>
      <c r="K735" s="304">
        <f t="shared" si="189"/>
        <v>57.282495479204343</v>
      </c>
      <c r="L735" s="305">
        <f>IF(H735=0,0,IF(OR(E735=$AT$5,E735=$AT$6),AA735,IF(F735="MXN",1/HLOOKUP(YEAR(G735)+(MONTH(G735)/100),TC!$5:$37,DAY(G735)+2,FALSE),VLOOKUP(F735,Equivalencia!$5:$23,((MAX(Equivalencia!$3:$3)-YEAR(G735))*14)+MONTH(G735)+2,FALSE))))</f>
        <v>1</v>
      </c>
      <c r="M735" s="306">
        <f t="shared" si="190"/>
        <v>31677.22</v>
      </c>
      <c r="N735" s="305">
        <f>IF(G735=0,0,(IF(OR(E735=$AT$5,E735=$AT$6),AC735,HLOOKUP(YEAR(G735)+(MONTH(G735)/100),TC!$5:$37,DAY(G735)+2,FALSE))))</f>
        <v>24.0487</v>
      </c>
      <c r="O735" s="307">
        <f t="shared" si="191"/>
        <v>761795.96061399998</v>
      </c>
      <c r="P735" s="560">
        <f>IF(G735=0,0,VLOOKUP(YEAR(G735),INPC!$B$4:$P$30,MONTH(G735)+2))</f>
        <v>106.16200000000001</v>
      </c>
      <c r="Q735" s="560">
        <f>IF(X735=0,0,IF(OR(E735=$AT$10,E735=$AT$9),VLOOKUP(YEAR(X735),INPC!$B$4:$P$30,MONTH(X735)+1),VLOOKUP(YEAR(X735),INPC!$B$4:$P$30,MONTH(X735)+2,0)))</f>
        <v>122.044</v>
      </c>
      <c r="R735" s="309">
        <f t="shared" si="192"/>
        <v>1.1496</v>
      </c>
      <c r="S735" s="310">
        <f t="shared" si="193"/>
        <v>875760.63632185431</v>
      </c>
      <c r="T735" s="555">
        <f t="shared" si="194"/>
        <v>1583.6539535657403</v>
      </c>
      <c r="U735" s="311"/>
      <c r="V735" s="312">
        <v>553</v>
      </c>
      <c r="W735" s="299" t="s">
        <v>194</v>
      </c>
      <c r="X735" s="300">
        <v>44767</v>
      </c>
      <c r="Y735" s="299" t="s">
        <v>59</v>
      </c>
      <c r="Z735" s="683">
        <v>21549.03</v>
      </c>
      <c r="AA735" s="305">
        <f>IF(Z735=0,0,IF(Y735="MXN",1/HLOOKUP(YEAR(X735)+(MONTH(X735)/100),TC!$5:$37,DAY(X735)+2,FALSE),VLOOKUP(Y735,Equivalencia!$1:$23,((MAX(Equivalencia!$3:$3)-YEAR(X735))*14)+MONTH(X735)+2,FALSE)))</f>
        <v>1</v>
      </c>
      <c r="AB735" s="306">
        <f t="shared" si="195"/>
        <v>21549.03</v>
      </c>
      <c r="AC735" s="305">
        <f>+IF(X735=0,0,HLOOKUP(YEAR(X735)+(MONTH(X735)/100),TC!$5:$37,DAY(X735)+2,FALSE))</f>
        <v>20.656199999999998</v>
      </c>
      <c r="AD735" s="307">
        <f t="shared" si="196"/>
        <v>445121.07348599995</v>
      </c>
      <c r="AE735" s="314">
        <f t="shared" si="197"/>
        <v>875760.63632185431</v>
      </c>
      <c r="AF735" s="315">
        <f t="shared" si="198"/>
        <v>-430639.56283585436</v>
      </c>
      <c r="AG735" s="316">
        <f t="shared" si="199"/>
        <v>2.1972602739726028</v>
      </c>
      <c r="AH735" s="314">
        <v>1</v>
      </c>
      <c r="AI735" s="314">
        <f t="shared" si="200"/>
        <v>-430639.56283585436</v>
      </c>
      <c r="AJ735" s="314">
        <f t="shared" si="201"/>
        <v>0</v>
      </c>
      <c r="AK735" s="317"/>
      <c r="AL735" s="315">
        <f t="shared" si="202"/>
        <v>-10128.190000000002</v>
      </c>
      <c r="AN735" s="554">
        <f t="shared" si="203"/>
        <v>-0.31973102437650786</v>
      </c>
      <c r="AO735" s="314"/>
      <c r="AP735" s="318"/>
    </row>
    <row r="736" spans="2:42" ht="17" thickBot="1">
      <c r="B736" s="296" t="s">
        <v>1266</v>
      </c>
      <c r="C736" s="299" t="s">
        <v>277</v>
      </c>
      <c r="D736" s="298" t="s">
        <v>758</v>
      </c>
      <c r="E736" s="299" t="s">
        <v>113</v>
      </c>
      <c r="F736" s="299" t="s">
        <v>59</v>
      </c>
      <c r="G736" s="300">
        <v>44102</v>
      </c>
      <c r="H736" s="684">
        <v>909.86</v>
      </c>
      <c r="I736" s="301" t="str">
        <f t="shared" si="187"/>
        <v>Ingresos Sección II LISR (SIC &amp; BMV)</v>
      </c>
      <c r="J736" s="302">
        <f t="shared" si="188"/>
        <v>18</v>
      </c>
      <c r="K736" s="304">
        <f t="shared" si="189"/>
        <v>50.547777777777782</v>
      </c>
      <c r="L736" s="305">
        <f>IF(H736=0,0,IF(OR(E736=$AT$5,E736=$AT$6),AA736,IF(F736="MXN",1/HLOOKUP(YEAR(G736)+(MONTH(G736)/100),TC!$5:$37,DAY(G736)+2,FALSE),VLOOKUP(F736,Equivalencia!$5:$23,((MAX(Equivalencia!$3:$3)-YEAR(G736))*14)+MONTH(G736)+2,FALSE))))</f>
        <v>1</v>
      </c>
      <c r="M736" s="306">
        <f t="shared" si="190"/>
        <v>909.86</v>
      </c>
      <c r="N736" s="305">
        <f>IF(G736=0,0,(IF(OR(E736=$AT$5,E736=$AT$6),AC736,HLOOKUP(YEAR(G736)+(MONTH(G736)/100),TC!$5:$37,DAY(G736)+2,FALSE))))</f>
        <v>22.367799999999999</v>
      </c>
      <c r="O736" s="307">
        <f t="shared" si="191"/>
        <v>20351.566508</v>
      </c>
      <c r="P736" s="560">
        <f>IF(G736=0,0,VLOOKUP(YEAR(G736),INPC!$B$4:$P$30,MONTH(G736)+2))</f>
        <v>108.114</v>
      </c>
      <c r="Q736" s="560">
        <f>IF(X736=0,0,IF(OR(E736=$AT$10,E736=$AT$9),VLOOKUP(YEAR(X736),INPC!$B$4:$P$30,MONTH(X736)+1),VLOOKUP(YEAR(X736),INPC!$B$4:$P$30,MONTH(X736)+2,0)))</f>
        <v>122.044</v>
      </c>
      <c r="R736" s="309">
        <f t="shared" si="192"/>
        <v>1.1288</v>
      </c>
      <c r="S736" s="310">
        <f t="shared" si="193"/>
        <v>22972.8482742304</v>
      </c>
      <c r="T736" s="555">
        <f t="shared" si="194"/>
        <v>1276.2693485683556</v>
      </c>
      <c r="U736" s="311"/>
      <c r="V736" s="312">
        <v>18</v>
      </c>
      <c r="W736" s="299" t="s">
        <v>194</v>
      </c>
      <c r="X736" s="300">
        <v>44767</v>
      </c>
      <c r="Y736" s="299" t="s">
        <v>59</v>
      </c>
      <c r="Z736" s="684">
        <v>701.42</v>
      </c>
      <c r="AA736" s="305">
        <f>IF(Z736=0,0,IF(Y736="MXN",1/HLOOKUP(YEAR(X736)+(MONTH(X736)/100),TC!$5:$37,DAY(X736)+2,FALSE),VLOOKUP(Y736,Equivalencia!$1:$23,((MAX(Equivalencia!$3:$3)-YEAR(X736))*14)+MONTH(X736)+2,FALSE)))</f>
        <v>1</v>
      </c>
      <c r="AB736" s="306">
        <f t="shared" si="195"/>
        <v>701.42</v>
      </c>
      <c r="AC736" s="305">
        <f>+IF(X736=0,0,HLOOKUP(YEAR(X736)+(MONTH(X736)/100),TC!$5:$37,DAY(X736)+2,FALSE))</f>
        <v>20.656199999999998</v>
      </c>
      <c r="AD736" s="307">
        <f t="shared" si="196"/>
        <v>14488.671803999998</v>
      </c>
      <c r="AE736" s="314">
        <f t="shared" si="197"/>
        <v>22972.8482742304</v>
      </c>
      <c r="AF736" s="315">
        <f t="shared" si="198"/>
        <v>-8484.1764702304026</v>
      </c>
      <c r="AG736" s="316">
        <f t="shared" si="199"/>
        <v>1.821917808219178</v>
      </c>
      <c r="AH736" s="314">
        <v>1</v>
      </c>
      <c r="AI736" s="314">
        <f t="shared" si="200"/>
        <v>-8484.1764702304026</v>
      </c>
      <c r="AJ736" s="314">
        <f t="shared" si="201"/>
        <v>0</v>
      </c>
      <c r="AK736" s="317"/>
      <c r="AL736" s="315">
        <f t="shared" si="202"/>
        <v>-208.44000000000005</v>
      </c>
      <c r="AN736" s="554">
        <f t="shared" si="203"/>
        <v>-0.22909018969951428</v>
      </c>
      <c r="AO736" s="314"/>
      <c r="AP736" s="318"/>
    </row>
    <row r="737" spans="2:42">
      <c r="B737" s="296"/>
      <c r="C737" s="299"/>
      <c r="D737" s="298"/>
      <c r="E737" s="299"/>
      <c r="F737" s="299"/>
      <c r="G737" s="300"/>
      <c r="H737" s="303"/>
      <c r="I737" s="301">
        <f t="shared" si="187"/>
        <v>0</v>
      </c>
      <c r="J737" s="302">
        <f t="shared" si="188"/>
        <v>0</v>
      </c>
      <c r="K737" s="304">
        <f t="shared" si="189"/>
        <v>0</v>
      </c>
      <c r="L737" s="305">
        <f>IF(H737=0,0,IF(OR(E737=$AT$5,E737=$AT$6),AA737,IF(F737="MXN",1/HLOOKUP(YEAR(G737)+(MONTH(G737)/100),TC!$5:$37,DAY(G737)+2,FALSE),VLOOKUP(F737,Equivalencia!$5:$23,((MAX(Equivalencia!$3:$3)-YEAR(G737))*14)+MONTH(G737)+2,FALSE))))</f>
        <v>0</v>
      </c>
      <c r="M737" s="306">
        <f t="shared" si="190"/>
        <v>0</v>
      </c>
      <c r="N737" s="305">
        <f>IF(G737=0,0,(IF(OR(E737=$AT$5,E737=$AT$6),AC737,HLOOKUP(YEAR(G737)+(MONTH(G737)/100),TC!$5:$37,DAY(G737)+2,FALSE))))</f>
        <v>0</v>
      </c>
      <c r="O737" s="307">
        <f t="shared" si="191"/>
        <v>0</v>
      </c>
      <c r="P737" s="560">
        <f>IF(G737=0,0,VLOOKUP(YEAR(G737),INPC!$B$4:$P$30,MONTH(G737)+2))</f>
        <v>0</v>
      </c>
      <c r="Q737" s="560">
        <f>IF(X737=0,0,IF(OR(E737=$AT$10,E737=$AT$9),VLOOKUP(YEAR(X737),INPC!$B$4:$P$30,MONTH(X737)+1),VLOOKUP(YEAR(X737),INPC!$B$4:$P$30,MONTH(X737)+2,0)))</f>
        <v>0</v>
      </c>
      <c r="R737" s="309">
        <f t="shared" si="192"/>
        <v>0</v>
      </c>
      <c r="S737" s="310">
        <f t="shared" si="193"/>
        <v>0</v>
      </c>
      <c r="T737" s="555">
        <f t="shared" si="194"/>
        <v>0</v>
      </c>
      <c r="U737" s="311"/>
      <c r="V737" s="312"/>
      <c r="W737" s="299"/>
      <c r="X737" s="300"/>
      <c r="Y737" s="299"/>
      <c r="Z737" s="303"/>
      <c r="AA737" s="305">
        <f>IF(Z737=0,0,IF(Y737="MXN",1/HLOOKUP(YEAR(X737)+(MONTH(X737)/100),TC!$5:$37,DAY(X737)+2,FALSE),VLOOKUP(Y737,Equivalencia!$1:$23,((MAX(Equivalencia!$3:$3)-YEAR(X737))*14)+MONTH(X737)+2,FALSE)))</f>
        <v>0</v>
      </c>
      <c r="AB737" s="306">
        <f t="shared" si="195"/>
        <v>0</v>
      </c>
      <c r="AC737" s="305">
        <f>+IF(X737=0,0,HLOOKUP(YEAR(X737)+(MONTH(X737)/100),TC!$5:$37,DAY(X737)+2,FALSE))</f>
        <v>0</v>
      </c>
      <c r="AD737" s="307">
        <f t="shared" si="196"/>
        <v>0</v>
      </c>
      <c r="AE737" s="314">
        <f t="shared" si="197"/>
        <v>0</v>
      </c>
      <c r="AF737" s="315">
        <f t="shared" si="198"/>
        <v>0</v>
      </c>
      <c r="AG737" s="316">
        <f t="shared" si="199"/>
        <v>0</v>
      </c>
      <c r="AH737" s="314">
        <v>1</v>
      </c>
      <c r="AI737" s="314">
        <f t="shared" si="200"/>
        <v>0</v>
      </c>
      <c r="AJ737" s="314">
        <f t="shared" si="201"/>
        <v>0</v>
      </c>
      <c r="AK737" s="317"/>
      <c r="AL737" s="315">
        <f t="shared" si="202"/>
        <v>0</v>
      </c>
      <c r="AN737" s="554">
        <f t="shared" si="203"/>
        <v>0</v>
      </c>
      <c r="AO737" s="314"/>
      <c r="AP737" s="318"/>
    </row>
    <row r="738" spans="2:42">
      <c r="B738" s="296" t="s">
        <v>1246</v>
      </c>
      <c r="C738" s="299" t="s">
        <v>277</v>
      </c>
      <c r="D738" s="298" t="s">
        <v>946</v>
      </c>
      <c r="E738" s="299" t="s">
        <v>113</v>
      </c>
      <c r="F738" s="299" t="s">
        <v>60</v>
      </c>
      <c r="G738" s="300">
        <v>43649</v>
      </c>
      <c r="H738" s="303">
        <v>1522993.9961873607</v>
      </c>
      <c r="I738" s="301" t="str">
        <f t="shared" si="187"/>
        <v>Ingresos Sección II LISR (SIC &amp; BMV)</v>
      </c>
      <c r="J738" s="302">
        <f t="shared" si="188"/>
        <v>1852</v>
      </c>
      <c r="K738" s="304">
        <f t="shared" si="189"/>
        <v>822.35096986358576</v>
      </c>
      <c r="L738" s="305">
        <f>IF(H738=0,0,IF(OR(E738=$AT$5,E738=$AT$6),AA738,IF(F738="MXN",1/HLOOKUP(YEAR(G738)+(MONTH(G738)/100),TC!$5:$37,DAY(G738)+2,FALSE),VLOOKUP(F738,Equivalencia!$5:$23,((MAX(Equivalencia!$3:$3)-YEAR(G738))*14)+MONTH(G738)+2,FALSE))))</f>
        <v>5.2421891381841057E-2</v>
      </c>
      <c r="M738" s="306">
        <f t="shared" si="190"/>
        <v>79838.22584332987</v>
      </c>
      <c r="N738" s="305">
        <f>IF(G738=0,0,(IF(OR(E738=$AT$5,E738=$AT$6),AC738,HLOOKUP(YEAR(G738)+(MONTH(G738)/100),TC!$5:$37,DAY(G738)+2,FALSE))))</f>
        <v>19.076000000000001</v>
      </c>
      <c r="O738" s="307">
        <f t="shared" si="191"/>
        <v>1522993.9961873607</v>
      </c>
      <c r="P738" s="560">
        <f>IF(G738=0,0,VLOOKUP(YEAR(G738),INPC!$B$4:$P$30,MONTH(G738)+2))</f>
        <v>103.687</v>
      </c>
      <c r="Q738" s="560">
        <f>IF(X738=0,0,IF(OR(E738=$AT$10,E738=$AT$9),VLOOKUP(YEAR(X738),INPC!$B$4:$P$30,MONTH(X738)+1),VLOOKUP(YEAR(X738),INPC!$B$4:$P$30,MONTH(X738)+2,0)))</f>
        <v>122.044</v>
      </c>
      <c r="R738" s="309">
        <f t="shared" si="192"/>
        <v>1.177</v>
      </c>
      <c r="S738" s="310">
        <f t="shared" si="193"/>
        <v>1792563.9335125235</v>
      </c>
      <c r="T738" s="555">
        <f t="shared" si="194"/>
        <v>967.90709152944032</v>
      </c>
      <c r="U738" s="311"/>
      <c r="V738" s="312">
        <v>1852</v>
      </c>
      <c r="W738" s="299" t="s">
        <v>194</v>
      </c>
      <c r="X738" s="300">
        <v>44764</v>
      </c>
      <c r="Y738" s="299" t="s">
        <v>60</v>
      </c>
      <c r="Z738" s="303">
        <v>1505169.4</v>
      </c>
      <c r="AA738" s="305">
        <f>IF(Z738=0,0,IF(Y738="MXN",1/HLOOKUP(YEAR(X738)+(MONTH(X738)/100),TC!$5:$37,DAY(X738)+2,FALSE),VLOOKUP(Y738,Equivalencia!$1:$23,((MAX(Equivalencia!$3:$3)-YEAR(X738))*14)+MONTH(X738)+2,FALSE)))</f>
        <v>4.8801198557436573E-2</v>
      </c>
      <c r="AB738" s="306">
        <f t="shared" si="195"/>
        <v>73454.070751977662</v>
      </c>
      <c r="AC738" s="305">
        <f>+IF(X738=0,0,HLOOKUP(YEAR(X738)+(MONTH(X738)/100),TC!$5:$37,DAY(X738)+2,FALSE))</f>
        <v>20.491299999999999</v>
      </c>
      <c r="AD738" s="307">
        <f t="shared" si="196"/>
        <v>1505169.4</v>
      </c>
      <c r="AE738" s="314">
        <f t="shared" si="197"/>
        <v>1792563.9335125235</v>
      </c>
      <c r="AF738" s="315">
        <f t="shared" si="198"/>
        <v>-287394.53351252363</v>
      </c>
      <c r="AG738" s="316">
        <f t="shared" si="199"/>
        <v>3.0547945205479454</v>
      </c>
      <c r="AH738" s="314">
        <v>1</v>
      </c>
      <c r="AI738" s="314">
        <f t="shared" si="200"/>
        <v>-287394.53351252363</v>
      </c>
      <c r="AJ738" s="314">
        <f t="shared" si="201"/>
        <v>0</v>
      </c>
      <c r="AK738" s="317"/>
      <c r="AL738" s="315">
        <f t="shared" si="202"/>
        <v>-6384.1550913522078</v>
      </c>
      <c r="AN738" s="554">
        <f t="shared" si="203"/>
        <v>-4.1918452123476529E-3</v>
      </c>
      <c r="AO738" s="314"/>
      <c r="AP738" s="318"/>
    </row>
    <row r="739" spans="2:42">
      <c r="B739" s="296" t="s">
        <v>1246</v>
      </c>
      <c r="C739" s="299" t="s">
        <v>277</v>
      </c>
      <c r="D739" s="298" t="s">
        <v>913</v>
      </c>
      <c r="E739" s="299" t="s">
        <v>113</v>
      </c>
      <c r="F739" s="299" t="s">
        <v>60</v>
      </c>
      <c r="G739" s="300">
        <v>44601</v>
      </c>
      <c r="H739" s="303">
        <v>5010350.4000000004</v>
      </c>
      <c r="I739" s="301" t="str">
        <f t="shared" si="187"/>
        <v>Ingresos Sección II LISR (SIC &amp; BMV)</v>
      </c>
      <c r="J739" s="302">
        <f t="shared" si="188"/>
        <v>7092</v>
      </c>
      <c r="K739" s="304">
        <f t="shared" si="189"/>
        <v>706.47918781725889</v>
      </c>
      <c r="L739" s="305">
        <f>IF(H739=0,0,IF(OR(E739=$AT$5,E739=$AT$6),AA739,IF(F739="MXN",1/HLOOKUP(YEAR(G739)+(MONTH(G739)/100),TC!$5:$37,DAY(G739)+2,FALSE),VLOOKUP(F739,Equivalencia!$5:$23,((MAX(Equivalencia!$3:$3)-YEAR(G739))*14)+MONTH(G739)+2,FALSE))))</f>
        <v>4.8233449897503916E-2</v>
      </c>
      <c r="M739" s="306">
        <f t="shared" si="190"/>
        <v>241666.48498733871</v>
      </c>
      <c r="N739" s="305">
        <f>IF(G739=0,0,(IF(OR(E739=$AT$5,E739=$AT$6),AC739,HLOOKUP(YEAR(G739)+(MONTH(G739)/100),TC!$5:$37,DAY(G739)+2,FALSE))))</f>
        <v>20.732500000000002</v>
      </c>
      <c r="O739" s="307">
        <f t="shared" si="191"/>
        <v>5010350.4000000004</v>
      </c>
      <c r="P739" s="560">
        <f>IF(G739=0,0,VLOOKUP(YEAR(G739),INPC!$B$4:$P$30,MONTH(G739)+2))</f>
        <v>118.98099999999999</v>
      </c>
      <c r="Q739" s="560">
        <f>IF(X739=0,0,IF(OR(E739=$AT$10,E739=$AT$9),VLOOKUP(YEAR(X739),INPC!$B$4:$P$30,MONTH(X739)+1),VLOOKUP(YEAR(X739),INPC!$B$4:$P$30,MONTH(X739)+2,0)))</f>
        <v>122.044</v>
      </c>
      <c r="R739" s="309">
        <f t="shared" si="192"/>
        <v>1.0257000000000001</v>
      </c>
      <c r="S739" s="310">
        <f t="shared" si="193"/>
        <v>5139116.4052800005</v>
      </c>
      <c r="T739" s="555">
        <f t="shared" si="194"/>
        <v>724.63570294416252</v>
      </c>
      <c r="U739" s="311"/>
      <c r="V739" s="312">
        <v>7092</v>
      </c>
      <c r="W739" s="299" t="s">
        <v>194</v>
      </c>
      <c r="X739" s="300">
        <v>44764</v>
      </c>
      <c r="Y739" s="299" t="s">
        <v>60</v>
      </c>
      <c r="Z739" s="303">
        <v>3483153.3221340766</v>
      </c>
      <c r="AA739" s="305">
        <f>IF(Z739=0,0,IF(Y739="MXN",1/HLOOKUP(YEAR(X739)+(MONTH(X739)/100),TC!$5:$37,DAY(X739)+2,FALSE),VLOOKUP(Y739,Equivalencia!$1:$23,((MAX(Equivalencia!$3:$3)-YEAR(X739))*14)+MONTH(X739)+2,FALSE)))</f>
        <v>4.8801198557436573E-2</v>
      </c>
      <c r="AB739" s="306">
        <f t="shared" si="195"/>
        <v>169982.05687945991</v>
      </c>
      <c r="AC739" s="305">
        <f>+IF(X739=0,0,HLOOKUP(YEAR(X739)+(MONTH(X739)/100),TC!$5:$37,DAY(X739)+2,FALSE))</f>
        <v>20.491299999999999</v>
      </c>
      <c r="AD739" s="307">
        <f t="shared" si="196"/>
        <v>3483153.3221340766</v>
      </c>
      <c r="AE739" s="314">
        <f t="shared" si="197"/>
        <v>5139116.4052800005</v>
      </c>
      <c r="AF739" s="315">
        <f t="shared" si="198"/>
        <v>-1655963.0831459239</v>
      </c>
      <c r="AG739" s="316">
        <f t="shared" si="199"/>
        <v>0.44657534246575342</v>
      </c>
      <c r="AH739" s="314">
        <v>1</v>
      </c>
      <c r="AI739" s="314">
        <f t="shared" si="200"/>
        <v>-1655963.0831459239</v>
      </c>
      <c r="AJ739" s="314">
        <f t="shared" si="201"/>
        <v>0</v>
      </c>
      <c r="AK739" s="317"/>
      <c r="AL739" s="315">
        <f t="shared" si="202"/>
        <v>-71684.428107878804</v>
      </c>
      <c r="AN739" s="554">
        <f t="shared" si="203"/>
        <v>-1.4307268431341408E-2</v>
      </c>
      <c r="AO739" s="314"/>
      <c r="AP739" s="318"/>
    </row>
    <row r="740" spans="2:42">
      <c r="B740" s="296" t="s">
        <v>1246</v>
      </c>
      <c r="C740" s="299" t="s">
        <v>277</v>
      </c>
      <c r="D740" s="298" t="s">
        <v>913</v>
      </c>
      <c r="E740" s="299" t="s">
        <v>113</v>
      </c>
      <c r="F740" s="299" t="s">
        <v>60</v>
      </c>
      <c r="G740" s="300">
        <v>44635</v>
      </c>
      <c r="H740" s="303">
        <v>463843.43</v>
      </c>
      <c r="I740" s="301" t="str">
        <f t="shared" si="187"/>
        <v>Ingresos Sección II LISR (SIC &amp; BMV)</v>
      </c>
      <c r="J740" s="302">
        <f t="shared" si="188"/>
        <v>799</v>
      </c>
      <c r="K740" s="304">
        <f t="shared" si="189"/>
        <v>580.52994993742175</v>
      </c>
      <c r="L740" s="305">
        <f>IF(H740=0,0,IF(OR(E740=$AT$5,E740=$AT$6),AA740,IF(F740="MXN",1/HLOOKUP(YEAR(G740)+(MONTH(G740)/100),TC!$5:$37,DAY(G740)+2,FALSE),VLOOKUP(F740,Equivalencia!$5:$23,((MAX(Equivalencia!$3:$3)-YEAR(G740))*14)+MONTH(G740)+2,FALSE))))</f>
        <v>4.7688309210996926E-2</v>
      </c>
      <c r="M740" s="306">
        <f t="shared" si="190"/>
        <v>22119.908915329408</v>
      </c>
      <c r="N740" s="305">
        <f>IF(G740=0,0,(IF(OR(E740=$AT$5,E740=$AT$6),AC740,HLOOKUP(YEAR(G740)+(MONTH(G740)/100),TC!$5:$37,DAY(G740)+2,FALSE))))</f>
        <v>20.9695</v>
      </c>
      <c r="O740" s="307">
        <f t="shared" si="191"/>
        <v>463843.43000000005</v>
      </c>
      <c r="P740" s="560">
        <f>IF(G740=0,0,VLOOKUP(YEAR(G740),INPC!$B$4:$P$30,MONTH(G740)+2))</f>
        <v>120.15900000000001</v>
      </c>
      <c r="Q740" s="560">
        <f>IF(X740=0,0,IF(OR(E740=$AT$10,E740=$AT$9),VLOOKUP(YEAR(X740),INPC!$B$4:$P$30,MONTH(X740)+1),VLOOKUP(YEAR(X740),INPC!$B$4:$P$30,MONTH(X740)+2,0)))</f>
        <v>122.044</v>
      </c>
      <c r="R740" s="309">
        <f t="shared" si="192"/>
        <v>1.0156000000000001</v>
      </c>
      <c r="S740" s="310">
        <f t="shared" si="193"/>
        <v>471079.38750800007</v>
      </c>
      <c r="T740" s="555">
        <f t="shared" si="194"/>
        <v>589.58621715644563</v>
      </c>
      <c r="U740" s="311"/>
      <c r="V740" s="312">
        <v>799</v>
      </c>
      <c r="W740" s="299" t="s">
        <v>194</v>
      </c>
      <c r="X740" s="300">
        <v>44764</v>
      </c>
      <c r="Y740" s="299" t="s">
        <v>60</v>
      </c>
      <c r="Z740" s="303">
        <v>392419.55786592321</v>
      </c>
      <c r="AA740" s="305">
        <f>IF(Z740=0,0,IF(Y740="MXN",1/HLOOKUP(YEAR(X740)+(MONTH(X740)/100),TC!$5:$37,DAY(X740)+2,FALSE),VLOOKUP(Y740,Equivalencia!$1:$23,((MAX(Equivalencia!$3:$3)-YEAR(X740))*14)+MONTH(X740)+2,FALSE)))</f>
        <v>4.8801198557436573E-2</v>
      </c>
      <c r="AB740" s="306">
        <f t="shared" si="195"/>
        <v>19150.54476123639</v>
      </c>
      <c r="AC740" s="305">
        <f>+IF(X740=0,0,HLOOKUP(YEAR(X740)+(MONTH(X740)/100),TC!$5:$37,DAY(X740)+2,FALSE))</f>
        <v>20.491299999999999</v>
      </c>
      <c r="AD740" s="307">
        <f t="shared" si="196"/>
        <v>392419.55786592321</v>
      </c>
      <c r="AE740" s="314">
        <f t="shared" si="197"/>
        <v>471079.38750800007</v>
      </c>
      <c r="AF740" s="315">
        <f t="shared" si="198"/>
        <v>-78659.82964207686</v>
      </c>
      <c r="AG740" s="316">
        <f t="shared" si="199"/>
        <v>0.35342465753424657</v>
      </c>
      <c r="AH740" s="314">
        <v>1</v>
      </c>
      <c r="AI740" s="314">
        <f t="shared" si="200"/>
        <v>-78659.82964207686</v>
      </c>
      <c r="AJ740" s="314">
        <f t="shared" si="201"/>
        <v>0</v>
      </c>
      <c r="AK740" s="317"/>
      <c r="AL740" s="315">
        <f t="shared" si="202"/>
        <v>-2969.3641540930184</v>
      </c>
      <c r="AN740" s="554">
        <f t="shared" si="203"/>
        <v>-6.4016518550085288E-3</v>
      </c>
      <c r="AO740" s="314"/>
      <c r="AP740" s="318"/>
    </row>
    <row r="741" spans="2:42">
      <c r="B741" s="296" t="s">
        <v>1246</v>
      </c>
      <c r="C741" s="299" t="s">
        <v>277</v>
      </c>
      <c r="D741" s="298" t="s">
        <v>945</v>
      </c>
      <c r="E741" s="299" t="s">
        <v>113</v>
      </c>
      <c r="F741" s="299" t="s">
        <v>60</v>
      </c>
      <c r="G741" s="300">
        <v>44635</v>
      </c>
      <c r="H741" s="303">
        <v>12242112.16</v>
      </c>
      <c r="I741" s="301" t="str">
        <f t="shared" si="187"/>
        <v>Ingresos Sección II LISR (SIC &amp; BMV)</v>
      </c>
      <c r="J741" s="302">
        <f t="shared" si="188"/>
        <v>2227</v>
      </c>
      <c r="K741" s="304">
        <f t="shared" si="189"/>
        <v>5497.1316389762014</v>
      </c>
      <c r="L741" s="305">
        <f>IF(H741=0,0,IF(OR(E741=$AT$5,E741=$AT$6),AA741,IF(F741="MXN",1/HLOOKUP(YEAR(G741)+(MONTH(G741)/100),TC!$5:$37,DAY(G741)+2,FALSE),VLOOKUP(F741,Equivalencia!$5:$23,((MAX(Equivalencia!$3:$3)-YEAR(G741))*14)+MONTH(G741)+2,FALSE))))</f>
        <v>4.7688309210996926E-2</v>
      </c>
      <c r="M741" s="306">
        <f t="shared" si="190"/>
        <v>583805.63008178549</v>
      </c>
      <c r="N741" s="305">
        <f>IF(G741=0,0,(IF(OR(E741=$AT$5,E741=$AT$6),AC741,HLOOKUP(YEAR(G741)+(MONTH(G741)/100),TC!$5:$37,DAY(G741)+2,FALSE))))</f>
        <v>20.9695</v>
      </c>
      <c r="O741" s="307">
        <f t="shared" si="191"/>
        <v>12242112.16</v>
      </c>
      <c r="P741" s="560">
        <f>IF(G741=0,0,VLOOKUP(YEAR(G741),INPC!$B$4:$P$30,MONTH(G741)+2))</f>
        <v>120.15900000000001</v>
      </c>
      <c r="Q741" s="560">
        <f>IF(X741=0,0,IF(OR(E741=$AT$10,E741=$AT$9),VLOOKUP(YEAR(X741),INPC!$B$4:$P$30,MONTH(X741)+1),VLOOKUP(YEAR(X741),INPC!$B$4:$P$30,MONTH(X741)+2,0)))</f>
        <v>122.044</v>
      </c>
      <c r="R741" s="309">
        <f t="shared" si="192"/>
        <v>1.0156000000000001</v>
      </c>
      <c r="S741" s="310">
        <f t="shared" si="193"/>
        <v>12433089.109696001</v>
      </c>
      <c r="T741" s="555">
        <f t="shared" si="194"/>
        <v>5582.8868925442302</v>
      </c>
      <c r="U741" s="311"/>
      <c r="V741" s="312">
        <v>2227</v>
      </c>
      <c r="W741" s="299" t="s">
        <v>194</v>
      </c>
      <c r="X741" s="300">
        <v>44764</v>
      </c>
      <c r="Y741" s="299" t="s">
        <v>60</v>
      </c>
      <c r="Z741" s="303">
        <v>9699832.3000000007</v>
      </c>
      <c r="AA741" s="305">
        <f>IF(Z741=0,0,IF(Y741="MXN",1/HLOOKUP(YEAR(X741)+(MONTH(X741)/100),TC!$5:$37,DAY(X741)+2,FALSE),VLOOKUP(Y741,Equivalencia!$1:$23,((MAX(Equivalencia!$3:$3)-YEAR(X741))*14)+MONTH(X741)+2,FALSE)))</f>
        <v>4.8801198557436573E-2</v>
      </c>
      <c r="AB741" s="306">
        <f t="shared" si="195"/>
        <v>473363.44204613671</v>
      </c>
      <c r="AC741" s="305">
        <f>+IF(X741=0,0,HLOOKUP(YEAR(X741)+(MONTH(X741)/100),TC!$5:$37,DAY(X741)+2,FALSE))</f>
        <v>20.491299999999999</v>
      </c>
      <c r="AD741" s="307">
        <f t="shared" si="196"/>
        <v>9699832.3000000007</v>
      </c>
      <c r="AE741" s="314">
        <f t="shared" si="197"/>
        <v>12433089.109696001</v>
      </c>
      <c r="AF741" s="315">
        <f t="shared" si="198"/>
        <v>-2733256.8096960001</v>
      </c>
      <c r="AG741" s="316">
        <f t="shared" si="199"/>
        <v>0.35342465753424657</v>
      </c>
      <c r="AH741" s="314">
        <v>1</v>
      </c>
      <c r="AI741" s="314">
        <f t="shared" si="200"/>
        <v>-2733256.8096960001</v>
      </c>
      <c r="AJ741" s="314">
        <f t="shared" si="201"/>
        <v>0</v>
      </c>
      <c r="AK741" s="317"/>
      <c r="AL741" s="315">
        <f t="shared" si="202"/>
        <v>-110442.18803564878</v>
      </c>
      <c r="AN741" s="554">
        <f t="shared" si="203"/>
        <v>-9.0214978095453733E-3</v>
      </c>
      <c r="AO741" s="314"/>
      <c r="AP741" s="318"/>
    </row>
    <row r="742" spans="2:42">
      <c r="B742" s="296"/>
      <c r="C742" s="299"/>
      <c r="D742" s="298"/>
      <c r="E742" s="299"/>
      <c r="F742" s="299"/>
      <c r="G742" s="300"/>
      <c r="H742" s="303"/>
      <c r="I742" s="301">
        <f t="shared" si="187"/>
        <v>0</v>
      </c>
      <c r="J742" s="302">
        <f t="shared" si="188"/>
        <v>0</v>
      </c>
      <c r="K742" s="304">
        <f t="shared" si="189"/>
        <v>0</v>
      </c>
      <c r="L742" s="305">
        <f>IF(H742=0,0,IF(OR(E742=$AT$5,E742=$AT$6),AA742,IF(F742="MXN",1/HLOOKUP(YEAR(G742)+(MONTH(G742)/100),TC!$5:$37,DAY(G742)+2,FALSE),VLOOKUP(F742,Equivalencia!$5:$23,((MAX(Equivalencia!$3:$3)-YEAR(G742))*14)+MONTH(G742)+2,FALSE))))</f>
        <v>0</v>
      </c>
      <c r="M742" s="306">
        <f t="shared" si="190"/>
        <v>0</v>
      </c>
      <c r="N742" s="305">
        <f>IF(G742=0,0,(IF(OR(E742=$AT$5,E742=$AT$6),AC742,HLOOKUP(YEAR(G742)+(MONTH(G742)/100),TC!$5:$37,DAY(G742)+2,FALSE))))</f>
        <v>0</v>
      </c>
      <c r="O742" s="307">
        <f t="shared" si="191"/>
        <v>0</v>
      </c>
      <c r="P742" s="560">
        <f>IF(G742=0,0,VLOOKUP(YEAR(G742),INPC!$B$4:$P$30,MONTH(G742)+2))</f>
        <v>0</v>
      </c>
      <c r="Q742" s="560">
        <f>IF(X742=0,0,IF(OR(E742=$AT$10,E742=$AT$9),VLOOKUP(YEAR(X742),INPC!$B$4:$P$30,MONTH(X742)+1),VLOOKUP(YEAR(X742),INPC!$B$4:$P$30,MONTH(X742)+2,0)))</f>
        <v>0</v>
      </c>
      <c r="R742" s="309">
        <f t="shared" si="192"/>
        <v>0</v>
      </c>
      <c r="S742" s="310">
        <f t="shared" si="193"/>
        <v>0</v>
      </c>
      <c r="T742" s="555">
        <f t="shared" si="194"/>
        <v>0</v>
      </c>
      <c r="U742" s="311"/>
      <c r="V742" s="312"/>
      <c r="W742" s="299"/>
      <c r="X742" s="300"/>
      <c r="Y742" s="299"/>
      <c r="Z742" s="303"/>
      <c r="AA742" s="305">
        <f>IF(Z742=0,0,IF(Y742="MXN",1/HLOOKUP(YEAR(X742)+(MONTH(X742)/100),TC!$5:$37,DAY(X742)+2,FALSE),VLOOKUP(Y742,Equivalencia!$1:$23,((MAX(Equivalencia!$3:$3)-YEAR(X742))*14)+MONTH(X742)+2,FALSE)))</f>
        <v>0</v>
      </c>
      <c r="AB742" s="306">
        <f t="shared" si="195"/>
        <v>0</v>
      </c>
      <c r="AC742" s="305">
        <f>+IF(X742=0,0,HLOOKUP(YEAR(X742)+(MONTH(X742)/100),TC!$5:$37,DAY(X742)+2,FALSE))</f>
        <v>0</v>
      </c>
      <c r="AD742" s="307">
        <f t="shared" si="196"/>
        <v>0</v>
      </c>
      <c r="AE742" s="314">
        <f t="shared" si="197"/>
        <v>0</v>
      </c>
      <c r="AF742" s="315">
        <f t="shared" si="198"/>
        <v>0</v>
      </c>
      <c r="AG742" s="316">
        <f t="shared" si="199"/>
        <v>0</v>
      </c>
      <c r="AH742" s="314">
        <v>1</v>
      </c>
      <c r="AI742" s="314">
        <f t="shared" si="200"/>
        <v>0</v>
      </c>
      <c r="AJ742" s="314">
        <f t="shared" si="201"/>
        <v>0</v>
      </c>
      <c r="AK742" s="317"/>
      <c r="AL742" s="315">
        <f t="shared" si="202"/>
        <v>0</v>
      </c>
      <c r="AN742" s="554">
        <f t="shared" si="203"/>
        <v>0</v>
      </c>
      <c r="AO742" s="314"/>
      <c r="AP742" s="318"/>
    </row>
    <row r="743" spans="2:42">
      <c r="B743" s="296" t="s">
        <v>1254</v>
      </c>
      <c r="C743" s="299" t="s">
        <v>277</v>
      </c>
      <c r="D743" s="298" t="s">
        <v>714</v>
      </c>
      <c r="E743" s="299" t="s">
        <v>113</v>
      </c>
      <c r="F743" s="299" t="s">
        <v>59</v>
      </c>
      <c r="G743" s="300">
        <v>44259</v>
      </c>
      <c r="H743" s="303">
        <v>14938.178906249999</v>
      </c>
      <c r="I743" s="301" t="str">
        <f t="shared" si="187"/>
        <v>Ingresos Sección II LISR (SIC &amp; BMV)</v>
      </c>
      <c r="J743" s="302">
        <f t="shared" si="188"/>
        <v>94</v>
      </c>
      <c r="K743" s="304">
        <f t="shared" si="189"/>
        <v>158.91679687499999</v>
      </c>
      <c r="L743" s="305">
        <f>IF(H743=0,0,IF(OR(E743=$AT$5,E743=$AT$6),AA743,IF(F743="MXN",1/HLOOKUP(YEAR(G743)+(MONTH(G743)/100),TC!$5:$37,DAY(G743)+2,FALSE),VLOOKUP(F743,Equivalencia!$5:$23,((MAX(Equivalencia!$3:$3)-YEAR(G743))*14)+MONTH(G743)+2,FALSE))))</f>
        <v>1</v>
      </c>
      <c r="M743" s="306">
        <f t="shared" si="190"/>
        <v>14938.178906249999</v>
      </c>
      <c r="N743" s="305">
        <f>IF(G743=0,0,(IF(OR(E743=$AT$5,E743=$AT$6),AC743,HLOOKUP(YEAR(G743)+(MONTH(G743)/100),TC!$5:$37,DAY(G743)+2,FALSE))))</f>
        <v>20.690300000000001</v>
      </c>
      <c r="O743" s="307">
        <f t="shared" si="191"/>
        <v>309075.40302398434</v>
      </c>
      <c r="P743" s="560">
        <f>IF(G743=0,0,VLOOKUP(YEAR(G743),INPC!$B$4:$P$30,MONTH(G743)+2))</f>
        <v>111.824</v>
      </c>
      <c r="Q743" s="560">
        <f>IF(X743=0,0,IF(OR(E743=$AT$10,E743=$AT$9),VLOOKUP(YEAR(X743),INPC!$B$4:$P$30,MONTH(X743)+1),VLOOKUP(YEAR(X743),INPC!$B$4:$P$30,MONTH(X743)+2,0)))</f>
        <v>122.044</v>
      </c>
      <c r="R743" s="309">
        <f t="shared" si="192"/>
        <v>1.0912999999999999</v>
      </c>
      <c r="S743" s="310">
        <f t="shared" si="193"/>
        <v>337293.98732007411</v>
      </c>
      <c r="T743" s="555">
        <f t="shared" si="194"/>
        <v>3588.233907660363</v>
      </c>
      <c r="U743" s="311"/>
      <c r="V743" s="312">
        <v>94</v>
      </c>
      <c r="W743" s="299" t="s">
        <v>194</v>
      </c>
      <c r="X743" s="300">
        <v>44770</v>
      </c>
      <c r="Y743" s="299" t="s">
        <v>59</v>
      </c>
      <c r="Z743" s="303">
        <v>10307.629999999999</v>
      </c>
      <c r="AA743" s="305">
        <f>IF(Z743=0,0,IF(Y743="MXN",1/HLOOKUP(YEAR(X743)+(MONTH(X743)/100),TC!$5:$37,DAY(X743)+2,FALSE),VLOOKUP(Y743,Equivalencia!$1:$23,((MAX(Equivalencia!$3:$3)-YEAR(X743))*14)+MONTH(X743)+2,FALSE)))</f>
        <v>1</v>
      </c>
      <c r="AB743" s="306">
        <f t="shared" si="195"/>
        <v>10307.629999999999</v>
      </c>
      <c r="AC743" s="305">
        <f>+IF(X743=0,0,HLOOKUP(YEAR(X743)+(MONTH(X743)/100),TC!$5:$37,DAY(X743)+2,FALSE))</f>
        <v>20.433</v>
      </c>
      <c r="AD743" s="307">
        <f t="shared" si="196"/>
        <v>210615.80378999998</v>
      </c>
      <c r="AE743" s="314">
        <f t="shared" si="197"/>
        <v>337293.98732007411</v>
      </c>
      <c r="AF743" s="315">
        <f t="shared" si="198"/>
        <v>-126678.18353007414</v>
      </c>
      <c r="AG743" s="316">
        <f t="shared" si="199"/>
        <v>1.4</v>
      </c>
      <c r="AH743" s="314">
        <v>1</v>
      </c>
      <c r="AI743" s="314">
        <f t="shared" si="200"/>
        <v>-126678.18353007414</v>
      </c>
      <c r="AJ743" s="314">
        <f t="shared" si="201"/>
        <v>0</v>
      </c>
      <c r="AK743" s="317"/>
      <c r="AL743" s="315">
        <f t="shared" si="202"/>
        <v>-4630.5489062500001</v>
      </c>
      <c r="AN743" s="554">
        <f t="shared" si="203"/>
        <v>-0.3099808172944441</v>
      </c>
      <c r="AO743" s="314"/>
      <c r="AP743" s="318"/>
    </row>
    <row r="744" spans="2:42">
      <c r="B744" s="296" t="s">
        <v>1254</v>
      </c>
      <c r="C744" s="299" t="s">
        <v>277</v>
      </c>
      <c r="D744" s="298" t="s">
        <v>714</v>
      </c>
      <c r="E744" s="299" t="s">
        <v>113</v>
      </c>
      <c r="F744" s="299" t="s">
        <v>59</v>
      </c>
      <c r="G744" s="300">
        <v>44259</v>
      </c>
      <c r="H744" s="303">
        <v>4131.8367187499998</v>
      </c>
      <c r="I744" s="301" t="str">
        <f t="shared" si="187"/>
        <v>Ingresos Sección II LISR (SIC &amp; BMV)</v>
      </c>
      <c r="J744" s="302">
        <f t="shared" si="188"/>
        <v>26</v>
      </c>
      <c r="K744" s="304">
        <f t="shared" si="189"/>
        <v>158.91679687499999</v>
      </c>
      <c r="L744" s="305">
        <f>IF(H744=0,0,IF(OR(E744=$AT$5,E744=$AT$6),AA744,IF(F744="MXN",1/HLOOKUP(YEAR(G744)+(MONTH(G744)/100),TC!$5:$37,DAY(G744)+2,FALSE),VLOOKUP(F744,Equivalencia!$5:$23,((MAX(Equivalencia!$3:$3)-YEAR(G744))*14)+MONTH(G744)+2,FALSE))))</f>
        <v>1</v>
      </c>
      <c r="M744" s="306">
        <f t="shared" si="190"/>
        <v>4131.8367187499998</v>
      </c>
      <c r="N744" s="305">
        <f>IF(G744=0,0,(IF(OR(E744=$AT$5,E744=$AT$6),AC744,HLOOKUP(YEAR(G744)+(MONTH(G744)/100),TC!$5:$37,DAY(G744)+2,FALSE))))</f>
        <v>20.690300000000001</v>
      </c>
      <c r="O744" s="307">
        <f t="shared" si="191"/>
        <v>85488.941261953121</v>
      </c>
      <c r="P744" s="560">
        <f>IF(G744=0,0,VLOOKUP(YEAR(G744),INPC!$B$4:$P$30,MONTH(G744)+2))</f>
        <v>111.824</v>
      </c>
      <c r="Q744" s="560">
        <f>IF(X744=0,0,IF(OR(E744=$AT$10,E744=$AT$9),VLOOKUP(YEAR(X744),INPC!$B$4:$P$30,MONTH(X744)+1),VLOOKUP(YEAR(X744),INPC!$B$4:$P$30,MONTH(X744)+2,0)))</f>
        <v>122.044</v>
      </c>
      <c r="R744" s="309">
        <f t="shared" si="192"/>
        <v>1.0912999999999999</v>
      </c>
      <c r="S744" s="310">
        <f t="shared" si="193"/>
        <v>93294.08159916944</v>
      </c>
      <c r="T744" s="555">
        <f t="shared" si="194"/>
        <v>3588.233907660363</v>
      </c>
      <c r="U744" s="311"/>
      <c r="V744" s="312">
        <v>26</v>
      </c>
      <c r="W744" s="299" t="s">
        <v>194</v>
      </c>
      <c r="X744" s="300">
        <v>44770</v>
      </c>
      <c r="Y744" s="299" t="s">
        <v>59</v>
      </c>
      <c r="Z744" s="303">
        <v>2880.0034042553189</v>
      </c>
      <c r="AA744" s="305">
        <f>IF(Z744=0,0,IF(Y744="MXN",1/HLOOKUP(YEAR(X744)+(MONTH(X744)/100),TC!$5:$37,DAY(X744)+2,FALSE),VLOOKUP(Y744,Equivalencia!$1:$23,((MAX(Equivalencia!$3:$3)-YEAR(X744))*14)+MONTH(X744)+2,FALSE)))</f>
        <v>1</v>
      </c>
      <c r="AB744" s="306">
        <f t="shared" si="195"/>
        <v>2880.0034042553189</v>
      </c>
      <c r="AC744" s="305">
        <f>+IF(X744=0,0,HLOOKUP(YEAR(X744)+(MONTH(X744)/100),TC!$5:$37,DAY(X744)+2,FALSE))</f>
        <v>20.433</v>
      </c>
      <c r="AD744" s="307">
        <f t="shared" si="196"/>
        <v>58847.109559148928</v>
      </c>
      <c r="AE744" s="314">
        <f t="shared" si="197"/>
        <v>93294.08159916944</v>
      </c>
      <c r="AF744" s="315">
        <f t="shared" si="198"/>
        <v>-34446.972040020511</v>
      </c>
      <c r="AG744" s="316">
        <f t="shared" si="199"/>
        <v>1.4</v>
      </c>
      <c r="AH744" s="314">
        <v>1</v>
      </c>
      <c r="AI744" s="314">
        <f t="shared" si="200"/>
        <v>-34446.972040020511</v>
      </c>
      <c r="AJ744" s="314">
        <f t="shared" si="201"/>
        <v>0</v>
      </c>
      <c r="AK744" s="317"/>
      <c r="AL744" s="315">
        <f t="shared" si="202"/>
        <v>-1251.833314494681</v>
      </c>
      <c r="AN744" s="554">
        <f t="shared" si="203"/>
        <v>-0.30297260025158901</v>
      </c>
      <c r="AO744" s="314"/>
      <c r="AP744" s="318"/>
    </row>
    <row r="745" spans="2:42">
      <c r="B745" s="296" t="s">
        <v>1254</v>
      </c>
      <c r="C745" s="299" t="s">
        <v>277</v>
      </c>
      <c r="D745" s="298" t="s">
        <v>714</v>
      </c>
      <c r="E745" s="299" t="s">
        <v>113</v>
      </c>
      <c r="F745" s="299" t="s">
        <v>59</v>
      </c>
      <c r="G745" s="300">
        <v>44341</v>
      </c>
      <c r="H745" s="303">
        <v>3527.0017391304345</v>
      </c>
      <c r="I745" s="301" t="str">
        <f t="shared" si="187"/>
        <v>Ingresos Sección II LISR (SIC &amp; BMV)</v>
      </c>
      <c r="J745" s="302">
        <f t="shared" si="188"/>
        <v>21</v>
      </c>
      <c r="K745" s="304">
        <f t="shared" si="189"/>
        <v>167.95246376811593</v>
      </c>
      <c r="L745" s="305">
        <f>IF(H745=0,0,IF(OR(E745=$AT$5,E745=$AT$6),AA745,IF(F745="MXN",1/HLOOKUP(YEAR(G745)+(MONTH(G745)/100),TC!$5:$37,DAY(G745)+2,FALSE),VLOOKUP(F745,Equivalencia!$5:$23,((MAX(Equivalencia!$3:$3)-YEAR(G745))*14)+MONTH(G745)+2,FALSE))))</f>
        <v>1</v>
      </c>
      <c r="M745" s="306">
        <f t="shared" si="190"/>
        <v>3527.0017391304345</v>
      </c>
      <c r="N745" s="305">
        <f>IF(G745=0,0,(IF(OR(E745=$AT$5,E745=$AT$6),AC745,HLOOKUP(YEAR(G745)+(MONTH(G745)/100),TC!$5:$37,DAY(G745)+2,FALSE))))</f>
        <v>19.951000000000001</v>
      </c>
      <c r="O745" s="307">
        <f t="shared" si="191"/>
        <v>70367.211697391307</v>
      </c>
      <c r="P745" s="560">
        <f>IF(G745=0,0,VLOOKUP(YEAR(G745),INPC!$B$4:$P$30,MONTH(G745)+2))</f>
        <v>112.419</v>
      </c>
      <c r="Q745" s="560">
        <f>IF(X745=0,0,IF(OR(E745=$AT$10,E745=$AT$9),VLOOKUP(YEAR(X745),INPC!$B$4:$P$30,MONTH(X745)+1),VLOOKUP(YEAR(X745),INPC!$B$4:$P$30,MONTH(X745)+2,0)))</f>
        <v>122.044</v>
      </c>
      <c r="R745" s="309">
        <f t="shared" si="192"/>
        <v>1.0855999999999999</v>
      </c>
      <c r="S745" s="310">
        <f t="shared" si="193"/>
        <v>76390.645018687996</v>
      </c>
      <c r="T745" s="555">
        <f t="shared" si="194"/>
        <v>3637.6497627946665</v>
      </c>
      <c r="U745" s="311"/>
      <c r="V745" s="312">
        <v>21</v>
      </c>
      <c r="W745" s="299" t="s">
        <v>194</v>
      </c>
      <c r="X745" s="300">
        <v>44770</v>
      </c>
      <c r="Y745" s="299" t="s">
        <v>59</v>
      </c>
      <c r="Z745" s="303">
        <v>2326.1565957446805</v>
      </c>
      <c r="AA745" s="305">
        <f>IF(Z745=0,0,IF(Y745="MXN",1/HLOOKUP(YEAR(X745)+(MONTH(X745)/100),TC!$5:$37,DAY(X745)+2,FALSE),VLOOKUP(Y745,Equivalencia!$1:$23,((MAX(Equivalencia!$3:$3)-YEAR(X745))*14)+MONTH(X745)+2,FALSE)))</f>
        <v>1</v>
      </c>
      <c r="AB745" s="306">
        <f t="shared" si="195"/>
        <v>2326.1565957446805</v>
      </c>
      <c r="AC745" s="305">
        <f>+IF(X745=0,0,HLOOKUP(YEAR(X745)+(MONTH(X745)/100),TC!$5:$37,DAY(X745)+2,FALSE))</f>
        <v>20.433</v>
      </c>
      <c r="AD745" s="307">
        <f t="shared" si="196"/>
        <v>47530.357720851054</v>
      </c>
      <c r="AE745" s="314">
        <f t="shared" si="197"/>
        <v>76390.645018687996</v>
      </c>
      <c r="AF745" s="315">
        <f t="shared" si="198"/>
        <v>-28860.287297836941</v>
      </c>
      <c r="AG745" s="316">
        <f t="shared" si="199"/>
        <v>1.1753424657534246</v>
      </c>
      <c r="AH745" s="314">
        <v>1</v>
      </c>
      <c r="AI745" s="314">
        <f t="shared" si="200"/>
        <v>-28860.287297836941</v>
      </c>
      <c r="AJ745" s="314">
        <f t="shared" si="201"/>
        <v>0</v>
      </c>
      <c r="AK745" s="317"/>
      <c r="AL745" s="315">
        <f t="shared" si="202"/>
        <v>-1200.845143385754</v>
      </c>
      <c r="AN745" s="554">
        <f t="shared" si="203"/>
        <v>-0.34047194535317032</v>
      </c>
      <c r="AO745" s="314"/>
      <c r="AP745" s="318"/>
    </row>
    <row r="746" spans="2:42">
      <c r="B746" s="296" t="s">
        <v>1254</v>
      </c>
      <c r="C746" s="299" t="s">
        <v>277</v>
      </c>
      <c r="D746" s="298" t="s">
        <v>947</v>
      </c>
      <c r="E746" s="299" t="s">
        <v>106</v>
      </c>
      <c r="F746" s="299" t="s">
        <v>59</v>
      </c>
      <c r="G746" s="300">
        <v>44586</v>
      </c>
      <c r="H746" s="303">
        <v>5274.517935483871</v>
      </c>
      <c r="I746" s="301" t="str">
        <f t="shared" si="187"/>
        <v>Ingresos Sección I LISR</v>
      </c>
      <c r="J746" s="302">
        <f t="shared" si="188"/>
        <v>108</v>
      </c>
      <c r="K746" s="304">
        <f t="shared" si="189"/>
        <v>48.838129032258067</v>
      </c>
      <c r="L746" s="305">
        <f>IF(H746=0,0,IF(OR(E746=$AT$5,E746=$AT$6),AA746,IF(F746="MXN",1/HLOOKUP(YEAR(G746)+(MONTH(G746)/100),TC!$5:$37,DAY(G746)+2,FALSE),VLOOKUP(F746,Equivalencia!$5:$23,((MAX(Equivalencia!$3:$3)-YEAR(G746))*14)+MONTH(G746)+2,FALSE))))</f>
        <v>1</v>
      </c>
      <c r="M746" s="306">
        <f t="shared" si="190"/>
        <v>5274.517935483871</v>
      </c>
      <c r="N746" s="305">
        <f>IF(G746=0,0,(IF(OR(E746=$AT$5,E746=$AT$6),AC746,HLOOKUP(YEAR(G746)+(MONTH(G746)/100),TC!$5:$37,DAY(G746)+2,FALSE))))</f>
        <v>20.459800000000001</v>
      </c>
      <c r="O746" s="307">
        <f t="shared" si="191"/>
        <v>107915.58205641291</v>
      </c>
      <c r="P746" s="560">
        <f>IF(G746=0,0,VLOOKUP(YEAR(G746),INPC!$B$4:$P$30,MONTH(G746)+2))</f>
        <v>118.002</v>
      </c>
      <c r="Q746" s="560">
        <f>IF(X746=0,0,IF(OR(E746=$AT$10,E746=$AT$9),VLOOKUP(YEAR(X746),INPC!$B$4:$P$30,MONTH(X746)+1),VLOOKUP(YEAR(X746),INPC!$B$4:$P$30,MONTH(X746)+2,0)))</f>
        <v>122.94799999999999</v>
      </c>
      <c r="R746" s="309">
        <f t="shared" si="192"/>
        <v>1.0419</v>
      </c>
      <c r="S746" s="310">
        <f t="shared" si="193"/>
        <v>112437.24494457661</v>
      </c>
      <c r="T746" s="555">
        <f t="shared" si="194"/>
        <v>1041.0856013386724</v>
      </c>
      <c r="U746" s="311"/>
      <c r="V746" s="312">
        <v>108</v>
      </c>
      <c r="W746" s="299" t="s">
        <v>194</v>
      </c>
      <c r="X746" s="300">
        <v>44754</v>
      </c>
      <c r="Y746" s="299" t="s">
        <v>59</v>
      </c>
      <c r="Z746" s="303">
        <v>4062.91</v>
      </c>
      <c r="AA746" s="305">
        <f>IF(Z746=0,0,IF(Y746="MXN",1/HLOOKUP(YEAR(X746)+(MONTH(X746)/100),TC!$5:$37,DAY(X746)+2,FALSE),VLOOKUP(Y746,Equivalencia!$1:$23,((MAX(Equivalencia!$3:$3)-YEAR(X746))*14)+MONTH(X746)+2,FALSE)))</f>
        <v>1</v>
      </c>
      <c r="AB746" s="306">
        <f t="shared" si="195"/>
        <v>4062.91</v>
      </c>
      <c r="AC746" s="305">
        <f>+IF(X746=0,0,HLOOKUP(YEAR(X746)+(MONTH(X746)/100),TC!$5:$37,DAY(X746)+2,FALSE))</f>
        <v>20.442299999999999</v>
      </c>
      <c r="AD746" s="307">
        <f t="shared" si="196"/>
        <v>83055.225093000001</v>
      </c>
      <c r="AE746" s="314">
        <f t="shared" si="197"/>
        <v>112437.24494457663</v>
      </c>
      <c r="AF746" s="315">
        <f t="shared" si="198"/>
        <v>-29382.019851576624</v>
      </c>
      <c r="AG746" s="316">
        <f t="shared" si="199"/>
        <v>0.46027397260273972</v>
      </c>
      <c r="AH746" s="314">
        <v>1</v>
      </c>
      <c r="AI746" s="314">
        <f t="shared" si="200"/>
        <v>-29382.019851576624</v>
      </c>
      <c r="AJ746" s="314">
        <f t="shared" si="201"/>
        <v>0</v>
      </c>
      <c r="AK746" s="317"/>
      <c r="AL746" s="315">
        <f t="shared" si="202"/>
        <v>-1211.6079354838712</v>
      </c>
      <c r="AN746" s="554">
        <f t="shared" si="203"/>
        <v>-0.22970970054587961</v>
      </c>
      <c r="AO746" s="314"/>
      <c r="AP746" s="318"/>
    </row>
    <row r="747" spans="2:42">
      <c r="B747" s="296" t="s">
        <v>1254</v>
      </c>
      <c r="C747" s="299" t="s">
        <v>277</v>
      </c>
      <c r="D747" s="298" t="s">
        <v>947</v>
      </c>
      <c r="E747" s="299" t="s">
        <v>106</v>
      </c>
      <c r="F747" s="299" t="s">
        <v>59</v>
      </c>
      <c r="G747" s="300">
        <v>44586</v>
      </c>
      <c r="H747" s="303">
        <v>2295.3920645161293</v>
      </c>
      <c r="I747" s="301" t="str">
        <f t="shared" si="187"/>
        <v>Ingresos Sección I LISR</v>
      </c>
      <c r="J747" s="302">
        <f t="shared" si="188"/>
        <v>47</v>
      </c>
      <c r="K747" s="304">
        <f t="shared" si="189"/>
        <v>48.838129032258067</v>
      </c>
      <c r="L747" s="305">
        <f>IF(H747=0,0,IF(OR(E747=$AT$5,E747=$AT$6),AA747,IF(F747="MXN",1/HLOOKUP(YEAR(G747)+(MONTH(G747)/100),TC!$5:$37,DAY(G747)+2,FALSE),VLOOKUP(F747,Equivalencia!$5:$23,((MAX(Equivalencia!$3:$3)-YEAR(G747))*14)+MONTH(G747)+2,FALSE))))</f>
        <v>1</v>
      </c>
      <c r="M747" s="306">
        <f t="shared" si="190"/>
        <v>2295.3920645161293</v>
      </c>
      <c r="N747" s="305">
        <f>IF(G747=0,0,(IF(OR(E747=$AT$5,E747=$AT$6),AC747,HLOOKUP(YEAR(G747)+(MONTH(G747)/100),TC!$5:$37,DAY(G747)+2,FALSE))))</f>
        <v>20.459800000000001</v>
      </c>
      <c r="O747" s="307">
        <f t="shared" si="191"/>
        <v>46963.262561587107</v>
      </c>
      <c r="P747" s="560">
        <f>IF(G747=0,0,VLOOKUP(YEAR(G747),INPC!$B$4:$P$30,MONTH(G747)+2))</f>
        <v>118.002</v>
      </c>
      <c r="Q747" s="560">
        <f>IF(X747=0,0,IF(OR(E747=$AT$10,E747=$AT$9),VLOOKUP(YEAR(X747),INPC!$B$4:$P$30,MONTH(X747)+1),VLOOKUP(YEAR(X747),INPC!$B$4:$P$30,MONTH(X747)+2,0)))</f>
        <v>122.94799999999999</v>
      </c>
      <c r="R747" s="309">
        <f t="shared" si="192"/>
        <v>1.0419</v>
      </c>
      <c r="S747" s="310">
        <f t="shared" si="193"/>
        <v>48931.02326291761</v>
      </c>
      <c r="T747" s="555">
        <f t="shared" si="194"/>
        <v>1041.0856013386726</v>
      </c>
      <c r="U747" s="311"/>
      <c r="V747" s="312">
        <v>47</v>
      </c>
      <c r="W747" s="299" t="s">
        <v>194</v>
      </c>
      <c r="X747" s="300">
        <v>44754</v>
      </c>
      <c r="Y747" s="299" t="s">
        <v>59</v>
      </c>
      <c r="Z747" s="303">
        <v>1792.5533962264151</v>
      </c>
      <c r="AA747" s="305">
        <f>IF(Z747=0,0,IF(Y747="MXN",1/HLOOKUP(YEAR(X747)+(MONTH(X747)/100),TC!$5:$37,DAY(X747)+2,FALSE),VLOOKUP(Y747,Equivalencia!$1:$23,((MAX(Equivalencia!$3:$3)-YEAR(X747))*14)+MONTH(X747)+2,FALSE)))</f>
        <v>1</v>
      </c>
      <c r="AB747" s="306">
        <f t="shared" si="195"/>
        <v>1792.5533962264151</v>
      </c>
      <c r="AC747" s="305">
        <f>+IF(X747=0,0,HLOOKUP(YEAR(X747)+(MONTH(X747)/100),TC!$5:$37,DAY(X747)+2,FALSE))</f>
        <v>20.442299999999999</v>
      </c>
      <c r="AD747" s="307">
        <f t="shared" si="196"/>
        <v>36643.914291679241</v>
      </c>
      <c r="AE747" s="314">
        <f t="shared" si="197"/>
        <v>48931.023262917617</v>
      </c>
      <c r="AF747" s="315">
        <f t="shared" si="198"/>
        <v>-12287.108971238376</v>
      </c>
      <c r="AG747" s="316">
        <f t="shared" si="199"/>
        <v>0.46027397260273972</v>
      </c>
      <c r="AH747" s="314">
        <v>1</v>
      </c>
      <c r="AI747" s="314">
        <f t="shared" si="200"/>
        <v>-12287.108971238376</v>
      </c>
      <c r="AJ747" s="314">
        <f t="shared" si="201"/>
        <v>0</v>
      </c>
      <c r="AK747" s="317"/>
      <c r="AL747" s="315">
        <f t="shared" si="202"/>
        <v>-502.83866828971418</v>
      </c>
      <c r="AN747" s="554">
        <f t="shared" si="203"/>
        <v>-0.21906439255540122</v>
      </c>
      <c r="AO747" s="314"/>
      <c r="AP747" s="318"/>
    </row>
    <row r="748" spans="2:42">
      <c r="B748" s="296" t="s">
        <v>1254</v>
      </c>
      <c r="C748" s="299" t="s">
        <v>277</v>
      </c>
      <c r="D748" s="298" t="s">
        <v>947</v>
      </c>
      <c r="E748" s="299" t="s">
        <v>106</v>
      </c>
      <c r="F748" s="299" t="s">
        <v>59</v>
      </c>
      <c r="G748" s="300">
        <v>44586</v>
      </c>
      <c r="H748" s="303">
        <v>292.48457142857143</v>
      </c>
      <c r="I748" s="301" t="str">
        <f t="shared" si="187"/>
        <v>Ingresos Sección I LISR</v>
      </c>
      <c r="J748" s="302">
        <f t="shared" si="188"/>
        <v>6</v>
      </c>
      <c r="K748" s="304">
        <f t="shared" si="189"/>
        <v>48.747428571428571</v>
      </c>
      <c r="L748" s="305">
        <f>IF(H748=0,0,IF(OR(E748=$AT$5,E748=$AT$6),AA748,IF(F748="MXN",1/HLOOKUP(YEAR(G748)+(MONTH(G748)/100),TC!$5:$37,DAY(G748)+2,FALSE),VLOOKUP(F748,Equivalencia!$5:$23,((MAX(Equivalencia!$3:$3)-YEAR(G748))*14)+MONTH(G748)+2,FALSE))))</f>
        <v>1</v>
      </c>
      <c r="M748" s="306">
        <f t="shared" si="190"/>
        <v>292.48457142857143</v>
      </c>
      <c r="N748" s="305">
        <f>IF(G748=0,0,(IF(OR(E748=$AT$5,E748=$AT$6),AC748,HLOOKUP(YEAR(G748)+(MONTH(G748)/100),TC!$5:$37,DAY(G748)+2,FALSE))))</f>
        <v>20.459800000000001</v>
      </c>
      <c r="O748" s="307">
        <f t="shared" si="191"/>
        <v>5984.1758345142862</v>
      </c>
      <c r="P748" s="560">
        <f>IF(G748=0,0,VLOOKUP(YEAR(G748),INPC!$B$4:$P$30,MONTH(G748)+2))</f>
        <v>118.002</v>
      </c>
      <c r="Q748" s="560">
        <f>IF(X748=0,0,IF(OR(E748=$AT$10,E748=$AT$9),VLOOKUP(YEAR(X748),INPC!$B$4:$P$30,MONTH(X748)+1),VLOOKUP(YEAR(X748),INPC!$B$4:$P$30,MONTH(X748)+2,0)))</f>
        <v>122.94799999999999</v>
      </c>
      <c r="R748" s="309">
        <f t="shared" si="192"/>
        <v>1.0419</v>
      </c>
      <c r="S748" s="310">
        <f t="shared" si="193"/>
        <v>6234.9128019804348</v>
      </c>
      <c r="T748" s="555">
        <f t="shared" si="194"/>
        <v>1039.1521336634057</v>
      </c>
      <c r="U748" s="311"/>
      <c r="V748" s="312">
        <v>6</v>
      </c>
      <c r="W748" s="299" t="s">
        <v>194</v>
      </c>
      <c r="X748" s="300">
        <v>44754</v>
      </c>
      <c r="Y748" s="299" t="s">
        <v>59</v>
      </c>
      <c r="Z748" s="303">
        <v>228.8366037735849</v>
      </c>
      <c r="AA748" s="305">
        <f>IF(Z748=0,0,IF(Y748="MXN",1/HLOOKUP(YEAR(X748)+(MONTH(X748)/100),TC!$5:$37,DAY(X748)+2,FALSE),VLOOKUP(Y748,Equivalencia!$1:$23,((MAX(Equivalencia!$3:$3)-YEAR(X748))*14)+MONTH(X748)+2,FALSE)))</f>
        <v>1</v>
      </c>
      <c r="AB748" s="306">
        <f t="shared" si="195"/>
        <v>228.8366037735849</v>
      </c>
      <c r="AC748" s="305">
        <f>+IF(X748=0,0,HLOOKUP(YEAR(X748)+(MONTH(X748)/100),TC!$5:$37,DAY(X748)+2,FALSE))</f>
        <v>20.442299999999999</v>
      </c>
      <c r="AD748" s="307">
        <f t="shared" si="196"/>
        <v>4677.9465053207541</v>
      </c>
      <c r="AE748" s="314">
        <f t="shared" si="197"/>
        <v>6234.9128019804339</v>
      </c>
      <c r="AF748" s="315">
        <f t="shared" si="198"/>
        <v>-1556.9662966596798</v>
      </c>
      <c r="AG748" s="316">
        <f t="shared" si="199"/>
        <v>0.46027397260273972</v>
      </c>
      <c r="AH748" s="314">
        <v>1</v>
      </c>
      <c r="AI748" s="314">
        <f t="shared" si="200"/>
        <v>-1556.9662966596798</v>
      </c>
      <c r="AJ748" s="314">
        <f t="shared" si="201"/>
        <v>0</v>
      </c>
      <c r="AK748" s="317"/>
      <c r="AL748" s="315">
        <f t="shared" si="202"/>
        <v>-63.64796765498653</v>
      </c>
      <c r="AN748" s="554">
        <f t="shared" si="203"/>
        <v>-0.21761136782057647</v>
      </c>
      <c r="AO748" s="314"/>
      <c r="AP748" s="318"/>
    </row>
    <row r="749" spans="2:42">
      <c r="B749" s="296" t="s">
        <v>1254</v>
      </c>
      <c r="C749" s="299" t="s">
        <v>277</v>
      </c>
      <c r="D749" s="298" t="s">
        <v>729</v>
      </c>
      <c r="E749" s="299" t="s">
        <v>113</v>
      </c>
      <c r="F749" s="299" t="s">
        <v>59</v>
      </c>
      <c r="G749" s="300">
        <v>44480</v>
      </c>
      <c r="H749" s="303">
        <v>3315.9</v>
      </c>
      <c r="I749" s="301" t="str">
        <f t="shared" si="187"/>
        <v>Ingresos Sección II LISR (SIC &amp; BMV)</v>
      </c>
      <c r="J749" s="302">
        <f t="shared" si="188"/>
        <v>14</v>
      </c>
      <c r="K749" s="304">
        <f t="shared" si="189"/>
        <v>236.85</v>
      </c>
      <c r="L749" s="305">
        <f>IF(H749=0,0,IF(OR(E749=$AT$5,E749=$AT$6),AA749,IF(F749="MXN",1/HLOOKUP(YEAR(G749)+(MONTH(G749)/100),TC!$5:$37,DAY(G749)+2,FALSE),VLOOKUP(F749,Equivalencia!$5:$23,((MAX(Equivalencia!$3:$3)-YEAR(G749))*14)+MONTH(G749)+2,FALSE))))</f>
        <v>1</v>
      </c>
      <c r="M749" s="306">
        <f t="shared" si="190"/>
        <v>3315.9</v>
      </c>
      <c r="N749" s="305">
        <f>IF(G749=0,0,(IF(OR(E749=$AT$5,E749=$AT$6),AC749,HLOOKUP(YEAR(G749)+(MONTH(G749)/100),TC!$5:$37,DAY(G749)+2,FALSE))))</f>
        <v>20.603999999999999</v>
      </c>
      <c r="O749" s="307">
        <f t="shared" si="191"/>
        <v>68320.803599999999</v>
      </c>
      <c r="P749" s="560">
        <f>IF(G749=0,0,VLOOKUP(YEAR(G749),INPC!$B$4:$P$30,MONTH(G749)+2))</f>
        <v>115.56100000000001</v>
      </c>
      <c r="Q749" s="560">
        <f>IF(X749=0,0,IF(OR(E749=$AT$10,E749=$AT$9),VLOOKUP(YEAR(X749),INPC!$B$4:$P$30,MONTH(X749)+1),VLOOKUP(YEAR(X749),INPC!$B$4:$P$30,MONTH(X749)+2,0)))</f>
        <v>122.044</v>
      </c>
      <c r="R749" s="309">
        <f t="shared" si="192"/>
        <v>1.0561</v>
      </c>
      <c r="S749" s="310">
        <f t="shared" si="193"/>
        <v>72153.600681960001</v>
      </c>
      <c r="T749" s="555">
        <f t="shared" si="194"/>
        <v>5153.8286201399997</v>
      </c>
      <c r="U749" s="311"/>
      <c r="V749" s="312">
        <v>14</v>
      </c>
      <c r="W749" s="299" t="s">
        <v>194</v>
      </c>
      <c r="X749" s="300">
        <v>44757</v>
      </c>
      <c r="Y749" s="299" t="s">
        <v>59</v>
      </c>
      <c r="Z749" s="303">
        <v>4619.6815000000006</v>
      </c>
      <c r="AA749" s="305">
        <f>IF(Z749=0,0,IF(Y749="MXN",1/HLOOKUP(YEAR(X749)+(MONTH(X749)/100),TC!$5:$37,DAY(X749)+2,FALSE),VLOOKUP(Y749,Equivalencia!$1:$23,((MAX(Equivalencia!$3:$3)-YEAR(X749))*14)+MONTH(X749)+2,FALSE)))</f>
        <v>1</v>
      </c>
      <c r="AB749" s="306">
        <f t="shared" si="195"/>
        <v>4619.6815000000006</v>
      </c>
      <c r="AC749" s="305">
        <f>+IF(X749=0,0,HLOOKUP(YEAR(X749)+(MONTH(X749)/100),TC!$5:$37,DAY(X749)+2,FALSE))</f>
        <v>20.761299999999999</v>
      </c>
      <c r="AD749" s="307">
        <f t="shared" si="196"/>
        <v>95910.593525950011</v>
      </c>
      <c r="AE749" s="314">
        <f t="shared" si="197"/>
        <v>72153.600681960001</v>
      </c>
      <c r="AF749" s="315">
        <f t="shared" si="198"/>
        <v>23756.99284399001</v>
      </c>
      <c r="AG749" s="316">
        <f t="shared" si="199"/>
        <v>0.75890410958904109</v>
      </c>
      <c r="AH749" s="314">
        <v>1</v>
      </c>
      <c r="AI749" s="314">
        <f t="shared" si="200"/>
        <v>23756.99284399001</v>
      </c>
      <c r="AJ749" s="314">
        <f t="shared" si="201"/>
        <v>0</v>
      </c>
      <c r="AK749" s="317"/>
      <c r="AL749" s="315">
        <f t="shared" si="202"/>
        <v>1303.7815000000005</v>
      </c>
      <c r="AN749" s="554">
        <f t="shared" si="203"/>
        <v>0.39319083808317512</v>
      </c>
      <c r="AO749" s="314"/>
      <c r="AP749" s="318"/>
    </row>
    <row r="750" spans="2:42">
      <c r="B750" s="296" t="s">
        <v>1254</v>
      </c>
      <c r="C750" s="299" t="s">
        <v>277</v>
      </c>
      <c r="D750" s="298" t="s">
        <v>729</v>
      </c>
      <c r="E750" s="299" t="s">
        <v>113</v>
      </c>
      <c r="F750" s="299" t="s">
        <v>59</v>
      </c>
      <c r="G750" s="300">
        <v>44480</v>
      </c>
      <c r="H750" s="303">
        <v>6123.2321428571431</v>
      </c>
      <c r="I750" s="301" t="str">
        <f t="shared" si="187"/>
        <v>Ingresos Sección II LISR (SIC &amp; BMV)</v>
      </c>
      <c r="J750" s="302">
        <f t="shared" si="188"/>
        <v>26</v>
      </c>
      <c r="K750" s="304">
        <f t="shared" si="189"/>
        <v>235.50892857142858</v>
      </c>
      <c r="L750" s="305">
        <f>IF(H750=0,0,IF(OR(E750=$AT$5,E750=$AT$6),AA750,IF(F750="MXN",1/HLOOKUP(YEAR(G750)+(MONTH(G750)/100),TC!$5:$37,DAY(G750)+2,FALSE),VLOOKUP(F750,Equivalencia!$5:$23,((MAX(Equivalencia!$3:$3)-YEAR(G750))*14)+MONTH(G750)+2,FALSE))))</f>
        <v>1</v>
      </c>
      <c r="M750" s="306">
        <f t="shared" si="190"/>
        <v>6123.2321428571431</v>
      </c>
      <c r="N750" s="305">
        <f>IF(G750=0,0,(IF(OR(E750=$AT$5,E750=$AT$6),AC750,HLOOKUP(YEAR(G750)+(MONTH(G750)/100),TC!$5:$37,DAY(G750)+2,FALSE))))</f>
        <v>20.603999999999999</v>
      </c>
      <c r="O750" s="307">
        <f t="shared" si="191"/>
        <v>126163.07507142857</v>
      </c>
      <c r="P750" s="560">
        <f>IF(G750=0,0,VLOOKUP(YEAR(G750),INPC!$B$4:$P$30,MONTH(G750)+2))</f>
        <v>115.56100000000001</v>
      </c>
      <c r="Q750" s="560">
        <f>IF(X750=0,0,IF(OR(E750=$AT$10,E750=$AT$9),VLOOKUP(YEAR(X750),INPC!$B$4:$P$30,MONTH(X750)+1),VLOOKUP(YEAR(X750),INPC!$B$4:$P$30,MONTH(X750)+2,0)))</f>
        <v>122.044</v>
      </c>
      <c r="R750" s="309">
        <f t="shared" si="192"/>
        <v>1.0561</v>
      </c>
      <c r="S750" s="310">
        <f t="shared" si="193"/>
        <v>133240.82358293573</v>
      </c>
      <c r="T750" s="555">
        <f t="shared" si="194"/>
        <v>5124.6470608821437</v>
      </c>
      <c r="U750" s="311"/>
      <c r="V750" s="312">
        <v>26</v>
      </c>
      <c r="W750" s="299" t="s">
        <v>194</v>
      </c>
      <c r="X750" s="300">
        <v>44757</v>
      </c>
      <c r="Y750" s="299" t="s">
        <v>59</v>
      </c>
      <c r="Z750" s="303">
        <v>8579.4085000000014</v>
      </c>
      <c r="AA750" s="305">
        <f>IF(Z750=0,0,IF(Y750="MXN",1/HLOOKUP(YEAR(X750)+(MONTH(X750)/100),TC!$5:$37,DAY(X750)+2,FALSE),VLOOKUP(Y750,Equivalencia!$1:$23,((MAX(Equivalencia!$3:$3)-YEAR(X750))*14)+MONTH(X750)+2,FALSE)))</f>
        <v>1</v>
      </c>
      <c r="AB750" s="306">
        <f t="shared" si="195"/>
        <v>8579.4085000000014</v>
      </c>
      <c r="AC750" s="305">
        <f>+IF(X750=0,0,HLOOKUP(YEAR(X750)+(MONTH(X750)/100),TC!$5:$37,DAY(X750)+2,FALSE))</f>
        <v>20.761299999999999</v>
      </c>
      <c r="AD750" s="307">
        <f t="shared" si="196"/>
        <v>178119.67369105</v>
      </c>
      <c r="AE750" s="314">
        <f t="shared" si="197"/>
        <v>133240.82358293573</v>
      </c>
      <c r="AF750" s="315">
        <f t="shared" si="198"/>
        <v>44878.850108114275</v>
      </c>
      <c r="AG750" s="316">
        <f t="shared" si="199"/>
        <v>0.75890410958904109</v>
      </c>
      <c r="AH750" s="314">
        <v>1</v>
      </c>
      <c r="AI750" s="314">
        <f t="shared" si="200"/>
        <v>44878.850108114275</v>
      </c>
      <c r="AJ750" s="314">
        <f t="shared" si="201"/>
        <v>0</v>
      </c>
      <c r="AK750" s="317"/>
      <c r="AL750" s="315">
        <f t="shared" si="202"/>
        <v>2456.1763571428583</v>
      </c>
      <c r="AN750" s="554">
        <f t="shared" si="203"/>
        <v>0.40112416120104655</v>
      </c>
      <c r="AO750" s="314"/>
      <c r="AP750" s="318"/>
    </row>
    <row r="751" spans="2:42">
      <c r="B751" s="296" t="s">
        <v>1254</v>
      </c>
      <c r="C751" s="299" t="s">
        <v>277</v>
      </c>
      <c r="D751" s="298" t="s">
        <v>948</v>
      </c>
      <c r="E751" s="299" t="s">
        <v>113</v>
      </c>
      <c r="F751" s="299" t="s">
        <v>59</v>
      </c>
      <c r="G751" s="300">
        <v>44592</v>
      </c>
      <c r="H751" s="303">
        <v>5838.44</v>
      </c>
      <c r="I751" s="301" t="str">
        <f t="shared" si="187"/>
        <v>Ingresos Sección II LISR (SIC &amp; BMV)</v>
      </c>
      <c r="J751" s="302">
        <f t="shared" si="188"/>
        <v>23</v>
      </c>
      <c r="K751" s="304">
        <f t="shared" si="189"/>
        <v>253.84521739130432</v>
      </c>
      <c r="L751" s="305">
        <f>IF(H751=0,0,IF(OR(E751=$AT$5,E751=$AT$6),AA751,IF(F751="MXN",1/HLOOKUP(YEAR(G751)+(MONTH(G751)/100),TC!$5:$37,DAY(G751)+2,FALSE),VLOOKUP(F751,Equivalencia!$5:$23,((MAX(Equivalencia!$3:$3)-YEAR(G751))*14)+MONTH(G751)+2,FALSE))))</f>
        <v>1</v>
      </c>
      <c r="M751" s="306">
        <f t="shared" si="190"/>
        <v>5838.44</v>
      </c>
      <c r="N751" s="305">
        <f>IF(G751=0,0,(IF(OR(E751=$AT$5,E751=$AT$6),AC751,HLOOKUP(YEAR(G751)+(MONTH(G751)/100),TC!$5:$37,DAY(G751)+2,FALSE))))</f>
        <v>20.738299999999999</v>
      </c>
      <c r="O751" s="307">
        <f t="shared" si="191"/>
        <v>121079.32025199999</v>
      </c>
      <c r="P751" s="560">
        <f>IF(G751=0,0,VLOOKUP(YEAR(G751),INPC!$B$4:$P$30,MONTH(G751)+2))</f>
        <v>118.002</v>
      </c>
      <c r="Q751" s="560">
        <f>IF(X751=0,0,IF(OR(E751=$AT$10,E751=$AT$9),VLOOKUP(YEAR(X751),INPC!$B$4:$P$30,MONTH(X751)+1),VLOOKUP(YEAR(X751),INPC!$B$4:$P$30,MONTH(X751)+2,0)))</f>
        <v>122.044</v>
      </c>
      <c r="R751" s="309">
        <f t="shared" si="192"/>
        <v>1.0342</v>
      </c>
      <c r="S751" s="310">
        <f t="shared" si="193"/>
        <v>125220.23300461839</v>
      </c>
      <c r="T751" s="555">
        <f t="shared" si="194"/>
        <v>5444.3579567225388</v>
      </c>
      <c r="U751" s="311"/>
      <c r="V751" s="312">
        <v>23</v>
      </c>
      <c r="W751" s="299" t="s">
        <v>194</v>
      </c>
      <c r="X751" s="300">
        <v>44754</v>
      </c>
      <c r="Y751" s="299" t="s">
        <v>59</v>
      </c>
      <c r="Z751" s="303">
        <v>3506.062857142857</v>
      </c>
      <c r="AA751" s="305">
        <f>IF(Z751=0,0,IF(Y751="MXN",1/HLOOKUP(YEAR(X751)+(MONTH(X751)/100),TC!$5:$37,DAY(X751)+2,FALSE),VLOOKUP(Y751,Equivalencia!$1:$23,((MAX(Equivalencia!$3:$3)-YEAR(X751))*14)+MONTH(X751)+2,FALSE)))</f>
        <v>1</v>
      </c>
      <c r="AB751" s="306">
        <f t="shared" si="195"/>
        <v>3506.062857142857</v>
      </c>
      <c r="AC751" s="305">
        <f>+IF(X751=0,0,HLOOKUP(YEAR(X751)+(MONTH(X751)/100),TC!$5:$37,DAY(X751)+2,FALSE))</f>
        <v>20.442299999999999</v>
      </c>
      <c r="AD751" s="307">
        <f t="shared" si="196"/>
        <v>71671.988744571427</v>
      </c>
      <c r="AE751" s="314">
        <f t="shared" si="197"/>
        <v>125220.23300461839</v>
      </c>
      <c r="AF751" s="315">
        <f t="shared" si="198"/>
        <v>-53548.244260046966</v>
      </c>
      <c r="AG751" s="316">
        <f t="shared" si="199"/>
        <v>0.44383561643835617</v>
      </c>
      <c r="AH751" s="314">
        <v>1</v>
      </c>
      <c r="AI751" s="314">
        <f t="shared" si="200"/>
        <v>-53548.244260046966</v>
      </c>
      <c r="AJ751" s="314">
        <f t="shared" si="201"/>
        <v>0</v>
      </c>
      <c r="AK751" s="317"/>
      <c r="AL751" s="315">
        <f t="shared" si="202"/>
        <v>-2332.3771428571426</v>
      </c>
      <c r="AN751" s="554">
        <f t="shared" si="203"/>
        <v>-0.39948635985933617</v>
      </c>
      <c r="AO751" s="314"/>
      <c r="AP751" s="318"/>
    </row>
    <row r="752" spans="2:42">
      <c r="B752" s="296" t="s">
        <v>1254</v>
      </c>
      <c r="C752" s="299" t="s">
        <v>277</v>
      </c>
      <c r="D752" s="298" t="s">
        <v>948</v>
      </c>
      <c r="E752" s="299" t="s">
        <v>113</v>
      </c>
      <c r="F752" s="299" t="s">
        <v>59</v>
      </c>
      <c r="G752" s="300">
        <v>44592</v>
      </c>
      <c r="H752" s="303">
        <v>9640.7800000000007</v>
      </c>
      <c r="I752" s="301" t="str">
        <f t="shared" si="187"/>
        <v>Ingresos Sección II LISR (SIC &amp; BMV)</v>
      </c>
      <c r="J752" s="302">
        <f t="shared" si="188"/>
        <v>38</v>
      </c>
      <c r="K752" s="304">
        <f t="shared" si="189"/>
        <v>253.70473684210529</v>
      </c>
      <c r="L752" s="305">
        <f>IF(H752=0,0,IF(OR(E752=$AT$5,E752=$AT$6),AA752,IF(F752="MXN",1/HLOOKUP(YEAR(G752)+(MONTH(G752)/100),TC!$5:$37,DAY(G752)+2,FALSE),VLOOKUP(F752,Equivalencia!$5:$23,((MAX(Equivalencia!$3:$3)-YEAR(G752))*14)+MONTH(G752)+2,FALSE))))</f>
        <v>1</v>
      </c>
      <c r="M752" s="306">
        <f t="shared" si="190"/>
        <v>9640.7800000000007</v>
      </c>
      <c r="N752" s="305">
        <f>IF(G752=0,0,(IF(OR(E752=$AT$5,E752=$AT$6),AC752,HLOOKUP(YEAR(G752)+(MONTH(G752)/100),TC!$5:$37,DAY(G752)+2,FALSE))))</f>
        <v>20.738299999999999</v>
      </c>
      <c r="O752" s="307">
        <f t="shared" si="191"/>
        <v>199933.38787400001</v>
      </c>
      <c r="P752" s="560">
        <f>IF(G752=0,0,VLOOKUP(YEAR(G752),INPC!$B$4:$P$30,MONTH(G752)+2))</f>
        <v>118.002</v>
      </c>
      <c r="Q752" s="560">
        <f>IF(X752=0,0,IF(OR(E752=$AT$10,E752=$AT$9),VLOOKUP(YEAR(X752),INPC!$B$4:$P$30,MONTH(X752)+1),VLOOKUP(YEAR(X752),INPC!$B$4:$P$30,MONTH(X752)+2,0)))</f>
        <v>122.044</v>
      </c>
      <c r="R752" s="309">
        <f t="shared" si="192"/>
        <v>1.0342</v>
      </c>
      <c r="S752" s="310">
        <f t="shared" si="193"/>
        <v>206771.10973929081</v>
      </c>
      <c r="T752" s="555">
        <f t="shared" si="194"/>
        <v>5441.3449931392315</v>
      </c>
      <c r="U752" s="311"/>
      <c r="V752" s="312">
        <v>38</v>
      </c>
      <c r="W752" s="299" t="s">
        <v>194</v>
      </c>
      <c r="X752" s="300">
        <v>44754</v>
      </c>
      <c r="Y752" s="299" t="s">
        <v>59</v>
      </c>
      <c r="Z752" s="303">
        <v>5792.6255900621109</v>
      </c>
      <c r="AA752" s="305">
        <f>IF(Z752=0,0,IF(Y752="MXN",1/HLOOKUP(YEAR(X752)+(MONTH(X752)/100),TC!$5:$37,DAY(X752)+2,FALSE),VLOOKUP(Y752,Equivalencia!$1:$23,((MAX(Equivalencia!$3:$3)-YEAR(X752))*14)+MONTH(X752)+2,FALSE)))</f>
        <v>1</v>
      </c>
      <c r="AB752" s="306">
        <f t="shared" si="195"/>
        <v>5792.6255900621109</v>
      </c>
      <c r="AC752" s="305">
        <f>+IF(X752=0,0,HLOOKUP(YEAR(X752)+(MONTH(X752)/100),TC!$5:$37,DAY(X752)+2,FALSE))</f>
        <v>20.442299999999999</v>
      </c>
      <c r="AD752" s="307">
        <f t="shared" si="196"/>
        <v>118414.59009972669</v>
      </c>
      <c r="AE752" s="314">
        <f t="shared" si="197"/>
        <v>206771.10973929078</v>
      </c>
      <c r="AF752" s="315">
        <f t="shared" si="198"/>
        <v>-88356.519639564096</v>
      </c>
      <c r="AG752" s="316">
        <f t="shared" si="199"/>
        <v>0.44383561643835617</v>
      </c>
      <c r="AH752" s="314">
        <v>1</v>
      </c>
      <c r="AI752" s="314">
        <f t="shared" si="200"/>
        <v>-88356.519639564096</v>
      </c>
      <c r="AJ752" s="314">
        <f t="shared" si="201"/>
        <v>0</v>
      </c>
      <c r="AK752" s="317"/>
      <c r="AL752" s="315">
        <f t="shared" si="202"/>
        <v>-3848.1544099378898</v>
      </c>
      <c r="AN752" s="554">
        <f t="shared" si="203"/>
        <v>-0.39915384542930027</v>
      </c>
      <c r="AO752" s="314"/>
      <c r="AP752" s="318"/>
    </row>
    <row r="753" spans="2:42">
      <c r="B753" s="296" t="s">
        <v>1254</v>
      </c>
      <c r="C753" s="299" t="s">
        <v>277</v>
      </c>
      <c r="D753" s="298" t="s">
        <v>948</v>
      </c>
      <c r="E753" s="299" t="s">
        <v>113</v>
      </c>
      <c r="F753" s="299" t="s">
        <v>59</v>
      </c>
      <c r="G753" s="300">
        <v>44593</v>
      </c>
      <c r="H753" s="303">
        <v>2609.1899999999996</v>
      </c>
      <c r="I753" s="301" t="str">
        <f t="shared" si="187"/>
        <v>Ingresos Sección II LISR (SIC &amp; BMV)</v>
      </c>
      <c r="J753" s="302">
        <f t="shared" si="188"/>
        <v>10</v>
      </c>
      <c r="K753" s="304">
        <f t="shared" si="189"/>
        <v>260.91899999999998</v>
      </c>
      <c r="L753" s="305">
        <f>IF(H753=0,0,IF(OR(E753=$AT$5,E753=$AT$6),AA753,IF(F753="MXN",1/HLOOKUP(YEAR(G753)+(MONTH(G753)/100),TC!$5:$37,DAY(G753)+2,FALSE),VLOOKUP(F753,Equivalencia!$5:$23,((MAX(Equivalencia!$3:$3)-YEAR(G753))*14)+MONTH(G753)+2,FALSE))))</f>
        <v>1</v>
      </c>
      <c r="M753" s="306">
        <f t="shared" si="190"/>
        <v>2609.1899999999996</v>
      </c>
      <c r="N753" s="305">
        <f>IF(G753=0,0,(IF(OR(E753=$AT$5,E753=$AT$6),AC753,HLOOKUP(YEAR(G753)+(MONTH(G753)/100),TC!$5:$37,DAY(G753)+2,FALSE))))</f>
        <v>20.8597</v>
      </c>
      <c r="O753" s="307">
        <f t="shared" si="191"/>
        <v>54426.92064299999</v>
      </c>
      <c r="P753" s="560">
        <f>IF(G753=0,0,VLOOKUP(YEAR(G753),INPC!$B$4:$P$30,MONTH(G753)+2))</f>
        <v>118.98099999999999</v>
      </c>
      <c r="Q753" s="560">
        <f>IF(X753=0,0,IF(OR(E753=$AT$10,E753=$AT$9),VLOOKUP(YEAR(X753),INPC!$B$4:$P$30,MONTH(X753)+1),VLOOKUP(YEAR(X753),INPC!$B$4:$P$30,MONTH(X753)+2,0)))</f>
        <v>122.044</v>
      </c>
      <c r="R753" s="309">
        <f t="shared" si="192"/>
        <v>1.0257000000000001</v>
      </c>
      <c r="S753" s="310">
        <f t="shared" si="193"/>
        <v>55825.69250352509</v>
      </c>
      <c r="T753" s="555">
        <f t="shared" si="194"/>
        <v>5582.5692503525088</v>
      </c>
      <c r="U753" s="311"/>
      <c r="V753" s="312">
        <v>10</v>
      </c>
      <c r="W753" s="299" t="s">
        <v>194</v>
      </c>
      <c r="X753" s="300">
        <v>44754</v>
      </c>
      <c r="Y753" s="299" t="s">
        <v>59</v>
      </c>
      <c r="Z753" s="303">
        <v>1524.3751552795029</v>
      </c>
      <c r="AA753" s="305">
        <f>IF(Z753=0,0,IF(Y753="MXN",1/HLOOKUP(YEAR(X753)+(MONTH(X753)/100),TC!$5:$37,DAY(X753)+2,FALSE),VLOOKUP(Y753,Equivalencia!$1:$23,((MAX(Equivalencia!$3:$3)-YEAR(X753))*14)+MONTH(X753)+2,FALSE)))</f>
        <v>1</v>
      </c>
      <c r="AB753" s="306">
        <f t="shared" si="195"/>
        <v>1524.3751552795029</v>
      </c>
      <c r="AC753" s="305">
        <f>+IF(X753=0,0,HLOOKUP(YEAR(X753)+(MONTH(X753)/100),TC!$5:$37,DAY(X753)+2,FALSE))</f>
        <v>20.442299999999999</v>
      </c>
      <c r="AD753" s="307">
        <f t="shared" si="196"/>
        <v>31161.734236770182</v>
      </c>
      <c r="AE753" s="314">
        <f t="shared" si="197"/>
        <v>55825.69250352509</v>
      </c>
      <c r="AF753" s="315">
        <f t="shared" si="198"/>
        <v>-24663.958266754908</v>
      </c>
      <c r="AG753" s="316">
        <f t="shared" si="199"/>
        <v>0.44109589041095892</v>
      </c>
      <c r="AH753" s="314">
        <v>1</v>
      </c>
      <c r="AI753" s="314">
        <f t="shared" si="200"/>
        <v>-24663.958266754908</v>
      </c>
      <c r="AJ753" s="314">
        <f t="shared" si="201"/>
        <v>0</v>
      </c>
      <c r="AK753" s="317"/>
      <c r="AL753" s="315">
        <f t="shared" si="202"/>
        <v>-1084.8148447204967</v>
      </c>
      <c r="AN753" s="554">
        <f t="shared" si="203"/>
        <v>-0.41576690264813865</v>
      </c>
      <c r="AO753" s="314"/>
      <c r="AP753" s="318"/>
    </row>
    <row r="754" spans="2:42">
      <c r="B754" s="296" t="s">
        <v>1254</v>
      </c>
      <c r="C754" s="299" t="s">
        <v>277</v>
      </c>
      <c r="D754" s="298" t="s">
        <v>948</v>
      </c>
      <c r="E754" s="299" t="s">
        <v>113</v>
      </c>
      <c r="F754" s="299" t="s">
        <v>59</v>
      </c>
      <c r="G754" s="300">
        <v>44593</v>
      </c>
      <c r="H754" s="303">
        <v>7873.3499999999995</v>
      </c>
      <c r="I754" s="301" t="str">
        <f t="shared" si="187"/>
        <v>Ingresos Sección II LISR (SIC &amp; BMV)</v>
      </c>
      <c r="J754" s="302">
        <f t="shared" si="188"/>
        <v>30</v>
      </c>
      <c r="K754" s="304">
        <f t="shared" si="189"/>
        <v>262.44499999999999</v>
      </c>
      <c r="L754" s="305">
        <f>IF(H754=0,0,IF(OR(E754=$AT$5,E754=$AT$6),AA754,IF(F754="MXN",1/HLOOKUP(YEAR(G754)+(MONTH(G754)/100),TC!$5:$37,DAY(G754)+2,FALSE),VLOOKUP(F754,Equivalencia!$5:$23,((MAX(Equivalencia!$3:$3)-YEAR(G754))*14)+MONTH(G754)+2,FALSE))))</f>
        <v>1</v>
      </c>
      <c r="M754" s="306">
        <f t="shared" si="190"/>
        <v>7873.3499999999995</v>
      </c>
      <c r="N754" s="305">
        <f>IF(G754=0,0,(IF(OR(E754=$AT$5,E754=$AT$6),AC754,HLOOKUP(YEAR(G754)+(MONTH(G754)/100),TC!$5:$37,DAY(G754)+2,FALSE))))</f>
        <v>20.8597</v>
      </c>
      <c r="O754" s="307">
        <f t="shared" si="191"/>
        <v>164235.718995</v>
      </c>
      <c r="P754" s="560">
        <f>IF(G754=0,0,VLOOKUP(YEAR(G754),INPC!$B$4:$P$30,MONTH(G754)+2))</f>
        <v>118.98099999999999</v>
      </c>
      <c r="Q754" s="560">
        <f>IF(X754=0,0,IF(OR(E754=$AT$10,E754=$AT$9),VLOOKUP(YEAR(X754),INPC!$B$4:$P$30,MONTH(X754)+1),VLOOKUP(YEAR(X754),INPC!$B$4:$P$30,MONTH(X754)+2,0)))</f>
        <v>122.044</v>
      </c>
      <c r="R754" s="309">
        <f t="shared" si="192"/>
        <v>1.0257000000000001</v>
      </c>
      <c r="S754" s="310">
        <f t="shared" si="193"/>
        <v>168456.57697317153</v>
      </c>
      <c r="T754" s="555">
        <f t="shared" si="194"/>
        <v>5615.2192324390508</v>
      </c>
      <c r="U754" s="311"/>
      <c r="V754" s="312">
        <v>30</v>
      </c>
      <c r="W754" s="299" t="s">
        <v>194</v>
      </c>
      <c r="X754" s="300">
        <v>44754</v>
      </c>
      <c r="Y754" s="299" t="s">
        <v>59</v>
      </c>
      <c r="Z754" s="303">
        <v>4573.1254658385087</v>
      </c>
      <c r="AA754" s="305">
        <f>IF(Z754=0,0,IF(Y754="MXN",1/HLOOKUP(YEAR(X754)+(MONTH(X754)/100),TC!$5:$37,DAY(X754)+2,FALSE),VLOOKUP(Y754,Equivalencia!$1:$23,((MAX(Equivalencia!$3:$3)-YEAR(X754))*14)+MONTH(X754)+2,FALSE)))</f>
        <v>1</v>
      </c>
      <c r="AB754" s="306">
        <f t="shared" si="195"/>
        <v>4573.1254658385087</v>
      </c>
      <c r="AC754" s="305">
        <f>+IF(X754=0,0,HLOOKUP(YEAR(X754)+(MONTH(X754)/100),TC!$5:$37,DAY(X754)+2,FALSE))</f>
        <v>20.442299999999999</v>
      </c>
      <c r="AD754" s="307">
        <f t="shared" si="196"/>
        <v>93485.20271031055</v>
      </c>
      <c r="AE754" s="314">
        <f t="shared" si="197"/>
        <v>168456.57697317153</v>
      </c>
      <c r="AF754" s="315">
        <f t="shared" si="198"/>
        <v>-74971.374262860976</v>
      </c>
      <c r="AG754" s="316">
        <f t="shared" si="199"/>
        <v>0.44109589041095892</v>
      </c>
      <c r="AH754" s="314">
        <v>1</v>
      </c>
      <c r="AI754" s="314">
        <f t="shared" si="200"/>
        <v>-74971.374262860976</v>
      </c>
      <c r="AJ754" s="314">
        <f t="shared" si="201"/>
        <v>0</v>
      </c>
      <c r="AK754" s="317"/>
      <c r="AL754" s="315">
        <f t="shared" si="202"/>
        <v>-3300.2245341614907</v>
      </c>
      <c r="AN754" s="554">
        <f t="shared" si="203"/>
        <v>-0.41916395615100194</v>
      </c>
      <c r="AO754" s="314"/>
      <c r="AP754" s="318"/>
    </row>
    <row r="755" spans="2:42">
      <c r="B755" s="296" t="s">
        <v>1254</v>
      </c>
      <c r="C755" s="299" t="s">
        <v>277</v>
      </c>
      <c r="D755" s="298" t="s">
        <v>948</v>
      </c>
      <c r="E755" s="299" t="s">
        <v>113</v>
      </c>
      <c r="F755" s="299" t="s">
        <v>59</v>
      </c>
      <c r="G755" s="300">
        <v>44599</v>
      </c>
      <c r="H755" s="303">
        <v>10993.23</v>
      </c>
      <c r="I755" s="301" t="str">
        <f t="shared" si="187"/>
        <v>Ingresos Sección II LISR (SIC &amp; BMV)</v>
      </c>
      <c r="J755" s="302">
        <f t="shared" si="188"/>
        <v>41</v>
      </c>
      <c r="K755" s="304">
        <f t="shared" si="189"/>
        <v>268.12756097560975</v>
      </c>
      <c r="L755" s="305">
        <f>IF(H755=0,0,IF(OR(E755=$AT$5,E755=$AT$6),AA755,IF(F755="MXN",1/HLOOKUP(YEAR(G755)+(MONTH(G755)/100),TC!$5:$37,DAY(G755)+2,FALSE),VLOOKUP(F755,Equivalencia!$5:$23,((MAX(Equivalencia!$3:$3)-YEAR(G755))*14)+MONTH(G755)+2,FALSE))))</f>
        <v>1</v>
      </c>
      <c r="M755" s="306">
        <f t="shared" si="190"/>
        <v>10993.23</v>
      </c>
      <c r="N755" s="305">
        <f>IF(G755=0,0,(IF(OR(E755=$AT$5,E755=$AT$6),AC755,HLOOKUP(YEAR(G755)+(MONTH(G755)/100),TC!$5:$37,DAY(G755)+2,FALSE))))</f>
        <v>20.5562</v>
      </c>
      <c r="O755" s="307">
        <f t="shared" si="191"/>
        <v>225979.034526</v>
      </c>
      <c r="P755" s="560">
        <f>IF(G755=0,0,VLOOKUP(YEAR(G755),INPC!$B$4:$P$30,MONTH(G755)+2))</f>
        <v>118.98099999999999</v>
      </c>
      <c r="Q755" s="560">
        <f>IF(X755=0,0,IF(OR(E755=$AT$10,E755=$AT$9),VLOOKUP(YEAR(X755),INPC!$B$4:$P$30,MONTH(X755)+1),VLOOKUP(YEAR(X755),INPC!$B$4:$P$30,MONTH(X755)+2,0)))</f>
        <v>122.044</v>
      </c>
      <c r="R755" s="309">
        <f t="shared" si="192"/>
        <v>1.0257000000000001</v>
      </c>
      <c r="S755" s="310">
        <f t="shared" si="193"/>
        <v>231786.69571331821</v>
      </c>
      <c r="T755" s="555">
        <f t="shared" si="194"/>
        <v>5653.3340417882491</v>
      </c>
      <c r="U755" s="311"/>
      <c r="V755" s="312">
        <v>41</v>
      </c>
      <c r="W755" s="299" t="s">
        <v>194</v>
      </c>
      <c r="X755" s="300">
        <v>44754</v>
      </c>
      <c r="Y755" s="299" t="s">
        <v>59</v>
      </c>
      <c r="Z755" s="303">
        <v>6249.938136645962</v>
      </c>
      <c r="AA755" s="305">
        <f>IF(Z755=0,0,IF(Y755="MXN",1/HLOOKUP(YEAR(X755)+(MONTH(X755)/100),TC!$5:$37,DAY(X755)+2,FALSE),VLOOKUP(Y755,Equivalencia!$1:$23,((MAX(Equivalencia!$3:$3)-YEAR(X755))*14)+MONTH(X755)+2,FALSE)))</f>
        <v>1</v>
      </c>
      <c r="AB755" s="306">
        <f t="shared" si="195"/>
        <v>6249.938136645962</v>
      </c>
      <c r="AC755" s="305">
        <f>+IF(X755=0,0,HLOOKUP(YEAR(X755)+(MONTH(X755)/100),TC!$5:$37,DAY(X755)+2,FALSE))</f>
        <v>20.442299999999999</v>
      </c>
      <c r="AD755" s="307">
        <f t="shared" si="196"/>
        <v>127763.11037075774</v>
      </c>
      <c r="AE755" s="314">
        <f t="shared" si="197"/>
        <v>231786.69571331821</v>
      </c>
      <c r="AF755" s="315">
        <f t="shared" si="198"/>
        <v>-104023.58534256047</v>
      </c>
      <c r="AG755" s="316">
        <f t="shared" si="199"/>
        <v>0.42465753424657532</v>
      </c>
      <c r="AH755" s="314">
        <v>1</v>
      </c>
      <c r="AI755" s="314">
        <f t="shared" si="200"/>
        <v>-104023.58534256047</v>
      </c>
      <c r="AJ755" s="314">
        <f t="shared" si="201"/>
        <v>0</v>
      </c>
      <c r="AK755" s="317"/>
      <c r="AL755" s="315">
        <f t="shared" si="202"/>
        <v>-4743.2918633540376</v>
      </c>
      <c r="AN755" s="554">
        <f t="shared" si="203"/>
        <v>-0.43147390378933559</v>
      </c>
      <c r="AO755" s="314"/>
      <c r="AP755" s="318"/>
    </row>
    <row r="756" spans="2:42">
      <c r="B756" s="296" t="s">
        <v>1254</v>
      </c>
      <c r="C756" s="299" t="s">
        <v>277</v>
      </c>
      <c r="D756" s="298" t="s">
        <v>948</v>
      </c>
      <c r="E756" s="299" t="s">
        <v>113</v>
      </c>
      <c r="F756" s="299" t="s">
        <v>59</v>
      </c>
      <c r="G756" s="300">
        <v>44679</v>
      </c>
      <c r="H756" s="303">
        <v>3934.58</v>
      </c>
      <c r="I756" s="301" t="str">
        <f t="shared" si="187"/>
        <v>Ingresos Sección II LISR (SIC &amp; BMV)</v>
      </c>
      <c r="J756" s="302">
        <f t="shared" si="188"/>
        <v>19</v>
      </c>
      <c r="K756" s="304">
        <f t="shared" si="189"/>
        <v>207.08315789473684</v>
      </c>
      <c r="L756" s="305">
        <f>IF(H756=0,0,IF(OR(E756=$AT$5,E756=$AT$6),AA756,IF(F756="MXN",1/HLOOKUP(YEAR(G756)+(MONTH(G756)/100),TC!$5:$37,DAY(G756)+2,FALSE),VLOOKUP(F756,Equivalencia!$5:$23,((MAX(Equivalencia!$3:$3)-YEAR(G756))*14)+MONTH(G756)+2,FALSE))))</f>
        <v>1</v>
      </c>
      <c r="M756" s="306">
        <f t="shared" si="190"/>
        <v>3934.58</v>
      </c>
      <c r="N756" s="305">
        <f>IF(G756=0,0,(IF(OR(E756=$AT$5,E756=$AT$6),AC756,HLOOKUP(YEAR(G756)+(MONTH(G756)/100),TC!$5:$37,DAY(G756)+2,FALSE))))</f>
        <v>20.356000000000002</v>
      </c>
      <c r="O756" s="307">
        <f t="shared" si="191"/>
        <v>80092.31048</v>
      </c>
      <c r="P756" s="560">
        <f>IF(G756=0,0,VLOOKUP(YEAR(G756),INPC!$B$4:$P$30,MONTH(G756)+2))</f>
        <v>120.809</v>
      </c>
      <c r="Q756" s="560">
        <f>IF(X756=0,0,IF(OR(E756=$AT$10,E756=$AT$9),VLOOKUP(YEAR(X756),INPC!$B$4:$P$30,MONTH(X756)+1),VLOOKUP(YEAR(X756),INPC!$B$4:$P$30,MONTH(X756)+2,0)))</f>
        <v>122.044</v>
      </c>
      <c r="R756" s="309">
        <f t="shared" si="192"/>
        <v>1.0102</v>
      </c>
      <c r="S756" s="310">
        <f t="shared" si="193"/>
        <v>80909.252046895999</v>
      </c>
      <c r="T756" s="555">
        <f t="shared" si="194"/>
        <v>4258.3816866787365</v>
      </c>
      <c r="U756" s="311"/>
      <c r="V756" s="312">
        <v>19</v>
      </c>
      <c r="W756" s="299" t="s">
        <v>194</v>
      </c>
      <c r="X756" s="300">
        <v>44754</v>
      </c>
      <c r="Y756" s="299" t="s">
        <v>59</v>
      </c>
      <c r="Z756" s="303">
        <v>2896.3127950310554</v>
      </c>
      <c r="AA756" s="305">
        <f>IF(Z756=0,0,IF(Y756="MXN",1/HLOOKUP(YEAR(X756)+(MONTH(X756)/100),TC!$5:$37,DAY(X756)+2,FALSE),VLOOKUP(Y756,Equivalencia!$1:$23,((MAX(Equivalencia!$3:$3)-YEAR(X756))*14)+MONTH(X756)+2,FALSE)))</f>
        <v>1</v>
      </c>
      <c r="AB756" s="306">
        <f t="shared" si="195"/>
        <v>2896.3127950310554</v>
      </c>
      <c r="AC756" s="305">
        <f>+IF(X756=0,0,HLOOKUP(YEAR(X756)+(MONTH(X756)/100),TC!$5:$37,DAY(X756)+2,FALSE))</f>
        <v>20.442299999999999</v>
      </c>
      <c r="AD756" s="307">
        <f t="shared" si="196"/>
        <v>59207.295049863344</v>
      </c>
      <c r="AE756" s="314">
        <f t="shared" si="197"/>
        <v>80909.252046895999</v>
      </c>
      <c r="AF756" s="315">
        <f t="shared" si="198"/>
        <v>-21701.956997032656</v>
      </c>
      <c r="AG756" s="316">
        <f t="shared" si="199"/>
        <v>0.20547945205479451</v>
      </c>
      <c r="AH756" s="314">
        <v>1</v>
      </c>
      <c r="AI756" s="314">
        <f t="shared" si="200"/>
        <v>-21701.956997032656</v>
      </c>
      <c r="AJ756" s="314">
        <f t="shared" si="201"/>
        <v>0</v>
      </c>
      <c r="AK756" s="317"/>
      <c r="AL756" s="315">
        <f t="shared" si="202"/>
        <v>-1038.2672049689445</v>
      </c>
      <c r="AN756" s="554">
        <f t="shared" si="203"/>
        <v>-0.26388260118461043</v>
      </c>
      <c r="AO756" s="314"/>
      <c r="AP756" s="318"/>
    </row>
    <row r="757" spans="2:42">
      <c r="B757" s="296" t="s">
        <v>1254</v>
      </c>
      <c r="C757" s="299" t="s">
        <v>277</v>
      </c>
      <c r="D757" s="298" t="s">
        <v>880</v>
      </c>
      <c r="E757" s="299" t="s">
        <v>113</v>
      </c>
      <c r="F757" s="299" t="s">
        <v>59</v>
      </c>
      <c r="G757" s="300">
        <v>44159</v>
      </c>
      <c r="H757" s="303">
        <v>10741.911578947369</v>
      </c>
      <c r="I757" s="301" t="str">
        <f t="shared" si="187"/>
        <v>Ingresos Sección II LISR (SIC &amp; BMV)</v>
      </c>
      <c r="J757" s="302">
        <f t="shared" si="188"/>
        <v>32</v>
      </c>
      <c r="K757" s="304">
        <f t="shared" si="189"/>
        <v>335.68473684210528</v>
      </c>
      <c r="L757" s="305">
        <f>IF(H757=0,0,IF(OR(E757=$AT$5,E757=$AT$6),AA757,IF(F757="MXN",1/HLOOKUP(YEAR(G757)+(MONTH(G757)/100),TC!$5:$37,DAY(G757)+2,FALSE),VLOOKUP(F757,Equivalencia!$5:$23,((MAX(Equivalencia!$3:$3)-YEAR(G757))*14)+MONTH(G757)+2,FALSE))))</f>
        <v>1</v>
      </c>
      <c r="M757" s="306">
        <f t="shared" si="190"/>
        <v>10741.911578947369</v>
      </c>
      <c r="N757" s="305">
        <f>IF(G757=0,0,(IF(OR(E757=$AT$5,E757=$AT$6),AC757,HLOOKUP(YEAR(G757)+(MONTH(G757)/100),TC!$5:$37,DAY(G757)+2,FALSE))))</f>
        <v>20.1172</v>
      </c>
      <c r="O757" s="307">
        <f t="shared" si="191"/>
        <v>216097.18361600002</v>
      </c>
      <c r="P757" s="560">
        <f>IF(G757=0,0,VLOOKUP(YEAR(G757),INPC!$B$4:$P$30,MONTH(G757)+2))</f>
        <v>108.85599999999999</v>
      </c>
      <c r="Q757" s="560">
        <f>IF(X757=0,0,IF(OR(E757=$AT$10,E757=$AT$9),VLOOKUP(YEAR(X757),INPC!$B$4:$P$30,MONTH(X757)+1),VLOOKUP(YEAR(X757),INPC!$B$4:$P$30,MONTH(X757)+2,0)))</f>
        <v>122.044</v>
      </c>
      <c r="R757" s="309">
        <f t="shared" si="192"/>
        <v>1.1211</v>
      </c>
      <c r="S757" s="310">
        <f t="shared" si="193"/>
        <v>242266.55255189762</v>
      </c>
      <c r="T757" s="555">
        <f t="shared" si="194"/>
        <v>7570.8297672468007</v>
      </c>
      <c r="U757" s="311"/>
      <c r="V757" s="312">
        <v>32</v>
      </c>
      <c r="W757" s="299" t="s">
        <v>194</v>
      </c>
      <c r="X757" s="300">
        <v>44754</v>
      </c>
      <c r="Y757" s="299" t="s">
        <v>59</v>
      </c>
      <c r="Z757" s="303">
        <v>10350.77</v>
      </c>
      <c r="AA757" s="305">
        <f>IF(Z757=0,0,IF(Y757="MXN",1/HLOOKUP(YEAR(X757)+(MONTH(X757)/100),TC!$5:$37,DAY(X757)+2,FALSE),VLOOKUP(Y757,Equivalencia!$1:$23,((MAX(Equivalencia!$3:$3)-YEAR(X757))*14)+MONTH(X757)+2,FALSE)))</f>
        <v>1</v>
      </c>
      <c r="AB757" s="306">
        <f t="shared" si="195"/>
        <v>10350.77</v>
      </c>
      <c r="AC757" s="305">
        <f>+IF(X757=0,0,HLOOKUP(YEAR(X757)+(MONTH(X757)/100),TC!$5:$37,DAY(X757)+2,FALSE))</f>
        <v>20.442299999999999</v>
      </c>
      <c r="AD757" s="307">
        <f t="shared" si="196"/>
        <v>211593.545571</v>
      </c>
      <c r="AE757" s="314">
        <f t="shared" si="197"/>
        <v>242266.55255189762</v>
      </c>
      <c r="AF757" s="315">
        <f t="shared" si="198"/>
        <v>-30673.006980897626</v>
      </c>
      <c r="AG757" s="316">
        <f t="shared" si="199"/>
        <v>1.6301369863013699</v>
      </c>
      <c r="AH757" s="314">
        <v>1</v>
      </c>
      <c r="AI757" s="314">
        <f t="shared" si="200"/>
        <v>-30673.006980897626</v>
      </c>
      <c r="AJ757" s="314">
        <f t="shared" si="201"/>
        <v>0</v>
      </c>
      <c r="AK757" s="317"/>
      <c r="AL757" s="315">
        <f t="shared" si="202"/>
        <v>-391.14157894736854</v>
      </c>
      <c r="AN757" s="554">
        <f t="shared" si="203"/>
        <v>-3.6412660453652483E-2</v>
      </c>
      <c r="AO757" s="314"/>
      <c r="AP757" s="318"/>
    </row>
    <row r="758" spans="2:42">
      <c r="B758" s="296" t="s">
        <v>1254</v>
      </c>
      <c r="C758" s="299" t="s">
        <v>277</v>
      </c>
      <c r="D758" s="298" t="s">
        <v>880</v>
      </c>
      <c r="E758" s="299" t="s">
        <v>113</v>
      </c>
      <c r="F758" s="299" t="s">
        <v>59</v>
      </c>
      <c r="G758" s="300">
        <v>44159</v>
      </c>
      <c r="H758" s="303">
        <v>2685.4778947368422</v>
      </c>
      <c r="I758" s="301" t="str">
        <f t="shared" si="187"/>
        <v>Ingresos Sección II LISR (SIC &amp; BMV)</v>
      </c>
      <c r="J758" s="302">
        <f t="shared" si="188"/>
        <v>8</v>
      </c>
      <c r="K758" s="304">
        <f t="shared" si="189"/>
        <v>335.68473684210528</v>
      </c>
      <c r="L758" s="305">
        <f>IF(H758=0,0,IF(OR(E758=$AT$5,E758=$AT$6),AA758,IF(F758="MXN",1/HLOOKUP(YEAR(G758)+(MONTH(G758)/100),TC!$5:$37,DAY(G758)+2,FALSE),VLOOKUP(F758,Equivalencia!$5:$23,((MAX(Equivalencia!$3:$3)-YEAR(G758))*14)+MONTH(G758)+2,FALSE))))</f>
        <v>1</v>
      </c>
      <c r="M758" s="306">
        <f t="shared" si="190"/>
        <v>2685.4778947368422</v>
      </c>
      <c r="N758" s="305">
        <f>IF(G758=0,0,(IF(OR(E758=$AT$5,E758=$AT$6),AC758,HLOOKUP(YEAR(G758)+(MONTH(G758)/100),TC!$5:$37,DAY(G758)+2,FALSE))))</f>
        <v>20.1172</v>
      </c>
      <c r="O758" s="307">
        <f t="shared" si="191"/>
        <v>54024.295904000006</v>
      </c>
      <c r="P758" s="560">
        <f>IF(G758=0,0,VLOOKUP(YEAR(G758),INPC!$B$4:$P$30,MONTH(G758)+2))</f>
        <v>108.85599999999999</v>
      </c>
      <c r="Q758" s="560">
        <f>IF(X758=0,0,IF(OR(E758=$AT$10,E758=$AT$9),VLOOKUP(YEAR(X758),INPC!$B$4:$P$30,MONTH(X758)+1),VLOOKUP(YEAR(X758),INPC!$B$4:$P$30,MONTH(X758)+2,0)))</f>
        <v>122.044</v>
      </c>
      <c r="R758" s="309">
        <f t="shared" si="192"/>
        <v>1.1211</v>
      </c>
      <c r="S758" s="310">
        <f t="shared" si="193"/>
        <v>60566.638137974405</v>
      </c>
      <c r="T758" s="555">
        <f t="shared" si="194"/>
        <v>7570.8297672468007</v>
      </c>
      <c r="U758" s="311"/>
      <c r="V758" s="312">
        <v>8</v>
      </c>
      <c r="W758" s="299" t="s">
        <v>194</v>
      </c>
      <c r="X758" s="300">
        <v>44754</v>
      </c>
      <c r="Y758" s="299" t="s">
        <v>59</v>
      </c>
      <c r="Z758" s="303">
        <v>2585.65</v>
      </c>
      <c r="AA758" s="305">
        <f>IF(Z758=0,0,IF(Y758="MXN",1/HLOOKUP(YEAR(X758)+(MONTH(X758)/100),TC!$5:$37,DAY(X758)+2,FALSE),VLOOKUP(Y758,Equivalencia!$1:$23,((MAX(Equivalencia!$3:$3)-YEAR(X758))*14)+MONTH(X758)+2,FALSE)))</f>
        <v>1</v>
      </c>
      <c r="AB758" s="306">
        <f t="shared" si="195"/>
        <v>2585.65</v>
      </c>
      <c r="AC758" s="305">
        <f>+IF(X758=0,0,HLOOKUP(YEAR(X758)+(MONTH(X758)/100),TC!$5:$37,DAY(X758)+2,FALSE))</f>
        <v>20.442299999999999</v>
      </c>
      <c r="AD758" s="307">
        <f t="shared" si="196"/>
        <v>52856.632995</v>
      </c>
      <c r="AE758" s="314">
        <f t="shared" si="197"/>
        <v>60566.638137974405</v>
      </c>
      <c r="AF758" s="315">
        <f t="shared" si="198"/>
        <v>-7710.0051429744053</v>
      </c>
      <c r="AG758" s="316">
        <f t="shared" si="199"/>
        <v>1.6301369863013699</v>
      </c>
      <c r="AH758" s="314">
        <v>1</v>
      </c>
      <c r="AI758" s="314">
        <f t="shared" si="200"/>
        <v>-7710.0051429744053</v>
      </c>
      <c r="AJ758" s="314">
        <f t="shared" si="201"/>
        <v>0</v>
      </c>
      <c r="AK758" s="317"/>
      <c r="AL758" s="315">
        <f t="shared" si="202"/>
        <v>-99.827894736842154</v>
      </c>
      <c r="AN758" s="554">
        <f t="shared" si="203"/>
        <v>-3.7173232716787852E-2</v>
      </c>
      <c r="AO758" s="314"/>
      <c r="AP758" s="318"/>
    </row>
    <row r="759" spans="2:42">
      <c r="B759" s="296" t="s">
        <v>1254</v>
      </c>
      <c r="C759" s="299" t="s">
        <v>277</v>
      </c>
      <c r="D759" s="298" t="s">
        <v>949</v>
      </c>
      <c r="E759" s="299" t="s">
        <v>113</v>
      </c>
      <c r="F759" s="299" t="s">
        <v>59</v>
      </c>
      <c r="G759" s="300">
        <v>44284</v>
      </c>
      <c r="H759" s="303">
        <v>4282.8133333333335</v>
      </c>
      <c r="I759" s="301" t="str">
        <f t="shared" si="187"/>
        <v>Ingresos Sección II LISR (SIC &amp; BMV)</v>
      </c>
      <c r="J759" s="302">
        <f t="shared" si="188"/>
        <v>3</v>
      </c>
      <c r="K759" s="304">
        <f t="shared" si="189"/>
        <v>1427.6044444444444</v>
      </c>
      <c r="L759" s="305">
        <f>IF(H759=0,0,IF(OR(E759=$AT$5,E759=$AT$6),AA759,IF(F759="MXN",1/HLOOKUP(YEAR(G759)+(MONTH(G759)/100),TC!$5:$37,DAY(G759)+2,FALSE),VLOOKUP(F759,Equivalencia!$5:$23,((MAX(Equivalencia!$3:$3)-YEAR(G759))*14)+MONTH(G759)+2,FALSE))))</f>
        <v>1</v>
      </c>
      <c r="M759" s="306">
        <f t="shared" si="190"/>
        <v>4282.8133333333335</v>
      </c>
      <c r="N759" s="305">
        <f>IF(G759=0,0,(IF(OR(E759=$AT$5,E759=$AT$6),AC759,HLOOKUP(YEAR(G759)+(MONTH(G759)/100),TC!$5:$37,DAY(G759)+2,FALSE))))</f>
        <v>20.766200000000001</v>
      </c>
      <c r="O759" s="307">
        <f t="shared" si="191"/>
        <v>88937.758242666678</v>
      </c>
      <c r="P759" s="560">
        <f>IF(G759=0,0,VLOOKUP(YEAR(G759),INPC!$B$4:$P$30,MONTH(G759)+2))</f>
        <v>111.824</v>
      </c>
      <c r="Q759" s="560">
        <f>IF(X759=0,0,IF(OR(E759=$AT$10,E759=$AT$9),VLOOKUP(YEAR(X759),INPC!$B$4:$P$30,MONTH(X759)+1),VLOOKUP(YEAR(X759),INPC!$B$4:$P$30,MONTH(X759)+2,0)))</f>
        <v>122.044</v>
      </c>
      <c r="R759" s="309">
        <f t="shared" si="192"/>
        <v>1.0912999999999999</v>
      </c>
      <c r="S759" s="310">
        <f t="shared" si="193"/>
        <v>97057.775570222133</v>
      </c>
      <c r="T759" s="555">
        <f t="shared" si="194"/>
        <v>32352.59185674071</v>
      </c>
      <c r="U759" s="311"/>
      <c r="V759" s="312">
        <v>3</v>
      </c>
      <c r="W759" s="299" t="s">
        <v>194</v>
      </c>
      <c r="X759" s="300">
        <v>44767</v>
      </c>
      <c r="Y759" s="299" t="s">
        <v>59</v>
      </c>
      <c r="Z759" s="303">
        <v>3977.3861538461538</v>
      </c>
      <c r="AA759" s="305">
        <f>IF(Z759=0,0,IF(Y759="MXN",1/HLOOKUP(YEAR(X759)+(MONTH(X759)/100),TC!$5:$37,DAY(X759)+2,FALSE),VLOOKUP(Y759,Equivalencia!$1:$23,((MAX(Equivalencia!$3:$3)-YEAR(X759))*14)+MONTH(X759)+2,FALSE)))</f>
        <v>1</v>
      </c>
      <c r="AB759" s="306">
        <f t="shared" si="195"/>
        <v>3977.3861538461538</v>
      </c>
      <c r="AC759" s="305">
        <f>+IF(X759=0,0,HLOOKUP(YEAR(X759)+(MONTH(X759)/100),TC!$5:$37,DAY(X759)+2,FALSE))</f>
        <v>20.656199999999998</v>
      </c>
      <c r="AD759" s="307">
        <f t="shared" si="196"/>
        <v>82157.683871076908</v>
      </c>
      <c r="AE759" s="314">
        <f t="shared" si="197"/>
        <v>97057.775570222133</v>
      </c>
      <c r="AF759" s="315">
        <f t="shared" si="198"/>
        <v>-14900.091699145225</v>
      </c>
      <c r="AG759" s="316">
        <f t="shared" si="199"/>
        <v>1.3232876712328767</v>
      </c>
      <c r="AH759" s="314">
        <v>1</v>
      </c>
      <c r="AI759" s="314">
        <f t="shared" si="200"/>
        <v>-14900.091699145225</v>
      </c>
      <c r="AJ759" s="314">
        <f t="shared" si="201"/>
        <v>0</v>
      </c>
      <c r="AK759" s="317"/>
      <c r="AL759" s="315">
        <f t="shared" si="202"/>
        <v>-305.42717948717973</v>
      </c>
      <c r="AN759" s="554">
        <f t="shared" si="203"/>
        <v>-7.1314613950140188E-2</v>
      </c>
      <c r="AO759" s="314"/>
      <c r="AP759" s="318"/>
    </row>
    <row r="760" spans="2:42">
      <c r="B760" s="296" t="s">
        <v>1254</v>
      </c>
      <c r="C760" s="299" t="s">
        <v>277</v>
      </c>
      <c r="D760" s="298" t="s">
        <v>949</v>
      </c>
      <c r="E760" s="299" t="s">
        <v>113</v>
      </c>
      <c r="F760" s="299" t="s">
        <v>59</v>
      </c>
      <c r="G760" s="300">
        <v>44298</v>
      </c>
      <c r="H760" s="303">
        <v>3062.86</v>
      </c>
      <c r="I760" s="301" t="str">
        <f t="shared" si="187"/>
        <v>Ingresos Sección II LISR (SIC &amp; BMV)</v>
      </c>
      <c r="J760" s="302">
        <f t="shared" si="188"/>
        <v>2</v>
      </c>
      <c r="K760" s="304">
        <f t="shared" si="189"/>
        <v>1531.43</v>
      </c>
      <c r="L760" s="305">
        <f>IF(H760=0,0,IF(OR(E760=$AT$5,E760=$AT$6),AA760,IF(F760="MXN",1/HLOOKUP(YEAR(G760)+(MONTH(G760)/100),TC!$5:$37,DAY(G760)+2,FALSE),VLOOKUP(F760,Equivalencia!$5:$23,((MAX(Equivalencia!$3:$3)-YEAR(G760))*14)+MONTH(G760)+2,FALSE))))</f>
        <v>1</v>
      </c>
      <c r="M760" s="306">
        <f t="shared" si="190"/>
        <v>3062.86</v>
      </c>
      <c r="N760" s="305">
        <f>IF(G760=0,0,(IF(OR(E760=$AT$5,E760=$AT$6),AC760,HLOOKUP(YEAR(G760)+(MONTH(G760)/100),TC!$5:$37,DAY(G760)+2,FALSE))))</f>
        <v>20.088999999999999</v>
      </c>
      <c r="O760" s="307">
        <f t="shared" si="191"/>
        <v>61529.794539999995</v>
      </c>
      <c r="P760" s="560">
        <f>IF(G760=0,0,VLOOKUP(YEAR(G760),INPC!$B$4:$P$30,MONTH(G760)+2))</f>
        <v>112.19</v>
      </c>
      <c r="Q760" s="560">
        <f>IF(X760=0,0,IF(OR(E760=$AT$10,E760=$AT$9),VLOOKUP(YEAR(X760),INPC!$B$4:$P$30,MONTH(X760)+1),VLOOKUP(YEAR(X760),INPC!$B$4:$P$30,MONTH(X760)+2,0)))</f>
        <v>122.044</v>
      </c>
      <c r="R760" s="309">
        <f t="shared" si="192"/>
        <v>1.0878000000000001</v>
      </c>
      <c r="S760" s="310">
        <f t="shared" si="193"/>
        <v>66932.110500612005</v>
      </c>
      <c r="T760" s="555">
        <f t="shared" si="194"/>
        <v>33466.055250306003</v>
      </c>
      <c r="U760" s="311"/>
      <c r="V760" s="312">
        <v>2</v>
      </c>
      <c r="W760" s="299" t="s">
        <v>194</v>
      </c>
      <c r="X760" s="300">
        <v>44767</v>
      </c>
      <c r="Y760" s="299" t="s">
        <v>59</v>
      </c>
      <c r="Z760" s="303">
        <v>2651.5907692307692</v>
      </c>
      <c r="AA760" s="305">
        <f>IF(Z760=0,0,IF(Y760="MXN",1/HLOOKUP(YEAR(X760)+(MONTH(X760)/100),TC!$5:$37,DAY(X760)+2,FALSE),VLOOKUP(Y760,Equivalencia!$1:$23,((MAX(Equivalencia!$3:$3)-YEAR(X760))*14)+MONTH(X760)+2,FALSE)))</f>
        <v>1</v>
      </c>
      <c r="AB760" s="306">
        <f t="shared" si="195"/>
        <v>2651.5907692307692</v>
      </c>
      <c r="AC760" s="305">
        <f>+IF(X760=0,0,HLOOKUP(YEAR(X760)+(MONTH(X760)/100),TC!$5:$37,DAY(X760)+2,FALSE))</f>
        <v>20.656199999999998</v>
      </c>
      <c r="AD760" s="307">
        <f t="shared" si="196"/>
        <v>54771.789247384608</v>
      </c>
      <c r="AE760" s="314">
        <f t="shared" si="197"/>
        <v>66932.110500612005</v>
      </c>
      <c r="AF760" s="315">
        <f t="shared" si="198"/>
        <v>-12160.321253227397</v>
      </c>
      <c r="AG760" s="316">
        <f t="shared" si="199"/>
        <v>1.284931506849315</v>
      </c>
      <c r="AH760" s="314">
        <v>1</v>
      </c>
      <c r="AI760" s="314">
        <f t="shared" si="200"/>
        <v>-12160.321253227397</v>
      </c>
      <c r="AJ760" s="314">
        <f t="shared" si="201"/>
        <v>0</v>
      </c>
      <c r="AK760" s="317"/>
      <c r="AL760" s="315">
        <f t="shared" si="202"/>
        <v>-411.26923076923094</v>
      </c>
      <c r="AN760" s="554">
        <f t="shared" si="203"/>
        <v>-0.13427620941513191</v>
      </c>
      <c r="AO760" s="314"/>
      <c r="AP760" s="318"/>
    </row>
    <row r="761" spans="2:42">
      <c r="B761" s="296" t="s">
        <v>1254</v>
      </c>
      <c r="C761" s="299" t="s">
        <v>277</v>
      </c>
      <c r="D761" s="298" t="s">
        <v>949</v>
      </c>
      <c r="E761" s="299" t="s">
        <v>113</v>
      </c>
      <c r="F761" s="299" t="s">
        <v>59</v>
      </c>
      <c r="G761" s="300">
        <v>44298</v>
      </c>
      <c r="H761" s="303">
        <v>12217.076923076924</v>
      </c>
      <c r="I761" s="301" t="str">
        <f t="shared" si="187"/>
        <v>Ingresos Sección II LISR (SIC &amp; BMV)</v>
      </c>
      <c r="J761" s="302">
        <f t="shared" si="188"/>
        <v>8</v>
      </c>
      <c r="K761" s="304">
        <f t="shared" si="189"/>
        <v>1527.1346153846155</v>
      </c>
      <c r="L761" s="305">
        <f>IF(H761=0,0,IF(OR(E761=$AT$5,E761=$AT$6),AA761,IF(F761="MXN",1/HLOOKUP(YEAR(G761)+(MONTH(G761)/100),TC!$5:$37,DAY(G761)+2,FALSE),VLOOKUP(F761,Equivalencia!$5:$23,((MAX(Equivalencia!$3:$3)-YEAR(G761))*14)+MONTH(G761)+2,FALSE))))</f>
        <v>1</v>
      </c>
      <c r="M761" s="306">
        <f t="shared" si="190"/>
        <v>12217.076923076924</v>
      </c>
      <c r="N761" s="305">
        <f>IF(G761=0,0,(IF(OR(E761=$AT$5,E761=$AT$6),AC761,HLOOKUP(YEAR(G761)+(MONTH(G761)/100),TC!$5:$37,DAY(G761)+2,FALSE))))</f>
        <v>20.088999999999999</v>
      </c>
      <c r="O761" s="307">
        <f t="shared" si="191"/>
        <v>245428.85830769231</v>
      </c>
      <c r="P761" s="560">
        <f>IF(G761=0,0,VLOOKUP(YEAR(G761),INPC!$B$4:$P$30,MONTH(G761)+2))</f>
        <v>112.19</v>
      </c>
      <c r="Q761" s="560">
        <f>IF(X761=0,0,IF(OR(E761=$AT$10,E761=$AT$9),VLOOKUP(YEAR(X761),INPC!$B$4:$P$30,MONTH(X761)+1),VLOOKUP(YEAR(X761),INPC!$B$4:$P$30,MONTH(X761)+2,0)))</f>
        <v>122.044</v>
      </c>
      <c r="R761" s="309">
        <f t="shared" si="192"/>
        <v>1.0878000000000001</v>
      </c>
      <c r="S761" s="310">
        <f t="shared" si="193"/>
        <v>266977.51206710772</v>
      </c>
      <c r="T761" s="555">
        <f t="shared" si="194"/>
        <v>33372.189008388465</v>
      </c>
      <c r="U761" s="311"/>
      <c r="V761" s="312">
        <v>8</v>
      </c>
      <c r="W761" s="299" t="s">
        <v>194</v>
      </c>
      <c r="X761" s="300">
        <v>44767</v>
      </c>
      <c r="Y761" s="299" t="s">
        <v>59</v>
      </c>
      <c r="Z761" s="303">
        <v>10606.363076923077</v>
      </c>
      <c r="AA761" s="305">
        <f>IF(Z761=0,0,IF(Y761="MXN",1/HLOOKUP(YEAR(X761)+(MONTH(X761)/100),TC!$5:$37,DAY(X761)+2,FALSE),VLOOKUP(Y761,Equivalencia!$1:$23,((MAX(Equivalencia!$3:$3)-YEAR(X761))*14)+MONTH(X761)+2,FALSE)))</f>
        <v>1</v>
      </c>
      <c r="AB761" s="306">
        <f t="shared" si="195"/>
        <v>10606.363076923077</v>
      </c>
      <c r="AC761" s="305">
        <f>+IF(X761=0,0,HLOOKUP(YEAR(X761)+(MONTH(X761)/100),TC!$5:$37,DAY(X761)+2,FALSE))</f>
        <v>20.656199999999998</v>
      </c>
      <c r="AD761" s="307">
        <f t="shared" si="196"/>
        <v>219087.15698953843</v>
      </c>
      <c r="AE761" s="314">
        <f t="shared" si="197"/>
        <v>266977.51206710772</v>
      </c>
      <c r="AF761" s="315">
        <f t="shared" si="198"/>
        <v>-47890.355077569286</v>
      </c>
      <c r="AG761" s="316">
        <f t="shared" si="199"/>
        <v>1.284931506849315</v>
      </c>
      <c r="AH761" s="314">
        <v>1</v>
      </c>
      <c r="AI761" s="314">
        <f t="shared" si="200"/>
        <v>-47890.355077569286</v>
      </c>
      <c r="AJ761" s="314">
        <f t="shared" si="201"/>
        <v>0</v>
      </c>
      <c r="AK761" s="317"/>
      <c r="AL761" s="315">
        <f t="shared" si="202"/>
        <v>-1610.713846153847</v>
      </c>
      <c r="AN761" s="554">
        <f t="shared" si="203"/>
        <v>-0.1318411806928512</v>
      </c>
      <c r="AO761" s="314"/>
      <c r="AP761" s="318"/>
    </row>
    <row r="762" spans="2:42">
      <c r="B762" s="296" t="s">
        <v>1254</v>
      </c>
      <c r="C762" s="299" t="s">
        <v>277</v>
      </c>
      <c r="D762" s="298" t="s">
        <v>949</v>
      </c>
      <c r="E762" s="299" t="s">
        <v>113</v>
      </c>
      <c r="F762" s="299" t="s">
        <v>59</v>
      </c>
      <c r="G762" s="300">
        <v>44298</v>
      </c>
      <c r="H762" s="303">
        <v>7635.6730769230771</v>
      </c>
      <c r="I762" s="301" t="str">
        <f t="shared" si="187"/>
        <v>Ingresos Sección II LISR (SIC &amp; BMV)</v>
      </c>
      <c r="J762" s="302">
        <f t="shared" si="188"/>
        <v>5</v>
      </c>
      <c r="K762" s="304">
        <f t="shared" si="189"/>
        <v>1527.1346153846155</v>
      </c>
      <c r="L762" s="305">
        <f>IF(H762=0,0,IF(OR(E762=$AT$5,E762=$AT$6),AA762,IF(F762="MXN",1/HLOOKUP(YEAR(G762)+(MONTH(G762)/100),TC!$5:$37,DAY(G762)+2,FALSE),VLOOKUP(F762,Equivalencia!$5:$23,((MAX(Equivalencia!$3:$3)-YEAR(G762))*14)+MONTH(G762)+2,FALSE))))</f>
        <v>1</v>
      </c>
      <c r="M762" s="306">
        <f t="shared" si="190"/>
        <v>7635.6730769230771</v>
      </c>
      <c r="N762" s="305">
        <f>IF(G762=0,0,(IF(OR(E762=$AT$5,E762=$AT$6),AC762,HLOOKUP(YEAR(G762)+(MONTH(G762)/100),TC!$5:$37,DAY(G762)+2,FALSE))))</f>
        <v>20.088999999999999</v>
      </c>
      <c r="O762" s="307">
        <f t="shared" si="191"/>
        <v>153393.0364423077</v>
      </c>
      <c r="P762" s="560">
        <f>IF(G762=0,0,VLOOKUP(YEAR(G762),INPC!$B$4:$P$30,MONTH(G762)+2))</f>
        <v>112.19</v>
      </c>
      <c r="Q762" s="560">
        <f>IF(X762=0,0,IF(OR(E762=$AT$10,E762=$AT$9),VLOOKUP(YEAR(X762),INPC!$B$4:$P$30,MONTH(X762)+1),VLOOKUP(YEAR(X762),INPC!$B$4:$P$30,MONTH(X762)+2,0)))</f>
        <v>122.044</v>
      </c>
      <c r="R762" s="309">
        <f t="shared" si="192"/>
        <v>1.0878000000000001</v>
      </c>
      <c r="S762" s="310">
        <f t="shared" si="193"/>
        <v>166860.94504194232</v>
      </c>
      <c r="T762" s="555">
        <f t="shared" si="194"/>
        <v>33372.189008388465</v>
      </c>
      <c r="U762" s="311"/>
      <c r="V762" s="312">
        <v>5</v>
      </c>
      <c r="W762" s="299" t="s">
        <v>194</v>
      </c>
      <c r="X762" s="300">
        <v>44767</v>
      </c>
      <c r="Y762" s="299" t="s">
        <v>59</v>
      </c>
      <c r="Z762" s="303">
        <v>6614.5062499999995</v>
      </c>
      <c r="AA762" s="305">
        <f>IF(Z762=0,0,IF(Y762="MXN",1/HLOOKUP(YEAR(X762)+(MONTH(X762)/100),TC!$5:$37,DAY(X762)+2,FALSE),VLOOKUP(Y762,Equivalencia!$1:$23,((MAX(Equivalencia!$3:$3)-YEAR(X762))*14)+MONTH(X762)+2,FALSE)))</f>
        <v>1</v>
      </c>
      <c r="AB762" s="306">
        <f t="shared" si="195"/>
        <v>6614.5062499999995</v>
      </c>
      <c r="AC762" s="305">
        <f>+IF(X762=0,0,HLOOKUP(YEAR(X762)+(MONTH(X762)/100),TC!$5:$37,DAY(X762)+2,FALSE))</f>
        <v>20.656199999999998</v>
      </c>
      <c r="AD762" s="307">
        <f t="shared" si="196"/>
        <v>136630.56400124996</v>
      </c>
      <c r="AE762" s="314">
        <f t="shared" si="197"/>
        <v>166860.94504194232</v>
      </c>
      <c r="AF762" s="315">
        <f t="shared" si="198"/>
        <v>-30230.381040692359</v>
      </c>
      <c r="AG762" s="316">
        <f t="shared" si="199"/>
        <v>1.284931506849315</v>
      </c>
      <c r="AH762" s="314">
        <v>1</v>
      </c>
      <c r="AI762" s="314">
        <f t="shared" si="200"/>
        <v>-30230.381040692359</v>
      </c>
      <c r="AJ762" s="314">
        <f t="shared" si="201"/>
        <v>0</v>
      </c>
      <c r="AK762" s="317"/>
      <c r="AL762" s="315">
        <f t="shared" si="202"/>
        <v>-1021.1668269230777</v>
      </c>
      <c r="AN762" s="554">
        <f t="shared" si="203"/>
        <v>-0.13373632116457426</v>
      </c>
      <c r="AO762" s="314"/>
      <c r="AP762" s="318"/>
    </row>
    <row r="763" spans="2:42">
      <c r="B763" s="296" t="s">
        <v>1254</v>
      </c>
      <c r="C763" s="299" t="s">
        <v>277</v>
      </c>
      <c r="D763" s="298" t="s">
        <v>949</v>
      </c>
      <c r="E763" s="299" t="s">
        <v>113</v>
      </c>
      <c r="F763" s="299" t="s">
        <v>59</v>
      </c>
      <c r="G763" s="300">
        <v>44348</v>
      </c>
      <c r="H763" s="303">
        <v>2744.14</v>
      </c>
      <c r="I763" s="301" t="str">
        <f t="shared" si="187"/>
        <v>Ingresos Sección II LISR (SIC &amp; BMV)</v>
      </c>
      <c r="J763" s="302">
        <f t="shared" si="188"/>
        <v>2</v>
      </c>
      <c r="K763" s="304">
        <f t="shared" si="189"/>
        <v>1372.07</v>
      </c>
      <c r="L763" s="305">
        <f>IF(H763=0,0,IF(OR(E763=$AT$5,E763=$AT$6),AA763,IF(F763="MXN",1/HLOOKUP(YEAR(G763)+(MONTH(G763)/100),TC!$5:$37,DAY(G763)+2,FALSE),VLOOKUP(F763,Equivalencia!$5:$23,((MAX(Equivalencia!$3:$3)-YEAR(G763))*14)+MONTH(G763)+2,FALSE))))</f>
        <v>1</v>
      </c>
      <c r="M763" s="306">
        <f t="shared" si="190"/>
        <v>2744.14</v>
      </c>
      <c r="N763" s="305">
        <f>IF(G763=0,0,(IF(OR(E763=$AT$5,E763=$AT$6),AC763,HLOOKUP(YEAR(G763)+(MONTH(G763)/100),TC!$5:$37,DAY(G763)+2,FALSE))))</f>
        <v>19.944199999999999</v>
      </c>
      <c r="O763" s="307">
        <f t="shared" si="191"/>
        <v>54729.676987999992</v>
      </c>
      <c r="P763" s="560">
        <f>IF(G763=0,0,VLOOKUP(YEAR(G763),INPC!$B$4:$P$30,MONTH(G763)+2))</f>
        <v>113.018</v>
      </c>
      <c r="Q763" s="560">
        <f>IF(X763=0,0,IF(OR(E763=$AT$10,E763=$AT$9),VLOOKUP(YEAR(X763),INPC!$B$4:$P$30,MONTH(X763)+1),VLOOKUP(YEAR(X763),INPC!$B$4:$P$30,MONTH(X763)+2,0)))</f>
        <v>122.044</v>
      </c>
      <c r="R763" s="309">
        <f t="shared" si="192"/>
        <v>1.0798000000000001</v>
      </c>
      <c r="S763" s="310">
        <f t="shared" si="193"/>
        <v>59097.105211642396</v>
      </c>
      <c r="T763" s="555">
        <f t="shared" si="194"/>
        <v>29548.552605821198</v>
      </c>
      <c r="U763" s="311"/>
      <c r="V763" s="312">
        <v>2</v>
      </c>
      <c r="W763" s="299" t="s">
        <v>194</v>
      </c>
      <c r="X763" s="300">
        <v>44767</v>
      </c>
      <c r="Y763" s="299" t="s">
        <v>59</v>
      </c>
      <c r="Z763" s="303">
        <v>2645.8024999999998</v>
      </c>
      <c r="AA763" s="305">
        <f>IF(Z763=0,0,IF(Y763="MXN",1/HLOOKUP(YEAR(X763)+(MONTH(X763)/100),TC!$5:$37,DAY(X763)+2,FALSE),VLOOKUP(Y763,Equivalencia!$1:$23,((MAX(Equivalencia!$3:$3)-YEAR(X763))*14)+MONTH(X763)+2,FALSE)))</f>
        <v>1</v>
      </c>
      <c r="AB763" s="306">
        <f t="shared" si="195"/>
        <v>2645.8024999999998</v>
      </c>
      <c r="AC763" s="305">
        <f>+IF(X763=0,0,HLOOKUP(YEAR(X763)+(MONTH(X763)/100),TC!$5:$37,DAY(X763)+2,FALSE))</f>
        <v>20.656199999999998</v>
      </c>
      <c r="AD763" s="307">
        <f t="shared" si="196"/>
        <v>54652.225600499994</v>
      </c>
      <c r="AE763" s="314">
        <f t="shared" si="197"/>
        <v>59097.105211642396</v>
      </c>
      <c r="AF763" s="315">
        <f t="shared" si="198"/>
        <v>-4444.8796111424017</v>
      </c>
      <c r="AG763" s="316">
        <f t="shared" si="199"/>
        <v>1.1479452054794521</v>
      </c>
      <c r="AH763" s="314">
        <v>1</v>
      </c>
      <c r="AI763" s="314">
        <f t="shared" si="200"/>
        <v>-4444.8796111424017</v>
      </c>
      <c r="AJ763" s="314">
        <f t="shared" si="201"/>
        <v>0</v>
      </c>
      <c r="AK763" s="317"/>
      <c r="AL763" s="315">
        <f t="shared" si="202"/>
        <v>-98.337500000000091</v>
      </c>
      <c r="AN763" s="554">
        <f t="shared" si="203"/>
        <v>-3.5835453001669043E-2</v>
      </c>
      <c r="AO763" s="314"/>
      <c r="AP763" s="318"/>
    </row>
    <row r="764" spans="2:42">
      <c r="B764" s="296" t="s">
        <v>1254</v>
      </c>
      <c r="C764" s="299" t="s">
        <v>277</v>
      </c>
      <c r="D764" s="298" t="s">
        <v>949</v>
      </c>
      <c r="E764" s="299" t="s">
        <v>113</v>
      </c>
      <c r="F764" s="299" t="s">
        <v>59</v>
      </c>
      <c r="G764" s="300">
        <v>44537</v>
      </c>
      <c r="H764" s="303">
        <v>1708.5628571428572</v>
      </c>
      <c r="I764" s="301" t="str">
        <f t="shared" ref="I764:I827" si="204">IF(D764=0,0,IF(OR(E764=$AT$9,E764=$AT$10),"Ingresos Sección II LISR (SIC &amp; BMV)","Ingresos Sección I LISR"))</f>
        <v>Ingresos Sección II LISR (SIC &amp; BMV)</v>
      </c>
      <c r="J764" s="302">
        <f t="shared" ref="J764:J827" si="205">+V764</f>
        <v>1</v>
      </c>
      <c r="K764" s="304">
        <f t="shared" ref="K764:K827" si="206">IF(H764=0,0,H764/J764)</f>
        <v>1708.5628571428572</v>
      </c>
      <c r="L764" s="305">
        <f>IF(H764=0,0,IF(OR(E764=$AT$5,E764=$AT$6),AA764,IF(F764="MXN",1/HLOOKUP(YEAR(G764)+(MONTH(G764)/100),TC!$5:$37,DAY(G764)+2,FALSE),VLOOKUP(F764,Equivalencia!$5:$23,((MAX(Equivalencia!$3:$3)-YEAR(G764))*14)+MONTH(G764)+2,FALSE))))</f>
        <v>1</v>
      </c>
      <c r="M764" s="306">
        <f t="shared" ref="M764:M827" si="207">+H764*L764</f>
        <v>1708.5628571428572</v>
      </c>
      <c r="N764" s="305">
        <f>IF(G764=0,0,(IF(OR(E764=$AT$5,E764=$AT$6),AC764,HLOOKUP(YEAR(G764)+(MONTH(G764)/100),TC!$5:$37,DAY(G764)+2,FALSE))))</f>
        <v>21.4177</v>
      </c>
      <c r="O764" s="307">
        <f t="shared" ref="O764:O827" si="208">+M764*N764</f>
        <v>36593.486705428571</v>
      </c>
      <c r="P764" s="560">
        <f>IF(G764=0,0,VLOOKUP(YEAR(G764),INPC!$B$4:$P$30,MONTH(G764)+2))</f>
        <v>117.30800000000001</v>
      </c>
      <c r="Q764" s="560">
        <f>IF(X764=0,0,IF(OR(E764=$AT$10,E764=$AT$9),VLOOKUP(YEAR(X764),INPC!$B$4:$P$30,MONTH(X764)+1),VLOOKUP(YEAR(X764),INPC!$B$4:$P$30,MONTH(X764)+2,0)))</f>
        <v>122.044</v>
      </c>
      <c r="R764" s="309">
        <f t="shared" ref="R764:R827" si="209">IF(H764=0,0,IF(OR(E764=$AT$5,E764=$AT$6),1,IF(TRUNC(Q764/P764,4)&gt;=1,TRUNC(Q764/P764,4),1)))</f>
        <v>1.0403</v>
      </c>
      <c r="S764" s="310">
        <f t="shared" ref="S764:S827" si="210">+R764*O764</f>
        <v>38068.204219657346</v>
      </c>
      <c r="T764" s="555">
        <f t="shared" ref="T764:T827" si="211">IF(V764=0,0,S764/V764)</f>
        <v>38068.204219657346</v>
      </c>
      <c r="U764" s="311"/>
      <c r="V764" s="312">
        <v>1</v>
      </c>
      <c r="W764" s="299" t="s">
        <v>194</v>
      </c>
      <c r="X764" s="300">
        <v>44767</v>
      </c>
      <c r="Y764" s="299" t="s">
        <v>59</v>
      </c>
      <c r="Z764" s="303">
        <v>1322.9012499999999</v>
      </c>
      <c r="AA764" s="305">
        <f>IF(Z764=0,0,IF(Y764="MXN",1/HLOOKUP(YEAR(X764)+(MONTH(X764)/100),TC!$5:$37,DAY(X764)+2,FALSE),VLOOKUP(Y764,Equivalencia!$1:$23,((MAX(Equivalencia!$3:$3)-YEAR(X764))*14)+MONTH(X764)+2,FALSE)))</f>
        <v>1</v>
      </c>
      <c r="AB764" s="306">
        <f t="shared" ref="AB764:AB827" si="212">+AA764*Z764</f>
        <v>1322.9012499999999</v>
      </c>
      <c r="AC764" s="305">
        <f>+IF(X764=0,0,HLOOKUP(YEAR(X764)+(MONTH(X764)/100),TC!$5:$37,DAY(X764)+2,FALSE))</f>
        <v>20.656199999999998</v>
      </c>
      <c r="AD764" s="307">
        <f t="shared" ref="AD764:AD827" si="213">+AC764*AB764</f>
        <v>27326.112800249997</v>
      </c>
      <c r="AE764" s="314">
        <f t="shared" ref="AE764:AE827" si="214">+V764*T764</f>
        <v>38068.204219657346</v>
      </c>
      <c r="AF764" s="315">
        <f t="shared" ref="AF764:AF827" si="215">IF(E764=$AT$11,0,AD764-AE764)</f>
        <v>-10742.091419407348</v>
      </c>
      <c r="AG764" s="316">
        <f t="shared" ref="AG764:AG827" si="216">+IF(AND(AF764&lt;0,OR(E764=$AT$5,E764=$AT$6)),1,((X764-G764)/365))</f>
        <v>0.63013698630136983</v>
      </c>
      <c r="AH764" s="314">
        <v>1</v>
      </c>
      <c r="AI764" s="314">
        <f t="shared" ref="AI764:AI827" si="217">+IF(OR(E764=$AT$9,E764=$AT$10),AF764,+AF764/AH764)</f>
        <v>-10742.091419407348</v>
      </c>
      <c r="AJ764" s="314">
        <f t="shared" ref="AJ764:AJ827" si="218">+AF764-AI764</f>
        <v>0</v>
      </c>
      <c r="AK764" s="317"/>
      <c r="AL764" s="315">
        <f t="shared" ref="AL764:AL827" si="219">+AB764-M764</f>
        <v>-385.66160714285729</v>
      </c>
      <c r="AN764" s="554">
        <f t="shared" ref="AN764:AN827" si="220">IF(AL764=0,0,AL764/H764)</f>
        <v>-0.22572280881007772</v>
      </c>
      <c r="AO764" s="314"/>
      <c r="AP764" s="318"/>
    </row>
    <row r="765" spans="2:42">
      <c r="B765" s="296" t="s">
        <v>1254</v>
      </c>
      <c r="C765" s="299" t="s">
        <v>277</v>
      </c>
      <c r="D765" s="298" t="s">
        <v>949</v>
      </c>
      <c r="E765" s="299" t="s">
        <v>113</v>
      </c>
      <c r="F765" s="299" t="s">
        <v>59</v>
      </c>
      <c r="G765" s="300">
        <v>44537</v>
      </c>
      <c r="H765" s="303">
        <v>23919.88</v>
      </c>
      <c r="I765" s="301" t="str">
        <f t="shared" si="204"/>
        <v>Ingresos Sección II LISR (SIC &amp; BMV)</v>
      </c>
      <c r="J765" s="302">
        <f t="shared" si="205"/>
        <v>14</v>
      </c>
      <c r="K765" s="304">
        <f t="shared" si="206"/>
        <v>1708.5628571428572</v>
      </c>
      <c r="L765" s="305">
        <f>IF(H765=0,0,IF(OR(E765=$AT$5,E765=$AT$6),AA765,IF(F765="MXN",1/HLOOKUP(YEAR(G765)+(MONTH(G765)/100),TC!$5:$37,DAY(G765)+2,FALSE),VLOOKUP(F765,Equivalencia!$5:$23,((MAX(Equivalencia!$3:$3)-YEAR(G765))*14)+MONTH(G765)+2,FALSE))))</f>
        <v>1</v>
      </c>
      <c r="M765" s="306">
        <f t="shared" si="207"/>
        <v>23919.88</v>
      </c>
      <c r="N765" s="305">
        <f>IF(G765=0,0,(IF(OR(E765=$AT$5,E765=$AT$6),AC765,HLOOKUP(YEAR(G765)+(MONTH(G765)/100),TC!$5:$37,DAY(G765)+2,FALSE))))</f>
        <v>21.4177</v>
      </c>
      <c r="O765" s="307">
        <f t="shared" si="208"/>
        <v>512308.813876</v>
      </c>
      <c r="P765" s="560">
        <f>IF(G765=0,0,VLOOKUP(YEAR(G765),INPC!$B$4:$P$30,MONTH(G765)+2))</f>
        <v>117.30800000000001</v>
      </c>
      <c r="Q765" s="560">
        <f>IF(X765=0,0,IF(OR(E765=$AT$10,E765=$AT$9),VLOOKUP(YEAR(X765),INPC!$B$4:$P$30,MONTH(X765)+1),VLOOKUP(YEAR(X765),INPC!$B$4:$P$30,MONTH(X765)+2,0)))</f>
        <v>122.044</v>
      </c>
      <c r="R765" s="309">
        <f t="shared" si="209"/>
        <v>1.0403</v>
      </c>
      <c r="S765" s="310">
        <f t="shared" si="210"/>
        <v>532954.85907520284</v>
      </c>
      <c r="T765" s="555">
        <f t="shared" si="211"/>
        <v>38068.204219657346</v>
      </c>
      <c r="U765" s="311"/>
      <c r="V765" s="312">
        <v>14</v>
      </c>
      <c r="W765" s="299" t="s">
        <v>194</v>
      </c>
      <c r="X765" s="300">
        <v>44769</v>
      </c>
      <c r="Y765" s="299" t="s">
        <v>59</v>
      </c>
      <c r="Z765" s="303">
        <v>20909.2</v>
      </c>
      <c r="AA765" s="305">
        <f>IF(Z765=0,0,IF(Y765="MXN",1/HLOOKUP(YEAR(X765)+(MONTH(X765)/100),TC!$5:$37,DAY(X765)+2,FALSE),VLOOKUP(Y765,Equivalencia!$1:$23,((MAX(Equivalencia!$3:$3)-YEAR(X765))*14)+MONTH(X765)+2,FALSE)))</f>
        <v>1</v>
      </c>
      <c r="AB765" s="306">
        <f t="shared" si="212"/>
        <v>20909.2</v>
      </c>
      <c r="AC765" s="305">
        <f>+IF(X765=0,0,HLOOKUP(YEAR(X765)+(MONTH(X765)/100),TC!$5:$37,DAY(X765)+2,FALSE))</f>
        <v>20.465199999999999</v>
      </c>
      <c r="AD765" s="307">
        <f t="shared" si="213"/>
        <v>427910.95984000002</v>
      </c>
      <c r="AE765" s="314">
        <f t="shared" si="214"/>
        <v>532954.85907520284</v>
      </c>
      <c r="AF765" s="315">
        <f t="shared" si="215"/>
        <v>-105043.89923520281</v>
      </c>
      <c r="AG765" s="316">
        <f t="shared" si="216"/>
        <v>0.63561643835616444</v>
      </c>
      <c r="AH765" s="314">
        <v>1</v>
      </c>
      <c r="AI765" s="314">
        <f t="shared" si="217"/>
        <v>-105043.89923520281</v>
      </c>
      <c r="AJ765" s="314">
        <f t="shared" si="218"/>
        <v>0</v>
      </c>
      <c r="AK765" s="317"/>
      <c r="AL765" s="315">
        <f t="shared" si="219"/>
        <v>-3010.6800000000003</v>
      </c>
      <c r="AN765" s="554">
        <f t="shared" si="220"/>
        <v>-0.1258651799256518</v>
      </c>
      <c r="AO765" s="314"/>
      <c r="AP765" s="318"/>
    </row>
    <row r="766" spans="2:42">
      <c r="B766" s="296" t="s">
        <v>1254</v>
      </c>
      <c r="C766" s="299" t="s">
        <v>277</v>
      </c>
      <c r="D766" s="298" t="s">
        <v>949</v>
      </c>
      <c r="E766" s="299" t="s">
        <v>113</v>
      </c>
      <c r="F766" s="299" t="s">
        <v>59</v>
      </c>
      <c r="G766" s="300">
        <v>44537</v>
      </c>
      <c r="H766" s="303">
        <v>10251.377142857144</v>
      </c>
      <c r="I766" s="301" t="str">
        <f t="shared" si="204"/>
        <v>Ingresos Sección II LISR (SIC &amp; BMV)</v>
      </c>
      <c r="J766" s="302">
        <f t="shared" si="205"/>
        <v>6</v>
      </c>
      <c r="K766" s="304">
        <f t="shared" si="206"/>
        <v>1708.5628571428572</v>
      </c>
      <c r="L766" s="305">
        <f>IF(H766=0,0,IF(OR(E766=$AT$5,E766=$AT$6),AA766,IF(F766="MXN",1/HLOOKUP(YEAR(G766)+(MONTH(G766)/100),TC!$5:$37,DAY(G766)+2,FALSE),VLOOKUP(F766,Equivalencia!$5:$23,((MAX(Equivalencia!$3:$3)-YEAR(G766))*14)+MONTH(G766)+2,FALSE))))</f>
        <v>1</v>
      </c>
      <c r="M766" s="306">
        <f t="shared" si="207"/>
        <v>10251.377142857144</v>
      </c>
      <c r="N766" s="305">
        <f>IF(G766=0,0,(IF(OR(E766=$AT$5,E766=$AT$6),AC766,HLOOKUP(YEAR(G766)+(MONTH(G766)/100),TC!$5:$37,DAY(G766)+2,FALSE))))</f>
        <v>21.4177</v>
      </c>
      <c r="O766" s="307">
        <f t="shared" si="208"/>
        <v>219560.92023257143</v>
      </c>
      <c r="P766" s="560">
        <f>IF(G766=0,0,VLOOKUP(YEAR(G766),INPC!$B$4:$P$30,MONTH(G766)+2))</f>
        <v>117.30800000000001</v>
      </c>
      <c r="Q766" s="560">
        <f>IF(X766=0,0,IF(OR(E766=$AT$10,E766=$AT$9),VLOOKUP(YEAR(X766),INPC!$B$4:$P$30,MONTH(X766)+1),VLOOKUP(YEAR(X766),INPC!$B$4:$P$30,MONTH(X766)+2,0)))</f>
        <v>122.044</v>
      </c>
      <c r="R766" s="309">
        <f t="shared" si="209"/>
        <v>1.0403</v>
      </c>
      <c r="S766" s="310">
        <f t="shared" si="210"/>
        <v>228409.22531794404</v>
      </c>
      <c r="T766" s="555">
        <f t="shared" si="211"/>
        <v>38068.204219657338</v>
      </c>
      <c r="U766" s="311"/>
      <c r="V766" s="312">
        <v>6</v>
      </c>
      <c r="W766" s="299" t="s">
        <v>194</v>
      </c>
      <c r="X766" s="300">
        <v>44769</v>
      </c>
      <c r="Y766" s="299" t="s">
        <v>59</v>
      </c>
      <c r="Z766" s="303">
        <v>8880.75</v>
      </c>
      <c r="AA766" s="305">
        <f>IF(Z766=0,0,IF(Y766="MXN",1/HLOOKUP(YEAR(X766)+(MONTH(X766)/100),TC!$5:$37,DAY(X766)+2,FALSE),VLOOKUP(Y766,Equivalencia!$1:$23,((MAX(Equivalencia!$3:$3)-YEAR(X766))*14)+MONTH(X766)+2,FALSE)))</f>
        <v>1</v>
      </c>
      <c r="AB766" s="306">
        <f t="shared" si="212"/>
        <v>8880.75</v>
      </c>
      <c r="AC766" s="305">
        <f>+IF(X766=0,0,HLOOKUP(YEAR(X766)+(MONTH(X766)/100),TC!$5:$37,DAY(X766)+2,FALSE))</f>
        <v>20.465199999999999</v>
      </c>
      <c r="AD766" s="307">
        <f t="shared" si="213"/>
        <v>181746.32490000001</v>
      </c>
      <c r="AE766" s="314">
        <f t="shared" si="214"/>
        <v>228409.22531794402</v>
      </c>
      <c r="AF766" s="315">
        <f t="shared" si="215"/>
        <v>-46662.900417944009</v>
      </c>
      <c r="AG766" s="316">
        <f t="shared" si="216"/>
        <v>0.63561643835616444</v>
      </c>
      <c r="AH766" s="314">
        <v>1</v>
      </c>
      <c r="AI766" s="314">
        <f t="shared" si="217"/>
        <v>-46662.900417944009</v>
      </c>
      <c r="AJ766" s="314">
        <f t="shared" si="218"/>
        <v>0</v>
      </c>
      <c r="AK766" s="317"/>
      <c r="AL766" s="315">
        <f t="shared" si="219"/>
        <v>-1370.6271428571436</v>
      </c>
      <c r="AN766" s="554">
        <f t="shared" si="220"/>
        <v>-0.13370175770112566</v>
      </c>
      <c r="AO766" s="314"/>
      <c r="AP766" s="318"/>
    </row>
    <row r="767" spans="2:42">
      <c r="B767" s="296" t="s">
        <v>1254</v>
      </c>
      <c r="C767" s="299" t="s">
        <v>277</v>
      </c>
      <c r="D767" s="298" t="s">
        <v>728</v>
      </c>
      <c r="E767" s="299" t="s">
        <v>113</v>
      </c>
      <c r="F767" s="299" t="s">
        <v>59</v>
      </c>
      <c r="G767" s="300">
        <v>44334</v>
      </c>
      <c r="H767" s="303">
        <v>1259.79</v>
      </c>
      <c r="I767" s="301" t="str">
        <f t="shared" si="204"/>
        <v>Ingresos Sección II LISR (SIC &amp; BMV)</v>
      </c>
      <c r="J767" s="302">
        <f t="shared" si="205"/>
        <v>7</v>
      </c>
      <c r="K767" s="304">
        <f t="shared" si="206"/>
        <v>179.97</v>
      </c>
      <c r="L767" s="305">
        <f>IF(H767=0,0,IF(OR(E767=$AT$5,E767=$AT$6),AA767,IF(F767="MXN",1/HLOOKUP(YEAR(G767)+(MONTH(G767)/100),TC!$5:$37,DAY(G767)+2,FALSE),VLOOKUP(F767,Equivalencia!$5:$23,((MAX(Equivalencia!$3:$3)-YEAR(G767))*14)+MONTH(G767)+2,FALSE))))</f>
        <v>1</v>
      </c>
      <c r="M767" s="306">
        <f t="shared" si="207"/>
        <v>1259.79</v>
      </c>
      <c r="N767" s="305">
        <f>IF(G767=0,0,(IF(OR(E767=$AT$5,E767=$AT$6),AC767,HLOOKUP(YEAR(G767)+(MONTH(G767)/100),TC!$5:$37,DAY(G767)+2,FALSE))))</f>
        <v>19.848700000000001</v>
      </c>
      <c r="O767" s="307">
        <f t="shared" si="208"/>
        <v>25005.193772999999</v>
      </c>
      <c r="P767" s="560">
        <f>IF(G767=0,0,VLOOKUP(YEAR(G767),INPC!$B$4:$P$30,MONTH(G767)+2))</f>
        <v>112.419</v>
      </c>
      <c r="Q767" s="560">
        <f>IF(X767=0,0,IF(OR(E767=$AT$10,E767=$AT$9),VLOOKUP(YEAR(X767),INPC!$B$4:$P$30,MONTH(X767)+1),VLOOKUP(YEAR(X767),INPC!$B$4:$P$30,MONTH(X767)+2,0)))</f>
        <v>122.044</v>
      </c>
      <c r="R767" s="309">
        <f t="shared" si="209"/>
        <v>1.0855999999999999</v>
      </c>
      <c r="S767" s="310">
        <f t="shared" si="210"/>
        <v>27145.638359968798</v>
      </c>
      <c r="T767" s="555">
        <f t="shared" si="211"/>
        <v>3877.9483371383999</v>
      </c>
      <c r="U767" s="311"/>
      <c r="V767" s="312">
        <v>7</v>
      </c>
      <c r="W767" s="299" t="s">
        <v>194</v>
      </c>
      <c r="X767" s="300">
        <v>44760</v>
      </c>
      <c r="Y767" s="299" t="s">
        <v>59</v>
      </c>
      <c r="Z767" s="303">
        <v>805.11316666666676</v>
      </c>
      <c r="AA767" s="305">
        <f>IF(Z767=0,0,IF(Y767="MXN",1/HLOOKUP(YEAR(X767)+(MONTH(X767)/100),TC!$5:$37,DAY(X767)+2,FALSE),VLOOKUP(Y767,Equivalencia!$1:$23,((MAX(Equivalencia!$3:$3)-YEAR(X767))*14)+MONTH(X767)+2,FALSE)))</f>
        <v>1</v>
      </c>
      <c r="AB767" s="306">
        <f t="shared" si="212"/>
        <v>805.11316666666676</v>
      </c>
      <c r="AC767" s="305">
        <f>+IF(X767=0,0,HLOOKUP(YEAR(X767)+(MONTH(X767)/100),TC!$5:$37,DAY(X767)+2,FALSE))</f>
        <v>20.941500000000001</v>
      </c>
      <c r="AD767" s="307">
        <f t="shared" si="213"/>
        <v>16860.277379750001</v>
      </c>
      <c r="AE767" s="314">
        <f t="shared" si="214"/>
        <v>27145.638359968798</v>
      </c>
      <c r="AF767" s="315">
        <f t="shared" si="215"/>
        <v>-10285.360980218797</v>
      </c>
      <c r="AG767" s="316">
        <f t="shared" si="216"/>
        <v>1.167123287671233</v>
      </c>
      <c r="AH767" s="314">
        <v>1</v>
      </c>
      <c r="AI767" s="314">
        <f t="shared" si="217"/>
        <v>-10285.360980218797</v>
      </c>
      <c r="AJ767" s="314">
        <f t="shared" si="218"/>
        <v>0</v>
      </c>
      <c r="AK767" s="317"/>
      <c r="AL767" s="315">
        <f t="shared" si="219"/>
        <v>-454.67683333333321</v>
      </c>
      <c r="AN767" s="554">
        <f t="shared" si="220"/>
        <v>-0.36091478209331174</v>
      </c>
      <c r="AO767" s="314"/>
      <c r="AP767" s="318"/>
    </row>
    <row r="768" spans="2:42">
      <c r="B768" s="296" t="s">
        <v>1254</v>
      </c>
      <c r="C768" s="299" t="s">
        <v>277</v>
      </c>
      <c r="D768" s="298" t="s">
        <v>728</v>
      </c>
      <c r="E768" s="299" t="s">
        <v>113</v>
      </c>
      <c r="F768" s="299" t="s">
        <v>59</v>
      </c>
      <c r="G768" s="300">
        <v>44348</v>
      </c>
      <c r="H768" s="303">
        <v>4542.46</v>
      </c>
      <c r="I768" s="301" t="str">
        <f t="shared" si="204"/>
        <v>Ingresos Sección II LISR (SIC &amp; BMV)</v>
      </c>
      <c r="J768" s="302">
        <f t="shared" si="205"/>
        <v>25</v>
      </c>
      <c r="K768" s="304">
        <f t="shared" si="206"/>
        <v>181.69839999999999</v>
      </c>
      <c r="L768" s="305">
        <f>IF(H768=0,0,IF(OR(E768=$AT$5,E768=$AT$6),AA768,IF(F768="MXN",1/HLOOKUP(YEAR(G768)+(MONTH(G768)/100),TC!$5:$37,DAY(G768)+2,FALSE),VLOOKUP(F768,Equivalencia!$5:$23,((MAX(Equivalencia!$3:$3)-YEAR(G768))*14)+MONTH(G768)+2,FALSE))))</f>
        <v>1</v>
      </c>
      <c r="M768" s="306">
        <f t="shared" si="207"/>
        <v>4542.46</v>
      </c>
      <c r="N768" s="305">
        <f>IF(G768=0,0,(IF(OR(E768=$AT$5,E768=$AT$6),AC768,HLOOKUP(YEAR(G768)+(MONTH(G768)/100),TC!$5:$37,DAY(G768)+2,FALSE))))</f>
        <v>19.944199999999999</v>
      </c>
      <c r="O768" s="307">
        <f t="shared" si="208"/>
        <v>90595.730731999996</v>
      </c>
      <c r="P768" s="560">
        <f>IF(G768=0,0,VLOOKUP(YEAR(G768),INPC!$B$4:$P$30,MONTH(G768)+2))</f>
        <v>113.018</v>
      </c>
      <c r="Q768" s="560">
        <f>IF(X768=0,0,IF(OR(E768=$AT$10,E768=$AT$9),VLOOKUP(YEAR(X768),INPC!$B$4:$P$30,MONTH(X768)+1),VLOOKUP(YEAR(X768),INPC!$B$4:$P$30,MONTH(X768)+2,0)))</f>
        <v>122.044</v>
      </c>
      <c r="R768" s="309">
        <f t="shared" si="209"/>
        <v>1.0798000000000001</v>
      </c>
      <c r="S768" s="310">
        <f t="shared" si="210"/>
        <v>97825.270044413599</v>
      </c>
      <c r="T768" s="555">
        <f t="shared" si="211"/>
        <v>3913.0108017765438</v>
      </c>
      <c r="U768" s="311"/>
      <c r="V768" s="312">
        <v>25</v>
      </c>
      <c r="W768" s="299" t="s">
        <v>194</v>
      </c>
      <c r="X768" s="300">
        <v>44760</v>
      </c>
      <c r="Y768" s="299" t="s">
        <v>59</v>
      </c>
      <c r="Z768" s="303">
        <v>2875.4041666666672</v>
      </c>
      <c r="AA768" s="305">
        <f>IF(Z768=0,0,IF(Y768="MXN",1/HLOOKUP(YEAR(X768)+(MONTH(X768)/100),TC!$5:$37,DAY(X768)+2,FALSE),VLOOKUP(Y768,Equivalencia!$1:$23,((MAX(Equivalencia!$3:$3)-YEAR(X768))*14)+MONTH(X768)+2,FALSE)))</f>
        <v>1</v>
      </c>
      <c r="AB768" s="306">
        <f t="shared" si="212"/>
        <v>2875.4041666666672</v>
      </c>
      <c r="AC768" s="305">
        <f>+IF(X768=0,0,HLOOKUP(YEAR(X768)+(MONTH(X768)/100),TC!$5:$37,DAY(X768)+2,FALSE))</f>
        <v>20.941500000000001</v>
      </c>
      <c r="AD768" s="307">
        <f t="shared" si="213"/>
        <v>60215.276356250011</v>
      </c>
      <c r="AE768" s="314">
        <f t="shared" si="214"/>
        <v>97825.270044413599</v>
      </c>
      <c r="AF768" s="315">
        <f t="shared" si="215"/>
        <v>-37609.993688163588</v>
      </c>
      <c r="AG768" s="316">
        <f t="shared" si="216"/>
        <v>1.1287671232876713</v>
      </c>
      <c r="AH768" s="314">
        <v>1</v>
      </c>
      <c r="AI768" s="314">
        <f t="shared" si="217"/>
        <v>-37609.993688163588</v>
      </c>
      <c r="AJ768" s="314">
        <f t="shared" si="218"/>
        <v>0</v>
      </c>
      <c r="AK768" s="317"/>
      <c r="AL768" s="315">
        <f t="shared" si="219"/>
        <v>-1667.0558333333329</v>
      </c>
      <c r="AN768" s="554">
        <f t="shared" si="220"/>
        <v>-0.36699405901941523</v>
      </c>
      <c r="AO768" s="314"/>
      <c r="AP768" s="318"/>
    </row>
    <row r="769" spans="2:42">
      <c r="B769" s="296" t="s">
        <v>1254</v>
      </c>
      <c r="C769" s="299" t="s">
        <v>277</v>
      </c>
      <c r="D769" s="298" t="s">
        <v>728</v>
      </c>
      <c r="E769" s="299" t="s">
        <v>113</v>
      </c>
      <c r="F769" s="299" t="s">
        <v>59</v>
      </c>
      <c r="G769" s="300">
        <v>44403</v>
      </c>
      <c r="H769" s="303">
        <v>4598.7030303030306</v>
      </c>
      <c r="I769" s="301" t="str">
        <f t="shared" si="204"/>
        <v>Ingresos Sección II LISR (SIC &amp; BMV)</v>
      </c>
      <c r="J769" s="302">
        <f t="shared" si="205"/>
        <v>28</v>
      </c>
      <c r="K769" s="304">
        <f t="shared" si="206"/>
        <v>164.23939393939395</v>
      </c>
      <c r="L769" s="305">
        <f>IF(H769=0,0,IF(OR(E769=$AT$5,E769=$AT$6),AA769,IF(F769="MXN",1/HLOOKUP(YEAR(G769)+(MONTH(G769)/100),TC!$5:$37,DAY(G769)+2,FALSE),VLOOKUP(F769,Equivalencia!$5:$23,((MAX(Equivalencia!$3:$3)-YEAR(G769))*14)+MONTH(G769)+2,FALSE))))</f>
        <v>1</v>
      </c>
      <c r="M769" s="306">
        <f t="shared" si="207"/>
        <v>4598.7030303030306</v>
      </c>
      <c r="N769" s="305">
        <f>IF(G769=0,0,(IF(OR(E769=$AT$5,E769=$AT$6),AC769,HLOOKUP(YEAR(G769)+(MONTH(G769)/100),TC!$5:$37,DAY(G769)+2,FALSE))))</f>
        <v>20.1812</v>
      </c>
      <c r="O769" s="307">
        <f t="shared" si="208"/>
        <v>92807.345595151521</v>
      </c>
      <c r="P769" s="560">
        <f>IF(G769=0,0,VLOOKUP(YEAR(G769),INPC!$B$4:$P$30,MONTH(G769)+2))</f>
        <v>113.682</v>
      </c>
      <c r="Q769" s="560">
        <f>IF(X769=0,0,IF(OR(E769=$AT$10,E769=$AT$9),VLOOKUP(YEAR(X769),INPC!$B$4:$P$30,MONTH(X769)+1),VLOOKUP(YEAR(X769),INPC!$B$4:$P$30,MONTH(X769)+2,0)))</f>
        <v>122.044</v>
      </c>
      <c r="R769" s="309">
        <f t="shared" si="209"/>
        <v>1.0734999999999999</v>
      </c>
      <c r="S769" s="310">
        <f t="shared" si="210"/>
        <v>99628.685496395148</v>
      </c>
      <c r="T769" s="555">
        <f t="shared" si="211"/>
        <v>3558.1673391569698</v>
      </c>
      <c r="U769" s="311"/>
      <c r="V769" s="312">
        <v>28</v>
      </c>
      <c r="W769" s="299" t="s">
        <v>194</v>
      </c>
      <c r="X769" s="300">
        <v>44760</v>
      </c>
      <c r="Y769" s="299" t="s">
        <v>59</v>
      </c>
      <c r="Z769" s="303">
        <v>3220.452666666667</v>
      </c>
      <c r="AA769" s="305">
        <f>IF(Z769=0,0,IF(Y769="MXN",1/HLOOKUP(YEAR(X769)+(MONTH(X769)/100),TC!$5:$37,DAY(X769)+2,FALSE),VLOOKUP(Y769,Equivalencia!$1:$23,((MAX(Equivalencia!$3:$3)-YEAR(X769))*14)+MONTH(X769)+2,FALSE)))</f>
        <v>1</v>
      </c>
      <c r="AB769" s="306">
        <f t="shared" si="212"/>
        <v>3220.452666666667</v>
      </c>
      <c r="AC769" s="305">
        <f>+IF(X769=0,0,HLOOKUP(YEAR(X769)+(MONTH(X769)/100),TC!$5:$37,DAY(X769)+2,FALSE))</f>
        <v>20.941500000000001</v>
      </c>
      <c r="AD769" s="307">
        <f t="shared" si="213"/>
        <v>67441.109519000005</v>
      </c>
      <c r="AE769" s="314">
        <f t="shared" si="214"/>
        <v>99628.685496395148</v>
      </c>
      <c r="AF769" s="315">
        <f t="shared" si="215"/>
        <v>-32187.575977395143</v>
      </c>
      <c r="AG769" s="316">
        <f t="shared" si="216"/>
        <v>0.9780821917808219</v>
      </c>
      <c r="AH769" s="314">
        <v>1</v>
      </c>
      <c r="AI769" s="314">
        <f t="shared" si="217"/>
        <v>-32187.575977395143</v>
      </c>
      <c r="AJ769" s="314">
        <f t="shared" si="218"/>
        <v>0</v>
      </c>
      <c r="AK769" s="317"/>
      <c r="AL769" s="315">
        <f t="shared" si="219"/>
        <v>-1378.2503636363635</v>
      </c>
      <c r="AN769" s="554">
        <f t="shared" si="220"/>
        <v>-0.29970414583294891</v>
      </c>
      <c r="AO769" s="314"/>
      <c r="AP769" s="318"/>
    </row>
    <row r="770" spans="2:42">
      <c r="B770" s="296" t="s">
        <v>1254</v>
      </c>
      <c r="C770" s="299" t="s">
        <v>277</v>
      </c>
      <c r="D770" s="298" t="s">
        <v>728</v>
      </c>
      <c r="E770" s="299" t="s">
        <v>113</v>
      </c>
      <c r="F770" s="299" t="s">
        <v>59</v>
      </c>
      <c r="G770" s="300">
        <v>44403</v>
      </c>
      <c r="H770" s="303">
        <v>8211.9696969696979</v>
      </c>
      <c r="I770" s="301" t="str">
        <f t="shared" si="204"/>
        <v>Ingresos Sección II LISR (SIC &amp; BMV)</v>
      </c>
      <c r="J770" s="302">
        <f t="shared" si="205"/>
        <v>50</v>
      </c>
      <c r="K770" s="304">
        <f t="shared" si="206"/>
        <v>164.23939393939395</v>
      </c>
      <c r="L770" s="305">
        <f>IF(H770=0,0,IF(OR(E770=$AT$5,E770=$AT$6),AA770,IF(F770="MXN",1/HLOOKUP(YEAR(G770)+(MONTH(G770)/100),TC!$5:$37,DAY(G770)+2,FALSE),VLOOKUP(F770,Equivalencia!$5:$23,((MAX(Equivalencia!$3:$3)-YEAR(G770))*14)+MONTH(G770)+2,FALSE))))</f>
        <v>1</v>
      </c>
      <c r="M770" s="306">
        <f t="shared" si="207"/>
        <v>8211.9696969696979</v>
      </c>
      <c r="N770" s="305">
        <f>IF(G770=0,0,(IF(OR(E770=$AT$5,E770=$AT$6),AC770,HLOOKUP(YEAR(G770)+(MONTH(G770)/100),TC!$5:$37,DAY(G770)+2,FALSE))))</f>
        <v>20.1812</v>
      </c>
      <c r="O770" s="307">
        <f t="shared" si="208"/>
        <v>165727.40284848487</v>
      </c>
      <c r="P770" s="560">
        <f>IF(G770=0,0,VLOOKUP(YEAR(G770),INPC!$B$4:$P$30,MONTH(G770)+2))</f>
        <v>113.682</v>
      </c>
      <c r="Q770" s="560">
        <f>IF(X770=0,0,IF(OR(E770=$AT$10,E770=$AT$9),VLOOKUP(YEAR(X770),INPC!$B$4:$P$30,MONTH(X770)+1),VLOOKUP(YEAR(X770),INPC!$B$4:$P$30,MONTH(X770)+2,0)))</f>
        <v>122.044</v>
      </c>
      <c r="R770" s="309">
        <f t="shared" si="209"/>
        <v>1.0734999999999999</v>
      </c>
      <c r="S770" s="310">
        <f t="shared" si="210"/>
        <v>177908.36695784848</v>
      </c>
      <c r="T770" s="555">
        <f t="shared" si="211"/>
        <v>3558.1673391569698</v>
      </c>
      <c r="U770" s="311"/>
      <c r="V770" s="312">
        <v>50</v>
      </c>
      <c r="W770" s="299" t="s">
        <v>194</v>
      </c>
      <c r="X770" s="300">
        <v>44760</v>
      </c>
      <c r="Y770" s="299" t="s">
        <v>59</v>
      </c>
      <c r="Z770" s="303">
        <v>5847.08</v>
      </c>
      <c r="AA770" s="305">
        <f>IF(Z770=0,0,IF(Y770="MXN",1/HLOOKUP(YEAR(X770)+(MONTH(X770)/100),TC!$5:$37,DAY(X770)+2,FALSE),VLOOKUP(Y770,Equivalencia!$1:$23,((MAX(Equivalencia!$3:$3)-YEAR(X770))*14)+MONTH(X770)+2,FALSE)))</f>
        <v>1</v>
      </c>
      <c r="AB770" s="306">
        <f t="shared" si="212"/>
        <v>5847.08</v>
      </c>
      <c r="AC770" s="305">
        <f>+IF(X770=0,0,HLOOKUP(YEAR(X770)+(MONTH(X770)/100),TC!$5:$37,DAY(X770)+2,FALSE))</f>
        <v>20.941500000000001</v>
      </c>
      <c r="AD770" s="307">
        <f t="shared" si="213"/>
        <v>122446.62582</v>
      </c>
      <c r="AE770" s="314">
        <f t="shared" si="214"/>
        <v>177908.36695784848</v>
      </c>
      <c r="AF770" s="315">
        <f t="shared" si="215"/>
        <v>-55461.741137848483</v>
      </c>
      <c r="AG770" s="316">
        <f t="shared" si="216"/>
        <v>0.9780821917808219</v>
      </c>
      <c r="AH770" s="314">
        <v>1</v>
      </c>
      <c r="AI770" s="314">
        <f t="shared" si="217"/>
        <v>-55461.741137848483</v>
      </c>
      <c r="AJ770" s="314">
        <f t="shared" si="218"/>
        <v>0</v>
      </c>
      <c r="AK770" s="317"/>
      <c r="AL770" s="315">
        <f t="shared" si="219"/>
        <v>-2364.889696969698</v>
      </c>
      <c r="AN770" s="554">
        <f t="shared" si="220"/>
        <v>-0.28798081145408594</v>
      </c>
      <c r="AO770" s="314"/>
      <c r="AP770" s="318"/>
    </row>
    <row r="771" spans="2:42">
      <c r="B771" s="296" t="s">
        <v>1254</v>
      </c>
      <c r="C771" s="299" t="s">
        <v>277</v>
      </c>
      <c r="D771" s="298" t="s">
        <v>728</v>
      </c>
      <c r="E771" s="299" t="s">
        <v>113</v>
      </c>
      <c r="F771" s="299" t="s">
        <v>59</v>
      </c>
      <c r="G771" s="300">
        <v>44403</v>
      </c>
      <c r="H771" s="303">
        <v>3449.0272727272732</v>
      </c>
      <c r="I771" s="301" t="str">
        <f t="shared" si="204"/>
        <v>Ingresos Sección II LISR (SIC &amp; BMV)</v>
      </c>
      <c r="J771" s="302">
        <f t="shared" si="205"/>
        <v>21</v>
      </c>
      <c r="K771" s="304">
        <f t="shared" si="206"/>
        <v>164.23939393939395</v>
      </c>
      <c r="L771" s="305">
        <f>IF(H771=0,0,IF(OR(E771=$AT$5,E771=$AT$6),AA771,IF(F771="MXN",1/HLOOKUP(YEAR(G771)+(MONTH(G771)/100),TC!$5:$37,DAY(G771)+2,FALSE),VLOOKUP(F771,Equivalencia!$5:$23,((MAX(Equivalencia!$3:$3)-YEAR(G771))*14)+MONTH(G771)+2,FALSE))))</f>
        <v>1</v>
      </c>
      <c r="M771" s="306">
        <f t="shared" si="207"/>
        <v>3449.0272727272732</v>
      </c>
      <c r="N771" s="305">
        <f>IF(G771=0,0,(IF(OR(E771=$AT$5,E771=$AT$6),AC771,HLOOKUP(YEAR(G771)+(MONTH(G771)/100),TC!$5:$37,DAY(G771)+2,FALSE))))</f>
        <v>20.1812</v>
      </c>
      <c r="O771" s="307">
        <f t="shared" si="208"/>
        <v>69605.509196363651</v>
      </c>
      <c r="P771" s="560">
        <f>IF(G771=0,0,VLOOKUP(YEAR(G771),INPC!$B$4:$P$30,MONTH(G771)+2))</f>
        <v>113.682</v>
      </c>
      <c r="Q771" s="560">
        <f>IF(X771=0,0,IF(OR(E771=$AT$10,E771=$AT$9),VLOOKUP(YEAR(X771),INPC!$B$4:$P$30,MONTH(X771)+1),VLOOKUP(YEAR(X771),INPC!$B$4:$P$30,MONTH(X771)+2,0)))</f>
        <v>122.044</v>
      </c>
      <c r="R771" s="309">
        <f t="shared" si="209"/>
        <v>1.0734999999999999</v>
      </c>
      <c r="S771" s="310">
        <f t="shared" si="210"/>
        <v>74721.514122296372</v>
      </c>
      <c r="T771" s="555">
        <f t="shared" si="211"/>
        <v>3558.1673391569702</v>
      </c>
      <c r="U771" s="311"/>
      <c r="V771" s="312">
        <v>21</v>
      </c>
      <c r="W771" s="299" t="s">
        <v>194</v>
      </c>
      <c r="X771" s="300">
        <v>44760</v>
      </c>
      <c r="Y771" s="299" t="s">
        <v>59</v>
      </c>
      <c r="Z771" s="303">
        <v>2469.0708</v>
      </c>
      <c r="AA771" s="305">
        <f>IF(Z771=0,0,IF(Y771="MXN",1/HLOOKUP(YEAR(X771)+(MONTH(X771)/100),TC!$5:$37,DAY(X771)+2,FALSE),VLOOKUP(Y771,Equivalencia!$1:$23,((MAX(Equivalencia!$3:$3)-YEAR(X771))*14)+MONTH(X771)+2,FALSE)))</f>
        <v>1</v>
      </c>
      <c r="AB771" s="306">
        <f t="shared" si="212"/>
        <v>2469.0708</v>
      </c>
      <c r="AC771" s="305">
        <f>+IF(X771=0,0,HLOOKUP(YEAR(X771)+(MONTH(X771)/100),TC!$5:$37,DAY(X771)+2,FALSE))</f>
        <v>20.941500000000001</v>
      </c>
      <c r="AD771" s="307">
        <f t="shared" si="213"/>
        <v>51706.046158199999</v>
      </c>
      <c r="AE771" s="314">
        <f t="shared" si="214"/>
        <v>74721.514122296372</v>
      </c>
      <c r="AF771" s="315">
        <f t="shared" si="215"/>
        <v>-23015.467964096373</v>
      </c>
      <c r="AG771" s="316">
        <f t="shared" si="216"/>
        <v>0.9780821917808219</v>
      </c>
      <c r="AH771" s="314">
        <v>1</v>
      </c>
      <c r="AI771" s="314">
        <f t="shared" si="217"/>
        <v>-23015.467964096373</v>
      </c>
      <c r="AJ771" s="314">
        <f t="shared" si="218"/>
        <v>0</v>
      </c>
      <c r="AK771" s="317"/>
      <c r="AL771" s="315">
        <f t="shared" si="219"/>
        <v>-979.95647272727319</v>
      </c>
      <c r="AN771" s="554">
        <f t="shared" si="220"/>
        <v>-0.28412546356943863</v>
      </c>
      <c r="AO771" s="314"/>
      <c r="AP771" s="318"/>
    </row>
    <row r="772" spans="2:42">
      <c r="B772" s="296" t="s">
        <v>1254</v>
      </c>
      <c r="C772" s="299" t="s">
        <v>277</v>
      </c>
      <c r="D772" s="298" t="s">
        <v>728</v>
      </c>
      <c r="E772" s="299" t="s">
        <v>113</v>
      </c>
      <c r="F772" s="299" t="s">
        <v>59</v>
      </c>
      <c r="G772" s="300">
        <v>44418</v>
      </c>
      <c r="H772" s="303">
        <v>668.18857142857144</v>
      </c>
      <c r="I772" s="301" t="str">
        <f t="shared" si="204"/>
        <v>Ingresos Sección II LISR (SIC &amp; BMV)</v>
      </c>
      <c r="J772" s="302">
        <f t="shared" si="205"/>
        <v>4</v>
      </c>
      <c r="K772" s="304">
        <f t="shared" si="206"/>
        <v>167.04714285714286</v>
      </c>
      <c r="L772" s="305">
        <f>IF(H772=0,0,IF(OR(E772=$AT$5,E772=$AT$6),AA772,IF(F772="MXN",1/HLOOKUP(YEAR(G772)+(MONTH(G772)/100),TC!$5:$37,DAY(G772)+2,FALSE),VLOOKUP(F772,Equivalencia!$5:$23,((MAX(Equivalencia!$3:$3)-YEAR(G772))*14)+MONTH(G772)+2,FALSE))))</f>
        <v>1</v>
      </c>
      <c r="M772" s="306">
        <f t="shared" si="207"/>
        <v>668.18857142857144</v>
      </c>
      <c r="N772" s="305">
        <f>IF(G772=0,0,(IF(OR(E772=$AT$5,E772=$AT$6),AC772,HLOOKUP(YEAR(G772)+(MONTH(G772)/100),TC!$5:$37,DAY(G772)+2,FALSE))))</f>
        <v>20.003699999999998</v>
      </c>
      <c r="O772" s="307">
        <f t="shared" si="208"/>
        <v>13366.243726285713</v>
      </c>
      <c r="P772" s="560">
        <f>IF(G772=0,0,VLOOKUP(YEAR(G772),INPC!$B$4:$P$30,MONTH(G772)+2))</f>
        <v>113.899</v>
      </c>
      <c r="Q772" s="560">
        <f>IF(X772=0,0,IF(OR(E772=$AT$10,E772=$AT$9),VLOOKUP(YEAR(X772),INPC!$B$4:$P$30,MONTH(X772)+1),VLOOKUP(YEAR(X772),INPC!$B$4:$P$30,MONTH(X772)+2,0)))</f>
        <v>122.044</v>
      </c>
      <c r="R772" s="309">
        <f t="shared" si="209"/>
        <v>1.0714999999999999</v>
      </c>
      <c r="S772" s="310">
        <f t="shared" si="210"/>
        <v>14321.93015271514</v>
      </c>
      <c r="T772" s="555">
        <f t="shared" si="211"/>
        <v>3580.482538178785</v>
      </c>
      <c r="U772" s="311"/>
      <c r="V772" s="312">
        <v>4</v>
      </c>
      <c r="W772" s="299" t="s">
        <v>194</v>
      </c>
      <c r="X772" s="300">
        <v>44760</v>
      </c>
      <c r="Y772" s="299" t="s">
        <v>59</v>
      </c>
      <c r="Z772" s="303">
        <v>470.29919999999998</v>
      </c>
      <c r="AA772" s="305">
        <f>IF(Z772=0,0,IF(Y772="MXN",1/HLOOKUP(YEAR(X772)+(MONTH(X772)/100),TC!$5:$37,DAY(X772)+2,FALSE),VLOOKUP(Y772,Equivalencia!$1:$23,((MAX(Equivalencia!$3:$3)-YEAR(X772))*14)+MONTH(X772)+2,FALSE)))</f>
        <v>1</v>
      </c>
      <c r="AB772" s="306">
        <f t="shared" si="212"/>
        <v>470.29919999999998</v>
      </c>
      <c r="AC772" s="305">
        <f>+IF(X772=0,0,HLOOKUP(YEAR(X772)+(MONTH(X772)/100),TC!$5:$37,DAY(X772)+2,FALSE))</f>
        <v>20.941500000000001</v>
      </c>
      <c r="AD772" s="307">
        <f t="shared" si="213"/>
        <v>9848.7706968000002</v>
      </c>
      <c r="AE772" s="314">
        <f t="shared" si="214"/>
        <v>14321.93015271514</v>
      </c>
      <c r="AF772" s="315">
        <f t="shared" si="215"/>
        <v>-4473.1594559151399</v>
      </c>
      <c r="AG772" s="316">
        <f t="shared" si="216"/>
        <v>0.93698630136986305</v>
      </c>
      <c r="AH772" s="314">
        <v>1</v>
      </c>
      <c r="AI772" s="314">
        <f t="shared" si="217"/>
        <v>-4473.1594559151399</v>
      </c>
      <c r="AJ772" s="314">
        <f t="shared" si="218"/>
        <v>0</v>
      </c>
      <c r="AK772" s="317"/>
      <c r="AL772" s="315">
        <f t="shared" si="219"/>
        <v>-197.88937142857145</v>
      </c>
      <c r="AN772" s="554">
        <f t="shared" si="220"/>
        <v>-0.29615797080379364</v>
      </c>
      <c r="AO772" s="314"/>
      <c r="AP772" s="318"/>
    </row>
    <row r="773" spans="2:42">
      <c r="B773" s="296" t="s">
        <v>1254</v>
      </c>
      <c r="C773" s="299" t="s">
        <v>277</v>
      </c>
      <c r="D773" s="298" t="s">
        <v>728</v>
      </c>
      <c r="E773" s="299" t="s">
        <v>113</v>
      </c>
      <c r="F773" s="299" t="s">
        <v>59</v>
      </c>
      <c r="G773" s="300">
        <v>44418</v>
      </c>
      <c r="H773" s="303">
        <v>2839.8014285714285</v>
      </c>
      <c r="I773" s="301" t="str">
        <f t="shared" si="204"/>
        <v>Ingresos Sección II LISR (SIC &amp; BMV)</v>
      </c>
      <c r="J773" s="302">
        <f t="shared" si="205"/>
        <v>17</v>
      </c>
      <c r="K773" s="304">
        <f t="shared" si="206"/>
        <v>167.04714285714286</v>
      </c>
      <c r="L773" s="305">
        <f>IF(H773=0,0,IF(OR(E773=$AT$5,E773=$AT$6),AA773,IF(F773="MXN",1/HLOOKUP(YEAR(G773)+(MONTH(G773)/100),TC!$5:$37,DAY(G773)+2,FALSE),VLOOKUP(F773,Equivalencia!$5:$23,((MAX(Equivalencia!$3:$3)-YEAR(G773))*14)+MONTH(G773)+2,FALSE))))</f>
        <v>1</v>
      </c>
      <c r="M773" s="306">
        <f t="shared" si="207"/>
        <v>2839.8014285714285</v>
      </c>
      <c r="N773" s="305">
        <f>IF(G773=0,0,(IF(OR(E773=$AT$5,E773=$AT$6),AC773,HLOOKUP(YEAR(G773)+(MONTH(G773)/100),TC!$5:$37,DAY(G773)+2,FALSE))))</f>
        <v>20.003699999999998</v>
      </c>
      <c r="O773" s="307">
        <f t="shared" si="208"/>
        <v>56806.535836714276</v>
      </c>
      <c r="P773" s="560">
        <f>IF(G773=0,0,VLOOKUP(YEAR(G773),INPC!$B$4:$P$30,MONTH(G773)+2))</f>
        <v>113.899</v>
      </c>
      <c r="Q773" s="560">
        <f>IF(X773=0,0,IF(OR(E773=$AT$10,E773=$AT$9),VLOOKUP(YEAR(X773),INPC!$B$4:$P$30,MONTH(X773)+1),VLOOKUP(YEAR(X773),INPC!$B$4:$P$30,MONTH(X773)+2,0)))</f>
        <v>122.044</v>
      </c>
      <c r="R773" s="309">
        <f t="shared" si="209"/>
        <v>1.0714999999999999</v>
      </c>
      <c r="S773" s="310">
        <f t="shared" si="210"/>
        <v>60868.203149039342</v>
      </c>
      <c r="T773" s="555">
        <f t="shared" si="211"/>
        <v>3580.482538178785</v>
      </c>
      <c r="U773" s="311"/>
      <c r="V773" s="312">
        <v>17</v>
      </c>
      <c r="W773" s="299" t="s">
        <v>194</v>
      </c>
      <c r="X773" s="300">
        <v>44760</v>
      </c>
      <c r="Y773" s="299" t="s">
        <v>59</v>
      </c>
      <c r="Z773" s="303">
        <v>2000.34</v>
      </c>
      <c r="AA773" s="305">
        <f>IF(Z773=0,0,IF(Y773="MXN",1/HLOOKUP(YEAR(X773)+(MONTH(X773)/100),TC!$5:$37,DAY(X773)+2,FALSE),VLOOKUP(Y773,Equivalencia!$1:$23,((MAX(Equivalencia!$3:$3)-YEAR(X773))*14)+MONTH(X773)+2,FALSE)))</f>
        <v>1</v>
      </c>
      <c r="AB773" s="306">
        <f t="shared" si="212"/>
        <v>2000.34</v>
      </c>
      <c r="AC773" s="305">
        <f>+IF(X773=0,0,HLOOKUP(YEAR(X773)+(MONTH(X773)/100),TC!$5:$37,DAY(X773)+2,FALSE))</f>
        <v>20.941500000000001</v>
      </c>
      <c r="AD773" s="307">
        <f t="shared" si="213"/>
        <v>41890.120110000003</v>
      </c>
      <c r="AE773" s="314">
        <f t="shared" si="214"/>
        <v>60868.203149039342</v>
      </c>
      <c r="AF773" s="315">
        <f t="shared" si="215"/>
        <v>-18978.083039039338</v>
      </c>
      <c r="AG773" s="316">
        <f t="shared" si="216"/>
        <v>0.93698630136986305</v>
      </c>
      <c r="AH773" s="314">
        <v>1</v>
      </c>
      <c r="AI773" s="314">
        <f t="shared" si="217"/>
        <v>-18978.083039039338</v>
      </c>
      <c r="AJ773" s="314">
        <f t="shared" si="218"/>
        <v>0</v>
      </c>
      <c r="AK773" s="317"/>
      <c r="AL773" s="315">
        <f t="shared" si="219"/>
        <v>-839.46142857142854</v>
      </c>
      <c r="AN773" s="554">
        <f t="shared" si="220"/>
        <v>-0.29560567866666732</v>
      </c>
      <c r="AO773" s="314"/>
      <c r="AP773" s="318"/>
    </row>
    <row r="774" spans="2:42">
      <c r="B774" s="296" t="s">
        <v>1254</v>
      </c>
      <c r="C774" s="299" t="s">
        <v>277</v>
      </c>
      <c r="D774" s="298" t="s">
        <v>728</v>
      </c>
      <c r="E774" s="299" t="s">
        <v>113</v>
      </c>
      <c r="F774" s="299" t="s">
        <v>59</v>
      </c>
      <c r="G774" s="300">
        <v>44418</v>
      </c>
      <c r="H774" s="303">
        <v>1503.1384615384613</v>
      </c>
      <c r="I774" s="301" t="str">
        <f t="shared" si="204"/>
        <v>Ingresos Sección II LISR (SIC &amp; BMV)</v>
      </c>
      <c r="J774" s="302">
        <f t="shared" si="205"/>
        <v>9</v>
      </c>
      <c r="K774" s="304">
        <f t="shared" si="206"/>
        <v>167.01538461538459</v>
      </c>
      <c r="L774" s="305">
        <f>IF(H774=0,0,IF(OR(E774=$AT$5,E774=$AT$6),AA774,IF(F774="MXN",1/HLOOKUP(YEAR(G774)+(MONTH(G774)/100),TC!$5:$37,DAY(G774)+2,FALSE),VLOOKUP(F774,Equivalencia!$5:$23,((MAX(Equivalencia!$3:$3)-YEAR(G774))*14)+MONTH(G774)+2,FALSE))))</f>
        <v>1</v>
      </c>
      <c r="M774" s="306">
        <f t="shared" si="207"/>
        <v>1503.1384615384613</v>
      </c>
      <c r="N774" s="305">
        <f>IF(G774=0,0,(IF(OR(E774=$AT$5,E774=$AT$6),AC774,HLOOKUP(YEAR(G774)+(MONTH(G774)/100),TC!$5:$37,DAY(G774)+2,FALSE))))</f>
        <v>20.003699999999998</v>
      </c>
      <c r="O774" s="307">
        <f t="shared" si="208"/>
        <v>30068.330843076918</v>
      </c>
      <c r="P774" s="560">
        <f>IF(G774=0,0,VLOOKUP(YEAR(G774),INPC!$B$4:$P$30,MONTH(G774)+2))</f>
        <v>113.899</v>
      </c>
      <c r="Q774" s="560">
        <f>IF(X774=0,0,IF(OR(E774=$AT$10,E774=$AT$9),VLOOKUP(YEAR(X774),INPC!$B$4:$P$30,MONTH(X774)+1),VLOOKUP(YEAR(X774),INPC!$B$4:$P$30,MONTH(X774)+2,0)))</f>
        <v>122.044</v>
      </c>
      <c r="R774" s="309">
        <f t="shared" si="209"/>
        <v>1.0714999999999999</v>
      </c>
      <c r="S774" s="310">
        <f t="shared" si="210"/>
        <v>32218.216498356913</v>
      </c>
      <c r="T774" s="555">
        <f t="shared" si="211"/>
        <v>3579.8018331507683</v>
      </c>
      <c r="U774" s="311"/>
      <c r="V774" s="312">
        <v>9</v>
      </c>
      <c r="W774" s="299" t="s">
        <v>194</v>
      </c>
      <c r="X774" s="300">
        <v>44760</v>
      </c>
      <c r="Y774" s="299" t="s">
        <v>59</v>
      </c>
      <c r="Z774" s="303">
        <v>1057.3900000000001</v>
      </c>
      <c r="AA774" s="305">
        <f>IF(Z774=0,0,IF(Y774="MXN",1/HLOOKUP(YEAR(X774)+(MONTH(X774)/100),TC!$5:$37,DAY(X774)+2,FALSE),VLOOKUP(Y774,Equivalencia!$1:$23,((MAX(Equivalencia!$3:$3)-YEAR(X774))*14)+MONTH(X774)+2,FALSE)))</f>
        <v>1</v>
      </c>
      <c r="AB774" s="306">
        <f t="shared" si="212"/>
        <v>1057.3900000000001</v>
      </c>
      <c r="AC774" s="305">
        <f>+IF(X774=0,0,HLOOKUP(YEAR(X774)+(MONTH(X774)/100),TC!$5:$37,DAY(X774)+2,FALSE))</f>
        <v>20.941500000000001</v>
      </c>
      <c r="AD774" s="307">
        <f t="shared" si="213"/>
        <v>22143.332685000005</v>
      </c>
      <c r="AE774" s="314">
        <f t="shared" si="214"/>
        <v>32218.216498356916</v>
      </c>
      <c r="AF774" s="315">
        <f t="shared" si="215"/>
        <v>-10074.883813356912</v>
      </c>
      <c r="AG774" s="316">
        <f t="shared" si="216"/>
        <v>0.93698630136986305</v>
      </c>
      <c r="AH774" s="314">
        <v>1</v>
      </c>
      <c r="AI774" s="314">
        <f t="shared" si="217"/>
        <v>-10074.883813356912</v>
      </c>
      <c r="AJ774" s="314">
        <f t="shared" si="218"/>
        <v>0</v>
      </c>
      <c r="AK774" s="317"/>
      <c r="AL774" s="315">
        <f t="shared" si="219"/>
        <v>-445.74846153846124</v>
      </c>
      <c r="AN774" s="554">
        <f t="shared" si="220"/>
        <v>-0.29654517727012186</v>
      </c>
      <c r="AO774" s="314"/>
      <c r="AP774" s="318"/>
    </row>
    <row r="775" spans="2:42">
      <c r="B775" s="296" t="s">
        <v>1254</v>
      </c>
      <c r="C775" s="299" t="s">
        <v>277</v>
      </c>
      <c r="D775" s="298" t="s">
        <v>950</v>
      </c>
      <c r="E775" s="299" t="s">
        <v>113</v>
      </c>
      <c r="F775" s="299" t="s">
        <v>59</v>
      </c>
      <c r="G775" s="300">
        <v>44356</v>
      </c>
      <c r="H775" s="303">
        <v>1161.2948148148148</v>
      </c>
      <c r="I775" s="301" t="str">
        <f t="shared" si="204"/>
        <v>Ingresos Sección II LISR (SIC &amp; BMV)</v>
      </c>
      <c r="J775" s="302">
        <f t="shared" si="205"/>
        <v>26</v>
      </c>
      <c r="K775" s="304">
        <f t="shared" si="206"/>
        <v>44.665185185185187</v>
      </c>
      <c r="L775" s="305">
        <f>IF(H775=0,0,IF(OR(E775=$AT$5,E775=$AT$6),AA775,IF(F775="MXN",1/HLOOKUP(YEAR(G775)+(MONTH(G775)/100),TC!$5:$37,DAY(G775)+2,FALSE),VLOOKUP(F775,Equivalencia!$5:$23,((MAX(Equivalencia!$3:$3)-YEAR(G775))*14)+MONTH(G775)+2,FALSE))))</f>
        <v>1</v>
      </c>
      <c r="M775" s="306">
        <f t="shared" si="207"/>
        <v>1161.2948148148148</v>
      </c>
      <c r="N775" s="305">
        <f>IF(G775=0,0,(IF(OR(E775=$AT$5,E775=$AT$6),AC775,HLOOKUP(YEAR(G775)+(MONTH(G775)/100),TC!$5:$37,DAY(G775)+2,FALSE))))</f>
        <v>19.797000000000001</v>
      </c>
      <c r="O775" s="307">
        <f t="shared" si="208"/>
        <v>22990.15344888889</v>
      </c>
      <c r="P775" s="560">
        <f>IF(G775=0,0,VLOOKUP(YEAR(G775),INPC!$B$4:$P$30,MONTH(G775)+2))</f>
        <v>113.018</v>
      </c>
      <c r="Q775" s="560">
        <f>IF(X775=0,0,IF(OR(E775=$AT$10,E775=$AT$9),VLOOKUP(YEAR(X775),INPC!$B$4:$P$30,MONTH(X775)+1),VLOOKUP(YEAR(X775),INPC!$B$4:$P$30,MONTH(X775)+2,0)))</f>
        <v>122.044</v>
      </c>
      <c r="R775" s="309">
        <f t="shared" si="209"/>
        <v>1.0798000000000001</v>
      </c>
      <c r="S775" s="310">
        <f t="shared" si="210"/>
        <v>24824.767694110225</v>
      </c>
      <c r="T775" s="555">
        <f t="shared" si="211"/>
        <v>954.79875746577795</v>
      </c>
      <c r="U775" s="311"/>
      <c r="V775" s="312">
        <v>26</v>
      </c>
      <c r="W775" s="299" t="s">
        <v>194</v>
      </c>
      <c r="X775" s="300">
        <v>44760</v>
      </c>
      <c r="Y775" s="299" t="s">
        <v>59</v>
      </c>
      <c r="Z775" s="303">
        <v>829.63006060606062</v>
      </c>
      <c r="AA775" s="305">
        <f>IF(Z775=0,0,IF(Y775="MXN",1/HLOOKUP(YEAR(X775)+(MONTH(X775)/100),TC!$5:$37,DAY(X775)+2,FALSE),VLOOKUP(Y775,Equivalencia!$1:$23,((MAX(Equivalencia!$3:$3)-YEAR(X775))*14)+MONTH(X775)+2,FALSE)))</f>
        <v>1</v>
      </c>
      <c r="AB775" s="306">
        <f t="shared" si="212"/>
        <v>829.63006060606062</v>
      </c>
      <c r="AC775" s="305">
        <f>+IF(X775=0,0,HLOOKUP(YEAR(X775)+(MONTH(X775)/100),TC!$5:$37,DAY(X775)+2,FALSE))</f>
        <v>20.941500000000001</v>
      </c>
      <c r="AD775" s="307">
        <f t="shared" si="213"/>
        <v>17373.697914181819</v>
      </c>
      <c r="AE775" s="314">
        <f t="shared" si="214"/>
        <v>24824.767694110225</v>
      </c>
      <c r="AF775" s="315">
        <f t="shared" si="215"/>
        <v>-7451.0697799284062</v>
      </c>
      <c r="AG775" s="316">
        <f t="shared" si="216"/>
        <v>1.106849315068493</v>
      </c>
      <c r="AH775" s="314">
        <v>1</v>
      </c>
      <c r="AI775" s="314">
        <f t="shared" si="217"/>
        <v>-7451.0697799284062</v>
      </c>
      <c r="AJ775" s="314">
        <f t="shared" si="218"/>
        <v>0</v>
      </c>
      <c r="AK775" s="317"/>
      <c r="AL775" s="315">
        <f t="shared" si="219"/>
        <v>-331.66475420875418</v>
      </c>
      <c r="AN775" s="554">
        <f t="shared" si="220"/>
        <v>-0.28559910022645102</v>
      </c>
      <c r="AO775" s="314"/>
      <c r="AP775" s="318"/>
    </row>
    <row r="776" spans="2:42">
      <c r="B776" s="296" t="s">
        <v>1254</v>
      </c>
      <c r="C776" s="299" t="s">
        <v>277</v>
      </c>
      <c r="D776" s="298" t="s">
        <v>950</v>
      </c>
      <c r="E776" s="299" t="s">
        <v>113</v>
      </c>
      <c r="F776" s="299" t="s">
        <v>59</v>
      </c>
      <c r="G776" s="300">
        <v>44356</v>
      </c>
      <c r="H776" s="303">
        <v>2518.98</v>
      </c>
      <c r="I776" s="301" t="str">
        <f t="shared" si="204"/>
        <v>Ingresos Sección II LISR (SIC &amp; BMV)</v>
      </c>
      <c r="J776" s="302">
        <f t="shared" si="205"/>
        <v>56</v>
      </c>
      <c r="K776" s="304">
        <f t="shared" si="206"/>
        <v>44.981785714285714</v>
      </c>
      <c r="L776" s="305">
        <f>IF(H776=0,0,IF(OR(E776=$AT$5,E776=$AT$6),AA776,IF(F776="MXN",1/HLOOKUP(YEAR(G776)+(MONTH(G776)/100),TC!$5:$37,DAY(G776)+2,FALSE),VLOOKUP(F776,Equivalencia!$5:$23,((MAX(Equivalencia!$3:$3)-YEAR(G776))*14)+MONTH(G776)+2,FALSE))))</f>
        <v>1</v>
      </c>
      <c r="M776" s="306">
        <f t="shared" si="207"/>
        <v>2518.98</v>
      </c>
      <c r="N776" s="305">
        <f>IF(G776=0,0,(IF(OR(E776=$AT$5,E776=$AT$6),AC776,HLOOKUP(YEAR(G776)+(MONTH(G776)/100),TC!$5:$37,DAY(G776)+2,FALSE))))</f>
        <v>19.797000000000001</v>
      </c>
      <c r="O776" s="307">
        <f t="shared" si="208"/>
        <v>49868.247060000002</v>
      </c>
      <c r="P776" s="560">
        <f>IF(G776=0,0,VLOOKUP(YEAR(G776),INPC!$B$4:$P$30,MONTH(G776)+2))</f>
        <v>113.018</v>
      </c>
      <c r="Q776" s="560">
        <f>IF(X776=0,0,IF(OR(E776=$AT$10,E776=$AT$9),VLOOKUP(YEAR(X776),INPC!$B$4:$P$30,MONTH(X776)+1),VLOOKUP(YEAR(X776),INPC!$B$4:$P$30,MONTH(X776)+2,0)))</f>
        <v>122.044</v>
      </c>
      <c r="R776" s="309">
        <f t="shared" si="209"/>
        <v>1.0798000000000001</v>
      </c>
      <c r="S776" s="310">
        <f t="shared" si="210"/>
        <v>53847.733175388006</v>
      </c>
      <c r="T776" s="555">
        <f t="shared" si="211"/>
        <v>961.5666638462144</v>
      </c>
      <c r="U776" s="311"/>
      <c r="V776" s="312">
        <v>56</v>
      </c>
      <c r="W776" s="299" t="s">
        <v>194</v>
      </c>
      <c r="X776" s="300">
        <v>44760</v>
      </c>
      <c r="Y776" s="299" t="s">
        <v>59</v>
      </c>
      <c r="Z776" s="303">
        <v>1786.8955151515152</v>
      </c>
      <c r="AA776" s="305">
        <f>IF(Z776=0,0,IF(Y776="MXN",1/HLOOKUP(YEAR(X776)+(MONTH(X776)/100),TC!$5:$37,DAY(X776)+2,FALSE),VLOOKUP(Y776,Equivalencia!$1:$23,((MAX(Equivalencia!$3:$3)-YEAR(X776))*14)+MONTH(X776)+2,FALSE)))</f>
        <v>1</v>
      </c>
      <c r="AB776" s="306">
        <f t="shared" si="212"/>
        <v>1786.8955151515152</v>
      </c>
      <c r="AC776" s="305">
        <f>+IF(X776=0,0,HLOOKUP(YEAR(X776)+(MONTH(X776)/100),TC!$5:$37,DAY(X776)+2,FALSE))</f>
        <v>20.941500000000001</v>
      </c>
      <c r="AD776" s="307">
        <f t="shared" si="213"/>
        <v>37420.272430545454</v>
      </c>
      <c r="AE776" s="314">
        <f t="shared" si="214"/>
        <v>53847.733175388006</v>
      </c>
      <c r="AF776" s="315">
        <f t="shared" si="215"/>
        <v>-16427.460744842552</v>
      </c>
      <c r="AG776" s="316">
        <f t="shared" si="216"/>
        <v>1.106849315068493</v>
      </c>
      <c r="AH776" s="314">
        <v>1</v>
      </c>
      <c r="AI776" s="314">
        <f t="shared" si="217"/>
        <v>-16427.460744842552</v>
      </c>
      <c r="AJ776" s="314">
        <f t="shared" si="218"/>
        <v>0</v>
      </c>
      <c r="AK776" s="317"/>
      <c r="AL776" s="315">
        <f t="shared" si="219"/>
        <v>-732.08448484848486</v>
      </c>
      <c r="AN776" s="554">
        <f t="shared" si="220"/>
        <v>-0.29062735108991927</v>
      </c>
      <c r="AO776" s="314"/>
      <c r="AP776" s="318"/>
    </row>
    <row r="777" spans="2:42">
      <c r="B777" s="296" t="s">
        <v>1254</v>
      </c>
      <c r="C777" s="299" t="s">
        <v>277</v>
      </c>
      <c r="D777" s="298" t="s">
        <v>950</v>
      </c>
      <c r="E777" s="299" t="s">
        <v>113</v>
      </c>
      <c r="F777" s="299" t="s">
        <v>59</v>
      </c>
      <c r="G777" s="300">
        <v>44358</v>
      </c>
      <c r="H777" s="303">
        <v>1464.6</v>
      </c>
      <c r="I777" s="301" t="str">
        <f t="shared" si="204"/>
        <v>Ingresos Sección II LISR (SIC &amp; BMV)</v>
      </c>
      <c r="J777" s="302">
        <f t="shared" si="205"/>
        <v>31</v>
      </c>
      <c r="K777" s="304">
        <f t="shared" si="206"/>
        <v>47.245161290322578</v>
      </c>
      <c r="L777" s="305">
        <f>IF(H777=0,0,IF(OR(E777=$AT$5,E777=$AT$6),AA777,IF(F777="MXN",1/HLOOKUP(YEAR(G777)+(MONTH(G777)/100),TC!$5:$37,DAY(G777)+2,FALSE),VLOOKUP(F777,Equivalencia!$5:$23,((MAX(Equivalencia!$3:$3)-YEAR(G777))*14)+MONTH(G777)+2,FALSE))))</f>
        <v>1</v>
      </c>
      <c r="M777" s="306">
        <f t="shared" si="207"/>
        <v>1464.6</v>
      </c>
      <c r="N777" s="305">
        <f>IF(G777=0,0,(IF(OR(E777=$AT$5,E777=$AT$6),AC777,HLOOKUP(YEAR(G777)+(MONTH(G777)/100),TC!$5:$37,DAY(G777)+2,FALSE))))</f>
        <v>19.689699999999998</v>
      </c>
      <c r="O777" s="307">
        <f t="shared" si="208"/>
        <v>28837.534619999995</v>
      </c>
      <c r="P777" s="560">
        <f>IF(G777=0,0,VLOOKUP(YEAR(G777),INPC!$B$4:$P$30,MONTH(G777)+2))</f>
        <v>113.018</v>
      </c>
      <c r="Q777" s="560">
        <f>IF(X777=0,0,IF(OR(E777=$AT$10,E777=$AT$9),VLOOKUP(YEAR(X777),INPC!$B$4:$P$30,MONTH(X777)+1),VLOOKUP(YEAR(X777),INPC!$B$4:$P$30,MONTH(X777)+2,0)))</f>
        <v>122.044</v>
      </c>
      <c r="R777" s="309">
        <f t="shared" si="209"/>
        <v>1.0798000000000001</v>
      </c>
      <c r="S777" s="310">
        <f t="shared" si="210"/>
        <v>31138.769882675999</v>
      </c>
      <c r="T777" s="555">
        <f t="shared" si="211"/>
        <v>1004.4764478282581</v>
      </c>
      <c r="U777" s="311"/>
      <c r="V777" s="312">
        <v>31</v>
      </c>
      <c r="W777" s="299" t="s">
        <v>194</v>
      </c>
      <c r="X777" s="300">
        <v>44760</v>
      </c>
      <c r="Y777" s="299" t="s">
        <v>59</v>
      </c>
      <c r="Z777" s="303">
        <v>989.17430303030301</v>
      </c>
      <c r="AA777" s="305">
        <f>IF(Z777=0,0,IF(Y777="MXN",1/HLOOKUP(YEAR(X777)+(MONTH(X777)/100),TC!$5:$37,DAY(X777)+2,FALSE),VLOOKUP(Y777,Equivalencia!$1:$23,((MAX(Equivalencia!$3:$3)-YEAR(X777))*14)+MONTH(X777)+2,FALSE)))</f>
        <v>1</v>
      </c>
      <c r="AB777" s="306">
        <f t="shared" si="212"/>
        <v>989.17430303030301</v>
      </c>
      <c r="AC777" s="305">
        <f>+IF(X777=0,0,HLOOKUP(YEAR(X777)+(MONTH(X777)/100),TC!$5:$37,DAY(X777)+2,FALSE))</f>
        <v>20.941500000000001</v>
      </c>
      <c r="AD777" s="307">
        <f t="shared" si="213"/>
        <v>20714.793666909092</v>
      </c>
      <c r="AE777" s="314">
        <f t="shared" si="214"/>
        <v>31138.769882675999</v>
      </c>
      <c r="AF777" s="315">
        <f t="shared" si="215"/>
        <v>-10423.976215766907</v>
      </c>
      <c r="AG777" s="316">
        <f t="shared" si="216"/>
        <v>1.1013698630136985</v>
      </c>
      <c r="AH777" s="314">
        <v>1</v>
      </c>
      <c r="AI777" s="314">
        <f t="shared" si="217"/>
        <v>-10423.976215766907</v>
      </c>
      <c r="AJ777" s="314">
        <f t="shared" si="218"/>
        <v>0</v>
      </c>
      <c r="AK777" s="317"/>
      <c r="AL777" s="315">
        <f t="shared" si="219"/>
        <v>-475.4256969696969</v>
      </c>
      <c r="AN777" s="554">
        <f t="shared" si="220"/>
        <v>-0.32461129111682163</v>
      </c>
      <c r="AO777" s="314"/>
      <c r="AP777" s="318"/>
    </row>
    <row r="778" spans="2:42">
      <c r="B778" s="296" t="s">
        <v>1254</v>
      </c>
      <c r="C778" s="299" t="s">
        <v>277</v>
      </c>
      <c r="D778" s="298" t="s">
        <v>950</v>
      </c>
      <c r="E778" s="299" t="s">
        <v>113</v>
      </c>
      <c r="F778" s="299" t="s">
        <v>59</v>
      </c>
      <c r="G778" s="300">
        <v>44358</v>
      </c>
      <c r="H778" s="303">
        <v>1193.8499999999999</v>
      </c>
      <c r="I778" s="301" t="str">
        <f t="shared" si="204"/>
        <v>Ingresos Sección II LISR (SIC &amp; BMV)</v>
      </c>
      <c r="J778" s="302">
        <f t="shared" si="205"/>
        <v>25</v>
      </c>
      <c r="K778" s="304">
        <f t="shared" si="206"/>
        <v>47.753999999999998</v>
      </c>
      <c r="L778" s="305">
        <f>IF(H778=0,0,IF(OR(E778=$AT$5,E778=$AT$6),AA778,IF(F778="MXN",1/HLOOKUP(YEAR(G778)+(MONTH(G778)/100),TC!$5:$37,DAY(G778)+2,FALSE),VLOOKUP(F778,Equivalencia!$5:$23,((MAX(Equivalencia!$3:$3)-YEAR(G778))*14)+MONTH(G778)+2,FALSE))))</f>
        <v>1</v>
      </c>
      <c r="M778" s="306">
        <f t="shared" si="207"/>
        <v>1193.8499999999999</v>
      </c>
      <c r="N778" s="305">
        <f>IF(G778=0,0,(IF(OR(E778=$AT$5,E778=$AT$6),AC778,HLOOKUP(YEAR(G778)+(MONTH(G778)/100),TC!$5:$37,DAY(G778)+2,FALSE))))</f>
        <v>19.689699999999998</v>
      </c>
      <c r="O778" s="307">
        <f t="shared" si="208"/>
        <v>23506.548344999996</v>
      </c>
      <c r="P778" s="560">
        <f>IF(G778=0,0,VLOOKUP(YEAR(G778),INPC!$B$4:$P$30,MONTH(G778)+2))</f>
        <v>113.018</v>
      </c>
      <c r="Q778" s="560">
        <f>IF(X778=0,0,IF(OR(E778=$AT$10,E778=$AT$9),VLOOKUP(YEAR(X778),INPC!$B$4:$P$30,MONTH(X778)+1),VLOOKUP(YEAR(X778),INPC!$B$4:$P$30,MONTH(X778)+2,0)))</f>
        <v>122.044</v>
      </c>
      <c r="R778" s="309">
        <f t="shared" si="209"/>
        <v>1.0798000000000001</v>
      </c>
      <c r="S778" s="310">
        <f t="shared" si="210"/>
        <v>25382.370902930998</v>
      </c>
      <c r="T778" s="555">
        <f t="shared" si="211"/>
        <v>1015.2948361172399</v>
      </c>
      <c r="U778" s="311"/>
      <c r="V778" s="312">
        <v>25</v>
      </c>
      <c r="W778" s="299" t="s">
        <v>194</v>
      </c>
      <c r="X778" s="300">
        <v>44760</v>
      </c>
      <c r="Y778" s="299" t="s">
        <v>59</v>
      </c>
      <c r="Z778" s="303">
        <v>797.72121212121215</v>
      </c>
      <c r="AA778" s="305">
        <f>IF(Z778=0,0,IF(Y778="MXN",1/HLOOKUP(YEAR(X778)+(MONTH(X778)/100),TC!$5:$37,DAY(X778)+2,FALSE),VLOOKUP(Y778,Equivalencia!$1:$23,((MAX(Equivalencia!$3:$3)-YEAR(X778))*14)+MONTH(X778)+2,FALSE)))</f>
        <v>1</v>
      </c>
      <c r="AB778" s="306">
        <f t="shared" si="212"/>
        <v>797.72121212121215</v>
      </c>
      <c r="AC778" s="305">
        <f>+IF(X778=0,0,HLOOKUP(YEAR(X778)+(MONTH(X778)/100),TC!$5:$37,DAY(X778)+2,FALSE))</f>
        <v>20.941500000000001</v>
      </c>
      <c r="AD778" s="307">
        <f t="shared" si="213"/>
        <v>16705.478763636365</v>
      </c>
      <c r="AE778" s="314">
        <f t="shared" si="214"/>
        <v>25382.370902930998</v>
      </c>
      <c r="AF778" s="315">
        <f t="shared" si="215"/>
        <v>-8676.8921392946322</v>
      </c>
      <c r="AG778" s="316">
        <f t="shared" si="216"/>
        <v>1.1013698630136985</v>
      </c>
      <c r="AH778" s="314">
        <v>1</v>
      </c>
      <c r="AI778" s="314">
        <f t="shared" si="217"/>
        <v>-8676.8921392946322</v>
      </c>
      <c r="AJ778" s="314">
        <f t="shared" si="218"/>
        <v>0</v>
      </c>
      <c r="AK778" s="317"/>
      <c r="AL778" s="315">
        <f t="shared" si="219"/>
        <v>-396.12878787878776</v>
      </c>
      <c r="AN778" s="554">
        <f t="shared" si="220"/>
        <v>-0.33180783840414441</v>
      </c>
      <c r="AO778" s="314"/>
      <c r="AP778" s="318"/>
    </row>
    <row r="779" spans="2:42">
      <c r="B779" s="296" t="s">
        <v>1254</v>
      </c>
      <c r="C779" s="299" t="s">
        <v>277</v>
      </c>
      <c r="D779" s="298" t="s">
        <v>950</v>
      </c>
      <c r="E779" s="299" t="s">
        <v>113</v>
      </c>
      <c r="F779" s="299" t="s">
        <v>59</v>
      </c>
      <c r="G779" s="300">
        <v>44358</v>
      </c>
      <c r="H779" s="303">
        <v>331.42</v>
      </c>
      <c r="I779" s="301" t="str">
        <f t="shared" si="204"/>
        <v>Ingresos Sección II LISR (SIC &amp; BMV)</v>
      </c>
      <c r="J779" s="302">
        <f t="shared" si="205"/>
        <v>7</v>
      </c>
      <c r="K779" s="304">
        <f t="shared" si="206"/>
        <v>47.345714285714287</v>
      </c>
      <c r="L779" s="305">
        <f>IF(H779=0,0,IF(OR(E779=$AT$5,E779=$AT$6),AA779,IF(F779="MXN",1/HLOOKUP(YEAR(G779)+(MONTH(G779)/100),TC!$5:$37,DAY(G779)+2,FALSE),VLOOKUP(F779,Equivalencia!$5:$23,((MAX(Equivalencia!$3:$3)-YEAR(G779))*14)+MONTH(G779)+2,FALSE))))</f>
        <v>1</v>
      </c>
      <c r="M779" s="306">
        <f t="shared" si="207"/>
        <v>331.42</v>
      </c>
      <c r="N779" s="305">
        <f>IF(G779=0,0,(IF(OR(E779=$AT$5,E779=$AT$6),AC779,HLOOKUP(YEAR(G779)+(MONTH(G779)/100),TC!$5:$37,DAY(G779)+2,FALSE))))</f>
        <v>19.689699999999998</v>
      </c>
      <c r="O779" s="307">
        <f t="shared" si="208"/>
        <v>6525.5603739999997</v>
      </c>
      <c r="P779" s="560">
        <f>IF(G779=0,0,VLOOKUP(YEAR(G779),INPC!$B$4:$P$30,MONTH(G779)+2))</f>
        <v>113.018</v>
      </c>
      <c r="Q779" s="560">
        <f>IF(X779=0,0,IF(OR(E779=$AT$10,E779=$AT$9),VLOOKUP(YEAR(X779),INPC!$B$4:$P$30,MONTH(X779)+1),VLOOKUP(YEAR(X779),INPC!$B$4:$P$30,MONTH(X779)+2,0)))</f>
        <v>122.044</v>
      </c>
      <c r="R779" s="309">
        <f t="shared" si="209"/>
        <v>1.0798000000000001</v>
      </c>
      <c r="S779" s="310">
        <f t="shared" si="210"/>
        <v>7046.3000918451999</v>
      </c>
      <c r="T779" s="555">
        <f t="shared" si="211"/>
        <v>1006.6142988350285</v>
      </c>
      <c r="U779" s="311"/>
      <c r="V779" s="312">
        <v>7</v>
      </c>
      <c r="W779" s="299" t="s">
        <v>194</v>
      </c>
      <c r="X779" s="300">
        <v>44760</v>
      </c>
      <c r="Y779" s="299" t="s">
        <v>59</v>
      </c>
      <c r="Z779" s="303">
        <v>223.36193939393939</v>
      </c>
      <c r="AA779" s="305">
        <f>IF(Z779=0,0,IF(Y779="MXN",1/HLOOKUP(YEAR(X779)+(MONTH(X779)/100),TC!$5:$37,DAY(X779)+2,FALSE),VLOOKUP(Y779,Equivalencia!$1:$23,((MAX(Equivalencia!$3:$3)-YEAR(X779))*14)+MONTH(X779)+2,FALSE)))</f>
        <v>1</v>
      </c>
      <c r="AB779" s="306">
        <f t="shared" si="212"/>
        <v>223.36193939393939</v>
      </c>
      <c r="AC779" s="305">
        <f>+IF(X779=0,0,HLOOKUP(YEAR(X779)+(MONTH(X779)/100),TC!$5:$37,DAY(X779)+2,FALSE))</f>
        <v>20.941500000000001</v>
      </c>
      <c r="AD779" s="307">
        <f t="shared" si="213"/>
        <v>4677.5340538181817</v>
      </c>
      <c r="AE779" s="314">
        <f t="shared" si="214"/>
        <v>7046.3000918451999</v>
      </c>
      <c r="AF779" s="315">
        <f t="shared" si="215"/>
        <v>-2368.7660380270181</v>
      </c>
      <c r="AG779" s="316">
        <f t="shared" si="216"/>
        <v>1.1013698630136985</v>
      </c>
      <c r="AH779" s="314">
        <v>1</v>
      </c>
      <c r="AI779" s="314">
        <f t="shared" si="217"/>
        <v>-2368.7660380270181</v>
      </c>
      <c r="AJ779" s="314">
        <f t="shared" si="218"/>
        <v>0</v>
      </c>
      <c r="AK779" s="317"/>
      <c r="AL779" s="315">
        <f t="shared" si="219"/>
        <v>-108.05806060606062</v>
      </c>
      <c r="AN779" s="554">
        <f t="shared" si="220"/>
        <v>-0.32604568404459783</v>
      </c>
      <c r="AO779" s="314"/>
      <c r="AP779" s="318"/>
    </row>
    <row r="780" spans="2:42">
      <c r="B780" s="296" t="s">
        <v>1254</v>
      </c>
      <c r="C780" s="299" t="s">
        <v>277</v>
      </c>
      <c r="D780" s="298" t="s">
        <v>950</v>
      </c>
      <c r="E780" s="299" t="s">
        <v>113</v>
      </c>
      <c r="F780" s="299" t="s">
        <v>59</v>
      </c>
      <c r="G780" s="300">
        <v>44358</v>
      </c>
      <c r="H780" s="303">
        <v>938.84444444444455</v>
      </c>
      <c r="I780" s="301" t="str">
        <f t="shared" si="204"/>
        <v>Ingresos Sección II LISR (SIC &amp; BMV)</v>
      </c>
      <c r="J780" s="302">
        <f t="shared" si="205"/>
        <v>20</v>
      </c>
      <c r="K780" s="304">
        <f t="shared" si="206"/>
        <v>46.942222222222227</v>
      </c>
      <c r="L780" s="305">
        <f>IF(H780=0,0,IF(OR(E780=$AT$5,E780=$AT$6),AA780,IF(F780="MXN",1/HLOOKUP(YEAR(G780)+(MONTH(G780)/100),TC!$5:$37,DAY(G780)+2,FALSE),VLOOKUP(F780,Equivalencia!$5:$23,((MAX(Equivalencia!$3:$3)-YEAR(G780))*14)+MONTH(G780)+2,FALSE))))</f>
        <v>1</v>
      </c>
      <c r="M780" s="306">
        <f t="shared" si="207"/>
        <v>938.84444444444455</v>
      </c>
      <c r="N780" s="305">
        <f>IF(G780=0,0,(IF(OR(E780=$AT$5,E780=$AT$6),AC780,HLOOKUP(YEAR(G780)+(MONTH(G780)/100),TC!$5:$37,DAY(G780)+2,FALSE))))</f>
        <v>19.689699999999998</v>
      </c>
      <c r="O780" s="307">
        <f t="shared" si="208"/>
        <v>18485.565457777779</v>
      </c>
      <c r="P780" s="560">
        <f>IF(G780=0,0,VLOOKUP(YEAR(G780),INPC!$B$4:$P$30,MONTH(G780)+2))</f>
        <v>113.018</v>
      </c>
      <c r="Q780" s="560">
        <f>IF(X780=0,0,IF(OR(E780=$AT$10,E780=$AT$9),VLOOKUP(YEAR(X780),INPC!$B$4:$P$30,MONTH(X780)+1),VLOOKUP(YEAR(X780),INPC!$B$4:$P$30,MONTH(X780)+2,0)))</f>
        <v>122.044</v>
      </c>
      <c r="R780" s="309">
        <f t="shared" si="209"/>
        <v>1.0798000000000001</v>
      </c>
      <c r="S780" s="310">
        <f t="shared" si="210"/>
        <v>19960.713581308446</v>
      </c>
      <c r="T780" s="555">
        <f t="shared" si="211"/>
        <v>998.0356790654223</v>
      </c>
      <c r="U780" s="311"/>
      <c r="V780" s="312">
        <v>20</v>
      </c>
      <c r="W780" s="299" t="s">
        <v>194</v>
      </c>
      <c r="X780" s="300">
        <v>44760</v>
      </c>
      <c r="Y780" s="299" t="s">
        <v>59</v>
      </c>
      <c r="Z780" s="303">
        <v>638.17696969696965</v>
      </c>
      <c r="AA780" s="305">
        <f>IF(Z780=0,0,IF(Y780="MXN",1/HLOOKUP(YEAR(X780)+(MONTH(X780)/100),TC!$5:$37,DAY(X780)+2,FALSE),VLOOKUP(Y780,Equivalencia!$1:$23,((MAX(Equivalencia!$3:$3)-YEAR(X780))*14)+MONTH(X780)+2,FALSE)))</f>
        <v>1</v>
      </c>
      <c r="AB780" s="306">
        <f t="shared" si="212"/>
        <v>638.17696969696965</v>
      </c>
      <c r="AC780" s="305">
        <f>+IF(X780=0,0,HLOOKUP(YEAR(X780)+(MONTH(X780)/100),TC!$5:$37,DAY(X780)+2,FALSE))</f>
        <v>20.941500000000001</v>
      </c>
      <c r="AD780" s="307">
        <f t="shared" si="213"/>
        <v>13364.38301090909</v>
      </c>
      <c r="AE780" s="314">
        <f t="shared" si="214"/>
        <v>19960.713581308446</v>
      </c>
      <c r="AF780" s="315">
        <f t="shared" si="215"/>
        <v>-6596.3305703993556</v>
      </c>
      <c r="AG780" s="316">
        <f t="shared" si="216"/>
        <v>1.1013698630136985</v>
      </c>
      <c r="AH780" s="314">
        <v>1</v>
      </c>
      <c r="AI780" s="314">
        <f t="shared" si="217"/>
        <v>-6596.3305703993556</v>
      </c>
      <c r="AJ780" s="314">
        <f t="shared" si="218"/>
        <v>0</v>
      </c>
      <c r="AK780" s="317"/>
      <c r="AL780" s="315">
        <f t="shared" si="219"/>
        <v>-300.6674747474749</v>
      </c>
      <c r="AN780" s="554">
        <f t="shared" si="220"/>
        <v>-0.32025270695977015</v>
      </c>
      <c r="AO780" s="314"/>
      <c r="AP780" s="318"/>
    </row>
    <row r="781" spans="2:42">
      <c r="B781" s="296" t="s">
        <v>1254</v>
      </c>
      <c r="C781" s="299" t="s">
        <v>277</v>
      </c>
      <c r="D781" s="298" t="s">
        <v>950</v>
      </c>
      <c r="E781" s="299" t="s">
        <v>113</v>
      </c>
      <c r="F781" s="299" t="s">
        <v>59</v>
      </c>
      <c r="G781" s="300">
        <v>44358</v>
      </c>
      <c r="H781" s="303">
        <v>328.59555555555562</v>
      </c>
      <c r="I781" s="301" t="str">
        <f t="shared" si="204"/>
        <v>Ingresos Sección II LISR (SIC &amp; BMV)</v>
      </c>
      <c r="J781" s="302">
        <f t="shared" si="205"/>
        <v>7</v>
      </c>
      <c r="K781" s="304">
        <f t="shared" si="206"/>
        <v>46.942222222222235</v>
      </c>
      <c r="L781" s="305">
        <f>IF(H781=0,0,IF(OR(E781=$AT$5,E781=$AT$6),AA781,IF(F781="MXN",1/HLOOKUP(YEAR(G781)+(MONTH(G781)/100),TC!$5:$37,DAY(G781)+2,FALSE),VLOOKUP(F781,Equivalencia!$5:$23,((MAX(Equivalencia!$3:$3)-YEAR(G781))*14)+MONTH(G781)+2,FALSE))))</f>
        <v>1</v>
      </c>
      <c r="M781" s="306">
        <f t="shared" si="207"/>
        <v>328.59555555555562</v>
      </c>
      <c r="N781" s="305">
        <f>IF(G781=0,0,(IF(OR(E781=$AT$5,E781=$AT$6),AC781,HLOOKUP(YEAR(G781)+(MONTH(G781)/100),TC!$5:$37,DAY(G781)+2,FALSE))))</f>
        <v>19.689699999999998</v>
      </c>
      <c r="O781" s="307">
        <f t="shared" si="208"/>
        <v>6469.9479102222231</v>
      </c>
      <c r="P781" s="560">
        <f>IF(G781=0,0,VLOOKUP(YEAR(G781),INPC!$B$4:$P$30,MONTH(G781)+2))</f>
        <v>113.018</v>
      </c>
      <c r="Q781" s="560">
        <f>IF(X781=0,0,IF(OR(E781=$AT$10,E781=$AT$9),VLOOKUP(YEAR(X781),INPC!$B$4:$P$30,MONTH(X781)+1),VLOOKUP(YEAR(X781),INPC!$B$4:$P$30,MONTH(X781)+2,0)))</f>
        <v>122.044</v>
      </c>
      <c r="R781" s="309">
        <f t="shared" si="209"/>
        <v>1.0798000000000001</v>
      </c>
      <c r="S781" s="310">
        <f t="shared" si="210"/>
        <v>6986.249753457957</v>
      </c>
      <c r="T781" s="555">
        <f t="shared" si="211"/>
        <v>998.03567906542241</v>
      </c>
      <c r="U781" s="311"/>
      <c r="V781" s="312">
        <v>7</v>
      </c>
      <c r="W781" s="299" t="s">
        <v>194</v>
      </c>
      <c r="X781" s="300">
        <v>44760</v>
      </c>
      <c r="Y781" s="299" t="s">
        <v>59</v>
      </c>
      <c r="Z781" s="303">
        <v>232.77555555555554</v>
      </c>
      <c r="AA781" s="305">
        <f>IF(Z781=0,0,IF(Y781="MXN",1/HLOOKUP(YEAR(X781)+(MONTH(X781)/100),TC!$5:$37,DAY(X781)+2,FALSE),VLOOKUP(Y781,Equivalencia!$1:$23,((MAX(Equivalencia!$3:$3)-YEAR(X781))*14)+MONTH(X781)+2,FALSE)))</f>
        <v>1</v>
      </c>
      <c r="AB781" s="306">
        <f t="shared" si="212"/>
        <v>232.77555555555554</v>
      </c>
      <c r="AC781" s="305">
        <f>+IF(X781=0,0,HLOOKUP(YEAR(X781)+(MONTH(X781)/100),TC!$5:$37,DAY(X781)+2,FALSE))</f>
        <v>20.941500000000001</v>
      </c>
      <c r="AD781" s="307">
        <f t="shared" si="213"/>
        <v>4874.6692966666669</v>
      </c>
      <c r="AE781" s="314">
        <f t="shared" si="214"/>
        <v>6986.249753457957</v>
      </c>
      <c r="AF781" s="315">
        <f t="shared" si="215"/>
        <v>-2111.5804567912901</v>
      </c>
      <c r="AG781" s="316">
        <f t="shared" si="216"/>
        <v>1.1013698630136985</v>
      </c>
      <c r="AH781" s="314">
        <v>1</v>
      </c>
      <c r="AI781" s="314">
        <f t="shared" si="217"/>
        <v>-2111.5804567912901</v>
      </c>
      <c r="AJ781" s="314">
        <f t="shared" si="218"/>
        <v>0</v>
      </c>
      <c r="AK781" s="317"/>
      <c r="AL781" s="315">
        <f t="shared" si="219"/>
        <v>-95.820000000000078</v>
      </c>
      <c r="AN781" s="554">
        <f t="shared" si="220"/>
        <v>-0.291604674439365</v>
      </c>
      <c r="AO781" s="314"/>
      <c r="AP781" s="318"/>
    </row>
    <row r="782" spans="2:42">
      <c r="B782" s="296" t="s">
        <v>1254</v>
      </c>
      <c r="C782" s="299" t="s">
        <v>277</v>
      </c>
      <c r="D782" s="298" t="s">
        <v>950</v>
      </c>
      <c r="E782" s="299" t="s">
        <v>113</v>
      </c>
      <c r="F782" s="299" t="s">
        <v>59</v>
      </c>
      <c r="G782" s="300">
        <v>44361</v>
      </c>
      <c r="H782" s="303">
        <v>238.15</v>
      </c>
      <c r="I782" s="301" t="str">
        <f t="shared" si="204"/>
        <v>Ingresos Sección II LISR (SIC &amp; BMV)</v>
      </c>
      <c r="J782" s="302">
        <f t="shared" si="205"/>
        <v>5</v>
      </c>
      <c r="K782" s="304">
        <f t="shared" si="206"/>
        <v>47.63</v>
      </c>
      <c r="L782" s="305">
        <f>IF(H782=0,0,IF(OR(E782=$AT$5,E782=$AT$6),AA782,IF(F782="MXN",1/HLOOKUP(YEAR(G782)+(MONTH(G782)/100),TC!$5:$37,DAY(G782)+2,FALSE),VLOOKUP(F782,Equivalencia!$5:$23,((MAX(Equivalencia!$3:$3)-YEAR(G782))*14)+MONTH(G782)+2,FALSE))))</f>
        <v>1</v>
      </c>
      <c r="M782" s="306">
        <f t="shared" si="207"/>
        <v>238.15</v>
      </c>
      <c r="N782" s="305">
        <f>IF(G782=0,0,(IF(OR(E782=$AT$5,E782=$AT$6),AC782,HLOOKUP(YEAR(G782)+(MONTH(G782)/100),TC!$5:$37,DAY(G782)+2,FALSE))))</f>
        <v>19.700199999999999</v>
      </c>
      <c r="O782" s="307">
        <f t="shared" si="208"/>
        <v>4691.6026299999994</v>
      </c>
      <c r="P782" s="560">
        <f>IF(G782=0,0,VLOOKUP(YEAR(G782),INPC!$B$4:$P$30,MONTH(G782)+2))</f>
        <v>113.018</v>
      </c>
      <c r="Q782" s="560">
        <f>IF(X782=0,0,IF(OR(E782=$AT$10,E782=$AT$9),VLOOKUP(YEAR(X782),INPC!$B$4:$P$30,MONTH(X782)+1),VLOOKUP(YEAR(X782),INPC!$B$4:$P$30,MONTH(X782)+2,0)))</f>
        <v>122.044</v>
      </c>
      <c r="R782" s="309">
        <f t="shared" si="209"/>
        <v>1.0798000000000001</v>
      </c>
      <c r="S782" s="310">
        <f t="shared" si="210"/>
        <v>5065.9925198740002</v>
      </c>
      <c r="T782" s="555">
        <f t="shared" si="211"/>
        <v>1013.1985039748</v>
      </c>
      <c r="U782" s="311"/>
      <c r="V782" s="312">
        <v>5</v>
      </c>
      <c r="W782" s="299" t="s">
        <v>194</v>
      </c>
      <c r="X782" s="300">
        <v>44760</v>
      </c>
      <c r="Y782" s="299" t="s">
        <v>59</v>
      </c>
      <c r="Z782" s="303">
        <v>166.26825396825396</v>
      </c>
      <c r="AA782" s="305">
        <f>IF(Z782=0,0,IF(Y782="MXN",1/HLOOKUP(YEAR(X782)+(MONTH(X782)/100),TC!$5:$37,DAY(X782)+2,FALSE),VLOOKUP(Y782,Equivalencia!$1:$23,((MAX(Equivalencia!$3:$3)-YEAR(X782))*14)+MONTH(X782)+2,FALSE)))</f>
        <v>1</v>
      </c>
      <c r="AB782" s="306">
        <f t="shared" si="212"/>
        <v>166.26825396825396</v>
      </c>
      <c r="AC782" s="305">
        <f>+IF(X782=0,0,HLOOKUP(YEAR(X782)+(MONTH(X782)/100),TC!$5:$37,DAY(X782)+2,FALSE))</f>
        <v>20.941500000000001</v>
      </c>
      <c r="AD782" s="307">
        <f t="shared" si="213"/>
        <v>3481.9066404761907</v>
      </c>
      <c r="AE782" s="314">
        <f t="shared" si="214"/>
        <v>5065.9925198740002</v>
      </c>
      <c r="AF782" s="315">
        <f t="shared" si="215"/>
        <v>-1584.0858793978095</v>
      </c>
      <c r="AG782" s="316">
        <f t="shared" si="216"/>
        <v>1.0931506849315069</v>
      </c>
      <c r="AH782" s="314">
        <v>1</v>
      </c>
      <c r="AI782" s="314">
        <f t="shared" si="217"/>
        <v>-1584.0858793978095</v>
      </c>
      <c r="AJ782" s="314">
        <f t="shared" si="218"/>
        <v>0</v>
      </c>
      <c r="AK782" s="317"/>
      <c r="AL782" s="315">
        <f t="shared" si="219"/>
        <v>-71.881746031746047</v>
      </c>
      <c r="AN782" s="554">
        <f t="shared" si="220"/>
        <v>-0.30183391153368067</v>
      </c>
      <c r="AO782" s="314"/>
      <c r="AP782" s="318"/>
    </row>
    <row r="783" spans="2:42">
      <c r="B783" s="296" t="s">
        <v>1254</v>
      </c>
      <c r="C783" s="299" t="s">
        <v>277</v>
      </c>
      <c r="D783" s="298" t="s">
        <v>950</v>
      </c>
      <c r="E783" s="299" t="s">
        <v>113</v>
      </c>
      <c r="F783" s="299" t="s">
        <v>59</v>
      </c>
      <c r="G783" s="300">
        <v>44361</v>
      </c>
      <c r="H783" s="303">
        <v>2410.3632911392401</v>
      </c>
      <c r="I783" s="301" t="str">
        <f t="shared" si="204"/>
        <v>Ingresos Sección II LISR (SIC &amp; BMV)</v>
      </c>
      <c r="J783" s="302">
        <f t="shared" si="205"/>
        <v>51</v>
      </c>
      <c r="K783" s="304">
        <f t="shared" si="206"/>
        <v>47.262025316455691</v>
      </c>
      <c r="L783" s="305">
        <f>IF(H783=0,0,IF(OR(E783=$AT$5,E783=$AT$6),AA783,IF(F783="MXN",1/HLOOKUP(YEAR(G783)+(MONTH(G783)/100),TC!$5:$37,DAY(G783)+2,FALSE),VLOOKUP(F783,Equivalencia!$5:$23,((MAX(Equivalencia!$3:$3)-YEAR(G783))*14)+MONTH(G783)+2,FALSE))))</f>
        <v>1</v>
      </c>
      <c r="M783" s="306">
        <f t="shared" si="207"/>
        <v>2410.3632911392401</v>
      </c>
      <c r="N783" s="305">
        <f>IF(G783=0,0,(IF(OR(E783=$AT$5,E783=$AT$6),AC783,HLOOKUP(YEAR(G783)+(MONTH(G783)/100),TC!$5:$37,DAY(G783)+2,FALSE))))</f>
        <v>19.700199999999999</v>
      </c>
      <c r="O783" s="307">
        <f t="shared" si="208"/>
        <v>47484.638908101253</v>
      </c>
      <c r="P783" s="560">
        <f>IF(G783=0,0,VLOOKUP(YEAR(G783),INPC!$B$4:$P$30,MONTH(G783)+2))</f>
        <v>113.018</v>
      </c>
      <c r="Q783" s="560">
        <f>IF(X783=0,0,IF(OR(E783=$AT$10,E783=$AT$9),VLOOKUP(YEAR(X783),INPC!$B$4:$P$30,MONTH(X783)+1),VLOOKUP(YEAR(X783),INPC!$B$4:$P$30,MONTH(X783)+2,0)))</f>
        <v>122.044</v>
      </c>
      <c r="R783" s="309">
        <f t="shared" si="209"/>
        <v>1.0798000000000001</v>
      </c>
      <c r="S783" s="310">
        <f t="shared" si="210"/>
        <v>51273.913092967734</v>
      </c>
      <c r="T783" s="555">
        <f t="shared" si="211"/>
        <v>1005.3708449601517</v>
      </c>
      <c r="U783" s="311"/>
      <c r="V783" s="312">
        <v>51</v>
      </c>
      <c r="W783" s="299" t="s">
        <v>194</v>
      </c>
      <c r="X783" s="300">
        <v>44760</v>
      </c>
      <c r="Y783" s="299" t="s">
        <v>59</v>
      </c>
      <c r="Z783" s="303">
        <v>1695.9361904761904</v>
      </c>
      <c r="AA783" s="305">
        <f>IF(Z783=0,0,IF(Y783="MXN",1/HLOOKUP(YEAR(X783)+(MONTH(X783)/100),TC!$5:$37,DAY(X783)+2,FALSE),VLOOKUP(Y783,Equivalencia!$1:$23,((MAX(Equivalencia!$3:$3)-YEAR(X783))*14)+MONTH(X783)+2,FALSE)))</f>
        <v>1</v>
      </c>
      <c r="AB783" s="306">
        <f t="shared" si="212"/>
        <v>1695.9361904761904</v>
      </c>
      <c r="AC783" s="305">
        <f>+IF(X783=0,0,HLOOKUP(YEAR(X783)+(MONTH(X783)/100),TC!$5:$37,DAY(X783)+2,FALSE))</f>
        <v>20.941500000000001</v>
      </c>
      <c r="AD783" s="307">
        <f t="shared" si="213"/>
        <v>35515.447732857145</v>
      </c>
      <c r="AE783" s="314">
        <f t="shared" si="214"/>
        <v>51273.913092967734</v>
      </c>
      <c r="AF783" s="315">
        <f t="shared" si="215"/>
        <v>-15758.465360110589</v>
      </c>
      <c r="AG783" s="316">
        <f t="shared" si="216"/>
        <v>1.0931506849315069</v>
      </c>
      <c r="AH783" s="314">
        <v>1</v>
      </c>
      <c r="AI783" s="314">
        <f t="shared" si="217"/>
        <v>-15758.465360110589</v>
      </c>
      <c r="AJ783" s="314">
        <f t="shared" si="218"/>
        <v>0</v>
      </c>
      <c r="AK783" s="317"/>
      <c r="AL783" s="315">
        <f t="shared" si="219"/>
        <v>-714.42710066304971</v>
      </c>
      <c r="AN783" s="554">
        <f t="shared" si="220"/>
        <v>-0.29639810035664005</v>
      </c>
      <c r="AO783" s="314"/>
      <c r="AP783" s="318"/>
    </row>
    <row r="784" spans="2:42">
      <c r="B784" s="296" t="s">
        <v>1254</v>
      </c>
      <c r="C784" s="299" t="s">
        <v>277</v>
      </c>
      <c r="D784" s="298" t="s">
        <v>950</v>
      </c>
      <c r="E784" s="299" t="s">
        <v>113</v>
      </c>
      <c r="F784" s="299" t="s">
        <v>59</v>
      </c>
      <c r="G784" s="300">
        <v>44361</v>
      </c>
      <c r="H784" s="303">
        <v>1323.3367088607592</v>
      </c>
      <c r="I784" s="301" t="str">
        <f t="shared" si="204"/>
        <v>Ingresos Sección II LISR (SIC &amp; BMV)</v>
      </c>
      <c r="J784" s="302">
        <f t="shared" si="205"/>
        <v>28</v>
      </c>
      <c r="K784" s="304">
        <f t="shared" si="206"/>
        <v>47.262025316455684</v>
      </c>
      <c r="L784" s="305">
        <f>IF(H784=0,0,IF(OR(E784=$AT$5,E784=$AT$6),AA784,IF(F784="MXN",1/HLOOKUP(YEAR(G784)+(MONTH(G784)/100),TC!$5:$37,DAY(G784)+2,FALSE),VLOOKUP(F784,Equivalencia!$5:$23,((MAX(Equivalencia!$3:$3)-YEAR(G784))*14)+MONTH(G784)+2,FALSE))))</f>
        <v>1</v>
      </c>
      <c r="M784" s="306">
        <f t="shared" si="207"/>
        <v>1323.3367088607592</v>
      </c>
      <c r="N784" s="305">
        <f>IF(G784=0,0,(IF(OR(E784=$AT$5,E784=$AT$6),AC784,HLOOKUP(YEAR(G784)+(MONTH(G784)/100),TC!$5:$37,DAY(G784)+2,FALSE))))</f>
        <v>19.700199999999999</v>
      </c>
      <c r="O784" s="307">
        <f t="shared" si="208"/>
        <v>26069.997831898727</v>
      </c>
      <c r="P784" s="560">
        <f>IF(G784=0,0,VLOOKUP(YEAR(G784),INPC!$B$4:$P$30,MONTH(G784)+2))</f>
        <v>113.018</v>
      </c>
      <c r="Q784" s="560">
        <f>IF(X784=0,0,IF(OR(E784=$AT$10,E784=$AT$9),VLOOKUP(YEAR(X784),INPC!$B$4:$P$30,MONTH(X784)+1),VLOOKUP(YEAR(X784),INPC!$B$4:$P$30,MONTH(X784)+2,0)))</f>
        <v>122.044</v>
      </c>
      <c r="R784" s="309">
        <f t="shared" si="209"/>
        <v>1.0798000000000001</v>
      </c>
      <c r="S784" s="310">
        <f t="shared" si="210"/>
        <v>28150.383658884246</v>
      </c>
      <c r="T784" s="555">
        <f t="shared" si="211"/>
        <v>1005.3708449601517</v>
      </c>
      <c r="U784" s="311"/>
      <c r="V784" s="312">
        <v>28</v>
      </c>
      <c r="W784" s="299" t="s">
        <v>194</v>
      </c>
      <c r="X784" s="300">
        <v>44760</v>
      </c>
      <c r="Y784" s="299" t="s">
        <v>59</v>
      </c>
      <c r="Z784" s="303">
        <v>887.90731707317082</v>
      </c>
      <c r="AA784" s="305">
        <f>IF(Z784=0,0,IF(Y784="MXN",1/HLOOKUP(YEAR(X784)+(MONTH(X784)/100),TC!$5:$37,DAY(X784)+2,FALSE),VLOOKUP(Y784,Equivalencia!$1:$23,((MAX(Equivalencia!$3:$3)-YEAR(X784))*14)+MONTH(X784)+2,FALSE)))</f>
        <v>1</v>
      </c>
      <c r="AB784" s="306">
        <f t="shared" si="212"/>
        <v>887.90731707317082</v>
      </c>
      <c r="AC784" s="305">
        <f>+IF(X784=0,0,HLOOKUP(YEAR(X784)+(MONTH(X784)/100),TC!$5:$37,DAY(X784)+2,FALSE))</f>
        <v>20.941500000000001</v>
      </c>
      <c r="AD784" s="307">
        <f t="shared" si="213"/>
        <v>18594.111080487808</v>
      </c>
      <c r="AE784" s="314">
        <f t="shared" si="214"/>
        <v>28150.383658884246</v>
      </c>
      <c r="AF784" s="315">
        <f t="shared" si="215"/>
        <v>-9556.2725783964379</v>
      </c>
      <c r="AG784" s="316">
        <f t="shared" si="216"/>
        <v>1.0931506849315069</v>
      </c>
      <c r="AH784" s="314">
        <v>1</v>
      </c>
      <c r="AI784" s="314">
        <f t="shared" si="217"/>
        <v>-9556.2725783964379</v>
      </c>
      <c r="AJ784" s="314">
        <f t="shared" si="218"/>
        <v>0</v>
      </c>
      <c r="AK784" s="317"/>
      <c r="AL784" s="315">
        <f t="shared" si="219"/>
        <v>-435.42939178758843</v>
      </c>
      <c r="AN784" s="554">
        <f t="shared" si="220"/>
        <v>-0.32903900335572422</v>
      </c>
      <c r="AO784" s="314"/>
      <c r="AP784" s="318"/>
    </row>
    <row r="785" spans="2:42">
      <c r="B785" s="296" t="s">
        <v>1254</v>
      </c>
      <c r="C785" s="299" t="s">
        <v>277</v>
      </c>
      <c r="D785" s="298" t="s">
        <v>950</v>
      </c>
      <c r="E785" s="299" t="s">
        <v>113</v>
      </c>
      <c r="F785" s="299" t="s">
        <v>59</v>
      </c>
      <c r="G785" s="300">
        <v>44361</v>
      </c>
      <c r="H785" s="303">
        <v>617.84357142857152</v>
      </c>
      <c r="I785" s="301" t="str">
        <f t="shared" si="204"/>
        <v>Ingresos Sección II LISR (SIC &amp; BMV)</v>
      </c>
      <c r="J785" s="302">
        <f t="shared" si="205"/>
        <v>13</v>
      </c>
      <c r="K785" s="304">
        <f t="shared" si="206"/>
        <v>47.526428571428582</v>
      </c>
      <c r="L785" s="305">
        <f>IF(H785=0,0,IF(OR(E785=$AT$5,E785=$AT$6),AA785,IF(F785="MXN",1/HLOOKUP(YEAR(G785)+(MONTH(G785)/100),TC!$5:$37,DAY(G785)+2,FALSE),VLOOKUP(F785,Equivalencia!$5:$23,((MAX(Equivalencia!$3:$3)-YEAR(G785))*14)+MONTH(G785)+2,FALSE))))</f>
        <v>1</v>
      </c>
      <c r="M785" s="306">
        <f t="shared" si="207"/>
        <v>617.84357142857152</v>
      </c>
      <c r="N785" s="305">
        <f>IF(G785=0,0,(IF(OR(E785=$AT$5,E785=$AT$6),AC785,HLOOKUP(YEAR(G785)+(MONTH(G785)/100),TC!$5:$37,DAY(G785)+2,FALSE))))</f>
        <v>19.700199999999999</v>
      </c>
      <c r="O785" s="307">
        <f t="shared" si="208"/>
        <v>12171.641925857144</v>
      </c>
      <c r="P785" s="560">
        <f>IF(G785=0,0,VLOOKUP(YEAR(G785),INPC!$B$4:$P$30,MONTH(G785)+2))</f>
        <v>113.018</v>
      </c>
      <c r="Q785" s="560">
        <f>IF(X785=0,0,IF(OR(E785=$AT$10,E785=$AT$9),VLOOKUP(YEAR(X785),INPC!$B$4:$P$30,MONTH(X785)+1),VLOOKUP(YEAR(X785),INPC!$B$4:$P$30,MONTH(X785)+2,0)))</f>
        <v>122.044</v>
      </c>
      <c r="R785" s="309">
        <f t="shared" si="209"/>
        <v>1.0798000000000001</v>
      </c>
      <c r="S785" s="310">
        <f t="shared" si="210"/>
        <v>13142.938951540546</v>
      </c>
      <c r="T785" s="555">
        <f t="shared" si="211"/>
        <v>1010.9953039646573</v>
      </c>
      <c r="U785" s="311"/>
      <c r="V785" s="312">
        <v>13</v>
      </c>
      <c r="W785" s="299" t="s">
        <v>194</v>
      </c>
      <c r="X785" s="300">
        <v>44760</v>
      </c>
      <c r="Y785" s="299" t="s">
        <v>59</v>
      </c>
      <c r="Z785" s="303">
        <v>412.24268292682933</v>
      </c>
      <c r="AA785" s="305">
        <f>IF(Z785=0,0,IF(Y785="MXN",1/HLOOKUP(YEAR(X785)+(MONTH(X785)/100),TC!$5:$37,DAY(X785)+2,FALSE),VLOOKUP(Y785,Equivalencia!$1:$23,((MAX(Equivalencia!$3:$3)-YEAR(X785))*14)+MONTH(X785)+2,FALSE)))</f>
        <v>1</v>
      </c>
      <c r="AB785" s="306">
        <f t="shared" si="212"/>
        <v>412.24268292682933</v>
      </c>
      <c r="AC785" s="305">
        <f>+IF(X785=0,0,HLOOKUP(YEAR(X785)+(MONTH(X785)/100),TC!$5:$37,DAY(X785)+2,FALSE))</f>
        <v>20.941500000000001</v>
      </c>
      <c r="AD785" s="307">
        <f t="shared" si="213"/>
        <v>8632.9801445121975</v>
      </c>
      <c r="AE785" s="314">
        <f t="shared" si="214"/>
        <v>13142.938951540546</v>
      </c>
      <c r="AF785" s="315">
        <f t="shared" si="215"/>
        <v>-4509.958807028348</v>
      </c>
      <c r="AG785" s="316">
        <f t="shared" si="216"/>
        <v>1.0931506849315069</v>
      </c>
      <c r="AH785" s="314">
        <v>1</v>
      </c>
      <c r="AI785" s="314">
        <f t="shared" si="217"/>
        <v>-4509.958807028348</v>
      </c>
      <c r="AJ785" s="314">
        <f t="shared" si="218"/>
        <v>0</v>
      </c>
      <c r="AK785" s="317"/>
      <c r="AL785" s="315">
        <f t="shared" si="219"/>
        <v>-205.60088850174219</v>
      </c>
      <c r="AN785" s="554">
        <f t="shared" si="220"/>
        <v>-0.33277175325520331</v>
      </c>
      <c r="AO785" s="314"/>
      <c r="AP785" s="318"/>
    </row>
    <row r="786" spans="2:42">
      <c r="B786" s="296" t="s">
        <v>1254</v>
      </c>
      <c r="C786" s="299" t="s">
        <v>277</v>
      </c>
      <c r="D786" s="298" t="s">
        <v>950</v>
      </c>
      <c r="E786" s="299" t="s">
        <v>113</v>
      </c>
      <c r="F786" s="299" t="s">
        <v>59</v>
      </c>
      <c r="G786" s="300">
        <v>44361</v>
      </c>
      <c r="H786" s="303">
        <v>47.526428571428575</v>
      </c>
      <c r="I786" s="301" t="str">
        <f t="shared" si="204"/>
        <v>Ingresos Sección II LISR (SIC &amp; BMV)</v>
      </c>
      <c r="J786" s="302">
        <f t="shared" si="205"/>
        <v>1</v>
      </c>
      <c r="K786" s="304">
        <f t="shared" si="206"/>
        <v>47.526428571428575</v>
      </c>
      <c r="L786" s="305">
        <f>IF(H786=0,0,IF(OR(E786=$AT$5,E786=$AT$6),AA786,IF(F786="MXN",1/HLOOKUP(YEAR(G786)+(MONTH(G786)/100),TC!$5:$37,DAY(G786)+2,FALSE),VLOOKUP(F786,Equivalencia!$5:$23,((MAX(Equivalencia!$3:$3)-YEAR(G786))*14)+MONTH(G786)+2,FALSE))))</f>
        <v>1</v>
      </c>
      <c r="M786" s="306">
        <f t="shared" si="207"/>
        <v>47.526428571428575</v>
      </c>
      <c r="N786" s="305">
        <f>IF(G786=0,0,(IF(OR(E786=$AT$5,E786=$AT$6),AC786,HLOOKUP(YEAR(G786)+(MONTH(G786)/100),TC!$5:$37,DAY(G786)+2,FALSE))))</f>
        <v>19.700199999999999</v>
      </c>
      <c r="O786" s="307">
        <f t="shared" si="208"/>
        <v>936.28014814285712</v>
      </c>
      <c r="P786" s="560">
        <f>IF(G786=0,0,VLOOKUP(YEAR(G786),INPC!$B$4:$P$30,MONTH(G786)+2))</f>
        <v>113.018</v>
      </c>
      <c r="Q786" s="560">
        <f>IF(X786=0,0,IF(OR(E786=$AT$10,E786=$AT$9),VLOOKUP(YEAR(X786),INPC!$B$4:$P$30,MONTH(X786)+1),VLOOKUP(YEAR(X786),INPC!$B$4:$P$30,MONTH(X786)+2,0)))</f>
        <v>122.044</v>
      </c>
      <c r="R786" s="309">
        <f t="shared" si="209"/>
        <v>1.0798000000000001</v>
      </c>
      <c r="S786" s="310">
        <f t="shared" si="210"/>
        <v>1010.9953039646572</v>
      </c>
      <c r="T786" s="555">
        <f t="shared" si="211"/>
        <v>1010.9953039646572</v>
      </c>
      <c r="U786" s="311"/>
      <c r="V786" s="312">
        <v>1</v>
      </c>
      <c r="W786" s="299" t="s">
        <v>194</v>
      </c>
      <c r="X786" s="300">
        <v>44760</v>
      </c>
      <c r="Y786" s="299" t="s">
        <v>59</v>
      </c>
      <c r="Z786" s="303">
        <v>31.779411764705884</v>
      </c>
      <c r="AA786" s="305">
        <f>IF(Z786=0,0,IF(Y786="MXN",1/HLOOKUP(YEAR(X786)+(MONTH(X786)/100),TC!$5:$37,DAY(X786)+2,FALSE),VLOOKUP(Y786,Equivalencia!$1:$23,((MAX(Equivalencia!$3:$3)-YEAR(X786))*14)+MONTH(X786)+2,FALSE)))</f>
        <v>1</v>
      </c>
      <c r="AB786" s="306">
        <f t="shared" si="212"/>
        <v>31.779411764705884</v>
      </c>
      <c r="AC786" s="305">
        <f>+IF(X786=0,0,HLOOKUP(YEAR(X786)+(MONTH(X786)/100),TC!$5:$37,DAY(X786)+2,FALSE))</f>
        <v>20.941500000000001</v>
      </c>
      <c r="AD786" s="307">
        <f t="shared" si="213"/>
        <v>665.50855147058826</v>
      </c>
      <c r="AE786" s="314">
        <f t="shared" si="214"/>
        <v>1010.9953039646572</v>
      </c>
      <c r="AF786" s="315">
        <f t="shared" si="215"/>
        <v>-345.48675249406892</v>
      </c>
      <c r="AG786" s="316">
        <f t="shared" si="216"/>
        <v>1.0931506849315069</v>
      </c>
      <c r="AH786" s="314">
        <v>1</v>
      </c>
      <c r="AI786" s="314">
        <f t="shared" si="217"/>
        <v>-345.48675249406892</v>
      </c>
      <c r="AJ786" s="314">
        <f t="shared" si="218"/>
        <v>0</v>
      </c>
      <c r="AK786" s="317"/>
      <c r="AL786" s="315">
        <f t="shared" si="219"/>
        <v>-15.747016806722691</v>
      </c>
      <c r="AN786" s="554">
        <f t="shared" si="220"/>
        <v>-0.33133179327910434</v>
      </c>
      <c r="AO786" s="314"/>
      <c r="AP786" s="318"/>
    </row>
    <row r="787" spans="2:42">
      <c r="B787" s="296" t="s">
        <v>1254</v>
      </c>
      <c r="C787" s="299" t="s">
        <v>277</v>
      </c>
      <c r="D787" s="298" t="s">
        <v>950</v>
      </c>
      <c r="E787" s="299" t="s">
        <v>113</v>
      </c>
      <c r="F787" s="299" t="s">
        <v>59</v>
      </c>
      <c r="G787" s="300">
        <v>44362</v>
      </c>
      <c r="H787" s="303">
        <v>814.80224299065412</v>
      </c>
      <c r="I787" s="301" t="str">
        <f t="shared" si="204"/>
        <v>Ingresos Sección II LISR (SIC &amp; BMV)</v>
      </c>
      <c r="J787" s="302">
        <f t="shared" si="205"/>
        <v>16</v>
      </c>
      <c r="K787" s="304">
        <f t="shared" si="206"/>
        <v>50.925140186915883</v>
      </c>
      <c r="L787" s="305">
        <f>IF(H787=0,0,IF(OR(E787=$AT$5,E787=$AT$6),AA787,IF(F787="MXN",1/HLOOKUP(YEAR(G787)+(MONTH(G787)/100),TC!$5:$37,DAY(G787)+2,FALSE),VLOOKUP(F787,Equivalencia!$5:$23,((MAX(Equivalencia!$3:$3)-YEAR(G787))*14)+MONTH(G787)+2,FALSE))))</f>
        <v>1</v>
      </c>
      <c r="M787" s="306">
        <f t="shared" si="207"/>
        <v>814.80224299065412</v>
      </c>
      <c r="N787" s="305">
        <f>IF(G787=0,0,(IF(OR(E787=$AT$5,E787=$AT$6),AC787,HLOOKUP(YEAR(G787)+(MONTH(G787)/100),TC!$5:$37,DAY(G787)+2,FALSE))))</f>
        <v>19.882300000000001</v>
      </c>
      <c r="O787" s="307">
        <f t="shared" si="208"/>
        <v>16200.142635813083</v>
      </c>
      <c r="P787" s="560">
        <f>IF(G787=0,0,VLOOKUP(YEAR(G787),INPC!$B$4:$P$30,MONTH(G787)+2))</f>
        <v>113.018</v>
      </c>
      <c r="Q787" s="560">
        <f>IF(X787=0,0,IF(OR(E787=$AT$10,E787=$AT$9),VLOOKUP(YEAR(X787),INPC!$B$4:$P$30,MONTH(X787)+1),VLOOKUP(YEAR(X787),INPC!$B$4:$P$30,MONTH(X787)+2,0)))</f>
        <v>122.044</v>
      </c>
      <c r="R787" s="309">
        <f t="shared" si="209"/>
        <v>1.0798000000000001</v>
      </c>
      <c r="S787" s="310">
        <f t="shared" si="210"/>
        <v>17492.914018150968</v>
      </c>
      <c r="T787" s="555">
        <f t="shared" si="211"/>
        <v>1093.3071261344355</v>
      </c>
      <c r="U787" s="311"/>
      <c r="V787" s="312">
        <v>16</v>
      </c>
      <c r="W787" s="299" t="s">
        <v>194</v>
      </c>
      <c r="X787" s="300">
        <v>44760</v>
      </c>
      <c r="Y787" s="299" t="s">
        <v>59</v>
      </c>
      <c r="Z787" s="303">
        <v>508.47058823529414</v>
      </c>
      <c r="AA787" s="305">
        <f>IF(Z787=0,0,IF(Y787="MXN",1/HLOOKUP(YEAR(X787)+(MONTH(X787)/100),TC!$5:$37,DAY(X787)+2,FALSE),VLOOKUP(Y787,Equivalencia!$1:$23,((MAX(Equivalencia!$3:$3)-YEAR(X787))*14)+MONTH(X787)+2,FALSE)))</f>
        <v>1</v>
      </c>
      <c r="AB787" s="306">
        <f t="shared" si="212"/>
        <v>508.47058823529414</v>
      </c>
      <c r="AC787" s="305">
        <f>+IF(X787=0,0,HLOOKUP(YEAR(X787)+(MONTH(X787)/100),TC!$5:$37,DAY(X787)+2,FALSE))</f>
        <v>20.941500000000001</v>
      </c>
      <c r="AD787" s="307">
        <f t="shared" si="213"/>
        <v>10648.136823529412</v>
      </c>
      <c r="AE787" s="314">
        <f t="shared" si="214"/>
        <v>17492.914018150968</v>
      </c>
      <c r="AF787" s="315">
        <f t="shared" si="215"/>
        <v>-6844.7771946215562</v>
      </c>
      <c r="AG787" s="316">
        <f t="shared" si="216"/>
        <v>1.0904109589041096</v>
      </c>
      <c r="AH787" s="314">
        <v>1</v>
      </c>
      <c r="AI787" s="314">
        <f t="shared" si="217"/>
        <v>-6844.7771946215562</v>
      </c>
      <c r="AJ787" s="314">
        <f t="shared" si="218"/>
        <v>0</v>
      </c>
      <c r="AK787" s="317"/>
      <c r="AL787" s="315">
        <f t="shared" si="219"/>
        <v>-306.33165475535998</v>
      </c>
      <c r="AN787" s="554">
        <f t="shared" si="220"/>
        <v>-0.37595828606337506</v>
      </c>
      <c r="AO787" s="314"/>
      <c r="AP787" s="318"/>
    </row>
    <row r="788" spans="2:42">
      <c r="B788" s="296" t="s">
        <v>1254</v>
      </c>
      <c r="C788" s="299" t="s">
        <v>277</v>
      </c>
      <c r="D788" s="298" t="s">
        <v>950</v>
      </c>
      <c r="E788" s="299" t="s">
        <v>113</v>
      </c>
      <c r="F788" s="299" t="s">
        <v>59</v>
      </c>
      <c r="G788" s="300">
        <v>44362</v>
      </c>
      <c r="H788" s="303">
        <v>4634.1877570093457</v>
      </c>
      <c r="I788" s="301" t="str">
        <f t="shared" si="204"/>
        <v>Ingresos Sección II LISR (SIC &amp; BMV)</v>
      </c>
      <c r="J788" s="302">
        <f t="shared" si="205"/>
        <v>91</v>
      </c>
      <c r="K788" s="304">
        <f t="shared" si="206"/>
        <v>50.92514018691589</v>
      </c>
      <c r="L788" s="305">
        <f>IF(H788=0,0,IF(OR(E788=$AT$5,E788=$AT$6),AA788,IF(F788="MXN",1/HLOOKUP(YEAR(G788)+(MONTH(G788)/100),TC!$5:$37,DAY(G788)+2,FALSE),VLOOKUP(F788,Equivalencia!$5:$23,((MAX(Equivalencia!$3:$3)-YEAR(G788))*14)+MONTH(G788)+2,FALSE))))</f>
        <v>1</v>
      </c>
      <c r="M788" s="306">
        <f t="shared" si="207"/>
        <v>4634.1877570093457</v>
      </c>
      <c r="N788" s="305">
        <f>IF(G788=0,0,(IF(OR(E788=$AT$5,E788=$AT$6),AC788,HLOOKUP(YEAR(G788)+(MONTH(G788)/100),TC!$5:$37,DAY(G788)+2,FALSE))))</f>
        <v>19.882300000000001</v>
      </c>
      <c r="O788" s="307">
        <f t="shared" si="208"/>
        <v>92138.311241186922</v>
      </c>
      <c r="P788" s="560">
        <f>IF(G788=0,0,VLOOKUP(YEAR(G788),INPC!$B$4:$P$30,MONTH(G788)+2))</f>
        <v>113.018</v>
      </c>
      <c r="Q788" s="560">
        <f>IF(X788=0,0,IF(OR(E788=$AT$10,E788=$AT$9),VLOOKUP(YEAR(X788),INPC!$B$4:$P$30,MONTH(X788)+1),VLOOKUP(YEAR(X788),INPC!$B$4:$P$30,MONTH(X788)+2,0)))</f>
        <v>122.044</v>
      </c>
      <c r="R788" s="309">
        <f t="shared" si="209"/>
        <v>1.0798000000000001</v>
      </c>
      <c r="S788" s="310">
        <f t="shared" si="210"/>
        <v>99490.948478233651</v>
      </c>
      <c r="T788" s="555">
        <f t="shared" si="211"/>
        <v>1093.3071261344357</v>
      </c>
      <c r="U788" s="311"/>
      <c r="V788" s="312">
        <v>91</v>
      </c>
      <c r="W788" s="299" t="s">
        <v>194</v>
      </c>
      <c r="X788" s="300">
        <v>44761</v>
      </c>
      <c r="Y788" s="299" t="s">
        <v>59</v>
      </c>
      <c r="Z788" s="303">
        <v>2972.0541290322581</v>
      </c>
      <c r="AA788" s="305">
        <f>IF(Z788=0,0,IF(Y788="MXN",1/HLOOKUP(YEAR(X788)+(MONTH(X788)/100),TC!$5:$37,DAY(X788)+2,FALSE),VLOOKUP(Y788,Equivalencia!$1:$23,((MAX(Equivalencia!$3:$3)-YEAR(X788))*14)+MONTH(X788)+2,FALSE)))</f>
        <v>1</v>
      </c>
      <c r="AB788" s="306">
        <f t="shared" si="212"/>
        <v>2972.0541290322581</v>
      </c>
      <c r="AC788" s="305">
        <f>+IF(X788=0,0,HLOOKUP(YEAR(X788)+(MONTH(X788)/100),TC!$5:$37,DAY(X788)+2,FALSE))</f>
        <v>20.611000000000001</v>
      </c>
      <c r="AD788" s="307">
        <f t="shared" si="213"/>
        <v>61257.007653483874</v>
      </c>
      <c r="AE788" s="314">
        <f t="shared" si="214"/>
        <v>99490.948478233651</v>
      </c>
      <c r="AF788" s="315">
        <f t="shared" si="215"/>
        <v>-38233.940824749778</v>
      </c>
      <c r="AG788" s="316">
        <f t="shared" si="216"/>
        <v>1.0931506849315069</v>
      </c>
      <c r="AH788" s="314">
        <v>1</v>
      </c>
      <c r="AI788" s="314">
        <f t="shared" si="217"/>
        <v>-38233.940824749778</v>
      </c>
      <c r="AJ788" s="314">
        <f t="shared" si="218"/>
        <v>0</v>
      </c>
      <c r="AK788" s="317"/>
      <c r="AL788" s="315">
        <f t="shared" si="219"/>
        <v>-1662.1336279770876</v>
      </c>
      <c r="AN788" s="554">
        <f t="shared" si="220"/>
        <v>-0.35866773534651492</v>
      </c>
      <c r="AO788" s="314"/>
      <c r="AP788" s="318"/>
    </row>
    <row r="789" spans="2:42">
      <c r="B789" s="296" t="s">
        <v>1254</v>
      </c>
      <c r="C789" s="299" t="s">
        <v>277</v>
      </c>
      <c r="D789" s="298" t="s">
        <v>950</v>
      </c>
      <c r="E789" s="299" t="s">
        <v>113</v>
      </c>
      <c r="F789" s="299" t="s">
        <v>59</v>
      </c>
      <c r="G789" s="300">
        <v>44362</v>
      </c>
      <c r="H789" s="303">
        <v>603.54</v>
      </c>
      <c r="I789" s="301" t="str">
        <f t="shared" si="204"/>
        <v>Ingresos Sección II LISR (SIC &amp; BMV)</v>
      </c>
      <c r="J789" s="302">
        <f t="shared" si="205"/>
        <v>12</v>
      </c>
      <c r="K789" s="304">
        <f t="shared" si="206"/>
        <v>50.294999999999995</v>
      </c>
      <c r="L789" s="305">
        <f>IF(H789=0,0,IF(OR(E789=$AT$5,E789=$AT$6),AA789,IF(F789="MXN",1/HLOOKUP(YEAR(G789)+(MONTH(G789)/100),TC!$5:$37,DAY(G789)+2,FALSE),VLOOKUP(F789,Equivalencia!$5:$23,((MAX(Equivalencia!$3:$3)-YEAR(G789))*14)+MONTH(G789)+2,FALSE))))</f>
        <v>1</v>
      </c>
      <c r="M789" s="306">
        <f t="shared" si="207"/>
        <v>603.54</v>
      </c>
      <c r="N789" s="305">
        <f>IF(G789=0,0,(IF(OR(E789=$AT$5,E789=$AT$6),AC789,HLOOKUP(YEAR(G789)+(MONTH(G789)/100),TC!$5:$37,DAY(G789)+2,FALSE))))</f>
        <v>19.882300000000001</v>
      </c>
      <c r="O789" s="307">
        <f t="shared" si="208"/>
        <v>11999.763342</v>
      </c>
      <c r="P789" s="560">
        <f>IF(G789=0,0,VLOOKUP(YEAR(G789),INPC!$B$4:$P$30,MONTH(G789)+2))</f>
        <v>113.018</v>
      </c>
      <c r="Q789" s="560">
        <f>IF(X789=0,0,IF(OR(E789=$AT$10,E789=$AT$9),VLOOKUP(YEAR(X789),INPC!$B$4:$P$30,MONTH(X789)+1),VLOOKUP(YEAR(X789),INPC!$B$4:$P$30,MONTH(X789)+2,0)))</f>
        <v>122.044</v>
      </c>
      <c r="R789" s="309">
        <f t="shared" si="209"/>
        <v>1.0798000000000001</v>
      </c>
      <c r="S789" s="310">
        <f t="shared" si="210"/>
        <v>12957.3444566916</v>
      </c>
      <c r="T789" s="555">
        <f t="shared" si="211"/>
        <v>1079.7787047243</v>
      </c>
      <c r="U789" s="311"/>
      <c r="V789" s="312">
        <v>12</v>
      </c>
      <c r="W789" s="299" t="s">
        <v>194</v>
      </c>
      <c r="X789" s="300">
        <v>44761</v>
      </c>
      <c r="Y789" s="299" t="s">
        <v>59</v>
      </c>
      <c r="Z789" s="303">
        <v>391.91922580645161</v>
      </c>
      <c r="AA789" s="305">
        <f>IF(Z789=0,0,IF(Y789="MXN",1/HLOOKUP(YEAR(X789)+(MONTH(X789)/100),TC!$5:$37,DAY(X789)+2,FALSE),VLOOKUP(Y789,Equivalencia!$1:$23,((MAX(Equivalencia!$3:$3)-YEAR(X789))*14)+MONTH(X789)+2,FALSE)))</f>
        <v>1</v>
      </c>
      <c r="AB789" s="306">
        <f t="shared" si="212"/>
        <v>391.91922580645161</v>
      </c>
      <c r="AC789" s="305">
        <f>+IF(X789=0,0,HLOOKUP(YEAR(X789)+(MONTH(X789)/100),TC!$5:$37,DAY(X789)+2,FALSE))</f>
        <v>20.611000000000001</v>
      </c>
      <c r="AD789" s="307">
        <f t="shared" si="213"/>
        <v>8077.8471630967742</v>
      </c>
      <c r="AE789" s="314">
        <f t="shared" si="214"/>
        <v>12957.3444566916</v>
      </c>
      <c r="AF789" s="315">
        <f t="shared" si="215"/>
        <v>-4879.4972935948263</v>
      </c>
      <c r="AG789" s="316">
        <f t="shared" si="216"/>
        <v>1.0931506849315069</v>
      </c>
      <c r="AH789" s="314">
        <v>1</v>
      </c>
      <c r="AI789" s="314">
        <f t="shared" si="217"/>
        <v>-4879.4972935948263</v>
      </c>
      <c r="AJ789" s="314">
        <f t="shared" si="218"/>
        <v>0</v>
      </c>
      <c r="AK789" s="317"/>
      <c r="AL789" s="315">
        <f t="shared" si="219"/>
        <v>-211.62077419354836</v>
      </c>
      <c r="AN789" s="554">
        <f t="shared" si="220"/>
        <v>-0.35063255822902933</v>
      </c>
      <c r="AO789" s="314"/>
      <c r="AP789" s="318"/>
    </row>
    <row r="790" spans="2:42">
      <c r="B790" s="296" t="s">
        <v>1254</v>
      </c>
      <c r="C790" s="299" t="s">
        <v>277</v>
      </c>
      <c r="D790" s="298" t="s">
        <v>950</v>
      </c>
      <c r="E790" s="299" t="s">
        <v>113</v>
      </c>
      <c r="F790" s="299" t="s">
        <v>59</v>
      </c>
      <c r="G790" s="300">
        <v>44369</v>
      </c>
      <c r="H790" s="303">
        <v>2754.44</v>
      </c>
      <c r="I790" s="301" t="str">
        <f t="shared" si="204"/>
        <v>Ingresos Sección II LISR (SIC &amp; BMV)</v>
      </c>
      <c r="J790" s="302">
        <f t="shared" si="205"/>
        <v>52</v>
      </c>
      <c r="K790" s="304">
        <f t="shared" si="206"/>
        <v>52.97</v>
      </c>
      <c r="L790" s="305">
        <f>IF(H790=0,0,IF(OR(E790=$AT$5,E790=$AT$6),AA790,IF(F790="MXN",1/HLOOKUP(YEAR(G790)+(MONTH(G790)/100),TC!$5:$37,DAY(G790)+2,FALSE),VLOOKUP(F790,Equivalencia!$5:$23,((MAX(Equivalencia!$3:$3)-YEAR(G790))*14)+MONTH(G790)+2,FALSE))))</f>
        <v>1</v>
      </c>
      <c r="M790" s="306">
        <f t="shared" si="207"/>
        <v>2754.44</v>
      </c>
      <c r="N790" s="305">
        <f>IF(G790=0,0,(IF(OR(E790=$AT$5,E790=$AT$6),AC790,HLOOKUP(YEAR(G790)+(MONTH(G790)/100),TC!$5:$37,DAY(G790)+2,FALSE))))</f>
        <v>20.700199999999999</v>
      </c>
      <c r="O790" s="307">
        <f t="shared" si="208"/>
        <v>57017.458888000001</v>
      </c>
      <c r="P790" s="560">
        <f>IF(G790=0,0,VLOOKUP(YEAR(G790),INPC!$B$4:$P$30,MONTH(G790)+2))</f>
        <v>113.018</v>
      </c>
      <c r="Q790" s="560">
        <f>IF(X790=0,0,IF(OR(E790=$AT$10,E790=$AT$9),VLOOKUP(YEAR(X790),INPC!$B$4:$P$30,MONTH(X790)+1),VLOOKUP(YEAR(X790),INPC!$B$4:$P$30,MONTH(X790)+2,0)))</f>
        <v>122.044</v>
      </c>
      <c r="R790" s="309">
        <f t="shared" si="209"/>
        <v>1.0798000000000001</v>
      </c>
      <c r="S790" s="310">
        <f t="shared" si="210"/>
        <v>61567.452107262405</v>
      </c>
      <c r="T790" s="555">
        <f t="shared" si="211"/>
        <v>1183.9894636012</v>
      </c>
      <c r="U790" s="311"/>
      <c r="V790" s="312">
        <v>52</v>
      </c>
      <c r="W790" s="299" t="s">
        <v>194</v>
      </c>
      <c r="X790" s="300">
        <v>44761</v>
      </c>
      <c r="Y790" s="299" t="s">
        <v>59</v>
      </c>
      <c r="Z790" s="303">
        <v>1698.3166451612904</v>
      </c>
      <c r="AA790" s="305">
        <f>IF(Z790=0,0,IF(Y790="MXN",1/HLOOKUP(YEAR(X790)+(MONTH(X790)/100),TC!$5:$37,DAY(X790)+2,FALSE),VLOOKUP(Y790,Equivalencia!$1:$23,((MAX(Equivalencia!$3:$3)-YEAR(X790))*14)+MONTH(X790)+2,FALSE)))</f>
        <v>1</v>
      </c>
      <c r="AB790" s="306">
        <f t="shared" si="212"/>
        <v>1698.3166451612904</v>
      </c>
      <c r="AC790" s="305">
        <f>+IF(X790=0,0,HLOOKUP(YEAR(X790)+(MONTH(X790)/100),TC!$5:$37,DAY(X790)+2,FALSE))</f>
        <v>20.611000000000001</v>
      </c>
      <c r="AD790" s="307">
        <f t="shared" si="213"/>
        <v>35004.004373419353</v>
      </c>
      <c r="AE790" s="314">
        <f t="shared" si="214"/>
        <v>61567.452107262397</v>
      </c>
      <c r="AF790" s="315">
        <f t="shared" si="215"/>
        <v>-26563.447733843044</v>
      </c>
      <c r="AG790" s="316">
        <f t="shared" si="216"/>
        <v>1.0739726027397261</v>
      </c>
      <c r="AH790" s="314">
        <v>1</v>
      </c>
      <c r="AI790" s="314">
        <f t="shared" si="217"/>
        <v>-26563.447733843044</v>
      </c>
      <c r="AJ790" s="314">
        <f t="shared" si="218"/>
        <v>0</v>
      </c>
      <c r="AK790" s="317"/>
      <c r="AL790" s="315">
        <f t="shared" si="219"/>
        <v>-1056.1233548387097</v>
      </c>
      <c r="AN790" s="554">
        <f t="shared" si="220"/>
        <v>-0.38342579792578879</v>
      </c>
      <c r="AO790" s="314"/>
      <c r="AP790" s="318"/>
    </row>
    <row r="791" spans="2:42">
      <c r="B791" s="296" t="s">
        <v>1254</v>
      </c>
      <c r="C791" s="299" t="s">
        <v>277</v>
      </c>
      <c r="D791" s="298" t="s">
        <v>950</v>
      </c>
      <c r="E791" s="299" t="s">
        <v>113</v>
      </c>
      <c r="F791" s="299" t="s">
        <v>59</v>
      </c>
      <c r="G791" s="300">
        <v>44369</v>
      </c>
      <c r="H791" s="303">
        <v>1800.98</v>
      </c>
      <c r="I791" s="301" t="str">
        <f t="shared" si="204"/>
        <v>Ingresos Sección II LISR (SIC &amp; BMV)</v>
      </c>
      <c r="J791" s="302">
        <f t="shared" si="205"/>
        <v>34</v>
      </c>
      <c r="K791" s="304">
        <f t="shared" si="206"/>
        <v>52.97</v>
      </c>
      <c r="L791" s="305">
        <f>IF(H791=0,0,IF(OR(E791=$AT$5,E791=$AT$6),AA791,IF(F791="MXN",1/HLOOKUP(YEAR(G791)+(MONTH(G791)/100),TC!$5:$37,DAY(G791)+2,FALSE),VLOOKUP(F791,Equivalencia!$5:$23,((MAX(Equivalencia!$3:$3)-YEAR(G791))*14)+MONTH(G791)+2,FALSE))))</f>
        <v>1</v>
      </c>
      <c r="M791" s="306">
        <f t="shared" si="207"/>
        <v>1800.98</v>
      </c>
      <c r="N791" s="305">
        <f>IF(G791=0,0,(IF(OR(E791=$AT$5,E791=$AT$6),AC791,HLOOKUP(YEAR(G791)+(MONTH(G791)/100),TC!$5:$37,DAY(G791)+2,FALSE))))</f>
        <v>20.700199999999999</v>
      </c>
      <c r="O791" s="307">
        <f t="shared" si="208"/>
        <v>37280.646196000002</v>
      </c>
      <c r="P791" s="560">
        <f>IF(G791=0,0,VLOOKUP(YEAR(G791),INPC!$B$4:$P$30,MONTH(G791)+2))</f>
        <v>113.018</v>
      </c>
      <c r="Q791" s="560">
        <f>IF(X791=0,0,IF(OR(E791=$AT$10,E791=$AT$9),VLOOKUP(YEAR(X791),INPC!$B$4:$P$30,MONTH(X791)+1),VLOOKUP(YEAR(X791),INPC!$B$4:$P$30,MONTH(X791)+2,0)))</f>
        <v>122.044</v>
      </c>
      <c r="R791" s="309">
        <f t="shared" si="209"/>
        <v>1.0798000000000001</v>
      </c>
      <c r="S791" s="310">
        <f t="shared" si="210"/>
        <v>40255.641762440806</v>
      </c>
      <c r="T791" s="555">
        <f t="shared" si="211"/>
        <v>1183.9894636012002</v>
      </c>
      <c r="U791" s="311"/>
      <c r="V791" s="312">
        <v>34</v>
      </c>
      <c r="W791" s="299" t="s">
        <v>194</v>
      </c>
      <c r="X791" s="300">
        <v>44761</v>
      </c>
      <c r="Y791" s="299" t="s">
        <v>59</v>
      </c>
      <c r="Z791" s="303">
        <v>1110.43</v>
      </c>
      <c r="AA791" s="305">
        <f>IF(Z791=0,0,IF(Y791="MXN",1/HLOOKUP(YEAR(X791)+(MONTH(X791)/100),TC!$5:$37,DAY(X791)+2,FALSE),VLOOKUP(Y791,Equivalencia!$1:$23,((MAX(Equivalencia!$3:$3)-YEAR(X791))*14)+MONTH(X791)+2,FALSE)))</f>
        <v>1</v>
      </c>
      <c r="AB791" s="306">
        <f t="shared" si="212"/>
        <v>1110.43</v>
      </c>
      <c r="AC791" s="305">
        <f>+IF(X791=0,0,HLOOKUP(YEAR(X791)+(MONTH(X791)/100),TC!$5:$37,DAY(X791)+2,FALSE))</f>
        <v>20.611000000000001</v>
      </c>
      <c r="AD791" s="307">
        <f t="shared" si="213"/>
        <v>22887.072730000004</v>
      </c>
      <c r="AE791" s="314">
        <f t="shared" si="214"/>
        <v>40255.641762440806</v>
      </c>
      <c r="AF791" s="315">
        <f t="shared" si="215"/>
        <v>-17368.569032440802</v>
      </c>
      <c r="AG791" s="316">
        <f t="shared" si="216"/>
        <v>1.0739726027397261</v>
      </c>
      <c r="AH791" s="314">
        <v>1</v>
      </c>
      <c r="AI791" s="314">
        <f t="shared" si="217"/>
        <v>-17368.569032440802</v>
      </c>
      <c r="AJ791" s="314">
        <f t="shared" si="218"/>
        <v>0</v>
      </c>
      <c r="AK791" s="317"/>
      <c r="AL791" s="315">
        <f t="shared" si="219"/>
        <v>-690.55</v>
      </c>
      <c r="AN791" s="554">
        <f t="shared" si="220"/>
        <v>-0.38343013248342567</v>
      </c>
      <c r="AO791" s="314"/>
      <c r="AP791" s="318"/>
    </row>
    <row r="792" spans="2:42">
      <c r="B792" s="296" t="s">
        <v>1254</v>
      </c>
      <c r="C792" s="299" t="s">
        <v>277</v>
      </c>
      <c r="D792" s="298" t="s">
        <v>950</v>
      </c>
      <c r="E792" s="299" t="s">
        <v>113</v>
      </c>
      <c r="F792" s="299" t="s">
        <v>59</v>
      </c>
      <c r="G792" s="300">
        <v>44369</v>
      </c>
      <c r="H792" s="303">
        <v>688.61</v>
      </c>
      <c r="I792" s="301" t="str">
        <f t="shared" si="204"/>
        <v>Ingresos Sección II LISR (SIC &amp; BMV)</v>
      </c>
      <c r="J792" s="302">
        <f t="shared" si="205"/>
        <v>13</v>
      </c>
      <c r="K792" s="304">
        <f t="shared" si="206"/>
        <v>52.97</v>
      </c>
      <c r="L792" s="305">
        <f>IF(H792=0,0,IF(OR(E792=$AT$5,E792=$AT$6),AA792,IF(F792="MXN",1/HLOOKUP(YEAR(G792)+(MONTH(G792)/100),TC!$5:$37,DAY(G792)+2,FALSE),VLOOKUP(F792,Equivalencia!$5:$23,((MAX(Equivalencia!$3:$3)-YEAR(G792))*14)+MONTH(G792)+2,FALSE))))</f>
        <v>1</v>
      </c>
      <c r="M792" s="306">
        <f t="shared" si="207"/>
        <v>688.61</v>
      </c>
      <c r="N792" s="305">
        <f>IF(G792=0,0,(IF(OR(E792=$AT$5,E792=$AT$6),AC792,HLOOKUP(YEAR(G792)+(MONTH(G792)/100),TC!$5:$37,DAY(G792)+2,FALSE))))</f>
        <v>20.700199999999999</v>
      </c>
      <c r="O792" s="307">
        <f t="shared" si="208"/>
        <v>14254.364722</v>
      </c>
      <c r="P792" s="560">
        <f>IF(G792=0,0,VLOOKUP(YEAR(G792),INPC!$B$4:$P$30,MONTH(G792)+2))</f>
        <v>113.018</v>
      </c>
      <c r="Q792" s="560">
        <f>IF(X792=0,0,IF(OR(E792=$AT$10,E792=$AT$9),VLOOKUP(YEAR(X792),INPC!$B$4:$P$30,MONTH(X792)+1),VLOOKUP(YEAR(X792),INPC!$B$4:$P$30,MONTH(X792)+2,0)))</f>
        <v>122.044</v>
      </c>
      <c r="R792" s="309">
        <f t="shared" si="209"/>
        <v>1.0798000000000001</v>
      </c>
      <c r="S792" s="310">
        <f t="shared" si="210"/>
        <v>15391.863026815601</v>
      </c>
      <c r="T792" s="555">
        <f t="shared" si="211"/>
        <v>1183.9894636012</v>
      </c>
      <c r="U792" s="311"/>
      <c r="V792" s="312">
        <v>13</v>
      </c>
      <c r="W792" s="299" t="s">
        <v>194</v>
      </c>
      <c r="X792" s="300">
        <v>44761</v>
      </c>
      <c r="Y792" s="299" t="s">
        <v>59</v>
      </c>
      <c r="Z792" s="303">
        <v>428.27</v>
      </c>
      <c r="AA792" s="305">
        <f>IF(Z792=0,0,IF(Y792="MXN",1/HLOOKUP(YEAR(X792)+(MONTH(X792)/100),TC!$5:$37,DAY(X792)+2,FALSE),VLOOKUP(Y792,Equivalencia!$1:$23,((MAX(Equivalencia!$3:$3)-YEAR(X792))*14)+MONTH(X792)+2,FALSE)))</f>
        <v>1</v>
      </c>
      <c r="AB792" s="306">
        <f t="shared" si="212"/>
        <v>428.27</v>
      </c>
      <c r="AC792" s="305">
        <f>+IF(X792=0,0,HLOOKUP(YEAR(X792)+(MONTH(X792)/100),TC!$5:$37,DAY(X792)+2,FALSE))</f>
        <v>20.611000000000001</v>
      </c>
      <c r="AD792" s="307">
        <f t="shared" si="213"/>
        <v>8827.0729699999993</v>
      </c>
      <c r="AE792" s="314">
        <f t="shared" si="214"/>
        <v>15391.863026815599</v>
      </c>
      <c r="AF792" s="315">
        <f t="shared" si="215"/>
        <v>-6564.7900568156001</v>
      </c>
      <c r="AG792" s="316">
        <f t="shared" si="216"/>
        <v>1.0739726027397261</v>
      </c>
      <c r="AH792" s="314">
        <v>1</v>
      </c>
      <c r="AI792" s="314">
        <f t="shared" si="217"/>
        <v>-6564.7900568156001</v>
      </c>
      <c r="AJ792" s="314">
        <f t="shared" si="218"/>
        <v>0</v>
      </c>
      <c r="AK792" s="317"/>
      <c r="AL792" s="315">
        <f t="shared" si="219"/>
        <v>-260.34000000000003</v>
      </c>
      <c r="AN792" s="554">
        <f t="shared" si="220"/>
        <v>-0.37806595896080514</v>
      </c>
      <c r="AO792" s="314"/>
      <c r="AP792" s="318"/>
    </row>
    <row r="793" spans="2:42">
      <c r="B793" s="296" t="s">
        <v>1254</v>
      </c>
      <c r="C793" s="299" t="s">
        <v>277</v>
      </c>
      <c r="D793" s="298" t="s">
        <v>950</v>
      </c>
      <c r="E793" s="299" t="s">
        <v>113</v>
      </c>
      <c r="F793" s="299" t="s">
        <v>59</v>
      </c>
      <c r="G793" s="300">
        <v>44369</v>
      </c>
      <c r="H793" s="303">
        <v>158.91</v>
      </c>
      <c r="I793" s="301" t="str">
        <f t="shared" si="204"/>
        <v>Ingresos Sección II LISR (SIC &amp; BMV)</v>
      </c>
      <c r="J793" s="302">
        <f t="shared" si="205"/>
        <v>3</v>
      </c>
      <c r="K793" s="304">
        <f t="shared" si="206"/>
        <v>52.97</v>
      </c>
      <c r="L793" s="305">
        <f>IF(H793=0,0,IF(OR(E793=$AT$5,E793=$AT$6),AA793,IF(F793="MXN",1/HLOOKUP(YEAR(G793)+(MONTH(G793)/100),TC!$5:$37,DAY(G793)+2,FALSE),VLOOKUP(F793,Equivalencia!$5:$23,((MAX(Equivalencia!$3:$3)-YEAR(G793))*14)+MONTH(G793)+2,FALSE))))</f>
        <v>1</v>
      </c>
      <c r="M793" s="306">
        <f t="shared" si="207"/>
        <v>158.91</v>
      </c>
      <c r="N793" s="305">
        <f>IF(G793=0,0,(IF(OR(E793=$AT$5,E793=$AT$6),AC793,HLOOKUP(YEAR(G793)+(MONTH(G793)/100),TC!$5:$37,DAY(G793)+2,FALSE))))</f>
        <v>20.700199999999999</v>
      </c>
      <c r="O793" s="307">
        <f t="shared" si="208"/>
        <v>3289.4687819999999</v>
      </c>
      <c r="P793" s="560">
        <f>IF(G793=0,0,VLOOKUP(YEAR(G793),INPC!$B$4:$P$30,MONTH(G793)+2))</f>
        <v>113.018</v>
      </c>
      <c r="Q793" s="560">
        <f>IF(X793=0,0,IF(OR(E793=$AT$10,E793=$AT$9),VLOOKUP(YEAR(X793),INPC!$B$4:$P$30,MONTH(X793)+1),VLOOKUP(YEAR(X793),INPC!$B$4:$P$30,MONTH(X793)+2,0)))</f>
        <v>122.044</v>
      </c>
      <c r="R793" s="309">
        <f t="shared" si="209"/>
        <v>1.0798000000000001</v>
      </c>
      <c r="S793" s="310">
        <f t="shared" si="210"/>
        <v>3551.9683908036004</v>
      </c>
      <c r="T793" s="555">
        <f t="shared" si="211"/>
        <v>1183.9894636012002</v>
      </c>
      <c r="U793" s="311"/>
      <c r="V793" s="312">
        <v>3</v>
      </c>
      <c r="W793" s="299" t="s">
        <v>194</v>
      </c>
      <c r="X793" s="300">
        <v>44761</v>
      </c>
      <c r="Y793" s="299" t="s">
        <v>59</v>
      </c>
      <c r="Z793" s="303">
        <v>98.830000000000013</v>
      </c>
      <c r="AA793" s="305">
        <f>IF(Z793=0,0,IF(Y793="MXN",1/HLOOKUP(YEAR(X793)+(MONTH(X793)/100),TC!$5:$37,DAY(X793)+2,FALSE),VLOOKUP(Y793,Equivalencia!$1:$23,((MAX(Equivalencia!$3:$3)-YEAR(X793))*14)+MONTH(X793)+2,FALSE)))</f>
        <v>1</v>
      </c>
      <c r="AB793" s="306">
        <f t="shared" si="212"/>
        <v>98.830000000000013</v>
      </c>
      <c r="AC793" s="305">
        <f>+IF(X793=0,0,HLOOKUP(YEAR(X793)+(MONTH(X793)/100),TC!$5:$37,DAY(X793)+2,FALSE))</f>
        <v>20.611000000000001</v>
      </c>
      <c r="AD793" s="307">
        <f t="shared" si="213"/>
        <v>2036.9851300000003</v>
      </c>
      <c r="AE793" s="314">
        <f t="shared" si="214"/>
        <v>3551.9683908036004</v>
      </c>
      <c r="AF793" s="315">
        <f t="shared" si="215"/>
        <v>-1514.9832608036002</v>
      </c>
      <c r="AG793" s="316">
        <f t="shared" si="216"/>
        <v>1.0739726027397261</v>
      </c>
      <c r="AH793" s="314">
        <v>1</v>
      </c>
      <c r="AI793" s="314">
        <f t="shared" si="217"/>
        <v>-1514.9832608036002</v>
      </c>
      <c r="AJ793" s="314">
        <f t="shared" si="218"/>
        <v>0</v>
      </c>
      <c r="AK793" s="317"/>
      <c r="AL793" s="315">
        <f t="shared" si="219"/>
        <v>-60.079999999999984</v>
      </c>
      <c r="AN793" s="554">
        <f t="shared" si="220"/>
        <v>-0.37807564029954055</v>
      </c>
      <c r="AO793" s="314"/>
      <c r="AP793" s="318"/>
    </row>
    <row r="794" spans="2:42">
      <c r="B794" s="296" t="s">
        <v>1254</v>
      </c>
      <c r="C794" s="299" t="s">
        <v>277</v>
      </c>
      <c r="D794" s="298" t="s">
        <v>950</v>
      </c>
      <c r="E794" s="299" t="s">
        <v>113</v>
      </c>
      <c r="F794" s="299" t="s">
        <v>59</v>
      </c>
      <c r="G794" s="300">
        <v>44369</v>
      </c>
      <c r="H794" s="303">
        <v>105.94</v>
      </c>
      <c r="I794" s="301" t="str">
        <f t="shared" si="204"/>
        <v>Ingresos Sección II LISR (SIC &amp; BMV)</v>
      </c>
      <c r="J794" s="302">
        <f t="shared" si="205"/>
        <v>2</v>
      </c>
      <c r="K794" s="304">
        <f t="shared" si="206"/>
        <v>52.97</v>
      </c>
      <c r="L794" s="305">
        <f>IF(H794=0,0,IF(OR(E794=$AT$5,E794=$AT$6),AA794,IF(F794="MXN",1/HLOOKUP(YEAR(G794)+(MONTH(G794)/100),TC!$5:$37,DAY(G794)+2,FALSE),VLOOKUP(F794,Equivalencia!$5:$23,((MAX(Equivalencia!$3:$3)-YEAR(G794))*14)+MONTH(G794)+2,FALSE))))</f>
        <v>1</v>
      </c>
      <c r="M794" s="306">
        <f t="shared" si="207"/>
        <v>105.94</v>
      </c>
      <c r="N794" s="305">
        <f>IF(G794=0,0,(IF(OR(E794=$AT$5,E794=$AT$6),AC794,HLOOKUP(YEAR(G794)+(MONTH(G794)/100),TC!$5:$37,DAY(G794)+2,FALSE))))</f>
        <v>20.700199999999999</v>
      </c>
      <c r="O794" s="307">
        <f t="shared" si="208"/>
        <v>2192.9791879999998</v>
      </c>
      <c r="P794" s="560">
        <f>IF(G794=0,0,VLOOKUP(YEAR(G794),INPC!$B$4:$P$30,MONTH(G794)+2))</f>
        <v>113.018</v>
      </c>
      <c r="Q794" s="560">
        <f>IF(X794=0,0,IF(OR(E794=$AT$10,E794=$AT$9),VLOOKUP(YEAR(X794),INPC!$B$4:$P$30,MONTH(X794)+1),VLOOKUP(YEAR(X794),INPC!$B$4:$P$30,MONTH(X794)+2,0)))</f>
        <v>122.044</v>
      </c>
      <c r="R794" s="309">
        <f t="shared" si="209"/>
        <v>1.0798000000000001</v>
      </c>
      <c r="S794" s="310">
        <f t="shared" si="210"/>
        <v>2367.9789272024</v>
      </c>
      <c r="T794" s="555">
        <f t="shared" si="211"/>
        <v>1183.9894636012</v>
      </c>
      <c r="U794" s="311"/>
      <c r="V794" s="312">
        <v>2</v>
      </c>
      <c r="W794" s="299" t="s">
        <v>194</v>
      </c>
      <c r="X794" s="300">
        <v>44761</v>
      </c>
      <c r="Y794" s="299" t="s">
        <v>59</v>
      </c>
      <c r="Z794" s="303">
        <v>64.94</v>
      </c>
      <c r="AA794" s="305">
        <f>IF(Z794=0,0,IF(Y794="MXN",1/HLOOKUP(YEAR(X794)+(MONTH(X794)/100),TC!$5:$37,DAY(X794)+2,FALSE),VLOOKUP(Y794,Equivalencia!$1:$23,((MAX(Equivalencia!$3:$3)-YEAR(X794))*14)+MONTH(X794)+2,FALSE)))</f>
        <v>1</v>
      </c>
      <c r="AB794" s="306">
        <f t="shared" si="212"/>
        <v>64.94</v>
      </c>
      <c r="AC794" s="305">
        <f>+IF(X794=0,0,HLOOKUP(YEAR(X794)+(MONTH(X794)/100),TC!$5:$37,DAY(X794)+2,FALSE))</f>
        <v>20.611000000000001</v>
      </c>
      <c r="AD794" s="307">
        <f t="shared" si="213"/>
        <v>1338.4783399999999</v>
      </c>
      <c r="AE794" s="314">
        <f t="shared" si="214"/>
        <v>2367.9789272024</v>
      </c>
      <c r="AF794" s="315">
        <f t="shared" si="215"/>
        <v>-1029.5005872024001</v>
      </c>
      <c r="AG794" s="316">
        <f t="shared" si="216"/>
        <v>1.0739726027397261</v>
      </c>
      <c r="AH794" s="314">
        <v>1</v>
      </c>
      <c r="AI794" s="314">
        <f t="shared" si="217"/>
        <v>-1029.5005872024001</v>
      </c>
      <c r="AJ794" s="314">
        <f t="shared" si="218"/>
        <v>0</v>
      </c>
      <c r="AK794" s="317"/>
      <c r="AL794" s="315">
        <f t="shared" si="219"/>
        <v>-41</v>
      </c>
      <c r="AN794" s="554">
        <f t="shared" si="220"/>
        <v>-0.38701151595242589</v>
      </c>
      <c r="AO794" s="314"/>
      <c r="AP794" s="318"/>
    </row>
    <row r="795" spans="2:42">
      <c r="B795" s="296" t="s">
        <v>1254</v>
      </c>
      <c r="C795" s="299" t="s">
        <v>277</v>
      </c>
      <c r="D795" s="298" t="s">
        <v>950</v>
      </c>
      <c r="E795" s="299" t="s">
        <v>113</v>
      </c>
      <c r="F795" s="299" t="s">
        <v>59</v>
      </c>
      <c r="G795" s="300">
        <v>44369</v>
      </c>
      <c r="H795" s="303">
        <v>2383.65</v>
      </c>
      <c r="I795" s="301" t="str">
        <f t="shared" si="204"/>
        <v>Ingresos Sección II LISR (SIC &amp; BMV)</v>
      </c>
      <c r="J795" s="302">
        <f t="shared" si="205"/>
        <v>45</v>
      </c>
      <c r="K795" s="304">
        <f t="shared" si="206"/>
        <v>52.97</v>
      </c>
      <c r="L795" s="305">
        <f>IF(H795=0,0,IF(OR(E795=$AT$5,E795=$AT$6),AA795,IF(F795="MXN",1/HLOOKUP(YEAR(G795)+(MONTH(G795)/100),TC!$5:$37,DAY(G795)+2,FALSE),VLOOKUP(F795,Equivalencia!$5:$23,((MAX(Equivalencia!$3:$3)-YEAR(G795))*14)+MONTH(G795)+2,FALSE))))</f>
        <v>1</v>
      </c>
      <c r="M795" s="306">
        <f t="shared" si="207"/>
        <v>2383.65</v>
      </c>
      <c r="N795" s="305">
        <f>IF(G795=0,0,(IF(OR(E795=$AT$5,E795=$AT$6),AC795,HLOOKUP(YEAR(G795)+(MONTH(G795)/100),TC!$5:$37,DAY(G795)+2,FALSE))))</f>
        <v>20.700199999999999</v>
      </c>
      <c r="O795" s="307">
        <f t="shared" si="208"/>
        <v>49342.031730000002</v>
      </c>
      <c r="P795" s="560">
        <f>IF(G795=0,0,VLOOKUP(YEAR(G795),INPC!$B$4:$P$30,MONTH(G795)+2))</f>
        <v>113.018</v>
      </c>
      <c r="Q795" s="560">
        <f>IF(X795=0,0,IF(OR(E795=$AT$10,E795=$AT$9),VLOOKUP(YEAR(X795),INPC!$B$4:$P$30,MONTH(X795)+1),VLOOKUP(YEAR(X795),INPC!$B$4:$P$30,MONTH(X795)+2,0)))</f>
        <v>122.044</v>
      </c>
      <c r="R795" s="309">
        <f t="shared" si="209"/>
        <v>1.0798000000000001</v>
      </c>
      <c r="S795" s="310">
        <f t="shared" si="210"/>
        <v>53279.525862054004</v>
      </c>
      <c r="T795" s="555">
        <f t="shared" si="211"/>
        <v>1183.9894636012</v>
      </c>
      <c r="U795" s="311"/>
      <c r="V795" s="312">
        <v>45</v>
      </c>
      <c r="W795" s="299" t="s">
        <v>194</v>
      </c>
      <c r="X795" s="300">
        <v>44762</v>
      </c>
      <c r="Y795" s="299" t="s">
        <v>59</v>
      </c>
      <c r="Z795" s="303">
        <v>1556.9</v>
      </c>
      <c r="AA795" s="305">
        <f>IF(Z795=0,0,IF(Y795="MXN",1/HLOOKUP(YEAR(X795)+(MONTH(X795)/100),TC!$5:$37,DAY(X795)+2,FALSE),VLOOKUP(Y795,Equivalencia!$1:$23,((MAX(Equivalencia!$3:$3)-YEAR(X795))*14)+MONTH(X795)+2,FALSE)))</f>
        <v>1</v>
      </c>
      <c r="AB795" s="306">
        <f t="shared" si="212"/>
        <v>1556.9</v>
      </c>
      <c r="AC795" s="305">
        <f>+IF(X795=0,0,HLOOKUP(YEAR(X795)+(MONTH(X795)/100),TC!$5:$37,DAY(X795)+2,FALSE))</f>
        <v>20.395700000000001</v>
      </c>
      <c r="AD795" s="307">
        <f t="shared" si="213"/>
        <v>31754.065330000005</v>
      </c>
      <c r="AE795" s="314">
        <f t="shared" si="214"/>
        <v>53279.525862053997</v>
      </c>
      <c r="AF795" s="315">
        <f t="shared" si="215"/>
        <v>-21525.460532053992</v>
      </c>
      <c r="AG795" s="316">
        <f t="shared" si="216"/>
        <v>1.0767123287671232</v>
      </c>
      <c r="AH795" s="314">
        <v>1</v>
      </c>
      <c r="AI795" s="314">
        <f t="shared" si="217"/>
        <v>-21525.460532053992</v>
      </c>
      <c r="AJ795" s="314">
        <f t="shared" si="218"/>
        <v>0</v>
      </c>
      <c r="AK795" s="317"/>
      <c r="AL795" s="315">
        <f t="shared" si="219"/>
        <v>-826.75</v>
      </c>
      <c r="AN795" s="554">
        <f t="shared" si="220"/>
        <v>-0.34684202798229602</v>
      </c>
      <c r="AO795" s="314"/>
      <c r="AP795" s="318"/>
    </row>
    <row r="796" spans="2:42">
      <c r="B796" s="296" t="s">
        <v>1254</v>
      </c>
      <c r="C796" s="299" t="s">
        <v>277</v>
      </c>
      <c r="D796" s="298" t="s">
        <v>950</v>
      </c>
      <c r="E796" s="299" t="s">
        <v>113</v>
      </c>
      <c r="F796" s="299" t="s">
        <v>59</v>
      </c>
      <c r="G796" s="300">
        <v>44369</v>
      </c>
      <c r="H796" s="303">
        <v>847.52</v>
      </c>
      <c r="I796" s="301" t="str">
        <f t="shared" si="204"/>
        <v>Ingresos Sección II LISR (SIC &amp; BMV)</v>
      </c>
      <c r="J796" s="302">
        <f t="shared" si="205"/>
        <v>16</v>
      </c>
      <c r="K796" s="304">
        <f t="shared" si="206"/>
        <v>52.97</v>
      </c>
      <c r="L796" s="305">
        <f>IF(H796=0,0,IF(OR(E796=$AT$5,E796=$AT$6),AA796,IF(F796="MXN",1/HLOOKUP(YEAR(G796)+(MONTH(G796)/100),TC!$5:$37,DAY(G796)+2,FALSE),VLOOKUP(F796,Equivalencia!$5:$23,((MAX(Equivalencia!$3:$3)-YEAR(G796))*14)+MONTH(G796)+2,FALSE))))</f>
        <v>1</v>
      </c>
      <c r="M796" s="306">
        <f t="shared" si="207"/>
        <v>847.52</v>
      </c>
      <c r="N796" s="305">
        <f>IF(G796=0,0,(IF(OR(E796=$AT$5,E796=$AT$6),AC796,HLOOKUP(YEAR(G796)+(MONTH(G796)/100),TC!$5:$37,DAY(G796)+2,FALSE))))</f>
        <v>20.700199999999999</v>
      </c>
      <c r="O796" s="307">
        <f t="shared" si="208"/>
        <v>17543.833503999998</v>
      </c>
      <c r="P796" s="560">
        <f>IF(G796=0,0,VLOOKUP(YEAR(G796),INPC!$B$4:$P$30,MONTH(G796)+2))</f>
        <v>113.018</v>
      </c>
      <c r="Q796" s="560">
        <f>IF(X796=0,0,IF(OR(E796=$AT$10,E796=$AT$9),VLOOKUP(YEAR(X796),INPC!$B$4:$P$30,MONTH(X796)+1),VLOOKUP(YEAR(X796),INPC!$B$4:$P$30,MONTH(X796)+2,0)))</f>
        <v>122.044</v>
      </c>
      <c r="R796" s="309">
        <f t="shared" si="209"/>
        <v>1.0798000000000001</v>
      </c>
      <c r="S796" s="310">
        <f t="shared" si="210"/>
        <v>18943.8314176192</v>
      </c>
      <c r="T796" s="555">
        <f t="shared" si="211"/>
        <v>1183.9894636012</v>
      </c>
      <c r="U796" s="311"/>
      <c r="V796" s="312">
        <v>16</v>
      </c>
      <c r="W796" s="299" t="s">
        <v>194</v>
      </c>
      <c r="X796" s="300">
        <v>44762</v>
      </c>
      <c r="Y796" s="299" t="s">
        <v>59</v>
      </c>
      <c r="Z796" s="303">
        <v>547.30999999999995</v>
      </c>
      <c r="AA796" s="305">
        <f>IF(Z796=0,0,IF(Y796="MXN",1/HLOOKUP(YEAR(X796)+(MONTH(X796)/100),TC!$5:$37,DAY(X796)+2,FALSE),VLOOKUP(Y796,Equivalencia!$1:$23,((MAX(Equivalencia!$3:$3)-YEAR(X796))*14)+MONTH(X796)+2,FALSE)))</f>
        <v>1</v>
      </c>
      <c r="AB796" s="306">
        <f t="shared" si="212"/>
        <v>547.30999999999995</v>
      </c>
      <c r="AC796" s="305">
        <f>+IF(X796=0,0,HLOOKUP(YEAR(X796)+(MONTH(X796)/100),TC!$5:$37,DAY(X796)+2,FALSE))</f>
        <v>20.395700000000001</v>
      </c>
      <c r="AD796" s="307">
        <f t="shared" si="213"/>
        <v>11162.770567</v>
      </c>
      <c r="AE796" s="314">
        <f t="shared" si="214"/>
        <v>18943.8314176192</v>
      </c>
      <c r="AF796" s="315">
        <f t="shared" si="215"/>
        <v>-7781.0608506192002</v>
      </c>
      <c r="AG796" s="316">
        <f t="shared" si="216"/>
        <v>1.0767123287671232</v>
      </c>
      <c r="AH796" s="314">
        <v>1</v>
      </c>
      <c r="AI796" s="314">
        <f t="shared" si="217"/>
        <v>-7781.0608506192002</v>
      </c>
      <c r="AJ796" s="314">
        <f t="shared" si="218"/>
        <v>0</v>
      </c>
      <c r="AK796" s="317"/>
      <c r="AL796" s="315">
        <f t="shared" si="219"/>
        <v>-300.21000000000004</v>
      </c>
      <c r="AN796" s="554">
        <f t="shared" si="220"/>
        <v>-0.35422172928072498</v>
      </c>
      <c r="AO796" s="314"/>
      <c r="AP796" s="318"/>
    </row>
    <row r="797" spans="2:42">
      <c r="B797" s="296" t="s">
        <v>1254</v>
      </c>
      <c r="C797" s="299" t="s">
        <v>277</v>
      </c>
      <c r="D797" s="298" t="s">
        <v>950</v>
      </c>
      <c r="E797" s="299" t="s">
        <v>113</v>
      </c>
      <c r="F797" s="299" t="s">
        <v>59</v>
      </c>
      <c r="G797" s="300">
        <v>44369</v>
      </c>
      <c r="H797" s="303">
        <v>582.66999999999996</v>
      </c>
      <c r="I797" s="301" t="str">
        <f t="shared" si="204"/>
        <v>Ingresos Sección II LISR (SIC &amp; BMV)</v>
      </c>
      <c r="J797" s="302">
        <f t="shared" si="205"/>
        <v>11</v>
      </c>
      <c r="K797" s="304">
        <f t="shared" si="206"/>
        <v>52.97</v>
      </c>
      <c r="L797" s="305">
        <f>IF(H797=0,0,IF(OR(E797=$AT$5,E797=$AT$6),AA797,IF(F797="MXN",1/HLOOKUP(YEAR(G797)+(MONTH(G797)/100),TC!$5:$37,DAY(G797)+2,FALSE),VLOOKUP(F797,Equivalencia!$5:$23,((MAX(Equivalencia!$3:$3)-YEAR(G797))*14)+MONTH(G797)+2,FALSE))))</f>
        <v>1</v>
      </c>
      <c r="M797" s="306">
        <f t="shared" si="207"/>
        <v>582.66999999999996</v>
      </c>
      <c r="N797" s="305">
        <f>IF(G797=0,0,(IF(OR(E797=$AT$5,E797=$AT$6),AC797,HLOOKUP(YEAR(G797)+(MONTH(G797)/100),TC!$5:$37,DAY(G797)+2,FALSE))))</f>
        <v>20.700199999999999</v>
      </c>
      <c r="O797" s="307">
        <f t="shared" si="208"/>
        <v>12061.385533999999</v>
      </c>
      <c r="P797" s="560">
        <f>IF(G797=0,0,VLOOKUP(YEAR(G797),INPC!$B$4:$P$30,MONTH(G797)+2))</f>
        <v>113.018</v>
      </c>
      <c r="Q797" s="560">
        <f>IF(X797=0,0,IF(OR(E797=$AT$10,E797=$AT$9),VLOOKUP(YEAR(X797),INPC!$B$4:$P$30,MONTH(X797)+1),VLOOKUP(YEAR(X797),INPC!$B$4:$P$30,MONTH(X797)+2,0)))</f>
        <v>122.044</v>
      </c>
      <c r="R797" s="309">
        <f t="shared" si="209"/>
        <v>1.0798000000000001</v>
      </c>
      <c r="S797" s="310">
        <f t="shared" si="210"/>
        <v>13023.8840996132</v>
      </c>
      <c r="T797" s="555">
        <f t="shared" si="211"/>
        <v>1183.9894636012</v>
      </c>
      <c r="U797" s="311"/>
      <c r="V797" s="312">
        <v>11</v>
      </c>
      <c r="W797" s="299" t="s">
        <v>194</v>
      </c>
      <c r="X797" s="300">
        <v>44762</v>
      </c>
      <c r="Y797" s="299" t="s">
        <v>59</v>
      </c>
      <c r="Z797" s="303">
        <v>379.14</v>
      </c>
      <c r="AA797" s="305">
        <f>IF(Z797=0,0,IF(Y797="MXN",1/HLOOKUP(YEAR(X797)+(MONTH(X797)/100),TC!$5:$37,DAY(X797)+2,FALSE),VLOOKUP(Y797,Equivalencia!$1:$23,((MAX(Equivalencia!$3:$3)-YEAR(X797))*14)+MONTH(X797)+2,FALSE)))</f>
        <v>1</v>
      </c>
      <c r="AB797" s="306">
        <f t="shared" si="212"/>
        <v>379.14</v>
      </c>
      <c r="AC797" s="305">
        <f>+IF(X797=0,0,HLOOKUP(YEAR(X797)+(MONTH(X797)/100),TC!$5:$37,DAY(X797)+2,FALSE))</f>
        <v>20.395700000000001</v>
      </c>
      <c r="AD797" s="307">
        <f t="shared" si="213"/>
        <v>7732.8256980000006</v>
      </c>
      <c r="AE797" s="314">
        <f t="shared" si="214"/>
        <v>13023.8840996132</v>
      </c>
      <c r="AF797" s="315">
        <f t="shared" si="215"/>
        <v>-5291.0584016131997</v>
      </c>
      <c r="AG797" s="316">
        <f t="shared" si="216"/>
        <v>1.0767123287671232</v>
      </c>
      <c r="AH797" s="314">
        <v>1</v>
      </c>
      <c r="AI797" s="314">
        <f t="shared" si="217"/>
        <v>-5291.0584016131997</v>
      </c>
      <c r="AJ797" s="314">
        <f t="shared" si="218"/>
        <v>0</v>
      </c>
      <c r="AK797" s="317"/>
      <c r="AL797" s="315">
        <f t="shared" si="219"/>
        <v>-203.52999999999997</v>
      </c>
      <c r="AN797" s="554">
        <f t="shared" si="220"/>
        <v>-0.3493057820035354</v>
      </c>
      <c r="AO797" s="314"/>
      <c r="AP797" s="318"/>
    </row>
    <row r="798" spans="2:42">
      <c r="B798" s="296" t="s">
        <v>1254</v>
      </c>
      <c r="C798" s="299" t="s">
        <v>277</v>
      </c>
      <c r="D798" s="298" t="s">
        <v>950</v>
      </c>
      <c r="E798" s="299" t="s">
        <v>113</v>
      </c>
      <c r="F798" s="299" t="s">
        <v>59</v>
      </c>
      <c r="G798" s="300">
        <v>44369</v>
      </c>
      <c r="H798" s="303">
        <v>529.70000000000005</v>
      </c>
      <c r="I798" s="301" t="str">
        <f t="shared" si="204"/>
        <v>Ingresos Sección II LISR (SIC &amp; BMV)</v>
      </c>
      <c r="J798" s="302">
        <f t="shared" si="205"/>
        <v>10</v>
      </c>
      <c r="K798" s="304">
        <f t="shared" si="206"/>
        <v>52.970000000000006</v>
      </c>
      <c r="L798" s="305">
        <f>IF(H798=0,0,IF(OR(E798=$AT$5,E798=$AT$6),AA798,IF(F798="MXN",1/HLOOKUP(YEAR(G798)+(MONTH(G798)/100),TC!$5:$37,DAY(G798)+2,FALSE),VLOOKUP(F798,Equivalencia!$5:$23,((MAX(Equivalencia!$3:$3)-YEAR(G798))*14)+MONTH(G798)+2,FALSE))))</f>
        <v>1</v>
      </c>
      <c r="M798" s="306">
        <f t="shared" si="207"/>
        <v>529.70000000000005</v>
      </c>
      <c r="N798" s="305">
        <f>IF(G798=0,0,(IF(OR(E798=$AT$5,E798=$AT$6),AC798,HLOOKUP(YEAR(G798)+(MONTH(G798)/100),TC!$5:$37,DAY(G798)+2,FALSE))))</f>
        <v>20.700199999999999</v>
      </c>
      <c r="O798" s="307">
        <f t="shared" si="208"/>
        <v>10964.89594</v>
      </c>
      <c r="P798" s="560">
        <f>IF(G798=0,0,VLOOKUP(YEAR(G798),INPC!$B$4:$P$30,MONTH(G798)+2))</f>
        <v>113.018</v>
      </c>
      <c r="Q798" s="560">
        <f>IF(X798=0,0,IF(OR(E798=$AT$10,E798=$AT$9),VLOOKUP(YEAR(X798),INPC!$B$4:$P$30,MONTH(X798)+1),VLOOKUP(YEAR(X798),INPC!$B$4:$P$30,MONTH(X798)+2,0)))</f>
        <v>122.044</v>
      </c>
      <c r="R798" s="309">
        <f t="shared" si="209"/>
        <v>1.0798000000000001</v>
      </c>
      <c r="S798" s="310">
        <f t="shared" si="210"/>
        <v>11839.894636012001</v>
      </c>
      <c r="T798" s="555">
        <f t="shared" si="211"/>
        <v>1183.9894636012</v>
      </c>
      <c r="U798" s="311"/>
      <c r="V798" s="312">
        <v>10</v>
      </c>
      <c r="W798" s="299" t="s">
        <v>194</v>
      </c>
      <c r="X798" s="300">
        <v>44762</v>
      </c>
      <c r="Y798" s="299" t="s">
        <v>59</v>
      </c>
      <c r="Z798" s="303">
        <v>345.98</v>
      </c>
      <c r="AA798" s="305">
        <f>IF(Z798=0,0,IF(Y798="MXN",1/HLOOKUP(YEAR(X798)+(MONTH(X798)/100),TC!$5:$37,DAY(X798)+2,FALSE),VLOOKUP(Y798,Equivalencia!$1:$23,((MAX(Equivalencia!$3:$3)-YEAR(X798))*14)+MONTH(X798)+2,FALSE)))</f>
        <v>1</v>
      </c>
      <c r="AB798" s="306">
        <f t="shared" si="212"/>
        <v>345.98</v>
      </c>
      <c r="AC798" s="305">
        <f>+IF(X798=0,0,HLOOKUP(YEAR(X798)+(MONTH(X798)/100),TC!$5:$37,DAY(X798)+2,FALSE))</f>
        <v>20.395700000000001</v>
      </c>
      <c r="AD798" s="307">
        <f t="shared" si="213"/>
        <v>7056.5042860000012</v>
      </c>
      <c r="AE798" s="314">
        <f t="shared" si="214"/>
        <v>11839.894636011999</v>
      </c>
      <c r="AF798" s="315">
        <f t="shared" si="215"/>
        <v>-4783.3903500119977</v>
      </c>
      <c r="AG798" s="316">
        <f t="shared" si="216"/>
        <v>1.0767123287671232</v>
      </c>
      <c r="AH798" s="314">
        <v>1</v>
      </c>
      <c r="AI798" s="314">
        <f t="shared" si="217"/>
        <v>-4783.3903500119977</v>
      </c>
      <c r="AJ798" s="314">
        <f t="shared" si="218"/>
        <v>0</v>
      </c>
      <c r="AK798" s="317"/>
      <c r="AL798" s="315">
        <f t="shared" si="219"/>
        <v>-183.72000000000003</v>
      </c>
      <c r="AN798" s="554">
        <f t="shared" si="220"/>
        <v>-0.34683783273551066</v>
      </c>
      <c r="AO798" s="314"/>
      <c r="AP798" s="318"/>
    </row>
    <row r="799" spans="2:42">
      <c r="B799" s="296" t="s">
        <v>1254</v>
      </c>
      <c r="C799" s="299" t="s">
        <v>277</v>
      </c>
      <c r="D799" s="298" t="s">
        <v>950</v>
      </c>
      <c r="E799" s="299" t="s">
        <v>113</v>
      </c>
      <c r="F799" s="299" t="s">
        <v>59</v>
      </c>
      <c r="G799" s="300">
        <v>44369</v>
      </c>
      <c r="H799" s="303">
        <v>476.73</v>
      </c>
      <c r="I799" s="301" t="str">
        <f t="shared" si="204"/>
        <v>Ingresos Sección II LISR (SIC &amp; BMV)</v>
      </c>
      <c r="J799" s="302">
        <f t="shared" si="205"/>
        <v>9</v>
      </c>
      <c r="K799" s="304">
        <f t="shared" si="206"/>
        <v>52.97</v>
      </c>
      <c r="L799" s="305">
        <f>IF(H799=0,0,IF(OR(E799=$AT$5,E799=$AT$6),AA799,IF(F799="MXN",1/HLOOKUP(YEAR(G799)+(MONTH(G799)/100),TC!$5:$37,DAY(G799)+2,FALSE),VLOOKUP(F799,Equivalencia!$5:$23,((MAX(Equivalencia!$3:$3)-YEAR(G799))*14)+MONTH(G799)+2,FALSE))))</f>
        <v>1</v>
      </c>
      <c r="M799" s="306">
        <f t="shared" si="207"/>
        <v>476.73</v>
      </c>
      <c r="N799" s="305">
        <f>IF(G799=0,0,(IF(OR(E799=$AT$5,E799=$AT$6),AC799,HLOOKUP(YEAR(G799)+(MONTH(G799)/100),TC!$5:$37,DAY(G799)+2,FALSE))))</f>
        <v>20.700199999999999</v>
      </c>
      <c r="O799" s="307">
        <f t="shared" si="208"/>
        <v>9868.4063459999998</v>
      </c>
      <c r="P799" s="560">
        <f>IF(G799=0,0,VLOOKUP(YEAR(G799),INPC!$B$4:$P$30,MONTH(G799)+2))</f>
        <v>113.018</v>
      </c>
      <c r="Q799" s="560">
        <f>IF(X799=0,0,IF(OR(E799=$AT$10,E799=$AT$9),VLOOKUP(YEAR(X799),INPC!$B$4:$P$30,MONTH(X799)+1),VLOOKUP(YEAR(X799),INPC!$B$4:$P$30,MONTH(X799)+2,0)))</f>
        <v>122.044</v>
      </c>
      <c r="R799" s="309">
        <f t="shared" si="209"/>
        <v>1.0798000000000001</v>
      </c>
      <c r="S799" s="310">
        <f t="shared" si="210"/>
        <v>10655.905172410801</v>
      </c>
      <c r="T799" s="555">
        <f t="shared" si="211"/>
        <v>1183.9894636012002</v>
      </c>
      <c r="U799" s="311"/>
      <c r="V799" s="312">
        <v>9</v>
      </c>
      <c r="W799" s="299" t="s">
        <v>194</v>
      </c>
      <c r="X799" s="300">
        <v>44762</v>
      </c>
      <c r="Y799" s="299" t="s">
        <v>59</v>
      </c>
      <c r="Z799" s="303">
        <v>312.11</v>
      </c>
      <c r="AA799" s="305">
        <f>IF(Z799=0,0,IF(Y799="MXN",1/HLOOKUP(YEAR(X799)+(MONTH(X799)/100),TC!$5:$37,DAY(X799)+2,FALSE),VLOOKUP(Y799,Equivalencia!$1:$23,((MAX(Equivalencia!$3:$3)-YEAR(X799))*14)+MONTH(X799)+2,FALSE)))</f>
        <v>1</v>
      </c>
      <c r="AB799" s="306">
        <f t="shared" si="212"/>
        <v>312.11</v>
      </c>
      <c r="AC799" s="305">
        <f>+IF(X799=0,0,HLOOKUP(YEAR(X799)+(MONTH(X799)/100),TC!$5:$37,DAY(X799)+2,FALSE))</f>
        <v>20.395700000000001</v>
      </c>
      <c r="AD799" s="307">
        <f t="shared" si="213"/>
        <v>6365.701927000001</v>
      </c>
      <c r="AE799" s="314">
        <f t="shared" si="214"/>
        <v>10655.905172410801</v>
      </c>
      <c r="AF799" s="315">
        <f t="shared" si="215"/>
        <v>-4290.2032454108003</v>
      </c>
      <c r="AG799" s="316">
        <f t="shared" si="216"/>
        <v>1.0767123287671232</v>
      </c>
      <c r="AH799" s="314">
        <v>1</v>
      </c>
      <c r="AI799" s="314">
        <f t="shared" si="217"/>
        <v>-4290.2032454108003</v>
      </c>
      <c r="AJ799" s="314">
        <f t="shared" si="218"/>
        <v>0</v>
      </c>
      <c r="AK799" s="317"/>
      <c r="AL799" s="315">
        <f t="shared" si="219"/>
        <v>-164.62</v>
      </c>
      <c r="AN799" s="554">
        <f t="shared" si="220"/>
        <v>-0.3453107629056279</v>
      </c>
      <c r="AO799" s="314"/>
      <c r="AP799" s="318"/>
    </row>
    <row r="800" spans="2:42">
      <c r="B800" s="296" t="s">
        <v>1254</v>
      </c>
      <c r="C800" s="299" t="s">
        <v>277</v>
      </c>
      <c r="D800" s="298" t="s">
        <v>950</v>
      </c>
      <c r="E800" s="299" t="s">
        <v>113</v>
      </c>
      <c r="F800" s="299" t="s">
        <v>59</v>
      </c>
      <c r="G800" s="300">
        <v>44369</v>
      </c>
      <c r="H800" s="303">
        <v>211.88</v>
      </c>
      <c r="I800" s="301" t="str">
        <f t="shared" si="204"/>
        <v>Ingresos Sección II LISR (SIC &amp; BMV)</v>
      </c>
      <c r="J800" s="302">
        <f t="shared" si="205"/>
        <v>4</v>
      </c>
      <c r="K800" s="304">
        <f t="shared" si="206"/>
        <v>52.97</v>
      </c>
      <c r="L800" s="305">
        <f>IF(H800=0,0,IF(OR(E800=$AT$5,E800=$AT$6),AA800,IF(F800="MXN",1/HLOOKUP(YEAR(G800)+(MONTH(G800)/100),TC!$5:$37,DAY(G800)+2,FALSE),VLOOKUP(F800,Equivalencia!$5:$23,((MAX(Equivalencia!$3:$3)-YEAR(G800))*14)+MONTH(G800)+2,FALSE))))</f>
        <v>1</v>
      </c>
      <c r="M800" s="306">
        <f t="shared" si="207"/>
        <v>211.88</v>
      </c>
      <c r="N800" s="305">
        <f>IF(G800=0,0,(IF(OR(E800=$AT$5,E800=$AT$6),AC800,HLOOKUP(YEAR(G800)+(MONTH(G800)/100),TC!$5:$37,DAY(G800)+2,FALSE))))</f>
        <v>20.700199999999999</v>
      </c>
      <c r="O800" s="307">
        <f t="shared" si="208"/>
        <v>4385.9583759999996</v>
      </c>
      <c r="P800" s="560">
        <f>IF(G800=0,0,VLOOKUP(YEAR(G800),INPC!$B$4:$P$30,MONTH(G800)+2))</f>
        <v>113.018</v>
      </c>
      <c r="Q800" s="560">
        <f>IF(X800=0,0,IF(OR(E800=$AT$10,E800=$AT$9),VLOOKUP(YEAR(X800),INPC!$B$4:$P$30,MONTH(X800)+1),VLOOKUP(YEAR(X800),INPC!$B$4:$P$30,MONTH(X800)+2,0)))</f>
        <v>122.044</v>
      </c>
      <c r="R800" s="309">
        <f t="shared" si="209"/>
        <v>1.0798000000000001</v>
      </c>
      <c r="S800" s="310">
        <f t="shared" si="210"/>
        <v>4735.9578544047999</v>
      </c>
      <c r="T800" s="555">
        <f t="shared" si="211"/>
        <v>1183.9894636012</v>
      </c>
      <c r="U800" s="311"/>
      <c r="V800" s="312">
        <v>4</v>
      </c>
      <c r="W800" s="299" t="s">
        <v>194</v>
      </c>
      <c r="X800" s="300">
        <v>44762</v>
      </c>
      <c r="Y800" s="299" t="s">
        <v>59</v>
      </c>
      <c r="Z800" s="303">
        <v>136.83000000000001</v>
      </c>
      <c r="AA800" s="305">
        <f>IF(Z800=0,0,IF(Y800="MXN",1/HLOOKUP(YEAR(X800)+(MONTH(X800)/100),TC!$5:$37,DAY(X800)+2,FALSE),VLOOKUP(Y800,Equivalencia!$1:$23,((MAX(Equivalencia!$3:$3)-YEAR(X800))*14)+MONTH(X800)+2,FALSE)))</f>
        <v>1</v>
      </c>
      <c r="AB800" s="306">
        <f t="shared" si="212"/>
        <v>136.83000000000001</v>
      </c>
      <c r="AC800" s="305">
        <f>+IF(X800=0,0,HLOOKUP(YEAR(X800)+(MONTH(X800)/100),TC!$5:$37,DAY(X800)+2,FALSE))</f>
        <v>20.395700000000001</v>
      </c>
      <c r="AD800" s="307">
        <f t="shared" si="213"/>
        <v>2790.7436310000003</v>
      </c>
      <c r="AE800" s="314">
        <f t="shared" si="214"/>
        <v>4735.9578544047999</v>
      </c>
      <c r="AF800" s="315">
        <f t="shared" si="215"/>
        <v>-1945.2142234047997</v>
      </c>
      <c r="AG800" s="316">
        <f t="shared" si="216"/>
        <v>1.0767123287671232</v>
      </c>
      <c r="AH800" s="314">
        <v>1</v>
      </c>
      <c r="AI800" s="314">
        <f t="shared" si="217"/>
        <v>-1945.2142234047997</v>
      </c>
      <c r="AJ800" s="314">
        <f t="shared" si="218"/>
        <v>0</v>
      </c>
      <c r="AK800" s="317"/>
      <c r="AL800" s="315">
        <f t="shared" si="219"/>
        <v>-75.049999999999983</v>
      </c>
      <c r="AN800" s="554">
        <f t="shared" si="220"/>
        <v>-0.35420993014914093</v>
      </c>
      <c r="AO800" s="314"/>
      <c r="AP800" s="318"/>
    </row>
    <row r="801" spans="2:42">
      <c r="B801" s="296" t="s">
        <v>1254</v>
      </c>
      <c r="C801" s="299" t="s">
        <v>277</v>
      </c>
      <c r="D801" s="298" t="s">
        <v>950</v>
      </c>
      <c r="E801" s="299" t="s">
        <v>113</v>
      </c>
      <c r="F801" s="299" t="s">
        <v>59</v>
      </c>
      <c r="G801" s="300">
        <v>44369</v>
      </c>
      <c r="H801" s="303">
        <v>105.94</v>
      </c>
      <c r="I801" s="301" t="str">
        <f t="shared" si="204"/>
        <v>Ingresos Sección II LISR (SIC &amp; BMV)</v>
      </c>
      <c r="J801" s="302">
        <f t="shared" si="205"/>
        <v>2</v>
      </c>
      <c r="K801" s="304">
        <f t="shared" si="206"/>
        <v>52.97</v>
      </c>
      <c r="L801" s="305">
        <f>IF(H801=0,0,IF(OR(E801=$AT$5,E801=$AT$6),AA801,IF(F801="MXN",1/HLOOKUP(YEAR(G801)+(MONTH(G801)/100),TC!$5:$37,DAY(G801)+2,FALSE),VLOOKUP(F801,Equivalencia!$5:$23,((MAX(Equivalencia!$3:$3)-YEAR(G801))*14)+MONTH(G801)+2,FALSE))))</f>
        <v>1</v>
      </c>
      <c r="M801" s="306">
        <f t="shared" si="207"/>
        <v>105.94</v>
      </c>
      <c r="N801" s="305">
        <f>IF(G801=0,0,(IF(OR(E801=$AT$5,E801=$AT$6),AC801,HLOOKUP(YEAR(G801)+(MONTH(G801)/100),TC!$5:$37,DAY(G801)+2,FALSE))))</f>
        <v>20.700199999999999</v>
      </c>
      <c r="O801" s="307">
        <f t="shared" si="208"/>
        <v>2192.9791879999998</v>
      </c>
      <c r="P801" s="560">
        <f>IF(G801=0,0,VLOOKUP(YEAR(G801),INPC!$B$4:$P$30,MONTH(G801)+2))</f>
        <v>113.018</v>
      </c>
      <c r="Q801" s="560">
        <f>IF(X801=0,0,IF(OR(E801=$AT$10,E801=$AT$9),VLOOKUP(YEAR(X801),INPC!$B$4:$P$30,MONTH(X801)+1),VLOOKUP(YEAR(X801),INPC!$B$4:$P$30,MONTH(X801)+2,0)))</f>
        <v>122.044</v>
      </c>
      <c r="R801" s="309">
        <f t="shared" si="209"/>
        <v>1.0798000000000001</v>
      </c>
      <c r="S801" s="310">
        <f t="shared" si="210"/>
        <v>2367.9789272024</v>
      </c>
      <c r="T801" s="555">
        <f t="shared" si="211"/>
        <v>1183.9894636012</v>
      </c>
      <c r="U801" s="311"/>
      <c r="V801" s="312">
        <v>2</v>
      </c>
      <c r="W801" s="299" t="s">
        <v>194</v>
      </c>
      <c r="X801" s="300">
        <v>44762</v>
      </c>
      <c r="Y801" s="299" t="s">
        <v>59</v>
      </c>
      <c r="Z801" s="303">
        <v>68.94</v>
      </c>
      <c r="AA801" s="305">
        <f>IF(Z801=0,0,IF(Y801="MXN",1/HLOOKUP(YEAR(X801)+(MONTH(X801)/100),TC!$5:$37,DAY(X801)+2,FALSE),VLOOKUP(Y801,Equivalencia!$1:$23,((MAX(Equivalencia!$3:$3)-YEAR(X801))*14)+MONTH(X801)+2,FALSE)))</f>
        <v>1</v>
      </c>
      <c r="AB801" s="306">
        <f t="shared" si="212"/>
        <v>68.94</v>
      </c>
      <c r="AC801" s="305">
        <f>+IF(X801=0,0,HLOOKUP(YEAR(X801)+(MONTH(X801)/100),TC!$5:$37,DAY(X801)+2,FALSE))</f>
        <v>20.395700000000001</v>
      </c>
      <c r="AD801" s="307">
        <f t="shared" si="213"/>
        <v>1406.0795580000001</v>
      </c>
      <c r="AE801" s="314">
        <f t="shared" si="214"/>
        <v>2367.9789272024</v>
      </c>
      <c r="AF801" s="315">
        <f t="shared" si="215"/>
        <v>-961.89936920239984</v>
      </c>
      <c r="AG801" s="316">
        <f t="shared" si="216"/>
        <v>1.0767123287671232</v>
      </c>
      <c r="AH801" s="314">
        <v>1</v>
      </c>
      <c r="AI801" s="314">
        <f t="shared" si="217"/>
        <v>-961.89936920239984</v>
      </c>
      <c r="AJ801" s="314">
        <f t="shared" si="218"/>
        <v>0</v>
      </c>
      <c r="AK801" s="317"/>
      <c r="AL801" s="315">
        <f t="shared" si="219"/>
        <v>-37</v>
      </c>
      <c r="AN801" s="554">
        <f t="shared" si="220"/>
        <v>-0.34925429488389653</v>
      </c>
      <c r="AO801" s="314"/>
      <c r="AP801" s="318"/>
    </row>
    <row r="802" spans="2:42">
      <c r="B802" s="296" t="s">
        <v>1254</v>
      </c>
      <c r="C802" s="299" t="s">
        <v>277</v>
      </c>
      <c r="D802" s="298" t="s">
        <v>950</v>
      </c>
      <c r="E802" s="299" t="s">
        <v>113</v>
      </c>
      <c r="F802" s="299" t="s">
        <v>59</v>
      </c>
      <c r="G802" s="300">
        <v>44369</v>
      </c>
      <c r="H802" s="303">
        <v>105.94</v>
      </c>
      <c r="I802" s="301" t="str">
        <f t="shared" si="204"/>
        <v>Ingresos Sección II LISR (SIC &amp; BMV)</v>
      </c>
      <c r="J802" s="302">
        <f t="shared" si="205"/>
        <v>2</v>
      </c>
      <c r="K802" s="304">
        <f t="shared" si="206"/>
        <v>52.97</v>
      </c>
      <c r="L802" s="305">
        <f>IF(H802=0,0,IF(OR(E802=$AT$5,E802=$AT$6),AA802,IF(F802="MXN",1/HLOOKUP(YEAR(G802)+(MONTH(G802)/100),TC!$5:$37,DAY(G802)+2,FALSE),VLOOKUP(F802,Equivalencia!$5:$23,((MAX(Equivalencia!$3:$3)-YEAR(G802))*14)+MONTH(G802)+2,FALSE))))</f>
        <v>1</v>
      </c>
      <c r="M802" s="306">
        <f t="shared" si="207"/>
        <v>105.94</v>
      </c>
      <c r="N802" s="305">
        <f>IF(G802=0,0,(IF(OR(E802=$AT$5,E802=$AT$6),AC802,HLOOKUP(YEAR(G802)+(MONTH(G802)/100),TC!$5:$37,DAY(G802)+2,FALSE))))</f>
        <v>20.700199999999999</v>
      </c>
      <c r="O802" s="307">
        <f t="shared" si="208"/>
        <v>2192.9791879999998</v>
      </c>
      <c r="P802" s="560">
        <f>IF(G802=0,0,VLOOKUP(YEAR(G802),INPC!$B$4:$P$30,MONTH(G802)+2))</f>
        <v>113.018</v>
      </c>
      <c r="Q802" s="560">
        <f>IF(X802=0,0,IF(OR(E802=$AT$10,E802=$AT$9),VLOOKUP(YEAR(X802),INPC!$B$4:$P$30,MONTH(X802)+1),VLOOKUP(YEAR(X802),INPC!$B$4:$P$30,MONTH(X802)+2,0)))</f>
        <v>122.044</v>
      </c>
      <c r="R802" s="309">
        <f t="shared" si="209"/>
        <v>1.0798000000000001</v>
      </c>
      <c r="S802" s="310">
        <f t="shared" si="210"/>
        <v>2367.9789272024</v>
      </c>
      <c r="T802" s="555">
        <f t="shared" si="211"/>
        <v>1183.9894636012</v>
      </c>
      <c r="U802" s="311"/>
      <c r="V802" s="312">
        <v>2</v>
      </c>
      <c r="W802" s="299" t="s">
        <v>194</v>
      </c>
      <c r="X802" s="300">
        <v>44762</v>
      </c>
      <c r="Y802" s="299" t="s">
        <v>59</v>
      </c>
      <c r="Z802" s="303">
        <v>69.36</v>
      </c>
      <c r="AA802" s="305">
        <f>IF(Z802=0,0,IF(Y802="MXN",1/HLOOKUP(YEAR(X802)+(MONTH(X802)/100),TC!$5:$37,DAY(X802)+2,FALSE),VLOOKUP(Y802,Equivalencia!$1:$23,((MAX(Equivalencia!$3:$3)-YEAR(X802))*14)+MONTH(X802)+2,FALSE)))</f>
        <v>1</v>
      </c>
      <c r="AB802" s="306">
        <f t="shared" si="212"/>
        <v>69.36</v>
      </c>
      <c r="AC802" s="305">
        <f>+IF(X802=0,0,HLOOKUP(YEAR(X802)+(MONTH(X802)/100),TC!$5:$37,DAY(X802)+2,FALSE))</f>
        <v>20.395700000000001</v>
      </c>
      <c r="AD802" s="307">
        <f t="shared" si="213"/>
        <v>1414.6457520000001</v>
      </c>
      <c r="AE802" s="314">
        <f t="shared" si="214"/>
        <v>2367.9789272024</v>
      </c>
      <c r="AF802" s="315">
        <f t="shared" si="215"/>
        <v>-953.33317520239984</v>
      </c>
      <c r="AG802" s="316">
        <f t="shared" si="216"/>
        <v>1.0767123287671232</v>
      </c>
      <c r="AH802" s="314">
        <v>1</v>
      </c>
      <c r="AI802" s="314">
        <f t="shared" si="217"/>
        <v>-953.33317520239984</v>
      </c>
      <c r="AJ802" s="314">
        <f t="shared" si="218"/>
        <v>0</v>
      </c>
      <c r="AK802" s="317"/>
      <c r="AL802" s="315">
        <f t="shared" si="219"/>
        <v>-36.58</v>
      </c>
      <c r="AN802" s="554">
        <f t="shared" si="220"/>
        <v>-0.34528978667170096</v>
      </c>
      <c r="AO802" s="314"/>
      <c r="AP802" s="318"/>
    </row>
    <row r="803" spans="2:42">
      <c r="B803" s="296" t="s">
        <v>1254</v>
      </c>
      <c r="C803" s="299" t="s">
        <v>277</v>
      </c>
      <c r="D803" s="298" t="s">
        <v>950</v>
      </c>
      <c r="E803" s="299" t="s">
        <v>113</v>
      </c>
      <c r="F803" s="299" t="s">
        <v>59</v>
      </c>
      <c r="G803" s="300">
        <v>44369</v>
      </c>
      <c r="H803" s="303">
        <v>52.97</v>
      </c>
      <c r="I803" s="301" t="str">
        <f t="shared" si="204"/>
        <v>Ingresos Sección II LISR (SIC &amp; BMV)</v>
      </c>
      <c r="J803" s="302">
        <f t="shared" si="205"/>
        <v>1</v>
      </c>
      <c r="K803" s="304">
        <f t="shared" si="206"/>
        <v>52.97</v>
      </c>
      <c r="L803" s="305">
        <f>IF(H803=0,0,IF(OR(E803=$AT$5,E803=$AT$6),AA803,IF(F803="MXN",1/HLOOKUP(YEAR(G803)+(MONTH(G803)/100),TC!$5:$37,DAY(G803)+2,FALSE),VLOOKUP(F803,Equivalencia!$5:$23,((MAX(Equivalencia!$3:$3)-YEAR(G803))*14)+MONTH(G803)+2,FALSE))))</f>
        <v>1</v>
      </c>
      <c r="M803" s="306">
        <f t="shared" si="207"/>
        <v>52.97</v>
      </c>
      <c r="N803" s="305">
        <f>IF(G803=0,0,(IF(OR(E803=$AT$5,E803=$AT$6),AC803,HLOOKUP(YEAR(G803)+(MONTH(G803)/100),TC!$5:$37,DAY(G803)+2,FALSE))))</f>
        <v>20.700199999999999</v>
      </c>
      <c r="O803" s="307">
        <f t="shared" si="208"/>
        <v>1096.4895939999999</v>
      </c>
      <c r="P803" s="560">
        <f>IF(G803=0,0,VLOOKUP(YEAR(G803),INPC!$B$4:$P$30,MONTH(G803)+2))</f>
        <v>113.018</v>
      </c>
      <c r="Q803" s="560">
        <f>IF(X803=0,0,IF(OR(E803=$AT$10,E803=$AT$9),VLOOKUP(YEAR(X803),INPC!$B$4:$P$30,MONTH(X803)+1),VLOOKUP(YEAR(X803),INPC!$B$4:$P$30,MONTH(X803)+2,0)))</f>
        <v>122.044</v>
      </c>
      <c r="R803" s="309">
        <f t="shared" si="209"/>
        <v>1.0798000000000001</v>
      </c>
      <c r="S803" s="310">
        <f t="shared" si="210"/>
        <v>1183.9894636012</v>
      </c>
      <c r="T803" s="555">
        <f t="shared" si="211"/>
        <v>1183.9894636012</v>
      </c>
      <c r="U803" s="311"/>
      <c r="V803" s="312">
        <v>1</v>
      </c>
      <c r="W803" s="299" t="s">
        <v>194</v>
      </c>
      <c r="X803" s="300">
        <v>44762</v>
      </c>
      <c r="Y803" s="299" t="s">
        <v>59</v>
      </c>
      <c r="Z803" s="303">
        <v>33.79</v>
      </c>
      <c r="AA803" s="305">
        <f>IF(Z803=0,0,IF(Y803="MXN",1/HLOOKUP(YEAR(X803)+(MONTH(X803)/100),TC!$5:$37,DAY(X803)+2,FALSE),VLOOKUP(Y803,Equivalencia!$1:$23,((MAX(Equivalencia!$3:$3)-YEAR(X803))*14)+MONTH(X803)+2,FALSE)))</f>
        <v>1</v>
      </c>
      <c r="AB803" s="306">
        <f t="shared" si="212"/>
        <v>33.79</v>
      </c>
      <c r="AC803" s="305">
        <f>+IF(X803=0,0,HLOOKUP(YEAR(X803)+(MONTH(X803)/100),TC!$5:$37,DAY(X803)+2,FALSE))</f>
        <v>20.395700000000001</v>
      </c>
      <c r="AD803" s="307">
        <f t="shared" si="213"/>
        <v>689.170703</v>
      </c>
      <c r="AE803" s="314">
        <f t="shared" si="214"/>
        <v>1183.9894636012</v>
      </c>
      <c r="AF803" s="315">
        <f t="shared" si="215"/>
        <v>-494.81876060119998</v>
      </c>
      <c r="AG803" s="316">
        <f t="shared" si="216"/>
        <v>1.0767123287671232</v>
      </c>
      <c r="AH803" s="314">
        <v>1</v>
      </c>
      <c r="AI803" s="314">
        <f t="shared" si="217"/>
        <v>-494.81876060119998</v>
      </c>
      <c r="AJ803" s="314">
        <f t="shared" si="218"/>
        <v>0</v>
      </c>
      <c r="AK803" s="317"/>
      <c r="AL803" s="315">
        <f t="shared" si="219"/>
        <v>-19.18</v>
      </c>
      <c r="AN803" s="554">
        <f t="shared" si="220"/>
        <v>-0.36209175004719651</v>
      </c>
      <c r="AO803" s="314"/>
      <c r="AP803" s="318"/>
    </row>
    <row r="804" spans="2:42">
      <c r="B804" s="296" t="s">
        <v>1254</v>
      </c>
      <c r="C804" s="299" t="s">
        <v>277</v>
      </c>
      <c r="D804" s="298" t="s">
        <v>950</v>
      </c>
      <c r="E804" s="299" t="s">
        <v>113</v>
      </c>
      <c r="F804" s="299" t="s">
        <v>59</v>
      </c>
      <c r="G804" s="300">
        <v>44369</v>
      </c>
      <c r="H804" s="303">
        <v>1165.3399999999999</v>
      </c>
      <c r="I804" s="301" t="str">
        <f t="shared" si="204"/>
        <v>Ingresos Sección II LISR (SIC &amp; BMV)</v>
      </c>
      <c r="J804" s="302">
        <f t="shared" si="205"/>
        <v>22</v>
      </c>
      <c r="K804" s="304">
        <f t="shared" si="206"/>
        <v>52.97</v>
      </c>
      <c r="L804" s="305">
        <f>IF(H804=0,0,IF(OR(E804=$AT$5,E804=$AT$6),AA804,IF(F804="MXN",1/HLOOKUP(YEAR(G804)+(MONTH(G804)/100),TC!$5:$37,DAY(G804)+2,FALSE),VLOOKUP(F804,Equivalencia!$5:$23,((MAX(Equivalencia!$3:$3)-YEAR(G804))*14)+MONTH(G804)+2,FALSE))))</f>
        <v>1</v>
      </c>
      <c r="M804" s="306">
        <f t="shared" si="207"/>
        <v>1165.3399999999999</v>
      </c>
      <c r="N804" s="305">
        <f>IF(G804=0,0,(IF(OR(E804=$AT$5,E804=$AT$6),AC804,HLOOKUP(YEAR(G804)+(MONTH(G804)/100),TC!$5:$37,DAY(G804)+2,FALSE))))</f>
        <v>20.700199999999999</v>
      </c>
      <c r="O804" s="307">
        <f t="shared" si="208"/>
        <v>24122.771067999998</v>
      </c>
      <c r="P804" s="560">
        <f>IF(G804=0,0,VLOOKUP(YEAR(G804),INPC!$B$4:$P$30,MONTH(G804)+2))</f>
        <v>113.018</v>
      </c>
      <c r="Q804" s="560">
        <f>IF(X804=0,0,IF(OR(E804=$AT$10,E804=$AT$9),VLOOKUP(YEAR(X804),INPC!$B$4:$P$30,MONTH(X804)+1),VLOOKUP(YEAR(X804),INPC!$B$4:$P$30,MONTH(X804)+2,0)))</f>
        <v>122.044</v>
      </c>
      <c r="R804" s="309">
        <f t="shared" si="209"/>
        <v>1.0798000000000001</v>
      </c>
      <c r="S804" s="310">
        <f t="shared" si="210"/>
        <v>26047.768199226401</v>
      </c>
      <c r="T804" s="555">
        <f t="shared" si="211"/>
        <v>1183.9894636012</v>
      </c>
      <c r="U804" s="311"/>
      <c r="V804" s="312">
        <v>22</v>
      </c>
      <c r="W804" s="299" t="s">
        <v>194</v>
      </c>
      <c r="X804" s="300">
        <v>44763</v>
      </c>
      <c r="Y804" s="299" t="s">
        <v>59</v>
      </c>
      <c r="Z804" s="303">
        <v>780.6889655172414</v>
      </c>
      <c r="AA804" s="305">
        <f>IF(Z804=0,0,IF(Y804="MXN",1/HLOOKUP(YEAR(X804)+(MONTH(X804)/100),TC!$5:$37,DAY(X804)+2,FALSE),VLOOKUP(Y804,Equivalencia!$1:$23,((MAX(Equivalencia!$3:$3)-YEAR(X804))*14)+MONTH(X804)+2,FALSE)))</f>
        <v>1</v>
      </c>
      <c r="AB804" s="306">
        <f t="shared" si="212"/>
        <v>780.6889655172414</v>
      </c>
      <c r="AC804" s="305">
        <f>+IF(X804=0,0,HLOOKUP(YEAR(X804)+(MONTH(X804)/100),TC!$5:$37,DAY(X804)+2,FALSE))</f>
        <v>20.4407</v>
      </c>
      <c r="AD804" s="307">
        <f t="shared" si="213"/>
        <v>15957.828937448276</v>
      </c>
      <c r="AE804" s="314">
        <f t="shared" si="214"/>
        <v>26047.768199226401</v>
      </c>
      <c r="AF804" s="315">
        <f t="shared" si="215"/>
        <v>-10089.939261778125</v>
      </c>
      <c r="AG804" s="316">
        <f t="shared" si="216"/>
        <v>1.0794520547945206</v>
      </c>
      <c r="AH804" s="314">
        <v>1</v>
      </c>
      <c r="AI804" s="314">
        <f t="shared" si="217"/>
        <v>-10089.939261778125</v>
      </c>
      <c r="AJ804" s="314">
        <f t="shared" si="218"/>
        <v>0</v>
      </c>
      <c r="AK804" s="317"/>
      <c r="AL804" s="315">
        <f t="shared" si="219"/>
        <v>-384.65103448275852</v>
      </c>
      <c r="AN804" s="554">
        <f t="shared" si="220"/>
        <v>-0.33007623052736418</v>
      </c>
      <c r="AO804" s="314"/>
      <c r="AP804" s="318"/>
    </row>
    <row r="805" spans="2:42">
      <c r="B805" s="296" t="s">
        <v>1254</v>
      </c>
      <c r="C805" s="299" t="s">
        <v>277</v>
      </c>
      <c r="D805" s="298" t="s">
        <v>950</v>
      </c>
      <c r="E805" s="299" t="s">
        <v>113</v>
      </c>
      <c r="F805" s="299" t="s">
        <v>59</v>
      </c>
      <c r="G805" s="300">
        <v>44420</v>
      </c>
      <c r="H805" s="303">
        <v>5922.6588679245287</v>
      </c>
      <c r="I805" s="301" t="str">
        <f t="shared" si="204"/>
        <v>Ingresos Sección II LISR (SIC &amp; BMV)</v>
      </c>
      <c r="J805" s="302">
        <f t="shared" si="205"/>
        <v>123</v>
      </c>
      <c r="K805" s="304">
        <f t="shared" si="206"/>
        <v>48.151698113207551</v>
      </c>
      <c r="L805" s="305">
        <f>IF(H805=0,0,IF(OR(E805=$AT$5,E805=$AT$6),AA805,IF(F805="MXN",1/HLOOKUP(YEAR(G805)+(MONTH(G805)/100),TC!$5:$37,DAY(G805)+2,FALSE),VLOOKUP(F805,Equivalencia!$5:$23,((MAX(Equivalencia!$3:$3)-YEAR(G805))*14)+MONTH(G805)+2,FALSE))))</f>
        <v>1</v>
      </c>
      <c r="M805" s="306">
        <f t="shared" si="207"/>
        <v>5922.6588679245287</v>
      </c>
      <c r="N805" s="305">
        <f>IF(G805=0,0,(IF(OR(E805=$AT$5,E805=$AT$6),AC805,HLOOKUP(YEAR(G805)+(MONTH(G805)/100),TC!$5:$37,DAY(G805)+2,FALSE))))</f>
        <v>20.1038</v>
      </c>
      <c r="O805" s="307">
        <f t="shared" si="208"/>
        <v>119067.94934898114</v>
      </c>
      <c r="P805" s="560">
        <f>IF(G805=0,0,VLOOKUP(YEAR(G805),INPC!$B$4:$P$30,MONTH(G805)+2))</f>
        <v>113.899</v>
      </c>
      <c r="Q805" s="560">
        <f>IF(X805=0,0,IF(OR(E805=$AT$10,E805=$AT$9),VLOOKUP(YEAR(X805),INPC!$B$4:$P$30,MONTH(X805)+1),VLOOKUP(YEAR(X805),INPC!$B$4:$P$30,MONTH(X805)+2,0)))</f>
        <v>122.044</v>
      </c>
      <c r="R805" s="309">
        <f t="shared" si="209"/>
        <v>1.0714999999999999</v>
      </c>
      <c r="S805" s="310">
        <f t="shared" si="210"/>
        <v>127581.30772743328</v>
      </c>
      <c r="T805" s="555">
        <f t="shared" si="211"/>
        <v>1037.2464042880754</v>
      </c>
      <c r="U805" s="311"/>
      <c r="V805" s="312">
        <v>123</v>
      </c>
      <c r="W805" s="299" t="s">
        <v>194</v>
      </c>
      <c r="X805" s="300">
        <v>44763</v>
      </c>
      <c r="Y805" s="299" t="s">
        <v>59</v>
      </c>
      <c r="Z805" s="303">
        <v>4364.761034482759</v>
      </c>
      <c r="AA805" s="305">
        <f>IF(Z805=0,0,IF(Y805="MXN",1/HLOOKUP(YEAR(X805)+(MONTH(X805)/100),TC!$5:$37,DAY(X805)+2,FALSE),VLOOKUP(Y805,Equivalencia!$1:$23,((MAX(Equivalencia!$3:$3)-YEAR(X805))*14)+MONTH(X805)+2,FALSE)))</f>
        <v>1</v>
      </c>
      <c r="AB805" s="306">
        <f t="shared" si="212"/>
        <v>4364.761034482759</v>
      </c>
      <c r="AC805" s="305">
        <f>+IF(X805=0,0,HLOOKUP(YEAR(X805)+(MONTH(X805)/100),TC!$5:$37,DAY(X805)+2,FALSE))</f>
        <v>20.4407</v>
      </c>
      <c r="AD805" s="307">
        <f t="shared" si="213"/>
        <v>89218.770877551724</v>
      </c>
      <c r="AE805" s="314">
        <f t="shared" si="214"/>
        <v>127581.30772743328</v>
      </c>
      <c r="AF805" s="315">
        <f t="shared" si="215"/>
        <v>-38362.536849881551</v>
      </c>
      <c r="AG805" s="316">
        <f t="shared" si="216"/>
        <v>0.9397260273972603</v>
      </c>
      <c r="AH805" s="314">
        <v>1</v>
      </c>
      <c r="AI805" s="314">
        <f t="shared" si="217"/>
        <v>-38362.536849881551</v>
      </c>
      <c r="AJ805" s="314">
        <f t="shared" si="218"/>
        <v>0</v>
      </c>
      <c r="AK805" s="317"/>
      <c r="AL805" s="315">
        <f t="shared" si="219"/>
        <v>-1557.8978334417698</v>
      </c>
      <c r="AN805" s="554">
        <f t="shared" si="220"/>
        <v>-0.26304027771697447</v>
      </c>
      <c r="AO805" s="314"/>
      <c r="AP805" s="318"/>
    </row>
    <row r="806" spans="2:42">
      <c r="B806" s="296" t="s">
        <v>1254</v>
      </c>
      <c r="C806" s="299" t="s">
        <v>277</v>
      </c>
      <c r="D806" s="298" t="s">
        <v>950</v>
      </c>
      <c r="E806" s="299" t="s">
        <v>113</v>
      </c>
      <c r="F806" s="299" t="s">
        <v>59</v>
      </c>
      <c r="G806" s="300">
        <v>44420</v>
      </c>
      <c r="H806" s="303">
        <v>1396.3992452830189</v>
      </c>
      <c r="I806" s="301" t="str">
        <f t="shared" si="204"/>
        <v>Ingresos Sección II LISR (SIC &amp; BMV)</v>
      </c>
      <c r="J806" s="302">
        <f t="shared" si="205"/>
        <v>29</v>
      </c>
      <c r="K806" s="304">
        <f t="shared" si="206"/>
        <v>48.151698113207551</v>
      </c>
      <c r="L806" s="305">
        <f>IF(H806=0,0,IF(OR(E806=$AT$5,E806=$AT$6),AA806,IF(F806="MXN",1/HLOOKUP(YEAR(G806)+(MONTH(G806)/100),TC!$5:$37,DAY(G806)+2,FALSE),VLOOKUP(F806,Equivalencia!$5:$23,((MAX(Equivalencia!$3:$3)-YEAR(G806))*14)+MONTH(G806)+2,FALSE))))</f>
        <v>1</v>
      </c>
      <c r="M806" s="306">
        <f t="shared" si="207"/>
        <v>1396.3992452830189</v>
      </c>
      <c r="N806" s="305">
        <f>IF(G806=0,0,(IF(OR(E806=$AT$5,E806=$AT$6),AC806,HLOOKUP(YEAR(G806)+(MONTH(G806)/100),TC!$5:$37,DAY(G806)+2,FALSE))))</f>
        <v>20.1038</v>
      </c>
      <c r="O806" s="307">
        <f t="shared" si="208"/>
        <v>28072.931147320756</v>
      </c>
      <c r="P806" s="560">
        <f>IF(G806=0,0,VLOOKUP(YEAR(G806),INPC!$B$4:$P$30,MONTH(G806)+2))</f>
        <v>113.899</v>
      </c>
      <c r="Q806" s="560">
        <f>IF(X806=0,0,IF(OR(E806=$AT$10,E806=$AT$9),VLOOKUP(YEAR(X806),INPC!$B$4:$P$30,MONTH(X806)+1),VLOOKUP(YEAR(X806),INPC!$B$4:$P$30,MONTH(X806)+2,0)))</f>
        <v>122.044</v>
      </c>
      <c r="R806" s="309">
        <f t="shared" si="209"/>
        <v>1.0714999999999999</v>
      </c>
      <c r="S806" s="310">
        <f t="shared" si="210"/>
        <v>30080.145724354188</v>
      </c>
      <c r="T806" s="555">
        <f t="shared" si="211"/>
        <v>1037.2464042880754</v>
      </c>
      <c r="U806" s="311"/>
      <c r="V806" s="312">
        <v>29</v>
      </c>
      <c r="W806" s="299" t="s">
        <v>194</v>
      </c>
      <c r="X806" s="300">
        <v>44763</v>
      </c>
      <c r="Y806" s="299" t="s">
        <v>59</v>
      </c>
      <c r="Z806" s="303">
        <v>1029.0899999999999</v>
      </c>
      <c r="AA806" s="305">
        <f>IF(Z806=0,0,IF(Y806="MXN",1/HLOOKUP(YEAR(X806)+(MONTH(X806)/100),TC!$5:$37,DAY(X806)+2,FALSE),VLOOKUP(Y806,Equivalencia!$1:$23,((MAX(Equivalencia!$3:$3)-YEAR(X806))*14)+MONTH(X806)+2,FALSE)))</f>
        <v>1</v>
      </c>
      <c r="AB806" s="306">
        <f t="shared" si="212"/>
        <v>1029.0899999999999</v>
      </c>
      <c r="AC806" s="305">
        <f>+IF(X806=0,0,HLOOKUP(YEAR(X806)+(MONTH(X806)/100),TC!$5:$37,DAY(X806)+2,FALSE))</f>
        <v>20.4407</v>
      </c>
      <c r="AD806" s="307">
        <f t="shared" si="213"/>
        <v>21035.319962999998</v>
      </c>
      <c r="AE806" s="314">
        <f t="shared" si="214"/>
        <v>30080.145724354184</v>
      </c>
      <c r="AF806" s="315">
        <f t="shared" si="215"/>
        <v>-9044.8257613541864</v>
      </c>
      <c r="AG806" s="316">
        <f t="shared" si="216"/>
        <v>0.9397260273972603</v>
      </c>
      <c r="AH806" s="314">
        <v>1</v>
      </c>
      <c r="AI806" s="314">
        <f t="shared" si="217"/>
        <v>-9044.8257613541864</v>
      </c>
      <c r="AJ806" s="314">
        <f t="shared" si="218"/>
        <v>0</v>
      </c>
      <c r="AK806" s="317"/>
      <c r="AL806" s="315">
        <f t="shared" si="219"/>
        <v>-367.30924528301898</v>
      </c>
      <c r="AN806" s="554">
        <f t="shared" si="220"/>
        <v>-0.26304027771697458</v>
      </c>
      <c r="AO806" s="314"/>
      <c r="AP806" s="318"/>
    </row>
    <row r="807" spans="2:42">
      <c r="B807" s="296" t="s">
        <v>1254</v>
      </c>
      <c r="C807" s="299" t="s">
        <v>277</v>
      </c>
      <c r="D807" s="298" t="s">
        <v>950</v>
      </c>
      <c r="E807" s="299" t="s">
        <v>113</v>
      </c>
      <c r="F807" s="299" t="s">
        <v>59</v>
      </c>
      <c r="G807" s="300">
        <v>44420</v>
      </c>
      <c r="H807" s="303">
        <v>818.57886792452837</v>
      </c>
      <c r="I807" s="301" t="str">
        <f t="shared" si="204"/>
        <v>Ingresos Sección II LISR (SIC &amp; BMV)</v>
      </c>
      <c r="J807" s="302">
        <f t="shared" si="205"/>
        <v>17</v>
      </c>
      <c r="K807" s="304">
        <f t="shared" si="206"/>
        <v>48.151698113207551</v>
      </c>
      <c r="L807" s="305">
        <f>IF(H807=0,0,IF(OR(E807=$AT$5,E807=$AT$6),AA807,IF(F807="MXN",1/HLOOKUP(YEAR(G807)+(MONTH(G807)/100),TC!$5:$37,DAY(G807)+2,FALSE),VLOOKUP(F807,Equivalencia!$5:$23,((MAX(Equivalencia!$3:$3)-YEAR(G807))*14)+MONTH(G807)+2,FALSE))))</f>
        <v>1</v>
      </c>
      <c r="M807" s="306">
        <f t="shared" si="207"/>
        <v>818.57886792452837</v>
      </c>
      <c r="N807" s="305">
        <f>IF(G807=0,0,(IF(OR(E807=$AT$5,E807=$AT$6),AC807,HLOOKUP(YEAR(G807)+(MONTH(G807)/100),TC!$5:$37,DAY(G807)+2,FALSE))))</f>
        <v>20.1038</v>
      </c>
      <c r="O807" s="307">
        <f t="shared" si="208"/>
        <v>16456.545844981134</v>
      </c>
      <c r="P807" s="560">
        <f>IF(G807=0,0,VLOOKUP(YEAR(G807),INPC!$B$4:$P$30,MONTH(G807)+2))</f>
        <v>113.899</v>
      </c>
      <c r="Q807" s="560">
        <f>IF(X807=0,0,IF(OR(E807=$AT$10,E807=$AT$9),VLOOKUP(YEAR(X807),INPC!$B$4:$P$30,MONTH(X807)+1),VLOOKUP(YEAR(X807),INPC!$B$4:$P$30,MONTH(X807)+2,0)))</f>
        <v>122.044</v>
      </c>
      <c r="R807" s="309">
        <f t="shared" si="209"/>
        <v>1.0714999999999999</v>
      </c>
      <c r="S807" s="310">
        <f t="shared" si="210"/>
        <v>17633.188872897284</v>
      </c>
      <c r="T807" s="555">
        <f t="shared" si="211"/>
        <v>1037.2464042880756</v>
      </c>
      <c r="U807" s="311"/>
      <c r="V807" s="312">
        <v>17</v>
      </c>
      <c r="W807" s="299" t="s">
        <v>194</v>
      </c>
      <c r="X807" s="300">
        <v>44763</v>
      </c>
      <c r="Y807" s="299" t="s">
        <v>59</v>
      </c>
      <c r="Z807" s="303">
        <v>603.94000000000005</v>
      </c>
      <c r="AA807" s="305">
        <f>IF(Z807=0,0,IF(Y807="MXN",1/HLOOKUP(YEAR(X807)+(MONTH(X807)/100),TC!$5:$37,DAY(X807)+2,FALSE),VLOOKUP(Y807,Equivalencia!$1:$23,((MAX(Equivalencia!$3:$3)-YEAR(X807))*14)+MONTH(X807)+2,FALSE)))</f>
        <v>1</v>
      </c>
      <c r="AB807" s="306">
        <f t="shared" si="212"/>
        <v>603.94000000000005</v>
      </c>
      <c r="AC807" s="305">
        <f>+IF(X807=0,0,HLOOKUP(YEAR(X807)+(MONTH(X807)/100),TC!$5:$37,DAY(X807)+2,FALSE))</f>
        <v>20.4407</v>
      </c>
      <c r="AD807" s="307">
        <f t="shared" si="213"/>
        <v>12344.956358000001</v>
      </c>
      <c r="AE807" s="314">
        <f t="shared" si="214"/>
        <v>17633.188872897284</v>
      </c>
      <c r="AF807" s="315">
        <f t="shared" si="215"/>
        <v>-5288.2325148972832</v>
      </c>
      <c r="AG807" s="316">
        <f t="shared" si="216"/>
        <v>0.9397260273972603</v>
      </c>
      <c r="AH807" s="314">
        <v>1</v>
      </c>
      <c r="AI807" s="314">
        <f t="shared" si="217"/>
        <v>-5288.2325148972832</v>
      </c>
      <c r="AJ807" s="314">
        <f t="shared" si="218"/>
        <v>0</v>
      </c>
      <c r="AK807" s="317"/>
      <c r="AL807" s="315">
        <f t="shared" si="219"/>
        <v>-214.63886792452831</v>
      </c>
      <c r="AN807" s="554">
        <f t="shared" si="220"/>
        <v>-0.2622091484828285</v>
      </c>
      <c r="AO807" s="314"/>
      <c r="AP807" s="318"/>
    </row>
    <row r="808" spans="2:42">
      <c r="B808" s="296" t="s">
        <v>1254</v>
      </c>
      <c r="C808" s="299" t="s">
        <v>277</v>
      </c>
      <c r="D808" s="298" t="s">
        <v>950</v>
      </c>
      <c r="E808" s="299" t="s">
        <v>113</v>
      </c>
      <c r="F808" s="299" t="s">
        <v>59</v>
      </c>
      <c r="G808" s="300">
        <v>44420</v>
      </c>
      <c r="H808" s="303">
        <v>288.91018867924532</v>
      </c>
      <c r="I808" s="301" t="str">
        <f t="shared" si="204"/>
        <v>Ingresos Sección II LISR (SIC &amp; BMV)</v>
      </c>
      <c r="J808" s="302">
        <f t="shared" si="205"/>
        <v>6</v>
      </c>
      <c r="K808" s="304">
        <f t="shared" si="206"/>
        <v>48.151698113207551</v>
      </c>
      <c r="L808" s="305">
        <f>IF(H808=0,0,IF(OR(E808=$AT$5,E808=$AT$6),AA808,IF(F808="MXN",1/HLOOKUP(YEAR(G808)+(MONTH(G808)/100),TC!$5:$37,DAY(G808)+2,FALSE),VLOOKUP(F808,Equivalencia!$5:$23,((MAX(Equivalencia!$3:$3)-YEAR(G808))*14)+MONTH(G808)+2,FALSE))))</f>
        <v>1</v>
      </c>
      <c r="M808" s="306">
        <f t="shared" si="207"/>
        <v>288.91018867924532</v>
      </c>
      <c r="N808" s="305">
        <f>IF(G808=0,0,(IF(OR(E808=$AT$5,E808=$AT$6),AC808,HLOOKUP(YEAR(G808)+(MONTH(G808)/100),TC!$5:$37,DAY(G808)+2,FALSE))))</f>
        <v>20.1038</v>
      </c>
      <c r="O808" s="307">
        <f t="shared" si="208"/>
        <v>5808.1926511698121</v>
      </c>
      <c r="P808" s="560">
        <f>IF(G808=0,0,VLOOKUP(YEAR(G808),INPC!$B$4:$P$30,MONTH(G808)+2))</f>
        <v>113.899</v>
      </c>
      <c r="Q808" s="560">
        <f>IF(X808=0,0,IF(OR(E808=$AT$10,E808=$AT$9),VLOOKUP(YEAR(X808),INPC!$B$4:$P$30,MONTH(X808)+1),VLOOKUP(YEAR(X808),INPC!$B$4:$P$30,MONTH(X808)+2,0)))</f>
        <v>122.044</v>
      </c>
      <c r="R808" s="309">
        <f t="shared" si="209"/>
        <v>1.0714999999999999</v>
      </c>
      <c r="S808" s="310">
        <f t="shared" si="210"/>
        <v>6223.4784257284527</v>
      </c>
      <c r="T808" s="555">
        <f t="shared" si="211"/>
        <v>1037.2464042880754</v>
      </c>
      <c r="U808" s="311"/>
      <c r="V808" s="312">
        <v>6</v>
      </c>
      <c r="W808" s="299" t="s">
        <v>194</v>
      </c>
      <c r="X808" s="300">
        <v>44763</v>
      </c>
      <c r="Y808" s="299" t="s">
        <v>59</v>
      </c>
      <c r="Z808" s="303">
        <v>212.92</v>
      </c>
      <c r="AA808" s="305">
        <f>IF(Z808=0,0,IF(Y808="MXN",1/HLOOKUP(YEAR(X808)+(MONTH(X808)/100),TC!$5:$37,DAY(X808)+2,FALSE),VLOOKUP(Y808,Equivalencia!$1:$23,((MAX(Equivalencia!$3:$3)-YEAR(X808))*14)+MONTH(X808)+2,FALSE)))</f>
        <v>1</v>
      </c>
      <c r="AB808" s="306">
        <f t="shared" si="212"/>
        <v>212.92</v>
      </c>
      <c r="AC808" s="305">
        <f>+IF(X808=0,0,HLOOKUP(YEAR(X808)+(MONTH(X808)/100),TC!$5:$37,DAY(X808)+2,FALSE))</f>
        <v>20.4407</v>
      </c>
      <c r="AD808" s="307">
        <f t="shared" si="213"/>
        <v>4352.2338439999994</v>
      </c>
      <c r="AE808" s="314">
        <f t="shared" si="214"/>
        <v>6223.4784257284518</v>
      </c>
      <c r="AF808" s="315">
        <f t="shared" si="215"/>
        <v>-1871.2445817284524</v>
      </c>
      <c r="AG808" s="316">
        <f t="shared" si="216"/>
        <v>0.9397260273972603</v>
      </c>
      <c r="AH808" s="314">
        <v>1</v>
      </c>
      <c r="AI808" s="314">
        <f t="shared" si="217"/>
        <v>-1871.2445817284524</v>
      </c>
      <c r="AJ808" s="314">
        <f t="shared" si="218"/>
        <v>0</v>
      </c>
      <c r="AK808" s="317"/>
      <c r="AL808" s="315">
        <f t="shared" si="219"/>
        <v>-75.990188679245335</v>
      </c>
      <c r="AN808" s="554">
        <f t="shared" si="220"/>
        <v>-0.2630235680736458</v>
      </c>
      <c r="AO808" s="314"/>
      <c r="AP808" s="318"/>
    </row>
    <row r="809" spans="2:42">
      <c r="B809" s="296" t="s">
        <v>1254</v>
      </c>
      <c r="C809" s="299" t="s">
        <v>277</v>
      </c>
      <c r="D809" s="298" t="s">
        <v>950</v>
      </c>
      <c r="E809" s="299" t="s">
        <v>113</v>
      </c>
      <c r="F809" s="299" t="s">
        <v>59</v>
      </c>
      <c r="G809" s="300">
        <v>44420</v>
      </c>
      <c r="H809" s="303">
        <v>144.45509433962266</v>
      </c>
      <c r="I809" s="301" t="str">
        <f t="shared" si="204"/>
        <v>Ingresos Sección II LISR (SIC &amp; BMV)</v>
      </c>
      <c r="J809" s="302">
        <f t="shared" si="205"/>
        <v>3</v>
      </c>
      <c r="K809" s="304">
        <f t="shared" si="206"/>
        <v>48.151698113207551</v>
      </c>
      <c r="L809" s="305">
        <f>IF(H809=0,0,IF(OR(E809=$AT$5,E809=$AT$6),AA809,IF(F809="MXN",1/HLOOKUP(YEAR(G809)+(MONTH(G809)/100),TC!$5:$37,DAY(G809)+2,FALSE),VLOOKUP(F809,Equivalencia!$5:$23,((MAX(Equivalencia!$3:$3)-YEAR(G809))*14)+MONTH(G809)+2,FALSE))))</f>
        <v>1</v>
      </c>
      <c r="M809" s="306">
        <f t="shared" si="207"/>
        <v>144.45509433962266</v>
      </c>
      <c r="N809" s="305">
        <f>IF(G809=0,0,(IF(OR(E809=$AT$5,E809=$AT$6),AC809,HLOOKUP(YEAR(G809)+(MONTH(G809)/100),TC!$5:$37,DAY(G809)+2,FALSE))))</f>
        <v>20.1038</v>
      </c>
      <c r="O809" s="307">
        <f t="shared" si="208"/>
        <v>2904.096325584906</v>
      </c>
      <c r="P809" s="560">
        <f>IF(G809=0,0,VLOOKUP(YEAR(G809),INPC!$B$4:$P$30,MONTH(G809)+2))</f>
        <v>113.899</v>
      </c>
      <c r="Q809" s="560">
        <f>IF(X809=0,0,IF(OR(E809=$AT$10,E809=$AT$9),VLOOKUP(YEAR(X809),INPC!$B$4:$P$30,MONTH(X809)+1),VLOOKUP(YEAR(X809),INPC!$B$4:$P$30,MONTH(X809)+2,0)))</f>
        <v>122.044</v>
      </c>
      <c r="R809" s="309">
        <f t="shared" si="209"/>
        <v>1.0714999999999999</v>
      </c>
      <c r="S809" s="310">
        <f t="shared" si="210"/>
        <v>3111.7392128642264</v>
      </c>
      <c r="T809" s="555">
        <f t="shared" si="211"/>
        <v>1037.2464042880754</v>
      </c>
      <c r="U809" s="311"/>
      <c r="V809" s="312">
        <v>3</v>
      </c>
      <c r="W809" s="299" t="s">
        <v>194</v>
      </c>
      <c r="X809" s="300">
        <v>44763</v>
      </c>
      <c r="Y809" s="299" t="s">
        <v>59</v>
      </c>
      <c r="Z809" s="303">
        <v>106.57999999999998</v>
      </c>
      <c r="AA809" s="305">
        <f>IF(Z809=0,0,IF(Y809="MXN",1/HLOOKUP(YEAR(X809)+(MONTH(X809)/100),TC!$5:$37,DAY(X809)+2,FALSE),VLOOKUP(Y809,Equivalencia!$1:$23,((MAX(Equivalencia!$3:$3)-YEAR(X809))*14)+MONTH(X809)+2,FALSE)))</f>
        <v>1</v>
      </c>
      <c r="AB809" s="306">
        <f t="shared" si="212"/>
        <v>106.57999999999998</v>
      </c>
      <c r="AC809" s="305">
        <f>+IF(X809=0,0,HLOOKUP(YEAR(X809)+(MONTH(X809)/100),TC!$5:$37,DAY(X809)+2,FALSE))</f>
        <v>20.4407</v>
      </c>
      <c r="AD809" s="307">
        <f t="shared" si="213"/>
        <v>2178.5698059999995</v>
      </c>
      <c r="AE809" s="314">
        <f t="shared" si="214"/>
        <v>3111.7392128642259</v>
      </c>
      <c r="AF809" s="315">
        <f t="shared" si="215"/>
        <v>-933.1694068642264</v>
      </c>
      <c r="AG809" s="316">
        <f t="shared" si="216"/>
        <v>0.9397260273972603</v>
      </c>
      <c r="AH809" s="314">
        <v>1</v>
      </c>
      <c r="AI809" s="314">
        <f t="shared" si="217"/>
        <v>-933.1694068642264</v>
      </c>
      <c r="AJ809" s="314">
        <f t="shared" si="218"/>
        <v>0</v>
      </c>
      <c r="AK809" s="317"/>
      <c r="AL809" s="315">
        <f t="shared" si="219"/>
        <v>-37.875094339622677</v>
      </c>
      <c r="AN809" s="554">
        <f t="shared" si="220"/>
        <v>-0.26219286009101239</v>
      </c>
      <c r="AO809" s="314"/>
      <c r="AP809" s="318"/>
    </row>
    <row r="810" spans="2:42">
      <c r="B810" s="296" t="s">
        <v>1254</v>
      </c>
      <c r="C810" s="299" t="s">
        <v>277</v>
      </c>
      <c r="D810" s="298" t="s">
        <v>950</v>
      </c>
      <c r="E810" s="299" t="s">
        <v>113</v>
      </c>
      <c r="F810" s="299" t="s">
        <v>59</v>
      </c>
      <c r="G810" s="300">
        <v>44420</v>
      </c>
      <c r="H810" s="303">
        <v>48.151698113207551</v>
      </c>
      <c r="I810" s="301" t="str">
        <f t="shared" si="204"/>
        <v>Ingresos Sección II LISR (SIC &amp; BMV)</v>
      </c>
      <c r="J810" s="302">
        <f t="shared" si="205"/>
        <v>1</v>
      </c>
      <c r="K810" s="304">
        <f t="shared" si="206"/>
        <v>48.151698113207551</v>
      </c>
      <c r="L810" s="305">
        <f>IF(H810=0,0,IF(OR(E810=$AT$5,E810=$AT$6),AA810,IF(F810="MXN",1/HLOOKUP(YEAR(G810)+(MONTH(G810)/100),TC!$5:$37,DAY(G810)+2,FALSE),VLOOKUP(F810,Equivalencia!$5:$23,((MAX(Equivalencia!$3:$3)-YEAR(G810))*14)+MONTH(G810)+2,FALSE))))</f>
        <v>1</v>
      </c>
      <c r="M810" s="306">
        <f t="shared" si="207"/>
        <v>48.151698113207551</v>
      </c>
      <c r="N810" s="305">
        <f>IF(G810=0,0,(IF(OR(E810=$AT$5,E810=$AT$6),AC810,HLOOKUP(YEAR(G810)+(MONTH(G810)/100),TC!$5:$37,DAY(G810)+2,FALSE))))</f>
        <v>20.1038</v>
      </c>
      <c r="O810" s="307">
        <f t="shared" si="208"/>
        <v>968.03210852830193</v>
      </c>
      <c r="P810" s="560">
        <f>IF(G810=0,0,VLOOKUP(YEAR(G810),INPC!$B$4:$P$30,MONTH(G810)+2))</f>
        <v>113.899</v>
      </c>
      <c r="Q810" s="560">
        <f>IF(X810=0,0,IF(OR(E810=$AT$10,E810=$AT$9),VLOOKUP(YEAR(X810),INPC!$B$4:$P$30,MONTH(X810)+1),VLOOKUP(YEAR(X810),INPC!$B$4:$P$30,MONTH(X810)+2,0)))</f>
        <v>122.044</v>
      </c>
      <c r="R810" s="309">
        <f t="shared" si="209"/>
        <v>1.0714999999999999</v>
      </c>
      <c r="S810" s="310">
        <f t="shared" si="210"/>
        <v>1037.2464042880754</v>
      </c>
      <c r="T810" s="555">
        <f t="shared" si="211"/>
        <v>1037.2464042880754</v>
      </c>
      <c r="U810" s="311"/>
      <c r="V810" s="312">
        <v>1</v>
      </c>
      <c r="W810" s="299" t="s">
        <v>194</v>
      </c>
      <c r="X810" s="300">
        <v>44763</v>
      </c>
      <c r="Y810" s="299" t="s">
        <v>59</v>
      </c>
      <c r="Z810" s="303">
        <v>35.53</v>
      </c>
      <c r="AA810" s="305">
        <f>IF(Z810=0,0,IF(Y810="MXN",1/HLOOKUP(YEAR(X810)+(MONTH(X810)/100),TC!$5:$37,DAY(X810)+2,FALSE),VLOOKUP(Y810,Equivalencia!$1:$23,((MAX(Equivalencia!$3:$3)-YEAR(X810))*14)+MONTH(X810)+2,FALSE)))</f>
        <v>1</v>
      </c>
      <c r="AB810" s="306">
        <f t="shared" si="212"/>
        <v>35.53</v>
      </c>
      <c r="AC810" s="305">
        <f>+IF(X810=0,0,HLOOKUP(YEAR(X810)+(MONTH(X810)/100),TC!$5:$37,DAY(X810)+2,FALSE))</f>
        <v>20.4407</v>
      </c>
      <c r="AD810" s="307">
        <f t="shared" si="213"/>
        <v>726.25807099999997</v>
      </c>
      <c r="AE810" s="314">
        <f t="shared" si="214"/>
        <v>1037.2464042880754</v>
      </c>
      <c r="AF810" s="315">
        <f t="shared" si="215"/>
        <v>-310.98833328807541</v>
      </c>
      <c r="AG810" s="316">
        <f t="shared" si="216"/>
        <v>0.9397260273972603</v>
      </c>
      <c r="AH810" s="314">
        <v>1</v>
      </c>
      <c r="AI810" s="314">
        <f t="shared" si="217"/>
        <v>-310.98833328807541</v>
      </c>
      <c r="AJ810" s="314">
        <f t="shared" si="218"/>
        <v>0</v>
      </c>
      <c r="AK810" s="317"/>
      <c r="AL810" s="315">
        <f t="shared" si="219"/>
        <v>-12.62169811320755</v>
      </c>
      <c r="AN810" s="554">
        <f t="shared" si="220"/>
        <v>-0.26212363442579273</v>
      </c>
      <c r="AO810" s="314"/>
      <c r="AP810" s="318"/>
    </row>
    <row r="811" spans="2:42">
      <c r="B811" s="296" t="s">
        <v>1254</v>
      </c>
      <c r="C811" s="299" t="s">
        <v>277</v>
      </c>
      <c r="D811" s="298" t="s">
        <v>950</v>
      </c>
      <c r="E811" s="299" t="s">
        <v>113</v>
      </c>
      <c r="F811" s="299" t="s">
        <v>59</v>
      </c>
      <c r="G811" s="300">
        <v>44420</v>
      </c>
      <c r="H811" s="303">
        <v>2648.3433962264153</v>
      </c>
      <c r="I811" s="301" t="str">
        <f t="shared" si="204"/>
        <v>Ingresos Sección II LISR (SIC &amp; BMV)</v>
      </c>
      <c r="J811" s="302">
        <f t="shared" si="205"/>
        <v>55</v>
      </c>
      <c r="K811" s="304">
        <f t="shared" si="206"/>
        <v>48.151698113207551</v>
      </c>
      <c r="L811" s="305">
        <f>IF(H811=0,0,IF(OR(E811=$AT$5,E811=$AT$6),AA811,IF(F811="MXN",1/HLOOKUP(YEAR(G811)+(MONTH(G811)/100),TC!$5:$37,DAY(G811)+2,FALSE),VLOOKUP(F811,Equivalencia!$5:$23,((MAX(Equivalencia!$3:$3)-YEAR(G811))*14)+MONTH(G811)+2,FALSE))))</f>
        <v>1</v>
      </c>
      <c r="M811" s="306">
        <f t="shared" si="207"/>
        <v>2648.3433962264153</v>
      </c>
      <c r="N811" s="305">
        <f>IF(G811=0,0,(IF(OR(E811=$AT$5,E811=$AT$6),AC811,HLOOKUP(YEAR(G811)+(MONTH(G811)/100),TC!$5:$37,DAY(G811)+2,FALSE))))</f>
        <v>20.1038</v>
      </c>
      <c r="O811" s="307">
        <f t="shared" si="208"/>
        <v>53241.765969056607</v>
      </c>
      <c r="P811" s="560">
        <f>IF(G811=0,0,VLOOKUP(YEAR(G811),INPC!$B$4:$P$30,MONTH(G811)+2))</f>
        <v>113.899</v>
      </c>
      <c r="Q811" s="560">
        <f>IF(X811=0,0,IF(OR(E811=$AT$10,E811=$AT$9),VLOOKUP(YEAR(X811),INPC!$B$4:$P$30,MONTH(X811)+1),VLOOKUP(YEAR(X811),INPC!$B$4:$P$30,MONTH(X811)+2,0)))</f>
        <v>122.044</v>
      </c>
      <c r="R811" s="309">
        <f t="shared" si="209"/>
        <v>1.0714999999999999</v>
      </c>
      <c r="S811" s="310">
        <f t="shared" si="210"/>
        <v>57048.552235844152</v>
      </c>
      <c r="T811" s="555">
        <f t="shared" si="211"/>
        <v>1037.2464042880754</v>
      </c>
      <c r="U811" s="311"/>
      <c r="V811" s="312">
        <v>55</v>
      </c>
      <c r="W811" s="299" t="s">
        <v>194</v>
      </c>
      <c r="X811" s="300">
        <v>44764</v>
      </c>
      <c r="Y811" s="299" t="s">
        <v>59</v>
      </c>
      <c r="Z811" s="303">
        <v>1855.86</v>
      </c>
      <c r="AA811" s="305">
        <f>IF(Z811=0,0,IF(Y811="MXN",1/HLOOKUP(YEAR(X811)+(MONTH(X811)/100),TC!$5:$37,DAY(X811)+2,FALSE),VLOOKUP(Y811,Equivalencia!$1:$23,((MAX(Equivalencia!$3:$3)-YEAR(X811))*14)+MONTH(X811)+2,FALSE)))</f>
        <v>1</v>
      </c>
      <c r="AB811" s="306">
        <f t="shared" si="212"/>
        <v>1855.86</v>
      </c>
      <c r="AC811" s="305">
        <f>+IF(X811=0,0,HLOOKUP(YEAR(X811)+(MONTH(X811)/100),TC!$5:$37,DAY(X811)+2,FALSE))</f>
        <v>20.491299999999999</v>
      </c>
      <c r="AD811" s="307">
        <f t="shared" si="213"/>
        <v>38028.984017999996</v>
      </c>
      <c r="AE811" s="314">
        <f t="shared" si="214"/>
        <v>57048.552235844145</v>
      </c>
      <c r="AF811" s="315">
        <f t="shared" si="215"/>
        <v>-19019.568217844149</v>
      </c>
      <c r="AG811" s="316">
        <f t="shared" si="216"/>
        <v>0.94246575342465755</v>
      </c>
      <c r="AH811" s="314">
        <v>1</v>
      </c>
      <c r="AI811" s="314">
        <f t="shared" si="217"/>
        <v>-19019.568217844149</v>
      </c>
      <c r="AJ811" s="314">
        <f t="shared" si="218"/>
        <v>0</v>
      </c>
      <c r="AK811" s="317"/>
      <c r="AL811" s="315">
        <f t="shared" si="219"/>
        <v>-792.48339622641538</v>
      </c>
      <c r="AN811" s="554">
        <f t="shared" si="220"/>
        <v>-0.29923740152263223</v>
      </c>
      <c r="AO811" s="314"/>
      <c r="AP811" s="318"/>
    </row>
    <row r="812" spans="2:42">
      <c r="B812" s="296" t="s">
        <v>1254</v>
      </c>
      <c r="C812" s="299" t="s">
        <v>277</v>
      </c>
      <c r="D812" s="298" t="s">
        <v>950</v>
      </c>
      <c r="E812" s="299" t="s">
        <v>113</v>
      </c>
      <c r="F812" s="299" t="s">
        <v>59</v>
      </c>
      <c r="G812" s="300">
        <v>44420</v>
      </c>
      <c r="H812" s="303">
        <v>1107.4890566037736</v>
      </c>
      <c r="I812" s="301" t="str">
        <f t="shared" si="204"/>
        <v>Ingresos Sección II LISR (SIC &amp; BMV)</v>
      </c>
      <c r="J812" s="302">
        <f t="shared" si="205"/>
        <v>23</v>
      </c>
      <c r="K812" s="304">
        <f t="shared" si="206"/>
        <v>48.151698113207551</v>
      </c>
      <c r="L812" s="305">
        <f>IF(H812=0,0,IF(OR(E812=$AT$5,E812=$AT$6),AA812,IF(F812="MXN",1/HLOOKUP(YEAR(G812)+(MONTH(G812)/100),TC!$5:$37,DAY(G812)+2,FALSE),VLOOKUP(F812,Equivalencia!$5:$23,((MAX(Equivalencia!$3:$3)-YEAR(G812))*14)+MONTH(G812)+2,FALSE))))</f>
        <v>1</v>
      </c>
      <c r="M812" s="306">
        <f t="shared" si="207"/>
        <v>1107.4890566037736</v>
      </c>
      <c r="N812" s="305">
        <f>IF(G812=0,0,(IF(OR(E812=$AT$5,E812=$AT$6),AC812,HLOOKUP(YEAR(G812)+(MONTH(G812)/100),TC!$5:$37,DAY(G812)+2,FALSE))))</f>
        <v>20.1038</v>
      </c>
      <c r="O812" s="307">
        <f t="shared" si="208"/>
        <v>22264.738496150945</v>
      </c>
      <c r="P812" s="560">
        <f>IF(G812=0,0,VLOOKUP(YEAR(G812),INPC!$B$4:$P$30,MONTH(G812)+2))</f>
        <v>113.899</v>
      </c>
      <c r="Q812" s="560">
        <f>IF(X812=0,0,IF(OR(E812=$AT$10,E812=$AT$9),VLOOKUP(YEAR(X812),INPC!$B$4:$P$30,MONTH(X812)+1),VLOOKUP(YEAR(X812),INPC!$B$4:$P$30,MONTH(X812)+2,0)))</f>
        <v>122.044</v>
      </c>
      <c r="R812" s="309">
        <f t="shared" si="209"/>
        <v>1.0714999999999999</v>
      </c>
      <c r="S812" s="310">
        <f t="shared" si="210"/>
        <v>23856.667298625736</v>
      </c>
      <c r="T812" s="555">
        <f t="shared" si="211"/>
        <v>1037.2464042880754</v>
      </c>
      <c r="U812" s="311"/>
      <c r="V812" s="312">
        <v>23</v>
      </c>
      <c r="W812" s="299" t="s">
        <v>194</v>
      </c>
      <c r="X812" s="300">
        <v>44764</v>
      </c>
      <c r="Y812" s="299" t="s">
        <v>59</v>
      </c>
      <c r="Z812" s="303">
        <v>825.36000000000013</v>
      </c>
      <c r="AA812" s="305">
        <f>IF(Z812=0,0,IF(Y812="MXN",1/HLOOKUP(YEAR(X812)+(MONTH(X812)/100),TC!$5:$37,DAY(X812)+2,FALSE),VLOOKUP(Y812,Equivalencia!$1:$23,((MAX(Equivalencia!$3:$3)-YEAR(X812))*14)+MONTH(X812)+2,FALSE)))</f>
        <v>1</v>
      </c>
      <c r="AB812" s="306">
        <f t="shared" si="212"/>
        <v>825.36000000000013</v>
      </c>
      <c r="AC812" s="305">
        <f>+IF(X812=0,0,HLOOKUP(YEAR(X812)+(MONTH(X812)/100),TC!$5:$37,DAY(X812)+2,FALSE))</f>
        <v>20.491299999999999</v>
      </c>
      <c r="AD812" s="307">
        <f t="shared" si="213"/>
        <v>16912.699368000001</v>
      </c>
      <c r="AE812" s="314">
        <f t="shared" si="214"/>
        <v>23856.667298625733</v>
      </c>
      <c r="AF812" s="315">
        <f t="shared" si="215"/>
        <v>-6943.9679306257312</v>
      </c>
      <c r="AG812" s="316">
        <f t="shared" si="216"/>
        <v>0.94246575342465755</v>
      </c>
      <c r="AH812" s="314">
        <v>1</v>
      </c>
      <c r="AI812" s="314">
        <f t="shared" si="217"/>
        <v>-6943.9679306257312</v>
      </c>
      <c r="AJ812" s="314">
        <f t="shared" si="218"/>
        <v>0</v>
      </c>
      <c r="AK812" s="317"/>
      <c r="AL812" s="315">
        <f t="shared" si="219"/>
        <v>-282.12905660377351</v>
      </c>
      <c r="AN812" s="554">
        <f t="shared" si="220"/>
        <v>-0.25474658636262337</v>
      </c>
      <c r="AO812" s="314"/>
      <c r="AP812" s="318"/>
    </row>
    <row r="813" spans="2:42">
      <c r="B813" s="296" t="s">
        <v>1254</v>
      </c>
      <c r="C813" s="299" t="s">
        <v>277</v>
      </c>
      <c r="D813" s="298" t="s">
        <v>950</v>
      </c>
      <c r="E813" s="299" t="s">
        <v>113</v>
      </c>
      <c r="F813" s="299" t="s">
        <v>59</v>
      </c>
      <c r="G813" s="300">
        <v>44420</v>
      </c>
      <c r="H813" s="303">
        <v>385.21358490566041</v>
      </c>
      <c r="I813" s="301" t="str">
        <f t="shared" si="204"/>
        <v>Ingresos Sección II LISR (SIC &amp; BMV)</v>
      </c>
      <c r="J813" s="302">
        <f t="shared" si="205"/>
        <v>8</v>
      </c>
      <c r="K813" s="304">
        <f t="shared" si="206"/>
        <v>48.151698113207551</v>
      </c>
      <c r="L813" s="305">
        <f>IF(H813=0,0,IF(OR(E813=$AT$5,E813=$AT$6),AA813,IF(F813="MXN",1/HLOOKUP(YEAR(G813)+(MONTH(G813)/100),TC!$5:$37,DAY(G813)+2,FALSE),VLOOKUP(F813,Equivalencia!$5:$23,((MAX(Equivalencia!$3:$3)-YEAR(G813))*14)+MONTH(G813)+2,FALSE))))</f>
        <v>1</v>
      </c>
      <c r="M813" s="306">
        <f t="shared" si="207"/>
        <v>385.21358490566041</v>
      </c>
      <c r="N813" s="305">
        <f>IF(G813=0,0,(IF(OR(E813=$AT$5,E813=$AT$6),AC813,HLOOKUP(YEAR(G813)+(MONTH(G813)/100),TC!$5:$37,DAY(G813)+2,FALSE))))</f>
        <v>20.1038</v>
      </c>
      <c r="O813" s="307">
        <f t="shared" si="208"/>
        <v>7744.2568682264155</v>
      </c>
      <c r="P813" s="560">
        <f>IF(G813=0,0,VLOOKUP(YEAR(G813),INPC!$B$4:$P$30,MONTH(G813)+2))</f>
        <v>113.899</v>
      </c>
      <c r="Q813" s="560">
        <f>IF(X813=0,0,IF(OR(E813=$AT$10,E813=$AT$9),VLOOKUP(YEAR(X813),INPC!$B$4:$P$30,MONTH(X813)+1),VLOOKUP(YEAR(X813),INPC!$B$4:$P$30,MONTH(X813)+2,0)))</f>
        <v>122.044</v>
      </c>
      <c r="R813" s="309">
        <f t="shared" si="209"/>
        <v>1.0714999999999999</v>
      </c>
      <c r="S813" s="310">
        <f t="shared" si="210"/>
        <v>8297.9712343046031</v>
      </c>
      <c r="T813" s="555">
        <f t="shared" si="211"/>
        <v>1037.2464042880754</v>
      </c>
      <c r="U813" s="311"/>
      <c r="V813" s="312">
        <v>8</v>
      </c>
      <c r="W813" s="299" t="s">
        <v>194</v>
      </c>
      <c r="X813" s="300">
        <v>44764</v>
      </c>
      <c r="Y813" s="299" t="s">
        <v>59</v>
      </c>
      <c r="Z813" s="303">
        <v>269.47199999999998</v>
      </c>
      <c r="AA813" s="305">
        <f>IF(Z813=0,0,IF(Y813="MXN",1/HLOOKUP(YEAR(X813)+(MONTH(X813)/100),TC!$5:$37,DAY(X813)+2,FALSE),VLOOKUP(Y813,Equivalencia!$1:$23,((MAX(Equivalencia!$3:$3)-YEAR(X813))*14)+MONTH(X813)+2,FALSE)))</f>
        <v>1</v>
      </c>
      <c r="AB813" s="306">
        <f t="shared" si="212"/>
        <v>269.47199999999998</v>
      </c>
      <c r="AC813" s="305">
        <f>+IF(X813=0,0,HLOOKUP(YEAR(X813)+(MONTH(X813)/100),TC!$5:$37,DAY(X813)+2,FALSE))</f>
        <v>20.491299999999999</v>
      </c>
      <c r="AD813" s="307">
        <f t="shared" si="213"/>
        <v>5521.831593599999</v>
      </c>
      <c r="AE813" s="314">
        <f t="shared" si="214"/>
        <v>8297.9712343046031</v>
      </c>
      <c r="AF813" s="315">
        <f t="shared" si="215"/>
        <v>-2776.1396407046041</v>
      </c>
      <c r="AG813" s="316">
        <f t="shared" si="216"/>
        <v>0.94246575342465755</v>
      </c>
      <c r="AH813" s="314">
        <v>1</v>
      </c>
      <c r="AI813" s="314">
        <f t="shared" si="217"/>
        <v>-2776.1396407046041</v>
      </c>
      <c r="AJ813" s="314">
        <f t="shared" si="218"/>
        <v>0</v>
      </c>
      <c r="AK813" s="317"/>
      <c r="AL813" s="315">
        <f t="shared" si="219"/>
        <v>-115.74158490566043</v>
      </c>
      <c r="AN813" s="554">
        <f t="shared" si="220"/>
        <v>-0.30046080782432888</v>
      </c>
      <c r="AO813" s="314"/>
      <c r="AP813" s="318"/>
    </row>
    <row r="814" spans="2:42">
      <c r="B814" s="296" t="s">
        <v>1254</v>
      </c>
      <c r="C814" s="299" t="s">
        <v>277</v>
      </c>
      <c r="D814" s="298" t="s">
        <v>950</v>
      </c>
      <c r="E814" s="299" t="s">
        <v>113</v>
      </c>
      <c r="F814" s="299" t="s">
        <v>59</v>
      </c>
      <c r="G814" s="300">
        <v>44420</v>
      </c>
      <c r="H814" s="303">
        <v>579.84</v>
      </c>
      <c r="I814" s="301" t="str">
        <f t="shared" si="204"/>
        <v>Ingresos Sección II LISR (SIC &amp; BMV)</v>
      </c>
      <c r="J814" s="302">
        <f t="shared" si="205"/>
        <v>12</v>
      </c>
      <c r="K814" s="304">
        <f t="shared" si="206"/>
        <v>48.32</v>
      </c>
      <c r="L814" s="305">
        <f>IF(H814=0,0,IF(OR(E814=$AT$5,E814=$AT$6),AA814,IF(F814="MXN",1/HLOOKUP(YEAR(G814)+(MONTH(G814)/100),TC!$5:$37,DAY(G814)+2,FALSE),VLOOKUP(F814,Equivalencia!$5:$23,((MAX(Equivalencia!$3:$3)-YEAR(G814))*14)+MONTH(G814)+2,FALSE))))</f>
        <v>1</v>
      </c>
      <c r="M814" s="306">
        <f t="shared" si="207"/>
        <v>579.84</v>
      </c>
      <c r="N814" s="305">
        <f>IF(G814=0,0,(IF(OR(E814=$AT$5,E814=$AT$6),AC814,HLOOKUP(YEAR(G814)+(MONTH(G814)/100),TC!$5:$37,DAY(G814)+2,FALSE))))</f>
        <v>20.1038</v>
      </c>
      <c r="O814" s="307">
        <f t="shared" si="208"/>
        <v>11656.987392000001</v>
      </c>
      <c r="P814" s="560">
        <f>IF(G814=0,0,VLOOKUP(YEAR(G814),INPC!$B$4:$P$30,MONTH(G814)+2))</f>
        <v>113.899</v>
      </c>
      <c r="Q814" s="560">
        <f>IF(X814=0,0,IF(OR(E814=$AT$10,E814=$AT$9),VLOOKUP(YEAR(X814),INPC!$B$4:$P$30,MONTH(X814)+1),VLOOKUP(YEAR(X814),INPC!$B$4:$P$30,MONTH(X814)+2,0)))</f>
        <v>122.044</v>
      </c>
      <c r="R814" s="309">
        <f t="shared" si="209"/>
        <v>1.0714999999999999</v>
      </c>
      <c r="S814" s="310">
        <f t="shared" si="210"/>
        <v>12490.461990528</v>
      </c>
      <c r="T814" s="555">
        <f t="shared" si="211"/>
        <v>1040.871832544</v>
      </c>
      <c r="U814" s="311"/>
      <c r="V814" s="312">
        <v>12</v>
      </c>
      <c r="W814" s="299" t="s">
        <v>194</v>
      </c>
      <c r="X814" s="300">
        <v>44764</v>
      </c>
      <c r="Y814" s="299" t="s">
        <v>59</v>
      </c>
      <c r="Z814" s="303">
        <v>404.20799999999997</v>
      </c>
      <c r="AA814" s="305">
        <f>IF(Z814=0,0,IF(Y814="MXN",1/HLOOKUP(YEAR(X814)+(MONTH(X814)/100),TC!$5:$37,DAY(X814)+2,FALSE),VLOOKUP(Y814,Equivalencia!$1:$23,((MAX(Equivalencia!$3:$3)-YEAR(X814))*14)+MONTH(X814)+2,FALSE)))</f>
        <v>1</v>
      </c>
      <c r="AB814" s="306">
        <f t="shared" si="212"/>
        <v>404.20799999999997</v>
      </c>
      <c r="AC814" s="305">
        <f>+IF(X814=0,0,HLOOKUP(YEAR(X814)+(MONTH(X814)/100),TC!$5:$37,DAY(X814)+2,FALSE))</f>
        <v>20.491299999999999</v>
      </c>
      <c r="AD814" s="307">
        <f t="shared" si="213"/>
        <v>8282.7473903999999</v>
      </c>
      <c r="AE814" s="314">
        <f t="shared" si="214"/>
        <v>12490.461990528</v>
      </c>
      <c r="AF814" s="315">
        <f t="shared" si="215"/>
        <v>-4207.7146001279998</v>
      </c>
      <c r="AG814" s="316">
        <f t="shared" si="216"/>
        <v>0.94246575342465755</v>
      </c>
      <c r="AH814" s="314">
        <v>1</v>
      </c>
      <c r="AI814" s="314">
        <f t="shared" si="217"/>
        <v>-4207.7146001279998</v>
      </c>
      <c r="AJ814" s="314">
        <f t="shared" si="218"/>
        <v>0</v>
      </c>
      <c r="AK814" s="317"/>
      <c r="AL814" s="315">
        <f t="shared" si="219"/>
        <v>-175.63200000000006</v>
      </c>
      <c r="AN814" s="554">
        <f t="shared" si="220"/>
        <v>-0.30289735099337756</v>
      </c>
      <c r="AO814" s="314"/>
      <c r="AP814" s="318"/>
    </row>
    <row r="815" spans="2:42">
      <c r="B815" s="296" t="s">
        <v>1254</v>
      </c>
      <c r="C815" s="299" t="s">
        <v>277</v>
      </c>
      <c r="D815" s="298" t="s">
        <v>950</v>
      </c>
      <c r="E815" s="299" t="s">
        <v>113</v>
      </c>
      <c r="F815" s="299" t="s">
        <v>59</v>
      </c>
      <c r="G815" s="300">
        <v>44420</v>
      </c>
      <c r="H815" s="303">
        <v>48.32</v>
      </c>
      <c r="I815" s="301" t="str">
        <f t="shared" si="204"/>
        <v>Ingresos Sección II LISR (SIC &amp; BMV)</v>
      </c>
      <c r="J815" s="302">
        <f t="shared" si="205"/>
        <v>1</v>
      </c>
      <c r="K815" s="304">
        <f t="shared" si="206"/>
        <v>48.32</v>
      </c>
      <c r="L815" s="305">
        <f>IF(H815=0,0,IF(OR(E815=$AT$5,E815=$AT$6),AA815,IF(F815="MXN",1/HLOOKUP(YEAR(G815)+(MONTH(G815)/100),TC!$5:$37,DAY(G815)+2,FALSE),VLOOKUP(F815,Equivalencia!$5:$23,((MAX(Equivalencia!$3:$3)-YEAR(G815))*14)+MONTH(G815)+2,FALSE))))</f>
        <v>1</v>
      </c>
      <c r="M815" s="306">
        <f t="shared" si="207"/>
        <v>48.32</v>
      </c>
      <c r="N815" s="305">
        <f>IF(G815=0,0,(IF(OR(E815=$AT$5,E815=$AT$6),AC815,HLOOKUP(YEAR(G815)+(MONTH(G815)/100),TC!$5:$37,DAY(G815)+2,FALSE))))</f>
        <v>20.1038</v>
      </c>
      <c r="O815" s="307">
        <f t="shared" si="208"/>
        <v>971.415616</v>
      </c>
      <c r="P815" s="560">
        <f>IF(G815=0,0,VLOOKUP(YEAR(G815),INPC!$B$4:$P$30,MONTH(G815)+2))</f>
        <v>113.899</v>
      </c>
      <c r="Q815" s="560">
        <f>IF(X815=0,0,IF(OR(E815=$AT$10,E815=$AT$9),VLOOKUP(YEAR(X815),INPC!$B$4:$P$30,MONTH(X815)+1),VLOOKUP(YEAR(X815),INPC!$B$4:$P$30,MONTH(X815)+2,0)))</f>
        <v>122.044</v>
      </c>
      <c r="R815" s="309">
        <f t="shared" si="209"/>
        <v>1.0714999999999999</v>
      </c>
      <c r="S815" s="310">
        <f t="shared" si="210"/>
        <v>1040.871832544</v>
      </c>
      <c r="T815" s="555">
        <f t="shared" si="211"/>
        <v>1040.871832544</v>
      </c>
      <c r="U815" s="311"/>
      <c r="V815" s="312">
        <v>1</v>
      </c>
      <c r="W815" s="299" t="s">
        <v>194</v>
      </c>
      <c r="X815" s="300">
        <v>44764</v>
      </c>
      <c r="Y815" s="299" t="s">
        <v>59</v>
      </c>
      <c r="Z815" s="303">
        <v>33.742727272727272</v>
      </c>
      <c r="AA815" s="305">
        <f>IF(Z815=0,0,IF(Y815="MXN",1/HLOOKUP(YEAR(X815)+(MONTH(X815)/100),TC!$5:$37,DAY(X815)+2,FALSE),VLOOKUP(Y815,Equivalencia!$1:$23,((MAX(Equivalencia!$3:$3)-YEAR(X815))*14)+MONTH(X815)+2,FALSE)))</f>
        <v>1</v>
      </c>
      <c r="AB815" s="306">
        <f t="shared" si="212"/>
        <v>33.742727272727272</v>
      </c>
      <c r="AC815" s="305">
        <f>+IF(X815=0,0,HLOOKUP(YEAR(X815)+(MONTH(X815)/100),TC!$5:$37,DAY(X815)+2,FALSE))</f>
        <v>20.491299999999999</v>
      </c>
      <c r="AD815" s="307">
        <f t="shared" si="213"/>
        <v>691.43234736363627</v>
      </c>
      <c r="AE815" s="314">
        <f t="shared" si="214"/>
        <v>1040.871832544</v>
      </c>
      <c r="AF815" s="315">
        <f t="shared" si="215"/>
        <v>-349.4394851803637</v>
      </c>
      <c r="AG815" s="316">
        <f t="shared" si="216"/>
        <v>0.94246575342465755</v>
      </c>
      <c r="AH815" s="314">
        <v>1</v>
      </c>
      <c r="AI815" s="314">
        <f t="shared" si="217"/>
        <v>-349.4394851803637</v>
      </c>
      <c r="AJ815" s="314">
        <f t="shared" si="218"/>
        <v>0</v>
      </c>
      <c r="AK815" s="317"/>
      <c r="AL815" s="315">
        <f t="shared" si="219"/>
        <v>-14.577272727272728</v>
      </c>
      <c r="AN815" s="554">
        <f t="shared" si="220"/>
        <v>-0.30168196869355812</v>
      </c>
      <c r="AO815" s="314"/>
      <c r="AP815" s="318"/>
    </row>
    <row r="816" spans="2:42">
      <c r="B816" s="296" t="s">
        <v>1254</v>
      </c>
      <c r="C816" s="299" t="s">
        <v>277</v>
      </c>
      <c r="D816" s="298" t="s">
        <v>950</v>
      </c>
      <c r="E816" s="299" t="s">
        <v>113</v>
      </c>
      <c r="F816" s="299" t="s">
        <v>59</v>
      </c>
      <c r="G816" s="300">
        <v>44420</v>
      </c>
      <c r="H816" s="303">
        <v>508.4</v>
      </c>
      <c r="I816" s="301" t="str">
        <f t="shared" si="204"/>
        <v>Ingresos Sección II LISR (SIC &amp; BMV)</v>
      </c>
      <c r="J816" s="302">
        <f t="shared" si="205"/>
        <v>10</v>
      </c>
      <c r="K816" s="304">
        <f t="shared" si="206"/>
        <v>50.839999999999996</v>
      </c>
      <c r="L816" s="305">
        <f>IF(H816=0,0,IF(OR(E816=$AT$5,E816=$AT$6),AA816,IF(F816="MXN",1/HLOOKUP(YEAR(G816)+(MONTH(G816)/100),TC!$5:$37,DAY(G816)+2,FALSE),VLOOKUP(F816,Equivalencia!$5:$23,((MAX(Equivalencia!$3:$3)-YEAR(G816))*14)+MONTH(G816)+2,FALSE))))</f>
        <v>1</v>
      </c>
      <c r="M816" s="306">
        <f t="shared" si="207"/>
        <v>508.4</v>
      </c>
      <c r="N816" s="305">
        <f>IF(G816=0,0,(IF(OR(E816=$AT$5,E816=$AT$6),AC816,HLOOKUP(YEAR(G816)+(MONTH(G816)/100),TC!$5:$37,DAY(G816)+2,FALSE))))</f>
        <v>20.1038</v>
      </c>
      <c r="O816" s="307">
        <f t="shared" si="208"/>
        <v>10220.771919999999</v>
      </c>
      <c r="P816" s="560">
        <f>IF(G816=0,0,VLOOKUP(YEAR(G816),INPC!$B$4:$P$30,MONTH(G816)+2))</f>
        <v>113.899</v>
      </c>
      <c r="Q816" s="560">
        <f>IF(X816=0,0,IF(OR(E816=$AT$10,E816=$AT$9),VLOOKUP(YEAR(X816),INPC!$B$4:$P$30,MONTH(X816)+1),VLOOKUP(YEAR(X816),INPC!$B$4:$P$30,MONTH(X816)+2,0)))</f>
        <v>122.044</v>
      </c>
      <c r="R816" s="309">
        <f t="shared" si="209"/>
        <v>1.0714999999999999</v>
      </c>
      <c r="S816" s="310">
        <f t="shared" si="210"/>
        <v>10951.557112279997</v>
      </c>
      <c r="T816" s="555">
        <f t="shared" si="211"/>
        <v>1095.1557112279997</v>
      </c>
      <c r="U816" s="311"/>
      <c r="V816" s="312">
        <v>10</v>
      </c>
      <c r="W816" s="299" t="s">
        <v>194</v>
      </c>
      <c r="X816" s="300">
        <v>44764</v>
      </c>
      <c r="Y816" s="299" t="s">
        <v>59</v>
      </c>
      <c r="Z816" s="303">
        <v>337.42727272727274</v>
      </c>
      <c r="AA816" s="305">
        <f>IF(Z816=0,0,IF(Y816="MXN",1/HLOOKUP(YEAR(X816)+(MONTH(X816)/100),TC!$5:$37,DAY(X816)+2,FALSE),VLOOKUP(Y816,Equivalencia!$1:$23,((MAX(Equivalencia!$3:$3)-YEAR(X816))*14)+MONTH(X816)+2,FALSE)))</f>
        <v>1</v>
      </c>
      <c r="AB816" s="306">
        <f t="shared" si="212"/>
        <v>337.42727272727274</v>
      </c>
      <c r="AC816" s="305">
        <f>+IF(X816=0,0,HLOOKUP(YEAR(X816)+(MONTH(X816)/100),TC!$5:$37,DAY(X816)+2,FALSE))</f>
        <v>20.491299999999999</v>
      </c>
      <c r="AD816" s="307">
        <f t="shared" si="213"/>
        <v>6914.3234736363638</v>
      </c>
      <c r="AE816" s="314">
        <f t="shared" si="214"/>
        <v>10951.557112279997</v>
      </c>
      <c r="AF816" s="315">
        <f t="shared" si="215"/>
        <v>-4037.2336386436336</v>
      </c>
      <c r="AG816" s="316">
        <f t="shared" si="216"/>
        <v>0.94246575342465755</v>
      </c>
      <c r="AH816" s="314">
        <v>1</v>
      </c>
      <c r="AI816" s="314">
        <f t="shared" si="217"/>
        <v>-4037.2336386436336</v>
      </c>
      <c r="AJ816" s="314">
        <f t="shared" si="218"/>
        <v>0</v>
      </c>
      <c r="AK816" s="317"/>
      <c r="AL816" s="315">
        <f t="shared" si="219"/>
        <v>-170.97272727272724</v>
      </c>
      <c r="AN816" s="554">
        <f t="shared" si="220"/>
        <v>-0.33629568700379081</v>
      </c>
      <c r="AO816" s="314"/>
      <c r="AP816" s="318"/>
    </row>
    <row r="817" spans="2:42">
      <c r="B817" s="296" t="s">
        <v>1254</v>
      </c>
      <c r="C817" s="299" t="s">
        <v>277</v>
      </c>
      <c r="D817" s="298" t="s">
        <v>950</v>
      </c>
      <c r="E817" s="299" t="s">
        <v>113</v>
      </c>
      <c r="F817" s="299" t="s">
        <v>59</v>
      </c>
      <c r="G817" s="300">
        <v>44420</v>
      </c>
      <c r="H817" s="303">
        <v>254.2</v>
      </c>
      <c r="I817" s="301" t="str">
        <f t="shared" si="204"/>
        <v>Ingresos Sección II LISR (SIC &amp; BMV)</v>
      </c>
      <c r="J817" s="302">
        <f t="shared" si="205"/>
        <v>5</v>
      </c>
      <c r="K817" s="304">
        <f t="shared" si="206"/>
        <v>50.839999999999996</v>
      </c>
      <c r="L817" s="305">
        <f>IF(H817=0,0,IF(OR(E817=$AT$5,E817=$AT$6),AA817,IF(F817="MXN",1/HLOOKUP(YEAR(G817)+(MONTH(G817)/100),TC!$5:$37,DAY(G817)+2,FALSE),VLOOKUP(F817,Equivalencia!$5:$23,((MAX(Equivalencia!$3:$3)-YEAR(G817))*14)+MONTH(G817)+2,FALSE))))</f>
        <v>1</v>
      </c>
      <c r="M817" s="306">
        <f t="shared" si="207"/>
        <v>254.2</v>
      </c>
      <c r="N817" s="305">
        <f>IF(G817=0,0,(IF(OR(E817=$AT$5,E817=$AT$6),AC817,HLOOKUP(YEAR(G817)+(MONTH(G817)/100),TC!$5:$37,DAY(G817)+2,FALSE))))</f>
        <v>20.1038</v>
      </c>
      <c r="O817" s="307">
        <f t="shared" si="208"/>
        <v>5110.3859599999996</v>
      </c>
      <c r="P817" s="560">
        <f>IF(G817=0,0,VLOOKUP(YEAR(G817),INPC!$B$4:$P$30,MONTH(G817)+2))</f>
        <v>113.899</v>
      </c>
      <c r="Q817" s="560">
        <f>IF(X817=0,0,IF(OR(E817=$AT$10,E817=$AT$9),VLOOKUP(YEAR(X817),INPC!$B$4:$P$30,MONTH(X817)+1),VLOOKUP(YEAR(X817),INPC!$B$4:$P$30,MONTH(X817)+2,0)))</f>
        <v>122.044</v>
      </c>
      <c r="R817" s="309">
        <f t="shared" si="209"/>
        <v>1.0714999999999999</v>
      </c>
      <c r="S817" s="310">
        <f t="shared" si="210"/>
        <v>5475.7785561399987</v>
      </c>
      <c r="T817" s="555">
        <f t="shared" si="211"/>
        <v>1095.1557112279997</v>
      </c>
      <c r="U817" s="311"/>
      <c r="V817" s="312">
        <v>5</v>
      </c>
      <c r="W817" s="299" t="s">
        <v>194</v>
      </c>
      <c r="X817" s="300">
        <v>44764</v>
      </c>
      <c r="Y817" s="299" t="s">
        <v>59</v>
      </c>
      <c r="Z817" s="303">
        <v>179.43</v>
      </c>
      <c r="AA817" s="305">
        <f>IF(Z817=0,0,IF(Y817="MXN",1/HLOOKUP(YEAR(X817)+(MONTH(X817)/100),TC!$5:$37,DAY(X817)+2,FALSE),VLOOKUP(Y817,Equivalencia!$1:$23,((MAX(Equivalencia!$3:$3)-YEAR(X817))*14)+MONTH(X817)+2,FALSE)))</f>
        <v>1</v>
      </c>
      <c r="AB817" s="306">
        <f t="shared" si="212"/>
        <v>179.43</v>
      </c>
      <c r="AC817" s="305">
        <f>+IF(X817=0,0,HLOOKUP(YEAR(X817)+(MONTH(X817)/100),TC!$5:$37,DAY(X817)+2,FALSE))</f>
        <v>20.491299999999999</v>
      </c>
      <c r="AD817" s="307">
        <f t="shared" si="213"/>
        <v>3676.7539590000001</v>
      </c>
      <c r="AE817" s="314">
        <f t="shared" si="214"/>
        <v>5475.7785561399987</v>
      </c>
      <c r="AF817" s="315">
        <f t="shared" si="215"/>
        <v>-1799.0245971399986</v>
      </c>
      <c r="AG817" s="316">
        <f t="shared" si="216"/>
        <v>0.94246575342465755</v>
      </c>
      <c r="AH817" s="314">
        <v>1</v>
      </c>
      <c r="AI817" s="314">
        <f t="shared" si="217"/>
        <v>-1799.0245971399986</v>
      </c>
      <c r="AJ817" s="314">
        <f t="shared" si="218"/>
        <v>0</v>
      </c>
      <c r="AK817" s="317"/>
      <c r="AL817" s="315">
        <f t="shared" si="219"/>
        <v>-74.769999999999982</v>
      </c>
      <c r="AN817" s="554">
        <f t="shared" si="220"/>
        <v>-0.29413847364280088</v>
      </c>
      <c r="AO817" s="314"/>
      <c r="AP817" s="318"/>
    </row>
    <row r="818" spans="2:42">
      <c r="B818" s="296" t="s">
        <v>1254</v>
      </c>
      <c r="C818" s="299" t="s">
        <v>277</v>
      </c>
      <c r="D818" s="298" t="s">
        <v>950</v>
      </c>
      <c r="E818" s="299" t="s">
        <v>113</v>
      </c>
      <c r="F818" s="299" t="s">
        <v>59</v>
      </c>
      <c r="G818" s="300">
        <v>44420</v>
      </c>
      <c r="H818" s="303">
        <v>101.67999999999999</v>
      </c>
      <c r="I818" s="301" t="str">
        <f t="shared" si="204"/>
        <v>Ingresos Sección II LISR (SIC &amp; BMV)</v>
      </c>
      <c r="J818" s="302">
        <f t="shared" si="205"/>
        <v>2</v>
      </c>
      <c r="K818" s="304">
        <f t="shared" si="206"/>
        <v>50.839999999999996</v>
      </c>
      <c r="L818" s="305">
        <f>IF(H818=0,0,IF(OR(E818=$AT$5,E818=$AT$6),AA818,IF(F818="MXN",1/HLOOKUP(YEAR(G818)+(MONTH(G818)/100),TC!$5:$37,DAY(G818)+2,FALSE),VLOOKUP(F818,Equivalencia!$5:$23,((MAX(Equivalencia!$3:$3)-YEAR(G818))*14)+MONTH(G818)+2,FALSE))))</f>
        <v>1</v>
      </c>
      <c r="M818" s="306">
        <f t="shared" si="207"/>
        <v>101.67999999999999</v>
      </c>
      <c r="N818" s="305">
        <f>IF(G818=0,0,(IF(OR(E818=$AT$5,E818=$AT$6),AC818,HLOOKUP(YEAR(G818)+(MONTH(G818)/100),TC!$5:$37,DAY(G818)+2,FALSE))))</f>
        <v>20.1038</v>
      </c>
      <c r="O818" s="307">
        <f t="shared" si="208"/>
        <v>2044.1543839999997</v>
      </c>
      <c r="P818" s="560">
        <f>IF(G818=0,0,VLOOKUP(YEAR(G818),INPC!$B$4:$P$30,MONTH(G818)+2))</f>
        <v>113.899</v>
      </c>
      <c r="Q818" s="560">
        <f>IF(X818=0,0,IF(OR(E818=$AT$10,E818=$AT$9),VLOOKUP(YEAR(X818),INPC!$B$4:$P$30,MONTH(X818)+1),VLOOKUP(YEAR(X818),INPC!$B$4:$P$30,MONTH(X818)+2,0)))</f>
        <v>122.044</v>
      </c>
      <c r="R818" s="309">
        <f t="shared" si="209"/>
        <v>1.0714999999999999</v>
      </c>
      <c r="S818" s="310">
        <f t="shared" si="210"/>
        <v>2190.3114224559995</v>
      </c>
      <c r="T818" s="555">
        <f t="shared" si="211"/>
        <v>1095.1557112279997</v>
      </c>
      <c r="U818" s="311"/>
      <c r="V818" s="312">
        <v>2</v>
      </c>
      <c r="W818" s="299" t="s">
        <v>194</v>
      </c>
      <c r="X818" s="300">
        <v>44764</v>
      </c>
      <c r="Y818" s="299" t="s">
        <v>59</v>
      </c>
      <c r="Z818" s="303">
        <v>67.37</v>
      </c>
      <c r="AA818" s="305">
        <f>IF(Z818=0,0,IF(Y818="MXN",1/HLOOKUP(YEAR(X818)+(MONTH(X818)/100),TC!$5:$37,DAY(X818)+2,FALSE),VLOOKUP(Y818,Equivalencia!$1:$23,((MAX(Equivalencia!$3:$3)-YEAR(X818))*14)+MONTH(X818)+2,FALSE)))</f>
        <v>1</v>
      </c>
      <c r="AB818" s="306">
        <f t="shared" si="212"/>
        <v>67.37</v>
      </c>
      <c r="AC818" s="305">
        <f>+IF(X818=0,0,HLOOKUP(YEAR(X818)+(MONTH(X818)/100),TC!$5:$37,DAY(X818)+2,FALSE))</f>
        <v>20.491299999999999</v>
      </c>
      <c r="AD818" s="307">
        <f t="shared" si="213"/>
        <v>1380.498881</v>
      </c>
      <c r="AE818" s="314">
        <f t="shared" si="214"/>
        <v>2190.3114224559995</v>
      </c>
      <c r="AF818" s="315">
        <f t="shared" si="215"/>
        <v>-809.81254145599951</v>
      </c>
      <c r="AG818" s="316">
        <f t="shared" si="216"/>
        <v>0.94246575342465755</v>
      </c>
      <c r="AH818" s="314">
        <v>1</v>
      </c>
      <c r="AI818" s="314">
        <f t="shared" si="217"/>
        <v>-809.81254145599951</v>
      </c>
      <c r="AJ818" s="314">
        <f t="shared" si="218"/>
        <v>0</v>
      </c>
      <c r="AK818" s="317"/>
      <c r="AL818" s="315">
        <f t="shared" si="219"/>
        <v>-34.309999999999988</v>
      </c>
      <c r="AN818" s="554">
        <f t="shared" si="220"/>
        <v>-0.33743115656963013</v>
      </c>
      <c r="AO818" s="314"/>
      <c r="AP818" s="318"/>
    </row>
    <row r="819" spans="2:42">
      <c r="B819" s="296" t="s">
        <v>1254</v>
      </c>
      <c r="C819" s="299" t="s">
        <v>277</v>
      </c>
      <c r="D819" s="298" t="s">
        <v>950</v>
      </c>
      <c r="E819" s="299" t="s">
        <v>113</v>
      </c>
      <c r="F819" s="299" t="s">
        <v>59</v>
      </c>
      <c r="G819" s="300">
        <v>44420</v>
      </c>
      <c r="H819" s="303">
        <v>101.68</v>
      </c>
      <c r="I819" s="301" t="str">
        <f t="shared" si="204"/>
        <v>Ingresos Sección II LISR (SIC &amp; BMV)</v>
      </c>
      <c r="J819" s="302">
        <f t="shared" si="205"/>
        <v>2</v>
      </c>
      <c r="K819" s="304">
        <f t="shared" si="206"/>
        <v>50.84</v>
      </c>
      <c r="L819" s="305">
        <f>IF(H819=0,0,IF(OR(E819=$AT$5,E819=$AT$6),AA819,IF(F819="MXN",1/HLOOKUP(YEAR(G819)+(MONTH(G819)/100),TC!$5:$37,DAY(G819)+2,FALSE),VLOOKUP(F819,Equivalencia!$5:$23,((MAX(Equivalencia!$3:$3)-YEAR(G819))*14)+MONTH(G819)+2,FALSE))))</f>
        <v>1</v>
      </c>
      <c r="M819" s="306">
        <f t="shared" si="207"/>
        <v>101.68</v>
      </c>
      <c r="N819" s="305">
        <f>IF(G819=0,0,(IF(OR(E819=$AT$5,E819=$AT$6),AC819,HLOOKUP(YEAR(G819)+(MONTH(G819)/100),TC!$5:$37,DAY(G819)+2,FALSE))))</f>
        <v>20.1038</v>
      </c>
      <c r="O819" s="307">
        <f t="shared" si="208"/>
        <v>2044.1543840000002</v>
      </c>
      <c r="P819" s="560">
        <f>IF(G819=0,0,VLOOKUP(YEAR(G819),INPC!$B$4:$P$30,MONTH(G819)+2))</f>
        <v>113.899</v>
      </c>
      <c r="Q819" s="560">
        <f>IF(X819=0,0,IF(OR(E819=$AT$10,E819=$AT$9),VLOOKUP(YEAR(X819),INPC!$B$4:$P$30,MONTH(X819)+1),VLOOKUP(YEAR(X819),INPC!$B$4:$P$30,MONTH(X819)+2,0)))</f>
        <v>122.044</v>
      </c>
      <c r="R819" s="309">
        <f t="shared" si="209"/>
        <v>1.0714999999999999</v>
      </c>
      <c r="S819" s="310">
        <f t="shared" si="210"/>
        <v>2190.3114224559999</v>
      </c>
      <c r="T819" s="555">
        <f t="shared" si="211"/>
        <v>1095.155711228</v>
      </c>
      <c r="U819" s="311"/>
      <c r="V819" s="312">
        <v>2</v>
      </c>
      <c r="W819" s="299" t="s">
        <v>194</v>
      </c>
      <c r="X819" s="300">
        <v>44764</v>
      </c>
      <c r="Y819" s="299" t="s">
        <v>59</v>
      </c>
      <c r="Z819" s="303">
        <v>67.37</v>
      </c>
      <c r="AA819" s="305">
        <f>IF(Z819=0,0,IF(Y819="MXN",1/HLOOKUP(YEAR(X819)+(MONTH(X819)/100),TC!$5:$37,DAY(X819)+2,FALSE),VLOOKUP(Y819,Equivalencia!$1:$23,((MAX(Equivalencia!$3:$3)-YEAR(X819))*14)+MONTH(X819)+2,FALSE)))</f>
        <v>1</v>
      </c>
      <c r="AB819" s="306">
        <f t="shared" si="212"/>
        <v>67.37</v>
      </c>
      <c r="AC819" s="305">
        <f>+IF(X819=0,0,HLOOKUP(YEAR(X819)+(MONTH(X819)/100),TC!$5:$37,DAY(X819)+2,FALSE))</f>
        <v>20.491299999999999</v>
      </c>
      <c r="AD819" s="307">
        <f t="shared" si="213"/>
        <v>1380.498881</v>
      </c>
      <c r="AE819" s="314">
        <f t="shared" si="214"/>
        <v>2190.3114224559999</v>
      </c>
      <c r="AF819" s="315">
        <f t="shared" si="215"/>
        <v>-809.81254145599996</v>
      </c>
      <c r="AG819" s="316">
        <f t="shared" si="216"/>
        <v>0.94246575342465755</v>
      </c>
      <c r="AH819" s="314">
        <v>1</v>
      </c>
      <c r="AI819" s="314">
        <f t="shared" si="217"/>
        <v>-809.81254145599996</v>
      </c>
      <c r="AJ819" s="314">
        <f t="shared" si="218"/>
        <v>0</v>
      </c>
      <c r="AK819" s="317"/>
      <c r="AL819" s="315">
        <f t="shared" si="219"/>
        <v>-34.31</v>
      </c>
      <c r="AN819" s="554">
        <f t="shared" si="220"/>
        <v>-0.33743115656963019</v>
      </c>
      <c r="AO819" s="314"/>
      <c r="AP819" s="318"/>
    </row>
    <row r="820" spans="2:42">
      <c r="B820" s="296" t="s">
        <v>1254</v>
      </c>
      <c r="C820" s="299" t="s">
        <v>277</v>
      </c>
      <c r="D820" s="298" t="s">
        <v>950</v>
      </c>
      <c r="E820" s="299" t="s">
        <v>113</v>
      </c>
      <c r="F820" s="299" t="s">
        <v>59</v>
      </c>
      <c r="G820" s="300">
        <v>44420</v>
      </c>
      <c r="H820" s="303">
        <v>101.68</v>
      </c>
      <c r="I820" s="301" t="str">
        <f t="shared" si="204"/>
        <v>Ingresos Sección II LISR (SIC &amp; BMV)</v>
      </c>
      <c r="J820" s="302">
        <f t="shared" si="205"/>
        <v>2</v>
      </c>
      <c r="K820" s="304">
        <f t="shared" si="206"/>
        <v>50.84</v>
      </c>
      <c r="L820" s="305">
        <f>IF(H820=0,0,IF(OR(E820=$AT$5,E820=$AT$6),AA820,IF(F820="MXN",1/HLOOKUP(YEAR(G820)+(MONTH(G820)/100),TC!$5:$37,DAY(G820)+2,FALSE),VLOOKUP(F820,Equivalencia!$5:$23,((MAX(Equivalencia!$3:$3)-YEAR(G820))*14)+MONTH(G820)+2,FALSE))))</f>
        <v>1</v>
      </c>
      <c r="M820" s="306">
        <f t="shared" si="207"/>
        <v>101.68</v>
      </c>
      <c r="N820" s="305">
        <f>IF(G820=0,0,(IF(OR(E820=$AT$5,E820=$AT$6),AC820,HLOOKUP(YEAR(G820)+(MONTH(G820)/100),TC!$5:$37,DAY(G820)+2,FALSE))))</f>
        <v>20.1038</v>
      </c>
      <c r="O820" s="307">
        <f t="shared" si="208"/>
        <v>2044.1543840000002</v>
      </c>
      <c r="P820" s="560">
        <f>IF(G820=0,0,VLOOKUP(YEAR(G820),INPC!$B$4:$P$30,MONTH(G820)+2))</f>
        <v>113.899</v>
      </c>
      <c r="Q820" s="560">
        <f>IF(X820=0,0,IF(OR(E820=$AT$10,E820=$AT$9),VLOOKUP(YEAR(X820),INPC!$B$4:$P$30,MONTH(X820)+1),VLOOKUP(YEAR(X820),INPC!$B$4:$P$30,MONTH(X820)+2,0)))</f>
        <v>122.044</v>
      </c>
      <c r="R820" s="309">
        <f t="shared" si="209"/>
        <v>1.0714999999999999</v>
      </c>
      <c r="S820" s="310">
        <f t="shared" si="210"/>
        <v>2190.3114224559999</v>
      </c>
      <c r="T820" s="555">
        <f t="shared" si="211"/>
        <v>1095.155711228</v>
      </c>
      <c r="U820" s="311"/>
      <c r="V820" s="312">
        <v>2</v>
      </c>
      <c r="W820" s="299" t="s">
        <v>194</v>
      </c>
      <c r="X820" s="300">
        <v>44764</v>
      </c>
      <c r="Y820" s="299" t="s">
        <v>59</v>
      </c>
      <c r="Z820" s="303">
        <v>67.489999999999995</v>
      </c>
      <c r="AA820" s="305">
        <f>IF(Z820=0,0,IF(Y820="MXN",1/HLOOKUP(YEAR(X820)+(MONTH(X820)/100),TC!$5:$37,DAY(X820)+2,FALSE),VLOOKUP(Y820,Equivalencia!$1:$23,((MAX(Equivalencia!$3:$3)-YEAR(X820))*14)+MONTH(X820)+2,FALSE)))</f>
        <v>1</v>
      </c>
      <c r="AB820" s="306">
        <f t="shared" si="212"/>
        <v>67.489999999999995</v>
      </c>
      <c r="AC820" s="305">
        <f>+IF(X820=0,0,HLOOKUP(YEAR(X820)+(MONTH(X820)/100),TC!$5:$37,DAY(X820)+2,FALSE))</f>
        <v>20.491299999999999</v>
      </c>
      <c r="AD820" s="307">
        <f t="shared" si="213"/>
        <v>1382.9578369999999</v>
      </c>
      <c r="AE820" s="314">
        <f t="shared" si="214"/>
        <v>2190.3114224559999</v>
      </c>
      <c r="AF820" s="315">
        <f t="shared" si="215"/>
        <v>-807.35358545600002</v>
      </c>
      <c r="AG820" s="316">
        <f t="shared" si="216"/>
        <v>0.94246575342465755</v>
      </c>
      <c r="AH820" s="314">
        <v>1</v>
      </c>
      <c r="AI820" s="314">
        <f t="shared" si="217"/>
        <v>-807.35358545600002</v>
      </c>
      <c r="AJ820" s="314">
        <f t="shared" si="218"/>
        <v>0</v>
      </c>
      <c r="AK820" s="317"/>
      <c r="AL820" s="315">
        <f t="shared" si="219"/>
        <v>-34.190000000000012</v>
      </c>
      <c r="AN820" s="554">
        <f t="shared" si="220"/>
        <v>-0.33625098347757681</v>
      </c>
      <c r="AO820" s="314"/>
      <c r="AP820" s="318"/>
    </row>
    <row r="821" spans="2:42">
      <c r="B821" s="296" t="s">
        <v>1254</v>
      </c>
      <c r="C821" s="299" t="s">
        <v>277</v>
      </c>
      <c r="D821" s="298" t="s">
        <v>950</v>
      </c>
      <c r="E821" s="299" t="s">
        <v>113</v>
      </c>
      <c r="F821" s="299" t="s">
        <v>59</v>
      </c>
      <c r="G821" s="300">
        <v>44420</v>
      </c>
      <c r="H821" s="303">
        <v>50.84</v>
      </c>
      <c r="I821" s="301" t="str">
        <f t="shared" si="204"/>
        <v>Ingresos Sección II LISR (SIC &amp; BMV)</v>
      </c>
      <c r="J821" s="302">
        <f t="shared" si="205"/>
        <v>1</v>
      </c>
      <c r="K821" s="304">
        <f t="shared" si="206"/>
        <v>50.84</v>
      </c>
      <c r="L821" s="305">
        <f>IF(H821=0,0,IF(OR(E821=$AT$5,E821=$AT$6),AA821,IF(F821="MXN",1/HLOOKUP(YEAR(G821)+(MONTH(G821)/100),TC!$5:$37,DAY(G821)+2,FALSE),VLOOKUP(F821,Equivalencia!$5:$23,((MAX(Equivalencia!$3:$3)-YEAR(G821))*14)+MONTH(G821)+2,FALSE))))</f>
        <v>1</v>
      </c>
      <c r="M821" s="306">
        <f t="shared" si="207"/>
        <v>50.84</v>
      </c>
      <c r="N821" s="305">
        <f>IF(G821=0,0,(IF(OR(E821=$AT$5,E821=$AT$6),AC821,HLOOKUP(YEAR(G821)+(MONTH(G821)/100),TC!$5:$37,DAY(G821)+2,FALSE))))</f>
        <v>20.1038</v>
      </c>
      <c r="O821" s="307">
        <f t="shared" si="208"/>
        <v>1022.0771920000001</v>
      </c>
      <c r="P821" s="560">
        <f>IF(G821=0,0,VLOOKUP(YEAR(G821),INPC!$B$4:$P$30,MONTH(G821)+2))</f>
        <v>113.899</v>
      </c>
      <c r="Q821" s="560">
        <f>IF(X821=0,0,IF(OR(E821=$AT$10,E821=$AT$9),VLOOKUP(YEAR(X821),INPC!$B$4:$P$30,MONTH(X821)+1),VLOOKUP(YEAR(X821),INPC!$B$4:$P$30,MONTH(X821)+2,0)))</f>
        <v>122.044</v>
      </c>
      <c r="R821" s="309">
        <f t="shared" si="209"/>
        <v>1.0714999999999999</v>
      </c>
      <c r="S821" s="310">
        <f t="shared" si="210"/>
        <v>1095.155711228</v>
      </c>
      <c r="T821" s="555">
        <f t="shared" si="211"/>
        <v>1095.155711228</v>
      </c>
      <c r="U821" s="311"/>
      <c r="V821" s="312">
        <v>1</v>
      </c>
      <c r="W821" s="299" t="s">
        <v>194</v>
      </c>
      <c r="X821" s="300">
        <v>44764</v>
      </c>
      <c r="Y821" s="299" t="s">
        <v>59</v>
      </c>
      <c r="Z821" s="303">
        <v>33.68</v>
      </c>
      <c r="AA821" s="305">
        <f>IF(Z821=0,0,IF(Y821="MXN",1/HLOOKUP(YEAR(X821)+(MONTH(X821)/100),TC!$5:$37,DAY(X821)+2,FALSE),VLOOKUP(Y821,Equivalencia!$1:$23,((MAX(Equivalencia!$3:$3)-YEAR(X821))*14)+MONTH(X821)+2,FALSE)))</f>
        <v>1</v>
      </c>
      <c r="AB821" s="306">
        <f t="shared" si="212"/>
        <v>33.68</v>
      </c>
      <c r="AC821" s="305">
        <f>+IF(X821=0,0,HLOOKUP(YEAR(X821)+(MONTH(X821)/100),TC!$5:$37,DAY(X821)+2,FALSE))</f>
        <v>20.491299999999999</v>
      </c>
      <c r="AD821" s="307">
        <f t="shared" si="213"/>
        <v>690.14698399999997</v>
      </c>
      <c r="AE821" s="314">
        <f t="shared" si="214"/>
        <v>1095.155711228</v>
      </c>
      <c r="AF821" s="315">
        <f t="shared" si="215"/>
        <v>-405.008727228</v>
      </c>
      <c r="AG821" s="316">
        <f t="shared" si="216"/>
        <v>0.94246575342465755</v>
      </c>
      <c r="AH821" s="314">
        <v>1</v>
      </c>
      <c r="AI821" s="314">
        <f t="shared" si="217"/>
        <v>-405.008727228</v>
      </c>
      <c r="AJ821" s="314">
        <f t="shared" si="218"/>
        <v>0</v>
      </c>
      <c r="AK821" s="317"/>
      <c r="AL821" s="315">
        <f t="shared" si="219"/>
        <v>-17.160000000000004</v>
      </c>
      <c r="AN821" s="554">
        <f t="shared" si="220"/>
        <v>-0.33752950432730139</v>
      </c>
      <c r="AO821" s="314"/>
      <c r="AP821" s="318"/>
    </row>
    <row r="822" spans="2:42">
      <c r="B822" s="296" t="s">
        <v>1254</v>
      </c>
      <c r="C822" s="299" t="s">
        <v>277</v>
      </c>
      <c r="D822" s="298" t="s">
        <v>950</v>
      </c>
      <c r="E822" s="299" t="s">
        <v>113</v>
      </c>
      <c r="F822" s="299" t="s">
        <v>59</v>
      </c>
      <c r="G822" s="300">
        <v>44420</v>
      </c>
      <c r="H822" s="303">
        <v>50.84</v>
      </c>
      <c r="I822" s="301" t="str">
        <f t="shared" si="204"/>
        <v>Ingresos Sección II LISR (SIC &amp; BMV)</v>
      </c>
      <c r="J822" s="302">
        <f t="shared" si="205"/>
        <v>1</v>
      </c>
      <c r="K822" s="304">
        <f t="shared" si="206"/>
        <v>50.84</v>
      </c>
      <c r="L822" s="305">
        <f>IF(H822=0,0,IF(OR(E822=$AT$5,E822=$AT$6),AA822,IF(F822="MXN",1/HLOOKUP(YEAR(G822)+(MONTH(G822)/100),TC!$5:$37,DAY(G822)+2,FALSE),VLOOKUP(F822,Equivalencia!$5:$23,((MAX(Equivalencia!$3:$3)-YEAR(G822))*14)+MONTH(G822)+2,FALSE))))</f>
        <v>1</v>
      </c>
      <c r="M822" s="306">
        <f t="shared" si="207"/>
        <v>50.84</v>
      </c>
      <c r="N822" s="305">
        <f>IF(G822=0,0,(IF(OR(E822=$AT$5,E822=$AT$6),AC822,HLOOKUP(YEAR(G822)+(MONTH(G822)/100),TC!$5:$37,DAY(G822)+2,FALSE))))</f>
        <v>20.1038</v>
      </c>
      <c r="O822" s="307">
        <f t="shared" si="208"/>
        <v>1022.0771920000001</v>
      </c>
      <c r="P822" s="560">
        <f>IF(G822=0,0,VLOOKUP(YEAR(G822),INPC!$B$4:$P$30,MONTH(G822)+2))</f>
        <v>113.899</v>
      </c>
      <c r="Q822" s="560">
        <f>IF(X822=0,0,IF(OR(E822=$AT$10,E822=$AT$9),VLOOKUP(YEAR(X822),INPC!$B$4:$P$30,MONTH(X822)+1),VLOOKUP(YEAR(X822),INPC!$B$4:$P$30,MONTH(X822)+2,0)))</f>
        <v>122.044</v>
      </c>
      <c r="R822" s="309">
        <f t="shared" si="209"/>
        <v>1.0714999999999999</v>
      </c>
      <c r="S822" s="310">
        <f t="shared" si="210"/>
        <v>1095.155711228</v>
      </c>
      <c r="T822" s="555">
        <f t="shared" si="211"/>
        <v>1095.155711228</v>
      </c>
      <c r="U822" s="311"/>
      <c r="V822" s="312">
        <v>1</v>
      </c>
      <c r="W822" s="299" t="s">
        <v>194</v>
      </c>
      <c r="X822" s="300">
        <v>44764</v>
      </c>
      <c r="Y822" s="299" t="s">
        <v>59</v>
      </c>
      <c r="Z822" s="303">
        <v>35.89</v>
      </c>
      <c r="AA822" s="305">
        <f>IF(Z822=0,0,IF(Y822="MXN",1/HLOOKUP(YEAR(X822)+(MONTH(X822)/100),TC!$5:$37,DAY(X822)+2,FALSE),VLOOKUP(Y822,Equivalencia!$1:$23,((MAX(Equivalencia!$3:$3)-YEAR(X822))*14)+MONTH(X822)+2,FALSE)))</f>
        <v>1</v>
      </c>
      <c r="AB822" s="306">
        <f t="shared" si="212"/>
        <v>35.89</v>
      </c>
      <c r="AC822" s="305">
        <f>+IF(X822=0,0,HLOOKUP(YEAR(X822)+(MONTH(X822)/100),TC!$5:$37,DAY(X822)+2,FALSE))</f>
        <v>20.491299999999999</v>
      </c>
      <c r="AD822" s="307">
        <f t="shared" si="213"/>
        <v>735.43275699999992</v>
      </c>
      <c r="AE822" s="314">
        <f t="shared" si="214"/>
        <v>1095.155711228</v>
      </c>
      <c r="AF822" s="315">
        <f t="shared" si="215"/>
        <v>-359.72295422800005</v>
      </c>
      <c r="AG822" s="316">
        <f t="shared" si="216"/>
        <v>0.94246575342465755</v>
      </c>
      <c r="AH822" s="314">
        <v>1</v>
      </c>
      <c r="AI822" s="314">
        <f t="shared" si="217"/>
        <v>-359.72295422800005</v>
      </c>
      <c r="AJ822" s="314">
        <f t="shared" si="218"/>
        <v>0</v>
      </c>
      <c r="AK822" s="317"/>
      <c r="AL822" s="315">
        <f t="shared" si="219"/>
        <v>-14.950000000000003</v>
      </c>
      <c r="AN822" s="554">
        <f t="shared" si="220"/>
        <v>-0.29405979543666411</v>
      </c>
      <c r="AO822" s="314"/>
      <c r="AP822" s="318"/>
    </row>
    <row r="823" spans="2:42">
      <c r="B823" s="296" t="s">
        <v>1254</v>
      </c>
      <c r="C823" s="299" t="s">
        <v>277</v>
      </c>
      <c r="D823" s="298" t="s">
        <v>951</v>
      </c>
      <c r="E823" s="299" t="s">
        <v>113</v>
      </c>
      <c r="F823" s="299" t="s">
        <v>59</v>
      </c>
      <c r="G823" s="300">
        <v>44572</v>
      </c>
      <c r="H823" s="303">
        <v>7817.3846153846162</v>
      </c>
      <c r="I823" s="301" t="str">
        <f t="shared" si="204"/>
        <v>Ingresos Sección II LISR (SIC &amp; BMV)</v>
      </c>
      <c r="J823" s="302">
        <f t="shared" si="205"/>
        <v>20</v>
      </c>
      <c r="K823" s="304">
        <f t="shared" si="206"/>
        <v>390.8692307692308</v>
      </c>
      <c r="L823" s="305">
        <f>IF(H823=0,0,IF(OR(E823=$AT$5,E823=$AT$6),AA823,IF(F823="MXN",1/HLOOKUP(YEAR(G823)+(MONTH(G823)/100),TC!$5:$37,DAY(G823)+2,FALSE),VLOOKUP(F823,Equivalencia!$5:$23,((MAX(Equivalencia!$3:$3)-YEAR(G823))*14)+MONTH(G823)+2,FALSE))))</f>
        <v>1</v>
      </c>
      <c r="M823" s="306">
        <f t="shared" si="207"/>
        <v>7817.3846153846162</v>
      </c>
      <c r="N823" s="305">
        <f>IF(G823=0,0,(IF(OR(E823=$AT$5,E823=$AT$6),AC823,HLOOKUP(YEAR(G823)+(MONTH(G823)/100),TC!$5:$37,DAY(G823)+2,FALSE))))</f>
        <v>20.4237</v>
      </c>
      <c r="O823" s="307">
        <f t="shared" si="208"/>
        <v>159659.91816923078</v>
      </c>
      <c r="P823" s="560">
        <f>IF(G823=0,0,VLOOKUP(YEAR(G823),INPC!$B$4:$P$30,MONTH(G823)+2))</f>
        <v>118.002</v>
      </c>
      <c r="Q823" s="560">
        <f>IF(X823=0,0,IF(OR(E823=$AT$10,E823=$AT$9),VLOOKUP(YEAR(X823),INPC!$B$4:$P$30,MONTH(X823)+1),VLOOKUP(YEAR(X823),INPC!$B$4:$P$30,MONTH(X823)+2,0)))</f>
        <v>122.044</v>
      </c>
      <c r="R823" s="309">
        <f t="shared" si="209"/>
        <v>1.0342</v>
      </c>
      <c r="S823" s="310">
        <f t="shared" si="210"/>
        <v>165120.28737061846</v>
      </c>
      <c r="T823" s="555">
        <f t="shared" si="211"/>
        <v>8256.0143685309231</v>
      </c>
      <c r="U823" s="311"/>
      <c r="V823" s="312">
        <v>20</v>
      </c>
      <c r="W823" s="299" t="s">
        <v>194</v>
      </c>
      <c r="X823" s="300">
        <v>44760</v>
      </c>
      <c r="Y823" s="299" t="s">
        <v>59</v>
      </c>
      <c r="Z823" s="303">
        <v>9793.5</v>
      </c>
      <c r="AA823" s="305">
        <f>IF(Z823=0,0,IF(Y823="MXN",1/HLOOKUP(YEAR(X823)+(MONTH(X823)/100),TC!$5:$37,DAY(X823)+2,FALSE),VLOOKUP(Y823,Equivalencia!$1:$23,((MAX(Equivalencia!$3:$3)-YEAR(X823))*14)+MONTH(X823)+2,FALSE)))</f>
        <v>1</v>
      </c>
      <c r="AB823" s="306">
        <f t="shared" si="212"/>
        <v>9793.5</v>
      </c>
      <c r="AC823" s="305">
        <f>+IF(X823=0,0,HLOOKUP(YEAR(X823)+(MONTH(X823)/100),TC!$5:$37,DAY(X823)+2,FALSE))</f>
        <v>20.941500000000001</v>
      </c>
      <c r="AD823" s="307">
        <f t="shared" si="213"/>
        <v>205090.58025</v>
      </c>
      <c r="AE823" s="314">
        <f t="shared" si="214"/>
        <v>165120.28737061846</v>
      </c>
      <c r="AF823" s="315">
        <f t="shared" si="215"/>
        <v>39970.292879381537</v>
      </c>
      <c r="AG823" s="316">
        <f t="shared" si="216"/>
        <v>0.51506849315068493</v>
      </c>
      <c r="AH823" s="314">
        <v>1</v>
      </c>
      <c r="AI823" s="314">
        <f t="shared" si="217"/>
        <v>39970.292879381537</v>
      </c>
      <c r="AJ823" s="314">
        <f t="shared" si="218"/>
        <v>0</v>
      </c>
      <c r="AK823" s="317"/>
      <c r="AL823" s="315">
        <f t="shared" si="219"/>
        <v>1976.1153846153838</v>
      </c>
      <c r="AN823" s="554">
        <f t="shared" si="220"/>
        <v>0.25278472044555517</v>
      </c>
      <c r="AO823" s="314"/>
      <c r="AP823" s="318"/>
    </row>
    <row r="824" spans="2:42">
      <c r="B824" s="296" t="s">
        <v>1254</v>
      </c>
      <c r="C824" s="299" t="s">
        <v>277</v>
      </c>
      <c r="D824" s="298" t="s">
        <v>951</v>
      </c>
      <c r="E824" s="299" t="s">
        <v>113</v>
      </c>
      <c r="F824" s="299" t="s">
        <v>59</v>
      </c>
      <c r="G824" s="300">
        <v>44572</v>
      </c>
      <c r="H824" s="303">
        <v>2345.2153846153847</v>
      </c>
      <c r="I824" s="301" t="str">
        <f t="shared" si="204"/>
        <v>Ingresos Sección II LISR (SIC &amp; BMV)</v>
      </c>
      <c r="J824" s="302">
        <f t="shared" si="205"/>
        <v>6</v>
      </c>
      <c r="K824" s="304">
        <f t="shared" si="206"/>
        <v>390.8692307692308</v>
      </c>
      <c r="L824" s="305">
        <f>IF(H824=0,0,IF(OR(E824=$AT$5,E824=$AT$6),AA824,IF(F824="MXN",1/HLOOKUP(YEAR(G824)+(MONTH(G824)/100),TC!$5:$37,DAY(G824)+2,FALSE),VLOOKUP(F824,Equivalencia!$5:$23,((MAX(Equivalencia!$3:$3)-YEAR(G824))*14)+MONTH(G824)+2,FALSE))))</f>
        <v>1</v>
      </c>
      <c r="M824" s="306">
        <f t="shared" si="207"/>
        <v>2345.2153846153847</v>
      </c>
      <c r="N824" s="305">
        <f>IF(G824=0,0,(IF(OR(E824=$AT$5,E824=$AT$6),AC824,HLOOKUP(YEAR(G824)+(MONTH(G824)/100),TC!$5:$37,DAY(G824)+2,FALSE))))</f>
        <v>20.4237</v>
      </c>
      <c r="O824" s="307">
        <f t="shared" si="208"/>
        <v>47897.975450769234</v>
      </c>
      <c r="P824" s="560">
        <f>IF(G824=0,0,VLOOKUP(YEAR(G824),INPC!$B$4:$P$30,MONTH(G824)+2))</f>
        <v>118.002</v>
      </c>
      <c r="Q824" s="560">
        <f>IF(X824=0,0,IF(OR(E824=$AT$10,E824=$AT$9),VLOOKUP(YEAR(X824),INPC!$B$4:$P$30,MONTH(X824)+1),VLOOKUP(YEAR(X824),INPC!$B$4:$P$30,MONTH(X824)+2,0)))</f>
        <v>122.044</v>
      </c>
      <c r="R824" s="309">
        <f t="shared" si="209"/>
        <v>1.0342</v>
      </c>
      <c r="S824" s="310">
        <f t="shared" si="210"/>
        <v>49536.086211185546</v>
      </c>
      <c r="T824" s="555">
        <f t="shared" si="211"/>
        <v>8256.0143685309249</v>
      </c>
      <c r="U824" s="311"/>
      <c r="V824" s="312">
        <v>6</v>
      </c>
      <c r="W824" s="299" t="s">
        <v>194</v>
      </c>
      <c r="X824" s="300">
        <v>44760</v>
      </c>
      <c r="Y824" s="299" t="s">
        <v>59</v>
      </c>
      <c r="Z824" s="303">
        <v>2937.508421052632</v>
      </c>
      <c r="AA824" s="305">
        <f>IF(Z824=0,0,IF(Y824="MXN",1/HLOOKUP(YEAR(X824)+(MONTH(X824)/100),TC!$5:$37,DAY(X824)+2,FALSE),VLOOKUP(Y824,Equivalencia!$1:$23,((MAX(Equivalencia!$3:$3)-YEAR(X824))*14)+MONTH(X824)+2,FALSE)))</f>
        <v>1</v>
      </c>
      <c r="AB824" s="306">
        <f t="shared" si="212"/>
        <v>2937.508421052632</v>
      </c>
      <c r="AC824" s="305">
        <f>+IF(X824=0,0,HLOOKUP(YEAR(X824)+(MONTH(X824)/100),TC!$5:$37,DAY(X824)+2,FALSE))</f>
        <v>20.941500000000001</v>
      </c>
      <c r="AD824" s="307">
        <f t="shared" si="213"/>
        <v>61515.832599473695</v>
      </c>
      <c r="AE824" s="314">
        <f t="shared" si="214"/>
        <v>49536.086211185553</v>
      </c>
      <c r="AF824" s="315">
        <f t="shared" si="215"/>
        <v>11979.746388288142</v>
      </c>
      <c r="AG824" s="316">
        <f t="shared" si="216"/>
        <v>0.51506849315068493</v>
      </c>
      <c r="AH824" s="314">
        <v>1</v>
      </c>
      <c r="AI824" s="314">
        <f t="shared" si="217"/>
        <v>11979.746388288142</v>
      </c>
      <c r="AJ824" s="314">
        <f t="shared" si="218"/>
        <v>0</v>
      </c>
      <c r="AK824" s="317"/>
      <c r="AL824" s="315">
        <f t="shared" si="219"/>
        <v>592.29303643724734</v>
      </c>
      <c r="AN824" s="554">
        <f t="shared" si="220"/>
        <v>0.25255379114544885</v>
      </c>
      <c r="AO824" s="314"/>
      <c r="AP824" s="318"/>
    </row>
    <row r="825" spans="2:42">
      <c r="B825" s="296" t="s">
        <v>1254</v>
      </c>
      <c r="C825" s="299" t="s">
        <v>277</v>
      </c>
      <c r="D825" s="298" t="s">
        <v>951</v>
      </c>
      <c r="E825" s="299" t="s">
        <v>113</v>
      </c>
      <c r="F825" s="299" t="s">
        <v>59</v>
      </c>
      <c r="G825" s="300">
        <v>44572</v>
      </c>
      <c r="H825" s="303">
        <v>2706.89</v>
      </c>
      <c r="I825" s="301" t="str">
        <f t="shared" si="204"/>
        <v>Ingresos Sección II LISR (SIC &amp; BMV)</v>
      </c>
      <c r="J825" s="302">
        <f t="shared" si="205"/>
        <v>7</v>
      </c>
      <c r="K825" s="304">
        <f t="shared" si="206"/>
        <v>386.69857142857143</v>
      </c>
      <c r="L825" s="305">
        <f>IF(H825=0,0,IF(OR(E825=$AT$5,E825=$AT$6),AA825,IF(F825="MXN",1/HLOOKUP(YEAR(G825)+(MONTH(G825)/100),TC!$5:$37,DAY(G825)+2,FALSE),VLOOKUP(F825,Equivalencia!$5:$23,((MAX(Equivalencia!$3:$3)-YEAR(G825))*14)+MONTH(G825)+2,FALSE))))</f>
        <v>1</v>
      </c>
      <c r="M825" s="306">
        <f t="shared" si="207"/>
        <v>2706.89</v>
      </c>
      <c r="N825" s="305">
        <f>IF(G825=0,0,(IF(OR(E825=$AT$5,E825=$AT$6),AC825,HLOOKUP(YEAR(G825)+(MONTH(G825)/100),TC!$5:$37,DAY(G825)+2,FALSE))))</f>
        <v>20.4237</v>
      </c>
      <c r="O825" s="307">
        <f t="shared" si="208"/>
        <v>55284.709293</v>
      </c>
      <c r="P825" s="560">
        <f>IF(G825=0,0,VLOOKUP(YEAR(G825),INPC!$B$4:$P$30,MONTH(G825)+2))</f>
        <v>118.002</v>
      </c>
      <c r="Q825" s="560">
        <f>IF(X825=0,0,IF(OR(E825=$AT$10,E825=$AT$9),VLOOKUP(YEAR(X825),INPC!$B$4:$P$30,MONTH(X825)+1),VLOOKUP(YEAR(X825),INPC!$B$4:$P$30,MONTH(X825)+2,0)))</f>
        <v>122.044</v>
      </c>
      <c r="R825" s="309">
        <f t="shared" si="209"/>
        <v>1.0342</v>
      </c>
      <c r="S825" s="310">
        <f t="shared" si="210"/>
        <v>57175.446350820603</v>
      </c>
      <c r="T825" s="555">
        <f t="shared" si="211"/>
        <v>8167.9209072600861</v>
      </c>
      <c r="U825" s="311"/>
      <c r="V825" s="312">
        <v>7</v>
      </c>
      <c r="W825" s="299" t="s">
        <v>194</v>
      </c>
      <c r="X825" s="300">
        <v>44760</v>
      </c>
      <c r="Y825" s="299" t="s">
        <v>59</v>
      </c>
      <c r="Z825" s="303">
        <v>3427.093157894737</v>
      </c>
      <c r="AA825" s="305">
        <f>IF(Z825=0,0,IF(Y825="MXN",1/HLOOKUP(YEAR(X825)+(MONTH(X825)/100),TC!$5:$37,DAY(X825)+2,FALSE),VLOOKUP(Y825,Equivalencia!$1:$23,((MAX(Equivalencia!$3:$3)-YEAR(X825))*14)+MONTH(X825)+2,FALSE)))</f>
        <v>1</v>
      </c>
      <c r="AB825" s="306">
        <f t="shared" si="212"/>
        <v>3427.093157894737</v>
      </c>
      <c r="AC825" s="305">
        <f>+IF(X825=0,0,HLOOKUP(YEAR(X825)+(MONTH(X825)/100),TC!$5:$37,DAY(X825)+2,FALSE))</f>
        <v>20.941500000000001</v>
      </c>
      <c r="AD825" s="307">
        <f t="shared" si="213"/>
        <v>71768.471366052647</v>
      </c>
      <c r="AE825" s="314">
        <f t="shared" si="214"/>
        <v>57175.446350820603</v>
      </c>
      <c r="AF825" s="315">
        <f t="shared" si="215"/>
        <v>14593.025015232044</v>
      </c>
      <c r="AG825" s="316">
        <f t="shared" si="216"/>
        <v>0.51506849315068493</v>
      </c>
      <c r="AH825" s="314">
        <v>1</v>
      </c>
      <c r="AI825" s="314">
        <f t="shared" si="217"/>
        <v>14593.025015232044</v>
      </c>
      <c r="AJ825" s="314">
        <f t="shared" si="218"/>
        <v>0</v>
      </c>
      <c r="AK825" s="317"/>
      <c r="AL825" s="315">
        <f t="shared" si="219"/>
        <v>720.20315789473716</v>
      </c>
      <c r="AN825" s="554">
        <f t="shared" si="220"/>
        <v>0.26606295708164618</v>
      </c>
      <c r="AO825" s="314"/>
      <c r="AP825" s="318"/>
    </row>
    <row r="826" spans="2:42">
      <c r="B826" s="296" t="s">
        <v>1254</v>
      </c>
      <c r="C826" s="299" t="s">
        <v>277</v>
      </c>
      <c r="D826" s="298" t="s">
        <v>951</v>
      </c>
      <c r="E826" s="299" t="s">
        <v>113</v>
      </c>
      <c r="F826" s="299" t="s">
        <v>59</v>
      </c>
      <c r="G826" s="300">
        <v>44572</v>
      </c>
      <c r="H826" s="303">
        <v>2306.04</v>
      </c>
      <c r="I826" s="301" t="str">
        <f t="shared" si="204"/>
        <v>Ingresos Sección II LISR (SIC &amp; BMV)</v>
      </c>
      <c r="J826" s="302">
        <f t="shared" si="205"/>
        <v>6</v>
      </c>
      <c r="K826" s="304">
        <f t="shared" si="206"/>
        <v>384.34</v>
      </c>
      <c r="L826" s="305">
        <f>IF(H826=0,0,IF(OR(E826=$AT$5,E826=$AT$6),AA826,IF(F826="MXN",1/HLOOKUP(YEAR(G826)+(MONTH(G826)/100),TC!$5:$37,DAY(G826)+2,FALSE),VLOOKUP(F826,Equivalencia!$5:$23,((MAX(Equivalencia!$3:$3)-YEAR(G826))*14)+MONTH(G826)+2,FALSE))))</f>
        <v>1</v>
      </c>
      <c r="M826" s="306">
        <f t="shared" si="207"/>
        <v>2306.04</v>
      </c>
      <c r="N826" s="305">
        <f>IF(G826=0,0,(IF(OR(E826=$AT$5,E826=$AT$6),AC826,HLOOKUP(YEAR(G826)+(MONTH(G826)/100),TC!$5:$37,DAY(G826)+2,FALSE))))</f>
        <v>20.4237</v>
      </c>
      <c r="O826" s="307">
        <f t="shared" si="208"/>
        <v>47097.869147999998</v>
      </c>
      <c r="P826" s="560">
        <f>IF(G826=0,0,VLOOKUP(YEAR(G826),INPC!$B$4:$P$30,MONTH(G826)+2))</f>
        <v>118.002</v>
      </c>
      <c r="Q826" s="560">
        <f>IF(X826=0,0,IF(OR(E826=$AT$10,E826=$AT$9),VLOOKUP(YEAR(X826),INPC!$B$4:$P$30,MONTH(X826)+1),VLOOKUP(YEAR(X826),INPC!$B$4:$P$30,MONTH(X826)+2,0)))</f>
        <v>122.044</v>
      </c>
      <c r="R826" s="309">
        <f t="shared" si="209"/>
        <v>1.0342</v>
      </c>
      <c r="S826" s="310">
        <f t="shared" si="210"/>
        <v>48708.616272861596</v>
      </c>
      <c r="T826" s="555">
        <f t="shared" si="211"/>
        <v>8118.1027121435991</v>
      </c>
      <c r="U826" s="311"/>
      <c r="V826" s="312">
        <v>6</v>
      </c>
      <c r="W826" s="299" t="s">
        <v>194</v>
      </c>
      <c r="X826" s="300">
        <v>44760</v>
      </c>
      <c r="Y826" s="299" t="s">
        <v>59</v>
      </c>
      <c r="Z826" s="303">
        <v>2937.508421052632</v>
      </c>
      <c r="AA826" s="305">
        <f>IF(Z826=0,0,IF(Y826="MXN",1/HLOOKUP(YEAR(X826)+(MONTH(X826)/100),TC!$5:$37,DAY(X826)+2,FALSE),VLOOKUP(Y826,Equivalencia!$1:$23,((MAX(Equivalencia!$3:$3)-YEAR(X826))*14)+MONTH(X826)+2,FALSE)))</f>
        <v>1</v>
      </c>
      <c r="AB826" s="306">
        <f t="shared" si="212"/>
        <v>2937.508421052632</v>
      </c>
      <c r="AC826" s="305">
        <f>+IF(X826=0,0,HLOOKUP(YEAR(X826)+(MONTH(X826)/100),TC!$5:$37,DAY(X826)+2,FALSE))</f>
        <v>20.941500000000001</v>
      </c>
      <c r="AD826" s="307">
        <f t="shared" si="213"/>
        <v>61515.832599473695</v>
      </c>
      <c r="AE826" s="314">
        <f t="shared" si="214"/>
        <v>48708.616272861596</v>
      </c>
      <c r="AF826" s="315">
        <f t="shared" si="215"/>
        <v>12807.216326612099</v>
      </c>
      <c r="AG826" s="316">
        <f t="shared" si="216"/>
        <v>0.51506849315068493</v>
      </c>
      <c r="AH826" s="314">
        <v>1</v>
      </c>
      <c r="AI826" s="314">
        <f t="shared" si="217"/>
        <v>12807.216326612099</v>
      </c>
      <c r="AJ826" s="314">
        <f t="shared" si="218"/>
        <v>0</v>
      </c>
      <c r="AK826" s="317"/>
      <c r="AL826" s="315">
        <f t="shared" si="219"/>
        <v>631.46842105263204</v>
      </c>
      <c r="AN826" s="554">
        <f t="shared" si="220"/>
        <v>0.27383237977339164</v>
      </c>
      <c r="AO826" s="314"/>
      <c r="AP826" s="318"/>
    </row>
    <row r="827" spans="2:42">
      <c r="B827" s="296" t="s">
        <v>1254</v>
      </c>
      <c r="C827" s="299" t="s">
        <v>277</v>
      </c>
      <c r="D827" s="298" t="s">
        <v>951</v>
      </c>
      <c r="E827" s="299" t="s">
        <v>113</v>
      </c>
      <c r="F827" s="299" t="s">
        <v>59</v>
      </c>
      <c r="G827" s="300">
        <v>44572</v>
      </c>
      <c r="H827" s="303">
        <v>384.34000000000003</v>
      </c>
      <c r="I827" s="301" t="str">
        <f t="shared" si="204"/>
        <v>Ingresos Sección II LISR (SIC &amp; BMV)</v>
      </c>
      <c r="J827" s="302">
        <f t="shared" si="205"/>
        <v>1</v>
      </c>
      <c r="K827" s="304">
        <f t="shared" si="206"/>
        <v>384.34000000000003</v>
      </c>
      <c r="L827" s="305">
        <f>IF(H827=0,0,IF(OR(E827=$AT$5,E827=$AT$6),AA827,IF(F827="MXN",1/HLOOKUP(YEAR(G827)+(MONTH(G827)/100),TC!$5:$37,DAY(G827)+2,FALSE),VLOOKUP(F827,Equivalencia!$5:$23,((MAX(Equivalencia!$3:$3)-YEAR(G827))*14)+MONTH(G827)+2,FALSE))))</f>
        <v>1</v>
      </c>
      <c r="M827" s="306">
        <f t="shared" si="207"/>
        <v>384.34000000000003</v>
      </c>
      <c r="N827" s="305">
        <f>IF(G827=0,0,(IF(OR(E827=$AT$5,E827=$AT$6),AC827,HLOOKUP(YEAR(G827)+(MONTH(G827)/100),TC!$5:$37,DAY(G827)+2,FALSE))))</f>
        <v>20.4237</v>
      </c>
      <c r="O827" s="307">
        <f t="shared" si="208"/>
        <v>7849.6448580000006</v>
      </c>
      <c r="P827" s="560">
        <f>IF(G827=0,0,VLOOKUP(YEAR(G827),INPC!$B$4:$P$30,MONTH(G827)+2))</f>
        <v>118.002</v>
      </c>
      <c r="Q827" s="560">
        <f>IF(X827=0,0,IF(OR(E827=$AT$10,E827=$AT$9),VLOOKUP(YEAR(X827),INPC!$B$4:$P$30,MONTH(X827)+1),VLOOKUP(YEAR(X827),INPC!$B$4:$P$30,MONTH(X827)+2,0)))</f>
        <v>122.044</v>
      </c>
      <c r="R827" s="309">
        <f t="shared" si="209"/>
        <v>1.0342</v>
      </c>
      <c r="S827" s="310">
        <f t="shared" si="210"/>
        <v>8118.1027121436009</v>
      </c>
      <c r="T827" s="555">
        <f t="shared" si="211"/>
        <v>8118.1027121436009</v>
      </c>
      <c r="U827" s="311"/>
      <c r="V827" s="312">
        <v>1</v>
      </c>
      <c r="W827" s="299" t="s">
        <v>194</v>
      </c>
      <c r="X827" s="300">
        <v>44760</v>
      </c>
      <c r="Y827" s="299" t="s">
        <v>59</v>
      </c>
      <c r="Z827" s="303">
        <v>485.625</v>
      </c>
      <c r="AA827" s="305">
        <f>IF(Z827=0,0,IF(Y827="MXN",1/HLOOKUP(YEAR(X827)+(MONTH(X827)/100),TC!$5:$37,DAY(X827)+2,FALSE),VLOOKUP(Y827,Equivalencia!$1:$23,((MAX(Equivalencia!$3:$3)-YEAR(X827))*14)+MONTH(X827)+2,FALSE)))</f>
        <v>1</v>
      </c>
      <c r="AB827" s="306">
        <f t="shared" si="212"/>
        <v>485.625</v>
      </c>
      <c r="AC827" s="305">
        <f>+IF(X827=0,0,HLOOKUP(YEAR(X827)+(MONTH(X827)/100),TC!$5:$37,DAY(X827)+2,FALSE))</f>
        <v>20.941500000000001</v>
      </c>
      <c r="AD827" s="307">
        <f t="shared" si="213"/>
        <v>10169.715937500001</v>
      </c>
      <c r="AE827" s="314">
        <f t="shared" si="214"/>
        <v>8118.1027121436009</v>
      </c>
      <c r="AF827" s="315">
        <f t="shared" si="215"/>
        <v>2051.6132253564001</v>
      </c>
      <c r="AG827" s="316">
        <f t="shared" si="216"/>
        <v>0.51506849315068493</v>
      </c>
      <c r="AH827" s="314">
        <v>1</v>
      </c>
      <c r="AI827" s="314">
        <f t="shared" si="217"/>
        <v>2051.6132253564001</v>
      </c>
      <c r="AJ827" s="314">
        <f t="shared" si="218"/>
        <v>0</v>
      </c>
      <c r="AK827" s="317"/>
      <c r="AL827" s="315">
        <f t="shared" si="219"/>
        <v>101.28499999999997</v>
      </c>
      <c r="AN827" s="554">
        <f t="shared" si="220"/>
        <v>0.26352968725607523</v>
      </c>
      <c r="AO827" s="314"/>
      <c r="AP827" s="318"/>
    </row>
    <row r="828" spans="2:42">
      <c r="B828" s="296" t="s">
        <v>1254</v>
      </c>
      <c r="C828" s="299" t="s">
        <v>277</v>
      </c>
      <c r="D828" s="298" t="s">
        <v>951</v>
      </c>
      <c r="E828" s="299" t="s">
        <v>113</v>
      </c>
      <c r="F828" s="299" t="s">
        <v>59</v>
      </c>
      <c r="G828" s="300">
        <v>44573</v>
      </c>
      <c r="H828" s="303">
        <v>392.89575000000002</v>
      </c>
      <c r="I828" s="301" t="str">
        <f t="shared" ref="I828:I891" si="221">IF(D828=0,0,IF(OR(E828=$AT$9,E828=$AT$10),"Ingresos Sección II LISR (SIC &amp; BMV)","Ingresos Sección I LISR"))</f>
        <v>Ingresos Sección II LISR (SIC &amp; BMV)</v>
      </c>
      <c r="J828" s="302">
        <f t="shared" ref="J828:J891" si="222">+V828</f>
        <v>1</v>
      </c>
      <c r="K828" s="304">
        <f t="shared" ref="K828:K891" si="223">IF(H828=0,0,H828/J828)</f>
        <v>392.89575000000002</v>
      </c>
      <c r="L828" s="305">
        <f>IF(H828=0,0,IF(OR(E828=$AT$5,E828=$AT$6),AA828,IF(F828="MXN",1/HLOOKUP(YEAR(G828)+(MONTH(G828)/100),TC!$5:$37,DAY(G828)+2,FALSE),VLOOKUP(F828,Equivalencia!$5:$23,((MAX(Equivalencia!$3:$3)-YEAR(G828))*14)+MONTH(G828)+2,FALSE))))</f>
        <v>1</v>
      </c>
      <c r="M828" s="306">
        <f t="shared" ref="M828:M891" si="224">+H828*L828</f>
        <v>392.89575000000002</v>
      </c>
      <c r="N828" s="305">
        <f>IF(G828=0,0,(IF(OR(E828=$AT$5,E828=$AT$6),AC828,HLOOKUP(YEAR(G828)+(MONTH(G828)/100),TC!$5:$37,DAY(G828)+2,FALSE))))</f>
        <v>20.4453</v>
      </c>
      <c r="O828" s="307">
        <f t="shared" ref="O828:O891" si="225">+M828*N828</f>
        <v>8032.8714774750006</v>
      </c>
      <c r="P828" s="560">
        <f>IF(G828=0,0,VLOOKUP(YEAR(G828),INPC!$B$4:$P$30,MONTH(G828)+2))</f>
        <v>118.002</v>
      </c>
      <c r="Q828" s="560">
        <f>IF(X828=0,0,IF(OR(E828=$AT$10,E828=$AT$9),VLOOKUP(YEAR(X828),INPC!$B$4:$P$30,MONTH(X828)+1),VLOOKUP(YEAR(X828),INPC!$B$4:$P$30,MONTH(X828)+2,0)))</f>
        <v>122.044</v>
      </c>
      <c r="R828" s="309">
        <f t="shared" ref="R828:R891" si="226">IF(H828=0,0,IF(OR(E828=$AT$5,E828=$AT$6),1,IF(TRUNC(Q828/P828,4)&gt;=1,TRUNC(Q828/P828,4),1)))</f>
        <v>1.0342</v>
      </c>
      <c r="S828" s="310">
        <f t="shared" ref="S828:S891" si="227">+R828*O828</f>
        <v>8307.5956820046449</v>
      </c>
      <c r="T828" s="555">
        <f t="shared" ref="T828:T891" si="228">IF(V828=0,0,S828/V828)</f>
        <v>8307.5956820046449</v>
      </c>
      <c r="U828" s="311"/>
      <c r="V828" s="312">
        <v>1</v>
      </c>
      <c r="W828" s="299" t="s">
        <v>194</v>
      </c>
      <c r="X828" s="300">
        <v>44760</v>
      </c>
      <c r="Y828" s="299" t="s">
        <v>59</v>
      </c>
      <c r="Z828" s="303">
        <v>485.625</v>
      </c>
      <c r="AA828" s="305">
        <f>IF(Z828=0,0,IF(Y828="MXN",1/HLOOKUP(YEAR(X828)+(MONTH(X828)/100),TC!$5:$37,DAY(X828)+2,FALSE),VLOOKUP(Y828,Equivalencia!$1:$23,((MAX(Equivalencia!$3:$3)-YEAR(X828))*14)+MONTH(X828)+2,FALSE)))</f>
        <v>1</v>
      </c>
      <c r="AB828" s="306">
        <f t="shared" ref="AB828:AB891" si="229">+AA828*Z828</f>
        <v>485.625</v>
      </c>
      <c r="AC828" s="305">
        <f>+IF(X828=0,0,HLOOKUP(YEAR(X828)+(MONTH(X828)/100),TC!$5:$37,DAY(X828)+2,FALSE))</f>
        <v>20.941500000000001</v>
      </c>
      <c r="AD828" s="307">
        <f t="shared" ref="AD828:AD891" si="230">+AC828*AB828</f>
        <v>10169.715937500001</v>
      </c>
      <c r="AE828" s="314">
        <f t="shared" ref="AE828:AE891" si="231">+V828*T828</f>
        <v>8307.5956820046449</v>
      </c>
      <c r="AF828" s="315">
        <f t="shared" ref="AF828:AF891" si="232">IF(E828=$AT$11,0,AD828-AE828)</f>
        <v>1862.1202554953561</v>
      </c>
      <c r="AG828" s="316">
        <f t="shared" ref="AG828:AG891" si="233">+IF(AND(AF828&lt;0,OR(E828=$AT$5,E828=$AT$6)),1,((X828-G828)/365))</f>
        <v>0.51232876712328768</v>
      </c>
      <c r="AH828" s="314">
        <v>1</v>
      </c>
      <c r="AI828" s="314">
        <f t="shared" ref="AI828:AI891" si="234">+IF(OR(E828=$AT$9,E828=$AT$10),AF828,+AF828/AH828)</f>
        <v>1862.1202554953561</v>
      </c>
      <c r="AJ828" s="314">
        <f t="shared" ref="AJ828:AJ891" si="235">+AF828-AI828</f>
        <v>0</v>
      </c>
      <c r="AK828" s="317"/>
      <c r="AL828" s="315">
        <f t="shared" ref="AL828:AL891" si="236">+AB828-M828</f>
        <v>92.729249999999979</v>
      </c>
      <c r="AN828" s="554">
        <f t="shared" ref="AN828:AN891" si="237">IF(AL828=0,0,AL828/H828)</f>
        <v>0.23601489708147766</v>
      </c>
      <c r="AO828" s="314"/>
      <c r="AP828" s="318"/>
    </row>
    <row r="829" spans="2:42">
      <c r="B829" s="296" t="s">
        <v>1254</v>
      </c>
      <c r="C829" s="299" t="s">
        <v>277</v>
      </c>
      <c r="D829" s="298" t="s">
        <v>951</v>
      </c>
      <c r="E829" s="299" t="s">
        <v>113</v>
      </c>
      <c r="F829" s="299" t="s">
        <v>59</v>
      </c>
      <c r="G829" s="300">
        <v>44573</v>
      </c>
      <c r="H829" s="303">
        <v>15322.93425</v>
      </c>
      <c r="I829" s="301" t="str">
        <f t="shared" si="221"/>
        <v>Ingresos Sección II LISR (SIC &amp; BMV)</v>
      </c>
      <c r="J829" s="302">
        <f t="shared" si="222"/>
        <v>39</v>
      </c>
      <c r="K829" s="304">
        <f t="shared" si="223"/>
        <v>392.89575000000002</v>
      </c>
      <c r="L829" s="305">
        <f>IF(H829=0,0,IF(OR(E829=$AT$5,E829=$AT$6),AA829,IF(F829="MXN",1/HLOOKUP(YEAR(G829)+(MONTH(G829)/100),TC!$5:$37,DAY(G829)+2,FALSE),VLOOKUP(F829,Equivalencia!$5:$23,((MAX(Equivalencia!$3:$3)-YEAR(G829))*14)+MONTH(G829)+2,FALSE))))</f>
        <v>1</v>
      </c>
      <c r="M829" s="306">
        <f t="shared" si="224"/>
        <v>15322.93425</v>
      </c>
      <c r="N829" s="305">
        <f>IF(G829=0,0,(IF(OR(E829=$AT$5,E829=$AT$6),AC829,HLOOKUP(YEAR(G829)+(MONTH(G829)/100),TC!$5:$37,DAY(G829)+2,FALSE))))</f>
        <v>20.4453</v>
      </c>
      <c r="O829" s="307">
        <f t="shared" si="225"/>
        <v>313281.98762152501</v>
      </c>
      <c r="P829" s="560">
        <f>IF(G829=0,0,VLOOKUP(YEAR(G829),INPC!$B$4:$P$30,MONTH(G829)+2))</f>
        <v>118.002</v>
      </c>
      <c r="Q829" s="560">
        <f>IF(X829=0,0,IF(OR(E829=$AT$10,E829=$AT$9),VLOOKUP(YEAR(X829),INPC!$B$4:$P$30,MONTH(X829)+1),VLOOKUP(YEAR(X829),INPC!$B$4:$P$30,MONTH(X829)+2,0)))</f>
        <v>122.044</v>
      </c>
      <c r="R829" s="309">
        <f t="shared" si="226"/>
        <v>1.0342</v>
      </c>
      <c r="S829" s="310">
        <f t="shared" si="227"/>
        <v>323996.23159818118</v>
      </c>
      <c r="T829" s="555">
        <f t="shared" si="228"/>
        <v>8307.5956820046449</v>
      </c>
      <c r="U829" s="311"/>
      <c r="V829" s="312">
        <v>39</v>
      </c>
      <c r="W829" s="299" t="s">
        <v>194</v>
      </c>
      <c r="X829" s="300">
        <v>44763</v>
      </c>
      <c r="Y829" s="299" t="s">
        <v>59</v>
      </c>
      <c r="Z829" s="303">
        <v>18936.125</v>
      </c>
      <c r="AA829" s="305">
        <f>IF(Z829=0,0,IF(Y829="MXN",1/HLOOKUP(YEAR(X829)+(MONTH(X829)/100),TC!$5:$37,DAY(X829)+2,FALSE),VLOOKUP(Y829,Equivalencia!$1:$23,((MAX(Equivalencia!$3:$3)-YEAR(X829))*14)+MONTH(X829)+2,FALSE)))</f>
        <v>1</v>
      </c>
      <c r="AB829" s="306">
        <f t="shared" si="229"/>
        <v>18936.125</v>
      </c>
      <c r="AC829" s="305">
        <f>+IF(X829=0,0,HLOOKUP(YEAR(X829)+(MONTH(X829)/100),TC!$5:$37,DAY(X829)+2,FALSE))</f>
        <v>20.4407</v>
      </c>
      <c r="AD829" s="307">
        <f t="shared" si="230"/>
        <v>387067.6502875</v>
      </c>
      <c r="AE829" s="314">
        <f t="shared" si="231"/>
        <v>323996.23159818113</v>
      </c>
      <c r="AF829" s="315">
        <f t="shared" si="232"/>
        <v>63071.418689318874</v>
      </c>
      <c r="AG829" s="316">
        <f t="shared" si="233"/>
        <v>0.52054794520547942</v>
      </c>
      <c r="AH829" s="314">
        <v>1</v>
      </c>
      <c r="AI829" s="314">
        <f t="shared" si="234"/>
        <v>63071.418689318874</v>
      </c>
      <c r="AJ829" s="314">
        <f t="shared" si="235"/>
        <v>0</v>
      </c>
      <c r="AK829" s="317"/>
      <c r="AL829" s="315">
        <f t="shared" si="236"/>
        <v>3613.1907499999998</v>
      </c>
      <c r="AN829" s="554">
        <f t="shared" si="237"/>
        <v>0.23580279671303814</v>
      </c>
      <c r="AO829" s="314"/>
      <c r="AP829" s="318"/>
    </row>
    <row r="830" spans="2:42">
      <c r="B830" s="296" t="s">
        <v>1254</v>
      </c>
      <c r="C830" s="299" t="s">
        <v>277</v>
      </c>
      <c r="D830" s="298" t="s">
        <v>951</v>
      </c>
      <c r="E830" s="299" t="s">
        <v>113</v>
      </c>
      <c r="F830" s="299" t="s">
        <v>59</v>
      </c>
      <c r="G830" s="300">
        <v>44574</v>
      </c>
      <c r="H830" s="303">
        <v>5088.33</v>
      </c>
      <c r="I830" s="301" t="str">
        <f t="shared" si="221"/>
        <v>Ingresos Sección II LISR (SIC &amp; BMV)</v>
      </c>
      <c r="J830" s="302">
        <f t="shared" si="222"/>
        <v>13</v>
      </c>
      <c r="K830" s="304">
        <f t="shared" si="223"/>
        <v>391.40999999999997</v>
      </c>
      <c r="L830" s="305">
        <f>IF(H830=0,0,IF(OR(E830=$AT$5,E830=$AT$6),AA830,IF(F830="MXN",1/HLOOKUP(YEAR(G830)+(MONTH(G830)/100),TC!$5:$37,DAY(G830)+2,FALSE),VLOOKUP(F830,Equivalencia!$5:$23,((MAX(Equivalencia!$3:$3)-YEAR(G830))*14)+MONTH(G830)+2,FALSE))))</f>
        <v>1</v>
      </c>
      <c r="M830" s="306">
        <f t="shared" si="224"/>
        <v>5088.33</v>
      </c>
      <c r="N830" s="305">
        <f>IF(G830=0,0,(IF(OR(E830=$AT$5,E830=$AT$6),AC830,HLOOKUP(YEAR(G830)+(MONTH(G830)/100),TC!$5:$37,DAY(G830)+2,FALSE))))</f>
        <v>20.378499999999999</v>
      </c>
      <c r="O830" s="307">
        <f t="shared" si="225"/>
        <v>103692.532905</v>
      </c>
      <c r="P830" s="560">
        <f>IF(G830=0,0,VLOOKUP(YEAR(G830),INPC!$B$4:$P$30,MONTH(G830)+2))</f>
        <v>118.002</v>
      </c>
      <c r="Q830" s="560">
        <f>IF(X830=0,0,IF(OR(E830=$AT$10,E830=$AT$9),VLOOKUP(YEAR(X830),INPC!$B$4:$P$30,MONTH(X830)+1),VLOOKUP(YEAR(X830),INPC!$B$4:$P$30,MONTH(X830)+2,0)))</f>
        <v>122.044</v>
      </c>
      <c r="R830" s="309">
        <f t="shared" si="226"/>
        <v>1.0342</v>
      </c>
      <c r="S830" s="310">
        <f t="shared" si="227"/>
        <v>107238.81753035101</v>
      </c>
      <c r="T830" s="555">
        <f t="shared" si="228"/>
        <v>8249.1398100269998</v>
      </c>
      <c r="U830" s="311"/>
      <c r="V830" s="312">
        <v>13</v>
      </c>
      <c r="W830" s="299" t="s">
        <v>194</v>
      </c>
      <c r="X830" s="300">
        <v>44763</v>
      </c>
      <c r="Y830" s="299" t="s">
        <v>59</v>
      </c>
      <c r="Z830" s="303">
        <v>6312.041666666667</v>
      </c>
      <c r="AA830" s="305">
        <f>IF(Z830=0,0,IF(Y830="MXN",1/HLOOKUP(YEAR(X830)+(MONTH(X830)/100),TC!$5:$37,DAY(X830)+2,FALSE),VLOOKUP(Y830,Equivalencia!$1:$23,((MAX(Equivalencia!$3:$3)-YEAR(X830))*14)+MONTH(X830)+2,FALSE)))</f>
        <v>1</v>
      </c>
      <c r="AB830" s="306">
        <f t="shared" si="229"/>
        <v>6312.041666666667</v>
      </c>
      <c r="AC830" s="305">
        <f>+IF(X830=0,0,HLOOKUP(YEAR(X830)+(MONTH(X830)/100),TC!$5:$37,DAY(X830)+2,FALSE))</f>
        <v>20.4407</v>
      </c>
      <c r="AD830" s="307">
        <f t="shared" si="230"/>
        <v>129022.55009583334</v>
      </c>
      <c r="AE830" s="314">
        <f t="shared" si="231"/>
        <v>107238.81753035099</v>
      </c>
      <c r="AF830" s="315">
        <f t="shared" si="232"/>
        <v>21783.732565482351</v>
      </c>
      <c r="AG830" s="316">
        <f t="shared" si="233"/>
        <v>0.51780821917808217</v>
      </c>
      <c r="AH830" s="314">
        <v>1</v>
      </c>
      <c r="AI830" s="314">
        <f t="shared" si="234"/>
        <v>21783.732565482351</v>
      </c>
      <c r="AJ830" s="314">
        <f t="shared" si="235"/>
        <v>0</v>
      </c>
      <c r="AK830" s="317"/>
      <c r="AL830" s="315">
        <f t="shared" si="236"/>
        <v>1223.711666666667</v>
      </c>
      <c r="AN830" s="554">
        <f t="shared" si="237"/>
        <v>0.24049377038569963</v>
      </c>
      <c r="AO830" s="314"/>
      <c r="AP830" s="318"/>
    </row>
    <row r="831" spans="2:42">
      <c r="B831" s="296" t="s">
        <v>1254</v>
      </c>
      <c r="C831" s="299" t="s">
        <v>277</v>
      </c>
      <c r="D831" s="298" t="s">
        <v>951</v>
      </c>
      <c r="E831" s="299" t="s">
        <v>113</v>
      </c>
      <c r="F831" s="299" t="s">
        <v>59</v>
      </c>
      <c r="G831" s="300">
        <v>44574</v>
      </c>
      <c r="H831" s="303">
        <v>3165.6622222222222</v>
      </c>
      <c r="I831" s="301" t="str">
        <f t="shared" si="221"/>
        <v>Ingresos Sección II LISR (SIC &amp; BMV)</v>
      </c>
      <c r="J831" s="302">
        <f t="shared" si="222"/>
        <v>8</v>
      </c>
      <c r="K831" s="304">
        <f t="shared" si="223"/>
        <v>395.70777777777778</v>
      </c>
      <c r="L831" s="305">
        <f>IF(H831=0,0,IF(OR(E831=$AT$5,E831=$AT$6),AA831,IF(F831="MXN",1/HLOOKUP(YEAR(G831)+(MONTH(G831)/100),TC!$5:$37,DAY(G831)+2,FALSE),VLOOKUP(F831,Equivalencia!$5:$23,((MAX(Equivalencia!$3:$3)-YEAR(G831))*14)+MONTH(G831)+2,FALSE))))</f>
        <v>1</v>
      </c>
      <c r="M831" s="306">
        <f t="shared" si="224"/>
        <v>3165.6622222222222</v>
      </c>
      <c r="N831" s="305">
        <f>IF(G831=0,0,(IF(OR(E831=$AT$5,E831=$AT$6),AC831,HLOOKUP(YEAR(G831)+(MONTH(G831)/100),TC!$5:$37,DAY(G831)+2,FALSE))))</f>
        <v>20.378499999999999</v>
      </c>
      <c r="O831" s="307">
        <f t="shared" si="225"/>
        <v>64511.447595555554</v>
      </c>
      <c r="P831" s="560">
        <f>IF(G831=0,0,VLOOKUP(YEAR(G831),INPC!$B$4:$P$30,MONTH(G831)+2))</f>
        <v>118.002</v>
      </c>
      <c r="Q831" s="560">
        <f>IF(X831=0,0,IF(OR(E831=$AT$10,E831=$AT$9),VLOOKUP(YEAR(X831),INPC!$B$4:$P$30,MONTH(X831)+1),VLOOKUP(YEAR(X831),INPC!$B$4:$P$30,MONTH(X831)+2,0)))</f>
        <v>122.044</v>
      </c>
      <c r="R831" s="309">
        <f t="shared" si="226"/>
        <v>1.0342</v>
      </c>
      <c r="S831" s="310">
        <f t="shared" si="227"/>
        <v>66717.739103323547</v>
      </c>
      <c r="T831" s="555">
        <f t="shared" si="228"/>
        <v>8339.7173879154434</v>
      </c>
      <c r="U831" s="311"/>
      <c r="V831" s="312">
        <v>8</v>
      </c>
      <c r="W831" s="299" t="s">
        <v>194</v>
      </c>
      <c r="X831" s="300">
        <v>44763</v>
      </c>
      <c r="Y831" s="299" t="s">
        <v>59</v>
      </c>
      <c r="Z831" s="303">
        <v>3884.3333333333335</v>
      </c>
      <c r="AA831" s="305">
        <f>IF(Z831=0,0,IF(Y831="MXN",1/HLOOKUP(YEAR(X831)+(MONTH(X831)/100),TC!$5:$37,DAY(X831)+2,FALSE),VLOOKUP(Y831,Equivalencia!$1:$23,((MAX(Equivalencia!$3:$3)-YEAR(X831))*14)+MONTH(X831)+2,FALSE)))</f>
        <v>1</v>
      </c>
      <c r="AB831" s="306">
        <f t="shared" si="229"/>
        <v>3884.3333333333335</v>
      </c>
      <c r="AC831" s="305">
        <f>+IF(X831=0,0,HLOOKUP(YEAR(X831)+(MONTH(X831)/100),TC!$5:$37,DAY(X831)+2,FALSE))</f>
        <v>20.4407</v>
      </c>
      <c r="AD831" s="307">
        <f t="shared" si="230"/>
        <v>79398.492366666673</v>
      </c>
      <c r="AE831" s="314">
        <f t="shared" si="231"/>
        <v>66717.739103323547</v>
      </c>
      <c r="AF831" s="315">
        <f t="shared" si="232"/>
        <v>12680.753263343126</v>
      </c>
      <c r="AG831" s="316">
        <f t="shared" si="233"/>
        <v>0.51780821917808217</v>
      </c>
      <c r="AH831" s="314">
        <v>1</v>
      </c>
      <c r="AI831" s="314">
        <f t="shared" si="234"/>
        <v>12680.753263343126</v>
      </c>
      <c r="AJ831" s="314">
        <f t="shared" si="235"/>
        <v>0</v>
      </c>
      <c r="AK831" s="317"/>
      <c r="AL831" s="315">
        <f t="shared" si="236"/>
        <v>718.67111111111126</v>
      </c>
      <c r="AN831" s="554">
        <f t="shared" si="237"/>
        <v>0.22702078132853373</v>
      </c>
      <c r="AO831" s="314"/>
      <c r="AP831" s="318"/>
    </row>
    <row r="832" spans="2:42">
      <c r="B832" s="296" t="s">
        <v>1254</v>
      </c>
      <c r="C832" s="299" t="s">
        <v>277</v>
      </c>
      <c r="D832" s="298" t="s">
        <v>951</v>
      </c>
      <c r="E832" s="299" t="s">
        <v>113</v>
      </c>
      <c r="F832" s="299" t="s">
        <v>59</v>
      </c>
      <c r="G832" s="300">
        <v>44574</v>
      </c>
      <c r="H832" s="303">
        <v>395.70777777777778</v>
      </c>
      <c r="I832" s="301" t="str">
        <f t="shared" si="221"/>
        <v>Ingresos Sección II LISR (SIC &amp; BMV)</v>
      </c>
      <c r="J832" s="302">
        <f t="shared" si="222"/>
        <v>1</v>
      </c>
      <c r="K832" s="304">
        <f t="shared" si="223"/>
        <v>395.70777777777778</v>
      </c>
      <c r="L832" s="305">
        <f>IF(H832=0,0,IF(OR(E832=$AT$5,E832=$AT$6),AA832,IF(F832="MXN",1/HLOOKUP(YEAR(G832)+(MONTH(G832)/100),TC!$5:$37,DAY(G832)+2,FALSE),VLOOKUP(F832,Equivalencia!$5:$23,((MAX(Equivalencia!$3:$3)-YEAR(G832))*14)+MONTH(G832)+2,FALSE))))</f>
        <v>1</v>
      </c>
      <c r="M832" s="306">
        <f t="shared" si="224"/>
        <v>395.70777777777778</v>
      </c>
      <c r="N832" s="305">
        <f>IF(G832=0,0,(IF(OR(E832=$AT$5,E832=$AT$6),AC832,HLOOKUP(YEAR(G832)+(MONTH(G832)/100),TC!$5:$37,DAY(G832)+2,FALSE))))</f>
        <v>20.378499999999999</v>
      </c>
      <c r="O832" s="307">
        <f t="shared" si="225"/>
        <v>8063.9309494444442</v>
      </c>
      <c r="P832" s="560">
        <f>IF(G832=0,0,VLOOKUP(YEAR(G832),INPC!$B$4:$P$30,MONTH(G832)+2))</f>
        <v>118.002</v>
      </c>
      <c r="Q832" s="560">
        <f>IF(X832=0,0,IF(OR(E832=$AT$10,E832=$AT$9),VLOOKUP(YEAR(X832),INPC!$B$4:$P$30,MONTH(X832)+1),VLOOKUP(YEAR(X832),INPC!$B$4:$P$30,MONTH(X832)+2,0)))</f>
        <v>122.044</v>
      </c>
      <c r="R832" s="309">
        <f t="shared" si="226"/>
        <v>1.0342</v>
      </c>
      <c r="S832" s="310">
        <f t="shared" si="227"/>
        <v>8339.7173879154434</v>
      </c>
      <c r="T832" s="555">
        <f t="shared" si="228"/>
        <v>8339.7173879154434</v>
      </c>
      <c r="U832" s="311"/>
      <c r="V832" s="312">
        <v>1</v>
      </c>
      <c r="W832" s="299" t="s">
        <v>194</v>
      </c>
      <c r="X832" s="300">
        <v>44764</v>
      </c>
      <c r="Y832" s="299" t="s">
        <v>59</v>
      </c>
      <c r="Z832" s="303">
        <v>484.33</v>
      </c>
      <c r="AA832" s="305">
        <f>IF(Z832=0,0,IF(Y832="MXN",1/HLOOKUP(YEAR(X832)+(MONTH(X832)/100),TC!$5:$37,DAY(X832)+2,FALSE),VLOOKUP(Y832,Equivalencia!$1:$23,((MAX(Equivalencia!$3:$3)-YEAR(X832))*14)+MONTH(X832)+2,FALSE)))</f>
        <v>1</v>
      </c>
      <c r="AB832" s="306">
        <f t="shared" si="229"/>
        <v>484.33</v>
      </c>
      <c r="AC832" s="305">
        <f>+IF(X832=0,0,HLOOKUP(YEAR(X832)+(MONTH(X832)/100),TC!$5:$37,DAY(X832)+2,FALSE))</f>
        <v>20.491299999999999</v>
      </c>
      <c r="AD832" s="307">
        <f t="shared" si="230"/>
        <v>9924.5513289999999</v>
      </c>
      <c r="AE832" s="314">
        <f t="shared" si="231"/>
        <v>8339.7173879154434</v>
      </c>
      <c r="AF832" s="315">
        <f t="shared" si="232"/>
        <v>1584.8339410845565</v>
      </c>
      <c r="AG832" s="316">
        <f t="shared" si="233"/>
        <v>0.52054794520547942</v>
      </c>
      <c r="AH832" s="314">
        <v>1</v>
      </c>
      <c r="AI832" s="314">
        <f t="shared" si="234"/>
        <v>1584.8339410845565</v>
      </c>
      <c r="AJ832" s="314">
        <f t="shared" si="235"/>
        <v>0</v>
      </c>
      <c r="AK832" s="317"/>
      <c r="AL832" s="315">
        <f t="shared" si="236"/>
        <v>88.622222222222206</v>
      </c>
      <c r="AN832" s="554">
        <f t="shared" si="237"/>
        <v>0.22395875744446656</v>
      </c>
      <c r="AO832" s="314"/>
      <c r="AP832" s="318"/>
    </row>
    <row r="833" spans="2:42">
      <c r="B833" s="296"/>
      <c r="C833" s="299"/>
      <c r="D833" s="298"/>
      <c r="E833" s="299"/>
      <c r="F833" s="299"/>
      <c r="G833" s="300"/>
      <c r="H833" s="303"/>
      <c r="I833" s="301">
        <f t="shared" si="221"/>
        <v>0</v>
      </c>
      <c r="J833" s="302">
        <f t="shared" si="222"/>
        <v>0</v>
      </c>
      <c r="K833" s="304">
        <f t="shared" si="223"/>
        <v>0</v>
      </c>
      <c r="L833" s="305">
        <f>IF(H833=0,0,IF(OR(E833=$AT$5,E833=$AT$6),AA833,IF(F833="MXN",1/HLOOKUP(YEAR(G833)+(MONTH(G833)/100),TC!$5:$37,DAY(G833)+2,FALSE),VLOOKUP(F833,Equivalencia!$5:$23,((MAX(Equivalencia!$3:$3)-YEAR(G833))*14)+MONTH(G833)+2,FALSE))))</f>
        <v>0</v>
      </c>
      <c r="M833" s="306">
        <f t="shared" si="224"/>
        <v>0</v>
      </c>
      <c r="N833" s="305">
        <f>IF(G833=0,0,(IF(OR(E833=$AT$5,E833=$AT$6),AC833,HLOOKUP(YEAR(G833)+(MONTH(G833)/100),TC!$5:$37,DAY(G833)+2,FALSE))))</f>
        <v>0</v>
      </c>
      <c r="O833" s="307">
        <f t="shared" si="225"/>
        <v>0</v>
      </c>
      <c r="P833" s="560">
        <f>IF(G833=0,0,VLOOKUP(YEAR(G833),INPC!$B$4:$P$30,MONTH(G833)+2))</f>
        <v>0</v>
      </c>
      <c r="Q833" s="560">
        <f>IF(X833=0,0,IF(OR(E833=$AT$10,E833=$AT$9),VLOOKUP(YEAR(X833),INPC!$B$4:$P$30,MONTH(X833)+1),VLOOKUP(YEAR(X833),INPC!$B$4:$P$30,MONTH(X833)+2,0)))</f>
        <v>0</v>
      </c>
      <c r="R833" s="309">
        <f t="shared" si="226"/>
        <v>0</v>
      </c>
      <c r="S833" s="310">
        <f t="shared" si="227"/>
        <v>0</v>
      </c>
      <c r="T833" s="555">
        <f t="shared" si="228"/>
        <v>0</v>
      </c>
      <c r="U833" s="311"/>
      <c r="V833" s="312"/>
      <c r="W833" s="299"/>
      <c r="X833" s="300"/>
      <c r="Y833" s="299"/>
      <c r="Z833" s="303"/>
      <c r="AA833" s="305">
        <f>IF(Z833=0,0,IF(Y833="MXN",1/HLOOKUP(YEAR(X833)+(MONTH(X833)/100),TC!$5:$37,DAY(X833)+2,FALSE),VLOOKUP(Y833,Equivalencia!$1:$23,((MAX(Equivalencia!$3:$3)-YEAR(X833))*14)+MONTH(X833)+2,FALSE)))</f>
        <v>0</v>
      </c>
      <c r="AB833" s="306">
        <f t="shared" si="229"/>
        <v>0</v>
      </c>
      <c r="AC833" s="305">
        <f>+IF(X833=0,0,HLOOKUP(YEAR(X833)+(MONTH(X833)/100),TC!$5:$37,DAY(X833)+2,FALSE))</f>
        <v>0</v>
      </c>
      <c r="AD833" s="307">
        <f t="shared" si="230"/>
        <v>0</v>
      </c>
      <c r="AE833" s="314">
        <f t="shared" si="231"/>
        <v>0</v>
      </c>
      <c r="AF833" s="315">
        <f t="shared" si="232"/>
        <v>0</v>
      </c>
      <c r="AG833" s="316">
        <f t="shared" si="233"/>
        <v>0</v>
      </c>
      <c r="AH833" s="314">
        <v>1</v>
      </c>
      <c r="AI833" s="314">
        <f t="shared" si="234"/>
        <v>0</v>
      </c>
      <c r="AJ833" s="314">
        <f t="shared" si="235"/>
        <v>0</v>
      </c>
      <c r="AK833" s="317"/>
      <c r="AL833" s="315">
        <f t="shared" si="236"/>
        <v>0</v>
      </c>
      <c r="AN833" s="554">
        <f t="shared" si="237"/>
        <v>0</v>
      </c>
      <c r="AO833" s="314"/>
      <c r="AP833" s="318"/>
    </row>
    <row r="834" spans="2:42">
      <c r="B834" s="296"/>
      <c r="C834" s="299"/>
      <c r="D834" s="298"/>
      <c r="E834" s="299"/>
      <c r="F834" s="299"/>
      <c r="G834" s="300"/>
      <c r="H834" s="303"/>
      <c r="I834" s="301">
        <f t="shared" si="221"/>
        <v>0</v>
      </c>
      <c r="J834" s="302">
        <f t="shared" si="222"/>
        <v>0</v>
      </c>
      <c r="K834" s="304">
        <f t="shared" si="223"/>
        <v>0</v>
      </c>
      <c r="L834" s="305">
        <f>IF(H834=0,0,IF(OR(E834=$AT$5,E834=$AT$6),AA834,IF(F834="MXN",1/HLOOKUP(YEAR(G834)+(MONTH(G834)/100),TC!$5:$37,DAY(G834)+2,FALSE),VLOOKUP(F834,Equivalencia!$5:$23,((MAX(Equivalencia!$3:$3)-YEAR(G834))*14)+MONTH(G834)+2,FALSE))))</f>
        <v>0</v>
      </c>
      <c r="M834" s="306">
        <f t="shared" si="224"/>
        <v>0</v>
      </c>
      <c r="N834" s="305">
        <f>IF(G834=0,0,(IF(OR(E834=$AT$5,E834=$AT$6),AC834,HLOOKUP(YEAR(G834)+(MONTH(G834)/100),TC!$5:$37,DAY(G834)+2,FALSE))))</f>
        <v>0</v>
      </c>
      <c r="O834" s="307">
        <f t="shared" si="225"/>
        <v>0</v>
      </c>
      <c r="P834" s="560">
        <f>IF(G834=0,0,VLOOKUP(YEAR(G834),INPC!$B$4:$P$30,MONTH(G834)+2))</f>
        <v>0</v>
      </c>
      <c r="Q834" s="560">
        <f>IF(X834=0,0,IF(OR(E834=$AT$10,E834=$AT$9),VLOOKUP(YEAR(X834),INPC!$B$4:$P$30,MONTH(X834)+1),VLOOKUP(YEAR(X834),INPC!$B$4:$P$30,MONTH(X834)+2,0)))</f>
        <v>0</v>
      </c>
      <c r="R834" s="309">
        <f t="shared" si="226"/>
        <v>0</v>
      </c>
      <c r="S834" s="310">
        <f t="shared" si="227"/>
        <v>0</v>
      </c>
      <c r="T834" s="555">
        <f t="shared" si="228"/>
        <v>0</v>
      </c>
      <c r="U834" s="311"/>
      <c r="V834" s="312"/>
      <c r="W834" s="299"/>
      <c r="X834" s="300"/>
      <c r="Y834" s="299"/>
      <c r="Z834" s="303"/>
      <c r="AA834" s="305">
        <f>IF(Z834=0,0,IF(Y834="MXN",1/HLOOKUP(YEAR(X834)+(MONTH(X834)/100),TC!$5:$37,DAY(X834)+2,FALSE),VLOOKUP(Y834,Equivalencia!$1:$23,((MAX(Equivalencia!$3:$3)-YEAR(X834))*14)+MONTH(X834)+2,FALSE)))</f>
        <v>0</v>
      </c>
      <c r="AB834" s="306">
        <f t="shared" si="229"/>
        <v>0</v>
      </c>
      <c r="AC834" s="305">
        <f>+IF(X834=0,0,HLOOKUP(YEAR(X834)+(MONTH(X834)/100),TC!$5:$37,DAY(X834)+2,FALSE))</f>
        <v>0</v>
      </c>
      <c r="AD834" s="307">
        <f t="shared" si="230"/>
        <v>0</v>
      </c>
      <c r="AE834" s="314">
        <f t="shared" si="231"/>
        <v>0</v>
      </c>
      <c r="AF834" s="315">
        <f t="shared" si="232"/>
        <v>0</v>
      </c>
      <c r="AG834" s="316">
        <f t="shared" si="233"/>
        <v>0</v>
      </c>
      <c r="AH834" s="314">
        <v>1</v>
      </c>
      <c r="AI834" s="314">
        <f t="shared" si="234"/>
        <v>0</v>
      </c>
      <c r="AJ834" s="314">
        <f t="shared" si="235"/>
        <v>0</v>
      </c>
      <c r="AK834" s="317"/>
      <c r="AL834" s="315">
        <f t="shared" si="236"/>
        <v>0</v>
      </c>
      <c r="AN834" s="554">
        <f t="shared" si="237"/>
        <v>0</v>
      </c>
      <c r="AO834" s="314"/>
      <c r="AP834" s="318"/>
    </row>
    <row r="835" spans="2:42">
      <c r="B835" s="296"/>
      <c r="C835" s="299"/>
      <c r="D835" s="298"/>
      <c r="E835" s="299"/>
      <c r="F835" s="299"/>
      <c r="G835" s="300"/>
      <c r="H835" s="303"/>
      <c r="I835" s="301">
        <f t="shared" si="221"/>
        <v>0</v>
      </c>
      <c r="J835" s="302">
        <f t="shared" si="222"/>
        <v>0</v>
      </c>
      <c r="K835" s="304">
        <f t="shared" si="223"/>
        <v>0</v>
      </c>
      <c r="L835" s="305">
        <f>IF(H835=0,0,IF(OR(E835=$AT$5,E835=$AT$6),AA835,IF(F835="MXN",1/HLOOKUP(YEAR(G835)+(MONTH(G835)/100),TC!$5:$37,DAY(G835)+2,FALSE),VLOOKUP(F835,Equivalencia!$5:$23,((MAX(Equivalencia!$3:$3)-YEAR(G835))*14)+MONTH(G835)+2,FALSE))))</f>
        <v>0</v>
      </c>
      <c r="M835" s="306">
        <f t="shared" si="224"/>
        <v>0</v>
      </c>
      <c r="N835" s="305">
        <f>IF(G835=0,0,(IF(OR(E835=$AT$5,E835=$AT$6),AC835,HLOOKUP(YEAR(G835)+(MONTH(G835)/100),TC!$5:$37,DAY(G835)+2,FALSE))))</f>
        <v>0</v>
      </c>
      <c r="O835" s="307">
        <f t="shared" si="225"/>
        <v>0</v>
      </c>
      <c r="P835" s="560">
        <f>IF(G835=0,0,VLOOKUP(YEAR(G835),INPC!$B$4:$P$30,MONTH(G835)+2))</f>
        <v>0</v>
      </c>
      <c r="Q835" s="560">
        <f>IF(X835=0,0,IF(OR(E835=$AT$10,E835=$AT$9),VLOOKUP(YEAR(X835),INPC!$B$4:$P$30,MONTH(X835)+1),VLOOKUP(YEAR(X835),INPC!$B$4:$P$30,MONTH(X835)+2,0)))</f>
        <v>0</v>
      </c>
      <c r="R835" s="309">
        <f t="shared" si="226"/>
        <v>0</v>
      </c>
      <c r="S835" s="310">
        <f t="shared" si="227"/>
        <v>0</v>
      </c>
      <c r="T835" s="555">
        <f t="shared" si="228"/>
        <v>0</v>
      </c>
      <c r="U835" s="311"/>
      <c r="V835" s="312"/>
      <c r="W835" s="299"/>
      <c r="X835" s="300"/>
      <c r="Y835" s="299"/>
      <c r="Z835" s="303"/>
      <c r="AA835" s="305">
        <f>IF(Z835=0,0,IF(Y835="MXN",1/HLOOKUP(YEAR(X835)+(MONTH(X835)/100),TC!$5:$37,DAY(X835)+2,FALSE),VLOOKUP(Y835,Equivalencia!$1:$23,((MAX(Equivalencia!$3:$3)-YEAR(X835))*14)+MONTH(X835)+2,FALSE)))</f>
        <v>0</v>
      </c>
      <c r="AB835" s="306">
        <f t="shared" si="229"/>
        <v>0</v>
      </c>
      <c r="AC835" s="305">
        <f>+IF(X835=0,0,HLOOKUP(YEAR(X835)+(MONTH(X835)/100),TC!$5:$37,DAY(X835)+2,FALSE))</f>
        <v>0</v>
      </c>
      <c r="AD835" s="307">
        <f t="shared" si="230"/>
        <v>0</v>
      </c>
      <c r="AE835" s="314">
        <f t="shared" si="231"/>
        <v>0</v>
      </c>
      <c r="AF835" s="315">
        <f t="shared" si="232"/>
        <v>0</v>
      </c>
      <c r="AG835" s="316">
        <f t="shared" si="233"/>
        <v>0</v>
      </c>
      <c r="AH835" s="314">
        <v>1</v>
      </c>
      <c r="AI835" s="314">
        <f t="shared" si="234"/>
        <v>0</v>
      </c>
      <c r="AJ835" s="314">
        <f t="shared" si="235"/>
        <v>0</v>
      </c>
      <c r="AK835" s="317"/>
      <c r="AL835" s="315">
        <f t="shared" si="236"/>
        <v>0</v>
      </c>
      <c r="AN835" s="554">
        <f t="shared" si="237"/>
        <v>0</v>
      </c>
      <c r="AO835" s="314"/>
      <c r="AP835" s="318"/>
    </row>
    <row r="836" spans="2:42">
      <c r="B836" s="296"/>
      <c r="C836" s="299"/>
      <c r="D836" s="298"/>
      <c r="E836" s="299"/>
      <c r="F836" s="299"/>
      <c r="G836" s="300"/>
      <c r="H836" s="303"/>
      <c r="I836" s="301">
        <f t="shared" si="221"/>
        <v>0</v>
      </c>
      <c r="J836" s="302">
        <f t="shared" si="222"/>
        <v>0</v>
      </c>
      <c r="K836" s="304">
        <f t="shared" si="223"/>
        <v>0</v>
      </c>
      <c r="L836" s="305">
        <f>IF(H836=0,0,IF(OR(E836=$AT$5,E836=$AT$6),AA836,IF(F836="MXN",1/HLOOKUP(YEAR(G836)+(MONTH(G836)/100),TC!$5:$37,DAY(G836)+2,FALSE),VLOOKUP(F836,Equivalencia!$5:$23,((MAX(Equivalencia!$3:$3)-YEAR(G836))*14)+MONTH(G836)+2,FALSE))))</f>
        <v>0</v>
      </c>
      <c r="M836" s="306">
        <f t="shared" si="224"/>
        <v>0</v>
      </c>
      <c r="N836" s="305">
        <f>IF(G836=0,0,(IF(OR(E836=$AT$5,E836=$AT$6),AC836,HLOOKUP(YEAR(G836)+(MONTH(G836)/100),TC!$5:$37,DAY(G836)+2,FALSE))))</f>
        <v>0</v>
      </c>
      <c r="O836" s="307">
        <f t="shared" si="225"/>
        <v>0</v>
      </c>
      <c r="P836" s="560">
        <f>IF(G836=0,0,VLOOKUP(YEAR(G836),INPC!$B$4:$P$30,MONTH(G836)+2))</f>
        <v>0</v>
      </c>
      <c r="Q836" s="560">
        <f>IF(X836=0,0,IF(OR(E836=$AT$10,E836=$AT$9),VLOOKUP(YEAR(X836),INPC!$B$4:$P$30,MONTH(X836)+1),VLOOKUP(YEAR(X836),INPC!$B$4:$P$30,MONTH(X836)+2,0)))</f>
        <v>0</v>
      </c>
      <c r="R836" s="309">
        <f t="shared" si="226"/>
        <v>0</v>
      </c>
      <c r="S836" s="310">
        <f t="shared" si="227"/>
        <v>0</v>
      </c>
      <c r="T836" s="555">
        <f t="shared" si="228"/>
        <v>0</v>
      </c>
      <c r="U836" s="311"/>
      <c r="V836" s="312"/>
      <c r="W836" s="299"/>
      <c r="X836" s="300"/>
      <c r="Y836" s="299"/>
      <c r="Z836" s="303"/>
      <c r="AA836" s="305">
        <f>IF(Z836=0,0,IF(Y836="MXN",1/HLOOKUP(YEAR(X836)+(MONTH(X836)/100),TC!$5:$37,DAY(X836)+2,FALSE),VLOOKUP(Y836,Equivalencia!$1:$23,((MAX(Equivalencia!$3:$3)-YEAR(X836))*14)+MONTH(X836)+2,FALSE)))</f>
        <v>0</v>
      </c>
      <c r="AB836" s="306">
        <f t="shared" si="229"/>
        <v>0</v>
      </c>
      <c r="AC836" s="305">
        <f>+IF(X836=0,0,HLOOKUP(YEAR(X836)+(MONTH(X836)/100),TC!$5:$37,DAY(X836)+2,FALSE))</f>
        <v>0</v>
      </c>
      <c r="AD836" s="307">
        <f t="shared" si="230"/>
        <v>0</v>
      </c>
      <c r="AE836" s="314">
        <f t="shared" si="231"/>
        <v>0</v>
      </c>
      <c r="AF836" s="315">
        <f t="shared" si="232"/>
        <v>0</v>
      </c>
      <c r="AG836" s="316">
        <f t="shared" si="233"/>
        <v>0</v>
      </c>
      <c r="AH836" s="314">
        <v>1</v>
      </c>
      <c r="AI836" s="314">
        <f t="shared" si="234"/>
        <v>0</v>
      </c>
      <c r="AJ836" s="314">
        <f t="shared" si="235"/>
        <v>0</v>
      </c>
      <c r="AK836" s="317"/>
      <c r="AL836" s="315">
        <f t="shared" si="236"/>
        <v>0</v>
      </c>
      <c r="AN836" s="554">
        <f t="shared" si="237"/>
        <v>0</v>
      </c>
      <c r="AO836" s="314"/>
      <c r="AP836" s="318"/>
    </row>
    <row r="837" spans="2:42" ht="17" thickBot="1">
      <c r="B837" s="296"/>
      <c r="C837" s="299"/>
      <c r="D837" s="298"/>
      <c r="E837" s="299"/>
      <c r="F837" s="299"/>
      <c r="G837" s="300"/>
      <c r="H837" s="303"/>
      <c r="I837" s="301">
        <f t="shared" si="221"/>
        <v>0</v>
      </c>
      <c r="J837" s="302">
        <f t="shared" si="222"/>
        <v>0</v>
      </c>
      <c r="K837" s="304">
        <f t="shared" si="223"/>
        <v>0</v>
      </c>
      <c r="L837" s="305">
        <f>IF(H837=0,0,IF(OR(E837=$AT$5,E837=$AT$6),AA837,IF(F837="MXN",1/HLOOKUP(YEAR(G837)+(MONTH(G837)/100),TC!$5:$37,DAY(G837)+2,FALSE),VLOOKUP(F837,Equivalencia!$5:$23,((MAX(Equivalencia!$3:$3)-YEAR(G837))*14)+MONTH(G837)+2,FALSE))))</f>
        <v>0</v>
      </c>
      <c r="M837" s="306">
        <f t="shared" si="224"/>
        <v>0</v>
      </c>
      <c r="N837" s="305">
        <f>IF(G837=0,0,(IF(OR(E837=$AT$5,E837=$AT$6),AC837,HLOOKUP(YEAR(G837)+(MONTH(G837)/100),TC!$5:$37,DAY(G837)+2,FALSE))))</f>
        <v>0</v>
      </c>
      <c r="O837" s="307">
        <f t="shared" si="225"/>
        <v>0</v>
      </c>
      <c r="P837" s="560">
        <f>IF(G837=0,0,VLOOKUP(YEAR(G837),INPC!$B$4:$P$30,MONTH(G837)+2))</f>
        <v>0</v>
      </c>
      <c r="Q837" s="560">
        <f>IF(X837=0,0,IF(OR(E837=$AT$10,E837=$AT$9),VLOOKUP(YEAR(X837),INPC!$B$4:$P$30,MONTH(X837)+1),VLOOKUP(YEAR(X837),INPC!$B$4:$P$30,MONTH(X837)+2,0)))</f>
        <v>0</v>
      </c>
      <c r="R837" s="309">
        <f t="shared" si="226"/>
        <v>0</v>
      </c>
      <c r="S837" s="310">
        <f t="shared" si="227"/>
        <v>0</v>
      </c>
      <c r="T837" s="555">
        <f t="shared" si="228"/>
        <v>0</v>
      </c>
      <c r="U837" s="311"/>
      <c r="V837" s="312"/>
      <c r="W837" s="299"/>
      <c r="X837" s="300"/>
      <c r="Y837" s="299"/>
      <c r="Z837" s="303"/>
      <c r="AA837" s="305">
        <f>IF(Z837=0,0,IF(Y837="MXN",1/HLOOKUP(YEAR(X837)+(MONTH(X837)/100),TC!$5:$37,DAY(X837)+2,FALSE),VLOOKUP(Y837,Equivalencia!$1:$23,((MAX(Equivalencia!$3:$3)-YEAR(X837))*14)+MONTH(X837)+2,FALSE)))</f>
        <v>0</v>
      </c>
      <c r="AB837" s="306">
        <f t="shared" si="229"/>
        <v>0</v>
      </c>
      <c r="AC837" s="305">
        <f>+IF(X837=0,0,HLOOKUP(YEAR(X837)+(MONTH(X837)/100),TC!$5:$37,DAY(X837)+2,FALSE))</f>
        <v>0</v>
      </c>
      <c r="AD837" s="307">
        <f t="shared" si="230"/>
        <v>0</v>
      </c>
      <c r="AE837" s="314">
        <f t="shared" si="231"/>
        <v>0</v>
      </c>
      <c r="AF837" s="315">
        <f t="shared" si="232"/>
        <v>0</v>
      </c>
      <c r="AG837" s="316">
        <f t="shared" si="233"/>
        <v>0</v>
      </c>
      <c r="AH837" s="314">
        <v>1</v>
      </c>
      <c r="AI837" s="314">
        <f t="shared" si="234"/>
        <v>0</v>
      </c>
      <c r="AJ837" s="314">
        <f t="shared" si="235"/>
        <v>0</v>
      </c>
      <c r="AK837" s="317"/>
      <c r="AL837" s="315">
        <f t="shared" si="236"/>
        <v>0</v>
      </c>
      <c r="AN837" s="554">
        <f t="shared" si="237"/>
        <v>0</v>
      </c>
      <c r="AO837" s="314"/>
      <c r="AP837" s="318"/>
    </row>
    <row r="838" spans="2:42">
      <c r="B838" s="296" t="s">
        <v>1263</v>
      </c>
      <c r="C838" s="299" t="s">
        <v>277</v>
      </c>
      <c r="D838" s="298" t="s">
        <v>957</v>
      </c>
      <c r="E838" s="299" t="s">
        <v>113</v>
      </c>
      <c r="F838" s="299" t="s">
        <v>59</v>
      </c>
      <c r="G838" s="300">
        <v>43949</v>
      </c>
      <c r="H838" s="669">
        <v>126541.74</v>
      </c>
      <c r="I838" s="301" t="str">
        <f t="shared" si="221"/>
        <v>Ingresos Sección II LISR (SIC &amp; BMV)</v>
      </c>
      <c r="J838" s="302">
        <f t="shared" si="222"/>
        <v>945</v>
      </c>
      <c r="K838" s="304">
        <f t="shared" si="223"/>
        <v>133.90660317460319</v>
      </c>
      <c r="L838" s="305">
        <f>IF(H838=0,0,IF(OR(E838=$AT$5,E838=$AT$6),AA838,IF(F838="MXN",1/HLOOKUP(YEAR(G838)+(MONTH(G838)/100),TC!$5:$37,DAY(G838)+2,FALSE),VLOOKUP(F838,Equivalencia!$5:$23,((MAX(Equivalencia!$3:$3)-YEAR(G838))*14)+MONTH(G838)+2,FALSE))))</f>
        <v>1</v>
      </c>
      <c r="M838" s="306">
        <f t="shared" si="224"/>
        <v>126541.74</v>
      </c>
      <c r="N838" s="305">
        <f>IF(G838=0,0,(IF(OR(E838=$AT$5,E838=$AT$6),AC838,HLOOKUP(YEAR(G838)+(MONTH(G838)/100),TC!$5:$37,DAY(G838)+2,FALSE))))</f>
        <v>24.8583</v>
      </c>
      <c r="O838" s="307">
        <f t="shared" si="225"/>
        <v>3145612.5354420003</v>
      </c>
      <c r="P838" s="560">
        <f>IF(G838=0,0,VLOOKUP(YEAR(G838),INPC!$B$4:$P$30,MONTH(G838)+2))</f>
        <v>105.755</v>
      </c>
      <c r="Q838" s="560">
        <f>IF(X838=0,0,IF(OR(E838=$AT$10,E838=$AT$9),VLOOKUP(YEAR(X838),INPC!$B$4:$P$30,MONTH(X838)+1),VLOOKUP(YEAR(X838),INPC!$B$4:$P$30,MONTH(X838)+2,0)))</f>
        <v>122.94799999999999</v>
      </c>
      <c r="R838" s="309">
        <f t="shared" si="226"/>
        <v>1.1625000000000001</v>
      </c>
      <c r="S838" s="310">
        <f t="shared" si="227"/>
        <v>3656774.5724513256</v>
      </c>
      <c r="T838" s="555">
        <f t="shared" si="228"/>
        <v>3869.602722170715</v>
      </c>
      <c r="U838" s="311"/>
      <c r="V838" s="312">
        <v>945</v>
      </c>
      <c r="W838" s="299" t="s">
        <v>194</v>
      </c>
      <c r="X838" s="300">
        <v>44791</v>
      </c>
      <c r="Y838" s="299" t="s">
        <v>59</v>
      </c>
      <c r="Z838" s="669">
        <v>158720.54999999999</v>
      </c>
      <c r="AA838" s="305">
        <f>IF(Z838=0,0,IF(Y838="MXN",1/HLOOKUP(YEAR(X838)+(MONTH(X838)/100),TC!$5:$37,DAY(X838)+2,FALSE),VLOOKUP(Y838,Equivalencia!$1:$23,((MAX(Equivalencia!$3:$3)-YEAR(X838))*14)+MONTH(X838)+2,FALSE)))</f>
        <v>1</v>
      </c>
      <c r="AB838" s="306">
        <f t="shared" si="229"/>
        <v>158720.54999999999</v>
      </c>
      <c r="AC838" s="305">
        <f>+IF(X838=0,0,HLOOKUP(YEAR(X838)+(MONTH(X838)/100),TC!$5:$37,DAY(X838)+2,FALSE))</f>
        <v>19.930299999999999</v>
      </c>
      <c r="AD838" s="307">
        <f t="shared" si="230"/>
        <v>3163348.1776649994</v>
      </c>
      <c r="AE838" s="314">
        <f t="shared" si="231"/>
        <v>3656774.5724513256</v>
      </c>
      <c r="AF838" s="315">
        <f t="shared" si="232"/>
        <v>-493426.39478632621</v>
      </c>
      <c r="AG838" s="316">
        <f t="shared" si="233"/>
        <v>2.3068493150684932</v>
      </c>
      <c r="AH838" s="314">
        <v>1</v>
      </c>
      <c r="AI838" s="314">
        <f t="shared" si="234"/>
        <v>-493426.39478632621</v>
      </c>
      <c r="AJ838" s="314">
        <f t="shared" si="235"/>
        <v>0</v>
      </c>
      <c r="AK838" s="317"/>
      <c r="AL838" s="315">
        <f t="shared" si="236"/>
        <v>32178.809999999983</v>
      </c>
      <c r="AN838" s="554">
        <f t="shared" si="237"/>
        <v>0.25429403768274389</v>
      </c>
      <c r="AO838" s="314"/>
      <c r="AP838" s="318"/>
    </row>
    <row r="839" spans="2:42">
      <c r="B839" s="296" t="s">
        <v>1263</v>
      </c>
      <c r="C839" s="299" t="s">
        <v>277</v>
      </c>
      <c r="D839" s="298" t="s">
        <v>957</v>
      </c>
      <c r="E839" s="299" t="s">
        <v>113</v>
      </c>
      <c r="F839" s="299" t="s">
        <v>59</v>
      </c>
      <c r="G839" s="300">
        <v>43970</v>
      </c>
      <c r="H839" s="670">
        <v>115372.58</v>
      </c>
      <c r="I839" s="301" t="str">
        <f t="shared" si="221"/>
        <v>Ingresos Sección II LISR (SIC &amp; BMV)</v>
      </c>
      <c r="J839" s="302">
        <f t="shared" si="222"/>
        <v>865</v>
      </c>
      <c r="K839" s="304">
        <f t="shared" si="223"/>
        <v>133.37870520231215</v>
      </c>
      <c r="L839" s="305">
        <f>IF(H839=0,0,IF(OR(E839=$AT$5,E839=$AT$6),AA839,IF(F839="MXN",1/HLOOKUP(YEAR(G839)+(MONTH(G839)/100),TC!$5:$37,DAY(G839)+2,FALSE),VLOOKUP(F839,Equivalencia!$5:$23,((MAX(Equivalencia!$3:$3)-YEAR(G839))*14)+MONTH(G839)+2,FALSE))))</f>
        <v>1</v>
      </c>
      <c r="M839" s="306">
        <f t="shared" si="224"/>
        <v>115372.58</v>
      </c>
      <c r="N839" s="305">
        <f>IF(G839=0,0,(IF(OR(E839=$AT$5,E839=$AT$6),AC839,HLOOKUP(YEAR(G839)+(MONTH(G839)/100),TC!$5:$37,DAY(G839)+2,FALSE))))</f>
        <v>23.957999999999998</v>
      </c>
      <c r="O839" s="307">
        <f t="shared" si="225"/>
        <v>2764096.2716399999</v>
      </c>
      <c r="P839" s="560">
        <f>IF(G839=0,0,VLOOKUP(YEAR(G839),INPC!$B$4:$P$30,MONTH(G839)+2))</f>
        <v>106.16200000000001</v>
      </c>
      <c r="Q839" s="560">
        <f>IF(X839=0,0,IF(OR(E839=$AT$10,E839=$AT$9),VLOOKUP(YEAR(X839),INPC!$B$4:$P$30,MONTH(X839)+1),VLOOKUP(YEAR(X839),INPC!$B$4:$P$30,MONTH(X839)+2,0)))</f>
        <v>122.94799999999999</v>
      </c>
      <c r="R839" s="309">
        <f t="shared" si="226"/>
        <v>1.1580999999999999</v>
      </c>
      <c r="S839" s="310">
        <f t="shared" si="227"/>
        <v>3201099.8921862836</v>
      </c>
      <c r="T839" s="555">
        <f t="shared" si="228"/>
        <v>3700.6935169783624</v>
      </c>
      <c r="U839" s="311"/>
      <c r="V839" s="312">
        <v>865</v>
      </c>
      <c r="W839" s="299" t="s">
        <v>194</v>
      </c>
      <c r="X839" s="300">
        <v>44791</v>
      </c>
      <c r="Y839" s="299" t="s">
        <v>59</v>
      </c>
      <c r="Z839" s="670">
        <v>145283.89000000001</v>
      </c>
      <c r="AA839" s="305">
        <f>IF(Z839=0,0,IF(Y839="MXN",1/HLOOKUP(YEAR(X839)+(MONTH(X839)/100),TC!$5:$37,DAY(X839)+2,FALSE),VLOOKUP(Y839,Equivalencia!$1:$23,((MAX(Equivalencia!$3:$3)-YEAR(X839))*14)+MONTH(X839)+2,FALSE)))</f>
        <v>1</v>
      </c>
      <c r="AB839" s="306">
        <f t="shared" si="229"/>
        <v>145283.89000000001</v>
      </c>
      <c r="AC839" s="305">
        <f>+IF(X839=0,0,HLOOKUP(YEAR(X839)+(MONTH(X839)/100),TC!$5:$37,DAY(X839)+2,FALSE))</f>
        <v>19.930299999999999</v>
      </c>
      <c r="AD839" s="307">
        <f t="shared" si="230"/>
        <v>2895551.512867</v>
      </c>
      <c r="AE839" s="314">
        <f t="shared" si="231"/>
        <v>3201099.8921862836</v>
      </c>
      <c r="AF839" s="315">
        <f t="shared" si="232"/>
        <v>-305548.37931928365</v>
      </c>
      <c r="AG839" s="316">
        <f t="shared" si="233"/>
        <v>2.2493150684931509</v>
      </c>
      <c r="AH839" s="314">
        <v>1</v>
      </c>
      <c r="AI839" s="314">
        <f t="shared" si="234"/>
        <v>-305548.37931928365</v>
      </c>
      <c r="AJ839" s="314">
        <f t="shared" si="235"/>
        <v>0</v>
      </c>
      <c r="AK839" s="317"/>
      <c r="AL839" s="315">
        <f t="shared" si="236"/>
        <v>29911.310000000012</v>
      </c>
      <c r="AN839" s="554">
        <f t="shared" si="237"/>
        <v>0.25925839571239556</v>
      </c>
      <c r="AO839" s="314"/>
      <c r="AP839" s="318"/>
    </row>
    <row r="840" spans="2:42">
      <c r="B840" s="296" t="s">
        <v>1263</v>
      </c>
      <c r="C840" s="299" t="s">
        <v>277</v>
      </c>
      <c r="D840" s="298" t="s">
        <v>957</v>
      </c>
      <c r="E840" s="299" t="s">
        <v>113</v>
      </c>
      <c r="F840" s="299" t="s">
        <v>59</v>
      </c>
      <c r="G840" s="300">
        <v>44209</v>
      </c>
      <c r="H840" s="670">
        <v>199575.26</v>
      </c>
      <c r="I840" s="301" t="str">
        <f t="shared" si="221"/>
        <v>Ingresos Sección II LISR (SIC &amp; BMV)</v>
      </c>
      <c r="J840" s="302">
        <f t="shared" si="222"/>
        <v>960</v>
      </c>
      <c r="K840" s="304">
        <f t="shared" si="223"/>
        <v>207.89089583333333</v>
      </c>
      <c r="L840" s="305">
        <f>IF(H840=0,0,IF(OR(E840=$AT$5,E840=$AT$6),AA840,IF(F840="MXN",1/HLOOKUP(YEAR(G840)+(MONTH(G840)/100),TC!$5:$37,DAY(G840)+2,FALSE),VLOOKUP(F840,Equivalencia!$5:$23,((MAX(Equivalencia!$3:$3)-YEAR(G840))*14)+MONTH(G840)+2,FALSE))))</f>
        <v>1</v>
      </c>
      <c r="M840" s="306">
        <f t="shared" si="224"/>
        <v>199575.26</v>
      </c>
      <c r="N840" s="305">
        <f>IF(G840=0,0,(IF(OR(E840=$AT$5,E840=$AT$6),AC840,HLOOKUP(YEAR(G840)+(MONTH(G840)/100),TC!$5:$37,DAY(G840)+2,FALSE))))</f>
        <v>20.113</v>
      </c>
      <c r="O840" s="307">
        <f t="shared" si="225"/>
        <v>4014057.20438</v>
      </c>
      <c r="P840" s="560">
        <f>IF(G840=0,0,VLOOKUP(YEAR(G840),INPC!$B$4:$P$30,MONTH(G840)+2))</f>
        <v>110.21</v>
      </c>
      <c r="Q840" s="560">
        <f>IF(X840=0,0,IF(OR(E840=$AT$10,E840=$AT$9),VLOOKUP(YEAR(X840),INPC!$B$4:$P$30,MONTH(X840)+1),VLOOKUP(YEAR(X840),INPC!$B$4:$P$30,MONTH(X840)+2,0)))</f>
        <v>122.94799999999999</v>
      </c>
      <c r="R840" s="309">
        <f t="shared" si="226"/>
        <v>1.1154999999999999</v>
      </c>
      <c r="S840" s="310">
        <f t="shared" si="227"/>
        <v>4477680.8114858894</v>
      </c>
      <c r="T840" s="555">
        <f t="shared" si="228"/>
        <v>4664.2508452978018</v>
      </c>
      <c r="U840" s="311"/>
      <c r="V840" s="312">
        <v>960</v>
      </c>
      <c r="W840" s="299" t="s">
        <v>194</v>
      </c>
      <c r="X840" s="300">
        <v>44791</v>
      </c>
      <c r="Y840" s="299" t="s">
        <v>59</v>
      </c>
      <c r="Z840" s="670">
        <v>161239.92000000001</v>
      </c>
      <c r="AA840" s="305">
        <f>IF(Z840=0,0,IF(Y840="MXN",1/HLOOKUP(YEAR(X840)+(MONTH(X840)/100),TC!$5:$37,DAY(X840)+2,FALSE),VLOOKUP(Y840,Equivalencia!$1:$23,((MAX(Equivalencia!$3:$3)-YEAR(X840))*14)+MONTH(X840)+2,FALSE)))</f>
        <v>1</v>
      </c>
      <c r="AB840" s="306">
        <f t="shared" si="229"/>
        <v>161239.92000000001</v>
      </c>
      <c r="AC840" s="305">
        <f>+IF(X840=0,0,HLOOKUP(YEAR(X840)+(MONTH(X840)/100),TC!$5:$37,DAY(X840)+2,FALSE))</f>
        <v>19.930299999999999</v>
      </c>
      <c r="AD840" s="307">
        <f t="shared" si="230"/>
        <v>3213559.9775760002</v>
      </c>
      <c r="AE840" s="314">
        <f t="shared" si="231"/>
        <v>4477680.8114858894</v>
      </c>
      <c r="AF840" s="315">
        <f t="shared" si="232"/>
        <v>-1264120.8339098892</v>
      </c>
      <c r="AG840" s="316">
        <f t="shared" si="233"/>
        <v>1.5945205479452054</v>
      </c>
      <c r="AH840" s="314">
        <v>1</v>
      </c>
      <c r="AI840" s="314">
        <f t="shared" si="234"/>
        <v>-1264120.8339098892</v>
      </c>
      <c r="AJ840" s="314">
        <f t="shared" si="235"/>
        <v>0</v>
      </c>
      <c r="AK840" s="317"/>
      <c r="AL840" s="315">
        <f t="shared" si="236"/>
        <v>-38335.339999999997</v>
      </c>
      <c r="AN840" s="554">
        <f t="shared" si="237"/>
        <v>-0.19208463012900495</v>
      </c>
      <c r="AO840" s="314"/>
      <c r="AP840" s="318"/>
    </row>
    <row r="841" spans="2:42" ht="17" thickBot="1">
      <c r="B841" s="296" t="s">
        <v>1263</v>
      </c>
      <c r="C841" s="299" t="s">
        <v>277</v>
      </c>
      <c r="D841" s="298" t="s">
        <v>957</v>
      </c>
      <c r="E841" s="299" t="s">
        <v>113</v>
      </c>
      <c r="F841" s="299" t="s">
        <v>59</v>
      </c>
      <c r="G841" s="300">
        <v>44692</v>
      </c>
      <c r="H841" s="671">
        <v>203914.05</v>
      </c>
      <c r="I841" s="301" t="str">
        <f t="shared" si="221"/>
        <v>Ingresos Sección II LISR (SIC &amp; BMV)</v>
      </c>
      <c r="J841" s="302">
        <f t="shared" si="222"/>
        <v>1500</v>
      </c>
      <c r="K841" s="304">
        <f t="shared" si="223"/>
        <v>135.9427</v>
      </c>
      <c r="L841" s="305">
        <f>IF(H841=0,0,IF(OR(E841=$AT$5,E841=$AT$6),AA841,IF(F841="MXN",1/HLOOKUP(YEAR(G841)+(MONTH(G841)/100),TC!$5:$37,DAY(G841)+2,FALSE),VLOOKUP(F841,Equivalencia!$5:$23,((MAX(Equivalencia!$3:$3)-YEAR(G841))*14)+MONTH(G841)+2,FALSE))))</f>
        <v>1</v>
      </c>
      <c r="M841" s="306">
        <f t="shared" si="224"/>
        <v>203914.05</v>
      </c>
      <c r="N841" s="305">
        <f>IF(G841=0,0,(IF(OR(E841=$AT$5,E841=$AT$6),AC841,HLOOKUP(YEAR(G841)+(MONTH(G841)/100),TC!$5:$37,DAY(G841)+2,FALSE))))</f>
        <v>20.3172</v>
      </c>
      <c r="O841" s="307">
        <f t="shared" si="225"/>
        <v>4142962.5366599998</v>
      </c>
      <c r="P841" s="560">
        <f>IF(G841=0,0,VLOOKUP(YEAR(G841),INPC!$B$4:$P$30,MONTH(G841)+2))</f>
        <v>121.02200000000001</v>
      </c>
      <c r="Q841" s="560">
        <f>IF(X841=0,0,IF(OR(E841=$AT$10,E841=$AT$9),VLOOKUP(YEAR(X841),INPC!$B$4:$P$30,MONTH(X841)+1),VLOOKUP(YEAR(X841),INPC!$B$4:$P$30,MONTH(X841)+2,0)))</f>
        <v>122.94799999999999</v>
      </c>
      <c r="R841" s="309">
        <f t="shared" si="226"/>
        <v>1.0159</v>
      </c>
      <c r="S841" s="310">
        <f t="shared" si="227"/>
        <v>4208835.6409928938</v>
      </c>
      <c r="T841" s="555">
        <f t="shared" si="228"/>
        <v>2805.8904273285957</v>
      </c>
      <c r="U841" s="311"/>
      <c r="V841" s="312">
        <v>1500</v>
      </c>
      <c r="W841" s="299" t="s">
        <v>194</v>
      </c>
      <c r="X841" s="300">
        <v>44791</v>
      </c>
      <c r="Y841" s="299" t="s">
        <v>59</v>
      </c>
      <c r="Z841" s="671">
        <v>251937.38</v>
      </c>
      <c r="AA841" s="305">
        <f>IF(Z841=0,0,IF(Y841="MXN",1/HLOOKUP(YEAR(X841)+(MONTH(X841)/100),TC!$5:$37,DAY(X841)+2,FALSE),VLOOKUP(Y841,Equivalencia!$1:$23,((MAX(Equivalencia!$3:$3)-YEAR(X841))*14)+MONTH(X841)+2,FALSE)))</f>
        <v>1</v>
      </c>
      <c r="AB841" s="306">
        <f t="shared" si="229"/>
        <v>251937.38</v>
      </c>
      <c r="AC841" s="305">
        <f>+IF(X841=0,0,HLOOKUP(YEAR(X841)+(MONTH(X841)/100),TC!$5:$37,DAY(X841)+2,FALSE))</f>
        <v>19.930299999999999</v>
      </c>
      <c r="AD841" s="307">
        <f t="shared" si="230"/>
        <v>5021187.5646139998</v>
      </c>
      <c r="AE841" s="314">
        <f t="shared" si="231"/>
        <v>4208835.6409928938</v>
      </c>
      <c r="AF841" s="315">
        <f t="shared" si="232"/>
        <v>812351.92362110596</v>
      </c>
      <c r="AG841" s="316">
        <f t="shared" si="233"/>
        <v>0.27123287671232876</v>
      </c>
      <c r="AH841" s="314">
        <v>1</v>
      </c>
      <c r="AI841" s="314">
        <f t="shared" si="234"/>
        <v>812351.92362110596</v>
      </c>
      <c r="AJ841" s="314">
        <f t="shared" si="235"/>
        <v>0</v>
      </c>
      <c r="AK841" s="317"/>
      <c r="AL841" s="315">
        <f t="shared" si="236"/>
        <v>48023.330000000016</v>
      </c>
      <c r="AN841" s="554">
        <f t="shared" si="237"/>
        <v>0.23550770532977017</v>
      </c>
      <c r="AO841" s="314"/>
      <c r="AP841" s="318"/>
    </row>
    <row r="842" spans="2:42">
      <c r="B842" s="296" t="s">
        <v>1263</v>
      </c>
      <c r="C842" s="299" t="s">
        <v>277</v>
      </c>
      <c r="D842" s="298" t="s">
        <v>958</v>
      </c>
      <c r="E842" s="299" t="s">
        <v>113</v>
      </c>
      <c r="F842" s="299" t="s">
        <v>59</v>
      </c>
      <c r="G842" s="300">
        <v>44134</v>
      </c>
      <c r="H842" s="669">
        <v>604199.23</v>
      </c>
      <c r="I842" s="301" t="str">
        <f t="shared" si="221"/>
        <v>Ingresos Sección II LISR (SIC &amp; BMV)</v>
      </c>
      <c r="J842" s="302">
        <f t="shared" si="222"/>
        <v>1750</v>
      </c>
      <c r="K842" s="304">
        <f t="shared" si="223"/>
        <v>345.25670285714284</v>
      </c>
      <c r="L842" s="305">
        <f>IF(H842=0,0,IF(OR(E842=$AT$5,E842=$AT$6),AA842,IF(F842="MXN",1/HLOOKUP(YEAR(G842)+(MONTH(G842)/100),TC!$5:$37,DAY(G842)+2,FALSE),VLOOKUP(F842,Equivalencia!$5:$23,((MAX(Equivalencia!$3:$3)-YEAR(G842))*14)+MONTH(G842)+2,FALSE))))</f>
        <v>1</v>
      </c>
      <c r="M842" s="306">
        <f t="shared" si="224"/>
        <v>604199.23</v>
      </c>
      <c r="N842" s="305">
        <f>IF(G842=0,0,(IF(OR(E842=$AT$5,E842=$AT$6),AC842,HLOOKUP(YEAR(G842)+(MONTH(G842)/100),TC!$5:$37,DAY(G842)+2,FALSE))))</f>
        <v>21.1648</v>
      </c>
      <c r="O842" s="307">
        <f t="shared" si="225"/>
        <v>12787755.863103999</v>
      </c>
      <c r="P842" s="560">
        <f>IF(G842=0,0,VLOOKUP(YEAR(G842),INPC!$B$4:$P$30,MONTH(G842)+2))</f>
        <v>108.774</v>
      </c>
      <c r="Q842" s="560">
        <f>IF(X842=0,0,IF(OR(E842=$AT$10,E842=$AT$9),VLOOKUP(YEAR(X842),INPC!$B$4:$P$30,MONTH(X842)+1),VLOOKUP(YEAR(X842),INPC!$B$4:$P$30,MONTH(X842)+2,0)))</f>
        <v>122.94799999999999</v>
      </c>
      <c r="R842" s="309">
        <f t="shared" si="226"/>
        <v>1.1303000000000001</v>
      </c>
      <c r="S842" s="310">
        <f t="shared" si="227"/>
        <v>14454000.452066451</v>
      </c>
      <c r="T842" s="555">
        <f t="shared" si="228"/>
        <v>8259.428829752258</v>
      </c>
      <c r="U842" s="311"/>
      <c r="V842" s="312">
        <v>1750</v>
      </c>
      <c r="W842" s="299" t="s">
        <v>194</v>
      </c>
      <c r="X842" s="300">
        <v>44791</v>
      </c>
      <c r="Y842" s="299" t="s">
        <v>59</v>
      </c>
      <c r="Z842" s="669">
        <v>832979.17</v>
      </c>
      <c r="AA842" s="305">
        <f>IF(Z842=0,0,IF(Y842="MXN",1/HLOOKUP(YEAR(X842)+(MONTH(X842)/100),TC!$5:$37,DAY(X842)+2,FALSE),VLOOKUP(Y842,Equivalencia!$1:$23,((MAX(Equivalencia!$3:$3)-YEAR(X842))*14)+MONTH(X842)+2,FALSE)))</f>
        <v>1</v>
      </c>
      <c r="AB842" s="306">
        <f t="shared" si="229"/>
        <v>832979.17</v>
      </c>
      <c r="AC842" s="305">
        <f>+IF(X842=0,0,HLOOKUP(YEAR(X842)+(MONTH(X842)/100),TC!$5:$37,DAY(X842)+2,FALSE))</f>
        <v>19.930299999999999</v>
      </c>
      <c r="AD842" s="307">
        <f t="shared" si="230"/>
        <v>16601524.751851</v>
      </c>
      <c r="AE842" s="314">
        <f t="shared" si="231"/>
        <v>14454000.452066451</v>
      </c>
      <c r="AF842" s="315">
        <f t="shared" si="232"/>
        <v>2147524.2997845486</v>
      </c>
      <c r="AG842" s="316">
        <f t="shared" si="233"/>
        <v>1.8</v>
      </c>
      <c r="AH842" s="314">
        <v>1</v>
      </c>
      <c r="AI842" s="314">
        <f t="shared" si="234"/>
        <v>2147524.2997845486</v>
      </c>
      <c r="AJ842" s="314">
        <f t="shared" si="235"/>
        <v>0</v>
      </c>
      <c r="AK842" s="317"/>
      <c r="AL842" s="315">
        <f t="shared" si="236"/>
        <v>228779.94000000006</v>
      </c>
      <c r="AN842" s="554">
        <f t="shared" si="237"/>
        <v>0.37864983707443661</v>
      </c>
      <c r="AO842" s="314"/>
      <c r="AP842" s="318"/>
    </row>
    <row r="843" spans="2:42" ht="17" thickBot="1">
      <c r="B843" s="296" t="s">
        <v>1263</v>
      </c>
      <c r="C843" s="299" t="s">
        <v>277</v>
      </c>
      <c r="D843" s="298" t="s">
        <v>958</v>
      </c>
      <c r="E843" s="299" t="s">
        <v>113</v>
      </c>
      <c r="F843" s="299" t="s">
        <v>59</v>
      </c>
      <c r="G843" s="300">
        <v>44692</v>
      </c>
      <c r="H843" s="671">
        <v>210246.45</v>
      </c>
      <c r="I843" s="301" t="str">
        <f t="shared" si="221"/>
        <v>Ingresos Sección II LISR (SIC &amp; BMV)</v>
      </c>
      <c r="J843" s="302">
        <f t="shared" si="222"/>
        <v>475</v>
      </c>
      <c r="K843" s="304">
        <f t="shared" si="223"/>
        <v>442.6241052631579</v>
      </c>
      <c r="L843" s="305">
        <f>IF(H843=0,0,IF(OR(E843=$AT$5,E843=$AT$6),AA843,IF(F843="MXN",1/HLOOKUP(YEAR(G843)+(MONTH(G843)/100),TC!$5:$37,DAY(G843)+2,FALSE),VLOOKUP(F843,Equivalencia!$5:$23,((MAX(Equivalencia!$3:$3)-YEAR(G843))*14)+MONTH(G843)+2,FALSE))))</f>
        <v>1</v>
      </c>
      <c r="M843" s="306">
        <f t="shared" si="224"/>
        <v>210246.45</v>
      </c>
      <c r="N843" s="305">
        <f>IF(G843=0,0,(IF(OR(E843=$AT$5,E843=$AT$6),AC843,HLOOKUP(YEAR(G843)+(MONTH(G843)/100),TC!$5:$37,DAY(G843)+2,FALSE))))</f>
        <v>20.3172</v>
      </c>
      <c r="O843" s="307">
        <f t="shared" si="225"/>
        <v>4271619.1739400001</v>
      </c>
      <c r="P843" s="560">
        <f>IF(G843=0,0,VLOOKUP(YEAR(G843),INPC!$B$4:$P$30,MONTH(G843)+2))</f>
        <v>121.02200000000001</v>
      </c>
      <c r="Q843" s="560">
        <f>IF(X843=0,0,IF(OR(E843=$AT$10,E843=$AT$9),VLOOKUP(YEAR(X843),INPC!$B$4:$P$30,MONTH(X843)+1),VLOOKUP(YEAR(X843),INPC!$B$4:$P$30,MONTH(X843)+2,0)))</f>
        <v>122.94799999999999</v>
      </c>
      <c r="R843" s="309">
        <f t="shared" si="226"/>
        <v>1.0159</v>
      </c>
      <c r="S843" s="310">
        <f t="shared" si="227"/>
        <v>4339537.9188056458</v>
      </c>
      <c r="T843" s="555">
        <f t="shared" si="228"/>
        <v>9135.8693027487279</v>
      </c>
      <c r="U843" s="311"/>
      <c r="V843" s="312">
        <v>475</v>
      </c>
      <c r="W843" s="299" t="s">
        <v>194</v>
      </c>
      <c r="X843" s="300">
        <v>44791</v>
      </c>
      <c r="Y843" s="299" t="s">
        <v>59</v>
      </c>
      <c r="Z843" s="671">
        <v>226094.35</v>
      </c>
      <c r="AA843" s="305">
        <f>IF(Z843=0,0,IF(Y843="MXN",1/HLOOKUP(YEAR(X843)+(MONTH(X843)/100),TC!$5:$37,DAY(X843)+2,FALSE),VLOOKUP(Y843,Equivalencia!$1:$23,((MAX(Equivalencia!$3:$3)-YEAR(X843))*14)+MONTH(X843)+2,FALSE)))</f>
        <v>1</v>
      </c>
      <c r="AB843" s="306">
        <f t="shared" si="229"/>
        <v>226094.35</v>
      </c>
      <c r="AC843" s="305">
        <f>+IF(X843=0,0,HLOOKUP(YEAR(X843)+(MONTH(X843)/100),TC!$5:$37,DAY(X843)+2,FALSE))</f>
        <v>19.930299999999999</v>
      </c>
      <c r="AD843" s="307">
        <f t="shared" si="230"/>
        <v>4506128.2238050001</v>
      </c>
      <c r="AE843" s="314">
        <f t="shared" si="231"/>
        <v>4339537.9188056458</v>
      </c>
      <c r="AF843" s="315">
        <f t="shared" si="232"/>
        <v>166590.3049993543</v>
      </c>
      <c r="AG843" s="316">
        <f t="shared" si="233"/>
        <v>0.27123287671232876</v>
      </c>
      <c r="AH843" s="314">
        <v>1</v>
      </c>
      <c r="AI843" s="314">
        <f t="shared" si="234"/>
        <v>166590.3049993543</v>
      </c>
      <c r="AJ843" s="314">
        <f t="shared" si="235"/>
        <v>0</v>
      </c>
      <c r="AK843" s="317"/>
      <c r="AL843" s="315">
        <f t="shared" si="236"/>
        <v>15847.899999999994</v>
      </c>
      <c r="AN843" s="554">
        <f t="shared" si="237"/>
        <v>7.5377729326702031E-2</v>
      </c>
      <c r="AO843" s="314"/>
      <c r="AP843" s="318"/>
    </row>
    <row r="844" spans="2:42">
      <c r="B844" s="296" t="s">
        <v>1263</v>
      </c>
      <c r="C844" s="299" t="s">
        <v>277</v>
      </c>
      <c r="D844" s="298" t="s">
        <v>828</v>
      </c>
      <c r="E844" s="299" t="s">
        <v>113</v>
      </c>
      <c r="F844" s="299" t="s">
        <v>59</v>
      </c>
      <c r="G844" s="300">
        <v>44134</v>
      </c>
      <c r="H844" s="669">
        <v>713306</v>
      </c>
      <c r="I844" s="301" t="str">
        <f t="shared" si="221"/>
        <v>Ingresos Sección II LISR (SIC &amp; BMV)</v>
      </c>
      <c r="J844" s="302">
        <f t="shared" si="222"/>
        <v>2200</v>
      </c>
      <c r="K844" s="304">
        <f t="shared" si="223"/>
        <v>324.23</v>
      </c>
      <c r="L844" s="305">
        <f>IF(H844=0,0,IF(OR(E844=$AT$5,E844=$AT$6),AA844,IF(F844="MXN",1/HLOOKUP(YEAR(G844)+(MONTH(G844)/100),TC!$5:$37,DAY(G844)+2,FALSE),VLOOKUP(F844,Equivalencia!$5:$23,((MAX(Equivalencia!$3:$3)-YEAR(G844))*14)+MONTH(G844)+2,FALSE))))</f>
        <v>1</v>
      </c>
      <c r="M844" s="306">
        <f t="shared" si="224"/>
        <v>713306</v>
      </c>
      <c r="N844" s="305">
        <f>IF(G844=0,0,(IF(OR(E844=$AT$5,E844=$AT$6),AC844,HLOOKUP(YEAR(G844)+(MONTH(G844)/100),TC!$5:$37,DAY(G844)+2,FALSE))))</f>
        <v>21.1648</v>
      </c>
      <c r="O844" s="307">
        <f t="shared" si="225"/>
        <v>15096978.8288</v>
      </c>
      <c r="P844" s="560">
        <f>IF(G844=0,0,VLOOKUP(YEAR(G844),INPC!$B$4:$P$30,MONTH(G844)+2))</f>
        <v>108.774</v>
      </c>
      <c r="Q844" s="560">
        <f>IF(X844=0,0,IF(OR(E844=$AT$10,E844=$AT$9),VLOOKUP(YEAR(X844),INPC!$B$4:$P$30,MONTH(X844)+1),VLOOKUP(YEAR(X844),INPC!$B$4:$P$30,MONTH(X844)+2,0)))</f>
        <v>122.94799999999999</v>
      </c>
      <c r="R844" s="309">
        <f t="shared" si="226"/>
        <v>1.1303000000000001</v>
      </c>
      <c r="S844" s="310">
        <f t="shared" si="227"/>
        <v>17064115.17019264</v>
      </c>
      <c r="T844" s="555">
        <f t="shared" si="228"/>
        <v>7756.4159864512003</v>
      </c>
      <c r="U844" s="311"/>
      <c r="V844" s="312">
        <v>2200</v>
      </c>
      <c r="W844" s="299" t="s">
        <v>194</v>
      </c>
      <c r="X844" s="300">
        <v>44791</v>
      </c>
      <c r="Y844" s="299" t="s">
        <v>59</v>
      </c>
      <c r="Z844" s="669">
        <v>938145.86</v>
      </c>
      <c r="AA844" s="305">
        <f>IF(Z844=0,0,IF(Y844="MXN",1/HLOOKUP(YEAR(X844)+(MONTH(X844)/100),TC!$5:$37,DAY(X844)+2,FALSE),VLOOKUP(Y844,Equivalencia!$1:$23,((MAX(Equivalencia!$3:$3)-YEAR(X844))*14)+MONTH(X844)+2,FALSE)))</f>
        <v>1</v>
      </c>
      <c r="AB844" s="306">
        <f t="shared" si="229"/>
        <v>938145.86</v>
      </c>
      <c r="AC844" s="305">
        <f>+IF(X844=0,0,HLOOKUP(YEAR(X844)+(MONTH(X844)/100),TC!$5:$37,DAY(X844)+2,FALSE))</f>
        <v>19.930299999999999</v>
      </c>
      <c r="AD844" s="307">
        <f t="shared" si="230"/>
        <v>18697528.433557998</v>
      </c>
      <c r="AE844" s="314">
        <f t="shared" si="231"/>
        <v>17064115.17019264</v>
      </c>
      <c r="AF844" s="315">
        <f t="shared" si="232"/>
        <v>1633413.2633653581</v>
      </c>
      <c r="AG844" s="316">
        <f t="shared" si="233"/>
        <v>1.8</v>
      </c>
      <c r="AH844" s="314">
        <v>1</v>
      </c>
      <c r="AI844" s="314">
        <f t="shared" si="234"/>
        <v>1633413.2633653581</v>
      </c>
      <c r="AJ844" s="314">
        <f t="shared" si="235"/>
        <v>0</v>
      </c>
      <c r="AK844" s="317"/>
      <c r="AL844" s="315">
        <f t="shared" si="236"/>
        <v>224839.86</v>
      </c>
      <c r="AN844" s="554">
        <f t="shared" si="237"/>
        <v>0.31520814348961035</v>
      </c>
      <c r="AO844" s="314"/>
      <c r="AP844" s="318"/>
    </row>
    <row r="845" spans="2:42" ht="17" thickBot="1">
      <c r="B845" s="296" t="s">
        <v>1263</v>
      </c>
      <c r="C845" s="299" t="s">
        <v>277</v>
      </c>
      <c r="D845" s="298" t="s">
        <v>828</v>
      </c>
      <c r="E845" s="299" t="s">
        <v>113</v>
      </c>
      <c r="F845" s="299" t="s">
        <v>59</v>
      </c>
      <c r="G845" s="300">
        <v>44692</v>
      </c>
      <c r="H845" s="671">
        <v>110858.44</v>
      </c>
      <c r="I845" s="301" t="str">
        <f t="shared" si="221"/>
        <v>Ingresos Sección II LISR (SIC &amp; BMV)</v>
      </c>
      <c r="J845" s="302">
        <f t="shared" si="222"/>
        <v>275</v>
      </c>
      <c r="K845" s="304">
        <f t="shared" si="223"/>
        <v>403.1216</v>
      </c>
      <c r="L845" s="305">
        <f>IF(H845=0,0,IF(OR(E845=$AT$5,E845=$AT$6),AA845,IF(F845="MXN",1/HLOOKUP(YEAR(G845)+(MONTH(G845)/100),TC!$5:$37,DAY(G845)+2,FALSE),VLOOKUP(F845,Equivalencia!$5:$23,((MAX(Equivalencia!$3:$3)-YEAR(G845))*14)+MONTH(G845)+2,FALSE))))</f>
        <v>1</v>
      </c>
      <c r="M845" s="306">
        <f t="shared" si="224"/>
        <v>110858.44</v>
      </c>
      <c r="N845" s="305">
        <f>IF(G845=0,0,(IF(OR(E845=$AT$5,E845=$AT$6),AC845,HLOOKUP(YEAR(G845)+(MONTH(G845)/100),TC!$5:$37,DAY(G845)+2,FALSE))))</f>
        <v>20.3172</v>
      </c>
      <c r="O845" s="307">
        <f t="shared" si="225"/>
        <v>2252333.0971679999</v>
      </c>
      <c r="P845" s="560">
        <f>IF(G845=0,0,VLOOKUP(YEAR(G845),INPC!$B$4:$P$30,MONTH(G845)+2))</f>
        <v>121.02200000000001</v>
      </c>
      <c r="Q845" s="560">
        <f>IF(X845=0,0,IF(OR(E845=$AT$10,E845=$AT$9),VLOOKUP(YEAR(X845),INPC!$B$4:$P$30,MONTH(X845)+1),VLOOKUP(YEAR(X845),INPC!$B$4:$P$30,MONTH(X845)+2,0)))</f>
        <v>122.94799999999999</v>
      </c>
      <c r="R845" s="309">
        <f t="shared" si="226"/>
        <v>1.0159</v>
      </c>
      <c r="S845" s="310">
        <f t="shared" si="227"/>
        <v>2288145.1934129712</v>
      </c>
      <c r="T845" s="555">
        <f t="shared" si="228"/>
        <v>8320.5279760471676</v>
      </c>
      <c r="U845" s="311"/>
      <c r="V845" s="312">
        <v>275</v>
      </c>
      <c r="W845" s="299" t="s">
        <v>194</v>
      </c>
      <c r="X845" s="300">
        <v>44791</v>
      </c>
      <c r="Y845" s="299" t="s">
        <v>59</v>
      </c>
      <c r="Z845" s="671">
        <v>117268.23</v>
      </c>
      <c r="AA845" s="305">
        <f>IF(Z845=0,0,IF(Y845="MXN",1/HLOOKUP(YEAR(X845)+(MONTH(X845)/100),TC!$5:$37,DAY(X845)+2,FALSE),VLOOKUP(Y845,Equivalencia!$1:$23,((MAX(Equivalencia!$3:$3)-YEAR(X845))*14)+MONTH(X845)+2,FALSE)))</f>
        <v>1</v>
      </c>
      <c r="AB845" s="306">
        <f t="shared" si="229"/>
        <v>117268.23</v>
      </c>
      <c r="AC845" s="305">
        <f>+IF(X845=0,0,HLOOKUP(YEAR(X845)+(MONTH(X845)/100),TC!$5:$37,DAY(X845)+2,FALSE))</f>
        <v>19.930299999999999</v>
      </c>
      <c r="AD845" s="307">
        <f t="shared" si="230"/>
        <v>2337191.004369</v>
      </c>
      <c r="AE845" s="314">
        <f t="shared" si="231"/>
        <v>2288145.1934129712</v>
      </c>
      <c r="AF845" s="315">
        <f t="shared" si="232"/>
        <v>49045.810956028756</v>
      </c>
      <c r="AG845" s="316">
        <f t="shared" si="233"/>
        <v>0.27123287671232876</v>
      </c>
      <c r="AH845" s="314">
        <v>1</v>
      </c>
      <c r="AI845" s="314">
        <f t="shared" si="234"/>
        <v>49045.810956028756</v>
      </c>
      <c r="AJ845" s="314">
        <f t="shared" si="235"/>
        <v>0</v>
      </c>
      <c r="AK845" s="317"/>
      <c r="AL845" s="315">
        <f t="shared" si="236"/>
        <v>6409.7899999999936</v>
      </c>
      <c r="AN845" s="554">
        <f t="shared" si="237"/>
        <v>5.7819594069698201E-2</v>
      </c>
      <c r="AO845" s="314"/>
      <c r="AP845" s="318"/>
    </row>
    <row r="846" spans="2:42">
      <c r="B846" s="296" t="s">
        <v>1263</v>
      </c>
      <c r="C846" s="299" t="s">
        <v>277</v>
      </c>
      <c r="D846" s="298" t="s">
        <v>959</v>
      </c>
      <c r="E846" s="299" t="s">
        <v>113</v>
      </c>
      <c r="F846" s="299" t="s">
        <v>59</v>
      </c>
      <c r="G846" s="300">
        <v>44692</v>
      </c>
      <c r="H846" s="669">
        <v>500707.9</v>
      </c>
      <c r="I846" s="301" t="str">
        <f t="shared" si="221"/>
        <v>Ingresos Sección II LISR (SIC &amp; BMV)</v>
      </c>
      <c r="J846" s="302">
        <f t="shared" si="222"/>
        <v>7000</v>
      </c>
      <c r="K846" s="304">
        <f t="shared" si="223"/>
        <v>71.529700000000005</v>
      </c>
      <c r="L846" s="305">
        <f>IF(H846=0,0,IF(OR(E846=$AT$5,E846=$AT$6),AA846,IF(F846="MXN",1/HLOOKUP(YEAR(G846)+(MONTH(G846)/100),TC!$5:$37,DAY(G846)+2,FALSE),VLOOKUP(F846,Equivalencia!$5:$23,((MAX(Equivalencia!$3:$3)-YEAR(G846))*14)+MONTH(G846)+2,FALSE))))</f>
        <v>1</v>
      </c>
      <c r="M846" s="306">
        <f t="shared" si="224"/>
        <v>500707.9</v>
      </c>
      <c r="N846" s="305">
        <f>IF(G846=0,0,(IF(OR(E846=$AT$5,E846=$AT$6),AC846,HLOOKUP(YEAR(G846)+(MONTH(G846)/100),TC!$5:$37,DAY(G846)+2,FALSE))))</f>
        <v>20.3172</v>
      </c>
      <c r="O846" s="307">
        <f t="shared" si="225"/>
        <v>10172982.545880001</v>
      </c>
      <c r="P846" s="560">
        <f>IF(G846=0,0,VLOOKUP(YEAR(G846),INPC!$B$4:$P$30,MONTH(G846)+2))</f>
        <v>121.02200000000001</v>
      </c>
      <c r="Q846" s="560">
        <f>IF(X846=0,0,IF(OR(E846=$AT$10,E846=$AT$9),VLOOKUP(YEAR(X846),INPC!$B$4:$P$30,MONTH(X846)+1),VLOOKUP(YEAR(X846),INPC!$B$4:$P$30,MONTH(X846)+2,0)))</f>
        <v>122.94799999999999</v>
      </c>
      <c r="R846" s="309">
        <f t="shared" si="226"/>
        <v>1.0159</v>
      </c>
      <c r="S846" s="310">
        <f t="shared" si="227"/>
        <v>10334732.968359493</v>
      </c>
      <c r="T846" s="555">
        <f t="shared" si="228"/>
        <v>1476.3904240513561</v>
      </c>
      <c r="U846" s="311"/>
      <c r="V846" s="312">
        <v>7000</v>
      </c>
      <c r="W846" s="299" t="s">
        <v>194</v>
      </c>
      <c r="X846" s="300">
        <v>44791</v>
      </c>
      <c r="Y846" s="299" t="s">
        <v>59</v>
      </c>
      <c r="Z846" s="669">
        <v>618670.32999999996</v>
      </c>
      <c r="AA846" s="305">
        <f>IF(Z846=0,0,IF(Y846="MXN",1/HLOOKUP(YEAR(X846)+(MONTH(X846)/100),TC!$5:$37,DAY(X846)+2,FALSE),VLOOKUP(Y846,Equivalencia!$1:$23,((MAX(Equivalencia!$3:$3)-YEAR(X846))*14)+MONTH(X846)+2,FALSE)))</f>
        <v>1</v>
      </c>
      <c r="AB846" s="306">
        <f t="shared" si="229"/>
        <v>618670.32999999996</v>
      </c>
      <c r="AC846" s="305">
        <f>+IF(X846=0,0,HLOOKUP(YEAR(X846)+(MONTH(X846)/100),TC!$5:$37,DAY(X846)+2,FALSE))</f>
        <v>19.930299999999999</v>
      </c>
      <c r="AD846" s="307">
        <f t="shared" si="230"/>
        <v>12330285.277998999</v>
      </c>
      <c r="AE846" s="314">
        <f t="shared" si="231"/>
        <v>10334732.968359493</v>
      </c>
      <c r="AF846" s="315">
        <f t="shared" si="232"/>
        <v>1995552.309639506</v>
      </c>
      <c r="AG846" s="316">
        <f t="shared" si="233"/>
        <v>0.27123287671232876</v>
      </c>
      <c r="AH846" s="314">
        <v>1</v>
      </c>
      <c r="AI846" s="314">
        <f t="shared" si="234"/>
        <v>1995552.309639506</v>
      </c>
      <c r="AJ846" s="314">
        <f t="shared" si="235"/>
        <v>0</v>
      </c>
      <c r="AK846" s="317"/>
      <c r="AL846" s="315">
        <f t="shared" si="236"/>
        <v>117962.42999999993</v>
      </c>
      <c r="AN846" s="554">
        <f t="shared" si="237"/>
        <v>0.23559130982355167</v>
      </c>
      <c r="AO846" s="314"/>
      <c r="AP846" s="318"/>
    </row>
    <row r="847" spans="2:42" ht="17" thickBot="1">
      <c r="B847" s="296" t="s">
        <v>1263</v>
      </c>
      <c r="C847" s="299" t="s">
        <v>277</v>
      </c>
      <c r="D847" s="298" t="s">
        <v>959</v>
      </c>
      <c r="E847" s="299" t="s">
        <v>113</v>
      </c>
      <c r="F847" s="299" t="s">
        <v>59</v>
      </c>
      <c r="G847" s="300">
        <v>44698</v>
      </c>
      <c r="H847" s="671">
        <v>125175.42</v>
      </c>
      <c r="I847" s="301" t="str">
        <f t="shared" si="221"/>
        <v>Ingresos Sección II LISR (SIC &amp; BMV)</v>
      </c>
      <c r="J847" s="302">
        <f t="shared" si="222"/>
        <v>1700</v>
      </c>
      <c r="K847" s="304">
        <f t="shared" si="223"/>
        <v>73.632599999999996</v>
      </c>
      <c r="L847" s="305">
        <f>IF(H847=0,0,IF(OR(E847=$AT$5,E847=$AT$6),AA847,IF(F847="MXN",1/HLOOKUP(YEAR(G847)+(MONTH(G847)/100),TC!$5:$37,DAY(G847)+2,FALSE),VLOOKUP(F847,Equivalencia!$5:$23,((MAX(Equivalencia!$3:$3)-YEAR(G847))*14)+MONTH(G847)+2,FALSE))))</f>
        <v>1</v>
      </c>
      <c r="M847" s="306">
        <f t="shared" si="224"/>
        <v>125175.42</v>
      </c>
      <c r="N847" s="305">
        <f>IF(G847=0,0,(IF(OR(E847=$AT$5,E847=$AT$6),AC847,HLOOKUP(YEAR(G847)+(MONTH(G847)/100),TC!$5:$37,DAY(G847)+2,FALSE))))</f>
        <v>20.144300000000001</v>
      </c>
      <c r="O847" s="307">
        <f t="shared" si="225"/>
        <v>2521571.2131060003</v>
      </c>
      <c r="P847" s="560">
        <f>IF(G847=0,0,VLOOKUP(YEAR(G847),INPC!$B$4:$P$30,MONTH(G847)+2))</f>
        <v>121.02200000000001</v>
      </c>
      <c r="Q847" s="560">
        <f>IF(X847=0,0,IF(OR(E847=$AT$10,E847=$AT$9),VLOOKUP(YEAR(X847),INPC!$B$4:$P$30,MONTH(X847)+1),VLOOKUP(YEAR(X847),INPC!$B$4:$P$30,MONTH(X847)+2,0)))</f>
        <v>122.94799999999999</v>
      </c>
      <c r="R847" s="309">
        <f t="shared" si="226"/>
        <v>1.0159</v>
      </c>
      <c r="S847" s="310">
        <f t="shared" si="227"/>
        <v>2561664.1953943856</v>
      </c>
      <c r="T847" s="555">
        <f t="shared" si="228"/>
        <v>1506.8612914084622</v>
      </c>
      <c r="U847" s="311"/>
      <c r="V847" s="312">
        <v>1700</v>
      </c>
      <c r="W847" s="299" t="s">
        <v>194</v>
      </c>
      <c r="X847" s="300">
        <v>44791</v>
      </c>
      <c r="Y847" s="299" t="s">
        <v>59</v>
      </c>
      <c r="Z847" s="671">
        <v>150248.51</v>
      </c>
      <c r="AA847" s="305">
        <f>IF(Z847=0,0,IF(Y847="MXN",1/HLOOKUP(YEAR(X847)+(MONTH(X847)/100),TC!$5:$37,DAY(X847)+2,FALSE),VLOOKUP(Y847,Equivalencia!$1:$23,((MAX(Equivalencia!$3:$3)-YEAR(X847))*14)+MONTH(X847)+2,FALSE)))</f>
        <v>1</v>
      </c>
      <c r="AB847" s="306">
        <f t="shared" si="229"/>
        <v>150248.51</v>
      </c>
      <c r="AC847" s="305">
        <f>+IF(X847=0,0,HLOOKUP(YEAR(X847)+(MONTH(X847)/100),TC!$5:$37,DAY(X847)+2,FALSE))</f>
        <v>19.930299999999999</v>
      </c>
      <c r="AD847" s="307">
        <f t="shared" si="230"/>
        <v>2994497.8788530002</v>
      </c>
      <c r="AE847" s="314">
        <f t="shared" si="231"/>
        <v>2561664.1953943856</v>
      </c>
      <c r="AF847" s="315">
        <f t="shared" si="232"/>
        <v>432833.68345861463</v>
      </c>
      <c r="AG847" s="316">
        <f t="shared" si="233"/>
        <v>0.25479452054794521</v>
      </c>
      <c r="AH847" s="314">
        <v>1</v>
      </c>
      <c r="AI847" s="314">
        <f t="shared" si="234"/>
        <v>432833.68345861463</v>
      </c>
      <c r="AJ847" s="314">
        <f t="shared" si="235"/>
        <v>0</v>
      </c>
      <c r="AK847" s="317"/>
      <c r="AL847" s="315">
        <f t="shared" si="236"/>
        <v>25073.090000000011</v>
      </c>
      <c r="AN847" s="554">
        <f t="shared" si="237"/>
        <v>0.20030362190915765</v>
      </c>
      <c r="AO847" s="314"/>
      <c r="AP847" s="318"/>
    </row>
    <row r="848" spans="2:42">
      <c r="B848" s="296" t="s">
        <v>1263</v>
      </c>
      <c r="C848" s="299" t="s">
        <v>277</v>
      </c>
      <c r="D848" s="298" t="s">
        <v>735</v>
      </c>
      <c r="E848" s="299" t="s">
        <v>113</v>
      </c>
      <c r="F848" s="299" t="s">
        <v>59</v>
      </c>
      <c r="G848" s="300">
        <v>44699</v>
      </c>
      <c r="H848" s="303">
        <v>492563.20000000001</v>
      </c>
      <c r="I848" s="301" t="str">
        <f t="shared" si="221"/>
        <v>Ingresos Sección II LISR (SIC &amp; BMV)</v>
      </c>
      <c r="J848" s="302">
        <f t="shared" si="222"/>
        <v>4000</v>
      </c>
      <c r="K848" s="304">
        <f t="shared" si="223"/>
        <v>123.1408</v>
      </c>
      <c r="L848" s="305">
        <f>IF(H848=0,0,IF(OR(E848=$AT$5,E848=$AT$6),AA848,IF(F848="MXN",1/HLOOKUP(YEAR(G848)+(MONTH(G848)/100),TC!$5:$37,DAY(G848)+2,FALSE),VLOOKUP(F848,Equivalencia!$5:$23,((MAX(Equivalencia!$3:$3)-YEAR(G848))*14)+MONTH(G848)+2,FALSE))))</f>
        <v>1</v>
      </c>
      <c r="M848" s="306">
        <f t="shared" si="224"/>
        <v>492563.20000000001</v>
      </c>
      <c r="N848" s="305">
        <f>IF(G848=0,0,(IF(OR(E848=$AT$5,E848=$AT$6),AC848,HLOOKUP(YEAR(G848)+(MONTH(G848)/100),TC!$5:$37,DAY(G848)+2,FALSE))))</f>
        <v>20.078199999999999</v>
      </c>
      <c r="O848" s="307">
        <f t="shared" si="225"/>
        <v>9889782.4422399998</v>
      </c>
      <c r="P848" s="560">
        <f>IF(G848=0,0,VLOOKUP(YEAR(G848),INPC!$B$4:$P$30,MONTH(G848)+2))</f>
        <v>121.02200000000001</v>
      </c>
      <c r="Q848" s="560">
        <f>IF(X848=0,0,IF(OR(E848=$AT$10,E848=$AT$9),VLOOKUP(YEAR(X848),INPC!$B$4:$P$30,MONTH(X848)+1),VLOOKUP(YEAR(X848),INPC!$B$4:$P$30,MONTH(X848)+2,0)))</f>
        <v>122.94799999999999</v>
      </c>
      <c r="R848" s="309">
        <f t="shared" si="226"/>
        <v>1.0159</v>
      </c>
      <c r="S848" s="310">
        <f t="shared" si="227"/>
        <v>10047029.983071616</v>
      </c>
      <c r="T848" s="555">
        <f t="shared" si="228"/>
        <v>2511.7574957679039</v>
      </c>
      <c r="U848" s="311"/>
      <c r="V848" s="312">
        <v>4000</v>
      </c>
      <c r="W848" s="299" t="s">
        <v>194</v>
      </c>
      <c r="X848" s="300">
        <v>44791</v>
      </c>
      <c r="Y848" s="299" t="s">
        <v>59</v>
      </c>
      <c r="Z848" s="303">
        <v>555307.28</v>
      </c>
      <c r="AA848" s="305">
        <f>IF(Z848=0,0,IF(Y848="MXN",1/HLOOKUP(YEAR(X848)+(MONTH(X848)/100),TC!$5:$37,DAY(X848)+2,FALSE),VLOOKUP(Y848,Equivalencia!$1:$23,((MAX(Equivalencia!$3:$3)-YEAR(X848))*14)+MONTH(X848)+2,FALSE)))</f>
        <v>1</v>
      </c>
      <c r="AB848" s="306">
        <f t="shared" si="229"/>
        <v>555307.28</v>
      </c>
      <c r="AC848" s="305">
        <f>+IF(X848=0,0,HLOOKUP(YEAR(X848)+(MONTH(X848)/100),TC!$5:$37,DAY(X848)+2,FALSE))</f>
        <v>19.930299999999999</v>
      </c>
      <c r="AD848" s="307">
        <f t="shared" si="230"/>
        <v>11067440.682584001</v>
      </c>
      <c r="AE848" s="314">
        <f t="shared" si="231"/>
        <v>10047029.983071616</v>
      </c>
      <c r="AF848" s="315">
        <f t="shared" si="232"/>
        <v>1020410.6995123848</v>
      </c>
      <c r="AG848" s="316">
        <f t="shared" si="233"/>
        <v>0.25205479452054796</v>
      </c>
      <c r="AH848" s="314">
        <v>1</v>
      </c>
      <c r="AI848" s="314">
        <f t="shared" si="234"/>
        <v>1020410.6995123848</v>
      </c>
      <c r="AJ848" s="314">
        <f t="shared" si="235"/>
        <v>0</v>
      </c>
      <c r="AK848" s="317"/>
      <c r="AL848" s="315">
        <f t="shared" si="236"/>
        <v>62744.080000000016</v>
      </c>
      <c r="AN848" s="554">
        <f t="shared" si="237"/>
        <v>0.12738280082637116</v>
      </c>
      <c r="AO848" s="314"/>
      <c r="AP848" s="318"/>
    </row>
    <row r="849" spans="2:42">
      <c r="B849" s="296"/>
      <c r="C849" s="299"/>
      <c r="D849" s="298"/>
      <c r="E849" s="299"/>
      <c r="F849" s="299"/>
      <c r="G849" s="300"/>
      <c r="H849" s="303"/>
      <c r="I849" s="301">
        <f t="shared" si="221"/>
        <v>0</v>
      </c>
      <c r="J849" s="302">
        <f t="shared" si="222"/>
        <v>0</v>
      </c>
      <c r="K849" s="304">
        <f t="shared" si="223"/>
        <v>0</v>
      </c>
      <c r="L849" s="305">
        <f>IF(H849=0,0,IF(OR(E849=$AT$5,E849=$AT$6),AA849,IF(F849="MXN",1/HLOOKUP(YEAR(G849)+(MONTH(G849)/100),TC!$5:$37,DAY(G849)+2,FALSE),VLOOKUP(F849,Equivalencia!$5:$23,((MAX(Equivalencia!$3:$3)-YEAR(G849))*14)+MONTH(G849)+2,FALSE))))</f>
        <v>0</v>
      </c>
      <c r="M849" s="306">
        <f t="shared" si="224"/>
        <v>0</v>
      </c>
      <c r="N849" s="305">
        <f>IF(G849=0,0,(IF(OR(E849=$AT$5,E849=$AT$6),AC849,HLOOKUP(YEAR(G849)+(MONTH(G849)/100),TC!$5:$37,DAY(G849)+2,FALSE))))</f>
        <v>0</v>
      </c>
      <c r="O849" s="307">
        <f t="shared" si="225"/>
        <v>0</v>
      </c>
      <c r="P849" s="560">
        <f>IF(G849=0,0,VLOOKUP(YEAR(G849),INPC!$B$4:$P$30,MONTH(G849)+2))</f>
        <v>0</v>
      </c>
      <c r="Q849" s="560">
        <f>IF(X849=0,0,IF(OR(E849=$AT$10,E849=$AT$9),VLOOKUP(YEAR(X849),INPC!$B$4:$P$30,MONTH(X849)+1),VLOOKUP(YEAR(X849),INPC!$B$4:$P$30,MONTH(X849)+2,0)))</f>
        <v>0</v>
      </c>
      <c r="R849" s="309">
        <f t="shared" si="226"/>
        <v>0</v>
      </c>
      <c r="S849" s="310">
        <f t="shared" si="227"/>
        <v>0</v>
      </c>
      <c r="T849" s="555">
        <f t="shared" si="228"/>
        <v>0</v>
      </c>
      <c r="U849" s="311"/>
      <c r="V849" s="312"/>
      <c r="W849" s="299"/>
      <c r="X849" s="300"/>
      <c r="Y849" s="299"/>
      <c r="Z849" s="303"/>
      <c r="AA849" s="305">
        <f>IF(Z849=0,0,IF(Y849="MXN",1/HLOOKUP(YEAR(X849)+(MONTH(X849)/100),TC!$5:$37,DAY(X849)+2,FALSE),VLOOKUP(Y849,Equivalencia!$1:$23,((MAX(Equivalencia!$3:$3)-YEAR(X849))*14)+MONTH(X849)+2,FALSE)))</f>
        <v>0</v>
      </c>
      <c r="AB849" s="306">
        <f t="shared" si="229"/>
        <v>0</v>
      </c>
      <c r="AC849" s="305">
        <f>+IF(X849=0,0,HLOOKUP(YEAR(X849)+(MONTH(X849)/100),TC!$5:$37,DAY(X849)+2,FALSE))</f>
        <v>0</v>
      </c>
      <c r="AD849" s="307">
        <f t="shared" si="230"/>
        <v>0</v>
      </c>
      <c r="AE849" s="314">
        <f t="shared" si="231"/>
        <v>0</v>
      </c>
      <c r="AF849" s="315">
        <f t="shared" si="232"/>
        <v>0</v>
      </c>
      <c r="AG849" s="316">
        <f t="shared" si="233"/>
        <v>0</v>
      </c>
      <c r="AH849" s="314">
        <v>1</v>
      </c>
      <c r="AI849" s="314">
        <f t="shared" si="234"/>
        <v>0</v>
      </c>
      <c r="AJ849" s="314">
        <f t="shared" si="235"/>
        <v>0</v>
      </c>
      <c r="AK849" s="317"/>
      <c r="AL849" s="315">
        <f t="shared" si="236"/>
        <v>0</v>
      </c>
      <c r="AN849" s="554">
        <f t="shared" si="237"/>
        <v>0</v>
      </c>
      <c r="AO849" s="314"/>
      <c r="AP849" s="318"/>
    </row>
    <row r="850" spans="2:42">
      <c r="B850" s="296" t="s">
        <v>1266</v>
      </c>
      <c r="C850" s="299" t="s">
        <v>277</v>
      </c>
      <c r="D850" s="298" t="s">
        <v>751</v>
      </c>
      <c r="E850" s="299" t="s">
        <v>113</v>
      </c>
      <c r="F850" s="299" t="s">
        <v>59</v>
      </c>
      <c r="G850" s="300">
        <v>44217</v>
      </c>
      <c r="H850" s="303">
        <v>8100.11</v>
      </c>
      <c r="I850" s="301" t="str">
        <f t="shared" si="221"/>
        <v>Ingresos Sección II LISR (SIC &amp; BMV)</v>
      </c>
      <c r="J850" s="302">
        <f t="shared" si="222"/>
        <v>70</v>
      </c>
      <c r="K850" s="304">
        <f t="shared" si="223"/>
        <v>115.71585714285713</v>
      </c>
      <c r="L850" s="305">
        <f>IF(H850=0,0,IF(OR(E850=$AT$5,E850=$AT$6),AA850,IF(F850="MXN",1/HLOOKUP(YEAR(G850)+(MONTH(G850)/100),TC!$5:$37,DAY(G850)+2,FALSE),VLOOKUP(F850,Equivalencia!$5:$23,((MAX(Equivalencia!$3:$3)-YEAR(G850))*14)+MONTH(G850)+2,FALSE))))</f>
        <v>1</v>
      </c>
      <c r="M850" s="306">
        <f t="shared" si="224"/>
        <v>8100.11</v>
      </c>
      <c r="N850" s="305">
        <f>IF(G850=0,0,(IF(OR(E850=$AT$5,E850=$AT$6),AC850,HLOOKUP(YEAR(G850)+(MONTH(G850)/100),TC!$5:$37,DAY(G850)+2,FALSE))))</f>
        <v>19.678799999999999</v>
      </c>
      <c r="O850" s="307">
        <f t="shared" si="225"/>
        <v>159400.44466799998</v>
      </c>
      <c r="P850" s="560">
        <f>IF(G850=0,0,VLOOKUP(YEAR(G850),INPC!$B$4:$P$30,MONTH(G850)+2))</f>
        <v>110.21</v>
      </c>
      <c r="Q850" s="560">
        <f>IF(X850=0,0,IF(OR(E850=$AT$10,E850=$AT$9),VLOOKUP(YEAR(X850),INPC!$B$4:$P$30,MONTH(X850)+1),VLOOKUP(YEAR(X850),INPC!$B$4:$P$30,MONTH(X850)+2,0)))</f>
        <v>122.94799999999999</v>
      </c>
      <c r="R850" s="309">
        <f t="shared" si="226"/>
        <v>1.1154999999999999</v>
      </c>
      <c r="S850" s="310">
        <f t="shared" si="227"/>
        <v>177811.19602715396</v>
      </c>
      <c r="T850" s="555">
        <f t="shared" si="228"/>
        <v>2540.1599432450566</v>
      </c>
      <c r="U850" s="311"/>
      <c r="V850" s="312">
        <v>70</v>
      </c>
      <c r="W850" s="299" t="s">
        <v>194</v>
      </c>
      <c r="X850" s="300">
        <v>44790</v>
      </c>
      <c r="Y850" s="299" t="s">
        <v>59</v>
      </c>
      <c r="Z850" s="303">
        <v>7743.22</v>
      </c>
      <c r="AA850" s="305">
        <f>IF(Z850=0,0,IF(Y850="MXN",1/HLOOKUP(YEAR(X850)+(MONTH(X850)/100),TC!$5:$37,DAY(X850)+2,FALSE),VLOOKUP(Y850,Equivalencia!$1:$23,((MAX(Equivalencia!$3:$3)-YEAR(X850))*14)+MONTH(X850)+2,FALSE)))</f>
        <v>1</v>
      </c>
      <c r="AB850" s="306">
        <f t="shared" si="229"/>
        <v>7743.22</v>
      </c>
      <c r="AC850" s="305">
        <f>+IF(X850=0,0,HLOOKUP(YEAR(X850)+(MONTH(X850)/100),TC!$5:$37,DAY(X850)+2,FALSE))</f>
        <v>19.861799999999999</v>
      </c>
      <c r="AD850" s="307">
        <f t="shared" si="230"/>
        <v>153794.28699600001</v>
      </c>
      <c r="AE850" s="314">
        <f t="shared" si="231"/>
        <v>177811.19602715396</v>
      </c>
      <c r="AF850" s="315">
        <f t="shared" si="232"/>
        <v>-24016.909031153948</v>
      </c>
      <c r="AG850" s="316">
        <f t="shared" si="233"/>
        <v>1.5698630136986302</v>
      </c>
      <c r="AH850" s="314">
        <v>1</v>
      </c>
      <c r="AI850" s="314">
        <f t="shared" si="234"/>
        <v>-24016.909031153948</v>
      </c>
      <c r="AJ850" s="314">
        <f t="shared" si="235"/>
        <v>0</v>
      </c>
      <c r="AK850" s="317"/>
      <c r="AL850" s="315">
        <f t="shared" si="236"/>
        <v>-356.88999999999942</v>
      </c>
      <c r="AN850" s="554">
        <f t="shared" si="237"/>
        <v>-4.4059895482900777E-2</v>
      </c>
      <c r="AO850" s="314"/>
      <c r="AP850" s="318"/>
    </row>
    <row r="851" spans="2:42">
      <c r="B851" s="296" t="s">
        <v>1266</v>
      </c>
      <c r="C851" s="299" t="s">
        <v>277</v>
      </c>
      <c r="D851" s="298" t="s">
        <v>1008</v>
      </c>
      <c r="E851" s="299" t="s">
        <v>113</v>
      </c>
      <c r="F851" s="299" t="s">
        <v>59</v>
      </c>
      <c r="G851" s="300">
        <v>43315</v>
      </c>
      <c r="H851" s="303">
        <v>6042.72</v>
      </c>
      <c r="I851" s="301" t="str">
        <f t="shared" si="221"/>
        <v>Ingresos Sección II LISR (SIC &amp; BMV)</v>
      </c>
      <c r="J851" s="302">
        <f t="shared" si="222"/>
        <v>24</v>
      </c>
      <c r="K851" s="304">
        <f t="shared" si="223"/>
        <v>251.78</v>
      </c>
      <c r="L851" s="305">
        <f>IF(H851=0,0,IF(OR(E851=$AT$5,E851=$AT$6),AA851,IF(F851="MXN",1/HLOOKUP(YEAR(G851)+(MONTH(G851)/100),TC!$5:$37,DAY(G851)+2,FALSE),VLOOKUP(F851,Equivalencia!$5:$23,((MAX(Equivalencia!$3:$3)-YEAR(G851))*14)+MONTH(G851)+2,FALSE))))</f>
        <v>1</v>
      </c>
      <c r="M851" s="306">
        <f t="shared" si="224"/>
        <v>6042.72</v>
      </c>
      <c r="N851" s="305">
        <f>IF(G851=0,0,(IF(OR(E851=$AT$5,E851=$AT$6),AC851,HLOOKUP(YEAR(G851)+(MONTH(G851)/100),TC!$5:$37,DAY(G851)+2,FALSE))))</f>
        <v>18.5899</v>
      </c>
      <c r="O851" s="307">
        <f t="shared" si="225"/>
        <v>112333.560528</v>
      </c>
      <c r="P851" s="560">
        <f>IF(G851=0,0,VLOOKUP(YEAR(G851),INPC!$B$4:$P$30,MONTH(G851)+2))</f>
        <v>100.492</v>
      </c>
      <c r="Q851" s="560">
        <f>IF(X851=0,0,IF(OR(E851=$AT$10,E851=$AT$9),VLOOKUP(YEAR(X851),INPC!$B$4:$P$30,MONTH(X851)+1),VLOOKUP(YEAR(X851),INPC!$B$4:$P$30,MONTH(X851)+2,0)))</f>
        <v>122.94799999999999</v>
      </c>
      <c r="R851" s="309">
        <f t="shared" si="226"/>
        <v>1.2234</v>
      </c>
      <c r="S851" s="310">
        <f t="shared" si="227"/>
        <v>137428.8779499552</v>
      </c>
      <c r="T851" s="555">
        <f t="shared" si="228"/>
        <v>5726.2032479148002</v>
      </c>
      <c r="U851" s="311"/>
      <c r="V851" s="312">
        <v>24</v>
      </c>
      <c r="W851" s="299" t="s">
        <v>194</v>
      </c>
      <c r="X851" s="300">
        <v>44790</v>
      </c>
      <c r="Y851" s="299" t="s">
        <v>59</v>
      </c>
      <c r="Z851" s="303">
        <v>10539.12</v>
      </c>
      <c r="AA851" s="305">
        <f>IF(Z851=0,0,IF(Y851="MXN",1/HLOOKUP(YEAR(X851)+(MONTH(X851)/100),TC!$5:$37,DAY(X851)+2,FALSE),VLOOKUP(Y851,Equivalencia!$1:$23,((MAX(Equivalencia!$3:$3)-YEAR(X851))*14)+MONTH(X851)+2,FALSE)))</f>
        <v>1</v>
      </c>
      <c r="AB851" s="306">
        <f t="shared" si="229"/>
        <v>10539.12</v>
      </c>
      <c r="AC851" s="305">
        <f>+IF(X851=0,0,HLOOKUP(YEAR(X851)+(MONTH(X851)/100),TC!$5:$37,DAY(X851)+2,FALSE))</f>
        <v>19.861799999999999</v>
      </c>
      <c r="AD851" s="307">
        <f t="shared" si="230"/>
        <v>209325.89361600002</v>
      </c>
      <c r="AE851" s="314">
        <f t="shared" si="231"/>
        <v>137428.8779499552</v>
      </c>
      <c r="AF851" s="315">
        <f t="shared" si="232"/>
        <v>71897.015666044812</v>
      </c>
      <c r="AG851" s="316">
        <f t="shared" si="233"/>
        <v>4.0410958904109586</v>
      </c>
      <c r="AH851" s="314">
        <v>1</v>
      </c>
      <c r="AI851" s="314">
        <f t="shared" si="234"/>
        <v>71897.015666044812</v>
      </c>
      <c r="AJ851" s="314">
        <f t="shared" si="235"/>
        <v>0</v>
      </c>
      <c r="AK851" s="317"/>
      <c r="AL851" s="315">
        <f t="shared" si="236"/>
        <v>4496.4000000000005</v>
      </c>
      <c r="AN851" s="554">
        <f t="shared" si="237"/>
        <v>0.74410199380411479</v>
      </c>
      <c r="AO851" s="314"/>
      <c r="AP851" s="318"/>
    </row>
    <row r="852" spans="2:42">
      <c r="B852" s="296" t="s">
        <v>1266</v>
      </c>
      <c r="C852" s="299" t="s">
        <v>277</v>
      </c>
      <c r="D852" s="298" t="s">
        <v>938</v>
      </c>
      <c r="E852" s="299" t="s">
        <v>106</v>
      </c>
      <c r="F852" s="299" t="s">
        <v>59</v>
      </c>
      <c r="G852" s="300">
        <v>44720</v>
      </c>
      <c r="H852" s="303">
        <v>5370.18</v>
      </c>
      <c r="I852" s="301" t="str">
        <f t="shared" si="221"/>
        <v>Ingresos Sección I LISR</v>
      </c>
      <c r="J852" s="302">
        <f t="shared" si="222"/>
        <v>41</v>
      </c>
      <c r="K852" s="304">
        <f t="shared" si="223"/>
        <v>130.98000000000002</v>
      </c>
      <c r="L852" s="305">
        <f>IF(H852=0,0,IF(OR(E852=$AT$5,E852=$AT$6),AA852,IF(F852="MXN",1/HLOOKUP(YEAR(G852)+(MONTH(G852)/100),TC!$5:$37,DAY(G852)+2,FALSE),VLOOKUP(F852,Equivalencia!$5:$23,((MAX(Equivalencia!$3:$3)-YEAR(G852))*14)+MONTH(G852)+2,FALSE))))</f>
        <v>1</v>
      </c>
      <c r="M852" s="306">
        <f t="shared" si="224"/>
        <v>5370.18</v>
      </c>
      <c r="N852" s="305">
        <f>IF(G852=0,0,(IF(OR(E852=$AT$5,E852=$AT$6),AC852,HLOOKUP(YEAR(G852)+(MONTH(G852)/100),TC!$5:$37,DAY(G852)+2,FALSE))))</f>
        <v>19.5547</v>
      </c>
      <c r="O852" s="307">
        <f t="shared" si="225"/>
        <v>105012.25884600001</v>
      </c>
      <c r="P852" s="560">
        <f>IF(G852=0,0,VLOOKUP(YEAR(G852),INPC!$B$4:$P$30,MONTH(G852)+2))</f>
        <v>122.044</v>
      </c>
      <c r="Q852" s="560">
        <f>IF(X852=0,0,IF(OR(E852=$AT$10,E852=$AT$9),VLOOKUP(YEAR(X852),INPC!$B$4:$P$30,MONTH(X852)+1),VLOOKUP(YEAR(X852),INPC!$B$4:$P$30,MONTH(X852)+2,0)))</f>
        <v>123.803</v>
      </c>
      <c r="R852" s="309">
        <f t="shared" si="226"/>
        <v>1.0144</v>
      </c>
      <c r="S852" s="310">
        <f t="shared" si="227"/>
        <v>106524.43537338241</v>
      </c>
      <c r="T852" s="555">
        <f t="shared" si="228"/>
        <v>2598.1569603264002</v>
      </c>
      <c r="U852" s="311"/>
      <c r="V852" s="312">
        <v>41</v>
      </c>
      <c r="W852" s="299" t="s">
        <v>194</v>
      </c>
      <c r="X852" s="300">
        <v>44790</v>
      </c>
      <c r="Y852" s="299" t="s">
        <v>59</v>
      </c>
      <c r="Z852" s="303">
        <v>5397.89</v>
      </c>
      <c r="AA852" s="305">
        <f>IF(Z852=0,0,IF(Y852="MXN",1/HLOOKUP(YEAR(X852)+(MONTH(X852)/100),TC!$5:$37,DAY(X852)+2,FALSE),VLOOKUP(Y852,Equivalencia!$1:$23,((MAX(Equivalencia!$3:$3)-YEAR(X852))*14)+MONTH(X852)+2,FALSE)))</f>
        <v>1</v>
      </c>
      <c r="AB852" s="306">
        <f t="shared" si="229"/>
        <v>5397.89</v>
      </c>
      <c r="AC852" s="305">
        <f>+IF(X852=0,0,HLOOKUP(YEAR(X852)+(MONTH(X852)/100),TC!$5:$37,DAY(X852)+2,FALSE))</f>
        <v>19.861799999999999</v>
      </c>
      <c r="AD852" s="307">
        <f t="shared" si="230"/>
        <v>107211.811602</v>
      </c>
      <c r="AE852" s="314">
        <f t="shared" si="231"/>
        <v>106524.43537338241</v>
      </c>
      <c r="AF852" s="315">
        <f t="shared" si="232"/>
        <v>687.37622861759155</v>
      </c>
      <c r="AG852" s="316">
        <f t="shared" si="233"/>
        <v>0.19178082191780821</v>
      </c>
      <c r="AH852" s="314">
        <v>1</v>
      </c>
      <c r="AI852" s="314">
        <f t="shared" si="234"/>
        <v>687.37622861759155</v>
      </c>
      <c r="AJ852" s="314">
        <f t="shared" si="235"/>
        <v>0</v>
      </c>
      <c r="AK852" s="317"/>
      <c r="AL852" s="315">
        <f t="shared" si="236"/>
        <v>27.710000000000036</v>
      </c>
      <c r="AN852" s="554">
        <f t="shared" si="237"/>
        <v>5.1599760157015288E-3</v>
      </c>
      <c r="AO852" s="314"/>
      <c r="AP852" s="318"/>
    </row>
    <row r="853" spans="2:42">
      <c r="B853" s="296" t="s">
        <v>1266</v>
      </c>
      <c r="C853" s="299" t="s">
        <v>277</v>
      </c>
      <c r="D853" s="298" t="s">
        <v>838</v>
      </c>
      <c r="E853" s="299" t="s">
        <v>113</v>
      </c>
      <c r="F853" s="299" t="s">
        <v>59</v>
      </c>
      <c r="G853" s="300">
        <v>43315</v>
      </c>
      <c r="H853" s="303">
        <v>15814.34</v>
      </c>
      <c r="I853" s="301" t="str">
        <f t="shared" si="221"/>
        <v>Ingresos Sección II LISR (SIC &amp; BMV)</v>
      </c>
      <c r="J853" s="302">
        <f t="shared" si="222"/>
        <v>255</v>
      </c>
      <c r="K853" s="304">
        <f t="shared" si="223"/>
        <v>62.017019607843139</v>
      </c>
      <c r="L853" s="305">
        <f>IF(H853=0,0,IF(OR(E853=$AT$5,E853=$AT$6),AA853,IF(F853="MXN",1/HLOOKUP(YEAR(G853)+(MONTH(G853)/100),TC!$5:$37,DAY(G853)+2,FALSE),VLOOKUP(F853,Equivalencia!$5:$23,((MAX(Equivalencia!$3:$3)-YEAR(G853))*14)+MONTH(G853)+2,FALSE))))</f>
        <v>1</v>
      </c>
      <c r="M853" s="306">
        <f t="shared" si="224"/>
        <v>15814.34</v>
      </c>
      <c r="N853" s="305">
        <f>IF(G853=0,0,(IF(OR(E853=$AT$5,E853=$AT$6),AC853,HLOOKUP(YEAR(G853)+(MONTH(G853)/100),TC!$5:$37,DAY(G853)+2,FALSE))))</f>
        <v>18.5899</v>
      </c>
      <c r="O853" s="307">
        <f t="shared" si="225"/>
        <v>293986.99916599999</v>
      </c>
      <c r="P853" s="560">
        <f>IF(G853=0,0,VLOOKUP(YEAR(G853),INPC!$B$4:$P$30,MONTH(G853)+2))</f>
        <v>100.492</v>
      </c>
      <c r="Q853" s="560">
        <f>IF(X853=0,0,IF(OR(E853=$AT$10,E853=$AT$9),VLOOKUP(YEAR(X853),INPC!$B$4:$P$30,MONTH(X853)+1),VLOOKUP(YEAR(X853),INPC!$B$4:$P$30,MONTH(X853)+2,0)))</f>
        <v>122.94799999999999</v>
      </c>
      <c r="R853" s="309">
        <f t="shared" si="226"/>
        <v>1.2234</v>
      </c>
      <c r="S853" s="310">
        <f t="shared" si="227"/>
        <v>359663.69477968442</v>
      </c>
      <c r="T853" s="555">
        <f t="shared" si="228"/>
        <v>1410.4458618811154</v>
      </c>
      <c r="U853" s="311"/>
      <c r="V853" s="312">
        <v>255</v>
      </c>
      <c r="W853" s="299" t="s">
        <v>194</v>
      </c>
      <c r="X853" s="300">
        <v>44790</v>
      </c>
      <c r="Y853" s="299" t="s">
        <v>59</v>
      </c>
      <c r="Z853" s="303">
        <v>30569.98</v>
      </c>
      <c r="AA853" s="305">
        <f>IF(Z853=0,0,IF(Y853="MXN",1/HLOOKUP(YEAR(X853)+(MONTH(X853)/100),TC!$5:$37,DAY(X853)+2,FALSE),VLOOKUP(Y853,Equivalencia!$1:$23,((MAX(Equivalencia!$3:$3)-YEAR(X853))*14)+MONTH(X853)+2,FALSE)))</f>
        <v>1</v>
      </c>
      <c r="AB853" s="306">
        <f t="shared" si="229"/>
        <v>30569.98</v>
      </c>
      <c r="AC853" s="305">
        <f>+IF(X853=0,0,HLOOKUP(YEAR(X853)+(MONTH(X853)/100),TC!$5:$37,DAY(X853)+2,FALSE))</f>
        <v>19.861799999999999</v>
      </c>
      <c r="AD853" s="307">
        <f t="shared" si="230"/>
        <v>607174.82876399998</v>
      </c>
      <c r="AE853" s="314">
        <f t="shared" si="231"/>
        <v>359663.69477968442</v>
      </c>
      <c r="AF853" s="315">
        <f t="shared" si="232"/>
        <v>247511.13398431556</v>
      </c>
      <c r="AG853" s="316">
        <f t="shared" si="233"/>
        <v>4.0410958904109586</v>
      </c>
      <c r="AH853" s="314">
        <v>1</v>
      </c>
      <c r="AI853" s="314">
        <f t="shared" si="234"/>
        <v>247511.13398431556</v>
      </c>
      <c r="AJ853" s="314">
        <f t="shared" si="235"/>
        <v>0</v>
      </c>
      <c r="AK853" s="317"/>
      <c r="AL853" s="315">
        <f t="shared" si="236"/>
        <v>14755.64</v>
      </c>
      <c r="AN853" s="554">
        <f t="shared" si="237"/>
        <v>0.93305443034612889</v>
      </c>
      <c r="AO853" s="314"/>
      <c r="AP853" s="318"/>
    </row>
    <row r="854" spans="2:42">
      <c r="B854" s="296" t="s">
        <v>1266</v>
      </c>
      <c r="C854" s="299" t="s">
        <v>277</v>
      </c>
      <c r="D854" s="298" t="s">
        <v>839</v>
      </c>
      <c r="E854" s="299" t="s">
        <v>113</v>
      </c>
      <c r="F854" s="299" t="s">
        <v>59</v>
      </c>
      <c r="G854" s="300">
        <v>43578</v>
      </c>
      <c r="H854" s="303">
        <v>19933.89</v>
      </c>
      <c r="I854" s="301" t="str">
        <f t="shared" si="221"/>
        <v>Ingresos Sección II LISR (SIC &amp; BMV)</v>
      </c>
      <c r="J854" s="302">
        <f t="shared" si="222"/>
        <v>207</v>
      </c>
      <c r="K854" s="304">
        <f t="shared" si="223"/>
        <v>96.298985507246371</v>
      </c>
      <c r="L854" s="305">
        <f>IF(H854=0,0,IF(OR(E854=$AT$5,E854=$AT$6),AA854,IF(F854="MXN",1/HLOOKUP(YEAR(G854)+(MONTH(G854)/100),TC!$5:$37,DAY(G854)+2,FALSE),VLOOKUP(F854,Equivalencia!$5:$23,((MAX(Equivalencia!$3:$3)-YEAR(G854))*14)+MONTH(G854)+2,FALSE))))</f>
        <v>1</v>
      </c>
      <c r="M854" s="306">
        <f t="shared" si="224"/>
        <v>19933.89</v>
      </c>
      <c r="N854" s="305">
        <f>IF(G854=0,0,(IF(OR(E854=$AT$5,E854=$AT$6),AC854,HLOOKUP(YEAR(G854)+(MONTH(G854)/100),TC!$5:$37,DAY(G854)+2,FALSE))))</f>
        <v>18.847999999999999</v>
      </c>
      <c r="O854" s="307">
        <f t="shared" si="225"/>
        <v>375713.95872</v>
      </c>
      <c r="P854" s="560">
        <f>IF(G854=0,0,VLOOKUP(YEAR(G854),INPC!$B$4:$P$30,MONTH(G854)+2))</f>
        <v>103.53100000000001</v>
      </c>
      <c r="Q854" s="560">
        <f>IF(X854=0,0,IF(OR(E854=$AT$10,E854=$AT$9),VLOOKUP(YEAR(X854),INPC!$B$4:$P$30,MONTH(X854)+1),VLOOKUP(YEAR(X854),INPC!$B$4:$P$30,MONTH(X854)+2,0)))</f>
        <v>122.94799999999999</v>
      </c>
      <c r="R854" s="309">
        <f t="shared" si="226"/>
        <v>1.1875</v>
      </c>
      <c r="S854" s="310">
        <f t="shared" si="227"/>
        <v>446160.32597999997</v>
      </c>
      <c r="T854" s="555">
        <f t="shared" si="228"/>
        <v>2155.3638936231882</v>
      </c>
      <c r="U854" s="311"/>
      <c r="V854" s="312">
        <v>207</v>
      </c>
      <c r="W854" s="299" t="s">
        <v>194</v>
      </c>
      <c r="X854" s="300">
        <v>44790</v>
      </c>
      <c r="Y854" s="299" t="s">
        <v>59</v>
      </c>
      <c r="Z854" s="303">
        <v>29414.03</v>
      </c>
      <c r="AA854" s="305">
        <f>IF(Z854=0,0,IF(Y854="MXN",1/HLOOKUP(YEAR(X854)+(MONTH(X854)/100),TC!$5:$37,DAY(X854)+2,FALSE),VLOOKUP(Y854,Equivalencia!$1:$23,((MAX(Equivalencia!$3:$3)-YEAR(X854))*14)+MONTH(X854)+2,FALSE)))</f>
        <v>1</v>
      </c>
      <c r="AB854" s="306">
        <f t="shared" si="229"/>
        <v>29414.03</v>
      </c>
      <c r="AC854" s="305">
        <f>+IF(X854=0,0,HLOOKUP(YEAR(X854)+(MONTH(X854)/100),TC!$5:$37,DAY(X854)+2,FALSE))</f>
        <v>19.861799999999999</v>
      </c>
      <c r="AD854" s="307">
        <f t="shared" si="230"/>
        <v>584215.58105399995</v>
      </c>
      <c r="AE854" s="314">
        <f t="shared" si="231"/>
        <v>446160.32597999997</v>
      </c>
      <c r="AF854" s="315">
        <f t="shared" si="232"/>
        <v>138055.25507399999</v>
      </c>
      <c r="AG854" s="316">
        <f t="shared" si="233"/>
        <v>3.3205479452054796</v>
      </c>
      <c r="AH854" s="314">
        <v>1</v>
      </c>
      <c r="AI854" s="314">
        <f t="shared" si="234"/>
        <v>138055.25507399999</v>
      </c>
      <c r="AJ854" s="314">
        <f t="shared" si="235"/>
        <v>0</v>
      </c>
      <c r="AK854" s="317"/>
      <c r="AL854" s="315">
        <f t="shared" si="236"/>
        <v>9480.14</v>
      </c>
      <c r="AN854" s="554">
        <f t="shared" si="237"/>
        <v>0.47557902647200317</v>
      </c>
      <c r="AO854" s="314"/>
      <c r="AP854" s="318"/>
    </row>
    <row r="855" spans="2:42">
      <c r="B855" s="296" t="s">
        <v>1266</v>
      </c>
      <c r="C855" s="299" t="s">
        <v>277</v>
      </c>
      <c r="D855" s="298" t="s">
        <v>971</v>
      </c>
      <c r="E855" s="299" t="s">
        <v>113</v>
      </c>
      <c r="F855" s="299" t="s">
        <v>59</v>
      </c>
      <c r="G855" s="300">
        <v>43817</v>
      </c>
      <c r="H855" s="303">
        <v>856.8</v>
      </c>
      <c r="I855" s="301" t="str">
        <f t="shared" si="221"/>
        <v>Ingresos Sección II LISR (SIC &amp; BMV)</v>
      </c>
      <c r="J855" s="302">
        <f t="shared" si="222"/>
        <v>4</v>
      </c>
      <c r="K855" s="304">
        <f t="shared" si="223"/>
        <v>214.2</v>
      </c>
      <c r="L855" s="305">
        <f>IF(H855=0,0,IF(OR(E855=$AT$5,E855=$AT$6),AA855,IF(F855="MXN",1/HLOOKUP(YEAR(G855)+(MONTH(G855)/100),TC!$5:$37,DAY(G855)+2,FALSE),VLOOKUP(F855,Equivalencia!$5:$23,((MAX(Equivalencia!$3:$3)-YEAR(G855))*14)+MONTH(G855)+2,FALSE))))</f>
        <v>1</v>
      </c>
      <c r="M855" s="306">
        <f t="shared" si="224"/>
        <v>856.8</v>
      </c>
      <c r="N855" s="305">
        <f>IF(G855=0,0,(IF(OR(E855=$AT$5,E855=$AT$6),AC855,HLOOKUP(YEAR(G855)+(MONTH(G855)/100),TC!$5:$37,DAY(G855)+2,FALSE))))</f>
        <v>18.970199999999998</v>
      </c>
      <c r="O855" s="307">
        <f t="shared" si="225"/>
        <v>16253.667359999998</v>
      </c>
      <c r="P855" s="560">
        <f>IF(G855=0,0,VLOOKUP(YEAR(G855),INPC!$B$4:$P$30,MONTH(G855)+2))</f>
        <v>105.934</v>
      </c>
      <c r="Q855" s="560">
        <f>IF(X855=0,0,IF(OR(E855=$AT$10,E855=$AT$9),VLOOKUP(YEAR(X855),INPC!$B$4:$P$30,MONTH(X855)+1),VLOOKUP(YEAR(X855),INPC!$B$4:$P$30,MONTH(X855)+2,0)))</f>
        <v>122.94799999999999</v>
      </c>
      <c r="R855" s="309">
        <f t="shared" si="226"/>
        <v>1.1606000000000001</v>
      </c>
      <c r="S855" s="310">
        <f t="shared" si="227"/>
        <v>18864.006338015999</v>
      </c>
      <c r="T855" s="555">
        <f t="shared" si="228"/>
        <v>4716.0015845039998</v>
      </c>
      <c r="U855" s="311"/>
      <c r="V855" s="312">
        <v>4</v>
      </c>
      <c r="W855" s="299" t="s">
        <v>194</v>
      </c>
      <c r="X855" s="300">
        <v>44790</v>
      </c>
      <c r="Y855" s="299" t="s">
        <v>59</v>
      </c>
      <c r="Z855" s="303">
        <v>1111.01</v>
      </c>
      <c r="AA855" s="305">
        <f>IF(Z855=0,0,IF(Y855="MXN",1/HLOOKUP(YEAR(X855)+(MONTH(X855)/100),TC!$5:$37,DAY(X855)+2,FALSE),VLOOKUP(Y855,Equivalencia!$1:$23,((MAX(Equivalencia!$3:$3)-YEAR(X855))*14)+MONTH(X855)+2,FALSE)))</f>
        <v>1</v>
      </c>
      <c r="AB855" s="306">
        <f t="shared" si="229"/>
        <v>1111.01</v>
      </c>
      <c r="AC855" s="305">
        <f>+IF(X855=0,0,HLOOKUP(YEAR(X855)+(MONTH(X855)/100),TC!$5:$37,DAY(X855)+2,FALSE))</f>
        <v>19.861799999999999</v>
      </c>
      <c r="AD855" s="307">
        <f t="shared" si="230"/>
        <v>22066.658417999999</v>
      </c>
      <c r="AE855" s="314">
        <f t="shared" si="231"/>
        <v>18864.006338015999</v>
      </c>
      <c r="AF855" s="315">
        <f t="shared" si="232"/>
        <v>3202.652079984</v>
      </c>
      <c r="AG855" s="316">
        <f t="shared" si="233"/>
        <v>2.6657534246575341</v>
      </c>
      <c r="AH855" s="314">
        <v>1</v>
      </c>
      <c r="AI855" s="314">
        <f t="shared" si="234"/>
        <v>3202.652079984</v>
      </c>
      <c r="AJ855" s="314">
        <f t="shared" si="235"/>
        <v>0</v>
      </c>
      <c r="AK855" s="317"/>
      <c r="AL855" s="315">
        <f t="shared" si="236"/>
        <v>254.21000000000004</v>
      </c>
      <c r="AN855" s="554">
        <f t="shared" si="237"/>
        <v>0.29669701213818866</v>
      </c>
      <c r="AO855" s="314"/>
      <c r="AP855" s="318"/>
    </row>
    <row r="856" spans="2:42">
      <c r="B856" s="296" t="s">
        <v>1266</v>
      </c>
      <c r="C856" s="299" t="s">
        <v>277</v>
      </c>
      <c r="D856" s="298" t="s">
        <v>971</v>
      </c>
      <c r="E856" s="299" t="s">
        <v>113</v>
      </c>
      <c r="F856" s="299" t="s">
        <v>59</v>
      </c>
      <c r="G856" s="300">
        <v>43894</v>
      </c>
      <c r="H856" s="303">
        <v>5916.6</v>
      </c>
      <c r="I856" s="301" t="str">
        <f t="shared" si="221"/>
        <v>Ingresos Sección II LISR (SIC &amp; BMV)</v>
      </c>
      <c r="J856" s="302">
        <f t="shared" si="222"/>
        <v>24</v>
      </c>
      <c r="K856" s="304">
        <f t="shared" si="223"/>
        <v>246.52500000000001</v>
      </c>
      <c r="L856" s="305">
        <f>IF(H856=0,0,IF(OR(E856=$AT$5,E856=$AT$6),AA856,IF(F856="MXN",1/HLOOKUP(YEAR(G856)+(MONTH(G856)/100),TC!$5:$37,DAY(G856)+2,FALSE),VLOOKUP(F856,Equivalencia!$5:$23,((MAX(Equivalencia!$3:$3)-YEAR(G856))*14)+MONTH(G856)+2,FALSE))))</f>
        <v>1</v>
      </c>
      <c r="M856" s="306">
        <f t="shared" si="224"/>
        <v>5916.6</v>
      </c>
      <c r="N856" s="305">
        <f>IF(G856=0,0,(IF(OR(E856=$AT$5,E856=$AT$6),AC856,HLOOKUP(YEAR(G856)+(MONTH(G856)/100),TC!$5:$37,DAY(G856)+2,FALSE))))</f>
        <v>19.698499999999999</v>
      </c>
      <c r="O856" s="307">
        <f t="shared" si="225"/>
        <v>116548.14510000001</v>
      </c>
      <c r="P856" s="560">
        <f>IF(G856=0,0,VLOOKUP(YEAR(G856),INPC!$B$4:$P$30,MONTH(G856)+2))</f>
        <v>106.83799999999999</v>
      </c>
      <c r="Q856" s="560">
        <f>IF(X856=0,0,IF(OR(E856=$AT$10,E856=$AT$9),VLOOKUP(YEAR(X856),INPC!$B$4:$P$30,MONTH(X856)+1),VLOOKUP(YEAR(X856),INPC!$B$4:$P$30,MONTH(X856)+2,0)))</f>
        <v>122.94799999999999</v>
      </c>
      <c r="R856" s="309">
        <f t="shared" si="226"/>
        <v>1.1507000000000001</v>
      </c>
      <c r="S856" s="310">
        <f t="shared" si="227"/>
        <v>134111.95056657001</v>
      </c>
      <c r="T856" s="555">
        <f t="shared" si="228"/>
        <v>5587.9979402737508</v>
      </c>
      <c r="U856" s="311"/>
      <c r="V856" s="312">
        <v>24</v>
      </c>
      <c r="W856" s="299" t="s">
        <v>194</v>
      </c>
      <c r="X856" s="300">
        <v>44790</v>
      </c>
      <c r="Y856" s="299" t="s">
        <v>59</v>
      </c>
      <c r="Z856" s="303">
        <v>6666.09</v>
      </c>
      <c r="AA856" s="305">
        <f>IF(Z856=0,0,IF(Y856="MXN",1/HLOOKUP(YEAR(X856)+(MONTH(X856)/100),TC!$5:$37,DAY(X856)+2,FALSE),VLOOKUP(Y856,Equivalencia!$1:$23,((MAX(Equivalencia!$3:$3)-YEAR(X856))*14)+MONTH(X856)+2,FALSE)))</f>
        <v>1</v>
      </c>
      <c r="AB856" s="306">
        <f t="shared" si="229"/>
        <v>6666.09</v>
      </c>
      <c r="AC856" s="305">
        <f>+IF(X856=0,0,HLOOKUP(YEAR(X856)+(MONTH(X856)/100),TC!$5:$37,DAY(X856)+2,FALSE))</f>
        <v>19.861799999999999</v>
      </c>
      <c r="AD856" s="307">
        <f t="shared" si="230"/>
        <v>132400.54636199999</v>
      </c>
      <c r="AE856" s="314">
        <f t="shared" si="231"/>
        <v>134111.95056657001</v>
      </c>
      <c r="AF856" s="315">
        <f t="shared" si="232"/>
        <v>-1711.4042045700189</v>
      </c>
      <c r="AG856" s="316">
        <f t="shared" si="233"/>
        <v>2.4547945205479453</v>
      </c>
      <c r="AH856" s="314">
        <v>1</v>
      </c>
      <c r="AI856" s="314">
        <f t="shared" si="234"/>
        <v>-1711.4042045700189</v>
      </c>
      <c r="AJ856" s="314">
        <f t="shared" si="235"/>
        <v>0</v>
      </c>
      <c r="AK856" s="317"/>
      <c r="AL856" s="315">
        <f t="shared" si="236"/>
        <v>749.48999999999978</v>
      </c>
      <c r="AN856" s="554">
        <f t="shared" si="237"/>
        <v>0.12667579353006789</v>
      </c>
      <c r="AO856" s="314"/>
      <c r="AP856" s="318"/>
    </row>
    <row r="857" spans="2:42">
      <c r="B857" s="296" t="s">
        <v>1266</v>
      </c>
      <c r="C857" s="299" t="s">
        <v>277</v>
      </c>
      <c r="D857" s="298" t="s">
        <v>757</v>
      </c>
      <c r="E857" s="299" t="s">
        <v>113</v>
      </c>
      <c r="F857" s="299" t="s">
        <v>59</v>
      </c>
      <c r="G857" s="300">
        <v>43476</v>
      </c>
      <c r="H857" s="303">
        <v>2840.07</v>
      </c>
      <c r="I857" s="301" t="str">
        <f t="shared" si="221"/>
        <v>Ingresos Sección II LISR (SIC &amp; BMV)</v>
      </c>
      <c r="J857" s="302">
        <f t="shared" si="222"/>
        <v>25</v>
      </c>
      <c r="K857" s="304">
        <f t="shared" si="223"/>
        <v>113.6028</v>
      </c>
      <c r="L857" s="305">
        <f>IF(H857=0,0,IF(OR(E857=$AT$5,E857=$AT$6),AA857,IF(F857="MXN",1/HLOOKUP(YEAR(G857)+(MONTH(G857)/100),TC!$5:$37,DAY(G857)+2,FALSE),VLOOKUP(F857,Equivalencia!$5:$23,((MAX(Equivalencia!$3:$3)-YEAR(G857))*14)+MONTH(G857)+2,FALSE))))</f>
        <v>1</v>
      </c>
      <c r="M857" s="306">
        <f t="shared" si="224"/>
        <v>2840.07</v>
      </c>
      <c r="N857" s="305">
        <f>IF(G857=0,0,(IF(OR(E857=$AT$5,E857=$AT$6),AC857,HLOOKUP(YEAR(G857)+(MONTH(G857)/100),TC!$5:$37,DAY(G857)+2,FALSE))))</f>
        <v>19.2456</v>
      </c>
      <c r="O857" s="307">
        <f t="shared" si="225"/>
        <v>54658.851192000002</v>
      </c>
      <c r="P857" s="560">
        <f>IF(G857=0,0,VLOOKUP(YEAR(G857),INPC!$B$4:$P$30,MONTH(G857)+2))</f>
        <v>103.108</v>
      </c>
      <c r="Q857" s="560">
        <f>IF(X857=0,0,IF(OR(E857=$AT$10,E857=$AT$9),VLOOKUP(YEAR(X857),INPC!$B$4:$P$30,MONTH(X857)+1),VLOOKUP(YEAR(X857),INPC!$B$4:$P$30,MONTH(X857)+2,0)))</f>
        <v>122.94799999999999</v>
      </c>
      <c r="R857" s="309">
        <f t="shared" si="226"/>
        <v>1.1923999999999999</v>
      </c>
      <c r="S857" s="310">
        <f t="shared" si="227"/>
        <v>65175.214161340795</v>
      </c>
      <c r="T857" s="555">
        <f t="shared" si="228"/>
        <v>2607.0085664536318</v>
      </c>
      <c r="U857" s="311"/>
      <c r="V857" s="312">
        <v>25</v>
      </c>
      <c r="W857" s="299" t="s">
        <v>194</v>
      </c>
      <c r="X857" s="300">
        <v>44790</v>
      </c>
      <c r="Y857" s="299" t="s">
        <v>59</v>
      </c>
      <c r="Z857" s="303">
        <v>7206.08</v>
      </c>
      <c r="AA857" s="305">
        <f>IF(Z857=0,0,IF(Y857="MXN",1/HLOOKUP(YEAR(X857)+(MONTH(X857)/100),TC!$5:$37,DAY(X857)+2,FALSE),VLOOKUP(Y857,Equivalencia!$1:$23,((MAX(Equivalencia!$3:$3)-YEAR(X857))*14)+MONTH(X857)+2,FALSE)))</f>
        <v>1</v>
      </c>
      <c r="AB857" s="306">
        <f t="shared" si="229"/>
        <v>7206.08</v>
      </c>
      <c r="AC857" s="305">
        <f>+IF(X857=0,0,HLOOKUP(YEAR(X857)+(MONTH(X857)/100),TC!$5:$37,DAY(X857)+2,FALSE))</f>
        <v>19.861799999999999</v>
      </c>
      <c r="AD857" s="307">
        <f t="shared" si="230"/>
        <v>143125.719744</v>
      </c>
      <c r="AE857" s="314">
        <f t="shared" si="231"/>
        <v>65175.214161340795</v>
      </c>
      <c r="AF857" s="315">
        <f t="shared" si="232"/>
        <v>77950.505582659214</v>
      </c>
      <c r="AG857" s="316">
        <f t="shared" si="233"/>
        <v>3.6</v>
      </c>
      <c r="AH857" s="314">
        <v>1</v>
      </c>
      <c r="AI857" s="314">
        <f t="shared" si="234"/>
        <v>77950.505582659214</v>
      </c>
      <c r="AJ857" s="314">
        <f t="shared" si="235"/>
        <v>0</v>
      </c>
      <c r="AK857" s="317"/>
      <c r="AL857" s="315">
        <f t="shared" si="236"/>
        <v>4366.01</v>
      </c>
      <c r="AN857" s="554">
        <f t="shared" si="237"/>
        <v>1.5372895738485319</v>
      </c>
      <c r="AO857" s="314"/>
      <c r="AP857" s="318"/>
    </row>
    <row r="858" spans="2:42">
      <c r="B858" s="296" t="s">
        <v>1266</v>
      </c>
      <c r="C858" s="299" t="s">
        <v>277</v>
      </c>
      <c r="D858" s="298" t="s">
        <v>757</v>
      </c>
      <c r="E858" s="299" t="s">
        <v>113</v>
      </c>
      <c r="F858" s="299" t="s">
        <v>59</v>
      </c>
      <c r="G858" s="300">
        <v>43476</v>
      </c>
      <c r="H858" s="303">
        <v>1476.84</v>
      </c>
      <c r="I858" s="301" t="str">
        <f t="shared" si="221"/>
        <v>Ingresos Sección II LISR (SIC &amp; BMV)</v>
      </c>
      <c r="J858" s="302">
        <f t="shared" si="222"/>
        <v>13</v>
      </c>
      <c r="K858" s="304">
        <f t="shared" si="223"/>
        <v>113.60307692307691</v>
      </c>
      <c r="L858" s="305">
        <f>IF(H858=0,0,IF(OR(E858=$AT$5,E858=$AT$6),AA858,IF(F858="MXN",1/HLOOKUP(YEAR(G858)+(MONTH(G858)/100),TC!$5:$37,DAY(G858)+2,FALSE),VLOOKUP(F858,Equivalencia!$5:$23,((MAX(Equivalencia!$3:$3)-YEAR(G858))*14)+MONTH(G858)+2,FALSE))))</f>
        <v>1</v>
      </c>
      <c r="M858" s="306">
        <f t="shared" si="224"/>
        <v>1476.84</v>
      </c>
      <c r="N858" s="305">
        <f>IF(G858=0,0,(IF(OR(E858=$AT$5,E858=$AT$6),AC858,HLOOKUP(YEAR(G858)+(MONTH(G858)/100),TC!$5:$37,DAY(G858)+2,FALSE))))</f>
        <v>19.2456</v>
      </c>
      <c r="O858" s="307">
        <f t="shared" si="225"/>
        <v>28422.671903999999</v>
      </c>
      <c r="P858" s="560">
        <f>IF(G858=0,0,VLOOKUP(YEAR(G858),INPC!$B$4:$P$30,MONTH(G858)+2))</f>
        <v>103.108</v>
      </c>
      <c r="Q858" s="560">
        <f>IF(X858=0,0,IF(OR(E858=$AT$10,E858=$AT$9),VLOOKUP(YEAR(X858),INPC!$B$4:$P$30,MONTH(X858)+1),VLOOKUP(YEAR(X858),INPC!$B$4:$P$30,MONTH(X858)+2,0)))</f>
        <v>122.94799999999999</v>
      </c>
      <c r="R858" s="309">
        <f t="shared" si="226"/>
        <v>1.1923999999999999</v>
      </c>
      <c r="S858" s="310">
        <f t="shared" si="227"/>
        <v>33891.193978329597</v>
      </c>
      <c r="T858" s="555">
        <f t="shared" si="228"/>
        <v>2607.0149214099688</v>
      </c>
      <c r="U858" s="311"/>
      <c r="V858" s="312">
        <v>13</v>
      </c>
      <c r="W858" s="299" t="s">
        <v>194</v>
      </c>
      <c r="X858" s="300">
        <v>44802</v>
      </c>
      <c r="Y858" s="299" t="s">
        <v>59</v>
      </c>
      <c r="Z858" s="303">
        <v>3536.75</v>
      </c>
      <c r="AA858" s="305">
        <f>IF(Z858=0,0,IF(Y858="MXN",1/HLOOKUP(YEAR(X858)+(MONTH(X858)/100),TC!$5:$37,DAY(X858)+2,FALSE),VLOOKUP(Y858,Equivalencia!$1:$23,((MAX(Equivalencia!$3:$3)-YEAR(X858))*14)+MONTH(X858)+2,FALSE)))</f>
        <v>1</v>
      </c>
      <c r="AB858" s="306">
        <f t="shared" si="229"/>
        <v>3536.75</v>
      </c>
      <c r="AC858" s="305">
        <f>+IF(X858=0,0,HLOOKUP(YEAR(X858)+(MONTH(X858)/100),TC!$5:$37,DAY(X858)+2,FALSE))</f>
        <v>19.9437</v>
      </c>
      <c r="AD858" s="307">
        <f t="shared" si="230"/>
        <v>70535.880974999993</v>
      </c>
      <c r="AE858" s="314">
        <f t="shared" si="231"/>
        <v>33891.193978329597</v>
      </c>
      <c r="AF858" s="315">
        <f t="shared" si="232"/>
        <v>36644.686996670396</v>
      </c>
      <c r="AG858" s="316">
        <f t="shared" si="233"/>
        <v>3.6328767123287671</v>
      </c>
      <c r="AH858" s="314">
        <v>1</v>
      </c>
      <c r="AI858" s="314">
        <f t="shared" si="234"/>
        <v>36644.686996670396</v>
      </c>
      <c r="AJ858" s="314">
        <f t="shared" si="235"/>
        <v>0</v>
      </c>
      <c r="AK858" s="317"/>
      <c r="AL858" s="315">
        <f t="shared" si="236"/>
        <v>2059.91</v>
      </c>
      <c r="AN858" s="554">
        <f t="shared" si="237"/>
        <v>1.3948091871834458</v>
      </c>
      <c r="AO858" s="314"/>
      <c r="AP858" s="318"/>
    </row>
    <row r="859" spans="2:42">
      <c r="B859" s="296" t="s">
        <v>1266</v>
      </c>
      <c r="C859" s="299" t="s">
        <v>277</v>
      </c>
      <c r="D859" s="298" t="s">
        <v>716</v>
      </c>
      <c r="E859" s="299" t="s">
        <v>113</v>
      </c>
      <c r="F859" s="299" t="s">
        <v>59</v>
      </c>
      <c r="G859" s="300">
        <v>43990</v>
      </c>
      <c r="H859" s="303">
        <v>12402.35</v>
      </c>
      <c r="I859" s="301" t="str">
        <f t="shared" si="221"/>
        <v>Ingresos Sección II LISR (SIC &amp; BMV)</v>
      </c>
      <c r="J859" s="302">
        <f t="shared" si="222"/>
        <v>149</v>
      </c>
      <c r="K859" s="304">
        <f t="shared" si="223"/>
        <v>83.23724832214765</v>
      </c>
      <c r="L859" s="305">
        <f>IF(H859=0,0,IF(OR(E859=$AT$5,E859=$AT$6),AA859,IF(F859="MXN",1/HLOOKUP(YEAR(G859)+(MONTH(G859)/100),TC!$5:$37,DAY(G859)+2,FALSE),VLOOKUP(F859,Equivalencia!$5:$23,((MAX(Equivalencia!$3:$3)-YEAR(G859))*14)+MONTH(G859)+2,FALSE))))</f>
        <v>1</v>
      </c>
      <c r="M859" s="306">
        <f t="shared" si="224"/>
        <v>12402.35</v>
      </c>
      <c r="N859" s="305">
        <f>IF(G859=0,0,(IF(OR(E859=$AT$5,E859=$AT$6),AC859,HLOOKUP(YEAR(G859)+(MONTH(G859)/100),TC!$5:$37,DAY(G859)+2,FALSE))))</f>
        <v>21.838799999999999</v>
      </c>
      <c r="O859" s="307">
        <f t="shared" si="225"/>
        <v>270852.44118000002</v>
      </c>
      <c r="P859" s="560">
        <f>IF(G859=0,0,VLOOKUP(YEAR(G859),INPC!$B$4:$P$30,MONTH(G859)+2))</f>
        <v>106.74299999999999</v>
      </c>
      <c r="Q859" s="560">
        <f>IF(X859=0,0,IF(OR(E859=$AT$10,E859=$AT$9),VLOOKUP(YEAR(X859),INPC!$B$4:$P$30,MONTH(X859)+1),VLOOKUP(YEAR(X859),INPC!$B$4:$P$30,MONTH(X859)+2,0)))</f>
        <v>122.94799999999999</v>
      </c>
      <c r="R859" s="309">
        <f t="shared" si="226"/>
        <v>1.1517999999999999</v>
      </c>
      <c r="S859" s="310">
        <f t="shared" si="227"/>
        <v>311967.84175112401</v>
      </c>
      <c r="T859" s="555">
        <f t="shared" si="228"/>
        <v>2093.7439043699596</v>
      </c>
      <c r="U859" s="311"/>
      <c r="V859" s="312">
        <v>149</v>
      </c>
      <c r="W859" s="299" t="s">
        <v>194</v>
      </c>
      <c r="X859" s="300">
        <v>44790</v>
      </c>
      <c r="Y859" s="299" t="s">
        <v>59</v>
      </c>
      <c r="Z859" s="303">
        <v>26050.560000000001</v>
      </c>
      <c r="AA859" s="305">
        <f>IF(Z859=0,0,IF(Y859="MXN",1/HLOOKUP(YEAR(X859)+(MONTH(X859)/100),TC!$5:$37,DAY(X859)+2,FALSE),VLOOKUP(Y859,Equivalencia!$1:$23,((MAX(Equivalencia!$3:$3)-YEAR(X859))*14)+MONTH(X859)+2,FALSE)))</f>
        <v>1</v>
      </c>
      <c r="AB859" s="306">
        <f t="shared" si="229"/>
        <v>26050.560000000001</v>
      </c>
      <c r="AC859" s="305">
        <f>+IF(X859=0,0,HLOOKUP(YEAR(X859)+(MONTH(X859)/100),TC!$5:$37,DAY(X859)+2,FALSE))</f>
        <v>19.861799999999999</v>
      </c>
      <c r="AD859" s="307">
        <f t="shared" si="230"/>
        <v>517411.01260800002</v>
      </c>
      <c r="AE859" s="314">
        <f t="shared" si="231"/>
        <v>311967.84175112401</v>
      </c>
      <c r="AF859" s="315">
        <f t="shared" si="232"/>
        <v>205443.17085687601</v>
      </c>
      <c r="AG859" s="316">
        <f t="shared" si="233"/>
        <v>2.1917808219178081</v>
      </c>
      <c r="AH859" s="314">
        <v>1</v>
      </c>
      <c r="AI859" s="314">
        <f t="shared" si="234"/>
        <v>205443.17085687601</v>
      </c>
      <c r="AJ859" s="314">
        <f t="shared" si="235"/>
        <v>0</v>
      </c>
      <c r="AK859" s="317"/>
      <c r="AL859" s="315">
        <f t="shared" si="236"/>
        <v>13648.210000000001</v>
      </c>
      <c r="AN859" s="554">
        <f t="shared" si="237"/>
        <v>1.1004535430785296</v>
      </c>
      <c r="AO859" s="314"/>
      <c r="AP859" s="318"/>
    </row>
    <row r="860" spans="2:42">
      <c r="B860" s="296" t="s">
        <v>1266</v>
      </c>
      <c r="C860" s="299" t="s">
        <v>277</v>
      </c>
      <c r="D860" s="298" t="s">
        <v>772</v>
      </c>
      <c r="E860" s="299" t="s">
        <v>113</v>
      </c>
      <c r="F860" s="299" t="s">
        <v>59</v>
      </c>
      <c r="G860" s="300">
        <v>44264</v>
      </c>
      <c r="H860" s="303">
        <v>8707.91</v>
      </c>
      <c r="I860" s="301" t="str">
        <f t="shared" si="221"/>
        <v>Ingresos Sección II LISR (SIC &amp; BMV)</v>
      </c>
      <c r="J860" s="302">
        <f t="shared" si="222"/>
        <v>77</v>
      </c>
      <c r="K860" s="304">
        <f t="shared" si="223"/>
        <v>113.08974025974025</v>
      </c>
      <c r="L860" s="305">
        <f>IF(H860=0,0,IF(OR(E860=$AT$5,E860=$AT$6),AA860,IF(F860="MXN",1/HLOOKUP(YEAR(G860)+(MONTH(G860)/100),TC!$5:$37,DAY(G860)+2,FALSE),VLOOKUP(F860,Equivalencia!$5:$23,((MAX(Equivalencia!$3:$3)-YEAR(G860))*14)+MONTH(G860)+2,FALSE))))</f>
        <v>1</v>
      </c>
      <c r="M860" s="306">
        <f t="shared" si="224"/>
        <v>8707.91</v>
      </c>
      <c r="N860" s="305">
        <f>IF(G860=0,0,(IF(OR(E860=$AT$5,E860=$AT$6),AC860,HLOOKUP(YEAR(G860)+(MONTH(G860)/100),TC!$5:$37,DAY(G860)+2,FALSE))))</f>
        <v>21.263500000000001</v>
      </c>
      <c r="O860" s="307">
        <f t="shared" si="225"/>
        <v>185160.64428499999</v>
      </c>
      <c r="P860" s="560">
        <f>IF(G860=0,0,VLOOKUP(YEAR(G860),INPC!$B$4:$P$30,MONTH(G860)+2))</f>
        <v>111.824</v>
      </c>
      <c r="Q860" s="560">
        <f>IF(X860=0,0,IF(OR(E860=$AT$10,E860=$AT$9),VLOOKUP(YEAR(X860),INPC!$B$4:$P$30,MONTH(X860)+1),VLOOKUP(YEAR(X860),INPC!$B$4:$P$30,MONTH(X860)+2,0)))</f>
        <v>122.94799999999999</v>
      </c>
      <c r="R860" s="309">
        <f t="shared" si="226"/>
        <v>1.0993999999999999</v>
      </c>
      <c r="S860" s="310">
        <f t="shared" si="227"/>
        <v>203565.61232692897</v>
      </c>
      <c r="T860" s="555">
        <f t="shared" si="228"/>
        <v>2643.7092509990775</v>
      </c>
      <c r="U860" s="311"/>
      <c r="V860" s="312">
        <v>77</v>
      </c>
      <c r="W860" s="299" t="s">
        <v>194</v>
      </c>
      <c r="X860" s="300">
        <v>44790</v>
      </c>
      <c r="Y860" s="299" t="s">
        <v>59</v>
      </c>
      <c r="Z860" s="303">
        <v>8189.55</v>
      </c>
      <c r="AA860" s="305">
        <f>IF(Z860=0,0,IF(Y860="MXN",1/HLOOKUP(YEAR(X860)+(MONTH(X860)/100),TC!$5:$37,DAY(X860)+2,FALSE),VLOOKUP(Y860,Equivalencia!$1:$23,((MAX(Equivalencia!$3:$3)-YEAR(X860))*14)+MONTH(X860)+2,FALSE)))</f>
        <v>1</v>
      </c>
      <c r="AB860" s="306">
        <f t="shared" si="229"/>
        <v>8189.55</v>
      </c>
      <c r="AC860" s="305">
        <f>+IF(X860=0,0,HLOOKUP(YEAR(X860)+(MONTH(X860)/100),TC!$5:$37,DAY(X860)+2,FALSE))</f>
        <v>19.861799999999999</v>
      </c>
      <c r="AD860" s="307">
        <f t="shared" si="230"/>
        <v>162659.20418999999</v>
      </c>
      <c r="AE860" s="314">
        <f t="shared" si="231"/>
        <v>203565.61232692897</v>
      </c>
      <c r="AF860" s="315">
        <f t="shared" si="232"/>
        <v>-40906.408136928978</v>
      </c>
      <c r="AG860" s="316">
        <f t="shared" si="233"/>
        <v>1.441095890410959</v>
      </c>
      <c r="AH860" s="314">
        <v>1</v>
      </c>
      <c r="AI860" s="314">
        <f t="shared" si="234"/>
        <v>-40906.408136928978</v>
      </c>
      <c r="AJ860" s="314">
        <f t="shared" si="235"/>
        <v>0</v>
      </c>
      <c r="AK860" s="317"/>
      <c r="AL860" s="315">
        <f t="shared" si="236"/>
        <v>-518.35999999999967</v>
      </c>
      <c r="AN860" s="554">
        <f t="shared" si="237"/>
        <v>-5.9527487077840682E-2</v>
      </c>
      <c r="AO860" s="314"/>
      <c r="AP860" s="318"/>
    </row>
    <row r="861" spans="2:42">
      <c r="B861" s="296" t="s">
        <v>1266</v>
      </c>
      <c r="C861" s="299" t="s">
        <v>277</v>
      </c>
      <c r="D861" s="298" t="s">
        <v>960</v>
      </c>
      <c r="E861" s="299" t="s">
        <v>113</v>
      </c>
      <c r="F861" s="299" t="s">
        <v>59</v>
      </c>
      <c r="G861" s="300">
        <v>44720</v>
      </c>
      <c r="H861" s="303">
        <v>1640.73</v>
      </c>
      <c r="I861" s="301" t="str">
        <f t="shared" si="221"/>
        <v>Ingresos Sección II LISR (SIC &amp; BMV)</v>
      </c>
      <c r="J861" s="302">
        <f t="shared" si="222"/>
        <v>78</v>
      </c>
      <c r="K861" s="304">
        <f t="shared" si="223"/>
        <v>21.035</v>
      </c>
      <c r="L861" s="305">
        <f>IF(H861=0,0,IF(OR(E861=$AT$5,E861=$AT$6),AA861,IF(F861="MXN",1/HLOOKUP(YEAR(G861)+(MONTH(G861)/100),TC!$5:$37,DAY(G861)+2,FALSE),VLOOKUP(F861,Equivalencia!$5:$23,((MAX(Equivalencia!$3:$3)-YEAR(G861))*14)+MONTH(G861)+2,FALSE))))</f>
        <v>1</v>
      </c>
      <c r="M861" s="306">
        <f t="shared" si="224"/>
        <v>1640.73</v>
      </c>
      <c r="N861" s="305">
        <f>IF(G861=0,0,(IF(OR(E861=$AT$5,E861=$AT$6),AC861,HLOOKUP(YEAR(G861)+(MONTH(G861)/100),TC!$5:$37,DAY(G861)+2,FALSE))))</f>
        <v>19.5547</v>
      </c>
      <c r="O861" s="307">
        <f t="shared" si="225"/>
        <v>32083.982931000002</v>
      </c>
      <c r="P861" s="560">
        <f>IF(G861=0,0,VLOOKUP(YEAR(G861),INPC!$B$4:$P$30,MONTH(G861)+2))</f>
        <v>122.044</v>
      </c>
      <c r="Q861" s="560">
        <f>IF(X861=0,0,IF(OR(E861=$AT$10,E861=$AT$9),VLOOKUP(YEAR(X861),INPC!$B$4:$P$30,MONTH(X861)+1),VLOOKUP(YEAR(X861),INPC!$B$4:$P$30,MONTH(X861)+2,0)))</f>
        <v>122.94799999999999</v>
      </c>
      <c r="R861" s="309">
        <f t="shared" si="226"/>
        <v>1.0074000000000001</v>
      </c>
      <c r="S861" s="310">
        <f t="shared" si="227"/>
        <v>32321.404404689405</v>
      </c>
      <c r="T861" s="555">
        <f t="shared" si="228"/>
        <v>414.37697954730004</v>
      </c>
      <c r="U861" s="311"/>
      <c r="V861" s="312">
        <v>78</v>
      </c>
      <c r="W861" s="299" t="s">
        <v>194</v>
      </c>
      <c r="X861" s="300">
        <v>44790</v>
      </c>
      <c r="Y861" s="299" t="s">
        <v>59</v>
      </c>
      <c r="Z861" s="303">
        <v>1446.85</v>
      </c>
      <c r="AA861" s="305">
        <f>IF(Z861=0,0,IF(Y861="MXN",1/HLOOKUP(YEAR(X861)+(MONTH(X861)/100),TC!$5:$37,DAY(X861)+2,FALSE),VLOOKUP(Y861,Equivalencia!$1:$23,((MAX(Equivalencia!$3:$3)-YEAR(X861))*14)+MONTH(X861)+2,FALSE)))</f>
        <v>1</v>
      </c>
      <c r="AB861" s="306">
        <f t="shared" si="229"/>
        <v>1446.85</v>
      </c>
      <c r="AC861" s="305">
        <f>+IF(X861=0,0,HLOOKUP(YEAR(X861)+(MONTH(X861)/100),TC!$5:$37,DAY(X861)+2,FALSE))</f>
        <v>19.861799999999999</v>
      </c>
      <c r="AD861" s="307">
        <f t="shared" si="230"/>
        <v>28737.045329999997</v>
      </c>
      <c r="AE861" s="314">
        <f t="shared" si="231"/>
        <v>32321.404404689401</v>
      </c>
      <c r="AF861" s="315">
        <f t="shared" si="232"/>
        <v>-3584.3590746894042</v>
      </c>
      <c r="AG861" s="316">
        <f t="shared" si="233"/>
        <v>0.19178082191780821</v>
      </c>
      <c r="AH861" s="314">
        <v>1</v>
      </c>
      <c r="AI861" s="314">
        <f t="shared" si="234"/>
        <v>-3584.3590746894042</v>
      </c>
      <c r="AJ861" s="314">
        <f t="shared" si="235"/>
        <v>0</v>
      </c>
      <c r="AK861" s="317"/>
      <c r="AL861" s="315">
        <f t="shared" si="236"/>
        <v>-193.88000000000011</v>
      </c>
      <c r="AN861" s="554">
        <f t="shared" si="237"/>
        <v>-0.11816691350801174</v>
      </c>
      <c r="AO861" s="314"/>
      <c r="AP861" s="318"/>
    </row>
    <row r="862" spans="2:42">
      <c r="B862" s="296" t="s">
        <v>1266</v>
      </c>
      <c r="C862" s="299" t="s">
        <v>277</v>
      </c>
      <c r="D862" s="298" t="s">
        <v>972</v>
      </c>
      <c r="E862" s="299" t="s">
        <v>113</v>
      </c>
      <c r="F862" s="299" t="s">
        <v>59</v>
      </c>
      <c r="G862" s="300">
        <v>44431</v>
      </c>
      <c r="H862" s="303">
        <v>8489.27</v>
      </c>
      <c r="I862" s="301" t="str">
        <f t="shared" si="221"/>
        <v>Ingresos Sección II LISR (SIC &amp; BMV)</v>
      </c>
      <c r="J862" s="302">
        <f t="shared" si="222"/>
        <v>4</v>
      </c>
      <c r="K862" s="304">
        <f t="shared" si="223"/>
        <v>2122.3175000000001</v>
      </c>
      <c r="L862" s="305">
        <f>IF(H862=0,0,IF(OR(E862=$AT$5,E862=$AT$6),AA862,IF(F862="MXN",1/HLOOKUP(YEAR(G862)+(MONTH(G862)/100),TC!$5:$37,DAY(G862)+2,FALSE),VLOOKUP(F862,Equivalencia!$5:$23,((MAX(Equivalencia!$3:$3)-YEAR(G862))*14)+MONTH(G862)+2,FALSE))))</f>
        <v>1</v>
      </c>
      <c r="M862" s="306">
        <f t="shared" si="224"/>
        <v>8489.27</v>
      </c>
      <c r="N862" s="305">
        <f>IF(G862=0,0,(IF(OR(E862=$AT$5,E862=$AT$6),AC862,HLOOKUP(YEAR(G862)+(MONTH(G862)/100),TC!$5:$37,DAY(G862)+2,FALSE))))</f>
        <v>20.1175</v>
      </c>
      <c r="O862" s="307">
        <f t="shared" si="225"/>
        <v>170782.88922500002</v>
      </c>
      <c r="P862" s="560">
        <f>IF(G862=0,0,VLOOKUP(YEAR(G862),INPC!$B$4:$P$30,MONTH(G862)+2))</f>
        <v>113.899</v>
      </c>
      <c r="Q862" s="560">
        <f>IF(X862=0,0,IF(OR(E862=$AT$10,E862=$AT$9),VLOOKUP(YEAR(X862),INPC!$B$4:$P$30,MONTH(X862)+1),VLOOKUP(YEAR(X862),INPC!$B$4:$P$30,MONTH(X862)+2,0)))</f>
        <v>122.94799999999999</v>
      </c>
      <c r="R862" s="309">
        <f t="shared" si="226"/>
        <v>1.0793999999999999</v>
      </c>
      <c r="S862" s="310">
        <f t="shared" si="227"/>
        <v>184343.050629465</v>
      </c>
      <c r="T862" s="555">
        <f t="shared" si="228"/>
        <v>46085.762657366249</v>
      </c>
      <c r="U862" s="311"/>
      <c r="V862" s="312">
        <v>4</v>
      </c>
      <c r="W862" s="299" t="s">
        <v>194</v>
      </c>
      <c r="X862" s="300">
        <v>44790</v>
      </c>
      <c r="Y862" s="299" t="s">
        <v>59</v>
      </c>
      <c r="Z862" s="303">
        <v>8513.75</v>
      </c>
      <c r="AA862" s="305">
        <f>IF(Z862=0,0,IF(Y862="MXN",1/HLOOKUP(YEAR(X862)+(MONTH(X862)/100),TC!$5:$37,DAY(X862)+2,FALSE),VLOOKUP(Y862,Equivalencia!$1:$23,((MAX(Equivalencia!$3:$3)-YEAR(X862))*14)+MONTH(X862)+2,FALSE)))</f>
        <v>1</v>
      </c>
      <c r="AB862" s="306">
        <f t="shared" si="229"/>
        <v>8513.75</v>
      </c>
      <c r="AC862" s="305">
        <f>+IF(X862=0,0,HLOOKUP(YEAR(X862)+(MONTH(X862)/100),TC!$5:$37,DAY(X862)+2,FALSE))</f>
        <v>19.861799999999999</v>
      </c>
      <c r="AD862" s="307">
        <f t="shared" si="230"/>
        <v>169098.39974999998</v>
      </c>
      <c r="AE862" s="314">
        <f t="shared" si="231"/>
        <v>184343.050629465</v>
      </c>
      <c r="AF862" s="315">
        <f t="shared" si="232"/>
        <v>-15244.650879465014</v>
      </c>
      <c r="AG862" s="316">
        <f t="shared" si="233"/>
        <v>0.98356164383561639</v>
      </c>
      <c r="AH862" s="314">
        <v>1</v>
      </c>
      <c r="AI862" s="314">
        <f t="shared" si="234"/>
        <v>-15244.650879465014</v>
      </c>
      <c r="AJ862" s="314">
        <f t="shared" si="235"/>
        <v>0</v>
      </c>
      <c r="AK862" s="317"/>
      <c r="AL862" s="315">
        <f t="shared" si="236"/>
        <v>24.479999999999563</v>
      </c>
      <c r="AN862" s="554">
        <f t="shared" si="237"/>
        <v>2.8836401716519277E-3</v>
      </c>
      <c r="AO862" s="314"/>
      <c r="AP862" s="318"/>
    </row>
    <row r="863" spans="2:42">
      <c r="B863" s="296" t="s">
        <v>1266</v>
      </c>
      <c r="C863" s="299" t="s">
        <v>277</v>
      </c>
      <c r="D863" s="298" t="s">
        <v>973</v>
      </c>
      <c r="E863" s="299" t="s">
        <v>113</v>
      </c>
      <c r="F863" s="299" t="s">
        <v>59</v>
      </c>
      <c r="G863" s="300">
        <v>44251</v>
      </c>
      <c r="H863" s="303">
        <v>7353.94</v>
      </c>
      <c r="I863" s="301" t="str">
        <f t="shared" si="221"/>
        <v>Ingresos Sección II LISR (SIC &amp; BMV)</v>
      </c>
      <c r="J863" s="302">
        <f t="shared" si="222"/>
        <v>187</v>
      </c>
      <c r="K863" s="304">
        <f t="shared" si="223"/>
        <v>39.325882352941171</v>
      </c>
      <c r="L863" s="305">
        <f>IF(H863=0,0,IF(OR(E863=$AT$5,E863=$AT$6),AA863,IF(F863="MXN",1/HLOOKUP(YEAR(G863)+(MONTH(G863)/100),TC!$5:$37,DAY(G863)+2,FALSE),VLOOKUP(F863,Equivalencia!$5:$23,((MAX(Equivalencia!$3:$3)-YEAR(G863))*14)+MONTH(G863)+2,FALSE))))</f>
        <v>1</v>
      </c>
      <c r="M863" s="306">
        <f t="shared" si="224"/>
        <v>7353.94</v>
      </c>
      <c r="N863" s="305">
        <f>IF(G863=0,0,(IF(OR(E863=$AT$5,E863=$AT$6),AC863,HLOOKUP(YEAR(G863)+(MONTH(G863)/100),TC!$5:$37,DAY(G863)+2,FALSE))))</f>
        <v>20.6783</v>
      </c>
      <c r="O863" s="307">
        <f t="shared" si="225"/>
        <v>152066.97750199999</v>
      </c>
      <c r="P863" s="560">
        <f>IF(G863=0,0,VLOOKUP(YEAR(G863),INPC!$B$4:$P$30,MONTH(G863)+2))</f>
        <v>110.907</v>
      </c>
      <c r="Q863" s="560">
        <f>IF(X863=0,0,IF(OR(E863=$AT$10,E863=$AT$9),VLOOKUP(YEAR(X863),INPC!$B$4:$P$30,MONTH(X863)+1),VLOOKUP(YEAR(X863),INPC!$B$4:$P$30,MONTH(X863)+2,0)))</f>
        <v>122.94799999999999</v>
      </c>
      <c r="R863" s="309">
        <f t="shared" si="226"/>
        <v>1.1085</v>
      </c>
      <c r="S863" s="310">
        <f t="shared" si="227"/>
        <v>168566.244560967</v>
      </c>
      <c r="T863" s="555">
        <f t="shared" si="228"/>
        <v>901.42376770570581</v>
      </c>
      <c r="U863" s="311"/>
      <c r="V863" s="312">
        <v>187</v>
      </c>
      <c r="W863" s="299" t="s">
        <v>194</v>
      </c>
      <c r="X863" s="300">
        <v>44790</v>
      </c>
      <c r="Y863" s="299" t="s">
        <v>59</v>
      </c>
      <c r="Z863" s="303">
        <v>7922.08</v>
      </c>
      <c r="AA863" s="305">
        <f>IF(Z863=0,0,IF(Y863="MXN",1/HLOOKUP(YEAR(X863)+(MONTH(X863)/100),TC!$5:$37,DAY(X863)+2,FALSE),VLOOKUP(Y863,Equivalencia!$1:$23,((MAX(Equivalencia!$3:$3)-YEAR(X863))*14)+MONTH(X863)+2,FALSE)))</f>
        <v>1</v>
      </c>
      <c r="AB863" s="306">
        <f t="shared" si="229"/>
        <v>7922.08</v>
      </c>
      <c r="AC863" s="305">
        <f>+IF(X863=0,0,HLOOKUP(YEAR(X863)+(MONTH(X863)/100),TC!$5:$37,DAY(X863)+2,FALSE))</f>
        <v>19.861799999999999</v>
      </c>
      <c r="AD863" s="307">
        <f t="shared" si="230"/>
        <v>157346.76854399999</v>
      </c>
      <c r="AE863" s="314">
        <f t="shared" si="231"/>
        <v>168566.244560967</v>
      </c>
      <c r="AF863" s="315">
        <f t="shared" si="232"/>
        <v>-11219.476016967004</v>
      </c>
      <c r="AG863" s="316">
        <f t="shared" si="233"/>
        <v>1.4767123287671233</v>
      </c>
      <c r="AH863" s="314">
        <v>1</v>
      </c>
      <c r="AI863" s="314">
        <f t="shared" si="234"/>
        <v>-11219.476016967004</v>
      </c>
      <c r="AJ863" s="314">
        <f t="shared" si="235"/>
        <v>0</v>
      </c>
      <c r="AK863" s="317"/>
      <c r="AL863" s="315">
        <f t="shared" si="236"/>
        <v>568.14000000000033</v>
      </c>
      <c r="AN863" s="554">
        <f t="shared" si="237"/>
        <v>7.7256545470863289E-2</v>
      </c>
      <c r="AO863" s="314"/>
      <c r="AP863" s="318"/>
    </row>
    <row r="864" spans="2:42">
      <c r="B864" s="296" t="s">
        <v>1266</v>
      </c>
      <c r="C864" s="299" t="s">
        <v>277</v>
      </c>
      <c r="D864" s="298" t="s">
        <v>974</v>
      </c>
      <c r="E864" s="299" t="s">
        <v>106</v>
      </c>
      <c r="F864" s="299" t="s">
        <v>59</v>
      </c>
      <c r="G864" s="300">
        <v>44720</v>
      </c>
      <c r="H864" s="303">
        <v>5379.31</v>
      </c>
      <c r="I864" s="301" t="str">
        <f t="shared" si="221"/>
        <v>Ingresos Sección I LISR</v>
      </c>
      <c r="J864" s="302">
        <f t="shared" si="222"/>
        <v>34</v>
      </c>
      <c r="K864" s="304">
        <f t="shared" si="223"/>
        <v>158.215</v>
      </c>
      <c r="L864" s="305">
        <f>IF(H864=0,0,IF(OR(E864=$AT$5,E864=$AT$6),AA864,IF(F864="MXN",1/HLOOKUP(YEAR(G864)+(MONTH(G864)/100),TC!$5:$37,DAY(G864)+2,FALSE),VLOOKUP(F864,Equivalencia!$5:$23,((MAX(Equivalencia!$3:$3)-YEAR(G864))*14)+MONTH(G864)+2,FALSE))))</f>
        <v>1</v>
      </c>
      <c r="M864" s="306">
        <f t="shared" si="224"/>
        <v>5379.31</v>
      </c>
      <c r="N864" s="305">
        <f>IF(G864=0,0,(IF(OR(E864=$AT$5,E864=$AT$6),AC864,HLOOKUP(YEAR(G864)+(MONTH(G864)/100),TC!$5:$37,DAY(G864)+2,FALSE))))</f>
        <v>19.5547</v>
      </c>
      <c r="O864" s="307">
        <f t="shared" si="225"/>
        <v>105190.79325700001</v>
      </c>
      <c r="P864" s="560">
        <f>IF(G864=0,0,VLOOKUP(YEAR(G864),INPC!$B$4:$P$30,MONTH(G864)+2))</f>
        <v>122.044</v>
      </c>
      <c r="Q864" s="560">
        <f>IF(X864=0,0,IF(OR(E864=$AT$10,E864=$AT$9),VLOOKUP(YEAR(X864),INPC!$B$4:$P$30,MONTH(X864)+1),VLOOKUP(YEAR(X864),INPC!$B$4:$P$30,MONTH(X864)+2,0)))</f>
        <v>123.803</v>
      </c>
      <c r="R864" s="309">
        <f t="shared" si="226"/>
        <v>1.0144</v>
      </c>
      <c r="S864" s="310">
        <f t="shared" si="227"/>
        <v>106705.54067990081</v>
      </c>
      <c r="T864" s="555">
        <f t="shared" si="228"/>
        <v>3138.3982552912003</v>
      </c>
      <c r="U864" s="311"/>
      <c r="V864" s="312">
        <v>34</v>
      </c>
      <c r="W864" s="299" t="s">
        <v>194</v>
      </c>
      <c r="X864" s="300">
        <v>44790</v>
      </c>
      <c r="Y864" s="299" t="s">
        <v>59</v>
      </c>
      <c r="Z864" s="303">
        <v>3897.89</v>
      </c>
      <c r="AA864" s="305">
        <f>IF(Z864=0,0,IF(Y864="MXN",1/HLOOKUP(YEAR(X864)+(MONTH(X864)/100),TC!$5:$37,DAY(X864)+2,FALSE),VLOOKUP(Y864,Equivalencia!$1:$23,((MAX(Equivalencia!$3:$3)-YEAR(X864))*14)+MONTH(X864)+2,FALSE)))</f>
        <v>1</v>
      </c>
      <c r="AB864" s="306">
        <f t="shared" si="229"/>
        <v>3897.89</v>
      </c>
      <c r="AC864" s="305">
        <f>+IF(X864=0,0,HLOOKUP(YEAR(X864)+(MONTH(X864)/100),TC!$5:$37,DAY(X864)+2,FALSE))</f>
        <v>19.861799999999999</v>
      </c>
      <c r="AD864" s="307">
        <f t="shared" si="230"/>
        <v>77419.11160199999</v>
      </c>
      <c r="AE864" s="314">
        <f t="shared" si="231"/>
        <v>106705.54067990081</v>
      </c>
      <c r="AF864" s="315">
        <f t="shared" si="232"/>
        <v>-29286.429077900815</v>
      </c>
      <c r="AG864" s="316">
        <f t="shared" si="233"/>
        <v>0.19178082191780821</v>
      </c>
      <c r="AH864" s="314">
        <v>1</v>
      </c>
      <c r="AI864" s="314">
        <f t="shared" si="234"/>
        <v>-29286.429077900815</v>
      </c>
      <c r="AJ864" s="314">
        <f t="shared" si="235"/>
        <v>0</v>
      </c>
      <c r="AK864" s="317"/>
      <c r="AL864" s="315">
        <f t="shared" si="236"/>
        <v>-1481.4200000000005</v>
      </c>
      <c r="AN864" s="554">
        <f t="shared" si="237"/>
        <v>-0.27539219714052554</v>
      </c>
      <c r="AO864" s="314"/>
      <c r="AP864" s="318"/>
    </row>
    <row r="865" spans="2:42">
      <c r="B865" s="296" t="s">
        <v>1266</v>
      </c>
      <c r="C865" s="299" t="s">
        <v>277</v>
      </c>
      <c r="D865" s="298" t="s">
        <v>755</v>
      </c>
      <c r="E865" s="299" t="s">
        <v>113</v>
      </c>
      <c r="F865" s="299" t="s">
        <v>59</v>
      </c>
      <c r="G865" s="300">
        <v>43784</v>
      </c>
      <c r="H865" s="303">
        <v>3358.41</v>
      </c>
      <c r="I865" s="301" t="str">
        <f t="shared" si="221"/>
        <v>Ingresos Sección II LISR (SIC &amp; BMV)</v>
      </c>
      <c r="J865" s="302">
        <f t="shared" si="222"/>
        <v>11</v>
      </c>
      <c r="K865" s="304">
        <f t="shared" si="223"/>
        <v>305.31</v>
      </c>
      <c r="L865" s="305">
        <f>IF(H865=0,0,IF(OR(E865=$AT$5,E865=$AT$6),AA865,IF(F865="MXN",1/HLOOKUP(YEAR(G865)+(MONTH(G865)/100),TC!$5:$37,DAY(G865)+2,FALSE),VLOOKUP(F865,Equivalencia!$5:$23,((MAX(Equivalencia!$3:$3)-YEAR(G865))*14)+MONTH(G865)+2,FALSE))))</f>
        <v>1</v>
      </c>
      <c r="M865" s="306">
        <f t="shared" si="224"/>
        <v>3358.41</v>
      </c>
      <c r="N865" s="305">
        <f>IF(G865=0,0,(IF(OR(E865=$AT$5,E865=$AT$6),AC865,HLOOKUP(YEAR(G865)+(MONTH(G865)/100),TC!$5:$37,DAY(G865)+2,FALSE))))</f>
        <v>19.4543</v>
      </c>
      <c r="O865" s="307">
        <f t="shared" si="225"/>
        <v>65335.515662999998</v>
      </c>
      <c r="P865" s="560">
        <f>IF(G865=0,0,VLOOKUP(YEAR(G865),INPC!$B$4:$P$30,MONTH(G865)+2))</f>
        <v>105.346</v>
      </c>
      <c r="Q865" s="560">
        <f>IF(X865=0,0,IF(OR(E865=$AT$10,E865=$AT$9),VLOOKUP(YEAR(X865),INPC!$B$4:$P$30,MONTH(X865)+1),VLOOKUP(YEAR(X865),INPC!$B$4:$P$30,MONTH(X865)+2,0)))</f>
        <v>122.94799999999999</v>
      </c>
      <c r="R865" s="309">
        <f t="shared" si="226"/>
        <v>1.167</v>
      </c>
      <c r="S865" s="310">
        <f t="shared" si="227"/>
        <v>76246.546778721007</v>
      </c>
      <c r="T865" s="555">
        <f t="shared" si="228"/>
        <v>6931.504252611001</v>
      </c>
      <c r="U865" s="311"/>
      <c r="V865" s="312">
        <v>11</v>
      </c>
      <c r="W865" s="299" t="s">
        <v>194</v>
      </c>
      <c r="X865" s="300">
        <v>44790</v>
      </c>
      <c r="Y865" s="299" t="s">
        <v>59</v>
      </c>
      <c r="Z865" s="303">
        <v>6124</v>
      </c>
      <c r="AA865" s="305">
        <f>IF(Z865=0,0,IF(Y865="MXN",1/HLOOKUP(YEAR(X865)+(MONTH(X865)/100),TC!$5:$37,DAY(X865)+2,FALSE),VLOOKUP(Y865,Equivalencia!$1:$23,((MAX(Equivalencia!$3:$3)-YEAR(X865))*14)+MONTH(X865)+2,FALSE)))</f>
        <v>1</v>
      </c>
      <c r="AB865" s="306">
        <f t="shared" si="229"/>
        <v>6124</v>
      </c>
      <c r="AC865" s="305">
        <f>+IF(X865=0,0,HLOOKUP(YEAR(X865)+(MONTH(X865)/100),TC!$5:$37,DAY(X865)+2,FALSE))</f>
        <v>19.861799999999999</v>
      </c>
      <c r="AD865" s="307">
        <f t="shared" si="230"/>
        <v>121633.6632</v>
      </c>
      <c r="AE865" s="314">
        <f t="shared" si="231"/>
        <v>76246.546778721007</v>
      </c>
      <c r="AF865" s="315">
        <f t="shared" si="232"/>
        <v>45387.116421278988</v>
      </c>
      <c r="AG865" s="316">
        <f t="shared" si="233"/>
        <v>2.7561643835616438</v>
      </c>
      <c r="AH865" s="314">
        <v>1</v>
      </c>
      <c r="AI865" s="314">
        <f t="shared" si="234"/>
        <v>45387.116421278988</v>
      </c>
      <c r="AJ865" s="314">
        <f t="shared" si="235"/>
        <v>0</v>
      </c>
      <c r="AK865" s="317"/>
      <c r="AL865" s="315">
        <f t="shared" si="236"/>
        <v>2765.59</v>
      </c>
      <c r="AN865" s="554">
        <f t="shared" si="237"/>
        <v>0.82348194532531771</v>
      </c>
      <c r="AO865" s="314"/>
      <c r="AP865" s="318"/>
    </row>
    <row r="866" spans="2:42">
      <c r="B866" s="296" t="s">
        <v>1266</v>
      </c>
      <c r="C866" s="299" t="s">
        <v>277</v>
      </c>
      <c r="D866" s="298" t="s">
        <v>975</v>
      </c>
      <c r="E866" s="299" t="s">
        <v>113</v>
      </c>
      <c r="F866" s="299" t="s">
        <v>59</v>
      </c>
      <c r="G866" s="300">
        <v>43731</v>
      </c>
      <c r="H866" s="303">
        <v>8917.92</v>
      </c>
      <c r="I866" s="301" t="str">
        <f t="shared" si="221"/>
        <v>Ingresos Sección II LISR (SIC &amp; BMV)</v>
      </c>
      <c r="J866" s="302">
        <f t="shared" si="222"/>
        <v>68</v>
      </c>
      <c r="K866" s="304">
        <f t="shared" si="223"/>
        <v>131.14588235294119</v>
      </c>
      <c r="L866" s="305">
        <f>IF(H866=0,0,IF(OR(E866=$AT$5,E866=$AT$6),AA866,IF(F866="MXN",1/HLOOKUP(YEAR(G866)+(MONTH(G866)/100),TC!$5:$37,DAY(G866)+2,FALSE),VLOOKUP(F866,Equivalencia!$5:$23,((MAX(Equivalencia!$3:$3)-YEAR(G866))*14)+MONTH(G866)+2,FALSE))))</f>
        <v>1</v>
      </c>
      <c r="M866" s="306">
        <f t="shared" si="224"/>
        <v>8917.92</v>
      </c>
      <c r="N866" s="305">
        <f>IF(G866=0,0,(IF(OR(E866=$AT$5,E866=$AT$6),AC866,HLOOKUP(YEAR(G866)+(MONTH(G866)/100),TC!$5:$37,DAY(G866)+2,FALSE))))</f>
        <v>19.398099999999999</v>
      </c>
      <c r="O866" s="307">
        <f t="shared" si="225"/>
        <v>172990.70395200001</v>
      </c>
      <c r="P866" s="560">
        <f>IF(G866=0,0,VLOOKUP(YEAR(G866),INPC!$B$4:$P$30,MONTH(G866)+2))</f>
        <v>103.94199999999999</v>
      </c>
      <c r="Q866" s="560">
        <f>IF(X866=0,0,IF(OR(E866=$AT$10,E866=$AT$9),VLOOKUP(YEAR(X866),INPC!$B$4:$P$30,MONTH(X866)+1),VLOOKUP(YEAR(X866),INPC!$B$4:$P$30,MONTH(X866)+2,0)))</f>
        <v>122.94799999999999</v>
      </c>
      <c r="R866" s="309">
        <f t="shared" si="226"/>
        <v>1.1828000000000001</v>
      </c>
      <c r="S866" s="310">
        <f t="shared" si="227"/>
        <v>204613.40463442562</v>
      </c>
      <c r="T866" s="555">
        <f t="shared" si="228"/>
        <v>3009.0206563886122</v>
      </c>
      <c r="U866" s="311"/>
      <c r="V866" s="312">
        <v>68</v>
      </c>
      <c r="W866" s="299" t="s">
        <v>194</v>
      </c>
      <c r="X866" s="300">
        <v>44790</v>
      </c>
      <c r="Y866" s="299" t="s">
        <v>59</v>
      </c>
      <c r="Z866" s="303">
        <v>6918.16</v>
      </c>
      <c r="AA866" s="305">
        <f>IF(Z866=0,0,IF(Y866="MXN",1/HLOOKUP(YEAR(X866)+(MONTH(X866)/100),TC!$5:$37,DAY(X866)+2,FALSE),VLOOKUP(Y866,Equivalencia!$1:$23,((MAX(Equivalencia!$3:$3)-YEAR(X866))*14)+MONTH(X866)+2,FALSE)))</f>
        <v>1</v>
      </c>
      <c r="AB866" s="306">
        <f t="shared" si="229"/>
        <v>6918.16</v>
      </c>
      <c r="AC866" s="305">
        <f>+IF(X866=0,0,HLOOKUP(YEAR(X866)+(MONTH(X866)/100),TC!$5:$37,DAY(X866)+2,FALSE))</f>
        <v>19.861799999999999</v>
      </c>
      <c r="AD866" s="307">
        <f t="shared" si="230"/>
        <v>137407.110288</v>
      </c>
      <c r="AE866" s="314">
        <f t="shared" si="231"/>
        <v>204613.40463442562</v>
      </c>
      <c r="AF866" s="315">
        <f t="shared" si="232"/>
        <v>-67206.294346425624</v>
      </c>
      <c r="AG866" s="316">
        <f t="shared" si="233"/>
        <v>2.9013698630136986</v>
      </c>
      <c r="AH866" s="314">
        <v>1</v>
      </c>
      <c r="AI866" s="314">
        <f t="shared" si="234"/>
        <v>-67206.294346425624</v>
      </c>
      <c r="AJ866" s="314">
        <f t="shared" si="235"/>
        <v>0</v>
      </c>
      <c r="AK866" s="317"/>
      <c r="AL866" s="315">
        <f t="shared" si="236"/>
        <v>-1999.7600000000002</v>
      </c>
      <c r="AN866" s="554">
        <f t="shared" si="237"/>
        <v>-0.22424063010208661</v>
      </c>
      <c r="AO866" s="314"/>
      <c r="AP866" s="318"/>
    </row>
    <row r="867" spans="2:42">
      <c r="B867" s="296" t="s">
        <v>1266</v>
      </c>
      <c r="C867" s="299" t="s">
        <v>277</v>
      </c>
      <c r="D867" s="298" t="s">
        <v>775</v>
      </c>
      <c r="E867" s="299" t="s">
        <v>113</v>
      </c>
      <c r="F867" s="299" t="s">
        <v>59</v>
      </c>
      <c r="G867" s="300">
        <v>43636</v>
      </c>
      <c r="H867" s="303">
        <v>841.57</v>
      </c>
      <c r="I867" s="301" t="str">
        <f t="shared" si="221"/>
        <v>Ingresos Sección II LISR (SIC &amp; BMV)</v>
      </c>
      <c r="J867" s="302">
        <f t="shared" si="222"/>
        <v>4</v>
      </c>
      <c r="K867" s="304">
        <f t="shared" si="223"/>
        <v>210.39250000000001</v>
      </c>
      <c r="L867" s="305">
        <f>IF(H867=0,0,IF(OR(E867=$AT$5,E867=$AT$6),AA867,IF(F867="MXN",1/HLOOKUP(YEAR(G867)+(MONTH(G867)/100),TC!$5:$37,DAY(G867)+2,FALSE),VLOOKUP(F867,Equivalencia!$5:$23,((MAX(Equivalencia!$3:$3)-YEAR(G867))*14)+MONTH(G867)+2,FALSE))))</f>
        <v>1</v>
      </c>
      <c r="M867" s="306">
        <f t="shared" si="224"/>
        <v>841.57</v>
      </c>
      <c r="N867" s="305">
        <f>IF(G867=0,0,(IF(OR(E867=$AT$5,E867=$AT$6),AC867,HLOOKUP(YEAR(G867)+(MONTH(G867)/100),TC!$5:$37,DAY(G867)+2,FALSE))))</f>
        <v>19.101099999999999</v>
      </c>
      <c r="O867" s="307">
        <f t="shared" si="225"/>
        <v>16074.912727000001</v>
      </c>
      <c r="P867" s="560">
        <f>IF(G867=0,0,VLOOKUP(YEAR(G867),INPC!$B$4:$P$30,MONTH(G867)+2))</f>
        <v>103.29900000000001</v>
      </c>
      <c r="Q867" s="560">
        <f>IF(X867=0,0,IF(OR(E867=$AT$10,E867=$AT$9),VLOOKUP(YEAR(X867),INPC!$B$4:$P$30,MONTH(X867)+1),VLOOKUP(YEAR(X867),INPC!$B$4:$P$30,MONTH(X867)+2,0)))</f>
        <v>122.94799999999999</v>
      </c>
      <c r="R867" s="309">
        <f t="shared" si="226"/>
        <v>1.1901999999999999</v>
      </c>
      <c r="S867" s="310">
        <f t="shared" si="227"/>
        <v>19132.361127675398</v>
      </c>
      <c r="T867" s="555">
        <f t="shared" si="228"/>
        <v>4783.0902819188495</v>
      </c>
      <c r="U867" s="311"/>
      <c r="V867" s="312">
        <v>4</v>
      </c>
      <c r="W867" s="299" t="s">
        <v>194</v>
      </c>
      <c r="X867" s="300">
        <v>44790</v>
      </c>
      <c r="Y867" s="299" t="s">
        <v>59</v>
      </c>
      <c r="Z867" s="303">
        <v>1304.82</v>
      </c>
      <c r="AA867" s="305">
        <f>IF(Z867=0,0,IF(Y867="MXN",1/HLOOKUP(YEAR(X867)+(MONTH(X867)/100),TC!$5:$37,DAY(X867)+2,FALSE),VLOOKUP(Y867,Equivalencia!$1:$23,((MAX(Equivalencia!$3:$3)-YEAR(X867))*14)+MONTH(X867)+2,FALSE)))</f>
        <v>1</v>
      </c>
      <c r="AB867" s="306">
        <f t="shared" si="229"/>
        <v>1304.82</v>
      </c>
      <c r="AC867" s="305">
        <f>+IF(X867=0,0,HLOOKUP(YEAR(X867)+(MONTH(X867)/100),TC!$5:$37,DAY(X867)+2,FALSE))</f>
        <v>19.861799999999999</v>
      </c>
      <c r="AD867" s="307">
        <f t="shared" si="230"/>
        <v>25916.073875999999</v>
      </c>
      <c r="AE867" s="314">
        <f t="shared" si="231"/>
        <v>19132.361127675398</v>
      </c>
      <c r="AF867" s="315">
        <f t="shared" si="232"/>
        <v>6783.7127483246004</v>
      </c>
      <c r="AG867" s="316">
        <f t="shared" si="233"/>
        <v>3.1616438356164385</v>
      </c>
      <c r="AH867" s="314">
        <v>1</v>
      </c>
      <c r="AI867" s="314">
        <f t="shared" si="234"/>
        <v>6783.7127483246004</v>
      </c>
      <c r="AJ867" s="314">
        <f t="shared" si="235"/>
        <v>0</v>
      </c>
      <c r="AK867" s="317"/>
      <c r="AL867" s="315">
        <f t="shared" si="236"/>
        <v>463.24999999999989</v>
      </c>
      <c r="AN867" s="554">
        <f t="shared" si="237"/>
        <v>0.55045926066756168</v>
      </c>
      <c r="AO867" s="314"/>
      <c r="AP867" s="318"/>
    </row>
    <row r="868" spans="2:42">
      <c r="B868" s="296" t="s">
        <v>1266</v>
      </c>
      <c r="C868" s="299" t="s">
        <v>277</v>
      </c>
      <c r="D868" s="298" t="s">
        <v>775</v>
      </c>
      <c r="E868" s="299" t="s">
        <v>113</v>
      </c>
      <c r="F868" s="299" t="s">
        <v>59</v>
      </c>
      <c r="G868" s="300">
        <v>43894</v>
      </c>
      <c r="H868" s="303">
        <v>3987.18</v>
      </c>
      <c r="I868" s="301" t="str">
        <f t="shared" si="221"/>
        <v>Ingresos Sección II LISR (SIC &amp; BMV)</v>
      </c>
      <c r="J868" s="302">
        <f t="shared" si="222"/>
        <v>17</v>
      </c>
      <c r="K868" s="304">
        <f t="shared" si="223"/>
        <v>234.54</v>
      </c>
      <c r="L868" s="305">
        <f>IF(H868=0,0,IF(OR(E868=$AT$5,E868=$AT$6),AA868,IF(F868="MXN",1/HLOOKUP(YEAR(G868)+(MONTH(G868)/100),TC!$5:$37,DAY(G868)+2,FALSE),VLOOKUP(F868,Equivalencia!$5:$23,((MAX(Equivalencia!$3:$3)-YEAR(G868))*14)+MONTH(G868)+2,FALSE))))</f>
        <v>1</v>
      </c>
      <c r="M868" s="306">
        <f t="shared" si="224"/>
        <v>3987.18</v>
      </c>
      <c r="N868" s="305">
        <f>IF(G868=0,0,(IF(OR(E868=$AT$5,E868=$AT$6),AC868,HLOOKUP(YEAR(G868)+(MONTH(G868)/100),TC!$5:$37,DAY(G868)+2,FALSE))))</f>
        <v>19.698499999999999</v>
      </c>
      <c r="O868" s="307">
        <f t="shared" si="225"/>
        <v>78541.465229999987</v>
      </c>
      <c r="P868" s="560">
        <f>IF(G868=0,0,VLOOKUP(YEAR(G868),INPC!$B$4:$P$30,MONTH(G868)+2))</f>
        <v>106.83799999999999</v>
      </c>
      <c r="Q868" s="560">
        <f>IF(X868=0,0,IF(OR(E868=$AT$10,E868=$AT$9),VLOOKUP(YEAR(X868),INPC!$B$4:$P$30,MONTH(X868)+1),VLOOKUP(YEAR(X868),INPC!$B$4:$P$30,MONTH(X868)+2,0)))</f>
        <v>122.94799999999999</v>
      </c>
      <c r="R868" s="309">
        <f t="shared" si="226"/>
        <v>1.1507000000000001</v>
      </c>
      <c r="S868" s="310">
        <f t="shared" si="227"/>
        <v>90377.664040160991</v>
      </c>
      <c r="T868" s="555">
        <f t="shared" si="228"/>
        <v>5316.3331788329997</v>
      </c>
      <c r="U868" s="311"/>
      <c r="V868" s="312">
        <v>17</v>
      </c>
      <c r="W868" s="299" t="s">
        <v>194</v>
      </c>
      <c r="X868" s="300">
        <v>44790</v>
      </c>
      <c r="Y868" s="299" t="s">
        <v>59</v>
      </c>
      <c r="Z868" s="303">
        <v>5545.47</v>
      </c>
      <c r="AA868" s="305">
        <f>IF(Z868=0,0,IF(Y868="MXN",1/HLOOKUP(YEAR(X868)+(MONTH(X868)/100),TC!$5:$37,DAY(X868)+2,FALSE),VLOOKUP(Y868,Equivalencia!$1:$23,((MAX(Equivalencia!$3:$3)-YEAR(X868))*14)+MONTH(X868)+2,FALSE)))</f>
        <v>1</v>
      </c>
      <c r="AB868" s="306">
        <f t="shared" si="229"/>
        <v>5545.47</v>
      </c>
      <c r="AC868" s="305">
        <f>+IF(X868=0,0,HLOOKUP(YEAR(X868)+(MONTH(X868)/100),TC!$5:$37,DAY(X868)+2,FALSE))</f>
        <v>19.861799999999999</v>
      </c>
      <c r="AD868" s="307">
        <f t="shared" si="230"/>
        <v>110143.016046</v>
      </c>
      <c r="AE868" s="314">
        <f t="shared" si="231"/>
        <v>90377.664040160991</v>
      </c>
      <c r="AF868" s="315">
        <f t="shared" si="232"/>
        <v>19765.352005839013</v>
      </c>
      <c r="AG868" s="316">
        <f t="shared" si="233"/>
        <v>2.4547945205479453</v>
      </c>
      <c r="AH868" s="314">
        <v>1</v>
      </c>
      <c r="AI868" s="314">
        <f t="shared" si="234"/>
        <v>19765.352005839013</v>
      </c>
      <c r="AJ868" s="314">
        <f t="shared" si="235"/>
        <v>0</v>
      </c>
      <c r="AK868" s="317"/>
      <c r="AL868" s="315">
        <f t="shared" si="236"/>
        <v>1558.2900000000004</v>
      </c>
      <c r="AN868" s="554">
        <f t="shared" si="237"/>
        <v>0.39082509442764068</v>
      </c>
      <c r="AO868" s="314"/>
      <c r="AP868" s="318"/>
    </row>
    <row r="869" spans="2:42">
      <c r="B869" s="296" t="s">
        <v>1266</v>
      </c>
      <c r="C869" s="299" t="s">
        <v>277</v>
      </c>
      <c r="D869" s="298" t="s">
        <v>768</v>
      </c>
      <c r="E869" s="299" t="s">
        <v>113</v>
      </c>
      <c r="F869" s="299" t="s">
        <v>59</v>
      </c>
      <c r="G869" s="300">
        <v>43990</v>
      </c>
      <c r="H869" s="303">
        <v>5513.42</v>
      </c>
      <c r="I869" s="301" t="str">
        <f t="shared" si="221"/>
        <v>Ingresos Sección II LISR (SIC &amp; BMV)</v>
      </c>
      <c r="J869" s="302">
        <f t="shared" si="222"/>
        <v>34</v>
      </c>
      <c r="K869" s="304">
        <f t="shared" si="223"/>
        <v>162.15941176470588</v>
      </c>
      <c r="L869" s="305">
        <f>IF(H869=0,0,IF(OR(E869=$AT$5,E869=$AT$6),AA869,IF(F869="MXN",1/HLOOKUP(YEAR(G869)+(MONTH(G869)/100),TC!$5:$37,DAY(G869)+2,FALSE),VLOOKUP(F869,Equivalencia!$5:$23,((MAX(Equivalencia!$3:$3)-YEAR(G869))*14)+MONTH(G869)+2,FALSE))))</f>
        <v>1</v>
      </c>
      <c r="M869" s="306">
        <f t="shared" si="224"/>
        <v>5513.42</v>
      </c>
      <c r="N869" s="305">
        <f>IF(G869=0,0,(IF(OR(E869=$AT$5,E869=$AT$6),AC869,HLOOKUP(YEAR(G869)+(MONTH(G869)/100),TC!$5:$37,DAY(G869)+2,FALSE))))</f>
        <v>21.838799999999999</v>
      </c>
      <c r="O869" s="307">
        <f t="shared" si="225"/>
        <v>120406.476696</v>
      </c>
      <c r="P869" s="560">
        <f>IF(G869=0,0,VLOOKUP(YEAR(G869),INPC!$B$4:$P$30,MONTH(G869)+2))</f>
        <v>106.74299999999999</v>
      </c>
      <c r="Q869" s="560">
        <f>IF(X869=0,0,IF(OR(E869=$AT$10,E869=$AT$9),VLOOKUP(YEAR(X869),INPC!$B$4:$P$30,MONTH(X869)+1),VLOOKUP(YEAR(X869),INPC!$B$4:$P$30,MONTH(X869)+2,0)))</f>
        <v>122.94799999999999</v>
      </c>
      <c r="R869" s="309">
        <f t="shared" si="226"/>
        <v>1.1517999999999999</v>
      </c>
      <c r="S869" s="310">
        <f t="shared" si="227"/>
        <v>138684.17985845279</v>
      </c>
      <c r="T869" s="555">
        <f t="shared" si="228"/>
        <v>4078.9464664250818</v>
      </c>
      <c r="U869" s="311"/>
      <c r="V869" s="312">
        <v>34</v>
      </c>
      <c r="W869" s="299" t="s">
        <v>194</v>
      </c>
      <c r="X869" s="300">
        <v>44790</v>
      </c>
      <c r="Y869" s="299" t="s">
        <v>59</v>
      </c>
      <c r="Z869" s="303">
        <v>6898.95</v>
      </c>
      <c r="AA869" s="305">
        <f>IF(Z869=0,0,IF(Y869="MXN",1/HLOOKUP(YEAR(X869)+(MONTH(X869)/100),TC!$5:$37,DAY(X869)+2,FALSE),VLOOKUP(Y869,Equivalencia!$1:$23,((MAX(Equivalencia!$3:$3)-YEAR(X869))*14)+MONTH(X869)+2,FALSE)))</f>
        <v>1</v>
      </c>
      <c r="AB869" s="306">
        <f t="shared" si="229"/>
        <v>6898.95</v>
      </c>
      <c r="AC869" s="305">
        <f>+IF(X869=0,0,HLOOKUP(YEAR(X869)+(MONTH(X869)/100),TC!$5:$37,DAY(X869)+2,FALSE))</f>
        <v>19.861799999999999</v>
      </c>
      <c r="AD869" s="307">
        <f t="shared" si="230"/>
        <v>137025.56511</v>
      </c>
      <c r="AE869" s="314">
        <f t="shared" si="231"/>
        <v>138684.17985845279</v>
      </c>
      <c r="AF869" s="315">
        <f t="shared" si="232"/>
        <v>-1658.6147484527901</v>
      </c>
      <c r="AG869" s="316">
        <f t="shared" si="233"/>
        <v>2.1917808219178081</v>
      </c>
      <c r="AH869" s="314">
        <v>1</v>
      </c>
      <c r="AI869" s="314">
        <f t="shared" si="234"/>
        <v>-1658.6147484527901</v>
      </c>
      <c r="AJ869" s="314">
        <f t="shared" si="235"/>
        <v>0</v>
      </c>
      <c r="AK869" s="317"/>
      <c r="AL869" s="315">
        <f t="shared" si="236"/>
        <v>1385.5299999999997</v>
      </c>
      <c r="AN869" s="554">
        <f t="shared" si="237"/>
        <v>0.25130137011147341</v>
      </c>
      <c r="AO869" s="314"/>
      <c r="AP869" s="318"/>
    </row>
    <row r="870" spans="2:42">
      <c r="B870" s="296" t="s">
        <v>1266</v>
      </c>
      <c r="C870" s="299" t="s">
        <v>277</v>
      </c>
      <c r="D870" s="298" t="s">
        <v>758</v>
      </c>
      <c r="E870" s="299" t="s">
        <v>113</v>
      </c>
      <c r="F870" s="299" t="s">
        <v>59</v>
      </c>
      <c r="G870" s="300">
        <v>44722</v>
      </c>
      <c r="H870" s="303">
        <v>21685.4</v>
      </c>
      <c r="I870" s="301" t="str">
        <f t="shared" si="221"/>
        <v>Ingresos Sección II LISR (SIC &amp; BMV)</v>
      </c>
      <c r="J870" s="302">
        <f t="shared" si="222"/>
        <v>550</v>
      </c>
      <c r="K870" s="304">
        <f t="shared" si="223"/>
        <v>39.428000000000004</v>
      </c>
      <c r="L870" s="305">
        <f>IF(H870=0,0,IF(OR(E870=$AT$5,E870=$AT$6),AA870,IF(F870="MXN",1/HLOOKUP(YEAR(G870)+(MONTH(G870)/100),TC!$5:$37,DAY(G870)+2,FALSE),VLOOKUP(F870,Equivalencia!$5:$23,((MAX(Equivalencia!$3:$3)-YEAR(G870))*14)+MONTH(G870)+2,FALSE))))</f>
        <v>1</v>
      </c>
      <c r="M870" s="306">
        <f t="shared" si="224"/>
        <v>21685.4</v>
      </c>
      <c r="N870" s="305">
        <f>IF(G870=0,0,(IF(OR(E870=$AT$5,E870=$AT$6),AC870,HLOOKUP(YEAR(G870)+(MONTH(G870)/100),TC!$5:$37,DAY(G870)+2,FALSE))))</f>
        <v>19.59</v>
      </c>
      <c r="O870" s="307">
        <f t="shared" si="225"/>
        <v>424816.98600000003</v>
      </c>
      <c r="P870" s="560">
        <f>IF(G870=0,0,VLOOKUP(YEAR(G870),INPC!$B$4:$P$30,MONTH(G870)+2))</f>
        <v>122.044</v>
      </c>
      <c r="Q870" s="560">
        <f>IF(X870=0,0,IF(OR(E870=$AT$10,E870=$AT$9),VLOOKUP(YEAR(X870),INPC!$B$4:$P$30,MONTH(X870)+1),VLOOKUP(YEAR(X870),INPC!$B$4:$P$30,MONTH(X870)+2,0)))</f>
        <v>122.94799999999999</v>
      </c>
      <c r="R870" s="309">
        <f t="shared" si="226"/>
        <v>1.0074000000000001</v>
      </c>
      <c r="S870" s="310">
        <f t="shared" si="227"/>
        <v>427960.63169640006</v>
      </c>
      <c r="T870" s="555">
        <f t="shared" si="228"/>
        <v>778.11023944800013</v>
      </c>
      <c r="U870" s="311"/>
      <c r="V870" s="312">
        <v>550</v>
      </c>
      <c r="W870" s="299" t="s">
        <v>194</v>
      </c>
      <c r="X870" s="300">
        <v>44785</v>
      </c>
      <c r="Y870" s="299" t="s">
        <v>59</v>
      </c>
      <c r="Z870" s="303">
        <v>19680.97</v>
      </c>
      <c r="AA870" s="305">
        <f>IF(Z870=0,0,IF(Y870="MXN",1/HLOOKUP(YEAR(X870)+(MONTH(X870)/100),TC!$5:$37,DAY(X870)+2,FALSE),VLOOKUP(Y870,Equivalencia!$1:$23,((MAX(Equivalencia!$3:$3)-YEAR(X870))*14)+MONTH(X870)+2,FALSE)))</f>
        <v>1</v>
      </c>
      <c r="AB870" s="306">
        <f t="shared" si="229"/>
        <v>19680.97</v>
      </c>
      <c r="AC870" s="305">
        <f>+IF(X870=0,0,HLOOKUP(YEAR(X870)+(MONTH(X870)/100),TC!$5:$37,DAY(X870)+2,FALSE))</f>
        <v>19.956199999999999</v>
      </c>
      <c r="AD870" s="307">
        <f t="shared" si="230"/>
        <v>392757.37351399998</v>
      </c>
      <c r="AE870" s="314">
        <f t="shared" si="231"/>
        <v>427960.63169640006</v>
      </c>
      <c r="AF870" s="315">
        <f t="shared" si="232"/>
        <v>-35203.258182400081</v>
      </c>
      <c r="AG870" s="316">
        <f t="shared" si="233"/>
        <v>0.17260273972602741</v>
      </c>
      <c r="AH870" s="314">
        <v>1</v>
      </c>
      <c r="AI870" s="314">
        <f t="shared" si="234"/>
        <v>-35203.258182400081</v>
      </c>
      <c r="AJ870" s="314">
        <f t="shared" si="235"/>
        <v>0</v>
      </c>
      <c r="AK870" s="317"/>
      <c r="AL870" s="315">
        <f t="shared" si="236"/>
        <v>-2004.4300000000003</v>
      </c>
      <c r="AN870" s="554">
        <f t="shared" si="237"/>
        <v>-9.2432235513294672E-2</v>
      </c>
      <c r="AO870" s="314"/>
      <c r="AP870" s="318"/>
    </row>
    <row r="871" spans="2:42">
      <c r="B871" s="296" t="s">
        <v>1266</v>
      </c>
      <c r="C871" s="299" t="s">
        <v>277</v>
      </c>
      <c r="D871" s="298" t="s">
        <v>758</v>
      </c>
      <c r="E871" s="299" t="s">
        <v>113</v>
      </c>
      <c r="F871" s="299" t="s">
        <v>59</v>
      </c>
      <c r="G871" s="300">
        <v>44725</v>
      </c>
      <c r="H871" s="303">
        <v>14426.94</v>
      </c>
      <c r="I871" s="301" t="str">
        <f t="shared" si="221"/>
        <v>Ingresos Sección II LISR (SIC &amp; BMV)</v>
      </c>
      <c r="J871" s="302">
        <f t="shared" si="222"/>
        <v>379</v>
      </c>
      <c r="K871" s="304">
        <f t="shared" si="223"/>
        <v>38.065804749340373</v>
      </c>
      <c r="L871" s="305">
        <f>IF(H871=0,0,IF(OR(E871=$AT$5,E871=$AT$6),AA871,IF(F871="MXN",1/HLOOKUP(YEAR(G871)+(MONTH(G871)/100),TC!$5:$37,DAY(G871)+2,FALSE),VLOOKUP(F871,Equivalencia!$5:$23,((MAX(Equivalencia!$3:$3)-YEAR(G871))*14)+MONTH(G871)+2,FALSE))))</f>
        <v>1</v>
      </c>
      <c r="M871" s="306">
        <f t="shared" si="224"/>
        <v>14426.94</v>
      </c>
      <c r="N871" s="305">
        <f>IF(G871=0,0,(IF(OR(E871=$AT$5,E871=$AT$6),AC871,HLOOKUP(YEAR(G871)+(MONTH(G871)/100),TC!$5:$37,DAY(G871)+2,FALSE))))</f>
        <v>19.6128</v>
      </c>
      <c r="O871" s="307">
        <f t="shared" si="225"/>
        <v>282952.68883200001</v>
      </c>
      <c r="P871" s="560">
        <f>IF(G871=0,0,VLOOKUP(YEAR(G871),INPC!$B$4:$P$30,MONTH(G871)+2))</f>
        <v>122.044</v>
      </c>
      <c r="Q871" s="560">
        <f>IF(X871=0,0,IF(OR(E871=$AT$10,E871=$AT$9),VLOOKUP(YEAR(X871),INPC!$B$4:$P$30,MONTH(X871)+1),VLOOKUP(YEAR(X871),INPC!$B$4:$P$30,MONTH(X871)+2,0)))</f>
        <v>122.94799999999999</v>
      </c>
      <c r="R871" s="309">
        <f t="shared" si="226"/>
        <v>1.0074000000000001</v>
      </c>
      <c r="S871" s="310">
        <f t="shared" si="227"/>
        <v>285046.53872935683</v>
      </c>
      <c r="T871" s="555">
        <f t="shared" si="228"/>
        <v>752.10168530173303</v>
      </c>
      <c r="U871" s="311"/>
      <c r="V871" s="312">
        <v>379</v>
      </c>
      <c r="W871" s="299" t="s">
        <v>194</v>
      </c>
      <c r="X871" s="300">
        <v>44785</v>
      </c>
      <c r="Y871" s="299" t="s">
        <v>59</v>
      </c>
      <c r="Z871" s="303">
        <v>13561.98</v>
      </c>
      <c r="AA871" s="305">
        <f>IF(Z871=0,0,IF(Y871="MXN",1/HLOOKUP(YEAR(X871)+(MONTH(X871)/100),TC!$5:$37,DAY(X871)+2,FALSE),VLOOKUP(Y871,Equivalencia!$1:$23,((MAX(Equivalencia!$3:$3)-YEAR(X871))*14)+MONTH(X871)+2,FALSE)))</f>
        <v>1</v>
      </c>
      <c r="AB871" s="306">
        <f t="shared" si="229"/>
        <v>13561.98</v>
      </c>
      <c r="AC871" s="305">
        <f>+IF(X871=0,0,HLOOKUP(YEAR(X871)+(MONTH(X871)/100),TC!$5:$37,DAY(X871)+2,FALSE))</f>
        <v>19.956199999999999</v>
      </c>
      <c r="AD871" s="307">
        <f t="shared" si="230"/>
        <v>270645.58527599997</v>
      </c>
      <c r="AE871" s="314">
        <f t="shared" si="231"/>
        <v>285046.53872935683</v>
      </c>
      <c r="AF871" s="315">
        <f t="shared" si="232"/>
        <v>-14400.953453356866</v>
      </c>
      <c r="AG871" s="316">
        <f t="shared" si="233"/>
        <v>0.16438356164383561</v>
      </c>
      <c r="AH871" s="314">
        <v>1</v>
      </c>
      <c r="AI871" s="314">
        <f t="shared" si="234"/>
        <v>-14400.953453356866</v>
      </c>
      <c r="AJ871" s="314">
        <f t="shared" si="235"/>
        <v>0</v>
      </c>
      <c r="AK871" s="317"/>
      <c r="AL871" s="315">
        <f t="shared" si="236"/>
        <v>-864.96000000000095</v>
      </c>
      <c r="AN871" s="554">
        <f t="shared" si="237"/>
        <v>-5.9954501786241635E-2</v>
      </c>
      <c r="AO871" s="314"/>
      <c r="AP871" s="318"/>
    </row>
    <row r="872" spans="2:42">
      <c r="B872" s="296" t="s">
        <v>1266</v>
      </c>
      <c r="C872" s="299" t="s">
        <v>277</v>
      </c>
      <c r="D872" s="298" t="s">
        <v>758</v>
      </c>
      <c r="E872" s="299" t="s">
        <v>113</v>
      </c>
      <c r="F872" s="299" t="s">
        <v>59</v>
      </c>
      <c r="G872" s="300">
        <v>44102</v>
      </c>
      <c r="H872" s="303">
        <v>7885.47</v>
      </c>
      <c r="I872" s="301" t="str">
        <f t="shared" si="221"/>
        <v>Ingresos Sección II LISR (SIC &amp; BMV)</v>
      </c>
      <c r="J872" s="302">
        <f t="shared" si="222"/>
        <v>156</v>
      </c>
      <c r="K872" s="304">
        <f t="shared" si="223"/>
        <v>50.547884615384618</v>
      </c>
      <c r="L872" s="305">
        <f>IF(H872=0,0,IF(OR(E872=$AT$5,E872=$AT$6),AA872,IF(F872="MXN",1/HLOOKUP(YEAR(G872)+(MONTH(G872)/100),TC!$5:$37,DAY(G872)+2,FALSE),VLOOKUP(F872,Equivalencia!$5:$23,((MAX(Equivalencia!$3:$3)-YEAR(G872))*14)+MONTH(G872)+2,FALSE))))</f>
        <v>1</v>
      </c>
      <c r="M872" s="306">
        <f t="shared" si="224"/>
        <v>7885.47</v>
      </c>
      <c r="N872" s="305">
        <f>IF(G872=0,0,(IF(OR(E872=$AT$5,E872=$AT$6),AC872,HLOOKUP(YEAR(G872)+(MONTH(G872)/100),TC!$5:$37,DAY(G872)+2,FALSE))))</f>
        <v>22.367799999999999</v>
      </c>
      <c r="O872" s="307">
        <f t="shared" si="225"/>
        <v>176380.61586600001</v>
      </c>
      <c r="P872" s="560">
        <f>IF(G872=0,0,VLOOKUP(YEAR(G872),INPC!$B$4:$P$30,MONTH(G872)+2))</f>
        <v>108.114</v>
      </c>
      <c r="Q872" s="560">
        <f>IF(X872=0,0,IF(OR(E872=$AT$10,E872=$AT$9),VLOOKUP(YEAR(X872),INPC!$B$4:$P$30,MONTH(X872)+1),VLOOKUP(YEAR(X872),INPC!$B$4:$P$30,MONTH(X872)+2,0)))</f>
        <v>122.94799999999999</v>
      </c>
      <c r="R872" s="309">
        <f t="shared" si="226"/>
        <v>1.1372</v>
      </c>
      <c r="S872" s="310">
        <f t="shared" si="227"/>
        <v>200580.03636281521</v>
      </c>
      <c r="T872" s="555">
        <f t="shared" si="228"/>
        <v>1285.7694638642001</v>
      </c>
      <c r="U872" s="311"/>
      <c r="V872" s="312">
        <v>156</v>
      </c>
      <c r="W872" s="299" t="s">
        <v>194</v>
      </c>
      <c r="X872" s="300">
        <v>44785</v>
      </c>
      <c r="Y872" s="299" t="s">
        <v>59</v>
      </c>
      <c r="Z872" s="303">
        <v>5582.24</v>
      </c>
      <c r="AA872" s="305">
        <f>IF(Z872=0,0,IF(Y872="MXN",1/HLOOKUP(YEAR(X872)+(MONTH(X872)/100),TC!$5:$37,DAY(X872)+2,FALSE),VLOOKUP(Y872,Equivalencia!$1:$23,((MAX(Equivalencia!$3:$3)-YEAR(X872))*14)+MONTH(X872)+2,FALSE)))</f>
        <v>1</v>
      </c>
      <c r="AB872" s="306">
        <f t="shared" si="229"/>
        <v>5582.24</v>
      </c>
      <c r="AC872" s="305">
        <f>+IF(X872=0,0,HLOOKUP(YEAR(X872)+(MONTH(X872)/100),TC!$5:$37,DAY(X872)+2,FALSE))</f>
        <v>19.956199999999999</v>
      </c>
      <c r="AD872" s="307">
        <f t="shared" si="230"/>
        <v>111400.29788799999</v>
      </c>
      <c r="AE872" s="314">
        <f t="shared" si="231"/>
        <v>200580.03636281521</v>
      </c>
      <c r="AF872" s="315">
        <f t="shared" si="232"/>
        <v>-89179.738474815225</v>
      </c>
      <c r="AG872" s="316">
        <f t="shared" si="233"/>
        <v>1.8712328767123287</v>
      </c>
      <c r="AH872" s="314">
        <v>1</v>
      </c>
      <c r="AI872" s="314">
        <f t="shared" si="234"/>
        <v>-89179.738474815225</v>
      </c>
      <c r="AJ872" s="314">
        <f t="shared" si="235"/>
        <v>0</v>
      </c>
      <c r="AK872" s="317"/>
      <c r="AL872" s="315">
        <f t="shared" si="236"/>
        <v>-2303.2300000000005</v>
      </c>
      <c r="AN872" s="554">
        <f t="shared" si="237"/>
        <v>-0.29208531641107005</v>
      </c>
      <c r="AO872" s="314"/>
      <c r="AP872" s="318"/>
    </row>
    <row r="873" spans="2:42">
      <c r="B873" s="296" t="s">
        <v>1266</v>
      </c>
      <c r="C873" s="299" t="s">
        <v>277</v>
      </c>
      <c r="D873" s="298" t="s">
        <v>758</v>
      </c>
      <c r="E873" s="299" t="s">
        <v>113</v>
      </c>
      <c r="F873" s="299" t="s">
        <v>59</v>
      </c>
      <c r="G873" s="300">
        <v>44157</v>
      </c>
      <c r="H873" s="303">
        <v>29753.96</v>
      </c>
      <c r="I873" s="301" t="str">
        <f t="shared" si="221"/>
        <v>Ingresos Sección II LISR (SIC &amp; BMV)</v>
      </c>
      <c r="J873" s="302">
        <f t="shared" si="222"/>
        <v>550</v>
      </c>
      <c r="K873" s="304">
        <f t="shared" si="223"/>
        <v>54.098109090909091</v>
      </c>
      <c r="L873" s="305">
        <f>IF(H873=0,0,IF(OR(E873=$AT$5,E873=$AT$6),AA873,IF(F873="MXN",1/HLOOKUP(YEAR(G873)+(MONTH(G873)/100),TC!$5:$37,DAY(G873)+2,FALSE),VLOOKUP(F873,Equivalencia!$5:$23,((MAX(Equivalencia!$3:$3)-YEAR(G873))*14)+MONTH(G873)+2,FALSE))))</f>
        <v>1</v>
      </c>
      <c r="M873" s="306">
        <f t="shared" si="224"/>
        <v>29753.96</v>
      </c>
      <c r="N873" s="305">
        <f>IF(G873=0,0,(IF(OR(E873=$AT$5,E873=$AT$6),AC873,HLOOKUP(YEAR(G873)+(MONTH(G873)/100),TC!$5:$37,DAY(G873)+2,FALSE))))</f>
        <v>20.1858</v>
      </c>
      <c r="O873" s="307">
        <f t="shared" si="225"/>
        <v>600607.48576800001</v>
      </c>
      <c r="P873" s="560">
        <f>IF(G873=0,0,VLOOKUP(YEAR(G873),INPC!$B$4:$P$30,MONTH(G873)+2))</f>
        <v>108.85599999999999</v>
      </c>
      <c r="Q873" s="560">
        <f>IF(X873=0,0,IF(OR(E873=$AT$10,E873=$AT$9),VLOOKUP(YEAR(X873),INPC!$B$4:$P$30,MONTH(X873)+1),VLOOKUP(YEAR(X873),INPC!$B$4:$P$30,MONTH(X873)+2,0)))</f>
        <v>122.94799999999999</v>
      </c>
      <c r="R873" s="309">
        <f t="shared" si="226"/>
        <v>1.1294</v>
      </c>
      <c r="S873" s="310">
        <f t="shared" si="227"/>
        <v>678326.09442637919</v>
      </c>
      <c r="T873" s="555">
        <f t="shared" si="228"/>
        <v>1233.3201716843257</v>
      </c>
      <c r="U873" s="311"/>
      <c r="V873" s="312">
        <v>550</v>
      </c>
      <c r="W873" s="299" t="s">
        <v>194</v>
      </c>
      <c r="X873" s="300">
        <v>44785</v>
      </c>
      <c r="Y873" s="299" t="s">
        <v>59</v>
      </c>
      <c r="Z873" s="303">
        <v>19680.97</v>
      </c>
      <c r="AA873" s="305">
        <f>IF(Z873=0,0,IF(Y873="MXN",1/HLOOKUP(YEAR(X873)+(MONTH(X873)/100),TC!$5:$37,DAY(X873)+2,FALSE),VLOOKUP(Y873,Equivalencia!$1:$23,((MAX(Equivalencia!$3:$3)-YEAR(X873))*14)+MONTH(X873)+2,FALSE)))</f>
        <v>1</v>
      </c>
      <c r="AB873" s="306">
        <f t="shared" si="229"/>
        <v>19680.97</v>
      </c>
      <c r="AC873" s="305">
        <f>+IF(X873=0,0,HLOOKUP(YEAR(X873)+(MONTH(X873)/100),TC!$5:$37,DAY(X873)+2,FALSE))</f>
        <v>19.956199999999999</v>
      </c>
      <c r="AD873" s="307">
        <f t="shared" si="230"/>
        <v>392757.37351399998</v>
      </c>
      <c r="AE873" s="314">
        <f t="shared" si="231"/>
        <v>678326.09442637919</v>
      </c>
      <c r="AF873" s="315">
        <f t="shared" si="232"/>
        <v>-285568.72091237921</v>
      </c>
      <c r="AG873" s="316">
        <f t="shared" si="233"/>
        <v>1.7205479452054795</v>
      </c>
      <c r="AH873" s="314">
        <v>1</v>
      </c>
      <c r="AI873" s="314">
        <f t="shared" si="234"/>
        <v>-285568.72091237921</v>
      </c>
      <c r="AJ873" s="314">
        <f t="shared" si="235"/>
        <v>0</v>
      </c>
      <c r="AK873" s="317"/>
      <c r="AL873" s="315">
        <f t="shared" si="236"/>
        <v>-10072.989999999998</v>
      </c>
      <c r="AN873" s="554">
        <f t="shared" si="237"/>
        <v>-0.33854283597880747</v>
      </c>
      <c r="AO873" s="314"/>
      <c r="AP873" s="318"/>
    </row>
    <row r="874" spans="2:42">
      <c r="B874" s="296" t="s">
        <v>1266</v>
      </c>
      <c r="C874" s="299" t="s">
        <v>277</v>
      </c>
      <c r="D874" s="298" t="s">
        <v>758</v>
      </c>
      <c r="E874" s="299" t="s">
        <v>113</v>
      </c>
      <c r="F874" s="299" t="s">
        <v>59</v>
      </c>
      <c r="G874" s="300">
        <v>44265</v>
      </c>
      <c r="H874" s="303">
        <v>9972.2199999999993</v>
      </c>
      <c r="I874" s="301" t="str">
        <f t="shared" si="221"/>
        <v>Ingresos Sección II LISR (SIC &amp; BMV)</v>
      </c>
      <c r="J874" s="302">
        <f t="shared" si="222"/>
        <v>158</v>
      </c>
      <c r="K874" s="304">
        <f t="shared" si="223"/>
        <v>63.115316455696195</v>
      </c>
      <c r="L874" s="305">
        <f>IF(H874=0,0,IF(OR(E874=$AT$5,E874=$AT$6),AA874,IF(F874="MXN",1/HLOOKUP(YEAR(G874)+(MONTH(G874)/100),TC!$5:$37,DAY(G874)+2,FALSE),VLOOKUP(F874,Equivalencia!$5:$23,((MAX(Equivalencia!$3:$3)-YEAR(G874))*14)+MONTH(G874)+2,FALSE))))</f>
        <v>1</v>
      </c>
      <c r="M874" s="306">
        <f t="shared" si="224"/>
        <v>9972.2199999999993</v>
      </c>
      <c r="N874" s="305">
        <f>IF(G874=0,0,(IF(OR(E874=$AT$5,E874=$AT$6),AC874,HLOOKUP(YEAR(G874)+(MONTH(G874)/100),TC!$5:$37,DAY(G874)+2,FALSE))))</f>
        <v>21.4177</v>
      </c>
      <c r="O874" s="307">
        <f t="shared" si="225"/>
        <v>213582.01629399997</v>
      </c>
      <c r="P874" s="560">
        <f>IF(G874=0,0,VLOOKUP(YEAR(G874),INPC!$B$4:$P$30,MONTH(G874)+2))</f>
        <v>111.824</v>
      </c>
      <c r="Q874" s="560">
        <f>IF(X874=0,0,IF(OR(E874=$AT$10,E874=$AT$9),VLOOKUP(YEAR(X874),INPC!$B$4:$P$30,MONTH(X874)+1),VLOOKUP(YEAR(X874),INPC!$B$4:$P$30,MONTH(X874)+2,0)))</f>
        <v>122.94799999999999</v>
      </c>
      <c r="R874" s="309">
        <f t="shared" si="226"/>
        <v>1.0993999999999999</v>
      </c>
      <c r="S874" s="310">
        <f t="shared" si="227"/>
        <v>234812.06871362356</v>
      </c>
      <c r="T874" s="555">
        <f t="shared" si="228"/>
        <v>1486.1523336305288</v>
      </c>
      <c r="U874" s="311"/>
      <c r="V874" s="312">
        <v>158</v>
      </c>
      <c r="W874" s="299" t="s">
        <v>194</v>
      </c>
      <c r="X874" s="300">
        <v>44785</v>
      </c>
      <c r="Y874" s="299" t="s">
        <v>59</v>
      </c>
      <c r="Z874" s="303">
        <v>5653.8</v>
      </c>
      <c r="AA874" s="305">
        <f>IF(Z874=0,0,IF(Y874="MXN",1/HLOOKUP(YEAR(X874)+(MONTH(X874)/100),TC!$5:$37,DAY(X874)+2,FALSE),VLOOKUP(Y874,Equivalencia!$1:$23,((MAX(Equivalencia!$3:$3)-YEAR(X874))*14)+MONTH(X874)+2,FALSE)))</f>
        <v>1</v>
      </c>
      <c r="AB874" s="306">
        <f t="shared" si="229"/>
        <v>5653.8</v>
      </c>
      <c r="AC874" s="305">
        <f>+IF(X874=0,0,HLOOKUP(YEAR(X874)+(MONTH(X874)/100),TC!$5:$37,DAY(X874)+2,FALSE))</f>
        <v>19.956199999999999</v>
      </c>
      <c r="AD874" s="307">
        <f t="shared" si="230"/>
        <v>112828.36356</v>
      </c>
      <c r="AE874" s="314">
        <f t="shared" si="231"/>
        <v>234812.06871362356</v>
      </c>
      <c r="AF874" s="315">
        <f t="shared" si="232"/>
        <v>-121983.70515362357</v>
      </c>
      <c r="AG874" s="316">
        <f t="shared" si="233"/>
        <v>1.4246575342465753</v>
      </c>
      <c r="AH874" s="314">
        <v>1</v>
      </c>
      <c r="AI874" s="314">
        <f t="shared" si="234"/>
        <v>-121983.70515362357</v>
      </c>
      <c r="AJ874" s="314">
        <f t="shared" si="235"/>
        <v>0</v>
      </c>
      <c r="AK874" s="317"/>
      <c r="AL874" s="315">
        <f t="shared" si="236"/>
        <v>-4318.4199999999992</v>
      </c>
      <c r="AN874" s="554">
        <f t="shared" si="237"/>
        <v>-0.43304499900724208</v>
      </c>
      <c r="AO874" s="314"/>
      <c r="AP874" s="318"/>
    </row>
    <row r="875" spans="2:42">
      <c r="B875" s="296" t="s">
        <v>1266</v>
      </c>
      <c r="C875" s="299" t="s">
        <v>277</v>
      </c>
      <c r="D875" s="298" t="s">
        <v>758</v>
      </c>
      <c r="E875" s="299" t="s">
        <v>113</v>
      </c>
      <c r="F875" s="299" t="s">
        <v>59</v>
      </c>
      <c r="G875" s="300">
        <v>44343</v>
      </c>
      <c r="H875" s="303">
        <v>10308.200000000001</v>
      </c>
      <c r="I875" s="301" t="str">
        <f t="shared" si="221"/>
        <v>Ingresos Sección II LISR (SIC &amp; BMV)</v>
      </c>
      <c r="J875" s="302">
        <f t="shared" si="222"/>
        <v>179</v>
      </c>
      <c r="K875" s="304">
        <f t="shared" si="223"/>
        <v>57.58770949720671</v>
      </c>
      <c r="L875" s="305">
        <f>IF(H875=0,0,IF(OR(E875=$AT$5,E875=$AT$6),AA875,IF(F875="MXN",1/HLOOKUP(YEAR(G875)+(MONTH(G875)/100),TC!$5:$37,DAY(G875)+2,FALSE),VLOOKUP(F875,Equivalencia!$5:$23,((MAX(Equivalencia!$3:$3)-YEAR(G875))*14)+MONTH(G875)+2,FALSE))))</f>
        <v>1</v>
      </c>
      <c r="M875" s="306">
        <f t="shared" si="224"/>
        <v>10308.200000000001</v>
      </c>
      <c r="N875" s="305">
        <f>IF(G875=0,0,(IF(OR(E875=$AT$5,E875=$AT$6),AC875,HLOOKUP(YEAR(G875)+(MONTH(G875)/100),TC!$5:$37,DAY(G875)+2,FALSE))))</f>
        <v>19.8903</v>
      </c>
      <c r="O875" s="307">
        <f t="shared" si="225"/>
        <v>205033.19046000001</v>
      </c>
      <c r="P875" s="560">
        <f>IF(G875=0,0,VLOOKUP(YEAR(G875),INPC!$B$4:$P$30,MONTH(G875)+2))</f>
        <v>112.419</v>
      </c>
      <c r="Q875" s="560">
        <f>IF(X875=0,0,IF(OR(E875=$AT$10,E875=$AT$9),VLOOKUP(YEAR(X875),INPC!$B$4:$P$30,MONTH(X875)+1),VLOOKUP(YEAR(X875),INPC!$B$4:$P$30,MONTH(X875)+2,0)))</f>
        <v>122.94799999999999</v>
      </c>
      <c r="R875" s="309">
        <f t="shared" si="226"/>
        <v>1.0935999999999999</v>
      </c>
      <c r="S875" s="310">
        <f t="shared" si="227"/>
        <v>224224.29708705598</v>
      </c>
      <c r="T875" s="555">
        <f t="shared" si="228"/>
        <v>1252.6497043969607</v>
      </c>
      <c r="U875" s="311"/>
      <c r="V875" s="312">
        <v>179</v>
      </c>
      <c r="W875" s="299" t="s">
        <v>194</v>
      </c>
      <c r="X875" s="300">
        <v>44785</v>
      </c>
      <c r="Y875" s="299" t="s">
        <v>59</v>
      </c>
      <c r="Z875" s="303">
        <v>6405.26</v>
      </c>
      <c r="AA875" s="305">
        <f>IF(Z875=0,0,IF(Y875="MXN",1/HLOOKUP(YEAR(X875)+(MONTH(X875)/100),TC!$5:$37,DAY(X875)+2,FALSE),VLOOKUP(Y875,Equivalencia!$1:$23,((MAX(Equivalencia!$3:$3)-YEAR(X875))*14)+MONTH(X875)+2,FALSE)))</f>
        <v>1</v>
      </c>
      <c r="AB875" s="306">
        <f t="shared" si="229"/>
        <v>6405.26</v>
      </c>
      <c r="AC875" s="305">
        <f>+IF(X875=0,0,HLOOKUP(YEAR(X875)+(MONTH(X875)/100),TC!$5:$37,DAY(X875)+2,FALSE))</f>
        <v>19.956199999999999</v>
      </c>
      <c r="AD875" s="307">
        <f t="shared" si="230"/>
        <v>127824.64961199999</v>
      </c>
      <c r="AE875" s="314">
        <f t="shared" si="231"/>
        <v>224224.29708705598</v>
      </c>
      <c r="AF875" s="315">
        <f t="shared" si="232"/>
        <v>-96399.647475055986</v>
      </c>
      <c r="AG875" s="316">
        <f t="shared" si="233"/>
        <v>1.210958904109589</v>
      </c>
      <c r="AH875" s="314">
        <v>1</v>
      </c>
      <c r="AI875" s="314">
        <f t="shared" si="234"/>
        <v>-96399.647475055986</v>
      </c>
      <c r="AJ875" s="314">
        <f t="shared" si="235"/>
        <v>0</v>
      </c>
      <c r="AK875" s="317"/>
      <c r="AL875" s="315">
        <f t="shared" si="236"/>
        <v>-3902.9400000000005</v>
      </c>
      <c r="AN875" s="554">
        <f t="shared" si="237"/>
        <v>-0.37862478415242234</v>
      </c>
      <c r="AO875" s="314"/>
      <c r="AP875" s="318"/>
    </row>
    <row r="876" spans="2:42">
      <c r="B876" s="296" t="s">
        <v>1266</v>
      </c>
      <c r="C876" s="299" t="s">
        <v>277</v>
      </c>
      <c r="D876" s="298" t="s">
        <v>784</v>
      </c>
      <c r="E876" s="299" t="s">
        <v>113</v>
      </c>
      <c r="F876" s="299" t="s">
        <v>59</v>
      </c>
      <c r="G876" s="300">
        <v>43315</v>
      </c>
      <c r="H876" s="303">
        <v>4356.79</v>
      </c>
      <c r="I876" s="301" t="str">
        <f t="shared" si="221"/>
        <v>Ingresos Sección II LISR (SIC &amp; BMV)</v>
      </c>
      <c r="J876" s="302">
        <f t="shared" si="222"/>
        <v>60</v>
      </c>
      <c r="K876" s="304">
        <f t="shared" si="223"/>
        <v>72.613166666666672</v>
      </c>
      <c r="L876" s="305">
        <f>IF(H876=0,0,IF(OR(E876=$AT$5,E876=$AT$6),AA876,IF(F876="MXN",1/HLOOKUP(YEAR(G876)+(MONTH(G876)/100),TC!$5:$37,DAY(G876)+2,FALSE),VLOOKUP(F876,Equivalencia!$5:$23,((MAX(Equivalencia!$3:$3)-YEAR(G876))*14)+MONTH(G876)+2,FALSE))))</f>
        <v>1</v>
      </c>
      <c r="M876" s="306">
        <f t="shared" si="224"/>
        <v>4356.79</v>
      </c>
      <c r="N876" s="305">
        <f>IF(G876=0,0,(IF(OR(E876=$AT$5,E876=$AT$6),AC876,HLOOKUP(YEAR(G876)+(MONTH(G876)/100),TC!$5:$37,DAY(G876)+2,FALSE))))</f>
        <v>18.5899</v>
      </c>
      <c r="O876" s="307">
        <f t="shared" si="225"/>
        <v>80992.290420999998</v>
      </c>
      <c r="P876" s="560">
        <f>IF(G876=0,0,VLOOKUP(YEAR(G876),INPC!$B$4:$P$30,MONTH(G876)+2))</f>
        <v>100.492</v>
      </c>
      <c r="Q876" s="560">
        <f>IF(X876=0,0,IF(OR(E876=$AT$10,E876=$AT$9),VLOOKUP(YEAR(X876),INPC!$B$4:$P$30,MONTH(X876)+1),VLOOKUP(YEAR(X876),INPC!$B$4:$P$30,MONTH(X876)+2,0)))</f>
        <v>122.94799999999999</v>
      </c>
      <c r="R876" s="309">
        <f t="shared" si="226"/>
        <v>1.2234</v>
      </c>
      <c r="S876" s="310">
        <f t="shared" si="227"/>
        <v>99085.968101051403</v>
      </c>
      <c r="T876" s="555">
        <f t="shared" si="228"/>
        <v>1651.4328016841901</v>
      </c>
      <c r="U876" s="311"/>
      <c r="V876" s="312">
        <v>60</v>
      </c>
      <c r="W876" s="299" t="s">
        <v>194</v>
      </c>
      <c r="X876" s="300">
        <v>44790</v>
      </c>
      <c r="Y876" s="299" t="s">
        <v>59</v>
      </c>
      <c r="Z876" s="303">
        <v>6701.25</v>
      </c>
      <c r="AA876" s="305">
        <f>IF(Z876=0,0,IF(Y876="MXN",1/HLOOKUP(YEAR(X876)+(MONTH(X876)/100),TC!$5:$37,DAY(X876)+2,FALSE),VLOOKUP(Y876,Equivalencia!$1:$23,((MAX(Equivalencia!$3:$3)-YEAR(X876))*14)+MONTH(X876)+2,FALSE)))</f>
        <v>1</v>
      </c>
      <c r="AB876" s="306">
        <f t="shared" si="229"/>
        <v>6701.25</v>
      </c>
      <c r="AC876" s="305">
        <f>+IF(X876=0,0,HLOOKUP(YEAR(X876)+(MONTH(X876)/100),TC!$5:$37,DAY(X876)+2,FALSE))</f>
        <v>19.861799999999999</v>
      </c>
      <c r="AD876" s="307">
        <f t="shared" si="230"/>
        <v>133098.88725</v>
      </c>
      <c r="AE876" s="314">
        <f t="shared" si="231"/>
        <v>99085.968101051403</v>
      </c>
      <c r="AF876" s="315">
        <f t="shared" si="232"/>
        <v>34012.919148948597</v>
      </c>
      <c r="AG876" s="316">
        <f t="shared" si="233"/>
        <v>4.0410958904109586</v>
      </c>
      <c r="AH876" s="314">
        <v>1</v>
      </c>
      <c r="AI876" s="314">
        <f t="shared" si="234"/>
        <v>34012.919148948597</v>
      </c>
      <c r="AJ876" s="314">
        <f t="shared" si="235"/>
        <v>0</v>
      </c>
      <c r="AK876" s="317"/>
      <c r="AL876" s="315">
        <f t="shared" si="236"/>
        <v>2344.46</v>
      </c>
      <c r="AN876" s="554">
        <f t="shared" si="237"/>
        <v>0.53811636548927078</v>
      </c>
      <c r="AO876" s="314"/>
      <c r="AP876" s="318"/>
    </row>
    <row r="877" spans="2:42">
      <c r="B877" s="296" t="s">
        <v>1266</v>
      </c>
      <c r="C877" s="299" t="s">
        <v>277</v>
      </c>
      <c r="D877" s="298" t="s">
        <v>784</v>
      </c>
      <c r="E877" s="299" t="s">
        <v>113</v>
      </c>
      <c r="F877" s="299" t="s">
        <v>59</v>
      </c>
      <c r="G877" s="300">
        <v>43315</v>
      </c>
      <c r="H877" s="303">
        <v>10383.69</v>
      </c>
      <c r="I877" s="301" t="str">
        <f t="shared" si="221"/>
        <v>Ingresos Sección II LISR (SIC &amp; BMV)</v>
      </c>
      <c r="J877" s="302">
        <f t="shared" si="222"/>
        <v>143</v>
      </c>
      <c r="K877" s="304">
        <f t="shared" si="223"/>
        <v>72.613216783216785</v>
      </c>
      <c r="L877" s="305">
        <f>IF(H877=0,0,IF(OR(E877=$AT$5,E877=$AT$6),AA877,IF(F877="MXN",1/HLOOKUP(YEAR(G877)+(MONTH(G877)/100),TC!$5:$37,DAY(G877)+2,FALSE),VLOOKUP(F877,Equivalencia!$5:$23,((MAX(Equivalencia!$3:$3)-YEAR(G877))*14)+MONTH(G877)+2,FALSE))))</f>
        <v>1</v>
      </c>
      <c r="M877" s="306">
        <f t="shared" si="224"/>
        <v>10383.69</v>
      </c>
      <c r="N877" s="305">
        <f>IF(G877=0,0,(IF(OR(E877=$AT$5,E877=$AT$6),AC877,HLOOKUP(YEAR(G877)+(MONTH(G877)/100),TC!$5:$37,DAY(G877)+2,FALSE))))</f>
        <v>18.5899</v>
      </c>
      <c r="O877" s="307">
        <f t="shared" si="225"/>
        <v>193031.75873100001</v>
      </c>
      <c r="P877" s="560">
        <f>IF(G877=0,0,VLOOKUP(YEAR(G877),INPC!$B$4:$P$30,MONTH(G877)+2))</f>
        <v>100.492</v>
      </c>
      <c r="Q877" s="560">
        <f>IF(X877=0,0,IF(OR(E877=$AT$10,E877=$AT$9),VLOOKUP(YEAR(X877),INPC!$B$4:$P$30,MONTH(X877)+1),VLOOKUP(YEAR(X877),INPC!$B$4:$P$30,MONTH(X877)+2,0)))</f>
        <v>122.94799999999999</v>
      </c>
      <c r="R877" s="309">
        <f t="shared" si="226"/>
        <v>1.2234</v>
      </c>
      <c r="S877" s="310">
        <f t="shared" si="227"/>
        <v>236155.05363150541</v>
      </c>
      <c r="T877" s="555">
        <f t="shared" si="228"/>
        <v>1651.4339414790588</v>
      </c>
      <c r="U877" s="311"/>
      <c r="V877" s="312">
        <v>143</v>
      </c>
      <c r="W877" s="299" t="s">
        <v>194</v>
      </c>
      <c r="X877" s="300">
        <v>44802</v>
      </c>
      <c r="Y877" s="299" t="s">
        <v>59</v>
      </c>
      <c r="Z877" s="303">
        <v>14625.41</v>
      </c>
      <c r="AA877" s="305">
        <f>IF(Z877=0,0,IF(Y877="MXN",1/HLOOKUP(YEAR(X877)+(MONTH(X877)/100),TC!$5:$37,DAY(X877)+2,FALSE),VLOOKUP(Y877,Equivalencia!$1:$23,((MAX(Equivalencia!$3:$3)-YEAR(X877))*14)+MONTH(X877)+2,FALSE)))</f>
        <v>1</v>
      </c>
      <c r="AB877" s="306">
        <f t="shared" si="229"/>
        <v>14625.41</v>
      </c>
      <c r="AC877" s="305">
        <f>+IF(X877=0,0,HLOOKUP(YEAR(X877)+(MONTH(X877)/100),TC!$5:$37,DAY(X877)+2,FALSE))</f>
        <v>19.9437</v>
      </c>
      <c r="AD877" s="307">
        <f t="shared" si="230"/>
        <v>291684.78941700002</v>
      </c>
      <c r="AE877" s="314">
        <f t="shared" si="231"/>
        <v>236155.05363150541</v>
      </c>
      <c r="AF877" s="315">
        <f t="shared" si="232"/>
        <v>55529.735785494617</v>
      </c>
      <c r="AG877" s="316">
        <f t="shared" si="233"/>
        <v>4.0739726027397261</v>
      </c>
      <c r="AH877" s="314">
        <v>1</v>
      </c>
      <c r="AI877" s="314">
        <f t="shared" si="234"/>
        <v>55529.735785494617</v>
      </c>
      <c r="AJ877" s="314">
        <f t="shared" si="235"/>
        <v>0</v>
      </c>
      <c r="AK877" s="317"/>
      <c r="AL877" s="315">
        <f t="shared" si="236"/>
        <v>4241.7199999999993</v>
      </c>
      <c r="AN877" s="554">
        <f t="shared" si="237"/>
        <v>0.40849832766579119</v>
      </c>
      <c r="AO877" s="314"/>
      <c r="AP877" s="318"/>
    </row>
    <row r="878" spans="2:42">
      <c r="B878" s="296" t="s">
        <v>1266</v>
      </c>
      <c r="C878" s="299" t="s">
        <v>277</v>
      </c>
      <c r="D878" s="298" t="s">
        <v>976</v>
      </c>
      <c r="E878" s="299" t="s">
        <v>113</v>
      </c>
      <c r="F878" s="299" t="s">
        <v>59</v>
      </c>
      <c r="G878" s="300">
        <v>44648</v>
      </c>
      <c r="H878" s="303">
        <v>7857.86</v>
      </c>
      <c r="I878" s="301" t="str">
        <f t="shared" si="221"/>
        <v>Ingresos Sección II LISR (SIC &amp; BMV)</v>
      </c>
      <c r="J878" s="302">
        <f t="shared" si="222"/>
        <v>27</v>
      </c>
      <c r="K878" s="304">
        <f t="shared" si="223"/>
        <v>291.03185185185185</v>
      </c>
      <c r="L878" s="305">
        <f>IF(H878=0,0,IF(OR(E878=$AT$5,E878=$AT$6),AA878,IF(F878="MXN",1/HLOOKUP(YEAR(G878)+(MONTH(G878)/100),TC!$5:$37,DAY(G878)+2,FALSE),VLOOKUP(F878,Equivalencia!$5:$23,((MAX(Equivalencia!$3:$3)-YEAR(G878))*14)+MONTH(G878)+2,FALSE))))</f>
        <v>1</v>
      </c>
      <c r="M878" s="306">
        <f t="shared" si="224"/>
        <v>7857.86</v>
      </c>
      <c r="N878" s="305">
        <f>IF(G878=0,0,(IF(OR(E878=$AT$5,E878=$AT$6),AC878,HLOOKUP(YEAR(G878)+(MONTH(G878)/100),TC!$5:$37,DAY(G878)+2,FALSE))))</f>
        <v>20.1313</v>
      </c>
      <c r="O878" s="307">
        <f t="shared" si="225"/>
        <v>158188.937018</v>
      </c>
      <c r="P878" s="560">
        <f>IF(G878=0,0,VLOOKUP(YEAR(G878),INPC!$B$4:$P$30,MONTH(G878)+2))</f>
        <v>120.15900000000001</v>
      </c>
      <c r="Q878" s="560">
        <f>IF(X878=0,0,IF(OR(E878=$AT$10,E878=$AT$9),VLOOKUP(YEAR(X878),INPC!$B$4:$P$30,MONTH(X878)+1),VLOOKUP(YEAR(X878),INPC!$B$4:$P$30,MONTH(X878)+2,0)))</f>
        <v>122.94799999999999</v>
      </c>
      <c r="R878" s="309">
        <f t="shared" si="226"/>
        <v>1.0232000000000001</v>
      </c>
      <c r="S878" s="310">
        <f t="shared" si="227"/>
        <v>161858.9203568176</v>
      </c>
      <c r="T878" s="555">
        <f t="shared" si="228"/>
        <v>5994.7748280302812</v>
      </c>
      <c r="U878" s="311"/>
      <c r="V878" s="312">
        <v>27</v>
      </c>
      <c r="W878" s="299" t="s">
        <v>194</v>
      </c>
      <c r="X878" s="300">
        <v>44790</v>
      </c>
      <c r="Y878" s="299" t="s">
        <v>59</v>
      </c>
      <c r="Z878" s="303">
        <v>6211.75</v>
      </c>
      <c r="AA878" s="305">
        <f>IF(Z878=0,0,IF(Y878="MXN",1/HLOOKUP(YEAR(X878)+(MONTH(X878)/100),TC!$5:$37,DAY(X878)+2,FALSE),VLOOKUP(Y878,Equivalencia!$1:$23,((MAX(Equivalencia!$3:$3)-YEAR(X878))*14)+MONTH(X878)+2,FALSE)))</f>
        <v>1</v>
      </c>
      <c r="AB878" s="306">
        <f t="shared" si="229"/>
        <v>6211.75</v>
      </c>
      <c r="AC878" s="305">
        <f>+IF(X878=0,0,HLOOKUP(YEAR(X878)+(MONTH(X878)/100),TC!$5:$37,DAY(X878)+2,FALSE))</f>
        <v>19.861799999999999</v>
      </c>
      <c r="AD878" s="307">
        <f t="shared" si="230"/>
        <v>123376.53614999999</v>
      </c>
      <c r="AE878" s="314">
        <f t="shared" si="231"/>
        <v>161858.9203568176</v>
      </c>
      <c r="AF878" s="315">
        <f t="shared" si="232"/>
        <v>-38482.384206817616</v>
      </c>
      <c r="AG878" s="316">
        <f t="shared" si="233"/>
        <v>0.38904109589041097</v>
      </c>
      <c r="AH878" s="314">
        <v>1</v>
      </c>
      <c r="AI878" s="314">
        <f t="shared" si="234"/>
        <v>-38482.384206817616</v>
      </c>
      <c r="AJ878" s="314">
        <f t="shared" si="235"/>
        <v>0</v>
      </c>
      <c r="AK878" s="317"/>
      <c r="AL878" s="315">
        <f t="shared" si="236"/>
        <v>-1646.1099999999997</v>
      </c>
      <c r="AN878" s="554">
        <f t="shared" si="237"/>
        <v>-0.20948578875164481</v>
      </c>
      <c r="AO878" s="314"/>
      <c r="AP878" s="318"/>
    </row>
    <row r="879" spans="2:42">
      <c r="B879" s="296" t="s">
        <v>1266</v>
      </c>
      <c r="C879" s="299" t="s">
        <v>277</v>
      </c>
      <c r="D879" s="298" t="s">
        <v>977</v>
      </c>
      <c r="E879" s="299" t="s">
        <v>113</v>
      </c>
      <c r="F879" s="299" t="s">
        <v>59</v>
      </c>
      <c r="G879" s="300">
        <v>44720</v>
      </c>
      <c r="H879" s="303">
        <v>4641.87</v>
      </c>
      <c r="I879" s="301" t="str">
        <f t="shared" si="221"/>
        <v>Ingresos Sección II LISR (SIC &amp; BMV)</v>
      </c>
      <c r="J879" s="302">
        <f t="shared" si="222"/>
        <v>19</v>
      </c>
      <c r="K879" s="304">
        <f t="shared" si="223"/>
        <v>244.30894736842106</v>
      </c>
      <c r="L879" s="305">
        <f>IF(H879=0,0,IF(OR(E879=$AT$5,E879=$AT$6),AA879,IF(F879="MXN",1/HLOOKUP(YEAR(G879)+(MONTH(G879)/100),TC!$5:$37,DAY(G879)+2,FALSE),VLOOKUP(F879,Equivalencia!$5:$23,((MAX(Equivalencia!$3:$3)-YEAR(G879))*14)+MONTH(G879)+2,FALSE))))</f>
        <v>1</v>
      </c>
      <c r="M879" s="306">
        <f t="shared" si="224"/>
        <v>4641.87</v>
      </c>
      <c r="N879" s="305">
        <f>IF(G879=0,0,(IF(OR(E879=$AT$5,E879=$AT$6),AC879,HLOOKUP(YEAR(G879)+(MONTH(G879)/100),TC!$5:$37,DAY(G879)+2,FALSE))))</f>
        <v>19.5547</v>
      </c>
      <c r="O879" s="307">
        <f t="shared" si="225"/>
        <v>90770.375289000003</v>
      </c>
      <c r="P879" s="560">
        <f>IF(G879=0,0,VLOOKUP(YEAR(G879),INPC!$B$4:$P$30,MONTH(G879)+2))</f>
        <v>122.044</v>
      </c>
      <c r="Q879" s="560">
        <f>IF(X879=0,0,IF(OR(E879=$AT$10,E879=$AT$9),VLOOKUP(YEAR(X879),INPC!$B$4:$P$30,MONTH(X879)+1),VLOOKUP(YEAR(X879),INPC!$B$4:$P$30,MONTH(X879)+2,0)))</f>
        <v>122.94799999999999</v>
      </c>
      <c r="R879" s="309">
        <f t="shared" si="226"/>
        <v>1.0074000000000001</v>
      </c>
      <c r="S879" s="310">
        <f t="shared" si="227"/>
        <v>91442.076066138616</v>
      </c>
      <c r="T879" s="555">
        <f t="shared" si="228"/>
        <v>4812.7408455862433</v>
      </c>
      <c r="U879" s="311"/>
      <c r="V879" s="312">
        <v>19</v>
      </c>
      <c r="W879" s="299" t="s">
        <v>194</v>
      </c>
      <c r="X879" s="300">
        <v>44790</v>
      </c>
      <c r="Y879" s="299" t="s">
        <v>59</v>
      </c>
      <c r="Z879" s="303">
        <v>4575.91</v>
      </c>
      <c r="AA879" s="305">
        <f>IF(Z879=0,0,IF(Y879="MXN",1/HLOOKUP(YEAR(X879)+(MONTH(X879)/100),TC!$5:$37,DAY(X879)+2,FALSE),VLOOKUP(Y879,Equivalencia!$1:$23,((MAX(Equivalencia!$3:$3)-YEAR(X879))*14)+MONTH(X879)+2,FALSE)))</f>
        <v>1</v>
      </c>
      <c r="AB879" s="306">
        <f t="shared" si="229"/>
        <v>4575.91</v>
      </c>
      <c r="AC879" s="305">
        <f>+IF(X879=0,0,HLOOKUP(YEAR(X879)+(MONTH(X879)/100),TC!$5:$37,DAY(X879)+2,FALSE))</f>
        <v>19.861799999999999</v>
      </c>
      <c r="AD879" s="307">
        <f t="shared" si="230"/>
        <v>90885.809237999987</v>
      </c>
      <c r="AE879" s="314">
        <f t="shared" si="231"/>
        <v>91442.076066138616</v>
      </c>
      <c r="AF879" s="315">
        <f t="shared" si="232"/>
        <v>-556.26682813862863</v>
      </c>
      <c r="AG879" s="316">
        <f t="shared" si="233"/>
        <v>0.19178082191780821</v>
      </c>
      <c r="AH879" s="314">
        <v>1</v>
      </c>
      <c r="AI879" s="314">
        <f t="shared" si="234"/>
        <v>-556.26682813862863</v>
      </c>
      <c r="AJ879" s="314">
        <f t="shared" si="235"/>
        <v>0</v>
      </c>
      <c r="AK879" s="317"/>
      <c r="AL879" s="315">
        <f t="shared" si="236"/>
        <v>-65.960000000000036</v>
      </c>
      <c r="AN879" s="554">
        <f t="shared" si="237"/>
        <v>-1.4209790450831247E-2</v>
      </c>
      <c r="AO879" s="314"/>
      <c r="AP879" s="318"/>
    </row>
    <row r="880" spans="2:42">
      <c r="B880" s="296" t="s">
        <v>1266</v>
      </c>
      <c r="C880" s="299" t="s">
        <v>277</v>
      </c>
      <c r="D880" s="298" t="s">
        <v>978</v>
      </c>
      <c r="E880" s="299" t="s">
        <v>113</v>
      </c>
      <c r="F880" s="299" t="s">
        <v>59</v>
      </c>
      <c r="G880" s="300">
        <v>43537</v>
      </c>
      <c r="H880" s="303">
        <v>3207.74</v>
      </c>
      <c r="I880" s="301" t="str">
        <f t="shared" si="221"/>
        <v>Ingresos Sección II LISR (SIC &amp; BMV)</v>
      </c>
      <c r="J880" s="302">
        <f t="shared" si="222"/>
        <v>20</v>
      </c>
      <c r="K880" s="304">
        <f t="shared" si="223"/>
        <v>160.387</v>
      </c>
      <c r="L880" s="305">
        <f>IF(H880=0,0,IF(OR(E880=$AT$5,E880=$AT$6),AA880,IF(F880="MXN",1/HLOOKUP(YEAR(G880)+(MONTH(G880)/100),TC!$5:$37,DAY(G880)+2,FALSE),VLOOKUP(F880,Equivalencia!$5:$23,((MAX(Equivalencia!$3:$3)-YEAR(G880))*14)+MONTH(G880)+2,FALSE))))</f>
        <v>1</v>
      </c>
      <c r="M880" s="306">
        <f t="shared" si="224"/>
        <v>3207.74</v>
      </c>
      <c r="N880" s="305">
        <f>IF(G880=0,0,(IF(OR(E880=$AT$5,E880=$AT$6),AC880,HLOOKUP(YEAR(G880)+(MONTH(G880)/100),TC!$5:$37,DAY(G880)+2,FALSE))))</f>
        <v>19.424299999999999</v>
      </c>
      <c r="O880" s="307">
        <f t="shared" si="225"/>
        <v>62308.104081999991</v>
      </c>
      <c r="P880" s="560">
        <f>IF(G880=0,0,VLOOKUP(YEAR(G880),INPC!$B$4:$P$30,MONTH(G880)+2))</f>
        <v>103.476</v>
      </c>
      <c r="Q880" s="560">
        <f>IF(X880=0,0,IF(OR(E880=$AT$10,E880=$AT$9),VLOOKUP(YEAR(X880),INPC!$B$4:$P$30,MONTH(X880)+1),VLOOKUP(YEAR(X880),INPC!$B$4:$P$30,MONTH(X880)+2,0)))</f>
        <v>122.94799999999999</v>
      </c>
      <c r="R880" s="309">
        <f t="shared" si="226"/>
        <v>1.1880999999999999</v>
      </c>
      <c r="S880" s="310">
        <f t="shared" si="227"/>
        <v>74028.258459824181</v>
      </c>
      <c r="T880" s="555">
        <f t="shared" si="228"/>
        <v>3701.4129229912091</v>
      </c>
      <c r="U880" s="311"/>
      <c r="V880" s="312">
        <v>20</v>
      </c>
      <c r="W880" s="299" t="s">
        <v>194</v>
      </c>
      <c r="X880" s="300">
        <v>44790</v>
      </c>
      <c r="Y880" s="299" t="s">
        <v>59</v>
      </c>
      <c r="Z880" s="303">
        <v>5538.87</v>
      </c>
      <c r="AA880" s="305">
        <f>IF(Z880=0,0,IF(Y880="MXN",1/HLOOKUP(YEAR(X880)+(MONTH(X880)/100),TC!$5:$37,DAY(X880)+2,FALSE),VLOOKUP(Y880,Equivalencia!$1:$23,((MAX(Equivalencia!$3:$3)-YEAR(X880))*14)+MONTH(X880)+2,FALSE)))</f>
        <v>1</v>
      </c>
      <c r="AB880" s="306">
        <f t="shared" si="229"/>
        <v>5538.87</v>
      </c>
      <c r="AC880" s="305">
        <f>+IF(X880=0,0,HLOOKUP(YEAR(X880)+(MONTH(X880)/100),TC!$5:$37,DAY(X880)+2,FALSE))</f>
        <v>19.861799999999999</v>
      </c>
      <c r="AD880" s="307">
        <f t="shared" si="230"/>
        <v>110011.928166</v>
      </c>
      <c r="AE880" s="314">
        <f t="shared" si="231"/>
        <v>74028.258459824181</v>
      </c>
      <c r="AF880" s="315">
        <f t="shared" si="232"/>
        <v>35983.669706175817</v>
      </c>
      <c r="AG880" s="316">
        <f t="shared" si="233"/>
        <v>3.4328767123287673</v>
      </c>
      <c r="AH880" s="314">
        <v>1</v>
      </c>
      <c r="AI880" s="314">
        <f t="shared" si="234"/>
        <v>35983.669706175817</v>
      </c>
      <c r="AJ880" s="314">
        <f t="shared" si="235"/>
        <v>0</v>
      </c>
      <c r="AK880" s="317"/>
      <c r="AL880" s="315">
        <f t="shared" si="236"/>
        <v>2331.13</v>
      </c>
      <c r="AN880" s="554">
        <f t="shared" si="237"/>
        <v>0.72672037010480905</v>
      </c>
      <c r="AO880" s="314"/>
      <c r="AP880" s="318"/>
    </row>
    <row r="881" spans="2:42">
      <c r="B881" s="296" t="s">
        <v>1266</v>
      </c>
      <c r="C881" s="299" t="s">
        <v>277</v>
      </c>
      <c r="D881" s="298" t="s">
        <v>748</v>
      </c>
      <c r="E881" s="299" t="s">
        <v>113</v>
      </c>
      <c r="F881" s="299" t="s">
        <v>59</v>
      </c>
      <c r="G881" s="300">
        <v>43315</v>
      </c>
      <c r="H881" s="303">
        <v>15731.31</v>
      </c>
      <c r="I881" s="301" t="str">
        <f t="shared" si="221"/>
        <v>Ingresos Sección II LISR (SIC &amp; BMV)</v>
      </c>
      <c r="J881" s="302">
        <f t="shared" si="222"/>
        <v>161</v>
      </c>
      <c r="K881" s="304">
        <f t="shared" si="223"/>
        <v>97.71</v>
      </c>
      <c r="L881" s="305">
        <f>IF(H881=0,0,IF(OR(E881=$AT$5,E881=$AT$6),AA881,IF(F881="MXN",1/HLOOKUP(YEAR(G881)+(MONTH(G881)/100),TC!$5:$37,DAY(G881)+2,FALSE),VLOOKUP(F881,Equivalencia!$5:$23,((MAX(Equivalencia!$3:$3)-YEAR(G881))*14)+MONTH(G881)+2,FALSE))))</f>
        <v>1</v>
      </c>
      <c r="M881" s="306">
        <f t="shared" si="224"/>
        <v>15731.31</v>
      </c>
      <c r="N881" s="305">
        <f>IF(G881=0,0,(IF(OR(E881=$AT$5,E881=$AT$6),AC881,HLOOKUP(YEAR(G881)+(MONTH(G881)/100),TC!$5:$37,DAY(G881)+2,FALSE))))</f>
        <v>18.5899</v>
      </c>
      <c r="O881" s="307">
        <f t="shared" si="225"/>
        <v>292443.47976899997</v>
      </c>
      <c r="P881" s="560">
        <f>IF(G881=0,0,VLOOKUP(YEAR(G881),INPC!$B$4:$P$30,MONTH(G881)+2))</f>
        <v>100.492</v>
      </c>
      <c r="Q881" s="560">
        <f>IF(X881=0,0,IF(OR(E881=$AT$10,E881=$AT$9),VLOOKUP(YEAR(X881),INPC!$B$4:$P$30,MONTH(X881)+1),VLOOKUP(YEAR(X881),INPC!$B$4:$P$30,MONTH(X881)+2,0)))</f>
        <v>122.044</v>
      </c>
      <c r="R881" s="309">
        <f t="shared" si="226"/>
        <v>1.2143999999999999</v>
      </c>
      <c r="S881" s="310">
        <f t="shared" si="227"/>
        <v>355143.36183147354</v>
      </c>
      <c r="T881" s="555">
        <f t="shared" si="228"/>
        <v>2205.8593902575994</v>
      </c>
      <c r="U881" s="311"/>
      <c r="V881" s="312">
        <v>161</v>
      </c>
      <c r="W881" s="299" t="s">
        <v>194</v>
      </c>
      <c r="X881" s="300">
        <v>44771</v>
      </c>
      <c r="Y881" s="299" t="s">
        <v>59</v>
      </c>
      <c r="Z881" s="303">
        <v>30706.27</v>
      </c>
      <c r="AA881" s="305">
        <f>IF(Z881=0,0,IF(Y881="MXN",1/HLOOKUP(YEAR(X881)+(MONTH(X881)/100),TC!$5:$37,DAY(X881)+2,FALSE),VLOOKUP(Y881,Equivalencia!$1:$23,((MAX(Equivalencia!$3:$3)-YEAR(X881))*14)+MONTH(X881)+2,FALSE)))</f>
        <v>1</v>
      </c>
      <c r="AB881" s="306">
        <f t="shared" si="229"/>
        <v>30706.27</v>
      </c>
      <c r="AC881" s="305">
        <f>+IF(X881=0,0,HLOOKUP(YEAR(X881)+(MONTH(X881)/100),TC!$5:$37,DAY(X881)+2,FALSE))</f>
        <v>20.512</v>
      </c>
      <c r="AD881" s="307">
        <f t="shared" si="230"/>
        <v>629847.01023999997</v>
      </c>
      <c r="AE881" s="314">
        <f t="shared" si="231"/>
        <v>355143.36183147354</v>
      </c>
      <c r="AF881" s="315">
        <f t="shared" si="232"/>
        <v>274703.64840852644</v>
      </c>
      <c r="AG881" s="316">
        <f t="shared" si="233"/>
        <v>3.989041095890411</v>
      </c>
      <c r="AH881" s="314">
        <v>1</v>
      </c>
      <c r="AI881" s="314">
        <f t="shared" si="234"/>
        <v>274703.64840852644</v>
      </c>
      <c r="AJ881" s="314">
        <f t="shared" si="235"/>
        <v>0</v>
      </c>
      <c r="AK881" s="317"/>
      <c r="AL881" s="315">
        <f t="shared" si="236"/>
        <v>14974.960000000001</v>
      </c>
      <c r="AN881" s="554">
        <f t="shared" si="237"/>
        <v>0.95192072370323899</v>
      </c>
      <c r="AO881" s="314"/>
      <c r="AP881" s="318"/>
    </row>
    <row r="882" spans="2:42">
      <c r="B882" s="296" t="s">
        <v>1266</v>
      </c>
      <c r="C882" s="299" t="s">
        <v>277</v>
      </c>
      <c r="D882" s="298" t="s">
        <v>748</v>
      </c>
      <c r="E882" s="299" t="s">
        <v>113</v>
      </c>
      <c r="F882" s="299" t="s">
        <v>59</v>
      </c>
      <c r="G882" s="300">
        <v>43894</v>
      </c>
      <c r="H882" s="303">
        <v>1333.8</v>
      </c>
      <c r="I882" s="301" t="str">
        <f t="shared" si="221"/>
        <v>Ingresos Sección II LISR (SIC &amp; BMV)</v>
      </c>
      <c r="J882" s="302">
        <f t="shared" si="222"/>
        <v>12</v>
      </c>
      <c r="K882" s="304">
        <f t="shared" si="223"/>
        <v>111.14999999999999</v>
      </c>
      <c r="L882" s="305">
        <f>IF(H882=0,0,IF(OR(E882=$AT$5,E882=$AT$6),AA882,IF(F882="MXN",1/HLOOKUP(YEAR(G882)+(MONTH(G882)/100),TC!$5:$37,DAY(G882)+2,FALSE),VLOOKUP(F882,Equivalencia!$5:$23,((MAX(Equivalencia!$3:$3)-YEAR(G882))*14)+MONTH(G882)+2,FALSE))))</f>
        <v>1</v>
      </c>
      <c r="M882" s="306">
        <f t="shared" si="224"/>
        <v>1333.8</v>
      </c>
      <c r="N882" s="305">
        <f>IF(G882=0,0,(IF(OR(E882=$AT$5,E882=$AT$6),AC882,HLOOKUP(YEAR(G882)+(MONTH(G882)/100),TC!$5:$37,DAY(G882)+2,FALSE))))</f>
        <v>19.698499999999999</v>
      </c>
      <c r="O882" s="307">
        <f t="shared" si="225"/>
        <v>26273.859299999996</v>
      </c>
      <c r="P882" s="560">
        <f>IF(G882=0,0,VLOOKUP(YEAR(G882),INPC!$B$4:$P$30,MONTH(G882)+2))</f>
        <v>106.83799999999999</v>
      </c>
      <c r="Q882" s="560">
        <f>IF(X882=0,0,IF(OR(E882=$AT$10,E882=$AT$9),VLOOKUP(YEAR(X882),INPC!$B$4:$P$30,MONTH(X882)+1),VLOOKUP(YEAR(X882),INPC!$B$4:$P$30,MONTH(X882)+2,0)))</f>
        <v>122.044</v>
      </c>
      <c r="R882" s="309">
        <f t="shared" si="226"/>
        <v>1.1423000000000001</v>
      </c>
      <c r="S882" s="310">
        <f t="shared" si="227"/>
        <v>30012.629478389998</v>
      </c>
      <c r="T882" s="555">
        <f t="shared" si="228"/>
        <v>2501.0524565324999</v>
      </c>
      <c r="U882" s="311"/>
      <c r="V882" s="312">
        <v>12</v>
      </c>
      <c r="W882" s="299" t="s">
        <v>194</v>
      </c>
      <c r="X882" s="300">
        <v>44771</v>
      </c>
      <c r="Y882" s="299" t="s">
        <v>59</v>
      </c>
      <c r="Z882" s="303">
        <v>2288.67</v>
      </c>
      <c r="AA882" s="305">
        <f>IF(Z882=0,0,IF(Y882="MXN",1/HLOOKUP(YEAR(X882)+(MONTH(X882)/100),TC!$5:$37,DAY(X882)+2,FALSE),VLOOKUP(Y882,Equivalencia!$1:$23,((MAX(Equivalencia!$3:$3)-YEAR(X882))*14)+MONTH(X882)+2,FALSE)))</f>
        <v>1</v>
      </c>
      <c r="AB882" s="306">
        <f t="shared" si="229"/>
        <v>2288.67</v>
      </c>
      <c r="AC882" s="305">
        <f>+IF(X882=0,0,HLOOKUP(YEAR(X882)+(MONTH(X882)/100),TC!$5:$37,DAY(X882)+2,FALSE))</f>
        <v>20.512</v>
      </c>
      <c r="AD882" s="307">
        <f t="shared" si="230"/>
        <v>46945.19904</v>
      </c>
      <c r="AE882" s="314">
        <f t="shared" si="231"/>
        <v>30012.629478390001</v>
      </c>
      <c r="AF882" s="315">
        <f t="shared" si="232"/>
        <v>16932.569561609998</v>
      </c>
      <c r="AG882" s="316">
        <f t="shared" si="233"/>
        <v>2.4027397260273973</v>
      </c>
      <c r="AH882" s="314">
        <v>1</v>
      </c>
      <c r="AI882" s="314">
        <f t="shared" si="234"/>
        <v>16932.569561609998</v>
      </c>
      <c r="AJ882" s="314">
        <f t="shared" si="235"/>
        <v>0</v>
      </c>
      <c r="AK882" s="317"/>
      <c r="AL882" s="315">
        <f t="shared" si="236"/>
        <v>954.87000000000012</v>
      </c>
      <c r="AN882" s="554">
        <f t="shared" si="237"/>
        <v>0.7159019343229871</v>
      </c>
      <c r="AO882" s="314"/>
      <c r="AP882" s="318"/>
    </row>
    <row r="883" spans="2:42">
      <c r="B883" s="296" t="s">
        <v>1266</v>
      </c>
      <c r="C883" s="299" t="s">
        <v>277</v>
      </c>
      <c r="D883" s="298" t="s">
        <v>748</v>
      </c>
      <c r="E883" s="299" t="s">
        <v>113</v>
      </c>
      <c r="F883" s="299" t="s">
        <v>59</v>
      </c>
      <c r="G883" s="300">
        <v>44469</v>
      </c>
      <c r="H883" s="303">
        <v>6141.07</v>
      </c>
      <c r="I883" s="301" t="str">
        <f t="shared" si="221"/>
        <v>Ingresos Sección II LISR (SIC &amp; BMV)</v>
      </c>
      <c r="J883" s="302">
        <f t="shared" si="222"/>
        <v>30</v>
      </c>
      <c r="K883" s="304">
        <f t="shared" si="223"/>
        <v>204.70233333333331</v>
      </c>
      <c r="L883" s="305">
        <f>IF(H883=0,0,IF(OR(E883=$AT$5,E883=$AT$6),AA883,IF(F883="MXN",1/HLOOKUP(YEAR(G883)+(MONTH(G883)/100),TC!$5:$37,DAY(G883)+2,FALSE),VLOOKUP(F883,Equivalencia!$5:$23,((MAX(Equivalencia!$3:$3)-YEAR(G883))*14)+MONTH(G883)+2,FALSE))))</f>
        <v>1</v>
      </c>
      <c r="M883" s="306">
        <f t="shared" si="224"/>
        <v>6141.07</v>
      </c>
      <c r="N883" s="305">
        <f>IF(G883=0,0,(IF(OR(E883=$AT$5,E883=$AT$6),AC883,HLOOKUP(YEAR(G883)+(MONTH(G883)/100),TC!$5:$37,DAY(G883)+2,FALSE))))</f>
        <v>20.306000000000001</v>
      </c>
      <c r="O883" s="307">
        <f t="shared" si="225"/>
        <v>124700.56742000001</v>
      </c>
      <c r="P883" s="560">
        <f>IF(G883=0,0,VLOOKUP(YEAR(G883),INPC!$B$4:$P$30,MONTH(G883)+2))</f>
        <v>114.601</v>
      </c>
      <c r="Q883" s="560">
        <f>IF(X883=0,0,IF(OR(E883=$AT$10,E883=$AT$9),VLOOKUP(YEAR(X883),INPC!$B$4:$P$30,MONTH(X883)+1),VLOOKUP(YEAR(X883),INPC!$B$4:$P$30,MONTH(X883)+2,0)))</f>
        <v>122.94799999999999</v>
      </c>
      <c r="R883" s="309">
        <f t="shared" si="226"/>
        <v>1.0728</v>
      </c>
      <c r="S883" s="310">
        <f t="shared" si="227"/>
        <v>133778.76872817602</v>
      </c>
      <c r="T883" s="555">
        <f t="shared" si="228"/>
        <v>4459.2922909392009</v>
      </c>
      <c r="U883" s="311"/>
      <c r="V883" s="312">
        <v>30</v>
      </c>
      <c r="W883" s="299" t="s">
        <v>194</v>
      </c>
      <c r="X883" s="300">
        <v>44774</v>
      </c>
      <c r="Y883" s="299" t="s">
        <v>59</v>
      </c>
      <c r="Z883" s="303">
        <v>5826.66</v>
      </c>
      <c r="AA883" s="305">
        <f>IF(Z883=0,0,IF(Y883="MXN",1/HLOOKUP(YEAR(X883)+(MONTH(X883)/100),TC!$5:$37,DAY(X883)+2,FALSE),VLOOKUP(Y883,Equivalencia!$1:$23,((MAX(Equivalencia!$3:$3)-YEAR(X883))*14)+MONTH(X883)+2,FALSE)))</f>
        <v>1</v>
      </c>
      <c r="AB883" s="306">
        <f t="shared" si="229"/>
        <v>5826.66</v>
      </c>
      <c r="AC883" s="305">
        <f>+IF(X883=0,0,HLOOKUP(YEAR(X883)+(MONTH(X883)/100),TC!$5:$37,DAY(X883)+2,FALSE))</f>
        <v>20.377800000000001</v>
      </c>
      <c r="AD883" s="307">
        <f t="shared" si="230"/>
        <v>118734.51214799999</v>
      </c>
      <c r="AE883" s="314">
        <f t="shared" si="231"/>
        <v>133778.76872817602</v>
      </c>
      <c r="AF883" s="315">
        <f t="shared" si="232"/>
        <v>-15044.256580176021</v>
      </c>
      <c r="AG883" s="316">
        <f t="shared" si="233"/>
        <v>0.83561643835616439</v>
      </c>
      <c r="AH883" s="314">
        <v>1</v>
      </c>
      <c r="AI883" s="314">
        <f t="shared" si="234"/>
        <v>-15044.256580176021</v>
      </c>
      <c r="AJ883" s="314">
        <f t="shared" si="235"/>
        <v>0</v>
      </c>
      <c r="AK883" s="317"/>
      <c r="AL883" s="315">
        <f t="shared" si="236"/>
        <v>-314.40999999999985</v>
      </c>
      <c r="AN883" s="554">
        <f t="shared" si="237"/>
        <v>-5.1197918278085071E-2</v>
      </c>
      <c r="AO883" s="314"/>
      <c r="AP883" s="318"/>
    </row>
    <row r="884" spans="2:42">
      <c r="B884" s="296" t="s">
        <v>1266</v>
      </c>
      <c r="C884" s="299" t="s">
        <v>277</v>
      </c>
      <c r="D884" s="298" t="s">
        <v>748</v>
      </c>
      <c r="E884" s="299" t="s">
        <v>113</v>
      </c>
      <c r="F884" s="299" t="s">
        <v>59</v>
      </c>
      <c r="G884" s="300">
        <v>43894</v>
      </c>
      <c r="H884" s="303">
        <v>3001.05</v>
      </c>
      <c r="I884" s="301" t="str">
        <f t="shared" si="221"/>
        <v>Ingresos Sección II LISR (SIC &amp; BMV)</v>
      </c>
      <c r="J884" s="302">
        <f t="shared" si="222"/>
        <v>27</v>
      </c>
      <c r="K884" s="304">
        <f t="shared" si="223"/>
        <v>111.15</v>
      </c>
      <c r="L884" s="305">
        <f>IF(H884=0,0,IF(OR(E884=$AT$5,E884=$AT$6),AA884,IF(F884="MXN",1/HLOOKUP(YEAR(G884)+(MONTH(G884)/100),TC!$5:$37,DAY(G884)+2,FALSE),VLOOKUP(F884,Equivalencia!$5:$23,((MAX(Equivalencia!$3:$3)-YEAR(G884))*14)+MONTH(G884)+2,FALSE))))</f>
        <v>1</v>
      </c>
      <c r="M884" s="306">
        <f t="shared" si="224"/>
        <v>3001.05</v>
      </c>
      <c r="N884" s="305">
        <f>IF(G884=0,0,(IF(OR(E884=$AT$5,E884=$AT$6),AC884,HLOOKUP(YEAR(G884)+(MONTH(G884)/100),TC!$5:$37,DAY(G884)+2,FALSE))))</f>
        <v>19.698499999999999</v>
      </c>
      <c r="O884" s="307">
        <f t="shared" si="225"/>
        <v>59116.183425000003</v>
      </c>
      <c r="P884" s="560">
        <f>IF(G884=0,0,VLOOKUP(YEAR(G884),INPC!$B$4:$P$30,MONTH(G884)+2))</f>
        <v>106.83799999999999</v>
      </c>
      <c r="Q884" s="560">
        <f>IF(X884=0,0,IF(OR(E884=$AT$10,E884=$AT$9),VLOOKUP(YEAR(X884),INPC!$B$4:$P$30,MONTH(X884)+1),VLOOKUP(YEAR(X884),INPC!$B$4:$P$30,MONTH(X884)+2,0)))</f>
        <v>122.94799999999999</v>
      </c>
      <c r="R884" s="309">
        <f t="shared" si="226"/>
        <v>1.1507000000000001</v>
      </c>
      <c r="S884" s="310">
        <f t="shared" si="227"/>
        <v>68024.992267147507</v>
      </c>
      <c r="T884" s="555">
        <f t="shared" si="228"/>
        <v>2519.4441580425005</v>
      </c>
      <c r="U884" s="311"/>
      <c r="V884" s="312">
        <v>27</v>
      </c>
      <c r="W884" s="299" t="s">
        <v>194</v>
      </c>
      <c r="X884" s="300">
        <v>44774</v>
      </c>
      <c r="Y884" s="299" t="s">
        <v>59</v>
      </c>
      <c r="Z884" s="303">
        <v>5244</v>
      </c>
      <c r="AA884" s="305">
        <f>IF(Z884=0,0,IF(Y884="MXN",1/HLOOKUP(YEAR(X884)+(MONTH(X884)/100),TC!$5:$37,DAY(X884)+2,FALSE),VLOOKUP(Y884,Equivalencia!$1:$23,((MAX(Equivalencia!$3:$3)-YEAR(X884))*14)+MONTH(X884)+2,FALSE)))</f>
        <v>1</v>
      </c>
      <c r="AB884" s="306">
        <f t="shared" si="229"/>
        <v>5244</v>
      </c>
      <c r="AC884" s="305">
        <f>+IF(X884=0,0,HLOOKUP(YEAR(X884)+(MONTH(X884)/100),TC!$5:$37,DAY(X884)+2,FALSE))</f>
        <v>20.377800000000001</v>
      </c>
      <c r="AD884" s="307">
        <f t="shared" si="230"/>
        <v>106861.1832</v>
      </c>
      <c r="AE884" s="314">
        <f t="shared" si="231"/>
        <v>68024.992267147507</v>
      </c>
      <c r="AF884" s="315">
        <f t="shared" si="232"/>
        <v>38836.190932852493</v>
      </c>
      <c r="AG884" s="316">
        <f t="shared" si="233"/>
        <v>2.4109589041095889</v>
      </c>
      <c r="AH884" s="314">
        <v>1</v>
      </c>
      <c r="AI884" s="314">
        <f t="shared" si="234"/>
        <v>38836.190932852493</v>
      </c>
      <c r="AJ884" s="314">
        <f t="shared" si="235"/>
        <v>0</v>
      </c>
      <c r="AK884" s="317"/>
      <c r="AL884" s="315">
        <f t="shared" si="236"/>
        <v>2242.9499999999998</v>
      </c>
      <c r="AN884" s="554">
        <f t="shared" si="237"/>
        <v>0.74738841405508061</v>
      </c>
      <c r="AO884" s="314"/>
      <c r="AP884" s="318"/>
    </row>
    <row r="885" spans="2:42">
      <c r="B885" s="296" t="s">
        <v>1266</v>
      </c>
      <c r="C885" s="299" t="s">
        <v>277</v>
      </c>
      <c r="D885" s="298" t="s">
        <v>748</v>
      </c>
      <c r="E885" s="299" t="s">
        <v>113</v>
      </c>
      <c r="F885" s="299" t="s">
        <v>59</v>
      </c>
      <c r="G885" s="300">
        <v>43964</v>
      </c>
      <c r="H885" s="303">
        <v>10557.95</v>
      </c>
      <c r="I885" s="301" t="str">
        <f t="shared" si="221"/>
        <v>Ingresos Sección II LISR (SIC &amp; BMV)</v>
      </c>
      <c r="J885" s="302">
        <f t="shared" si="222"/>
        <v>97</v>
      </c>
      <c r="K885" s="304">
        <f t="shared" si="223"/>
        <v>108.84484536082475</v>
      </c>
      <c r="L885" s="305">
        <f>IF(H885=0,0,IF(OR(E885=$AT$5,E885=$AT$6),AA885,IF(F885="MXN",1/HLOOKUP(YEAR(G885)+(MONTH(G885)/100),TC!$5:$37,DAY(G885)+2,FALSE),VLOOKUP(F885,Equivalencia!$5:$23,((MAX(Equivalencia!$3:$3)-YEAR(G885))*14)+MONTH(G885)+2,FALSE))))</f>
        <v>1</v>
      </c>
      <c r="M885" s="306">
        <f t="shared" si="224"/>
        <v>10557.95</v>
      </c>
      <c r="N885" s="305">
        <f>IF(G885=0,0,(IF(OR(E885=$AT$5,E885=$AT$6),AC885,HLOOKUP(YEAR(G885)+(MONTH(G885)/100),TC!$5:$37,DAY(G885)+2,FALSE))))</f>
        <v>23.869299999999999</v>
      </c>
      <c r="O885" s="307">
        <f t="shared" si="225"/>
        <v>252010.87593500002</v>
      </c>
      <c r="P885" s="560">
        <f>IF(G885=0,0,VLOOKUP(YEAR(G885),INPC!$B$4:$P$30,MONTH(G885)+2))</f>
        <v>106.16200000000001</v>
      </c>
      <c r="Q885" s="560">
        <f>IF(X885=0,0,IF(OR(E885=$AT$10,E885=$AT$9),VLOOKUP(YEAR(X885),INPC!$B$4:$P$30,MONTH(X885)+1),VLOOKUP(YEAR(X885),INPC!$B$4:$P$30,MONTH(X885)+2,0)))</f>
        <v>122.94799999999999</v>
      </c>
      <c r="R885" s="309">
        <f t="shared" si="226"/>
        <v>1.1580999999999999</v>
      </c>
      <c r="S885" s="310">
        <f t="shared" si="227"/>
        <v>291853.7954203235</v>
      </c>
      <c r="T885" s="555">
        <f t="shared" si="228"/>
        <v>3008.8020146425101</v>
      </c>
      <c r="U885" s="311"/>
      <c r="V885" s="312">
        <v>97</v>
      </c>
      <c r="W885" s="299" t="s">
        <v>194</v>
      </c>
      <c r="X885" s="300">
        <v>44774</v>
      </c>
      <c r="Y885" s="299" t="s">
        <v>59</v>
      </c>
      <c r="Z885" s="303">
        <v>18839.54</v>
      </c>
      <c r="AA885" s="305">
        <f>IF(Z885=0,0,IF(Y885="MXN",1/HLOOKUP(YEAR(X885)+(MONTH(X885)/100),TC!$5:$37,DAY(X885)+2,FALSE),VLOOKUP(Y885,Equivalencia!$1:$23,((MAX(Equivalencia!$3:$3)-YEAR(X885))*14)+MONTH(X885)+2,FALSE)))</f>
        <v>1</v>
      </c>
      <c r="AB885" s="306">
        <f t="shared" si="229"/>
        <v>18839.54</v>
      </c>
      <c r="AC885" s="305">
        <f>+IF(X885=0,0,HLOOKUP(YEAR(X885)+(MONTH(X885)/100),TC!$5:$37,DAY(X885)+2,FALSE))</f>
        <v>20.377800000000001</v>
      </c>
      <c r="AD885" s="307">
        <f t="shared" si="230"/>
        <v>383908.37821200001</v>
      </c>
      <c r="AE885" s="314">
        <f t="shared" si="231"/>
        <v>291853.7954203235</v>
      </c>
      <c r="AF885" s="315">
        <f t="shared" si="232"/>
        <v>92054.582791676512</v>
      </c>
      <c r="AG885" s="316">
        <f t="shared" si="233"/>
        <v>2.2191780821917808</v>
      </c>
      <c r="AH885" s="314">
        <v>1</v>
      </c>
      <c r="AI885" s="314">
        <f t="shared" si="234"/>
        <v>92054.582791676512</v>
      </c>
      <c r="AJ885" s="314">
        <f t="shared" si="235"/>
        <v>0</v>
      </c>
      <c r="AK885" s="317"/>
      <c r="AL885" s="315">
        <f t="shared" si="236"/>
        <v>8281.59</v>
      </c>
      <c r="AN885" s="554">
        <f t="shared" si="237"/>
        <v>0.78439375068076655</v>
      </c>
      <c r="AO885" s="314"/>
      <c r="AP885" s="318"/>
    </row>
    <row r="886" spans="2:42">
      <c r="B886" s="296" t="s">
        <v>1266</v>
      </c>
      <c r="C886" s="299" t="s">
        <v>277</v>
      </c>
      <c r="D886" s="298" t="s">
        <v>748</v>
      </c>
      <c r="E886" s="299" t="s">
        <v>113</v>
      </c>
      <c r="F886" s="299" t="s">
        <v>59</v>
      </c>
      <c r="G886" s="300">
        <v>44469</v>
      </c>
      <c r="H886" s="303">
        <v>11258.62</v>
      </c>
      <c r="I886" s="301" t="str">
        <f t="shared" si="221"/>
        <v>Ingresos Sección II LISR (SIC &amp; BMV)</v>
      </c>
      <c r="J886" s="302">
        <f t="shared" si="222"/>
        <v>55</v>
      </c>
      <c r="K886" s="304">
        <f t="shared" si="223"/>
        <v>204.70218181818183</v>
      </c>
      <c r="L886" s="305">
        <f>IF(H886=0,0,IF(OR(E886=$AT$5,E886=$AT$6),AA886,IF(F886="MXN",1/HLOOKUP(YEAR(G886)+(MONTH(G886)/100),TC!$5:$37,DAY(G886)+2,FALSE),VLOOKUP(F886,Equivalencia!$5:$23,((MAX(Equivalencia!$3:$3)-YEAR(G886))*14)+MONTH(G886)+2,FALSE))))</f>
        <v>1</v>
      </c>
      <c r="M886" s="306">
        <f t="shared" si="224"/>
        <v>11258.62</v>
      </c>
      <c r="N886" s="305">
        <f>IF(G886=0,0,(IF(OR(E886=$AT$5,E886=$AT$6),AC886,HLOOKUP(YEAR(G886)+(MONTH(G886)/100),TC!$5:$37,DAY(G886)+2,FALSE))))</f>
        <v>20.306000000000001</v>
      </c>
      <c r="O886" s="307">
        <f t="shared" si="225"/>
        <v>228617.53772000002</v>
      </c>
      <c r="P886" s="560">
        <f>IF(G886=0,0,VLOOKUP(YEAR(G886),INPC!$B$4:$P$30,MONTH(G886)+2))</f>
        <v>114.601</v>
      </c>
      <c r="Q886" s="560">
        <f>IF(X886=0,0,IF(OR(E886=$AT$10,E886=$AT$9),VLOOKUP(YEAR(X886),INPC!$B$4:$P$30,MONTH(X886)+1),VLOOKUP(YEAR(X886),INPC!$B$4:$P$30,MONTH(X886)+2,0)))</f>
        <v>122.94799999999999</v>
      </c>
      <c r="R886" s="309">
        <f t="shared" si="226"/>
        <v>1.0728</v>
      </c>
      <c r="S886" s="310">
        <f t="shared" si="227"/>
        <v>245260.89446601601</v>
      </c>
      <c r="T886" s="555">
        <f t="shared" si="228"/>
        <v>4459.2889902912002</v>
      </c>
      <c r="U886" s="311"/>
      <c r="V886" s="312">
        <v>55</v>
      </c>
      <c r="W886" s="299" t="s">
        <v>194</v>
      </c>
      <c r="X886" s="300">
        <v>44775</v>
      </c>
      <c r="Y886" s="299" t="s">
        <v>59</v>
      </c>
      <c r="Z886" s="303">
        <v>10429.85</v>
      </c>
      <c r="AA886" s="305">
        <f>IF(Z886=0,0,IF(Y886="MXN",1/HLOOKUP(YEAR(X886)+(MONTH(X886)/100),TC!$5:$37,DAY(X886)+2,FALSE),VLOOKUP(Y886,Equivalencia!$1:$23,((MAX(Equivalencia!$3:$3)-YEAR(X886))*14)+MONTH(X886)+2,FALSE)))</f>
        <v>1</v>
      </c>
      <c r="AB886" s="306">
        <f t="shared" si="229"/>
        <v>10429.85</v>
      </c>
      <c r="AC886" s="305">
        <f>+IF(X886=0,0,HLOOKUP(YEAR(X886)+(MONTH(X886)/100),TC!$5:$37,DAY(X886)+2,FALSE))</f>
        <v>20.348500000000001</v>
      </c>
      <c r="AD886" s="307">
        <f t="shared" si="230"/>
        <v>212231.80272500002</v>
      </c>
      <c r="AE886" s="314">
        <f t="shared" si="231"/>
        <v>245260.89446601601</v>
      </c>
      <c r="AF886" s="315">
        <f t="shared" si="232"/>
        <v>-33029.091741015989</v>
      </c>
      <c r="AG886" s="316">
        <f t="shared" si="233"/>
        <v>0.83835616438356164</v>
      </c>
      <c r="AH886" s="314">
        <v>1</v>
      </c>
      <c r="AI886" s="314">
        <f t="shared" si="234"/>
        <v>-33029.091741015989</v>
      </c>
      <c r="AJ886" s="314">
        <f t="shared" si="235"/>
        <v>0</v>
      </c>
      <c r="AK886" s="317"/>
      <c r="AL886" s="315">
        <f t="shared" si="236"/>
        <v>-828.77000000000044</v>
      </c>
      <c r="AN886" s="554">
        <f t="shared" si="237"/>
        <v>-7.3612041262605926E-2</v>
      </c>
      <c r="AO886" s="314"/>
      <c r="AP886" s="318"/>
    </row>
    <row r="887" spans="2:42">
      <c r="B887" s="296" t="s">
        <v>1266</v>
      </c>
      <c r="C887" s="299" t="s">
        <v>277</v>
      </c>
      <c r="D887" s="298" t="s">
        <v>748</v>
      </c>
      <c r="E887" s="299" t="s">
        <v>113</v>
      </c>
      <c r="F887" s="299" t="s">
        <v>59</v>
      </c>
      <c r="G887" s="300">
        <v>44470</v>
      </c>
      <c r="H887" s="303">
        <v>5701.36</v>
      </c>
      <c r="I887" s="301" t="str">
        <f t="shared" si="221"/>
        <v>Ingresos Sección II LISR (SIC &amp; BMV)</v>
      </c>
      <c r="J887" s="302">
        <f t="shared" si="222"/>
        <v>28</v>
      </c>
      <c r="K887" s="304">
        <f t="shared" si="223"/>
        <v>203.61999999999998</v>
      </c>
      <c r="L887" s="305">
        <f>IF(H887=0,0,IF(OR(E887=$AT$5,E887=$AT$6),AA887,IF(F887="MXN",1/HLOOKUP(YEAR(G887)+(MONTH(G887)/100),TC!$5:$37,DAY(G887)+2,FALSE),VLOOKUP(F887,Equivalencia!$5:$23,((MAX(Equivalencia!$3:$3)-YEAR(G887))*14)+MONTH(G887)+2,FALSE))))</f>
        <v>1</v>
      </c>
      <c r="M887" s="306">
        <f t="shared" si="224"/>
        <v>5701.36</v>
      </c>
      <c r="N887" s="305">
        <f>IF(G887=0,0,(IF(OR(E887=$AT$5,E887=$AT$6),AC887,HLOOKUP(YEAR(G887)+(MONTH(G887)/100),TC!$5:$37,DAY(G887)+2,FALSE))))</f>
        <v>20.497699999999998</v>
      </c>
      <c r="O887" s="307">
        <f t="shared" si="225"/>
        <v>116864.76687199998</v>
      </c>
      <c r="P887" s="560">
        <f>IF(G887=0,0,VLOOKUP(YEAR(G887),INPC!$B$4:$P$30,MONTH(G887)+2))</f>
        <v>115.56100000000001</v>
      </c>
      <c r="Q887" s="560">
        <f>IF(X887=0,0,IF(OR(E887=$AT$10,E887=$AT$9),VLOOKUP(YEAR(X887),INPC!$B$4:$P$30,MONTH(X887)+1),VLOOKUP(YEAR(X887),INPC!$B$4:$P$30,MONTH(X887)+2,0)))</f>
        <v>122.94799999999999</v>
      </c>
      <c r="R887" s="309">
        <f t="shared" si="226"/>
        <v>1.0639000000000001</v>
      </c>
      <c r="S887" s="310">
        <f t="shared" si="227"/>
        <v>124332.42547512079</v>
      </c>
      <c r="T887" s="555">
        <f t="shared" si="228"/>
        <v>4440.4437669685994</v>
      </c>
      <c r="U887" s="311"/>
      <c r="V887" s="312">
        <v>28</v>
      </c>
      <c r="W887" s="299" t="s">
        <v>194</v>
      </c>
      <c r="X887" s="300">
        <v>44775</v>
      </c>
      <c r="Y887" s="299" t="s">
        <v>59</v>
      </c>
      <c r="Z887" s="303">
        <v>5309.75</v>
      </c>
      <c r="AA887" s="305">
        <f>IF(Z887=0,0,IF(Y887="MXN",1/HLOOKUP(YEAR(X887)+(MONTH(X887)/100),TC!$5:$37,DAY(X887)+2,FALSE),VLOOKUP(Y887,Equivalencia!$1:$23,((MAX(Equivalencia!$3:$3)-YEAR(X887))*14)+MONTH(X887)+2,FALSE)))</f>
        <v>1</v>
      </c>
      <c r="AB887" s="306">
        <f t="shared" si="229"/>
        <v>5309.75</v>
      </c>
      <c r="AC887" s="305">
        <f>+IF(X887=0,0,HLOOKUP(YEAR(X887)+(MONTH(X887)/100),TC!$5:$37,DAY(X887)+2,FALSE))</f>
        <v>20.348500000000001</v>
      </c>
      <c r="AD887" s="307">
        <f t="shared" si="230"/>
        <v>108045.44787500001</v>
      </c>
      <c r="AE887" s="314">
        <f t="shared" si="231"/>
        <v>124332.42547512078</v>
      </c>
      <c r="AF887" s="315">
        <f t="shared" si="232"/>
        <v>-16286.977600120765</v>
      </c>
      <c r="AG887" s="316">
        <f t="shared" si="233"/>
        <v>0.83561643835616439</v>
      </c>
      <c r="AH887" s="314">
        <v>1</v>
      </c>
      <c r="AI887" s="314">
        <f t="shared" si="234"/>
        <v>-16286.977600120765</v>
      </c>
      <c r="AJ887" s="314">
        <f t="shared" si="235"/>
        <v>0</v>
      </c>
      <c r="AK887" s="317"/>
      <c r="AL887" s="315">
        <f t="shared" si="236"/>
        <v>-391.60999999999967</v>
      </c>
      <c r="AN887" s="554">
        <f t="shared" si="237"/>
        <v>-6.8687120266041735E-2</v>
      </c>
      <c r="AO887" s="314"/>
      <c r="AP887" s="318"/>
    </row>
    <row r="888" spans="2:42">
      <c r="B888" s="296" t="s">
        <v>1266</v>
      </c>
      <c r="C888" s="299" t="s">
        <v>277</v>
      </c>
      <c r="D888" s="298" t="s">
        <v>748</v>
      </c>
      <c r="E888" s="299" t="s">
        <v>113</v>
      </c>
      <c r="F888" s="299" t="s">
        <v>59</v>
      </c>
      <c r="G888" s="300">
        <v>44728</v>
      </c>
      <c r="H888" s="303">
        <v>2926.32</v>
      </c>
      <c r="I888" s="301" t="str">
        <f t="shared" si="221"/>
        <v>Ingresos Sección II LISR (SIC &amp; BMV)</v>
      </c>
      <c r="J888" s="302">
        <f t="shared" si="222"/>
        <v>17</v>
      </c>
      <c r="K888" s="304">
        <f t="shared" si="223"/>
        <v>172.13647058823531</v>
      </c>
      <c r="L888" s="305">
        <f>IF(H888=0,0,IF(OR(E888=$AT$5,E888=$AT$6),AA888,IF(F888="MXN",1/HLOOKUP(YEAR(G888)+(MONTH(G888)/100),TC!$5:$37,DAY(G888)+2,FALSE),VLOOKUP(F888,Equivalencia!$5:$23,((MAX(Equivalencia!$3:$3)-YEAR(G888))*14)+MONTH(G888)+2,FALSE))))</f>
        <v>1</v>
      </c>
      <c r="M888" s="306">
        <f t="shared" si="224"/>
        <v>2926.32</v>
      </c>
      <c r="N888" s="305">
        <f>IF(G888=0,0,(IF(OR(E888=$AT$5,E888=$AT$6),AC888,HLOOKUP(YEAR(G888)+(MONTH(G888)/100),TC!$5:$37,DAY(G888)+2,FALSE))))</f>
        <v>20.658300000000001</v>
      </c>
      <c r="O888" s="307">
        <f t="shared" si="225"/>
        <v>60452.796456000004</v>
      </c>
      <c r="P888" s="560">
        <f>IF(G888=0,0,VLOOKUP(YEAR(G888),INPC!$B$4:$P$30,MONTH(G888)+2))</f>
        <v>122.044</v>
      </c>
      <c r="Q888" s="560">
        <f>IF(X888=0,0,IF(OR(E888=$AT$10,E888=$AT$9),VLOOKUP(YEAR(X888),INPC!$B$4:$P$30,MONTH(X888)+1),VLOOKUP(YEAR(X888),INPC!$B$4:$P$30,MONTH(X888)+2,0)))</f>
        <v>122.94799999999999</v>
      </c>
      <c r="R888" s="309">
        <f t="shared" si="226"/>
        <v>1.0074000000000001</v>
      </c>
      <c r="S888" s="310">
        <f t="shared" si="227"/>
        <v>60900.147149774406</v>
      </c>
      <c r="T888" s="555">
        <f t="shared" si="228"/>
        <v>3582.3615970455535</v>
      </c>
      <c r="U888" s="311"/>
      <c r="V888" s="312">
        <v>17</v>
      </c>
      <c r="W888" s="299" t="s">
        <v>194</v>
      </c>
      <c r="X888" s="300">
        <v>44775</v>
      </c>
      <c r="Y888" s="299" t="s">
        <v>59</v>
      </c>
      <c r="Z888" s="303">
        <v>3223.77</v>
      </c>
      <c r="AA888" s="305">
        <f>IF(Z888=0,0,IF(Y888="MXN",1/HLOOKUP(YEAR(X888)+(MONTH(X888)/100),TC!$5:$37,DAY(X888)+2,FALSE),VLOOKUP(Y888,Equivalencia!$1:$23,((MAX(Equivalencia!$3:$3)-YEAR(X888))*14)+MONTH(X888)+2,FALSE)))</f>
        <v>1</v>
      </c>
      <c r="AB888" s="306">
        <f t="shared" si="229"/>
        <v>3223.77</v>
      </c>
      <c r="AC888" s="305">
        <f>+IF(X888=0,0,HLOOKUP(YEAR(X888)+(MONTH(X888)/100),TC!$5:$37,DAY(X888)+2,FALSE))</f>
        <v>20.348500000000001</v>
      </c>
      <c r="AD888" s="307">
        <f t="shared" si="230"/>
        <v>65598.883845000004</v>
      </c>
      <c r="AE888" s="314">
        <f t="shared" si="231"/>
        <v>60900.147149774406</v>
      </c>
      <c r="AF888" s="315">
        <f t="shared" si="232"/>
        <v>4698.7366952255979</v>
      </c>
      <c r="AG888" s="316">
        <f t="shared" si="233"/>
        <v>0.12876712328767123</v>
      </c>
      <c r="AH888" s="314">
        <v>1</v>
      </c>
      <c r="AI888" s="314">
        <f t="shared" si="234"/>
        <v>4698.7366952255979</v>
      </c>
      <c r="AJ888" s="314">
        <f t="shared" si="235"/>
        <v>0</v>
      </c>
      <c r="AK888" s="317"/>
      <c r="AL888" s="315">
        <f t="shared" si="236"/>
        <v>297.44999999999982</v>
      </c>
      <c r="AN888" s="554">
        <f t="shared" si="237"/>
        <v>0.10164643647994745</v>
      </c>
      <c r="AO888" s="314"/>
      <c r="AP888" s="318"/>
    </row>
    <row r="889" spans="2:42">
      <c r="B889" s="296" t="s">
        <v>1266</v>
      </c>
      <c r="C889" s="299" t="s">
        <v>277</v>
      </c>
      <c r="D889" s="298" t="s">
        <v>739</v>
      </c>
      <c r="E889" s="299" t="s">
        <v>113</v>
      </c>
      <c r="F889" s="299" t="s">
        <v>59</v>
      </c>
      <c r="G889" s="300">
        <v>44469</v>
      </c>
      <c r="H889" s="303">
        <v>54195.74</v>
      </c>
      <c r="I889" s="301" t="str">
        <f t="shared" si="221"/>
        <v>Ingresos Sección II LISR (SIC &amp; BMV)</v>
      </c>
      <c r="J889" s="302">
        <f t="shared" si="222"/>
        <v>427</v>
      </c>
      <c r="K889" s="304">
        <f t="shared" si="223"/>
        <v>126.92210772833724</v>
      </c>
      <c r="L889" s="305">
        <f>IF(H889=0,0,IF(OR(E889=$AT$5,E889=$AT$6),AA889,IF(F889="MXN",1/HLOOKUP(YEAR(G889)+(MONTH(G889)/100),TC!$5:$37,DAY(G889)+2,FALSE),VLOOKUP(F889,Equivalencia!$5:$23,((MAX(Equivalencia!$3:$3)-YEAR(G889))*14)+MONTH(G889)+2,FALSE))))</f>
        <v>1</v>
      </c>
      <c r="M889" s="306">
        <f t="shared" si="224"/>
        <v>54195.74</v>
      </c>
      <c r="N889" s="305">
        <f>IF(G889=0,0,(IF(OR(E889=$AT$5,E889=$AT$6),AC889,HLOOKUP(YEAR(G889)+(MONTH(G889)/100),TC!$5:$37,DAY(G889)+2,FALSE))))</f>
        <v>20.306000000000001</v>
      </c>
      <c r="O889" s="307">
        <f t="shared" si="225"/>
        <v>1100498.6964400001</v>
      </c>
      <c r="P889" s="560">
        <f>IF(G889=0,0,VLOOKUP(YEAR(G889),INPC!$B$4:$P$30,MONTH(G889)+2))</f>
        <v>114.601</v>
      </c>
      <c r="Q889" s="560">
        <f>IF(X889=0,0,IF(OR(E889=$AT$10,E889=$AT$9),VLOOKUP(YEAR(X889),INPC!$B$4:$P$30,MONTH(X889)+1),VLOOKUP(YEAR(X889),INPC!$B$4:$P$30,MONTH(X889)+2,0)))</f>
        <v>122.94799999999999</v>
      </c>
      <c r="R889" s="309">
        <f t="shared" si="226"/>
        <v>1.0728</v>
      </c>
      <c r="S889" s="310">
        <f t="shared" si="227"/>
        <v>1180615.001540832</v>
      </c>
      <c r="T889" s="555">
        <f t="shared" si="228"/>
        <v>2764.9063267935176</v>
      </c>
      <c r="U889" s="311"/>
      <c r="V889" s="312">
        <v>427</v>
      </c>
      <c r="W889" s="299" t="s">
        <v>194</v>
      </c>
      <c r="X889" s="300">
        <v>44785</v>
      </c>
      <c r="Y889" s="299" t="s">
        <v>59</v>
      </c>
      <c r="Z889" s="303">
        <v>40191.730000000003</v>
      </c>
      <c r="AA889" s="305">
        <f>IF(Z889=0,0,IF(Y889="MXN",1/HLOOKUP(YEAR(X889)+(MONTH(X889)/100),TC!$5:$37,DAY(X889)+2,FALSE),VLOOKUP(Y889,Equivalencia!$1:$23,((MAX(Equivalencia!$3:$3)-YEAR(X889))*14)+MONTH(X889)+2,FALSE)))</f>
        <v>1</v>
      </c>
      <c r="AB889" s="306">
        <f t="shared" si="229"/>
        <v>40191.730000000003</v>
      </c>
      <c r="AC889" s="305">
        <f>+IF(X889=0,0,HLOOKUP(YEAR(X889)+(MONTH(X889)/100),TC!$5:$37,DAY(X889)+2,FALSE))</f>
        <v>19.956199999999999</v>
      </c>
      <c r="AD889" s="307">
        <f t="shared" si="230"/>
        <v>802074.20222600002</v>
      </c>
      <c r="AE889" s="314">
        <f t="shared" si="231"/>
        <v>1180615.001540832</v>
      </c>
      <c r="AF889" s="315">
        <f t="shared" si="232"/>
        <v>-378540.79931483197</v>
      </c>
      <c r="AG889" s="316">
        <f t="shared" si="233"/>
        <v>0.86575342465753424</v>
      </c>
      <c r="AH889" s="314">
        <v>1</v>
      </c>
      <c r="AI889" s="314">
        <f t="shared" si="234"/>
        <v>-378540.79931483197</v>
      </c>
      <c r="AJ889" s="314">
        <f t="shared" si="235"/>
        <v>0</v>
      </c>
      <c r="AK889" s="317"/>
      <c r="AL889" s="315">
        <f t="shared" si="236"/>
        <v>-14004.009999999995</v>
      </c>
      <c r="AN889" s="554">
        <f t="shared" si="237"/>
        <v>-0.25839687768817243</v>
      </c>
      <c r="AO889" s="314"/>
      <c r="AP889" s="318"/>
    </row>
    <row r="890" spans="2:42">
      <c r="B890" s="296" t="s">
        <v>1266</v>
      </c>
      <c r="C890" s="299" t="s">
        <v>277</v>
      </c>
      <c r="D890" s="298" t="s">
        <v>739</v>
      </c>
      <c r="E890" s="299" t="s">
        <v>113</v>
      </c>
      <c r="F890" s="299" t="s">
        <v>59</v>
      </c>
      <c r="G890" s="300">
        <v>44538</v>
      </c>
      <c r="H890" s="303">
        <v>11358.26</v>
      </c>
      <c r="I890" s="301" t="str">
        <f t="shared" si="221"/>
        <v>Ingresos Sección II LISR (SIC &amp; BMV)</v>
      </c>
      <c r="J890" s="302">
        <f t="shared" si="222"/>
        <v>101</v>
      </c>
      <c r="K890" s="304">
        <f t="shared" si="223"/>
        <v>112.4580198019802</v>
      </c>
      <c r="L890" s="305">
        <f>IF(H890=0,0,IF(OR(E890=$AT$5,E890=$AT$6),AA890,IF(F890="MXN",1/HLOOKUP(YEAR(G890)+(MONTH(G890)/100),TC!$5:$37,DAY(G890)+2,FALSE),VLOOKUP(F890,Equivalencia!$5:$23,((MAX(Equivalencia!$3:$3)-YEAR(G890))*14)+MONTH(G890)+2,FALSE))))</f>
        <v>1</v>
      </c>
      <c r="M890" s="306">
        <f t="shared" si="224"/>
        <v>11358.26</v>
      </c>
      <c r="N890" s="305">
        <f>IF(G890=0,0,(IF(OR(E890=$AT$5,E890=$AT$6),AC890,HLOOKUP(YEAR(G890)+(MONTH(G890)/100),TC!$5:$37,DAY(G890)+2,FALSE))))</f>
        <v>21.204699999999999</v>
      </c>
      <c r="O890" s="307">
        <f t="shared" si="225"/>
        <v>240848.495822</v>
      </c>
      <c r="P890" s="560">
        <f>IF(G890=0,0,VLOOKUP(YEAR(G890),INPC!$B$4:$P$30,MONTH(G890)+2))</f>
        <v>117.30800000000001</v>
      </c>
      <c r="Q890" s="560">
        <f>IF(X890=0,0,IF(OR(E890=$AT$10,E890=$AT$9),VLOOKUP(YEAR(X890),INPC!$B$4:$P$30,MONTH(X890)+1),VLOOKUP(YEAR(X890),INPC!$B$4:$P$30,MONTH(X890)+2,0)))</f>
        <v>122.94799999999999</v>
      </c>
      <c r="R890" s="309">
        <f t="shared" si="226"/>
        <v>1.048</v>
      </c>
      <c r="S890" s="310">
        <f t="shared" si="227"/>
        <v>252409.22362145601</v>
      </c>
      <c r="T890" s="555">
        <f t="shared" si="228"/>
        <v>2499.101223974812</v>
      </c>
      <c r="U890" s="311"/>
      <c r="V890" s="312">
        <v>101</v>
      </c>
      <c r="W890" s="299" t="s">
        <v>194</v>
      </c>
      <c r="X890" s="300">
        <v>44785</v>
      </c>
      <c r="Y890" s="299" t="s">
        <v>59</v>
      </c>
      <c r="Z890" s="303">
        <v>9506.7099999999991</v>
      </c>
      <c r="AA890" s="305">
        <f>IF(Z890=0,0,IF(Y890="MXN",1/HLOOKUP(YEAR(X890)+(MONTH(X890)/100),TC!$5:$37,DAY(X890)+2,FALSE),VLOOKUP(Y890,Equivalencia!$1:$23,((MAX(Equivalencia!$3:$3)-YEAR(X890))*14)+MONTH(X890)+2,FALSE)))</f>
        <v>1</v>
      </c>
      <c r="AB890" s="306">
        <f t="shared" si="229"/>
        <v>9506.7099999999991</v>
      </c>
      <c r="AC890" s="305">
        <f>+IF(X890=0,0,HLOOKUP(YEAR(X890)+(MONTH(X890)/100),TC!$5:$37,DAY(X890)+2,FALSE))</f>
        <v>19.956199999999999</v>
      </c>
      <c r="AD890" s="307">
        <f t="shared" si="230"/>
        <v>189717.80610199997</v>
      </c>
      <c r="AE890" s="314">
        <f t="shared" si="231"/>
        <v>252409.22362145601</v>
      </c>
      <c r="AF890" s="315">
        <f t="shared" si="232"/>
        <v>-62691.417519456038</v>
      </c>
      <c r="AG890" s="316">
        <f t="shared" si="233"/>
        <v>0.67671232876712328</v>
      </c>
      <c r="AH890" s="314">
        <v>1</v>
      </c>
      <c r="AI890" s="314">
        <f t="shared" si="234"/>
        <v>-62691.417519456038</v>
      </c>
      <c r="AJ890" s="314">
        <f t="shared" si="235"/>
        <v>0</v>
      </c>
      <c r="AK890" s="317"/>
      <c r="AL890" s="315">
        <f t="shared" si="236"/>
        <v>-1851.5500000000011</v>
      </c>
      <c r="AN890" s="554">
        <f t="shared" si="237"/>
        <v>-0.16301352495892865</v>
      </c>
      <c r="AO890" s="314"/>
      <c r="AP890" s="318"/>
    </row>
    <row r="891" spans="2:42">
      <c r="B891" s="296" t="s">
        <v>1266</v>
      </c>
      <c r="C891" s="299" t="s">
        <v>277</v>
      </c>
      <c r="D891" s="298" t="s">
        <v>739</v>
      </c>
      <c r="E891" s="299" t="s">
        <v>113</v>
      </c>
      <c r="F891" s="299" t="s">
        <v>59</v>
      </c>
      <c r="G891" s="300">
        <v>44722</v>
      </c>
      <c r="H891" s="303">
        <v>16931.46</v>
      </c>
      <c r="I891" s="301" t="str">
        <f t="shared" si="221"/>
        <v>Ingresos Sección II LISR (SIC &amp; BMV)</v>
      </c>
      <c r="J891" s="302">
        <f t="shared" si="222"/>
        <v>182</v>
      </c>
      <c r="K891" s="304">
        <f t="shared" si="223"/>
        <v>93.03</v>
      </c>
      <c r="L891" s="305">
        <f>IF(H891=0,0,IF(OR(E891=$AT$5,E891=$AT$6),AA891,IF(F891="MXN",1/HLOOKUP(YEAR(G891)+(MONTH(G891)/100),TC!$5:$37,DAY(G891)+2,FALSE),VLOOKUP(F891,Equivalencia!$5:$23,((MAX(Equivalencia!$3:$3)-YEAR(G891))*14)+MONTH(G891)+2,FALSE))))</f>
        <v>1</v>
      </c>
      <c r="M891" s="306">
        <f t="shared" si="224"/>
        <v>16931.46</v>
      </c>
      <c r="N891" s="305">
        <f>IF(G891=0,0,(IF(OR(E891=$AT$5,E891=$AT$6),AC891,HLOOKUP(YEAR(G891)+(MONTH(G891)/100),TC!$5:$37,DAY(G891)+2,FALSE))))</f>
        <v>19.59</v>
      </c>
      <c r="O891" s="307">
        <f t="shared" si="225"/>
        <v>331687.3014</v>
      </c>
      <c r="P891" s="560">
        <f>IF(G891=0,0,VLOOKUP(YEAR(G891),INPC!$B$4:$P$30,MONTH(G891)+2))</f>
        <v>122.044</v>
      </c>
      <c r="Q891" s="560">
        <f>IF(X891=0,0,IF(OR(E891=$AT$10,E891=$AT$9),VLOOKUP(YEAR(X891),INPC!$B$4:$P$30,MONTH(X891)+1),VLOOKUP(YEAR(X891),INPC!$B$4:$P$30,MONTH(X891)+2,0)))</f>
        <v>122.94799999999999</v>
      </c>
      <c r="R891" s="309">
        <f t="shared" si="226"/>
        <v>1.0074000000000001</v>
      </c>
      <c r="S891" s="310">
        <f t="shared" si="227"/>
        <v>334141.78743036004</v>
      </c>
      <c r="T891" s="555">
        <f t="shared" si="228"/>
        <v>1835.9438869800001</v>
      </c>
      <c r="U891" s="311"/>
      <c r="V891" s="312">
        <v>182</v>
      </c>
      <c r="W891" s="299" t="s">
        <v>194</v>
      </c>
      <c r="X891" s="300">
        <v>44785</v>
      </c>
      <c r="Y891" s="299" t="s">
        <v>59</v>
      </c>
      <c r="Z891" s="303">
        <v>17130.91</v>
      </c>
      <c r="AA891" s="305">
        <f>IF(Z891=0,0,IF(Y891="MXN",1/HLOOKUP(YEAR(X891)+(MONTH(X891)/100),TC!$5:$37,DAY(X891)+2,FALSE),VLOOKUP(Y891,Equivalencia!$1:$23,((MAX(Equivalencia!$3:$3)-YEAR(X891))*14)+MONTH(X891)+2,FALSE)))</f>
        <v>1</v>
      </c>
      <c r="AB891" s="306">
        <f t="shared" si="229"/>
        <v>17130.91</v>
      </c>
      <c r="AC891" s="305">
        <f>+IF(X891=0,0,HLOOKUP(YEAR(X891)+(MONTH(X891)/100),TC!$5:$37,DAY(X891)+2,FALSE))</f>
        <v>19.956199999999999</v>
      </c>
      <c r="AD891" s="307">
        <f t="shared" si="230"/>
        <v>341867.86614199996</v>
      </c>
      <c r="AE891" s="314">
        <f t="shared" si="231"/>
        <v>334141.78743036004</v>
      </c>
      <c r="AF891" s="315">
        <f t="shared" si="232"/>
        <v>7726.0787116399151</v>
      </c>
      <c r="AG891" s="316">
        <f t="shared" si="233"/>
        <v>0.17260273972602741</v>
      </c>
      <c r="AH891" s="314">
        <v>1</v>
      </c>
      <c r="AI891" s="314">
        <f t="shared" si="234"/>
        <v>7726.0787116399151</v>
      </c>
      <c r="AJ891" s="314">
        <f t="shared" si="235"/>
        <v>0</v>
      </c>
      <c r="AK891" s="317"/>
      <c r="AL891" s="315">
        <f t="shared" si="236"/>
        <v>199.45000000000073</v>
      </c>
      <c r="AN891" s="554">
        <f t="shared" si="237"/>
        <v>1.1779846510578576E-2</v>
      </c>
      <c r="AO891" s="314"/>
      <c r="AP891" s="318"/>
    </row>
    <row r="892" spans="2:42">
      <c r="B892" s="296" t="s">
        <v>1266</v>
      </c>
      <c r="C892" s="299" t="s">
        <v>277</v>
      </c>
      <c r="D892" s="298" t="s">
        <v>739</v>
      </c>
      <c r="E892" s="299" t="s">
        <v>113</v>
      </c>
      <c r="F892" s="299" t="s">
        <v>59</v>
      </c>
      <c r="G892" s="300">
        <v>44725</v>
      </c>
      <c r="H892" s="303">
        <v>11275.94</v>
      </c>
      <c r="I892" s="301" t="str">
        <f t="shared" ref="I892:I955" si="238">IF(D892=0,0,IF(OR(E892=$AT$9,E892=$AT$10),"Ingresos Sección II LISR (SIC &amp; BMV)","Ingresos Sección I LISR"))</f>
        <v>Ingresos Sección II LISR (SIC &amp; BMV)</v>
      </c>
      <c r="J892" s="302">
        <f t="shared" ref="J892:J955" si="239">+V892</f>
        <v>124</v>
      </c>
      <c r="K892" s="304">
        <f t="shared" ref="K892:K955" si="240">IF(H892=0,0,H892/J892)</f>
        <v>90.935000000000002</v>
      </c>
      <c r="L892" s="305">
        <f>IF(H892=0,0,IF(OR(E892=$AT$5,E892=$AT$6),AA892,IF(F892="MXN",1/HLOOKUP(YEAR(G892)+(MONTH(G892)/100),TC!$5:$37,DAY(G892)+2,FALSE),VLOOKUP(F892,Equivalencia!$5:$23,((MAX(Equivalencia!$3:$3)-YEAR(G892))*14)+MONTH(G892)+2,FALSE))))</f>
        <v>1</v>
      </c>
      <c r="M892" s="306">
        <f t="shared" ref="M892:M955" si="241">+H892*L892</f>
        <v>11275.94</v>
      </c>
      <c r="N892" s="305">
        <f>IF(G892=0,0,(IF(OR(E892=$AT$5,E892=$AT$6),AC892,HLOOKUP(YEAR(G892)+(MONTH(G892)/100),TC!$5:$37,DAY(G892)+2,FALSE))))</f>
        <v>19.6128</v>
      </c>
      <c r="O892" s="307">
        <f t="shared" ref="O892:O955" si="242">+M892*N892</f>
        <v>221152.756032</v>
      </c>
      <c r="P892" s="560">
        <f>IF(G892=0,0,VLOOKUP(YEAR(G892),INPC!$B$4:$P$30,MONTH(G892)+2))</f>
        <v>122.044</v>
      </c>
      <c r="Q892" s="560">
        <f>IF(X892=0,0,IF(OR(E892=$AT$10,E892=$AT$9),VLOOKUP(YEAR(X892),INPC!$B$4:$P$30,MONTH(X892)+1),VLOOKUP(YEAR(X892),INPC!$B$4:$P$30,MONTH(X892)+2,0)))</f>
        <v>122.94799999999999</v>
      </c>
      <c r="R892" s="309">
        <f t="shared" ref="R892:R955" si="243">IF(H892=0,0,IF(OR(E892=$AT$5,E892=$AT$6),1,IF(TRUNC(Q892/P892,4)&gt;=1,TRUNC(Q892/P892,4),1)))</f>
        <v>1.0074000000000001</v>
      </c>
      <c r="S892" s="310">
        <f t="shared" ref="S892:S955" si="244">+R892*O892</f>
        <v>222789.28642663683</v>
      </c>
      <c r="T892" s="555">
        <f t="shared" ref="T892:T955" si="245">IF(V892=0,0,S892/V892)</f>
        <v>1796.6877937632003</v>
      </c>
      <c r="U892" s="311"/>
      <c r="V892" s="312">
        <v>124</v>
      </c>
      <c r="W892" s="299" t="s">
        <v>194</v>
      </c>
      <c r="X892" s="300">
        <v>44785</v>
      </c>
      <c r="Y892" s="299" t="s">
        <v>59</v>
      </c>
      <c r="Z892" s="303">
        <v>11671.6</v>
      </c>
      <c r="AA892" s="305">
        <f>IF(Z892=0,0,IF(Y892="MXN",1/HLOOKUP(YEAR(X892)+(MONTH(X892)/100),TC!$5:$37,DAY(X892)+2,FALSE),VLOOKUP(Y892,Equivalencia!$1:$23,((MAX(Equivalencia!$3:$3)-YEAR(X892))*14)+MONTH(X892)+2,FALSE)))</f>
        <v>1</v>
      </c>
      <c r="AB892" s="306">
        <f t="shared" ref="AB892:AB955" si="246">+AA892*Z892</f>
        <v>11671.6</v>
      </c>
      <c r="AC892" s="305">
        <f>+IF(X892=0,0,HLOOKUP(YEAR(X892)+(MONTH(X892)/100),TC!$5:$37,DAY(X892)+2,FALSE))</f>
        <v>19.956199999999999</v>
      </c>
      <c r="AD892" s="307">
        <f t="shared" ref="AD892:AD955" si="247">+AC892*AB892</f>
        <v>232920.78391999999</v>
      </c>
      <c r="AE892" s="314">
        <f t="shared" ref="AE892:AE955" si="248">+V892*T892</f>
        <v>222789.28642663683</v>
      </c>
      <c r="AF892" s="315">
        <f t="shared" ref="AF892:AF955" si="249">IF(E892=$AT$11,0,AD892-AE892)</f>
        <v>10131.49749336316</v>
      </c>
      <c r="AG892" s="316">
        <f t="shared" ref="AG892:AG955" si="250">+IF(AND(AF892&lt;0,OR(E892=$AT$5,E892=$AT$6)),1,((X892-G892)/365))</f>
        <v>0.16438356164383561</v>
      </c>
      <c r="AH892" s="314">
        <v>1</v>
      </c>
      <c r="AI892" s="314">
        <f t="shared" ref="AI892:AI955" si="251">+IF(OR(E892=$AT$9,E892=$AT$10),AF892,+AF892/AH892)</f>
        <v>10131.49749336316</v>
      </c>
      <c r="AJ892" s="314">
        <f t="shared" ref="AJ892:AJ955" si="252">+AF892-AI892</f>
        <v>0</v>
      </c>
      <c r="AK892" s="317"/>
      <c r="AL892" s="315">
        <f t="shared" ref="AL892:AL955" si="253">+AB892-M892</f>
        <v>395.65999999999985</v>
      </c>
      <c r="AN892" s="554">
        <f t="shared" ref="AN892:AN955" si="254">IF(AL892=0,0,AL892/H892)</f>
        <v>3.508887063960963E-2</v>
      </c>
      <c r="AO892" s="314"/>
      <c r="AP892" s="318"/>
    </row>
    <row r="893" spans="2:42">
      <c r="B893" s="296" t="s">
        <v>1266</v>
      </c>
      <c r="C893" s="299" t="s">
        <v>277</v>
      </c>
      <c r="D893" s="298" t="s">
        <v>727</v>
      </c>
      <c r="E893" s="299" t="s">
        <v>113</v>
      </c>
      <c r="F893" s="299" t="s">
        <v>59</v>
      </c>
      <c r="G893" s="300">
        <v>43315</v>
      </c>
      <c r="H893" s="303">
        <v>17092.169999999998</v>
      </c>
      <c r="I893" s="301" t="str">
        <f t="shared" si="238"/>
        <v>Ingresos Sección II LISR (SIC &amp; BMV)</v>
      </c>
      <c r="J893" s="302">
        <f t="shared" si="239"/>
        <v>159</v>
      </c>
      <c r="K893" s="304">
        <f t="shared" si="240"/>
        <v>107.49792452830188</v>
      </c>
      <c r="L893" s="305">
        <f>IF(H893=0,0,IF(OR(E893=$AT$5,E893=$AT$6),AA893,IF(F893="MXN",1/HLOOKUP(YEAR(G893)+(MONTH(G893)/100),TC!$5:$37,DAY(G893)+2,FALSE),VLOOKUP(F893,Equivalencia!$5:$23,((MAX(Equivalencia!$3:$3)-YEAR(G893))*14)+MONTH(G893)+2,FALSE))))</f>
        <v>1</v>
      </c>
      <c r="M893" s="306">
        <f t="shared" si="241"/>
        <v>17092.169999999998</v>
      </c>
      <c r="N893" s="305">
        <f>IF(G893=0,0,(IF(OR(E893=$AT$5,E893=$AT$6),AC893,HLOOKUP(YEAR(G893)+(MONTH(G893)/100),TC!$5:$37,DAY(G893)+2,FALSE))))</f>
        <v>18.5899</v>
      </c>
      <c r="O893" s="307">
        <f t="shared" si="242"/>
        <v>317741.73108299996</v>
      </c>
      <c r="P893" s="560">
        <f>IF(G893=0,0,VLOOKUP(YEAR(G893),INPC!$B$4:$P$30,MONTH(G893)+2))</f>
        <v>100.492</v>
      </c>
      <c r="Q893" s="560">
        <f>IF(X893=0,0,IF(OR(E893=$AT$10,E893=$AT$9),VLOOKUP(YEAR(X893),INPC!$B$4:$P$30,MONTH(X893)+1),VLOOKUP(YEAR(X893),INPC!$B$4:$P$30,MONTH(X893)+2,0)))</f>
        <v>122.94799999999999</v>
      </c>
      <c r="R893" s="309">
        <f t="shared" si="243"/>
        <v>1.2234</v>
      </c>
      <c r="S893" s="310">
        <f t="shared" si="244"/>
        <v>388725.23380694218</v>
      </c>
      <c r="T893" s="555">
        <f t="shared" si="245"/>
        <v>2444.8127912386299</v>
      </c>
      <c r="U893" s="311"/>
      <c r="V893" s="312">
        <v>159</v>
      </c>
      <c r="W893" s="299" t="s">
        <v>194</v>
      </c>
      <c r="X893" s="300">
        <v>44790</v>
      </c>
      <c r="Y893" s="299" t="s">
        <v>59</v>
      </c>
      <c r="Z893" s="303">
        <v>46317.23</v>
      </c>
      <c r="AA893" s="305">
        <f>IF(Z893=0,0,IF(Y893="MXN",1/HLOOKUP(YEAR(X893)+(MONTH(X893)/100),TC!$5:$37,DAY(X893)+2,FALSE),VLOOKUP(Y893,Equivalencia!$1:$23,((MAX(Equivalencia!$3:$3)-YEAR(X893))*14)+MONTH(X893)+2,FALSE)))</f>
        <v>1</v>
      </c>
      <c r="AB893" s="306">
        <f t="shared" si="246"/>
        <v>46317.23</v>
      </c>
      <c r="AC893" s="305">
        <f>+IF(X893=0,0,HLOOKUP(YEAR(X893)+(MONTH(X893)/100),TC!$5:$37,DAY(X893)+2,FALSE))</f>
        <v>19.861799999999999</v>
      </c>
      <c r="AD893" s="307">
        <f t="shared" si="247"/>
        <v>919943.55881399999</v>
      </c>
      <c r="AE893" s="314">
        <f t="shared" si="248"/>
        <v>388725.23380694212</v>
      </c>
      <c r="AF893" s="315">
        <f t="shared" si="249"/>
        <v>531218.32500705787</v>
      </c>
      <c r="AG893" s="316">
        <f t="shared" si="250"/>
        <v>4.0410958904109586</v>
      </c>
      <c r="AH893" s="314">
        <v>1</v>
      </c>
      <c r="AI893" s="314">
        <f t="shared" si="251"/>
        <v>531218.32500705787</v>
      </c>
      <c r="AJ893" s="314">
        <f t="shared" si="252"/>
        <v>0</v>
      </c>
      <c r="AK893" s="317"/>
      <c r="AL893" s="315">
        <f t="shared" si="253"/>
        <v>29225.060000000005</v>
      </c>
      <c r="AN893" s="554">
        <f t="shared" si="254"/>
        <v>1.7098507679247286</v>
      </c>
      <c r="AO893" s="314"/>
      <c r="AP893" s="318"/>
    </row>
    <row r="894" spans="2:42">
      <c r="B894" s="296" t="s">
        <v>1266</v>
      </c>
      <c r="C894" s="299" t="s">
        <v>277</v>
      </c>
      <c r="D894" s="298" t="s">
        <v>879</v>
      </c>
      <c r="E894" s="299" t="s">
        <v>113</v>
      </c>
      <c r="F894" s="299" t="s">
        <v>59</v>
      </c>
      <c r="G894" s="300">
        <v>44469</v>
      </c>
      <c r="H894" s="303">
        <v>7584.9</v>
      </c>
      <c r="I894" s="301" t="str">
        <f t="shared" si="238"/>
        <v>Ingresos Sección II LISR (SIC &amp; BMV)</v>
      </c>
      <c r="J894" s="302">
        <f t="shared" si="239"/>
        <v>52</v>
      </c>
      <c r="K894" s="304">
        <f t="shared" si="240"/>
        <v>145.86346153846154</v>
      </c>
      <c r="L894" s="305">
        <f>IF(H894=0,0,IF(OR(E894=$AT$5,E894=$AT$6),AA894,IF(F894="MXN",1/HLOOKUP(YEAR(G894)+(MONTH(G894)/100),TC!$5:$37,DAY(G894)+2,FALSE),VLOOKUP(F894,Equivalencia!$5:$23,((MAX(Equivalencia!$3:$3)-YEAR(G894))*14)+MONTH(G894)+2,FALSE))))</f>
        <v>1</v>
      </c>
      <c r="M894" s="306">
        <f t="shared" si="241"/>
        <v>7584.9</v>
      </c>
      <c r="N894" s="305">
        <f>IF(G894=0,0,(IF(OR(E894=$AT$5,E894=$AT$6),AC894,HLOOKUP(YEAR(G894)+(MONTH(G894)/100),TC!$5:$37,DAY(G894)+2,FALSE))))</f>
        <v>20.306000000000001</v>
      </c>
      <c r="O894" s="307">
        <f t="shared" si="242"/>
        <v>154018.97940000001</v>
      </c>
      <c r="P894" s="560">
        <f>IF(G894=0,0,VLOOKUP(YEAR(G894),INPC!$B$4:$P$30,MONTH(G894)+2))</f>
        <v>114.601</v>
      </c>
      <c r="Q894" s="560">
        <f>IF(X894=0,0,IF(OR(E894=$AT$10,E894=$AT$9),VLOOKUP(YEAR(X894),INPC!$B$4:$P$30,MONTH(X894)+1),VLOOKUP(YEAR(X894),INPC!$B$4:$P$30,MONTH(X894)+2,0)))</f>
        <v>122.94799999999999</v>
      </c>
      <c r="R894" s="309">
        <f t="shared" si="243"/>
        <v>1.0728</v>
      </c>
      <c r="S894" s="310">
        <f t="shared" si="244"/>
        <v>165231.56110032002</v>
      </c>
      <c r="T894" s="555">
        <f t="shared" si="245"/>
        <v>3177.5300211600002</v>
      </c>
      <c r="U894" s="311"/>
      <c r="V894" s="312">
        <v>52</v>
      </c>
      <c r="W894" s="299" t="s">
        <v>194</v>
      </c>
      <c r="X894" s="300">
        <v>44790</v>
      </c>
      <c r="Y894" s="299" t="s">
        <v>59</v>
      </c>
      <c r="Z894" s="303">
        <v>6089.06</v>
      </c>
      <c r="AA894" s="305">
        <f>IF(Z894=0,0,IF(Y894="MXN",1/HLOOKUP(YEAR(X894)+(MONTH(X894)/100),TC!$5:$37,DAY(X894)+2,FALSE),VLOOKUP(Y894,Equivalencia!$1:$23,((MAX(Equivalencia!$3:$3)-YEAR(X894))*14)+MONTH(X894)+2,FALSE)))</f>
        <v>1</v>
      </c>
      <c r="AB894" s="306">
        <f t="shared" si="246"/>
        <v>6089.06</v>
      </c>
      <c r="AC894" s="305">
        <f>+IF(X894=0,0,HLOOKUP(YEAR(X894)+(MONTH(X894)/100),TC!$5:$37,DAY(X894)+2,FALSE))</f>
        <v>19.861799999999999</v>
      </c>
      <c r="AD894" s="307">
        <f t="shared" si="247"/>
        <v>120939.69190799999</v>
      </c>
      <c r="AE894" s="314">
        <f t="shared" si="248"/>
        <v>165231.56110032002</v>
      </c>
      <c r="AF894" s="315">
        <f t="shared" si="249"/>
        <v>-44291.869192320024</v>
      </c>
      <c r="AG894" s="316">
        <f t="shared" si="250"/>
        <v>0.8794520547945206</v>
      </c>
      <c r="AH894" s="314">
        <v>1</v>
      </c>
      <c r="AI894" s="314">
        <f t="shared" si="251"/>
        <v>-44291.869192320024</v>
      </c>
      <c r="AJ894" s="314">
        <f t="shared" si="252"/>
        <v>0</v>
      </c>
      <c r="AK894" s="317"/>
      <c r="AL894" s="315">
        <f t="shared" si="253"/>
        <v>-1495.8399999999992</v>
      </c>
      <c r="AN894" s="554">
        <f t="shared" si="254"/>
        <v>-0.19721288349220151</v>
      </c>
      <c r="AO894" s="314"/>
      <c r="AP894" s="318"/>
    </row>
    <row r="895" spans="2:42">
      <c r="B895" s="296" t="s">
        <v>1266</v>
      </c>
      <c r="C895" s="299" t="s">
        <v>277</v>
      </c>
      <c r="D895" s="298" t="s">
        <v>845</v>
      </c>
      <c r="E895" s="299" t="s">
        <v>106</v>
      </c>
      <c r="F895" s="299" t="s">
        <v>59</v>
      </c>
      <c r="G895" s="300">
        <v>43964</v>
      </c>
      <c r="H895" s="303">
        <v>717.38</v>
      </c>
      <c r="I895" s="301" t="str">
        <f t="shared" si="238"/>
        <v>Ingresos Sección I LISR</v>
      </c>
      <c r="J895" s="302">
        <f t="shared" si="239"/>
        <v>11.086</v>
      </c>
      <c r="K895" s="304">
        <f t="shared" si="240"/>
        <v>64.710445607071975</v>
      </c>
      <c r="L895" s="305">
        <f>IF(H895=0,0,IF(OR(E895=$AT$5,E895=$AT$6),AA895,IF(F895="MXN",1/HLOOKUP(YEAR(G895)+(MONTH(G895)/100),TC!$5:$37,DAY(G895)+2,FALSE),VLOOKUP(F895,Equivalencia!$5:$23,((MAX(Equivalencia!$3:$3)-YEAR(G895))*14)+MONTH(G895)+2,FALSE))))</f>
        <v>1</v>
      </c>
      <c r="M895" s="306">
        <f t="shared" si="241"/>
        <v>717.38</v>
      </c>
      <c r="N895" s="305">
        <f>IF(G895=0,0,(IF(OR(E895=$AT$5,E895=$AT$6),AC895,HLOOKUP(YEAR(G895)+(MONTH(G895)/100),TC!$5:$37,DAY(G895)+2,FALSE))))</f>
        <v>23.869299999999999</v>
      </c>
      <c r="O895" s="307">
        <f t="shared" si="242"/>
        <v>17123.358433999998</v>
      </c>
      <c r="P895" s="560">
        <f>IF(G895=0,0,VLOOKUP(YEAR(G895),INPC!$B$4:$P$30,MONTH(G895)+2))</f>
        <v>106.16200000000001</v>
      </c>
      <c r="Q895" s="560">
        <f>IF(X895=0,0,IF(OR(E895=$AT$10,E895=$AT$9),VLOOKUP(YEAR(X895),INPC!$B$4:$P$30,MONTH(X895)+1),VLOOKUP(YEAR(X895),INPC!$B$4:$P$30,MONTH(X895)+2,0)))</f>
        <v>123.803</v>
      </c>
      <c r="R895" s="309">
        <f t="shared" si="243"/>
        <v>1.1660999999999999</v>
      </c>
      <c r="S895" s="310">
        <f t="shared" si="244"/>
        <v>19967.548269887397</v>
      </c>
      <c r="T895" s="555">
        <f t="shared" si="245"/>
        <v>1801.1499431614104</v>
      </c>
      <c r="U895" s="311"/>
      <c r="V895" s="312">
        <v>11.086</v>
      </c>
      <c r="W895" s="299" t="s">
        <v>194</v>
      </c>
      <c r="X895" s="300">
        <v>44790</v>
      </c>
      <c r="Y895" s="299" t="s">
        <v>59</v>
      </c>
      <c r="Z895" s="303">
        <v>922.61</v>
      </c>
      <c r="AA895" s="305">
        <f>IF(Z895=0,0,IF(Y895="MXN",1/HLOOKUP(YEAR(X895)+(MONTH(X895)/100),TC!$5:$37,DAY(X895)+2,FALSE),VLOOKUP(Y895,Equivalencia!$1:$23,((MAX(Equivalencia!$3:$3)-YEAR(X895))*14)+MONTH(X895)+2,FALSE)))</f>
        <v>1</v>
      </c>
      <c r="AB895" s="306">
        <f t="shared" si="246"/>
        <v>922.61</v>
      </c>
      <c r="AC895" s="305">
        <f>+IF(X895=0,0,HLOOKUP(YEAR(X895)+(MONTH(X895)/100),TC!$5:$37,DAY(X895)+2,FALSE))</f>
        <v>19.861799999999999</v>
      </c>
      <c r="AD895" s="307">
        <f t="shared" si="247"/>
        <v>18324.695297999999</v>
      </c>
      <c r="AE895" s="314">
        <f t="shared" si="248"/>
        <v>19967.548269887397</v>
      </c>
      <c r="AF895" s="315">
        <f t="shared" si="249"/>
        <v>-1642.8529718873979</v>
      </c>
      <c r="AG895" s="316">
        <f t="shared" si="250"/>
        <v>2.2630136986301368</v>
      </c>
      <c r="AH895" s="314">
        <v>1</v>
      </c>
      <c r="AI895" s="314">
        <f t="shared" si="251"/>
        <v>-1642.8529718873979</v>
      </c>
      <c r="AJ895" s="314">
        <f t="shared" si="252"/>
        <v>0</v>
      </c>
      <c r="AK895" s="317"/>
      <c r="AL895" s="315">
        <f t="shared" si="253"/>
        <v>205.23000000000002</v>
      </c>
      <c r="AN895" s="554">
        <f t="shared" si="254"/>
        <v>0.28608268978783913</v>
      </c>
      <c r="AO895" s="314"/>
      <c r="AP895" s="318"/>
    </row>
    <row r="896" spans="2:42">
      <c r="B896" s="296" t="s">
        <v>1266</v>
      </c>
      <c r="C896" s="299" t="s">
        <v>277</v>
      </c>
      <c r="D896" s="298" t="s">
        <v>831</v>
      </c>
      <c r="E896" s="299" t="s">
        <v>113</v>
      </c>
      <c r="F896" s="299" t="s">
        <v>59</v>
      </c>
      <c r="G896" s="300">
        <v>43315</v>
      </c>
      <c r="H896" s="303">
        <v>3403.76</v>
      </c>
      <c r="I896" s="301" t="str">
        <f t="shared" si="238"/>
        <v>Ingresos Sección II LISR (SIC &amp; BMV)</v>
      </c>
      <c r="J896" s="302">
        <f t="shared" si="239"/>
        <v>11</v>
      </c>
      <c r="K896" s="304">
        <f t="shared" si="240"/>
        <v>309.43272727272728</v>
      </c>
      <c r="L896" s="305">
        <f>IF(H896=0,0,IF(OR(E896=$AT$5,E896=$AT$6),AA896,IF(F896="MXN",1/HLOOKUP(YEAR(G896)+(MONTH(G896)/100),TC!$5:$37,DAY(G896)+2,FALSE),VLOOKUP(F896,Equivalencia!$5:$23,((MAX(Equivalencia!$3:$3)-YEAR(G896))*14)+MONTH(G896)+2,FALSE))))</f>
        <v>1</v>
      </c>
      <c r="M896" s="306">
        <f t="shared" si="241"/>
        <v>3403.76</v>
      </c>
      <c r="N896" s="305">
        <f>IF(G896=0,0,(IF(OR(E896=$AT$5,E896=$AT$6),AC896,HLOOKUP(YEAR(G896)+(MONTH(G896)/100),TC!$5:$37,DAY(G896)+2,FALSE))))</f>
        <v>18.5899</v>
      </c>
      <c r="O896" s="307">
        <f t="shared" si="242"/>
        <v>63275.558024000005</v>
      </c>
      <c r="P896" s="560">
        <f>IF(G896=0,0,VLOOKUP(YEAR(G896),INPC!$B$4:$P$30,MONTH(G896)+2))</f>
        <v>100.492</v>
      </c>
      <c r="Q896" s="560">
        <f>IF(X896=0,0,IF(OR(E896=$AT$10,E896=$AT$9),VLOOKUP(YEAR(X896),INPC!$B$4:$P$30,MONTH(X896)+1),VLOOKUP(YEAR(X896),INPC!$B$4:$P$30,MONTH(X896)+2,0)))</f>
        <v>122.044</v>
      </c>
      <c r="R896" s="309">
        <f t="shared" si="243"/>
        <v>1.2143999999999999</v>
      </c>
      <c r="S896" s="310">
        <f t="shared" si="244"/>
        <v>76841.837664345599</v>
      </c>
      <c r="T896" s="555">
        <f t="shared" si="245"/>
        <v>6985.6216058496002</v>
      </c>
      <c r="U896" s="311"/>
      <c r="V896" s="312">
        <v>11</v>
      </c>
      <c r="W896" s="299" t="s">
        <v>194</v>
      </c>
      <c r="X896" s="300">
        <v>44771</v>
      </c>
      <c r="Y896" s="299" t="s">
        <v>59</v>
      </c>
      <c r="Z896" s="303">
        <v>7723.54</v>
      </c>
      <c r="AA896" s="305">
        <f>IF(Z896=0,0,IF(Y896="MXN",1/HLOOKUP(YEAR(X896)+(MONTH(X896)/100),TC!$5:$37,DAY(X896)+2,FALSE),VLOOKUP(Y896,Equivalencia!$1:$23,((MAX(Equivalencia!$3:$3)-YEAR(X896))*14)+MONTH(X896)+2,FALSE)))</f>
        <v>1</v>
      </c>
      <c r="AB896" s="306">
        <f t="shared" si="246"/>
        <v>7723.54</v>
      </c>
      <c r="AC896" s="305">
        <f>+IF(X896=0,0,HLOOKUP(YEAR(X896)+(MONTH(X896)/100),TC!$5:$37,DAY(X896)+2,FALSE))</f>
        <v>20.512</v>
      </c>
      <c r="AD896" s="307">
        <f t="shared" si="247"/>
        <v>158425.25248</v>
      </c>
      <c r="AE896" s="314">
        <f t="shared" si="248"/>
        <v>76841.837664345599</v>
      </c>
      <c r="AF896" s="315">
        <f t="shared" si="249"/>
        <v>81583.414815654396</v>
      </c>
      <c r="AG896" s="316">
        <f t="shared" si="250"/>
        <v>3.989041095890411</v>
      </c>
      <c r="AH896" s="314">
        <v>1</v>
      </c>
      <c r="AI896" s="314">
        <f t="shared" si="251"/>
        <v>81583.414815654396</v>
      </c>
      <c r="AJ896" s="314">
        <f t="shared" si="252"/>
        <v>0</v>
      </c>
      <c r="AK896" s="317"/>
      <c r="AL896" s="315">
        <f t="shared" si="253"/>
        <v>4319.78</v>
      </c>
      <c r="AN896" s="554">
        <f t="shared" si="254"/>
        <v>1.2691200319646507</v>
      </c>
      <c r="AO896" s="314"/>
      <c r="AP896" s="318"/>
    </row>
    <row r="897" spans="2:42">
      <c r="B897" s="296" t="s">
        <v>1266</v>
      </c>
      <c r="C897" s="299" t="s">
        <v>277</v>
      </c>
      <c r="D897" s="298" t="s">
        <v>831</v>
      </c>
      <c r="E897" s="299" t="s">
        <v>113</v>
      </c>
      <c r="F897" s="299" t="s">
        <v>59</v>
      </c>
      <c r="G897" s="300">
        <v>40235</v>
      </c>
      <c r="H897" s="303">
        <v>5354.83</v>
      </c>
      <c r="I897" s="301" t="str">
        <f t="shared" si="238"/>
        <v>Ingresos Sección II LISR (SIC &amp; BMV)</v>
      </c>
      <c r="J897" s="302">
        <f t="shared" si="239"/>
        <v>14</v>
      </c>
      <c r="K897" s="304">
        <f t="shared" si="240"/>
        <v>382.48785714285714</v>
      </c>
      <c r="L897" s="305">
        <f>IF(H897=0,0,IF(OR(E897=$AT$5,E897=$AT$6),AA897,IF(F897="MXN",1/HLOOKUP(YEAR(G897)+(MONTH(G897)/100),TC!$5:$37,DAY(G897)+2,FALSE),VLOOKUP(F897,Equivalencia!$5:$23,((MAX(Equivalencia!$3:$3)-YEAR(G897))*14)+MONTH(G897)+2,FALSE))))</f>
        <v>1</v>
      </c>
      <c r="M897" s="306">
        <f t="shared" si="241"/>
        <v>5354.83</v>
      </c>
      <c r="N897" s="305">
        <f>IF(G897=0,0,(IF(OR(E897=$AT$5,E897=$AT$6),AC897,HLOOKUP(YEAR(G897)+(MONTH(G897)/100),TC!$5:$37,DAY(G897)+2,FALSE))))</f>
        <v>12.853899999999999</v>
      </c>
      <c r="O897" s="307">
        <f t="shared" si="242"/>
        <v>68830.449336999998</v>
      </c>
      <c r="P897" s="560">
        <f>IF(G897=0,0,VLOOKUP(YEAR(G897),INPC!$B$4:$P$30,MONTH(G897)+2))</f>
        <v>72.971670511062001</v>
      </c>
      <c r="Q897" s="560">
        <f>IF(X897=0,0,IF(OR(E897=$AT$10,E897=$AT$9),VLOOKUP(YEAR(X897),INPC!$B$4:$P$30,MONTH(X897)+1),VLOOKUP(YEAR(X897),INPC!$B$4:$P$30,MONTH(X897)+2,0)))</f>
        <v>122.94799999999999</v>
      </c>
      <c r="R897" s="309">
        <f t="shared" si="243"/>
        <v>1.6848000000000001</v>
      </c>
      <c r="S897" s="310">
        <f t="shared" si="244"/>
        <v>115965.54104297761</v>
      </c>
      <c r="T897" s="555">
        <f t="shared" si="245"/>
        <v>8283.2529316412583</v>
      </c>
      <c r="U897" s="311"/>
      <c r="V897" s="312">
        <v>14</v>
      </c>
      <c r="W897" s="299" t="s">
        <v>194</v>
      </c>
      <c r="X897" s="300">
        <v>44790</v>
      </c>
      <c r="Y897" s="299" t="s">
        <v>59</v>
      </c>
      <c r="Z897" s="303">
        <v>10426.4</v>
      </c>
      <c r="AA897" s="305">
        <f>IF(Z897=0,0,IF(Y897="MXN",1/HLOOKUP(YEAR(X897)+(MONTH(X897)/100),TC!$5:$37,DAY(X897)+2,FALSE),VLOOKUP(Y897,Equivalencia!$1:$23,((MAX(Equivalencia!$3:$3)-YEAR(X897))*14)+MONTH(X897)+2,FALSE)))</f>
        <v>1</v>
      </c>
      <c r="AB897" s="306">
        <f t="shared" si="246"/>
        <v>10426.4</v>
      </c>
      <c r="AC897" s="305">
        <f>+IF(X897=0,0,HLOOKUP(YEAR(X897)+(MONTH(X897)/100),TC!$5:$37,DAY(X897)+2,FALSE))</f>
        <v>19.861799999999999</v>
      </c>
      <c r="AD897" s="307">
        <f t="shared" si="247"/>
        <v>207087.07151999997</v>
      </c>
      <c r="AE897" s="314">
        <f t="shared" si="248"/>
        <v>115965.54104297762</v>
      </c>
      <c r="AF897" s="315">
        <f t="shared" si="249"/>
        <v>91121.530477022345</v>
      </c>
      <c r="AG897" s="316">
        <f t="shared" si="250"/>
        <v>12.479452054794521</v>
      </c>
      <c r="AH897" s="314">
        <v>1</v>
      </c>
      <c r="AI897" s="314">
        <f t="shared" si="251"/>
        <v>91121.530477022345</v>
      </c>
      <c r="AJ897" s="314">
        <f t="shared" si="252"/>
        <v>0</v>
      </c>
      <c r="AK897" s="317"/>
      <c r="AL897" s="315">
        <f t="shared" si="253"/>
        <v>5071.57</v>
      </c>
      <c r="AN897" s="554">
        <f t="shared" si="254"/>
        <v>0.94710196215379383</v>
      </c>
      <c r="AO897" s="314"/>
      <c r="AP897" s="318"/>
    </row>
    <row r="898" spans="2:42">
      <c r="B898" s="296" t="s">
        <v>1266</v>
      </c>
      <c r="C898" s="299" t="s">
        <v>277</v>
      </c>
      <c r="D898" s="298" t="s">
        <v>762</v>
      </c>
      <c r="E898" s="299" t="s">
        <v>113</v>
      </c>
      <c r="F898" s="299" t="s">
        <v>59</v>
      </c>
      <c r="G898" s="300">
        <v>43476</v>
      </c>
      <c r="H898" s="303">
        <v>1735.08</v>
      </c>
      <c r="I898" s="301" t="str">
        <f t="shared" si="238"/>
        <v>Ingresos Sección II LISR (SIC &amp; BMV)</v>
      </c>
      <c r="J898" s="302">
        <f t="shared" si="239"/>
        <v>11</v>
      </c>
      <c r="K898" s="304">
        <f t="shared" si="240"/>
        <v>157.73454545454544</v>
      </c>
      <c r="L898" s="305">
        <f>IF(H898=0,0,IF(OR(E898=$AT$5,E898=$AT$6),AA898,IF(F898="MXN",1/HLOOKUP(YEAR(G898)+(MONTH(G898)/100),TC!$5:$37,DAY(G898)+2,FALSE),VLOOKUP(F898,Equivalencia!$5:$23,((MAX(Equivalencia!$3:$3)-YEAR(G898))*14)+MONTH(G898)+2,FALSE))))</f>
        <v>1</v>
      </c>
      <c r="M898" s="306">
        <f t="shared" si="241"/>
        <v>1735.08</v>
      </c>
      <c r="N898" s="305">
        <f>IF(G898=0,0,(IF(OR(E898=$AT$5,E898=$AT$6),AC898,HLOOKUP(YEAR(G898)+(MONTH(G898)/100),TC!$5:$37,DAY(G898)+2,FALSE))))</f>
        <v>19.2456</v>
      </c>
      <c r="O898" s="307">
        <f t="shared" si="242"/>
        <v>33392.655648</v>
      </c>
      <c r="P898" s="560">
        <f>IF(G898=0,0,VLOOKUP(YEAR(G898),INPC!$B$4:$P$30,MONTH(G898)+2))</f>
        <v>103.108</v>
      </c>
      <c r="Q898" s="560">
        <f>IF(X898=0,0,IF(OR(E898=$AT$10,E898=$AT$9),VLOOKUP(YEAR(X898),INPC!$B$4:$P$30,MONTH(X898)+1),VLOOKUP(YEAR(X898),INPC!$B$4:$P$30,MONTH(X898)+2,0)))</f>
        <v>122.94799999999999</v>
      </c>
      <c r="R898" s="309">
        <f t="shared" si="243"/>
        <v>1.1923999999999999</v>
      </c>
      <c r="S898" s="310">
        <f t="shared" si="244"/>
        <v>39817.402594675194</v>
      </c>
      <c r="T898" s="555">
        <f t="shared" si="245"/>
        <v>3619.7638722431993</v>
      </c>
      <c r="U898" s="311"/>
      <c r="V898" s="312">
        <v>11</v>
      </c>
      <c r="W898" s="299" t="s">
        <v>194</v>
      </c>
      <c r="X898" s="300">
        <v>44790</v>
      </c>
      <c r="Y898" s="299" t="s">
        <v>59</v>
      </c>
      <c r="Z898" s="303">
        <v>3303.99</v>
      </c>
      <c r="AA898" s="305">
        <f>IF(Z898=0,0,IF(Y898="MXN",1/HLOOKUP(YEAR(X898)+(MONTH(X898)/100),TC!$5:$37,DAY(X898)+2,FALSE),VLOOKUP(Y898,Equivalencia!$1:$23,((MAX(Equivalencia!$3:$3)-YEAR(X898))*14)+MONTH(X898)+2,FALSE)))</f>
        <v>1</v>
      </c>
      <c r="AB898" s="306">
        <f t="shared" si="246"/>
        <v>3303.99</v>
      </c>
      <c r="AC898" s="305">
        <f>+IF(X898=0,0,HLOOKUP(YEAR(X898)+(MONTH(X898)/100),TC!$5:$37,DAY(X898)+2,FALSE))</f>
        <v>19.861799999999999</v>
      </c>
      <c r="AD898" s="307">
        <f t="shared" si="247"/>
        <v>65623.188581999988</v>
      </c>
      <c r="AE898" s="314">
        <f t="shared" si="248"/>
        <v>39817.402594675194</v>
      </c>
      <c r="AF898" s="315">
        <f t="shared" si="249"/>
        <v>25805.785987324794</v>
      </c>
      <c r="AG898" s="316">
        <f t="shared" si="250"/>
        <v>3.6</v>
      </c>
      <c r="AH898" s="314">
        <v>1</v>
      </c>
      <c r="AI898" s="314">
        <f t="shared" si="251"/>
        <v>25805.785987324794</v>
      </c>
      <c r="AJ898" s="314">
        <f t="shared" si="252"/>
        <v>0</v>
      </c>
      <c r="AK898" s="317"/>
      <c r="AL898" s="315">
        <f t="shared" si="253"/>
        <v>1568.9099999999999</v>
      </c>
      <c r="AN898" s="554">
        <f t="shared" si="254"/>
        <v>0.90422919980634897</v>
      </c>
      <c r="AO898" s="314"/>
      <c r="AP898" s="318"/>
    </row>
    <row r="899" spans="2:42">
      <c r="B899" s="296" t="s">
        <v>1266</v>
      </c>
      <c r="C899" s="299" t="s">
        <v>277</v>
      </c>
      <c r="D899" s="298" t="s">
        <v>762</v>
      </c>
      <c r="E899" s="299" t="s">
        <v>113</v>
      </c>
      <c r="F899" s="299" t="s">
        <v>59</v>
      </c>
      <c r="G899" s="300">
        <v>43784</v>
      </c>
      <c r="H899" s="303">
        <v>1767.51</v>
      </c>
      <c r="I899" s="301" t="str">
        <f t="shared" si="238"/>
        <v>Ingresos Sección II LISR (SIC &amp; BMV)</v>
      </c>
      <c r="J899" s="302">
        <f t="shared" si="239"/>
        <v>9</v>
      </c>
      <c r="K899" s="304">
        <f t="shared" si="240"/>
        <v>196.39</v>
      </c>
      <c r="L899" s="305">
        <f>IF(H899=0,0,IF(OR(E899=$AT$5,E899=$AT$6),AA899,IF(F899="MXN",1/HLOOKUP(YEAR(G899)+(MONTH(G899)/100),TC!$5:$37,DAY(G899)+2,FALSE),VLOOKUP(F899,Equivalencia!$5:$23,((MAX(Equivalencia!$3:$3)-YEAR(G899))*14)+MONTH(G899)+2,FALSE))))</f>
        <v>1</v>
      </c>
      <c r="M899" s="306">
        <f t="shared" si="241"/>
        <v>1767.51</v>
      </c>
      <c r="N899" s="305">
        <f>IF(G899=0,0,(IF(OR(E899=$AT$5,E899=$AT$6),AC899,HLOOKUP(YEAR(G899)+(MONTH(G899)/100),TC!$5:$37,DAY(G899)+2,FALSE))))</f>
        <v>19.4543</v>
      </c>
      <c r="O899" s="307">
        <f t="shared" si="242"/>
        <v>34385.669793000001</v>
      </c>
      <c r="P899" s="560">
        <f>IF(G899=0,0,VLOOKUP(YEAR(G899),INPC!$B$4:$P$30,MONTH(G899)+2))</f>
        <v>105.346</v>
      </c>
      <c r="Q899" s="560">
        <f>IF(X899=0,0,IF(OR(E899=$AT$10,E899=$AT$9),VLOOKUP(YEAR(X899),INPC!$B$4:$P$30,MONTH(X899)+1),VLOOKUP(YEAR(X899),INPC!$B$4:$P$30,MONTH(X899)+2,0)))</f>
        <v>122.94799999999999</v>
      </c>
      <c r="R899" s="309">
        <f t="shared" si="243"/>
        <v>1.167</v>
      </c>
      <c r="S899" s="310">
        <f t="shared" si="244"/>
        <v>40128.076648431001</v>
      </c>
      <c r="T899" s="555">
        <f t="shared" si="245"/>
        <v>4458.675183159</v>
      </c>
      <c r="U899" s="311"/>
      <c r="V899" s="312">
        <v>9</v>
      </c>
      <c r="W899" s="299" t="s">
        <v>194</v>
      </c>
      <c r="X899" s="300">
        <v>44790</v>
      </c>
      <c r="Y899" s="299" t="s">
        <v>59</v>
      </c>
      <c r="Z899" s="303">
        <v>2703.27</v>
      </c>
      <c r="AA899" s="305">
        <f>IF(Z899=0,0,IF(Y899="MXN",1/HLOOKUP(YEAR(X899)+(MONTH(X899)/100),TC!$5:$37,DAY(X899)+2,FALSE),VLOOKUP(Y899,Equivalencia!$1:$23,((MAX(Equivalencia!$3:$3)-YEAR(X899))*14)+MONTH(X899)+2,FALSE)))</f>
        <v>1</v>
      </c>
      <c r="AB899" s="306">
        <f t="shared" si="246"/>
        <v>2703.27</v>
      </c>
      <c r="AC899" s="305">
        <f>+IF(X899=0,0,HLOOKUP(YEAR(X899)+(MONTH(X899)/100),TC!$5:$37,DAY(X899)+2,FALSE))</f>
        <v>19.861799999999999</v>
      </c>
      <c r="AD899" s="307">
        <f t="shared" si="247"/>
        <v>53691.808085999997</v>
      </c>
      <c r="AE899" s="314">
        <f t="shared" si="248"/>
        <v>40128.076648431001</v>
      </c>
      <c r="AF899" s="315">
        <f t="shared" si="249"/>
        <v>13563.731437568997</v>
      </c>
      <c r="AG899" s="316">
        <f t="shared" si="250"/>
        <v>2.7561643835616438</v>
      </c>
      <c r="AH899" s="314">
        <v>1</v>
      </c>
      <c r="AI899" s="314">
        <f t="shared" si="251"/>
        <v>13563.731437568997</v>
      </c>
      <c r="AJ899" s="314">
        <f t="shared" si="252"/>
        <v>0</v>
      </c>
      <c r="AK899" s="317"/>
      <c r="AL899" s="315">
        <f t="shared" si="253"/>
        <v>935.76</v>
      </c>
      <c r="AN899" s="554">
        <f t="shared" si="254"/>
        <v>0.52942274725461247</v>
      </c>
      <c r="AO899" s="314"/>
      <c r="AP899" s="318"/>
    </row>
    <row r="900" spans="2:42">
      <c r="B900" s="296" t="s">
        <v>1266</v>
      </c>
      <c r="C900" s="299" t="s">
        <v>277</v>
      </c>
      <c r="D900" s="298" t="s">
        <v>846</v>
      </c>
      <c r="E900" s="299" t="s">
        <v>106</v>
      </c>
      <c r="F900" s="299" t="s">
        <v>59</v>
      </c>
      <c r="G900" s="300">
        <v>43867</v>
      </c>
      <c r="H900" s="303">
        <v>527192.61</v>
      </c>
      <c r="I900" s="301" t="str">
        <f t="shared" si="238"/>
        <v>Ingresos Sección I LISR</v>
      </c>
      <c r="J900" s="302">
        <f t="shared" si="239"/>
        <v>17150.05</v>
      </c>
      <c r="K900" s="304">
        <f t="shared" si="240"/>
        <v>30.740004256547358</v>
      </c>
      <c r="L900" s="305">
        <f>IF(H900=0,0,IF(OR(E900=$AT$5,E900=$AT$6),AA900,IF(F900="MXN",1/HLOOKUP(YEAR(G900)+(MONTH(G900)/100),TC!$5:$37,DAY(G900)+2,FALSE),VLOOKUP(F900,Equivalencia!$5:$23,((MAX(Equivalencia!$3:$3)-YEAR(G900))*14)+MONTH(G900)+2,FALSE))))</f>
        <v>1</v>
      </c>
      <c r="M900" s="306">
        <f t="shared" si="241"/>
        <v>527192.61</v>
      </c>
      <c r="N900" s="305">
        <f>IF(G900=0,0,(IF(OR(E900=$AT$5,E900=$AT$6),AC900,HLOOKUP(YEAR(G900)+(MONTH(G900)/100),TC!$5:$37,DAY(G900)+2,FALSE))))</f>
        <v>18.6797</v>
      </c>
      <c r="O900" s="307">
        <f t="shared" si="242"/>
        <v>9847799.7970170006</v>
      </c>
      <c r="P900" s="560">
        <f>IF(G900=0,0,VLOOKUP(YEAR(G900),INPC!$B$4:$P$30,MONTH(G900)+2))</f>
        <v>106.889</v>
      </c>
      <c r="Q900" s="560">
        <f>IF(X900=0,0,IF(OR(E900=$AT$10,E900=$AT$9),VLOOKUP(YEAR(X900),INPC!$B$4:$P$30,MONTH(X900)+1),VLOOKUP(YEAR(X900),INPC!$B$4:$P$30,MONTH(X900)+2,0)))</f>
        <v>123.803</v>
      </c>
      <c r="R900" s="309">
        <f t="shared" si="243"/>
        <v>1.1581999999999999</v>
      </c>
      <c r="S900" s="310">
        <f t="shared" si="244"/>
        <v>11405721.724905089</v>
      </c>
      <c r="T900" s="555">
        <f t="shared" si="245"/>
        <v>665.05472140927225</v>
      </c>
      <c r="U900" s="311"/>
      <c r="V900" s="312">
        <v>17150.05</v>
      </c>
      <c r="W900" s="299" t="s">
        <v>194</v>
      </c>
      <c r="X900" s="300">
        <v>44790</v>
      </c>
      <c r="Y900" s="299" t="s">
        <v>59</v>
      </c>
      <c r="Z900" s="303">
        <v>639353.87</v>
      </c>
      <c r="AA900" s="305">
        <f>IF(Z900=0,0,IF(Y900="MXN",1/HLOOKUP(YEAR(X900)+(MONTH(X900)/100),TC!$5:$37,DAY(X900)+2,FALSE),VLOOKUP(Y900,Equivalencia!$1:$23,((MAX(Equivalencia!$3:$3)-YEAR(X900))*14)+MONTH(X900)+2,FALSE)))</f>
        <v>1</v>
      </c>
      <c r="AB900" s="306">
        <f t="shared" si="246"/>
        <v>639353.87</v>
      </c>
      <c r="AC900" s="305">
        <f>+IF(X900=0,0,HLOOKUP(YEAR(X900)+(MONTH(X900)/100),TC!$5:$37,DAY(X900)+2,FALSE))</f>
        <v>19.861799999999999</v>
      </c>
      <c r="AD900" s="307">
        <f t="shared" si="247"/>
        <v>12698718.695165999</v>
      </c>
      <c r="AE900" s="314">
        <f t="shared" si="248"/>
        <v>11405721.724905089</v>
      </c>
      <c r="AF900" s="315">
        <f t="shared" si="249"/>
        <v>1292996.9702609107</v>
      </c>
      <c r="AG900" s="316">
        <f t="shared" si="250"/>
        <v>2.5287671232876714</v>
      </c>
      <c r="AH900" s="314">
        <v>1</v>
      </c>
      <c r="AI900" s="314">
        <f t="shared" si="251"/>
        <v>1292996.9702609107</v>
      </c>
      <c r="AJ900" s="314">
        <f t="shared" si="252"/>
        <v>0</v>
      </c>
      <c r="AK900" s="317"/>
      <c r="AL900" s="315">
        <f t="shared" si="253"/>
        <v>112161.26000000001</v>
      </c>
      <c r="AN900" s="554">
        <f t="shared" si="254"/>
        <v>0.21275195796086749</v>
      </c>
      <c r="AO900" s="314"/>
      <c r="AP900" s="318"/>
    </row>
    <row r="901" spans="2:42">
      <c r="B901" s="296" t="s">
        <v>1266</v>
      </c>
      <c r="C901" s="299" t="s">
        <v>277</v>
      </c>
      <c r="D901" s="298" t="s">
        <v>846</v>
      </c>
      <c r="E901" s="299" t="s">
        <v>106</v>
      </c>
      <c r="F901" s="299" t="s">
        <v>59</v>
      </c>
      <c r="G901" s="300">
        <v>43893</v>
      </c>
      <c r="H901" s="303">
        <v>10473.030000000001</v>
      </c>
      <c r="I901" s="301" t="str">
        <f t="shared" si="238"/>
        <v>Ingresos Sección I LISR</v>
      </c>
      <c r="J901" s="302">
        <f t="shared" si="239"/>
        <v>356.83</v>
      </c>
      <c r="K901" s="304">
        <f t="shared" si="240"/>
        <v>29.350194770619066</v>
      </c>
      <c r="L901" s="305">
        <f>IF(H901=0,0,IF(OR(E901=$AT$5,E901=$AT$6),AA901,IF(F901="MXN",1/HLOOKUP(YEAR(G901)+(MONTH(G901)/100),TC!$5:$37,DAY(G901)+2,FALSE),VLOOKUP(F901,Equivalencia!$5:$23,((MAX(Equivalencia!$3:$3)-YEAR(G901))*14)+MONTH(G901)+2,FALSE))))</f>
        <v>1</v>
      </c>
      <c r="M901" s="306">
        <f t="shared" si="241"/>
        <v>10473.030000000001</v>
      </c>
      <c r="N901" s="305">
        <f>IF(G901=0,0,(IF(OR(E901=$AT$5,E901=$AT$6),AC901,HLOOKUP(YEAR(G901)+(MONTH(G901)/100),TC!$5:$37,DAY(G901)+2,FALSE))))</f>
        <v>19.776</v>
      </c>
      <c r="O901" s="307">
        <f t="shared" si="242"/>
        <v>207114.64128000001</v>
      </c>
      <c r="P901" s="560">
        <f>IF(G901=0,0,VLOOKUP(YEAR(G901),INPC!$B$4:$P$30,MONTH(G901)+2))</f>
        <v>106.83799999999999</v>
      </c>
      <c r="Q901" s="560">
        <f>IF(X901=0,0,IF(OR(E901=$AT$10,E901=$AT$9),VLOOKUP(YEAR(X901),INPC!$B$4:$P$30,MONTH(X901)+1),VLOOKUP(YEAR(X901),INPC!$B$4:$P$30,MONTH(X901)+2,0)))</f>
        <v>123.803</v>
      </c>
      <c r="R901" s="309">
        <f t="shared" si="243"/>
        <v>1.1587000000000001</v>
      </c>
      <c r="S901" s="310">
        <f t="shared" si="244"/>
        <v>239983.73485113602</v>
      </c>
      <c r="T901" s="555">
        <f t="shared" si="245"/>
        <v>672.54360578184583</v>
      </c>
      <c r="U901" s="311"/>
      <c r="V901" s="312">
        <v>356.83</v>
      </c>
      <c r="W901" s="299" t="s">
        <v>194</v>
      </c>
      <c r="X901" s="300">
        <v>44790</v>
      </c>
      <c r="Y901" s="299" t="s">
        <v>59</v>
      </c>
      <c r="Z901" s="303">
        <v>13302.62</v>
      </c>
      <c r="AA901" s="305">
        <f>IF(Z901=0,0,IF(Y901="MXN",1/HLOOKUP(YEAR(X901)+(MONTH(X901)/100),TC!$5:$37,DAY(X901)+2,FALSE),VLOOKUP(Y901,Equivalencia!$1:$23,((MAX(Equivalencia!$3:$3)-YEAR(X901))*14)+MONTH(X901)+2,FALSE)))</f>
        <v>1</v>
      </c>
      <c r="AB901" s="306">
        <f t="shared" si="246"/>
        <v>13302.62</v>
      </c>
      <c r="AC901" s="305">
        <f>+IF(X901=0,0,HLOOKUP(YEAR(X901)+(MONTH(X901)/100),TC!$5:$37,DAY(X901)+2,FALSE))</f>
        <v>19.861799999999999</v>
      </c>
      <c r="AD901" s="307">
        <f t="shared" si="247"/>
        <v>264213.977916</v>
      </c>
      <c r="AE901" s="314">
        <f t="shared" si="248"/>
        <v>239983.73485113605</v>
      </c>
      <c r="AF901" s="315">
        <f t="shared" si="249"/>
        <v>24230.243064863957</v>
      </c>
      <c r="AG901" s="316">
        <f t="shared" si="250"/>
        <v>2.4575342465753423</v>
      </c>
      <c r="AH901" s="314">
        <v>1</v>
      </c>
      <c r="AI901" s="314">
        <f t="shared" si="251"/>
        <v>24230.243064863957</v>
      </c>
      <c r="AJ901" s="314">
        <f t="shared" si="252"/>
        <v>0</v>
      </c>
      <c r="AK901" s="317"/>
      <c r="AL901" s="315">
        <f t="shared" si="253"/>
        <v>2829.59</v>
      </c>
      <c r="AN901" s="554">
        <f t="shared" si="254"/>
        <v>0.27017873528482206</v>
      </c>
      <c r="AO901" s="314"/>
      <c r="AP901" s="318"/>
    </row>
    <row r="902" spans="2:42">
      <c r="B902" s="296" t="s">
        <v>1266</v>
      </c>
      <c r="C902" s="299" t="s">
        <v>277</v>
      </c>
      <c r="D902" s="298" t="s">
        <v>711</v>
      </c>
      <c r="E902" s="299" t="s">
        <v>113</v>
      </c>
      <c r="F902" s="299" t="s">
        <v>59</v>
      </c>
      <c r="G902" s="300">
        <v>44720</v>
      </c>
      <c r="H902" s="303">
        <v>4901.13</v>
      </c>
      <c r="I902" s="301" t="str">
        <f t="shared" si="238"/>
        <v>Ingresos Sección II LISR (SIC &amp; BMV)</v>
      </c>
      <c r="J902" s="302">
        <f t="shared" si="239"/>
        <v>41</v>
      </c>
      <c r="K902" s="304">
        <f t="shared" si="240"/>
        <v>119.53975609756098</v>
      </c>
      <c r="L902" s="305">
        <f>IF(H902=0,0,IF(OR(E902=$AT$5,E902=$AT$6),AA902,IF(F902="MXN",1/HLOOKUP(YEAR(G902)+(MONTH(G902)/100),TC!$5:$37,DAY(G902)+2,FALSE),VLOOKUP(F902,Equivalencia!$5:$23,((MAX(Equivalencia!$3:$3)-YEAR(G902))*14)+MONTH(G902)+2,FALSE))))</f>
        <v>1</v>
      </c>
      <c r="M902" s="306">
        <f t="shared" si="241"/>
        <v>4901.13</v>
      </c>
      <c r="N902" s="305">
        <f>IF(G902=0,0,(IF(OR(E902=$AT$5,E902=$AT$6),AC902,HLOOKUP(YEAR(G902)+(MONTH(G902)/100),TC!$5:$37,DAY(G902)+2,FALSE))))</f>
        <v>19.5547</v>
      </c>
      <c r="O902" s="307">
        <f t="shared" si="242"/>
        <v>95840.126811000009</v>
      </c>
      <c r="P902" s="560">
        <f>IF(G902=0,0,VLOOKUP(YEAR(G902),INPC!$B$4:$P$30,MONTH(G902)+2))</f>
        <v>122.044</v>
      </c>
      <c r="Q902" s="560">
        <f>IF(X902=0,0,IF(OR(E902=$AT$10,E902=$AT$9),VLOOKUP(YEAR(X902),INPC!$B$4:$P$30,MONTH(X902)+1),VLOOKUP(YEAR(X902),INPC!$B$4:$P$30,MONTH(X902)+2,0)))</f>
        <v>122.94799999999999</v>
      </c>
      <c r="R902" s="309">
        <f t="shared" si="243"/>
        <v>1.0074000000000001</v>
      </c>
      <c r="S902" s="310">
        <f t="shared" si="244"/>
        <v>96549.343749401422</v>
      </c>
      <c r="T902" s="555">
        <f t="shared" si="245"/>
        <v>2354.8620426683274</v>
      </c>
      <c r="U902" s="311"/>
      <c r="V902" s="312">
        <v>41</v>
      </c>
      <c r="W902" s="299" t="s">
        <v>194</v>
      </c>
      <c r="X902" s="300">
        <v>44790</v>
      </c>
      <c r="Y902" s="299" t="s">
        <v>59</v>
      </c>
      <c r="Z902" s="303">
        <v>5179.34</v>
      </c>
      <c r="AA902" s="305">
        <f>IF(Z902=0,0,IF(Y902="MXN",1/HLOOKUP(YEAR(X902)+(MONTH(X902)/100),TC!$5:$37,DAY(X902)+2,FALSE),VLOOKUP(Y902,Equivalencia!$1:$23,((MAX(Equivalencia!$3:$3)-YEAR(X902))*14)+MONTH(X902)+2,FALSE)))</f>
        <v>1</v>
      </c>
      <c r="AB902" s="306">
        <f t="shared" si="246"/>
        <v>5179.34</v>
      </c>
      <c r="AC902" s="305">
        <f>+IF(X902=0,0,HLOOKUP(YEAR(X902)+(MONTH(X902)/100),TC!$5:$37,DAY(X902)+2,FALSE))</f>
        <v>19.861799999999999</v>
      </c>
      <c r="AD902" s="307">
        <f t="shared" si="247"/>
        <v>102871.015212</v>
      </c>
      <c r="AE902" s="314">
        <f t="shared" si="248"/>
        <v>96549.343749401422</v>
      </c>
      <c r="AF902" s="315">
        <f t="shared" si="249"/>
        <v>6321.6714625985769</v>
      </c>
      <c r="AG902" s="316">
        <f t="shared" si="250"/>
        <v>0.19178082191780821</v>
      </c>
      <c r="AH902" s="314">
        <v>1</v>
      </c>
      <c r="AI902" s="314">
        <f t="shared" si="251"/>
        <v>6321.6714625985769</v>
      </c>
      <c r="AJ902" s="314">
        <f t="shared" si="252"/>
        <v>0</v>
      </c>
      <c r="AK902" s="317"/>
      <c r="AL902" s="315">
        <f t="shared" si="253"/>
        <v>278.21000000000004</v>
      </c>
      <c r="AN902" s="554">
        <f t="shared" si="254"/>
        <v>5.6764460440755504E-2</v>
      </c>
      <c r="AO902" s="314"/>
      <c r="AP902" s="318"/>
    </row>
    <row r="903" spans="2:42">
      <c r="B903" s="296" t="s">
        <v>1266</v>
      </c>
      <c r="C903" s="299" t="s">
        <v>277</v>
      </c>
      <c r="D903" s="298" t="s">
        <v>926</v>
      </c>
      <c r="E903" s="299" t="s">
        <v>113</v>
      </c>
      <c r="F903" s="299" t="s">
        <v>59</v>
      </c>
      <c r="G903" s="300">
        <v>44720</v>
      </c>
      <c r="H903" s="303">
        <v>1722.24</v>
      </c>
      <c r="I903" s="301" t="str">
        <f t="shared" si="238"/>
        <v>Ingresos Sección II LISR (SIC &amp; BMV)</v>
      </c>
      <c r="J903" s="302">
        <f t="shared" si="239"/>
        <v>39</v>
      </c>
      <c r="K903" s="304">
        <f t="shared" si="240"/>
        <v>44.160000000000004</v>
      </c>
      <c r="L903" s="305">
        <f>IF(H903=0,0,IF(OR(E903=$AT$5,E903=$AT$6),AA903,IF(F903="MXN",1/HLOOKUP(YEAR(G903)+(MONTH(G903)/100),TC!$5:$37,DAY(G903)+2,FALSE),VLOOKUP(F903,Equivalencia!$5:$23,((MAX(Equivalencia!$3:$3)-YEAR(G903))*14)+MONTH(G903)+2,FALSE))))</f>
        <v>1</v>
      </c>
      <c r="M903" s="306">
        <f t="shared" si="241"/>
        <v>1722.24</v>
      </c>
      <c r="N903" s="305">
        <f>IF(G903=0,0,(IF(OR(E903=$AT$5,E903=$AT$6),AC903,HLOOKUP(YEAR(G903)+(MONTH(G903)/100),TC!$5:$37,DAY(G903)+2,FALSE))))</f>
        <v>19.5547</v>
      </c>
      <c r="O903" s="307">
        <f t="shared" si="242"/>
        <v>33677.886528000003</v>
      </c>
      <c r="P903" s="560">
        <f>IF(G903=0,0,VLOOKUP(YEAR(G903),INPC!$B$4:$P$30,MONTH(G903)+2))</f>
        <v>122.044</v>
      </c>
      <c r="Q903" s="560">
        <f>IF(X903=0,0,IF(OR(E903=$AT$10,E903=$AT$9),VLOOKUP(YEAR(X903),INPC!$B$4:$P$30,MONTH(X903)+1),VLOOKUP(YEAR(X903),INPC!$B$4:$P$30,MONTH(X903)+2,0)))</f>
        <v>122.94799999999999</v>
      </c>
      <c r="R903" s="309">
        <f t="shared" si="243"/>
        <v>1.0074000000000001</v>
      </c>
      <c r="S903" s="310">
        <f t="shared" si="244"/>
        <v>33927.102888307207</v>
      </c>
      <c r="T903" s="555">
        <f t="shared" si="245"/>
        <v>869.92571508480012</v>
      </c>
      <c r="U903" s="311"/>
      <c r="V903" s="312">
        <v>39</v>
      </c>
      <c r="W903" s="299" t="s">
        <v>194</v>
      </c>
      <c r="X903" s="300">
        <v>44790</v>
      </c>
      <c r="Y903" s="299" t="s">
        <v>59</v>
      </c>
      <c r="Z903" s="303">
        <v>1695.1</v>
      </c>
      <c r="AA903" s="305">
        <f>IF(Z903=0,0,IF(Y903="MXN",1/HLOOKUP(YEAR(X903)+(MONTH(X903)/100),TC!$5:$37,DAY(X903)+2,FALSE),VLOOKUP(Y903,Equivalencia!$1:$23,((MAX(Equivalencia!$3:$3)-YEAR(X903))*14)+MONTH(X903)+2,FALSE)))</f>
        <v>1</v>
      </c>
      <c r="AB903" s="306">
        <f t="shared" si="246"/>
        <v>1695.1</v>
      </c>
      <c r="AC903" s="305">
        <f>+IF(X903=0,0,HLOOKUP(YEAR(X903)+(MONTH(X903)/100),TC!$5:$37,DAY(X903)+2,FALSE))</f>
        <v>19.861799999999999</v>
      </c>
      <c r="AD903" s="307">
        <f t="shared" si="247"/>
        <v>33667.737179999996</v>
      </c>
      <c r="AE903" s="314">
        <f t="shared" si="248"/>
        <v>33927.102888307207</v>
      </c>
      <c r="AF903" s="315">
        <f t="shared" si="249"/>
        <v>-259.3657083072103</v>
      </c>
      <c r="AG903" s="316">
        <f t="shared" si="250"/>
        <v>0.19178082191780821</v>
      </c>
      <c r="AH903" s="314">
        <v>1</v>
      </c>
      <c r="AI903" s="314">
        <f t="shared" si="251"/>
        <v>-259.3657083072103</v>
      </c>
      <c r="AJ903" s="314">
        <f t="shared" si="252"/>
        <v>0</v>
      </c>
      <c r="AK903" s="317"/>
      <c r="AL903" s="315">
        <f t="shared" si="253"/>
        <v>-27.1400000000001</v>
      </c>
      <c r="AN903" s="554">
        <f t="shared" si="254"/>
        <v>-1.5758547008547067E-2</v>
      </c>
      <c r="AO903" s="314"/>
      <c r="AP903" s="318"/>
    </row>
    <row r="904" spans="2:42">
      <c r="B904" s="296" t="s">
        <v>1266</v>
      </c>
      <c r="C904" s="299" t="s">
        <v>277</v>
      </c>
      <c r="D904" s="298" t="s">
        <v>765</v>
      </c>
      <c r="E904" s="299" t="s">
        <v>113</v>
      </c>
      <c r="F904" s="299" t="s">
        <v>59</v>
      </c>
      <c r="G904" s="300">
        <v>44337</v>
      </c>
      <c r="H904" s="303">
        <v>6041.45</v>
      </c>
      <c r="I904" s="301" t="str">
        <f t="shared" si="238"/>
        <v>Ingresos Sección II LISR (SIC &amp; BMV)</v>
      </c>
      <c r="J904" s="302">
        <f t="shared" si="239"/>
        <v>16</v>
      </c>
      <c r="K904" s="304">
        <f t="shared" si="240"/>
        <v>377.59062499999999</v>
      </c>
      <c r="L904" s="305">
        <f>IF(H904=0,0,IF(OR(E904=$AT$5,E904=$AT$6),AA904,IF(F904="MXN",1/HLOOKUP(YEAR(G904)+(MONTH(G904)/100),TC!$5:$37,DAY(G904)+2,FALSE),VLOOKUP(F904,Equivalencia!$5:$23,((MAX(Equivalencia!$3:$3)-YEAR(G904))*14)+MONTH(G904)+2,FALSE))))</f>
        <v>1</v>
      </c>
      <c r="M904" s="306">
        <f t="shared" si="241"/>
        <v>6041.45</v>
      </c>
      <c r="N904" s="305">
        <f>IF(G904=0,0,(IF(OR(E904=$AT$5,E904=$AT$6),AC904,HLOOKUP(YEAR(G904)+(MONTH(G904)/100),TC!$5:$37,DAY(G904)+2,FALSE))))</f>
        <v>19.814299999999999</v>
      </c>
      <c r="O904" s="307">
        <f t="shared" si="242"/>
        <v>119707.10273499999</v>
      </c>
      <c r="P904" s="560">
        <f>IF(G904=0,0,VLOOKUP(YEAR(G904),INPC!$B$4:$P$30,MONTH(G904)+2))</f>
        <v>112.419</v>
      </c>
      <c r="Q904" s="560">
        <f>IF(X904=0,0,IF(OR(E904=$AT$10,E904=$AT$9),VLOOKUP(YEAR(X904),INPC!$B$4:$P$30,MONTH(X904)+1),VLOOKUP(YEAR(X904),INPC!$B$4:$P$30,MONTH(X904)+2,0)))</f>
        <v>122.94799999999999</v>
      </c>
      <c r="R904" s="309">
        <f t="shared" si="243"/>
        <v>1.0935999999999999</v>
      </c>
      <c r="S904" s="310">
        <f t="shared" si="244"/>
        <v>130911.68755099598</v>
      </c>
      <c r="T904" s="555">
        <f t="shared" si="245"/>
        <v>8181.9804719372487</v>
      </c>
      <c r="U904" s="311"/>
      <c r="V904" s="312">
        <v>16</v>
      </c>
      <c r="W904" s="299" t="s">
        <v>194</v>
      </c>
      <c r="X904" s="300">
        <v>44790</v>
      </c>
      <c r="Y904" s="299" t="s">
        <v>59</v>
      </c>
      <c r="Z904" s="303">
        <v>6208.9</v>
      </c>
      <c r="AA904" s="305">
        <f>IF(Z904=0,0,IF(Y904="MXN",1/HLOOKUP(YEAR(X904)+(MONTH(X904)/100),TC!$5:$37,DAY(X904)+2,FALSE),VLOOKUP(Y904,Equivalencia!$1:$23,((MAX(Equivalencia!$3:$3)-YEAR(X904))*14)+MONTH(X904)+2,FALSE)))</f>
        <v>1</v>
      </c>
      <c r="AB904" s="306">
        <f t="shared" si="246"/>
        <v>6208.9</v>
      </c>
      <c r="AC904" s="305">
        <f>+IF(X904=0,0,HLOOKUP(YEAR(X904)+(MONTH(X904)/100),TC!$5:$37,DAY(X904)+2,FALSE))</f>
        <v>19.861799999999999</v>
      </c>
      <c r="AD904" s="307">
        <f t="shared" si="247"/>
        <v>123319.93001999999</v>
      </c>
      <c r="AE904" s="314">
        <f t="shared" si="248"/>
        <v>130911.68755099598</v>
      </c>
      <c r="AF904" s="315">
        <f t="shared" si="249"/>
        <v>-7591.7575309959939</v>
      </c>
      <c r="AG904" s="316">
        <f t="shared" si="250"/>
        <v>1.2410958904109588</v>
      </c>
      <c r="AH904" s="314">
        <v>1</v>
      </c>
      <c r="AI904" s="314">
        <f t="shared" si="251"/>
        <v>-7591.7575309959939</v>
      </c>
      <c r="AJ904" s="314">
        <f t="shared" si="252"/>
        <v>0</v>
      </c>
      <c r="AK904" s="317"/>
      <c r="AL904" s="315">
        <f t="shared" si="253"/>
        <v>167.44999999999982</v>
      </c>
      <c r="AN904" s="554">
        <f t="shared" si="254"/>
        <v>2.771685605276876E-2</v>
      </c>
      <c r="AO904" s="314"/>
      <c r="AP904" s="318"/>
    </row>
    <row r="905" spans="2:42">
      <c r="B905" s="296" t="s">
        <v>1266</v>
      </c>
      <c r="C905" s="299" t="s">
        <v>277</v>
      </c>
      <c r="D905" s="298" t="s">
        <v>765</v>
      </c>
      <c r="E905" s="299" t="s">
        <v>113</v>
      </c>
      <c r="F905" s="299" t="s">
        <v>59</v>
      </c>
      <c r="G905" s="300">
        <v>44337</v>
      </c>
      <c r="H905" s="303">
        <v>7551.81</v>
      </c>
      <c r="I905" s="301" t="str">
        <f t="shared" si="238"/>
        <v>Ingresos Sección II LISR (SIC &amp; BMV)</v>
      </c>
      <c r="J905" s="302">
        <f t="shared" si="239"/>
        <v>20</v>
      </c>
      <c r="K905" s="304">
        <f t="shared" si="240"/>
        <v>377.59050000000002</v>
      </c>
      <c r="L905" s="305">
        <f>IF(H905=0,0,IF(OR(E905=$AT$5,E905=$AT$6),AA905,IF(F905="MXN",1/HLOOKUP(YEAR(G905)+(MONTH(G905)/100),TC!$5:$37,DAY(G905)+2,FALSE),VLOOKUP(F905,Equivalencia!$5:$23,((MAX(Equivalencia!$3:$3)-YEAR(G905))*14)+MONTH(G905)+2,FALSE))))</f>
        <v>1</v>
      </c>
      <c r="M905" s="306">
        <f t="shared" si="241"/>
        <v>7551.81</v>
      </c>
      <c r="N905" s="305">
        <f>IF(G905=0,0,(IF(OR(E905=$AT$5,E905=$AT$6),AC905,HLOOKUP(YEAR(G905)+(MONTH(G905)/100),TC!$5:$37,DAY(G905)+2,FALSE))))</f>
        <v>19.814299999999999</v>
      </c>
      <c r="O905" s="307">
        <f t="shared" si="242"/>
        <v>149633.82888300001</v>
      </c>
      <c r="P905" s="560">
        <f>IF(G905=0,0,VLOOKUP(YEAR(G905),INPC!$B$4:$P$30,MONTH(G905)+2))</f>
        <v>112.419</v>
      </c>
      <c r="Q905" s="560">
        <f>IF(X905=0,0,IF(OR(E905=$AT$10,E905=$AT$9),VLOOKUP(YEAR(X905),INPC!$B$4:$P$30,MONTH(X905)+1),VLOOKUP(YEAR(X905),INPC!$B$4:$P$30,MONTH(X905)+2,0)))</f>
        <v>122.94799999999999</v>
      </c>
      <c r="R905" s="309">
        <f t="shared" si="243"/>
        <v>1.0935999999999999</v>
      </c>
      <c r="S905" s="310">
        <f t="shared" si="244"/>
        <v>163639.55526644879</v>
      </c>
      <c r="T905" s="555">
        <f t="shared" si="245"/>
        <v>8181.9777633224394</v>
      </c>
      <c r="U905" s="311"/>
      <c r="V905" s="312">
        <v>20</v>
      </c>
      <c r="W905" s="299" t="s">
        <v>194</v>
      </c>
      <c r="X905" s="300">
        <v>44802</v>
      </c>
      <c r="Y905" s="299" t="s">
        <v>59</v>
      </c>
      <c r="Z905" s="303">
        <v>7273.77</v>
      </c>
      <c r="AA905" s="305">
        <f>IF(Z905=0,0,IF(Y905="MXN",1/HLOOKUP(YEAR(X905)+(MONTH(X905)/100),TC!$5:$37,DAY(X905)+2,FALSE),VLOOKUP(Y905,Equivalencia!$1:$23,((MAX(Equivalencia!$3:$3)-YEAR(X905))*14)+MONTH(X905)+2,FALSE)))</f>
        <v>1</v>
      </c>
      <c r="AB905" s="306">
        <f t="shared" si="246"/>
        <v>7273.77</v>
      </c>
      <c r="AC905" s="305">
        <f>+IF(X905=0,0,HLOOKUP(YEAR(X905)+(MONTH(X905)/100),TC!$5:$37,DAY(X905)+2,FALSE))</f>
        <v>19.9437</v>
      </c>
      <c r="AD905" s="307">
        <f t="shared" si="247"/>
        <v>145065.886749</v>
      </c>
      <c r="AE905" s="314">
        <f t="shared" si="248"/>
        <v>163639.55526644879</v>
      </c>
      <c r="AF905" s="315">
        <f t="shared" si="249"/>
        <v>-18573.668517448794</v>
      </c>
      <c r="AG905" s="316">
        <f t="shared" si="250"/>
        <v>1.273972602739726</v>
      </c>
      <c r="AH905" s="314">
        <v>1</v>
      </c>
      <c r="AI905" s="314">
        <f t="shared" si="251"/>
        <v>-18573.668517448794</v>
      </c>
      <c r="AJ905" s="314">
        <f t="shared" si="252"/>
        <v>0</v>
      </c>
      <c r="AK905" s="317"/>
      <c r="AL905" s="315">
        <f t="shared" si="253"/>
        <v>-278.03999999999996</v>
      </c>
      <c r="AN905" s="554">
        <f t="shared" si="254"/>
        <v>-3.6817663579989425E-2</v>
      </c>
      <c r="AO905" s="314"/>
      <c r="AP905" s="318"/>
    </row>
    <row r="906" spans="2:42">
      <c r="B906" s="296" t="s">
        <v>1266</v>
      </c>
      <c r="C906" s="299" t="s">
        <v>277</v>
      </c>
      <c r="D906" s="298" t="s">
        <v>979</v>
      </c>
      <c r="E906" s="299" t="s">
        <v>113</v>
      </c>
      <c r="F906" s="299" t="s">
        <v>59</v>
      </c>
      <c r="G906" s="300">
        <v>43962</v>
      </c>
      <c r="H906" s="303">
        <v>8863.58</v>
      </c>
      <c r="I906" s="301" t="str">
        <f t="shared" si="238"/>
        <v>Ingresos Sección II LISR (SIC &amp; BMV)</v>
      </c>
      <c r="J906" s="302">
        <f t="shared" si="239"/>
        <v>49</v>
      </c>
      <c r="K906" s="304">
        <f t="shared" si="240"/>
        <v>180.88938775510204</v>
      </c>
      <c r="L906" s="305">
        <f>IF(H906=0,0,IF(OR(E906=$AT$5,E906=$AT$6),AA906,IF(F906="MXN",1/HLOOKUP(YEAR(G906)+(MONTH(G906)/100),TC!$5:$37,DAY(G906)+2,FALSE),VLOOKUP(F906,Equivalencia!$5:$23,((MAX(Equivalencia!$3:$3)-YEAR(G906))*14)+MONTH(G906)+2,FALSE))))</f>
        <v>1</v>
      </c>
      <c r="M906" s="306">
        <f t="shared" si="241"/>
        <v>8863.58</v>
      </c>
      <c r="N906" s="305">
        <f>IF(G906=0,0,(IF(OR(E906=$AT$5,E906=$AT$6),AC906,HLOOKUP(YEAR(G906)+(MONTH(G906)/100),TC!$5:$37,DAY(G906)+2,FALSE))))</f>
        <v>24.0563</v>
      </c>
      <c r="O906" s="307">
        <f t="shared" si="242"/>
        <v>213224.93955400001</v>
      </c>
      <c r="P906" s="560">
        <f>IF(G906=0,0,VLOOKUP(YEAR(G906),INPC!$B$4:$P$30,MONTH(G906)+2))</f>
        <v>106.16200000000001</v>
      </c>
      <c r="Q906" s="560">
        <f>IF(X906=0,0,IF(OR(E906=$AT$10,E906=$AT$9),VLOOKUP(YEAR(X906),INPC!$B$4:$P$30,MONTH(X906)+1),VLOOKUP(YEAR(X906),INPC!$B$4:$P$30,MONTH(X906)+2,0)))</f>
        <v>122.94799999999999</v>
      </c>
      <c r="R906" s="309">
        <f t="shared" si="243"/>
        <v>1.1580999999999999</v>
      </c>
      <c r="S906" s="310">
        <f t="shared" si="244"/>
        <v>246935.8024974874</v>
      </c>
      <c r="T906" s="555">
        <f t="shared" si="245"/>
        <v>5039.5061734181099</v>
      </c>
      <c r="U906" s="311"/>
      <c r="V906" s="312">
        <v>49</v>
      </c>
      <c r="W906" s="299" t="s">
        <v>194</v>
      </c>
      <c r="X906" s="300">
        <v>44790</v>
      </c>
      <c r="Y906" s="299" t="s">
        <v>59</v>
      </c>
      <c r="Z906" s="303">
        <v>9206.4</v>
      </c>
      <c r="AA906" s="305">
        <f>IF(Z906=0,0,IF(Y906="MXN",1/HLOOKUP(YEAR(X906)+(MONTH(X906)/100),TC!$5:$37,DAY(X906)+2,FALSE),VLOOKUP(Y906,Equivalencia!$1:$23,((MAX(Equivalencia!$3:$3)-YEAR(X906))*14)+MONTH(X906)+2,FALSE)))</f>
        <v>1</v>
      </c>
      <c r="AB906" s="306">
        <f t="shared" si="246"/>
        <v>9206.4</v>
      </c>
      <c r="AC906" s="305">
        <f>+IF(X906=0,0,HLOOKUP(YEAR(X906)+(MONTH(X906)/100),TC!$5:$37,DAY(X906)+2,FALSE))</f>
        <v>19.861799999999999</v>
      </c>
      <c r="AD906" s="307">
        <f t="shared" si="247"/>
        <v>182855.67551999999</v>
      </c>
      <c r="AE906" s="314">
        <f t="shared" si="248"/>
        <v>246935.8024974874</v>
      </c>
      <c r="AF906" s="315">
        <f t="shared" si="249"/>
        <v>-64080.126977487409</v>
      </c>
      <c r="AG906" s="316">
        <f t="shared" si="250"/>
        <v>2.2684931506849315</v>
      </c>
      <c r="AH906" s="314">
        <v>1</v>
      </c>
      <c r="AI906" s="314">
        <f t="shared" si="251"/>
        <v>-64080.126977487409</v>
      </c>
      <c r="AJ906" s="314">
        <f t="shared" si="252"/>
        <v>0</v>
      </c>
      <c r="AK906" s="317"/>
      <c r="AL906" s="315">
        <f t="shared" si="253"/>
        <v>342.81999999999971</v>
      </c>
      <c r="AN906" s="554">
        <f t="shared" si="254"/>
        <v>3.8677374153558687E-2</v>
      </c>
      <c r="AO906" s="314"/>
      <c r="AP906" s="318"/>
    </row>
    <row r="907" spans="2:42">
      <c r="B907" s="296" t="s">
        <v>1266</v>
      </c>
      <c r="C907" s="299" t="s">
        <v>277</v>
      </c>
      <c r="D907" s="298" t="s">
        <v>769</v>
      </c>
      <c r="E907" s="299" t="s">
        <v>113</v>
      </c>
      <c r="F907" s="299" t="s">
        <v>59</v>
      </c>
      <c r="G907" s="300">
        <v>43962</v>
      </c>
      <c r="H907" s="303">
        <v>4280.8100000000004</v>
      </c>
      <c r="I907" s="301" t="str">
        <f t="shared" si="238"/>
        <v>Ingresos Sección II LISR (SIC &amp; BMV)</v>
      </c>
      <c r="J907" s="302">
        <f t="shared" si="239"/>
        <v>23</v>
      </c>
      <c r="K907" s="304">
        <f t="shared" si="240"/>
        <v>186.1221739130435</v>
      </c>
      <c r="L907" s="305">
        <f>IF(H907=0,0,IF(OR(E907=$AT$5,E907=$AT$6),AA907,IF(F907="MXN",1/HLOOKUP(YEAR(G907)+(MONTH(G907)/100),TC!$5:$37,DAY(G907)+2,FALSE),VLOOKUP(F907,Equivalencia!$5:$23,((MAX(Equivalencia!$3:$3)-YEAR(G907))*14)+MONTH(G907)+2,FALSE))))</f>
        <v>1</v>
      </c>
      <c r="M907" s="306">
        <f t="shared" si="241"/>
        <v>4280.8100000000004</v>
      </c>
      <c r="N907" s="305">
        <f>IF(G907=0,0,(IF(OR(E907=$AT$5,E907=$AT$6),AC907,HLOOKUP(YEAR(G907)+(MONTH(G907)/100),TC!$5:$37,DAY(G907)+2,FALSE))))</f>
        <v>24.0563</v>
      </c>
      <c r="O907" s="307">
        <f t="shared" si="242"/>
        <v>102980.44960300002</v>
      </c>
      <c r="P907" s="560">
        <f>IF(G907=0,0,VLOOKUP(YEAR(G907),INPC!$B$4:$P$30,MONTH(G907)+2))</f>
        <v>106.16200000000001</v>
      </c>
      <c r="Q907" s="560">
        <f>IF(X907=0,0,IF(OR(E907=$AT$10,E907=$AT$9),VLOOKUP(YEAR(X907),INPC!$B$4:$P$30,MONTH(X907)+1),VLOOKUP(YEAR(X907),INPC!$B$4:$P$30,MONTH(X907)+2,0)))</f>
        <v>122.94799999999999</v>
      </c>
      <c r="R907" s="309">
        <f t="shared" si="243"/>
        <v>1.1580999999999999</v>
      </c>
      <c r="S907" s="310">
        <f t="shared" si="244"/>
        <v>119261.6586852343</v>
      </c>
      <c r="T907" s="555">
        <f t="shared" si="245"/>
        <v>5185.2895080536655</v>
      </c>
      <c r="U907" s="311"/>
      <c r="V907" s="312">
        <v>23</v>
      </c>
      <c r="W907" s="299" t="s">
        <v>194</v>
      </c>
      <c r="X907" s="300">
        <v>44790</v>
      </c>
      <c r="Y907" s="299" t="s">
        <v>59</v>
      </c>
      <c r="Z907" s="303">
        <v>5813.35</v>
      </c>
      <c r="AA907" s="305">
        <f>IF(Z907=0,0,IF(Y907="MXN",1/HLOOKUP(YEAR(X907)+(MONTH(X907)/100),TC!$5:$37,DAY(X907)+2,FALSE),VLOOKUP(Y907,Equivalencia!$1:$23,((MAX(Equivalencia!$3:$3)-YEAR(X907))*14)+MONTH(X907)+2,FALSE)))</f>
        <v>1</v>
      </c>
      <c r="AB907" s="306">
        <f t="shared" si="246"/>
        <v>5813.35</v>
      </c>
      <c r="AC907" s="305">
        <f>+IF(X907=0,0,HLOOKUP(YEAR(X907)+(MONTH(X907)/100),TC!$5:$37,DAY(X907)+2,FALSE))</f>
        <v>19.861799999999999</v>
      </c>
      <c r="AD907" s="307">
        <f t="shared" si="247"/>
        <v>115463.59503</v>
      </c>
      <c r="AE907" s="314">
        <f t="shared" si="248"/>
        <v>119261.6586852343</v>
      </c>
      <c r="AF907" s="315">
        <f t="shared" si="249"/>
        <v>-3798.0636552343058</v>
      </c>
      <c r="AG907" s="316">
        <f t="shared" si="250"/>
        <v>2.2684931506849315</v>
      </c>
      <c r="AH907" s="314">
        <v>1</v>
      </c>
      <c r="AI907" s="314">
        <f t="shared" si="251"/>
        <v>-3798.0636552343058</v>
      </c>
      <c r="AJ907" s="314">
        <f t="shared" si="252"/>
        <v>0</v>
      </c>
      <c r="AK907" s="317"/>
      <c r="AL907" s="315">
        <f t="shared" si="253"/>
        <v>1532.54</v>
      </c>
      <c r="AN907" s="554">
        <f t="shared" si="254"/>
        <v>0.35800234067851638</v>
      </c>
      <c r="AO907" s="314"/>
      <c r="AP907" s="318"/>
    </row>
    <row r="908" spans="2:42">
      <c r="B908" s="296" t="s">
        <v>1266</v>
      </c>
      <c r="C908" s="299" t="s">
        <v>277</v>
      </c>
      <c r="D908" s="298" t="s">
        <v>980</v>
      </c>
      <c r="E908" s="299" t="s">
        <v>113</v>
      </c>
      <c r="F908" s="299" t="s">
        <v>59</v>
      </c>
      <c r="G908" s="300">
        <v>44720</v>
      </c>
      <c r="H908" s="303">
        <v>10608.22</v>
      </c>
      <c r="I908" s="301" t="str">
        <f t="shared" si="238"/>
        <v>Ingresos Sección II LISR (SIC &amp; BMV)</v>
      </c>
      <c r="J908" s="302">
        <f t="shared" si="239"/>
        <v>83</v>
      </c>
      <c r="K908" s="304">
        <f t="shared" si="240"/>
        <v>127.80987951807228</v>
      </c>
      <c r="L908" s="305">
        <f>IF(H908=0,0,IF(OR(E908=$AT$5,E908=$AT$6),AA908,IF(F908="MXN",1/HLOOKUP(YEAR(G908)+(MONTH(G908)/100),TC!$5:$37,DAY(G908)+2,FALSE),VLOOKUP(F908,Equivalencia!$5:$23,((MAX(Equivalencia!$3:$3)-YEAR(G908))*14)+MONTH(G908)+2,FALSE))))</f>
        <v>1</v>
      </c>
      <c r="M908" s="306">
        <f t="shared" si="241"/>
        <v>10608.22</v>
      </c>
      <c r="N908" s="305">
        <f>IF(G908=0,0,(IF(OR(E908=$AT$5,E908=$AT$6),AC908,HLOOKUP(YEAR(G908)+(MONTH(G908)/100),TC!$5:$37,DAY(G908)+2,FALSE))))</f>
        <v>19.5547</v>
      </c>
      <c r="O908" s="307">
        <f t="shared" si="242"/>
        <v>207440.559634</v>
      </c>
      <c r="P908" s="560">
        <f>IF(G908=0,0,VLOOKUP(YEAR(G908),INPC!$B$4:$P$30,MONTH(G908)+2))</f>
        <v>122.044</v>
      </c>
      <c r="Q908" s="560">
        <f>IF(X908=0,0,IF(OR(E908=$AT$10,E908=$AT$9),VLOOKUP(YEAR(X908),INPC!$B$4:$P$30,MONTH(X908)+1),VLOOKUP(YEAR(X908),INPC!$B$4:$P$30,MONTH(X908)+2,0)))</f>
        <v>122.94799999999999</v>
      </c>
      <c r="R908" s="309">
        <f t="shared" si="243"/>
        <v>1.0074000000000001</v>
      </c>
      <c r="S908" s="310">
        <f t="shared" si="244"/>
        <v>208975.61977529162</v>
      </c>
      <c r="T908" s="555">
        <f t="shared" si="245"/>
        <v>2517.7785515095375</v>
      </c>
      <c r="U908" s="311"/>
      <c r="V908" s="312">
        <v>83</v>
      </c>
      <c r="W908" s="299" t="s">
        <v>194</v>
      </c>
      <c r="X908" s="300">
        <v>44790</v>
      </c>
      <c r="Y908" s="299" t="s">
        <v>59</v>
      </c>
      <c r="Z908" s="303">
        <v>11552.82</v>
      </c>
      <c r="AA908" s="305">
        <f>IF(Z908=0,0,IF(Y908="MXN",1/HLOOKUP(YEAR(X908)+(MONTH(X908)/100),TC!$5:$37,DAY(X908)+2,FALSE),VLOOKUP(Y908,Equivalencia!$1:$23,((MAX(Equivalencia!$3:$3)-YEAR(X908))*14)+MONTH(X908)+2,FALSE)))</f>
        <v>1</v>
      </c>
      <c r="AB908" s="306">
        <f t="shared" si="246"/>
        <v>11552.82</v>
      </c>
      <c r="AC908" s="305">
        <f>+IF(X908=0,0,HLOOKUP(YEAR(X908)+(MONTH(X908)/100),TC!$5:$37,DAY(X908)+2,FALSE))</f>
        <v>19.861799999999999</v>
      </c>
      <c r="AD908" s="307">
        <f t="shared" si="247"/>
        <v>229459.80027599999</v>
      </c>
      <c r="AE908" s="314">
        <f t="shared" si="248"/>
        <v>208975.61977529162</v>
      </c>
      <c r="AF908" s="315">
        <f t="shared" si="249"/>
        <v>20484.180500708375</v>
      </c>
      <c r="AG908" s="316">
        <f t="shared" si="250"/>
        <v>0.19178082191780821</v>
      </c>
      <c r="AH908" s="314">
        <v>1</v>
      </c>
      <c r="AI908" s="314">
        <f t="shared" si="251"/>
        <v>20484.180500708375</v>
      </c>
      <c r="AJ908" s="314">
        <f t="shared" si="252"/>
        <v>0</v>
      </c>
      <c r="AK908" s="317"/>
      <c r="AL908" s="315">
        <f t="shared" si="253"/>
        <v>944.60000000000036</v>
      </c>
      <c r="AN908" s="554">
        <f t="shared" si="254"/>
        <v>8.9044156324058182E-2</v>
      </c>
      <c r="AO908" s="314"/>
      <c r="AP908" s="318"/>
    </row>
    <row r="909" spans="2:42">
      <c r="B909" s="296" t="s">
        <v>1266</v>
      </c>
      <c r="C909" s="299" t="s">
        <v>277</v>
      </c>
      <c r="D909" s="298" t="s">
        <v>749</v>
      </c>
      <c r="E909" s="299" t="s">
        <v>113</v>
      </c>
      <c r="F909" s="299" t="s">
        <v>59</v>
      </c>
      <c r="G909" s="300">
        <v>44264</v>
      </c>
      <c r="H909" s="303">
        <v>7472.13</v>
      </c>
      <c r="I909" s="301" t="str">
        <f t="shared" si="238"/>
        <v>Ingresos Sección II LISR (SIC &amp; BMV)</v>
      </c>
      <c r="J909" s="302">
        <f t="shared" si="239"/>
        <v>44</v>
      </c>
      <c r="K909" s="304">
        <f t="shared" si="240"/>
        <v>169.82113636363636</v>
      </c>
      <c r="L909" s="305">
        <f>IF(H909=0,0,IF(OR(E909=$AT$5,E909=$AT$6),AA909,IF(F909="MXN",1/HLOOKUP(YEAR(G909)+(MONTH(G909)/100),TC!$5:$37,DAY(G909)+2,FALSE),VLOOKUP(F909,Equivalencia!$5:$23,((MAX(Equivalencia!$3:$3)-YEAR(G909))*14)+MONTH(G909)+2,FALSE))))</f>
        <v>1</v>
      </c>
      <c r="M909" s="306">
        <f t="shared" si="241"/>
        <v>7472.13</v>
      </c>
      <c r="N909" s="305">
        <f>IF(G909=0,0,(IF(OR(E909=$AT$5,E909=$AT$6),AC909,HLOOKUP(YEAR(G909)+(MONTH(G909)/100),TC!$5:$37,DAY(G909)+2,FALSE))))</f>
        <v>21.263500000000001</v>
      </c>
      <c r="O909" s="307">
        <f t="shared" si="242"/>
        <v>158883.63625500002</v>
      </c>
      <c r="P909" s="560">
        <f>IF(G909=0,0,VLOOKUP(YEAR(G909),INPC!$B$4:$P$30,MONTH(G909)+2))</f>
        <v>111.824</v>
      </c>
      <c r="Q909" s="560">
        <f>IF(X909=0,0,IF(OR(E909=$AT$10,E909=$AT$9),VLOOKUP(YEAR(X909),INPC!$B$4:$P$30,MONTH(X909)+1),VLOOKUP(YEAR(X909),INPC!$B$4:$P$30,MONTH(X909)+2,0)))</f>
        <v>122.94799999999999</v>
      </c>
      <c r="R909" s="309">
        <f t="shared" si="243"/>
        <v>1.0993999999999999</v>
      </c>
      <c r="S909" s="310">
        <f t="shared" si="244"/>
        <v>174676.66969874702</v>
      </c>
      <c r="T909" s="555">
        <f t="shared" si="245"/>
        <v>3969.9243113351595</v>
      </c>
      <c r="U909" s="311"/>
      <c r="V909" s="312">
        <v>44</v>
      </c>
      <c r="W909" s="299" t="s">
        <v>194</v>
      </c>
      <c r="X909" s="300">
        <v>44790</v>
      </c>
      <c r="Y909" s="299" t="s">
        <v>59</v>
      </c>
      <c r="Z909" s="303">
        <v>7800.36</v>
      </c>
      <c r="AA909" s="305">
        <f>IF(Z909=0,0,IF(Y909="MXN",1/HLOOKUP(YEAR(X909)+(MONTH(X909)/100),TC!$5:$37,DAY(X909)+2,FALSE),VLOOKUP(Y909,Equivalencia!$1:$23,((MAX(Equivalencia!$3:$3)-YEAR(X909))*14)+MONTH(X909)+2,FALSE)))</f>
        <v>1</v>
      </c>
      <c r="AB909" s="306">
        <f t="shared" si="246"/>
        <v>7800.36</v>
      </c>
      <c r="AC909" s="305">
        <f>+IF(X909=0,0,HLOOKUP(YEAR(X909)+(MONTH(X909)/100),TC!$5:$37,DAY(X909)+2,FALSE))</f>
        <v>19.861799999999999</v>
      </c>
      <c r="AD909" s="307">
        <f t="shared" si="247"/>
        <v>154929.19024799997</v>
      </c>
      <c r="AE909" s="314">
        <f t="shared" si="248"/>
        <v>174676.66969874702</v>
      </c>
      <c r="AF909" s="315">
        <f t="shared" si="249"/>
        <v>-19747.479450747051</v>
      </c>
      <c r="AG909" s="316">
        <f t="shared" si="250"/>
        <v>1.441095890410959</v>
      </c>
      <c r="AH909" s="314">
        <v>1</v>
      </c>
      <c r="AI909" s="314">
        <f t="shared" si="251"/>
        <v>-19747.479450747051</v>
      </c>
      <c r="AJ909" s="314">
        <f t="shared" si="252"/>
        <v>0</v>
      </c>
      <c r="AK909" s="317"/>
      <c r="AL909" s="315">
        <f t="shared" si="253"/>
        <v>328.22999999999956</v>
      </c>
      <c r="AN909" s="554">
        <f t="shared" si="254"/>
        <v>4.3927233600057757E-2</v>
      </c>
      <c r="AO909" s="314"/>
      <c r="AP909" s="318"/>
    </row>
    <row r="910" spans="2:42">
      <c r="B910" s="296" t="s">
        <v>1266</v>
      </c>
      <c r="C910" s="299" t="s">
        <v>277</v>
      </c>
      <c r="D910" s="298" t="s">
        <v>836</v>
      </c>
      <c r="E910" s="299" t="s">
        <v>113</v>
      </c>
      <c r="F910" s="299" t="s">
        <v>59</v>
      </c>
      <c r="G910" s="300">
        <v>43315</v>
      </c>
      <c r="H910" s="303">
        <v>5283.23</v>
      </c>
      <c r="I910" s="301" t="str">
        <f t="shared" si="238"/>
        <v>Ingresos Sección II LISR (SIC &amp; BMV)</v>
      </c>
      <c r="J910" s="302">
        <f t="shared" si="239"/>
        <v>109</v>
      </c>
      <c r="K910" s="304">
        <f t="shared" si="240"/>
        <v>48.47</v>
      </c>
      <c r="L910" s="305">
        <f>IF(H910=0,0,IF(OR(E910=$AT$5,E910=$AT$6),AA910,IF(F910="MXN",1/HLOOKUP(YEAR(G910)+(MONTH(G910)/100),TC!$5:$37,DAY(G910)+2,FALSE),VLOOKUP(F910,Equivalencia!$5:$23,((MAX(Equivalencia!$3:$3)-YEAR(G910))*14)+MONTH(G910)+2,FALSE))))</f>
        <v>1</v>
      </c>
      <c r="M910" s="306">
        <f t="shared" si="241"/>
        <v>5283.23</v>
      </c>
      <c r="N910" s="305">
        <f>IF(G910=0,0,(IF(OR(E910=$AT$5,E910=$AT$6),AC910,HLOOKUP(YEAR(G910)+(MONTH(G910)/100),TC!$5:$37,DAY(G910)+2,FALSE))))</f>
        <v>18.5899</v>
      </c>
      <c r="O910" s="307">
        <f t="shared" si="242"/>
        <v>98214.717376999994</v>
      </c>
      <c r="P910" s="560">
        <f>IF(G910=0,0,VLOOKUP(YEAR(G910),INPC!$B$4:$P$30,MONTH(G910)+2))</f>
        <v>100.492</v>
      </c>
      <c r="Q910" s="560">
        <f>IF(X910=0,0,IF(OR(E910=$AT$10,E910=$AT$9),VLOOKUP(YEAR(X910),INPC!$B$4:$P$30,MONTH(X910)+1),VLOOKUP(YEAR(X910),INPC!$B$4:$P$30,MONTH(X910)+2,0)))</f>
        <v>122.044</v>
      </c>
      <c r="R910" s="309">
        <f t="shared" si="243"/>
        <v>1.2143999999999999</v>
      </c>
      <c r="S910" s="310">
        <f t="shared" si="244"/>
        <v>119271.95278262878</v>
      </c>
      <c r="T910" s="555">
        <f t="shared" si="245"/>
        <v>1094.2380989231999</v>
      </c>
      <c r="U910" s="311"/>
      <c r="V910" s="312">
        <v>109</v>
      </c>
      <c r="W910" s="299" t="s">
        <v>194</v>
      </c>
      <c r="X910" s="300">
        <v>44771</v>
      </c>
      <c r="Y910" s="299" t="s">
        <v>59</v>
      </c>
      <c r="Z910" s="303">
        <v>6630.3</v>
      </c>
      <c r="AA910" s="305">
        <f>IF(Z910=0,0,IF(Y910="MXN",1/HLOOKUP(YEAR(X910)+(MONTH(X910)/100),TC!$5:$37,DAY(X910)+2,FALSE),VLOOKUP(Y910,Equivalencia!$1:$23,((MAX(Equivalencia!$3:$3)-YEAR(X910))*14)+MONTH(X910)+2,FALSE)))</f>
        <v>1</v>
      </c>
      <c r="AB910" s="306">
        <f t="shared" si="246"/>
        <v>6630.3</v>
      </c>
      <c r="AC910" s="305">
        <f>+IF(X910=0,0,HLOOKUP(YEAR(X910)+(MONTH(X910)/100),TC!$5:$37,DAY(X910)+2,FALSE))</f>
        <v>20.512</v>
      </c>
      <c r="AD910" s="307">
        <f t="shared" si="247"/>
        <v>136000.71360000002</v>
      </c>
      <c r="AE910" s="314">
        <f t="shared" si="248"/>
        <v>119271.9527826288</v>
      </c>
      <c r="AF910" s="315">
        <f t="shared" si="249"/>
        <v>16728.760817371221</v>
      </c>
      <c r="AG910" s="316">
        <f t="shared" si="250"/>
        <v>3.989041095890411</v>
      </c>
      <c r="AH910" s="314">
        <v>1</v>
      </c>
      <c r="AI910" s="314">
        <f t="shared" si="251"/>
        <v>16728.760817371221</v>
      </c>
      <c r="AJ910" s="314">
        <f t="shared" si="252"/>
        <v>0</v>
      </c>
      <c r="AK910" s="317"/>
      <c r="AL910" s="315">
        <f t="shared" si="253"/>
        <v>1347.0700000000006</v>
      </c>
      <c r="AN910" s="554">
        <f t="shared" si="254"/>
        <v>0.25497091741226496</v>
      </c>
      <c r="AO910" s="314"/>
      <c r="AP910" s="318"/>
    </row>
    <row r="911" spans="2:42">
      <c r="B911" s="296" t="s">
        <v>1266</v>
      </c>
      <c r="C911" s="299" t="s">
        <v>277</v>
      </c>
      <c r="D911" s="298" t="s">
        <v>836</v>
      </c>
      <c r="E911" s="299" t="s">
        <v>113</v>
      </c>
      <c r="F911" s="299" t="s">
        <v>59</v>
      </c>
      <c r="G911" s="300">
        <v>43315</v>
      </c>
      <c r="H911" s="303">
        <v>4604.6499999999996</v>
      </c>
      <c r="I911" s="301" t="str">
        <f t="shared" si="238"/>
        <v>Ingresos Sección II LISR (SIC &amp; BMV)</v>
      </c>
      <c r="J911" s="302">
        <f t="shared" si="239"/>
        <v>95</v>
      </c>
      <c r="K911" s="304">
        <f t="shared" si="240"/>
        <v>48.47</v>
      </c>
      <c r="L911" s="305">
        <f>IF(H911=0,0,IF(OR(E911=$AT$5,E911=$AT$6),AA911,IF(F911="MXN",1/HLOOKUP(YEAR(G911)+(MONTH(G911)/100),TC!$5:$37,DAY(G911)+2,FALSE),VLOOKUP(F911,Equivalencia!$5:$23,((MAX(Equivalencia!$3:$3)-YEAR(G911))*14)+MONTH(G911)+2,FALSE))))</f>
        <v>1</v>
      </c>
      <c r="M911" s="306">
        <f t="shared" si="241"/>
        <v>4604.6499999999996</v>
      </c>
      <c r="N911" s="305">
        <f>IF(G911=0,0,(IF(OR(E911=$AT$5,E911=$AT$6),AC911,HLOOKUP(YEAR(G911)+(MONTH(G911)/100),TC!$5:$37,DAY(G911)+2,FALSE))))</f>
        <v>18.5899</v>
      </c>
      <c r="O911" s="307">
        <f t="shared" si="242"/>
        <v>85599.983034999997</v>
      </c>
      <c r="P911" s="560">
        <f>IF(G911=0,0,VLOOKUP(YEAR(G911),INPC!$B$4:$P$30,MONTH(G911)+2))</f>
        <v>100.492</v>
      </c>
      <c r="Q911" s="560">
        <f>IF(X911=0,0,IF(OR(E911=$AT$10,E911=$AT$9),VLOOKUP(YEAR(X911),INPC!$B$4:$P$30,MONTH(X911)+1),VLOOKUP(YEAR(X911),INPC!$B$4:$P$30,MONTH(X911)+2,0)))</f>
        <v>122.94799999999999</v>
      </c>
      <c r="R911" s="309">
        <f t="shared" si="243"/>
        <v>1.2234</v>
      </c>
      <c r="S911" s="310">
        <f t="shared" si="244"/>
        <v>104723.01924501899</v>
      </c>
      <c r="T911" s="555">
        <f t="shared" si="245"/>
        <v>1102.3475710001999</v>
      </c>
      <c r="U911" s="311"/>
      <c r="V911" s="312">
        <v>95</v>
      </c>
      <c r="W911" s="299" t="s">
        <v>194</v>
      </c>
      <c r="X911" s="300">
        <v>44774</v>
      </c>
      <c r="Y911" s="299" t="s">
        <v>59</v>
      </c>
      <c r="Z911" s="303">
        <v>5908.17</v>
      </c>
      <c r="AA911" s="305">
        <f>IF(Z911=0,0,IF(Y911="MXN",1/HLOOKUP(YEAR(X911)+(MONTH(X911)/100),TC!$5:$37,DAY(X911)+2,FALSE),VLOOKUP(Y911,Equivalencia!$1:$23,((MAX(Equivalencia!$3:$3)-YEAR(X911))*14)+MONTH(X911)+2,FALSE)))</f>
        <v>1</v>
      </c>
      <c r="AB911" s="306">
        <f t="shared" si="246"/>
        <v>5908.17</v>
      </c>
      <c r="AC911" s="305">
        <f>+IF(X911=0,0,HLOOKUP(YEAR(X911)+(MONTH(X911)/100),TC!$5:$37,DAY(X911)+2,FALSE))</f>
        <v>20.377800000000001</v>
      </c>
      <c r="AD911" s="307">
        <f t="shared" si="247"/>
        <v>120395.506626</v>
      </c>
      <c r="AE911" s="314">
        <f t="shared" si="248"/>
        <v>104723.01924501899</v>
      </c>
      <c r="AF911" s="315">
        <f t="shared" si="249"/>
        <v>15672.487380981009</v>
      </c>
      <c r="AG911" s="316">
        <f t="shared" si="250"/>
        <v>3.9972602739726026</v>
      </c>
      <c r="AH911" s="314">
        <v>1</v>
      </c>
      <c r="AI911" s="314">
        <f t="shared" si="251"/>
        <v>15672.487380981009</v>
      </c>
      <c r="AJ911" s="314">
        <f t="shared" si="252"/>
        <v>0</v>
      </c>
      <c r="AK911" s="317"/>
      <c r="AL911" s="315">
        <f t="shared" si="253"/>
        <v>1303.5200000000004</v>
      </c>
      <c r="AN911" s="554">
        <f t="shared" si="254"/>
        <v>0.28308774825448202</v>
      </c>
      <c r="AO911" s="314"/>
      <c r="AP911" s="318"/>
    </row>
    <row r="912" spans="2:42">
      <c r="B912" s="296" t="s">
        <v>1266</v>
      </c>
      <c r="C912" s="299" t="s">
        <v>277</v>
      </c>
      <c r="D912" s="298" t="s">
        <v>836</v>
      </c>
      <c r="E912" s="299" t="s">
        <v>113</v>
      </c>
      <c r="F912" s="299" t="s">
        <v>59</v>
      </c>
      <c r="G912" s="300">
        <v>43315</v>
      </c>
      <c r="H912" s="303">
        <v>4410.7700000000004</v>
      </c>
      <c r="I912" s="301" t="str">
        <f t="shared" si="238"/>
        <v>Ingresos Sección II LISR (SIC &amp; BMV)</v>
      </c>
      <c r="J912" s="302">
        <f t="shared" si="239"/>
        <v>91</v>
      </c>
      <c r="K912" s="304">
        <f t="shared" si="240"/>
        <v>48.470000000000006</v>
      </c>
      <c r="L912" s="305">
        <f>IF(H912=0,0,IF(OR(E912=$AT$5,E912=$AT$6),AA912,IF(F912="MXN",1/HLOOKUP(YEAR(G912)+(MONTH(G912)/100),TC!$5:$37,DAY(G912)+2,FALSE),VLOOKUP(F912,Equivalencia!$5:$23,((MAX(Equivalencia!$3:$3)-YEAR(G912))*14)+MONTH(G912)+2,FALSE))))</f>
        <v>1</v>
      </c>
      <c r="M912" s="306">
        <f t="shared" si="241"/>
        <v>4410.7700000000004</v>
      </c>
      <c r="N912" s="305">
        <f>IF(G912=0,0,(IF(OR(E912=$AT$5,E912=$AT$6),AC912,HLOOKUP(YEAR(G912)+(MONTH(G912)/100),TC!$5:$37,DAY(G912)+2,FALSE))))</f>
        <v>18.5899</v>
      </c>
      <c r="O912" s="307">
        <f t="shared" si="242"/>
        <v>81995.773223000011</v>
      </c>
      <c r="P912" s="560">
        <f>IF(G912=0,0,VLOOKUP(YEAR(G912),INPC!$B$4:$P$30,MONTH(G912)+2))</f>
        <v>100.492</v>
      </c>
      <c r="Q912" s="560">
        <f>IF(X912=0,0,IF(OR(E912=$AT$10,E912=$AT$9),VLOOKUP(YEAR(X912),INPC!$B$4:$P$30,MONTH(X912)+1),VLOOKUP(YEAR(X912),INPC!$B$4:$P$30,MONTH(X912)+2,0)))</f>
        <v>122.94799999999999</v>
      </c>
      <c r="R912" s="309">
        <f t="shared" si="243"/>
        <v>1.2234</v>
      </c>
      <c r="S912" s="310">
        <f t="shared" si="244"/>
        <v>100313.62896101821</v>
      </c>
      <c r="T912" s="555">
        <f t="shared" si="245"/>
        <v>1102.3475710002001</v>
      </c>
      <c r="U912" s="311"/>
      <c r="V912" s="312">
        <v>91</v>
      </c>
      <c r="W912" s="299" t="s">
        <v>194</v>
      </c>
      <c r="X912" s="300">
        <v>44790</v>
      </c>
      <c r="Y912" s="299" t="s">
        <v>59</v>
      </c>
      <c r="Z912" s="303">
        <v>6240.64</v>
      </c>
      <c r="AA912" s="305">
        <f>IF(Z912=0,0,IF(Y912="MXN",1/HLOOKUP(YEAR(X912)+(MONTH(X912)/100),TC!$5:$37,DAY(X912)+2,FALSE),VLOOKUP(Y912,Equivalencia!$1:$23,((MAX(Equivalencia!$3:$3)-YEAR(X912))*14)+MONTH(X912)+2,FALSE)))</f>
        <v>1</v>
      </c>
      <c r="AB912" s="306">
        <f t="shared" si="246"/>
        <v>6240.64</v>
      </c>
      <c r="AC912" s="305">
        <f>+IF(X912=0,0,HLOOKUP(YEAR(X912)+(MONTH(X912)/100),TC!$5:$37,DAY(X912)+2,FALSE))</f>
        <v>19.861799999999999</v>
      </c>
      <c r="AD912" s="307">
        <f t="shared" si="247"/>
        <v>123950.34355200001</v>
      </c>
      <c r="AE912" s="314">
        <f t="shared" si="248"/>
        <v>100313.62896101821</v>
      </c>
      <c r="AF912" s="315">
        <f t="shared" si="249"/>
        <v>23636.714590981792</v>
      </c>
      <c r="AG912" s="316">
        <f t="shared" si="250"/>
        <v>4.0410958904109586</v>
      </c>
      <c r="AH912" s="314">
        <v>1</v>
      </c>
      <c r="AI912" s="314">
        <f t="shared" si="251"/>
        <v>23636.714590981792</v>
      </c>
      <c r="AJ912" s="314">
        <f t="shared" si="252"/>
        <v>0</v>
      </c>
      <c r="AK912" s="317"/>
      <c r="AL912" s="315">
        <f t="shared" si="253"/>
        <v>1829.87</v>
      </c>
      <c r="AN912" s="554">
        <f t="shared" si="254"/>
        <v>0.41486407135262088</v>
      </c>
      <c r="AO912" s="314"/>
      <c r="AP912" s="318"/>
    </row>
    <row r="913" spans="2:42">
      <c r="B913" s="296" t="s">
        <v>1266</v>
      </c>
      <c r="C913" s="299" t="s">
        <v>277</v>
      </c>
      <c r="D913" s="298" t="s">
        <v>787</v>
      </c>
      <c r="E913" s="299" t="s">
        <v>113</v>
      </c>
      <c r="F913" s="299" t="s">
        <v>59</v>
      </c>
      <c r="G913" s="300">
        <v>44314</v>
      </c>
      <c r="H913" s="303">
        <v>6793.92</v>
      </c>
      <c r="I913" s="301" t="str">
        <f t="shared" si="238"/>
        <v>Ingresos Sección II LISR (SIC &amp; BMV)</v>
      </c>
      <c r="J913" s="302">
        <f t="shared" si="239"/>
        <v>30</v>
      </c>
      <c r="K913" s="304">
        <f t="shared" si="240"/>
        <v>226.464</v>
      </c>
      <c r="L913" s="305">
        <f>IF(H913=0,0,IF(OR(E913=$AT$5,E913=$AT$6),AA913,IF(F913="MXN",1/HLOOKUP(YEAR(G913)+(MONTH(G913)/100),TC!$5:$37,DAY(G913)+2,FALSE),VLOOKUP(F913,Equivalencia!$5:$23,((MAX(Equivalencia!$3:$3)-YEAR(G913))*14)+MONTH(G913)+2,FALSE))))</f>
        <v>1</v>
      </c>
      <c r="M913" s="306">
        <f t="shared" si="241"/>
        <v>6793.92</v>
      </c>
      <c r="N913" s="305">
        <f>IF(G913=0,0,(IF(OR(E913=$AT$5,E913=$AT$6),AC913,HLOOKUP(YEAR(G913)+(MONTH(G913)/100),TC!$5:$37,DAY(G913)+2,FALSE))))</f>
        <v>19.836200000000002</v>
      </c>
      <c r="O913" s="307">
        <f t="shared" si="242"/>
        <v>134765.55590400001</v>
      </c>
      <c r="P913" s="560">
        <f>IF(G913=0,0,VLOOKUP(YEAR(G913),INPC!$B$4:$P$30,MONTH(G913)+2))</f>
        <v>112.19</v>
      </c>
      <c r="Q913" s="560">
        <f>IF(X913=0,0,IF(OR(E913=$AT$10,E913=$AT$9),VLOOKUP(YEAR(X913),INPC!$B$4:$P$30,MONTH(X913)+1),VLOOKUP(YEAR(X913),INPC!$B$4:$P$30,MONTH(X913)+2,0)))</f>
        <v>122.94799999999999</v>
      </c>
      <c r="R913" s="309">
        <f t="shared" si="243"/>
        <v>1.0958000000000001</v>
      </c>
      <c r="S913" s="310">
        <f t="shared" si="244"/>
        <v>147676.09615960321</v>
      </c>
      <c r="T913" s="555">
        <f t="shared" si="245"/>
        <v>4922.5365386534404</v>
      </c>
      <c r="U913" s="311"/>
      <c r="V913" s="312">
        <v>30</v>
      </c>
      <c r="W913" s="299" t="s">
        <v>194</v>
      </c>
      <c r="X913" s="300">
        <v>44790</v>
      </c>
      <c r="Y913" s="299" t="s">
        <v>59</v>
      </c>
      <c r="Z913" s="303">
        <v>7224.82</v>
      </c>
      <c r="AA913" s="305">
        <f>IF(Z913=0,0,IF(Y913="MXN",1/HLOOKUP(YEAR(X913)+(MONTH(X913)/100),TC!$5:$37,DAY(X913)+2,FALSE),VLOOKUP(Y913,Equivalencia!$1:$23,((MAX(Equivalencia!$3:$3)-YEAR(X913))*14)+MONTH(X913)+2,FALSE)))</f>
        <v>1</v>
      </c>
      <c r="AB913" s="306">
        <f t="shared" si="246"/>
        <v>7224.82</v>
      </c>
      <c r="AC913" s="305">
        <f>+IF(X913=0,0,HLOOKUP(YEAR(X913)+(MONTH(X913)/100),TC!$5:$37,DAY(X913)+2,FALSE))</f>
        <v>19.861799999999999</v>
      </c>
      <c r="AD913" s="307">
        <f t="shared" si="247"/>
        <v>143497.92987599998</v>
      </c>
      <c r="AE913" s="314">
        <f t="shared" si="248"/>
        <v>147676.09615960321</v>
      </c>
      <c r="AF913" s="315">
        <f t="shared" si="249"/>
        <v>-4178.1662836032338</v>
      </c>
      <c r="AG913" s="316">
        <f t="shared" si="250"/>
        <v>1.3041095890410959</v>
      </c>
      <c r="AH913" s="314">
        <v>1</v>
      </c>
      <c r="AI913" s="314">
        <f t="shared" si="251"/>
        <v>-4178.1662836032338</v>
      </c>
      <c r="AJ913" s="314">
        <f t="shared" si="252"/>
        <v>0</v>
      </c>
      <c r="AK913" s="317"/>
      <c r="AL913" s="315">
        <f t="shared" si="253"/>
        <v>430.89999999999964</v>
      </c>
      <c r="AN913" s="554">
        <f t="shared" si="254"/>
        <v>6.3424355894682247E-2</v>
      </c>
      <c r="AO913" s="314"/>
      <c r="AP913" s="318"/>
    </row>
    <row r="914" spans="2:42">
      <c r="B914" s="296" t="s">
        <v>1266</v>
      </c>
      <c r="C914" s="299" t="s">
        <v>277</v>
      </c>
      <c r="D914" s="298" t="s">
        <v>774</v>
      </c>
      <c r="E914" s="299" t="s">
        <v>113</v>
      </c>
      <c r="F914" s="299" t="s">
        <v>59</v>
      </c>
      <c r="G914" s="300">
        <v>43934</v>
      </c>
      <c r="H914" s="303">
        <v>1305.46</v>
      </c>
      <c r="I914" s="301" t="str">
        <f t="shared" si="238"/>
        <v>Ingresos Sección II LISR (SIC &amp; BMV)</v>
      </c>
      <c r="J914" s="302">
        <f t="shared" si="239"/>
        <v>5</v>
      </c>
      <c r="K914" s="304">
        <f t="shared" si="240"/>
        <v>261.09199999999998</v>
      </c>
      <c r="L914" s="305">
        <f>IF(H914=0,0,IF(OR(E914=$AT$5,E914=$AT$6),AA914,IF(F914="MXN",1/HLOOKUP(YEAR(G914)+(MONTH(G914)/100),TC!$5:$37,DAY(G914)+2,FALSE),VLOOKUP(F914,Equivalencia!$5:$23,((MAX(Equivalencia!$3:$3)-YEAR(G914))*14)+MONTH(G914)+2,FALSE))))</f>
        <v>1</v>
      </c>
      <c r="M914" s="306">
        <f t="shared" si="241"/>
        <v>1305.46</v>
      </c>
      <c r="N914" s="305">
        <f>IF(G914=0,0,(IF(OR(E914=$AT$5,E914=$AT$6),AC914,HLOOKUP(YEAR(G914)+(MONTH(G914)/100),TC!$5:$37,DAY(G914)+2,FALSE))))</f>
        <v>24.038799999999998</v>
      </c>
      <c r="O914" s="307">
        <f t="shared" si="242"/>
        <v>31381.691847999999</v>
      </c>
      <c r="P914" s="560">
        <f>IF(G914=0,0,VLOOKUP(YEAR(G914),INPC!$B$4:$P$30,MONTH(G914)+2))</f>
        <v>105.755</v>
      </c>
      <c r="Q914" s="560">
        <f>IF(X914=0,0,IF(OR(E914=$AT$10,E914=$AT$9),VLOOKUP(YEAR(X914),INPC!$B$4:$P$30,MONTH(X914)+1),VLOOKUP(YEAR(X914),INPC!$B$4:$P$30,MONTH(X914)+2,0)))</f>
        <v>122.94799999999999</v>
      </c>
      <c r="R914" s="309">
        <f t="shared" si="243"/>
        <v>1.1625000000000001</v>
      </c>
      <c r="S914" s="310">
        <f t="shared" si="244"/>
        <v>36481.216773300002</v>
      </c>
      <c r="T914" s="555">
        <f t="shared" si="245"/>
        <v>7296.2433546600005</v>
      </c>
      <c r="U914" s="311"/>
      <c r="V914" s="312">
        <v>5</v>
      </c>
      <c r="W914" s="299" t="s">
        <v>194</v>
      </c>
      <c r="X914" s="300">
        <v>44790</v>
      </c>
      <c r="Y914" s="299" t="s">
        <v>59</v>
      </c>
      <c r="Z914" s="303">
        <v>2730.06</v>
      </c>
      <c r="AA914" s="305">
        <f>IF(Z914=0,0,IF(Y914="MXN",1/HLOOKUP(YEAR(X914)+(MONTH(X914)/100),TC!$5:$37,DAY(X914)+2,FALSE),VLOOKUP(Y914,Equivalencia!$1:$23,((MAX(Equivalencia!$3:$3)-YEAR(X914))*14)+MONTH(X914)+2,FALSE)))</f>
        <v>1</v>
      </c>
      <c r="AB914" s="306">
        <f t="shared" si="246"/>
        <v>2730.06</v>
      </c>
      <c r="AC914" s="305">
        <f>+IF(X914=0,0,HLOOKUP(YEAR(X914)+(MONTH(X914)/100),TC!$5:$37,DAY(X914)+2,FALSE))</f>
        <v>19.861799999999999</v>
      </c>
      <c r="AD914" s="307">
        <f t="shared" si="247"/>
        <v>54223.905707999998</v>
      </c>
      <c r="AE914" s="314">
        <f t="shared" si="248"/>
        <v>36481.216773300002</v>
      </c>
      <c r="AF914" s="315">
        <f t="shared" si="249"/>
        <v>17742.688934699996</v>
      </c>
      <c r="AG914" s="316">
        <f t="shared" si="250"/>
        <v>2.3452054794520549</v>
      </c>
      <c r="AH914" s="314">
        <v>1</v>
      </c>
      <c r="AI914" s="314">
        <f t="shared" si="251"/>
        <v>17742.688934699996</v>
      </c>
      <c r="AJ914" s="314">
        <f t="shared" si="252"/>
        <v>0</v>
      </c>
      <c r="AK914" s="317"/>
      <c r="AL914" s="315">
        <f t="shared" si="253"/>
        <v>1424.6</v>
      </c>
      <c r="AN914" s="554">
        <f t="shared" si="254"/>
        <v>1.0912628498766717</v>
      </c>
      <c r="AO914" s="314"/>
      <c r="AP914" s="318"/>
    </row>
    <row r="915" spans="2:42">
      <c r="B915" s="296" t="s">
        <v>1266</v>
      </c>
      <c r="C915" s="299" t="s">
        <v>277</v>
      </c>
      <c r="D915" s="298" t="s">
        <v>774</v>
      </c>
      <c r="E915" s="299" t="s">
        <v>113</v>
      </c>
      <c r="F915" s="299" t="s">
        <v>59</v>
      </c>
      <c r="G915" s="300">
        <v>43935</v>
      </c>
      <c r="H915" s="303">
        <v>1352.97</v>
      </c>
      <c r="I915" s="301" t="str">
        <f t="shared" si="238"/>
        <v>Ingresos Sección II LISR (SIC &amp; BMV)</v>
      </c>
      <c r="J915" s="302">
        <f t="shared" si="239"/>
        <v>5</v>
      </c>
      <c r="K915" s="304">
        <f t="shared" si="240"/>
        <v>270.59399999999999</v>
      </c>
      <c r="L915" s="305">
        <f>IF(H915=0,0,IF(OR(E915=$AT$5,E915=$AT$6),AA915,IF(F915="MXN",1/HLOOKUP(YEAR(G915)+(MONTH(G915)/100),TC!$5:$37,DAY(G915)+2,FALSE),VLOOKUP(F915,Equivalencia!$5:$23,((MAX(Equivalencia!$3:$3)-YEAR(G915))*14)+MONTH(G915)+2,FALSE))))</f>
        <v>1</v>
      </c>
      <c r="M915" s="306">
        <f t="shared" si="241"/>
        <v>1352.97</v>
      </c>
      <c r="N915" s="305">
        <f>IF(G915=0,0,(IF(OR(E915=$AT$5,E915=$AT$6),AC915,HLOOKUP(YEAR(G915)+(MONTH(G915)/100),TC!$5:$37,DAY(G915)+2,FALSE))))</f>
        <v>24.092500000000001</v>
      </c>
      <c r="O915" s="307">
        <f t="shared" si="242"/>
        <v>32596.429725000002</v>
      </c>
      <c r="P915" s="560">
        <f>IF(G915=0,0,VLOOKUP(YEAR(G915),INPC!$B$4:$P$30,MONTH(G915)+2))</f>
        <v>105.755</v>
      </c>
      <c r="Q915" s="560">
        <f>IF(X915=0,0,IF(OR(E915=$AT$10,E915=$AT$9),VLOOKUP(YEAR(X915),INPC!$B$4:$P$30,MONTH(X915)+1),VLOOKUP(YEAR(X915),INPC!$B$4:$P$30,MONTH(X915)+2,0)))</f>
        <v>122.94799999999999</v>
      </c>
      <c r="R915" s="309">
        <f t="shared" si="243"/>
        <v>1.1625000000000001</v>
      </c>
      <c r="S915" s="310">
        <f t="shared" si="244"/>
        <v>37893.349555312503</v>
      </c>
      <c r="T915" s="555">
        <f t="shared" si="245"/>
        <v>7578.6699110625004</v>
      </c>
      <c r="U915" s="311"/>
      <c r="V915" s="312">
        <v>5</v>
      </c>
      <c r="W915" s="299" t="s">
        <v>194</v>
      </c>
      <c r="X915" s="300">
        <v>44790</v>
      </c>
      <c r="Y915" s="299" t="s">
        <v>59</v>
      </c>
      <c r="Z915" s="303">
        <v>2730.06</v>
      </c>
      <c r="AA915" s="305">
        <f>IF(Z915=0,0,IF(Y915="MXN",1/HLOOKUP(YEAR(X915)+(MONTH(X915)/100),TC!$5:$37,DAY(X915)+2,FALSE),VLOOKUP(Y915,Equivalencia!$1:$23,((MAX(Equivalencia!$3:$3)-YEAR(X915))*14)+MONTH(X915)+2,FALSE)))</f>
        <v>1</v>
      </c>
      <c r="AB915" s="306">
        <f t="shared" si="246"/>
        <v>2730.06</v>
      </c>
      <c r="AC915" s="305">
        <f>+IF(X915=0,0,HLOOKUP(YEAR(X915)+(MONTH(X915)/100),TC!$5:$37,DAY(X915)+2,FALSE))</f>
        <v>19.861799999999999</v>
      </c>
      <c r="AD915" s="307">
        <f t="shared" si="247"/>
        <v>54223.905707999998</v>
      </c>
      <c r="AE915" s="314">
        <f t="shared" si="248"/>
        <v>37893.349555312503</v>
      </c>
      <c r="AF915" s="315">
        <f t="shared" si="249"/>
        <v>16330.556152687495</v>
      </c>
      <c r="AG915" s="316">
        <f t="shared" si="250"/>
        <v>2.3424657534246576</v>
      </c>
      <c r="AH915" s="314">
        <v>1</v>
      </c>
      <c r="AI915" s="314">
        <f t="shared" si="251"/>
        <v>16330.556152687495</v>
      </c>
      <c r="AJ915" s="314">
        <f t="shared" si="252"/>
        <v>0</v>
      </c>
      <c r="AK915" s="317"/>
      <c r="AL915" s="315">
        <f t="shared" si="253"/>
        <v>1377.09</v>
      </c>
      <c r="AN915" s="554">
        <f t="shared" si="254"/>
        <v>1.01782744628484</v>
      </c>
      <c r="AO915" s="314"/>
      <c r="AP915" s="318"/>
    </row>
    <row r="916" spans="2:42">
      <c r="B916" s="296" t="s">
        <v>1266</v>
      </c>
      <c r="C916" s="299" t="s">
        <v>277</v>
      </c>
      <c r="D916" s="298" t="s">
        <v>981</v>
      </c>
      <c r="E916" s="299" t="s">
        <v>106</v>
      </c>
      <c r="F916" s="299" t="s">
        <v>59</v>
      </c>
      <c r="G916" s="300">
        <v>43497</v>
      </c>
      <c r="H916" s="303">
        <v>460888.61</v>
      </c>
      <c r="I916" s="301" t="str">
        <f t="shared" si="238"/>
        <v>Ingresos Sección I LISR</v>
      </c>
      <c r="J916" s="302">
        <f t="shared" si="239"/>
        <v>27159.023000000001</v>
      </c>
      <c r="K916" s="304">
        <f t="shared" si="240"/>
        <v>16.969999620383987</v>
      </c>
      <c r="L916" s="305">
        <f>IF(H916=0,0,IF(OR(E916=$AT$5,E916=$AT$6),AA916,IF(F916="MXN",1/HLOOKUP(YEAR(G916)+(MONTH(G916)/100),TC!$5:$37,DAY(G916)+2,FALSE),VLOOKUP(F916,Equivalencia!$5:$23,((MAX(Equivalencia!$3:$3)-YEAR(G916))*14)+MONTH(G916)+2,FALSE))))</f>
        <v>1</v>
      </c>
      <c r="M916" s="306">
        <f t="shared" si="241"/>
        <v>460888.61</v>
      </c>
      <c r="N916" s="305">
        <f>IF(G916=0,0,(IF(OR(E916=$AT$5,E916=$AT$6),AC916,HLOOKUP(YEAR(G916)+(MONTH(G916)/100),TC!$5:$37,DAY(G916)+2,FALSE))))</f>
        <v>19.162299999999998</v>
      </c>
      <c r="O916" s="307">
        <f t="shared" si="242"/>
        <v>8831685.8114029989</v>
      </c>
      <c r="P916" s="560">
        <f>IF(G916=0,0,VLOOKUP(YEAR(G916),INPC!$B$4:$P$30,MONTH(G916)+2))</f>
        <v>103.07899999999999</v>
      </c>
      <c r="Q916" s="560">
        <f>IF(X916=0,0,IF(OR(E916=$AT$10,E916=$AT$9),VLOOKUP(YEAR(X916),INPC!$B$4:$P$30,MONTH(X916)+1),VLOOKUP(YEAR(X916),INPC!$B$4:$P$30,MONTH(X916)+2,0)))</f>
        <v>123.803</v>
      </c>
      <c r="R916" s="309">
        <f t="shared" si="243"/>
        <v>1.2010000000000001</v>
      </c>
      <c r="S916" s="310">
        <f t="shared" si="244"/>
        <v>10606854.659495002</v>
      </c>
      <c r="T916" s="555">
        <f t="shared" si="245"/>
        <v>390.54625269454652</v>
      </c>
      <c r="U916" s="311"/>
      <c r="V916" s="312">
        <v>27159.023000000001</v>
      </c>
      <c r="W916" s="299" t="s">
        <v>194</v>
      </c>
      <c r="X916" s="300">
        <v>44790</v>
      </c>
      <c r="Y916" s="299" t="s">
        <v>59</v>
      </c>
      <c r="Z916" s="303">
        <v>638237.05000000005</v>
      </c>
      <c r="AA916" s="305">
        <f>IF(Z916=0,0,IF(Y916="MXN",1/HLOOKUP(YEAR(X916)+(MONTH(X916)/100),TC!$5:$37,DAY(X916)+2,FALSE),VLOOKUP(Y916,Equivalencia!$1:$23,((MAX(Equivalencia!$3:$3)-YEAR(X916))*14)+MONTH(X916)+2,FALSE)))</f>
        <v>1</v>
      </c>
      <c r="AB916" s="306">
        <f t="shared" si="246"/>
        <v>638237.05000000005</v>
      </c>
      <c r="AC916" s="305">
        <f>+IF(X916=0,0,HLOOKUP(YEAR(X916)+(MONTH(X916)/100),TC!$5:$37,DAY(X916)+2,FALSE))</f>
        <v>19.861799999999999</v>
      </c>
      <c r="AD916" s="307">
        <f t="shared" si="247"/>
        <v>12676536.639690001</v>
      </c>
      <c r="AE916" s="314">
        <f t="shared" si="248"/>
        <v>10606854.659495002</v>
      </c>
      <c r="AF916" s="315">
        <f t="shared" si="249"/>
        <v>2069681.9801949989</v>
      </c>
      <c r="AG916" s="316">
        <f t="shared" si="250"/>
        <v>3.5424657534246577</v>
      </c>
      <c r="AH916" s="314">
        <v>1</v>
      </c>
      <c r="AI916" s="314">
        <f t="shared" si="251"/>
        <v>2069681.9801949989</v>
      </c>
      <c r="AJ916" s="314">
        <f t="shared" si="252"/>
        <v>0</v>
      </c>
      <c r="AK916" s="317"/>
      <c r="AL916" s="315">
        <f t="shared" si="253"/>
        <v>177348.44000000006</v>
      </c>
      <c r="AN916" s="554">
        <f t="shared" si="254"/>
        <v>0.38479675164895061</v>
      </c>
      <c r="AO916" s="314"/>
      <c r="AP916" s="318"/>
    </row>
    <row r="917" spans="2:42">
      <c r="B917" s="296" t="s">
        <v>1266</v>
      </c>
      <c r="C917" s="299" t="s">
        <v>277</v>
      </c>
      <c r="D917" s="298" t="s">
        <v>981</v>
      </c>
      <c r="E917" s="299" t="s">
        <v>106</v>
      </c>
      <c r="F917" s="299" t="s">
        <v>59</v>
      </c>
      <c r="G917" s="300">
        <v>43893</v>
      </c>
      <c r="H917" s="303">
        <v>17855.259999999998</v>
      </c>
      <c r="I917" s="301" t="str">
        <f t="shared" si="238"/>
        <v>Ingresos Sección I LISR</v>
      </c>
      <c r="J917" s="302">
        <f t="shared" si="239"/>
        <v>923.70699999999999</v>
      </c>
      <c r="K917" s="304">
        <f t="shared" si="240"/>
        <v>19.330003994773232</v>
      </c>
      <c r="L917" s="305">
        <f>IF(H917=0,0,IF(OR(E917=$AT$5,E917=$AT$6),AA917,IF(F917="MXN",1/HLOOKUP(YEAR(G917)+(MONTH(G917)/100),TC!$5:$37,DAY(G917)+2,FALSE),VLOOKUP(F917,Equivalencia!$5:$23,((MAX(Equivalencia!$3:$3)-YEAR(G917))*14)+MONTH(G917)+2,FALSE))))</f>
        <v>1</v>
      </c>
      <c r="M917" s="306">
        <f t="shared" si="241"/>
        <v>17855.259999999998</v>
      </c>
      <c r="N917" s="305">
        <f>IF(G917=0,0,(IF(OR(E917=$AT$5,E917=$AT$6),AC917,HLOOKUP(YEAR(G917)+(MONTH(G917)/100),TC!$5:$37,DAY(G917)+2,FALSE))))</f>
        <v>19.776</v>
      </c>
      <c r="O917" s="307">
        <f t="shared" si="242"/>
        <v>353105.62175999995</v>
      </c>
      <c r="P917" s="560">
        <f>IF(G917=0,0,VLOOKUP(YEAR(G917),INPC!$B$4:$P$30,MONTH(G917)+2))</f>
        <v>106.83799999999999</v>
      </c>
      <c r="Q917" s="560">
        <f>IF(X917=0,0,IF(OR(E917=$AT$10,E917=$AT$9),VLOOKUP(YEAR(X917),INPC!$B$4:$P$30,MONTH(X917)+1),VLOOKUP(YEAR(X917),INPC!$B$4:$P$30,MONTH(X917)+2,0)))</f>
        <v>123.803</v>
      </c>
      <c r="R917" s="309">
        <f t="shared" si="243"/>
        <v>1.1587000000000001</v>
      </c>
      <c r="S917" s="310">
        <f t="shared" si="244"/>
        <v>409143.48393331195</v>
      </c>
      <c r="T917" s="555">
        <f t="shared" si="245"/>
        <v>442.93643323403626</v>
      </c>
      <c r="U917" s="311"/>
      <c r="V917" s="312">
        <v>923.70699999999999</v>
      </c>
      <c r="W917" s="299" t="s">
        <v>194</v>
      </c>
      <c r="X917" s="300">
        <v>44790</v>
      </c>
      <c r="Y917" s="299" t="s">
        <v>59</v>
      </c>
      <c r="Z917" s="303">
        <v>21707.11</v>
      </c>
      <c r="AA917" s="305">
        <f>IF(Z917=0,0,IF(Y917="MXN",1/HLOOKUP(YEAR(X917)+(MONTH(X917)/100),TC!$5:$37,DAY(X917)+2,FALSE),VLOOKUP(Y917,Equivalencia!$1:$23,((MAX(Equivalencia!$3:$3)-YEAR(X917))*14)+MONTH(X917)+2,FALSE)))</f>
        <v>1</v>
      </c>
      <c r="AB917" s="306">
        <f t="shared" si="246"/>
        <v>21707.11</v>
      </c>
      <c r="AC917" s="305">
        <f>+IF(X917=0,0,HLOOKUP(YEAR(X917)+(MONTH(X917)/100),TC!$5:$37,DAY(X917)+2,FALSE))</f>
        <v>19.861799999999999</v>
      </c>
      <c r="AD917" s="307">
        <f t="shared" si="247"/>
        <v>431142.27739800001</v>
      </c>
      <c r="AE917" s="314">
        <f t="shared" si="248"/>
        <v>409143.48393331195</v>
      </c>
      <c r="AF917" s="315">
        <f t="shared" si="249"/>
        <v>21998.79346468806</v>
      </c>
      <c r="AG917" s="316">
        <f t="shared" si="250"/>
        <v>2.4575342465753423</v>
      </c>
      <c r="AH917" s="314">
        <v>1</v>
      </c>
      <c r="AI917" s="314">
        <f t="shared" si="251"/>
        <v>21998.79346468806</v>
      </c>
      <c r="AJ917" s="314">
        <f t="shared" si="252"/>
        <v>0</v>
      </c>
      <c r="AK917" s="317"/>
      <c r="AL917" s="315">
        <f t="shared" si="253"/>
        <v>3851.8500000000022</v>
      </c>
      <c r="AN917" s="554">
        <f t="shared" si="254"/>
        <v>0.215726346185942</v>
      </c>
      <c r="AO917" s="314"/>
      <c r="AP917" s="318"/>
    </row>
    <row r="918" spans="2:42">
      <c r="B918" s="296" t="s">
        <v>1266</v>
      </c>
      <c r="C918" s="299" t="s">
        <v>277</v>
      </c>
      <c r="D918" s="298" t="s">
        <v>982</v>
      </c>
      <c r="E918" s="299" t="s">
        <v>113</v>
      </c>
      <c r="F918" s="299" t="s">
        <v>59</v>
      </c>
      <c r="G918" s="300">
        <v>43315</v>
      </c>
      <c r="H918" s="303">
        <v>9857.99</v>
      </c>
      <c r="I918" s="301" t="str">
        <f t="shared" si="238"/>
        <v>Ingresos Sección II LISR (SIC &amp; BMV)</v>
      </c>
      <c r="J918" s="302">
        <f t="shared" si="239"/>
        <v>71</v>
      </c>
      <c r="K918" s="304">
        <f t="shared" si="240"/>
        <v>138.8449295774648</v>
      </c>
      <c r="L918" s="305">
        <f>IF(H918=0,0,IF(OR(E918=$AT$5,E918=$AT$6),AA918,IF(F918="MXN",1/HLOOKUP(YEAR(G918)+(MONTH(G918)/100),TC!$5:$37,DAY(G918)+2,FALSE),VLOOKUP(F918,Equivalencia!$5:$23,((MAX(Equivalencia!$3:$3)-YEAR(G918))*14)+MONTH(G918)+2,FALSE))))</f>
        <v>1</v>
      </c>
      <c r="M918" s="306">
        <f t="shared" si="241"/>
        <v>9857.99</v>
      </c>
      <c r="N918" s="305">
        <f>IF(G918=0,0,(IF(OR(E918=$AT$5,E918=$AT$6),AC918,HLOOKUP(YEAR(G918)+(MONTH(G918)/100),TC!$5:$37,DAY(G918)+2,FALSE))))</f>
        <v>18.5899</v>
      </c>
      <c r="O918" s="307">
        <f t="shared" si="242"/>
        <v>183259.048301</v>
      </c>
      <c r="P918" s="560">
        <f>IF(G918=0,0,VLOOKUP(YEAR(G918),INPC!$B$4:$P$30,MONTH(G918)+2))</f>
        <v>100.492</v>
      </c>
      <c r="Q918" s="560">
        <f>IF(X918=0,0,IF(OR(E918=$AT$10,E918=$AT$9),VLOOKUP(YEAR(X918),INPC!$B$4:$P$30,MONTH(X918)+1),VLOOKUP(YEAR(X918),INPC!$B$4:$P$30,MONTH(X918)+2,0)))</f>
        <v>122.94799999999999</v>
      </c>
      <c r="R918" s="309">
        <f t="shared" si="243"/>
        <v>1.2234</v>
      </c>
      <c r="S918" s="310">
        <f t="shared" si="244"/>
        <v>224199.1196914434</v>
      </c>
      <c r="T918" s="555">
        <f t="shared" si="245"/>
        <v>3157.7340801611745</v>
      </c>
      <c r="U918" s="311"/>
      <c r="V918" s="312">
        <v>71</v>
      </c>
      <c r="W918" s="299" t="s">
        <v>194</v>
      </c>
      <c r="X918" s="300">
        <v>44790</v>
      </c>
      <c r="Y918" s="299" t="s">
        <v>59</v>
      </c>
      <c r="Z918" s="303">
        <v>15250.81</v>
      </c>
      <c r="AA918" s="305">
        <f>IF(Z918=0,0,IF(Y918="MXN",1/HLOOKUP(YEAR(X918)+(MONTH(X918)/100),TC!$5:$37,DAY(X918)+2,FALSE),VLOOKUP(Y918,Equivalencia!$1:$23,((MAX(Equivalencia!$3:$3)-YEAR(X918))*14)+MONTH(X918)+2,FALSE)))</f>
        <v>1</v>
      </c>
      <c r="AB918" s="306">
        <f t="shared" si="246"/>
        <v>15250.81</v>
      </c>
      <c r="AC918" s="305">
        <f>+IF(X918=0,0,HLOOKUP(YEAR(X918)+(MONTH(X918)/100),TC!$5:$37,DAY(X918)+2,FALSE))</f>
        <v>19.861799999999999</v>
      </c>
      <c r="AD918" s="307">
        <f t="shared" si="247"/>
        <v>302908.53805799998</v>
      </c>
      <c r="AE918" s="314">
        <f t="shared" si="248"/>
        <v>224199.1196914434</v>
      </c>
      <c r="AF918" s="315">
        <f t="shared" si="249"/>
        <v>78709.41836655658</v>
      </c>
      <c r="AG918" s="316">
        <f t="shared" si="250"/>
        <v>4.0410958904109586</v>
      </c>
      <c r="AH918" s="314">
        <v>1</v>
      </c>
      <c r="AI918" s="314">
        <f t="shared" si="251"/>
        <v>78709.41836655658</v>
      </c>
      <c r="AJ918" s="314">
        <f t="shared" si="252"/>
        <v>0</v>
      </c>
      <c r="AK918" s="317"/>
      <c r="AL918" s="315">
        <f t="shared" si="253"/>
        <v>5392.82</v>
      </c>
      <c r="AN918" s="554">
        <f t="shared" si="254"/>
        <v>0.54705066651518208</v>
      </c>
      <c r="AO918" s="314"/>
      <c r="AP918" s="318"/>
    </row>
    <row r="919" spans="2:42">
      <c r="B919" s="296"/>
      <c r="C919" s="299"/>
      <c r="D919" s="298"/>
      <c r="E919" s="299"/>
      <c r="F919" s="299"/>
      <c r="G919" s="300"/>
      <c r="H919" s="303"/>
      <c r="I919" s="301">
        <f t="shared" si="238"/>
        <v>0</v>
      </c>
      <c r="J919" s="302">
        <f t="shared" si="239"/>
        <v>0</v>
      </c>
      <c r="K919" s="304">
        <f t="shared" si="240"/>
        <v>0</v>
      </c>
      <c r="L919" s="305">
        <f>IF(H919=0,0,IF(OR(E919=$AT$5,E919=$AT$6),AA919,IF(F919="MXN",1/HLOOKUP(YEAR(G919)+(MONTH(G919)/100),TC!$5:$37,DAY(G919)+2,FALSE),VLOOKUP(F919,Equivalencia!$5:$23,((MAX(Equivalencia!$3:$3)-YEAR(G919))*14)+MONTH(G919)+2,FALSE))))</f>
        <v>0</v>
      </c>
      <c r="M919" s="306">
        <f t="shared" si="241"/>
        <v>0</v>
      </c>
      <c r="N919" s="305">
        <f>IF(G919=0,0,(IF(OR(E919=$AT$5,E919=$AT$6),AC919,HLOOKUP(YEAR(G919)+(MONTH(G919)/100),TC!$5:$37,DAY(G919)+2,FALSE))))</f>
        <v>0</v>
      </c>
      <c r="O919" s="307">
        <f t="shared" si="242"/>
        <v>0</v>
      </c>
      <c r="P919" s="560">
        <f>IF(G919=0,0,VLOOKUP(YEAR(G919),INPC!$B$4:$P$30,MONTH(G919)+2))</f>
        <v>0</v>
      </c>
      <c r="Q919" s="560">
        <f>IF(X919=0,0,IF(OR(E919=$AT$10,E919=$AT$9),VLOOKUP(YEAR(X919),INPC!$B$4:$P$30,MONTH(X919)+1),VLOOKUP(YEAR(X919),INPC!$B$4:$P$30,MONTH(X919)+2,0)))</f>
        <v>0</v>
      </c>
      <c r="R919" s="309">
        <f t="shared" si="243"/>
        <v>0</v>
      </c>
      <c r="S919" s="310">
        <f t="shared" si="244"/>
        <v>0</v>
      </c>
      <c r="T919" s="555">
        <f t="shared" si="245"/>
        <v>0</v>
      </c>
      <c r="U919" s="311"/>
      <c r="V919" s="312"/>
      <c r="W919" s="299"/>
      <c r="X919" s="300"/>
      <c r="Y919" s="299"/>
      <c r="Z919" s="303"/>
      <c r="AA919" s="305">
        <f>IF(Z919=0,0,IF(Y919="MXN",1/HLOOKUP(YEAR(X919)+(MONTH(X919)/100),TC!$5:$37,DAY(X919)+2,FALSE),VLOOKUP(Y919,Equivalencia!$1:$23,((MAX(Equivalencia!$3:$3)-YEAR(X919))*14)+MONTH(X919)+2,FALSE)))</f>
        <v>0</v>
      </c>
      <c r="AB919" s="306">
        <f t="shared" si="246"/>
        <v>0</v>
      </c>
      <c r="AC919" s="305">
        <f>+IF(X919=0,0,HLOOKUP(YEAR(X919)+(MONTH(X919)/100),TC!$5:$37,DAY(X919)+2,FALSE))</f>
        <v>0</v>
      </c>
      <c r="AD919" s="307">
        <f t="shared" si="247"/>
        <v>0</v>
      </c>
      <c r="AE919" s="314">
        <f t="shared" si="248"/>
        <v>0</v>
      </c>
      <c r="AF919" s="315">
        <f t="shared" si="249"/>
        <v>0</v>
      </c>
      <c r="AG919" s="316">
        <f t="shared" si="250"/>
        <v>0</v>
      </c>
      <c r="AH919" s="314">
        <v>1</v>
      </c>
      <c r="AI919" s="314">
        <f t="shared" si="251"/>
        <v>0</v>
      </c>
      <c r="AJ919" s="314">
        <f t="shared" si="252"/>
        <v>0</v>
      </c>
      <c r="AK919" s="317"/>
      <c r="AL919" s="315">
        <f t="shared" si="253"/>
        <v>0</v>
      </c>
      <c r="AN919" s="554">
        <f t="shared" si="254"/>
        <v>0</v>
      </c>
      <c r="AO919" s="314"/>
      <c r="AP919" s="318"/>
    </row>
    <row r="920" spans="2:42">
      <c r="B920" s="296" t="s">
        <v>1266</v>
      </c>
      <c r="C920" s="299" t="s">
        <v>277</v>
      </c>
      <c r="D920" s="298" t="s">
        <v>757</v>
      </c>
      <c r="E920" s="299" t="s">
        <v>113</v>
      </c>
      <c r="F920" s="299" t="s">
        <v>59</v>
      </c>
      <c r="G920" s="300">
        <v>43476</v>
      </c>
      <c r="H920" s="681">
        <v>1249.6300000000001</v>
      </c>
      <c r="I920" s="301" t="str">
        <f t="shared" si="238"/>
        <v>Ingresos Sección II LISR (SIC &amp; BMV)</v>
      </c>
      <c r="J920" s="302">
        <f t="shared" si="239"/>
        <v>11</v>
      </c>
      <c r="K920" s="304">
        <f t="shared" si="240"/>
        <v>113.60272727272728</v>
      </c>
      <c r="L920" s="305">
        <f>IF(H920=0,0,IF(OR(E920=$AT$5,E920=$AT$6),AA920,IF(F920="MXN",1/HLOOKUP(YEAR(G920)+(MONTH(G920)/100),TC!$5:$37,DAY(G920)+2,FALSE),VLOOKUP(F920,Equivalencia!$5:$23,((MAX(Equivalencia!$3:$3)-YEAR(G920))*14)+MONTH(G920)+2,FALSE))))</f>
        <v>1</v>
      </c>
      <c r="M920" s="306">
        <f t="shared" si="241"/>
        <v>1249.6300000000001</v>
      </c>
      <c r="N920" s="305">
        <f>IF(G920=0,0,(IF(OR(E920=$AT$5,E920=$AT$6),AC920,HLOOKUP(YEAR(G920)+(MONTH(G920)/100),TC!$5:$37,DAY(G920)+2,FALSE))))</f>
        <v>19.2456</v>
      </c>
      <c r="O920" s="307">
        <f t="shared" si="242"/>
        <v>24049.879128</v>
      </c>
      <c r="P920" s="560">
        <f>IF(G920=0,0,VLOOKUP(YEAR(G920),INPC!$B$4:$P$30,MONTH(G920)+2))</f>
        <v>103.108</v>
      </c>
      <c r="Q920" s="560">
        <f>IF(X920=0,0,IF(OR(E920=$AT$10,E920=$AT$9),VLOOKUP(YEAR(X920),INPC!$B$4:$P$30,MONTH(X920)+1),VLOOKUP(YEAR(X920),INPC!$B$4:$P$30,MONTH(X920)+2,0)))</f>
        <v>122.94799999999999</v>
      </c>
      <c r="R920" s="309">
        <f t="shared" si="243"/>
        <v>1.1923999999999999</v>
      </c>
      <c r="S920" s="310">
        <f t="shared" si="244"/>
        <v>28677.075872227197</v>
      </c>
      <c r="T920" s="555">
        <f t="shared" si="245"/>
        <v>2607.0068974751998</v>
      </c>
      <c r="U920" s="311"/>
      <c r="V920" s="312">
        <v>11</v>
      </c>
      <c r="W920" s="299" t="s">
        <v>194</v>
      </c>
      <c r="X920" s="300">
        <v>44803</v>
      </c>
      <c r="Y920" s="299" t="s">
        <v>59</v>
      </c>
      <c r="Z920" s="681">
        <v>2959.89</v>
      </c>
      <c r="AA920" s="305">
        <f>IF(Z920=0,0,IF(Y920="MXN",1/HLOOKUP(YEAR(X920)+(MONTH(X920)/100),TC!$5:$37,DAY(X920)+2,FALSE),VLOOKUP(Y920,Equivalencia!$1:$23,((MAX(Equivalencia!$3:$3)-YEAR(X920))*14)+MONTH(X920)+2,FALSE)))</f>
        <v>1</v>
      </c>
      <c r="AB920" s="306">
        <f t="shared" si="246"/>
        <v>2959.89</v>
      </c>
      <c r="AC920" s="305">
        <f>+IF(X920=0,0,HLOOKUP(YEAR(X920)+(MONTH(X920)/100),TC!$5:$37,DAY(X920)+2,FALSE))</f>
        <v>19.9268</v>
      </c>
      <c r="AD920" s="307">
        <f t="shared" si="247"/>
        <v>58981.136051999994</v>
      </c>
      <c r="AE920" s="314">
        <f t="shared" si="248"/>
        <v>28677.075872227197</v>
      </c>
      <c r="AF920" s="315">
        <f t="shared" si="249"/>
        <v>30304.060179772798</v>
      </c>
      <c r="AG920" s="316">
        <f t="shared" si="250"/>
        <v>3.6356164383561644</v>
      </c>
      <c r="AH920" s="314">
        <v>1</v>
      </c>
      <c r="AI920" s="314">
        <f t="shared" si="251"/>
        <v>30304.060179772798</v>
      </c>
      <c r="AJ920" s="314">
        <f t="shared" si="252"/>
        <v>0</v>
      </c>
      <c r="AK920" s="317"/>
      <c r="AL920" s="315">
        <f t="shared" si="253"/>
        <v>1710.2599999999998</v>
      </c>
      <c r="AN920" s="554">
        <f t="shared" si="254"/>
        <v>1.3686131094804059</v>
      </c>
      <c r="AO920" s="314"/>
      <c r="AP920" s="318"/>
    </row>
    <row r="921" spans="2:42">
      <c r="B921" s="296" t="s">
        <v>1266</v>
      </c>
      <c r="C921" s="299" t="s">
        <v>277</v>
      </c>
      <c r="D921" s="298" t="s">
        <v>784</v>
      </c>
      <c r="E921" s="299" t="s">
        <v>113</v>
      </c>
      <c r="F921" s="299" t="s">
        <v>59</v>
      </c>
      <c r="G921" s="300">
        <v>43315</v>
      </c>
      <c r="H921" s="681">
        <v>3703.27</v>
      </c>
      <c r="I921" s="301" t="str">
        <f t="shared" si="238"/>
        <v>Ingresos Sección II LISR (SIC &amp; BMV)</v>
      </c>
      <c r="J921" s="302">
        <f t="shared" si="239"/>
        <v>51</v>
      </c>
      <c r="K921" s="304">
        <f t="shared" si="240"/>
        <v>72.613137254901957</v>
      </c>
      <c r="L921" s="305">
        <f>IF(H921=0,0,IF(OR(E921=$AT$5,E921=$AT$6),AA921,IF(F921="MXN",1/HLOOKUP(YEAR(G921)+(MONTH(G921)/100),TC!$5:$37,DAY(G921)+2,FALSE),VLOOKUP(F921,Equivalencia!$5:$23,((MAX(Equivalencia!$3:$3)-YEAR(G921))*14)+MONTH(G921)+2,FALSE))))</f>
        <v>1</v>
      </c>
      <c r="M921" s="306">
        <f t="shared" si="241"/>
        <v>3703.27</v>
      </c>
      <c r="N921" s="305">
        <f>IF(G921=0,0,(IF(OR(E921=$AT$5,E921=$AT$6),AC921,HLOOKUP(YEAR(G921)+(MONTH(G921)/100),TC!$5:$37,DAY(G921)+2,FALSE))))</f>
        <v>18.5899</v>
      </c>
      <c r="O921" s="307">
        <f t="shared" si="242"/>
        <v>68843.418973000007</v>
      </c>
      <c r="P921" s="560">
        <f>IF(G921=0,0,VLOOKUP(YEAR(G921),INPC!$B$4:$P$30,MONTH(G921)+2))</f>
        <v>100.492</v>
      </c>
      <c r="Q921" s="560">
        <f>IF(X921=0,0,IF(OR(E921=$AT$10,E921=$AT$9),VLOOKUP(YEAR(X921),INPC!$B$4:$P$30,MONTH(X921)+1),VLOOKUP(YEAR(X921),INPC!$B$4:$P$30,MONTH(X921)+2,0)))</f>
        <v>122.94799999999999</v>
      </c>
      <c r="R921" s="309">
        <f t="shared" si="243"/>
        <v>1.2234</v>
      </c>
      <c r="S921" s="310">
        <f t="shared" si="244"/>
        <v>84223.038771568215</v>
      </c>
      <c r="T921" s="555">
        <f t="shared" si="245"/>
        <v>1651.4321327758473</v>
      </c>
      <c r="U921" s="311"/>
      <c r="V921" s="312">
        <v>51</v>
      </c>
      <c r="W921" s="299" t="s">
        <v>194</v>
      </c>
      <c r="X921" s="300">
        <v>44803</v>
      </c>
      <c r="Y921" s="299" t="s">
        <v>59</v>
      </c>
      <c r="Z921" s="681">
        <v>5152.83</v>
      </c>
      <c r="AA921" s="305">
        <f>IF(Z921=0,0,IF(Y921="MXN",1/HLOOKUP(YEAR(X921)+(MONTH(X921)/100),TC!$5:$37,DAY(X921)+2,FALSE),VLOOKUP(Y921,Equivalencia!$1:$23,((MAX(Equivalencia!$3:$3)-YEAR(X921))*14)+MONTH(X921)+2,FALSE)))</f>
        <v>1</v>
      </c>
      <c r="AB921" s="306">
        <f t="shared" si="246"/>
        <v>5152.83</v>
      </c>
      <c r="AC921" s="305">
        <f>+IF(X921=0,0,HLOOKUP(YEAR(X921)+(MONTH(X921)/100),TC!$5:$37,DAY(X921)+2,FALSE))</f>
        <v>19.9268</v>
      </c>
      <c r="AD921" s="307">
        <f t="shared" si="247"/>
        <v>102679.41284400001</v>
      </c>
      <c r="AE921" s="314">
        <f t="shared" si="248"/>
        <v>84223.038771568215</v>
      </c>
      <c r="AF921" s="315">
        <f t="shared" si="249"/>
        <v>18456.37407243179</v>
      </c>
      <c r="AG921" s="316">
        <f t="shared" si="250"/>
        <v>4.0767123287671234</v>
      </c>
      <c r="AH921" s="314">
        <v>1</v>
      </c>
      <c r="AI921" s="314">
        <f t="shared" si="251"/>
        <v>18456.37407243179</v>
      </c>
      <c r="AJ921" s="314">
        <f t="shared" si="252"/>
        <v>0</v>
      </c>
      <c r="AK921" s="317"/>
      <c r="AL921" s="315">
        <f t="shared" si="253"/>
        <v>1449.56</v>
      </c>
      <c r="AN921" s="554">
        <f t="shared" si="254"/>
        <v>0.39142703610592799</v>
      </c>
      <c r="AO921" s="314"/>
      <c r="AP921" s="318"/>
    </row>
    <row r="922" spans="2:42">
      <c r="B922" s="296" t="s">
        <v>1266</v>
      </c>
      <c r="C922" s="299" t="s">
        <v>277</v>
      </c>
      <c r="D922" s="298" t="s">
        <v>784</v>
      </c>
      <c r="E922" s="299" t="s">
        <v>113</v>
      </c>
      <c r="F922" s="299" t="s">
        <v>59</v>
      </c>
      <c r="G922" s="300">
        <v>43578</v>
      </c>
      <c r="H922" s="681">
        <v>5319.06</v>
      </c>
      <c r="I922" s="301" t="str">
        <f t="shared" si="238"/>
        <v>Ingresos Sección II LISR (SIC &amp; BMV)</v>
      </c>
      <c r="J922" s="302">
        <f t="shared" si="239"/>
        <v>66</v>
      </c>
      <c r="K922" s="304">
        <f t="shared" si="240"/>
        <v>80.591818181818184</v>
      </c>
      <c r="L922" s="305">
        <f>IF(H922=0,0,IF(OR(E922=$AT$5,E922=$AT$6),AA922,IF(F922="MXN",1/HLOOKUP(YEAR(G922)+(MONTH(G922)/100),TC!$5:$37,DAY(G922)+2,FALSE),VLOOKUP(F922,Equivalencia!$5:$23,((MAX(Equivalencia!$3:$3)-YEAR(G922))*14)+MONTH(G922)+2,FALSE))))</f>
        <v>1</v>
      </c>
      <c r="M922" s="306">
        <f t="shared" si="241"/>
        <v>5319.06</v>
      </c>
      <c r="N922" s="305">
        <f>IF(G922=0,0,(IF(OR(E922=$AT$5,E922=$AT$6),AC922,HLOOKUP(YEAR(G922)+(MONTH(G922)/100),TC!$5:$37,DAY(G922)+2,FALSE))))</f>
        <v>18.847999999999999</v>
      </c>
      <c r="O922" s="307">
        <f t="shared" si="242"/>
        <v>100253.64288</v>
      </c>
      <c r="P922" s="560">
        <f>IF(G922=0,0,VLOOKUP(YEAR(G922),INPC!$B$4:$P$30,MONTH(G922)+2))</f>
        <v>103.53100000000001</v>
      </c>
      <c r="Q922" s="560">
        <f>IF(X922=0,0,IF(OR(E922=$AT$10,E922=$AT$9),VLOOKUP(YEAR(X922),INPC!$B$4:$P$30,MONTH(X922)+1),VLOOKUP(YEAR(X922),INPC!$B$4:$P$30,MONTH(X922)+2,0)))</f>
        <v>122.94799999999999</v>
      </c>
      <c r="R922" s="309">
        <f t="shared" si="243"/>
        <v>1.1875</v>
      </c>
      <c r="S922" s="310">
        <f t="shared" si="244"/>
        <v>119051.20092</v>
      </c>
      <c r="T922" s="555">
        <f t="shared" si="245"/>
        <v>1803.8060745454545</v>
      </c>
      <c r="U922" s="311"/>
      <c r="V922" s="312">
        <v>66</v>
      </c>
      <c r="W922" s="299" t="s">
        <v>194</v>
      </c>
      <c r="X922" s="300">
        <v>44803</v>
      </c>
      <c r="Y922" s="299" t="s">
        <v>59</v>
      </c>
      <c r="Z922" s="681">
        <v>6668.37</v>
      </c>
      <c r="AA922" s="305">
        <f>IF(Z922=0,0,IF(Y922="MXN",1/HLOOKUP(YEAR(X922)+(MONTH(X922)/100),TC!$5:$37,DAY(X922)+2,FALSE),VLOOKUP(Y922,Equivalencia!$1:$23,((MAX(Equivalencia!$3:$3)-YEAR(X922))*14)+MONTH(X922)+2,FALSE)))</f>
        <v>1</v>
      </c>
      <c r="AB922" s="306">
        <f t="shared" si="246"/>
        <v>6668.37</v>
      </c>
      <c r="AC922" s="305">
        <f>+IF(X922=0,0,HLOOKUP(YEAR(X922)+(MONTH(X922)/100),TC!$5:$37,DAY(X922)+2,FALSE))</f>
        <v>19.9268</v>
      </c>
      <c r="AD922" s="307">
        <f t="shared" si="247"/>
        <v>132879.27531599998</v>
      </c>
      <c r="AE922" s="314">
        <f t="shared" si="248"/>
        <v>119051.20092</v>
      </c>
      <c r="AF922" s="315">
        <f t="shared" si="249"/>
        <v>13828.074395999982</v>
      </c>
      <c r="AG922" s="316">
        <f t="shared" si="250"/>
        <v>3.3561643835616439</v>
      </c>
      <c r="AH922" s="314">
        <v>1</v>
      </c>
      <c r="AI922" s="314">
        <f t="shared" si="251"/>
        <v>13828.074395999982</v>
      </c>
      <c r="AJ922" s="314">
        <f t="shared" si="252"/>
        <v>0</v>
      </c>
      <c r="AK922" s="317"/>
      <c r="AL922" s="315">
        <f t="shared" si="253"/>
        <v>1349.3099999999995</v>
      </c>
      <c r="AN922" s="554">
        <f t="shared" si="254"/>
        <v>0.25367452143799835</v>
      </c>
      <c r="AO922" s="314"/>
      <c r="AP922" s="318"/>
    </row>
    <row r="923" spans="2:42">
      <c r="B923" s="296" t="s">
        <v>1266</v>
      </c>
      <c r="C923" s="299" t="s">
        <v>277</v>
      </c>
      <c r="D923" s="298" t="s">
        <v>765</v>
      </c>
      <c r="E923" s="299" t="s">
        <v>113</v>
      </c>
      <c r="F923" s="299" t="s">
        <v>59</v>
      </c>
      <c r="G923" s="300">
        <v>44337</v>
      </c>
      <c r="H923" s="681">
        <v>6419.03</v>
      </c>
      <c r="I923" s="301" t="str">
        <f t="shared" si="238"/>
        <v>Ingresos Sección II LISR (SIC &amp; BMV)</v>
      </c>
      <c r="J923" s="302">
        <f t="shared" si="239"/>
        <v>17</v>
      </c>
      <c r="K923" s="304">
        <f t="shared" si="240"/>
        <v>377.59</v>
      </c>
      <c r="L923" s="305">
        <f>IF(H923=0,0,IF(OR(E923=$AT$5,E923=$AT$6),AA923,IF(F923="MXN",1/HLOOKUP(YEAR(G923)+(MONTH(G923)/100),TC!$5:$37,DAY(G923)+2,FALSE),VLOOKUP(F923,Equivalencia!$5:$23,((MAX(Equivalencia!$3:$3)-YEAR(G923))*14)+MONTH(G923)+2,FALSE))))</f>
        <v>1</v>
      </c>
      <c r="M923" s="306">
        <f t="shared" si="241"/>
        <v>6419.03</v>
      </c>
      <c r="N923" s="305">
        <f>IF(G923=0,0,(IF(OR(E923=$AT$5,E923=$AT$6),AC923,HLOOKUP(YEAR(G923)+(MONTH(G923)/100),TC!$5:$37,DAY(G923)+2,FALSE))))</f>
        <v>19.814299999999999</v>
      </c>
      <c r="O923" s="307">
        <f t="shared" si="242"/>
        <v>127188.58612899999</v>
      </c>
      <c r="P923" s="560">
        <f>IF(G923=0,0,VLOOKUP(YEAR(G923),INPC!$B$4:$P$30,MONTH(G923)+2))</f>
        <v>112.419</v>
      </c>
      <c r="Q923" s="560">
        <f>IF(X923=0,0,IF(OR(E923=$AT$10,E923=$AT$9),VLOOKUP(YEAR(X923),INPC!$B$4:$P$30,MONTH(X923)+1),VLOOKUP(YEAR(X923),INPC!$B$4:$P$30,MONTH(X923)+2,0)))</f>
        <v>122.94799999999999</v>
      </c>
      <c r="R923" s="309">
        <f t="shared" si="243"/>
        <v>1.0935999999999999</v>
      </c>
      <c r="S923" s="310">
        <f t="shared" si="244"/>
        <v>139093.43779067436</v>
      </c>
      <c r="T923" s="555">
        <f t="shared" si="245"/>
        <v>8181.9669288631976</v>
      </c>
      <c r="U923" s="311"/>
      <c r="V923" s="312">
        <v>17</v>
      </c>
      <c r="W923" s="299" t="s">
        <v>194</v>
      </c>
      <c r="X923" s="300">
        <v>44803</v>
      </c>
      <c r="Y923" s="299" t="s">
        <v>59</v>
      </c>
      <c r="Z923" s="681">
        <v>6048.23</v>
      </c>
      <c r="AA923" s="305">
        <f>IF(Z923=0,0,IF(Y923="MXN",1/HLOOKUP(YEAR(X923)+(MONTH(X923)/100),TC!$5:$37,DAY(X923)+2,FALSE),VLOOKUP(Y923,Equivalencia!$1:$23,((MAX(Equivalencia!$3:$3)-YEAR(X923))*14)+MONTH(X923)+2,FALSE)))</f>
        <v>1</v>
      </c>
      <c r="AB923" s="306">
        <f t="shared" si="246"/>
        <v>6048.23</v>
      </c>
      <c r="AC923" s="305">
        <f>+IF(X923=0,0,HLOOKUP(YEAR(X923)+(MONTH(X923)/100),TC!$5:$37,DAY(X923)+2,FALSE))</f>
        <v>19.9268</v>
      </c>
      <c r="AD923" s="307">
        <f t="shared" si="247"/>
        <v>120521.86956399999</v>
      </c>
      <c r="AE923" s="314">
        <f t="shared" si="248"/>
        <v>139093.43779067436</v>
      </c>
      <c r="AF923" s="315">
        <f t="shared" si="249"/>
        <v>-18571.568226674368</v>
      </c>
      <c r="AG923" s="316">
        <f t="shared" si="250"/>
        <v>1.2767123287671234</v>
      </c>
      <c r="AH923" s="314">
        <v>1</v>
      </c>
      <c r="AI923" s="314">
        <f t="shared" si="251"/>
        <v>-18571.568226674368</v>
      </c>
      <c r="AJ923" s="314">
        <f t="shared" si="252"/>
        <v>0</v>
      </c>
      <c r="AK923" s="317"/>
      <c r="AL923" s="315">
        <f t="shared" si="253"/>
        <v>-370.80000000000018</v>
      </c>
      <c r="AN923" s="554">
        <f t="shared" si="254"/>
        <v>-5.7765737190821696E-2</v>
      </c>
      <c r="AO923" s="314"/>
      <c r="AP923" s="318"/>
    </row>
    <row r="924" spans="2:42">
      <c r="B924" s="296" t="s">
        <v>1266</v>
      </c>
      <c r="C924" s="299" t="s">
        <v>277</v>
      </c>
      <c r="D924" s="298" t="s">
        <v>784</v>
      </c>
      <c r="E924" s="299" t="s">
        <v>113</v>
      </c>
      <c r="F924" s="299" t="s">
        <v>59</v>
      </c>
      <c r="G924" s="300">
        <v>43578</v>
      </c>
      <c r="H924" s="681">
        <v>10154.57</v>
      </c>
      <c r="I924" s="301" t="str">
        <f t="shared" si="238"/>
        <v>Ingresos Sección II LISR (SIC &amp; BMV)</v>
      </c>
      <c r="J924" s="302">
        <f t="shared" si="239"/>
        <v>126</v>
      </c>
      <c r="K924" s="304">
        <f t="shared" si="240"/>
        <v>80.591825396825399</v>
      </c>
      <c r="L924" s="305">
        <f>IF(H924=0,0,IF(OR(E924=$AT$5,E924=$AT$6),AA924,IF(F924="MXN",1/HLOOKUP(YEAR(G924)+(MONTH(G924)/100),TC!$5:$37,DAY(G924)+2,FALSE),VLOOKUP(F924,Equivalencia!$5:$23,((MAX(Equivalencia!$3:$3)-YEAR(G924))*14)+MONTH(G924)+2,FALSE))))</f>
        <v>1</v>
      </c>
      <c r="M924" s="306">
        <f t="shared" si="241"/>
        <v>10154.57</v>
      </c>
      <c r="N924" s="305">
        <f>IF(G924=0,0,(IF(OR(E924=$AT$5,E924=$AT$6),AC924,HLOOKUP(YEAR(G924)+(MONTH(G924)/100),TC!$5:$37,DAY(G924)+2,FALSE))))</f>
        <v>18.847999999999999</v>
      </c>
      <c r="O924" s="307">
        <f t="shared" si="242"/>
        <v>191393.33536</v>
      </c>
      <c r="P924" s="560">
        <f>IF(G924=0,0,VLOOKUP(YEAR(G924),INPC!$B$4:$P$30,MONTH(G924)+2))</f>
        <v>103.53100000000001</v>
      </c>
      <c r="Q924" s="560">
        <f>IF(X924=0,0,IF(OR(E924=$AT$10,E924=$AT$9),VLOOKUP(YEAR(X924),INPC!$B$4:$P$30,MONTH(X924)+1),VLOOKUP(YEAR(X924),INPC!$B$4:$P$30,MONTH(X924)+2,0)))</f>
        <v>122.94799999999999</v>
      </c>
      <c r="R924" s="309">
        <f t="shared" si="243"/>
        <v>1.1875</v>
      </c>
      <c r="S924" s="310">
        <f t="shared" si="244"/>
        <v>227279.58574000001</v>
      </c>
      <c r="T924" s="555">
        <f t="shared" si="245"/>
        <v>1803.806236031746</v>
      </c>
      <c r="U924" s="311"/>
      <c r="V924" s="312">
        <v>126</v>
      </c>
      <c r="W924" s="299" t="s">
        <v>194</v>
      </c>
      <c r="X924" s="300">
        <v>44804</v>
      </c>
      <c r="Y924" s="299" t="s">
        <v>59</v>
      </c>
      <c r="Z924" s="681">
        <v>12740.36</v>
      </c>
      <c r="AA924" s="305">
        <f>IF(Z924=0,0,IF(Y924="MXN",1/HLOOKUP(YEAR(X924)+(MONTH(X924)/100),TC!$5:$37,DAY(X924)+2,FALSE),VLOOKUP(Y924,Equivalencia!$1:$23,((MAX(Equivalencia!$3:$3)-YEAR(X924))*14)+MONTH(X924)+2,FALSE)))</f>
        <v>1</v>
      </c>
      <c r="AB924" s="306">
        <f t="shared" si="246"/>
        <v>12740.36</v>
      </c>
      <c r="AC924" s="305">
        <f>+IF(X924=0,0,HLOOKUP(YEAR(X924)+(MONTH(X924)/100),TC!$5:$37,DAY(X924)+2,FALSE))</f>
        <v>19.994499999999999</v>
      </c>
      <c r="AD924" s="307">
        <f t="shared" si="247"/>
        <v>254737.12802</v>
      </c>
      <c r="AE924" s="314">
        <f t="shared" si="248"/>
        <v>227279.58574000001</v>
      </c>
      <c r="AF924" s="315">
        <f t="shared" si="249"/>
        <v>27457.542279999994</v>
      </c>
      <c r="AG924" s="316">
        <f t="shared" si="250"/>
        <v>3.3589041095890413</v>
      </c>
      <c r="AH924" s="314">
        <v>1</v>
      </c>
      <c r="AI924" s="314">
        <f t="shared" si="251"/>
        <v>27457.542279999994</v>
      </c>
      <c r="AJ924" s="314">
        <f t="shared" si="252"/>
        <v>0</v>
      </c>
      <c r="AK924" s="317"/>
      <c r="AL924" s="315">
        <f t="shared" si="253"/>
        <v>2585.7900000000009</v>
      </c>
      <c r="AN924" s="554">
        <f t="shared" si="254"/>
        <v>0.25464298340550129</v>
      </c>
      <c r="AO924" s="314"/>
      <c r="AP924" s="318"/>
    </row>
    <row r="925" spans="2:42">
      <c r="B925" s="296" t="s">
        <v>1266</v>
      </c>
      <c r="C925" s="299" t="s">
        <v>277</v>
      </c>
      <c r="D925" s="298" t="s">
        <v>765</v>
      </c>
      <c r="E925" s="299" t="s">
        <v>113</v>
      </c>
      <c r="F925" s="299" t="s">
        <v>59</v>
      </c>
      <c r="G925" s="300">
        <v>44337</v>
      </c>
      <c r="H925" s="681">
        <v>4153.5</v>
      </c>
      <c r="I925" s="301" t="str">
        <f t="shared" si="238"/>
        <v>Ingresos Sección II LISR (SIC &amp; BMV)</v>
      </c>
      <c r="J925" s="302">
        <f t="shared" si="239"/>
        <v>11</v>
      </c>
      <c r="K925" s="304">
        <f t="shared" si="240"/>
        <v>377.59090909090907</v>
      </c>
      <c r="L925" s="305">
        <f>IF(H925=0,0,IF(OR(E925=$AT$5,E925=$AT$6),AA925,IF(F925="MXN",1/HLOOKUP(YEAR(G925)+(MONTH(G925)/100),TC!$5:$37,DAY(G925)+2,FALSE),VLOOKUP(F925,Equivalencia!$5:$23,((MAX(Equivalencia!$3:$3)-YEAR(G925))*14)+MONTH(G925)+2,FALSE))))</f>
        <v>1</v>
      </c>
      <c r="M925" s="306">
        <f t="shared" si="241"/>
        <v>4153.5</v>
      </c>
      <c r="N925" s="305">
        <f>IF(G925=0,0,(IF(OR(E925=$AT$5,E925=$AT$6),AC925,HLOOKUP(YEAR(G925)+(MONTH(G925)/100),TC!$5:$37,DAY(G925)+2,FALSE))))</f>
        <v>19.814299999999999</v>
      </c>
      <c r="O925" s="307">
        <f t="shared" si="242"/>
        <v>82298.695049999995</v>
      </c>
      <c r="P925" s="560">
        <f>IF(G925=0,0,VLOOKUP(YEAR(G925),INPC!$B$4:$P$30,MONTH(G925)+2))</f>
        <v>112.419</v>
      </c>
      <c r="Q925" s="560">
        <f>IF(X925=0,0,IF(OR(E925=$AT$10,E925=$AT$9),VLOOKUP(YEAR(X925),INPC!$B$4:$P$30,MONTH(X925)+1),VLOOKUP(YEAR(X925),INPC!$B$4:$P$30,MONTH(X925)+2,0)))</f>
        <v>122.94799999999999</v>
      </c>
      <c r="R925" s="309">
        <f t="shared" si="243"/>
        <v>1.0935999999999999</v>
      </c>
      <c r="S925" s="310">
        <f t="shared" si="244"/>
        <v>90001.852906679982</v>
      </c>
      <c r="T925" s="555">
        <f t="shared" si="245"/>
        <v>8181.9866278799982</v>
      </c>
      <c r="U925" s="311"/>
      <c r="V925" s="312">
        <v>11</v>
      </c>
      <c r="W925" s="299" t="s">
        <v>194</v>
      </c>
      <c r="X925" s="300">
        <v>44804</v>
      </c>
      <c r="Y925" s="299" t="s">
        <v>59</v>
      </c>
      <c r="Z925" s="681">
        <v>3928.82</v>
      </c>
      <c r="AA925" s="305">
        <f>IF(Z925=0,0,IF(Y925="MXN",1/HLOOKUP(YEAR(X925)+(MONTH(X925)/100),TC!$5:$37,DAY(X925)+2,FALSE),VLOOKUP(Y925,Equivalencia!$1:$23,((MAX(Equivalencia!$3:$3)-YEAR(X925))*14)+MONTH(X925)+2,FALSE)))</f>
        <v>1</v>
      </c>
      <c r="AB925" s="306">
        <f t="shared" si="246"/>
        <v>3928.82</v>
      </c>
      <c r="AC925" s="305">
        <f>+IF(X925=0,0,HLOOKUP(YEAR(X925)+(MONTH(X925)/100),TC!$5:$37,DAY(X925)+2,FALSE))</f>
        <v>19.994499999999999</v>
      </c>
      <c r="AD925" s="307">
        <f t="shared" si="247"/>
        <v>78554.791490000003</v>
      </c>
      <c r="AE925" s="314">
        <f t="shared" si="248"/>
        <v>90001.852906679982</v>
      </c>
      <c r="AF925" s="315">
        <f t="shared" si="249"/>
        <v>-11447.061416679979</v>
      </c>
      <c r="AG925" s="316">
        <f t="shared" si="250"/>
        <v>1.2794520547945205</v>
      </c>
      <c r="AH925" s="314">
        <v>1</v>
      </c>
      <c r="AI925" s="314">
        <f t="shared" si="251"/>
        <v>-11447.061416679979</v>
      </c>
      <c r="AJ925" s="314">
        <f t="shared" si="252"/>
        <v>0</v>
      </c>
      <c r="AK925" s="317"/>
      <c r="AL925" s="315">
        <f t="shared" si="253"/>
        <v>-224.67999999999984</v>
      </c>
      <c r="AN925" s="554">
        <f t="shared" si="254"/>
        <v>-5.4094137474419123E-2</v>
      </c>
      <c r="AO925" s="314"/>
      <c r="AP925" s="318"/>
    </row>
    <row r="926" spans="2:42">
      <c r="B926" s="296" t="s">
        <v>1266</v>
      </c>
      <c r="C926" s="299" t="s">
        <v>277</v>
      </c>
      <c r="D926" s="298" t="s">
        <v>784</v>
      </c>
      <c r="E926" s="299" t="s">
        <v>113</v>
      </c>
      <c r="F926" s="299" t="s">
        <v>59</v>
      </c>
      <c r="G926" s="300">
        <v>43578</v>
      </c>
      <c r="H926" s="681">
        <v>4190.7700000000004</v>
      </c>
      <c r="I926" s="301" t="str">
        <f t="shared" si="238"/>
        <v>Ingresos Sección II LISR (SIC &amp; BMV)</v>
      </c>
      <c r="J926" s="302">
        <f t="shared" si="239"/>
        <v>52</v>
      </c>
      <c r="K926" s="304">
        <f t="shared" si="240"/>
        <v>80.591730769230779</v>
      </c>
      <c r="L926" s="305">
        <f>IF(H926=0,0,IF(OR(E926=$AT$5,E926=$AT$6),AA926,IF(F926="MXN",1/HLOOKUP(YEAR(G926)+(MONTH(G926)/100),TC!$5:$37,DAY(G926)+2,FALSE),VLOOKUP(F926,Equivalencia!$5:$23,((MAX(Equivalencia!$3:$3)-YEAR(G926))*14)+MONTH(G926)+2,FALSE))))</f>
        <v>1</v>
      </c>
      <c r="M926" s="306">
        <f t="shared" si="241"/>
        <v>4190.7700000000004</v>
      </c>
      <c r="N926" s="305">
        <f>IF(G926=0,0,(IF(OR(E926=$AT$5,E926=$AT$6),AC926,HLOOKUP(YEAR(G926)+(MONTH(G926)/100),TC!$5:$37,DAY(G926)+2,FALSE))))</f>
        <v>18.847999999999999</v>
      </c>
      <c r="O926" s="307">
        <f t="shared" si="242"/>
        <v>78987.632960000003</v>
      </c>
      <c r="P926" s="560">
        <f>IF(G926=0,0,VLOOKUP(YEAR(G926),INPC!$B$4:$P$30,MONTH(G926)+2))</f>
        <v>103.53100000000001</v>
      </c>
      <c r="Q926" s="560">
        <f>IF(X926=0,0,IF(OR(E926=$AT$10,E926=$AT$9),VLOOKUP(YEAR(X926),INPC!$B$4:$P$30,MONTH(X926)+1),VLOOKUP(YEAR(X926),INPC!$B$4:$P$30,MONTH(X926)+2,0)))</f>
        <v>123.803</v>
      </c>
      <c r="R926" s="309">
        <f t="shared" si="243"/>
        <v>1.1958</v>
      </c>
      <c r="S926" s="310">
        <f t="shared" si="244"/>
        <v>94453.411493567997</v>
      </c>
      <c r="T926" s="555">
        <f t="shared" si="245"/>
        <v>1816.4117594916922</v>
      </c>
      <c r="U926" s="311"/>
      <c r="V926" s="312">
        <v>52</v>
      </c>
      <c r="W926" s="299" t="s">
        <v>194</v>
      </c>
      <c r="X926" s="300">
        <v>44805</v>
      </c>
      <c r="Y926" s="299" t="s">
        <v>59</v>
      </c>
      <c r="Z926" s="681">
        <v>5220.1499999999996</v>
      </c>
      <c r="AA926" s="305">
        <f>IF(Z926=0,0,IF(Y926="MXN",1/HLOOKUP(YEAR(X926)+(MONTH(X926)/100),TC!$5:$37,DAY(X926)+2,FALSE),VLOOKUP(Y926,Equivalencia!$1:$23,((MAX(Equivalencia!$3:$3)-YEAR(X926))*14)+MONTH(X926)+2,FALSE)))</f>
        <v>1</v>
      </c>
      <c r="AB926" s="306">
        <f t="shared" si="246"/>
        <v>5220.1499999999996</v>
      </c>
      <c r="AC926" s="305">
        <f>+IF(X926=0,0,HLOOKUP(YEAR(X926)+(MONTH(X926)/100),TC!$5:$37,DAY(X926)+2,FALSE))</f>
        <v>20.1465</v>
      </c>
      <c r="AD926" s="307">
        <f t="shared" si="247"/>
        <v>105167.75197499999</v>
      </c>
      <c r="AE926" s="314">
        <f t="shared" si="248"/>
        <v>94453.411493567997</v>
      </c>
      <c r="AF926" s="315">
        <f t="shared" si="249"/>
        <v>10714.340481431995</v>
      </c>
      <c r="AG926" s="316">
        <f t="shared" si="250"/>
        <v>3.3616438356164382</v>
      </c>
      <c r="AH926" s="314">
        <v>1</v>
      </c>
      <c r="AI926" s="314">
        <f t="shared" si="251"/>
        <v>10714.340481431995</v>
      </c>
      <c r="AJ926" s="314">
        <f t="shared" si="252"/>
        <v>0</v>
      </c>
      <c r="AK926" s="317"/>
      <c r="AL926" s="315">
        <f t="shared" si="253"/>
        <v>1029.3799999999992</v>
      </c>
      <c r="AN926" s="554">
        <f t="shared" si="254"/>
        <v>0.24563027796801043</v>
      </c>
      <c r="AO926" s="314"/>
      <c r="AP926" s="318"/>
    </row>
    <row r="927" spans="2:42">
      <c r="B927" s="296" t="s">
        <v>1266</v>
      </c>
      <c r="C927" s="299" t="s">
        <v>277</v>
      </c>
      <c r="D927" s="298" t="s">
        <v>784</v>
      </c>
      <c r="E927" s="299" t="s">
        <v>113</v>
      </c>
      <c r="F927" s="299" t="s">
        <v>59</v>
      </c>
      <c r="G927" s="300">
        <v>43964</v>
      </c>
      <c r="H927" s="681">
        <v>6268.2</v>
      </c>
      <c r="I927" s="301" t="str">
        <f t="shared" si="238"/>
        <v>Ingresos Sección II LISR (SIC &amp; BMV)</v>
      </c>
      <c r="J927" s="302">
        <f t="shared" si="239"/>
        <v>68</v>
      </c>
      <c r="K927" s="304">
        <f t="shared" si="240"/>
        <v>92.179411764705875</v>
      </c>
      <c r="L927" s="305">
        <f>IF(H927=0,0,IF(OR(E927=$AT$5,E927=$AT$6),AA927,IF(F927="MXN",1/HLOOKUP(YEAR(G927)+(MONTH(G927)/100),TC!$5:$37,DAY(G927)+2,FALSE),VLOOKUP(F927,Equivalencia!$5:$23,((MAX(Equivalencia!$3:$3)-YEAR(G927))*14)+MONTH(G927)+2,FALSE))))</f>
        <v>1</v>
      </c>
      <c r="M927" s="306">
        <f t="shared" si="241"/>
        <v>6268.2</v>
      </c>
      <c r="N927" s="305">
        <f>IF(G927=0,0,(IF(OR(E927=$AT$5,E927=$AT$6),AC927,HLOOKUP(YEAR(G927)+(MONTH(G927)/100),TC!$5:$37,DAY(G927)+2,FALSE))))</f>
        <v>23.869299999999999</v>
      </c>
      <c r="O927" s="307">
        <f t="shared" si="242"/>
        <v>149617.54626</v>
      </c>
      <c r="P927" s="560">
        <f>IF(G927=0,0,VLOOKUP(YEAR(G927),INPC!$B$4:$P$30,MONTH(G927)+2))</f>
        <v>106.16200000000001</v>
      </c>
      <c r="Q927" s="560">
        <f>IF(X927=0,0,IF(OR(E927=$AT$10,E927=$AT$9),VLOOKUP(YEAR(X927),INPC!$B$4:$P$30,MONTH(X927)+1),VLOOKUP(YEAR(X927),INPC!$B$4:$P$30,MONTH(X927)+2,0)))</f>
        <v>123.803</v>
      </c>
      <c r="R927" s="309">
        <f t="shared" si="243"/>
        <v>1.1660999999999999</v>
      </c>
      <c r="S927" s="310">
        <f t="shared" si="244"/>
        <v>174469.02069378598</v>
      </c>
      <c r="T927" s="555">
        <f t="shared" si="245"/>
        <v>2565.7208925556761</v>
      </c>
      <c r="U927" s="311"/>
      <c r="V927" s="312">
        <v>68</v>
      </c>
      <c r="W927" s="299" t="s">
        <v>194</v>
      </c>
      <c r="X927" s="300">
        <v>44805</v>
      </c>
      <c r="Y927" s="299" t="s">
        <v>59</v>
      </c>
      <c r="Z927" s="681">
        <v>6826.35</v>
      </c>
      <c r="AA927" s="305">
        <f>IF(Z927=0,0,IF(Y927="MXN",1/HLOOKUP(YEAR(X927)+(MONTH(X927)/100),TC!$5:$37,DAY(X927)+2,FALSE),VLOOKUP(Y927,Equivalencia!$1:$23,((MAX(Equivalencia!$3:$3)-YEAR(X927))*14)+MONTH(X927)+2,FALSE)))</f>
        <v>1</v>
      </c>
      <c r="AB927" s="306">
        <f t="shared" si="246"/>
        <v>6826.35</v>
      </c>
      <c r="AC927" s="305">
        <f>+IF(X927=0,0,HLOOKUP(YEAR(X927)+(MONTH(X927)/100),TC!$5:$37,DAY(X927)+2,FALSE))</f>
        <v>20.1465</v>
      </c>
      <c r="AD927" s="307">
        <f t="shared" si="247"/>
        <v>137527.060275</v>
      </c>
      <c r="AE927" s="314">
        <f t="shared" si="248"/>
        <v>174469.02069378598</v>
      </c>
      <c r="AF927" s="315">
        <f t="shared" si="249"/>
        <v>-36941.96041878598</v>
      </c>
      <c r="AG927" s="316">
        <f t="shared" si="250"/>
        <v>2.3041095890410959</v>
      </c>
      <c r="AH927" s="314">
        <v>1</v>
      </c>
      <c r="AI927" s="314">
        <f t="shared" si="251"/>
        <v>-36941.96041878598</v>
      </c>
      <c r="AJ927" s="314">
        <f t="shared" si="252"/>
        <v>0</v>
      </c>
      <c r="AK927" s="317"/>
      <c r="AL927" s="315">
        <f t="shared" si="253"/>
        <v>558.15000000000055</v>
      </c>
      <c r="AN927" s="554">
        <f t="shared" si="254"/>
        <v>8.9044701828276146E-2</v>
      </c>
      <c r="AO927" s="314"/>
      <c r="AP927" s="318"/>
    </row>
    <row r="928" spans="2:42">
      <c r="B928" s="296" t="s">
        <v>1266</v>
      </c>
      <c r="C928" s="299" t="s">
        <v>277</v>
      </c>
      <c r="D928" s="298" t="s">
        <v>765</v>
      </c>
      <c r="E928" s="299" t="s">
        <v>113</v>
      </c>
      <c r="F928" s="299" t="s">
        <v>59</v>
      </c>
      <c r="G928" s="300">
        <v>44337</v>
      </c>
      <c r="H928" s="681">
        <v>377.59</v>
      </c>
      <c r="I928" s="301" t="str">
        <f t="shared" si="238"/>
        <v>Ingresos Sección II LISR (SIC &amp; BMV)</v>
      </c>
      <c r="J928" s="302">
        <f t="shared" si="239"/>
        <v>1</v>
      </c>
      <c r="K928" s="304">
        <f t="shared" si="240"/>
        <v>377.59</v>
      </c>
      <c r="L928" s="305">
        <f>IF(H928=0,0,IF(OR(E928=$AT$5,E928=$AT$6),AA928,IF(F928="MXN",1/HLOOKUP(YEAR(G928)+(MONTH(G928)/100),TC!$5:$37,DAY(G928)+2,FALSE),VLOOKUP(F928,Equivalencia!$5:$23,((MAX(Equivalencia!$3:$3)-YEAR(G928))*14)+MONTH(G928)+2,FALSE))))</f>
        <v>1</v>
      </c>
      <c r="M928" s="306">
        <f t="shared" si="241"/>
        <v>377.59</v>
      </c>
      <c r="N928" s="305">
        <f>IF(G928=0,0,(IF(OR(E928=$AT$5,E928=$AT$6),AC928,HLOOKUP(YEAR(G928)+(MONTH(G928)/100),TC!$5:$37,DAY(G928)+2,FALSE))))</f>
        <v>19.814299999999999</v>
      </c>
      <c r="O928" s="307">
        <f t="shared" si="242"/>
        <v>7481.6815369999995</v>
      </c>
      <c r="P928" s="560">
        <f>IF(G928=0,0,VLOOKUP(YEAR(G928),INPC!$B$4:$P$30,MONTH(G928)+2))</f>
        <v>112.419</v>
      </c>
      <c r="Q928" s="560">
        <f>IF(X928=0,0,IF(OR(E928=$AT$10,E928=$AT$9),VLOOKUP(YEAR(X928),INPC!$B$4:$P$30,MONTH(X928)+1),VLOOKUP(YEAR(X928),INPC!$B$4:$P$30,MONTH(X928)+2,0)))</f>
        <v>123.803</v>
      </c>
      <c r="R928" s="309">
        <f t="shared" si="243"/>
        <v>1.1012</v>
      </c>
      <c r="S928" s="310">
        <f t="shared" si="244"/>
        <v>8238.8277085443988</v>
      </c>
      <c r="T928" s="555">
        <f t="shared" si="245"/>
        <v>8238.8277085443988</v>
      </c>
      <c r="U928" s="311"/>
      <c r="V928" s="312">
        <v>1</v>
      </c>
      <c r="W928" s="299" t="s">
        <v>194</v>
      </c>
      <c r="X928" s="300">
        <v>44805</v>
      </c>
      <c r="Y928" s="299" t="s">
        <v>59</v>
      </c>
      <c r="Z928" s="681">
        <v>348.69</v>
      </c>
      <c r="AA928" s="305">
        <f>IF(Z928=0,0,IF(Y928="MXN",1/HLOOKUP(YEAR(X928)+(MONTH(X928)/100),TC!$5:$37,DAY(X928)+2,FALSE),VLOOKUP(Y928,Equivalencia!$1:$23,((MAX(Equivalencia!$3:$3)-YEAR(X928))*14)+MONTH(X928)+2,FALSE)))</f>
        <v>1</v>
      </c>
      <c r="AB928" s="306">
        <f t="shared" si="246"/>
        <v>348.69</v>
      </c>
      <c r="AC928" s="305">
        <f>+IF(X928=0,0,HLOOKUP(YEAR(X928)+(MONTH(X928)/100),TC!$5:$37,DAY(X928)+2,FALSE))</f>
        <v>20.1465</v>
      </c>
      <c r="AD928" s="307">
        <f t="shared" si="247"/>
        <v>7024.8830849999995</v>
      </c>
      <c r="AE928" s="314">
        <f t="shared" si="248"/>
        <v>8238.8277085443988</v>
      </c>
      <c r="AF928" s="315">
        <f t="shared" si="249"/>
        <v>-1213.9446235443993</v>
      </c>
      <c r="AG928" s="316">
        <f t="shared" si="250"/>
        <v>1.2821917808219179</v>
      </c>
      <c r="AH928" s="314">
        <v>1</v>
      </c>
      <c r="AI928" s="314">
        <f t="shared" si="251"/>
        <v>-1213.9446235443993</v>
      </c>
      <c r="AJ928" s="314">
        <f t="shared" si="252"/>
        <v>0</v>
      </c>
      <c r="AK928" s="317"/>
      <c r="AL928" s="315">
        <f t="shared" si="253"/>
        <v>-28.899999999999977</v>
      </c>
      <c r="AN928" s="554">
        <f t="shared" si="254"/>
        <v>-7.6538043910061124E-2</v>
      </c>
      <c r="AO928" s="314"/>
      <c r="AP928" s="318"/>
    </row>
    <row r="929" spans="2:42">
      <c r="B929" s="296" t="s">
        <v>1266</v>
      </c>
      <c r="C929" s="299" t="s">
        <v>277</v>
      </c>
      <c r="D929" s="298" t="s">
        <v>765</v>
      </c>
      <c r="E929" s="299" t="s">
        <v>113</v>
      </c>
      <c r="F929" s="299" t="s">
        <v>59</v>
      </c>
      <c r="G929" s="300">
        <v>44340</v>
      </c>
      <c r="H929" s="681">
        <v>4561.92</v>
      </c>
      <c r="I929" s="301" t="str">
        <f t="shared" si="238"/>
        <v>Ingresos Sección II LISR (SIC &amp; BMV)</v>
      </c>
      <c r="J929" s="302">
        <f t="shared" si="239"/>
        <v>12</v>
      </c>
      <c r="K929" s="304">
        <f t="shared" si="240"/>
        <v>380.16</v>
      </c>
      <c r="L929" s="305">
        <f>IF(H929=0,0,IF(OR(E929=$AT$5,E929=$AT$6),AA929,IF(F929="MXN",1/HLOOKUP(YEAR(G929)+(MONTH(G929)/100),TC!$5:$37,DAY(G929)+2,FALSE),VLOOKUP(F929,Equivalencia!$5:$23,((MAX(Equivalencia!$3:$3)-YEAR(G929))*14)+MONTH(G929)+2,FALSE))))</f>
        <v>1</v>
      </c>
      <c r="M929" s="306">
        <f t="shared" si="241"/>
        <v>4561.92</v>
      </c>
      <c r="N929" s="305">
        <f>IF(G929=0,0,(IF(OR(E929=$AT$5,E929=$AT$6),AC929,HLOOKUP(YEAR(G929)+(MONTH(G929)/100),TC!$5:$37,DAY(G929)+2,FALSE))))</f>
        <v>19.881</v>
      </c>
      <c r="O929" s="307">
        <f t="shared" si="242"/>
        <v>90695.531520000004</v>
      </c>
      <c r="P929" s="560">
        <f>IF(G929=0,0,VLOOKUP(YEAR(G929),INPC!$B$4:$P$30,MONTH(G929)+2))</f>
        <v>112.419</v>
      </c>
      <c r="Q929" s="560">
        <f>IF(X929=0,0,IF(OR(E929=$AT$10,E929=$AT$9),VLOOKUP(YEAR(X929),INPC!$B$4:$P$30,MONTH(X929)+1),VLOOKUP(YEAR(X929),INPC!$B$4:$P$30,MONTH(X929)+2,0)))</f>
        <v>123.803</v>
      </c>
      <c r="R929" s="309">
        <f t="shared" si="243"/>
        <v>1.1012</v>
      </c>
      <c r="S929" s="310">
        <f t="shared" si="244"/>
        <v>99873.919309824007</v>
      </c>
      <c r="T929" s="555">
        <f t="shared" si="245"/>
        <v>8322.8266091519999</v>
      </c>
      <c r="U929" s="311"/>
      <c r="V929" s="312">
        <v>12</v>
      </c>
      <c r="W929" s="299" t="s">
        <v>194</v>
      </c>
      <c r="X929" s="300">
        <v>44805</v>
      </c>
      <c r="Y929" s="299" t="s">
        <v>59</v>
      </c>
      <c r="Z929" s="681">
        <v>4184.2700000000004</v>
      </c>
      <c r="AA929" s="305">
        <f>IF(Z929=0,0,IF(Y929="MXN",1/HLOOKUP(YEAR(X929)+(MONTH(X929)/100),TC!$5:$37,DAY(X929)+2,FALSE),VLOOKUP(Y929,Equivalencia!$1:$23,((MAX(Equivalencia!$3:$3)-YEAR(X929))*14)+MONTH(X929)+2,FALSE)))</f>
        <v>1</v>
      </c>
      <c r="AB929" s="306">
        <f t="shared" si="246"/>
        <v>4184.2700000000004</v>
      </c>
      <c r="AC929" s="305">
        <f>+IF(X929=0,0,HLOOKUP(YEAR(X929)+(MONTH(X929)/100),TC!$5:$37,DAY(X929)+2,FALSE))</f>
        <v>20.1465</v>
      </c>
      <c r="AD929" s="307">
        <f t="shared" si="247"/>
        <v>84298.39555500001</v>
      </c>
      <c r="AE929" s="314">
        <f t="shared" si="248"/>
        <v>99873.919309824007</v>
      </c>
      <c r="AF929" s="315">
        <f t="shared" si="249"/>
        <v>-15575.523754823997</v>
      </c>
      <c r="AG929" s="316">
        <f t="shared" si="250"/>
        <v>1.273972602739726</v>
      </c>
      <c r="AH929" s="314">
        <v>1</v>
      </c>
      <c r="AI929" s="314">
        <f t="shared" si="251"/>
        <v>-15575.523754823997</v>
      </c>
      <c r="AJ929" s="314">
        <f t="shared" si="252"/>
        <v>0</v>
      </c>
      <c r="AK929" s="317"/>
      <c r="AL929" s="315">
        <f t="shared" si="253"/>
        <v>-377.64999999999964</v>
      </c>
      <c r="AN929" s="554">
        <f t="shared" si="254"/>
        <v>-8.2783126402917989E-2</v>
      </c>
      <c r="AO929" s="314"/>
      <c r="AP929" s="318"/>
    </row>
    <row r="930" spans="2:42">
      <c r="B930" s="296" t="s">
        <v>1266</v>
      </c>
      <c r="C930" s="299" t="s">
        <v>277</v>
      </c>
      <c r="D930" s="298" t="s">
        <v>763</v>
      </c>
      <c r="E930" s="299" t="s">
        <v>113</v>
      </c>
      <c r="F930" s="299" t="s">
        <v>59</v>
      </c>
      <c r="G930" s="300">
        <v>44208</v>
      </c>
      <c r="H930" s="681">
        <v>29706.58</v>
      </c>
      <c r="I930" s="301" t="str">
        <f t="shared" si="238"/>
        <v>Ingresos Sección II LISR (SIC &amp; BMV)</v>
      </c>
      <c r="J930" s="302">
        <f t="shared" si="239"/>
        <v>355</v>
      </c>
      <c r="K930" s="304">
        <f t="shared" si="240"/>
        <v>83.680507042253524</v>
      </c>
      <c r="L930" s="305">
        <f>IF(H930=0,0,IF(OR(E930=$AT$5,E930=$AT$6),AA930,IF(F930="MXN",1/HLOOKUP(YEAR(G930)+(MONTH(G930)/100),TC!$5:$37,DAY(G930)+2,FALSE),VLOOKUP(F930,Equivalencia!$5:$23,((MAX(Equivalencia!$3:$3)-YEAR(G930))*14)+MONTH(G930)+2,FALSE))))</f>
        <v>1</v>
      </c>
      <c r="M930" s="306">
        <f t="shared" si="241"/>
        <v>29706.58</v>
      </c>
      <c r="N930" s="305">
        <f>IF(G930=0,0,(IF(OR(E930=$AT$5,E930=$AT$6),AC930,HLOOKUP(YEAR(G930)+(MONTH(G930)/100),TC!$5:$37,DAY(G930)+2,FALSE))))</f>
        <v>19.970500000000001</v>
      </c>
      <c r="O930" s="307">
        <f t="shared" si="242"/>
        <v>593255.25589000003</v>
      </c>
      <c r="P930" s="560">
        <f>IF(G930=0,0,VLOOKUP(YEAR(G930),INPC!$B$4:$P$30,MONTH(G930)+2))</f>
        <v>110.21</v>
      </c>
      <c r="Q930" s="560">
        <f>IF(X930=0,0,IF(OR(E930=$AT$10,E930=$AT$9),VLOOKUP(YEAR(X930),INPC!$B$4:$P$30,MONTH(X930)+1),VLOOKUP(YEAR(X930),INPC!$B$4:$P$30,MONTH(X930)+2,0)))</f>
        <v>123.803</v>
      </c>
      <c r="R930" s="309">
        <f t="shared" si="243"/>
        <v>1.1233</v>
      </c>
      <c r="S930" s="310">
        <f t="shared" si="244"/>
        <v>666403.628941237</v>
      </c>
      <c r="T930" s="555">
        <f t="shared" si="245"/>
        <v>1877.1933209612309</v>
      </c>
      <c r="U930" s="311"/>
      <c r="V930" s="312">
        <v>355</v>
      </c>
      <c r="W930" s="299" t="s">
        <v>194</v>
      </c>
      <c r="X930" s="300">
        <v>44824</v>
      </c>
      <c r="Y930" s="299" t="s">
        <v>59</v>
      </c>
      <c r="Z930" s="681">
        <v>27629.83</v>
      </c>
      <c r="AA930" s="305">
        <f>IF(Z930=0,0,IF(Y930="MXN",1/HLOOKUP(YEAR(X930)+(MONTH(X930)/100),TC!$5:$37,DAY(X930)+2,FALSE),VLOOKUP(Y930,Equivalencia!$1:$23,((MAX(Equivalencia!$3:$3)-YEAR(X930))*14)+MONTH(X930)+2,FALSE)))</f>
        <v>1</v>
      </c>
      <c r="AB930" s="306">
        <f t="shared" si="246"/>
        <v>27629.83</v>
      </c>
      <c r="AC930" s="305">
        <f>+IF(X930=0,0,HLOOKUP(YEAR(X930)+(MONTH(X930)/100),TC!$5:$37,DAY(X930)+2,FALSE))</f>
        <v>20.052499999999998</v>
      </c>
      <c r="AD930" s="307">
        <f t="shared" si="247"/>
        <v>554047.16607499996</v>
      </c>
      <c r="AE930" s="314">
        <f t="shared" si="248"/>
        <v>666403.628941237</v>
      </c>
      <c r="AF930" s="315">
        <f t="shared" si="249"/>
        <v>-112356.46286623704</v>
      </c>
      <c r="AG930" s="316">
        <f t="shared" si="250"/>
        <v>1.6876712328767123</v>
      </c>
      <c r="AH930" s="314">
        <v>1</v>
      </c>
      <c r="AI930" s="314">
        <f t="shared" si="251"/>
        <v>-112356.46286623704</v>
      </c>
      <c r="AJ930" s="314">
        <f t="shared" si="252"/>
        <v>0</v>
      </c>
      <c r="AK930" s="317"/>
      <c r="AL930" s="315">
        <f t="shared" si="253"/>
        <v>-2076.75</v>
      </c>
      <c r="AN930" s="554">
        <f t="shared" si="254"/>
        <v>-6.9908754222128555E-2</v>
      </c>
      <c r="AO930" s="314"/>
      <c r="AP930" s="318"/>
    </row>
    <row r="931" spans="2:42">
      <c r="B931" s="296" t="s">
        <v>1266</v>
      </c>
      <c r="C931" s="299" t="s">
        <v>277</v>
      </c>
      <c r="D931" s="298" t="s">
        <v>763</v>
      </c>
      <c r="E931" s="299" t="s">
        <v>113</v>
      </c>
      <c r="F931" s="299" t="s">
        <v>59</v>
      </c>
      <c r="G931" s="300">
        <v>44209</v>
      </c>
      <c r="H931" s="681">
        <v>2735.3</v>
      </c>
      <c r="I931" s="301" t="str">
        <f t="shared" si="238"/>
        <v>Ingresos Sección II LISR (SIC &amp; BMV)</v>
      </c>
      <c r="J931" s="302">
        <f t="shared" si="239"/>
        <v>33</v>
      </c>
      <c r="K931" s="304">
        <f t="shared" si="240"/>
        <v>82.88787878787879</v>
      </c>
      <c r="L931" s="305">
        <f>IF(H931=0,0,IF(OR(E931=$AT$5,E931=$AT$6),AA931,IF(F931="MXN",1/HLOOKUP(YEAR(G931)+(MONTH(G931)/100),TC!$5:$37,DAY(G931)+2,FALSE),VLOOKUP(F931,Equivalencia!$5:$23,((MAX(Equivalencia!$3:$3)-YEAR(G931))*14)+MONTH(G931)+2,FALSE))))</f>
        <v>1</v>
      </c>
      <c r="M931" s="306">
        <f t="shared" si="241"/>
        <v>2735.3</v>
      </c>
      <c r="N931" s="305">
        <f>IF(G931=0,0,(IF(OR(E931=$AT$5,E931=$AT$6),AC931,HLOOKUP(YEAR(G931)+(MONTH(G931)/100),TC!$5:$37,DAY(G931)+2,FALSE))))</f>
        <v>20.113</v>
      </c>
      <c r="O931" s="307">
        <f t="shared" si="242"/>
        <v>55015.088900000002</v>
      </c>
      <c r="P931" s="560">
        <f>IF(G931=0,0,VLOOKUP(YEAR(G931),INPC!$B$4:$P$30,MONTH(G931)+2))</f>
        <v>110.21</v>
      </c>
      <c r="Q931" s="560">
        <f>IF(X931=0,0,IF(OR(E931=$AT$10,E931=$AT$9),VLOOKUP(YEAR(X931),INPC!$B$4:$P$30,MONTH(X931)+1),VLOOKUP(YEAR(X931),INPC!$B$4:$P$30,MONTH(X931)+2,0)))</f>
        <v>123.803</v>
      </c>
      <c r="R931" s="309">
        <f t="shared" si="243"/>
        <v>1.1233</v>
      </c>
      <c r="S931" s="310">
        <f t="shared" si="244"/>
        <v>61798.449361370003</v>
      </c>
      <c r="T931" s="555">
        <f t="shared" si="245"/>
        <v>1872.6802836778788</v>
      </c>
      <c r="U931" s="311"/>
      <c r="V931" s="312">
        <v>33</v>
      </c>
      <c r="W931" s="299" t="s">
        <v>194</v>
      </c>
      <c r="X931" s="300">
        <v>44824</v>
      </c>
      <c r="Y931" s="299" t="s">
        <v>59</v>
      </c>
      <c r="Z931" s="681">
        <v>2568.41</v>
      </c>
      <c r="AA931" s="305">
        <f>IF(Z931=0,0,IF(Y931="MXN",1/HLOOKUP(YEAR(X931)+(MONTH(X931)/100),TC!$5:$37,DAY(X931)+2,FALSE),VLOOKUP(Y931,Equivalencia!$1:$23,((MAX(Equivalencia!$3:$3)-YEAR(X931))*14)+MONTH(X931)+2,FALSE)))</f>
        <v>1</v>
      </c>
      <c r="AB931" s="306">
        <f t="shared" si="246"/>
        <v>2568.41</v>
      </c>
      <c r="AC931" s="305">
        <f>+IF(X931=0,0,HLOOKUP(YEAR(X931)+(MONTH(X931)/100),TC!$5:$37,DAY(X931)+2,FALSE))</f>
        <v>20.052499999999998</v>
      </c>
      <c r="AD931" s="307">
        <f t="shared" si="247"/>
        <v>51503.041524999993</v>
      </c>
      <c r="AE931" s="314">
        <f t="shared" si="248"/>
        <v>61798.449361370003</v>
      </c>
      <c r="AF931" s="315">
        <f t="shared" si="249"/>
        <v>-10295.40783637001</v>
      </c>
      <c r="AG931" s="316">
        <f t="shared" si="250"/>
        <v>1.6849315068493151</v>
      </c>
      <c r="AH931" s="314">
        <v>1</v>
      </c>
      <c r="AI931" s="314">
        <f t="shared" si="251"/>
        <v>-10295.40783637001</v>
      </c>
      <c r="AJ931" s="314">
        <f t="shared" si="252"/>
        <v>0</v>
      </c>
      <c r="AK931" s="317"/>
      <c r="AL931" s="315">
        <f t="shared" si="253"/>
        <v>-166.89000000000033</v>
      </c>
      <c r="AN931" s="554">
        <f t="shared" si="254"/>
        <v>-6.1013417175447053E-2</v>
      </c>
      <c r="AO931" s="314"/>
      <c r="AP931" s="318"/>
    </row>
    <row r="932" spans="2:42">
      <c r="B932" s="296" t="s">
        <v>1266</v>
      </c>
      <c r="C932" s="299" t="s">
        <v>277</v>
      </c>
      <c r="D932" s="298" t="s">
        <v>773</v>
      </c>
      <c r="E932" s="299" t="s">
        <v>113</v>
      </c>
      <c r="F932" s="299" t="s">
        <v>59</v>
      </c>
      <c r="G932" s="300">
        <v>43965</v>
      </c>
      <c r="H932" s="681">
        <v>9186.17</v>
      </c>
      <c r="I932" s="301" t="str">
        <f t="shared" si="238"/>
        <v>Ingresos Sección II LISR (SIC &amp; BMV)</v>
      </c>
      <c r="J932" s="302">
        <f t="shared" si="239"/>
        <v>169</v>
      </c>
      <c r="K932" s="304">
        <f t="shared" si="240"/>
        <v>54.356035502958584</v>
      </c>
      <c r="L932" s="305">
        <f>IF(H932=0,0,IF(OR(E932=$AT$5,E932=$AT$6),AA932,IF(F932="MXN",1/HLOOKUP(YEAR(G932)+(MONTH(G932)/100),TC!$5:$37,DAY(G932)+2,FALSE),VLOOKUP(F932,Equivalencia!$5:$23,((MAX(Equivalencia!$3:$3)-YEAR(G932))*14)+MONTH(G932)+2,FALSE))))</f>
        <v>1</v>
      </c>
      <c r="M932" s="306">
        <f t="shared" si="241"/>
        <v>9186.17</v>
      </c>
      <c r="N932" s="305">
        <f>IF(G932=0,0,(IF(OR(E932=$AT$5,E932=$AT$6),AC932,HLOOKUP(YEAR(G932)+(MONTH(G932)/100),TC!$5:$37,DAY(G932)+2,FALSE))))</f>
        <v>24.0487</v>
      </c>
      <c r="O932" s="307">
        <f t="shared" si="242"/>
        <v>220915.44647900001</v>
      </c>
      <c r="P932" s="560">
        <f>IF(G932=0,0,VLOOKUP(YEAR(G932),INPC!$B$4:$P$30,MONTH(G932)+2))</f>
        <v>106.16200000000001</v>
      </c>
      <c r="Q932" s="560">
        <f>IF(X932=0,0,IF(OR(E932=$AT$10,E932=$AT$9),VLOOKUP(YEAR(X932),INPC!$B$4:$P$30,MONTH(X932)+1),VLOOKUP(YEAR(X932),INPC!$B$4:$P$30,MONTH(X932)+2,0)))</f>
        <v>123.803</v>
      </c>
      <c r="R932" s="309">
        <f t="shared" si="243"/>
        <v>1.1660999999999999</v>
      </c>
      <c r="S932" s="310">
        <f t="shared" si="244"/>
        <v>257609.50213916189</v>
      </c>
      <c r="T932" s="555">
        <f t="shared" si="245"/>
        <v>1524.3165807051</v>
      </c>
      <c r="U932" s="311"/>
      <c r="V932" s="312">
        <v>169</v>
      </c>
      <c r="W932" s="299" t="s">
        <v>194</v>
      </c>
      <c r="X932" s="300">
        <v>44824</v>
      </c>
      <c r="Y932" s="299" t="s">
        <v>59</v>
      </c>
      <c r="Z932" s="681">
        <v>6536.3</v>
      </c>
      <c r="AA932" s="305">
        <f>IF(Z932=0,0,IF(Y932="MXN",1/HLOOKUP(YEAR(X932)+(MONTH(X932)/100),TC!$5:$37,DAY(X932)+2,FALSE),VLOOKUP(Y932,Equivalencia!$1:$23,((MAX(Equivalencia!$3:$3)-YEAR(X932))*14)+MONTH(X932)+2,FALSE)))</f>
        <v>1</v>
      </c>
      <c r="AB932" s="306">
        <f t="shared" si="246"/>
        <v>6536.3</v>
      </c>
      <c r="AC932" s="305">
        <f>+IF(X932=0,0,HLOOKUP(YEAR(X932)+(MONTH(X932)/100),TC!$5:$37,DAY(X932)+2,FALSE))</f>
        <v>20.052499999999998</v>
      </c>
      <c r="AD932" s="307">
        <f t="shared" si="247"/>
        <v>131069.15574999999</v>
      </c>
      <c r="AE932" s="314">
        <f t="shared" si="248"/>
        <v>257609.50213916189</v>
      </c>
      <c r="AF932" s="315">
        <f t="shared" si="249"/>
        <v>-126540.3463891619</v>
      </c>
      <c r="AG932" s="316">
        <f t="shared" si="250"/>
        <v>2.3534246575342466</v>
      </c>
      <c r="AH932" s="314">
        <v>1</v>
      </c>
      <c r="AI932" s="314">
        <f t="shared" si="251"/>
        <v>-126540.3463891619</v>
      </c>
      <c r="AJ932" s="314">
        <f t="shared" si="252"/>
        <v>0</v>
      </c>
      <c r="AK932" s="317"/>
      <c r="AL932" s="315">
        <f t="shared" si="253"/>
        <v>-2649.87</v>
      </c>
      <c r="AN932" s="554">
        <f t="shared" si="254"/>
        <v>-0.2884629829406597</v>
      </c>
      <c r="AO932" s="314"/>
      <c r="AP932" s="318"/>
    </row>
    <row r="933" spans="2:42">
      <c r="B933" s="296" t="s">
        <v>1266</v>
      </c>
      <c r="C933" s="299" t="s">
        <v>277</v>
      </c>
      <c r="D933" s="298" t="s">
        <v>773</v>
      </c>
      <c r="E933" s="299" t="s">
        <v>113</v>
      </c>
      <c r="F933" s="299" t="s">
        <v>59</v>
      </c>
      <c r="G933" s="300">
        <v>43990</v>
      </c>
      <c r="H933" s="681">
        <v>2231.92</v>
      </c>
      <c r="I933" s="301" t="str">
        <f t="shared" si="238"/>
        <v>Ingresos Sección II LISR (SIC &amp; BMV)</v>
      </c>
      <c r="J933" s="302">
        <f t="shared" si="239"/>
        <v>33</v>
      </c>
      <c r="K933" s="304">
        <f t="shared" si="240"/>
        <v>67.6339393939394</v>
      </c>
      <c r="L933" s="305">
        <f>IF(H933=0,0,IF(OR(E933=$AT$5,E933=$AT$6),AA933,IF(F933="MXN",1/HLOOKUP(YEAR(G933)+(MONTH(G933)/100),TC!$5:$37,DAY(G933)+2,FALSE),VLOOKUP(F933,Equivalencia!$5:$23,((MAX(Equivalencia!$3:$3)-YEAR(G933))*14)+MONTH(G933)+2,FALSE))))</f>
        <v>1</v>
      </c>
      <c r="M933" s="306">
        <f t="shared" si="241"/>
        <v>2231.92</v>
      </c>
      <c r="N933" s="305">
        <f>IF(G933=0,0,(IF(OR(E933=$AT$5,E933=$AT$6),AC933,HLOOKUP(YEAR(G933)+(MONTH(G933)/100),TC!$5:$37,DAY(G933)+2,FALSE))))</f>
        <v>21.838799999999999</v>
      </c>
      <c r="O933" s="307">
        <f t="shared" si="242"/>
        <v>48742.454495999998</v>
      </c>
      <c r="P933" s="560">
        <f>IF(G933=0,0,VLOOKUP(YEAR(G933),INPC!$B$4:$P$30,MONTH(G933)+2))</f>
        <v>106.74299999999999</v>
      </c>
      <c r="Q933" s="560">
        <f>IF(X933=0,0,IF(OR(E933=$AT$10,E933=$AT$9),VLOOKUP(YEAR(X933),INPC!$B$4:$P$30,MONTH(X933)+1),VLOOKUP(YEAR(X933),INPC!$B$4:$P$30,MONTH(X933)+2,0)))</f>
        <v>123.803</v>
      </c>
      <c r="R933" s="309">
        <f t="shared" si="243"/>
        <v>1.1597999999999999</v>
      </c>
      <c r="S933" s="310">
        <f t="shared" si="244"/>
        <v>56531.498724460798</v>
      </c>
      <c r="T933" s="555">
        <f t="shared" si="245"/>
        <v>1713.0757189230544</v>
      </c>
      <c r="U933" s="311"/>
      <c r="V933" s="312">
        <v>33</v>
      </c>
      <c r="W933" s="299" t="s">
        <v>194</v>
      </c>
      <c r="X933" s="300">
        <v>44824</v>
      </c>
      <c r="Y933" s="299" t="s">
        <v>59</v>
      </c>
      <c r="Z933" s="681">
        <v>1276.31</v>
      </c>
      <c r="AA933" s="305">
        <f>IF(Z933=0,0,IF(Y933="MXN",1/HLOOKUP(YEAR(X933)+(MONTH(X933)/100),TC!$5:$37,DAY(X933)+2,FALSE),VLOOKUP(Y933,Equivalencia!$1:$23,((MAX(Equivalencia!$3:$3)-YEAR(X933))*14)+MONTH(X933)+2,FALSE)))</f>
        <v>1</v>
      </c>
      <c r="AB933" s="306">
        <f t="shared" si="246"/>
        <v>1276.31</v>
      </c>
      <c r="AC933" s="305">
        <f>+IF(X933=0,0,HLOOKUP(YEAR(X933)+(MONTH(X933)/100),TC!$5:$37,DAY(X933)+2,FALSE))</f>
        <v>20.052499999999998</v>
      </c>
      <c r="AD933" s="307">
        <f t="shared" si="247"/>
        <v>25593.206274999997</v>
      </c>
      <c r="AE933" s="314">
        <f t="shared" si="248"/>
        <v>56531.498724460798</v>
      </c>
      <c r="AF933" s="315">
        <f t="shared" si="249"/>
        <v>-30938.292449460801</v>
      </c>
      <c r="AG933" s="316">
        <f t="shared" si="250"/>
        <v>2.2849315068493152</v>
      </c>
      <c r="AH933" s="314">
        <v>1</v>
      </c>
      <c r="AI933" s="314">
        <f t="shared" si="251"/>
        <v>-30938.292449460801</v>
      </c>
      <c r="AJ933" s="314">
        <f t="shared" si="252"/>
        <v>0</v>
      </c>
      <c r="AK933" s="317"/>
      <c r="AL933" s="315">
        <f t="shared" si="253"/>
        <v>-955.61000000000013</v>
      </c>
      <c r="AN933" s="554">
        <f t="shared" si="254"/>
        <v>-0.42815602709774547</v>
      </c>
      <c r="AO933" s="314"/>
      <c r="AP933" s="318"/>
    </row>
    <row r="934" spans="2:42">
      <c r="B934" s="296" t="s">
        <v>1266</v>
      </c>
      <c r="C934" s="299" t="s">
        <v>277</v>
      </c>
      <c r="D934" s="298" t="s">
        <v>773</v>
      </c>
      <c r="E934" s="299" t="s">
        <v>113</v>
      </c>
      <c r="F934" s="299" t="s">
        <v>59</v>
      </c>
      <c r="G934" s="300">
        <v>44102</v>
      </c>
      <c r="H934" s="681">
        <v>8042.07</v>
      </c>
      <c r="I934" s="301" t="str">
        <f t="shared" si="238"/>
        <v>Ingresos Sección II LISR (SIC &amp; BMV)</v>
      </c>
      <c r="J934" s="302">
        <f t="shared" si="239"/>
        <v>112</v>
      </c>
      <c r="K934" s="304">
        <f t="shared" si="240"/>
        <v>71.80419642857143</v>
      </c>
      <c r="L934" s="305">
        <f>IF(H934=0,0,IF(OR(E934=$AT$5,E934=$AT$6),AA934,IF(F934="MXN",1/HLOOKUP(YEAR(G934)+(MONTH(G934)/100),TC!$5:$37,DAY(G934)+2,FALSE),VLOOKUP(F934,Equivalencia!$5:$23,((MAX(Equivalencia!$3:$3)-YEAR(G934))*14)+MONTH(G934)+2,FALSE))))</f>
        <v>1</v>
      </c>
      <c r="M934" s="306">
        <f t="shared" si="241"/>
        <v>8042.07</v>
      </c>
      <c r="N934" s="305">
        <f>IF(G934=0,0,(IF(OR(E934=$AT$5,E934=$AT$6),AC934,HLOOKUP(YEAR(G934)+(MONTH(G934)/100),TC!$5:$37,DAY(G934)+2,FALSE))))</f>
        <v>22.367799999999999</v>
      </c>
      <c r="O934" s="307">
        <f t="shared" si="242"/>
        <v>179883.41334599999</v>
      </c>
      <c r="P934" s="560">
        <f>IF(G934=0,0,VLOOKUP(YEAR(G934),INPC!$B$4:$P$30,MONTH(G934)+2))</f>
        <v>108.114</v>
      </c>
      <c r="Q934" s="560">
        <f>IF(X934=0,0,IF(OR(E934=$AT$10,E934=$AT$9),VLOOKUP(YEAR(X934),INPC!$B$4:$P$30,MONTH(X934)+1),VLOOKUP(YEAR(X934),INPC!$B$4:$P$30,MONTH(X934)+2,0)))</f>
        <v>123.803</v>
      </c>
      <c r="R934" s="309">
        <f t="shared" si="243"/>
        <v>1.1451</v>
      </c>
      <c r="S934" s="310">
        <f t="shared" si="244"/>
        <v>205984.49662250458</v>
      </c>
      <c r="T934" s="555">
        <f t="shared" si="245"/>
        <v>1839.1472912723623</v>
      </c>
      <c r="U934" s="311"/>
      <c r="V934" s="312">
        <v>112</v>
      </c>
      <c r="W934" s="299" t="s">
        <v>194</v>
      </c>
      <c r="X934" s="300">
        <v>44824</v>
      </c>
      <c r="Y934" s="299" t="s">
        <v>59</v>
      </c>
      <c r="Z934" s="681">
        <v>4331.75</v>
      </c>
      <c r="AA934" s="305">
        <f>IF(Z934=0,0,IF(Y934="MXN",1/HLOOKUP(YEAR(X934)+(MONTH(X934)/100),TC!$5:$37,DAY(X934)+2,FALSE),VLOOKUP(Y934,Equivalencia!$1:$23,((MAX(Equivalencia!$3:$3)-YEAR(X934))*14)+MONTH(X934)+2,FALSE)))</f>
        <v>1</v>
      </c>
      <c r="AB934" s="306">
        <f t="shared" si="246"/>
        <v>4331.75</v>
      </c>
      <c r="AC934" s="305">
        <f>+IF(X934=0,0,HLOOKUP(YEAR(X934)+(MONTH(X934)/100),TC!$5:$37,DAY(X934)+2,FALSE))</f>
        <v>20.052499999999998</v>
      </c>
      <c r="AD934" s="307">
        <f t="shared" si="247"/>
        <v>86862.416874999995</v>
      </c>
      <c r="AE934" s="314">
        <f t="shared" si="248"/>
        <v>205984.49662250458</v>
      </c>
      <c r="AF934" s="315">
        <f t="shared" si="249"/>
        <v>-119122.07974750458</v>
      </c>
      <c r="AG934" s="316">
        <f t="shared" si="250"/>
        <v>1.978082191780822</v>
      </c>
      <c r="AH934" s="314">
        <v>1</v>
      </c>
      <c r="AI934" s="314">
        <f t="shared" si="251"/>
        <v>-119122.07974750458</v>
      </c>
      <c r="AJ934" s="314">
        <f t="shared" si="252"/>
        <v>0</v>
      </c>
      <c r="AK934" s="317"/>
      <c r="AL934" s="315">
        <f t="shared" si="253"/>
        <v>-3710.3199999999997</v>
      </c>
      <c r="AN934" s="554">
        <f t="shared" si="254"/>
        <v>-0.4613638031004455</v>
      </c>
      <c r="AO934" s="314"/>
      <c r="AP934" s="318"/>
    </row>
    <row r="935" spans="2:42">
      <c r="B935" s="296" t="s">
        <v>1266</v>
      </c>
      <c r="C935" s="299" t="s">
        <v>277</v>
      </c>
      <c r="D935" s="298" t="s">
        <v>773</v>
      </c>
      <c r="E935" s="299" t="s">
        <v>113</v>
      </c>
      <c r="F935" s="299" t="s">
        <v>59</v>
      </c>
      <c r="G935" s="300">
        <v>44126</v>
      </c>
      <c r="H935" s="681">
        <v>3371.72</v>
      </c>
      <c r="I935" s="301" t="str">
        <f t="shared" si="238"/>
        <v>Ingresos Sección II LISR (SIC &amp; BMV)</v>
      </c>
      <c r="J935" s="302">
        <f t="shared" si="239"/>
        <v>46</v>
      </c>
      <c r="K935" s="304">
        <f t="shared" si="240"/>
        <v>73.298260869565212</v>
      </c>
      <c r="L935" s="305">
        <f>IF(H935=0,0,IF(OR(E935=$AT$5,E935=$AT$6),AA935,IF(F935="MXN",1/HLOOKUP(YEAR(G935)+(MONTH(G935)/100),TC!$5:$37,DAY(G935)+2,FALSE),VLOOKUP(F935,Equivalencia!$5:$23,((MAX(Equivalencia!$3:$3)-YEAR(G935))*14)+MONTH(G935)+2,FALSE))))</f>
        <v>1</v>
      </c>
      <c r="M935" s="306">
        <f t="shared" si="241"/>
        <v>3371.72</v>
      </c>
      <c r="N935" s="305">
        <f>IF(G935=0,0,(IF(OR(E935=$AT$5,E935=$AT$6),AC935,HLOOKUP(YEAR(G935)+(MONTH(G935)/100),TC!$5:$37,DAY(G935)+2,FALSE))))</f>
        <v>21.090199999999999</v>
      </c>
      <c r="O935" s="307">
        <f t="shared" si="242"/>
        <v>71110.249143999987</v>
      </c>
      <c r="P935" s="560">
        <f>IF(G935=0,0,VLOOKUP(YEAR(G935),INPC!$B$4:$P$30,MONTH(G935)+2))</f>
        <v>108.774</v>
      </c>
      <c r="Q935" s="560">
        <f>IF(X935=0,0,IF(OR(E935=$AT$10,E935=$AT$9),VLOOKUP(YEAR(X935),INPC!$B$4:$P$30,MONTH(X935)+1),VLOOKUP(YEAR(X935),INPC!$B$4:$P$30,MONTH(X935)+2,0)))</f>
        <v>123.803</v>
      </c>
      <c r="R935" s="309">
        <f t="shared" si="243"/>
        <v>1.1380999999999999</v>
      </c>
      <c r="S935" s="310">
        <f t="shared" si="244"/>
        <v>80930.574550786376</v>
      </c>
      <c r="T935" s="555">
        <f t="shared" si="245"/>
        <v>1759.360316321443</v>
      </c>
      <c r="U935" s="311"/>
      <c r="V935" s="312">
        <v>46</v>
      </c>
      <c r="W935" s="299" t="s">
        <v>194</v>
      </c>
      <c r="X935" s="300">
        <v>44824</v>
      </c>
      <c r="Y935" s="299" t="s">
        <v>59</v>
      </c>
      <c r="Z935" s="681">
        <v>1779.11</v>
      </c>
      <c r="AA935" s="305">
        <f>IF(Z935=0,0,IF(Y935="MXN",1/HLOOKUP(YEAR(X935)+(MONTH(X935)/100),TC!$5:$37,DAY(X935)+2,FALSE),VLOOKUP(Y935,Equivalencia!$1:$23,((MAX(Equivalencia!$3:$3)-YEAR(X935))*14)+MONTH(X935)+2,FALSE)))</f>
        <v>1</v>
      </c>
      <c r="AB935" s="306">
        <f t="shared" si="246"/>
        <v>1779.11</v>
      </c>
      <c r="AC935" s="305">
        <f>+IF(X935=0,0,HLOOKUP(YEAR(X935)+(MONTH(X935)/100),TC!$5:$37,DAY(X935)+2,FALSE))</f>
        <v>20.052499999999998</v>
      </c>
      <c r="AD935" s="307">
        <f t="shared" si="247"/>
        <v>35675.603274999994</v>
      </c>
      <c r="AE935" s="314">
        <f t="shared" si="248"/>
        <v>80930.574550786376</v>
      </c>
      <c r="AF935" s="315">
        <f t="shared" si="249"/>
        <v>-45254.971275786382</v>
      </c>
      <c r="AG935" s="316">
        <f t="shared" si="250"/>
        <v>1.9123287671232876</v>
      </c>
      <c r="AH935" s="314">
        <v>1</v>
      </c>
      <c r="AI935" s="314">
        <f t="shared" si="251"/>
        <v>-45254.971275786382</v>
      </c>
      <c r="AJ935" s="314">
        <f t="shared" si="252"/>
        <v>0</v>
      </c>
      <c r="AK935" s="317"/>
      <c r="AL935" s="315">
        <f t="shared" si="253"/>
        <v>-1592.61</v>
      </c>
      <c r="AN935" s="554">
        <f t="shared" si="254"/>
        <v>-0.47234349234218737</v>
      </c>
      <c r="AO935" s="314"/>
      <c r="AP935" s="318"/>
    </row>
    <row r="936" spans="2:42">
      <c r="B936" s="296" t="s">
        <v>1266</v>
      </c>
      <c r="C936" s="299" t="s">
        <v>277</v>
      </c>
      <c r="D936" s="298" t="s">
        <v>763</v>
      </c>
      <c r="E936" s="299" t="s">
        <v>113</v>
      </c>
      <c r="F936" s="299" t="s">
        <v>59</v>
      </c>
      <c r="G936" s="300">
        <v>44209</v>
      </c>
      <c r="H936" s="681">
        <v>14671.16</v>
      </c>
      <c r="I936" s="301" t="str">
        <f t="shared" si="238"/>
        <v>Ingresos Sección II LISR (SIC &amp; BMV)</v>
      </c>
      <c r="J936" s="302">
        <f t="shared" si="239"/>
        <v>177</v>
      </c>
      <c r="K936" s="304">
        <f t="shared" si="240"/>
        <v>82.887909604519777</v>
      </c>
      <c r="L936" s="305">
        <f>IF(H936=0,0,IF(OR(E936=$AT$5,E936=$AT$6),AA936,IF(F936="MXN",1/HLOOKUP(YEAR(G936)+(MONTH(G936)/100),TC!$5:$37,DAY(G936)+2,FALSE),VLOOKUP(F936,Equivalencia!$5:$23,((MAX(Equivalencia!$3:$3)-YEAR(G936))*14)+MONTH(G936)+2,FALSE))))</f>
        <v>1</v>
      </c>
      <c r="M936" s="306">
        <f t="shared" si="241"/>
        <v>14671.16</v>
      </c>
      <c r="N936" s="305">
        <f>IF(G936=0,0,(IF(OR(E936=$AT$5,E936=$AT$6),AC936,HLOOKUP(YEAR(G936)+(MONTH(G936)/100),TC!$5:$37,DAY(G936)+2,FALSE))))</f>
        <v>20.113</v>
      </c>
      <c r="O936" s="307">
        <f t="shared" si="242"/>
        <v>295081.04108</v>
      </c>
      <c r="P936" s="560">
        <f>IF(G936=0,0,VLOOKUP(YEAR(G936),INPC!$B$4:$P$30,MONTH(G936)+2))</f>
        <v>110.21</v>
      </c>
      <c r="Q936" s="560">
        <f>IF(X936=0,0,IF(OR(E936=$AT$10,E936=$AT$9),VLOOKUP(YEAR(X936),INPC!$B$4:$P$30,MONTH(X936)+1),VLOOKUP(YEAR(X936),INPC!$B$4:$P$30,MONTH(X936)+2,0)))</f>
        <v>123.803</v>
      </c>
      <c r="R936" s="309">
        <f t="shared" si="243"/>
        <v>1.1233</v>
      </c>
      <c r="S936" s="310">
        <f t="shared" si="244"/>
        <v>331464.53344516398</v>
      </c>
      <c r="T936" s="555">
        <f t="shared" si="245"/>
        <v>1872.6809799161806</v>
      </c>
      <c r="U936" s="311"/>
      <c r="V936" s="312">
        <v>177</v>
      </c>
      <c r="W936" s="299" t="s">
        <v>194</v>
      </c>
      <c r="X936" s="300">
        <v>44825</v>
      </c>
      <c r="Y936" s="299" t="s">
        <v>59</v>
      </c>
      <c r="Z936" s="681">
        <v>13873.58</v>
      </c>
      <c r="AA936" s="305">
        <f>IF(Z936=0,0,IF(Y936="MXN",1/HLOOKUP(YEAR(X936)+(MONTH(X936)/100),TC!$5:$37,DAY(X936)+2,FALSE),VLOOKUP(Y936,Equivalencia!$1:$23,((MAX(Equivalencia!$3:$3)-YEAR(X936))*14)+MONTH(X936)+2,FALSE)))</f>
        <v>1</v>
      </c>
      <c r="AB936" s="306">
        <f t="shared" si="246"/>
        <v>13873.58</v>
      </c>
      <c r="AC936" s="305">
        <f>+IF(X936=0,0,HLOOKUP(YEAR(X936)+(MONTH(X936)/100),TC!$5:$37,DAY(X936)+2,FALSE))</f>
        <v>19.994299999999999</v>
      </c>
      <c r="AD936" s="307">
        <f t="shared" si="247"/>
        <v>277392.520594</v>
      </c>
      <c r="AE936" s="314">
        <f t="shared" si="248"/>
        <v>331464.53344516398</v>
      </c>
      <c r="AF936" s="315">
        <f t="shared" si="249"/>
        <v>-54072.012851163978</v>
      </c>
      <c r="AG936" s="316">
        <f t="shared" si="250"/>
        <v>1.6876712328767123</v>
      </c>
      <c r="AH936" s="314">
        <v>1</v>
      </c>
      <c r="AI936" s="314">
        <f t="shared" si="251"/>
        <v>-54072.012851163978</v>
      </c>
      <c r="AJ936" s="314">
        <f t="shared" si="252"/>
        <v>0</v>
      </c>
      <c r="AK936" s="317"/>
      <c r="AL936" s="315">
        <f t="shared" si="253"/>
        <v>-797.57999999999993</v>
      </c>
      <c r="AN936" s="554">
        <f t="shared" si="254"/>
        <v>-5.4363799454167222E-2</v>
      </c>
      <c r="AO936" s="314"/>
      <c r="AP936" s="318"/>
    </row>
    <row r="937" spans="2:42">
      <c r="B937" s="296" t="s">
        <v>1266</v>
      </c>
      <c r="C937" s="299" t="s">
        <v>277</v>
      </c>
      <c r="D937" s="298" t="s">
        <v>773</v>
      </c>
      <c r="E937" s="299" t="s">
        <v>113</v>
      </c>
      <c r="F937" s="299" t="s">
        <v>59</v>
      </c>
      <c r="G937" s="300">
        <v>44476</v>
      </c>
      <c r="H937" s="681">
        <v>9988.8799999999992</v>
      </c>
      <c r="I937" s="301" t="str">
        <f t="shared" si="238"/>
        <v>Ingresos Sección II LISR (SIC &amp; BMV)</v>
      </c>
      <c r="J937" s="302">
        <f t="shared" si="239"/>
        <v>145</v>
      </c>
      <c r="K937" s="304">
        <f t="shared" si="240"/>
        <v>68.888827586206887</v>
      </c>
      <c r="L937" s="305">
        <f>IF(H937=0,0,IF(OR(E937=$AT$5,E937=$AT$6),AA937,IF(F937="MXN",1/HLOOKUP(YEAR(G937)+(MONTH(G937)/100),TC!$5:$37,DAY(G937)+2,FALSE),VLOOKUP(F937,Equivalencia!$5:$23,((MAX(Equivalencia!$3:$3)-YEAR(G937))*14)+MONTH(G937)+2,FALSE))))</f>
        <v>1</v>
      </c>
      <c r="M937" s="306">
        <f t="shared" si="241"/>
        <v>9988.8799999999992</v>
      </c>
      <c r="N937" s="305">
        <f>IF(G937=0,0,(IF(OR(E937=$AT$5,E937=$AT$6),AC937,HLOOKUP(YEAR(G937)+(MONTH(G937)/100),TC!$5:$37,DAY(G937)+2,FALSE))))</f>
        <v>20.581800000000001</v>
      </c>
      <c r="O937" s="307">
        <f t="shared" si="242"/>
        <v>205589.13038399999</v>
      </c>
      <c r="P937" s="560">
        <f>IF(G937=0,0,VLOOKUP(YEAR(G937),INPC!$B$4:$P$30,MONTH(G937)+2))</f>
        <v>115.56100000000001</v>
      </c>
      <c r="Q937" s="560">
        <f>IF(X937=0,0,IF(OR(E937=$AT$10,E937=$AT$9),VLOOKUP(YEAR(X937),INPC!$B$4:$P$30,MONTH(X937)+1),VLOOKUP(YEAR(X937),INPC!$B$4:$P$30,MONTH(X937)+2,0)))</f>
        <v>123.803</v>
      </c>
      <c r="R937" s="309">
        <f t="shared" si="243"/>
        <v>1.0712999999999999</v>
      </c>
      <c r="S937" s="310">
        <f t="shared" si="244"/>
        <v>220247.63538037919</v>
      </c>
      <c r="T937" s="555">
        <f t="shared" si="245"/>
        <v>1518.9492095198564</v>
      </c>
      <c r="U937" s="311"/>
      <c r="V937" s="312">
        <v>145</v>
      </c>
      <c r="W937" s="299" t="s">
        <v>194</v>
      </c>
      <c r="X937" s="300">
        <v>44825</v>
      </c>
      <c r="Y937" s="299" t="s">
        <v>59</v>
      </c>
      <c r="Z937" s="681">
        <v>5543.16</v>
      </c>
      <c r="AA937" s="305">
        <f>IF(Z937=0,0,IF(Y937="MXN",1/HLOOKUP(YEAR(X937)+(MONTH(X937)/100),TC!$5:$37,DAY(X937)+2,FALSE),VLOOKUP(Y937,Equivalencia!$1:$23,((MAX(Equivalencia!$3:$3)-YEAR(X937))*14)+MONTH(X937)+2,FALSE)))</f>
        <v>1</v>
      </c>
      <c r="AB937" s="306">
        <f t="shared" si="246"/>
        <v>5543.16</v>
      </c>
      <c r="AC937" s="305">
        <f>+IF(X937=0,0,HLOOKUP(YEAR(X937)+(MONTH(X937)/100),TC!$5:$37,DAY(X937)+2,FALSE))</f>
        <v>19.994299999999999</v>
      </c>
      <c r="AD937" s="307">
        <f t="shared" si="247"/>
        <v>110831.60398799999</v>
      </c>
      <c r="AE937" s="314">
        <f t="shared" si="248"/>
        <v>220247.63538037919</v>
      </c>
      <c r="AF937" s="315">
        <f t="shared" si="249"/>
        <v>-109416.0313923792</v>
      </c>
      <c r="AG937" s="316">
        <f t="shared" si="250"/>
        <v>0.95616438356164379</v>
      </c>
      <c r="AH937" s="314">
        <v>1</v>
      </c>
      <c r="AI937" s="314">
        <f t="shared" si="251"/>
        <v>-109416.0313923792</v>
      </c>
      <c r="AJ937" s="314">
        <f t="shared" si="252"/>
        <v>0</v>
      </c>
      <c r="AK937" s="317"/>
      <c r="AL937" s="315">
        <f t="shared" si="253"/>
        <v>-4445.7199999999993</v>
      </c>
      <c r="AN937" s="554">
        <f t="shared" si="254"/>
        <v>-0.44506691440882257</v>
      </c>
      <c r="AO937" s="314"/>
      <c r="AP937" s="318"/>
    </row>
    <row r="938" spans="2:42">
      <c r="B938" s="296" t="s">
        <v>1266</v>
      </c>
      <c r="C938" s="299" t="s">
        <v>277</v>
      </c>
      <c r="D938" s="298" t="s">
        <v>773</v>
      </c>
      <c r="E938" s="299" t="s">
        <v>113</v>
      </c>
      <c r="F938" s="299" t="s">
        <v>59</v>
      </c>
      <c r="G938" s="300">
        <v>44722</v>
      </c>
      <c r="H938" s="681">
        <v>7284.31</v>
      </c>
      <c r="I938" s="301" t="str">
        <f t="shared" si="238"/>
        <v>Ingresos Sección II LISR (SIC &amp; BMV)</v>
      </c>
      <c r="J938" s="302">
        <f t="shared" si="239"/>
        <v>153</v>
      </c>
      <c r="K938" s="304">
        <f t="shared" si="240"/>
        <v>47.609869281045754</v>
      </c>
      <c r="L938" s="305">
        <f>IF(H938=0,0,IF(OR(E938=$AT$5,E938=$AT$6),AA938,IF(F938="MXN",1/HLOOKUP(YEAR(G938)+(MONTH(G938)/100),TC!$5:$37,DAY(G938)+2,FALSE),VLOOKUP(F938,Equivalencia!$5:$23,((MAX(Equivalencia!$3:$3)-YEAR(G938))*14)+MONTH(G938)+2,FALSE))))</f>
        <v>1</v>
      </c>
      <c r="M938" s="306">
        <f t="shared" si="241"/>
        <v>7284.31</v>
      </c>
      <c r="N938" s="305">
        <f>IF(G938=0,0,(IF(OR(E938=$AT$5,E938=$AT$6),AC938,HLOOKUP(YEAR(G938)+(MONTH(G938)/100),TC!$5:$37,DAY(G938)+2,FALSE))))</f>
        <v>19.59</v>
      </c>
      <c r="O938" s="307">
        <f t="shared" si="242"/>
        <v>142699.6329</v>
      </c>
      <c r="P938" s="560">
        <f>IF(G938=0,0,VLOOKUP(YEAR(G938),INPC!$B$4:$P$30,MONTH(G938)+2))</f>
        <v>122.044</v>
      </c>
      <c r="Q938" s="560">
        <f>IF(X938=0,0,IF(OR(E938=$AT$10,E938=$AT$9),VLOOKUP(YEAR(X938),INPC!$B$4:$P$30,MONTH(X938)+1),VLOOKUP(YEAR(X938),INPC!$B$4:$P$30,MONTH(X938)+2,0)))</f>
        <v>123.803</v>
      </c>
      <c r="R938" s="309">
        <f t="shared" si="243"/>
        <v>1.0144</v>
      </c>
      <c r="S938" s="310">
        <f t="shared" si="244"/>
        <v>144754.50761375998</v>
      </c>
      <c r="T938" s="555">
        <f t="shared" si="245"/>
        <v>946.10789290039202</v>
      </c>
      <c r="U938" s="311"/>
      <c r="V938" s="312">
        <v>153</v>
      </c>
      <c r="W938" s="299" t="s">
        <v>194</v>
      </c>
      <c r="X938" s="300">
        <v>44825</v>
      </c>
      <c r="Y938" s="299" t="s">
        <v>59</v>
      </c>
      <c r="Z938" s="681">
        <v>5849</v>
      </c>
      <c r="AA938" s="305">
        <f>IF(Z938=0,0,IF(Y938="MXN",1/HLOOKUP(YEAR(X938)+(MONTH(X938)/100),TC!$5:$37,DAY(X938)+2,FALSE),VLOOKUP(Y938,Equivalencia!$1:$23,((MAX(Equivalencia!$3:$3)-YEAR(X938))*14)+MONTH(X938)+2,FALSE)))</f>
        <v>1</v>
      </c>
      <c r="AB938" s="306">
        <f t="shared" si="246"/>
        <v>5849</v>
      </c>
      <c r="AC938" s="305">
        <f>+IF(X938=0,0,HLOOKUP(YEAR(X938)+(MONTH(X938)/100),TC!$5:$37,DAY(X938)+2,FALSE))</f>
        <v>19.994299999999999</v>
      </c>
      <c r="AD938" s="307">
        <f t="shared" si="247"/>
        <v>116946.66069999999</v>
      </c>
      <c r="AE938" s="314">
        <f t="shared" si="248"/>
        <v>144754.50761375998</v>
      </c>
      <c r="AF938" s="315">
        <f t="shared" si="249"/>
        <v>-27807.84691375999</v>
      </c>
      <c r="AG938" s="316">
        <f t="shared" si="250"/>
        <v>0.28219178082191781</v>
      </c>
      <c r="AH938" s="314">
        <v>1</v>
      </c>
      <c r="AI938" s="314">
        <f t="shared" si="251"/>
        <v>-27807.84691375999</v>
      </c>
      <c r="AJ938" s="314">
        <f t="shared" si="252"/>
        <v>0</v>
      </c>
      <c r="AK938" s="317"/>
      <c r="AL938" s="315">
        <f t="shared" si="253"/>
        <v>-1435.3100000000004</v>
      </c>
      <c r="AN938" s="554">
        <f t="shared" si="254"/>
        <v>-0.19704131208034809</v>
      </c>
      <c r="AO938" s="314"/>
      <c r="AP938" s="318"/>
    </row>
    <row r="939" spans="2:42">
      <c r="B939" s="296" t="s">
        <v>1266</v>
      </c>
      <c r="C939" s="299" t="s">
        <v>277</v>
      </c>
      <c r="D939" s="298" t="s">
        <v>773</v>
      </c>
      <c r="E939" s="299" t="s">
        <v>113</v>
      </c>
      <c r="F939" s="299" t="s">
        <v>59</v>
      </c>
      <c r="G939" s="300">
        <v>44126</v>
      </c>
      <c r="H939" s="681">
        <v>21989.49</v>
      </c>
      <c r="I939" s="301" t="str">
        <f t="shared" si="238"/>
        <v>Ingresos Sección II LISR (SIC &amp; BMV)</v>
      </c>
      <c r="J939" s="302">
        <f t="shared" si="239"/>
        <v>300</v>
      </c>
      <c r="K939" s="304">
        <f t="shared" si="240"/>
        <v>73.298300000000012</v>
      </c>
      <c r="L939" s="305">
        <f>IF(H939=0,0,IF(OR(E939=$AT$5,E939=$AT$6),AA939,IF(F939="MXN",1/HLOOKUP(YEAR(G939)+(MONTH(G939)/100),TC!$5:$37,DAY(G939)+2,FALSE),VLOOKUP(F939,Equivalencia!$5:$23,((MAX(Equivalencia!$3:$3)-YEAR(G939))*14)+MONTH(G939)+2,FALSE))))</f>
        <v>1</v>
      </c>
      <c r="M939" s="306">
        <f t="shared" si="241"/>
        <v>21989.49</v>
      </c>
      <c r="N939" s="305">
        <f>IF(G939=0,0,(IF(OR(E939=$AT$5,E939=$AT$6),AC939,HLOOKUP(YEAR(G939)+(MONTH(G939)/100),TC!$5:$37,DAY(G939)+2,FALSE))))</f>
        <v>21.090199999999999</v>
      </c>
      <c r="O939" s="307">
        <f t="shared" si="242"/>
        <v>463762.74199800001</v>
      </c>
      <c r="P939" s="560">
        <f>IF(G939=0,0,VLOOKUP(YEAR(G939),INPC!$B$4:$P$30,MONTH(G939)+2))</f>
        <v>108.774</v>
      </c>
      <c r="Q939" s="560">
        <f>IF(X939=0,0,IF(OR(E939=$AT$10,E939=$AT$9),VLOOKUP(YEAR(X939),INPC!$B$4:$P$30,MONTH(X939)+1),VLOOKUP(YEAR(X939),INPC!$B$4:$P$30,MONTH(X939)+2,0)))</f>
        <v>123.803</v>
      </c>
      <c r="R939" s="309">
        <f t="shared" si="243"/>
        <v>1.1380999999999999</v>
      </c>
      <c r="S939" s="310">
        <f t="shared" si="244"/>
        <v>527808.37666792376</v>
      </c>
      <c r="T939" s="555">
        <f t="shared" si="245"/>
        <v>1759.3612555597458</v>
      </c>
      <c r="U939" s="311"/>
      <c r="V939" s="312">
        <v>300</v>
      </c>
      <c r="W939" s="299" t="s">
        <v>194</v>
      </c>
      <c r="X939" s="300">
        <v>44825</v>
      </c>
      <c r="Y939" s="299" t="s">
        <v>59</v>
      </c>
      <c r="Z939" s="681">
        <v>11468.62</v>
      </c>
      <c r="AA939" s="305">
        <f>IF(Z939=0,0,IF(Y939="MXN",1/HLOOKUP(YEAR(X939)+(MONTH(X939)/100),TC!$5:$37,DAY(X939)+2,FALSE),VLOOKUP(Y939,Equivalencia!$1:$23,((MAX(Equivalencia!$3:$3)-YEAR(X939))*14)+MONTH(X939)+2,FALSE)))</f>
        <v>1</v>
      </c>
      <c r="AB939" s="306">
        <f t="shared" si="246"/>
        <v>11468.62</v>
      </c>
      <c r="AC939" s="305">
        <f>+IF(X939=0,0,HLOOKUP(YEAR(X939)+(MONTH(X939)/100),TC!$5:$37,DAY(X939)+2,FALSE))</f>
        <v>19.994299999999999</v>
      </c>
      <c r="AD939" s="307">
        <f t="shared" si="247"/>
        <v>229307.02886600001</v>
      </c>
      <c r="AE939" s="314">
        <f t="shared" si="248"/>
        <v>527808.37666792376</v>
      </c>
      <c r="AF939" s="315">
        <f t="shared" si="249"/>
        <v>-298501.34780192375</v>
      </c>
      <c r="AG939" s="316">
        <f t="shared" si="250"/>
        <v>1.9150684931506849</v>
      </c>
      <c r="AH939" s="314">
        <v>1</v>
      </c>
      <c r="AI939" s="314">
        <f t="shared" si="251"/>
        <v>-298501.34780192375</v>
      </c>
      <c r="AJ939" s="314">
        <f t="shared" si="252"/>
        <v>0</v>
      </c>
      <c r="AK939" s="317"/>
      <c r="AL939" s="315">
        <f t="shared" si="253"/>
        <v>-10520.87</v>
      </c>
      <c r="AN939" s="554">
        <f t="shared" si="254"/>
        <v>-0.4784499322176185</v>
      </c>
      <c r="AO939" s="314"/>
      <c r="AP939" s="318"/>
    </row>
    <row r="940" spans="2:42">
      <c r="B940" s="296" t="s">
        <v>1266</v>
      </c>
      <c r="C940" s="299" t="s">
        <v>277</v>
      </c>
      <c r="D940" s="298" t="s">
        <v>773</v>
      </c>
      <c r="E940" s="299" t="s">
        <v>113</v>
      </c>
      <c r="F940" s="299" t="s">
        <v>59</v>
      </c>
      <c r="G940" s="300">
        <v>44722</v>
      </c>
      <c r="H940" s="681">
        <v>5951.24</v>
      </c>
      <c r="I940" s="301" t="str">
        <f t="shared" si="238"/>
        <v>Ingresos Sección II LISR (SIC &amp; BMV)</v>
      </c>
      <c r="J940" s="302">
        <f t="shared" si="239"/>
        <v>125</v>
      </c>
      <c r="K940" s="304">
        <f t="shared" si="240"/>
        <v>47.609919999999995</v>
      </c>
      <c r="L940" s="305">
        <f>IF(H940=0,0,IF(OR(E940=$AT$5,E940=$AT$6),AA940,IF(F940="MXN",1/HLOOKUP(YEAR(G940)+(MONTH(G940)/100),TC!$5:$37,DAY(G940)+2,FALSE),VLOOKUP(F940,Equivalencia!$5:$23,((MAX(Equivalencia!$3:$3)-YEAR(G940))*14)+MONTH(G940)+2,FALSE))))</f>
        <v>1</v>
      </c>
      <c r="M940" s="306">
        <f t="shared" si="241"/>
        <v>5951.24</v>
      </c>
      <c r="N940" s="305">
        <f>IF(G940=0,0,(IF(OR(E940=$AT$5,E940=$AT$6),AC940,HLOOKUP(YEAR(G940)+(MONTH(G940)/100),TC!$5:$37,DAY(G940)+2,FALSE))))</f>
        <v>19.59</v>
      </c>
      <c r="O940" s="307">
        <f t="shared" si="242"/>
        <v>116584.7916</v>
      </c>
      <c r="P940" s="560">
        <f>IF(G940=0,0,VLOOKUP(YEAR(G940),INPC!$B$4:$P$30,MONTH(G940)+2))</f>
        <v>122.044</v>
      </c>
      <c r="Q940" s="560">
        <f>IF(X940=0,0,IF(OR(E940=$AT$10,E940=$AT$9),VLOOKUP(YEAR(X940),INPC!$B$4:$P$30,MONTH(X940)+1),VLOOKUP(YEAR(X940),INPC!$B$4:$P$30,MONTH(X940)+2,0)))</f>
        <v>123.803</v>
      </c>
      <c r="R940" s="309">
        <f t="shared" si="243"/>
        <v>1.0144</v>
      </c>
      <c r="S940" s="310">
        <f t="shared" si="244"/>
        <v>118263.61259903999</v>
      </c>
      <c r="T940" s="555">
        <f t="shared" si="245"/>
        <v>946.1089007923199</v>
      </c>
      <c r="U940" s="311"/>
      <c r="V940" s="312">
        <v>125</v>
      </c>
      <c r="W940" s="299" t="s">
        <v>194</v>
      </c>
      <c r="X940" s="300">
        <v>44826</v>
      </c>
      <c r="Y940" s="299" t="s">
        <v>59</v>
      </c>
      <c r="Z940" s="681">
        <v>4566.3599999999997</v>
      </c>
      <c r="AA940" s="305">
        <f>IF(Z940=0,0,IF(Y940="MXN",1/HLOOKUP(YEAR(X940)+(MONTH(X940)/100),TC!$5:$37,DAY(X940)+2,FALSE),VLOOKUP(Y940,Equivalencia!$1:$23,((MAX(Equivalencia!$3:$3)-YEAR(X940))*14)+MONTH(X940)+2,FALSE)))</f>
        <v>1</v>
      </c>
      <c r="AB940" s="306">
        <f t="shared" si="246"/>
        <v>4566.3599999999997</v>
      </c>
      <c r="AC940" s="305">
        <f>+IF(X940=0,0,HLOOKUP(YEAR(X940)+(MONTH(X940)/100),TC!$5:$37,DAY(X940)+2,FALSE))</f>
        <v>20</v>
      </c>
      <c r="AD940" s="307">
        <f t="shared" si="247"/>
        <v>91327.2</v>
      </c>
      <c r="AE940" s="314">
        <f t="shared" si="248"/>
        <v>118263.61259903999</v>
      </c>
      <c r="AF940" s="315">
        <f t="shared" si="249"/>
        <v>-26936.412599039992</v>
      </c>
      <c r="AG940" s="316">
        <f t="shared" si="250"/>
        <v>0.28493150684931506</v>
      </c>
      <c r="AH940" s="314">
        <v>1</v>
      </c>
      <c r="AI940" s="314">
        <f t="shared" si="251"/>
        <v>-26936.412599039992</v>
      </c>
      <c r="AJ940" s="314">
        <f t="shared" si="252"/>
        <v>0</v>
      </c>
      <c r="AK940" s="317"/>
      <c r="AL940" s="315">
        <f t="shared" si="253"/>
        <v>-1384.88</v>
      </c>
      <c r="AN940" s="554">
        <f t="shared" si="254"/>
        <v>-0.232704444787977</v>
      </c>
      <c r="AO940" s="314"/>
      <c r="AP940" s="318"/>
    </row>
    <row r="941" spans="2:42">
      <c r="B941" s="296" t="s">
        <v>1266</v>
      </c>
      <c r="C941" s="299" t="s">
        <v>277</v>
      </c>
      <c r="D941" s="298" t="s">
        <v>773</v>
      </c>
      <c r="E941" s="299" t="s">
        <v>113</v>
      </c>
      <c r="F941" s="299" t="s">
        <v>59</v>
      </c>
      <c r="G941" s="300">
        <v>44722</v>
      </c>
      <c r="H941" s="681">
        <v>8344.66</v>
      </c>
      <c r="I941" s="301" t="str">
        <f t="shared" si="238"/>
        <v>Ingresos Sección II LISR (SIC &amp; BMV)</v>
      </c>
      <c r="J941" s="302">
        <f t="shared" si="239"/>
        <v>182</v>
      </c>
      <c r="K941" s="304">
        <f t="shared" si="240"/>
        <v>45.849780219780222</v>
      </c>
      <c r="L941" s="305">
        <f>IF(H941=0,0,IF(OR(E941=$AT$5,E941=$AT$6),AA941,IF(F941="MXN",1/HLOOKUP(YEAR(G941)+(MONTH(G941)/100),TC!$5:$37,DAY(G941)+2,FALSE),VLOOKUP(F941,Equivalencia!$5:$23,((MAX(Equivalencia!$3:$3)-YEAR(G941))*14)+MONTH(G941)+2,FALSE))))</f>
        <v>1</v>
      </c>
      <c r="M941" s="306">
        <f t="shared" si="241"/>
        <v>8344.66</v>
      </c>
      <c r="N941" s="305">
        <f>IF(G941=0,0,(IF(OR(E941=$AT$5,E941=$AT$6),AC941,HLOOKUP(YEAR(G941)+(MONTH(G941)/100),TC!$5:$37,DAY(G941)+2,FALSE))))</f>
        <v>19.59</v>
      </c>
      <c r="O941" s="307">
        <f t="shared" si="242"/>
        <v>163471.88939999999</v>
      </c>
      <c r="P941" s="560">
        <f>IF(G941=0,0,VLOOKUP(YEAR(G941),INPC!$B$4:$P$30,MONTH(G941)+2))</f>
        <v>122.044</v>
      </c>
      <c r="Q941" s="560">
        <f>IF(X941=0,0,IF(OR(E941=$AT$10,E941=$AT$9),VLOOKUP(YEAR(X941),INPC!$B$4:$P$30,MONTH(X941)+1),VLOOKUP(YEAR(X941),INPC!$B$4:$P$30,MONTH(X941)+2,0)))</f>
        <v>123.803</v>
      </c>
      <c r="R941" s="309">
        <f t="shared" si="243"/>
        <v>1.0144</v>
      </c>
      <c r="S941" s="310">
        <f t="shared" si="244"/>
        <v>165825.88460735997</v>
      </c>
      <c r="T941" s="555">
        <f t="shared" si="245"/>
        <v>911.13123410637343</v>
      </c>
      <c r="U941" s="311"/>
      <c r="V941" s="312">
        <v>182</v>
      </c>
      <c r="W941" s="299" t="s">
        <v>194</v>
      </c>
      <c r="X941" s="300">
        <v>44826</v>
      </c>
      <c r="Y941" s="299" t="s">
        <v>59</v>
      </c>
      <c r="Z941" s="681">
        <v>6648.61</v>
      </c>
      <c r="AA941" s="305">
        <f>IF(Z941=0,0,IF(Y941="MXN",1/HLOOKUP(YEAR(X941)+(MONTH(X941)/100),TC!$5:$37,DAY(X941)+2,FALSE),VLOOKUP(Y941,Equivalencia!$1:$23,((MAX(Equivalencia!$3:$3)-YEAR(X941))*14)+MONTH(X941)+2,FALSE)))</f>
        <v>1</v>
      </c>
      <c r="AB941" s="306">
        <f t="shared" si="246"/>
        <v>6648.61</v>
      </c>
      <c r="AC941" s="305">
        <f>+IF(X941=0,0,HLOOKUP(YEAR(X941)+(MONTH(X941)/100),TC!$5:$37,DAY(X941)+2,FALSE))</f>
        <v>20</v>
      </c>
      <c r="AD941" s="307">
        <f t="shared" si="247"/>
        <v>132972.19999999998</v>
      </c>
      <c r="AE941" s="314">
        <f t="shared" si="248"/>
        <v>165825.88460735997</v>
      </c>
      <c r="AF941" s="315">
        <f t="shared" si="249"/>
        <v>-32853.684607359988</v>
      </c>
      <c r="AG941" s="316">
        <f t="shared" si="250"/>
        <v>0.28493150684931506</v>
      </c>
      <c r="AH941" s="314">
        <v>1</v>
      </c>
      <c r="AI941" s="314">
        <f t="shared" si="251"/>
        <v>-32853.684607359988</v>
      </c>
      <c r="AJ941" s="314">
        <f t="shared" si="252"/>
        <v>0</v>
      </c>
      <c r="AK941" s="317"/>
      <c r="AL941" s="315">
        <f t="shared" si="253"/>
        <v>-1696.0500000000002</v>
      </c>
      <c r="AN941" s="554">
        <f t="shared" si="254"/>
        <v>-0.20324974294938322</v>
      </c>
      <c r="AO941" s="314"/>
      <c r="AP941" s="318"/>
    </row>
    <row r="942" spans="2:42">
      <c r="B942" s="296" t="s">
        <v>1266</v>
      </c>
      <c r="C942" s="299" t="s">
        <v>277</v>
      </c>
      <c r="D942" s="298" t="s">
        <v>773</v>
      </c>
      <c r="E942" s="299" t="s">
        <v>113</v>
      </c>
      <c r="F942" s="299" t="s">
        <v>59</v>
      </c>
      <c r="G942" s="300">
        <v>44722</v>
      </c>
      <c r="H942" s="681">
        <v>366.8</v>
      </c>
      <c r="I942" s="301" t="str">
        <f t="shared" si="238"/>
        <v>Ingresos Sección II LISR (SIC &amp; BMV)</v>
      </c>
      <c r="J942" s="302">
        <f t="shared" si="239"/>
        <v>8</v>
      </c>
      <c r="K942" s="304">
        <f t="shared" si="240"/>
        <v>45.85</v>
      </c>
      <c r="L942" s="305">
        <f>IF(H942=0,0,IF(OR(E942=$AT$5,E942=$AT$6),AA942,IF(F942="MXN",1/HLOOKUP(YEAR(G942)+(MONTH(G942)/100),TC!$5:$37,DAY(G942)+2,FALSE),VLOOKUP(F942,Equivalencia!$5:$23,((MAX(Equivalencia!$3:$3)-YEAR(G942))*14)+MONTH(G942)+2,FALSE))))</f>
        <v>1</v>
      </c>
      <c r="M942" s="306">
        <f t="shared" si="241"/>
        <v>366.8</v>
      </c>
      <c r="N942" s="305">
        <f>IF(G942=0,0,(IF(OR(E942=$AT$5,E942=$AT$6),AC942,HLOOKUP(YEAR(G942)+(MONTH(G942)/100),TC!$5:$37,DAY(G942)+2,FALSE))))</f>
        <v>19.59</v>
      </c>
      <c r="O942" s="307">
        <f t="shared" si="242"/>
        <v>7185.6120000000001</v>
      </c>
      <c r="P942" s="560">
        <f>IF(G942=0,0,VLOOKUP(YEAR(G942),INPC!$B$4:$P$30,MONTH(G942)+2))</f>
        <v>122.044</v>
      </c>
      <c r="Q942" s="560">
        <f>IF(X942=0,0,IF(OR(E942=$AT$10,E942=$AT$9),VLOOKUP(YEAR(X942),INPC!$B$4:$P$30,MONTH(X942)+1),VLOOKUP(YEAR(X942),INPC!$B$4:$P$30,MONTH(X942)+2,0)))</f>
        <v>123.803</v>
      </c>
      <c r="R942" s="309">
        <f t="shared" si="243"/>
        <v>1.0144</v>
      </c>
      <c r="S942" s="310">
        <f t="shared" si="244"/>
        <v>7289.0848127999998</v>
      </c>
      <c r="T942" s="555">
        <f t="shared" si="245"/>
        <v>911.13560159999997</v>
      </c>
      <c r="U942" s="311"/>
      <c r="V942" s="312">
        <v>8</v>
      </c>
      <c r="W942" s="299" t="s">
        <v>194</v>
      </c>
      <c r="X942" s="300">
        <v>44827</v>
      </c>
      <c r="Y942" s="299" t="s">
        <v>59</v>
      </c>
      <c r="Z942" s="681">
        <v>285.67</v>
      </c>
      <c r="AA942" s="305">
        <f>IF(Z942=0,0,IF(Y942="MXN",1/HLOOKUP(YEAR(X942)+(MONTH(X942)/100),TC!$5:$37,DAY(X942)+2,FALSE),VLOOKUP(Y942,Equivalencia!$1:$23,((MAX(Equivalencia!$3:$3)-YEAR(X942))*14)+MONTH(X942)+2,FALSE)))</f>
        <v>1</v>
      </c>
      <c r="AB942" s="306">
        <f t="shared" si="246"/>
        <v>285.67</v>
      </c>
      <c r="AC942" s="305">
        <f>+IF(X942=0,0,HLOOKUP(YEAR(X942)+(MONTH(X942)/100),TC!$5:$37,DAY(X942)+2,FALSE))</f>
        <v>20.002700000000001</v>
      </c>
      <c r="AD942" s="307">
        <f t="shared" si="247"/>
        <v>5714.1713090000003</v>
      </c>
      <c r="AE942" s="314">
        <f t="shared" si="248"/>
        <v>7289.0848127999998</v>
      </c>
      <c r="AF942" s="315">
        <f t="shared" si="249"/>
        <v>-1574.9135037999995</v>
      </c>
      <c r="AG942" s="316">
        <f t="shared" si="250"/>
        <v>0.28767123287671231</v>
      </c>
      <c r="AH942" s="314">
        <v>1</v>
      </c>
      <c r="AI942" s="314">
        <f t="shared" si="251"/>
        <v>-1574.9135037999995</v>
      </c>
      <c r="AJ942" s="314">
        <f t="shared" si="252"/>
        <v>0</v>
      </c>
      <c r="AK942" s="317"/>
      <c r="AL942" s="315">
        <f t="shared" si="253"/>
        <v>-81.13</v>
      </c>
      <c r="AN942" s="554">
        <f t="shared" si="254"/>
        <v>-0.2211832061068702</v>
      </c>
      <c r="AO942" s="314"/>
      <c r="AP942" s="318"/>
    </row>
    <row r="943" spans="2:42">
      <c r="B943" s="296" t="s">
        <v>1266</v>
      </c>
      <c r="C943" s="299" t="s">
        <v>277</v>
      </c>
      <c r="D943" s="298" t="s">
        <v>773</v>
      </c>
      <c r="E943" s="299" t="s">
        <v>113</v>
      </c>
      <c r="F943" s="299" t="s">
        <v>59</v>
      </c>
      <c r="G943" s="300">
        <v>44790</v>
      </c>
      <c r="H943" s="681">
        <v>11776.25</v>
      </c>
      <c r="I943" s="301" t="str">
        <f t="shared" si="238"/>
        <v>Ingresos Sección II LISR (SIC &amp; BMV)</v>
      </c>
      <c r="J943" s="302">
        <f t="shared" si="239"/>
        <v>250</v>
      </c>
      <c r="K943" s="304">
        <f t="shared" si="240"/>
        <v>47.104999999999997</v>
      </c>
      <c r="L943" s="305">
        <f>IF(H943=0,0,IF(OR(E943=$AT$5,E943=$AT$6),AA943,IF(F943="MXN",1/HLOOKUP(YEAR(G943)+(MONTH(G943)/100),TC!$5:$37,DAY(G943)+2,FALSE),VLOOKUP(F943,Equivalencia!$5:$23,((MAX(Equivalencia!$3:$3)-YEAR(G943))*14)+MONTH(G943)+2,FALSE))))</f>
        <v>1</v>
      </c>
      <c r="M943" s="306">
        <f t="shared" si="241"/>
        <v>11776.25</v>
      </c>
      <c r="N943" s="305">
        <f>IF(G943=0,0,(IF(OR(E943=$AT$5,E943=$AT$6),AC943,HLOOKUP(YEAR(G943)+(MONTH(G943)/100),TC!$5:$37,DAY(G943)+2,FALSE))))</f>
        <v>19.861799999999999</v>
      </c>
      <c r="O943" s="307">
        <f t="shared" si="242"/>
        <v>233897.52224999998</v>
      </c>
      <c r="P943" s="560">
        <f>IF(G943=0,0,VLOOKUP(YEAR(G943),INPC!$B$4:$P$30,MONTH(G943)+2))</f>
        <v>123.803</v>
      </c>
      <c r="Q943" s="560">
        <f>IF(X943=0,0,IF(OR(E943=$AT$10,E943=$AT$9),VLOOKUP(YEAR(X943),INPC!$B$4:$P$30,MONTH(X943)+1),VLOOKUP(YEAR(X943),INPC!$B$4:$P$30,MONTH(X943)+2,0)))</f>
        <v>123.803</v>
      </c>
      <c r="R943" s="309">
        <f t="shared" si="243"/>
        <v>1</v>
      </c>
      <c r="S943" s="310">
        <f t="shared" si="244"/>
        <v>233897.52224999998</v>
      </c>
      <c r="T943" s="555">
        <f t="shared" si="245"/>
        <v>935.59008899999992</v>
      </c>
      <c r="U943" s="311"/>
      <c r="V943" s="312">
        <v>250</v>
      </c>
      <c r="W943" s="299" t="s">
        <v>194</v>
      </c>
      <c r="X943" s="300">
        <v>44827</v>
      </c>
      <c r="Y943" s="299" t="s">
        <v>59</v>
      </c>
      <c r="Z943" s="681">
        <v>8927.2999999999993</v>
      </c>
      <c r="AA943" s="305">
        <f>IF(Z943=0,0,IF(Y943="MXN",1/HLOOKUP(YEAR(X943)+(MONTH(X943)/100),TC!$5:$37,DAY(X943)+2,FALSE),VLOOKUP(Y943,Equivalencia!$1:$23,((MAX(Equivalencia!$3:$3)-YEAR(X943))*14)+MONTH(X943)+2,FALSE)))</f>
        <v>1</v>
      </c>
      <c r="AB943" s="306">
        <f t="shared" si="246"/>
        <v>8927.2999999999993</v>
      </c>
      <c r="AC943" s="305">
        <f>+IF(X943=0,0,HLOOKUP(YEAR(X943)+(MONTH(X943)/100),TC!$5:$37,DAY(X943)+2,FALSE))</f>
        <v>20.002700000000001</v>
      </c>
      <c r="AD943" s="307">
        <f t="shared" si="247"/>
        <v>178570.10371</v>
      </c>
      <c r="AE943" s="314">
        <f t="shared" si="248"/>
        <v>233897.52224999998</v>
      </c>
      <c r="AF943" s="315">
        <f t="shared" si="249"/>
        <v>-55327.418539999984</v>
      </c>
      <c r="AG943" s="316">
        <f t="shared" si="250"/>
        <v>0.10136986301369863</v>
      </c>
      <c r="AH943" s="314">
        <v>1</v>
      </c>
      <c r="AI943" s="314">
        <f t="shared" si="251"/>
        <v>-55327.418539999984</v>
      </c>
      <c r="AJ943" s="314">
        <f t="shared" si="252"/>
        <v>0</v>
      </c>
      <c r="AK943" s="317"/>
      <c r="AL943" s="315">
        <f t="shared" si="253"/>
        <v>-2848.9500000000007</v>
      </c>
      <c r="AN943" s="554">
        <f t="shared" si="254"/>
        <v>-0.24192336270035034</v>
      </c>
      <c r="AO943" s="314"/>
      <c r="AP943" s="318"/>
    </row>
    <row r="944" spans="2:42">
      <c r="B944" s="296" t="s">
        <v>1266</v>
      </c>
      <c r="C944" s="299" t="s">
        <v>277</v>
      </c>
      <c r="D944" s="298" t="s">
        <v>1008</v>
      </c>
      <c r="E944" s="299" t="s">
        <v>113</v>
      </c>
      <c r="F944" s="299" t="s">
        <v>59</v>
      </c>
      <c r="G944" s="300">
        <v>43315</v>
      </c>
      <c r="H944" s="681">
        <v>30465.38</v>
      </c>
      <c r="I944" s="301" t="str">
        <f t="shared" si="238"/>
        <v>Ingresos Sección II LISR (SIC &amp; BMV)</v>
      </c>
      <c r="J944" s="302">
        <f t="shared" si="239"/>
        <v>121</v>
      </c>
      <c r="K944" s="304">
        <f t="shared" si="240"/>
        <v>251.78</v>
      </c>
      <c r="L944" s="305">
        <f>IF(H944=0,0,IF(OR(E944=$AT$5,E944=$AT$6),AA944,IF(F944="MXN",1/HLOOKUP(YEAR(G944)+(MONTH(G944)/100),TC!$5:$37,DAY(G944)+2,FALSE),VLOOKUP(F944,Equivalencia!$5:$23,((MAX(Equivalencia!$3:$3)-YEAR(G944))*14)+MONTH(G944)+2,FALSE))))</f>
        <v>1</v>
      </c>
      <c r="M944" s="306">
        <f t="shared" si="241"/>
        <v>30465.38</v>
      </c>
      <c r="N944" s="305">
        <f>IF(G944=0,0,(IF(OR(E944=$AT$5,E944=$AT$6),AC944,HLOOKUP(YEAR(G944)+(MONTH(G944)/100),TC!$5:$37,DAY(G944)+2,FALSE))))</f>
        <v>18.5899</v>
      </c>
      <c r="O944" s="307">
        <f t="shared" si="242"/>
        <v>566348.367662</v>
      </c>
      <c r="P944" s="560">
        <f>IF(G944=0,0,VLOOKUP(YEAR(G944),INPC!$B$4:$P$30,MONTH(G944)+2))</f>
        <v>100.492</v>
      </c>
      <c r="Q944" s="560">
        <f>IF(X944=0,0,IF(OR(E944=$AT$10,E944=$AT$9),VLOOKUP(YEAR(X944),INPC!$B$4:$P$30,MONTH(X944)+1),VLOOKUP(YEAR(X944),INPC!$B$4:$P$30,MONTH(X944)+2,0)))</f>
        <v>123.803</v>
      </c>
      <c r="R944" s="309">
        <f t="shared" si="243"/>
        <v>1.2319</v>
      </c>
      <c r="S944" s="310">
        <f t="shared" si="244"/>
        <v>697684.55412281782</v>
      </c>
      <c r="T944" s="555">
        <f t="shared" si="245"/>
        <v>5765.9880506017998</v>
      </c>
      <c r="U944" s="311"/>
      <c r="V944" s="312">
        <v>121</v>
      </c>
      <c r="W944" s="299" t="s">
        <v>194</v>
      </c>
      <c r="X944" s="300">
        <v>44830</v>
      </c>
      <c r="Y944" s="299" t="s">
        <v>59</v>
      </c>
      <c r="Z944" s="681">
        <v>34101.85</v>
      </c>
      <c r="AA944" s="305">
        <f>IF(Z944=0,0,IF(Y944="MXN",1/HLOOKUP(YEAR(X944)+(MONTH(X944)/100),TC!$5:$37,DAY(X944)+2,FALSE),VLOOKUP(Y944,Equivalencia!$1:$23,((MAX(Equivalencia!$3:$3)-YEAR(X944))*14)+MONTH(X944)+2,FALSE)))</f>
        <v>1</v>
      </c>
      <c r="AB944" s="306">
        <f t="shared" si="246"/>
        <v>34101.85</v>
      </c>
      <c r="AC944" s="305">
        <f>+IF(X944=0,0,HLOOKUP(YEAR(X944)+(MONTH(X944)/100),TC!$5:$37,DAY(X944)+2,FALSE))</f>
        <v>19.960799999999999</v>
      </c>
      <c r="AD944" s="307">
        <f t="shared" si="247"/>
        <v>680700.20747999998</v>
      </c>
      <c r="AE944" s="314">
        <f t="shared" si="248"/>
        <v>697684.55412281782</v>
      </c>
      <c r="AF944" s="315">
        <f t="shared" si="249"/>
        <v>-16984.346642817836</v>
      </c>
      <c r="AG944" s="316">
        <f t="shared" si="250"/>
        <v>4.1506849315068495</v>
      </c>
      <c r="AH944" s="314">
        <v>1</v>
      </c>
      <c r="AI944" s="314">
        <f t="shared" si="251"/>
        <v>-16984.346642817836</v>
      </c>
      <c r="AJ944" s="314">
        <f t="shared" si="252"/>
        <v>0</v>
      </c>
      <c r="AK944" s="317"/>
      <c r="AL944" s="315">
        <f t="shared" si="253"/>
        <v>3636.4699999999975</v>
      </c>
      <c r="AN944" s="554">
        <f t="shared" si="254"/>
        <v>0.11936401252831895</v>
      </c>
      <c r="AO944" s="314"/>
      <c r="AP944" s="318"/>
    </row>
    <row r="945" spans="2:42">
      <c r="B945" s="296" t="s">
        <v>1266</v>
      </c>
      <c r="C945" s="299" t="s">
        <v>277</v>
      </c>
      <c r="D945" s="298" t="s">
        <v>757</v>
      </c>
      <c r="E945" s="299" t="s">
        <v>113</v>
      </c>
      <c r="F945" s="299" t="s">
        <v>59</v>
      </c>
      <c r="G945" s="300">
        <v>43476</v>
      </c>
      <c r="H945" s="681">
        <v>3180.88</v>
      </c>
      <c r="I945" s="301" t="str">
        <f t="shared" si="238"/>
        <v>Ingresos Sección II LISR (SIC &amp; BMV)</v>
      </c>
      <c r="J945" s="302">
        <f t="shared" si="239"/>
        <v>28</v>
      </c>
      <c r="K945" s="304">
        <f t="shared" si="240"/>
        <v>113.60285714285715</v>
      </c>
      <c r="L945" s="305">
        <f>IF(H945=0,0,IF(OR(E945=$AT$5,E945=$AT$6),AA945,IF(F945="MXN",1/HLOOKUP(YEAR(G945)+(MONTH(G945)/100),TC!$5:$37,DAY(G945)+2,FALSE),VLOOKUP(F945,Equivalencia!$5:$23,((MAX(Equivalencia!$3:$3)-YEAR(G945))*14)+MONTH(G945)+2,FALSE))))</f>
        <v>1</v>
      </c>
      <c r="M945" s="306">
        <f t="shared" si="241"/>
        <v>3180.88</v>
      </c>
      <c r="N945" s="305">
        <f>IF(G945=0,0,(IF(OR(E945=$AT$5,E945=$AT$6),AC945,HLOOKUP(YEAR(G945)+(MONTH(G945)/100),TC!$5:$37,DAY(G945)+2,FALSE))))</f>
        <v>19.2456</v>
      </c>
      <c r="O945" s="307">
        <f t="shared" si="242"/>
        <v>61217.944128000003</v>
      </c>
      <c r="P945" s="560">
        <f>IF(G945=0,0,VLOOKUP(YEAR(G945),INPC!$B$4:$P$30,MONTH(G945)+2))</f>
        <v>103.108</v>
      </c>
      <c r="Q945" s="560">
        <f>IF(X945=0,0,IF(OR(E945=$AT$10,E945=$AT$9),VLOOKUP(YEAR(X945),INPC!$B$4:$P$30,MONTH(X945)+1),VLOOKUP(YEAR(X945),INPC!$B$4:$P$30,MONTH(X945)+2,0)))</f>
        <v>123.803</v>
      </c>
      <c r="R945" s="309">
        <f t="shared" si="243"/>
        <v>1.2007000000000001</v>
      </c>
      <c r="S945" s="310">
        <f t="shared" si="244"/>
        <v>73504.385514489608</v>
      </c>
      <c r="T945" s="555">
        <f t="shared" si="245"/>
        <v>2625.1566255174862</v>
      </c>
      <c r="U945" s="311"/>
      <c r="V945" s="312">
        <v>28</v>
      </c>
      <c r="W945" s="299" t="s">
        <v>194</v>
      </c>
      <c r="X945" s="300">
        <v>44830</v>
      </c>
      <c r="Y945" s="299" t="s">
        <v>59</v>
      </c>
      <c r="Z945" s="681">
        <v>7131.37</v>
      </c>
      <c r="AA945" s="305">
        <f>IF(Z945=0,0,IF(Y945="MXN",1/HLOOKUP(YEAR(X945)+(MONTH(X945)/100),TC!$5:$37,DAY(X945)+2,FALSE),VLOOKUP(Y945,Equivalencia!$1:$23,((MAX(Equivalencia!$3:$3)-YEAR(X945))*14)+MONTH(X945)+2,FALSE)))</f>
        <v>1</v>
      </c>
      <c r="AB945" s="306">
        <f t="shared" si="246"/>
        <v>7131.37</v>
      </c>
      <c r="AC945" s="305">
        <f>+IF(X945=0,0,HLOOKUP(YEAR(X945)+(MONTH(X945)/100),TC!$5:$37,DAY(X945)+2,FALSE))</f>
        <v>19.960799999999999</v>
      </c>
      <c r="AD945" s="307">
        <f t="shared" si="247"/>
        <v>142347.85029599999</v>
      </c>
      <c r="AE945" s="314">
        <f t="shared" si="248"/>
        <v>73504.385514489608</v>
      </c>
      <c r="AF945" s="315">
        <f t="shared" si="249"/>
        <v>68843.464781510382</v>
      </c>
      <c r="AG945" s="316">
        <f t="shared" si="250"/>
        <v>3.7095890410958905</v>
      </c>
      <c r="AH945" s="314">
        <v>1</v>
      </c>
      <c r="AI945" s="314">
        <f t="shared" si="251"/>
        <v>68843.464781510382</v>
      </c>
      <c r="AJ945" s="314">
        <f t="shared" si="252"/>
        <v>0</v>
      </c>
      <c r="AK945" s="317"/>
      <c r="AL945" s="315">
        <f t="shared" si="253"/>
        <v>3950.49</v>
      </c>
      <c r="AN945" s="554">
        <f t="shared" si="254"/>
        <v>1.2419487688941424</v>
      </c>
      <c r="AO945" s="314"/>
      <c r="AP945" s="318"/>
    </row>
    <row r="946" spans="2:42">
      <c r="B946" s="296" t="s">
        <v>1266</v>
      </c>
      <c r="C946" s="299" t="s">
        <v>277</v>
      </c>
      <c r="D946" s="298" t="s">
        <v>773</v>
      </c>
      <c r="E946" s="299" t="s">
        <v>113</v>
      </c>
      <c r="F946" s="299" t="s">
        <v>59</v>
      </c>
      <c r="G946" s="300">
        <v>44790</v>
      </c>
      <c r="H946" s="681">
        <v>8855.74</v>
      </c>
      <c r="I946" s="301" t="str">
        <f t="shared" si="238"/>
        <v>Ingresos Sección II LISR (SIC &amp; BMV)</v>
      </c>
      <c r="J946" s="302">
        <f t="shared" si="239"/>
        <v>188</v>
      </c>
      <c r="K946" s="304">
        <f t="shared" si="240"/>
        <v>47.104999999999997</v>
      </c>
      <c r="L946" s="305">
        <f>IF(H946=0,0,IF(OR(E946=$AT$5,E946=$AT$6),AA946,IF(F946="MXN",1/HLOOKUP(YEAR(G946)+(MONTH(G946)/100),TC!$5:$37,DAY(G946)+2,FALSE),VLOOKUP(F946,Equivalencia!$5:$23,((MAX(Equivalencia!$3:$3)-YEAR(G946))*14)+MONTH(G946)+2,FALSE))))</f>
        <v>1</v>
      </c>
      <c r="M946" s="306">
        <f t="shared" si="241"/>
        <v>8855.74</v>
      </c>
      <c r="N946" s="305">
        <f>IF(G946=0,0,(IF(OR(E946=$AT$5,E946=$AT$6),AC946,HLOOKUP(YEAR(G946)+(MONTH(G946)/100),TC!$5:$37,DAY(G946)+2,FALSE))))</f>
        <v>19.861799999999999</v>
      </c>
      <c r="O946" s="307">
        <f t="shared" si="242"/>
        <v>175890.93673199997</v>
      </c>
      <c r="P946" s="560">
        <f>IF(G946=0,0,VLOOKUP(YEAR(G946),INPC!$B$4:$P$30,MONTH(G946)+2))</f>
        <v>123.803</v>
      </c>
      <c r="Q946" s="560">
        <f>IF(X946=0,0,IF(OR(E946=$AT$10,E946=$AT$9),VLOOKUP(YEAR(X946),INPC!$B$4:$P$30,MONTH(X946)+1),VLOOKUP(YEAR(X946),INPC!$B$4:$P$30,MONTH(X946)+2,0)))</f>
        <v>123.803</v>
      </c>
      <c r="R946" s="309">
        <f t="shared" si="243"/>
        <v>1</v>
      </c>
      <c r="S946" s="310">
        <f t="shared" si="244"/>
        <v>175890.93673199997</v>
      </c>
      <c r="T946" s="555">
        <f t="shared" si="245"/>
        <v>935.59008899999981</v>
      </c>
      <c r="U946" s="311"/>
      <c r="V946" s="312">
        <v>188</v>
      </c>
      <c r="W946" s="299" t="s">
        <v>194</v>
      </c>
      <c r="X946" s="300">
        <v>44830</v>
      </c>
      <c r="Y946" s="299" t="s">
        <v>59</v>
      </c>
      <c r="Z946" s="681">
        <v>6651.27</v>
      </c>
      <c r="AA946" s="305">
        <f>IF(Z946=0,0,IF(Y946="MXN",1/HLOOKUP(YEAR(X946)+(MONTH(X946)/100),TC!$5:$37,DAY(X946)+2,FALSE),VLOOKUP(Y946,Equivalencia!$1:$23,((MAX(Equivalencia!$3:$3)-YEAR(X946))*14)+MONTH(X946)+2,FALSE)))</f>
        <v>1</v>
      </c>
      <c r="AB946" s="306">
        <f t="shared" si="246"/>
        <v>6651.27</v>
      </c>
      <c r="AC946" s="305">
        <f>+IF(X946=0,0,HLOOKUP(YEAR(X946)+(MONTH(X946)/100),TC!$5:$37,DAY(X946)+2,FALSE))</f>
        <v>19.960799999999999</v>
      </c>
      <c r="AD946" s="307">
        <f t="shared" si="247"/>
        <v>132764.670216</v>
      </c>
      <c r="AE946" s="314">
        <f t="shared" si="248"/>
        <v>175890.93673199997</v>
      </c>
      <c r="AF946" s="315">
        <f t="shared" si="249"/>
        <v>-43126.266515999974</v>
      </c>
      <c r="AG946" s="316">
        <f t="shared" si="250"/>
        <v>0.1095890410958904</v>
      </c>
      <c r="AH946" s="314">
        <v>1</v>
      </c>
      <c r="AI946" s="314">
        <f t="shared" si="251"/>
        <v>-43126.266515999974</v>
      </c>
      <c r="AJ946" s="314">
        <f t="shared" si="252"/>
        <v>0</v>
      </c>
      <c r="AK946" s="317"/>
      <c r="AL946" s="315">
        <f t="shared" si="253"/>
        <v>-2204.4699999999993</v>
      </c>
      <c r="AN946" s="554">
        <f t="shared" si="254"/>
        <v>-0.24893120168387953</v>
      </c>
      <c r="AO946" s="314"/>
      <c r="AP946" s="318"/>
    </row>
    <row r="947" spans="2:42">
      <c r="B947" s="296" t="s">
        <v>1266</v>
      </c>
      <c r="C947" s="299" t="s">
        <v>277</v>
      </c>
      <c r="D947" s="298" t="s">
        <v>1008</v>
      </c>
      <c r="E947" s="299" t="s">
        <v>113</v>
      </c>
      <c r="F947" s="299" t="s">
        <v>59</v>
      </c>
      <c r="G947" s="300">
        <v>44606</v>
      </c>
      <c r="H947" s="681">
        <v>25592.720000000001</v>
      </c>
      <c r="I947" s="301" t="str">
        <f t="shared" si="238"/>
        <v>Ingresos Sección II LISR (SIC &amp; BMV)</v>
      </c>
      <c r="J947" s="302">
        <f t="shared" si="239"/>
        <v>54</v>
      </c>
      <c r="K947" s="304">
        <f t="shared" si="240"/>
        <v>473.9392592592593</v>
      </c>
      <c r="L947" s="305">
        <f>IF(H947=0,0,IF(OR(E947=$AT$5,E947=$AT$6),AA947,IF(F947="MXN",1/HLOOKUP(YEAR(G947)+(MONTH(G947)/100),TC!$5:$37,DAY(G947)+2,FALSE),VLOOKUP(F947,Equivalencia!$5:$23,((MAX(Equivalencia!$3:$3)-YEAR(G947))*14)+MONTH(G947)+2,FALSE))))</f>
        <v>1</v>
      </c>
      <c r="M947" s="306">
        <f t="shared" si="241"/>
        <v>25592.720000000001</v>
      </c>
      <c r="N947" s="305">
        <f>IF(G947=0,0,(IF(OR(E947=$AT$5,E947=$AT$6),AC947,HLOOKUP(YEAR(G947)+(MONTH(G947)/100),TC!$5:$37,DAY(G947)+2,FALSE))))</f>
        <v>20.4148</v>
      </c>
      <c r="O947" s="307">
        <f t="shared" si="242"/>
        <v>522470.26025600004</v>
      </c>
      <c r="P947" s="560">
        <f>IF(G947=0,0,VLOOKUP(YEAR(G947),INPC!$B$4:$P$30,MONTH(G947)+2))</f>
        <v>118.98099999999999</v>
      </c>
      <c r="Q947" s="560">
        <f>IF(X947=0,0,IF(OR(E947=$AT$10,E947=$AT$9),VLOOKUP(YEAR(X947),INPC!$B$4:$P$30,MONTH(X947)+1),VLOOKUP(YEAR(X947),INPC!$B$4:$P$30,MONTH(X947)+2,0)))</f>
        <v>123.803</v>
      </c>
      <c r="R947" s="309">
        <f t="shared" si="243"/>
        <v>1.0405</v>
      </c>
      <c r="S947" s="310">
        <f t="shared" si="244"/>
        <v>543630.30579636805</v>
      </c>
      <c r="T947" s="555">
        <f t="shared" si="245"/>
        <v>10067.227885117927</v>
      </c>
      <c r="U947" s="311"/>
      <c r="V947" s="312">
        <v>54</v>
      </c>
      <c r="W947" s="299" t="s">
        <v>194</v>
      </c>
      <c r="X947" s="300">
        <v>44831</v>
      </c>
      <c r="Y947" s="299" t="s">
        <v>59</v>
      </c>
      <c r="Z947" s="681">
        <v>15030.79</v>
      </c>
      <c r="AA947" s="305">
        <f>IF(Z947=0,0,IF(Y947="MXN",1/HLOOKUP(YEAR(X947)+(MONTH(X947)/100),TC!$5:$37,DAY(X947)+2,FALSE),VLOOKUP(Y947,Equivalencia!$1:$23,((MAX(Equivalencia!$3:$3)-YEAR(X947))*14)+MONTH(X947)+2,FALSE)))</f>
        <v>1</v>
      </c>
      <c r="AB947" s="306">
        <f t="shared" si="246"/>
        <v>15030.79</v>
      </c>
      <c r="AC947" s="305">
        <f>+IF(X947=0,0,HLOOKUP(YEAR(X947)+(MONTH(X947)/100),TC!$5:$37,DAY(X947)+2,FALSE))</f>
        <v>20.162700000000001</v>
      </c>
      <c r="AD947" s="307">
        <f t="shared" si="247"/>
        <v>303061.30953300005</v>
      </c>
      <c r="AE947" s="314">
        <f t="shared" si="248"/>
        <v>543630.30579636805</v>
      </c>
      <c r="AF947" s="315">
        <f t="shared" si="249"/>
        <v>-240568.996263368</v>
      </c>
      <c r="AG947" s="316">
        <f t="shared" si="250"/>
        <v>0.61643835616438358</v>
      </c>
      <c r="AH947" s="314">
        <v>1</v>
      </c>
      <c r="AI947" s="314">
        <f t="shared" si="251"/>
        <v>-240568.996263368</v>
      </c>
      <c r="AJ947" s="314">
        <f t="shared" si="252"/>
        <v>0</v>
      </c>
      <c r="AK947" s="317"/>
      <c r="AL947" s="315">
        <f t="shared" si="253"/>
        <v>-10561.93</v>
      </c>
      <c r="AN947" s="554">
        <f t="shared" si="254"/>
        <v>-0.41269275012581702</v>
      </c>
      <c r="AO947" s="314"/>
      <c r="AP947" s="318"/>
    </row>
    <row r="948" spans="2:42">
      <c r="B948" s="296" t="s">
        <v>1266</v>
      </c>
      <c r="C948" s="299" t="s">
        <v>277</v>
      </c>
      <c r="D948" s="298" t="s">
        <v>1008</v>
      </c>
      <c r="E948" s="299" t="s">
        <v>113</v>
      </c>
      <c r="F948" s="299" t="s">
        <v>59</v>
      </c>
      <c r="G948" s="300">
        <v>44701</v>
      </c>
      <c r="H948" s="681">
        <v>3943.18</v>
      </c>
      <c r="I948" s="301" t="str">
        <f t="shared" si="238"/>
        <v>Ingresos Sección II LISR (SIC &amp; BMV)</v>
      </c>
      <c r="J948" s="302">
        <f t="shared" si="239"/>
        <v>10</v>
      </c>
      <c r="K948" s="304">
        <f t="shared" si="240"/>
        <v>394.31799999999998</v>
      </c>
      <c r="L948" s="305">
        <f>IF(H948=0,0,IF(OR(E948=$AT$5,E948=$AT$6),AA948,IF(F948="MXN",1/HLOOKUP(YEAR(G948)+(MONTH(G948)/100),TC!$5:$37,DAY(G948)+2,FALSE),VLOOKUP(F948,Equivalencia!$5:$23,((MAX(Equivalencia!$3:$3)-YEAR(G948))*14)+MONTH(G948)+2,FALSE))))</f>
        <v>1</v>
      </c>
      <c r="M948" s="306">
        <f t="shared" si="241"/>
        <v>3943.18</v>
      </c>
      <c r="N948" s="305">
        <f>IF(G948=0,0,(IF(OR(E948=$AT$5,E948=$AT$6),AC948,HLOOKUP(YEAR(G948)+(MONTH(G948)/100),TC!$5:$37,DAY(G948)+2,FALSE))))</f>
        <v>19.9663</v>
      </c>
      <c r="O948" s="307">
        <f t="shared" si="242"/>
        <v>78730.714833999999</v>
      </c>
      <c r="P948" s="560">
        <f>IF(G948=0,0,VLOOKUP(YEAR(G948),INPC!$B$4:$P$30,MONTH(G948)+2))</f>
        <v>121.02200000000001</v>
      </c>
      <c r="Q948" s="560">
        <f>IF(X948=0,0,IF(OR(E948=$AT$10,E948=$AT$9),VLOOKUP(YEAR(X948),INPC!$B$4:$P$30,MONTH(X948)+1),VLOOKUP(YEAR(X948),INPC!$B$4:$P$30,MONTH(X948)+2,0)))</f>
        <v>123.803</v>
      </c>
      <c r="R948" s="309">
        <f t="shared" si="243"/>
        <v>1.0228999999999999</v>
      </c>
      <c r="S948" s="310">
        <f t="shared" si="244"/>
        <v>80533.648203698598</v>
      </c>
      <c r="T948" s="555">
        <f t="shared" si="245"/>
        <v>8053.3648203698594</v>
      </c>
      <c r="U948" s="311"/>
      <c r="V948" s="312">
        <v>10</v>
      </c>
      <c r="W948" s="299" t="s">
        <v>194</v>
      </c>
      <c r="X948" s="300">
        <v>44831</v>
      </c>
      <c r="Y948" s="299" t="s">
        <v>59</v>
      </c>
      <c r="Z948" s="681">
        <v>2783.48</v>
      </c>
      <c r="AA948" s="305">
        <f>IF(Z948=0,0,IF(Y948="MXN",1/HLOOKUP(YEAR(X948)+(MONTH(X948)/100),TC!$5:$37,DAY(X948)+2,FALSE),VLOOKUP(Y948,Equivalencia!$1:$23,((MAX(Equivalencia!$3:$3)-YEAR(X948))*14)+MONTH(X948)+2,FALSE)))</f>
        <v>1</v>
      </c>
      <c r="AB948" s="306">
        <f t="shared" si="246"/>
        <v>2783.48</v>
      </c>
      <c r="AC948" s="305">
        <f>+IF(X948=0,0,HLOOKUP(YEAR(X948)+(MONTH(X948)/100),TC!$5:$37,DAY(X948)+2,FALSE))</f>
        <v>20.162700000000001</v>
      </c>
      <c r="AD948" s="307">
        <f t="shared" si="247"/>
        <v>56122.472196000002</v>
      </c>
      <c r="AE948" s="314">
        <f t="shared" si="248"/>
        <v>80533.648203698598</v>
      </c>
      <c r="AF948" s="315">
        <f t="shared" si="249"/>
        <v>-24411.176007698596</v>
      </c>
      <c r="AG948" s="316">
        <f t="shared" si="250"/>
        <v>0.35616438356164382</v>
      </c>
      <c r="AH948" s="314">
        <v>1</v>
      </c>
      <c r="AI948" s="314">
        <f t="shared" si="251"/>
        <v>-24411.176007698596</v>
      </c>
      <c r="AJ948" s="314">
        <f t="shared" si="252"/>
        <v>0</v>
      </c>
      <c r="AK948" s="317"/>
      <c r="AL948" s="315">
        <f t="shared" si="253"/>
        <v>-1159.6999999999998</v>
      </c>
      <c r="AN948" s="554">
        <f t="shared" si="254"/>
        <v>-0.29410272926926995</v>
      </c>
      <c r="AO948" s="314"/>
      <c r="AP948" s="318"/>
    </row>
    <row r="949" spans="2:42">
      <c r="B949" s="296" t="s">
        <v>1266</v>
      </c>
      <c r="C949" s="299" t="s">
        <v>277</v>
      </c>
      <c r="D949" s="298" t="s">
        <v>1008</v>
      </c>
      <c r="E949" s="299" t="s">
        <v>113</v>
      </c>
      <c r="F949" s="299" t="s">
        <v>59</v>
      </c>
      <c r="G949" s="300">
        <v>43315</v>
      </c>
      <c r="H949" s="681">
        <v>13847.9</v>
      </c>
      <c r="I949" s="301" t="str">
        <f t="shared" si="238"/>
        <v>Ingresos Sección II LISR (SIC &amp; BMV)</v>
      </c>
      <c r="J949" s="302">
        <f t="shared" si="239"/>
        <v>55</v>
      </c>
      <c r="K949" s="304">
        <f t="shared" si="240"/>
        <v>251.78</v>
      </c>
      <c r="L949" s="305">
        <f>IF(H949=0,0,IF(OR(E949=$AT$5,E949=$AT$6),AA949,IF(F949="MXN",1/HLOOKUP(YEAR(G949)+(MONTH(G949)/100),TC!$5:$37,DAY(G949)+2,FALSE),VLOOKUP(F949,Equivalencia!$5:$23,((MAX(Equivalencia!$3:$3)-YEAR(G949))*14)+MONTH(G949)+2,FALSE))))</f>
        <v>1</v>
      </c>
      <c r="M949" s="306">
        <f t="shared" si="241"/>
        <v>13847.9</v>
      </c>
      <c r="N949" s="305">
        <f>IF(G949=0,0,(IF(OR(E949=$AT$5,E949=$AT$6),AC949,HLOOKUP(YEAR(G949)+(MONTH(G949)/100),TC!$5:$37,DAY(G949)+2,FALSE))))</f>
        <v>18.5899</v>
      </c>
      <c r="O949" s="307">
        <f t="shared" si="242"/>
        <v>257431.07621</v>
      </c>
      <c r="P949" s="560">
        <f>IF(G949=0,0,VLOOKUP(YEAR(G949),INPC!$B$4:$P$30,MONTH(G949)+2))</f>
        <v>100.492</v>
      </c>
      <c r="Q949" s="560">
        <f>IF(X949=0,0,IF(OR(E949=$AT$10,E949=$AT$9),VLOOKUP(YEAR(X949),INPC!$B$4:$P$30,MONTH(X949)+1),VLOOKUP(YEAR(X949),INPC!$B$4:$P$30,MONTH(X949)+2,0)))</f>
        <v>123.803</v>
      </c>
      <c r="R949" s="309">
        <f t="shared" si="243"/>
        <v>1.2319</v>
      </c>
      <c r="S949" s="310">
        <f t="shared" si="244"/>
        <v>317129.34278309898</v>
      </c>
      <c r="T949" s="555">
        <f t="shared" si="245"/>
        <v>5765.9880506017998</v>
      </c>
      <c r="U949" s="311"/>
      <c r="V949" s="312">
        <v>55</v>
      </c>
      <c r="W949" s="299" t="s">
        <v>194</v>
      </c>
      <c r="X949" s="300">
        <v>44831</v>
      </c>
      <c r="Y949" s="299" t="s">
        <v>59</v>
      </c>
      <c r="Z949" s="681">
        <v>15309.13</v>
      </c>
      <c r="AA949" s="305">
        <f>IF(Z949=0,0,IF(Y949="MXN",1/HLOOKUP(YEAR(X949)+(MONTH(X949)/100),TC!$5:$37,DAY(X949)+2,FALSE),VLOOKUP(Y949,Equivalencia!$1:$23,((MAX(Equivalencia!$3:$3)-YEAR(X949))*14)+MONTH(X949)+2,FALSE)))</f>
        <v>1</v>
      </c>
      <c r="AB949" s="306">
        <f t="shared" si="246"/>
        <v>15309.13</v>
      </c>
      <c r="AC949" s="305">
        <f>+IF(X949=0,0,HLOOKUP(YEAR(X949)+(MONTH(X949)/100),TC!$5:$37,DAY(X949)+2,FALSE))</f>
        <v>20.162700000000001</v>
      </c>
      <c r="AD949" s="307">
        <f t="shared" si="247"/>
        <v>308673.39545100002</v>
      </c>
      <c r="AE949" s="314">
        <f t="shared" si="248"/>
        <v>317129.34278309898</v>
      </c>
      <c r="AF949" s="315">
        <f t="shared" si="249"/>
        <v>-8455.9473320989637</v>
      </c>
      <c r="AG949" s="316">
        <f t="shared" si="250"/>
        <v>4.1534246575342468</v>
      </c>
      <c r="AH949" s="314">
        <v>1</v>
      </c>
      <c r="AI949" s="314">
        <f t="shared" si="251"/>
        <v>-8455.9473320989637</v>
      </c>
      <c r="AJ949" s="314">
        <f t="shared" si="252"/>
        <v>0</v>
      </c>
      <c r="AK949" s="317"/>
      <c r="AL949" s="315">
        <f t="shared" si="253"/>
        <v>1461.2299999999996</v>
      </c>
      <c r="AN949" s="554">
        <f t="shared" si="254"/>
        <v>0.10551997053704891</v>
      </c>
      <c r="AO949" s="314"/>
      <c r="AP949" s="318"/>
    </row>
    <row r="950" spans="2:42">
      <c r="B950" s="296" t="s">
        <v>1266</v>
      </c>
      <c r="C950" s="299" t="s">
        <v>277</v>
      </c>
      <c r="D950" s="298" t="s">
        <v>1008</v>
      </c>
      <c r="E950" s="299" t="s">
        <v>113</v>
      </c>
      <c r="F950" s="299" t="s">
        <v>59</v>
      </c>
      <c r="G950" s="300">
        <v>43964</v>
      </c>
      <c r="H950" s="681">
        <v>8497.4</v>
      </c>
      <c r="I950" s="301" t="str">
        <f t="shared" si="238"/>
        <v>Ingresos Sección II LISR (SIC &amp; BMV)</v>
      </c>
      <c r="J950" s="302">
        <f t="shared" si="239"/>
        <v>24</v>
      </c>
      <c r="K950" s="304">
        <f t="shared" si="240"/>
        <v>354.05833333333334</v>
      </c>
      <c r="L950" s="305">
        <f>IF(H950=0,0,IF(OR(E950=$AT$5,E950=$AT$6),AA950,IF(F950="MXN",1/HLOOKUP(YEAR(G950)+(MONTH(G950)/100),TC!$5:$37,DAY(G950)+2,FALSE),VLOOKUP(F950,Equivalencia!$5:$23,((MAX(Equivalencia!$3:$3)-YEAR(G950))*14)+MONTH(G950)+2,FALSE))))</f>
        <v>1</v>
      </c>
      <c r="M950" s="306">
        <f t="shared" si="241"/>
        <v>8497.4</v>
      </c>
      <c r="N950" s="305">
        <f>IF(G950=0,0,(IF(OR(E950=$AT$5,E950=$AT$6),AC950,HLOOKUP(YEAR(G950)+(MONTH(G950)/100),TC!$5:$37,DAY(G950)+2,FALSE))))</f>
        <v>23.869299999999999</v>
      </c>
      <c r="O950" s="307">
        <f t="shared" si="242"/>
        <v>202826.98981999999</v>
      </c>
      <c r="P950" s="560">
        <f>IF(G950=0,0,VLOOKUP(YEAR(G950),INPC!$B$4:$P$30,MONTH(G950)+2))</f>
        <v>106.16200000000001</v>
      </c>
      <c r="Q950" s="560">
        <f>IF(X950=0,0,IF(OR(E950=$AT$10,E950=$AT$9),VLOOKUP(YEAR(X950),INPC!$B$4:$P$30,MONTH(X950)+1),VLOOKUP(YEAR(X950),INPC!$B$4:$P$30,MONTH(X950)+2,0)))</f>
        <v>123.803</v>
      </c>
      <c r="R950" s="309">
        <f t="shared" si="243"/>
        <v>1.1660999999999999</v>
      </c>
      <c r="S950" s="310">
        <f t="shared" si="244"/>
        <v>236516.55282910197</v>
      </c>
      <c r="T950" s="555">
        <f t="shared" si="245"/>
        <v>9854.8563678792489</v>
      </c>
      <c r="U950" s="311"/>
      <c r="V950" s="312">
        <v>24</v>
      </c>
      <c r="W950" s="299" t="s">
        <v>194</v>
      </c>
      <c r="X950" s="300">
        <v>44831</v>
      </c>
      <c r="Y950" s="299" t="s">
        <v>59</v>
      </c>
      <c r="Z950" s="681">
        <v>6680.35</v>
      </c>
      <c r="AA950" s="305">
        <f>IF(Z950=0,0,IF(Y950="MXN",1/HLOOKUP(YEAR(X950)+(MONTH(X950)/100),TC!$5:$37,DAY(X950)+2,FALSE),VLOOKUP(Y950,Equivalencia!$1:$23,((MAX(Equivalencia!$3:$3)-YEAR(X950))*14)+MONTH(X950)+2,FALSE)))</f>
        <v>1</v>
      </c>
      <c r="AB950" s="306">
        <f t="shared" si="246"/>
        <v>6680.35</v>
      </c>
      <c r="AC950" s="305">
        <f>+IF(X950=0,0,HLOOKUP(YEAR(X950)+(MONTH(X950)/100),TC!$5:$37,DAY(X950)+2,FALSE))</f>
        <v>20.162700000000001</v>
      </c>
      <c r="AD950" s="307">
        <f t="shared" si="247"/>
        <v>134693.892945</v>
      </c>
      <c r="AE950" s="314">
        <f t="shared" si="248"/>
        <v>236516.55282910197</v>
      </c>
      <c r="AF950" s="315">
        <f t="shared" si="249"/>
        <v>-101822.65988410197</v>
      </c>
      <c r="AG950" s="316">
        <f t="shared" si="250"/>
        <v>2.3753424657534246</v>
      </c>
      <c r="AH950" s="314">
        <v>1</v>
      </c>
      <c r="AI950" s="314">
        <f t="shared" si="251"/>
        <v>-101822.65988410197</v>
      </c>
      <c r="AJ950" s="314">
        <f t="shared" si="252"/>
        <v>0</v>
      </c>
      <c r="AK950" s="317"/>
      <c r="AL950" s="315">
        <f t="shared" si="253"/>
        <v>-1817.0499999999993</v>
      </c>
      <c r="AN950" s="554">
        <f t="shared" si="254"/>
        <v>-0.21383599689316724</v>
      </c>
      <c r="AO950" s="314"/>
      <c r="AP950" s="318"/>
    </row>
    <row r="951" spans="2:42">
      <c r="B951" s="296" t="s">
        <v>1266</v>
      </c>
      <c r="C951" s="299" t="s">
        <v>277</v>
      </c>
      <c r="D951" s="298" t="s">
        <v>757</v>
      </c>
      <c r="E951" s="299" t="s">
        <v>113</v>
      </c>
      <c r="F951" s="299" t="s">
        <v>59</v>
      </c>
      <c r="G951" s="300">
        <v>43476</v>
      </c>
      <c r="H951" s="681">
        <v>227.21</v>
      </c>
      <c r="I951" s="301" t="str">
        <f t="shared" si="238"/>
        <v>Ingresos Sección II LISR (SIC &amp; BMV)</v>
      </c>
      <c r="J951" s="302">
        <f t="shared" si="239"/>
        <v>2</v>
      </c>
      <c r="K951" s="304">
        <f t="shared" si="240"/>
        <v>113.605</v>
      </c>
      <c r="L951" s="305">
        <f>IF(H951=0,0,IF(OR(E951=$AT$5,E951=$AT$6),AA951,IF(F951="MXN",1/HLOOKUP(YEAR(G951)+(MONTH(G951)/100),TC!$5:$37,DAY(G951)+2,FALSE),VLOOKUP(F951,Equivalencia!$5:$23,((MAX(Equivalencia!$3:$3)-YEAR(G951))*14)+MONTH(G951)+2,FALSE))))</f>
        <v>1</v>
      </c>
      <c r="M951" s="306">
        <f t="shared" si="241"/>
        <v>227.21</v>
      </c>
      <c r="N951" s="305">
        <f>IF(G951=0,0,(IF(OR(E951=$AT$5,E951=$AT$6),AC951,HLOOKUP(YEAR(G951)+(MONTH(G951)/100),TC!$5:$37,DAY(G951)+2,FALSE))))</f>
        <v>19.2456</v>
      </c>
      <c r="O951" s="307">
        <f t="shared" si="242"/>
        <v>4372.7927760000002</v>
      </c>
      <c r="P951" s="560">
        <f>IF(G951=0,0,VLOOKUP(YEAR(G951),INPC!$B$4:$P$30,MONTH(G951)+2))</f>
        <v>103.108</v>
      </c>
      <c r="Q951" s="560">
        <f>IF(X951=0,0,IF(OR(E951=$AT$10,E951=$AT$9),VLOOKUP(YEAR(X951),INPC!$B$4:$P$30,MONTH(X951)+1),VLOOKUP(YEAR(X951),INPC!$B$4:$P$30,MONTH(X951)+2,0)))</f>
        <v>123.803</v>
      </c>
      <c r="R951" s="309">
        <f t="shared" si="243"/>
        <v>1.2007000000000001</v>
      </c>
      <c r="S951" s="310">
        <f t="shared" si="244"/>
        <v>5250.4122861432006</v>
      </c>
      <c r="T951" s="555">
        <f t="shared" si="245"/>
        <v>2625.2061430716003</v>
      </c>
      <c r="U951" s="311"/>
      <c r="V951" s="312">
        <v>2</v>
      </c>
      <c r="W951" s="299" t="s">
        <v>194</v>
      </c>
      <c r="X951" s="300">
        <v>44831</v>
      </c>
      <c r="Y951" s="299" t="s">
        <v>59</v>
      </c>
      <c r="Z951" s="681">
        <v>505.91</v>
      </c>
      <c r="AA951" s="305">
        <f>IF(Z951=0,0,IF(Y951="MXN",1/HLOOKUP(YEAR(X951)+(MONTH(X951)/100),TC!$5:$37,DAY(X951)+2,FALSE),VLOOKUP(Y951,Equivalencia!$1:$23,((MAX(Equivalencia!$3:$3)-YEAR(X951))*14)+MONTH(X951)+2,FALSE)))</f>
        <v>1</v>
      </c>
      <c r="AB951" s="306">
        <f t="shared" si="246"/>
        <v>505.91</v>
      </c>
      <c r="AC951" s="305">
        <f>+IF(X951=0,0,HLOOKUP(YEAR(X951)+(MONTH(X951)/100),TC!$5:$37,DAY(X951)+2,FALSE))</f>
        <v>20.162700000000001</v>
      </c>
      <c r="AD951" s="307">
        <f t="shared" si="247"/>
        <v>10200.511557000002</v>
      </c>
      <c r="AE951" s="314">
        <f t="shared" si="248"/>
        <v>5250.4122861432006</v>
      </c>
      <c r="AF951" s="315">
        <f t="shared" si="249"/>
        <v>4950.099270856801</v>
      </c>
      <c r="AG951" s="316">
        <f t="shared" si="250"/>
        <v>3.7123287671232879</v>
      </c>
      <c r="AH951" s="314">
        <v>1</v>
      </c>
      <c r="AI951" s="314">
        <f t="shared" si="251"/>
        <v>4950.099270856801</v>
      </c>
      <c r="AJ951" s="314">
        <f t="shared" si="252"/>
        <v>0</v>
      </c>
      <c r="AK951" s="317"/>
      <c r="AL951" s="315">
        <f t="shared" si="253"/>
        <v>278.70000000000005</v>
      </c>
      <c r="AN951" s="554">
        <f t="shared" si="254"/>
        <v>1.2266185467188946</v>
      </c>
      <c r="AO951" s="314"/>
      <c r="AP951" s="318"/>
    </row>
    <row r="952" spans="2:42">
      <c r="B952" s="296" t="s">
        <v>1266</v>
      </c>
      <c r="C952" s="299" t="s">
        <v>277</v>
      </c>
      <c r="D952" s="298" t="s">
        <v>757</v>
      </c>
      <c r="E952" s="299" t="s">
        <v>113</v>
      </c>
      <c r="F952" s="299" t="s">
        <v>59</v>
      </c>
      <c r="G952" s="300">
        <v>43964</v>
      </c>
      <c r="H952" s="681">
        <v>2892.48</v>
      </c>
      <c r="I952" s="301" t="str">
        <f t="shared" si="238"/>
        <v>Ingresos Sección II LISR (SIC &amp; BMV)</v>
      </c>
      <c r="J952" s="302">
        <f t="shared" si="239"/>
        <v>25</v>
      </c>
      <c r="K952" s="304">
        <f t="shared" si="240"/>
        <v>115.6992</v>
      </c>
      <c r="L952" s="305">
        <f>IF(H952=0,0,IF(OR(E952=$AT$5,E952=$AT$6),AA952,IF(F952="MXN",1/HLOOKUP(YEAR(G952)+(MONTH(G952)/100),TC!$5:$37,DAY(G952)+2,FALSE),VLOOKUP(F952,Equivalencia!$5:$23,((MAX(Equivalencia!$3:$3)-YEAR(G952))*14)+MONTH(G952)+2,FALSE))))</f>
        <v>1</v>
      </c>
      <c r="M952" s="306">
        <f t="shared" si="241"/>
        <v>2892.48</v>
      </c>
      <c r="N952" s="305">
        <f>IF(G952=0,0,(IF(OR(E952=$AT$5,E952=$AT$6),AC952,HLOOKUP(YEAR(G952)+(MONTH(G952)/100),TC!$5:$37,DAY(G952)+2,FALSE))))</f>
        <v>23.869299999999999</v>
      </c>
      <c r="O952" s="307">
        <f t="shared" si="242"/>
        <v>69041.472863999996</v>
      </c>
      <c r="P952" s="560">
        <f>IF(G952=0,0,VLOOKUP(YEAR(G952),INPC!$B$4:$P$30,MONTH(G952)+2))</f>
        <v>106.16200000000001</v>
      </c>
      <c r="Q952" s="560">
        <f>IF(X952=0,0,IF(OR(E952=$AT$10,E952=$AT$9),VLOOKUP(YEAR(X952),INPC!$B$4:$P$30,MONTH(X952)+1),VLOOKUP(YEAR(X952),INPC!$B$4:$P$30,MONTH(X952)+2,0)))</f>
        <v>123.803</v>
      </c>
      <c r="R952" s="309">
        <f t="shared" si="243"/>
        <v>1.1660999999999999</v>
      </c>
      <c r="S952" s="310">
        <f t="shared" si="244"/>
        <v>80509.261506710391</v>
      </c>
      <c r="T952" s="555">
        <f t="shared" si="245"/>
        <v>3220.3704602684156</v>
      </c>
      <c r="U952" s="311"/>
      <c r="V952" s="312">
        <v>25</v>
      </c>
      <c r="W952" s="299" t="s">
        <v>194</v>
      </c>
      <c r="X952" s="300">
        <v>44831</v>
      </c>
      <c r="Y952" s="299" t="s">
        <v>59</v>
      </c>
      <c r="Z952" s="681">
        <v>6323.89</v>
      </c>
      <c r="AA952" s="305">
        <f>IF(Z952=0,0,IF(Y952="MXN",1/HLOOKUP(YEAR(X952)+(MONTH(X952)/100),TC!$5:$37,DAY(X952)+2,FALSE),VLOOKUP(Y952,Equivalencia!$1:$23,((MAX(Equivalencia!$3:$3)-YEAR(X952))*14)+MONTH(X952)+2,FALSE)))</f>
        <v>1</v>
      </c>
      <c r="AB952" s="306">
        <f t="shared" si="246"/>
        <v>6323.89</v>
      </c>
      <c r="AC952" s="305">
        <f>+IF(X952=0,0,HLOOKUP(YEAR(X952)+(MONTH(X952)/100),TC!$5:$37,DAY(X952)+2,FALSE))</f>
        <v>20.162700000000001</v>
      </c>
      <c r="AD952" s="307">
        <f t="shared" si="247"/>
        <v>127506.69690300002</v>
      </c>
      <c r="AE952" s="314">
        <f t="shared" si="248"/>
        <v>80509.261506710391</v>
      </c>
      <c r="AF952" s="315">
        <f t="shared" si="249"/>
        <v>46997.435396289628</v>
      </c>
      <c r="AG952" s="316">
        <f t="shared" si="250"/>
        <v>2.3753424657534246</v>
      </c>
      <c r="AH952" s="314">
        <v>1</v>
      </c>
      <c r="AI952" s="314">
        <f t="shared" si="251"/>
        <v>46997.435396289628</v>
      </c>
      <c r="AJ952" s="314">
        <f t="shared" si="252"/>
        <v>0</v>
      </c>
      <c r="AK952" s="317"/>
      <c r="AL952" s="315">
        <f t="shared" si="253"/>
        <v>3431.4100000000003</v>
      </c>
      <c r="AN952" s="554">
        <f t="shared" si="254"/>
        <v>1.1863210808717779</v>
      </c>
      <c r="AO952" s="314"/>
      <c r="AP952" s="318"/>
    </row>
    <row r="953" spans="2:42">
      <c r="B953" s="296" t="s">
        <v>1266</v>
      </c>
      <c r="C953" s="299" t="s">
        <v>277</v>
      </c>
      <c r="D953" s="298" t="s">
        <v>1008</v>
      </c>
      <c r="E953" s="299" t="s">
        <v>113</v>
      </c>
      <c r="F953" s="299" t="s">
        <v>59</v>
      </c>
      <c r="G953" s="300">
        <v>44701</v>
      </c>
      <c r="H953" s="681">
        <v>17350.009999999998</v>
      </c>
      <c r="I953" s="301" t="str">
        <f t="shared" si="238"/>
        <v>Ingresos Sección II LISR (SIC &amp; BMV)</v>
      </c>
      <c r="J953" s="302">
        <f t="shared" si="239"/>
        <v>44</v>
      </c>
      <c r="K953" s="304">
        <f t="shared" si="240"/>
        <v>394.31840909090903</v>
      </c>
      <c r="L953" s="305">
        <f>IF(H953=0,0,IF(OR(E953=$AT$5,E953=$AT$6),AA953,IF(F953="MXN",1/HLOOKUP(YEAR(G953)+(MONTH(G953)/100),TC!$5:$37,DAY(G953)+2,FALSE),VLOOKUP(F953,Equivalencia!$5:$23,((MAX(Equivalencia!$3:$3)-YEAR(G953))*14)+MONTH(G953)+2,FALSE))))</f>
        <v>1</v>
      </c>
      <c r="M953" s="306">
        <f t="shared" si="241"/>
        <v>17350.009999999998</v>
      </c>
      <c r="N953" s="305">
        <f>IF(G953=0,0,(IF(OR(E953=$AT$5,E953=$AT$6),AC953,HLOOKUP(YEAR(G953)+(MONTH(G953)/100),TC!$5:$37,DAY(G953)+2,FALSE))))</f>
        <v>19.9663</v>
      </c>
      <c r="O953" s="307">
        <f t="shared" si="242"/>
        <v>346415.504663</v>
      </c>
      <c r="P953" s="560">
        <f>IF(G953=0,0,VLOOKUP(YEAR(G953),INPC!$B$4:$P$30,MONTH(G953)+2))</f>
        <v>121.02200000000001</v>
      </c>
      <c r="Q953" s="560">
        <f>IF(X953=0,0,IF(OR(E953=$AT$10,E953=$AT$9),VLOOKUP(YEAR(X953),INPC!$B$4:$P$30,MONTH(X953)+1),VLOOKUP(YEAR(X953),INPC!$B$4:$P$30,MONTH(X953)+2,0)))</f>
        <v>123.803</v>
      </c>
      <c r="R953" s="309">
        <f t="shared" si="243"/>
        <v>1.0228999999999999</v>
      </c>
      <c r="S953" s="310">
        <f t="shared" si="244"/>
        <v>354348.41971978266</v>
      </c>
      <c r="T953" s="555">
        <f t="shared" si="245"/>
        <v>8053.3731754496057</v>
      </c>
      <c r="U953" s="311"/>
      <c r="V953" s="312">
        <v>44</v>
      </c>
      <c r="W953" s="299" t="s">
        <v>194</v>
      </c>
      <c r="X953" s="300">
        <v>44832</v>
      </c>
      <c r="Y953" s="299" t="s">
        <v>59</v>
      </c>
      <c r="Z953" s="681">
        <v>12306.94</v>
      </c>
      <c r="AA953" s="305">
        <f>IF(Z953=0,0,IF(Y953="MXN",1/HLOOKUP(YEAR(X953)+(MONTH(X953)/100),TC!$5:$37,DAY(X953)+2,FALSE),VLOOKUP(Y953,Equivalencia!$1:$23,((MAX(Equivalencia!$3:$3)-YEAR(X953))*14)+MONTH(X953)+2,FALSE)))</f>
        <v>1</v>
      </c>
      <c r="AB953" s="306">
        <f t="shared" si="246"/>
        <v>12306.94</v>
      </c>
      <c r="AC953" s="305">
        <f>+IF(X953=0,0,HLOOKUP(YEAR(X953)+(MONTH(X953)/100),TC!$5:$37,DAY(X953)+2,FALSE))</f>
        <v>20.351700000000001</v>
      </c>
      <c r="AD953" s="307">
        <f t="shared" si="247"/>
        <v>250467.15079800002</v>
      </c>
      <c r="AE953" s="314">
        <f t="shared" si="248"/>
        <v>354348.41971978266</v>
      </c>
      <c r="AF953" s="315">
        <f t="shared" si="249"/>
        <v>-103881.26892178264</v>
      </c>
      <c r="AG953" s="316">
        <f t="shared" si="250"/>
        <v>0.35890410958904112</v>
      </c>
      <c r="AH953" s="314">
        <v>1</v>
      </c>
      <c r="AI953" s="314">
        <f t="shared" si="251"/>
        <v>-103881.26892178264</v>
      </c>
      <c r="AJ953" s="314">
        <f t="shared" si="252"/>
        <v>0</v>
      </c>
      <c r="AK953" s="317"/>
      <c r="AL953" s="315">
        <f t="shared" si="253"/>
        <v>-5043.0699999999979</v>
      </c>
      <c r="AN953" s="554">
        <f t="shared" si="254"/>
        <v>-0.29066669125839112</v>
      </c>
      <c r="AO953" s="314"/>
      <c r="AP953" s="318"/>
    </row>
    <row r="954" spans="2:42">
      <c r="B954" s="296" t="s">
        <v>1266</v>
      </c>
      <c r="C954" s="299" t="s">
        <v>277</v>
      </c>
      <c r="D954" s="298" t="s">
        <v>1008</v>
      </c>
      <c r="E954" s="299" t="s">
        <v>113</v>
      </c>
      <c r="F954" s="299" t="s">
        <v>59</v>
      </c>
      <c r="G954" s="300">
        <v>44728</v>
      </c>
      <c r="H954" s="681">
        <v>4029.19</v>
      </c>
      <c r="I954" s="301" t="str">
        <f t="shared" si="238"/>
        <v>Ingresos Sección II LISR (SIC &amp; BMV)</v>
      </c>
      <c r="J954" s="302">
        <f t="shared" si="239"/>
        <v>11</v>
      </c>
      <c r="K954" s="304">
        <f t="shared" si="240"/>
        <v>366.29</v>
      </c>
      <c r="L954" s="305">
        <f>IF(H954=0,0,IF(OR(E954=$AT$5,E954=$AT$6),AA954,IF(F954="MXN",1/HLOOKUP(YEAR(G954)+(MONTH(G954)/100),TC!$5:$37,DAY(G954)+2,FALSE),VLOOKUP(F954,Equivalencia!$5:$23,((MAX(Equivalencia!$3:$3)-YEAR(G954))*14)+MONTH(G954)+2,FALSE))))</f>
        <v>1</v>
      </c>
      <c r="M954" s="306">
        <f t="shared" si="241"/>
        <v>4029.19</v>
      </c>
      <c r="N954" s="305">
        <f>IF(G954=0,0,(IF(OR(E954=$AT$5,E954=$AT$6),AC954,HLOOKUP(YEAR(G954)+(MONTH(G954)/100),TC!$5:$37,DAY(G954)+2,FALSE))))</f>
        <v>20.658300000000001</v>
      </c>
      <c r="O954" s="307">
        <f t="shared" si="242"/>
        <v>83236.215777000005</v>
      </c>
      <c r="P954" s="560">
        <f>IF(G954=0,0,VLOOKUP(YEAR(G954),INPC!$B$4:$P$30,MONTH(G954)+2))</f>
        <v>122.044</v>
      </c>
      <c r="Q954" s="560">
        <f>IF(X954=0,0,IF(OR(E954=$AT$10,E954=$AT$9),VLOOKUP(YEAR(X954),INPC!$B$4:$P$30,MONTH(X954)+1),VLOOKUP(YEAR(X954),INPC!$B$4:$P$30,MONTH(X954)+2,0)))</f>
        <v>123.803</v>
      </c>
      <c r="R954" s="309">
        <f t="shared" si="243"/>
        <v>1.0144</v>
      </c>
      <c r="S954" s="310">
        <f t="shared" si="244"/>
        <v>84434.817284188801</v>
      </c>
      <c r="T954" s="555">
        <f t="shared" si="245"/>
        <v>7675.8924803808004</v>
      </c>
      <c r="U954" s="311"/>
      <c r="V954" s="312">
        <v>11</v>
      </c>
      <c r="W954" s="299" t="s">
        <v>194</v>
      </c>
      <c r="X954" s="300">
        <v>44832</v>
      </c>
      <c r="Y954" s="299" t="s">
        <v>59</v>
      </c>
      <c r="Z954" s="681">
        <v>3076.73</v>
      </c>
      <c r="AA954" s="305">
        <f>IF(Z954=0,0,IF(Y954="MXN",1/HLOOKUP(YEAR(X954)+(MONTH(X954)/100),TC!$5:$37,DAY(X954)+2,FALSE),VLOOKUP(Y954,Equivalencia!$1:$23,((MAX(Equivalencia!$3:$3)-YEAR(X954))*14)+MONTH(X954)+2,FALSE)))</f>
        <v>1</v>
      </c>
      <c r="AB954" s="306">
        <f t="shared" si="246"/>
        <v>3076.73</v>
      </c>
      <c r="AC954" s="305">
        <f>+IF(X954=0,0,HLOOKUP(YEAR(X954)+(MONTH(X954)/100),TC!$5:$37,DAY(X954)+2,FALSE))</f>
        <v>20.351700000000001</v>
      </c>
      <c r="AD954" s="307">
        <f t="shared" si="247"/>
        <v>62616.685941000003</v>
      </c>
      <c r="AE954" s="314">
        <f t="shared" si="248"/>
        <v>84434.817284188801</v>
      </c>
      <c r="AF954" s="315">
        <f t="shared" si="249"/>
        <v>-21818.131343188797</v>
      </c>
      <c r="AG954" s="316">
        <f t="shared" si="250"/>
        <v>0.28493150684931506</v>
      </c>
      <c r="AH954" s="314">
        <v>1</v>
      </c>
      <c r="AI954" s="314">
        <f t="shared" si="251"/>
        <v>-21818.131343188797</v>
      </c>
      <c r="AJ954" s="314">
        <f t="shared" si="252"/>
        <v>0</v>
      </c>
      <c r="AK954" s="317"/>
      <c r="AL954" s="315">
        <f t="shared" si="253"/>
        <v>-952.46</v>
      </c>
      <c r="AN954" s="554">
        <f t="shared" si="254"/>
        <v>-0.23638994438088054</v>
      </c>
      <c r="AO954" s="314"/>
      <c r="AP954" s="318"/>
    </row>
    <row r="955" spans="2:42">
      <c r="B955" s="296"/>
      <c r="C955" s="299"/>
      <c r="D955" s="298"/>
      <c r="E955" s="299"/>
      <c r="F955" s="299"/>
      <c r="G955" s="300"/>
      <c r="H955" s="303"/>
      <c r="I955" s="301">
        <f t="shared" si="238"/>
        <v>0</v>
      </c>
      <c r="J955" s="302">
        <f t="shared" si="239"/>
        <v>0</v>
      </c>
      <c r="K955" s="304">
        <f t="shared" si="240"/>
        <v>0</v>
      </c>
      <c r="L955" s="305">
        <f>IF(H955=0,0,IF(OR(E955=$AT$5,E955=$AT$6),AA955,IF(F955="MXN",1/HLOOKUP(YEAR(G955)+(MONTH(G955)/100),TC!$5:$37,DAY(G955)+2,FALSE),VLOOKUP(F955,Equivalencia!$5:$23,((MAX(Equivalencia!$3:$3)-YEAR(G955))*14)+MONTH(G955)+2,FALSE))))</f>
        <v>0</v>
      </c>
      <c r="M955" s="306">
        <f t="shared" si="241"/>
        <v>0</v>
      </c>
      <c r="N955" s="305">
        <f>IF(G955=0,0,(IF(OR(E955=$AT$5,E955=$AT$6),AC955,HLOOKUP(YEAR(G955)+(MONTH(G955)/100),TC!$5:$37,DAY(G955)+2,FALSE))))</f>
        <v>0</v>
      </c>
      <c r="O955" s="307">
        <f t="shared" si="242"/>
        <v>0</v>
      </c>
      <c r="P955" s="560">
        <f>IF(G955=0,0,VLOOKUP(YEAR(G955),INPC!$B$4:$P$30,MONTH(G955)+2))</f>
        <v>0</v>
      </c>
      <c r="Q955" s="560">
        <f>IF(X955=0,0,IF(OR(E955=$AT$10,E955=$AT$9),VLOOKUP(YEAR(X955),INPC!$B$4:$P$30,MONTH(X955)+1),VLOOKUP(YEAR(X955),INPC!$B$4:$P$30,MONTH(X955)+2,0)))</f>
        <v>0</v>
      </c>
      <c r="R955" s="309">
        <f t="shared" si="243"/>
        <v>0</v>
      </c>
      <c r="S955" s="310">
        <f t="shared" si="244"/>
        <v>0</v>
      </c>
      <c r="T955" s="555">
        <f t="shared" si="245"/>
        <v>0</v>
      </c>
      <c r="U955" s="311"/>
      <c r="V955" s="312"/>
      <c r="W955" s="299"/>
      <c r="X955" s="300"/>
      <c r="Y955" s="299"/>
      <c r="Z955" s="303"/>
      <c r="AA955" s="305">
        <f>IF(Z955=0,0,IF(Y955="MXN",1/HLOOKUP(YEAR(X955)+(MONTH(X955)/100),TC!$5:$37,DAY(X955)+2,FALSE),VLOOKUP(Y955,Equivalencia!$1:$23,((MAX(Equivalencia!$3:$3)-YEAR(X955))*14)+MONTH(X955)+2,FALSE)))</f>
        <v>0</v>
      </c>
      <c r="AB955" s="306">
        <f t="shared" si="246"/>
        <v>0</v>
      </c>
      <c r="AC955" s="305">
        <f>+IF(X955=0,0,HLOOKUP(YEAR(X955)+(MONTH(X955)/100),TC!$5:$37,DAY(X955)+2,FALSE))</f>
        <v>0</v>
      </c>
      <c r="AD955" s="307">
        <f t="shared" si="247"/>
        <v>0</v>
      </c>
      <c r="AE955" s="314">
        <f t="shared" si="248"/>
        <v>0</v>
      </c>
      <c r="AF955" s="315">
        <f t="shared" si="249"/>
        <v>0</v>
      </c>
      <c r="AG955" s="316">
        <f t="shared" si="250"/>
        <v>0</v>
      </c>
      <c r="AH955" s="314">
        <v>1</v>
      </c>
      <c r="AI955" s="314">
        <f t="shared" si="251"/>
        <v>0</v>
      </c>
      <c r="AJ955" s="314">
        <f t="shared" si="252"/>
        <v>0</v>
      </c>
      <c r="AK955" s="317"/>
      <c r="AL955" s="315">
        <f t="shared" si="253"/>
        <v>0</v>
      </c>
      <c r="AN955" s="554">
        <f t="shared" si="254"/>
        <v>0</v>
      </c>
      <c r="AO955" s="314"/>
      <c r="AP955" s="318"/>
    </row>
    <row r="956" spans="2:42">
      <c r="B956" s="296" t="s">
        <v>1256</v>
      </c>
      <c r="C956" s="299" t="s">
        <v>277</v>
      </c>
      <c r="D956" s="298" t="s">
        <v>868</v>
      </c>
      <c r="E956" s="299" t="s">
        <v>113</v>
      </c>
      <c r="F956" s="299" t="s">
        <v>59</v>
      </c>
      <c r="G956" s="300">
        <v>44504</v>
      </c>
      <c r="H956" s="303">
        <v>30540.16</v>
      </c>
      <c r="I956" s="301" t="str">
        <f t="shared" ref="I956:I1019" si="255">IF(D956=0,0,IF(OR(E956=$AT$9,E956=$AT$10),"Ingresos Sección II LISR (SIC &amp; BMV)","Ingresos Sección I LISR"))</f>
        <v>Ingresos Sección II LISR (SIC &amp; BMV)</v>
      </c>
      <c r="J956" s="302">
        <f t="shared" ref="J956:J1019" si="256">+V956</f>
        <v>362</v>
      </c>
      <c r="K956" s="304">
        <f t="shared" ref="K956:K1019" si="257">IF(H956=0,0,H956/J956)</f>
        <v>84.36508287292817</v>
      </c>
      <c r="L956" s="305">
        <f>IF(H956=0,0,IF(OR(E956=$AT$5,E956=$AT$6),AA956,IF(F956="MXN",1/HLOOKUP(YEAR(G956)+(MONTH(G956)/100),TC!$5:$37,DAY(G956)+2,FALSE),VLOOKUP(F956,Equivalencia!$5:$23,((MAX(Equivalencia!$3:$3)-YEAR(G956))*14)+MONTH(G956)+2,FALSE))))</f>
        <v>1</v>
      </c>
      <c r="M956" s="306">
        <f t="shared" ref="M956:M1019" si="258">+H956*L956</f>
        <v>30540.16</v>
      </c>
      <c r="N956" s="305">
        <f>IF(G956=0,0,(IF(OR(E956=$AT$5,E956=$AT$6),AC956,HLOOKUP(YEAR(G956)+(MONTH(G956)/100),TC!$5:$37,DAY(G956)+2,FALSE))))</f>
        <v>20.8598</v>
      </c>
      <c r="O956" s="307">
        <f t="shared" ref="O956:O1019" si="259">+M956*N956</f>
        <v>637061.62956799997</v>
      </c>
      <c r="P956" s="560">
        <f>IF(G956=0,0,VLOOKUP(YEAR(G956),INPC!$B$4:$P$30,MONTH(G956)+2))</f>
        <v>116.884</v>
      </c>
      <c r="Q956" s="560">
        <f>IF(X956=0,0,IF(OR(E956=$AT$10,E956=$AT$9),VLOOKUP(YEAR(X956),INPC!$B$4:$P$30,MONTH(X956)+1),VLOOKUP(YEAR(X956),INPC!$B$4:$P$30,MONTH(X956)+2,0)))</f>
        <v>122.94799999999999</v>
      </c>
      <c r="R956" s="309">
        <f t="shared" ref="R956:R1019" si="260">IF(H956=0,0,IF(OR(E956=$AT$5,E956=$AT$6),1,IF(TRUNC(Q956/P956,4)&gt;=1,TRUNC(Q956/P956,4),1)))</f>
        <v>1.0518000000000001</v>
      </c>
      <c r="S956" s="310">
        <f t="shared" ref="S956:S1019" si="261">+R956*O956</f>
        <v>670061.42197962245</v>
      </c>
      <c r="T956" s="555">
        <f t="shared" ref="T956:T1019" si="262">IF(V956=0,0,S956/V956)</f>
        <v>1850.9984032586256</v>
      </c>
      <c r="U956" s="311"/>
      <c r="V956" s="312">
        <v>362</v>
      </c>
      <c r="W956" s="299" t="s">
        <v>194</v>
      </c>
      <c r="X956" s="300">
        <v>44796</v>
      </c>
      <c r="Y956" s="299" t="s">
        <v>59</v>
      </c>
      <c r="Z956" s="303">
        <v>20144.84</v>
      </c>
      <c r="AA956" s="305">
        <f>IF(Z956=0,0,IF(Y956="MXN",1/HLOOKUP(YEAR(X956)+(MONTH(X956)/100),TC!$5:$37,DAY(X956)+2,FALSE),VLOOKUP(Y956,Equivalencia!$1:$23,((MAX(Equivalencia!$3:$3)-YEAR(X956))*14)+MONTH(X956)+2,FALSE)))</f>
        <v>1</v>
      </c>
      <c r="AB956" s="306">
        <f t="shared" ref="AB956:AB1019" si="263">+AA956*Z956</f>
        <v>20144.84</v>
      </c>
      <c r="AC956" s="305">
        <f>+IF(X956=0,0,HLOOKUP(YEAR(X956)+(MONTH(X956)/100),TC!$5:$37,DAY(X956)+2,FALSE))</f>
        <v>20.195699999999999</v>
      </c>
      <c r="AD956" s="307">
        <f t="shared" ref="AD956:AD1019" si="264">+AC956*AB956</f>
        <v>406839.14518799999</v>
      </c>
      <c r="AE956" s="314">
        <f t="shared" ref="AE956:AE1019" si="265">+V956*T956</f>
        <v>670061.42197962245</v>
      </c>
      <c r="AF956" s="315">
        <f t="shared" ref="AF956:AF1019" si="266">IF(E956=$AT$11,0,AD956-AE956)</f>
        <v>-263222.27679162245</v>
      </c>
      <c r="AG956" s="316">
        <f t="shared" ref="AG956:AG1019" si="267">+IF(AND(AF956&lt;0,OR(E956=$AT$5,E956=$AT$6)),1,((X956-G956)/365))</f>
        <v>0.8</v>
      </c>
      <c r="AH956" s="314">
        <v>1</v>
      </c>
      <c r="AI956" s="314">
        <f t="shared" ref="AI956:AI1019" si="268">+IF(OR(E956=$AT$9,E956=$AT$10),AF956,+AF956/AH956)</f>
        <v>-263222.27679162245</v>
      </c>
      <c r="AJ956" s="314">
        <f t="shared" ref="AJ956:AJ1019" si="269">+AF956-AI956</f>
        <v>0</v>
      </c>
      <c r="AK956" s="317"/>
      <c r="AL956" s="315">
        <f t="shared" ref="AL956:AL1019" si="270">+AB956-M956</f>
        <v>-10395.32</v>
      </c>
      <c r="AN956" s="554">
        <f t="shared" ref="AN956:AN1019" si="271">IF(AL956=0,0,AL956/H956)</f>
        <v>-0.34038197573293655</v>
      </c>
      <c r="AO956" s="314"/>
      <c r="AP956" s="318"/>
    </row>
    <row r="957" spans="2:42">
      <c r="B957" s="296" t="s">
        <v>1256</v>
      </c>
      <c r="C957" s="299" t="s">
        <v>277</v>
      </c>
      <c r="D957" s="298" t="s">
        <v>868</v>
      </c>
      <c r="E957" s="299" t="s">
        <v>113</v>
      </c>
      <c r="F957" s="299" t="s">
        <v>59</v>
      </c>
      <c r="G957" s="300">
        <v>44516</v>
      </c>
      <c r="H957" s="303">
        <v>88583.35</v>
      </c>
      <c r="I957" s="301" t="str">
        <f t="shared" si="255"/>
        <v>Ingresos Sección II LISR (SIC &amp; BMV)</v>
      </c>
      <c r="J957" s="302">
        <f t="shared" si="256"/>
        <v>1050</v>
      </c>
      <c r="K957" s="304">
        <f t="shared" si="257"/>
        <v>84.36509523809525</v>
      </c>
      <c r="L957" s="305">
        <f>IF(H957=0,0,IF(OR(E957=$AT$5,E957=$AT$6),AA957,IF(F957="MXN",1/HLOOKUP(YEAR(G957)+(MONTH(G957)/100),TC!$5:$37,DAY(G957)+2,FALSE),VLOOKUP(F957,Equivalencia!$5:$23,((MAX(Equivalencia!$3:$3)-YEAR(G957))*14)+MONTH(G957)+2,FALSE))))</f>
        <v>1</v>
      </c>
      <c r="M957" s="306">
        <f t="shared" si="258"/>
        <v>88583.35</v>
      </c>
      <c r="N957" s="305">
        <f>IF(G957=0,0,(IF(OR(E957=$AT$5,E957=$AT$6),AC957,HLOOKUP(YEAR(G957)+(MONTH(G957)/100),TC!$5:$37,DAY(G957)+2,FALSE))))</f>
        <v>20.465199999999999</v>
      </c>
      <c r="O957" s="307">
        <f t="shared" si="259"/>
        <v>1812875.9744200001</v>
      </c>
      <c r="P957" s="560">
        <f>IF(G957=0,0,VLOOKUP(YEAR(G957),INPC!$B$4:$P$30,MONTH(G957)+2))</f>
        <v>116.884</v>
      </c>
      <c r="Q957" s="560">
        <f>IF(X957=0,0,IF(OR(E957=$AT$10,E957=$AT$9),VLOOKUP(YEAR(X957),INPC!$B$4:$P$30,MONTH(X957)+1),VLOOKUP(YEAR(X957),INPC!$B$4:$P$30,MONTH(X957)+2,0)))</f>
        <v>122.94799999999999</v>
      </c>
      <c r="R957" s="309">
        <f t="shared" si="260"/>
        <v>1.0518000000000001</v>
      </c>
      <c r="S957" s="310">
        <f t="shared" si="261"/>
        <v>1906782.9498949563</v>
      </c>
      <c r="T957" s="555">
        <f t="shared" si="262"/>
        <v>1815.9837618047202</v>
      </c>
      <c r="U957" s="311"/>
      <c r="V957" s="312">
        <v>1050</v>
      </c>
      <c r="W957" s="299" t="s">
        <v>194</v>
      </c>
      <c r="X957" s="300">
        <v>44796</v>
      </c>
      <c r="Y957" s="299" t="s">
        <v>59</v>
      </c>
      <c r="Z957" s="303">
        <v>58431.15</v>
      </c>
      <c r="AA957" s="305">
        <f>IF(Z957=0,0,IF(Y957="MXN",1/HLOOKUP(YEAR(X957)+(MONTH(X957)/100),TC!$5:$37,DAY(X957)+2,FALSE),VLOOKUP(Y957,Equivalencia!$1:$23,((MAX(Equivalencia!$3:$3)-YEAR(X957))*14)+MONTH(X957)+2,FALSE)))</f>
        <v>1</v>
      </c>
      <c r="AB957" s="306">
        <f t="shared" si="263"/>
        <v>58431.15</v>
      </c>
      <c r="AC957" s="305">
        <f>+IF(X957=0,0,HLOOKUP(YEAR(X957)+(MONTH(X957)/100),TC!$5:$37,DAY(X957)+2,FALSE))</f>
        <v>20.195699999999999</v>
      </c>
      <c r="AD957" s="307">
        <f t="shared" si="264"/>
        <v>1180057.976055</v>
      </c>
      <c r="AE957" s="314">
        <f t="shared" si="265"/>
        <v>1906782.9498949563</v>
      </c>
      <c r="AF957" s="315">
        <f t="shared" si="266"/>
        <v>-726724.97383995634</v>
      </c>
      <c r="AG957" s="316">
        <f t="shared" si="267"/>
        <v>0.76712328767123283</v>
      </c>
      <c r="AH957" s="314">
        <v>1</v>
      </c>
      <c r="AI957" s="314">
        <f t="shared" si="268"/>
        <v>-726724.97383995634</v>
      </c>
      <c r="AJ957" s="314">
        <f t="shared" si="269"/>
        <v>0</v>
      </c>
      <c r="AK957" s="317"/>
      <c r="AL957" s="315">
        <f t="shared" si="270"/>
        <v>-30152.200000000004</v>
      </c>
      <c r="AN957" s="554">
        <f t="shared" si="271"/>
        <v>-0.34038225016326434</v>
      </c>
      <c r="AO957" s="314"/>
      <c r="AP957" s="318"/>
    </row>
    <row r="958" spans="2:42">
      <c r="B958" s="296" t="s">
        <v>1256</v>
      </c>
      <c r="C958" s="299" t="s">
        <v>277</v>
      </c>
      <c r="D958" s="298" t="s">
        <v>956</v>
      </c>
      <c r="E958" s="299" t="s">
        <v>106</v>
      </c>
      <c r="F958" s="299" t="s">
        <v>59</v>
      </c>
      <c r="G958" s="300">
        <v>44504</v>
      </c>
      <c r="H958" s="303">
        <v>51858.19</v>
      </c>
      <c r="I958" s="301" t="str">
        <f t="shared" si="255"/>
        <v>Ingresos Sección I LISR</v>
      </c>
      <c r="J958" s="302">
        <f t="shared" si="256"/>
        <v>2300</v>
      </c>
      <c r="K958" s="304">
        <f t="shared" si="257"/>
        <v>22.547039130434783</v>
      </c>
      <c r="L958" s="305">
        <f>IF(H958=0,0,IF(OR(E958=$AT$5,E958=$AT$6),AA958,IF(F958="MXN",1/HLOOKUP(YEAR(G958)+(MONTH(G958)/100),TC!$5:$37,DAY(G958)+2,FALSE),VLOOKUP(F958,Equivalencia!$5:$23,((MAX(Equivalencia!$3:$3)-YEAR(G958))*14)+MONTH(G958)+2,FALSE))))</f>
        <v>1</v>
      </c>
      <c r="M958" s="306">
        <f t="shared" si="258"/>
        <v>51858.19</v>
      </c>
      <c r="N958" s="305">
        <f>IF(G958=0,0,(IF(OR(E958=$AT$5,E958=$AT$6),AC958,HLOOKUP(YEAR(G958)+(MONTH(G958)/100),TC!$5:$37,DAY(G958)+2,FALSE))))</f>
        <v>20.8598</v>
      </c>
      <c r="O958" s="307">
        <f t="shared" si="259"/>
        <v>1081751.4717620001</v>
      </c>
      <c r="P958" s="560">
        <f>IF(G958=0,0,VLOOKUP(YEAR(G958),INPC!$B$4:$P$30,MONTH(G958)+2))</f>
        <v>116.884</v>
      </c>
      <c r="Q958" s="560">
        <f>IF(X958=0,0,IF(OR(E958=$AT$10,E958=$AT$9),VLOOKUP(YEAR(X958),INPC!$B$4:$P$30,MONTH(X958)+1),VLOOKUP(YEAR(X958),INPC!$B$4:$P$30,MONTH(X958)+2,0)))</f>
        <v>123.803</v>
      </c>
      <c r="R958" s="309">
        <f t="shared" si="260"/>
        <v>1.0590999999999999</v>
      </c>
      <c r="S958" s="310">
        <f t="shared" si="261"/>
        <v>1145682.9837431342</v>
      </c>
      <c r="T958" s="555">
        <f t="shared" si="262"/>
        <v>498.12303641005832</v>
      </c>
      <c r="U958" s="311"/>
      <c r="V958" s="312">
        <v>2300</v>
      </c>
      <c r="W958" s="299" t="s">
        <v>194</v>
      </c>
      <c r="X958" s="300">
        <v>44796</v>
      </c>
      <c r="Y958" s="299" t="s">
        <v>59</v>
      </c>
      <c r="Z958" s="303">
        <v>6523.34</v>
      </c>
      <c r="AA958" s="305">
        <f>IF(Z958=0,0,IF(Y958="MXN",1/HLOOKUP(YEAR(X958)+(MONTH(X958)/100),TC!$5:$37,DAY(X958)+2,FALSE),VLOOKUP(Y958,Equivalencia!$1:$23,((MAX(Equivalencia!$3:$3)-YEAR(X958))*14)+MONTH(X958)+2,FALSE)))</f>
        <v>1</v>
      </c>
      <c r="AB958" s="306">
        <f t="shared" si="263"/>
        <v>6523.34</v>
      </c>
      <c r="AC958" s="305">
        <f>+IF(X958=0,0,HLOOKUP(YEAR(X958)+(MONTH(X958)/100),TC!$5:$37,DAY(X958)+2,FALSE))</f>
        <v>20.195699999999999</v>
      </c>
      <c r="AD958" s="307">
        <f t="shared" si="264"/>
        <v>131743.41763799998</v>
      </c>
      <c r="AE958" s="314">
        <f t="shared" si="265"/>
        <v>1145682.9837431342</v>
      </c>
      <c r="AF958" s="315">
        <f t="shared" si="266"/>
        <v>-1013939.5661051342</v>
      </c>
      <c r="AG958" s="316">
        <f t="shared" si="267"/>
        <v>0.8</v>
      </c>
      <c r="AH958" s="314">
        <v>1</v>
      </c>
      <c r="AI958" s="314">
        <f t="shared" si="268"/>
        <v>-1013939.5661051342</v>
      </c>
      <c r="AJ958" s="314">
        <f t="shared" si="269"/>
        <v>0</v>
      </c>
      <c r="AK958" s="317"/>
      <c r="AL958" s="315">
        <f t="shared" si="270"/>
        <v>-45334.850000000006</v>
      </c>
      <c r="AN958" s="554">
        <f t="shared" si="271"/>
        <v>-0.87420810483358569</v>
      </c>
      <c r="AO958" s="314"/>
      <c r="AP958" s="318"/>
    </row>
    <row r="959" spans="2:42">
      <c r="B959" s="296" t="s">
        <v>1256</v>
      </c>
      <c r="C959" s="299" t="s">
        <v>277</v>
      </c>
      <c r="D959" s="298" t="s">
        <v>956</v>
      </c>
      <c r="E959" s="299" t="s">
        <v>106</v>
      </c>
      <c r="F959" s="299" t="s">
        <v>59</v>
      </c>
      <c r="G959" s="300">
        <v>44505</v>
      </c>
      <c r="H959" s="303">
        <v>21645.16</v>
      </c>
      <c r="I959" s="301" t="str">
        <f t="shared" si="255"/>
        <v>Ingresos Sección I LISR</v>
      </c>
      <c r="J959" s="302">
        <f t="shared" si="256"/>
        <v>960</v>
      </c>
      <c r="K959" s="304">
        <f t="shared" si="257"/>
        <v>22.547041666666665</v>
      </c>
      <c r="L959" s="305">
        <f>IF(H959=0,0,IF(OR(E959=$AT$5,E959=$AT$6),AA959,IF(F959="MXN",1/HLOOKUP(YEAR(G959)+(MONTH(G959)/100),TC!$5:$37,DAY(G959)+2,FALSE),VLOOKUP(F959,Equivalencia!$5:$23,((MAX(Equivalencia!$3:$3)-YEAR(G959))*14)+MONTH(G959)+2,FALSE))))</f>
        <v>1</v>
      </c>
      <c r="M959" s="306">
        <f t="shared" si="258"/>
        <v>21645.16</v>
      </c>
      <c r="N959" s="305">
        <f>IF(G959=0,0,(IF(OR(E959=$AT$5,E959=$AT$6),AC959,HLOOKUP(YEAR(G959)+(MONTH(G959)/100),TC!$5:$37,DAY(G959)+2,FALSE))))</f>
        <v>20.8352</v>
      </c>
      <c r="O959" s="307">
        <f t="shared" si="259"/>
        <v>450981.237632</v>
      </c>
      <c r="P959" s="560">
        <f>IF(G959=0,0,VLOOKUP(YEAR(G959),INPC!$B$4:$P$30,MONTH(G959)+2))</f>
        <v>116.884</v>
      </c>
      <c r="Q959" s="560">
        <f>IF(X959=0,0,IF(OR(E959=$AT$10,E959=$AT$9),VLOOKUP(YEAR(X959),INPC!$B$4:$P$30,MONTH(X959)+1),VLOOKUP(YEAR(X959),INPC!$B$4:$P$30,MONTH(X959)+2,0)))</f>
        <v>123.803</v>
      </c>
      <c r="R959" s="309">
        <f t="shared" si="260"/>
        <v>1.0590999999999999</v>
      </c>
      <c r="S959" s="310">
        <f t="shared" si="261"/>
        <v>477634.2287760512</v>
      </c>
      <c r="T959" s="555">
        <f t="shared" si="262"/>
        <v>497.53565497505332</v>
      </c>
      <c r="U959" s="311"/>
      <c r="V959" s="312">
        <v>960</v>
      </c>
      <c r="W959" s="299" t="s">
        <v>194</v>
      </c>
      <c r="X959" s="300">
        <v>44796</v>
      </c>
      <c r="Y959" s="299" t="s">
        <v>59</v>
      </c>
      <c r="Z959" s="303">
        <v>2722.79</v>
      </c>
      <c r="AA959" s="305">
        <f>IF(Z959=0,0,IF(Y959="MXN",1/HLOOKUP(YEAR(X959)+(MONTH(X959)/100),TC!$5:$37,DAY(X959)+2,FALSE),VLOOKUP(Y959,Equivalencia!$1:$23,((MAX(Equivalencia!$3:$3)-YEAR(X959))*14)+MONTH(X959)+2,FALSE)))</f>
        <v>1</v>
      </c>
      <c r="AB959" s="306">
        <f t="shared" si="263"/>
        <v>2722.79</v>
      </c>
      <c r="AC959" s="305">
        <f>+IF(X959=0,0,HLOOKUP(YEAR(X959)+(MONTH(X959)/100),TC!$5:$37,DAY(X959)+2,FALSE))</f>
        <v>20.195699999999999</v>
      </c>
      <c r="AD959" s="307">
        <f t="shared" si="264"/>
        <v>54988.650002999995</v>
      </c>
      <c r="AE959" s="314">
        <f t="shared" si="265"/>
        <v>477634.2287760512</v>
      </c>
      <c r="AF959" s="315">
        <f t="shared" si="266"/>
        <v>-422645.57877305121</v>
      </c>
      <c r="AG959" s="316">
        <f t="shared" si="267"/>
        <v>0.79726027397260268</v>
      </c>
      <c r="AH959" s="314">
        <v>1</v>
      </c>
      <c r="AI959" s="314">
        <f t="shared" si="268"/>
        <v>-422645.57877305121</v>
      </c>
      <c r="AJ959" s="314">
        <f t="shared" si="269"/>
        <v>0</v>
      </c>
      <c r="AK959" s="317"/>
      <c r="AL959" s="315">
        <f t="shared" si="270"/>
        <v>-18922.37</v>
      </c>
      <c r="AN959" s="554">
        <f t="shared" si="271"/>
        <v>-0.87420790606306442</v>
      </c>
      <c r="AO959" s="314"/>
      <c r="AP959" s="318"/>
    </row>
    <row r="960" spans="2:42">
      <c r="B960" s="296" t="s">
        <v>1256</v>
      </c>
      <c r="C960" s="299" t="s">
        <v>277</v>
      </c>
      <c r="D960" s="298" t="s">
        <v>956</v>
      </c>
      <c r="E960" s="299" t="s">
        <v>106</v>
      </c>
      <c r="F960" s="299" t="s">
        <v>59</v>
      </c>
      <c r="G960" s="300">
        <v>44516</v>
      </c>
      <c r="H960" s="303">
        <v>78914.63</v>
      </c>
      <c r="I960" s="301" t="str">
        <f t="shared" si="255"/>
        <v>Ingresos Sección I LISR</v>
      </c>
      <c r="J960" s="302">
        <f t="shared" si="256"/>
        <v>3500</v>
      </c>
      <c r="K960" s="304">
        <f t="shared" si="257"/>
        <v>22.547037142857143</v>
      </c>
      <c r="L960" s="305">
        <f>IF(H960=0,0,IF(OR(E960=$AT$5,E960=$AT$6),AA960,IF(F960="MXN",1/HLOOKUP(YEAR(G960)+(MONTH(G960)/100),TC!$5:$37,DAY(G960)+2,FALSE),VLOOKUP(F960,Equivalencia!$5:$23,((MAX(Equivalencia!$3:$3)-YEAR(G960))*14)+MONTH(G960)+2,FALSE))))</f>
        <v>1</v>
      </c>
      <c r="M960" s="306">
        <f t="shared" si="258"/>
        <v>78914.63</v>
      </c>
      <c r="N960" s="305">
        <f>IF(G960=0,0,(IF(OR(E960=$AT$5,E960=$AT$6),AC960,HLOOKUP(YEAR(G960)+(MONTH(G960)/100),TC!$5:$37,DAY(G960)+2,FALSE))))</f>
        <v>20.465199999999999</v>
      </c>
      <c r="O960" s="307">
        <f t="shared" si="259"/>
        <v>1615003.685876</v>
      </c>
      <c r="P960" s="560">
        <f>IF(G960=0,0,VLOOKUP(YEAR(G960),INPC!$B$4:$P$30,MONTH(G960)+2))</f>
        <v>116.884</v>
      </c>
      <c r="Q960" s="560">
        <f>IF(X960=0,0,IF(OR(E960=$AT$10,E960=$AT$9),VLOOKUP(YEAR(X960),INPC!$B$4:$P$30,MONTH(X960)+1),VLOOKUP(YEAR(X960),INPC!$B$4:$P$30,MONTH(X960)+2,0)))</f>
        <v>123.803</v>
      </c>
      <c r="R960" s="309">
        <f t="shared" si="260"/>
        <v>1.0590999999999999</v>
      </c>
      <c r="S960" s="310">
        <f t="shared" si="261"/>
        <v>1710450.4037112715</v>
      </c>
      <c r="T960" s="555">
        <f t="shared" si="262"/>
        <v>488.70011534607755</v>
      </c>
      <c r="U960" s="311"/>
      <c r="V960" s="312">
        <v>3500</v>
      </c>
      <c r="W960" s="299" t="s">
        <v>194</v>
      </c>
      <c r="X960" s="300">
        <v>44796</v>
      </c>
      <c r="Y960" s="299" t="s">
        <v>59</v>
      </c>
      <c r="Z960" s="303">
        <v>9926.83</v>
      </c>
      <c r="AA960" s="305">
        <f>IF(Z960=0,0,IF(Y960="MXN",1/HLOOKUP(YEAR(X960)+(MONTH(X960)/100),TC!$5:$37,DAY(X960)+2,FALSE),VLOOKUP(Y960,Equivalencia!$1:$23,((MAX(Equivalencia!$3:$3)-YEAR(X960))*14)+MONTH(X960)+2,FALSE)))</f>
        <v>1</v>
      </c>
      <c r="AB960" s="306">
        <f t="shared" si="263"/>
        <v>9926.83</v>
      </c>
      <c r="AC960" s="305">
        <f>+IF(X960=0,0,HLOOKUP(YEAR(X960)+(MONTH(X960)/100),TC!$5:$37,DAY(X960)+2,FALSE))</f>
        <v>20.195699999999999</v>
      </c>
      <c r="AD960" s="307">
        <f t="shared" si="264"/>
        <v>200479.28063099997</v>
      </c>
      <c r="AE960" s="314">
        <f t="shared" si="265"/>
        <v>1710450.4037112715</v>
      </c>
      <c r="AF960" s="315">
        <f t="shared" si="266"/>
        <v>-1509971.1230802715</v>
      </c>
      <c r="AG960" s="316">
        <f t="shared" si="267"/>
        <v>0.76712328767123283</v>
      </c>
      <c r="AH960" s="314">
        <v>1</v>
      </c>
      <c r="AI960" s="314">
        <f t="shared" si="268"/>
        <v>-1509971.1230802715</v>
      </c>
      <c r="AJ960" s="314">
        <f t="shared" si="269"/>
        <v>0</v>
      </c>
      <c r="AK960" s="317"/>
      <c r="AL960" s="315">
        <f t="shared" si="270"/>
        <v>-68987.8</v>
      </c>
      <c r="AN960" s="554">
        <f t="shared" si="271"/>
        <v>-0.87420798906362485</v>
      </c>
      <c r="AO960" s="314"/>
      <c r="AP960" s="318"/>
    </row>
    <row r="961" spans="2:42">
      <c r="B961" s="296" t="s">
        <v>1256</v>
      </c>
      <c r="C961" s="299" t="s">
        <v>277</v>
      </c>
      <c r="D961" s="298" t="s">
        <v>810</v>
      </c>
      <c r="E961" s="299" t="s">
        <v>113</v>
      </c>
      <c r="F961" s="299" t="s">
        <v>59</v>
      </c>
      <c r="G961" s="300">
        <v>44504</v>
      </c>
      <c r="H961" s="303">
        <v>51558.68</v>
      </c>
      <c r="I961" s="301" t="str">
        <f t="shared" si="255"/>
        <v>Ingresos Sección II LISR (SIC &amp; BMV)</v>
      </c>
      <c r="J961" s="302">
        <f t="shared" si="256"/>
        <v>827</v>
      </c>
      <c r="K961" s="304">
        <f t="shared" si="257"/>
        <v>62.344232164449821</v>
      </c>
      <c r="L961" s="305">
        <f>IF(H961=0,0,IF(OR(E961=$AT$5,E961=$AT$6),AA961,IF(F961="MXN",1/HLOOKUP(YEAR(G961)+(MONTH(G961)/100),TC!$5:$37,DAY(G961)+2,FALSE),VLOOKUP(F961,Equivalencia!$5:$23,((MAX(Equivalencia!$3:$3)-YEAR(G961))*14)+MONTH(G961)+2,FALSE))))</f>
        <v>1</v>
      </c>
      <c r="M961" s="306">
        <f t="shared" si="258"/>
        <v>51558.68</v>
      </c>
      <c r="N961" s="305">
        <f>IF(G961=0,0,(IF(OR(E961=$AT$5,E961=$AT$6),AC961,HLOOKUP(YEAR(G961)+(MONTH(G961)/100),TC!$5:$37,DAY(G961)+2,FALSE))))</f>
        <v>20.8598</v>
      </c>
      <c r="O961" s="307">
        <f t="shared" si="259"/>
        <v>1075503.753064</v>
      </c>
      <c r="P961" s="560">
        <f>IF(G961=0,0,VLOOKUP(YEAR(G961),INPC!$B$4:$P$30,MONTH(G961)+2))</f>
        <v>116.884</v>
      </c>
      <c r="Q961" s="560">
        <f>IF(X961=0,0,IF(OR(E961=$AT$10,E961=$AT$9),VLOOKUP(YEAR(X961),INPC!$B$4:$P$30,MONTH(X961)+1),VLOOKUP(YEAR(X961),INPC!$B$4:$P$30,MONTH(X961)+2,0)))</f>
        <v>122.94799999999999</v>
      </c>
      <c r="R961" s="309">
        <f t="shared" si="260"/>
        <v>1.0518000000000001</v>
      </c>
      <c r="S961" s="310">
        <f t="shared" si="261"/>
        <v>1131214.8474727154</v>
      </c>
      <c r="T961" s="555">
        <f t="shared" si="262"/>
        <v>1367.8535035945772</v>
      </c>
      <c r="U961" s="311"/>
      <c r="V961" s="312">
        <v>827</v>
      </c>
      <c r="W961" s="299" t="s">
        <v>194</v>
      </c>
      <c r="X961" s="300">
        <v>44796</v>
      </c>
      <c r="Y961" s="299" t="s">
        <v>59</v>
      </c>
      <c r="Z961" s="303">
        <v>32740.18</v>
      </c>
      <c r="AA961" s="305">
        <f>IF(Z961=0,0,IF(Y961="MXN",1/HLOOKUP(YEAR(X961)+(MONTH(X961)/100),TC!$5:$37,DAY(X961)+2,FALSE),VLOOKUP(Y961,Equivalencia!$1:$23,((MAX(Equivalencia!$3:$3)-YEAR(X961))*14)+MONTH(X961)+2,FALSE)))</f>
        <v>1</v>
      </c>
      <c r="AB961" s="306">
        <f t="shared" si="263"/>
        <v>32740.18</v>
      </c>
      <c r="AC961" s="305">
        <f>+IF(X961=0,0,HLOOKUP(YEAR(X961)+(MONTH(X961)/100),TC!$5:$37,DAY(X961)+2,FALSE))</f>
        <v>20.195699999999999</v>
      </c>
      <c r="AD961" s="307">
        <f t="shared" si="264"/>
        <v>661210.85322599998</v>
      </c>
      <c r="AE961" s="314">
        <f t="shared" si="265"/>
        <v>1131214.8474727154</v>
      </c>
      <c r="AF961" s="315">
        <f t="shared" si="266"/>
        <v>-470003.99424671545</v>
      </c>
      <c r="AG961" s="316">
        <f t="shared" si="267"/>
        <v>0.8</v>
      </c>
      <c r="AH961" s="314">
        <v>1</v>
      </c>
      <c r="AI961" s="314">
        <f t="shared" si="268"/>
        <v>-470003.99424671545</v>
      </c>
      <c r="AJ961" s="314">
        <f t="shared" si="269"/>
        <v>0</v>
      </c>
      <c r="AK961" s="317"/>
      <c r="AL961" s="315">
        <f t="shared" si="270"/>
        <v>-18818.5</v>
      </c>
      <c r="AN961" s="554">
        <f t="shared" si="271"/>
        <v>-0.36499188885363243</v>
      </c>
      <c r="AO961" s="314"/>
      <c r="AP961" s="318"/>
    </row>
    <row r="962" spans="2:42">
      <c r="B962" s="296" t="s">
        <v>1256</v>
      </c>
      <c r="C962" s="299" t="s">
        <v>277</v>
      </c>
      <c r="D962" s="298" t="s">
        <v>810</v>
      </c>
      <c r="E962" s="299" t="s">
        <v>113</v>
      </c>
      <c r="F962" s="299" t="s">
        <v>59</v>
      </c>
      <c r="G962" s="300">
        <v>44505</v>
      </c>
      <c r="H962" s="303">
        <v>21384.07</v>
      </c>
      <c r="I962" s="301" t="str">
        <f t="shared" si="255"/>
        <v>Ingresos Sección II LISR (SIC &amp; BMV)</v>
      </c>
      <c r="J962" s="302">
        <f t="shared" si="256"/>
        <v>343</v>
      </c>
      <c r="K962" s="304">
        <f t="shared" si="257"/>
        <v>62.344227405247814</v>
      </c>
      <c r="L962" s="305">
        <f>IF(H962=0,0,IF(OR(E962=$AT$5,E962=$AT$6),AA962,IF(F962="MXN",1/HLOOKUP(YEAR(G962)+(MONTH(G962)/100),TC!$5:$37,DAY(G962)+2,FALSE),VLOOKUP(F962,Equivalencia!$5:$23,((MAX(Equivalencia!$3:$3)-YEAR(G962))*14)+MONTH(G962)+2,FALSE))))</f>
        <v>1</v>
      </c>
      <c r="M962" s="306">
        <f t="shared" si="258"/>
        <v>21384.07</v>
      </c>
      <c r="N962" s="305">
        <f>IF(G962=0,0,(IF(OR(E962=$AT$5,E962=$AT$6),AC962,HLOOKUP(YEAR(G962)+(MONTH(G962)/100),TC!$5:$37,DAY(G962)+2,FALSE))))</f>
        <v>20.8352</v>
      </c>
      <c r="O962" s="307">
        <f t="shared" si="259"/>
        <v>445541.37526400003</v>
      </c>
      <c r="P962" s="560">
        <f>IF(G962=0,0,VLOOKUP(YEAR(G962),INPC!$B$4:$P$30,MONTH(G962)+2))</f>
        <v>116.884</v>
      </c>
      <c r="Q962" s="560">
        <f>IF(X962=0,0,IF(OR(E962=$AT$10,E962=$AT$9),VLOOKUP(YEAR(X962),INPC!$B$4:$P$30,MONTH(X962)+1),VLOOKUP(YEAR(X962),INPC!$B$4:$P$30,MONTH(X962)+2,0)))</f>
        <v>122.94799999999999</v>
      </c>
      <c r="R962" s="309">
        <f t="shared" si="260"/>
        <v>1.0518000000000001</v>
      </c>
      <c r="S962" s="310">
        <f t="shared" si="261"/>
        <v>468620.41850267525</v>
      </c>
      <c r="T962" s="555">
        <f t="shared" si="262"/>
        <v>1366.2402871798113</v>
      </c>
      <c r="U962" s="311"/>
      <c r="V962" s="312">
        <v>343</v>
      </c>
      <c r="W962" s="299" t="s">
        <v>194</v>
      </c>
      <c r="X962" s="300">
        <v>44796</v>
      </c>
      <c r="Y962" s="299" t="s">
        <v>59</v>
      </c>
      <c r="Z962" s="303">
        <v>13579.06</v>
      </c>
      <c r="AA962" s="305">
        <f>IF(Z962=0,0,IF(Y962="MXN",1/HLOOKUP(YEAR(X962)+(MONTH(X962)/100),TC!$5:$37,DAY(X962)+2,FALSE),VLOOKUP(Y962,Equivalencia!$1:$23,((MAX(Equivalencia!$3:$3)-YEAR(X962))*14)+MONTH(X962)+2,FALSE)))</f>
        <v>1</v>
      </c>
      <c r="AB962" s="306">
        <f t="shared" si="263"/>
        <v>13579.06</v>
      </c>
      <c r="AC962" s="305">
        <f>+IF(X962=0,0,HLOOKUP(YEAR(X962)+(MONTH(X962)/100),TC!$5:$37,DAY(X962)+2,FALSE))</f>
        <v>20.195699999999999</v>
      </c>
      <c r="AD962" s="307">
        <f t="shared" si="264"/>
        <v>274238.62204199994</v>
      </c>
      <c r="AE962" s="314">
        <f t="shared" si="265"/>
        <v>468620.41850267525</v>
      </c>
      <c r="AF962" s="315">
        <f t="shared" si="266"/>
        <v>-194381.79646067531</v>
      </c>
      <c r="AG962" s="316">
        <f t="shared" si="267"/>
        <v>0.79726027397260268</v>
      </c>
      <c r="AH962" s="314">
        <v>1</v>
      </c>
      <c r="AI962" s="314">
        <f t="shared" si="268"/>
        <v>-194381.79646067531</v>
      </c>
      <c r="AJ962" s="314">
        <f t="shared" si="269"/>
        <v>0</v>
      </c>
      <c r="AK962" s="317"/>
      <c r="AL962" s="315">
        <f t="shared" si="270"/>
        <v>-7805.01</v>
      </c>
      <c r="AN962" s="554">
        <f t="shared" si="271"/>
        <v>-0.36499179061796938</v>
      </c>
      <c r="AO962" s="314"/>
      <c r="AP962" s="318"/>
    </row>
    <row r="963" spans="2:42">
      <c r="B963" s="296" t="s">
        <v>1256</v>
      </c>
      <c r="C963" s="299" t="s">
        <v>277</v>
      </c>
      <c r="D963" s="298" t="s">
        <v>810</v>
      </c>
      <c r="E963" s="299" t="s">
        <v>113</v>
      </c>
      <c r="F963" s="299" t="s">
        <v>59</v>
      </c>
      <c r="G963" s="300">
        <v>44516</v>
      </c>
      <c r="H963" s="303">
        <v>77930.3</v>
      </c>
      <c r="I963" s="301" t="str">
        <f t="shared" si="255"/>
        <v>Ingresos Sección II LISR (SIC &amp; BMV)</v>
      </c>
      <c r="J963" s="302">
        <f t="shared" si="256"/>
        <v>1250</v>
      </c>
      <c r="K963" s="304">
        <f t="shared" si="257"/>
        <v>62.344239999999999</v>
      </c>
      <c r="L963" s="305">
        <f>IF(H963=0,0,IF(OR(E963=$AT$5,E963=$AT$6),AA963,IF(F963="MXN",1/HLOOKUP(YEAR(G963)+(MONTH(G963)/100),TC!$5:$37,DAY(G963)+2,FALSE),VLOOKUP(F963,Equivalencia!$5:$23,((MAX(Equivalencia!$3:$3)-YEAR(G963))*14)+MONTH(G963)+2,FALSE))))</f>
        <v>1</v>
      </c>
      <c r="M963" s="306">
        <f t="shared" si="258"/>
        <v>77930.3</v>
      </c>
      <c r="N963" s="305">
        <f>IF(G963=0,0,(IF(OR(E963=$AT$5,E963=$AT$6),AC963,HLOOKUP(YEAR(G963)+(MONTH(G963)/100),TC!$5:$37,DAY(G963)+2,FALSE))))</f>
        <v>20.465199999999999</v>
      </c>
      <c r="O963" s="307">
        <f t="shared" si="259"/>
        <v>1594859.1755600001</v>
      </c>
      <c r="P963" s="560">
        <f>IF(G963=0,0,VLOOKUP(YEAR(G963),INPC!$B$4:$P$30,MONTH(G963)+2))</f>
        <v>116.884</v>
      </c>
      <c r="Q963" s="560">
        <f>IF(X963=0,0,IF(OR(E963=$AT$10,E963=$AT$9),VLOOKUP(YEAR(X963),INPC!$B$4:$P$30,MONTH(X963)+1),VLOOKUP(YEAR(X963),INPC!$B$4:$P$30,MONTH(X963)+2,0)))</f>
        <v>122.94799999999999</v>
      </c>
      <c r="R963" s="309">
        <f t="shared" si="260"/>
        <v>1.0518000000000001</v>
      </c>
      <c r="S963" s="310">
        <f t="shared" si="261"/>
        <v>1677472.8808540083</v>
      </c>
      <c r="T963" s="555">
        <f t="shared" si="262"/>
        <v>1341.9783046832067</v>
      </c>
      <c r="U963" s="311"/>
      <c r="V963" s="312">
        <v>1250</v>
      </c>
      <c r="W963" s="299" t="s">
        <v>194</v>
      </c>
      <c r="X963" s="300">
        <v>44796</v>
      </c>
      <c r="Y963" s="299" t="s">
        <v>59</v>
      </c>
      <c r="Z963" s="303">
        <v>49486.36</v>
      </c>
      <c r="AA963" s="305">
        <f>IF(Z963=0,0,IF(Y963="MXN",1/HLOOKUP(YEAR(X963)+(MONTH(X963)/100),TC!$5:$37,DAY(X963)+2,FALSE),VLOOKUP(Y963,Equivalencia!$1:$23,((MAX(Equivalencia!$3:$3)-YEAR(X963))*14)+MONTH(X963)+2,FALSE)))</f>
        <v>1</v>
      </c>
      <c r="AB963" s="306">
        <f t="shared" si="263"/>
        <v>49486.36</v>
      </c>
      <c r="AC963" s="305">
        <f>+IF(X963=0,0,HLOOKUP(YEAR(X963)+(MONTH(X963)/100),TC!$5:$37,DAY(X963)+2,FALSE))</f>
        <v>20.195699999999999</v>
      </c>
      <c r="AD963" s="307">
        <f t="shared" si="264"/>
        <v>999411.68065199989</v>
      </c>
      <c r="AE963" s="314">
        <f t="shared" si="265"/>
        <v>1677472.8808540085</v>
      </c>
      <c r="AF963" s="315">
        <f t="shared" si="266"/>
        <v>-678061.20020200859</v>
      </c>
      <c r="AG963" s="316">
        <f t="shared" si="267"/>
        <v>0.76712328767123283</v>
      </c>
      <c r="AH963" s="314">
        <v>1</v>
      </c>
      <c r="AI963" s="314">
        <f t="shared" si="268"/>
        <v>-678061.20020200859</v>
      </c>
      <c r="AJ963" s="314">
        <f t="shared" si="269"/>
        <v>0</v>
      </c>
      <c r="AK963" s="317"/>
      <c r="AL963" s="315">
        <f t="shared" si="270"/>
        <v>-28443.940000000002</v>
      </c>
      <c r="AN963" s="554">
        <f t="shared" si="271"/>
        <v>-0.36499205058879541</v>
      </c>
      <c r="AO963" s="314"/>
      <c r="AP963" s="318"/>
    </row>
    <row r="964" spans="2:42">
      <c r="B964" s="296"/>
      <c r="C964" s="299"/>
      <c r="D964" s="298"/>
      <c r="E964" s="299"/>
      <c r="F964" s="299"/>
      <c r="G964" s="300"/>
      <c r="H964" s="303"/>
      <c r="I964" s="301">
        <f t="shared" si="255"/>
        <v>0</v>
      </c>
      <c r="J964" s="302">
        <f t="shared" si="256"/>
        <v>0</v>
      </c>
      <c r="K964" s="304">
        <f t="shared" si="257"/>
        <v>0</v>
      </c>
      <c r="L964" s="305">
        <f>IF(H964=0,0,IF(OR(E964=$AT$5,E964=$AT$6),AA964,IF(F964="MXN",1/HLOOKUP(YEAR(G964)+(MONTH(G964)/100),TC!$5:$37,DAY(G964)+2,FALSE),VLOOKUP(F964,Equivalencia!$5:$23,((MAX(Equivalencia!$3:$3)-YEAR(G964))*14)+MONTH(G964)+2,FALSE))))</f>
        <v>0</v>
      </c>
      <c r="M964" s="306">
        <f t="shared" si="258"/>
        <v>0</v>
      </c>
      <c r="N964" s="305">
        <f>IF(G964=0,0,(IF(OR(E964=$AT$5,E964=$AT$6),AC964,HLOOKUP(YEAR(G964)+(MONTH(G964)/100),TC!$5:$37,DAY(G964)+2,FALSE))))</f>
        <v>0</v>
      </c>
      <c r="O964" s="307">
        <f t="shared" si="259"/>
        <v>0</v>
      </c>
      <c r="P964" s="560">
        <f>IF(G964=0,0,VLOOKUP(YEAR(G964),INPC!$B$4:$P$30,MONTH(G964)+2))</f>
        <v>0</v>
      </c>
      <c r="Q964" s="560">
        <f>IF(X964=0,0,IF(OR(E964=$AT$10,E964=$AT$9),VLOOKUP(YEAR(X964),INPC!$B$4:$P$30,MONTH(X964)+1),VLOOKUP(YEAR(X964),INPC!$B$4:$P$30,MONTH(X964)+2,0)))</f>
        <v>0</v>
      </c>
      <c r="R964" s="309">
        <f t="shared" si="260"/>
        <v>0</v>
      </c>
      <c r="S964" s="310">
        <f t="shared" si="261"/>
        <v>0</v>
      </c>
      <c r="T964" s="555">
        <f t="shared" si="262"/>
        <v>0</v>
      </c>
      <c r="U964" s="311"/>
      <c r="V964" s="312"/>
      <c r="W964" s="299"/>
      <c r="X964" s="300"/>
      <c r="Y964" s="299"/>
      <c r="Z964" s="303"/>
      <c r="AA964" s="305">
        <f>IF(Z964=0,0,IF(Y964="MXN",1/HLOOKUP(YEAR(X964)+(MONTH(X964)/100),TC!$5:$37,DAY(X964)+2,FALSE),VLOOKUP(Y964,Equivalencia!$1:$23,((MAX(Equivalencia!$3:$3)-YEAR(X964))*14)+MONTH(X964)+2,FALSE)))</f>
        <v>0</v>
      </c>
      <c r="AB964" s="306">
        <f t="shared" si="263"/>
        <v>0</v>
      </c>
      <c r="AC964" s="305">
        <f>+IF(X964=0,0,HLOOKUP(YEAR(X964)+(MONTH(X964)/100),TC!$5:$37,DAY(X964)+2,FALSE))</f>
        <v>0</v>
      </c>
      <c r="AD964" s="307">
        <f t="shared" si="264"/>
        <v>0</v>
      </c>
      <c r="AE964" s="314">
        <f t="shared" si="265"/>
        <v>0</v>
      </c>
      <c r="AF964" s="315">
        <f t="shared" si="266"/>
        <v>0</v>
      </c>
      <c r="AG964" s="316">
        <f t="shared" si="267"/>
        <v>0</v>
      </c>
      <c r="AH964" s="314">
        <v>1</v>
      </c>
      <c r="AI964" s="314">
        <f t="shared" si="268"/>
        <v>0</v>
      </c>
      <c r="AJ964" s="314">
        <f t="shared" si="269"/>
        <v>0</v>
      </c>
      <c r="AK964" s="317"/>
      <c r="AL964" s="315">
        <f t="shared" si="270"/>
        <v>0</v>
      </c>
      <c r="AN964" s="554">
        <f t="shared" si="271"/>
        <v>0</v>
      </c>
      <c r="AO964" s="314"/>
      <c r="AP964" s="318"/>
    </row>
    <row r="965" spans="2:42">
      <c r="B965" s="296" t="s">
        <v>1266</v>
      </c>
      <c r="C965" s="299" t="s">
        <v>277</v>
      </c>
      <c r="D965" s="298" t="s">
        <v>1016</v>
      </c>
      <c r="E965" s="299" t="s">
        <v>106</v>
      </c>
      <c r="F965" s="299" t="s">
        <v>59</v>
      </c>
      <c r="G965" s="300">
        <v>44720</v>
      </c>
      <c r="H965" s="303">
        <v>5926.5</v>
      </c>
      <c r="I965" s="301" t="str">
        <f t="shared" si="255"/>
        <v>Ingresos Sección I LISR</v>
      </c>
      <c r="J965" s="302">
        <f t="shared" si="256"/>
        <v>225</v>
      </c>
      <c r="K965" s="304">
        <f t="shared" si="257"/>
        <v>26.34</v>
      </c>
      <c r="L965" s="305">
        <f>IF(H965=0,0,IF(OR(E965=$AT$5,E965=$AT$6),AA965,IF(F965="MXN",1/HLOOKUP(YEAR(G965)+(MONTH(G965)/100),TC!$5:$37,DAY(G965)+2,FALSE),VLOOKUP(F965,Equivalencia!$5:$23,((MAX(Equivalencia!$3:$3)-YEAR(G965))*14)+MONTH(G965)+2,FALSE))))</f>
        <v>1</v>
      </c>
      <c r="M965" s="306">
        <f t="shared" si="258"/>
        <v>5926.5</v>
      </c>
      <c r="N965" s="305">
        <f>IF(G965=0,0,(IF(OR(E965=$AT$5,E965=$AT$6),AC965,HLOOKUP(YEAR(G965)+(MONTH(G965)/100),TC!$5:$37,DAY(G965)+2,FALSE))))</f>
        <v>19.5547</v>
      </c>
      <c r="O965" s="307">
        <f t="shared" si="259"/>
        <v>115890.92955</v>
      </c>
      <c r="P965" s="560">
        <f>IF(G965=0,0,VLOOKUP(YEAR(G965),INPC!$B$4:$P$30,MONTH(G965)+2))</f>
        <v>122.044</v>
      </c>
      <c r="Q965" s="560">
        <f>IF(X965=0,0,IF(OR(E965=$AT$10,E965=$AT$9),VLOOKUP(YEAR(X965),INPC!$B$4:$P$30,MONTH(X965)+1),VLOOKUP(YEAR(X965),INPC!$B$4:$P$30,MONTH(X965)+2,0)))</f>
        <v>125.276</v>
      </c>
      <c r="R965" s="309">
        <f t="shared" si="260"/>
        <v>1.0264</v>
      </c>
      <c r="S965" s="310">
        <f t="shared" si="261"/>
        <v>118950.45009011999</v>
      </c>
      <c r="T965" s="555">
        <f t="shared" si="262"/>
        <v>528.66866706719998</v>
      </c>
      <c r="U965" s="311"/>
      <c r="V965" s="312">
        <v>225</v>
      </c>
      <c r="W965" s="299" t="s">
        <v>194</v>
      </c>
      <c r="X965" s="300">
        <v>44854</v>
      </c>
      <c r="Y965" s="299" t="s">
        <v>59</v>
      </c>
      <c r="Z965" s="303">
        <v>3760.58</v>
      </c>
      <c r="AA965" s="305">
        <f>IF(Z965=0,0,IF(Y965="MXN",1/HLOOKUP(YEAR(X965)+(MONTH(X965)/100),TC!$5:$37,DAY(X965)+2,FALSE),VLOOKUP(Y965,Equivalencia!$1:$23,((MAX(Equivalencia!$3:$3)-YEAR(X965))*14)+MONTH(X965)+2,FALSE)))</f>
        <v>1</v>
      </c>
      <c r="AB965" s="306">
        <f t="shared" si="263"/>
        <v>3760.58</v>
      </c>
      <c r="AC965" s="305">
        <f>+IF(X965=0,0,HLOOKUP(YEAR(X965)+(MONTH(X965)/100),TC!$5:$37,DAY(X965)+2,FALSE))</f>
        <v>20.020700000000001</v>
      </c>
      <c r="AD965" s="307">
        <f t="shared" si="264"/>
        <v>75289.444006000005</v>
      </c>
      <c r="AE965" s="314">
        <f t="shared" si="265"/>
        <v>118950.45009011999</v>
      </c>
      <c r="AF965" s="315">
        <f t="shared" si="266"/>
        <v>-43661.006084119988</v>
      </c>
      <c r="AG965" s="316">
        <f t="shared" si="267"/>
        <v>0.36712328767123287</v>
      </c>
      <c r="AH965" s="314">
        <v>1</v>
      </c>
      <c r="AI965" s="314">
        <f t="shared" si="268"/>
        <v>-43661.006084119988</v>
      </c>
      <c r="AJ965" s="314">
        <f t="shared" si="269"/>
        <v>0</v>
      </c>
      <c r="AK965" s="317"/>
      <c r="AL965" s="315">
        <f t="shared" si="270"/>
        <v>-2165.92</v>
      </c>
      <c r="AN965" s="554">
        <f t="shared" si="271"/>
        <v>-0.3654635957141652</v>
      </c>
      <c r="AO965" s="314"/>
      <c r="AP965" s="318"/>
    </row>
    <row r="966" spans="2:42">
      <c r="B966" s="296" t="s">
        <v>1266</v>
      </c>
      <c r="C966" s="299" t="s">
        <v>277</v>
      </c>
      <c r="D966" s="298" t="s">
        <v>960</v>
      </c>
      <c r="E966" s="299" t="s">
        <v>113</v>
      </c>
      <c r="F966" s="299" t="s">
        <v>59</v>
      </c>
      <c r="G966" s="300">
        <v>44720</v>
      </c>
      <c r="H966" s="303">
        <v>6226.36</v>
      </c>
      <c r="I966" s="301" t="str">
        <f t="shared" si="255"/>
        <v>Ingresos Sección II LISR (SIC &amp; BMV)</v>
      </c>
      <c r="J966" s="302">
        <f t="shared" si="256"/>
        <v>296</v>
      </c>
      <c r="K966" s="304">
        <f t="shared" si="257"/>
        <v>21.035</v>
      </c>
      <c r="L966" s="305">
        <f>IF(H966=0,0,IF(OR(E966=$AT$5,E966=$AT$6),AA966,IF(F966="MXN",1/HLOOKUP(YEAR(G966)+(MONTH(G966)/100),TC!$5:$37,DAY(G966)+2,FALSE),VLOOKUP(F966,Equivalencia!$5:$23,((MAX(Equivalencia!$3:$3)-YEAR(G966))*14)+MONTH(G966)+2,FALSE))))</f>
        <v>1</v>
      </c>
      <c r="M966" s="306">
        <f t="shared" si="258"/>
        <v>6226.36</v>
      </c>
      <c r="N966" s="305">
        <f>IF(G966=0,0,(IF(OR(E966=$AT$5,E966=$AT$6),AC966,HLOOKUP(YEAR(G966)+(MONTH(G966)/100),TC!$5:$37,DAY(G966)+2,FALSE))))</f>
        <v>19.5547</v>
      </c>
      <c r="O966" s="307">
        <f t="shared" si="259"/>
        <v>121754.60189199999</v>
      </c>
      <c r="P966" s="560">
        <f>IF(G966=0,0,VLOOKUP(YEAR(G966),INPC!$B$4:$P$30,MONTH(G966)+2))</f>
        <v>122.044</v>
      </c>
      <c r="Q966" s="560">
        <f>IF(X966=0,0,IF(OR(E966=$AT$10,E966=$AT$9),VLOOKUP(YEAR(X966),INPC!$B$4:$P$30,MONTH(X966)+1),VLOOKUP(YEAR(X966),INPC!$B$4:$P$30,MONTH(X966)+2,0)))</f>
        <v>124.571</v>
      </c>
      <c r="R966" s="309">
        <f t="shared" si="260"/>
        <v>1.0206999999999999</v>
      </c>
      <c r="S966" s="310">
        <f t="shared" si="261"/>
        <v>124274.92215116438</v>
      </c>
      <c r="T966" s="555">
        <f t="shared" si="262"/>
        <v>419.84770997014994</v>
      </c>
      <c r="U966" s="311"/>
      <c r="V966" s="312">
        <v>296</v>
      </c>
      <c r="W966" s="299" t="s">
        <v>194</v>
      </c>
      <c r="X966" s="300">
        <v>44854</v>
      </c>
      <c r="Y966" s="299" t="s">
        <v>59</v>
      </c>
      <c r="Z966" s="303">
        <v>4952.8599999999997</v>
      </c>
      <c r="AA966" s="305">
        <f>IF(Z966=0,0,IF(Y966="MXN",1/HLOOKUP(YEAR(X966)+(MONTH(X966)/100),TC!$5:$37,DAY(X966)+2,FALSE),VLOOKUP(Y966,Equivalencia!$1:$23,((MAX(Equivalencia!$3:$3)-YEAR(X966))*14)+MONTH(X966)+2,FALSE)))</f>
        <v>1</v>
      </c>
      <c r="AB966" s="306">
        <f t="shared" si="263"/>
        <v>4952.8599999999997</v>
      </c>
      <c r="AC966" s="305">
        <f>+IF(X966=0,0,HLOOKUP(YEAR(X966)+(MONTH(X966)/100),TC!$5:$37,DAY(X966)+2,FALSE))</f>
        <v>20.020700000000001</v>
      </c>
      <c r="AD966" s="307">
        <f t="shared" si="264"/>
        <v>99159.724201999998</v>
      </c>
      <c r="AE966" s="314">
        <f t="shared" si="265"/>
        <v>124274.92215116438</v>
      </c>
      <c r="AF966" s="315">
        <f t="shared" si="266"/>
        <v>-25115.197949164387</v>
      </c>
      <c r="AG966" s="316">
        <f t="shared" si="267"/>
        <v>0.36712328767123287</v>
      </c>
      <c r="AH966" s="314">
        <v>1</v>
      </c>
      <c r="AI966" s="314">
        <f t="shared" si="268"/>
        <v>-25115.197949164387</v>
      </c>
      <c r="AJ966" s="314">
        <f t="shared" si="269"/>
        <v>0</v>
      </c>
      <c r="AK966" s="317"/>
      <c r="AL966" s="315">
        <f t="shared" si="270"/>
        <v>-1273.5</v>
      </c>
      <c r="AN966" s="554">
        <f t="shared" si="271"/>
        <v>-0.20453362799452651</v>
      </c>
      <c r="AO966" s="314"/>
      <c r="AP966" s="318"/>
    </row>
    <row r="967" spans="2:42">
      <c r="B967" s="296" t="s">
        <v>1266</v>
      </c>
      <c r="C967" s="299" t="s">
        <v>277</v>
      </c>
      <c r="D967" s="298" t="s">
        <v>1017</v>
      </c>
      <c r="E967" s="299" t="s">
        <v>113</v>
      </c>
      <c r="F967" s="299" t="s">
        <v>59</v>
      </c>
      <c r="G967" s="300">
        <v>44791</v>
      </c>
      <c r="H967" s="303">
        <v>2326.25</v>
      </c>
      <c r="I967" s="301" t="str">
        <f t="shared" si="255"/>
        <v>Ingresos Sección II LISR (SIC &amp; BMV)</v>
      </c>
      <c r="J967" s="302">
        <f t="shared" si="256"/>
        <v>1</v>
      </c>
      <c r="K967" s="304">
        <f t="shared" si="257"/>
        <v>2326.25</v>
      </c>
      <c r="L967" s="305">
        <f>IF(H967=0,0,IF(OR(E967=$AT$5,E967=$AT$6),AA967,IF(F967="MXN",1/HLOOKUP(YEAR(G967)+(MONTH(G967)/100),TC!$5:$37,DAY(G967)+2,FALSE),VLOOKUP(F967,Equivalencia!$5:$23,((MAX(Equivalencia!$3:$3)-YEAR(G967))*14)+MONTH(G967)+2,FALSE))))</f>
        <v>1</v>
      </c>
      <c r="M967" s="306">
        <f t="shared" si="258"/>
        <v>2326.25</v>
      </c>
      <c r="N967" s="305">
        <f>IF(G967=0,0,(IF(OR(E967=$AT$5,E967=$AT$6),AC967,HLOOKUP(YEAR(G967)+(MONTH(G967)/100),TC!$5:$37,DAY(G967)+2,FALSE))))</f>
        <v>19.930299999999999</v>
      </c>
      <c r="O967" s="307">
        <f t="shared" si="259"/>
        <v>46362.860374999997</v>
      </c>
      <c r="P967" s="560">
        <f>IF(G967=0,0,VLOOKUP(YEAR(G967),INPC!$B$4:$P$30,MONTH(G967)+2))</f>
        <v>123.803</v>
      </c>
      <c r="Q967" s="560">
        <f>IF(X967=0,0,IF(OR(E967=$AT$10,E967=$AT$9),VLOOKUP(YEAR(X967),INPC!$B$4:$P$30,MONTH(X967)+1),VLOOKUP(YEAR(X967),INPC!$B$4:$P$30,MONTH(X967)+2,0)))</f>
        <v>124.571</v>
      </c>
      <c r="R967" s="309">
        <f t="shared" si="260"/>
        <v>1.0062</v>
      </c>
      <c r="S967" s="310">
        <f t="shared" si="261"/>
        <v>46650.310109324993</v>
      </c>
      <c r="T967" s="555">
        <f t="shared" si="262"/>
        <v>46650.310109324993</v>
      </c>
      <c r="U967" s="311"/>
      <c r="V967" s="312">
        <v>1</v>
      </c>
      <c r="W967" s="299" t="s">
        <v>194</v>
      </c>
      <c r="X967" s="300">
        <v>44854</v>
      </c>
      <c r="Y967" s="299" t="s">
        <v>59</v>
      </c>
      <c r="Z967" s="303">
        <v>2262.6799999999998</v>
      </c>
      <c r="AA967" s="305">
        <f>IF(Z967=0,0,IF(Y967="MXN",1/HLOOKUP(YEAR(X967)+(MONTH(X967)/100),TC!$5:$37,DAY(X967)+2,FALSE),VLOOKUP(Y967,Equivalencia!$1:$23,((MAX(Equivalencia!$3:$3)-YEAR(X967))*14)+MONTH(X967)+2,FALSE)))</f>
        <v>1</v>
      </c>
      <c r="AB967" s="306">
        <f t="shared" si="263"/>
        <v>2262.6799999999998</v>
      </c>
      <c r="AC967" s="305">
        <f>+IF(X967=0,0,HLOOKUP(YEAR(X967)+(MONTH(X967)/100),TC!$5:$37,DAY(X967)+2,FALSE))</f>
        <v>20.020700000000001</v>
      </c>
      <c r="AD967" s="307">
        <f t="shared" si="264"/>
        <v>45300.437475999999</v>
      </c>
      <c r="AE967" s="314">
        <f t="shared" si="265"/>
        <v>46650.310109324993</v>
      </c>
      <c r="AF967" s="315">
        <f t="shared" si="266"/>
        <v>-1349.8726333249942</v>
      </c>
      <c r="AG967" s="316">
        <f t="shared" si="267"/>
        <v>0.17260273972602741</v>
      </c>
      <c r="AH967" s="314">
        <v>1</v>
      </c>
      <c r="AI967" s="314">
        <f t="shared" si="268"/>
        <v>-1349.8726333249942</v>
      </c>
      <c r="AJ967" s="314">
        <f t="shared" si="269"/>
        <v>0</v>
      </c>
      <c r="AK967" s="317"/>
      <c r="AL967" s="315">
        <f t="shared" si="270"/>
        <v>-63.570000000000164</v>
      </c>
      <c r="AN967" s="554">
        <f t="shared" si="271"/>
        <v>-2.7327243417517535E-2</v>
      </c>
      <c r="AO967" s="314"/>
      <c r="AP967" s="318"/>
    </row>
    <row r="968" spans="2:42">
      <c r="B968" s="296" t="s">
        <v>1266</v>
      </c>
      <c r="C968" s="299" t="s">
        <v>277</v>
      </c>
      <c r="D968" s="298" t="s">
        <v>1018</v>
      </c>
      <c r="E968" s="299" t="s">
        <v>113</v>
      </c>
      <c r="F968" s="299" t="s">
        <v>59</v>
      </c>
      <c r="G968" s="300">
        <v>44720</v>
      </c>
      <c r="H968" s="303">
        <v>5982.99</v>
      </c>
      <c r="I968" s="301" t="str">
        <f t="shared" si="255"/>
        <v>Ingresos Sección II LISR (SIC &amp; BMV)</v>
      </c>
      <c r="J968" s="302">
        <f t="shared" si="256"/>
        <v>29</v>
      </c>
      <c r="K968" s="304">
        <f t="shared" si="257"/>
        <v>206.31</v>
      </c>
      <c r="L968" s="305">
        <f>IF(H968=0,0,IF(OR(E968=$AT$5,E968=$AT$6),AA968,IF(F968="MXN",1/HLOOKUP(YEAR(G968)+(MONTH(G968)/100),TC!$5:$37,DAY(G968)+2,FALSE),VLOOKUP(F968,Equivalencia!$5:$23,((MAX(Equivalencia!$3:$3)-YEAR(G968))*14)+MONTH(G968)+2,FALSE))))</f>
        <v>1</v>
      </c>
      <c r="M968" s="306">
        <f t="shared" si="258"/>
        <v>5982.99</v>
      </c>
      <c r="N968" s="305">
        <f>IF(G968=0,0,(IF(OR(E968=$AT$5,E968=$AT$6),AC968,HLOOKUP(YEAR(G968)+(MONTH(G968)/100),TC!$5:$37,DAY(G968)+2,FALSE))))</f>
        <v>19.5547</v>
      </c>
      <c r="O968" s="307">
        <f t="shared" si="259"/>
        <v>116995.574553</v>
      </c>
      <c r="P968" s="560">
        <f>IF(G968=0,0,VLOOKUP(YEAR(G968),INPC!$B$4:$P$30,MONTH(G968)+2))</f>
        <v>122.044</v>
      </c>
      <c r="Q968" s="560">
        <f>IF(X968=0,0,IF(OR(E968=$AT$10,E968=$AT$9),VLOOKUP(YEAR(X968),INPC!$B$4:$P$30,MONTH(X968)+1),VLOOKUP(YEAR(X968),INPC!$B$4:$P$30,MONTH(X968)+2,0)))</f>
        <v>124.571</v>
      </c>
      <c r="R968" s="309">
        <f t="shared" si="260"/>
        <v>1.0206999999999999</v>
      </c>
      <c r="S968" s="310">
        <f t="shared" si="261"/>
        <v>119417.38294624709</v>
      </c>
      <c r="T968" s="555">
        <f t="shared" si="262"/>
        <v>4117.8407912498997</v>
      </c>
      <c r="U968" s="311"/>
      <c r="V968" s="312">
        <v>29</v>
      </c>
      <c r="W968" s="299" t="s">
        <v>194</v>
      </c>
      <c r="X968" s="300">
        <v>44854</v>
      </c>
      <c r="Y968" s="299" t="s">
        <v>59</v>
      </c>
      <c r="Z968" s="303">
        <v>7577.26</v>
      </c>
      <c r="AA968" s="305">
        <f>IF(Z968=0,0,IF(Y968="MXN",1/HLOOKUP(YEAR(X968)+(MONTH(X968)/100),TC!$5:$37,DAY(X968)+2,FALSE),VLOOKUP(Y968,Equivalencia!$1:$23,((MAX(Equivalencia!$3:$3)-YEAR(X968))*14)+MONTH(X968)+2,FALSE)))</f>
        <v>1</v>
      </c>
      <c r="AB968" s="306">
        <f t="shared" si="263"/>
        <v>7577.26</v>
      </c>
      <c r="AC968" s="305">
        <f>+IF(X968=0,0,HLOOKUP(YEAR(X968)+(MONTH(X968)/100),TC!$5:$37,DAY(X968)+2,FALSE))</f>
        <v>20.020700000000001</v>
      </c>
      <c r="AD968" s="307">
        <f t="shared" si="264"/>
        <v>151702.04928200002</v>
      </c>
      <c r="AE968" s="314">
        <f t="shared" si="265"/>
        <v>119417.38294624709</v>
      </c>
      <c r="AF968" s="315">
        <f t="shared" si="266"/>
        <v>32284.666335752932</v>
      </c>
      <c r="AG968" s="316">
        <f t="shared" si="267"/>
        <v>0.36712328767123287</v>
      </c>
      <c r="AH968" s="314">
        <v>1</v>
      </c>
      <c r="AI968" s="314">
        <f t="shared" si="268"/>
        <v>32284.666335752932</v>
      </c>
      <c r="AJ968" s="314">
        <f t="shared" si="269"/>
        <v>0</v>
      </c>
      <c r="AK968" s="317"/>
      <c r="AL968" s="315">
        <f t="shared" si="270"/>
        <v>1594.2700000000004</v>
      </c>
      <c r="AN968" s="554">
        <f t="shared" si="271"/>
        <v>0.26646710089771175</v>
      </c>
      <c r="AO968" s="314"/>
      <c r="AP968" s="318"/>
    </row>
    <row r="969" spans="2:42">
      <c r="B969" s="296" t="s">
        <v>1266</v>
      </c>
      <c r="C969" s="299" t="s">
        <v>277</v>
      </c>
      <c r="D969" s="298" t="s">
        <v>1005</v>
      </c>
      <c r="E969" s="299" t="s">
        <v>113</v>
      </c>
      <c r="F969" s="299" t="s">
        <v>59</v>
      </c>
      <c r="G969" s="300">
        <v>44720</v>
      </c>
      <c r="H969" s="303">
        <v>5385.8</v>
      </c>
      <c r="I969" s="301" t="str">
        <f t="shared" si="255"/>
        <v>Ingresos Sección II LISR (SIC &amp; BMV)</v>
      </c>
      <c r="J969" s="302">
        <f t="shared" si="256"/>
        <v>14</v>
      </c>
      <c r="K969" s="304">
        <f t="shared" si="257"/>
        <v>384.7</v>
      </c>
      <c r="L969" s="305">
        <f>IF(H969=0,0,IF(OR(E969=$AT$5,E969=$AT$6),AA969,IF(F969="MXN",1/HLOOKUP(YEAR(G969)+(MONTH(G969)/100),TC!$5:$37,DAY(G969)+2,FALSE),VLOOKUP(F969,Equivalencia!$5:$23,((MAX(Equivalencia!$3:$3)-YEAR(G969))*14)+MONTH(G969)+2,FALSE))))</f>
        <v>1</v>
      </c>
      <c r="M969" s="306">
        <f t="shared" si="258"/>
        <v>5385.8</v>
      </c>
      <c r="N969" s="305">
        <f>IF(G969=0,0,(IF(OR(E969=$AT$5,E969=$AT$6),AC969,HLOOKUP(YEAR(G969)+(MONTH(G969)/100),TC!$5:$37,DAY(G969)+2,FALSE))))</f>
        <v>19.5547</v>
      </c>
      <c r="O969" s="307">
        <f t="shared" si="259"/>
        <v>105317.70326000001</v>
      </c>
      <c r="P969" s="560">
        <f>IF(G969=0,0,VLOOKUP(YEAR(G969),INPC!$B$4:$P$30,MONTH(G969)+2))</f>
        <v>122.044</v>
      </c>
      <c r="Q969" s="560">
        <f>IF(X969=0,0,IF(OR(E969=$AT$10,E969=$AT$9),VLOOKUP(YEAR(X969),INPC!$B$4:$P$30,MONTH(X969)+1),VLOOKUP(YEAR(X969),INPC!$B$4:$P$30,MONTH(X969)+2,0)))</f>
        <v>124.571</v>
      </c>
      <c r="R969" s="309">
        <f t="shared" si="260"/>
        <v>1.0206999999999999</v>
      </c>
      <c r="S969" s="310">
        <f t="shared" si="261"/>
        <v>107497.779717482</v>
      </c>
      <c r="T969" s="555">
        <f t="shared" si="262"/>
        <v>7678.4128369629998</v>
      </c>
      <c r="U969" s="311"/>
      <c r="V969" s="312">
        <v>14</v>
      </c>
      <c r="W969" s="299" t="s">
        <v>194</v>
      </c>
      <c r="X969" s="300">
        <v>44854</v>
      </c>
      <c r="Y969" s="299" t="s">
        <v>59</v>
      </c>
      <c r="Z969" s="303">
        <v>4487.05</v>
      </c>
      <c r="AA969" s="305">
        <f>IF(Z969=0,0,IF(Y969="MXN",1/HLOOKUP(YEAR(X969)+(MONTH(X969)/100),TC!$5:$37,DAY(X969)+2,FALSE),VLOOKUP(Y969,Equivalencia!$1:$23,((MAX(Equivalencia!$3:$3)-YEAR(X969))*14)+MONTH(X969)+2,FALSE)))</f>
        <v>1</v>
      </c>
      <c r="AB969" s="306">
        <f t="shared" si="263"/>
        <v>4487.05</v>
      </c>
      <c r="AC969" s="305">
        <f>+IF(X969=0,0,HLOOKUP(YEAR(X969)+(MONTH(X969)/100),TC!$5:$37,DAY(X969)+2,FALSE))</f>
        <v>20.020700000000001</v>
      </c>
      <c r="AD969" s="307">
        <f t="shared" si="264"/>
        <v>89833.881935000012</v>
      </c>
      <c r="AE969" s="314">
        <f t="shared" si="265"/>
        <v>107497.779717482</v>
      </c>
      <c r="AF969" s="315">
        <f t="shared" si="266"/>
        <v>-17663.897782481989</v>
      </c>
      <c r="AG969" s="316">
        <f t="shared" si="267"/>
        <v>0.36712328767123287</v>
      </c>
      <c r="AH969" s="314">
        <v>1</v>
      </c>
      <c r="AI969" s="314">
        <f t="shared" si="268"/>
        <v>-17663.897782481989</v>
      </c>
      <c r="AJ969" s="314">
        <f t="shared" si="269"/>
        <v>0</v>
      </c>
      <c r="AK969" s="317"/>
      <c r="AL969" s="315">
        <f t="shared" si="270"/>
        <v>-898.75</v>
      </c>
      <c r="AN969" s="554">
        <f t="shared" si="271"/>
        <v>-0.16687400200527311</v>
      </c>
      <c r="AO969" s="314"/>
      <c r="AP969" s="318"/>
    </row>
    <row r="970" spans="2:42">
      <c r="B970" s="296" t="s">
        <v>1266</v>
      </c>
      <c r="C970" s="299" t="s">
        <v>277</v>
      </c>
      <c r="D970" s="298" t="s">
        <v>1005</v>
      </c>
      <c r="E970" s="299" t="s">
        <v>113</v>
      </c>
      <c r="F970" s="299" t="s">
        <v>59</v>
      </c>
      <c r="G970" s="300">
        <v>44791</v>
      </c>
      <c r="H970" s="303">
        <v>1667.75</v>
      </c>
      <c r="I970" s="301" t="str">
        <f t="shared" si="255"/>
        <v>Ingresos Sección II LISR (SIC &amp; BMV)</v>
      </c>
      <c r="J970" s="302">
        <f t="shared" si="256"/>
        <v>4</v>
      </c>
      <c r="K970" s="304">
        <f t="shared" si="257"/>
        <v>416.9375</v>
      </c>
      <c r="L970" s="305">
        <f>IF(H970=0,0,IF(OR(E970=$AT$5,E970=$AT$6),AA970,IF(F970="MXN",1/HLOOKUP(YEAR(G970)+(MONTH(G970)/100),TC!$5:$37,DAY(G970)+2,FALSE),VLOOKUP(F970,Equivalencia!$5:$23,((MAX(Equivalencia!$3:$3)-YEAR(G970))*14)+MONTH(G970)+2,FALSE))))</f>
        <v>1</v>
      </c>
      <c r="M970" s="306">
        <f t="shared" si="258"/>
        <v>1667.75</v>
      </c>
      <c r="N970" s="305">
        <f>IF(G970=0,0,(IF(OR(E970=$AT$5,E970=$AT$6),AC970,HLOOKUP(YEAR(G970)+(MONTH(G970)/100),TC!$5:$37,DAY(G970)+2,FALSE))))</f>
        <v>19.930299999999999</v>
      </c>
      <c r="O970" s="307">
        <f t="shared" si="259"/>
        <v>33238.757825000001</v>
      </c>
      <c r="P970" s="560">
        <f>IF(G970=0,0,VLOOKUP(YEAR(G970),INPC!$B$4:$P$30,MONTH(G970)+2))</f>
        <v>123.803</v>
      </c>
      <c r="Q970" s="560">
        <f>IF(X970=0,0,IF(OR(E970=$AT$10,E970=$AT$9),VLOOKUP(YEAR(X970),INPC!$B$4:$P$30,MONTH(X970)+1),VLOOKUP(YEAR(X970),INPC!$B$4:$P$30,MONTH(X970)+2,0)))</f>
        <v>124.571</v>
      </c>
      <c r="R970" s="309">
        <f t="shared" si="260"/>
        <v>1.0062</v>
      </c>
      <c r="S970" s="310">
        <f t="shared" si="261"/>
        <v>33444.838123515001</v>
      </c>
      <c r="T970" s="555">
        <f t="shared" si="262"/>
        <v>8361.2095308787502</v>
      </c>
      <c r="U970" s="311"/>
      <c r="V970" s="312">
        <v>4</v>
      </c>
      <c r="W970" s="299" t="s">
        <v>194</v>
      </c>
      <c r="X970" s="300">
        <v>44854</v>
      </c>
      <c r="Y970" s="299" t="s">
        <v>59</v>
      </c>
      <c r="Z970" s="303">
        <v>1282.01</v>
      </c>
      <c r="AA970" s="305">
        <f>IF(Z970=0,0,IF(Y970="MXN",1/HLOOKUP(YEAR(X970)+(MONTH(X970)/100),TC!$5:$37,DAY(X970)+2,FALSE),VLOOKUP(Y970,Equivalencia!$1:$23,((MAX(Equivalencia!$3:$3)-YEAR(X970))*14)+MONTH(X970)+2,FALSE)))</f>
        <v>1</v>
      </c>
      <c r="AB970" s="306">
        <f t="shared" si="263"/>
        <v>1282.01</v>
      </c>
      <c r="AC970" s="305">
        <f>+IF(X970=0,0,HLOOKUP(YEAR(X970)+(MONTH(X970)/100),TC!$5:$37,DAY(X970)+2,FALSE))</f>
        <v>20.020700000000001</v>
      </c>
      <c r="AD970" s="307">
        <f t="shared" si="264"/>
        <v>25666.737607000003</v>
      </c>
      <c r="AE970" s="314">
        <f t="shared" si="265"/>
        <v>33444.838123515001</v>
      </c>
      <c r="AF970" s="315">
        <f t="shared" si="266"/>
        <v>-7778.1005165149982</v>
      </c>
      <c r="AG970" s="316">
        <f t="shared" si="267"/>
        <v>0.17260273972602741</v>
      </c>
      <c r="AH970" s="314">
        <v>1</v>
      </c>
      <c r="AI970" s="314">
        <f t="shared" si="268"/>
        <v>-7778.1005165149982</v>
      </c>
      <c r="AJ970" s="314">
        <f t="shared" si="269"/>
        <v>0</v>
      </c>
      <c r="AK970" s="317"/>
      <c r="AL970" s="315">
        <f t="shared" si="270"/>
        <v>-385.74</v>
      </c>
      <c r="AN970" s="554">
        <f t="shared" si="271"/>
        <v>-0.23129365912157099</v>
      </c>
      <c r="AO970" s="314"/>
      <c r="AP970" s="318"/>
    </row>
    <row r="971" spans="2:42">
      <c r="B971" s="296" t="s">
        <v>1266</v>
      </c>
      <c r="C971" s="299" t="s">
        <v>277</v>
      </c>
      <c r="D971" s="298" t="s">
        <v>1019</v>
      </c>
      <c r="E971" s="299" t="s">
        <v>106</v>
      </c>
      <c r="F971" s="299" t="s">
        <v>59</v>
      </c>
      <c r="G971" s="300">
        <v>44720</v>
      </c>
      <c r="H971" s="303">
        <v>1570.08</v>
      </c>
      <c r="I971" s="301" t="str">
        <f t="shared" si="255"/>
        <v>Ingresos Sección I LISR</v>
      </c>
      <c r="J971" s="302">
        <f t="shared" si="256"/>
        <v>6</v>
      </c>
      <c r="K971" s="304">
        <f t="shared" si="257"/>
        <v>261.68</v>
      </c>
      <c r="L971" s="305">
        <f>IF(H971=0,0,IF(OR(E971=$AT$5,E971=$AT$6),AA971,IF(F971="MXN",1/HLOOKUP(YEAR(G971)+(MONTH(G971)/100),TC!$5:$37,DAY(G971)+2,FALSE),VLOOKUP(F971,Equivalencia!$5:$23,((MAX(Equivalencia!$3:$3)-YEAR(G971))*14)+MONTH(G971)+2,FALSE))))</f>
        <v>1</v>
      </c>
      <c r="M971" s="306">
        <f t="shared" si="258"/>
        <v>1570.08</v>
      </c>
      <c r="N971" s="305">
        <f>IF(G971=0,0,(IF(OR(E971=$AT$5,E971=$AT$6),AC971,HLOOKUP(YEAR(G971)+(MONTH(G971)/100),TC!$5:$37,DAY(G971)+2,FALSE))))</f>
        <v>19.5547</v>
      </c>
      <c r="O971" s="307">
        <f t="shared" si="259"/>
        <v>30702.443375999999</v>
      </c>
      <c r="P971" s="560">
        <f>IF(G971=0,0,VLOOKUP(YEAR(G971),INPC!$B$4:$P$30,MONTH(G971)+2))</f>
        <v>122.044</v>
      </c>
      <c r="Q971" s="560">
        <f>IF(X971=0,0,IF(OR(E971=$AT$10,E971=$AT$9),VLOOKUP(YEAR(X971),INPC!$B$4:$P$30,MONTH(X971)+1),VLOOKUP(YEAR(X971),INPC!$B$4:$P$30,MONTH(X971)+2,0)))</f>
        <v>125.276</v>
      </c>
      <c r="R971" s="309">
        <f t="shared" si="260"/>
        <v>1.0264</v>
      </c>
      <c r="S971" s="310">
        <f t="shared" si="261"/>
        <v>31512.987881126399</v>
      </c>
      <c r="T971" s="555">
        <f t="shared" si="262"/>
        <v>5252.1646468543995</v>
      </c>
      <c r="U971" s="311"/>
      <c r="V971" s="312">
        <v>6</v>
      </c>
      <c r="W971" s="299" t="s">
        <v>194</v>
      </c>
      <c r="X971" s="300">
        <v>44854</v>
      </c>
      <c r="Y971" s="299" t="s">
        <v>59</v>
      </c>
      <c r="Z971" s="303">
        <v>1684.73</v>
      </c>
      <c r="AA971" s="305">
        <f>IF(Z971=0,0,IF(Y971="MXN",1/HLOOKUP(YEAR(X971)+(MONTH(X971)/100),TC!$5:$37,DAY(X971)+2,FALSE),VLOOKUP(Y971,Equivalencia!$1:$23,((MAX(Equivalencia!$3:$3)-YEAR(X971))*14)+MONTH(X971)+2,FALSE)))</f>
        <v>1</v>
      </c>
      <c r="AB971" s="306">
        <f t="shared" si="263"/>
        <v>1684.73</v>
      </c>
      <c r="AC971" s="305">
        <f>+IF(X971=0,0,HLOOKUP(YEAR(X971)+(MONTH(X971)/100),TC!$5:$37,DAY(X971)+2,FALSE))</f>
        <v>20.020700000000001</v>
      </c>
      <c r="AD971" s="307">
        <f t="shared" si="264"/>
        <v>33729.473911000001</v>
      </c>
      <c r="AE971" s="314">
        <f t="shared" si="265"/>
        <v>31512.987881126399</v>
      </c>
      <c r="AF971" s="315">
        <f t="shared" si="266"/>
        <v>2216.4860298736021</v>
      </c>
      <c r="AG971" s="316">
        <f t="shared" si="267"/>
        <v>0.36712328767123287</v>
      </c>
      <c r="AH971" s="314">
        <v>1</v>
      </c>
      <c r="AI971" s="314">
        <f t="shared" si="268"/>
        <v>2216.4860298736021</v>
      </c>
      <c r="AJ971" s="314">
        <f t="shared" si="269"/>
        <v>0</v>
      </c>
      <c r="AK971" s="317"/>
      <c r="AL971" s="315">
        <f t="shared" si="270"/>
        <v>114.65000000000009</v>
      </c>
      <c r="AN971" s="554">
        <f t="shared" si="271"/>
        <v>7.3021756853154041E-2</v>
      </c>
      <c r="AO971" s="314"/>
      <c r="AP971" s="318"/>
    </row>
    <row r="972" spans="2:42">
      <c r="B972" s="296" t="s">
        <v>1266</v>
      </c>
      <c r="C972" s="299" t="s">
        <v>277</v>
      </c>
      <c r="D972" s="298" t="s">
        <v>1019</v>
      </c>
      <c r="E972" s="299" t="s">
        <v>106</v>
      </c>
      <c r="F972" s="299" t="s">
        <v>59</v>
      </c>
      <c r="G972" s="300">
        <v>44791</v>
      </c>
      <c r="H972" s="303">
        <v>5035.68</v>
      </c>
      <c r="I972" s="301" t="str">
        <f t="shared" si="255"/>
        <v>Ingresos Sección I LISR</v>
      </c>
      <c r="J972" s="302">
        <f t="shared" si="256"/>
        <v>16</v>
      </c>
      <c r="K972" s="304">
        <f t="shared" si="257"/>
        <v>314.73</v>
      </c>
      <c r="L972" s="305">
        <f>IF(H972=0,0,IF(OR(E972=$AT$5,E972=$AT$6),AA972,IF(F972="MXN",1/HLOOKUP(YEAR(G972)+(MONTH(G972)/100),TC!$5:$37,DAY(G972)+2,FALSE),VLOOKUP(F972,Equivalencia!$5:$23,((MAX(Equivalencia!$3:$3)-YEAR(G972))*14)+MONTH(G972)+2,FALSE))))</f>
        <v>1</v>
      </c>
      <c r="M972" s="306">
        <f t="shared" si="258"/>
        <v>5035.68</v>
      </c>
      <c r="N972" s="305">
        <f>IF(G972=0,0,(IF(OR(E972=$AT$5,E972=$AT$6),AC972,HLOOKUP(YEAR(G972)+(MONTH(G972)/100),TC!$5:$37,DAY(G972)+2,FALSE))))</f>
        <v>19.930299999999999</v>
      </c>
      <c r="O972" s="307">
        <f t="shared" si="259"/>
        <v>100362.613104</v>
      </c>
      <c r="P972" s="560">
        <f>IF(G972=0,0,VLOOKUP(YEAR(G972),INPC!$B$4:$P$30,MONTH(G972)+2))</f>
        <v>123.803</v>
      </c>
      <c r="Q972" s="560">
        <f>IF(X972=0,0,IF(OR(E972=$AT$10,E972=$AT$9),VLOOKUP(YEAR(X972),INPC!$B$4:$P$30,MONTH(X972)+1),VLOOKUP(YEAR(X972),INPC!$B$4:$P$30,MONTH(X972)+2,0)))</f>
        <v>125.276</v>
      </c>
      <c r="R972" s="309">
        <f t="shared" si="260"/>
        <v>1.0118</v>
      </c>
      <c r="S972" s="310">
        <f t="shared" si="261"/>
        <v>101546.8919386272</v>
      </c>
      <c r="T972" s="555">
        <f t="shared" si="262"/>
        <v>6346.6807461642002</v>
      </c>
      <c r="U972" s="311"/>
      <c r="V972" s="312">
        <v>16</v>
      </c>
      <c r="W972" s="299" t="s">
        <v>194</v>
      </c>
      <c r="X972" s="300">
        <v>44854</v>
      </c>
      <c r="Y972" s="299" t="s">
        <v>59</v>
      </c>
      <c r="Z972" s="303">
        <v>4492.62</v>
      </c>
      <c r="AA972" s="305">
        <f>IF(Z972=0,0,IF(Y972="MXN",1/HLOOKUP(YEAR(X972)+(MONTH(X972)/100),TC!$5:$37,DAY(X972)+2,FALSE),VLOOKUP(Y972,Equivalencia!$1:$23,((MAX(Equivalencia!$3:$3)-YEAR(X972))*14)+MONTH(X972)+2,FALSE)))</f>
        <v>1</v>
      </c>
      <c r="AB972" s="306">
        <f t="shared" si="263"/>
        <v>4492.62</v>
      </c>
      <c r="AC972" s="305">
        <f>+IF(X972=0,0,HLOOKUP(YEAR(X972)+(MONTH(X972)/100),TC!$5:$37,DAY(X972)+2,FALSE))</f>
        <v>20.020700000000001</v>
      </c>
      <c r="AD972" s="307">
        <f t="shared" si="264"/>
        <v>89945.397234000004</v>
      </c>
      <c r="AE972" s="314">
        <f t="shared" si="265"/>
        <v>101546.8919386272</v>
      </c>
      <c r="AF972" s="315">
        <f t="shared" si="266"/>
        <v>-11601.494704627199</v>
      </c>
      <c r="AG972" s="316">
        <f t="shared" si="267"/>
        <v>0.17260273972602741</v>
      </c>
      <c r="AH972" s="314">
        <v>1</v>
      </c>
      <c r="AI972" s="314">
        <f t="shared" si="268"/>
        <v>-11601.494704627199</v>
      </c>
      <c r="AJ972" s="314">
        <f t="shared" si="269"/>
        <v>0</v>
      </c>
      <c r="AK972" s="317"/>
      <c r="AL972" s="315">
        <f t="shared" si="270"/>
        <v>-543.0600000000004</v>
      </c>
      <c r="AN972" s="554">
        <f t="shared" si="271"/>
        <v>-0.10784243637403496</v>
      </c>
      <c r="AO972" s="314"/>
      <c r="AP972" s="318"/>
    </row>
    <row r="973" spans="2:42">
      <c r="B973" s="296" t="s">
        <v>1266</v>
      </c>
      <c r="C973" s="299" t="s">
        <v>277</v>
      </c>
      <c r="D973" s="298" t="s">
        <v>1011</v>
      </c>
      <c r="E973" s="299" t="s">
        <v>113</v>
      </c>
      <c r="F973" s="299" t="s">
        <v>59</v>
      </c>
      <c r="G973" s="300">
        <v>44720</v>
      </c>
      <c r="H973" s="303">
        <v>2697.29</v>
      </c>
      <c r="I973" s="301" t="str">
        <f t="shared" si="255"/>
        <v>Ingresos Sección II LISR (SIC &amp; BMV)</v>
      </c>
      <c r="J973" s="302">
        <f t="shared" si="256"/>
        <v>71</v>
      </c>
      <c r="K973" s="304">
        <f t="shared" si="257"/>
        <v>37.99</v>
      </c>
      <c r="L973" s="305">
        <f>IF(H973=0,0,IF(OR(E973=$AT$5,E973=$AT$6),AA973,IF(F973="MXN",1/HLOOKUP(YEAR(G973)+(MONTH(G973)/100),TC!$5:$37,DAY(G973)+2,FALSE),VLOOKUP(F973,Equivalencia!$5:$23,((MAX(Equivalencia!$3:$3)-YEAR(G973))*14)+MONTH(G973)+2,FALSE))))</f>
        <v>1</v>
      </c>
      <c r="M973" s="306">
        <f t="shared" si="258"/>
        <v>2697.29</v>
      </c>
      <c r="N973" s="305">
        <f>IF(G973=0,0,(IF(OR(E973=$AT$5,E973=$AT$6),AC973,HLOOKUP(YEAR(G973)+(MONTH(G973)/100),TC!$5:$37,DAY(G973)+2,FALSE))))</f>
        <v>19.5547</v>
      </c>
      <c r="O973" s="307">
        <f t="shared" si="259"/>
        <v>52744.696763</v>
      </c>
      <c r="P973" s="560">
        <f>IF(G973=0,0,VLOOKUP(YEAR(G973),INPC!$B$4:$P$30,MONTH(G973)+2))</f>
        <v>122.044</v>
      </c>
      <c r="Q973" s="560">
        <f>IF(X973=0,0,IF(OR(E973=$AT$10,E973=$AT$9),VLOOKUP(YEAR(X973),INPC!$B$4:$P$30,MONTH(X973)+1),VLOOKUP(YEAR(X973),INPC!$B$4:$P$30,MONTH(X973)+2,0)))</f>
        <v>124.571</v>
      </c>
      <c r="R973" s="309">
        <f t="shared" si="260"/>
        <v>1.0206999999999999</v>
      </c>
      <c r="S973" s="310">
        <f t="shared" si="261"/>
        <v>53836.511985994097</v>
      </c>
      <c r="T973" s="555">
        <f t="shared" si="262"/>
        <v>758.26073219709997</v>
      </c>
      <c r="U973" s="311"/>
      <c r="V973" s="312">
        <v>71</v>
      </c>
      <c r="W973" s="299" t="s">
        <v>194</v>
      </c>
      <c r="X973" s="300">
        <v>44854</v>
      </c>
      <c r="Y973" s="299" t="s">
        <v>59</v>
      </c>
      <c r="Z973" s="303">
        <v>1817.72</v>
      </c>
      <c r="AA973" s="305">
        <f>IF(Z973=0,0,IF(Y973="MXN",1/HLOOKUP(YEAR(X973)+(MONTH(X973)/100),TC!$5:$37,DAY(X973)+2,FALSE),VLOOKUP(Y973,Equivalencia!$1:$23,((MAX(Equivalencia!$3:$3)-YEAR(X973))*14)+MONTH(X973)+2,FALSE)))</f>
        <v>1</v>
      </c>
      <c r="AB973" s="306">
        <f t="shared" si="263"/>
        <v>1817.72</v>
      </c>
      <c r="AC973" s="305">
        <f>+IF(X973=0,0,HLOOKUP(YEAR(X973)+(MONTH(X973)/100),TC!$5:$37,DAY(X973)+2,FALSE))</f>
        <v>20.020700000000001</v>
      </c>
      <c r="AD973" s="307">
        <f t="shared" si="264"/>
        <v>36392.026804000001</v>
      </c>
      <c r="AE973" s="314">
        <f t="shared" si="265"/>
        <v>53836.511985994097</v>
      </c>
      <c r="AF973" s="315">
        <f t="shared" si="266"/>
        <v>-17444.485181994096</v>
      </c>
      <c r="AG973" s="316">
        <f t="shared" si="267"/>
        <v>0.36712328767123287</v>
      </c>
      <c r="AH973" s="314">
        <v>1</v>
      </c>
      <c r="AI973" s="314">
        <f t="shared" si="268"/>
        <v>-17444.485181994096</v>
      </c>
      <c r="AJ973" s="314">
        <f t="shared" si="269"/>
        <v>0</v>
      </c>
      <c r="AK973" s="317"/>
      <c r="AL973" s="315">
        <f t="shared" si="270"/>
        <v>-879.56999999999994</v>
      </c>
      <c r="AN973" s="554">
        <f t="shared" si="271"/>
        <v>-0.32609396839049565</v>
      </c>
      <c r="AO973" s="314"/>
      <c r="AP973" s="318"/>
    </row>
    <row r="974" spans="2:42">
      <c r="B974" s="296" t="s">
        <v>1266</v>
      </c>
      <c r="C974" s="299" t="s">
        <v>277</v>
      </c>
      <c r="D974" s="298" t="s">
        <v>758</v>
      </c>
      <c r="E974" s="299" t="s">
        <v>113</v>
      </c>
      <c r="F974" s="299" t="s">
        <v>59</v>
      </c>
      <c r="G974" s="300">
        <v>44720</v>
      </c>
      <c r="H974" s="303">
        <v>6507.7</v>
      </c>
      <c r="I974" s="301" t="str">
        <f t="shared" si="255"/>
        <v>Ingresos Sección II LISR (SIC &amp; BMV)</v>
      </c>
      <c r="J974" s="302">
        <f t="shared" si="256"/>
        <v>158</v>
      </c>
      <c r="K974" s="304">
        <f t="shared" si="257"/>
        <v>41.187974683544304</v>
      </c>
      <c r="L974" s="305">
        <f>IF(H974=0,0,IF(OR(E974=$AT$5,E974=$AT$6),AA974,IF(F974="MXN",1/HLOOKUP(YEAR(G974)+(MONTH(G974)/100),TC!$5:$37,DAY(G974)+2,FALSE),VLOOKUP(F974,Equivalencia!$5:$23,((MAX(Equivalencia!$3:$3)-YEAR(G974))*14)+MONTH(G974)+2,FALSE))))</f>
        <v>1</v>
      </c>
      <c r="M974" s="306">
        <f t="shared" si="258"/>
        <v>6507.7</v>
      </c>
      <c r="N974" s="305">
        <f>IF(G974=0,0,(IF(OR(E974=$AT$5,E974=$AT$6),AC974,HLOOKUP(YEAR(G974)+(MONTH(G974)/100),TC!$5:$37,DAY(G974)+2,FALSE))))</f>
        <v>19.5547</v>
      </c>
      <c r="O974" s="307">
        <f t="shared" si="259"/>
        <v>127256.12119000001</v>
      </c>
      <c r="P974" s="560">
        <f>IF(G974=0,0,VLOOKUP(YEAR(G974),INPC!$B$4:$P$30,MONTH(G974)+2))</f>
        <v>122.044</v>
      </c>
      <c r="Q974" s="560">
        <f>IF(X974=0,0,IF(OR(E974=$AT$10,E974=$AT$9),VLOOKUP(YEAR(X974),INPC!$B$4:$P$30,MONTH(X974)+1),VLOOKUP(YEAR(X974),INPC!$B$4:$P$30,MONTH(X974)+2,0)))</f>
        <v>124.571</v>
      </c>
      <c r="R974" s="309">
        <f t="shared" si="260"/>
        <v>1.0206999999999999</v>
      </c>
      <c r="S974" s="310">
        <f t="shared" si="261"/>
        <v>129890.32289863299</v>
      </c>
      <c r="T974" s="555">
        <f t="shared" si="262"/>
        <v>822.09065125717086</v>
      </c>
      <c r="U974" s="311"/>
      <c r="V974" s="312">
        <v>158</v>
      </c>
      <c r="W974" s="299" t="s">
        <v>194</v>
      </c>
      <c r="X974" s="300">
        <v>44854</v>
      </c>
      <c r="Y974" s="299" t="s">
        <v>59</v>
      </c>
      <c r="Z974" s="303">
        <v>4140.63</v>
      </c>
      <c r="AA974" s="305">
        <f>IF(Z974=0,0,IF(Y974="MXN",1/HLOOKUP(YEAR(X974)+(MONTH(X974)/100),TC!$5:$37,DAY(X974)+2,FALSE),VLOOKUP(Y974,Equivalencia!$1:$23,((MAX(Equivalencia!$3:$3)-YEAR(X974))*14)+MONTH(X974)+2,FALSE)))</f>
        <v>1</v>
      </c>
      <c r="AB974" s="306">
        <f t="shared" si="263"/>
        <v>4140.63</v>
      </c>
      <c r="AC974" s="305">
        <f>+IF(X974=0,0,HLOOKUP(YEAR(X974)+(MONTH(X974)/100),TC!$5:$37,DAY(X974)+2,FALSE))</f>
        <v>20.020700000000001</v>
      </c>
      <c r="AD974" s="307">
        <f t="shared" si="264"/>
        <v>82898.311041000008</v>
      </c>
      <c r="AE974" s="314">
        <f t="shared" si="265"/>
        <v>129890.32289863299</v>
      </c>
      <c r="AF974" s="315">
        <f t="shared" si="266"/>
        <v>-46992.011857632984</v>
      </c>
      <c r="AG974" s="316">
        <f t="shared" si="267"/>
        <v>0.36712328767123287</v>
      </c>
      <c r="AH974" s="314">
        <v>1</v>
      </c>
      <c r="AI974" s="314">
        <f t="shared" si="268"/>
        <v>-46992.011857632984</v>
      </c>
      <c r="AJ974" s="314">
        <f t="shared" si="269"/>
        <v>0</v>
      </c>
      <c r="AK974" s="317"/>
      <c r="AL974" s="315">
        <f t="shared" si="270"/>
        <v>-2367.0699999999997</v>
      </c>
      <c r="AN974" s="554">
        <f t="shared" si="271"/>
        <v>-0.36373373081119287</v>
      </c>
      <c r="AO974" s="314"/>
      <c r="AP974" s="318"/>
    </row>
    <row r="975" spans="2:42">
      <c r="B975" s="296" t="s">
        <v>1266</v>
      </c>
      <c r="C975" s="299" t="s">
        <v>277</v>
      </c>
      <c r="D975" s="298" t="s">
        <v>1014</v>
      </c>
      <c r="E975" s="299" t="s">
        <v>113</v>
      </c>
      <c r="F975" s="299" t="s">
        <v>59</v>
      </c>
      <c r="G975" s="300">
        <v>44720</v>
      </c>
      <c r="H975" s="303">
        <v>7660.8</v>
      </c>
      <c r="I975" s="301" t="str">
        <f t="shared" si="255"/>
        <v>Ingresos Sección II LISR (SIC &amp; BMV)</v>
      </c>
      <c r="J975" s="302">
        <f t="shared" si="256"/>
        <v>140</v>
      </c>
      <c r="K975" s="304">
        <f t="shared" si="257"/>
        <v>54.72</v>
      </c>
      <c r="L975" s="305">
        <f>IF(H975=0,0,IF(OR(E975=$AT$5,E975=$AT$6),AA975,IF(F975="MXN",1/HLOOKUP(YEAR(G975)+(MONTH(G975)/100),TC!$5:$37,DAY(G975)+2,FALSE),VLOOKUP(F975,Equivalencia!$5:$23,((MAX(Equivalencia!$3:$3)-YEAR(G975))*14)+MONTH(G975)+2,FALSE))))</f>
        <v>1</v>
      </c>
      <c r="M975" s="306">
        <f t="shared" si="258"/>
        <v>7660.8</v>
      </c>
      <c r="N975" s="305">
        <f>IF(G975=0,0,(IF(OR(E975=$AT$5,E975=$AT$6),AC975,HLOOKUP(YEAR(G975)+(MONTH(G975)/100),TC!$5:$37,DAY(G975)+2,FALSE))))</f>
        <v>19.5547</v>
      </c>
      <c r="O975" s="307">
        <f t="shared" si="259"/>
        <v>149804.64576000001</v>
      </c>
      <c r="P975" s="560">
        <f>IF(G975=0,0,VLOOKUP(YEAR(G975),INPC!$B$4:$P$30,MONTH(G975)+2))</f>
        <v>122.044</v>
      </c>
      <c r="Q975" s="560">
        <f>IF(X975=0,0,IF(OR(E975=$AT$10,E975=$AT$9),VLOOKUP(YEAR(X975),INPC!$B$4:$P$30,MONTH(X975)+1),VLOOKUP(YEAR(X975),INPC!$B$4:$P$30,MONTH(X975)+2,0)))</f>
        <v>124.571</v>
      </c>
      <c r="R975" s="309">
        <f t="shared" si="260"/>
        <v>1.0206999999999999</v>
      </c>
      <c r="S975" s="310">
        <f t="shared" si="261"/>
        <v>152905.601927232</v>
      </c>
      <c r="T975" s="555">
        <f t="shared" si="262"/>
        <v>1092.1828709087999</v>
      </c>
      <c r="U975" s="311"/>
      <c r="V975" s="312">
        <v>140</v>
      </c>
      <c r="W975" s="299" t="s">
        <v>194</v>
      </c>
      <c r="X975" s="300">
        <v>44854</v>
      </c>
      <c r="Y975" s="299" t="s">
        <v>59</v>
      </c>
      <c r="Z975" s="303">
        <v>7147.46</v>
      </c>
      <c r="AA975" s="305">
        <f>IF(Z975=0,0,IF(Y975="MXN",1/HLOOKUP(YEAR(X975)+(MONTH(X975)/100),TC!$5:$37,DAY(X975)+2,FALSE),VLOOKUP(Y975,Equivalencia!$1:$23,((MAX(Equivalencia!$3:$3)-YEAR(X975))*14)+MONTH(X975)+2,FALSE)))</f>
        <v>1</v>
      </c>
      <c r="AB975" s="306">
        <f t="shared" si="263"/>
        <v>7147.46</v>
      </c>
      <c r="AC975" s="305">
        <f>+IF(X975=0,0,HLOOKUP(YEAR(X975)+(MONTH(X975)/100),TC!$5:$37,DAY(X975)+2,FALSE))</f>
        <v>20.020700000000001</v>
      </c>
      <c r="AD975" s="307">
        <f t="shared" si="264"/>
        <v>143097.15242200001</v>
      </c>
      <c r="AE975" s="314">
        <f t="shared" si="265"/>
        <v>152905.601927232</v>
      </c>
      <c r="AF975" s="315">
        <f t="shared" si="266"/>
        <v>-9808.4495052319835</v>
      </c>
      <c r="AG975" s="316">
        <f t="shared" si="267"/>
        <v>0.36712328767123287</v>
      </c>
      <c r="AH975" s="314">
        <v>1</v>
      </c>
      <c r="AI975" s="314">
        <f t="shared" si="268"/>
        <v>-9808.4495052319835</v>
      </c>
      <c r="AJ975" s="314">
        <f t="shared" si="269"/>
        <v>0</v>
      </c>
      <c r="AK975" s="317"/>
      <c r="AL975" s="315">
        <f t="shared" si="270"/>
        <v>-513.34000000000015</v>
      </c>
      <c r="AN975" s="554">
        <f t="shared" si="271"/>
        <v>-6.7008667502088573E-2</v>
      </c>
      <c r="AO975" s="314"/>
      <c r="AP975" s="318"/>
    </row>
    <row r="976" spans="2:42">
      <c r="B976" s="296" t="s">
        <v>1266</v>
      </c>
      <c r="C976" s="299" t="s">
        <v>277</v>
      </c>
      <c r="D976" s="298" t="s">
        <v>942</v>
      </c>
      <c r="E976" s="299" t="s">
        <v>113</v>
      </c>
      <c r="F976" s="299" t="s">
        <v>59</v>
      </c>
      <c r="G976" s="300">
        <v>44720</v>
      </c>
      <c r="H976" s="303">
        <v>3074.84</v>
      </c>
      <c r="I976" s="301" t="str">
        <f t="shared" si="255"/>
        <v>Ingresos Sección II LISR (SIC &amp; BMV)</v>
      </c>
      <c r="J976" s="302">
        <f t="shared" si="256"/>
        <v>60</v>
      </c>
      <c r="K976" s="304">
        <f t="shared" si="257"/>
        <v>51.247333333333337</v>
      </c>
      <c r="L976" s="305">
        <f>IF(H976=0,0,IF(OR(E976=$AT$5,E976=$AT$6),AA976,IF(F976="MXN",1/HLOOKUP(YEAR(G976)+(MONTH(G976)/100),TC!$5:$37,DAY(G976)+2,FALSE),VLOOKUP(F976,Equivalencia!$5:$23,((MAX(Equivalencia!$3:$3)-YEAR(G976))*14)+MONTH(G976)+2,FALSE))))</f>
        <v>1</v>
      </c>
      <c r="M976" s="306">
        <f t="shared" si="258"/>
        <v>3074.84</v>
      </c>
      <c r="N976" s="305">
        <f>IF(G976=0,0,(IF(OR(E976=$AT$5,E976=$AT$6),AC976,HLOOKUP(YEAR(G976)+(MONTH(G976)/100),TC!$5:$37,DAY(G976)+2,FALSE))))</f>
        <v>19.5547</v>
      </c>
      <c r="O976" s="307">
        <f t="shared" si="259"/>
        <v>60127.573748000003</v>
      </c>
      <c r="P976" s="560">
        <f>IF(G976=0,0,VLOOKUP(YEAR(G976),INPC!$B$4:$P$30,MONTH(G976)+2))</f>
        <v>122.044</v>
      </c>
      <c r="Q976" s="560">
        <f>IF(X976=0,0,IF(OR(E976=$AT$10,E976=$AT$9),VLOOKUP(YEAR(X976),INPC!$B$4:$P$30,MONTH(X976)+1),VLOOKUP(YEAR(X976),INPC!$B$4:$P$30,MONTH(X976)+2,0)))</f>
        <v>124.571</v>
      </c>
      <c r="R976" s="309">
        <f t="shared" si="260"/>
        <v>1.0206999999999999</v>
      </c>
      <c r="S976" s="310">
        <f t="shared" si="261"/>
        <v>61372.2145245836</v>
      </c>
      <c r="T976" s="555">
        <f t="shared" si="262"/>
        <v>1022.8702420763933</v>
      </c>
      <c r="U976" s="311"/>
      <c r="V976" s="312">
        <v>60</v>
      </c>
      <c r="W976" s="299" t="s">
        <v>194</v>
      </c>
      <c r="X976" s="300">
        <v>44854</v>
      </c>
      <c r="Y976" s="299" t="s">
        <v>59</v>
      </c>
      <c r="Z976" s="303">
        <v>2533.42</v>
      </c>
      <c r="AA976" s="305">
        <f>IF(Z976=0,0,IF(Y976="MXN",1/HLOOKUP(YEAR(X976)+(MONTH(X976)/100),TC!$5:$37,DAY(X976)+2,FALSE),VLOOKUP(Y976,Equivalencia!$1:$23,((MAX(Equivalencia!$3:$3)-YEAR(X976))*14)+MONTH(X976)+2,FALSE)))</f>
        <v>1</v>
      </c>
      <c r="AB976" s="306">
        <f t="shared" si="263"/>
        <v>2533.42</v>
      </c>
      <c r="AC976" s="305">
        <f>+IF(X976=0,0,HLOOKUP(YEAR(X976)+(MONTH(X976)/100),TC!$5:$37,DAY(X976)+2,FALSE))</f>
        <v>20.020700000000001</v>
      </c>
      <c r="AD976" s="307">
        <f t="shared" si="264"/>
        <v>50720.841794000007</v>
      </c>
      <c r="AE976" s="314">
        <f t="shared" si="265"/>
        <v>61372.2145245836</v>
      </c>
      <c r="AF976" s="315">
        <f t="shared" si="266"/>
        <v>-10651.372730583593</v>
      </c>
      <c r="AG976" s="316">
        <f t="shared" si="267"/>
        <v>0.36712328767123287</v>
      </c>
      <c r="AH976" s="314">
        <v>1</v>
      </c>
      <c r="AI976" s="314">
        <f t="shared" si="268"/>
        <v>-10651.372730583593</v>
      </c>
      <c r="AJ976" s="314">
        <f t="shared" si="269"/>
        <v>0</v>
      </c>
      <c r="AK976" s="317"/>
      <c r="AL976" s="315">
        <f t="shared" si="270"/>
        <v>-541.42000000000007</v>
      </c>
      <c r="AN976" s="554">
        <f t="shared" si="271"/>
        <v>-0.1760807066383942</v>
      </c>
      <c r="AO976" s="314"/>
      <c r="AP976" s="318"/>
    </row>
    <row r="977" spans="2:42">
      <c r="B977" s="296" t="s">
        <v>1266</v>
      </c>
      <c r="C977" s="299" t="s">
        <v>277</v>
      </c>
      <c r="D977" s="298" t="s">
        <v>991</v>
      </c>
      <c r="E977" s="299" t="s">
        <v>113</v>
      </c>
      <c r="F977" s="299" t="s">
        <v>59</v>
      </c>
      <c r="G977" s="300">
        <v>44720</v>
      </c>
      <c r="H977" s="303">
        <v>4211.87</v>
      </c>
      <c r="I977" s="301" t="str">
        <f t="shared" si="255"/>
        <v>Ingresos Sección II LISR (SIC &amp; BMV)</v>
      </c>
      <c r="J977" s="302">
        <f t="shared" si="256"/>
        <v>362</v>
      </c>
      <c r="K977" s="304">
        <f t="shared" si="257"/>
        <v>11.635</v>
      </c>
      <c r="L977" s="305">
        <f>IF(H977=0,0,IF(OR(E977=$AT$5,E977=$AT$6),AA977,IF(F977="MXN",1/HLOOKUP(YEAR(G977)+(MONTH(G977)/100),TC!$5:$37,DAY(G977)+2,FALSE),VLOOKUP(F977,Equivalencia!$5:$23,((MAX(Equivalencia!$3:$3)-YEAR(G977))*14)+MONTH(G977)+2,FALSE))))</f>
        <v>1</v>
      </c>
      <c r="M977" s="306">
        <f t="shared" si="258"/>
        <v>4211.87</v>
      </c>
      <c r="N977" s="305">
        <f>IF(G977=0,0,(IF(OR(E977=$AT$5,E977=$AT$6),AC977,HLOOKUP(YEAR(G977)+(MONTH(G977)/100),TC!$5:$37,DAY(G977)+2,FALSE))))</f>
        <v>19.5547</v>
      </c>
      <c r="O977" s="307">
        <f t="shared" si="259"/>
        <v>82361.854288999995</v>
      </c>
      <c r="P977" s="560">
        <f>IF(G977=0,0,VLOOKUP(YEAR(G977),INPC!$B$4:$P$30,MONTH(G977)+2))</f>
        <v>122.044</v>
      </c>
      <c r="Q977" s="560">
        <f>IF(X977=0,0,IF(OR(E977=$AT$10,E977=$AT$9),VLOOKUP(YEAR(X977),INPC!$B$4:$P$30,MONTH(X977)+1),VLOOKUP(YEAR(X977),INPC!$B$4:$P$30,MONTH(X977)+2,0)))</f>
        <v>124.571</v>
      </c>
      <c r="R977" s="309">
        <f t="shared" si="260"/>
        <v>1.0206999999999999</v>
      </c>
      <c r="S977" s="310">
        <f t="shared" si="261"/>
        <v>84066.744672782297</v>
      </c>
      <c r="T977" s="555">
        <f t="shared" si="262"/>
        <v>232.22857644414998</v>
      </c>
      <c r="U977" s="311"/>
      <c r="V977" s="312">
        <v>362</v>
      </c>
      <c r="W977" s="299" t="s">
        <v>194</v>
      </c>
      <c r="X977" s="300">
        <v>44854</v>
      </c>
      <c r="Y977" s="299" t="s">
        <v>59</v>
      </c>
      <c r="Z977" s="303">
        <v>2430.9899999999998</v>
      </c>
      <c r="AA977" s="305">
        <f>IF(Z977=0,0,IF(Y977="MXN",1/HLOOKUP(YEAR(X977)+(MONTH(X977)/100),TC!$5:$37,DAY(X977)+2,FALSE),VLOOKUP(Y977,Equivalencia!$1:$23,((MAX(Equivalencia!$3:$3)-YEAR(X977))*14)+MONTH(X977)+2,FALSE)))</f>
        <v>1</v>
      </c>
      <c r="AB977" s="306">
        <f t="shared" si="263"/>
        <v>2430.9899999999998</v>
      </c>
      <c r="AC977" s="305">
        <f>+IF(X977=0,0,HLOOKUP(YEAR(X977)+(MONTH(X977)/100),TC!$5:$37,DAY(X977)+2,FALSE))</f>
        <v>20.020700000000001</v>
      </c>
      <c r="AD977" s="307">
        <f t="shared" si="264"/>
        <v>48670.121492999999</v>
      </c>
      <c r="AE977" s="314">
        <f t="shared" si="265"/>
        <v>84066.744672782297</v>
      </c>
      <c r="AF977" s="315">
        <f t="shared" si="266"/>
        <v>-35396.623179782298</v>
      </c>
      <c r="AG977" s="316">
        <f t="shared" si="267"/>
        <v>0.36712328767123287</v>
      </c>
      <c r="AH977" s="314">
        <v>1</v>
      </c>
      <c r="AI977" s="314">
        <f t="shared" si="268"/>
        <v>-35396.623179782298</v>
      </c>
      <c r="AJ977" s="314">
        <f t="shared" si="269"/>
        <v>0</v>
      </c>
      <c r="AK977" s="317"/>
      <c r="AL977" s="315">
        <f t="shared" si="270"/>
        <v>-1780.88</v>
      </c>
      <c r="AN977" s="554">
        <f t="shared" si="271"/>
        <v>-0.42282406626985169</v>
      </c>
      <c r="AO977" s="314"/>
      <c r="AP977" s="318"/>
    </row>
    <row r="978" spans="2:42">
      <c r="B978" s="296" t="s">
        <v>1266</v>
      </c>
      <c r="C978" s="299" t="s">
        <v>277</v>
      </c>
      <c r="D978" s="298" t="s">
        <v>1009</v>
      </c>
      <c r="E978" s="299" t="s">
        <v>113</v>
      </c>
      <c r="F978" s="299" t="s">
        <v>59</v>
      </c>
      <c r="G978" s="300">
        <v>44720</v>
      </c>
      <c r="H978" s="303">
        <v>315.20999999999998</v>
      </c>
      <c r="I978" s="301" t="str">
        <f t="shared" si="255"/>
        <v>Ingresos Sección II LISR (SIC &amp; BMV)</v>
      </c>
      <c r="J978" s="302">
        <f t="shared" si="256"/>
        <v>1</v>
      </c>
      <c r="K978" s="304">
        <f t="shared" si="257"/>
        <v>315.20999999999998</v>
      </c>
      <c r="L978" s="305">
        <f>IF(H978=0,0,IF(OR(E978=$AT$5,E978=$AT$6),AA978,IF(F978="MXN",1/HLOOKUP(YEAR(G978)+(MONTH(G978)/100),TC!$5:$37,DAY(G978)+2,FALSE),VLOOKUP(F978,Equivalencia!$5:$23,((MAX(Equivalencia!$3:$3)-YEAR(G978))*14)+MONTH(G978)+2,FALSE))))</f>
        <v>1</v>
      </c>
      <c r="M978" s="306">
        <f t="shared" si="258"/>
        <v>315.20999999999998</v>
      </c>
      <c r="N978" s="305">
        <f>IF(G978=0,0,(IF(OR(E978=$AT$5,E978=$AT$6),AC978,HLOOKUP(YEAR(G978)+(MONTH(G978)/100),TC!$5:$37,DAY(G978)+2,FALSE))))</f>
        <v>19.5547</v>
      </c>
      <c r="O978" s="307">
        <f t="shared" si="259"/>
        <v>6163.8369869999997</v>
      </c>
      <c r="P978" s="560">
        <f>IF(G978=0,0,VLOOKUP(YEAR(G978),INPC!$B$4:$P$30,MONTH(G978)+2))</f>
        <v>122.044</v>
      </c>
      <c r="Q978" s="560">
        <f>IF(X978=0,0,IF(OR(E978=$AT$10,E978=$AT$9),VLOOKUP(YEAR(X978),INPC!$B$4:$P$30,MONTH(X978)+1),VLOOKUP(YEAR(X978),INPC!$B$4:$P$30,MONTH(X978)+2,0)))</f>
        <v>124.571</v>
      </c>
      <c r="R978" s="309">
        <f t="shared" si="260"/>
        <v>1.0206999999999999</v>
      </c>
      <c r="S978" s="310">
        <f t="shared" si="261"/>
        <v>6291.4284126308994</v>
      </c>
      <c r="T978" s="555">
        <f t="shared" si="262"/>
        <v>6291.4284126308994</v>
      </c>
      <c r="U978" s="311"/>
      <c r="V978" s="312">
        <v>1</v>
      </c>
      <c r="W978" s="299" t="s">
        <v>194</v>
      </c>
      <c r="X978" s="300">
        <v>44854</v>
      </c>
      <c r="Y978" s="299" t="s">
        <v>59</v>
      </c>
      <c r="Z978" s="303">
        <v>360.56</v>
      </c>
      <c r="AA978" s="305">
        <f>IF(Z978=0,0,IF(Y978="MXN",1/HLOOKUP(YEAR(X978)+(MONTH(X978)/100),TC!$5:$37,DAY(X978)+2,FALSE),VLOOKUP(Y978,Equivalencia!$1:$23,((MAX(Equivalencia!$3:$3)-YEAR(X978))*14)+MONTH(X978)+2,FALSE)))</f>
        <v>1</v>
      </c>
      <c r="AB978" s="306">
        <f t="shared" si="263"/>
        <v>360.56</v>
      </c>
      <c r="AC978" s="305">
        <f>+IF(X978=0,0,HLOOKUP(YEAR(X978)+(MONTH(X978)/100),TC!$5:$37,DAY(X978)+2,FALSE))</f>
        <v>20.020700000000001</v>
      </c>
      <c r="AD978" s="307">
        <f t="shared" si="264"/>
        <v>7218.6635920000008</v>
      </c>
      <c r="AE978" s="314">
        <f t="shared" si="265"/>
        <v>6291.4284126308994</v>
      </c>
      <c r="AF978" s="315">
        <f t="shared" si="266"/>
        <v>927.23517936910139</v>
      </c>
      <c r="AG978" s="316">
        <f t="shared" si="267"/>
        <v>0.36712328767123287</v>
      </c>
      <c r="AH978" s="314">
        <v>1</v>
      </c>
      <c r="AI978" s="314">
        <f t="shared" si="268"/>
        <v>927.23517936910139</v>
      </c>
      <c r="AJ978" s="314">
        <f t="shared" si="269"/>
        <v>0</v>
      </c>
      <c r="AK978" s="317"/>
      <c r="AL978" s="315">
        <f t="shared" si="270"/>
        <v>45.350000000000023</v>
      </c>
      <c r="AN978" s="554">
        <f t="shared" si="271"/>
        <v>0.14387233907553704</v>
      </c>
      <c r="AO978" s="314"/>
      <c r="AP978" s="318"/>
    </row>
    <row r="979" spans="2:42">
      <c r="B979" s="296" t="s">
        <v>1266</v>
      </c>
      <c r="C979" s="299" t="s">
        <v>277</v>
      </c>
      <c r="D979" s="298" t="s">
        <v>1009</v>
      </c>
      <c r="E979" s="299" t="s">
        <v>113</v>
      </c>
      <c r="F979" s="299" t="s">
        <v>59</v>
      </c>
      <c r="G979" s="300">
        <v>44791</v>
      </c>
      <c r="H979" s="303">
        <v>5520.15</v>
      </c>
      <c r="I979" s="301" t="str">
        <f t="shared" si="255"/>
        <v>Ingresos Sección II LISR (SIC &amp; BMV)</v>
      </c>
      <c r="J979" s="302">
        <f t="shared" si="256"/>
        <v>15</v>
      </c>
      <c r="K979" s="304">
        <f t="shared" si="257"/>
        <v>368.01</v>
      </c>
      <c r="L979" s="305">
        <f>IF(H979=0,0,IF(OR(E979=$AT$5,E979=$AT$6),AA979,IF(F979="MXN",1/HLOOKUP(YEAR(G979)+(MONTH(G979)/100),TC!$5:$37,DAY(G979)+2,FALSE),VLOOKUP(F979,Equivalencia!$5:$23,((MAX(Equivalencia!$3:$3)-YEAR(G979))*14)+MONTH(G979)+2,FALSE))))</f>
        <v>1</v>
      </c>
      <c r="M979" s="306">
        <f t="shared" si="258"/>
        <v>5520.15</v>
      </c>
      <c r="N979" s="305">
        <f>IF(G979=0,0,(IF(OR(E979=$AT$5,E979=$AT$6),AC979,HLOOKUP(YEAR(G979)+(MONTH(G979)/100),TC!$5:$37,DAY(G979)+2,FALSE))))</f>
        <v>19.930299999999999</v>
      </c>
      <c r="O979" s="307">
        <f t="shared" si="259"/>
        <v>110018.24554499998</v>
      </c>
      <c r="P979" s="560">
        <f>IF(G979=0,0,VLOOKUP(YEAR(G979),INPC!$B$4:$P$30,MONTH(G979)+2))</f>
        <v>123.803</v>
      </c>
      <c r="Q979" s="560">
        <f>IF(X979=0,0,IF(OR(E979=$AT$10,E979=$AT$9),VLOOKUP(YEAR(X979),INPC!$B$4:$P$30,MONTH(X979)+1),VLOOKUP(YEAR(X979),INPC!$B$4:$P$30,MONTH(X979)+2,0)))</f>
        <v>124.571</v>
      </c>
      <c r="R979" s="309">
        <f t="shared" si="260"/>
        <v>1.0062</v>
      </c>
      <c r="S979" s="310">
        <f t="shared" si="261"/>
        <v>110700.35866737898</v>
      </c>
      <c r="T979" s="555">
        <f t="shared" si="262"/>
        <v>7380.0239111585988</v>
      </c>
      <c r="U979" s="311"/>
      <c r="V979" s="312">
        <v>15</v>
      </c>
      <c r="W979" s="299" t="s">
        <v>194</v>
      </c>
      <c r="X979" s="300">
        <v>44854</v>
      </c>
      <c r="Y979" s="299" t="s">
        <v>59</v>
      </c>
      <c r="Z979" s="303">
        <v>5408.35</v>
      </c>
      <c r="AA979" s="305">
        <f>IF(Z979=0,0,IF(Y979="MXN",1/HLOOKUP(YEAR(X979)+(MONTH(X979)/100),TC!$5:$37,DAY(X979)+2,FALSE),VLOOKUP(Y979,Equivalencia!$1:$23,((MAX(Equivalencia!$3:$3)-YEAR(X979))*14)+MONTH(X979)+2,FALSE)))</f>
        <v>1</v>
      </c>
      <c r="AB979" s="306">
        <f t="shared" si="263"/>
        <v>5408.35</v>
      </c>
      <c r="AC979" s="305">
        <f>+IF(X979=0,0,HLOOKUP(YEAR(X979)+(MONTH(X979)/100),TC!$5:$37,DAY(X979)+2,FALSE))</f>
        <v>20.020700000000001</v>
      </c>
      <c r="AD979" s="307">
        <f t="shared" si="264"/>
        <v>108278.95284500002</v>
      </c>
      <c r="AE979" s="314">
        <f t="shared" si="265"/>
        <v>110700.35866737898</v>
      </c>
      <c r="AF979" s="315">
        <f t="shared" si="266"/>
        <v>-2421.4058223789616</v>
      </c>
      <c r="AG979" s="316">
        <f t="shared" si="267"/>
        <v>0.17260273972602741</v>
      </c>
      <c r="AH979" s="314">
        <v>1</v>
      </c>
      <c r="AI979" s="314">
        <f t="shared" si="268"/>
        <v>-2421.4058223789616</v>
      </c>
      <c r="AJ979" s="314">
        <f t="shared" si="269"/>
        <v>0</v>
      </c>
      <c r="AK979" s="317"/>
      <c r="AL979" s="315">
        <f t="shared" si="270"/>
        <v>-111.79999999999927</v>
      </c>
      <c r="AN979" s="554">
        <f t="shared" si="271"/>
        <v>-2.0253072833165634E-2</v>
      </c>
      <c r="AO979" s="314"/>
      <c r="AP979" s="318"/>
    </row>
    <row r="980" spans="2:42">
      <c r="B980" s="296" t="s">
        <v>1266</v>
      </c>
      <c r="C980" s="299" t="s">
        <v>277</v>
      </c>
      <c r="D980" s="298" t="s">
        <v>935</v>
      </c>
      <c r="E980" s="299" t="s">
        <v>113</v>
      </c>
      <c r="F980" s="299" t="s">
        <v>59</v>
      </c>
      <c r="G980" s="300">
        <v>44720</v>
      </c>
      <c r="H980" s="303">
        <v>3916.41</v>
      </c>
      <c r="I980" s="301" t="str">
        <f t="shared" si="255"/>
        <v>Ingresos Sección II LISR (SIC &amp; BMV)</v>
      </c>
      <c r="J980" s="302">
        <f t="shared" si="256"/>
        <v>55</v>
      </c>
      <c r="K980" s="304">
        <f t="shared" si="257"/>
        <v>71.207454545454539</v>
      </c>
      <c r="L980" s="305">
        <f>IF(H980=0,0,IF(OR(E980=$AT$5,E980=$AT$6),AA980,IF(F980="MXN",1/HLOOKUP(YEAR(G980)+(MONTH(G980)/100),TC!$5:$37,DAY(G980)+2,FALSE),VLOOKUP(F980,Equivalencia!$5:$23,((MAX(Equivalencia!$3:$3)-YEAR(G980))*14)+MONTH(G980)+2,FALSE))))</f>
        <v>1</v>
      </c>
      <c r="M980" s="306">
        <f t="shared" si="258"/>
        <v>3916.41</v>
      </c>
      <c r="N980" s="305">
        <f>IF(G980=0,0,(IF(OR(E980=$AT$5,E980=$AT$6),AC980,HLOOKUP(YEAR(G980)+(MONTH(G980)/100),TC!$5:$37,DAY(G980)+2,FALSE))))</f>
        <v>19.5547</v>
      </c>
      <c r="O980" s="307">
        <f t="shared" si="259"/>
        <v>76584.222626999996</v>
      </c>
      <c r="P980" s="560">
        <f>IF(G980=0,0,VLOOKUP(YEAR(G980),INPC!$B$4:$P$30,MONTH(G980)+2))</f>
        <v>122.044</v>
      </c>
      <c r="Q980" s="560">
        <f>IF(X980=0,0,IF(OR(E980=$AT$10,E980=$AT$9),VLOOKUP(YEAR(X980),INPC!$B$4:$P$30,MONTH(X980)+1),VLOOKUP(YEAR(X980),INPC!$B$4:$P$30,MONTH(X980)+2,0)))</f>
        <v>124.571</v>
      </c>
      <c r="R980" s="309">
        <f t="shared" si="260"/>
        <v>1.0206999999999999</v>
      </c>
      <c r="S980" s="310">
        <f t="shared" si="261"/>
        <v>78169.516035378896</v>
      </c>
      <c r="T980" s="555">
        <f t="shared" si="262"/>
        <v>1421.2639279159798</v>
      </c>
      <c r="U980" s="311"/>
      <c r="V980" s="312">
        <v>55</v>
      </c>
      <c r="W980" s="299" t="s">
        <v>194</v>
      </c>
      <c r="X980" s="300">
        <v>44854</v>
      </c>
      <c r="Y980" s="299" t="s">
        <v>59</v>
      </c>
      <c r="Z980" s="303">
        <v>3770.94</v>
      </c>
      <c r="AA980" s="305">
        <f>IF(Z980=0,0,IF(Y980="MXN",1/HLOOKUP(YEAR(X980)+(MONTH(X980)/100),TC!$5:$37,DAY(X980)+2,FALSE),VLOOKUP(Y980,Equivalencia!$1:$23,((MAX(Equivalencia!$3:$3)-YEAR(X980))*14)+MONTH(X980)+2,FALSE)))</f>
        <v>1</v>
      </c>
      <c r="AB980" s="306">
        <f t="shared" si="263"/>
        <v>3770.94</v>
      </c>
      <c r="AC980" s="305">
        <f>+IF(X980=0,0,HLOOKUP(YEAR(X980)+(MONTH(X980)/100),TC!$5:$37,DAY(X980)+2,FALSE))</f>
        <v>20.020700000000001</v>
      </c>
      <c r="AD980" s="307">
        <f t="shared" si="264"/>
        <v>75496.858458000002</v>
      </c>
      <c r="AE980" s="314">
        <f t="shared" si="265"/>
        <v>78169.516035378896</v>
      </c>
      <c r="AF980" s="315">
        <f t="shared" si="266"/>
        <v>-2672.6575773788936</v>
      </c>
      <c r="AG980" s="316">
        <f t="shared" si="267"/>
        <v>0.36712328767123287</v>
      </c>
      <c r="AH980" s="314">
        <v>1</v>
      </c>
      <c r="AI980" s="314">
        <f t="shared" si="268"/>
        <v>-2672.6575773788936</v>
      </c>
      <c r="AJ980" s="314">
        <f t="shared" si="269"/>
        <v>0</v>
      </c>
      <c r="AK980" s="317"/>
      <c r="AL980" s="315">
        <f t="shared" si="270"/>
        <v>-145.4699999999998</v>
      </c>
      <c r="AN980" s="554">
        <f t="shared" si="271"/>
        <v>-3.7143710694232682E-2</v>
      </c>
      <c r="AO980" s="314"/>
      <c r="AP980" s="318"/>
    </row>
    <row r="981" spans="2:42">
      <c r="B981" s="296" t="s">
        <v>1266</v>
      </c>
      <c r="C981" s="299" t="s">
        <v>277</v>
      </c>
      <c r="D981" s="298" t="s">
        <v>935</v>
      </c>
      <c r="E981" s="299" t="s">
        <v>113</v>
      </c>
      <c r="F981" s="299" t="s">
        <v>59</v>
      </c>
      <c r="G981" s="300">
        <v>44791</v>
      </c>
      <c r="H981" s="303">
        <v>3338.87</v>
      </c>
      <c r="I981" s="301" t="str">
        <f t="shared" si="255"/>
        <v>Ingresos Sección II LISR (SIC &amp; BMV)</v>
      </c>
      <c r="J981" s="302">
        <f t="shared" si="256"/>
        <v>42</v>
      </c>
      <c r="K981" s="304">
        <f t="shared" si="257"/>
        <v>79.496904761904759</v>
      </c>
      <c r="L981" s="305">
        <f>IF(H981=0,0,IF(OR(E981=$AT$5,E981=$AT$6),AA981,IF(F981="MXN",1/HLOOKUP(YEAR(G981)+(MONTH(G981)/100),TC!$5:$37,DAY(G981)+2,FALSE),VLOOKUP(F981,Equivalencia!$5:$23,((MAX(Equivalencia!$3:$3)-YEAR(G981))*14)+MONTH(G981)+2,FALSE))))</f>
        <v>1</v>
      </c>
      <c r="M981" s="306">
        <f t="shared" si="258"/>
        <v>3338.87</v>
      </c>
      <c r="N981" s="305">
        <f>IF(G981=0,0,(IF(OR(E981=$AT$5,E981=$AT$6),AC981,HLOOKUP(YEAR(G981)+(MONTH(G981)/100),TC!$5:$37,DAY(G981)+2,FALSE))))</f>
        <v>19.930299999999999</v>
      </c>
      <c r="O981" s="307">
        <f t="shared" si="259"/>
        <v>66544.680760999996</v>
      </c>
      <c r="P981" s="560">
        <f>IF(G981=0,0,VLOOKUP(YEAR(G981),INPC!$B$4:$P$30,MONTH(G981)+2))</f>
        <v>123.803</v>
      </c>
      <c r="Q981" s="560">
        <f>IF(X981=0,0,IF(OR(E981=$AT$10,E981=$AT$9),VLOOKUP(YEAR(X981),INPC!$B$4:$P$30,MONTH(X981)+1),VLOOKUP(YEAR(X981),INPC!$B$4:$P$30,MONTH(X981)+2,0)))</f>
        <v>124.571</v>
      </c>
      <c r="R981" s="309">
        <f t="shared" si="260"/>
        <v>1.0062</v>
      </c>
      <c r="S981" s="310">
        <f t="shared" si="261"/>
        <v>66957.257781718188</v>
      </c>
      <c r="T981" s="555">
        <f t="shared" si="262"/>
        <v>1594.2204233742425</v>
      </c>
      <c r="U981" s="311"/>
      <c r="V981" s="312">
        <v>42</v>
      </c>
      <c r="W981" s="299" t="s">
        <v>194</v>
      </c>
      <c r="X981" s="300">
        <v>44854</v>
      </c>
      <c r="Y981" s="299" t="s">
        <v>59</v>
      </c>
      <c r="Z981" s="303">
        <v>2879.62</v>
      </c>
      <c r="AA981" s="305">
        <f>IF(Z981=0,0,IF(Y981="MXN",1/HLOOKUP(YEAR(X981)+(MONTH(X981)/100),TC!$5:$37,DAY(X981)+2,FALSE),VLOOKUP(Y981,Equivalencia!$1:$23,((MAX(Equivalencia!$3:$3)-YEAR(X981))*14)+MONTH(X981)+2,FALSE)))</f>
        <v>1</v>
      </c>
      <c r="AB981" s="306">
        <f t="shared" si="263"/>
        <v>2879.62</v>
      </c>
      <c r="AC981" s="305">
        <f>+IF(X981=0,0,HLOOKUP(YEAR(X981)+(MONTH(X981)/100),TC!$5:$37,DAY(X981)+2,FALSE))</f>
        <v>20.020700000000001</v>
      </c>
      <c r="AD981" s="307">
        <f t="shared" si="264"/>
        <v>57652.008134000003</v>
      </c>
      <c r="AE981" s="314">
        <f t="shared" si="265"/>
        <v>66957.257781718188</v>
      </c>
      <c r="AF981" s="315">
        <f t="shared" si="266"/>
        <v>-9305.2496477181849</v>
      </c>
      <c r="AG981" s="316">
        <f t="shared" si="267"/>
        <v>0.17260273972602741</v>
      </c>
      <c r="AH981" s="314">
        <v>1</v>
      </c>
      <c r="AI981" s="314">
        <f t="shared" si="268"/>
        <v>-9305.2496477181849</v>
      </c>
      <c r="AJ981" s="314">
        <f t="shared" si="269"/>
        <v>0</v>
      </c>
      <c r="AK981" s="317"/>
      <c r="AL981" s="315">
        <f t="shared" si="270"/>
        <v>-459.25</v>
      </c>
      <c r="AN981" s="554">
        <f t="shared" si="271"/>
        <v>-0.13754653520502447</v>
      </c>
      <c r="AO981" s="314"/>
      <c r="AP981" s="318"/>
    </row>
    <row r="982" spans="2:42">
      <c r="B982" s="296" t="s">
        <v>1266</v>
      </c>
      <c r="C982" s="299" t="s">
        <v>277</v>
      </c>
      <c r="D982" s="298" t="s">
        <v>934</v>
      </c>
      <c r="E982" s="299" t="s">
        <v>113</v>
      </c>
      <c r="F982" s="299" t="s">
        <v>59</v>
      </c>
      <c r="G982" s="300">
        <v>44720</v>
      </c>
      <c r="H982" s="303">
        <v>6777.72</v>
      </c>
      <c r="I982" s="301" t="str">
        <f t="shared" si="255"/>
        <v>Ingresos Sección II LISR (SIC &amp; BMV)</v>
      </c>
      <c r="J982" s="302">
        <f t="shared" si="256"/>
        <v>50</v>
      </c>
      <c r="K982" s="304">
        <f t="shared" si="257"/>
        <v>135.55440000000002</v>
      </c>
      <c r="L982" s="305">
        <f>IF(H982=0,0,IF(OR(E982=$AT$5,E982=$AT$6),AA982,IF(F982="MXN",1/HLOOKUP(YEAR(G982)+(MONTH(G982)/100),TC!$5:$37,DAY(G982)+2,FALSE),VLOOKUP(F982,Equivalencia!$5:$23,((MAX(Equivalencia!$3:$3)-YEAR(G982))*14)+MONTH(G982)+2,FALSE))))</f>
        <v>1</v>
      </c>
      <c r="M982" s="306">
        <f t="shared" si="258"/>
        <v>6777.72</v>
      </c>
      <c r="N982" s="305">
        <f>IF(G982=0,0,(IF(OR(E982=$AT$5,E982=$AT$6),AC982,HLOOKUP(YEAR(G982)+(MONTH(G982)/100),TC!$5:$37,DAY(G982)+2,FALSE))))</f>
        <v>19.5547</v>
      </c>
      <c r="O982" s="307">
        <f t="shared" si="259"/>
        <v>132536.281284</v>
      </c>
      <c r="P982" s="560">
        <f>IF(G982=0,0,VLOOKUP(YEAR(G982),INPC!$B$4:$P$30,MONTH(G982)+2))</f>
        <v>122.044</v>
      </c>
      <c r="Q982" s="560">
        <f>IF(X982=0,0,IF(OR(E982=$AT$10,E982=$AT$9),VLOOKUP(YEAR(X982),INPC!$B$4:$P$30,MONTH(X982)+1),VLOOKUP(YEAR(X982),INPC!$B$4:$P$30,MONTH(X982)+2,0)))</f>
        <v>124.571</v>
      </c>
      <c r="R982" s="309">
        <f t="shared" si="260"/>
        <v>1.0206999999999999</v>
      </c>
      <c r="S982" s="310">
        <f t="shared" si="261"/>
        <v>135279.7823065788</v>
      </c>
      <c r="T982" s="555">
        <f t="shared" si="262"/>
        <v>2705.5956461315759</v>
      </c>
      <c r="U982" s="311"/>
      <c r="V982" s="312">
        <v>50</v>
      </c>
      <c r="W982" s="299" t="s">
        <v>194</v>
      </c>
      <c r="X982" s="300">
        <v>44854</v>
      </c>
      <c r="Y982" s="299" t="s">
        <v>59</v>
      </c>
      <c r="Z982" s="303">
        <v>6675.75</v>
      </c>
      <c r="AA982" s="305">
        <f>IF(Z982=0,0,IF(Y982="MXN",1/HLOOKUP(YEAR(X982)+(MONTH(X982)/100),TC!$5:$37,DAY(X982)+2,FALSE),VLOOKUP(Y982,Equivalencia!$1:$23,((MAX(Equivalencia!$3:$3)-YEAR(X982))*14)+MONTH(X982)+2,FALSE)))</f>
        <v>1</v>
      </c>
      <c r="AB982" s="306">
        <f t="shared" si="263"/>
        <v>6675.75</v>
      </c>
      <c r="AC982" s="305">
        <f>+IF(X982=0,0,HLOOKUP(YEAR(X982)+(MONTH(X982)/100),TC!$5:$37,DAY(X982)+2,FALSE))</f>
        <v>20.020700000000001</v>
      </c>
      <c r="AD982" s="307">
        <f t="shared" si="264"/>
        <v>133653.18802500001</v>
      </c>
      <c r="AE982" s="314">
        <f t="shared" si="265"/>
        <v>135279.7823065788</v>
      </c>
      <c r="AF982" s="315">
        <f t="shared" si="266"/>
        <v>-1626.5942815787857</v>
      </c>
      <c r="AG982" s="316">
        <f t="shared" si="267"/>
        <v>0.36712328767123287</v>
      </c>
      <c r="AH982" s="314">
        <v>1</v>
      </c>
      <c r="AI982" s="314">
        <f t="shared" si="268"/>
        <v>-1626.5942815787857</v>
      </c>
      <c r="AJ982" s="314">
        <f t="shared" si="269"/>
        <v>0</v>
      </c>
      <c r="AK982" s="317"/>
      <c r="AL982" s="315">
        <f t="shared" si="270"/>
        <v>-101.97000000000025</v>
      </c>
      <c r="AN982" s="554">
        <f t="shared" si="271"/>
        <v>-1.5044882349816789E-2</v>
      </c>
      <c r="AO982" s="314"/>
      <c r="AP982" s="318"/>
    </row>
    <row r="983" spans="2:42">
      <c r="B983" s="296" t="s">
        <v>1266</v>
      </c>
      <c r="C983" s="299" t="s">
        <v>277</v>
      </c>
      <c r="D983" s="298" t="s">
        <v>934</v>
      </c>
      <c r="E983" s="299" t="s">
        <v>113</v>
      </c>
      <c r="F983" s="299" t="s">
        <v>59</v>
      </c>
      <c r="G983" s="300">
        <v>44791</v>
      </c>
      <c r="H983" s="303">
        <v>2180.15</v>
      </c>
      <c r="I983" s="301" t="str">
        <f t="shared" si="255"/>
        <v>Ingresos Sección II LISR (SIC &amp; BMV)</v>
      </c>
      <c r="J983" s="302">
        <f t="shared" si="256"/>
        <v>16</v>
      </c>
      <c r="K983" s="304">
        <f t="shared" si="257"/>
        <v>136.25937500000001</v>
      </c>
      <c r="L983" s="305">
        <f>IF(H983=0,0,IF(OR(E983=$AT$5,E983=$AT$6),AA983,IF(F983="MXN",1/HLOOKUP(YEAR(G983)+(MONTH(G983)/100),TC!$5:$37,DAY(G983)+2,FALSE),VLOOKUP(F983,Equivalencia!$5:$23,((MAX(Equivalencia!$3:$3)-YEAR(G983))*14)+MONTH(G983)+2,FALSE))))</f>
        <v>1</v>
      </c>
      <c r="M983" s="306">
        <f t="shared" si="258"/>
        <v>2180.15</v>
      </c>
      <c r="N983" s="305">
        <f>IF(G983=0,0,(IF(OR(E983=$AT$5,E983=$AT$6),AC983,HLOOKUP(YEAR(G983)+(MONTH(G983)/100),TC!$5:$37,DAY(G983)+2,FALSE))))</f>
        <v>19.930299999999999</v>
      </c>
      <c r="O983" s="307">
        <f t="shared" si="259"/>
        <v>43451.043545</v>
      </c>
      <c r="P983" s="560">
        <f>IF(G983=0,0,VLOOKUP(YEAR(G983),INPC!$B$4:$P$30,MONTH(G983)+2))</f>
        <v>123.803</v>
      </c>
      <c r="Q983" s="560">
        <f>IF(X983=0,0,IF(OR(E983=$AT$10,E983=$AT$9),VLOOKUP(YEAR(X983),INPC!$B$4:$P$30,MONTH(X983)+1),VLOOKUP(YEAR(X983),INPC!$B$4:$P$30,MONTH(X983)+2,0)))</f>
        <v>124.571</v>
      </c>
      <c r="R983" s="309">
        <f t="shared" si="260"/>
        <v>1.0062</v>
      </c>
      <c r="S983" s="310">
        <f t="shared" si="261"/>
        <v>43720.440014979002</v>
      </c>
      <c r="T983" s="555">
        <f t="shared" si="262"/>
        <v>2732.5275009361876</v>
      </c>
      <c r="U983" s="311"/>
      <c r="V983" s="312">
        <v>16</v>
      </c>
      <c r="W983" s="299" t="s">
        <v>194</v>
      </c>
      <c r="X983" s="300">
        <v>44854</v>
      </c>
      <c r="Y983" s="299" t="s">
        <v>59</v>
      </c>
      <c r="Z983" s="303">
        <v>2136.2399999999998</v>
      </c>
      <c r="AA983" s="305">
        <f>IF(Z983=0,0,IF(Y983="MXN",1/HLOOKUP(YEAR(X983)+(MONTH(X983)/100),TC!$5:$37,DAY(X983)+2,FALSE),VLOOKUP(Y983,Equivalencia!$1:$23,((MAX(Equivalencia!$3:$3)-YEAR(X983))*14)+MONTH(X983)+2,FALSE)))</f>
        <v>1</v>
      </c>
      <c r="AB983" s="306">
        <f t="shared" si="263"/>
        <v>2136.2399999999998</v>
      </c>
      <c r="AC983" s="305">
        <f>+IF(X983=0,0,HLOOKUP(YEAR(X983)+(MONTH(X983)/100),TC!$5:$37,DAY(X983)+2,FALSE))</f>
        <v>20.020700000000001</v>
      </c>
      <c r="AD983" s="307">
        <f t="shared" si="264"/>
        <v>42769.020167999995</v>
      </c>
      <c r="AE983" s="314">
        <f t="shared" si="265"/>
        <v>43720.440014979002</v>
      </c>
      <c r="AF983" s="315">
        <f t="shared" si="266"/>
        <v>-951.41984697900625</v>
      </c>
      <c r="AG983" s="316">
        <f t="shared" si="267"/>
        <v>0.17260273972602741</v>
      </c>
      <c r="AH983" s="314">
        <v>1</v>
      </c>
      <c r="AI983" s="314">
        <f t="shared" si="268"/>
        <v>-951.41984697900625</v>
      </c>
      <c r="AJ983" s="314">
        <f t="shared" si="269"/>
        <v>0</v>
      </c>
      <c r="AK983" s="317"/>
      <c r="AL983" s="315">
        <f t="shared" si="270"/>
        <v>-43.910000000000309</v>
      </c>
      <c r="AN983" s="554">
        <f t="shared" si="271"/>
        <v>-2.0140815998899299E-2</v>
      </c>
      <c r="AO983" s="314"/>
      <c r="AP983" s="318"/>
    </row>
    <row r="984" spans="2:42">
      <c r="B984" s="296" t="s">
        <v>1266</v>
      </c>
      <c r="C984" s="299" t="s">
        <v>277</v>
      </c>
      <c r="D984" s="298" t="s">
        <v>1012</v>
      </c>
      <c r="E984" s="299" t="s">
        <v>113</v>
      </c>
      <c r="F984" s="299" t="s">
        <v>59</v>
      </c>
      <c r="G984" s="300">
        <v>44720</v>
      </c>
      <c r="H984" s="303">
        <v>2674.88</v>
      </c>
      <c r="I984" s="301" t="str">
        <f t="shared" si="255"/>
        <v>Ingresos Sección II LISR (SIC &amp; BMV)</v>
      </c>
      <c r="J984" s="302">
        <f t="shared" si="256"/>
        <v>32</v>
      </c>
      <c r="K984" s="304">
        <f t="shared" si="257"/>
        <v>83.59</v>
      </c>
      <c r="L984" s="305">
        <f>IF(H984=0,0,IF(OR(E984=$AT$5,E984=$AT$6),AA984,IF(F984="MXN",1/HLOOKUP(YEAR(G984)+(MONTH(G984)/100),TC!$5:$37,DAY(G984)+2,FALSE),VLOOKUP(F984,Equivalencia!$5:$23,((MAX(Equivalencia!$3:$3)-YEAR(G984))*14)+MONTH(G984)+2,FALSE))))</f>
        <v>1</v>
      </c>
      <c r="M984" s="306">
        <f t="shared" si="258"/>
        <v>2674.88</v>
      </c>
      <c r="N984" s="305">
        <f>IF(G984=0,0,(IF(OR(E984=$AT$5,E984=$AT$6),AC984,HLOOKUP(YEAR(G984)+(MONTH(G984)/100),TC!$5:$37,DAY(G984)+2,FALSE))))</f>
        <v>19.5547</v>
      </c>
      <c r="O984" s="307">
        <f t="shared" si="259"/>
        <v>52306.475936000003</v>
      </c>
      <c r="P984" s="560">
        <f>IF(G984=0,0,VLOOKUP(YEAR(G984),INPC!$B$4:$P$30,MONTH(G984)+2))</f>
        <v>122.044</v>
      </c>
      <c r="Q984" s="560">
        <f>IF(X984=0,0,IF(OR(E984=$AT$10,E984=$AT$9),VLOOKUP(YEAR(X984),INPC!$B$4:$P$30,MONTH(X984)+1),VLOOKUP(YEAR(X984),INPC!$B$4:$P$30,MONTH(X984)+2,0)))</f>
        <v>124.571</v>
      </c>
      <c r="R984" s="309">
        <f t="shared" si="260"/>
        <v>1.0206999999999999</v>
      </c>
      <c r="S984" s="310">
        <f t="shared" si="261"/>
        <v>53389.2199878752</v>
      </c>
      <c r="T984" s="555">
        <f t="shared" si="262"/>
        <v>1668.4131246211</v>
      </c>
      <c r="U984" s="311"/>
      <c r="V984" s="312">
        <v>32</v>
      </c>
      <c r="W984" s="299" t="s">
        <v>194</v>
      </c>
      <c r="X984" s="300">
        <v>44854</v>
      </c>
      <c r="Y984" s="299" t="s">
        <v>59</v>
      </c>
      <c r="Z984" s="303">
        <v>1694.4</v>
      </c>
      <c r="AA984" s="305">
        <f>IF(Z984=0,0,IF(Y984="MXN",1/HLOOKUP(YEAR(X984)+(MONTH(X984)/100),TC!$5:$37,DAY(X984)+2,FALSE),VLOOKUP(Y984,Equivalencia!$1:$23,((MAX(Equivalencia!$3:$3)-YEAR(X984))*14)+MONTH(X984)+2,FALSE)))</f>
        <v>1</v>
      </c>
      <c r="AB984" s="306">
        <f t="shared" si="263"/>
        <v>1694.4</v>
      </c>
      <c r="AC984" s="305">
        <f>+IF(X984=0,0,HLOOKUP(YEAR(X984)+(MONTH(X984)/100),TC!$5:$37,DAY(X984)+2,FALSE))</f>
        <v>20.020700000000001</v>
      </c>
      <c r="AD984" s="307">
        <f t="shared" si="264"/>
        <v>33923.074080000006</v>
      </c>
      <c r="AE984" s="314">
        <f t="shared" si="265"/>
        <v>53389.2199878752</v>
      </c>
      <c r="AF984" s="315">
        <f t="shared" si="266"/>
        <v>-19466.145907875194</v>
      </c>
      <c r="AG984" s="316">
        <f t="shared" si="267"/>
        <v>0.36712328767123287</v>
      </c>
      <c r="AH984" s="314">
        <v>1</v>
      </c>
      <c r="AI984" s="314">
        <f t="shared" si="268"/>
        <v>-19466.145907875194</v>
      </c>
      <c r="AJ984" s="314">
        <f t="shared" si="269"/>
        <v>0</v>
      </c>
      <c r="AK984" s="317"/>
      <c r="AL984" s="315">
        <f t="shared" si="270"/>
        <v>-980.48</v>
      </c>
      <c r="AN984" s="554">
        <f t="shared" si="271"/>
        <v>-0.36655102284962315</v>
      </c>
      <c r="AO984" s="314"/>
      <c r="AP984" s="318"/>
    </row>
    <row r="985" spans="2:42">
      <c r="B985" s="296" t="s">
        <v>1266</v>
      </c>
      <c r="C985" s="299" t="s">
        <v>277</v>
      </c>
      <c r="D985" s="298" t="s">
        <v>1007</v>
      </c>
      <c r="E985" s="299" t="s">
        <v>113</v>
      </c>
      <c r="F985" s="299" t="s">
        <v>59</v>
      </c>
      <c r="G985" s="300">
        <v>44720</v>
      </c>
      <c r="H985" s="303">
        <v>1507.87</v>
      </c>
      <c r="I985" s="301" t="str">
        <f t="shared" si="255"/>
        <v>Ingresos Sección II LISR (SIC &amp; BMV)</v>
      </c>
      <c r="J985" s="302">
        <f t="shared" si="256"/>
        <v>14</v>
      </c>
      <c r="K985" s="304">
        <f t="shared" si="257"/>
        <v>107.705</v>
      </c>
      <c r="L985" s="305">
        <f>IF(H985=0,0,IF(OR(E985=$AT$5,E985=$AT$6),AA985,IF(F985="MXN",1/HLOOKUP(YEAR(G985)+(MONTH(G985)/100),TC!$5:$37,DAY(G985)+2,FALSE),VLOOKUP(F985,Equivalencia!$5:$23,((MAX(Equivalencia!$3:$3)-YEAR(G985))*14)+MONTH(G985)+2,FALSE))))</f>
        <v>1</v>
      </c>
      <c r="M985" s="306">
        <f t="shared" si="258"/>
        <v>1507.87</v>
      </c>
      <c r="N985" s="305">
        <f>IF(G985=0,0,(IF(OR(E985=$AT$5,E985=$AT$6),AC985,HLOOKUP(YEAR(G985)+(MONTH(G985)/100),TC!$5:$37,DAY(G985)+2,FALSE))))</f>
        <v>19.5547</v>
      </c>
      <c r="O985" s="307">
        <f t="shared" si="259"/>
        <v>29485.945488999998</v>
      </c>
      <c r="P985" s="560">
        <f>IF(G985=0,0,VLOOKUP(YEAR(G985),INPC!$B$4:$P$30,MONTH(G985)+2))</f>
        <v>122.044</v>
      </c>
      <c r="Q985" s="560">
        <f>IF(X985=0,0,IF(OR(E985=$AT$10,E985=$AT$9),VLOOKUP(YEAR(X985),INPC!$B$4:$P$30,MONTH(X985)+1),VLOOKUP(YEAR(X985),INPC!$B$4:$P$30,MONTH(X985)+2,0)))</f>
        <v>124.571</v>
      </c>
      <c r="R985" s="309">
        <f t="shared" si="260"/>
        <v>1.0206999999999999</v>
      </c>
      <c r="S985" s="310">
        <f t="shared" si="261"/>
        <v>30096.304560622295</v>
      </c>
      <c r="T985" s="555">
        <f t="shared" si="262"/>
        <v>2149.7360400444495</v>
      </c>
      <c r="U985" s="311"/>
      <c r="V985" s="312">
        <v>14</v>
      </c>
      <c r="W985" s="299" t="s">
        <v>194</v>
      </c>
      <c r="X985" s="300">
        <v>44854</v>
      </c>
      <c r="Y985" s="299" t="s">
        <v>59</v>
      </c>
      <c r="Z985" s="303">
        <v>1385.34</v>
      </c>
      <c r="AA985" s="305">
        <f>IF(Z985=0,0,IF(Y985="MXN",1/HLOOKUP(YEAR(X985)+(MONTH(X985)/100),TC!$5:$37,DAY(X985)+2,FALSE),VLOOKUP(Y985,Equivalencia!$1:$23,((MAX(Equivalencia!$3:$3)-YEAR(X985))*14)+MONTH(X985)+2,FALSE)))</f>
        <v>1</v>
      </c>
      <c r="AB985" s="306">
        <f t="shared" si="263"/>
        <v>1385.34</v>
      </c>
      <c r="AC985" s="305">
        <f>+IF(X985=0,0,HLOOKUP(YEAR(X985)+(MONTH(X985)/100),TC!$5:$37,DAY(X985)+2,FALSE))</f>
        <v>20.020700000000001</v>
      </c>
      <c r="AD985" s="307">
        <f t="shared" si="264"/>
        <v>27735.476537999999</v>
      </c>
      <c r="AE985" s="314">
        <f t="shared" si="265"/>
        <v>30096.304560622295</v>
      </c>
      <c r="AF985" s="315">
        <f t="shared" si="266"/>
        <v>-2360.828022622296</v>
      </c>
      <c r="AG985" s="316">
        <f t="shared" si="267"/>
        <v>0.36712328767123287</v>
      </c>
      <c r="AH985" s="314">
        <v>1</v>
      </c>
      <c r="AI985" s="314">
        <f t="shared" si="268"/>
        <v>-2360.828022622296</v>
      </c>
      <c r="AJ985" s="314">
        <f t="shared" si="269"/>
        <v>0</v>
      </c>
      <c r="AK985" s="317"/>
      <c r="AL985" s="315">
        <f t="shared" si="270"/>
        <v>-122.52999999999997</v>
      </c>
      <c r="AN985" s="554">
        <f t="shared" si="271"/>
        <v>-8.1260320849940629E-2</v>
      </c>
      <c r="AO985" s="314"/>
      <c r="AP985" s="318"/>
    </row>
    <row r="986" spans="2:42">
      <c r="B986" s="296" t="s">
        <v>1266</v>
      </c>
      <c r="C986" s="299" t="s">
        <v>277</v>
      </c>
      <c r="D986" s="298" t="s">
        <v>787</v>
      </c>
      <c r="E986" s="299" t="s">
        <v>113</v>
      </c>
      <c r="F986" s="299" t="s">
        <v>59</v>
      </c>
      <c r="G986" s="300">
        <v>44720</v>
      </c>
      <c r="H986" s="303">
        <v>3758.7</v>
      </c>
      <c r="I986" s="301" t="str">
        <f t="shared" si="255"/>
        <v>Ingresos Sección II LISR (SIC &amp; BMV)</v>
      </c>
      <c r="J986" s="302">
        <f t="shared" si="256"/>
        <v>17</v>
      </c>
      <c r="K986" s="304">
        <f t="shared" si="257"/>
        <v>221.1</v>
      </c>
      <c r="L986" s="305">
        <f>IF(H986=0,0,IF(OR(E986=$AT$5,E986=$AT$6),AA986,IF(F986="MXN",1/HLOOKUP(YEAR(G986)+(MONTH(G986)/100),TC!$5:$37,DAY(G986)+2,FALSE),VLOOKUP(F986,Equivalencia!$5:$23,((MAX(Equivalencia!$3:$3)-YEAR(G986))*14)+MONTH(G986)+2,FALSE))))</f>
        <v>1</v>
      </c>
      <c r="M986" s="306">
        <f t="shared" si="258"/>
        <v>3758.7</v>
      </c>
      <c r="N986" s="305">
        <f>IF(G986=0,0,(IF(OR(E986=$AT$5,E986=$AT$6),AC986,HLOOKUP(YEAR(G986)+(MONTH(G986)/100),TC!$5:$37,DAY(G986)+2,FALSE))))</f>
        <v>19.5547</v>
      </c>
      <c r="O986" s="307">
        <f t="shared" si="259"/>
        <v>73500.250889999996</v>
      </c>
      <c r="P986" s="560">
        <f>IF(G986=0,0,VLOOKUP(YEAR(G986),INPC!$B$4:$P$30,MONTH(G986)+2))</f>
        <v>122.044</v>
      </c>
      <c r="Q986" s="560">
        <f>IF(X986=0,0,IF(OR(E986=$AT$10,E986=$AT$9),VLOOKUP(YEAR(X986),INPC!$B$4:$P$30,MONTH(X986)+1),VLOOKUP(YEAR(X986),INPC!$B$4:$P$30,MONTH(X986)+2,0)))</f>
        <v>124.571</v>
      </c>
      <c r="R986" s="309">
        <f t="shared" si="260"/>
        <v>1.0206999999999999</v>
      </c>
      <c r="S986" s="310">
        <f t="shared" si="261"/>
        <v>75021.706083422992</v>
      </c>
      <c r="T986" s="555">
        <f t="shared" si="262"/>
        <v>4413.0415343189998</v>
      </c>
      <c r="U986" s="311"/>
      <c r="V986" s="312">
        <v>17</v>
      </c>
      <c r="W986" s="299" t="s">
        <v>194</v>
      </c>
      <c r="X986" s="300">
        <v>44854</v>
      </c>
      <c r="Y986" s="299" t="s">
        <v>59</v>
      </c>
      <c r="Z986" s="303">
        <v>3197.04</v>
      </c>
      <c r="AA986" s="305">
        <f>IF(Z986=0,0,IF(Y986="MXN",1/HLOOKUP(YEAR(X986)+(MONTH(X986)/100),TC!$5:$37,DAY(X986)+2,FALSE),VLOOKUP(Y986,Equivalencia!$1:$23,((MAX(Equivalencia!$3:$3)-YEAR(X986))*14)+MONTH(X986)+2,FALSE)))</f>
        <v>1</v>
      </c>
      <c r="AB986" s="306">
        <f t="shared" si="263"/>
        <v>3197.04</v>
      </c>
      <c r="AC986" s="305">
        <f>+IF(X986=0,0,HLOOKUP(YEAR(X986)+(MONTH(X986)/100),TC!$5:$37,DAY(X986)+2,FALSE))</f>
        <v>20.020700000000001</v>
      </c>
      <c r="AD986" s="307">
        <f t="shared" si="264"/>
        <v>64006.978728000002</v>
      </c>
      <c r="AE986" s="314">
        <f t="shared" si="265"/>
        <v>75021.706083422992</v>
      </c>
      <c r="AF986" s="315">
        <f t="shared" si="266"/>
        <v>-11014.727355422991</v>
      </c>
      <c r="AG986" s="316">
        <f t="shared" si="267"/>
        <v>0.36712328767123287</v>
      </c>
      <c r="AH986" s="314">
        <v>1</v>
      </c>
      <c r="AI986" s="314">
        <f t="shared" si="268"/>
        <v>-11014.727355422991</v>
      </c>
      <c r="AJ986" s="314">
        <f t="shared" si="269"/>
        <v>0</v>
      </c>
      <c r="AK986" s="317"/>
      <c r="AL986" s="315">
        <f t="shared" si="270"/>
        <v>-561.65999999999985</v>
      </c>
      <c r="AN986" s="554">
        <f t="shared" si="271"/>
        <v>-0.14942932396839329</v>
      </c>
      <c r="AO986" s="314"/>
      <c r="AP986" s="318"/>
    </row>
    <row r="987" spans="2:42">
      <c r="B987" s="296"/>
      <c r="C987" s="299"/>
      <c r="D987" s="298"/>
      <c r="E987" s="299"/>
      <c r="F987" s="299"/>
      <c r="G987" s="300"/>
      <c r="H987" s="303"/>
      <c r="I987" s="301">
        <f t="shared" si="255"/>
        <v>0</v>
      </c>
      <c r="J987" s="302">
        <f t="shared" si="256"/>
        <v>0</v>
      </c>
      <c r="K987" s="304">
        <f t="shared" si="257"/>
        <v>0</v>
      </c>
      <c r="L987" s="305">
        <f>IF(H987=0,0,IF(OR(E987=$AT$5,E987=$AT$6),AA987,IF(F987="MXN",1/HLOOKUP(YEAR(G987)+(MONTH(G987)/100),TC!$5:$37,DAY(G987)+2,FALSE),VLOOKUP(F987,Equivalencia!$5:$23,((MAX(Equivalencia!$3:$3)-YEAR(G987))*14)+MONTH(G987)+2,FALSE))))</f>
        <v>0</v>
      </c>
      <c r="M987" s="306">
        <f t="shared" si="258"/>
        <v>0</v>
      </c>
      <c r="N987" s="305">
        <f>IF(G987=0,0,(IF(OR(E987=$AT$5,E987=$AT$6),AC987,HLOOKUP(YEAR(G987)+(MONTH(G987)/100),TC!$5:$37,DAY(G987)+2,FALSE))))</f>
        <v>0</v>
      </c>
      <c r="O987" s="307">
        <f t="shared" si="259"/>
        <v>0</v>
      </c>
      <c r="P987" s="560">
        <f>IF(G987=0,0,VLOOKUP(YEAR(G987),INPC!$B$4:$P$30,MONTH(G987)+2))</f>
        <v>0</v>
      </c>
      <c r="Q987" s="560">
        <f>IF(X987=0,0,IF(OR(E987=$AT$10,E987=$AT$9),VLOOKUP(YEAR(X987),INPC!$B$4:$P$30,MONTH(X987)+1),VLOOKUP(YEAR(X987),INPC!$B$4:$P$30,MONTH(X987)+2,0)))</f>
        <v>0</v>
      </c>
      <c r="R987" s="309">
        <f t="shared" si="260"/>
        <v>0</v>
      </c>
      <c r="S987" s="310">
        <f t="shared" si="261"/>
        <v>0</v>
      </c>
      <c r="T987" s="555">
        <f t="shared" si="262"/>
        <v>0</v>
      </c>
      <c r="U987" s="311"/>
      <c r="V987" s="312"/>
      <c r="W987" s="299"/>
      <c r="X987" s="300"/>
      <c r="Y987" s="299"/>
      <c r="Z987" s="303"/>
      <c r="AA987" s="305">
        <f>IF(Z987=0,0,IF(Y987="MXN",1/HLOOKUP(YEAR(X987)+(MONTH(X987)/100),TC!$5:$37,DAY(X987)+2,FALSE),VLOOKUP(Y987,Equivalencia!$1:$23,((MAX(Equivalencia!$3:$3)-YEAR(X987))*14)+MONTH(X987)+2,FALSE)))</f>
        <v>0</v>
      </c>
      <c r="AB987" s="306">
        <f t="shared" si="263"/>
        <v>0</v>
      </c>
      <c r="AC987" s="305">
        <f>+IF(X987=0,0,HLOOKUP(YEAR(X987)+(MONTH(X987)/100),TC!$5:$37,DAY(X987)+2,FALSE))</f>
        <v>0</v>
      </c>
      <c r="AD987" s="307">
        <f t="shared" si="264"/>
        <v>0</v>
      </c>
      <c r="AE987" s="314">
        <f t="shared" si="265"/>
        <v>0</v>
      </c>
      <c r="AF987" s="315">
        <f t="shared" si="266"/>
        <v>0</v>
      </c>
      <c r="AG987" s="316">
        <f t="shared" si="267"/>
        <v>0</v>
      </c>
      <c r="AH987" s="314">
        <v>1</v>
      </c>
      <c r="AI987" s="314">
        <f t="shared" si="268"/>
        <v>0</v>
      </c>
      <c r="AJ987" s="314">
        <f t="shared" si="269"/>
        <v>0</v>
      </c>
      <c r="AK987" s="317"/>
      <c r="AL987" s="315">
        <f t="shared" si="270"/>
        <v>0</v>
      </c>
      <c r="AN987" s="554">
        <f t="shared" si="271"/>
        <v>0</v>
      </c>
      <c r="AO987" s="314"/>
      <c r="AP987" s="318"/>
    </row>
    <row r="988" spans="2:42">
      <c r="B988" s="296" t="s">
        <v>1246</v>
      </c>
      <c r="C988" s="299" t="s">
        <v>277</v>
      </c>
      <c r="D988" s="298" t="s">
        <v>705</v>
      </c>
      <c r="E988" s="299" t="s">
        <v>113</v>
      </c>
      <c r="F988" s="299" t="s">
        <v>59</v>
      </c>
      <c r="G988" s="300">
        <v>43649</v>
      </c>
      <c r="H988" s="303">
        <v>13146465.428123556</v>
      </c>
      <c r="I988" s="301" t="str">
        <f t="shared" si="255"/>
        <v>Ingresos Sección II LISR (SIC &amp; BMV)</v>
      </c>
      <c r="J988" s="302">
        <f t="shared" si="256"/>
        <v>2316</v>
      </c>
      <c r="K988" s="304">
        <f t="shared" si="257"/>
        <v>5676.3667651656115</v>
      </c>
      <c r="L988" s="305">
        <f>IF(H988=0,0,IF(OR(E988=$AT$5,E988=$AT$6),AA988,IF(F988="MXN",1/HLOOKUP(YEAR(G988)+(MONTH(G988)/100),TC!$5:$37,DAY(G988)+2,FALSE),VLOOKUP(F988,Equivalencia!$5:$23,((MAX(Equivalencia!$3:$3)-YEAR(G988))*14)+MONTH(G988)+2,FALSE))))</f>
        <v>1</v>
      </c>
      <c r="M988" s="306">
        <f t="shared" si="258"/>
        <v>13146465.428123556</v>
      </c>
      <c r="N988" s="305">
        <f>IF(G988=0,0,(IF(OR(E988=$AT$5,E988=$AT$6),AC988,HLOOKUP(YEAR(G988)+(MONTH(G988)/100),TC!$5:$37,DAY(G988)+2,FALSE))))</f>
        <v>19.076000000000001</v>
      </c>
      <c r="O988" s="307">
        <f t="shared" si="259"/>
        <v>250781974.50688496</v>
      </c>
      <c r="P988" s="560">
        <f>IF(G988=0,0,VLOOKUP(YEAR(G988),INPC!$B$4:$P$30,MONTH(G988)+2))</f>
        <v>103.687</v>
      </c>
      <c r="Q988" s="560">
        <f>IF(X988=0,0,IF(OR(E988=$AT$10,E988=$AT$9),VLOOKUP(YEAR(X988),INPC!$B$4:$P$30,MONTH(X988)+1),VLOOKUP(YEAR(X988),INPC!$B$4:$P$30,MONTH(X988)+2,0)))</f>
        <v>122.94799999999999</v>
      </c>
      <c r="R988" s="309">
        <f t="shared" si="260"/>
        <v>1.1857</v>
      </c>
      <c r="S988" s="310">
        <f t="shared" si="261"/>
        <v>297352187.17281348</v>
      </c>
      <c r="T988" s="555">
        <f t="shared" si="262"/>
        <v>128390.40896926315</v>
      </c>
      <c r="U988" s="311"/>
      <c r="V988" s="312">
        <v>2316</v>
      </c>
      <c r="W988" s="299" t="s">
        <v>194</v>
      </c>
      <c r="X988" s="300">
        <v>44803</v>
      </c>
      <c r="Y988" s="299" t="s">
        <v>59</v>
      </c>
      <c r="Z988" s="303">
        <v>18505076</v>
      </c>
      <c r="AA988" s="305">
        <f>IF(Z988=0,0,IF(Y988="MXN",1/HLOOKUP(YEAR(X988)+(MONTH(X988)/100),TC!$5:$37,DAY(X988)+2,FALSE),VLOOKUP(Y988,Equivalencia!$1:$23,((MAX(Equivalencia!$3:$3)-YEAR(X988))*14)+MONTH(X988)+2,FALSE)))</f>
        <v>1</v>
      </c>
      <c r="AB988" s="306">
        <f t="shared" si="263"/>
        <v>18505076</v>
      </c>
      <c r="AC988" s="305">
        <f>+IF(X988=0,0,HLOOKUP(YEAR(X988)+(MONTH(X988)/100),TC!$5:$37,DAY(X988)+2,FALSE))</f>
        <v>19.9268</v>
      </c>
      <c r="AD988" s="307">
        <f t="shared" si="264"/>
        <v>368746948.4368</v>
      </c>
      <c r="AE988" s="314">
        <f t="shared" si="265"/>
        <v>297352187.17281348</v>
      </c>
      <c r="AF988" s="315">
        <f t="shared" si="266"/>
        <v>71394761.263986528</v>
      </c>
      <c r="AG988" s="316">
        <f t="shared" si="267"/>
        <v>3.1616438356164385</v>
      </c>
      <c r="AH988" s="314">
        <v>1</v>
      </c>
      <c r="AI988" s="314">
        <f t="shared" si="268"/>
        <v>71394761.263986528</v>
      </c>
      <c r="AJ988" s="314">
        <f t="shared" si="269"/>
        <v>0</v>
      </c>
      <c r="AK988" s="317"/>
      <c r="AL988" s="315">
        <f t="shared" si="270"/>
        <v>5358610.5718764439</v>
      </c>
      <c r="AN988" s="554">
        <f t="shared" si="271"/>
        <v>0.40760846336788326</v>
      </c>
      <c r="AO988" s="314"/>
      <c r="AP988" s="318"/>
    </row>
    <row r="989" spans="2:42">
      <c r="B989" s="296" t="s">
        <v>1246</v>
      </c>
      <c r="C989" s="299" t="s">
        <v>277</v>
      </c>
      <c r="D989" s="298" t="s">
        <v>902</v>
      </c>
      <c r="E989" s="299" t="s">
        <v>113</v>
      </c>
      <c r="F989" s="299" t="s">
        <v>59</v>
      </c>
      <c r="G989" s="300">
        <v>43649</v>
      </c>
      <c r="H989" s="303">
        <v>6891706.5711597782</v>
      </c>
      <c r="I989" s="301" t="str">
        <f t="shared" si="255"/>
        <v>Ingresos Sección II LISR (SIC &amp; BMV)</v>
      </c>
      <c r="J989" s="302">
        <f t="shared" si="256"/>
        <v>6508</v>
      </c>
      <c r="K989" s="304">
        <f t="shared" si="257"/>
        <v>1058.9592149907464</v>
      </c>
      <c r="L989" s="305">
        <f>IF(H989=0,0,IF(OR(E989=$AT$5,E989=$AT$6),AA989,IF(F989="MXN",1/HLOOKUP(YEAR(G989)+(MONTH(G989)/100),TC!$5:$37,DAY(G989)+2,FALSE),VLOOKUP(F989,Equivalencia!$5:$23,((MAX(Equivalencia!$3:$3)-YEAR(G989))*14)+MONTH(G989)+2,FALSE))))</f>
        <v>1</v>
      </c>
      <c r="M989" s="306">
        <f t="shared" si="258"/>
        <v>6891706.5711597782</v>
      </c>
      <c r="N989" s="305">
        <f>IF(G989=0,0,(IF(OR(E989=$AT$5,E989=$AT$6),AC989,HLOOKUP(YEAR(G989)+(MONTH(G989)/100),TC!$5:$37,DAY(G989)+2,FALSE))))</f>
        <v>19.076000000000001</v>
      </c>
      <c r="O989" s="307">
        <f t="shared" si="259"/>
        <v>131466194.55144393</v>
      </c>
      <c r="P989" s="560">
        <f>IF(G989=0,0,VLOOKUP(YEAR(G989),INPC!$B$4:$P$30,MONTH(G989)+2))</f>
        <v>103.687</v>
      </c>
      <c r="Q989" s="560">
        <f>IF(X989=0,0,IF(OR(E989=$AT$10,E989=$AT$9),VLOOKUP(YEAR(X989),INPC!$B$4:$P$30,MONTH(X989)+1),VLOOKUP(YEAR(X989),INPC!$B$4:$P$30,MONTH(X989)+2,0)))</f>
        <v>122.94799999999999</v>
      </c>
      <c r="R989" s="309">
        <f t="shared" si="260"/>
        <v>1.1857</v>
      </c>
      <c r="S989" s="310">
        <f t="shared" si="261"/>
        <v>155879466.87964708</v>
      </c>
      <c r="T989" s="555">
        <f t="shared" si="262"/>
        <v>23951.977086608338</v>
      </c>
      <c r="U989" s="311"/>
      <c r="V989" s="312">
        <v>6508</v>
      </c>
      <c r="W989" s="299" t="s">
        <v>194</v>
      </c>
      <c r="X989" s="300">
        <v>44803</v>
      </c>
      <c r="Y989" s="299" t="s">
        <v>59</v>
      </c>
      <c r="Z989" s="303">
        <v>6758821.0500000007</v>
      </c>
      <c r="AA989" s="305">
        <f>IF(Z989=0,0,IF(Y989="MXN",1/HLOOKUP(YEAR(X989)+(MONTH(X989)/100),TC!$5:$37,DAY(X989)+2,FALSE),VLOOKUP(Y989,Equivalencia!$1:$23,((MAX(Equivalencia!$3:$3)-YEAR(X989))*14)+MONTH(X989)+2,FALSE)))</f>
        <v>1</v>
      </c>
      <c r="AB989" s="306">
        <f t="shared" si="263"/>
        <v>6758821.0500000007</v>
      </c>
      <c r="AC989" s="305">
        <f>+IF(X989=0,0,HLOOKUP(YEAR(X989)+(MONTH(X989)/100),TC!$5:$37,DAY(X989)+2,FALSE))</f>
        <v>19.9268</v>
      </c>
      <c r="AD989" s="307">
        <f t="shared" si="264"/>
        <v>134681675.29914001</v>
      </c>
      <c r="AE989" s="314">
        <f t="shared" si="265"/>
        <v>155879466.87964708</v>
      </c>
      <c r="AF989" s="315">
        <f t="shared" si="266"/>
        <v>-21197791.58050707</v>
      </c>
      <c r="AG989" s="316">
        <f t="shared" si="267"/>
        <v>3.1616438356164385</v>
      </c>
      <c r="AH989" s="314">
        <v>1</v>
      </c>
      <c r="AI989" s="314">
        <f t="shared" si="268"/>
        <v>-21197791.58050707</v>
      </c>
      <c r="AJ989" s="314">
        <f t="shared" si="269"/>
        <v>0</v>
      </c>
      <c r="AK989" s="317"/>
      <c r="AL989" s="315">
        <f t="shared" si="270"/>
        <v>-132885.52115977742</v>
      </c>
      <c r="AN989" s="554">
        <f t="shared" si="271"/>
        <v>-1.9281947045724938E-2</v>
      </c>
      <c r="AO989" s="314"/>
      <c r="AP989" s="318"/>
    </row>
    <row r="990" spans="2:42">
      <c r="B990" s="296" t="s">
        <v>1246</v>
      </c>
      <c r="C990" s="299" t="s">
        <v>277</v>
      </c>
      <c r="D990" s="298" t="s">
        <v>866</v>
      </c>
      <c r="E990" s="299" t="s">
        <v>113</v>
      </c>
      <c r="F990" s="299" t="s">
        <v>59</v>
      </c>
      <c r="G990" s="300">
        <v>44321</v>
      </c>
      <c r="H990" s="303">
        <v>2622561.5802192152</v>
      </c>
      <c r="I990" s="301" t="str">
        <f t="shared" si="255"/>
        <v>Ingresos Sección II LISR (SIC &amp; BMV)</v>
      </c>
      <c r="J990" s="302">
        <f t="shared" si="256"/>
        <v>1614</v>
      </c>
      <c r="K990" s="304">
        <f t="shared" si="257"/>
        <v>1624.883259119712</v>
      </c>
      <c r="L990" s="305">
        <f>IF(H990=0,0,IF(OR(E990=$AT$5,E990=$AT$6),AA990,IF(F990="MXN",1/HLOOKUP(YEAR(G990)+(MONTH(G990)/100),TC!$5:$37,DAY(G990)+2,FALSE),VLOOKUP(F990,Equivalencia!$5:$23,((MAX(Equivalencia!$3:$3)-YEAR(G990))*14)+MONTH(G990)+2,FALSE))))</f>
        <v>1</v>
      </c>
      <c r="M990" s="306">
        <f t="shared" si="258"/>
        <v>2622561.5802192152</v>
      </c>
      <c r="N990" s="305">
        <f>IF(G990=0,0,(IF(OR(E990=$AT$5,E990=$AT$6),AC990,HLOOKUP(YEAR(G990)+(MONTH(G990)/100),TC!$5:$37,DAY(G990)+2,FALSE))))</f>
        <v>20.190200000000001</v>
      </c>
      <c r="O990" s="307">
        <f t="shared" si="259"/>
        <v>52950042.816941999</v>
      </c>
      <c r="P990" s="560">
        <f>IF(G990=0,0,VLOOKUP(YEAR(G990),INPC!$B$4:$P$30,MONTH(G990)+2))</f>
        <v>112.419</v>
      </c>
      <c r="Q990" s="560">
        <f>IF(X990=0,0,IF(OR(E990=$AT$10,E990=$AT$9),VLOOKUP(YEAR(X990),INPC!$B$4:$P$30,MONTH(X990)+1),VLOOKUP(YEAR(X990),INPC!$B$4:$P$30,MONTH(X990)+2,0)))</f>
        <v>122.94799999999999</v>
      </c>
      <c r="R990" s="309">
        <f t="shared" si="260"/>
        <v>1.0935999999999999</v>
      </c>
      <c r="S990" s="310">
        <f t="shared" si="261"/>
        <v>57906166.824607767</v>
      </c>
      <c r="T990" s="555">
        <f t="shared" si="262"/>
        <v>35877.426781045702</v>
      </c>
      <c r="U990" s="311"/>
      <c r="V990" s="312">
        <v>1614</v>
      </c>
      <c r="W990" s="299" t="s">
        <v>194</v>
      </c>
      <c r="X990" s="300">
        <v>44803</v>
      </c>
      <c r="Y990" s="299" t="s">
        <v>59</v>
      </c>
      <c r="Z990" s="303">
        <v>2559017.8199999998</v>
      </c>
      <c r="AA990" s="305">
        <f>IF(Z990=0,0,IF(Y990="MXN",1/HLOOKUP(YEAR(X990)+(MONTH(X990)/100),TC!$5:$37,DAY(X990)+2,FALSE),VLOOKUP(Y990,Equivalencia!$1:$23,((MAX(Equivalencia!$3:$3)-YEAR(X990))*14)+MONTH(X990)+2,FALSE)))</f>
        <v>1</v>
      </c>
      <c r="AB990" s="306">
        <f t="shared" si="263"/>
        <v>2559017.8199999998</v>
      </c>
      <c r="AC990" s="305">
        <f>+IF(X990=0,0,HLOOKUP(YEAR(X990)+(MONTH(X990)/100),TC!$5:$37,DAY(X990)+2,FALSE))</f>
        <v>19.9268</v>
      </c>
      <c r="AD990" s="307">
        <f t="shared" si="264"/>
        <v>50993036.295575999</v>
      </c>
      <c r="AE990" s="314">
        <f t="shared" si="265"/>
        <v>57906166.82460776</v>
      </c>
      <c r="AF990" s="315">
        <f t="shared" si="266"/>
        <v>-6913130.529031761</v>
      </c>
      <c r="AG990" s="316">
        <f t="shared" si="267"/>
        <v>1.3205479452054794</v>
      </c>
      <c r="AH990" s="314">
        <v>1</v>
      </c>
      <c r="AI990" s="314">
        <f t="shared" si="268"/>
        <v>-6913130.529031761</v>
      </c>
      <c r="AJ990" s="314">
        <f t="shared" si="269"/>
        <v>0</v>
      </c>
      <c r="AK990" s="317"/>
      <c r="AL990" s="315">
        <f t="shared" si="270"/>
        <v>-63543.760219215415</v>
      </c>
      <c r="AN990" s="554">
        <f t="shared" si="271"/>
        <v>-2.4229654204689411E-2</v>
      </c>
      <c r="AO990" s="314"/>
      <c r="AP990" s="318"/>
    </row>
    <row r="991" spans="2:42">
      <c r="B991" s="296" t="s">
        <v>1246</v>
      </c>
      <c r="C991" s="299" t="s">
        <v>277</v>
      </c>
      <c r="D991" s="298" t="s">
        <v>701</v>
      </c>
      <c r="E991" s="299" t="s">
        <v>113</v>
      </c>
      <c r="F991" s="299" t="s">
        <v>59</v>
      </c>
      <c r="G991" s="300">
        <v>43649</v>
      </c>
      <c r="H991" s="303">
        <v>1208773.564933599</v>
      </c>
      <c r="I991" s="301" t="str">
        <f t="shared" si="255"/>
        <v>Ingresos Sección II LISR (SIC &amp; BMV)</v>
      </c>
      <c r="J991" s="302">
        <f t="shared" si="256"/>
        <v>394</v>
      </c>
      <c r="K991" s="304">
        <f t="shared" si="257"/>
        <v>3067.9532104913678</v>
      </c>
      <c r="L991" s="305">
        <f>IF(H991=0,0,IF(OR(E991=$AT$5,E991=$AT$6),AA991,IF(F991="MXN",1/HLOOKUP(YEAR(G991)+(MONTH(G991)/100),TC!$5:$37,DAY(G991)+2,FALSE),VLOOKUP(F991,Equivalencia!$5:$23,((MAX(Equivalencia!$3:$3)-YEAR(G991))*14)+MONTH(G991)+2,FALSE))))</f>
        <v>1</v>
      </c>
      <c r="M991" s="306">
        <f t="shared" si="258"/>
        <v>1208773.564933599</v>
      </c>
      <c r="N991" s="305">
        <f>IF(G991=0,0,(IF(OR(E991=$AT$5,E991=$AT$6),AC991,HLOOKUP(YEAR(G991)+(MONTH(G991)/100),TC!$5:$37,DAY(G991)+2,FALSE))))</f>
        <v>19.076000000000001</v>
      </c>
      <c r="O991" s="307">
        <f t="shared" si="259"/>
        <v>23058564.524673335</v>
      </c>
      <c r="P991" s="560">
        <f>IF(G991=0,0,VLOOKUP(YEAR(G991),INPC!$B$4:$P$30,MONTH(G991)+2))</f>
        <v>103.687</v>
      </c>
      <c r="Q991" s="560">
        <f>IF(X991=0,0,IF(OR(E991=$AT$10,E991=$AT$9),VLOOKUP(YEAR(X991),INPC!$B$4:$P$30,MONTH(X991)+1),VLOOKUP(YEAR(X991),INPC!$B$4:$P$30,MONTH(X991)+2,0)))</f>
        <v>122.94799999999999</v>
      </c>
      <c r="R991" s="309">
        <f t="shared" si="260"/>
        <v>1.1857</v>
      </c>
      <c r="S991" s="310">
        <f t="shared" si="261"/>
        <v>27340539.956905171</v>
      </c>
      <c r="T991" s="555">
        <f t="shared" si="262"/>
        <v>69392.233393160335</v>
      </c>
      <c r="U991" s="311"/>
      <c r="V991" s="312">
        <v>394</v>
      </c>
      <c r="W991" s="299" t="s">
        <v>194</v>
      </c>
      <c r="X991" s="300">
        <v>44803</v>
      </c>
      <c r="Y991" s="299" t="s">
        <v>59</v>
      </c>
      <c r="Z991" s="303">
        <v>1860276.4199999997</v>
      </c>
      <c r="AA991" s="305">
        <f>IF(Z991=0,0,IF(Y991="MXN",1/HLOOKUP(YEAR(X991)+(MONTH(X991)/100),TC!$5:$37,DAY(X991)+2,FALSE),VLOOKUP(Y991,Equivalencia!$1:$23,((MAX(Equivalencia!$3:$3)-YEAR(X991))*14)+MONTH(X991)+2,FALSE)))</f>
        <v>1</v>
      </c>
      <c r="AB991" s="306">
        <f t="shared" si="263"/>
        <v>1860276.4199999997</v>
      </c>
      <c r="AC991" s="305">
        <f>+IF(X991=0,0,HLOOKUP(YEAR(X991)+(MONTH(X991)/100),TC!$5:$37,DAY(X991)+2,FALSE))</f>
        <v>19.9268</v>
      </c>
      <c r="AD991" s="307">
        <f t="shared" si="264"/>
        <v>37069356.166055992</v>
      </c>
      <c r="AE991" s="314">
        <f t="shared" si="265"/>
        <v>27340539.956905171</v>
      </c>
      <c r="AF991" s="315">
        <f t="shared" si="266"/>
        <v>9728816.209150821</v>
      </c>
      <c r="AG991" s="316">
        <f t="shared" si="267"/>
        <v>3.1616438356164385</v>
      </c>
      <c r="AH991" s="314">
        <v>1</v>
      </c>
      <c r="AI991" s="314">
        <f t="shared" si="268"/>
        <v>9728816.209150821</v>
      </c>
      <c r="AJ991" s="314">
        <f t="shared" si="269"/>
        <v>0</v>
      </c>
      <c r="AK991" s="317"/>
      <c r="AL991" s="315">
        <f t="shared" si="270"/>
        <v>651502.85506640072</v>
      </c>
      <c r="AN991" s="554">
        <f t="shared" si="271"/>
        <v>0.53897841081773612</v>
      </c>
      <c r="AO991" s="314"/>
      <c r="AP991" s="318"/>
    </row>
    <row r="992" spans="2:42">
      <c r="B992" s="296" t="s">
        <v>1246</v>
      </c>
      <c r="C992" s="299" t="s">
        <v>277</v>
      </c>
      <c r="D992" s="298" t="s">
        <v>904</v>
      </c>
      <c r="E992" s="299" t="s">
        <v>113</v>
      </c>
      <c r="F992" s="299" t="s">
        <v>59</v>
      </c>
      <c r="G992" s="300">
        <v>43871</v>
      </c>
      <c r="H992" s="303">
        <v>2850392.8841238031</v>
      </c>
      <c r="I992" s="301" t="str">
        <f t="shared" si="255"/>
        <v>Ingresos Sección II LISR (SIC &amp; BMV)</v>
      </c>
      <c r="J992" s="302">
        <f t="shared" si="256"/>
        <v>1180</v>
      </c>
      <c r="K992" s="304">
        <f t="shared" si="257"/>
        <v>2415.5871899354265</v>
      </c>
      <c r="L992" s="305">
        <f>IF(H992=0,0,IF(OR(E992=$AT$5,E992=$AT$6),AA992,IF(F992="MXN",1/HLOOKUP(YEAR(G992)+(MONTH(G992)/100),TC!$5:$37,DAY(G992)+2,FALSE),VLOOKUP(F992,Equivalencia!$5:$23,((MAX(Equivalencia!$3:$3)-YEAR(G992))*14)+MONTH(G992)+2,FALSE))))</f>
        <v>1</v>
      </c>
      <c r="M992" s="306">
        <f t="shared" si="258"/>
        <v>2850392.8841238031</v>
      </c>
      <c r="N992" s="305">
        <f>IF(G992=0,0,(IF(OR(E992=$AT$5,E992=$AT$6),AC992,HLOOKUP(YEAR(G992)+(MONTH(G992)/100),TC!$5:$37,DAY(G992)+2,FALSE))))</f>
        <v>18.6645</v>
      </c>
      <c r="O992" s="307">
        <f t="shared" si="259"/>
        <v>53201157.985728726</v>
      </c>
      <c r="P992" s="560">
        <f>IF(G992=0,0,VLOOKUP(YEAR(G992),INPC!$B$4:$P$30,MONTH(G992)+2))</f>
        <v>106.889</v>
      </c>
      <c r="Q992" s="560">
        <f>IF(X992=0,0,IF(OR(E992=$AT$10,E992=$AT$9),VLOOKUP(YEAR(X992),INPC!$B$4:$P$30,MONTH(X992)+1),VLOOKUP(YEAR(X992),INPC!$B$4:$P$30,MONTH(X992)+2,0)))</f>
        <v>122.94799999999999</v>
      </c>
      <c r="R992" s="309">
        <f t="shared" si="260"/>
        <v>1.1501999999999999</v>
      </c>
      <c r="S992" s="310">
        <f t="shared" si="261"/>
        <v>61191971.915185176</v>
      </c>
      <c r="T992" s="555">
        <f t="shared" si="262"/>
        <v>51857.603317953537</v>
      </c>
      <c r="U992" s="311"/>
      <c r="V992" s="312">
        <v>1180</v>
      </c>
      <c r="W992" s="299" t="s">
        <v>194</v>
      </c>
      <c r="X992" s="300">
        <v>44803</v>
      </c>
      <c r="Y992" s="299" t="s">
        <v>59</v>
      </c>
      <c r="Z992" s="303">
        <v>3528184.68</v>
      </c>
      <c r="AA992" s="305">
        <f>IF(Z992=0,0,IF(Y992="MXN",1/HLOOKUP(YEAR(X992)+(MONTH(X992)/100),TC!$5:$37,DAY(X992)+2,FALSE),VLOOKUP(Y992,Equivalencia!$1:$23,((MAX(Equivalencia!$3:$3)-YEAR(X992))*14)+MONTH(X992)+2,FALSE)))</f>
        <v>1</v>
      </c>
      <c r="AB992" s="306">
        <f t="shared" si="263"/>
        <v>3528184.68</v>
      </c>
      <c r="AC992" s="305">
        <f>+IF(X992=0,0,HLOOKUP(YEAR(X992)+(MONTH(X992)/100),TC!$5:$37,DAY(X992)+2,FALSE))</f>
        <v>19.9268</v>
      </c>
      <c r="AD992" s="307">
        <f t="shared" si="264"/>
        <v>70305430.481424004</v>
      </c>
      <c r="AE992" s="314">
        <f t="shared" si="265"/>
        <v>61191971.915185176</v>
      </c>
      <c r="AF992" s="315">
        <f t="shared" si="266"/>
        <v>9113458.566238828</v>
      </c>
      <c r="AG992" s="316">
        <f t="shared" si="267"/>
        <v>2.5534246575342467</v>
      </c>
      <c r="AH992" s="314">
        <v>1</v>
      </c>
      <c r="AI992" s="314">
        <f t="shared" si="268"/>
        <v>9113458.566238828</v>
      </c>
      <c r="AJ992" s="314">
        <f t="shared" si="269"/>
        <v>0</v>
      </c>
      <c r="AK992" s="317"/>
      <c r="AL992" s="315">
        <f t="shared" si="270"/>
        <v>677791.79587619705</v>
      </c>
      <c r="AN992" s="554">
        <f t="shared" si="271"/>
        <v>0.23778890259352684</v>
      </c>
      <c r="AO992" s="314"/>
      <c r="AP992" s="318"/>
    </row>
    <row r="993" spans="2:42">
      <c r="B993" s="296" t="s">
        <v>1246</v>
      </c>
      <c r="C993" s="299" t="s">
        <v>277</v>
      </c>
      <c r="D993" s="298" t="s">
        <v>702</v>
      </c>
      <c r="E993" s="299" t="s">
        <v>113</v>
      </c>
      <c r="F993" s="299" t="s">
        <v>59</v>
      </c>
      <c r="G993" s="300">
        <v>44012</v>
      </c>
      <c r="H993" s="303">
        <v>2105840.0150336926</v>
      </c>
      <c r="I993" s="301" t="str">
        <f t="shared" si="255"/>
        <v>Ingresos Sección II LISR (SIC &amp; BMV)</v>
      </c>
      <c r="J993" s="302">
        <f t="shared" si="256"/>
        <v>818</v>
      </c>
      <c r="K993" s="304">
        <f t="shared" si="257"/>
        <v>2574.3765464959565</v>
      </c>
      <c r="L993" s="305">
        <f>IF(H993=0,0,IF(OR(E993=$AT$5,E993=$AT$6),AA993,IF(F993="MXN",1/HLOOKUP(YEAR(G993)+(MONTH(G993)/100),TC!$5:$37,DAY(G993)+2,FALSE),VLOOKUP(F993,Equivalencia!$5:$23,((MAX(Equivalencia!$3:$3)-YEAR(G993))*14)+MONTH(G993)+2,FALSE))))</f>
        <v>1</v>
      </c>
      <c r="M993" s="306">
        <f t="shared" si="258"/>
        <v>2105840.0150336926</v>
      </c>
      <c r="N993" s="305">
        <f>IF(G993=0,0,(IF(OR(E993=$AT$5,E993=$AT$6),AC993,HLOOKUP(YEAR(G993)+(MONTH(G993)/100),TC!$5:$37,DAY(G993)+2,FALSE))))</f>
        <v>22.971499999999999</v>
      </c>
      <c r="O993" s="307">
        <f t="shared" si="259"/>
        <v>48374303.905346468</v>
      </c>
      <c r="P993" s="560">
        <f>IF(G993=0,0,VLOOKUP(YEAR(G993),INPC!$B$4:$P$30,MONTH(G993)+2))</f>
        <v>106.74299999999999</v>
      </c>
      <c r="Q993" s="560">
        <f>IF(X993=0,0,IF(OR(E993=$AT$10,E993=$AT$9),VLOOKUP(YEAR(X993),INPC!$B$4:$P$30,MONTH(X993)+1),VLOOKUP(YEAR(X993),INPC!$B$4:$P$30,MONTH(X993)+2,0)))</f>
        <v>122.94799999999999</v>
      </c>
      <c r="R993" s="309">
        <f t="shared" si="260"/>
        <v>1.1517999999999999</v>
      </c>
      <c r="S993" s="310">
        <f t="shared" si="261"/>
        <v>55717523.238178059</v>
      </c>
      <c r="T993" s="555">
        <f t="shared" si="262"/>
        <v>68114.331587014749</v>
      </c>
      <c r="U993" s="311"/>
      <c r="V993" s="312">
        <v>818</v>
      </c>
      <c r="W993" s="299" t="s">
        <v>194</v>
      </c>
      <c r="X993" s="300">
        <v>44803</v>
      </c>
      <c r="Y993" s="299" t="s">
        <v>59</v>
      </c>
      <c r="Z993" s="303">
        <v>2482999.3328708131</v>
      </c>
      <c r="AA993" s="305">
        <f>IF(Z993=0,0,IF(Y993="MXN",1/HLOOKUP(YEAR(X993)+(MONTH(X993)/100),TC!$5:$37,DAY(X993)+2,FALSE),VLOOKUP(Y993,Equivalencia!$1:$23,((MAX(Equivalencia!$3:$3)-YEAR(X993))*14)+MONTH(X993)+2,FALSE)))</f>
        <v>1</v>
      </c>
      <c r="AB993" s="306">
        <f t="shared" si="263"/>
        <v>2482999.3328708131</v>
      </c>
      <c r="AC993" s="305">
        <f>+IF(X993=0,0,HLOOKUP(YEAR(X993)+(MONTH(X993)/100),TC!$5:$37,DAY(X993)+2,FALSE))</f>
        <v>19.9268</v>
      </c>
      <c r="AD993" s="307">
        <f t="shared" si="264"/>
        <v>49478231.106250115</v>
      </c>
      <c r="AE993" s="314">
        <f t="shared" si="265"/>
        <v>55717523.238178067</v>
      </c>
      <c r="AF993" s="315">
        <f t="shared" si="266"/>
        <v>-6239292.1319279522</v>
      </c>
      <c r="AG993" s="316">
        <f t="shared" si="267"/>
        <v>2.1671232876712327</v>
      </c>
      <c r="AH993" s="314">
        <v>1</v>
      </c>
      <c r="AI993" s="314">
        <f t="shared" si="268"/>
        <v>-6239292.1319279522</v>
      </c>
      <c r="AJ993" s="314">
        <f t="shared" si="269"/>
        <v>0</v>
      </c>
      <c r="AK993" s="317"/>
      <c r="AL993" s="315">
        <f t="shared" si="270"/>
        <v>377159.3178371205</v>
      </c>
      <c r="AN993" s="554">
        <f t="shared" si="271"/>
        <v>0.17910160085503271</v>
      </c>
      <c r="AO993" s="314"/>
      <c r="AP993" s="318"/>
    </row>
    <row r="994" spans="2:42">
      <c r="B994" s="296" t="s">
        <v>1246</v>
      </c>
      <c r="C994" s="299" t="s">
        <v>277</v>
      </c>
      <c r="D994" s="298" t="s">
        <v>702</v>
      </c>
      <c r="E994" s="299" t="s">
        <v>113</v>
      </c>
      <c r="F994" s="299" t="s">
        <v>59</v>
      </c>
      <c r="G994" s="300">
        <v>44167</v>
      </c>
      <c r="H994" s="303">
        <v>1171882.2091254753</v>
      </c>
      <c r="I994" s="301" t="str">
        <f t="shared" si="255"/>
        <v>Ingresos Sección II LISR (SIC &amp; BMV)</v>
      </c>
      <c r="J994" s="302">
        <f t="shared" si="256"/>
        <v>436</v>
      </c>
      <c r="K994" s="304">
        <f t="shared" si="257"/>
        <v>2687.8032319391637</v>
      </c>
      <c r="L994" s="305">
        <f>IF(H994=0,0,IF(OR(E994=$AT$5,E994=$AT$6),AA994,IF(F994="MXN",1/HLOOKUP(YEAR(G994)+(MONTH(G994)/100),TC!$5:$37,DAY(G994)+2,FALSE),VLOOKUP(F994,Equivalencia!$5:$23,((MAX(Equivalencia!$3:$3)-YEAR(G994))*14)+MONTH(G994)+2,FALSE))))</f>
        <v>1</v>
      </c>
      <c r="M994" s="306">
        <f t="shared" si="258"/>
        <v>1171882.2091254753</v>
      </c>
      <c r="N994" s="305">
        <f>IF(G994=0,0,(IF(OR(E994=$AT$5,E994=$AT$6),AC994,HLOOKUP(YEAR(G994)+(MONTH(G994)/100),TC!$5:$37,DAY(G994)+2,FALSE))))</f>
        <v>20.139800000000001</v>
      </c>
      <c r="O994" s="307">
        <f t="shared" si="259"/>
        <v>23601473.315345246</v>
      </c>
      <c r="P994" s="560">
        <f>IF(G994=0,0,VLOOKUP(YEAR(G994),INPC!$B$4:$P$30,MONTH(G994)+2))</f>
        <v>109.271</v>
      </c>
      <c r="Q994" s="560">
        <f>IF(X994=0,0,IF(OR(E994=$AT$10,E994=$AT$9),VLOOKUP(YEAR(X994),INPC!$B$4:$P$30,MONTH(X994)+1),VLOOKUP(YEAR(X994),INPC!$B$4:$P$30,MONTH(X994)+2,0)))</f>
        <v>122.94799999999999</v>
      </c>
      <c r="R994" s="309">
        <f t="shared" si="260"/>
        <v>1.1251</v>
      </c>
      <c r="S994" s="310">
        <f t="shared" si="261"/>
        <v>26554017.627094936</v>
      </c>
      <c r="T994" s="555">
        <f t="shared" si="262"/>
        <v>60903.71015388747</v>
      </c>
      <c r="U994" s="311"/>
      <c r="V994" s="312">
        <v>436</v>
      </c>
      <c r="W994" s="299" t="s">
        <v>194</v>
      </c>
      <c r="X994" s="300">
        <v>44803</v>
      </c>
      <c r="Y994" s="299" t="s">
        <v>59</v>
      </c>
      <c r="Z994" s="303">
        <v>1323456.8571291866</v>
      </c>
      <c r="AA994" s="305">
        <f>IF(Z994=0,0,IF(Y994="MXN",1/HLOOKUP(YEAR(X994)+(MONTH(X994)/100),TC!$5:$37,DAY(X994)+2,FALSE),VLOOKUP(Y994,Equivalencia!$1:$23,((MAX(Equivalencia!$3:$3)-YEAR(X994))*14)+MONTH(X994)+2,FALSE)))</f>
        <v>1</v>
      </c>
      <c r="AB994" s="306">
        <f t="shared" si="263"/>
        <v>1323456.8571291866</v>
      </c>
      <c r="AC994" s="305">
        <f>+IF(X994=0,0,HLOOKUP(YEAR(X994)+(MONTH(X994)/100),TC!$5:$37,DAY(X994)+2,FALSE))</f>
        <v>19.9268</v>
      </c>
      <c r="AD994" s="307">
        <f t="shared" si="264"/>
        <v>26372260.100641876</v>
      </c>
      <c r="AE994" s="314">
        <f t="shared" si="265"/>
        <v>26554017.627094936</v>
      </c>
      <c r="AF994" s="315">
        <f t="shared" si="266"/>
        <v>-181757.52645305917</v>
      </c>
      <c r="AG994" s="316">
        <f t="shared" si="267"/>
        <v>1.7424657534246575</v>
      </c>
      <c r="AH994" s="314">
        <v>1</v>
      </c>
      <c r="AI994" s="314">
        <f t="shared" si="268"/>
        <v>-181757.52645305917</v>
      </c>
      <c r="AJ994" s="314">
        <f t="shared" si="269"/>
        <v>0</v>
      </c>
      <c r="AK994" s="317"/>
      <c r="AL994" s="315">
        <f t="shared" si="270"/>
        <v>151574.64800371137</v>
      </c>
      <c r="AN994" s="554">
        <f t="shared" si="271"/>
        <v>0.12934290393982936</v>
      </c>
      <c r="AO994" s="314"/>
      <c r="AP994" s="318"/>
    </row>
    <row r="995" spans="2:42">
      <c r="B995" s="296" t="s">
        <v>1246</v>
      </c>
      <c r="C995" s="299" t="s">
        <v>277</v>
      </c>
      <c r="D995" s="298" t="s">
        <v>905</v>
      </c>
      <c r="E995" s="299" t="s">
        <v>113</v>
      </c>
      <c r="F995" s="299" t="s">
        <v>59</v>
      </c>
      <c r="G995" s="300">
        <v>43963</v>
      </c>
      <c r="H995" s="303">
        <v>3721531.6377118188</v>
      </c>
      <c r="I995" s="301" t="str">
        <f t="shared" si="255"/>
        <v>Ingresos Sección II LISR (SIC &amp; BMV)</v>
      </c>
      <c r="J995" s="302">
        <f t="shared" si="256"/>
        <v>1444</v>
      </c>
      <c r="K995" s="304">
        <f t="shared" si="257"/>
        <v>2577.2379762547221</v>
      </c>
      <c r="L995" s="305">
        <f>IF(H995=0,0,IF(OR(E995=$AT$5,E995=$AT$6),AA995,IF(F995="MXN",1/HLOOKUP(YEAR(G995)+(MONTH(G995)/100),TC!$5:$37,DAY(G995)+2,FALSE),VLOOKUP(F995,Equivalencia!$5:$23,((MAX(Equivalencia!$3:$3)-YEAR(G995))*14)+MONTH(G995)+2,FALSE))))</f>
        <v>1</v>
      </c>
      <c r="M995" s="306">
        <f t="shared" si="258"/>
        <v>3721531.6377118188</v>
      </c>
      <c r="N995" s="305">
        <f>IF(G995=0,0,(IF(OR(E995=$AT$5,E995=$AT$6),AC995,HLOOKUP(YEAR(G995)+(MONTH(G995)/100),TC!$5:$37,DAY(G995)+2,FALSE))))</f>
        <v>23.680499999999999</v>
      </c>
      <c r="O995" s="307">
        <f t="shared" si="259"/>
        <v>88127729.946834713</v>
      </c>
      <c r="P995" s="560">
        <f>IF(G995=0,0,VLOOKUP(YEAR(G995),INPC!$B$4:$P$30,MONTH(G995)+2))</f>
        <v>106.16200000000001</v>
      </c>
      <c r="Q995" s="560">
        <f>IF(X995=0,0,IF(OR(E995=$AT$10,E995=$AT$9),VLOOKUP(YEAR(X995),INPC!$B$4:$P$30,MONTH(X995)+1),VLOOKUP(YEAR(X995),INPC!$B$4:$P$30,MONTH(X995)+2,0)))</f>
        <v>122.94799999999999</v>
      </c>
      <c r="R995" s="309">
        <f t="shared" si="260"/>
        <v>1.1580999999999999</v>
      </c>
      <c r="S995" s="310">
        <f t="shared" si="261"/>
        <v>102060724.05142927</v>
      </c>
      <c r="T995" s="555">
        <f t="shared" si="262"/>
        <v>70679.1717807682</v>
      </c>
      <c r="U995" s="311"/>
      <c r="V995" s="312">
        <v>1444</v>
      </c>
      <c r="W995" s="299" t="s">
        <v>194</v>
      </c>
      <c r="X995" s="300">
        <v>44803</v>
      </c>
      <c r="Y995" s="299" t="s">
        <v>59</v>
      </c>
      <c r="Z995" s="303">
        <v>4128595.2700000005</v>
      </c>
      <c r="AA995" s="305">
        <f>IF(Z995=0,0,IF(Y995="MXN",1/HLOOKUP(YEAR(X995)+(MONTH(X995)/100),TC!$5:$37,DAY(X995)+2,FALSE),VLOOKUP(Y995,Equivalencia!$1:$23,((MAX(Equivalencia!$3:$3)-YEAR(X995))*14)+MONTH(X995)+2,FALSE)))</f>
        <v>1</v>
      </c>
      <c r="AB995" s="306">
        <f t="shared" si="263"/>
        <v>4128595.2700000005</v>
      </c>
      <c r="AC995" s="305">
        <f>+IF(X995=0,0,HLOOKUP(YEAR(X995)+(MONTH(X995)/100),TC!$5:$37,DAY(X995)+2,FALSE))</f>
        <v>19.9268</v>
      </c>
      <c r="AD995" s="307">
        <f t="shared" si="264"/>
        <v>82269692.226236016</v>
      </c>
      <c r="AE995" s="314">
        <f t="shared" si="265"/>
        <v>102060724.05142929</v>
      </c>
      <c r="AF995" s="315">
        <f t="shared" si="266"/>
        <v>-19791031.825193271</v>
      </c>
      <c r="AG995" s="316">
        <f t="shared" si="267"/>
        <v>2.3013698630136985</v>
      </c>
      <c r="AH995" s="314">
        <v>1</v>
      </c>
      <c r="AI995" s="314">
        <f t="shared" si="268"/>
        <v>-19791031.825193271</v>
      </c>
      <c r="AJ995" s="314">
        <f t="shared" si="269"/>
        <v>0</v>
      </c>
      <c r="AK995" s="317"/>
      <c r="AL995" s="315">
        <f t="shared" si="270"/>
        <v>407063.63228818169</v>
      </c>
      <c r="AN995" s="554">
        <f t="shared" si="271"/>
        <v>0.10938067223807467</v>
      </c>
      <c r="AO995" s="314"/>
      <c r="AP995" s="318"/>
    </row>
    <row r="996" spans="2:42">
      <c r="B996" s="296" t="s">
        <v>1246</v>
      </c>
      <c r="C996" s="299" t="s">
        <v>277</v>
      </c>
      <c r="D996" s="298" t="s">
        <v>1025</v>
      </c>
      <c r="E996" s="299" t="s">
        <v>113</v>
      </c>
      <c r="F996" s="299" t="s">
        <v>59</v>
      </c>
      <c r="G996" s="300">
        <v>44413</v>
      </c>
      <c r="H996" s="303">
        <v>2178791.3351694914</v>
      </c>
      <c r="I996" s="301" t="str">
        <f t="shared" si="255"/>
        <v>Ingresos Sección II LISR (SIC &amp; BMV)</v>
      </c>
      <c r="J996" s="302">
        <f t="shared" si="256"/>
        <v>1224</v>
      </c>
      <c r="K996" s="304">
        <f t="shared" si="257"/>
        <v>1780.0582803672314</v>
      </c>
      <c r="L996" s="305">
        <f>IF(H996=0,0,IF(OR(E996=$AT$5,E996=$AT$6),AA996,IF(F996="MXN",1/HLOOKUP(YEAR(G996)+(MONTH(G996)/100),TC!$5:$37,DAY(G996)+2,FALSE),VLOOKUP(F996,Equivalencia!$5:$23,((MAX(Equivalencia!$3:$3)-YEAR(G996))*14)+MONTH(G996)+2,FALSE))))</f>
        <v>1</v>
      </c>
      <c r="M996" s="306">
        <f t="shared" si="258"/>
        <v>2178791.3351694914</v>
      </c>
      <c r="N996" s="305">
        <f>IF(G996=0,0,(IF(OR(E996=$AT$5,E996=$AT$6),AC996,HLOOKUP(YEAR(G996)+(MONTH(G996)/100),TC!$5:$37,DAY(G996)+2,FALSE))))</f>
        <v>19.891999999999999</v>
      </c>
      <c r="O996" s="307">
        <f t="shared" si="259"/>
        <v>43340517.239191517</v>
      </c>
      <c r="P996" s="560">
        <f>IF(G996=0,0,VLOOKUP(YEAR(G996),INPC!$B$4:$P$30,MONTH(G996)+2))</f>
        <v>113.899</v>
      </c>
      <c r="Q996" s="560">
        <f>IF(X996=0,0,IF(OR(E996=$AT$10,E996=$AT$9),VLOOKUP(YEAR(X996),INPC!$B$4:$P$30,MONTH(X996)+1),VLOOKUP(YEAR(X996),INPC!$B$4:$P$30,MONTH(X996)+2,0)))</f>
        <v>122.94799999999999</v>
      </c>
      <c r="R996" s="309">
        <f t="shared" si="260"/>
        <v>1.0793999999999999</v>
      </c>
      <c r="S996" s="310">
        <f t="shared" si="261"/>
        <v>46781754.307983316</v>
      </c>
      <c r="T996" s="555">
        <f t="shared" si="262"/>
        <v>38220.387506522318</v>
      </c>
      <c r="U996" s="311"/>
      <c r="V996" s="312">
        <v>1224</v>
      </c>
      <c r="W996" s="299" t="s">
        <v>194</v>
      </c>
      <c r="X996" s="300">
        <v>44803</v>
      </c>
      <c r="Y996" s="299" t="s">
        <v>59</v>
      </c>
      <c r="Z996" s="303">
        <v>1668416.71</v>
      </c>
      <c r="AA996" s="305">
        <f>IF(Z996=0,0,IF(Y996="MXN",1/HLOOKUP(YEAR(X996)+(MONTH(X996)/100),TC!$5:$37,DAY(X996)+2,FALSE),VLOOKUP(Y996,Equivalencia!$1:$23,((MAX(Equivalencia!$3:$3)-YEAR(X996))*14)+MONTH(X996)+2,FALSE)))</f>
        <v>1</v>
      </c>
      <c r="AB996" s="306">
        <f t="shared" si="263"/>
        <v>1668416.71</v>
      </c>
      <c r="AC996" s="305">
        <f>+IF(X996=0,0,HLOOKUP(YEAR(X996)+(MONTH(X996)/100),TC!$5:$37,DAY(X996)+2,FALSE))</f>
        <v>19.9268</v>
      </c>
      <c r="AD996" s="307">
        <f t="shared" si="264"/>
        <v>33246206.096827999</v>
      </c>
      <c r="AE996" s="314">
        <f t="shared" si="265"/>
        <v>46781754.307983316</v>
      </c>
      <c r="AF996" s="315">
        <f t="shared" si="266"/>
        <v>-13535548.211155318</v>
      </c>
      <c r="AG996" s="316">
        <f t="shared" si="267"/>
        <v>1.0684931506849316</v>
      </c>
      <c r="AH996" s="314">
        <v>1</v>
      </c>
      <c r="AI996" s="314">
        <f t="shared" si="268"/>
        <v>-13535548.211155318</v>
      </c>
      <c r="AJ996" s="314">
        <f t="shared" si="269"/>
        <v>0</v>
      </c>
      <c r="AK996" s="317"/>
      <c r="AL996" s="315">
        <f t="shared" si="270"/>
        <v>-510374.6251694914</v>
      </c>
      <c r="AN996" s="554">
        <f t="shared" si="271"/>
        <v>-0.23424667471875577</v>
      </c>
      <c r="AO996" s="314"/>
      <c r="AP996" s="318"/>
    </row>
    <row r="997" spans="2:42">
      <c r="B997" s="296" t="s">
        <v>1246</v>
      </c>
      <c r="C997" s="299" t="s">
        <v>277</v>
      </c>
      <c r="D997" s="298" t="s">
        <v>908</v>
      </c>
      <c r="E997" s="299" t="s">
        <v>113</v>
      </c>
      <c r="F997" s="299" t="s">
        <v>59</v>
      </c>
      <c r="G997" s="300">
        <v>44601</v>
      </c>
      <c r="H997" s="303">
        <v>1313948.8251263392</v>
      </c>
      <c r="I997" s="301" t="str">
        <f t="shared" si="255"/>
        <v>Ingresos Sección II LISR (SIC &amp; BMV)</v>
      </c>
      <c r="J997" s="302">
        <f t="shared" si="256"/>
        <v>1310</v>
      </c>
      <c r="K997" s="304">
        <f t="shared" si="257"/>
        <v>1003.0143703254498</v>
      </c>
      <c r="L997" s="305">
        <f>IF(H997=0,0,IF(OR(E997=$AT$5,E997=$AT$6),AA997,IF(F997="MXN",1/HLOOKUP(YEAR(G997)+(MONTH(G997)/100),TC!$5:$37,DAY(G997)+2,FALSE),VLOOKUP(F997,Equivalencia!$5:$23,((MAX(Equivalencia!$3:$3)-YEAR(G997))*14)+MONTH(G997)+2,FALSE))))</f>
        <v>1</v>
      </c>
      <c r="M997" s="306">
        <f t="shared" si="258"/>
        <v>1313948.8251263392</v>
      </c>
      <c r="N997" s="305">
        <f>IF(G997=0,0,(IF(OR(E997=$AT$5,E997=$AT$6),AC997,HLOOKUP(YEAR(G997)+(MONTH(G997)/100),TC!$5:$37,DAY(G997)+2,FALSE))))</f>
        <v>20.732500000000002</v>
      </c>
      <c r="O997" s="307">
        <f t="shared" si="259"/>
        <v>27241444.016931832</v>
      </c>
      <c r="P997" s="560">
        <f>IF(G997=0,0,VLOOKUP(YEAR(G997),INPC!$B$4:$P$30,MONTH(G997)+2))</f>
        <v>118.98099999999999</v>
      </c>
      <c r="Q997" s="560">
        <f>IF(X997=0,0,IF(OR(E997=$AT$10,E997=$AT$9),VLOOKUP(YEAR(X997),INPC!$B$4:$P$30,MONTH(X997)+1),VLOOKUP(YEAR(X997),INPC!$B$4:$P$30,MONTH(X997)+2,0)))</f>
        <v>122.94799999999999</v>
      </c>
      <c r="R997" s="309">
        <f t="shared" si="260"/>
        <v>1.0333000000000001</v>
      </c>
      <c r="S997" s="310">
        <f t="shared" si="261"/>
        <v>28148584.102695666</v>
      </c>
      <c r="T997" s="555">
        <f t="shared" si="262"/>
        <v>21487.468780683714</v>
      </c>
      <c r="U997" s="311"/>
      <c r="V997" s="312">
        <v>1310</v>
      </c>
      <c r="W997" s="299" t="s">
        <v>194</v>
      </c>
      <c r="X997" s="300">
        <v>44803</v>
      </c>
      <c r="Y997" s="299" t="s">
        <v>59</v>
      </c>
      <c r="Z997" s="303">
        <v>1133456.4099999999</v>
      </c>
      <c r="AA997" s="305">
        <f>IF(Z997=0,0,IF(Y997="MXN",1/HLOOKUP(YEAR(X997)+(MONTH(X997)/100),TC!$5:$37,DAY(X997)+2,FALSE),VLOOKUP(Y997,Equivalencia!$1:$23,((MAX(Equivalencia!$3:$3)-YEAR(X997))*14)+MONTH(X997)+2,FALSE)))</f>
        <v>1</v>
      </c>
      <c r="AB997" s="306">
        <f t="shared" si="263"/>
        <v>1133456.4099999999</v>
      </c>
      <c r="AC997" s="305">
        <f>+IF(X997=0,0,HLOOKUP(YEAR(X997)+(MONTH(X997)/100),TC!$5:$37,DAY(X997)+2,FALSE))</f>
        <v>19.9268</v>
      </c>
      <c r="AD997" s="307">
        <f t="shared" si="264"/>
        <v>22586159.190787997</v>
      </c>
      <c r="AE997" s="314">
        <f t="shared" si="265"/>
        <v>28148584.102695666</v>
      </c>
      <c r="AF997" s="315">
        <f t="shared" si="266"/>
        <v>-5562424.9119076692</v>
      </c>
      <c r="AG997" s="316">
        <f t="shared" si="267"/>
        <v>0.55342465753424652</v>
      </c>
      <c r="AH997" s="314">
        <v>1</v>
      </c>
      <c r="AI997" s="314">
        <f t="shared" si="268"/>
        <v>-5562424.9119076692</v>
      </c>
      <c r="AJ997" s="314">
        <f t="shared" si="269"/>
        <v>0</v>
      </c>
      <c r="AK997" s="317"/>
      <c r="AL997" s="315">
        <f t="shared" si="270"/>
        <v>-180492.4151263393</v>
      </c>
      <c r="AN997" s="554">
        <f t="shared" si="271"/>
        <v>-0.13736639637314987</v>
      </c>
      <c r="AO997" s="314"/>
      <c r="AP997" s="318"/>
    </row>
    <row r="998" spans="2:42">
      <c r="B998" s="296" t="s">
        <v>1246</v>
      </c>
      <c r="C998" s="299" t="s">
        <v>277</v>
      </c>
      <c r="D998" s="298" t="s">
        <v>1020</v>
      </c>
      <c r="E998" s="299" t="s">
        <v>113</v>
      </c>
      <c r="F998" s="299" t="s">
        <v>59</v>
      </c>
      <c r="G998" s="300">
        <v>43752</v>
      </c>
      <c r="H998" s="303">
        <v>984831.63031984342</v>
      </c>
      <c r="I998" s="301" t="str">
        <f t="shared" si="255"/>
        <v>Ingresos Sección II LISR (SIC &amp; BMV)</v>
      </c>
      <c r="J998" s="302">
        <f t="shared" si="256"/>
        <v>551</v>
      </c>
      <c r="K998" s="304">
        <f t="shared" si="257"/>
        <v>1787.3532310704961</v>
      </c>
      <c r="L998" s="305">
        <f>IF(H998=0,0,IF(OR(E998=$AT$5,E998=$AT$6),AA998,IF(F998="MXN",1/HLOOKUP(YEAR(G998)+(MONTH(G998)/100),TC!$5:$37,DAY(G998)+2,FALSE),VLOOKUP(F998,Equivalencia!$5:$23,((MAX(Equivalencia!$3:$3)-YEAR(G998))*14)+MONTH(G998)+2,FALSE))))</f>
        <v>1</v>
      </c>
      <c r="M998" s="306">
        <f t="shared" si="258"/>
        <v>984831.63031984342</v>
      </c>
      <c r="N998" s="305">
        <f>IF(G998=0,0,(IF(OR(E998=$AT$5,E998=$AT$6),AC998,HLOOKUP(YEAR(G998)+(MONTH(G998)/100),TC!$5:$37,DAY(G998)+2,FALSE))))</f>
        <v>19.476400000000002</v>
      </c>
      <c r="O998" s="307">
        <f t="shared" si="259"/>
        <v>19180974.764761399</v>
      </c>
      <c r="P998" s="560">
        <f>IF(G998=0,0,VLOOKUP(YEAR(G998),INPC!$B$4:$P$30,MONTH(G998)+2))</f>
        <v>104.503</v>
      </c>
      <c r="Q998" s="560">
        <f>IF(X998=0,0,IF(OR(E998=$AT$10,E998=$AT$9),VLOOKUP(YEAR(X998),INPC!$B$4:$P$30,MONTH(X998)+1),VLOOKUP(YEAR(X998),INPC!$B$4:$P$30,MONTH(X998)+2,0)))</f>
        <v>122.94799999999999</v>
      </c>
      <c r="R998" s="309">
        <f t="shared" si="260"/>
        <v>1.1765000000000001</v>
      </c>
      <c r="S998" s="310">
        <f t="shared" si="261"/>
        <v>22566416.81074179</v>
      </c>
      <c r="T998" s="555">
        <f t="shared" si="262"/>
        <v>40955.3844115096</v>
      </c>
      <c r="U998" s="311"/>
      <c r="V998" s="312">
        <v>551</v>
      </c>
      <c r="W998" s="299" t="s">
        <v>194</v>
      </c>
      <c r="X998" s="300">
        <v>44803</v>
      </c>
      <c r="Y998" s="299" t="s">
        <v>59</v>
      </c>
      <c r="Z998" s="303">
        <v>1290802.9017473436</v>
      </c>
      <c r="AA998" s="305">
        <f>IF(Z998=0,0,IF(Y998="MXN",1/HLOOKUP(YEAR(X998)+(MONTH(X998)/100),TC!$5:$37,DAY(X998)+2,FALSE),VLOOKUP(Y998,Equivalencia!$1:$23,((MAX(Equivalencia!$3:$3)-YEAR(X998))*14)+MONTH(X998)+2,FALSE)))</f>
        <v>1</v>
      </c>
      <c r="AB998" s="306">
        <f t="shared" si="263"/>
        <v>1290802.9017473436</v>
      </c>
      <c r="AC998" s="305">
        <f>+IF(X998=0,0,HLOOKUP(YEAR(X998)+(MONTH(X998)/100),TC!$5:$37,DAY(X998)+2,FALSE))</f>
        <v>19.9268</v>
      </c>
      <c r="AD998" s="307">
        <f t="shared" si="264"/>
        <v>25721571.262538966</v>
      </c>
      <c r="AE998" s="314">
        <f t="shared" si="265"/>
        <v>22566416.81074179</v>
      </c>
      <c r="AF998" s="315">
        <f t="shared" si="266"/>
        <v>3155154.4517971762</v>
      </c>
      <c r="AG998" s="316">
        <f t="shared" si="267"/>
        <v>2.8794520547945206</v>
      </c>
      <c r="AH998" s="314">
        <v>1</v>
      </c>
      <c r="AI998" s="314">
        <f t="shared" si="268"/>
        <v>3155154.4517971762</v>
      </c>
      <c r="AJ998" s="314">
        <f t="shared" si="269"/>
        <v>0</v>
      </c>
      <c r="AK998" s="317"/>
      <c r="AL998" s="315">
        <f t="shared" si="270"/>
        <v>305971.27142750018</v>
      </c>
      <c r="AN998" s="554">
        <f t="shared" si="271"/>
        <v>0.3106838387472689</v>
      </c>
      <c r="AO998" s="314"/>
      <c r="AP998" s="318"/>
    </row>
    <row r="999" spans="2:42">
      <c r="B999" s="296" t="s">
        <v>1246</v>
      </c>
      <c r="C999" s="299" t="s">
        <v>277</v>
      </c>
      <c r="D999" s="298" t="s">
        <v>1020</v>
      </c>
      <c r="E999" s="299" t="s">
        <v>113</v>
      </c>
      <c r="F999" s="299" t="s">
        <v>59</v>
      </c>
      <c r="G999" s="300">
        <v>43934</v>
      </c>
      <c r="H999" s="303">
        <v>612437.02471153846</v>
      </c>
      <c r="I999" s="301" t="str">
        <f t="shared" si="255"/>
        <v>Ingresos Sección II LISR (SIC &amp; BMV)</v>
      </c>
      <c r="J999" s="302">
        <f t="shared" si="256"/>
        <v>296</v>
      </c>
      <c r="K999" s="304">
        <f t="shared" si="257"/>
        <v>2069.0440024038462</v>
      </c>
      <c r="L999" s="305">
        <f>IF(H999=0,0,IF(OR(E999=$AT$5,E999=$AT$6),AA999,IF(F999="MXN",1/HLOOKUP(YEAR(G999)+(MONTH(G999)/100),TC!$5:$37,DAY(G999)+2,FALSE),VLOOKUP(F999,Equivalencia!$5:$23,((MAX(Equivalencia!$3:$3)-YEAR(G999))*14)+MONTH(G999)+2,FALSE))))</f>
        <v>1</v>
      </c>
      <c r="M999" s="306">
        <f t="shared" si="258"/>
        <v>612437.02471153846</v>
      </c>
      <c r="N999" s="305">
        <f>IF(G999=0,0,(IF(OR(E999=$AT$5,E999=$AT$6),AC999,HLOOKUP(YEAR(G999)+(MONTH(G999)/100),TC!$5:$37,DAY(G999)+2,FALSE))))</f>
        <v>24.038799999999998</v>
      </c>
      <c r="O999" s="307">
        <f t="shared" si="259"/>
        <v>14722251.14963573</v>
      </c>
      <c r="P999" s="560">
        <f>IF(G999=0,0,VLOOKUP(YEAR(G999),INPC!$B$4:$P$30,MONTH(G999)+2))</f>
        <v>105.755</v>
      </c>
      <c r="Q999" s="560">
        <f>IF(X999=0,0,IF(OR(E999=$AT$10,E999=$AT$9),VLOOKUP(YEAR(X999),INPC!$B$4:$P$30,MONTH(X999)+1),VLOOKUP(YEAR(X999),INPC!$B$4:$P$30,MONTH(X999)+2,0)))</f>
        <v>122.94799999999999</v>
      </c>
      <c r="R999" s="309">
        <f t="shared" si="260"/>
        <v>1.1625000000000001</v>
      </c>
      <c r="S999" s="310">
        <f t="shared" si="261"/>
        <v>17114616.961451538</v>
      </c>
      <c r="T999" s="555">
        <f t="shared" si="262"/>
        <v>57819.651896795738</v>
      </c>
      <c r="U999" s="311"/>
      <c r="V999" s="312">
        <v>296</v>
      </c>
      <c r="W999" s="299" t="s">
        <v>194</v>
      </c>
      <c r="X999" s="300">
        <v>44803</v>
      </c>
      <c r="Y999" s="299" t="s">
        <v>59</v>
      </c>
      <c r="Z999" s="303">
        <v>693425.87825265655</v>
      </c>
      <c r="AA999" s="305">
        <f>IF(Z999=0,0,IF(Y999="MXN",1/HLOOKUP(YEAR(X999)+(MONTH(X999)/100),TC!$5:$37,DAY(X999)+2,FALSE),VLOOKUP(Y999,Equivalencia!$1:$23,((MAX(Equivalencia!$3:$3)-YEAR(X999))*14)+MONTH(X999)+2,FALSE)))</f>
        <v>1</v>
      </c>
      <c r="AB999" s="306">
        <f t="shared" si="263"/>
        <v>693425.87825265655</v>
      </c>
      <c r="AC999" s="305">
        <f>+IF(X999=0,0,HLOOKUP(YEAR(X999)+(MONTH(X999)/100),TC!$5:$37,DAY(X999)+2,FALSE))</f>
        <v>19.9268</v>
      </c>
      <c r="AD999" s="307">
        <f t="shared" si="264"/>
        <v>13817758.790765036</v>
      </c>
      <c r="AE999" s="314">
        <f t="shared" si="265"/>
        <v>17114616.961451538</v>
      </c>
      <c r="AF999" s="315">
        <f t="shared" si="266"/>
        <v>-3296858.170686502</v>
      </c>
      <c r="AG999" s="316">
        <f t="shared" si="267"/>
        <v>2.3808219178082193</v>
      </c>
      <c r="AH999" s="314">
        <v>1</v>
      </c>
      <c r="AI999" s="314">
        <f t="shared" si="268"/>
        <v>-3296858.170686502</v>
      </c>
      <c r="AJ999" s="314">
        <f t="shared" si="269"/>
        <v>0</v>
      </c>
      <c r="AK999" s="317"/>
      <c r="AL999" s="315">
        <f t="shared" si="270"/>
        <v>80988.853541118093</v>
      </c>
      <c r="AN999" s="554">
        <f t="shared" si="271"/>
        <v>0.13224029618272071</v>
      </c>
      <c r="AO999" s="314"/>
      <c r="AP999" s="318"/>
    </row>
    <row r="1000" spans="2:42">
      <c r="B1000" s="296" t="s">
        <v>1246</v>
      </c>
      <c r="C1000" s="299" t="s">
        <v>277</v>
      </c>
      <c r="D1000" s="298" t="s">
        <v>863</v>
      </c>
      <c r="E1000" s="299" t="s">
        <v>113</v>
      </c>
      <c r="F1000" s="299" t="s">
        <v>59</v>
      </c>
      <c r="G1000" s="300">
        <v>43649</v>
      </c>
      <c r="H1000" s="303">
        <v>2486908.1033550892</v>
      </c>
      <c r="I1000" s="301" t="str">
        <f t="shared" si="255"/>
        <v>Ingresos Sección II LISR (SIC &amp; BMV)</v>
      </c>
      <c r="J1000" s="302">
        <f t="shared" si="256"/>
        <v>2343</v>
      </c>
      <c r="K1000" s="304">
        <f t="shared" si="257"/>
        <v>1061.4204453073364</v>
      </c>
      <c r="L1000" s="305">
        <f>IF(H1000=0,0,IF(OR(E1000=$AT$5,E1000=$AT$6),AA1000,IF(F1000="MXN",1/HLOOKUP(YEAR(G1000)+(MONTH(G1000)/100),TC!$5:$37,DAY(G1000)+2,FALSE),VLOOKUP(F1000,Equivalencia!$5:$23,((MAX(Equivalencia!$3:$3)-YEAR(G1000))*14)+MONTH(G1000)+2,FALSE))))</f>
        <v>1</v>
      </c>
      <c r="M1000" s="306">
        <f t="shared" si="258"/>
        <v>2486908.1033550892</v>
      </c>
      <c r="N1000" s="305">
        <f>IF(G1000=0,0,(IF(OR(E1000=$AT$5,E1000=$AT$6),AC1000,HLOOKUP(YEAR(G1000)+(MONTH(G1000)/100),TC!$5:$37,DAY(G1000)+2,FALSE))))</f>
        <v>19.076000000000001</v>
      </c>
      <c r="O1000" s="307">
        <f t="shared" si="259"/>
        <v>47440258.979601681</v>
      </c>
      <c r="P1000" s="560">
        <f>IF(G1000=0,0,VLOOKUP(YEAR(G1000),INPC!$B$4:$P$30,MONTH(G1000)+2))</f>
        <v>103.687</v>
      </c>
      <c r="Q1000" s="560">
        <f>IF(X1000=0,0,IF(OR(E1000=$AT$10,E1000=$AT$9),VLOOKUP(YEAR(X1000),INPC!$B$4:$P$30,MONTH(X1000)+1),VLOOKUP(YEAR(X1000),INPC!$B$4:$P$30,MONTH(X1000)+2,0)))</f>
        <v>122.94799999999999</v>
      </c>
      <c r="R1000" s="309">
        <f t="shared" si="260"/>
        <v>1.1857</v>
      </c>
      <c r="S1000" s="310">
        <f t="shared" si="261"/>
        <v>56249915.072113715</v>
      </c>
      <c r="T1000" s="555">
        <f t="shared" si="262"/>
        <v>24007.646210889336</v>
      </c>
      <c r="U1000" s="311"/>
      <c r="V1000" s="312">
        <v>2343</v>
      </c>
      <c r="W1000" s="299" t="s">
        <v>194</v>
      </c>
      <c r="X1000" s="300">
        <v>44803</v>
      </c>
      <c r="Y1000" s="299" t="s">
        <v>59</v>
      </c>
      <c r="Z1000" s="303">
        <v>2533550.54</v>
      </c>
      <c r="AA1000" s="305">
        <f>IF(Z1000=0,0,IF(Y1000="MXN",1/HLOOKUP(YEAR(X1000)+(MONTH(X1000)/100),TC!$5:$37,DAY(X1000)+2,FALSE),VLOOKUP(Y1000,Equivalencia!$1:$23,((MAX(Equivalencia!$3:$3)-YEAR(X1000))*14)+MONTH(X1000)+2,FALSE)))</f>
        <v>1</v>
      </c>
      <c r="AB1000" s="306">
        <f t="shared" si="263"/>
        <v>2533550.54</v>
      </c>
      <c r="AC1000" s="305">
        <f>+IF(X1000=0,0,HLOOKUP(YEAR(X1000)+(MONTH(X1000)/100),TC!$5:$37,DAY(X1000)+2,FALSE))</f>
        <v>19.9268</v>
      </c>
      <c r="AD1000" s="307">
        <f t="shared" si="264"/>
        <v>50485554.900472</v>
      </c>
      <c r="AE1000" s="314">
        <f t="shared" si="265"/>
        <v>56249915.072113715</v>
      </c>
      <c r="AF1000" s="315">
        <f t="shared" si="266"/>
        <v>-5764360.1716417149</v>
      </c>
      <c r="AG1000" s="316">
        <f t="shared" si="267"/>
        <v>3.1616438356164385</v>
      </c>
      <c r="AH1000" s="314">
        <v>1</v>
      </c>
      <c r="AI1000" s="314">
        <f t="shared" si="268"/>
        <v>-5764360.1716417149</v>
      </c>
      <c r="AJ1000" s="314">
        <f t="shared" si="269"/>
        <v>0</v>
      </c>
      <c r="AK1000" s="317"/>
      <c r="AL1000" s="315">
        <f t="shared" si="270"/>
        <v>46642.436644910835</v>
      </c>
      <c r="AN1000" s="554">
        <f t="shared" si="271"/>
        <v>1.8755191067167096E-2</v>
      </c>
      <c r="AO1000" s="314"/>
      <c r="AP1000" s="318"/>
    </row>
    <row r="1001" spans="2:42">
      <c r="B1001" s="296" t="s">
        <v>1246</v>
      </c>
      <c r="C1001" s="299" t="s">
        <v>277</v>
      </c>
      <c r="D1001" s="298" t="s">
        <v>909</v>
      </c>
      <c r="E1001" s="299" t="s">
        <v>113</v>
      </c>
      <c r="F1001" s="299" t="s">
        <v>59</v>
      </c>
      <c r="G1001" s="300">
        <v>43649</v>
      </c>
      <c r="H1001" s="303">
        <v>1704538.3742060752</v>
      </c>
      <c r="I1001" s="301" t="str">
        <f t="shared" si="255"/>
        <v>Ingresos Sección II LISR (SIC &amp; BMV)</v>
      </c>
      <c r="J1001" s="302">
        <f t="shared" si="256"/>
        <v>1271</v>
      </c>
      <c r="K1001" s="304">
        <f t="shared" si="257"/>
        <v>1341.1002157404212</v>
      </c>
      <c r="L1001" s="305">
        <f>IF(H1001=0,0,IF(OR(E1001=$AT$5,E1001=$AT$6),AA1001,IF(F1001="MXN",1/HLOOKUP(YEAR(G1001)+(MONTH(G1001)/100),TC!$5:$37,DAY(G1001)+2,FALSE),VLOOKUP(F1001,Equivalencia!$5:$23,((MAX(Equivalencia!$3:$3)-YEAR(G1001))*14)+MONTH(G1001)+2,FALSE))))</f>
        <v>1</v>
      </c>
      <c r="M1001" s="306">
        <f t="shared" si="258"/>
        <v>1704538.3742060752</v>
      </c>
      <c r="N1001" s="305">
        <f>IF(G1001=0,0,(IF(OR(E1001=$AT$5,E1001=$AT$6),AC1001,HLOOKUP(YEAR(G1001)+(MONTH(G1001)/100),TC!$5:$37,DAY(G1001)+2,FALSE))))</f>
        <v>19.076000000000001</v>
      </c>
      <c r="O1001" s="307">
        <f t="shared" si="259"/>
        <v>32515774.026355091</v>
      </c>
      <c r="P1001" s="560">
        <f>IF(G1001=0,0,VLOOKUP(YEAR(G1001),INPC!$B$4:$P$30,MONTH(G1001)+2))</f>
        <v>103.687</v>
      </c>
      <c r="Q1001" s="560">
        <f>IF(X1001=0,0,IF(OR(E1001=$AT$10,E1001=$AT$9),VLOOKUP(YEAR(X1001),INPC!$B$4:$P$30,MONTH(X1001)+1),VLOOKUP(YEAR(X1001),INPC!$B$4:$P$30,MONTH(X1001)+2,0)))</f>
        <v>122.94799999999999</v>
      </c>
      <c r="R1001" s="309">
        <f t="shared" si="260"/>
        <v>1.1857</v>
      </c>
      <c r="S1001" s="310">
        <f t="shared" si="261"/>
        <v>38553953.26304923</v>
      </c>
      <c r="T1001" s="555">
        <f t="shared" si="262"/>
        <v>30333.558822225987</v>
      </c>
      <c r="U1001" s="311"/>
      <c r="V1001" s="312">
        <v>1271</v>
      </c>
      <c r="W1001" s="299" t="s">
        <v>194</v>
      </c>
      <c r="X1001" s="300">
        <v>44803</v>
      </c>
      <c r="Y1001" s="299" t="s">
        <v>59</v>
      </c>
      <c r="Z1001" s="303">
        <v>1693450.2600000002</v>
      </c>
      <c r="AA1001" s="305">
        <f>IF(Z1001=0,0,IF(Y1001="MXN",1/HLOOKUP(YEAR(X1001)+(MONTH(X1001)/100),TC!$5:$37,DAY(X1001)+2,FALSE),VLOOKUP(Y1001,Equivalencia!$1:$23,((MAX(Equivalencia!$3:$3)-YEAR(X1001))*14)+MONTH(X1001)+2,FALSE)))</f>
        <v>1</v>
      </c>
      <c r="AB1001" s="306">
        <f t="shared" si="263"/>
        <v>1693450.2600000002</v>
      </c>
      <c r="AC1001" s="305">
        <f>+IF(X1001=0,0,HLOOKUP(YEAR(X1001)+(MONTH(X1001)/100),TC!$5:$37,DAY(X1001)+2,FALSE))</f>
        <v>19.9268</v>
      </c>
      <c r="AD1001" s="307">
        <f t="shared" si="264"/>
        <v>33745044.640968002</v>
      </c>
      <c r="AE1001" s="314">
        <f t="shared" si="265"/>
        <v>38553953.26304923</v>
      </c>
      <c r="AF1001" s="315">
        <f t="shared" si="266"/>
        <v>-4808908.6220812276</v>
      </c>
      <c r="AG1001" s="316">
        <f t="shared" si="267"/>
        <v>3.1616438356164385</v>
      </c>
      <c r="AH1001" s="314">
        <v>1</v>
      </c>
      <c r="AI1001" s="314">
        <f t="shared" si="268"/>
        <v>-4808908.6220812276</v>
      </c>
      <c r="AJ1001" s="314">
        <f t="shared" si="269"/>
        <v>0</v>
      </c>
      <c r="AK1001" s="317"/>
      <c r="AL1001" s="315">
        <f t="shared" si="270"/>
        <v>-11088.11420607497</v>
      </c>
      <c r="AN1001" s="554">
        <f t="shared" si="271"/>
        <v>-6.5050540215848725E-3</v>
      </c>
      <c r="AO1001" s="314"/>
      <c r="AP1001" s="318"/>
    </row>
    <row r="1002" spans="2:42">
      <c r="B1002" s="296" t="s">
        <v>1246</v>
      </c>
      <c r="C1002" s="299" t="s">
        <v>277</v>
      </c>
      <c r="D1002" s="298" t="s">
        <v>862</v>
      </c>
      <c r="E1002" s="299" t="s">
        <v>113</v>
      </c>
      <c r="F1002" s="299" t="s">
        <v>59</v>
      </c>
      <c r="G1002" s="300">
        <v>44635</v>
      </c>
      <c r="H1002" s="303">
        <v>7348592.7699999996</v>
      </c>
      <c r="I1002" s="301" t="str">
        <f t="shared" si="255"/>
        <v>Ingresos Sección II LISR (SIC &amp; BMV)</v>
      </c>
      <c r="J1002" s="302">
        <f t="shared" si="256"/>
        <v>4052</v>
      </c>
      <c r="K1002" s="304">
        <f t="shared" si="257"/>
        <v>1813.5717596248764</v>
      </c>
      <c r="L1002" s="305">
        <f>IF(H1002=0,0,IF(OR(E1002=$AT$5,E1002=$AT$6),AA1002,IF(F1002="MXN",1/HLOOKUP(YEAR(G1002)+(MONTH(G1002)/100),TC!$5:$37,DAY(G1002)+2,FALSE),VLOOKUP(F1002,Equivalencia!$5:$23,((MAX(Equivalencia!$3:$3)-YEAR(G1002))*14)+MONTH(G1002)+2,FALSE))))</f>
        <v>1</v>
      </c>
      <c r="M1002" s="306">
        <f t="shared" si="258"/>
        <v>7348592.7699999996</v>
      </c>
      <c r="N1002" s="305">
        <f>IF(G1002=0,0,(IF(OR(E1002=$AT$5,E1002=$AT$6),AC1002,HLOOKUP(YEAR(G1002)+(MONTH(G1002)/100),TC!$5:$37,DAY(G1002)+2,FALSE))))</f>
        <v>20.9695</v>
      </c>
      <c r="O1002" s="307">
        <f t="shared" si="259"/>
        <v>154096316.09051499</v>
      </c>
      <c r="P1002" s="560">
        <f>IF(G1002=0,0,VLOOKUP(YEAR(G1002),INPC!$B$4:$P$30,MONTH(G1002)+2))</f>
        <v>120.15900000000001</v>
      </c>
      <c r="Q1002" s="560">
        <f>IF(X1002=0,0,IF(OR(E1002=$AT$10,E1002=$AT$9),VLOOKUP(YEAR(X1002),INPC!$B$4:$P$30,MONTH(X1002)+1),VLOOKUP(YEAR(X1002),INPC!$B$4:$P$30,MONTH(X1002)+2,0)))</f>
        <v>122.94799999999999</v>
      </c>
      <c r="R1002" s="309">
        <f t="shared" si="260"/>
        <v>1.0232000000000001</v>
      </c>
      <c r="S1002" s="310">
        <f t="shared" si="261"/>
        <v>157671350.62381494</v>
      </c>
      <c r="T1002" s="555">
        <f t="shared" si="262"/>
        <v>38911.981891365976</v>
      </c>
      <c r="U1002" s="311"/>
      <c r="V1002" s="312">
        <v>4052</v>
      </c>
      <c r="W1002" s="299" t="s">
        <v>194</v>
      </c>
      <c r="X1002" s="300">
        <v>44803</v>
      </c>
      <c r="Y1002" s="299" t="s">
        <v>59</v>
      </c>
      <c r="Z1002" s="303">
        <v>6047269.9930244014</v>
      </c>
      <c r="AA1002" s="305">
        <f>IF(Z1002=0,0,IF(Y1002="MXN",1/HLOOKUP(YEAR(X1002)+(MONTH(X1002)/100),TC!$5:$37,DAY(X1002)+2,FALSE),VLOOKUP(Y1002,Equivalencia!$1:$23,((MAX(Equivalencia!$3:$3)-YEAR(X1002))*14)+MONTH(X1002)+2,FALSE)))</f>
        <v>1</v>
      </c>
      <c r="AB1002" s="306">
        <f t="shared" si="263"/>
        <v>6047269.9930244014</v>
      </c>
      <c r="AC1002" s="305">
        <f>+IF(X1002=0,0,HLOOKUP(YEAR(X1002)+(MONTH(X1002)/100),TC!$5:$37,DAY(X1002)+2,FALSE))</f>
        <v>19.9268</v>
      </c>
      <c r="AD1002" s="307">
        <f t="shared" si="264"/>
        <v>120502739.69699864</v>
      </c>
      <c r="AE1002" s="314">
        <f t="shared" si="265"/>
        <v>157671350.62381494</v>
      </c>
      <c r="AF1002" s="315">
        <f t="shared" si="266"/>
        <v>-37168610.9268163</v>
      </c>
      <c r="AG1002" s="316">
        <f t="shared" si="267"/>
        <v>0.46027397260273972</v>
      </c>
      <c r="AH1002" s="314">
        <v>1</v>
      </c>
      <c r="AI1002" s="314">
        <f t="shared" si="268"/>
        <v>-37168610.9268163</v>
      </c>
      <c r="AJ1002" s="314">
        <f t="shared" si="269"/>
        <v>0</v>
      </c>
      <c r="AK1002" s="317"/>
      <c r="AL1002" s="315">
        <f t="shared" si="270"/>
        <v>-1301322.7769755982</v>
      </c>
      <c r="AN1002" s="554">
        <f t="shared" si="271"/>
        <v>-0.17708462255360469</v>
      </c>
      <c r="AO1002" s="314"/>
      <c r="AP1002" s="318"/>
    </row>
    <row r="1003" spans="2:42">
      <c r="B1003" s="296" t="s">
        <v>1246</v>
      </c>
      <c r="C1003" s="299" t="s">
        <v>277</v>
      </c>
      <c r="D1003" s="298" t="s">
        <v>862</v>
      </c>
      <c r="E1003" s="299" t="s">
        <v>113</v>
      </c>
      <c r="F1003" s="299" t="s">
        <v>59</v>
      </c>
      <c r="G1003" s="300">
        <v>44764</v>
      </c>
      <c r="H1003" s="303">
        <v>628236.26</v>
      </c>
      <c r="I1003" s="301" t="str">
        <f t="shared" si="255"/>
        <v>Ingresos Sección II LISR (SIC &amp; BMV)</v>
      </c>
      <c r="J1003" s="302">
        <f t="shared" si="256"/>
        <v>415</v>
      </c>
      <c r="K1003" s="304">
        <f t="shared" si="257"/>
        <v>1513.822313253012</v>
      </c>
      <c r="L1003" s="305">
        <f>IF(H1003=0,0,IF(OR(E1003=$AT$5,E1003=$AT$6),AA1003,IF(F1003="MXN",1/HLOOKUP(YEAR(G1003)+(MONTH(G1003)/100),TC!$5:$37,DAY(G1003)+2,FALSE),VLOOKUP(F1003,Equivalencia!$5:$23,((MAX(Equivalencia!$3:$3)-YEAR(G1003))*14)+MONTH(G1003)+2,FALSE))))</f>
        <v>1</v>
      </c>
      <c r="M1003" s="306">
        <f t="shared" si="258"/>
        <v>628236.26</v>
      </c>
      <c r="N1003" s="305">
        <f>IF(G1003=0,0,(IF(OR(E1003=$AT$5,E1003=$AT$6),AC1003,HLOOKUP(YEAR(G1003)+(MONTH(G1003)/100),TC!$5:$37,DAY(G1003)+2,FALSE))))</f>
        <v>20.491299999999999</v>
      </c>
      <c r="O1003" s="307">
        <f t="shared" si="259"/>
        <v>12873377.674538</v>
      </c>
      <c r="P1003" s="560">
        <f>IF(G1003=0,0,VLOOKUP(YEAR(G1003),INPC!$B$4:$P$30,MONTH(G1003)+2))</f>
        <v>122.94799999999999</v>
      </c>
      <c r="Q1003" s="560">
        <f>IF(X1003=0,0,IF(OR(E1003=$AT$10,E1003=$AT$9),VLOOKUP(YEAR(X1003),INPC!$B$4:$P$30,MONTH(X1003)+1),VLOOKUP(YEAR(X1003),INPC!$B$4:$P$30,MONTH(X1003)+2,0)))</f>
        <v>122.94799999999999</v>
      </c>
      <c r="R1003" s="309">
        <f t="shared" si="260"/>
        <v>1</v>
      </c>
      <c r="S1003" s="310">
        <f t="shared" si="261"/>
        <v>12873377.674538</v>
      </c>
      <c r="T1003" s="555">
        <f t="shared" si="262"/>
        <v>31020.187167561446</v>
      </c>
      <c r="U1003" s="311"/>
      <c r="V1003" s="312">
        <v>415</v>
      </c>
      <c r="W1003" s="299" t="s">
        <v>194</v>
      </c>
      <c r="X1003" s="300">
        <v>44803</v>
      </c>
      <c r="Y1003" s="299" t="s">
        <v>59</v>
      </c>
      <c r="Z1003" s="303">
        <v>619352.67697559879</v>
      </c>
      <c r="AA1003" s="305">
        <f>IF(Z1003=0,0,IF(Y1003="MXN",1/HLOOKUP(YEAR(X1003)+(MONTH(X1003)/100),TC!$5:$37,DAY(X1003)+2,FALSE),VLOOKUP(Y1003,Equivalencia!$1:$23,((MAX(Equivalencia!$3:$3)-YEAR(X1003))*14)+MONTH(X1003)+2,FALSE)))</f>
        <v>1</v>
      </c>
      <c r="AB1003" s="306">
        <f t="shared" si="263"/>
        <v>619352.67697559879</v>
      </c>
      <c r="AC1003" s="305">
        <f>+IF(X1003=0,0,HLOOKUP(YEAR(X1003)+(MONTH(X1003)/100),TC!$5:$37,DAY(X1003)+2,FALSE))</f>
        <v>19.9268</v>
      </c>
      <c r="AD1003" s="307">
        <f t="shared" si="264"/>
        <v>12341716.923557362</v>
      </c>
      <c r="AE1003" s="314">
        <f t="shared" si="265"/>
        <v>12873377.674538</v>
      </c>
      <c r="AF1003" s="315">
        <f t="shared" si="266"/>
        <v>-531660.75098063797</v>
      </c>
      <c r="AG1003" s="316">
        <f t="shared" si="267"/>
        <v>0.10684931506849316</v>
      </c>
      <c r="AH1003" s="314">
        <v>1</v>
      </c>
      <c r="AI1003" s="314">
        <f t="shared" si="268"/>
        <v>-531660.75098063797</v>
      </c>
      <c r="AJ1003" s="314">
        <f t="shared" si="269"/>
        <v>0</v>
      </c>
      <c r="AK1003" s="317"/>
      <c r="AL1003" s="315">
        <f t="shared" si="270"/>
        <v>-8883.5830244012177</v>
      </c>
      <c r="AN1003" s="554">
        <f t="shared" si="271"/>
        <v>-1.4140513036291821E-2</v>
      </c>
      <c r="AO1003" s="314"/>
      <c r="AP1003" s="318"/>
    </row>
    <row r="1004" spans="2:42">
      <c r="B1004" s="296" t="s">
        <v>1246</v>
      </c>
      <c r="C1004" s="299" t="s">
        <v>277</v>
      </c>
      <c r="D1004" s="298" t="s">
        <v>1026</v>
      </c>
      <c r="E1004" s="299" t="s">
        <v>113</v>
      </c>
      <c r="F1004" s="299" t="s">
        <v>59</v>
      </c>
      <c r="G1004" s="300">
        <v>44764</v>
      </c>
      <c r="H1004" s="303">
        <v>1409781.5638009312</v>
      </c>
      <c r="I1004" s="301" t="str">
        <f t="shared" si="255"/>
        <v>Ingresos Sección II LISR (SIC &amp; BMV)</v>
      </c>
      <c r="J1004" s="302">
        <f t="shared" si="256"/>
        <v>1323</v>
      </c>
      <c r="K1004" s="304">
        <f t="shared" si="257"/>
        <v>1065.5945304617771</v>
      </c>
      <c r="L1004" s="305">
        <f>IF(H1004=0,0,IF(OR(E1004=$AT$5,E1004=$AT$6),AA1004,IF(F1004="MXN",1/HLOOKUP(YEAR(G1004)+(MONTH(G1004)/100),TC!$5:$37,DAY(G1004)+2,FALSE),VLOOKUP(F1004,Equivalencia!$5:$23,((MAX(Equivalencia!$3:$3)-YEAR(G1004))*14)+MONTH(G1004)+2,FALSE))))</f>
        <v>1</v>
      </c>
      <c r="M1004" s="306">
        <f t="shared" si="258"/>
        <v>1409781.5638009312</v>
      </c>
      <c r="N1004" s="305">
        <f>IF(G1004=0,0,(IF(OR(E1004=$AT$5,E1004=$AT$6),AC1004,HLOOKUP(YEAR(G1004)+(MONTH(G1004)/100),TC!$5:$37,DAY(G1004)+2,FALSE))))</f>
        <v>20.491299999999999</v>
      </c>
      <c r="O1004" s="307">
        <f t="shared" si="259"/>
        <v>28888256.95831402</v>
      </c>
      <c r="P1004" s="560">
        <f>IF(G1004=0,0,VLOOKUP(YEAR(G1004),INPC!$B$4:$P$30,MONTH(G1004)+2))</f>
        <v>122.94799999999999</v>
      </c>
      <c r="Q1004" s="560">
        <f>IF(X1004=0,0,IF(OR(E1004=$AT$10,E1004=$AT$9),VLOOKUP(YEAR(X1004),INPC!$B$4:$P$30,MONTH(X1004)+1),VLOOKUP(YEAR(X1004),INPC!$B$4:$P$30,MONTH(X1004)+2,0)))</f>
        <v>122.94799999999999</v>
      </c>
      <c r="R1004" s="309">
        <f t="shared" si="260"/>
        <v>1</v>
      </c>
      <c r="S1004" s="310">
        <f t="shared" si="261"/>
        <v>28888256.95831402</v>
      </c>
      <c r="T1004" s="555">
        <f t="shared" si="262"/>
        <v>21835.417202051412</v>
      </c>
      <c r="U1004" s="311"/>
      <c r="V1004" s="312">
        <v>1323</v>
      </c>
      <c r="W1004" s="299" t="s">
        <v>194</v>
      </c>
      <c r="X1004" s="300">
        <v>44803</v>
      </c>
      <c r="Y1004" s="299" t="s">
        <v>59</v>
      </c>
      <c r="Z1004" s="303">
        <v>1297305.28</v>
      </c>
      <c r="AA1004" s="305">
        <f>IF(Z1004=0,0,IF(Y1004="MXN",1/HLOOKUP(YEAR(X1004)+(MONTH(X1004)/100),TC!$5:$37,DAY(X1004)+2,FALSE),VLOOKUP(Y1004,Equivalencia!$1:$23,((MAX(Equivalencia!$3:$3)-YEAR(X1004))*14)+MONTH(X1004)+2,FALSE)))</f>
        <v>1</v>
      </c>
      <c r="AB1004" s="306">
        <f t="shared" si="263"/>
        <v>1297305.28</v>
      </c>
      <c r="AC1004" s="305">
        <f>+IF(X1004=0,0,HLOOKUP(YEAR(X1004)+(MONTH(X1004)/100),TC!$5:$37,DAY(X1004)+2,FALSE))</f>
        <v>19.9268</v>
      </c>
      <c r="AD1004" s="307">
        <f t="shared" si="264"/>
        <v>25851142.853504002</v>
      </c>
      <c r="AE1004" s="314">
        <f t="shared" si="265"/>
        <v>28888256.95831402</v>
      </c>
      <c r="AF1004" s="315">
        <f t="shared" si="266"/>
        <v>-3037114.1048100181</v>
      </c>
      <c r="AG1004" s="316">
        <f t="shared" si="267"/>
        <v>0.10684931506849316</v>
      </c>
      <c r="AH1004" s="314">
        <v>1</v>
      </c>
      <c r="AI1004" s="314">
        <f t="shared" si="268"/>
        <v>-3037114.1048100181</v>
      </c>
      <c r="AJ1004" s="314">
        <f t="shared" si="269"/>
        <v>0</v>
      </c>
      <c r="AK1004" s="317"/>
      <c r="AL1004" s="315">
        <f t="shared" si="270"/>
        <v>-112476.28380093118</v>
      </c>
      <c r="AN1004" s="554">
        <f t="shared" si="271"/>
        <v>-7.9782773933915224E-2</v>
      </c>
      <c r="AO1004" s="314"/>
      <c r="AP1004" s="318"/>
    </row>
    <row r="1005" spans="2:42">
      <c r="B1005" s="296" t="s">
        <v>1246</v>
      </c>
      <c r="C1005" s="299" t="s">
        <v>277</v>
      </c>
      <c r="D1005" s="298" t="s">
        <v>864</v>
      </c>
      <c r="E1005" s="299" t="s">
        <v>113</v>
      </c>
      <c r="F1005" s="299" t="s">
        <v>59</v>
      </c>
      <c r="G1005" s="300">
        <v>43649</v>
      </c>
      <c r="H1005" s="303">
        <v>12123097.997728981</v>
      </c>
      <c r="I1005" s="301" t="str">
        <f t="shared" si="255"/>
        <v>Ingresos Sección II LISR (SIC &amp; BMV)</v>
      </c>
      <c r="J1005" s="302">
        <f t="shared" si="256"/>
        <v>14742</v>
      </c>
      <c r="K1005" s="304">
        <f t="shared" si="257"/>
        <v>822.35096986358576</v>
      </c>
      <c r="L1005" s="305">
        <f>IF(H1005=0,0,IF(OR(E1005=$AT$5,E1005=$AT$6),AA1005,IF(F1005="MXN",1/HLOOKUP(YEAR(G1005)+(MONTH(G1005)/100),TC!$5:$37,DAY(G1005)+2,FALSE),VLOOKUP(F1005,Equivalencia!$5:$23,((MAX(Equivalencia!$3:$3)-YEAR(G1005))*14)+MONTH(G1005)+2,FALSE))))</f>
        <v>1</v>
      </c>
      <c r="M1005" s="306">
        <f t="shared" si="258"/>
        <v>12123097.997728981</v>
      </c>
      <c r="N1005" s="305">
        <f>IF(G1005=0,0,(IF(OR(E1005=$AT$5,E1005=$AT$6),AC1005,HLOOKUP(YEAR(G1005)+(MONTH(G1005)/100),TC!$5:$37,DAY(G1005)+2,FALSE))))</f>
        <v>19.076000000000001</v>
      </c>
      <c r="O1005" s="307">
        <f t="shared" si="259"/>
        <v>231260217.40467805</v>
      </c>
      <c r="P1005" s="560">
        <f>IF(G1005=0,0,VLOOKUP(YEAR(G1005),INPC!$B$4:$P$30,MONTH(G1005)+2))</f>
        <v>103.687</v>
      </c>
      <c r="Q1005" s="560">
        <f>IF(X1005=0,0,IF(OR(E1005=$AT$10,E1005=$AT$9),VLOOKUP(YEAR(X1005),INPC!$B$4:$P$30,MONTH(X1005)+1),VLOOKUP(YEAR(X1005),INPC!$B$4:$P$30,MONTH(X1005)+2,0)))</f>
        <v>122.94799999999999</v>
      </c>
      <c r="R1005" s="309">
        <f t="shared" si="260"/>
        <v>1.1857</v>
      </c>
      <c r="S1005" s="310">
        <f t="shared" si="261"/>
        <v>274205239.77672678</v>
      </c>
      <c r="T1005" s="555">
        <f t="shared" si="262"/>
        <v>18600.274031795332</v>
      </c>
      <c r="U1005" s="311"/>
      <c r="V1005" s="312">
        <v>14742</v>
      </c>
      <c r="W1005" s="299" t="s">
        <v>194</v>
      </c>
      <c r="X1005" s="300">
        <v>44803</v>
      </c>
      <c r="Y1005" s="299" t="s">
        <v>59</v>
      </c>
      <c r="Z1005" s="303">
        <v>11619659.289999999</v>
      </c>
      <c r="AA1005" s="305">
        <f>IF(Z1005=0,0,IF(Y1005="MXN",1/HLOOKUP(YEAR(X1005)+(MONTH(X1005)/100),TC!$5:$37,DAY(X1005)+2,FALSE),VLOOKUP(Y1005,Equivalencia!$1:$23,((MAX(Equivalencia!$3:$3)-YEAR(X1005))*14)+MONTH(X1005)+2,FALSE)))</f>
        <v>1</v>
      </c>
      <c r="AB1005" s="306">
        <f t="shared" si="263"/>
        <v>11619659.289999999</v>
      </c>
      <c r="AC1005" s="305">
        <f>+IF(X1005=0,0,HLOOKUP(YEAR(X1005)+(MONTH(X1005)/100),TC!$5:$37,DAY(X1005)+2,FALSE))</f>
        <v>19.9268</v>
      </c>
      <c r="AD1005" s="307">
        <f t="shared" si="264"/>
        <v>231542626.739972</v>
      </c>
      <c r="AE1005" s="314">
        <f t="shared" si="265"/>
        <v>274205239.77672678</v>
      </c>
      <c r="AF1005" s="315">
        <f t="shared" si="266"/>
        <v>-42662613.036754787</v>
      </c>
      <c r="AG1005" s="316">
        <f t="shared" si="267"/>
        <v>3.1616438356164385</v>
      </c>
      <c r="AH1005" s="314">
        <v>1</v>
      </c>
      <c r="AI1005" s="314">
        <f t="shared" si="268"/>
        <v>-42662613.036754787</v>
      </c>
      <c r="AJ1005" s="314">
        <f t="shared" si="269"/>
        <v>0</v>
      </c>
      <c r="AK1005" s="317"/>
      <c r="AL1005" s="315">
        <f t="shared" si="270"/>
        <v>-503438.70772898197</v>
      </c>
      <c r="AN1005" s="554">
        <f t="shared" si="271"/>
        <v>-4.1527232380971522E-2</v>
      </c>
      <c r="AO1005" s="314"/>
      <c r="AP1005" s="318"/>
    </row>
    <row r="1006" spans="2:42">
      <c r="B1006" s="296" t="s">
        <v>1246</v>
      </c>
      <c r="C1006" s="299" t="s">
        <v>277</v>
      </c>
      <c r="D1006" s="298" t="s">
        <v>867</v>
      </c>
      <c r="E1006" s="299" t="s">
        <v>113</v>
      </c>
      <c r="F1006" s="299" t="s">
        <v>59</v>
      </c>
      <c r="G1006" s="300">
        <v>44635</v>
      </c>
      <c r="H1006" s="303">
        <v>4968835.4000000004</v>
      </c>
      <c r="I1006" s="301" t="str">
        <f t="shared" si="255"/>
        <v>Ingresos Sección II LISR (SIC &amp; BMV)</v>
      </c>
      <c r="J1006" s="302">
        <f t="shared" si="256"/>
        <v>7013</v>
      </c>
      <c r="K1006" s="304">
        <f t="shared" si="257"/>
        <v>708.51780978183376</v>
      </c>
      <c r="L1006" s="305">
        <f>IF(H1006=0,0,IF(OR(E1006=$AT$5,E1006=$AT$6),AA1006,IF(F1006="MXN",1/HLOOKUP(YEAR(G1006)+(MONTH(G1006)/100),TC!$5:$37,DAY(G1006)+2,FALSE),VLOOKUP(F1006,Equivalencia!$5:$23,((MAX(Equivalencia!$3:$3)-YEAR(G1006))*14)+MONTH(G1006)+2,FALSE))))</f>
        <v>1</v>
      </c>
      <c r="M1006" s="306">
        <f t="shared" si="258"/>
        <v>4968835.4000000004</v>
      </c>
      <c r="N1006" s="305">
        <f>IF(G1006=0,0,(IF(OR(E1006=$AT$5,E1006=$AT$6),AC1006,HLOOKUP(YEAR(G1006)+(MONTH(G1006)/100),TC!$5:$37,DAY(G1006)+2,FALSE))))</f>
        <v>20.9695</v>
      </c>
      <c r="O1006" s="307">
        <f t="shared" si="259"/>
        <v>104193993.92030001</v>
      </c>
      <c r="P1006" s="560">
        <f>IF(G1006=0,0,VLOOKUP(YEAR(G1006),INPC!$B$4:$P$30,MONTH(G1006)+2))</f>
        <v>120.15900000000001</v>
      </c>
      <c r="Q1006" s="560">
        <f>IF(X1006=0,0,IF(OR(E1006=$AT$10,E1006=$AT$9),VLOOKUP(YEAR(X1006),INPC!$B$4:$P$30,MONTH(X1006)+1),VLOOKUP(YEAR(X1006),INPC!$B$4:$P$30,MONTH(X1006)+2,0)))</f>
        <v>122.94799999999999</v>
      </c>
      <c r="R1006" s="309">
        <f t="shared" si="260"/>
        <v>1.0232000000000001</v>
      </c>
      <c r="S1006" s="310">
        <f t="shared" si="261"/>
        <v>106611294.57925098</v>
      </c>
      <c r="T1006" s="555">
        <f t="shared" si="262"/>
        <v>15201.952741943673</v>
      </c>
      <c r="U1006" s="311"/>
      <c r="V1006" s="312">
        <v>7013</v>
      </c>
      <c r="W1006" s="299" t="s">
        <v>194</v>
      </c>
      <c r="X1006" s="300">
        <v>44803</v>
      </c>
      <c r="Y1006" s="299" t="s">
        <v>59</v>
      </c>
      <c r="Z1006" s="303">
        <v>5275298.03</v>
      </c>
      <c r="AA1006" s="305">
        <f>IF(Z1006=0,0,IF(Y1006="MXN",1/HLOOKUP(YEAR(X1006)+(MONTH(X1006)/100),TC!$5:$37,DAY(X1006)+2,FALSE),VLOOKUP(Y1006,Equivalencia!$1:$23,((MAX(Equivalencia!$3:$3)-YEAR(X1006))*14)+MONTH(X1006)+2,FALSE)))</f>
        <v>1</v>
      </c>
      <c r="AB1006" s="306">
        <f t="shared" si="263"/>
        <v>5275298.03</v>
      </c>
      <c r="AC1006" s="305">
        <f>+IF(X1006=0,0,HLOOKUP(YEAR(X1006)+(MONTH(X1006)/100),TC!$5:$37,DAY(X1006)+2,FALSE))</f>
        <v>19.9268</v>
      </c>
      <c r="AD1006" s="307">
        <f t="shared" si="264"/>
        <v>105119808.78420401</v>
      </c>
      <c r="AE1006" s="314">
        <f t="shared" si="265"/>
        <v>106611294.57925098</v>
      </c>
      <c r="AF1006" s="315">
        <f t="shared" si="266"/>
        <v>-1491485.7950469702</v>
      </c>
      <c r="AG1006" s="316">
        <f t="shared" si="267"/>
        <v>0.46027397260273972</v>
      </c>
      <c r="AH1006" s="314">
        <v>1</v>
      </c>
      <c r="AI1006" s="314">
        <f t="shared" si="268"/>
        <v>-1491485.7950469702</v>
      </c>
      <c r="AJ1006" s="314">
        <f t="shared" si="269"/>
        <v>0</v>
      </c>
      <c r="AK1006" s="317"/>
      <c r="AL1006" s="315">
        <f t="shared" si="270"/>
        <v>306462.62999999989</v>
      </c>
      <c r="AN1006" s="554">
        <f t="shared" si="271"/>
        <v>6.1676953517115878E-2</v>
      </c>
      <c r="AO1006" s="314"/>
      <c r="AP1006" s="318"/>
    </row>
    <row r="1007" spans="2:42">
      <c r="B1007" s="296" t="s">
        <v>1246</v>
      </c>
      <c r="C1007" s="299" t="s">
        <v>277</v>
      </c>
      <c r="D1007" s="298" t="s">
        <v>1027</v>
      </c>
      <c r="E1007" s="299" t="s">
        <v>113</v>
      </c>
      <c r="F1007" s="299" t="s">
        <v>59</v>
      </c>
      <c r="G1007" s="300">
        <v>44635</v>
      </c>
      <c r="H1007" s="303">
        <v>3304394.0905689076</v>
      </c>
      <c r="I1007" s="301" t="str">
        <f t="shared" si="255"/>
        <v>Ingresos Sección II LISR (SIC &amp; BMV)</v>
      </c>
      <c r="J1007" s="302">
        <f t="shared" si="256"/>
        <v>4313</v>
      </c>
      <c r="K1007" s="304">
        <f t="shared" si="257"/>
        <v>766.14748216297414</v>
      </c>
      <c r="L1007" s="305">
        <f>IF(H1007=0,0,IF(OR(E1007=$AT$5,E1007=$AT$6),AA1007,IF(F1007="MXN",1/HLOOKUP(YEAR(G1007)+(MONTH(G1007)/100),TC!$5:$37,DAY(G1007)+2,FALSE),VLOOKUP(F1007,Equivalencia!$5:$23,((MAX(Equivalencia!$3:$3)-YEAR(G1007))*14)+MONTH(G1007)+2,FALSE))))</f>
        <v>1</v>
      </c>
      <c r="M1007" s="306">
        <f t="shared" si="258"/>
        <v>3304394.0905689076</v>
      </c>
      <c r="N1007" s="305">
        <f>IF(G1007=0,0,(IF(OR(E1007=$AT$5,E1007=$AT$6),AC1007,HLOOKUP(YEAR(G1007)+(MONTH(G1007)/100),TC!$5:$37,DAY(G1007)+2,FALSE))))</f>
        <v>20.9695</v>
      </c>
      <c r="O1007" s="307">
        <f t="shared" si="259"/>
        <v>69291491.882184714</v>
      </c>
      <c r="P1007" s="560">
        <f>IF(G1007=0,0,VLOOKUP(YEAR(G1007),INPC!$B$4:$P$30,MONTH(G1007)+2))</f>
        <v>120.15900000000001</v>
      </c>
      <c r="Q1007" s="560">
        <f>IF(X1007=0,0,IF(OR(E1007=$AT$10,E1007=$AT$9),VLOOKUP(YEAR(X1007),INPC!$B$4:$P$30,MONTH(X1007)+1),VLOOKUP(YEAR(X1007),INPC!$B$4:$P$30,MONTH(X1007)+2,0)))</f>
        <v>122.94799999999999</v>
      </c>
      <c r="R1007" s="309">
        <f t="shared" si="260"/>
        <v>1.0232000000000001</v>
      </c>
      <c r="S1007" s="310">
        <f t="shared" si="261"/>
        <v>70899054.493851408</v>
      </c>
      <c r="T1007" s="555">
        <f t="shared" si="262"/>
        <v>16438.454554567914</v>
      </c>
      <c r="U1007" s="311"/>
      <c r="V1007" s="312">
        <v>4313</v>
      </c>
      <c r="W1007" s="299" t="s">
        <v>194</v>
      </c>
      <c r="X1007" s="300">
        <v>44803</v>
      </c>
      <c r="Y1007" s="299" t="s">
        <v>59</v>
      </c>
      <c r="Z1007" s="303">
        <v>2830807.36</v>
      </c>
      <c r="AA1007" s="305">
        <f>IF(Z1007=0,0,IF(Y1007="MXN",1/HLOOKUP(YEAR(X1007)+(MONTH(X1007)/100),TC!$5:$37,DAY(X1007)+2,FALSE),VLOOKUP(Y1007,Equivalencia!$1:$23,((MAX(Equivalencia!$3:$3)-YEAR(X1007))*14)+MONTH(X1007)+2,FALSE)))</f>
        <v>1</v>
      </c>
      <c r="AB1007" s="306">
        <f t="shared" si="263"/>
        <v>2830807.36</v>
      </c>
      <c r="AC1007" s="305">
        <f>+IF(X1007=0,0,HLOOKUP(YEAR(X1007)+(MONTH(X1007)/100),TC!$5:$37,DAY(X1007)+2,FALSE))</f>
        <v>19.9268</v>
      </c>
      <c r="AD1007" s="307">
        <f t="shared" si="264"/>
        <v>56408932.101247996</v>
      </c>
      <c r="AE1007" s="314">
        <f t="shared" si="265"/>
        <v>70899054.493851408</v>
      </c>
      <c r="AF1007" s="315">
        <f t="shared" si="266"/>
        <v>-14490122.392603412</v>
      </c>
      <c r="AG1007" s="316">
        <f t="shared" si="267"/>
        <v>0.46027397260273972</v>
      </c>
      <c r="AH1007" s="314">
        <v>1</v>
      </c>
      <c r="AI1007" s="314">
        <f t="shared" si="268"/>
        <v>-14490122.392603412</v>
      </c>
      <c r="AJ1007" s="314">
        <f t="shared" si="269"/>
        <v>0</v>
      </c>
      <c r="AK1007" s="317"/>
      <c r="AL1007" s="315">
        <f t="shared" si="270"/>
        <v>-473586.73056890769</v>
      </c>
      <c r="AN1007" s="554">
        <f t="shared" si="271"/>
        <v>-0.14332029339980198</v>
      </c>
      <c r="AO1007" s="314"/>
      <c r="AP1007" s="318"/>
    </row>
    <row r="1008" spans="2:42">
      <c r="B1008" s="296"/>
      <c r="C1008" s="299"/>
      <c r="D1008" s="298"/>
      <c r="E1008" s="299"/>
      <c r="F1008" s="299"/>
      <c r="G1008" s="300"/>
      <c r="H1008" s="303"/>
      <c r="I1008" s="301">
        <f t="shared" si="255"/>
        <v>0</v>
      </c>
      <c r="J1008" s="302">
        <f t="shared" si="256"/>
        <v>0</v>
      </c>
      <c r="K1008" s="304">
        <f t="shared" si="257"/>
        <v>0</v>
      </c>
      <c r="L1008" s="305">
        <f>IF(H1008=0,0,IF(OR(E1008=$AT$5,E1008=$AT$6),AA1008,IF(F1008="MXN",1/HLOOKUP(YEAR(G1008)+(MONTH(G1008)/100),TC!$5:$37,DAY(G1008)+2,FALSE),VLOOKUP(F1008,Equivalencia!$5:$23,((MAX(Equivalencia!$3:$3)-YEAR(G1008))*14)+MONTH(G1008)+2,FALSE))))</f>
        <v>0</v>
      </c>
      <c r="M1008" s="306">
        <f t="shared" si="258"/>
        <v>0</v>
      </c>
      <c r="N1008" s="305">
        <f>IF(G1008=0,0,(IF(OR(E1008=$AT$5,E1008=$AT$6),AC1008,HLOOKUP(YEAR(G1008)+(MONTH(G1008)/100),TC!$5:$37,DAY(G1008)+2,FALSE))))</f>
        <v>0</v>
      </c>
      <c r="O1008" s="307">
        <f t="shared" si="259"/>
        <v>0</v>
      </c>
      <c r="P1008" s="560">
        <f>IF(G1008=0,0,VLOOKUP(YEAR(G1008),INPC!$B$4:$P$30,MONTH(G1008)+2))</f>
        <v>0</v>
      </c>
      <c r="Q1008" s="560">
        <f>IF(X1008=0,0,IF(OR(E1008=$AT$10,E1008=$AT$9),VLOOKUP(YEAR(X1008),INPC!$B$4:$P$30,MONTH(X1008)+1),VLOOKUP(YEAR(X1008),INPC!$B$4:$P$30,MONTH(X1008)+2,0)))</f>
        <v>0</v>
      </c>
      <c r="R1008" s="309">
        <f t="shared" si="260"/>
        <v>0</v>
      </c>
      <c r="S1008" s="310">
        <f t="shared" si="261"/>
        <v>0</v>
      </c>
      <c r="T1008" s="555">
        <f t="shared" si="262"/>
        <v>0</v>
      </c>
      <c r="U1008" s="311"/>
      <c r="V1008" s="312"/>
      <c r="W1008" s="299"/>
      <c r="X1008" s="300"/>
      <c r="Y1008" s="299"/>
      <c r="Z1008" s="303"/>
      <c r="AA1008" s="305">
        <f>IF(Z1008=0,0,IF(Y1008="MXN",1/HLOOKUP(YEAR(X1008)+(MONTH(X1008)/100),TC!$5:$37,DAY(X1008)+2,FALSE),VLOOKUP(Y1008,Equivalencia!$1:$23,((MAX(Equivalencia!$3:$3)-YEAR(X1008))*14)+MONTH(X1008)+2,FALSE)))</f>
        <v>0</v>
      </c>
      <c r="AB1008" s="306">
        <f t="shared" si="263"/>
        <v>0</v>
      </c>
      <c r="AC1008" s="305">
        <f>+IF(X1008=0,0,HLOOKUP(YEAR(X1008)+(MONTH(X1008)/100),TC!$5:$37,DAY(X1008)+2,FALSE))</f>
        <v>0</v>
      </c>
      <c r="AD1008" s="307">
        <f t="shared" si="264"/>
        <v>0</v>
      </c>
      <c r="AE1008" s="314">
        <f t="shared" si="265"/>
        <v>0</v>
      </c>
      <c r="AF1008" s="315">
        <f t="shared" si="266"/>
        <v>0</v>
      </c>
      <c r="AG1008" s="316">
        <f t="shared" si="267"/>
        <v>0</v>
      </c>
      <c r="AH1008" s="314">
        <v>1</v>
      </c>
      <c r="AI1008" s="314">
        <f t="shared" si="268"/>
        <v>0</v>
      </c>
      <c r="AJ1008" s="314">
        <f t="shared" si="269"/>
        <v>0</v>
      </c>
      <c r="AK1008" s="317"/>
      <c r="AL1008" s="315">
        <f t="shared" si="270"/>
        <v>0</v>
      </c>
      <c r="AN1008" s="554">
        <f t="shared" si="271"/>
        <v>0</v>
      </c>
      <c r="AO1008" s="314"/>
      <c r="AP1008" s="318"/>
    </row>
    <row r="1009" spans="2:42">
      <c r="B1009" s="296" t="s">
        <v>1250</v>
      </c>
      <c r="C1009" s="299" t="s">
        <v>277</v>
      </c>
      <c r="D1009" s="298" t="s">
        <v>893</v>
      </c>
      <c r="E1009" s="299" t="s">
        <v>113</v>
      </c>
      <c r="F1009" s="299" t="s">
        <v>60</v>
      </c>
      <c r="G1009" s="300">
        <v>44123</v>
      </c>
      <c r="H1009" s="303">
        <v>2250273.6605276703</v>
      </c>
      <c r="I1009" s="301" t="str">
        <f t="shared" si="255"/>
        <v>Ingresos Sección II LISR (SIC &amp; BMV)</v>
      </c>
      <c r="J1009" s="302">
        <f t="shared" si="256"/>
        <v>1989</v>
      </c>
      <c r="K1009" s="304">
        <f t="shared" si="257"/>
        <v>1131.3593064493064</v>
      </c>
      <c r="L1009" s="305">
        <f>IF(H1009=0,0,IF(OR(E1009=$AT$5,E1009=$AT$6),AA1009,IF(F1009="MXN",1/HLOOKUP(YEAR(G1009)+(MONTH(G1009)/100),TC!$5:$37,DAY(G1009)+2,FALSE),VLOOKUP(F1009,Equivalencia!$5:$23,((MAX(Equivalencia!$3:$3)-YEAR(G1009))*14)+MONTH(G1009)+2,FALSE))))</f>
        <v>4.676568521081971E-2</v>
      </c>
      <c r="M1009" s="306">
        <f t="shared" si="258"/>
        <v>105235.589646436</v>
      </c>
      <c r="N1009" s="305">
        <f>IF(G1009=0,0,(IF(OR(E1009=$AT$5,E1009=$AT$6),AC1009,HLOOKUP(YEAR(G1009)+(MONTH(G1009)/100),TC!$5:$37,DAY(G1009)+2,FALSE))))</f>
        <v>21.383199999999999</v>
      </c>
      <c r="O1009" s="307">
        <f t="shared" si="259"/>
        <v>2250273.6605276703</v>
      </c>
      <c r="P1009" s="560">
        <f>IF(G1009=0,0,VLOOKUP(YEAR(G1009),INPC!$B$4:$P$30,MONTH(G1009)+2))</f>
        <v>108.774</v>
      </c>
      <c r="Q1009" s="560">
        <f>IF(X1009=0,0,IF(OR(E1009=$AT$10,E1009=$AT$9),VLOOKUP(YEAR(X1009),INPC!$B$4:$P$30,MONTH(X1009)+1),VLOOKUP(YEAR(X1009),INPC!$B$4:$P$30,MONTH(X1009)+2,0)))</f>
        <v>122.94799999999999</v>
      </c>
      <c r="R1009" s="309">
        <f t="shared" si="260"/>
        <v>1.1303000000000001</v>
      </c>
      <c r="S1009" s="310">
        <f t="shared" si="261"/>
        <v>2543484.3184944261</v>
      </c>
      <c r="T1009" s="555">
        <f t="shared" si="262"/>
        <v>1278.7754240796512</v>
      </c>
      <c r="U1009" s="311"/>
      <c r="V1009" s="312">
        <v>1989</v>
      </c>
      <c r="W1009" s="299" t="s">
        <v>194</v>
      </c>
      <c r="X1009" s="300">
        <v>44792</v>
      </c>
      <c r="Y1009" s="299" t="s">
        <v>60</v>
      </c>
      <c r="Z1009" s="303">
        <v>1927518.39</v>
      </c>
      <c r="AA1009" s="305">
        <f>IF(Z1009=0,0,IF(Y1009="MXN",1/HLOOKUP(YEAR(X1009)+(MONTH(X1009)/100),TC!$5:$37,DAY(X1009)+2,FALSE),VLOOKUP(Y1009,Equivalencia!$1:$23,((MAX(Equivalencia!$3:$3)-YEAR(X1009))*14)+MONTH(X1009)+2,FALSE)))</f>
        <v>4.9903436849695844E-2</v>
      </c>
      <c r="AB1009" s="306">
        <f t="shared" si="263"/>
        <v>96189.792251992403</v>
      </c>
      <c r="AC1009" s="305">
        <f>+IF(X1009=0,0,HLOOKUP(YEAR(X1009)+(MONTH(X1009)/100),TC!$5:$37,DAY(X1009)+2,FALSE))</f>
        <v>20.038699999999999</v>
      </c>
      <c r="AD1009" s="307">
        <f t="shared" si="264"/>
        <v>1927518.3900000001</v>
      </c>
      <c r="AE1009" s="314">
        <f t="shared" si="265"/>
        <v>2543484.3184944261</v>
      </c>
      <c r="AF1009" s="315">
        <f t="shared" si="266"/>
        <v>-615965.92849442596</v>
      </c>
      <c r="AG1009" s="316">
        <f t="shared" si="267"/>
        <v>1.832876712328767</v>
      </c>
      <c r="AH1009" s="314">
        <v>1</v>
      </c>
      <c r="AI1009" s="314">
        <f t="shared" si="268"/>
        <v>-615965.92849442596</v>
      </c>
      <c r="AJ1009" s="314">
        <f t="shared" si="269"/>
        <v>0</v>
      </c>
      <c r="AK1009" s="317"/>
      <c r="AL1009" s="315">
        <f t="shared" si="270"/>
        <v>-9045.7973944435944</v>
      </c>
      <c r="AN1009" s="554">
        <f t="shared" si="271"/>
        <v>-4.0198654737497262E-3</v>
      </c>
      <c r="AO1009" s="314"/>
      <c r="AP1009" s="318"/>
    </row>
    <row r="1010" spans="2:42">
      <c r="B1010" s="296" t="s">
        <v>1250</v>
      </c>
      <c r="C1010" s="299" t="s">
        <v>277</v>
      </c>
      <c r="D1010" s="298" t="s">
        <v>893</v>
      </c>
      <c r="E1010" s="299" t="s">
        <v>113</v>
      </c>
      <c r="F1010" s="299" t="s">
        <v>60</v>
      </c>
      <c r="G1010" s="300">
        <v>44123</v>
      </c>
      <c r="H1010" s="303">
        <v>1566932.6394322894</v>
      </c>
      <c r="I1010" s="301" t="str">
        <f t="shared" si="255"/>
        <v>Ingresos Sección II LISR (SIC &amp; BMV)</v>
      </c>
      <c r="J1010" s="302">
        <f t="shared" si="256"/>
        <v>1385</v>
      </c>
      <c r="K1010" s="304">
        <f t="shared" si="257"/>
        <v>1131.3593064493064</v>
      </c>
      <c r="L1010" s="305">
        <f>IF(H1010=0,0,IF(OR(E1010=$AT$5,E1010=$AT$6),AA1010,IF(F1010="MXN",1/HLOOKUP(YEAR(G1010)+(MONTH(G1010)/100),TC!$5:$37,DAY(G1010)+2,FALSE),VLOOKUP(F1010,Equivalencia!$5:$23,((MAX(Equivalencia!$3:$3)-YEAR(G1010))*14)+MONTH(G1010)+2,FALSE))))</f>
        <v>4.676568521081971E-2</v>
      </c>
      <c r="M1010" s="306">
        <f t="shared" si="258"/>
        <v>73278.678562249304</v>
      </c>
      <c r="N1010" s="305">
        <f>IF(G1010=0,0,(IF(OR(E1010=$AT$5,E1010=$AT$6),AC1010,HLOOKUP(YEAR(G1010)+(MONTH(G1010)/100),TC!$5:$37,DAY(G1010)+2,FALSE))))</f>
        <v>21.383199999999999</v>
      </c>
      <c r="O1010" s="307">
        <f t="shared" si="259"/>
        <v>1566932.6394322892</v>
      </c>
      <c r="P1010" s="560">
        <f>IF(G1010=0,0,VLOOKUP(YEAR(G1010),INPC!$B$4:$P$30,MONTH(G1010)+2))</f>
        <v>108.774</v>
      </c>
      <c r="Q1010" s="560">
        <f>IF(X1010=0,0,IF(OR(E1010=$AT$10,E1010=$AT$9),VLOOKUP(YEAR(X1010),INPC!$B$4:$P$30,MONTH(X1010)+1),VLOOKUP(YEAR(X1010),INPC!$B$4:$P$30,MONTH(X1010)+2,0)))</f>
        <v>123.803</v>
      </c>
      <c r="R1010" s="309">
        <f t="shared" si="260"/>
        <v>1.1380999999999999</v>
      </c>
      <c r="S1010" s="310">
        <f t="shared" si="261"/>
        <v>1783326.0369378882</v>
      </c>
      <c r="T1010" s="555">
        <f t="shared" si="262"/>
        <v>1287.6000266699555</v>
      </c>
      <c r="U1010" s="311"/>
      <c r="V1010" s="312">
        <v>1385</v>
      </c>
      <c r="W1010" s="299" t="s">
        <v>194</v>
      </c>
      <c r="X1010" s="300">
        <v>44831</v>
      </c>
      <c r="Y1010" s="299" t="s">
        <v>60</v>
      </c>
      <c r="Z1010" s="303">
        <v>1146172.8899999999</v>
      </c>
      <c r="AA1010" s="305">
        <f>IF(Z1010=0,0,IF(Y1010="MXN",1/HLOOKUP(YEAR(X1010)+(MONTH(X1010)/100),TC!$5:$37,DAY(X1010)+2,FALSE),VLOOKUP(Y1010,Equivalencia!$1:$23,((MAX(Equivalencia!$3:$3)-YEAR(X1010))*14)+MONTH(X1010)+2,FALSE)))</f>
        <v>4.9596532210467843E-2</v>
      </c>
      <c r="AB1010" s="306">
        <f t="shared" si="263"/>
        <v>56846.200657650013</v>
      </c>
      <c r="AC1010" s="305">
        <f>+IF(X1010=0,0,HLOOKUP(YEAR(X1010)+(MONTH(X1010)/100),TC!$5:$37,DAY(X1010)+2,FALSE))</f>
        <v>20.162700000000001</v>
      </c>
      <c r="AD1010" s="307">
        <f t="shared" si="264"/>
        <v>1146172.8899999999</v>
      </c>
      <c r="AE1010" s="314">
        <f t="shared" si="265"/>
        <v>1783326.0369378882</v>
      </c>
      <c r="AF1010" s="315">
        <f t="shared" si="266"/>
        <v>-637153.14693788835</v>
      </c>
      <c r="AG1010" s="316">
        <f t="shared" si="267"/>
        <v>1.9397260273972603</v>
      </c>
      <c r="AH1010" s="314">
        <v>1</v>
      </c>
      <c r="AI1010" s="314">
        <f t="shared" si="268"/>
        <v>-637153.14693788835</v>
      </c>
      <c r="AJ1010" s="314">
        <f t="shared" si="269"/>
        <v>0</v>
      </c>
      <c r="AK1010" s="317"/>
      <c r="AL1010" s="315">
        <f t="shared" si="270"/>
        <v>-16432.477904599291</v>
      </c>
      <c r="AN1010" s="554">
        <f t="shared" si="271"/>
        <v>-1.0487035301372554E-2</v>
      </c>
      <c r="AO1010" s="314"/>
      <c r="AP1010" s="318"/>
    </row>
    <row r="1011" spans="2:42">
      <c r="B1011" s="296" t="s">
        <v>1250</v>
      </c>
      <c r="C1011" s="299" t="s">
        <v>277</v>
      </c>
      <c r="D1011" s="298" t="s">
        <v>894</v>
      </c>
      <c r="E1011" s="299" t="s">
        <v>113</v>
      </c>
      <c r="F1011" s="299" t="s">
        <v>60</v>
      </c>
      <c r="G1011" s="300">
        <v>43987</v>
      </c>
      <c r="H1011" s="303">
        <v>467316.39263955894</v>
      </c>
      <c r="I1011" s="301" t="str">
        <f t="shared" si="255"/>
        <v>Ingresos Sección II LISR (SIC &amp; BMV)</v>
      </c>
      <c r="J1011" s="302">
        <f t="shared" si="256"/>
        <v>376</v>
      </c>
      <c r="K1011" s="304">
        <f t="shared" si="257"/>
        <v>1242.8627463818057</v>
      </c>
      <c r="L1011" s="305">
        <f>IF(H1011=0,0,IF(OR(E1011=$AT$5,E1011=$AT$6),AA1011,IF(F1011="MXN",1/HLOOKUP(YEAR(G1011)+(MONTH(G1011)/100),TC!$5:$37,DAY(G1011)+2,FALSE),VLOOKUP(F1011,Equivalencia!$5:$23,((MAX(Equivalencia!$3:$3)-YEAR(G1011))*14)+MONTH(G1011)+2,FALSE))))</f>
        <v>4.6287081738357647E-2</v>
      </c>
      <c r="M1011" s="306">
        <f t="shared" si="258"/>
        <v>21630.712063781699</v>
      </c>
      <c r="N1011" s="305">
        <f>IF(G1011=0,0,(IF(OR(E1011=$AT$5,E1011=$AT$6),AC1011,HLOOKUP(YEAR(G1011)+(MONTH(G1011)/100),TC!$5:$37,DAY(G1011)+2,FALSE))))</f>
        <v>21.604299999999999</v>
      </c>
      <c r="O1011" s="307">
        <f t="shared" si="259"/>
        <v>467316.39263955894</v>
      </c>
      <c r="P1011" s="560">
        <f>IF(G1011=0,0,VLOOKUP(YEAR(G1011),INPC!$B$4:$P$30,MONTH(G1011)+2))</f>
        <v>106.74299999999999</v>
      </c>
      <c r="Q1011" s="560">
        <f>IF(X1011=0,0,IF(OR(E1011=$AT$10,E1011=$AT$9),VLOOKUP(YEAR(X1011),INPC!$B$4:$P$30,MONTH(X1011)+1),VLOOKUP(YEAR(X1011),INPC!$B$4:$P$30,MONTH(X1011)+2,0)))</f>
        <v>123.803</v>
      </c>
      <c r="R1011" s="309">
        <f t="shared" si="260"/>
        <v>1.1597999999999999</v>
      </c>
      <c r="S1011" s="310">
        <f t="shared" si="261"/>
        <v>541993.55218336044</v>
      </c>
      <c r="T1011" s="555">
        <f t="shared" si="262"/>
        <v>1441.4722132536183</v>
      </c>
      <c r="U1011" s="311"/>
      <c r="V1011" s="312">
        <v>376</v>
      </c>
      <c r="W1011" s="299" t="s">
        <v>194</v>
      </c>
      <c r="X1011" s="300">
        <v>44831</v>
      </c>
      <c r="Y1011" s="299" t="s">
        <v>60</v>
      </c>
      <c r="Z1011" s="303">
        <v>419975.01</v>
      </c>
      <c r="AA1011" s="305">
        <f>IF(Z1011=0,0,IF(Y1011="MXN",1/HLOOKUP(YEAR(X1011)+(MONTH(X1011)/100),TC!$5:$37,DAY(X1011)+2,FALSE),VLOOKUP(Y1011,Equivalencia!$1:$23,((MAX(Equivalencia!$3:$3)-YEAR(X1011))*14)+MONTH(X1011)+2,FALSE)))</f>
        <v>4.9596532210467843E-2</v>
      </c>
      <c r="AB1011" s="306">
        <f t="shared" si="263"/>
        <v>20829.304111056554</v>
      </c>
      <c r="AC1011" s="305">
        <f>+IF(X1011=0,0,HLOOKUP(YEAR(X1011)+(MONTH(X1011)/100),TC!$5:$37,DAY(X1011)+2,FALSE))</f>
        <v>20.162700000000001</v>
      </c>
      <c r="AD1011" s="307">
        <f t="shared" si="264"/>
        <v>419975.01</v>
      </c>
      <c r="AE1011" s="314">
        <f t="shared" si="265"/>
        <v>541993.55218336044</v>
      </c>
      <c r="AF1011" s="315">
        <f t="shared" si="266"/>
        <v>-122018.54218336043</v>
      </c>
      <c r="AG1011" s="316">
        <f t="shared" si="267"/>
        <v>2.3123287671232875</v>
      </c>
      <c r="AH1011" s="314">
        <v>1</v>
      </c>
      <c r="AI1011" s="314">
        <f t="shared" si="268"/>
        <v>-122018.54218336043</v>
      </c>
      <c r="AJ1011" s="314">
        <f t="shared" si="269"/>
        <v>0</v>
      </c>
      <c r="AK1011" s="317"/>
      <c r="AL1011" s="315">
        <f t="shared" si="270"/>
        <v>-801.40795272514515</v>
      </c>
      <c r="AN1011" s="554">
        <f t="shared" si="271"/>
        <v>-1.7149151310497063E-3</v>
      </c>
      <c r="AO1011" s="314"/>
      <c r="AP1011" s="318"/>
    </row>
    <row r="1012" spans="2:42">
      <c r="B1012" s="296" t="s">
        <v>1250</v>
      </c>
      <c r="C1012" s="299" t="s">
        <v>277</v>
      </c>
      <c r="D1012" s="298" t="s">
        <v>895</v>
      </c>
      <c r="E1012" s="299" t="s">
        <v>113</v>
      </c>
      <c r="F1012" s="299" t="s">
        <v>60</v>
      </c>
      <c r="G1012" s="300">
        <v>43103</v>
      </c>
      <c r="H1012" s="303">
        <v>17766826.048942111</v>
      </c>
      <c r="I1012" s="301" t="str">
        <f t="shared" si="255"/>
        <v>Ingresos Sección II LISR (SIC &amp; BMV)</v>
      </c>
      <c r="J1012" s="302">
        <f t="shared" si="256"/>
        <v>3520</v>
      </c>
      <c r="K1012" s="304">
        <f t="shared" si="257"/>
        <v>5047.3937639040087</v>
      </c>
      <c r="L1012" s="305">
        <f>IF(H1012=0,0,IF(OR(E1012=$AT$5,E1012=$AT$6),AA1012,IF(F1012="MXN",1/HLOOKUP(YEAR(G1012)+(MONTH(G1012)/100),TC!$5:$37,DAY(G1012)+2,FALSE),VLOOKUP(F1012,Equivalencia!$5:$23,((MAX(Equivalencia!$3:$3)-YEAR(G1012))*14)+MONTH(G1012)+2,FALSE))))</f>
        <v>5.0857198073529335E-2</v>
      </c>
      <c r="M1012" s="306">
        <f t="shared" si="258"/>
        <v>903570.99150898959</v>
      </c>
      <c r="N1012" s="305">
        <f>IF(G1012=0,0,(IF(OR(E1012=$AT$5,E1012=$AT$6),AC1012,HLOOKUP(YEAR(G1012)+(MONTH(G1012)/100),TC!$5:$37,DAY(G1012)+2,FALSE))))</f>
        <v>19.6629</v>
      </c>
      <c r="O1012" s="307">
        <f t="shared" si="259"/>
        <v>17766826.048942111</v>
      </c>
      <c r="P1012" s="560">
        <f>IF(G1012=0,0,VLOOKUP(YEAR(G1012),INPC!$B$4:$P$30,MONTH(G1012)+2))</f>
        <v>98.794999699501005</v>
      </c>
      <c r="Q1012" s="560">
        <f>IF(X1012=0,0,IF(OR(E1012=$AT$10,E1012=$AT$9),VLOOKUP(YEAR(X1012),INPC!$B$4:$P$30,MONTH(X1012)+1),VLOOKUP(YEAR(X1012),INPC!$B$4:$P$30,MONTH(X1012)+2,0)))</f>
        <v>122.94799999999999</v>
      </c>
      <c r="R1012" s="309">
        <f t="shared" si="260"/>
        <v>1.2444</v>
      </c>
      <c r="S1012" s="310">
        <f t="shared" si="261"/>
        <v>22109038.335303564</v>
      </c>
      <c r="T1012" s="555">
        <f t="shared" si="262"/>
        <v>6280.9767998021489</v>
      </c>
      <c r="U1012" s="311"/>
      <c r="V1012" s="312">
        <v>3520</v>
      </c>
      <c r="W1012" s="299" t="s">
        <v>194</v>
      </c>
      <c r="X1012" s="300">
        <v>44792</v>
      </c>
      <c r="Y1012" s="299" t="s">
        <v>60</v>
      </c>
      <c r="Z1012" s="303">
        <v>30967199.850000001</v>
      </c>
      <c r="AA1012" s="305">
        <f>IF(Z1012=0,0,IF(Y1012="MXN",1/HLOOKUP(YEAR(X1012)+(MONTH(X1012)/100),TC!$5:$37,DAY(X1012)+2,FALSE),VLOOKUP(Y1012,Equivalencia!$1:$23,((MAX(Equivalencia!$3:$3)-YEAR(X1012))*14)+MONTH(X1012)+2,FALSE)))</f>
        <v>4.9903436849695844E-2</v>
      </c>
      <c r="AB1012" s="306">
        <f t="shared" si="263"/>
        <v>1545369.7021263856</v>
      </c>
      <c r="AC1012" s="305">
        <f>+IF(X1012=0,0,HLOOKUP(YEAR(X1012)+(MONTH(X1012)/100),TC!$5:$37,DAY(X1012)+2,FALSE))</f>
        <v>20.038699999999999</v>
      </c>
      <c r="AD1012" s="307">
        <f t="shared" si="264"/>
        <v>30967199.850000001</v>
      </c>
      <c r="AE1012" s="314">
        <f t="shared" si="265"/>
        <v>22109038.335303564</v>
      </c>
      <c r="AF1012" s="315">
        <f t="shared" si="266"/>
        <v>8858161.5146964379</v>
      </c>
      <c r="AG1012" s="316">
        <f t="shared" si="267"/>
        <v>4.6273972602739724</v>
      </c>
      <c r="AH1012" s="314">
        <v>1</v>
      </c>
      <c r="AI1012" s="314">
        <f t="shared" si="268"/>
        <v>8858161.5146964379</v>
      </c>
      <c r="AJ1012" s="314">
        <f t="shared" si="269"/>
        <v>0</v>
      </c>
      <c r="AK1012" s="317"/>
      <c r="AL1012" s="315">
        <f t="shared" si="270"/>
        <v>641798.71061739605</v>
      </c>
      <c r="AN1012" s="554">
        <f t="shared" si="271"/>
        <v>3.6123430760758225E-2</v>
      </c>
      <c r="AO1012" s="314"/>
      <c r="AP1012" s="318"/>
    </row>
    <row r="1013" spans="2:42">
      <c r="B1013" s="296" t="s">
        <v>1250</v>
      </c>
      <c r="C1013" s="299" t="s">
        <v>277</v>
      </c>
      <c r="D1013" s="298" t="s">
        <v>895</v>
      </c>
      <c r="E1013" s="299" t="s">
        <v>113</v>
      </c>
      <c r="F1013" s="299" t="s">
        <v>60</v>
      </c>
      <c r="G1013" s="300">
        <v>43103</v>
      </c>
      <c r="H1013" s="303">
        <v>9897939.1710157618</v>
      </c>
      <c r="I1013" s="301" t="str">
        <f t="shared" si="255"/>
        <v>Ingresos Sección II LISR (SIC &amp; BMV)</v>
      </c>
      <c r="J1013" s="302">
        <f t="shared" si="256"/>
        <v>1961</v>
      </c>
      <c r="K1013" s="304">
        <f t="shared" si="257"/>
        <v>5047.3937639040087</v>
      </c>
      <c r="L1013" s="305">
        <f>IF(H1013=0,0,IF(OR(E1013=$AT$5,E1013=$AT$6),AA1013,IF(F1013="MXN",1/HLOOKUP(YEAR(G1013)+(MONTH(G1013)/100),TC!$5:$37,DAY(G1013)+2,FALSE),VLOOKUP(F1013,Equivalencia!$5:$23,((MAX(Equivalencia!$3:$3)-YEAR(G1013))*14)+MONTH(G1013)+2,FALSE))))</f>
        <v>5.0857198073529335E-2</v>
      </c>
      <c r="M1013" s="306">
        <f t="shared" si="258"/>
        <v>503381.45294009335</v>
      </c>
      <c r="N1013" s="305">
        <f>IF(G1013=0,0,(IF(OR(E1013=$AT$5,E1013=$AT$6),AC1013,HLOOKUP(YEAR(G1013)+(MONTH(G1013)/100),TC!$5:$37,DAY(G1013)+2,FALSE))))</f>
        <v>19.6629</v>
      </c>
      <c r="O1013" s="307">
        <f t="shared" si="259"/>
        <v>9897939.1710157618</v>
      </c>
      <c r="P1013" s="560">
        <f>IF(G1013=0,0,VLOOKUP(YEAR(G1013),INPC!$B$4:$P$30,MONTH(G1013)+2))</f>
        <v>98.794999699501005</v>
      </c>
      <c r="Q1013" s="560">
        <f>IF(X1013=0,0,IF(OR(E1013=$AT$10,E1013=$AT$9),VLOOKUP(YEAR(X1013),INPC!$B$4:$P$30,MONTH(X1013)+1),VLOOKUP(YEAR(X1013),INPC!$B$4:$P$30,MONTH(X1013)+2,0)))</f>
        <v>123.803</v>
      </c>
      <c r="R1013" s="309">
        <f t="shared" si="260"/>
        <v>1.2531000000000001</v>
      </c>
      <c r="S1013" s="310">
        <f t="shared" si="261"/>
        <v>12403107.575199852</v>
      </c>
      <c r="T1013" s="555">
        <f t="shared" si="262"/>
        <v>6324.889125548114</v>
      </c>
      <c r="U1013" s="311"/>
      <c r="V1013" s="312">
        <v>1961</v>
      </c>
      <c r="W1013" s="299" t="s">
        <v>194</v>
      </c>
      <c r="X1013" s="300">
        <v>44831</v>
      </c>
      <c r="Y1013" s="299" t="s">
        <v>60</v>
      </c>
      <c r="Z1013" s="303">
        <v>15216676.41</v>
      </c>
      <c r="AA1013" s="305">
        <f>IF(Z1013=0,0,IF(Y1013="MXN",1/HLOOKUP(YEAR(X1013)+(MONTH(X1013)/100),TC!$5:$37,DAY(X1013)+2,FALSE),VLOOKUP(Y1013,Equivalencia!$1:$23,((MAX(Equivalencia!$3:$3)-YEAR(X1013))*14)+MONTH(X1013)+2,FALSE)))</f>
        <v>4.9596532210467843E-2</v>
      </c>
      <c r="AB1013" s="306">
        <f t="shared" si="263"/>
        <v>754694.38170483115</v>
      </c>
      <c r="AC1013" s="305">
        <f>+IF(X1013=0,0,HLOOKUP(YEAR(X1013)+(MONTH(X1013)/100),TC!$5:$37,DAY(X1013)+2,FALSE))</f>
        <v>20.162700000000001</v>
      </c>
      <c r="AD1013" s="307">
        <f t="shared" si="264"/>
        <v>15216676.41</v>
      </c>
      <c r="AE1013" s="314">
        <f t="shared" si="265"/>
        <v>12403107.575199852</v>
      </c>
      <c r="AF1013" s="315">
        <f t="shared" si="266"/>
        <v>2813568.8348001484</v>
      </c>
      <c r="AG1013" s="316">
        <f t="shared" si="267"/>
        <v>4.7342465753424658</v>
      </c>
      <c r="AH1013" s="314">
        <v>1</v>
      </c>
      <c r="AI1013" s="314">
        <f t="shared" si="268"/>
        <v>2813568.8348001484</v>
      </c>
      <c r="AJ1013" s="314">
        <f t="shared" si="269"/>
        <v>0</v>
      </c>
      <c r="AK1013" s="317"/>
      <c r="AL1013" s="315">
        <f t="shared" si="270"/>
        <v>251312.92876473779</v>
      </c>
      <c r="AN1013" s="554">
        <f t="shared" si="271"/>
        <v>2.539042970688889E-2</v>
      </c>
      <c r="AO1013" s="314"/>
      <c r="AP1013" s="318"/>
    </row>
    <row r="1014" spans="2:42">
      <c r="B1014" s="296" t="s">
        <v>1250</v>
      </c>
      <c r="C1014" s="299" t="s">
        <v>277</v>
      </c>
      <c r="D1014" s="298" t="s">
        <v>1028</v>
      </c>
      <c r="E1014" s="299" t="s">
        <v>113</v>
      </c>
      <c r="F1014" s="299" t="s">
        <v>60</v>
      </c>
      <c r="G1014" s="300">
        <v>43103</v>
      </c>
      <c r="H1014" s="303">
        <v>2951232.944839017</v>
      </c>
      <c r="I1014" s="301" t="str">
        <f t="shared" si="255"/>
        <v>Ingresos Sección II LISR (SIC &amp; BMV)</v>
      </c>
      <c r="J1014" s="302">
        <f t="shared" si="256"/>
        <v>968</v>
      </c>
      <c r="K1014" s="304">
        <f t="shared" si="257"/>
        <v>3048.7943645031169</v>
      </c>
      <c r="L1014" s="305">
        <f>IF(H1014=0,0,IF(OR(E1014=$AT$5,E1014=$AT$6),AA1014,IF(F1014="MXN",1/HLOOKUP(YEAR(G1014)+(MONTH(G1014)/100),TC!$5:$37,DAY(G1014)+2,FALSE),VLOOKUP(F1014,Equivalencia!$5:$23,((MAX(Equivalencia!$3:$3)-YEAR(G1014))*14)+MONTH(G1014)+2,FALSE))))</f>
        <v>5.0857198073529335E-2</v>
      </c>
      <c r="M1014" s="306">
        <f t="shared" si="258"/>
        <v>150091.43843680318</v>
      </c>
      <c r="N1014" s="305">
        <f>IF(G1014=0,0,(IF(OR(E1014=$AT$5,E1014=$AT$6),AC1014,HLOOKUP(YEAR(G1014)+(MONTH(G1014)/100),TC!$5:$37,DAY(G1014)+2,FALSE))))</f>
        <v>19.6629</v>
      </c>
      <c r="O1014" s="307">
        <f t="shared" si="259"/>
        <v>2951232.944839017</v>
      </c>
      <c r="P1014" s="560">
        <f>IF(G1014=0,0,VLOOKUP(YEAR(G1014),INPC!$B$4:$P$30,MONTH(G1014)+2))</f>
        <v>98.794999699501005</v>
      </c>
      <c r="Q1014" s="560">
        <f>IF(X1014=0,0,IF(OR(E1014=$AT$10,E1014=$AT$9),VLOOKUP(YEAR(X1014),INPC!$B$4:$P$30,MONTH(X1014)+1),VLOOKUP(YEAR(X1014),INPC!$B$4:$P$30,MONTH(X1014)+2,0)))</f>
        <v>122.94799999999999</v>
      </c>
      <c r="R1014" s="309">
        <f t="shared" si="260"/>
        <v>1.2444</v>
      </c>
      <c r="S1014" s="310">
        <f t="shared" si="261"/>
        <v>3672514.2765576728</v>
      </c>
      <c r="T1014" s="555">
        <f t="shared" si="262"/>
        <v>3793.9197071876783</v>
      </c>
      <c r="U1014" s="311"/>
      <c r="V1014" s="312">
        <v>968</v>
      </c>
      <c r="W1014" s="299" t="s">
        <v>194</v>
      </c>
      <c r="X1014" s="300">
        <v>44792</v>
      </c>
      <c r="Y1014" s="299" t="s">
        <v>60</v>
      </c>
      <c r="Z1014" s="303">
        <v>3035763.08</v>
      </c>
      <c r="AA1014" s="305">
        <f>IF(Z1014=0,0,IF(Y1014="MXN",1/HLOOKUP(YEAR(X1014)+(MONTH(X1014)/100),TC!$5:$37,DAY(X1014)+2,FALSE),VLOOKUP(Y1014,Equivalencia!$1:$23,((MAX(Equivalencia!$3:$3)-YEAR(X1014))*14)+MONTH(X1014)+2,FALSE)))</f>
        <v>4.9903436849695844E-2</v>
      </c>
      <c r="AB1014" s="306">
        <f t="shared" si="263"/>
        <v>151495.01115341816</v>
      </c>
      <c r="AC1014" s="305">
        <f>+IF(X1014=0,0,HLOOKUP(YEAR(X1014)+(MONTH(X1014)/100),TC!$5:$37,DAY(X1014)+2,FALSE))</f>
        <v>20.038699999999999</v>
      </c>
      <c r="AD1014" s="307">
        <f t="shared" si="264"/>
        <v>3035763.0800000005</v>
      </c>
      <c r="AE1014" s="314">
        <f t="shared" si="265"/>
        <v>3672514.2765576728</v>
      </c>
      <c r="AF1014" s="315">
        <f t="shared" si="266"/>
        <v>-636751.19655767223</v>
      </c>
      <c r="AG1014" s="316">
        <f t="shared" si="267"/>
        <v>4.6273972602739724</v>
      </c>
      <c r="AH1014" s="314">
        <v>1</v>
      </c>
      <c r="AI1014" s="314">
        <f t="shared" si="268"/>
        <v>-636751.19655767223</v>
      </c>
      <c r="AJ1014" s="314">
        <f t="shared" si="269"/>
        <v>0</v>
      </c>
      <c r="AK1014" s="317"/>
      <c r="AL1014" s="315">
        <f t="shared" si="270"/>
        <v>1403.5727166149882</v>
      </c>
      <c r="AN1014" s="554">
        <f t="shared" si="271"/>
        <v>4.7558859054805988E-4</v>
      </c>
      <c r="AO1014" s="314"/>
      <c r="AP1014" s="318"/>
    </row>
    <row r="1015" spans="2:42">
      <c r="B1015" s="296" t="s">
        <v>1250</v>
      </c>
      <c r="C1015" s="299" t="s">
        <v>277</v>
      </c>
      <c r="D1015" s="298" t="s">
        <v>1028</v>
      </c>
      <c r="E1015" s="299" t="s">
        <v>113</v>
      </c>
      <c r="F1015" s="299" t="s">
        <v>60</v>
      </c>
      <c r="G1015" s="300">
        <v>43103</v>
      </c>
      <c r="H1015" s="303">
        <v>3414649.6882434911</v>
      </c>
      <c r="I1015" s="301" t="str">
        <f t="shared" si="255"/>
        <v>Ingresos Sección II LISR (SIC &amp; BMV)</v>
      </c>
      <c r="J1015" s="302">
        <f t="shared" si="256"/>
        <v>1120</v>
      </c>
      <c r="K1015" s="304">
        <f t="shared" si="257"/>
        <v>3048.7943645031169</v>
      </c>
      <c r="L1015" s="305">
        <f>IF(H1015=0,0,IF(OR(E1015=$AT$5,E1015=$AT$6),AA1015,IF(F1015="MXN",1/HLOOKUP(YEAR(G1015)+(MONTH(G1015)/100),TC!$5:$37,DAY(G1015)+2,FALSE),VLOOKUP(F1015,Equivalencia!$5:$23,((MAX(Equivalencia!$3:$3)-YEAR(G1015))*14)+MONTH(G1015)+2,FALSE))))</f>
        <v>5.0857198073529335E-2</v>
      </c>
      <c r="M1015" s="306">
        <f t="shared" si="258"/>
        <v>173659.51554671442</v>
      </c>
      <c r="N1015" s="305">
        <f>IF(G1015=0,0,(IF(OR(E1015=$AT$5,E1015=$AT$6),AC1015,HLOOKUP(YEAR(G1015)+(MONTH(G1015)/100),TC!$5:$37,DAY(G1015)+2,FALSE))))</f>
        <v>19.6629</v>
      </c>
      <c r="O1015" s="307">
        <f t="shared" si="259"/>
        <v>3414649.6882434911</v>
      </c>
      <c r="P1015" s="560">
        <f>IF(G1015=0,0,VLOOKUP(YEAR(G1015),INPC!$B$4:$P$30,MONTH(G1015)+2))</f>
        <v>98.794999699501005</v>
      </c>
      <c r="Q1015" s="560">
        <f>IF(X1015=0,0,IF(OR(E1015=$AT$10,E1015=$AT$9),VLOOKUP(YEAR(X1015),INPC!$B$4:$P$30,MONTH(X1015)+1),VLOOKUP(YEAR(X1015),INPC!$B$4:$P$30,MONTH(X1015)+2,0)))</f>
        <v>123.803</v>
      </c>
      <c r="R1015" s="309">
        <f t="shared" si="260"/>
        <v>1.2531000000000001</v>
      </c>
      <c r="S1015" s="310">
        <f t="shared" si="261"/>
        <v>4278897.5243379194</v>
      </c>
      <c r="T1015" s="555">
        <f t="shared" si="262"/>
        <v>3820.4442181588565</v>
      </c>
      <c r="U1015" s="311"/>
      <c r="V1015" s="312">
        <v>1120</v>
      </c>
      <c r="W1015" s="299" t="s">
        <v>194</v>
      </c>
      <c r="X1015" s="300">
        <v>44831</v>
      </c>
      <c r="Y1015" s="299" t="s">
        <v>60</v>
      </c>
      <c r="Z1015" s="303">
        <v>3133984.32</v>
      </c>
      <c r="AA1015" s="305">
        <f>IF(Z1015=0,0,IF(Y1015="MXN",1/HLOOKUP(YEAR(X1015)+(MONTH(X1015)/100),TC!$5:$37,DAY(X1015)+2,FALSE),VLOOKUP(Y1015,Equivalencia!$1:$23,((MAX(Equivalencia!$3:$3)-YEAR(X1015))*14)+MONTH(X1015)+2,FALSE)))</f>
        <v>4.9596532210467843E-2</v>
      </c>
      <c r="AB1015" s="306">
        <f t="shared" si="263"/>
        <v>155434.75427398115</v>
      </c>
      <c r="AC1015" s="305">
        <f>+IF(X1015=0,0,HLOOKUP(YEAR(X1015)+(MONTH(X1015)/100),TC!$5:$37,DAY(X1015)+2,FALSE))</f>
        <v>20.162700000000001</v>
      </c>
      <c r="AD1015" s="307">
        <f t="shared" si="264"/>
        <v>3133984.32</v>
      </c>
      <c r="AE1015" s="314">
        <f t="shared" si="265"/>
        <v>4278897.5243379194</v>
      </c>
      <c r="AF1015" s="315">
        <f t="shared" si="266"/>
        <v>-1144913.2043379196</v>
      </c>
      <c r="AG1015" s="316">
        <f t="shared" si="267"/>
        <v>4.7342465753424658</v>
      </c>
      <c r="AH1015" s="314">
        <v>1</v>
      </c>
      <c r="AI1015" s="314">
        <f t="shared" si="268"/>
        <v>-1144913.2043379196</v>
      </c>
      <c r="AJ1015" s="314">
        <f t="shared" si="269"/>
        <v>0</v>
      </c>
      <c r="AK1015" s="317"/>
      <c r="AL1015" s="315">
        <f t="shared" si="270"/>
        <v>-18224.761272733274</v>
      </c>
      <c r="AN1015" s="554">
        <f t="shared" si="271"/>
        <v>-5.3372272228921266E-3</v>
      </c>
      <c r="AO1015" s="314"/>
      <c r="AP1015" s="318"/>
    </row>
    <row r="1016" spans="2:42">
      <c r="B1016" s="296" t="s">
        <v>1250</v>
      </c>
      <c r="C1016" s="299" t="s">
        <v>277</v>
      </c>
      <c r="D1016" s="298" t="s">
        <v>1029</v>
      </c>
      <c r="E1016" s="299" t="s">
        <v>113</v>
      </c>
      <c r="F1016" s="299" t="s">
        <v>60</v>
      </c>
      <c r="G1016" s="300">
        <v>43602</v>
      </c>
      <c r="H1016" s="303">
        <v>1199730.2312463976</v>
      </c>
      <c r="I1016" s="301" t="str">
        <f t="shared" si="255"/>
        <v>Ingresos Sección II LISR (SIC &amp; BMV)</v>
      </c>
      <c r="J1016" s="302">
        <f t="shared" si="256"/>
        <v>422</v>
      </c>
      <c r="K1016" s="304">
        <f t="shared" si="257"/>
        <v>2842.9626332853022</v>
      </c>
      <c r="L1016" s="305">
        <f>IF(H1016=0,0,IF(OR(E1016=$AT$5,E1016=$AT$6),AA1016,IF(F1016="MXN",1/HLOOKUP(YEAR(G1016)+(MONTH(G1016)/100),TC!$5:$37,DAY(G1016)+2,FALSE),VLOOKUP(F1016,Equivalencia!$5:$23,((MAX(Equivalencia!$3:$3)-YEAR(G1016))*14)+MONTH(G1016)+2,FALSE))))</f>
        <v>5.2291409567236297E-2</v>
      </c>
      <c r="M1016" s="306">
        <f t="shared" si="258"/>
        <v>62735.584892300489</v>
      </c>
      <c r="N1016" s="305">
        <f>IF(G1016=0,0,(IF(OR(E1016=$AT$5,E1016=$AT$6),AC1016,HLOOKUP(YEAR(G1016)+(MONTH(G1016)/100),TC!$5:$37,DAY(G1016)+2,FALSE))))</f>
        <v>19.1236</v>
      </c>
      <c r="O1016" s="307">
        <f t="shared" si="259"/>
        <v>1199730.2312463976</v>
      </c>
      <c r="P1016" s="560">
        <f>IF(G1016=0,0,VLOOKUP(YEAR(G1016),INPC!$B$4:$P$30,MONTH(G1016)+2))</f>
        <v>103.233</v>
      </c>
      <c r="Q1016" s="560">
        <f>IF(X1016=0,0,IF(OR(E1016=$AT$10,E1016=$AT$9),VLOOKUP(YEAR(X1016),INPC!$B$4:$P$30,MONTH(X1016)+1),VLOOKUP(YEAR(X1016),INPC!$B$4:$P$30,MONTH(X1016)+2,0)))</f>
        <v>123.803</v>
      </c>
      <c r="R1016" s="309">
        <f t="shared" si="260"/>
        <v>1.1992</v>
      </c>
      <c r="S1016" s="310">
        <f t="shared" si="261"/>
        <v>1438716.4933106801</v>
      </c>
      <c r="T1016" s="555">
        <f t="shared" si="262"/>
        <v>3409.280789835735</v>
      </c>
      <c r="U1016" s="311"/>
      <c r="V1016" s="312">
        <v>422</v>
      </c>
      <c r="W1016" s="299" t="s">
        <v>194</v>
      </c>
      <c r="X1016" s="300">
        <v>44831</v>
      </c>
      <c r="Y1016" s="299" t="s">
        <v>60</v>
      </c>
      <c r="Z1016" s="303">
        <v>1236569.9976315789</v>
      </c>
      <c r="AA1016" s="305">
        <f>IF(Z1016=0,0,IF(Y1016="MXN",1/HLOOKUP(YEAR(X1016)+(MONTH(X1016)/100),TC!$5:$37,DAY(X1016)+2,FALSE),VLOOKUP(Y1016,Equivalencia!$1:$23,((MAX(Equivalencia!$3:$3)-YEAR(X1016))*14)+MONTH(X1016)+2,FALSE)))</f>
        <v>4.9596532210467843E-2</v>
      </c>
      <c r="AB1016" s="306">
        <f t="shared" si="263"/>
        <v>61329.583718032751</v>
      </c>
      <c r="AC1016" s="305">
        <f>+IF(X1016=0,0,HLOOKUP(YEAR(X1016)+(MONTH(X1016)/100),TC!$5:$37,DAY(X1016)+2,FALSE))</f>
        <v>20.162700000000001</v>
      </c>
      <c r="AD1016" s="307">
        <f t="shared" si="264"/>
        <v>1236569.9976315789</v>
      </c>
      <c r="AE1016" s="314">
        <f t="shared" si="265"/>
        <v>1438716.4933106801</v>
      </c>
      <c r="AF1016" s="315">
        <f t="shared" si="266"/>
        <v>-202146.49567910121</v>
      </c>
      <c r="AG1016" s="316">
        <f t="shared" si="267"/>
        <v>3.3671232876712329</v>
      </c>
      <c r="AH1016" s="314">
        <v>1</v>
      </c>
      <c r="AI1016" s="314">
        <f t="shared" si="268"/>
        <v>-202146.49567910121</v>
      </c>
      <c r="AJ1016" s="314">
        <f t="shared" si="269"/>
        <v>0</v>
      </c>
      <c r="AK1016" s="317"/>
      <c r="AL1016" s="315">
        <f t="shared" si="270"/>
        <v>-1406.001174267738</v>
      </c>
      <c r="AN1016" s="554">
        <f t="shared" si="271"/>
        <v>-1.1719311038841172E-3</v>
      </c>
      <c r="AO1016" s="314"/>
      <c r="AP1016" s="318"/>
    </row>
    <row r="1017" spans="2:42">
      <c r="B1017" s="296" t="s">
        <v>1250</v>
      </c>
      <c r="C1017" s="299" t="s">
        <v>277</v>
      </c>
      <c r="D1017" s="298" t="s">
        <v>1029</v>
      </c>
      <c r="E1017" s="299" t="s">
        <v>113</v>
      </c>
      <c r="F1017" s="299" t="s">
        <v>60</v>
      </c>
      <c r="G1017" s="300">
        <v>43623</v>
      </c>
      <c r="H1017" s="303">
        <v>546187.26666173211</v>
      </c>
      <c r="I1017" s="301" t="str">
        <f t="shared" si="255"/>
        <v>Ingresos Sección II LISR (SIC &amp; BMV)</v>
      </c>
      <c r="J1017" s="302">
        <f t="shared" si="256"/>
        <v>186</v>
      </c>
      <c r="K1017" s="304">
        <f t="shared" si="257"/>
        <v>2936.4906809770541</v>
      </c>
      <c r="L1017" s="305">
        <f>IF(H1017=0,0,IF(OR(E1017=$AT$5,E1017=$AT$6),AA1017,IF(F1017="MXN",1/HLOOKUP(YEAR(G1017)+(MONTH(G1017)/100),TC!$5:$37,DAY(G1017)+2,FALSE),VLOOKUP(F1017,Equivalencia!$5:$23,((MAX(Equivalencia!$3:$3)-YEAR(G1017))*14)+MONTH(G1017)+2,FALSE))))</f>
        <v>5.1172358738703703E-2</v>
      </c>
      <c r="M1017" s="306">
        <f t="shared" si="258"/>
        <v>27949.690748126177</v>
      </c>
      <c r="N1017" s="305">
        <f>IF(G1017=0,0,(IF(OR(E1017=$AT$5,E1017=$AT$6),AC1017,HLOOKUP(YEAR(G1017)+(MONTH(G1017)/100),TC!$5:$37,DAY(G1017)+2,FALSE))))</f>
        <v>19.541799999999999</v>
      </c>
      <c r="O1017" s="307">
        <f t="shared" si="259"/>
        <v>546187.26666173211</v>
      </c>
      <c r="P1017" s="560">
        <f>IF(G1017=0,0,VLOOKUP(YEAR(G1017),INPC!$B$4:$P$30,MONTH(G1017)+2))</f>
        <v>103.29900000000001</v>
      </c>
      <c r="Q1017" s="560">
        <f>IF(X1017=0,0,IF(OR(E1017=$AT$10,E1017=$AT$9),VLOOKUP(YEAR(X1017),INPC!$B$4:$P$30,MONTH(X1017)+1),VLOOKUP(YEAR(X1017),INPC!$B$4:$P$30,MONTH(X1017)+2,0)))</f>
        <v>123.803</v>
      </c>
      <c r="R1017" s="309">
        <f t="shared" si="260"/>
        <v>1.1983999999999999</v>
      </c>
      <c r="S1017" s="310">
        <f t="shared" si="261"/>
        <v>654550.82036741974</v>
      </c>
      <c r="T1017" s="555">
        <f t="shared" si="262"/>
        <v>3519.0904320829018</v>
      </c>
      <c r="U1017" s="311"/>
      <c r="V1017" s="312">
        <v>186</v>
      </c>
      <c r="W1017" s="299" t="s">
        <v>194</v>
      </c>
      <c r="X1017" s="300">
        <v>44831</v>
      </c>
      <c r="Y1017" s="299" t="s">
        <v>60</v>
      </c>
      <c r="Z1017" s="303">
        <v>545028.48236842104</v>
      </c>
      <c r="AA1017" s="305">
        <f>IF(Z1017=0,0,IF(Y1017="MXN",1/HLOOKUP(YEAR(X1017)+(MONTH(X1017)/100),TC!$5:$37,DAY(X1017)+2,FALSE),VLOOKUP(Y1017,Equivalencia!$1:$23,((MAX(Equivalencia!$3:$3)-YEAR(X1017))*14)+MONTH(X1017)+2,FALSE)))</f>
        <v>4.9596532210467843E-2</v>
      </c>
      <c r="AB1017" s="306">
        <f t="shared" si="263"/>
        <v>27031.522681407798</v>
      </c>
      <c r="AC1017" s="305">
        <f>+IF(X1017=0,0,HLOOKUP(YEAR(X1017)+(MONTH(X1017)/100),TC!$5:$37,DAY(X1017)+2,FALSE))</f>
        <v>20.162700000000001</v>
      </c>
      <c r="AD1017" s="307">
        <f t="shared" si="264"/>
        <v>545028.48236842104</v>
      </c>
      <c r="AE1017" s="314">
        <f t="shared" si="265"/>
        <v>654550.82036741974</v>
      </c>
      <c r="AF1017" s="315">
        <f t="shared" si="266"/>
        <v>-109522.3379989987</v>
      </c>
      <c r="AG1017" s="316">
        <f t="shared" si="267"/>
        <v>3.3095890410958906</v>
      </c>
      <c r="AH1017" s="314">
        <v>1</v>
      </c>
      <c r="AI1017" s="314">
        <f t="shared" si="268"/>
        <v>-109522.3379989987</v>
      </c>
      <c r="AJ1017" s="314">
        <f t="shared" si="269"/>
        <v>0</v>
      </c>
      <c r="AK1017" s="317"/>
      <c r="AL1017" s="315">
        <f t="shared" si="270"/>
        <v>-918.16806671837912</v>
      </c>
      <c r="AN1017" s="554">
        <f t="shared" si="271"/>
        <v>-1.6810499306037911E-3</v>
      </c>
      <c r="AO1017" s="314"/>
      <c r="AP1017" s="318"/>
    </row>
    <row r="1018" spans="2:42">
      <c r="B1018" s="296" t="s">
        <v>1250</v>
      </c>
      <c r="C1018" s="299" t="s">
        <v>277</v>
      </c>
      <c r="D1018" s="298" t="s">
        <v>896</v>
      </c>
      <c r="E1018" s="299" t="s">
        <v>113</v>
      </c>
      <c r="F1018" s="299" t="s">
        <v>60</v>
      </c>
      <c r="G1018" s="300">
        <v>43159</v>
      </c>
      <c r="H1018" s="303">
        <v>584250.88245947321</v>
      </c>
      <c r="I1018" s="301" t="str">
        <f t="shared" si="255"/>
        <v>Ingresos Sección II LISR (SIC &amp; BMV)</v>
      </c>
      <c r="J1018" s="302">
        <f t="shared" si="256"/>
        <v>3682</v>
      </c>
      <c r="K1018" s="304">
        <f t="shared" si="257"/>
        <v>158.67758893521815</v>
      </c>
      <c r="L1018" s="305">
        <f>IF(H1018=0,0,IF(OR(E1018=$AT$5,E1018=$AT$6),AA1018,IF(F1018="MXN",1/HLOOKUP(YEAR(G1018)+(MONTH(G1018)/100),TC!$5:$37,DAY(G1018)+2,FALSE),VLOOKUP(F1018,Equivalencia!$5:$23,((MAX(Equivalencia!$3:$3)-YEAR(G1018))*14)+MONTH(G1018)+2,FALSE))))</f>
        <v>5.3631956064701586E-2</v>
      </c>
      <c r="M1018" s="306">
        <f t="shared" si="258"/>
        <v>31334.517658829598</v>
      </c>
      <c r="N1018" s="305">
        <f>IF(G1018=0,0,(IF(OR(E1018=$AT$5,E1018=$AT$6),AC1018,HLOOKUP(YEAR(G1018)+(MONTH(G1018)/100),TC!$5:$37,DAY(G1018)+2,FALSE))))</f>
        <v>18.645600000000002</v>
      </c>
      <c r="O1018" s="307">
        <f t="shared" si="259"/>
        <v>584250.88245947321</v>
      </c>
      <c r="P1018" s="560">
        <f>IF(G1018=0,0,VLOOKUP(YEAR(G1018),INPC!$B$4:$P$30,MONTH(G1018)+2))</f>
        <v>99.171374481640001</v>
      </c>
      <c r="Q1018" s="560">
        <f>IF(X1018=0,0,IF(OR(E1018=$AT$10,E1018=$AT$9),VLOOKUP(YEAR(X1018),INPC!$B$4:$P$30,MONTH(X1018)+1),VLOOKUP(YEAR(X1018),INPC!$B$4:$P$30,MONTH(X1018)+2,0)))</f>
        <v>122.94799999999999</v>
      </c>
      <c r="R1018" s="309">
        <f t="shared" si="260"/>
        <v>1.2397</v>
      </c>
      <c r="S1018" s="310">
        <f t="shared" si="261"/>
        <v>724295.81898500898</v>
      </c>
      <c r="T1018" s="555">
        <f t="shared" si="262"/>
        <v>196.71260700298996</v>
      </c>
      <c r="U1018" s="311"/>
      <c r="V1018" s="312">
        <v>3682</v>
      </c>
      <c r="W1018" s="299" t="s">
        <v>194</v>
      </c>
      <c r="X1018" s="300">
        <v>44792</v>
      </c>
      <c r="Y1018" s="299" t="s">
        <v>60</v>
      </c>
      <c r="Z1018" s="303">
        <v>1386188.3979813536</v>
      </c>
      <c r="AA1018" s="305">
        <f>IF(Z1018=0,0,IF(Y1018="MXN",1/HLOOKUP(YEAR(X1018)+(MONTH(X1018)/100),TC!$5:$37,DAY(X1018)+2,FALSE),VLOOKUP(Y1018,Equivalencia!$1:$23,((MAX(Equivalencia!$3:$3)-YEAR(X1018))*14)+MONTH(X1018)+2,FALSE)))</f>
        <v>4.9903436849695844E-2</v>
      </c>
      <c r="AB1018" s="306">
        <f t="shared" si="263"/>
        <v>69175.565180443533</v>
      </c>
      <c r="AC1018" s="305">
        <f>+IF(X1018=0,0,HLOOKUP(YEAR(X1018)+(MONTH(X1018)/100),TC!$5:$37,DAY(X1018)+2,FALSE))</f>
        <v>20.038699999999999</v>
      </c>
      <c r="AD1018" s="307">
        <f t="shared" si="264"/>
        <v>1386188.3979813538</v>
      </c>
      <c r="AE1018" s="314">
        <f t="shared" si="265"/>
        <v>724295.81898500898</v>
      </c>
      <c r="AF1018" s="315">
        <f t="shared" si="266"/>
        <v>661892.57899634482</v>
      </c>
      <c r="AG1018" s="316">
        <f t="shared" si="267"/>
        <v>4.4739726027397264</v>
      </c>
      <c r="AH1018" s="314">
        <v>1</v>
      </c>
      <c r="AI1018" s="314">
        <f t="shared" si="268"/>
        <v>661892.57899634482</v>
      </c>
      <c r="AJ1018" s="314">
        <f t="shared" si="269"/>
        <v>0</v>
      </c>
      <c r="AK1018" s="317"/>
      <c r="AL1018" s="315">
        <f t="shared" si="270"/>
        <v>37841.047521613931</v>
      </c>
      <c r="AN1018" s="554">
        <f t="shared" si="271"/>
        <v>6.4768490142997417E-2</v>
      </c>
      <c r="AO1018" s="314"/>
      <c r="AP1018" s="318"/>
    </row>
    <row r="1019" spans="2:42">
      <c r="B1019" s="296" t="s">
        <v>1250</v>
      </c>
      <c r="C1019" s="299" t="s">
        <v>277</v>
      </c>
      <c r="D1019" s="298" t="s">
        <v>896</v>
      </c>
      <c r="E1019" s="299" t="s">
        <v>113</v>
      </c>
      <c r="F1019" s="299" t="s">
        <v>60</v>
      </c>
      <c r="G1019" s="300">
        <v>43234</v>
      </c>
      <c r="H1019" s="303">
        <v>1908625.1399999997</v>
      </c>
      <c r="I1019" s="301" t="str">
        <f t="shared" si="255"/>
        <v>Ingresos Sección II LISR (SIC &amp; BMV)</v>
      </c>
      <c r="J1019" s="302">
        <f t="shared" si="256"/>
        <v>11348</v>
      </c>
      <c r="K1019" s="304">
        <f t="shared" si="257"/>
        <v>168.19044236869931</v>
      </c>
      <c r="L1019" s="305">
        <f>IF(H1019=0,0,IF(OR(E1019=$AT$5,E1019=$AT$6),AA1019,IF(F1019="MXN",1/HLOOKUP(YEAR(G1019)+(MONTH(G1019)/100),TC!$5:$37,DAY(G1019)+2,FALSE),VLOOKUP(F1019,Equivalencia!$5:$23,((MAX(Equivalencia!$3:$3)-YEAR(G1019))*14)+MONTH(G1019)+2,FALSE))))</f>
        <v>5.18164247703237E-2</v>
      </c>
      <c r="M1019" s="306">
        <f t="shared" si="258"/>
        <v>98898.130981558526</v>
      </c>
      <c r="N1019" s="305">
        <f>IF(G1019=0,0,(IF(OR(E1019=$AT$5,E1019=$AT$6),AC1019,HLOOKUP(YEAR(G1019)+(MONTH(G1019)/100),TC!$5:$37,DAY(G1019)+2,FALSE))))</f>
        <v>19.2989</v>
      </c>
      <c r="O1019" s="307">
        <f t="shared" si="259"/>
        <v>1908625.14</v>
      </c>
      <c r="P1019" s="560">
        <f>IF(G1019=0,0,VLOOKUP(YEAR(G1019),INPC!$B$4:$P$30,MONTH(G1019)+2))</f>
        <v>98.994080173086999</v>
      </c>
      <c r="Q1019" s="560">
        <f>IF(X1019=0,0,IF(OR(E1019=$AT$10,E1019=$AT$9),VLOOKUP(YEAR(X1019),INPC!$B$4:$P$30,MONTH(X1019)+1),VLOOKUP(YEAR(X1019),INPC!$B$4:$P$30,MONTH(X1019)+2,0)))</f>
        <v>122.94799999999999</v>
      </c>
      <c r="R1019" s="309">
        <f t="shared" si="260"/>
        <v>1.2419</v>
      </c>
      <c r="S1019" s="310">
        <f t="shared" si="261"/>
        <v>2370321.5613659997</v>
      </c>
      <c r="T1019" s="555">
        <f t="shared" si="262"/>
        <v>208.87571037768768</v>
      </c>
      <c r="U1019" s="311"/>
      <c r="V1019" s="312">
        <v>11348</v>
      </c>
      <c r="W1019" s="299" t="s">
        <v>194</v>
      </c>
      <c r="X1019" s="300">
        <v>44792</v>
      </c>
      <c r="Y1019" s="299" t="s">
        <v>60</v>
      </c>
      <c r="Z1019" s="303">
        <v>4272261.254832265</v>
      </c>
      <c r="AA1019" s="305">
        <f>IF(Z1019=0,0,IF(Y1019="MXN",1/HLOOKUP(YEAR(X1019)+(MONTH(X1019)/100),TC!$5:$37,DAY(X1019)+2,FALSE),VLOOKUP(Y1019,Equivalencia!$1:$23,((MAX(Equivalencia!$3:$3)-YEAR(X1019))*14)+MONTH(X1019)+2,FALSE)))</f>
        <v>4.9903436849695844E-2</v>
      </c>
      <c r="AB1019" s="306">
        <f t="shared" si="263"/>
        <v>213200.51973592426</v>
      </c>
      <c r="AC1019" s="305">
        <f>+IF(X1019=0,0,HLOOKUP(YEAR(X1019)+(MONTH(X1019)/100),TC!$5:$37,DAY(X1019)+2,FALSE))</f>
        <v>20.038699999999999</v>
      </c>
      <c r="AD1019" s="307">
        <f t="shared" si="264"/>
        <v>4272261.254832265</v>
      </c>
      <c r="AE1019" s="314">
        <f t="shared" si="265"/>
        <v>2370321.5613659997</v>
      </c>
      <c r="AF1019" s="315">
        <f t="shared" si="266"/>
        <v>1901939.6934662652</v>
      </c>
      <c r="AG1019" s="316">
        <f t="shared" si="267"/>
        <v>4.2684931506849315</v>
      </c>
      <c r="AH1019" s="314">
        <v>1</v>
      </c>
      <c r="AI1019" s="314">
        <f t="shared" si="268"/>
        <v>1901939.6934662652</v>
      </c>
      <c r="AJ1019" s="314">
        <f t="shared" si="269"/>
        <v>0</v>
      </c>
      <c r="AK1019" s="317"/>
      <c r="AL1019" s="315">
        <f t="shared" si="270"/>
        <v>114302.38875436573</v>
      </c>
      <c r="AN1019" s="554">
        <f t="shared" si="271"/>
        <v>5.9887290782707471E-2</v>
      </c>
      <c r="AO1019" s="314"/>
      <c r="AP1019" s="318"/>
    </row>
    <row r="1020" spans="2:42">
      <c r="B1020" s="296" t="s">
        <v>1250</v>
      </c>
      <c r="C1020" s="299" t="s">
        <v>277</v>
      </c>
      <c r="D1020" s="298" t="s">
        <v>896</v>
      </c>
      <c r="E1020" s="299" t="s">
        <v>113</v>
      </c>
      <c r="F1020" s="299" t="s">
        <v>60</v>
      </c>
      <c r="G1020" s="300">
        <v>43941</v>
      </c>
      <c r="H1020" s="303">
        <v>2419407.2530232556</v>
      </c>
      <c r="I1020" s="301" t="str">
        <f t="shared" ref="I1020:I1083" si="272">IF(D1020=0,0,IF(OR(E1020=$AT$9,E1020=$AT$10),"Ingresos Sección II LISR (SIC &amp; BMV)","Ingresos Sección I LISR"))</f>
        <v>Ingresos Sección II LISR (SIC &amp; BMV)</v>
      </c>
      <c r="J1020" s="302">
        <f t="shared" ref="J1020:J1083" si="273">+V1020</f>
        <v>8996</v>
      </c>
      <c r="K1020" s="304">
        <f t="shared" ref="K1020:K1083" si="274">IF(H1020=0,0,H1020/J1020)</f>
        <v>268.94255813953487</v>
      </c>
      <c r="L1020" s="305">
        <f>IF(H1020=0,0,IF(OR(E1020=$AT$5,E1020=$AT$6),AA1020,IF(F1020="MXN",1/HLOOKUP(YEAR(G1020)+(MONTH(G1020)/100),TC!$5:$37,DAY(G1020)+2,FALSE),VLOOKUP(F1020,Equivalencia!$5:$23,((MAX(Equivalencia!$3:$3)-YEAR(G1020))*14)+MONTH(G1020)+2,FALSE))))</f>
        <v>4.1305586993696762E-2</v>
      </c>
      <c r="M1020" s="306">
        <f t="shared" ref="M1020:M1083" si="275">+H1020*L1020</f>
        <v>99935.036762932999</v>
      </c>
      <c r="N1020" s="305">
        <f>IF(G1020=0,0,(IF(OR(E1020=$AT$5,E1020=$AT$6),AC1020,HLOOKUP(YEAR(G1020)+(MONTH(G1020)/100),TC!$5:$37,DAY(G1020)+2,FALSE))))</f>
        <v>24.209800000000001</v>
      </c>
      <c r="O1020" s="307">
        <f t="shared" ref="O1020:O1083" si="276">+M1020*N1020</f>
        <v>2419407.2530232556</v>
      </c>
      <c r="P1020" s="560">
        <f>IF(G1020=0,0,VLOOKUP(YEAR(G1020),INPC!$B$4:$P$30,MONTH(G1020)+2))</f>
        <v>105.755</v>
      </c>
      <c r="Q1020" s="560">
        <f>IF(X1020=0,0,IF(OR(E1020=$AT$10,E1020=$AT$9),VLOOKUP(YEAR(X1020),INPC!$B$4:$P$30,MONTH(X1020)+1),VLOOKUP(YEAR(X1020),INPC!$B$4:$P$30,MONTH(X1020)+2,0)))</f>
        <v>122.94799999999999</v>
      </c>
      <c r="R1020" s="309">
        <f t="shared" ref="R1020:R1083" si="277">IF(H1020=0,0,IF(OR(E1020=$AT$5,E1020=$AT$6),1,IF(TRUNC(Q1020/P1020,4)&gt;=1,TRUNC(Q1020/P1020,4),1)))</f>
        <v>1.1625000000000001</v>
      </c>
      <c r="S1020" s="310">
        <f t="shared" ref="S1020:S1083" si="278">+R1020*O1020</f>
        <v>2812560.9316395349</v>
      </c>
      <c r="T1020" s="555">
        <f t="shared" ref="T1020:T1083" si="279">IF(V1020=0,0,S1020/V1020)</f>
        <v>312.64572383720929</v>
      </c>
      <c r="U1020" s="311"/>
      <c r="V1020" s="312">
        <v>8996</v>
      </c>
      <c r="W1020" s="299" t="s">
        <v>194</v>
      </c>
      <c r="X1020" s="300">
        <v>44792</v>
      </c>
      <c r="Y1020" s="299" t="s">
        <v>60</v>
      </c>
      <c r="Z1020" s="303">
        <v>3386787.2971863812</v>
      </c>
      <c r="AA1020" s="305">
        <f>IF(Z1020=0,0,IF(Y1020="MXN",1/HLOOKUP(YEAR(X1020)+(MONTH(X1020)/100),TC!$5:$37,DAY(X1020)+2,FALSE),VLOOKUP(Y1020,Equivalencia!$1:$23,((MAX(Equivalencia!$3:$3)-YEAR(X1020))*14)+MONTH(X1020)+2,FALSE)))</f>
        <v>4.9903436849695844E-2</v>
      </c>
      <c r="AB1020" s="306">
        <f t="shared" ref="AB1020:AB1083" si="280">+AA1020*Z1020</f>
        <v>169012.32600849264</v>
      </c>
      <c r="AC1020" s="305">
        <f>+IF(X1020=0,0,HLOOKUP(YEAR(X1020)+(MONTH(X1020)/100),TC!$5:$37,DAY(X1020)+2,FALSE))</f>
        <v>20.038699999999999</v>
      </c>
      <c r="AD1020" s="307">
        <f t="shared" ref="AD1020:AD1083" si="281">+AC1020*AB1020</f>
        <v>3386787.2971863812</v>
      </c>
      <c r="AE1020" s="314">
        <f t="shared" ref="AE1020:AE1083" si="282">+V1020*T1020</f>
        <v>2812560.9316395349</v>
      </c>
      <c r="AF1020" s="315">
        <f t="shared" ref="AF1020:AF1083" si="283">IF(E1020=$AT$11,0,AD1020-AE1020)</f>
        <v>574226.3655468463</v>
      </c>
      <c r="AG1020" s="316">
        <f t="shared" ref="AG1020:AG1083" si="284">+IF(AND(AF1020&lt;0,OR(E1020=$AT$5,E1020=$AT$6)),1,((X1020-G1020)/365))</f>
        <v>2.3315068493150686</v>
      </c>
      <c r="AH1020" s="314">
        <v>1</v>
      </c>
      <c r="AI1020" s="314">
        <f t="shared" ref="AI1020:AI1083" si="285">+IF(OR(E1020=$AT$9,E1020=$AT$10),AF1020,+AF1020/AH1020)</f>
        <v>574226.3655468463</v>
      </c>
      <c r="AJ1020" s="314">
        <f t="shared" ref="AJ1020:AJ1083" si="286">+AF1020-AI1020</f>
        <v>0</v>
      </c>
      <c r="AK1020" s="317"/>
      <c r="AL1020" s="315">
        <f t="shared" ref="AL1020:AL1083" si="287">+AB1020-M1020</f>
        <v>69077.289245559645</v>
      </c>
      <c r="AN1020" s="554">
        <f t="shared" ref="AN1020:AN1083" si="288">IF(AL1020=0,0,AL1020/H1020)</f>
        <v>2.8551327668891496E-2</v>
      </c>
      <c r="AO1020" s="314"/>
      <c r="AP1020" s="318"/>
    </row>
    <row r="1021" spans="2:42">
      <c r="B1021" s="296" t="s">
        <v>1250</v>
      </c>
      <c r="C1021" s="299" t="s">
        <v>277</v>
      </c>
      <c r="D1021" s="298" t="s">
        <v>896</v>
      </c>
      <c r="E1021" s="299" t="s">
        <v>113</v>
      </c>
      <c r="F1021" s="299" t="s">
        <v>60</v>
      </c>
      <c r="G1021" s="300">
        <v>43941</v>
      </c>
      <c r="H1021" s="303">
        <v>55402.166976744185</v>
      </c>
      <c r="I1021" s="301" t="str">
        <f t="shared" si="272"/>
        <v>Ingresos Sección II LISR (SIC &amp; BMV)</v>
      </c>
      <c r="J1021" s="302">
        <f t="shared" si="273"/>
        <v>206</v>
      </c>
      <c r="K1021" s="304">
        <f t="shared" si="274"/>
        <v>268.94255813953487</v>
      </c>
      <c r="L1021" s="305">
        <f>IF(H1021=0,0,IF(OR(E1021=$AT$5,E1021=$AT$6),AA1021,IF(F1021="MXN",1/HLOOKUP(YEAR(G1021)+(MONTH(G1021)/100),TC!$5:$37,DAY(G1021)+2,FALSE),VLOOKUP(F1021,Equivalencia!$5:$23,((MAX(Equivalencia!$3:$3)-YEAR(G1021))*14)+MONTH(G1021)+2,FALSE))))</f>
        <v>4.1305586993696762E-2</v>
      </c>
      <c r="M1021" s="306">
        <f t="shared" si="275"/>
        <v>2288.4190276972208</v>
      </c>
      <c r="N1021" s="305">
        <f>IF(G1021=0,0,(IF(OR(E1021=$AT$5,E1021=$AT$6),AC1021,HLOOKUP(YEAR(G1021)+(MONTH(G1021)/100),TC!$5:$37,DAY(G1021)+2,FALSE))))</f>
        <v>24.209800000000001</v>
      </c>
      <c r="O1021" s="307">
        <f t="shared" si="276"/>
        <v>55402.166976744178</v>
      </c>
      <c r="P1021" s="560">
        <f>IF(G1021=0,0,VLOOKUP(YEAR(G1021),INPC!$B$4:$P$30,MONTH(G1021)+2))</f>
        <v>105.755</v>
      </c>
      <c r="Q1021" s="560">
        <f>IF(X1021=0,0,IF(OR(E1021=$AT$10,E1021=$AT$9),VLOOKUP(YEAR(X1021),INPC!$B$4:$P$30,MONTH(X1021)+1),VLOOKUP(YEAR(X1021),INPC!$B$4:$P$30,MONTH(X1021)+2,0)))</f>
        <v>123.803</v>
      </c>
      <c r="R1021" s="309">
        <f t="shared" si="277"/>
        <v>1.1706000000000001</v>
      </c>
      <c r="S1021" s="310">
        <f t="shared" si="278"/>
        <v>64853.776662976743</v>
      </c>
      <c r="T1021" s="555">
        <f t="shared" si="279"/>
        <v>314.82415855813952</v>
      </c>
      <c r="U1021" s="311"/>
      <c r="V1021" s="312">
        <v>206</v>
      </c>
      <c r="W1021" s="299" t="s">
        <v>194</v>
      </c>
      <c r="X1021" s="300">
        <v>44831</v>
      </c>
      <c r="Y1021" s="299" t="s">
        <v>60</v>
      </c>
      <c r="Z1021" s="303">
        <v>65599.55409533935</v>
      </c>
      <c r="AA1021" s="305">
        <f>IF(Z1021=0,0,IF(Y1021="MXN",1/HLOOKUP(YEAR(X1021)+(MONTH(X1021)/100),TC!$5:$37,DAY(X1021)+2,FALSE),VLOOKUP(Y1021,Equivalencia!$1:$23,((MAX(Equivalencia!$3:$3)-YEAR(X1021))*14)+MONTH(X1021)+2,FALSE)))</f>
        <v>4.9596532210467843E-2</v>
      </c>
      <c r="AB1021" s="306">
        <f t="shared" si="280"/>
        <v>3253.5103976818259</v>
      </c>
      <c r="AC1021" s="305">
        <f>+IF(X1021=0,0,HLOOKUP(YEAR(X1021)+(MONTH(X1021)/100),TC!$5:$37,DAY(X1021)+2,FALSE))</f>
        <v>20.162700000000001</v>
      </c>
      <c r="AD1021" s="307">
        <f t="shared" si="281"/>
        <v>65599.55409533935</v>
      </c>
      <c r="AE1021" s="314">
        <f t="shared" si="282"/>
        <v>64853.776662976743</v>
      </c>
      <c r="AF1021" s="315">
        <f t="shared" si="283"/>
        <v>745.77743236260721</v>
      </c>
      <c r="AG1021" s="316">
        <f t="shared" si="284"/>
        <v>2.4383561643835616</v>
      </c>
      <c r="AH1021" s="314">
        <v>1</v>
      </c>
      <c r="AI1021" s="314">
        <f t="shared" si="285"/>
        <v>745.77743236260721</v>
      </c>
      <c r="AJ1021" s="314">
        <f t="shared" si="286"/>
        <v>0</v>
      </c>
      <c r="AK1021" s="317"/>
      <c r="AL1021" s="315">
        <f t="shared" si="287"/>
        <v>965.09136998460508</v>
      </c>
      <c r="AN1021" s="554">
        <f t="shared" si="288"/>
        <v>1.7419740465922845E-2</v>
      </c>
      <c r="AO1021" s="314"/>
      <c r="AP1021" s="318"/>
    </row>
    <row r="1022" spans="2:42">
      <c r="B1022" s="296" t="s">
        <v>1250</v>
      </c>
      <c r="C1022" s="299" t="s">
        <v>277</v>
      </c>
      <c r="D1022" s="298" t="s">
        <v>896</v>
      </c>
      <c r="E1022" s="299" t="s">
        <v>113</v>
      </c>
      <c r="F1022" s="299" t="s">
        <v>60</v>
      </c>
      <c r="G1022" s="300">
        <v>43987</v>
      </c>
      <c r="H1022" s="303">
        <v>1535271.1739162505</v>
      </c>
      <c r="I1022" s="301" t="str">
        <f t="shared" si="272"/>
        <v>Ingresos Sección II LISR (SIC &amp; BMV)</v>
      </c>
      <c r="J1022" s="302">
        <f t="shared" si="273"/>
        <v>5437</v>
      </c>
      <c r="K1022" s="304">
        <f t="shared" si="274"/>
        <v>282.37468712824176</v>
      </c>
      <c r="L1022" s="305">
        <f>IF(H1022=0,0,IF(OR(E1022=$AT$5,E1022=$AT$6),AA1022,IF(F1022="MXN",1/HLOOKUP(YEAR(G1022)+(MONTH(G1022)/100),TC!$5:$37,DAY(G1022)+2,FALSE),VLOOKUP(F1022,Equivalencia!$5:$23,((MAX(Equivalencia!$3:$3)-YEAR(G1022))*14)+MONTH(G1022)+2,FALSE))))</f>
        <v>4.6287081738357647E-2</v>
      </c>
      <c r="M1022" s="306">
        <f t="shared" si="275"/>
        <v>71063.222317605789</v>
      </c>
      <c r="N1022" s="305">
        <f>IF(G1022=0,0,(IF(OR(E1022=$AT$5,E1022=$AT$6),AC1022,HLOOKUP(YEAR(G1022)+(MONTH(G1022)/100),TC!$5:$37,DAY(G1022)+2,FALSE))))</f>
        <v>21.604299999999999</v>
      </c>
      <c r="O1022" s="307">
        <f t="shared" si="276"/>
        <v>1535271.1739162507</v>
      </c>
      <c r="P1022" s="560">
        <f>IF(G1022=0,0,VLOOKUP(YEAR(G1022),INPC!$B$4:$P$30,MONTH(G1022)+2))</f>
        <v>106.74299999999999</v>
      </c>
      <c r="Q1022" s="560">
        <f>IF(X1022=0,0,IF(OR(E1022=$AT$10,E1022=$AT$9),VLOOKUP(YEAR(X1022),INPC!$B$4:$P$30,MONTH(X1022)+1),VLOOKUP(YEAR(X1022),INPC!$B$4:$P$30,MONTH(X1022)+2,0)))</f>
        <v>123.803</v>
      </c>
      <c r="R1022" s="309">
        <f t="shared" si="277"/>
        <v>1.1597999999999999</v>
      </c>
      <c r="S1022" s="310">
        <f t="shared" si="278"/>
        <v>1780607.5075080674</v>
      </c>
      <c r="T1022" s="555">
        <f t="shared" si="279"/>
        <v>327.49816213133482</v>
      </c>
      <c r="U1022" s="311"/>
      <c r="V1022" s="312">
        <v>5437</v>
      </c>
      <c r="W1022" s="299" t="s">
        <v>194</v>
      </c>
      <c r="X1022" s="300">
        <v>44831</v>
      </c>
      <c r="Y1022" s="299" t="s">
        <v>60</v>
      </c>
      <c r="Z1022" s="303">
        <v>1731382.4059046607</v>
      </c>
      <c r="AA1022" s="305">
        <f>IF(Z1022=0,0,IF(Y1022="MXN",1/HLOOKUP(YEAR(X1022)+(MONTH(X1022)/100),TC!$5:$37,DAY(X1022)+2,FALSE),VLOOKUP(Y1022,Equivalencia!$1:$23,((MAX(Equivalencia!$3:$3)-YEAR(X1022))*14)+MONTH(X1022)+2,FALSE)))</f>
        <v>4.9596532210467843E-2</v>
      </c>
      <c r="AB1022" s="306">
        <f t="shared" si="280"/>
        <v>85870.56326308781</v>
      </c>
      <c r="AC1022" s="305">
        <f>+IF(X1022=0,0,HLOOKUP(YEAR(X1022)+(MONTH(X1022)/100),TC!$5:$37,DAY(X1022)+2,FALSE))</f>
        <v>20.162700000000001</v>
      </c>
      <c r="AD1022" s="307">
        <f t="shared" si="281"/>
        <v>1731382.4059046607</v>
      </c>
      <c r="AE1022" s="314">
        <f t="shared" si="282"/>
        <v>1780607.5075080674</v>
      </c>
      <c r="AF1022" s="315">
        <f t="shared" si="283"/>
        <v>-49225.101603406714</v>
      </c>
      <c r="AG1022" s="316">
        <f t="shared" si="284"/>
        <v>2.3123287671232875</v>
      </c>
      <c r="AH1022" s="314">
        <v>1</v>
      </c>
      <c r="AI1022" s="314">
        <f t="shared" si="285"/>
        <v>-49225.101603406714</v>
      </c>
      <c r="AJ1022" s="314">
        <f t="shared" si="286"/>
        <v>0</v>
      </c>
      <c r="AK1022" s="317"/>
      <c r="AL1022" s="315">
        <f t="shared" si="287"/>
        <v>14807.340945482021</v>
      </c>
      <c r="AN1022" s="554">
        <f t="shared" si="288"/>
        <v>9.6447723353723092E-3</v>
      </c>
      <c r="AO1022" s="314"/>
      <c r="AP1022" s="318"/>
    </row>
    <row r="1023" spans="2:42">
      <c r="B1023" s="296" t="s">
        <v>1250</v>
      </c>
      <c r="C1023" s="299" t="s">
        <v>277</v>
      </c>
      <c r="D1023" s="298" t="s">
        <v>1030</v>
      </c>
      <c r="E1023" s="299" t="s">
        <v>113</v>
      </c>
      <c r="F1023" s="299" t="s">
        <v>60</v>
      </c>
      <c r="G1023" s="300">
        <v>43997</v>
      </c>
      <c r="H1023" s="303">
        <v>1374596.395389322</v>
      </c>
      <c r="I1023" s="301" t="str">
        <f t="shared" si="272"/>
        <v>Ingresos Sección II LISR (SIC &amp; BMV)</v>
      </c>
      <c r="J1023" s="302">
        <f t="shared" si="273"/>
        <v>10794</v>
      </c>
      <c r="K1023" s="304">
        <f t="shared" si="274"/>
        <v>127.3481930136485</v>
      </c>
      <c r="L1023" s="305">
        <f>IF(H1023=0,0,IF(OR(E1023=$AT$5,E1023=$AT$6),AA1023,IF(F1023="MXN",1/HLOOKUP(YEAR(G1023)+(MONTH(G1023)/100),TC!$5:$37,DAY(G1023)+2,FALSE),VLOOKUP(F1023,Equivalencia!$5:$23,((MAX(Equivalencia!$3:$3)-YEAR(G1023))*14)+MONTH(G1023)+2,FALSE))))</f>
        <v>4.4592690366195176E-2</v>
      </c>
      <c r="M1023" s="306">
        <f t="shared" si="275"/>
        <v>61296.951438084034</v>
      </c>
      <c r="N1023" s="305">
        <f>IF(G1023=0,0,(IF(OR(E1023=$AT$5,E1023=$AT$6),AC1023,HLOOKUP(YEAR(G1023)+(MONTH(G1023)/100),TC!$5:$37,DAY(G1023)+2,FALSE))))</f>
        <v>22.4252</v>
      </c>
      <c r="O1023" s="307">
        <f t="shared" si="276"/>
        <v>1374596.3953893222</v>
      </c>
      <c r="P1023" s="560">
        <f>IF(G1023=0,0,VLOOKUP(YEAR(G1023),INPC!$B$4:$P$30,MONTH(G1023)+2))</f>
        <v>106.74299999999999</v>
      </c>
      <c r="Q1023" s="560">
        <f>IF(X1023=0,0,IF(OR(E1023=$AT$10,E1023=$AT$9),VLOOKUP(YEAR(X1023),INPC!$B$4:$P$30,MONTH(X1023)+1),VLOOKUP(YEAR(X1023),INPC!$B$4:$P$30,MONTH(X1023)+2,0)))</f>
        <v>122.94799999999999</v>
      </c>
      <c r="R1023" s="309">
        <f t="shared" si="277"/>
        <v>1.1517999999999999</v>
      </c>
      <c r="S1023" s="310">
        <f t="shared" si="278"/>
        <v>1583260.1282094212</v>
      </c>
      <c r="T1023" s="555">
        <f t="shared" si="279"/>
        <v>146.67964871312037</v>
      </c>
      <c r="U1023" s="311"/>
      <c r="V1023" s="312">
        <v>10794</v>
      </c>
      <c r="W1023" s="299" t="s">
        <v>194</v>
      </c>
      <c r="X1023" s="300">
        <v>44792</v>
      </c>
      <c r="Y1023" s="299" t="s">
        <v>60</v>
      </c>
      <c r="Z1023" s="303">
        <v>1734830.7700000003</v>
      </c>
      <c r="AA1023" s="305">
        <f>IF(Z1023=0,0,IF(Y1023="MXN",1/HLOOKUP(YEAR(X1023)+(MONTH(X1023)/100),TC!$5:$37,DAY(X1023)+2,FALSE),VLOOKUP(Y1023,Equivalencia!$1:$23,((MAX(Equivalencia!$3:$3)-YEAR(X1023))*14)+MONTH(X1023)+2,FALSE)))</f>
        <v>4.9903436849695844E-2</v>
      </c>
      <c r="AB1023" s="306">
        <f t="shared" si="280"/>
        <v>86574.017775604225</v>
      </c>
      <c r="AC1023" s="305">
        <f>+IF(X1023=0,0,HLOOKUP(YEAR(X1023)+(MONTH(X1023)/100),TC!$5:$37,DAY(X1023)+2,FALSE))</f>
        <v>20.038699999999999</v>
      </c>
      <c r="AD1023" s="307">
        <f t="shared" si="281"/>
        <v>1734830.7700000003</v>
      </c>
      <c r="AE1023" s="314">
        <f t="shared" si="282"/>
        <v>1583260.1282094212</v>
      </c>
      <c r="AF1023" s="315">
        <f t="shared" si="283"/>
        <v>151570.64179057907</v>
      </c>
      <c r="AG1023" s="316">
        <f t="shared" si="284"/>
        <v>2.1780821917808217</v>
      </c>
      <c r="AH1023" s="314">
        <v>1</v>
      </c>
      <c r="AI1023" s="314">
        <f t="shared" si="285"/>
        <v>151570.64179057907</v>
      </c>
      <c r="AJ1023" s="314">
        <f t="shared" si="286"/>
        <v>0</v>
      </c>
      <c r="AK1023" s="317"/>
      <c r="AL1023" s="315">
        <f t="shared" si="287"/>
        <v>25277.066337520191</v>
      </c>
      <c r="AN1023" s="554">
        <f t="shared" si="288"/>
        <v>1.838871862483028E-2</v>
      </c>
      <c r="AO1023" s="314"/>
      <c r="AP1023" s="318"/>
    </row>
    <row r="1024" spans="2:42">
      <c r="B1024" s="296" t="s">
        <v>1250</v>
      </c>
      <c r="C1024" s="299" t="s">
        <v>277</v>
      </c>
      <c r="D1024" s="298" t="s">
        <v>1030</v>
      </c>
      <c r="E1024" s="299" t="s">
        <v>113</v>
      </c>
      <c r="F1024" s="299" t="s">
        <v>60</v>
      </c>
      <c r="G1024" s="300">
        <v>43997</v>
      </c>
      <c r="H1024" s="303">
        <v>573066.86856141826</v>
      </c>
      <c r="I1024" s="301" t="str">
        <f t="shared" si="272"/>
        <v>Ingresos Sección II LISR (SIC &amp; BMV)</v>
      </c>
      <c r="J1024" s="302">
        <f t="shared" si="273"/>
        <v>4500</v>
      </c>
      <c r="K1024" s="304">
        <f t="shared" si="274"/>
        <v>127.3481930136485</v>
      </c>
      <c r="L1024" s="305">
        <f>IF(H1024=0,0,IF(OR(E1024=$AT$5,E1024=$AT$6),AA1024,IF(F1024="MXN",1/HLOOKUP(YEAR(G1024)+(MONTH(G1024)/100),TC!$5:$37,DAY(G1024)+2,FALSE),VLOOKUP(F1024,Equivalencia!$5:$23,((MAX(Equivalencia!$3:$3)-YEAR(G1024))*14)+MONTH(G1024)+2,FALSE))))</f>
        <v>4.4592690366195176E-2</v>
      </c>
      <c r="M1024" s="306">
        <f t="shared" si="275"/>
        <v>25554.593428884393</v>
      </c>
      <c r="N1024" s="305">
        <f>IF(G1024=0,0,(IF(OR(E1024=$AT$5,E1024=$AT$6),AC1024,HLOOKUP(YEAR(G1024)+(MONTH(G1024)/100),TC!$5:$37,DAY(G1024)+2,FALSE))))</f>
        <v>22.4252</v>
      </c>
      <c r="O1024" s="307">
        <f t="shared" si="276"/>
        <v>573066.86856141826</v>
      </c>
      <c r="P1024" s="560">
        <f>IF(G1024=0,0,VLOOKUP(YEAR(G1024),INPC!$B$4:$P$30,MONTH(G1024)+2))</f>
        <v>106.74299999999999</v>
      </c>
      <c r="Q1024" s="560">
        <f>IF(X1024=0,0,IF(OR(E1024=$AT$10,E1024=$AT$9),VLOOKUP(YEAR(X1024),INPC!$B$4:$P$30,MONTH(X1024)+1),VLOOKUP(YEAR(X1024),INPC!$B$4:$P$30,MONTH(X1024)+2,0)))</f>
        <v>123.803</v>
      </c>
      <c r="R1024" s="309">
        <f t="shared" si="277"/>
        <v>1.1597999999999999</v>
      </c>
      <c r="S1024" s="310">
        <f t="shared" si="278"/>
        <v>664642.95415753289</v>
      </c>
      <c r="T1024" s="555">
        <f t="shared" si="279"/>
        <v>147.69843425722954</v>
      </c>
      <c r="U1024" s="311"/>
      <c r="V1024" s="312">
        <v>4500</v>
      </c>
      <c r="W1024" s="299" t="s">
        <v>194</v>
      </c>
      <c r="X1024" s="300">
        <v>44831</v>
      </c>
      <c r="Y1024" s="299" t="s">
        <v>60</v>
      </c>
      <c r="Z1024" s="303">
        <v>667059.81999999995</v>
      </c>
      <c r="AA1024" s="305">
        <f>IF(Z1024=0,0,IF(Y1024="MXN",1/HLOOKUP(YEAR(X1024)+(MONTH(X1024)/100),TC!$5:$37,DAY(X1024)+2,FALSE),VLOOKUP(Y1024,Equivalencia!$1:$23,((MAX(Equivalencia!$3:$3)-YEAR(X1024))*14)+MONTH(X1024)+2,FALSE)))</f>
        <v>4.9596532210467843E-2</v>
      </c>
      <c r="AB1024" s="306">
        <f t="shared" si="280"/>
        <v>33083.853848938881</v>
      </c>
      <c r="AC1024" s="305">
        <f>+IF(X1024=0,0,HLOOKUP(YEAR(X1024)+(MONTH(X1024)/100),TC!$5:$37,DAY(X1024)+2,FALSE))</f>
        <v>20.162700000000001</v>
      </c>
      <c r="AD1024" s="307">
        <f t="shared" si="281"/>
        <v>667059.82000000007</v>
      </c>
      <c r="AE1024" s="314">
        <f t="shared" si="282"/>
        <v>664642.95415753289</v>
      </c>
      <c r="AF1024" s="315">
        <f t="shared" si="283"/>
        <v>2416.8658424671739</v>
      </c>
      <c r="AG1024" s="316">
        <f t="shared" si="284"/>
        <v>2.2849315068493152</v>
      </c>
      <c r="AH1024" s="314">
        <v>1</v>
      </c>
      <c r="AI1024" s="314">
        <f t="shared" si="285"/>
        <v>2416.8658424671739</v>
      </c>
      <c r="AJ1024" s="314">
        <f t="shared" si="286"/>
        <v>0</v>
      </c>
      <c r="AK1024" s="317"/>
      <c r="AL1024" s="315">
        <f t="shared" si="287"/>
        <v>7529.2604200544883</v>
      </c>
      <c r="AN1024" s="554">
        <f t="shared" si="288"/>
        <v>1.3138537286155364E-2</v>
      </c>
      <c r="AO1024" s="314"/>
      <c r="AP1024" s="318"/>
    </row>
    <row r="1025" spans="2:42">
      <c r="B1025" s="296" t="s">
        <v>1250</v>
      </c>
      <c r="C1025" s="299" t="s">
        <v>277</v>
      </c>
      <c r="D1025" s="298" t="s">
        <v>1031</v>
      </c>
      <c r="E1025" s="299" t="s">
        <v>113</v>
      </c>
      <c r="F1025" s="299" t="s">
        <v>60</v>
      </c>
      <c r="G1025" s="300">
        <v>44490</v>
      </c>
      <c r="H1025" s="303">
        <v>2602683.7304412457</v>
      </c>
      <c r="I1025" s="301" t="str">
        <f t="shared" si="272"/>
        <v>Ingresos Sección II LISR (SIC &amp; BMV)</v>
      </c>
      <c r="J1025" s="302">
        <f t="shared" si="273"/>
        <v>24188</v>
      </c>
      <c r="K1025" s="304">
        <f t="shared" si="274"/>
        <v>107.60227097904935</v>
      </c>
      <c r="L1025" s="305">
        <f>IF(H1025=0,0,IF(OR(E1025=$AT$5,E1025=$AT$6),AA1025,IF(F1025="MXN",1/HLOOKUP(YEAR(G1025)+(MONTH(G1025)/100),TC!$5:$37,DAY(G1025)+2,FALSE),VLOOKUP(F1025,Equivalencia!$5:$23,((MAX(Equivalencia!$3:$3)-YEAR(G1025))*14)+MONTH(G1025)+2,FALSE))))</f>
        <v>4.9346893859765997E-2</v>
      </c>
      <c r="M1025" s="306">
        <f t="shared" si="275"/>
        <v>128434.35779662397</v>
      </c>
      <c r="N1025" s="305">
        <f>IF(G1025=0,0,(IF(OR(E1025=$AT$5,E1025=$AT$6),AC1025,HLOOKUP(YEAR(G1025)+(MONTH(G1025)/100),TC!$5:$37,DAY(G1025)+2,FALSE))))</f>
        <v>20.264700000000001</v>
      </c>
      <c r="O1025" s="307">
        <f t="shared" si="276"/>
        <v>2602683.7304412457</v>
      </c>
      <c r="P1025" s="560">
        <f>IF(G1025=0,0,VLOOKUP(YEAR(G1025),INPC!$B$4:$P$30,MONTH(G1025)+2))</f>
        <v>115.56100000000001</v>
      </c>
      <c r="Q1025" s="560">
        <f>IF(X1025=0,0,IF(OR(E1025=$AT$10,E1025=$AT$9),VLOOKUP(YEAR(X1025),INPC!$B$4:$P$30,MONTH(X1025)+1),VLOOKUP(YEAR(X1025),INPC!$B$4:$P$30,MONTH(X1025)+2,0)))</f>
        <v>122.94799999999999</v>
      </c>
      <c r="R1025" s="309">
        <f t="shared" si="277"/>
        <v>1.0639000000000001</v>
      </c>
      <c r="S1025" s="310">
        <f t="shared" si="278"/>
        <v>2768995.2208164413</v>
      </c>
      <c r="T1025" s="555">
        <f t="shared" si="279"/>
        <v>114.47805609461061</v>
      </c>
      <c r="U1025" s="311"/>
      <c r="V1025" s="312">
        <v>24188</v>
      </c>
      <c r="W1025" s="299" t="s">
        <v>194</v>
      </c>
      <c r="X1025" s="300">
        <v>44792</v>
      </c>
      <c r="Y1025" s="299" t="s">
        <v>60</v>
      </c>
      <c r="Z1025" s="303">
        <v>3621308.16</v>
      </c>
      <c r="AA1025" s="305">
        <f>IF(Z1025=0,0,IF(Y1025="MXN",1/HLOOKUP(YEAR(X1025)+(MONTH(X1025)/100),TC!$5:$37,DAY(X1025)+2,FALSE),VLOOKUP(Y1025,Equivalencia!$1:$23,((MAX(Equivalencia!$3:$3)-YEAR(X1025))*14)+MONTH(X1025)+2,FALSE)))</f>
        <v>4.9903436849695844E-2</v>
      </c>
      <c r="AB1025" s="306">
        <f t="shared" si="280"/>
        <v>180715.72307584825</v>
      </c>
      <c r="AC1025" s="305">
        <f>+IF(X1025=0,0,HLOOKUP(YEAR(X1025)+(MONTH(X1025)/100),TC!$5:$37,DAY(X1025)+2,FALSE))</f>
        <v>20.038699999999999</v>
      </c>
      <c r="AD1025" s="307">
        <f t="shared" si="281"/>
        <v>3621308.16</v>
      </c>
      <c r="AE1025" s="314">
        <f t="shared" si="282"/>
        <v>2768995.2208164413</v>
      </c>
      <c r="AF1025" s="315">
        <f t="shared" si="283"/>
        <v>852312.9391835588</v>
      </c>
      <c r="AG1025" s="316">
        <f t="shared" si="284"/>
        <v>0.82739726027397265</v>
      </c>
      <c r="AH1025" s="314">
        <v>1</v>
      </c>
      <c r="AI1025" s="314">
        <f t="shared" si="285"/>
        <v>852312.9391835588</v>
      </c>
      <c r="AJ1025" s="314">
        <f t="shared" si="286"/>
        <v>0</v>
      </c>
      <c r="AK1025" s="317"/>
      <c r="AL1025" s="315">
        <f t="shared" si="287"/>
        <v>52281.365279224279</v>
      </c>
      <c r="AN1025" s="554">
        <f t="shared" si="288"/>
        <v>2.0087483034429528E-2</v>
      </c>
      <c r="AO1025" s="314"/>
      <c r="AP1025" s="318"/>
    </row>
    <row r="1026" spans="2:42">
      <c r="B1026" s="296" t="s">
        <v>1250</v>
      </c>
      <c r="C1026" s="299" t="s">
        <v>277</v>
      </c>
      <c r="D1026" s="298" t="s">
        <v>1031</v>
      </c>
      <c r="E1026" s="299" t="s">
        <v>113</v>
      </c>
      <c r="F1026" s="299" t="s">
        <v>60</v>
      </c>
      <c r="G1026" s="300">
        <v>44490</v>
      </c>
      <c r="H1026" s="303">
        <v>563082.68403336522</v>
      </c>
      <c r="I1026" s="301" t="str">
        <f t="shared" si="272"/>
        <v>Ingresos Sección II LISR (SIC &amp; BMV)</v>
      </c>
      <c r="J1026" s="302">
        <f t="shared" si="273"/>
        <v>5233</v>
      </c>
      <c r="K1026" s="304">
        <f t="shared" si="274"/>
        <v>107.60227097904935</v>
      </c>
      <c r="L1026" s="305">
        <f>IF(H1026=0,0,IF(OR(E1026=$AT$5,E1026=$AT$6),AA1026,IF(F1026="MXN",1/HLOOKUP(YEAR(G1026)+(MONTH(G1026)/100),TC!$5:$37,DAY(G1026)+2,FALSE),VLOOKUP(F1026,Equivalencia!$5:$23,((MAX(Equivalencia!$3:$3)-YEAR(G1026))*14)+MONTH(G1026)+2,FALSE))))</f>
        <v>4.9346893859765997E-2</v>
      </c>
      <c r="M1026" s="306">
        <f t="shared" si="275"/>
        <v>27786.381443266626</v>
      </c>
      <c r="N1026" s="305">
        <f>IF(G1026=0,0,(IF(OR(E1026=$AT$5,E1026=$AT$6),AC1026,HLOOKUP(YEAR(G1026)+(MONTH(G1026)/100),TC!$5:$37,DAY(G1026)+2,FALSE))))</f>
        <v>20.264700000000001</v>
      </c>
      <c r="O1026" s="307">
        <f t="shared" si="276"/>
        <v>563082.68403336522</v>
      </c>
      <c r="P1026" s="560">
        <f>IF(G1026=0,0,VLOOKUP(YEAR(G1026),INPC!$B$4:$P$30,MONTH(G1026)+2))</f>
        <v>115.56100000000001</v>
      </c>
      <c r="Q1026" s="560">
        <f>IF(X1026=0,0,IF(OR(E1026=$AT$10,E1026=$AT$9),VLOOKUP(YEAR(X1026),INPC!$B$4:$P$30,MONTH(X1026)+1),VLOOKUP(YEAR(X1026),INPC!$B$4:$P$30,MONTH(X1026)+2,0)))</f>
        <v>123.803</v>
      </c>
      <c r="R1026" s="309">
        <f t="shared" si="277"/>
        <v>1.0712999999999999</v>
      </c>
      <c r="S1026" s="310">
        <f t="shared" si="278"/>
        <v>603230.47940494411</v>
      </c>
      <c r="T1026" s="555">
        <f t="shared" si="279"/>
        <v>115.27431289985556</v>
      </c>
      <c r="U1026" s="311"/>
      <c r="V1026" s="312">
        <v>5233</v>
      </c>
      <c r="W1026" s="299" t="s">
        <v>194</v>
      </c>
      <c r="X1026" s="300">
        <v>44831</v>
      </c>
      <c r="Y1026" s="299" t="s">
        <v>60</v>
      </c>
      <c r="Z1026" s="303">
        <v>709329.61</v>
      </c>
      <c r="AA1026" s="305">
        <f>IF(Z1026=0,0,IF(Y1026="MXN",1/HLOOKUP(YEAR(X1026)+(MONTH(X1026)/100),TC!$5:$37,DAY(X1026)+2,FALSE),VLOOKUP(Y1026,Equivalencia!$1:$23,((MAX(Equivalencia!$3:$3)-YEAR(X1026))*14)+MONTH(X1026)+2,FALSE)))</f>
        <v>4.9596532210467843E-2</v>
      </c>
      <c r="AB1026" s="306">
        <f t="shared" si="280"/>
        <v>35180.288850203593</v>
      </c>
      <c r="AC1026" s="305">
        <f>+IF(X1026=0,0,HLOOKUP(YEAR(X1026)+(MONTH(X1026)/100),TC!$5:$37,DAY(X1026)+2,FALSE))</f>
        <v>20.162700000000001</v>
      </c>
      <c r="AD1026" s="307">
        <f t="shared" si="281"/>
        <v>709329.61</v>
      </c>
      <c r="AE1026" s="314">
        <f t="shared" si="282"/>
        <v>603230.47940494411</v>
      </c>
      <c r="AF1026" s="315">
        <f t="shared" si="283"/>
        <v>106099.13059505587</v>
      </c>
      <c r="AG1026" s="316">
        <f t="shared" si="284"/>
        <v>0.9342465753424658</v>
      </c>
      <c r="AH1026" s="314">
        <v>1</v>
      </c>
      <c r="AI1026" s="314">
        <f t="shared" si="285"/>
        <v>106099.13059505587</v>
      </c>
      <c r="AJ1026" s="314">
        <f t="shared" si="286"/>
        <v>0</v>
      </c>
      <c r="AK1026" s="317"/>
      <c r="AL1026" s="315">
        <f t="shared" si="287"/>
        <v>7393.9074069369672</v>
      </c>
      <c r="AN1026" s="554">
        <f t="shared" si="288"/>
        <v>1.3131121976570752E-2</v>
      </c>
      <c r="AO1026" s="314"/>
      <c r="AP1026" s="318"/>
    </row>
    <row r="1027" spans="2:42">
      <c r="B1027" s="296" t="s">
        <v>1250</v>
      </c>
      <c r="C1027" s="299" t="s">
        <v>277</v>
      </c>
      <c r="D1027" s="298" t="s">
        <v>1032</v>
      </c>
      <c r="E1027" s="299" t="s">
        <v>113</v>
      </c>
      <c r="F1027" s="299" t="s">
        <v>60</v>
      </c>
      <c r="G1027" s="300">
        <v>43901</v>
      </c>
      <c r="H1027" s="303">
        <v>1317657.4887102132</v>
      </c>
      <c r="I1027" s="301" t="str">
        <f t="shared" si="272"/>
        <v>Ingresos Sección II LISR (SIC &amp; BMV)</v>
      </c>
      <c r="J1027" s="302">
        <f t="shared" si="273"/>
        <v>11879</v>
      </c>
      <c r="K1027" s="304">
        <f t="shared" si="274"/>
        <v>110.92326700144905</v>
      </c>
      <c r="L1027" s="305">
        <f>IF(H1027=0,0,IF(OR(E1027=$AT$5,E1027=$AT$6),AA1027,IF(F1027="MXN",1/HLOOKUP(YEAR(G1027)+(MONTH(G1027)/100),TC!$5:$37,DAY(G1027)+2,FALSE),VLOOKUP(F1027,Equivalencia!$5:$23,((MAX(Equivalencia!$3:$3)-YEAR(G1027))*14)+MONTH(G1027)+2,FALSE))))</f>
        <v>4.7367099759848805E-2</v>
      </c>
      <c r="M1027" s="306">
        <f t="shared" si="275"/>
        <v>62413.613717048516</v>
      </c>
      <c r="N1027" s="305">
        <f>IF(G1027=0,0,(IF(OR(E1027=$AT$5,E1027=$AT$6),AC1027,HLOOKUP(YEAR(G1027)+(MONTH(G1027)/100),TC!$5:$37,DAY(G1027)+2,FALSE))))</f>
        <v>21.111699999999999</v>
      </c>
      <c r="O1027" s="307">
        <f t="shared" si="276"/>
        <v>1317657.488710213</v>
      </c>
      <c r="P1027" s="560">
        <f>IF(G1027=0,0,VLOOKUP(YEAR(G1027),INPC!$B$4:$P$30,MONTH(G1027)+2))</f>
        <v>106.83799999999999</v>
      </c>
      <c r="Q1027" s="560">
        <f>IF(X1027=0,0,IF(OR(E1027=$AT$10,E1027=$AT$9),VLOOKUP(YEAR(X1027),INPC!$B$4:$P$30,MONTH(X1027)+1),VLOOKUP(YEAR(X1027),INPC!$B$4:$P$30,MONTH(X1027)+2,0)))</f>
        <v>122.94799999999999</v>
      </c>
      <c r="R1027" s="309">
        <f t="shared" si="277"/>
        <v>1.1507000000000001</v>
      </c>
      <c r="S1027" s="310">
        <f t="shared" si="278"/>
        <v>1516228.4722588421</v>
      </c>
      <c r="T1027" s="555">
        <f t="shared" si="279"/>
        <v>127.63940333856739</v>
      </c>
      <c r="U1027" s="311"/>
      <c r="V1027" s="312">
        <v>11879</v>
      </c>
      <c r="W1027" s="299" t="s">
        <v>194</v>
      </c>
      <c r="X1027" s="300">
        <v>44792</v>
      </c>
      <c r="Y1027" s="299" t="s">
        <v>60</v>
      </c>
      <c r="Z1027" s="303">
        <v>1911588.98</v>
      </c>
      <c r="AA1027" s="305">
        <f>IF(Z1027=0,0,IF(Y1027="MXN",1/HLOOKUP(YEAR(X1027)+(MONTH(X1027)/100),TC!$5:$37,DAY(X1027)+2,FALSE),VLOOKUP(Y1027,Equivalencia!$1:$23,((MAX(Equivalencia!$3:$3)-YEAR(X1027))*14)+MONTH(X1027)+2,FALSE)))</f>
        <v>4.9903436849695844E-2</v>
      </c>
      <c r="AB1027" s="306">
        <f t="shared" si="280"/>
        <v>95394.859946004493</v>
      </c>
      <c r="AC1027" s="305">
        <f>+IF(X1027=0,0,HLOOKUP(YEAR(X1027)+(MONTH(X1027)/100),TC!$5:$37,DAY(X1027)+2,FALSE))</f>
        <v>20.038699999999999</v>
      </c>
      <c r="AD1027" s="307">
        <f t="shared" si="281"/>
        <v>1911588.9800000002</v>
      </c>
      <c r="AE1027" s="314">
        <f t="shared" si="282"/>
        <v>1516228.4722588421</v>
      </c>
      <c r="AF1027" s="315">
        <f t="shared" si="283"/>
        <v>395360.50774115813</v>
      </c>
      <c r="AG1027" s="316">
        <f t="shared" si="284"/>
        <v>2.441095890410959</v>
      </c>
      <c r="AH1027" s="314">
        <v>1</v>
      </c>
      <c r="AI1027" s="314">
        <f t="shared" si="285"/>
        <v>395360.50774115813</v>
      </c>
      <c r="AJ1027" s="314">
        <f t="shared" si="286"/>
        <v>0</v>
      </c>
      <c r="AK1027" s="317"/>
      <c r="AL1027" s="315">
        <f t="shared" si="287"/>
        <v>32981.246228955977</v>
      </c>
      <c r="AN1027" s="554">
        <f t="shared" si="288"/>
        <v>2.5030211956856566E-2</v>
      </c>
      <c r="AO1027" s="314"/>
      <c r="AP1027" s="318"/>
    </row>
    <row r="1028" spans="2:42">
      <c r="B1028" s="296" t="s">
        <v>1250</v>
      </c>
      <c r="C1028" s="299" t="s">
        <v>277</v>
      </c>
      <c r="D1028" s="298" t="s">
        <v>1032</v>
      </c>
      <c r="E1028" s="299" t="s">
        <v>113</v>
      </c>
      <c r="F1028" s="299" t="s">
        <v>60</v>
      </c>
      <c r="G1028" s="300">
        <v>43901</v>
      </c>
      <c r="H1028" s="303">
        <v>535648.45634999743</v>
      </c>
      <c r="I1028" s="301" t="str">
        <f t="shared" si="272"/>
        <v>Ingresos Sección II LISR (SIC &amp; BMV)</v>
      </c>
      <c r="J1028" s="302">
        <f t="shared" si="273"/>
        <v>4829</v>
      </c>
      <c r="K1028" s="304">
        <f t="shared" si="274"/>
        <v>110.92326700144905</v>
      </c>
      <c r="L1028" s="305">
        <f>IF(H1028=0,0,IF(OR(E1028=$AT$5,E1028=$AT$6),AA1028,IF(F1028="MXN",1/HLOOKUP(YEAR(G1028)+(MONTH(G1028)/100),TC!$5:$37,DAY(G1028)+2,FALSE),VLOOKUP(F1028,Equivalencia!$5:$23,((MAX(Equivalencia!$3:$3)-YEAR(G1028))*14)+MONTH(G1028)+2,FALSE))))</f>
        <v>4.7367099759848805E-2</v>
      </c>
      <c r="M1028" s="306">
        <f t="shared" si="275"/>
        <v>25372.113868139346</v>
      </c>
      <c r="N1028" s="305">
        <f>IF(G1028=0,0,(IF(OR(E1028=$AT$5,E1028=$AT$6),AC1028,HLOOKUP(YEAR(G1028)+(MONTH(G1028)/100),TC!$5:$37,DAY(G1028)+2,FALSE))))</f>
        <v>21.111699999999999</v>
      </c>
      <c r="O1028" s="307">
        <f t="shared" si="276"/>
        <v>535648.45634999743</v>
      </c>
      <c r="P1028" s="560">
        <f>IF(G1028=0,0,VLOOKUP(YEAR(G1028),INPC!$B$4:$P$30,MONTH(G1028)+2))</f>
        <v>106.83799999999999</v>
      </c>
      <c r="Q1028" s="560">
        <f>IF(X1028=0,0,IF(OR(E1028=$AT$10,E1028=$AT$9),VLOOKUP(YEAR(X1028),INPC!$B$4:$P$30,MONTH(X1028)+1),VLOOKUP(YEAR(X1028),INPC!$B$4:$P$30,MONTH(X1028)+2,0)))</f>
        <v>123.803</v>
      </c>
      <c r="R1028" s="309">
        <f t="shared" si="277"/>
        <v>1.1587000000000001</v>
      </c>
      <c r="S1028" s="310">
        <f t="shared" si="278"/>
        <v>620655.86637274211</v>
      </c>
      <c r="T1028" s="555">
        <f t="shared" si="279"/>
        <v>128.52678947457903</v>
      </c>
      <c r="U1028" s="311"/>
      <c r="V1028" s="312">
        <v>4829</v>
      </c>
      <c r="W1028" s="299" t="s">
        <v>194</v>
      </c>
      <c r="X1028" s="300">
        <v>44831</v>
      </c>
      <c r="Y1028" s="299" t="s">
        <v>60</v>
      </c>
      <c r="Z1028" s="303">
        <v>673491.68000000017</v>
      </c>
      <c r="AA1028" s="305">
        <f>IF(Z1028=0,0,IF(Y1028="MXN",1/HLOOKUP(YEAR(X1028)+(MONTH(X1028)/100),TC!$5:$37,DAY(X1028)+2,FALSE),VLOOKUP(Y1028,Equivalencia!$1:$23,((MAX(Equivalencia!$3:$3)-YEAR(X1028))*14)+MONTH(X1028)+2,FALSE)))</f>
        <v>4.9596532210467843E-2</v>
      </c>
      <c r="AB1028" s="306">
        <f t="shared" si="280"/>
        <v>33402.851800602111</v>
      </c>
      <c r="AC1028" s="305">
        <f>+IF(X1028=0,0,HLOOKUP(YEAR(X1028)+(MONTH(X1028)/100),TC!$5:$37,DAY(X1028)+2,FALSE))</f>
        <v>20.162700000000001</v>
      </c>
      <c r="AD1028" s="307">
        <f t="shared" si="281"/>
        <v>673491.68000000017</v>
      </c>
      <c r="AE1028" s="314">
        <f t="shared" si="282"/>
        <v>620655.86637274211</v>
      </c>
      <c r="AF1028" s="315">
        <f t="shared" si="283"/>
        <v>52835.81362725806</v>
      </c>
      <c r="AG1028" s="316">
        <f t="shared" si="284"/>
        <v>2.547945205479452</v>
      </c>
      <c r="AH1028" s="314">
        <v>1</v>
      </c>
      <c r="AI1028" s="314">
        <f t="shared" si="285"/>
        <v>52835.81362725806</v>
      </c>
      <c r="AJ1028" s="314">
        <f t="shared" si="286"/>
        <v>0</v>
      </c>
      <c r="AK1028" s="317"/>
      <c r="AL1028" s="315">
        <f t="shared" si="287"/>
        <v>8030.7379324627655</v>
      </c>
      <c r="AN1028" s="554">
        <f t="shared" si="288"/>
        <v>1.4992553114379574E-2</v>
      </c>
      <c r="AO1028" s="314"/>
      <c r="AP1028" s="318"/>
    </row>
    <row r="1029" spans="2:42">
      <c r="B1029" s="296" t="s">
        <v>1250</v>
      </c>
      <c r="C1029" s="299" t="s">
        <v>277</v>
      </c>
      <c r="D1029" s="298" t="s">
        <v>1033</v>
      </c>
      <c r="E1029" s="299" t="s">
        <v>113</v>
      </c>
      <c r="F1029" s="299" t="s">
        <v>60</v>
      </c>
      <c r="G1029" s="300">
        <v>43601</v>
      </c>
      <c r="H1029" s="303">
        <v>3091384.63718112</v>
      </c>
      <c r="I1029" s="301" t="str">
        <f t="shared" si="272"/>
        <v>Ingresos Sección II LISR (SIC &amp; BMV)</v>
      </c>
      <c r="J1029" s="302">
        <f t="shared" si="273"/>
        <v>21750</v>
      </c>
      <c r="K1029" s="304">
        <f t="shared" si="274"/>
        <v>142.1326269968331</v>
      </c>
      <c r="L1029" s="305">
        <f>IF(H1029=0,0,IF(OR(E1029=$AT$5,E1029=$AT$6),AA1029,IF(F1029="MXN",1/HLOOKUP(YEAR(G1029)+(MONTH(G1029)/100),TC!$5:$37,DAY(G1029)+2,FALSE),VLOOKUP(F1029,Equivalencia!$5:$23,((MAX(Equivalencia!$3:$3)-YEAR(G1029))*14)+MONTH(G1029)+2,FALSE))))</f>
        <v>5.2239234799688651E-2</v>
      </c>
      <c r="M1029" s="306">
        <f t="shared" si="275"/>
        <v>161491.56791785485</v>
      </c>
      <c r="N1029" s="305">
        <f>IF(G1029=0,0,(IF(OR(E1029=$AT$5,E1029=$AT$6),AC1029,HLOOKUP(YEAR(G1029)+(MONTH(G1029)/100),TC!$5:$37,DAY(G1029)+2,FALSE))))</f>
        <v>19.142700000000001</v>
      </c>
      <c r="O1029" s="307">
        <f t="shared" si="276"/>
        <v>3091384.63718112</v>
      </c>
      <c r="P1029" s="560">
        <f>IF(G1029=0,0,VLOOKUP(YEAR(G1029),INPC!$B$4:$P$30,MONTH(G1029)+2))</f>
        <v>103.233</v>
      </c>
      <c r="Q1029" s="560">
        <f>IF(X1029=0,0,IF(OR(E1029=$AT$10,E1029=$AT$9),VLOOKUP(YEAR(X1029),INPC!$B$4:$P$30,MONTH(X1029)+1),VLOOKUP(YEAR(X1029),INPC!$B$4:$P$30,MONTH(X1029)+2,0)))</f>
        <v>122.94799999999999</v>
      </c>
      <c r="R1029" s="309">
        <f t="shared" si="277"/>
        <v>1.1909000000000001</v>
      </c>
      <c r="S1029" s="310">
        <f t="shared" si="278"/>
        <v>3681529.9644189961</v>
      </c>
      <c r="T1029" s="555">
        <f t="shared" si="279"/>
        <v>169.26574549052856</v>
      </c>
      <c r="U1029" s="311"/>
      <c r="V1029" s="312">
        <v>21750</v>
      </c>
      <c r="W1029" s="299" t="s">
        <v>194</v>
      </c>
      <c r="X1029" s="300">
        <v>44792</v>
      </c>
      <c r="Y1029" s="299" t="s">
        <v>60</v>
      </c>
      <c r="Z1029" s="303">
        <v>4843576.49</v>
      </c>
      <c r="AA1029" s="305">
        <f>IF(Z1029=0,0,IF(Y1029="MXN",1/HLOOKUP(YEAR(X1029)+(MONTH(X1029)/100),TC!$5:$37,DAY(X1029)+2,FALSE),VLOOKUP(Y1029,Equivalencia!$1:$23,((MAX(Equivalencia!$3:$3)-YEAR(X1029))*14)+MONTH(X1029)+2,FALSE)))</f>
        <v>4.9903436849695844E-2</v>
      </c>
      <c r="AB1029" s="306">
        <f t="shared" si="280"/>
        <v>241711.11349538647</v>
      </c>
      <c r="AC1029" s="305">
        <f>+IF(X1029=0,0,HLOOKUP(YEAR(X1029)+(MONTH(X1029)/100),TC!$5:$37,DAY(X1029)+2,FALSE))</f>
        <v>20.038699999999999</v>
      </c>
      <c r="AD1029" s="307">
        <f t="shared" si="281"/>
        <v>4843576.49</v>
      </c>
      <c r="AE1029" s="314">
        <f t="shared" si="282"/>
        <v>3681529.9644189961</v>
      </c>
      <c r="AF1029" s="315">
        <f t="shared" si="283"/>
        <v>1162046.5255810041</v>
      </c>
      <c r="AG1029" s="316">
        <f t="shared" si="284"/>
        <v>3.2630136986301368</v>
      </c>
      <c r="AH1029" s="314">
        <v>1</v>
      </c>
      <c r="AI1029" s="314">
        <f t="shared" si="285"/>
        <v>1162046.5255810041</v>
      </c>
      <c r="AJ1029" s="314">
        <f t="shared" si="286"/>
        <v>0</v>
      </c>
      <c r="AK1029" s="317"/>
      <c r="AL1029" s="315">
        <f t="shared" si="287"/>
        <v>80219.545577531622</v>
      </c>
      <c r="AN1029" s="554">
        <f t="shared" si="288"/>
        <v>2.594938999589512E-2</v>
      </c>
      <c r="AO1029" s="314"/>
      <c r="AP1029" s="318"/>
    </row>
    <row r="1030" spans="2:42">
      <c r="B1030" s="296" t="s">
        <v>1250</v>
      </c>
      <c r="C1030" s="299" t="s">
        <v>277</v>
      </c>
      <c r="D1030" s="298" t="s">
        <v>1033</v>
      </c>
      <c r="E1030" s="299" t="s">
        <v>113</v>
      </c>
      <c r="F1030" s="299" t="s">
        <v>60</v>
      </c>
      <c r="G1030" s="300">
        <v>43601</v>
      </c>
      <c r="H1030" s="303">
        <v>625383.55878606567</v>
      </c>
      <c r="I1030" s="301" t="str">
        <f t="shared" si="272"/>
        <v>Ingresos Sección II LISR (SIC &amp; BMV)</v>
      </c>
      <c r="J1030" s="302">
        <f t="shared" si="273"/>
        <v>4400</v>
      </c>
      <c r="K1030" s="304">
        <f t="shared" si="274"/>
        <v>142.1326269968331</v>
      </c>
      <c r="L1030" s="305">
        <f>IF(H1030=0,0,IF(OR(E1030=$AT$5,E1030=$AT$6),AA1030,IF(F1030="MXN",1/HLOOKUP(YEAR(G1030)+(MONTH(G1030)/100),TC!$5:$37,DAY(G1030)+2,FALSE),VLOOKUP(F1030,Equivalencia!$5:$23,((MAX(Equivalencia!$3:$3)-YEAR(G1030))*14)+MONTH(G1030)+2,FALSE))))</f>
        <v>5.2239234799688651E-2</v>
      </c>
      <c r="M1030" s="306">
        <f t="shared" si="275"/>
        <v>32669.558567290176</v>
      </c>
      <c r="N1030" s="305">
        <f>IF(G1030=0,0,(IF(OR(E1030=$AT$5,E1030=$AT$6),AC1030,HLOOKUP(YEAR(G1030)+(MONTH(G1030)/100),TC!$5:$37,DAY(G1030)+2,FALSE))))</f>
        <v>19.142700000000001</v>
      </c>
      <c r="O1030" s="307">
        <f t="shared" si="276"/>
        <v>625383.55878606567</v>
      </c>
      <c r="P1030" s="560">
        <f>IF(G1030=0,0,VLOOKUP(YEAR(G1030),INPC!$B$4:$P$30,MONTH(G1030)+2))</f>
        <v>103.233</v>
      </c>
      <c r="Q1030" s="560">
        <f>IF(X1030=0,0,IF(OR(E1030=$AT$10,E1030=$AT$9),VLOOKUP(YEAR(X1030),INPC!$B$4:$P$30,MONTH(X1030)+1),VLOOKUP(YEAR(X1030),INPC!$B$4:$P$30,MONTH(X1030)+2,0)))</f>
        <v>123.803</v>
      </c>
      <c r="R1030" s="309">
        <f t="shared" si="277"/>
        <v>1.1992</v>
      </c>
      <c r="S1030" s="310">
        <f t="shared" si="278"/>
        <v>749959.96369624999</v>
      </c>
      <c r="T1030" s="555">
        <f t="shared" si="279"/>
        <v>170.44544629460228</v>
      </c>
      <c r="U1030" s="311"/>
      <c r="V1030" s="312">
        <v>4400</v>
      </c>
      <c r="W1030" s="299" t="s">
        <v>194</v>
      </c>
      <c r="X1030" s="300">
        <v>44831</v>
      </c>
      <c r="Y1030" s="299" t="s">
        <v>60</v>
      </c>
      <c r="Z1030" s="303">
        <v>870234.84994923847</v>
      </c>
      <c r="AA1030" s="305">
        <f>IF(Z1030=0,0,IF(Y1030="MXN",1/HLOOKUP(YEAR(X1030)+(MONTH(X1030)/100),TC!$5:$37,DAY(X1030)+2,FALSE),VLOOKUP(Y1030,Equivalencia!$1:$23,((MAX(Equivalencia!$3:$3)-YEAR(X1030))*14)+MONTH(X1030)+2,FALSE)))</f>
        <v>4.9596532210467843E-2</v>
      </c>
      <c r="AB1030" s="306">
        <f t="shared" si="280"/>
        <v>43160.630766179056</v>
      </c>
      <c r="AC1030" s="305">
        <f>+IF(X1030=0,0,HLOOKUP(YEAR(X1030)+(MONTH(X1030)/100),TC!$5:$37,DAY(X1030)+2,FALSE))</f>
        <v>20.162700000000001</v>
      </c>
      <c r="AD1030" s="307">
        <f t="shared" si="281"/>
        <v>870234.84994923847</v>
      </c>
      <c r="AE1030" s="314">
        <f t="shared" si="282"/>
        <v>749959.96369624999</v>
      </c>
      <c r="AF1030" s="315">
        <f t="shared" si="283"/>
        <v>120274.88625298848</v>
      </c>
      <c r="AG1030" s="316">
        <f t="shared" si="284"/>
        <v>3.3698630136986303</v>
      </c>
      <c r="AH1030" s="314">
        <v>1</v>
      </c>
      <c r="AI1030" s="314">
        <f t="shared" si="285"/>
        <v>120274.88625298848</v>
      </c>
      <c r="AJ1030" s="314">
        <f t="shared" si="286"/>
        <v>0</v>
      </c>
      <c r="AK1030" s="317"/>
      <c r="AL1030" s="315">
        <f t="shared" si="287"/>
        <v>10491.07219888888</v>
      </c>
      <c r="AN1030" s="554">
        <f t="shared" si="288"/>
        <v>1.6775420542319883E-2</v>
      </c>
      <c r="AO1030" s="314"/>
      <c r="AP1030" s="318"/>
    </row>
    <row r="1031" spans="2:42">
      <c r="B1031" s="296" t="s">
        <v>1250</v>
      </c>
      <c r="C1031" s="299" t="s">
        <v>277</v>
      </c>
      <c r="D1031" s="298" t="s">
        <v>1033</v>
      </c>
      <c r="E1031" s="299" t="s">
        <v>113</v>
      </c>
      <c r="F1031" s="299" t="s">
        <v>60</v>
      </c>
      <c r="G1031" s="300">
        <v>44104</v>
      </c>
      <c r="H1031" s="303">
        <v>1205411.0141591344</v>
      </c>
      <c r="I1031" s="301" t="str">
        <f t="shared" si="272"/>
        <v>Ingresos Sección II LISR (SIC &amp; BMV)</v>
      </c>
      <c r="J1031" s="302">
        <f t="shared" si="273"/>
        <v>5450</v>
      </c>
      <c r="K1031" s="304">
        <f t="shared" si="274"/>
        <v>221.17633287323565</v>
      </c>
      <c r="L1031" s="305">
        <f>IF(H1031=0,0,IF(OR(E1031=$AT$5,E1031=$AT$6),AA1031,IF(F1031="MXN",1/HLOOKUP(YEAR(G1031)+(MONTH(G1031)/100),TC!$5:$37,DAY(G1031)+2,FALSE),VLOOKUP(F1031,Equivalencia!$5:$23,((MAX(Equivalencia!$3:$3)-YEAR(G1031))*14)+MONTH(G1031)+2,FALSE))))</f>
        <v>4.452895049716573E-2</v>
      </c>
      <c r="M1031" s="306">
        <f t="shared" si="275"/>
        <v>53675.687378230432</v>
      </c>
      <c r="N1031" s="305">
        <f>IF(G1031=0,0,(IF(OR(E1031=$AT$5,E1031=$AT$6),AC1031,HLOOKUP(YEAR(G1031)+(MONTH(G1031)/100),TC!$5:$37,DAY(G1031)+2,FALSE))))</f>
        <v>22.4573</v>
      </c>
      <c r="O1031" s="307">
        <f t="shared" si="276"/>
        <v>1205411.0141591344</v>
      </c>
      <c r="P1031" s="560">
        <f>IF(G1031=0,0,VLOOKUP(YEAR(G1031),INPC!$B$4:$P$30,MONTH(G1031)+2))</f>
        <v>108.114</v>
      </c>
      <c r="Q1031" s="560">
        <f>IF(X1031=0,0,IF(OR(E1031=$AT$10,E1031=$AT$9),VLOOKUP(YEAR(X1031),INPC!$B$4:$P$30,MONTH(X1031)+1),VLOOKUP(YEAR(X1031),INPC!$B$4:$P$30,MONTH(X1031)+2,0)))</f>
        <v>123.803</v>
      </c>
      <c r="R1031" s="309">
        <f t="shared" si="277"/>
        <v>1.1451</v>
      </c>
      <c r="S1031" s="310">
        <f t="shared" si="278"/>
        <v>1380316.1523136247</v>
      </c>
      <c r="T1031" s="555">
        <f t="shared" si="279"/>
        <v>253.26901877314216</v>
      </c>
      <c r="U1031" s="311"/>
      <c r="V1031" s="312">
        <v>5450</v>
      </c>
      <c r="W1031" s="299" t="s">
        <v>194</v>
      </c>
      <c r="X1031" s="300">
        <v>44831</v>
      </c>
      <c r="Y1031" s="299" t="s">
        <v>60</v>
      </c>
      <c r="Z1031" s="303">
        <v>1077904.5300507613</v>
      </c>
      <c r="AA1031" s="305">
        <f>IF(Z1031=0,0,IF(Y1031="MXN",1/HLOOKUP(YEAR(X1031)+(MONTH(X1031)/100),TC!$5:$37,DAY(X1031)+2,FALSE),VLOOKUP(Y1031,Equivalencia!$1:$23,((MAX(Equivalencia!$3:$3)-YEAR(X1031))*14)+MONTH(X1031)+2,FALSE)))</f>
        <v>4.9596532210467843E-2</v>
      </c>
      <c r="AB1031" s="306">
        <f t="shared" si="280"/>
        <v>53460.326744471786</v>
      </c>
      <c r="AC1031" s="305">
        <f>+IF(X1031=0,0,HLOOKUP(YEAR(X1031)+(MONTH(X1031)/100),TC!$5:$37,DAY(X1031)+2,FALSE))</f>
        <v>20.162700000000001</v>
      </c>
      <c r="AD1031" s="307">
        <f t="shared" si="281"/>
        <v>1077904.5300507613</v>
      </c>
      <c r="AE1031" s="314">
        <f t="shared" si="282"/>
        <v>1380316.1523136247</v>
      </c>
      <c r="AF1031" s="315">
        <f t="shared" si="283"/>
        <v>-302411.62226286344</v>
      </c>
      <c r="AG1031" s="316">
        <f t="shared" si="284"/>
        <v>1.9917808219178081</v>
      </c>
      <c r="AH1031" s="314">
        <v>1</v>
      </c>
      <c r="AI1031" s="314">
        <f t="shared" si="285"/>
        <v>-302411.62226286344</v>
      </c>
      <c r="AJ1031" s="314">
        <f t="shared" si="286"/>
        <v>0</v>
      </c>
      <c r="AK1031" s="317"/>
      <c r="AL1031" s="315">
        <f t="shared" si="287"/>
        <v>-215.36063375864614</v>
      </c>
      <c r="AN1031" s="554">
        <f t="shared" si="288"/>
        <v>-1.7866157785929683E-4</v>
      </c>
      <c r="AO1031" s="314"/>
      <c r="AP1031" s="318"/>
    </row>
    <row r="1032" spans="2:42">
      <c r="B1032" s="296" t="s">
        <v>1250</v>
      </c>
      <c r="C1032" s="299" t="s">
        <v>277</v>
      </c>
      <c r="D1032" s="298" t="s">
        <v>1034</v>
      </c>
      <c r="E1032" s="299" t="s">
        <v>113</v>
      </c>
      <c r="F1032" s="299" t="s">
        <v>60</v>
      </c>
      <c r="G1032" s="300">
        <v>43103</v>
      </c>
      <c r="H1032" s="303">
        <v>1925793.8146275538</v>
      </c>
      <c r="I1032" s="301" t="str">
        <f t="shared" si="272"/>
        <v>Ingresos Sección II LISR (SIC &amp; BMV)</v>
      </c>
      <c r="J1032" s="302">
        <f t="shared" si="273"/>
        <v>16561</v>
      </c>
      <c r="K1032" s="304">
        <f t="shared" si="274"/>
        <v>116.28487498505849</v>
      </c>
      <c r="L1032" s="305">
        <f>IF(H1032=0,0,IF(OR(E1032=$AT$5,E1032=$AT$6),AA1032,IF(F1032="MXN",1/HLOOKUP(YEAR(G1032)+(MONTH(G1032)/100),TC!$5:$37,DAY(G1032)+2,FALSE),VLOOKUP(F1032,Equivalencia!$5:$23,((MAX(Equivalencia!$3:$3)-YEAR(G1032))*14)+MONTH(G1032)+2,FALSE))))</f>
        <v>5.0857198073529335E-2</v>
      </c>
      <c r="M1032" s="306">
        <f t="shared" si="275"/>
        <v>97940.477479291134</v>
      </c>
      <c r="N1032" s="305">
        <f>IF(G1032=0,0,(IF(OR(E1032=$AT$5,E1032=$AT$6),AC1032,HLOOKUP(YEAR(G1032)+(MONTH(G1032)/100),TC!$5:$37,DAY(G1032)+2,FALSE))))</f>
        <v>19.6629</v>
      </c>
      <c r="O1032" s="307">
        <f t="shared" si="276"/>
        <v>1925793.8146275536</v>
      </c>
      <c r="P1032" s="560">
        <f>IF(G1032=0,0,VLOOKUP(YEAR(G1032),INPC!$B$4:$P$30,MONTH(G1032)+2))</f>
        <v>98.794999699501005</v>
      </c>
      <c r="Q1032" s="560">
        <f>IF(X1032=0,0,IF(OR(E1032=$AT$10,E1032=$AT$9),VLOOKUP(YEAR(X1032),INPC!$B$4:$P$30,MONTH(X1032)+1),VLOOKUP(YEAR(X1032),INPC!$B$4:$P$30,MONTH(X1032)+2,0)))</f>
        <v>122.94799999999999</v>
      </c>
      <c r="R1032" s="309">
        <f t="shared" si="277"/>
        <v>1.2444</v>
      </c>
      <c r="S1032" s="310">
        <f t="shared" si="278"/>
        <v>2396457.8229225278</v>
      </c>
      <c r="T1032" s="555">
        <f t="shared" si="279"/>
        <v>144.70489843140678</v>
      </c>
      <c r="U1032" s="311"/>
      <c r="V1032" s="312">
        <v>16561</v>
      </c>
      <c r="W1032" s="299" t="s">
        <v>194</v>
      </c>
      <c r="X1032" s="300">
        <v>44792</v>
      </c>
      <c r="Y1032" s="299" t="s">
        <v>60</v>
      </c>
      <c r="Z1032" s="303">
        <v>3385542.92</v>
      </c>
      <c r="AA1032" s="305">
        <f>IF(Z1032=0,0,IF(Y1032="MXN",1/HLOOKUP(YEAR(X1032)+(MONTH(X1032)/100),TC!$5:$37,DAY(X1032)+2,FALSE),VLOOKUP(Y1032,Equivalencia!$1:$23,((MAX(Equivalencia!$3:$3)-YEAR(X1032))*14)+MONTH(X1032)+2,FALSE)))</f>
        <v>4.9903436849695844E-2</v>
      </c>
      <c r="AB1032" s="306">
        <f t="shared" si="280"/>
        <v>168950.22731015488</v>
      </c>
      <c r="AC1032" s="305">
        <f>+IF(X1032=0,0,HLOOKUP(YEAR(X1032)+(MONTH(X1032)/100),TC!$5:$37,DAY(X1032)+2,FALSE))</f>
        <v>20.038699999999999</v>
      </c>
      <c r="AD1032" s="307">
        <f t="shared" si="281"/>
        <v>3385542.9200000004</v>
      </c>
      <c r="AE1032" s="314">
        <f t="shared" si="282"/>
        <v>2396457.8229225278</v>
      </c>
      <c r="AF1032" s="315">
        <f t="shared" si="283"/>
        <v>989085.0970774726</v>
      </c>
      <c r="AG1032" s="316">
        <f t="shared" si="284"/>
        <v>4.6273972602739724</v>
      </c>
      <c r="AH1032" s="314">
        <v>1</v>
      </c>
      <c r="AI1032" s="314">
        <f t="shared" si="285"/>
        <v>989085.0970774726</v>
      </c>
      <c r="AJ1032" s="314">
        <f t="shared" si="286"/>
        <v>0</v>
      </c>
      <c r="AK1032" s="317"/>
      <c r="AL1032" s="315">
        <f t="shared" si="287"/>
        <v>71009.749830863744</v>
      </c>
      <c r="AN1032" s="554">
        <f t="shared" si="288"/>
        <v>3.6872976375509306E-2</v>
      </c>
      <c r="AO1032" s="314"/>
      <c r="AP1032" s="318"/>
    </row>
    <row r="1033" spans="2:42">
      <c r="B1033" s="296" t="s">
        <v>1250</v>
      </c>
      <c r="C1033" s="299" t="s">
        <v>277</v>
      </c>
      <c r="D1033" s="298" t="s">
        <v>1034</v>
      </c>
      <c r="E1033" s="299" t="s">
        <v>113</v>
      </c>
      <c r="F1033" s="299" t="s">
        <v>60</v>
      </c>
      <c r="G1033" s="300">
        <v>43103</v>
      </c>
      <c r="H1033" s="303">
        <v>1532634.652303071</v>
      </c>
      <c r="I1033" s="301" t="str">
        <f t="shared" si="272"/>
        <v>Ingresos Sección II LISR (SIC &amp; BMV)</v>
      </c>
      <c r="J1033" s="302">
        <f t="shared" si="273"/>
        <v>13180</v>
      </c>
      <c r="K1033" s="304">
        <f t="shared" si="274"/>
        <v>116.28487498505849</v>
      </c>
      <c r="L1033" s="305">
        <f>IF(H1033=0,0,IF(OR(E1033=$AT$5,E1033=$AT$6),AA1033,IF(F1033="MXN",1/HLOOKUP(YEAR(G1033)+(MONTH(G1033)/100),TC!$5:$37,DAY(G1033)+2,FALSE),VLOOKUP(F1033,Equivalencia!$5:$23,((MAX(Equivalencia!$3:$3)-YEAR(G1033))*14)+MONTH(G1033)+2,FALSE))))</f>
        <v>5.0857198073529335E-2</v>
      </c>
      <c r="M1033" s="306">
        <f t="shared" si="275"/>
        <v>77945.504086532048</v>
      </c>
      <c r="N1033" s="305">
        <f>IF(G1033=0,0,(IF(OR(E1033=$AT$5,E1033=$AT$6),AC1033,HLOOKUP(YEAR(G1033)+(MONTH(G1033)/100),TC!$5:$37,DAY(G1033)+2,FALSE))))</f>
        <v>19.6629</v>
      </c>
      <c r="O1033" s="307">
        <f t="shared" si="276"/>
        <v>1532634.652303071</v>
      </c>
      <c r="P1033" s="560">
        <f>IF(G1033=0,0,VLOOKUP(YEAR(G1033),INPC!$B$4:$P$30,MONTH(G1033)+2))</f>
        <v>98.794999699501005</v>
      </c>
      <c r="Q1033" s="560">
        <f>IF(X1033=0,0,IF(OR(E1033=$AT$10,E1033=$AT$9),VLOOKUP(YEAR(X1033),INPC!$B$4:$P$30,MONTH(X1033)+1),VLOOKUP(YEAR(X1033),INPC!$B$4:$P$30,MONTH(X1033)+2,0)))</f>
        <v>123.803</v>
      </c>
      <c r="R1033" s="309">
        <f t="shared" si="277"/>
        <v>1.2531000000000001</v>
      </c>
      <c r="S1033" s="310">
        <f t="shared" si="278"/>
        <v>1920544.4828009785</v>
      </c>
      <c r="T1033" s="555">
        <f t="shared" si="279"/>
        <v>145.71657684377681</v>
      </c>
      <c r="U1033" s="311"/>
      <c r="V1033" s="312">
        <v>13180</v>
      </c>
      <c r="W1033" s="299" t="s">
        <v>194</v>
      </c>
      <c r="X1033" s="300">
        <v>44831</v>
      </c>
      <c r="Y1033" s="299" t="s">
        <v>60</v>
      </c>
      <c r="Z1033" s="303">
        <v>2516361.2637209687</v>
      </c>
      <c r="AA1033" s="305">
        <f>IF(Z1033=0,0,IF(Y1033="MXN",1/HLOOKUP(YEAR(X1033)+(MONTH(X1033)/100),TC!$5:$37,DAY(X1033)+2,FALSE),VLOOKUP(Y1033,Equivalencia!$1:$23,((MAX(Equivalencia!$3:$3)-YEAR(X1033))*14)+MONTH(X1033)+2,FALSE)))</f>
        <v>4.9596532210467843E-2</v>
      </c>
      <c r="AB1033" s="306">
        <f t="shared" si="280"/>
        <v>124802.79246931059</v>
      </c>
      <c r="AC1033" s="305">
        <f>+IF(X1033=0,0,HLOOKUP(YEAR(X1033)+(MONTH(X1033)/100),TC!$5:$37,DAY(X1033)+2,FALSE))</f>
        <v>20.162700000000001</v>
      </c>
      <c r="AD1033" s="307">
        <f t="shared" si="281"/>
        <v>2516361.2637209687</v>
      </c>
      <c r="AE1033" s="314">
        <f t="shared" si="282"/>
        <v>1920544.4828009782</v>
      </c>
      <c r="AF1033" s="315">
        <f t="shared" si="283"/>
        <v>595816.7809199905</v>
      </c>
      <c r="AG1033" s="316">
        <f t="shared" si="284"/>
        <v>4.7342465753424658</v>
      </c>
      <c r="AH1033" s="314">
        <v>1</v>
      </c>
      <c r="AI1033" s="314">
        <f t="shared" si="285"/>
        <v>595816.7809199905</v>
      </c>
      <c r="AJ1033" s="314">
        <f t="shared" si="286"/>
        <v>0</v>
      </c>
      <c r="AK1033" s="317"/>
      <c r="AL1033" s="315">
        <f t="shared" si="287"/>
        <v>46857.288382778541</v>
      </c>
      <c r="AN1033" s="554">
        <f t="shared" si="288"/>
        <v>3.0573032074125872E-2</v>
      </c>
      <c r="AO1033" s="314"/>
      <c r="AP1033" s="318"/>
    </row>
    <row r="1034" spans="2:42">
      <c r="B1034" s="296" t="s">
        <v>1250</v>
      </c>
      <c r="C1034" s="299" t="s">
        <v>277</v>
      </c>
      <c r="D1034" s="298" t="s">
        <v>1034</v>
      </c>
      <c r="E1034" s="299" t="s">
        <v>113</v>
      </c>
      <c r="F1034" s="299" t="s">
        <v>60</v>
      </c>
      <c r="G1034" s="300">
        <v>43599</v>
      </c>
      <c r="H1034" s="303">
        <v>1297114.1372640384</v>
      </c>
      <c r="I1034" s="301" t="str">
        <f t="shared" si="272"/>
        <v>Ingresos Sección II LISR (SIC &amp; BMV)</v>
      </c>
      <c r="J1034" s="302">
        <f t="shared" si="273"/>
        <v>11104</v>
      </c>
      <c r="K1034" s="304">
        <f t="shared" si="274"/>
        <v>116.81503397550779</v>
      </c>
      <c r="L1034" s="305">
        <f>IF(H1034=0,0,IF(OR(E1034=$AT$5,E1034=$AT$6),AA1034,IF(F1034="MXN",1/HLOOKUP(YEAR(G1034)+(MONTH(G1034)/100),TC!$5:$37,DAY(G1034)+2,FALSE),VLOOKUP(F1034,Equivalencia!$5:$23,((MAX(Equivalencia!$3:$3)-YEAR(G1034))*14)+MONTH(G1034)+2,FALSE))))</f>
        <v>5.2253702174799084E-2</v>
      </c>
      <c r="M1034" s="306">
        <f t="shared" si="275"/>
        <v>67779.015815316525</v>
      </c>
      <c r="N1034" s="305">
        <f>IF(G1034=0,0,(IF(OR(E1034=$AT$5,E1034=$AT$6),AC1034,HLOOKUP(YEAR(G1034)+(MONTH(G1034)/100),TC!$5:$37,DAY(G1034)+2,FALSE))))</f>
        <v>19.1374</v>
      </c>
      <c r="O1034" s="307">
        <f t="shared" si="276"/>
        <v>1297114.1372640384</v>
      </c>
      <c r="P1034" s="560">
        <f>IF(G1034=0,0,VLOOKUP(YEAR(G1034),INPC!$B$4:$P$30,MONTH(G1034)+2))</f>
        <v>103.233</v>
      </c>
      <c r="Q1034" s="560">
        <f>IF(X1034=0,0,IF(OR(E1034=$AT$10,E1034=$AT$9),VLOOKUP(YEAR(X1034),INPC!$B$4:$P$30,MONTH(X1034)+1),VLOOKUP(YEAR(X1034),INPC!$B$4:$P$30,MONTH(X1034)+2,0)))</f>
        <v>123.803</v>
      </c>
      <c r="R1034" s="309">
        <f t="shared" si="277"/>
        <v>1.1992</v>
      </c>
      <c r="S1034" s="310">
        <f t="shared" si="278"/>
        <v>1555499.273407035</v>
      </c>
      <c r="T1034" s="555">
        <f t="shared" si="279"/>
        <v>140.08458874342895</v>
      </c>
      <c r="U1034" s="311"/>
      <c r="V1034" s="312">
        <v>11104</v>
      </c>
      <c r="W1034" s="299" t="s">
        <v>194</v>
      </c>
      <c r="X1034" s="300">
        <v>44831</v>
      </c>
      <c r="Y1034" s="299" t="s">
        <v>60</v>
      </c>
      <c r="Z1034" s="303">
        <v>2120005.7262790315</v>
      </c>
      <c r="AA1034" s="305">
        <f>IF(Z1034=0,0,IF(Y1034="MXN",1/HLOOKUP(YEAR(X1034)+(MONTH(X1034)/100),TC!$5:$37,DAY(X1034)+2,FALSE),VLOOKUP(Y1034,Equivalencia!$1:$23,((MAX(Equivalencia!$3:$3)-YEAR(X1034))*14)+MONTH(X1034)+2,FALSE)))</f>
        <v>4.9596532210467843E-2</v>
      </c>
      <c r="AB1034" s="306">
        <f t="shared" si="280"/>
        <v>105144.93228977425</v>
      </c>
      <c r="AC1034" s="305">
        <f>+IF(X1034=0,0,HLOOKUP(YEAR(X1034)+(MONTH(X1034)/100),TC!$5:$37,DAY(X1034)+2,FALSE))</f>
        <v>20.162700000000001</v>
      </c>
      <c r="AD1034" s="307">
        <f t="shared" si="281"/>
        <v>2120005.7262790315</v>
      </c>
      <c r="AE1034" s="314">
        <f t="shared" si="282"/>
        <v>1555499.273407035</v>
      </c>
      <c r="AF1034" s="315">
        <f t="shared" si="283"/>
        <v>564506.45287199644</v>
      </c>
      <c r="AG1034" s="316">
        <f t="shared" si="284"/>
        <v>3.3753424657534246</v>
      </c>
      <c r="AH1034" s="314">
        <v>1</v>
      </c>
      <c r="AI1034" s="314">
        <f t="shared" si="285"/>
        <v>564506.45287199644</v>
      </c>
      <c r="AJ1034" s="314">
        <f t="shared" si="286"/>
        <v>0</v>
      </c>
      <c r="AK1034" s="317"/>
      <c r="AL1034" s="315">
        <f t="shared" si="287"/>
        <v>37365.916474457728</v>
      </c>
      <c r="AN1034" s="554">
        <f t="shared" si="288"/>
        <v>2.880696108460622E-2</v>
      </c>
      <c r="AO1034" s="314"/>
      <c r="AP1034" s="318"/>
    </row>
    <row r="1035" spans="2:42">
      <c r="B1035" s="296" t="s">
        <v>1250</v>
      </c>
      <c r="C1035" s="299" t="s">
        <v>277</v>
      </c>
      <c r="D1035" s="298" t="s">
        <v>897</v>
      </c>
      <c r="E1035" s="299" t="s">
        <v>113</v>
      </c>
      <c r="F1035" s="299" t="s">
        <v>60</v>
      </c>
      <c r="G1035" s="300">
        <v>44217</v>
      </c>
      <c r="H1035" s="303">
        <v>630735.76421508042</v>
      </c>
      <c r="I1035" s="301" t="str">
        <f t="shared" si="272"/>
        <v>Ingresos Sección II LISR (SIC &amp; BMV)</v>
      </c>
      <c r="J1035" s="302">
        <f t="shared" si="273"/>
        <v>185</v>
      </c>
      <c r="K1035" s="304">
        <f t="shared" si="274"/>
        <v>3409.3825092707048</v>
      </c>
      <c r="L1035" s="305">
        <f>IF(H1035=0,0,IF(OR(E1035=$AT$5,E1035=$AT$6),AA1035,IF(F1035="MXN",1/HLOOKUP(YEAR(G1035)+(MONTH(G1035)/100),TC!$5:$37,DAY(G1035)+2,FALSE),VLOOKUP(F1035,Equivalencia!$5:$23,((MAX(Equivalencia!$3:$3)-YEAR(G1035))*14)+MONTH(G1035)+2,FALSE))))</f>
        <v>5.081610667317113E-2</v>
      </c>
      <c r="M1035" s="306">
        <f t="shared" si="275"/>
        <v>32051.53587693764</v>
      </c>
      <c r="N1035" s="305">
        <f>IF(G1035=0,0,(IF(OR(E1035=$AT$5,E1035=$AT$6),AC1035,HLOOKUP(YEAR(G1035)+(MONTH(G1035)/100),TC!$5:$37,DAY(G1035)+2,FALSE))))</f>
        <v>19.678799999999999</v>
      </c>
      <c r="O1035" s="307">
        <f t="shared" si="276"/>
        <v>630735.76421508042</v>
      </c>
      <c r="P1035" s="560">
        <f>IF(G1035=0,0,VLOOKUP(YEAR(G1035),INPC!$B$4:$P$30,MONTH(G1035)+2))</f>
        <v>110.21</v>
      </c>
      <c r="Q1035" s="560">
        <f>IF(X1035=0,0,IF(OR(E1035=$AT$10,E1035=$AT$9),VLOOKUP(YEAR(X1035),INPC!$B$4:$P$30,MONTH(X1035)+1),VLOOKUP(YEAR(X1035),INPC!$B$4:$P$30,MONTH(X1035)+2,0)))</f>
        <v>122.94799999999999</v>
      </c>
      <c r="R1035" s="309">
        <f t="shared" si="277"/>
        <v>1.1154999999999999</v>
      </c>
      <c r="S1035" s="310">
        <f t="shared" si="278"/>
        <v>703585.74498192221</v>
      </c>
      <c r="T1035" s="555">
        <f t="shared" si="279"/>
        <v>3803.1661890914716</v>
      </c>
      <c r="U1035" s="311"/>
      <c r="V1035" s="312">
        <v>185</v>
      </c>
      <c r="W1035" s="299" t="s">
        <v>194</v>
      </c>
      <c r="X1035" s="300">
        <v>44792</v>
      </c>
      <c r="Y1035" s="299" t="s">
        <v>60</v>
      </c>
      <c r="Z1035" s="303">
        <v>552153.65394295298</v>
      </c>
      <c r="AA1035" s="305">
        <f>IF(Z1035=0,0,IF(Y1035="MXN",1/HLOOKUP(YEAR(X1035)+(MONTH(X1035)/100),TC!$5:$37,DAY(X1035)+2,FALSE),VLOOKUP(Y1035,Equivalencia!$1:$23,((MAX(Equivalencia!$3:$3)-YEAR(X1035))*14)+MONTH(X1035)+2,FALSE)))</f>
        <v>4.9903436849695844E-2</v>
      </c>
      <c r="AB1035" s="306">
        <f t="shared" si="280"/>
        <v>27554.365000870966</v>
      </c>
      <c r="AC1035" s="305">
        <f>+IF(X1035=0,0,HLOOKUP(YEAR(X1035)+(MONTH(X1035)/100),TC!$5:$37,DAY(X1035)+2,FALSE))</f>
        <v>20.038699999999999</v>
      </c>
      <c r="AD1035" s="307">
        <f t="shared" si="281"/>
        <v>552153.65394295298</v>
      </c>
      <c r="AE1035" s="314">
        <f t="shared" si="282"/>
        <v>703585.74498192221</v>
      </c>
      <c r="AF1035" s="315">
        <f t="shared" si="283"/>
        <v>-151432.09103896923</v>
      </c>
      <c r="AG1035" s="316">
        <f t="shared" si="284"/>
        <v>1.5753424657534247</v>
      </c>
      <c r="AH1035" s="314">
        <v>1</v>
      </c>
      <c r="AI1035" s="314">
        <f t="shared" si="285"/>
        <v>-151432.09103896923</v>
      </c>
      <c r="AJ1035" s="314">
        <f t="shared" si="286"/>
        <v>0</v>
      </c>
      <c r="AK1035" s="317"/>
      <c r="AL1035" s="315">
        <f t="shared" si="287"/>
        <v>-4497.1708760666734</v>
      </c>
      <c r="AN1035" s="554">
        <f t="shared" si="288"/>
        <v>-7.130039441576903E-3</v>
      </c>
      <c r="AO1035" s="314"/>
      <c r="AP1035" s="318"/>
    </row>
    <row r="1036" spans="2:42">
      <c r="B1036" s="296" t="s">
        <v>1250</v>
      </c>
      <c r="C1036" s="299" t="s">
        <v>277</v>
      </c>
      <c r="D1036" s="298" t="s">
        <v>897</v>
      </c>
      <c r="E1036" s="299" t="s">
        <v>113</v>
      </c>
      <c r="F1036" s="299" t="s">
        <v>60</v>
      </c>
      <c r="G1036" s="300">
        <v>44490</v>
      </c>
      <c r="H1036" s="303">
        <v>1625914.5390326274</v>
      </c>
      <c r="I1036" s="301" t="str">
        <f t="shared" si="272"/>
        <v>Ingresos Sección II LISR (SIC &amp; BMV)</v>
      </c>
      <c r="J1036" s="302">
        <f t="shared" si="273"/>
        <v>411</v>
      </c>
      <c r="K1036" s="304">
        <f t="shared" si="274"/>
        <v>3955.9964453348598</v>
      </c>
      <c r="L1036" s="305">
        <f>IF(H1036=0,0,IF(OR(E1036=$AT$5,E1036=$AT$6),AA1036,IF(F1036="MXN",1/HLOOKUP(YEAR(G1036)+(MONTH(G1036)/100),TC!$5:$37,DAY(G1036)+2,FALSE),VLOOKUP(F1036,Equivalencia!$5:$23,((MAX(Equivalencia!$3:$3)-YEAR(G1036))*14)+MONTH(G1036)+2,FALSE))))</f>
        <v>4.9346893859765997E-2</v>
      </c>
      <c r="M1036" s="306">
        <f t="shared" si="275"/>
        <v>80233.832182693426</v>
      </c>
      <c r="N1036" s="305">
        <f>IF(G1036=0,0,(IF(OR(E1036=$AT$5,E1036=$AT$6),AC1036,HLOOKUP(YEAR(G1036)+(MONTH(G1036)/100),TC!$5:$37,DAY(G1036)+2,FALSE))))</f>
        <v>20.264700000000001</v>
      </c>
      <c r="O1036" s="307">
        <f t="shared" si="276"/>
        <v>1625914.5390326276</v>
      </c>
      <c r="P1036" s="560">
        <f>IF(G1036=0,0,VLOOKUP(YEAR(G1036),INPC!$B$4:$P$30,MONTH(G1036)+2))</f>
        <v>115.56100000000001</v>
      </c>
      <c r="Q1036" s="560">
        <f>IF(X1036=0,0,IF(OR(E1036=$AT$10,E1036=$AT$9),VLOOKUP(YEAR(X1036),INPC!$B$4:$P$30,MONTH(X1036)+1),VLOOKUP(YEAR(X1036),INPC!$B$4:$P$30,MONTH(X1036)+2,0)))</f>
        <v>122.94799999999999</v>
      </c>
      <c r="R1036" s="309">
        <f t="shared" si="277"/>
        <v>1.0639000000000001</v>
      </c>
      <c r="S1036" s="310">
        <f t="shared" si="278"/>
        <v>1729810.4780768126</v>
      </c>
      <c r="T1036" s="555">
        <f t="shared" si="279"/>
        <v>4208.7846181917585</v>
      </c>
      <c r="U1036" s="311"/>
      <c r="V1036" s="312">
        <v>411</v>
      </c>
      <c r="W1036" s="299" t="s">
        <v>194</v>
      </c>
      <c r="X1036" s="300">
        <v>44792</v>
      </c>
      <c r="Y1036" s="299" t="s">
        <v>60</v>
      </c>
      <c r="Z1036" s="303">
        <v>1226676.496057047</v>
      </c>
      <c r="AA1036" s="305">
        <f>IF(Z1036=0,0,IF(Y1036="MXN",1/HLOOKUP(YEAR(X1036)+(MONTH(X1036)/100),TC!$5:$37,DAY(X1036)+2,FALSE),VLOOKUP(Y1036,Equivalencia!$1:$23,((MAX(Equivalencia!$3:$3)-YEAR(X1036))*14)+MONTH(X1036)+2,FALSE)))</f>
        <v>4.9903436849695844E-2</v>
      </c>
      <c r="AB1036" s="306">
        <f t="shared" si="280"/>
        <v>61215.373055989017</v>
      </c>
      <c r="AC1036" s="305">
        <f>+IF(X1036=0,0,HLOOKUP(YEAR(X1036)+(MONTH(X1036)/100),TC!$5:$37,DAY(X1036)+2,FALSE))</f>
        <v>20.038699999999999</v>
      </c>
      <c r="AD1036" s="307">
        <f t="shared" si="281"/>
        <v>1226676.496057047</v>
      </c>
      <c r="AE1036" s="314">
        <f t="shared" si="282"/>
        <v>1729810.4780768128</v>
      </c>
      <c r="AF1036" s="315">
        <f t="shared" si="283"/>
        <v>-503133.98201976577</v>
      </c>
      <c r="AG1036" s="316">
        <f t="shared" si="284"/>
        <v>0.82739726027397265</v>
      </c>
      <c r="AH1036" s="314">
        <v>1</v>
      </c>
      <c r="AI1036" s="314">
        <f t="shared" si="285"/>
        <v>-503133.98201976577</v>
      </c>
      <c r="AJ1036" s="314">
        <f t="shared" si="286"/>
        <v>0</v>
      </c>
      <c r="AK1036" s="317"/>
      <c r="AL1036" s="315">
        <f t="shared" si="287"/>
        <v>-19018.459126704409</v>
      </c>
      <c r="AN1036" s="554">
        <f t="shared" si="288"/>
        <v>-1.1697084114900558E-2</v>
      </c>
      <c r="AO1036" s="314"/>
      <c r="AP1036" s="318"/>
    </row>
    <row r="1037" spans="2:42">
      <c r="B1037" s="296" t="s">
        <v>1250</v>
      </c>
      <c r="C1037" s="299" t="s">
        <v>277</v>
      </c>
      <c r="D1037" s="298" t="s">
        <v>897</v>
      </c>
      <c r="E1037" s="299" t="s">
        <v>113</v>
      </c>
      <c r="F1037" s="299" t="s">
        <v>60</v>
      </c>
      <c r="G1037" s="300">
        <v>44490</v>
      </c>
      <c r="H1037" s="303">
        <v>553839.50234688038</v>
      </c>
      <c r="I1037" s="301" t="str">
        <f t="shared" si="272"/>
        <v>Ingresos Sección II LISR (SIC &amp; BMV)</v>
      </c>
      <c r="J1037" s="302">
        <f t="shared" si="273"/>
        <v>140</v>
      </c>
      <c r="K1037" s="304">
        <f t="shared" si="274"/>
        <v>3955.9964453348598</v>
      </c>
      <c r="L1037" s="305">
        <f>IF(H1037=0,0,IF(OR(E1037=$AT$5,E1037=$AT$6),AA1037,IF(F1037="MXN",1/HLOOKUP(YEAR(G1037)+(MONTH(G1037)/100),TC!$5:$37,DAY(G1037)+2,FALSE),VLOOKUP(F1037,Equivalencia!$5:$23,((MAX(Equivalencia!$3:$3)-YEAR(G1037))*14)+MONTH(G1037)+2,FALSE))))</f>
        <v>4.9346893859765997E-2</v>
      </c>
      <c r="M1037" s="306">
        <f t="shared" si="275"/>
        <v>27330.259137657129</v>
      </c>
      <c r="N1037" s="305">
        <f>IF(G1037=0,0,(IF(OR(E1037=$AT$5,E1037=$AT$6),AC1037,HLOOKUP(YEAR(G1037)+(MONTH(G1037)/100),TC!$5:$37,DAY(G1037)+2,FALSE))))</f>
        <v>20.264700000000001</v>
      </c>
      <c r="O1037" s="307">
        <f t="shared" si="276"/>
        <v>553839.5023468805</v>
      </c>
      <c r="P1037" s="560">
        <f>IF(G1037=0,0,VLOOKUP(YEAR(G1037),INPC!$B$4:$P$30,MONTH(G1037)+2))</f>
        <v>115.56100000000001</v>
      </c>
      <c r="Q1037" s="560">
        <f>IF(X1037=0,0,IF(OR(E1037=$AT$10,E1037=$AT$9),VLOOKUP(YEAR(X1037),INPC!$B$4:$P$30,MONTH(X1037)+1),VLOOKUP(YEAR(X1037),INPC!$B$4:$P$30,MONTH(X1037)+2,0)))</f>
        <v>123.803</v>
      </c>
      <c r="R1037" s="309">
        <f t="shared" si="277"/>
        <v>1.0712999999999999</v>
      </c>
      <c r="S1037" s="310">
        <f t="shared" si="278"/>
        <v>593328.25886421301</v>
      </c>
      <c r="T1037" s="555">
        <f t="shared" si="279"/>
        <v>4238.0589918872356</v>
      </c>
      <c r="U1037" s="311"/>
      <c r="V1037" s="312">
        <v>140</v>
      </c>
      <c r="W1037" s="299" t="s">
        <v>194</v>
      </c>
      <c r="X1037" s="300">
        <v>44831</v>
      </c>
      <c r="Y1037" s="299" t="s">
        <v>60</v>
      </c>
      <c r="Z1037" s="303">
        <v>355337.97</v>
      </c>
      <c r="AA1037" s="305">
        <f>IF(Z1037=0,0,IF(Y1037="MXN",1/HLOOKUP(YEAR(X1037)+(MONTH(X1037)/100),TC!$5:$37,DAY(X1037)+2,FALSE),VLOOKUP(Y1037,Equivalencia!$1:$23,((MAX(Equivalencia!$3:$3)-YEAR(X1037))*14)+MONTH(X1037)+2,FALSE)))</f>
        <v>4.9596532210467843E-2</v>
      </c>
      <c r="AB1037" s="306">
        <f t="shared" si="280"/>
        <v>17623.531074707254</v>
      </c>
      <c r="AC1037" s="305">
        <f>+IF(X1037=0,0,HLOOKUP(YEAR(X1037)+(MONTH(X1037)/100),TC!$5:$37,DAY(X1037)+2,FALSE))</f>
        <v>20.162700000000001</v>
      </c>
      <c r="AD1037" s="307">
        <f t="shared" si="281"/>
        <v>355337.97</v>
      </c>
      <c r="AE1037" s="314">
        <f t="shared" si="282"/>
        <v>593328.25886421301</v>
      </c>
      <c r="AF1037" s="315">
        <f t="shared" si="283"/>
        <v>-237990.28886421304</v>
      </c>
      <c r="AG1037" s="316">
        <f t="shared" si="284"/>
        <v>0.9342465753424658</v>
      </c>
      <c r="AH1037" s="314">
        <v>1</v>
      </c>
      <c r="AI1037" s="314">
        <f t="shared" si="285"/>
        <v>-237990.28886421304</v>
      </c>
      <c r="AJ1037" s="314">
        <f t="shared" si="286"/>
        <v>0</v>
      </c>
      <c r="AK1037" s="317"/>
      <c r="AL1037" s="315">
        <f t="shared" si="287"/>
        <v>-9706.7280629498746</v>
      </c>
      <c r="AN1037" s="554">
        <f t="shared" si="288"/>
        <v>-1.7526247264447316E-2</v>
      </c>
      <c r="AO1037" s="314"/>
      <c r="AP1037" s="318"/>
    </row>
    <row r="1038" spans="2:42">
      <c r="B1038" s="296" t="s">
        <v>1250</v>
      </c>
      <c r="C1038" s="299" t="s">
        <v>277</v>
      </c>
      <c r="D1038" s="298" t="s">
        <v>1035</v>
      </c>
      <c r="E1038" s="299" t="s">
        <v>113</v>
      </c>
      <c r="F1038" s="299" t="s">
        <v>60</v>
      </c>
      <c r="G1038" s="300">
        <v>43770</v>
      </c>
      <c r="H1038" s="303">
        <v>1143843.1399999999</v>
      </c>
      <c r="I1038" s="301" t="str">
        <f t="shared" si="272"/>
        <v>Ingresos Sección II LISR (SIC &amp; BMV)</v>
      </c>
      <c r="J1038" s="302">
        <f t="shared" si="273"/>
        <v>274</v>
      </c>
      <c r="K1038" s="304">
        <f t="shared" si="274"/>
        <v>4174.6099999999997</v>
      </c>
      <c r="L1038" s="305">
        <f>IF(H1038=0,0,IF(OR(E1038=$AT$5,E1038=$AT$6),AA1038,IF(F1038="MXN",1/HLOOKUP(YEAR(G1038)+(MONTH(G1038)/100),TC!$5:$37,DAY(G1038)+2,FALSE),VLOOKUP(F1038,Equivalencia!$5:$23,((MAX(Equivalencia!$3:$3)-YEAR(G1038))*14)+MONTH(G1038)+2,FALSE))))</f>
        <v>5.2180356183111301E-2</v>
      </c>
      <c r="M1038" s="306">
        <f t="shared" si="275"/>
        <v>59686.142462808442</v>
      </c>
      <c r="N1038" s="305">
        <f>IF(G1038=0,0,(IF(OR(E1038=$AT$5,E1038=$AT$6),AC1038,HLOOKUP(YEAR(G1038)+(MONTH(G1038)/100),TC!$5:$37,DAY(G1038)+2,FALSE))))</f>
        <v>19.164300000000001</v>
      </c>
      <c r="O1038" s="307">
        <f t="shared" si="276"/>
        <v>1143843.1399999999</v>
      </c>
      <c r="P1038" s="560">
        <f>IF(G1038=0,0,VLOOKUP(YEAR(G1038),INPC!$B$4:$P$30,MONTH(G1038)+2))</f>
        <v>105.346</v>
      </c>
      <c r="Q1038" s="560">
        <f>IF(X1038=0,0,IF(OR(E1038=$AT$10,E1038=$AT$9),VLOOKUP(YEAR(X1038),INPC!$B$4:$P$30,MONTH(X1038)+1),VLOOKUP(YEAR(X1038),INPC!$B$4:$P$30,MONTH(X1038)+2,0)))</f>
        <v>122.94799999999999</v>
      </c>
      <c r="R1038" s="309">
        <f t="shared" si="277"/>
        <v>1.167</v>
      </c>
      <c r="S1038" s="310">
        <f t="shared" si="278"/>
        <v>1334864.94438</v>
      </c>
      <c r="T1038" s="555">
        <f t="shared" si="279"/>
        <v>4871.7698700000001</v>
      </c>
      <c r="U1038" s="311"/>
      <c r="V1038" s="312">
        <v>274</v>
      </c>
      <c r="W1038" s="299" t="s">
        <v>194</v>
      </c>
      <c r="X1038" s="300">
        <v>44792</v>
      </c>
      <c r="Y1038" s="299" t="s">
        <v>60</v>
      </c>
      <c r="Z1038" s="303">
        <v>1295773.6299999999</v>
      </c>
      <c r="AA1038" s="305">
        <f>IF(Z1038=0,0,IF(Y1038="MXN",1/HLOOKUP(YEAR(X1038)+(MONTH(X1038)/100),TC!$5:$37,DAY(X1038)+2,FALSE),VLOOKUP(Y1038,Equivalencia!$1:$23,((MAX(Equivalencia!$3:$3)-YEAR(X1038))*14)+MONTH(X1038)+2,FALSE)))</f>
        <v>4.9903436849695844E-2</v>
      </c>
      <c r="AB1038" s="306">
        <f t="shared" si="280"/>
        <v>64663.557516206143</v>
      </c>
      <c r="AC1038" s="305">
        <f>+IF(X1038=0,0,HLOOKUP(YEAR(X1038)+(MONTH(X1038)/100),TC!$5:$37,DAY(X1038)+2,FALSE))</f>
        <v>20.038699999999999</v>
      </c>
      <c r="AD1038" s="307">
        <f t="shared" si="281"/>
        <v>1295773.6299999999</v>
      </c>
      <c r="AE1038" s="314">
        <f t="shared" si="282"/>
        <v>1334864.94438</v>
      </c>
      <c r="AF1038" s="315">
        <f t="shared" si="283"/>
        <v>-39091.314380000113</v>
      </c>
      <c r="AG1038" s="316">
        <f t="shared" si="284"/>
        <v>2.8</v>
      </c>
      <c r="AH1038" s="314">
        <v>1</v>
      </c>
      <c r="AI1038" s="314">
        <f t="shared" si="285"/>
        <v>-39091.314380000113</v>
      </c>
      <c r="AJ1038" s="314">
        <f t="shared" si="286"/>
        <v>0</v>
      </c>
      <c r="AK1038" s="317"/>
      <c r="AL1038" s="315">
        <f t="shared" si="287"/>
        <v>4977.4150533977008</v>
      </c>
      <c r="AN1038" s="554">
        <f t="shared" si="288"/>
        <v>4.3514839398326082E-3</v>
      </c>
      <c r="AO1038" s="314"/>
      <c r="AP1038" s="318"/>
    </row>
    <row r="1039" spans="2:42">
      <c r="B1039" s="296" t="s">
        <v>1250</v>
      </c>
      <c r="C1039" s="299" t="s">
        <v>277</v>
      </c>
      <c r="D1039" s="298" t="s">
        <v>1035</v>
      </c>
      <c r="E1039" s="299" t="s">
        <v>113</v>
      </c>
      <c r="F1039" s="299" t="s">
        <v>60</v>
      </c>
      <c r="G1039" s="300">
        <v>43770</v>
      </c>
      <c r="H1039" s="303">
        <v>993557.17999999993</v>
      </c>
      <c r="I1039" s="301" t="str">
        <f t="shared" si="272"/>
        <v>Ingresos Sección II LISR (SIC &amp; BMV)</v>
      </c>
      <c r="J1039" s="302">
        <f t="shared" si="273"/>
        <v>238</v>
      </c>
      <c r="K1039" s="304">
        <f t="shared" si="274"/>
        <v>4174.6099999999997</v>
      </c>
      <c r="L1039" s="305">
        <f>IF(H1039=0,0,IF(OR(E1039=$AT$5,E1039=$AT$6),AA1039,IF(F1039="MXN",1/HLOOKUP(YEAR(G1039)+(MONTH(G1039)/100),TC!$5:$37,DAY(G1039)+2,FALSE),VLOOKUP(F1039,Equivalencia!$5:$23,((MAX(Equivalencia!$3:$3)-YEAR(G1039))*14)+MONTH(G1039)+2,FALSE))))</f>
        <v>5.2180356183111301E-2</v>
      </c>
      <c r="M1039" s="306">
        <f t="shared" si="275"/>
        <v>51844.167540687624</v>
      </c>
      <c r="N1039" s="305">
        <f>IF(G1039=0,0,(IF(OR(E1039=$AT$5,E1039=$AT$6),AC1039,HLOOKUP(YEAR(G1039)+(MONTH(G1039)/100),TC!$5:$37,DAY(G1039)+2,FALSE))))</f>
        <v>19.164300000000001</v>
      </c>
      <c r="O1039" s="307">
        <f t="shared" si="276"/>
        <v>993557.17999999982</v>
      </c>
      <c r="P1039" s="560">
        <f>IF(G1039=0,0,VLOOKUP(YEAR(G1039),INPC!$B$4:$P$30,MONTH(G1039)+2))</f>
        <v>105.346</v>
      </c>
      <c r="Q1039" s="560">
        <f>IF(X1039=0,0,IF(OR(E1039=$AT$10,E1039=$AT$9),VLOOKUP(YEAR(X1039),INPC!$B$4:$P$30,MONTH(X1039)+1),VLOOKUP(YEAR(X1039),INPC!$B$4:$P$30,MONTH(X1039)+2,0)))</f>
        <v>123.803</v>
      </c>
      <c r="R1039" s="309">
        <f t="shared" si="277"/>
        <v>1.1752</v>
      </c>
      <c r="S1039" s="310">
        <f t="shared" si="278"/>
        <v>1167628.3979359998</v>
      </c>
      <c r="T1039" s="555">
        <f t="shared" si="279"/>
        <v>4906.0016719999994</v>
      </c>
      <c r="U1039" s="311"/>
      <c r="V1039" s="312">
        <v>238</v>
      </c>
      <c r="W1039" s="299" t="s">
        <v>194</v>
      </c>
      <c r="X1039" s="300">
        <v>44831</v>
      </c>
      <c r="Y1039" s="299" t="s">
        <v>60</v>
      </c>
      <c r="Z1039" s="303">
        <v>1000161.42</v>
      </c>
      <c r="AA1039" s="305">
        <f>IF(Z1039=0,0,IF(Y1039="MXN",1/HLOOKUP(YEAR(X1039)+(MONTH(X1039)/100),TC!$5:$37,DAY(X1039)+2,FALSE),VLOOKUP(Y1039,Equivalencia!$1:$23,((MAX(Equivalencia!$3:$3)-YEAR(X1039))*14)+MONTH(X1039)+2,FALSE)))</f>
        <v>4.9596532210467843E-2</v>
      </c>
      <c r="AB1039" s="306">
        <f t="shared" si="280"/>
        <v>49604.538082697261</v>
      </c>
      <c r="AC1039" s="305">
        <f>+IF(X1039=0,0,HLOOKUP(YEAR(X1039)+(MONTH(X1039)/100),TC!$5:$37,DAY(X1039)+2,FALSE))</f>
        <v>20.162700000000001</v>
      </c>
      <c r="AD1039" s="307">
        <f t="shared" si="281"/>
        <v>1000161.4200000002</v>
      </c>
      <c r="AE1039" s="314">
        <f t="shared" si="282"/>
        <v>1167628.3979359998</v>
      </c>
      <c r="AF1039" s="315">
        <f t="shared" si="283"/>
        <v>-167466.97793599963</v>
      </c>
      <c r="AG1039" s="316">
        <f t="shared" si="284"/>
        <v>2.9068493150684933</v>
      </c>
      <c r="AH1039" s="314">
        <v>1</v>
      </c>
      <c r="AI1039" s="314">
        <f t="shared" si="285"/>
        <v>-167466.97793599963</v>
      </c>
      <c r="AJ1039" s="314">
        <f t="shared" si="286"/>
        <v>0</v>
      </c>
      <c r="AK1039" s="317"/>
      <c r="AL1039" s="315">
        <f t="shared" si="287"/>
        <v>-2239.6294579903624</v>
      </c>
      <c r="AN1039" s="554">
        <f t="shared" si="288"/>
        <v>-2.2541525571687406E-3</v>
      </c>
      <c r="AO1039" s="314"/>
      <c r="AP1039" s="318"/>
    </row>
    <row r="1040" spans="2:42">
      <c r="B1040" s="296" t="s">
        <v>1250</v>
      </c>
      <c r="C1040" s="299" t="s">
        <v>277</v>
      </c>
      <c r="D1040" s="298" t="s">
        <v>1036</v>
      </c>
      <c r="E1040" s="299" t="s">
        <v>113</v>
      </c>
      <c r="F1040" s="299" t="s">
        <v>60</v>
      </c>
      <c r="G1040" s="300">
        <v>43602</v>
      </c>
      <c r="H1040" s="303">
        <v>1376594.7546473029</v>
      </c>
      <c r="I1040" s="301" t="str">
        <f t="shared" si="272"/>
        <v>Ingresos Sección II LISR (SIC &amp; BMV)</v>
      </c>
      <c r="J1040" s="302">
        <f t="shared" si="273"/>
        <v>486</v>
      </c>
      <c r="K1040" s="304">
        <f t="shared" si="274"/>
        <v>2832.4994951590593</v>
      </c>
      <c r="L1040" s="305">
        <f>IF(H1040=0,0,IF(OR(E1040=$AT$5,E1040=$AT$6),AA1040,IF(F1040="MXN",1/HLOOKUP(YEAR(G1040)+(MONTH(G1040)/100),TC!$5:$37,DAY(G1040)+2,FALSE),VLOOKUP(F1040,Equivalencia!$5:$23,((MAX(Equivalencia!$3:$3)-YEAR(G1040))*14)+MONTH(G1040)+2,FALSE))))</f>
        <v>5.2291409567236297E-2</v>
      </c>
      <c r="M1040" s="306">
        <f t="shared" si="275"/>
        <v>71984.080123371285</v>
      </c>
      <c r="N1040" s="305">
        <f>IF(G1040=0,0,(IF(OR(E1040=$AT$5,E1040=$AT$6),AC1040,HLOOKUP(YEAR(G1040)+(MONTH(G1040)/100),TC!$5:$37,DAY(G1040)+2,FALSE))))</f>
        <v>19.1236</v>
      </c>
      <c r="O1040" s="307">
        <f t="shared" si="276"/>
        <v>1376594.7546473031</v>
      </c>
      <c r="P1040" s="560">
        <f>IF(G1040=0,0,VLOOKUP(YEAR(G1040),INPC!$B$4:$P$30,MONTH(G1040)+2))</f>
        <v>103.233</v>
      </c>
      <c r="Q1040" s="560">
        <f>IF(X1040=0,0,IF(OR(E1040=$AT$10,E1040=$AT$9),VLOOKUP(YEAR(X1040),INPC!$B$4:$P$30,MONTH(X1040)+1),VLOOKUP(YEAR(X1040),INPC!$B$4:$P$30,MONTH(X1040)+2,0)))</f>
        <v>122.94799999999999</v>
      </c>
      <c r="R1040" s="309">
        <f t="shared" si="277"/>
        <v>1.1909000000000001</v>
      </c>
      <c r="S1040" s="310">
        <f t="shared" si="278"/>
        <v>1639386.6933094733</v>
      </c>
      <c r="T1040" s="555">
        <f t="shared" si="279"/>
        <v>3373.2236487849245</v>
      </c>
      <c r="U1040" s="311"/>
      <c r="V1040" s="312">
        <v>486</v>
      </c>
      <c r="W1040" s="299" t="s">
        <v>194</v>
      </c>
      <c r="X1040" s="300">
        <v>44792</v>
      </c>
      <c r="Y1040" s="299" t="s">
        <v>60</v>
      </c>
      <c r="Z1040" s="303">
        <v>1868502.94</v>
      </c>
      <c r="AA1040" s="305">
        <f>IF(Z1040=0,0,IF(Y1040="MXN",1/HLOOKUP(YEAR(X1040)+(MONTH(X1040)/100),TC!$5:$37,DAY(X1040)+2,FALSE),VLOOKUP(Y1040,Equivalencia!$1:$23,((MAX(Equivalencia!$3:$3)-YEAR(X1040))*14)+MONTH(X1040)+2,FALSE)))</f>
        <v>4.9903436849695844E-2</v>
      </c>
      <c r="AB1040" s="306">
        <f t="shared" si="280"/>
        <v>93244.718469761021</v>
      </c>
      <c r="AC1040" s="305">
        <f>+IF(X1040=0,0,HLOOKUP(YEAR(X1040)+(MONTH(X1040)/100),TC!$5:$37,DAY(X1040)+2,FALSE))</f>
        <v>20.038699999999999</v>
      </c>
      <c r="AD1040" s="307">
        <f t="shared" si="281"/>
        <v>1868502.94</v>
      </c>
      <c r="AE1040" s="314">
        <f t="shared" si="282"/>
        <v>1639386.6933094733</v>
      </c>
      <c r="AF1040" s="315">
        <f t="shared" si="283"/>
        <v>229116.2466905266</v>
      </c>
      <c r="AG1040" s="316">
        <f t="shared" si="284"/>
        <v>3.2602739726027399</v>
      </c>
      <c r="AH1040" s="314">
        <v>1</v>
      </c>
      <c r="AI1040" s="314">
        <f t="shared" si="285"/>
        <v>229116.2466905266</v>
      </c>
      <c r="AJ1040" s="314">
        <f t="shared" si="286"/>
        <v>0</v>
      </c>
      <c r="AK1040" s="317"/>
      <c r="AL1040" s="315">
        <f t="shared" si="287"/>
        <v>21260.638346389736</v>
      </c>
      <c r="AN1040" s="554">
        <f t="shared" si="288"/>
        <v>1.544436972072941E-2</v>
      </c>
      <c r="AO1040" s="314"/>
      <c r="AP1040" s="318"/>
    </row>
    <row r="1041" spans="2:42">
      <c r="B1041" s="296" t="s">
        <v>1250</v>
      </c>
      <c r="C1041" s="299" t="s">
        <v>277</v>
      </c>
      <c r="D1041" s="298" t="s">
        <v>1036</v>
      </c>
      <c r="E1041" s="299" t="s">
        <v>113</v>
      </c>
      <c r="F1041" s="299" t="s">
        <v>60</v>
      </c>
      <c r="G1041" s="300">
        <v>43602</v>
      </c>
      <c r="H1041" s="303">
        <v>1257629.7758506222</v>
      </c>
      <c r="I1041" s="301" t="str">
        <f t="shared" si="272"/>
        <v>Ingresos Sección II LISR (SIC &amp; BMV)</v>
      </c>
      <c r="J1041" s="302">
        <f t="shared" si="273"/>
        <v>444</v>
      </c>
      <c r="K1041" s="304">
        <f t="shared" si="274"/>
        <v>2832.4994951590588</v>
      </c>
      <c r="L1041" s="305">
        <f>IF(H1041=0,0,IF(OR(E1041=$AT$5,E1041=$AT$6),AA1041,IF(F1041="MXN",1/HLOOKUP(YEAR(G1041)+(MONTH(G1041)/100),TC!$5:$37,DAY(G1041)+2,FALSE),VLOOKUP(F1041,Equivalencia!$5:$23,((MAX(Equivalencia!$3:$3)-YEAR(G1041))*14)+MONTH(G1041)+2,FALSE))))</f>
        <v>5.2291409567236297E-2</v>
      </c>
      <c r="M1041" s="306">
        <f t="shared" si="275"/>
        <v>65763.233692956463</v>
      </c>
      <c r="N1041" s="305">
        <f>IF(G1041=0,0,(IF(OR(E1041=$AT$5,E1041=$AT$6),AC1041,HLOOKUP(YEAR(G1041)+(MONTH(G1041)/100),TC!$5:$37,DAY(G1041)+2,FALSE))))</f>
        <v>19.1236</v>
      </c>
      <c r="O1041" s="307">
        <f t="shared" si="276"/>
        <v>1257629.7758506222</v>
      </c>
      <c r="P1041" s="560">
        <f>IF(G1041=0,0,VLOOKUP(YEAR(G1041),INPC!$B$4:$P$30,MONTH(G1041)+2))</f>
        <v>103.233</v>
      </c>
      <c r="Q1041" s="560">
        <f>IF(X1041=0,0,IF(OR(E1041=$AT$10,E1041=$AT$9),VLOOKUP(YEAR(X1041),INPC!$B$4:$P$30,MONTH(X1041)+1),VLOOKUP(YEAR(X1041),INPC!$B$4:$P$30,MONTH(X1041)+2,0)))</f>
        <v>123.803</v>
      </c>
      <c r="R1041" s="309">
        <f t="shared" si="277"/>
        <v>1.1992</v>
      </c>
      <c r="S1041" s="310">
        <f t="shared" si="278"/>
        <v>1508149.6272000661</v>
      </c>
      <c r="T1041" s="555">
        <f t="shared" si="279"/>
        <v>3396.7333945947435</v>
      </c>
      <c r="U1041" s="311"/>
      <c r="V1041" s="312">
        <v>444</v>
      </c>
      <c r="W1041" s="299" t="s">
        <v>194</v>
      </c>
      <c r="X1041" s="300">
        <v>44831</v>
      </c>
      <c r="Y1041" s="299" t="s">
        <v>60</v>
      </c>
      <c r="Z1041" s="303">
        <v>1496705.53</v>
      </c>
      <c r="AA1041" s="305">
        <f>IF(Z1041=0,0,IF(Y1041="MXN",1/HLOOKUP(YEAR(X1041)+(MONTH(X1041)/100),TC!$5:$37,DAY(X1041)+2,FALSE),VLOOKUP(Y1041,Equivalencia!$1:$23,((MAX(Equivalencia!$3:$3)-YEAR(X1041))*14)+MONTH(X1041)+2,FALSE)))</f>
        <v>4.9596532210467843E-2</v>
      </c>
      <c r="AB1041" s="306">
        <f t="shared" si="280"/>
        <v>74231.404028230347</v>
      </c>
      <c r="AC1041" s="305">
        <f>+IF(X1041=0,0,HLOOKUP(YEAR(X1041)+(MONTH(X1041)/100),TC!$5:$37,DAY(X1041)+2,FALSE))</f>
        <v>20.162700000000001</v>
      </c>
      <c r="AD1041" s="307">
        <f t="shared" si="281"/>
        <v>1496705.53</v>
      </c>
      <c r="AE1041" s="314">
        <f t="shared" si="282"/>
        <v>1508149.6272000661</v>
      </c>
      <c r="AF1041" s="315">
        <f t="shared" si="283"/>
        <v>-11444.097200066084</v>
      </c>
      <c r="AG1041" s="316">
        <f t="shared" si="284"/>
        <v>3.3671232876712329</v>
      </c>
      <c r="AH1041" s="314">
        <v>1</v>
      </c>
      <c r="AI1041" s="314">
        <f t="shared" si="285"/>
        <v>-11444.097200066084</v>
      </c>
      <c r="AJ1041" s="314">
        <f t="shared" si="286"/>
        <v>0</v>
      </c>
      <c r="AK1041" s="317"/>
      <c r="AL1041" s="315">
        <f t="shared" si="287"/>
        <v>8468.1703352738841</v>
      </c>
      <c r="AN1041" s="554">
        <f t="shared" si="288"/>
        <v>6.7334365787787374E-3</v>
      </c>
      <c r="AO1041" s="314"/>
      <c r="AP1041" s="318"/>
    </row>
    <row r="1042" spans="2:42">
      <c r="B1042" s="296" t="s">
        <v>1250</v>
      </c>
      <c r="C1042" s="299" t="s">
        <v>277</v>
      </c>
      <c r="D1042" s="298" t="s">
        <v>1037</v>
      </c>
      <c r="E1042" s="299" t="s">
        <v>113</v>
      </c>
      <c r="F1042" s="299" t="s">
        <v>60</v>
      </c>
      <c r="G1042" s="300">
        <v>43661</v>
      </c>
      <c r="H1042" s="303">
        <v>1561271.3412081313</v>
      </c>
      <c r="I1042" s="301" t="str">
        <f t="shared" si="272"/>
        <v>Ingresos Sección II LISR (SIC &amp; BMV)</v>
      </c>
      <c r="J1042" s="302">
        <f t="shared" si="273"/>
        <v>6337</v>
      </c>
      <c r="K1042" s="304">
        <f t="shared" si="274"/>
        <v>246.37389004389004</v>
      </c>
      <c r="L1042" s="305">
        <f>IF(H1042=0,0,IF(OR(E1042=$AT$5,E1042=$AT$6),AA1042,IF(F1042="MXN",1/HLOOKUP(YEAR(G1042)+(MONTH(G1042)/100),TC!$5:$37,DAY(G1042)+2,FALSE),VLOOKUP(F1042,Equivalencia!$5:$23,((MAX(Equivalencia!$3:$3)-YEAR(G1042))*14)+MONTH(G1042)+2,FALSE))))</f>
        <v>5.2293870635422825E-2</v>
      </c>
      <c r="M1042" s="306">
        <f t="shared" si="275"/>
        <v>81644.921543931108</v>
      </c>
      <c r="N1042" s="305">
        <f>IF(G1042=0,0,(IF(OR(E1042=$AT$5,E1042=$AT$6),AC1042,HLOOKUP(YEAR(G1042)+(MONTH(G1042)/100),TC!$5:$37,DAY(G1042)+2,FALSE))))</f>
        <v>19.122699999999998</v>
      </c>
      <c r="O1042" s="307">
        <f t="shared" si="276"/>
        <v>1561271.3412081313</v>
      </c>
      <c r="P1042" s="560">
        <f>IF(G1042=0,0,VLOOKUP(YEAR(G1042),INPC!$B$4:$P$30,MONTH(G1042)+2))</f>
        <v>103.687</v>
      </c>
      <c r="Q1042" s="560">
        <f>IF(X1042=0,0,IF(OR(E1042=$AT$10,E1042=$AT$9),VLOOKUP(YEAR(X1042),INPC!$B$4:$P$30,MONTH(X1042)+1),VLOOKUP(YEAR(X1042),INPC!$B$4:$P$30,MONTH(X1042)+2,0)))</f>
        <v>122.94799999999999</v>
      </c>
      <c r="R1042" s="309">
        <f t="shared" si="277"/>
        <v>1.1857</v>
      </c>
      <c r="S1042" s="310">
        <f t="shared" si="278"/>
        <v>1851199.4292704812</v>
      </c>
      <c r="T1042" s="555">
        <f t="shared" si="279"/>
        <v>292.12552142504046</v>
      </c>
      <c r="U1042" s="311"/>
      <c r="V1042" s="312">
        <v>6337</v>
      </c>
      <c r="W1042" s="299" t="s">
        <v>194</v>
      </c>
      <c r="X1042" s="300">
        <v>44792</v>
      </c>
      <c r="Y1042" s="299" t="s">
        <v>60</v>
      </c>
      <c r="Z1042" s="303">
        <v>2123715.2000000002</v>
      </c>
      <c r="AA1042" s="305">
        <f>IF(Z1042=0,0,IF(Y1042="MXN",1/HLOOKUP(YEAR(X1042)+(MONTH(X1042)/100),TC!$5:$37,DAY(X1042)+2,FALSE),VLOOKUP(Y1042,Equivalencia!$1:$23,((MAX(Equivalencia!$3:$3)-YEAR(X1042))*14)+MONTH(X1042)+2,FALSE)))</f>
        <v>4.9903436849695844E-2</v>
      </c>
      <c r="AB1042" s="306">
        <f t="shared" si="280"/>
        <v>105980.68736993919</v>
      </c>
      <c r="AC1042" s="305">
        <f>+IF(X1042=0,0,HLOOKUP(YEAR(X1042)+(MONTH(X1042)/100),TC!$5:$37,DAY(X1042)+2,FALSE))</f>
        <v>20.038699999999999</v>
      </c>
      <c r="AD1042" s="307">
        <f t="shared" si="281"/>
        <v>2123715.2000000002</v>
      </c>
      <c r="AE1042" s="314">
        <f t="shared" si="282"/>
        <v>1851199.4292704815</v>
      </c>
      <c r="AF1042" s="315">
        <f t="shared" si="283"/>
        <v>272515.77072951873</v>
      </c>
      <c r="AG1042" s="316">
        <f t="shared" si="284"/>
        <v>3.0986301369863014</v>
      </c>
      <c r="AH1042" s="314">
        <v>1</v>
      </c>
      <c r="AI1042" s="314">
        <f t="shared" si="285"/>
        <v>272515.77072951873</v>
      </c>
      <c r="AJ1042" s="314">
        <f t="shared" si="286"/>
        <v>0</v>
      </c>
      <c r="AK1042" s="317"/>
      <c r="AL1042" s="315">
        <f t="shared" si="287"/>
        <v>24335.765826008079</v>
      </c>
      <c r="AN1042" s="554">
        <f t="shared" si="288"/>
        <v>1.5587146951135835E-2</v>
      </c>
      <c r="AO1042" s="314"/>
      <c r="AP1042" s="318"/>
    </row>
    <row r="1043" spans="2:42">
      <c r="B1043" s="296" t="s">
        <v>1250</v>
      </c>
      <c r="C1043" s="299" t="s">
        <v>277</v>
      </c>
      <c r="D1043" s="298" t="s">
        <v>1037</v>
      </c>
      <c r="E1043" s="299" t="s">
        <v>113</v>
      </c>
      <c r="F1043" s="299" t="s">
        <v>60</v>
      </c>
      <c r="G1043" s="300">
        <v>43661</v>
      </c>
      <c r="H1043" s="303">
        <v>1164855.7521275121</v>
      </c>
      <c r="I1043" s="301" t="str">
        <f t="shared" si="272"/>
        <v>Ingresos Sección II LISR (SIC &amp; BMV)</v>
      </c>
      <c r="J1043" s="302">
        <f t="shared" si="273"/>
        <v>4728</v>
      </c>
      <c r="K1043" s="304">
        <f t="shared" si="274"/>
        <v>246.37389004389004</v>
      </c>
      <c r="L1043" s="305">
        <f>IF(H1043=0,0,IF(OR(E1043=$AT$5,E1043=$AT$6),AA1043,IF(F1043="MXN",1/HLOOKUP(YEAR(G1043)+(MONTH(G1043)/100),TC!$5:$37,DAY(G1043)+2,FALSE),VLOOKUP(F1043,Equivalencia!$5:$23,((MAX(Equivalencia!$3:$3)-YEAR(G1043))*14)+MONTH(G1043)+2,FALSE))))</f>
        <v>5.2293870635422825E-2</v>
      </c>
      <c r="M1043" s="306">
        <f t="shared" si="275"/>
        <v>60914.816010684277</v>
      </c>
      <c r="N1043" s="305">
        <f>IF(G1043=0,0,(IF(OR(E1043=$AT$5,E1043=$AT$6),AC1043,HLOOKUP(YEAR(G1043)+(MONTH(G1043)/100),TC!$5:$37,DAY(G1043)+2,FALSE))))</f>
        <v>19.122699999999998</v>
      </c>
      <c r="O1043" s="307">
        <f t="shared" si="276"/>
        <v>1164855.7521275121</v>
      </c>
      <c r="P1043" s="560">
        <f>IF(G1043=0,0,VLOOKUP(YEAR(G1043),INPC!$B$4:$P$30,MONTH(G1043)+2))</f>
        <v>103.687</v>
      </c>
      <c r="Q1043" s="560">
        <f>IF(X1043=0,0,IF(OR(E1043=$AT$10,E1043=$AT$9),VLOOKUP(YEAR(X1043),INPC!$B$4:$P$30,MONTH(X1043)+1),VLOOKUP(YEAR(X1043),INPC!$B$4:$P$30,MONTH(X1043)+2,0)))</f>
        <v>123.803</v>
      </c>
      <c r="R1043" s="309">
        <f t="shared" si="277"/>
        <v>1.194</v>
      </c>
      <c r="S1043" s="310">
        <f t="shared" si="278"/>
        <v>1390837.7680402494</v>
      </c>
      <c r="T1043" s="555">
        <f t="shared" si="279"/>
        <v>294.17042471240467</v>
      </c>
      <c r="U1043" s="311"/>
      <c r="V1043" s="312">
        <v>4728</v>
      </c>
      <c r="W1043" s="299" t="s">
        <v>194</v>
      </c>
      <c r="X1043" s="300">
        <v>44831</v>
      </c>
      <c r="Y1043" s="299" t="s">
        <v>60</v>
      </c>
      <c r="Z1043" s="303">
        <v>1393348.99</v>
      </c>
      <c r="AA1043" s="305">
        <f>IF(Z1043=0,0,IF(Y1043="MXN",1/HLOOKUP(YEAR(X1043)+(MONTH(X1043)/100),TC!$5:$37,DAY(X1043)+2,FALSE),VLOOKUP(Y1043,Equivalencia!$1:$23,((MAX(Equivalencia!$3:$3)-YEAR(X1043))*14)+MONTH(X1043)+2,FALSE)))</f>
        <v>4.9596532210467843E-2</v>
      </c>
      <c r="AB1043" s="306">
        <f t="shared" si="280"/>
        <v>69105.278062957834</v>
      </c>
      <c r="AC1043" s="305">
        <f>+IF(X1043=0,0,HLOOKUP(YEAR(X1043)+(MONTH(X1043)/100),TC!$5:$37,DAY(X1043)+2,FALSE))</f>
        <v>20.162700000000001</v>
      </c>
      <c r="AD1043" s="307">
        <f t="shared" si="281"/>
        <v>1393348.99</v>
      </c>
      <c r="AE1043" s="314">
        <f t="shared" si="282"/>
        <v>1390837.7680402494</v>
      </c>
      <c r="AF1043" s="315">
        <f t="shared" si="283"/>
        <v>2511.2219597506337</v>
      </c>
      <c r="AG1043" s="316">
        <f t="shared" si="284"/>
        <v>3.2054794520547945</v>
      </c>
      <c r="AH1043" s="314">
        <v>1</v>
      </c>
      <c r="AI1043" s="314">
        <f t="shared" si="285"/>
        <v>2511.2219597506337</v>
      </c>
      <c r="AJ1043" s="314">
        <f t="shared" si="286"/>
        <v>0</v>
      </c>
      <c r="AK1043" s="317"/>
      <c r="AL1043" s="315">
        <f t="shared" si="287"/>
        <v>8190.4620522735568</v>
      </c>
      <c r="AN1043" s="554">
        <f t="shared" si="288"/>
        <v>7.0313101320179424E-3</v>
      </c>
      <c r="AO1043" s="314"/>
      <c r="AP1043" s="318"/>
    </row>
    <row r="1044" spans="2:42">
      <c r="B1044" s="296" t="s">
        <v>1250</v>
      </c>
      <c r="C1044" s="299" t="s">
        <v>277</v>
      </c>
      <c r="D1044" s="298" t="s">
        <v>1038</v>
      </c>
      <c r="E1044" s="299" t="s">
        <v>113</v>
      </c>
      <c r="F1044" s="299" t="s">
        <v>60</v>
      </c>
      <c r="G1044" s="300">
        <v>43941</v>
      </c>
      <c r="H1044" s="303">
        <v>1715304.2568381939</v>
      </c>
      <c r="I1044" s="301" t="str">
        <f t="shared" si="272"/>
        <v>Ingresos Sección II LISR (SIC &amp; BMV)</v>
      </c>
      <c r="J1044" s="302">
        <f t="shared" si="273"/>
        <v>11973</v>
      </c>
      <c r="K1044" s="304">
        <f t="shared" si="274"/>
        <v>143.26436622719402</v>
      </c>
      <c r="L1044" s="305">
        <f>IF(H1044=0,0,IF(OR(E1044=$AT$5,E1044=$AT$6),AA1044,IF(F1044="MXN",1/HLOOKUP(YEAR(G1044)+(MONTH(G1044)/100),TC!$5:$37,DAY(G1044)+2,FALSE),VLOOKUP(F1044,Equivalencia!$5:$23,((MAX(Equivalencia!$3:$3)-YEAR(G1044))*14)+MONTH(G1044)+2,FALSE))))</f>
        <v>4.1305586993696762E-2</v>
      </c>
      <c r="M1044" s="306">
        <f t="shared" si="275"/>
        <v>70851.649201488384</v>
      </c>
      <c r="N1044" s="305">
        <f>IF(G1044=0,0,(IF(OR(E1044=$AT$5,E1044=$AT$6),AC1044,HLOOKUP(YEAR(G1044)+(MONTH(G1044)/100),TC!$5:$37,DAY(G1044)+2,FALSE))))</f>
        <v>24.209800000000001</v>
      </c>
      <c r="O1044" s="307">
        <f t="shared" si="276"/>
        <v>1715304.2568381936</v>
      </c>
      <c r="P1044" s="560">
        <f>IF(G1044=0,0,VLOOKUP(YEAR(G1044),INPC!$B$4:$P$30,MONTH(G1044)+2))</f>
        <v>105.755</v>
      </c>
      <c r="Q1044" s="560">
        <f>IF(X1044=0,0,IF(OR(E1044=$AT$10,E1044=$AT$9),VLOOKUP(YEAR(X1044),INPC!$B$4:$P$30,MONTH(X1044)+1),VLOOKUP(YEAR(X1044),INPC!$B$4:$P$30,MONTH(X1044)+2,0)))</f>
        <v>122.94799999999999</v>
      </c>
      <c r="R1044" s="309">
        <f t="shared" si="277"/>
        <v>1.1625000000000001</v>
      </c>
      <c r="S1044" s="310">
        <f t="shared" si="278"/>
        <v>1994041.1985744003</v>
      </c>
      <c r="T1044" s="555">
        <f t="shared" si="279"/>
        <v>166.54482573911304</v>
      </c>
      <c r="U1044" s="311"/>
      <c r="V1044" s="312">
        <v>11973</v>
      </c>
      <c r="W1044" s="299" t="s">
        <v>194</v>
      </c>
      <c r="X1044" s="300">
        <v>44792</v>
      </c>
      <c r="Y1044" s="299" t="s">
        <v>60</v>
      </c>
      <c r="Z1044" s="303">
        <v>2369583.7200000002</v>
      </c>
      <c r="AA1044" s="305">
        <f>IF(Z1044=0,0,IF(Y1044="MXN",1/HLOOKUP(YEAR(X1044)+(MONTH(X1044)/100),TC!$5:$37,DAY(X1044)+2,FALSE),VLOOKUP(Y1044,Equivalencia!$1:$23,((MAX(Equivalencia!$3:$3)-YEAR(X1044))*14)+MONTH(X1044)+2,FALSE)))</f>
        <v>4.9903436849695844E-2</v>
      </c>
      <c r="AB1044" s="306">
        <f t="shared" si="280"/>
        <v>118250.37153108737</v>
      </c>
      <c r="AC1044" s="305">
        <f>+IF(X1044=0,0,HLOOKUP(YEAR(X1044)+(MONTH(X1044)/100),TC!$5:$37,DAY(X1044)+2,FALSE))</f>
        <v>20.038699999999999</v>
      </c>
      <c r="AD1044" s="307">
        <f t="shared" si="281"/>
        <v>2369583.7200000002</v>
      </c>
      <c r="AE1044" s="314">
        <f t="shared" si="282"/>
        <v>1994041.1985744005</v>
      </c>
      <c r="AF1044" s="315">
        <f t="shared" si="283"/>
        <v>375542.5214255997</v>
      </c>
      <c r="AG1044" s="316">
        <f t="shared" si="284"/>
        <v>2.3315068493150686</v>
      </c>
      <c r="AH1044" s="314">
        <v>1</v>
      </c>
      <c r="AI1044" s="314">
        <f t="shared" si="285"/>
        <v>375542.5214255997</v>
      </c>
      <c r="AJ1044" s="314">
        <f t="shared" si="286"/>
        <v>0</v>
      </c>
      <c r="AK1044" s="317"/>
      <c r="AL1044" s="315">
        <f t="shared" si="287"/>
        <v>47398.722329598982</v>
      </c>
      <c r="AN1044" s="554">
        <f t="shared" si="288"/>
        <v>2.7632836647283006E-2</v>
      </c>
      <c r="AO1044" s="314"/>
      <c r="AP1044" s="318"/>
    </row>
    <row r="1045" spans="2:42">
      <c r="B1045" s="296" t="s">
        <v>1250</v>
      </c>
      <c r="C1045" s="299" t="s">
        <v>277</v>
      </c>
      <c r="D1045" s="298" t="s">
        <v>1038</v>
      </c>
      <c r="E1045" s="299" t="s">
        <v>113</v>
      </c>
      <c r="F1045" s="299" t="s">
        <v>60</v>
      </c>
      <c r="G1045" s="300">
        <v>43941</v>
      </c>
      <c r="H1045" s="303">
        <v>268334.15794353437</v>
      </c>
      <c r="I1045" s="301" t="str">
        <f t="shared" si="272"/>
        <v>Ingresos Sección II LISR (SIC &amp; BMV)</v>
      </c>
      <c r="J1045" s="302">
        <f t="shared" si="273"/>
        <v>1873</v>
      </c>
      <c r="K1045" s="304">
        <f t="shared" si="274"/>
        <v>143.26436622719402</v>
      </c>
      <c r="L1045" s="305">
        <f>IF(H1045=0,0,IF(OR(E1045=$AT$5,E1045=$AT$6),AA1045,IF(F1045="MXN",1/HLOOKUP(YEAR(G1045)+(MONTH(G1045)/100),TC!$5:$37,DAY(G1045)+2,FALSE),VLOOKUP(F1045,Equivalencia!$5:$23,((MAX(Equivalencia!$3:$3)-YEAR(G1045))*14)+MONTH(G1045)+2,FALSE))))</f>
        <v>4.1305586993696762E-2</v>
      </c>
      <c r="M1045" s="306">
        <f t="shared" si="275"/>
        <v>11083.699904317025</v>
      </c>
      <c r="N1045" s="305">
        <f>IF(G1045=0,0,(IF(OR(E1045=$AT$5,E1045=$AT$6),AC1045,HLOOKUP(YEAR(G1045)+(MONTH(G1045)/100),TC!$5:$37,DAY(G1045)+2,FALSE))))</f>
        <v>24.209800000000001</v>
      </c>
      <c r="O1045" s="307">
        <f t="shared" si="276"/>
        <v>268334.15794353432</v>
      </c>
      <c r="P1045" s="560">
        <f>IF(G1045=0,0,VLOOKUP(YEAR(G1045),INPC!$B$4:$P$30,MONTH(G1045)+2))</f>
        <v>105.755</v>
      </c>
      <c r="Q1045" s="560">
        <f>IF(X1045=0,0,IF(OR(E1045=$AT$10,E1045=$AT$9),VLOOKUP(YEAR(X1045),INPC!$B$4:$P$30,MONTH(X1045)+1),VLOOKUP(YEAR(X1045),INPC!$B$4:$P$30,MONTH(X1045)+2,0)))</f>
        <v>123.803</v>
      </c>
      <c r="R1045" s="309">
        <f t="shared" si="277"/>
        <v>1.1706000000000001</v>
      </c>
      <c r="S1045" s="310">
        <f t="shared" si="278"/>
        <v>314111.96528870129</v>
      </c>
      <c r="T1045" s="555">
        <f t="shared" si="279"/>
        <v>167.70526710555328</v>
      </c>
      <c r="U1045" s="311"/>
      <c r="V1045" s="312">
        <v>1873</v>
      </c>
      <c r="W1045" s="299" t="s">
        <v>194</v>
      </c>
      <c r="X1045" s="300">
        <v>44831</v>
      </c>
      <c r="Y1045" s="299" t="s">
        <v>60</v>
      </c>
      <c r="Z1045" s="303">
        <v>330185.73501521116</v>
      </c>
      <c r="AA1045" s="305">
        <f>IF(Z1045=0,0,IF(Y1045="MXN",1/HLOOKUP(YEAR(X1045)+(MONTH(X1045)/100),TC!$5:$37,DAY(X1045)+2,FALSE),VLOOKUP(Y1045,Equivalencia!$1:$23,((MAX(Equivalencia!$3:$3)-YEAR(X1045))*14)+MONTH(X1045)+2,FALSE)))</f>
        <v>4.9596532210467843E-2</v>
      </c>
      <c r="AB1045" s="306">
        <f t="shared" si="280"/>
        <v>16376.06744211892</v>
      </c>
      <c r="AC1045" s="305">
        <f>+IF(X1045=0,0,HLOOKUP(YEAR(X1045)+(MONTH(X1045)/100),TC!$5:$37,DAY(X1045)+2,FALSE))</f>
        <v>20.162700000000001</v>
      </c>
      <c r="AD1045" s="307">
        <f t="shared" si="281"/>
        <v>330185.73501521116</v>
      </c>
      <c r="AE1045" s="314">
        <f t="shared" si="282"/>
        <v>314111.96528870129</v>
      </c>
      <c r="AF1045" s="315">
        <f t="shared" si="283"/>
        <v>16073.769726509869</v>
      </c>
      <c r="AG1045" s="316">
        <f t="shared" si="284"/>
        <v>2.4383561643835616</v>
      </c>
      <c r="AH1045" s="314">
        <v>1</v>
      </c>
      <c r="AI1045" s="314">
        <f t="shared" si="285"/>
        <v>16073.769726509869</v>
      </c>
      <c r="AJ1045" s="314">
        <f t="shared" si="286"/>
        <v>0</v>
      </c>
      <c r="AK1045" s="317"/>
      <c r="AL1045" s="315">
        <f t="shared" si="287"/>
        <v>5292.3675378018943</v>
      </c>
      <c r="AN1045" s="554">
        <f t="shared" si="288"/>
        <v>1.9723048225994279E-2</v>
      </c>
      <c r="AO1045" s="314"/>
      <c r="AP1045" s="318"/>
    </row>
    <row r="1046" spans="2:42">
      <c r="B1046" s="296" t="s">
        <v>1250</v>
      </c>
      <c r="C1046" s="299" t="s">
        <v>277</v>
      </c>
      <c r="D1046" s="298" t="s">
        <v>1038</v>
      </c>
      <c r="E1046" s="299" t="s">
        <v>113</v>
      </c>
      <c r="F1046" s="299" t="s">
        <v>60</v>
      </c>
      <c r="G1046" s="300">
        <v>43958</v>
      </c>
      <c r="H1046" s="303">
        <v>1330821.1566670449</v>
      </c>
      <c r="I1046" s="301" t="str">
        <f t="shared" si="272"/>
        <v>Ingresos Sección II LISR (SIC &amp; BMV)</v>
      </c>
      <c r="J1046" s="302">
        <f t="shared" si="273"/>
        <v>9303</v>
      </c>
      <c r="K1046" s="304">
        <f t="shared" si="274"/>
        <v>143.05290300623938</v>
      </c>
      <c r="L1046" s="305">
        <f>IF(H1046=0,0,IF(OR(E1046=$AT$5,E1046=$AT$6),AA1046,IF(F1046="MXN",1/HLOOKUP(YEAR(G1046)+(MONTH(G1046)/100),TC!$5:$37,DAY(G1046)+2,FALSE),VLOOKUP(F1046,Equivalencia!$5:$23,((MAX(Equivalencia!$3:$3)-YEAR(G1046))*14)+MONTH(G1046)+2,FALSE))))</f>
        <v>4.1956340232354214E-2</v>
      </c>
      <c r="M1046" s="306">
        <f t="shared" si="275"/>
        <v>55836.385237537703</v>
      </c>
      <c r="N1046" s="305">
        <f>IF(G1046=0,0,(IF(OR(E1046=$AT$5,E1046=$AT$6),AC1046,HLOOKUP(YEAR(G1046)+(MONTH(G1046)/100),TC!$5:$37,DAY(G1046)+2,FALSE))))</f>
        <v>23.834299999999999</v>
      </c>
      <c r="O1046" s="307">
        <f t="shared" si="276"/>
        <v>1330821.1566670449</v>
      </c>
      <c r="P1046" s="560">
        <f>IF(G1046=0,0,VLOOKUP(YEAR(G1046),INPC!$B$4:$P$30,MONTH(G1046)+2))</f>
        <v>106.16200000000001</v>
      </c>
      <c r="Q1046" s="560">
        <f>IF(X1046=0,0,IF(OR(E1046=$AT$10,E1046=$AT$9),VLOOKUP(YEAR(X1046),INPC!$B$4:$P$30,MONTH(X1046)+1),VLOOKUP(YEAR(X1046),INPC!$B$4:$P$30,MONTH(X1046)+2,0)))</f>
        <v>123.803</v>
      </c>
      <c r="R1046" s="309">
        <f t="shared" si="277"/>
        <v>1.1660999999999999</v>
      </c>
      <c r="S1046" s="310">
        <f t="shared" si="278"/>
        <v>1551870.550789441</v>
      </c>
      <c r="T1046" s="555">
        <f t="shared" si="279"/>
        <v>166.81399019557571</v>
      </c>
      <c r="U1046" s="311"/>
      <c r="V1046" s="312">
        <v>9303</v>
      </c>
      <c r="W1046" s="299" t="s">
        <v>194</v>
      </c>
      <c r="X1046" s="300">
        <v>44831</v>
      </c>
      <c r="Y1046" s="299" t="s">
        <v>60</v>
      </c>
      <c r="Z1046" s="303">
        <v>1639998.8749847889</v>
      </c>
      <c r="AA1046" s="305">
        <f>IF(Z1046=0,0,IF(Y1046="MXN",1/HLOOKUP(YEAR(X1046)+(MONTH(X1046)/100),TC!$5:$37,DAY(X1046)+2,FALSE),VLOOKUP(Y1046,Equivalencia!$1:$23,((MAX(Equivalencia!$3:$3)-YEAR(X1046))*14)+MONTH(X1046)+2,FALSE)))</f>
        <v>4.9596532210467843E-2</v>
      </c>
      <c r="AB1046" s="306">
        <f t="shared" si="280"/>
        <v>81338.25702831411</v>
      </c>
      <c r="AC1046" s="305">
        <f>+IF(X1046=0,0,HLOOKUP(YEAR(X1046)+(MONTH(X1046)/100),TC!$5:$37,DAY(X1046)+2,FALSE))</f>
        <v>20.162700000000001</v>
      </c>
      <c r="AD1046" s="307">
        <f t="shared" si="281"/>
        <v>1639998.8749847889</v>
      </c>
      <c r="AE1046" s="314">
        <f t="shared" si="282"/>
        <v>1551870.5507894407</v>
      </c>
      <c r="AF1046" s="315">
        <f t="shared" si="283"/>
        <v>88128.324195348192</v>
      </c>
      <c r="AG1046" s="316">
        <f t="shared" si="284"/>
        <v>2.3917808219178083</v>
      </c>
      <c r="AH1046" s="314">
        <v>1</v>
      </c>
      <c r="AI1046" s="314">
        <f t="shared" si="285"/>
        <v>88128.324195348192</v>
      </c>
      <c r="AJ1046" s="314">
        <f t="shared" si="286"/>
        <v>0</v>
      </c>
      <c r="AK1046" s="317"/>
      <c r="AL1046" s="315">
        <f t="shared" si="287"/>
        <v>25501.871790776408</v>
      </c>
      <c r="AN1046" s="554">
        <f t="shared" si="288"/>
        <v>1.9162508548214087E-2</v>
      </c>
      <c r="AO1046" s="314"/>
      <c r="AP1046" s="318"/>
    </row>
    <row r="1047" spans="2:42">
      <c r="B1047" s="296" t="s">
        <v>1250</v>
      </c>
      <c r="C1047" s="299" t="s">
        <v>277</v>
      </c>
      <c r="D1047" s="298" t="s">
        <v>898</v>
      </c>
      <c r="E1047" s="299" t="s">
        <v>113</v>
      </c>
      <c r="F1047" s="299" t="s">
        <v>60</v>
      </c>
      <c r="G1047" s="300">
        <v>44176</v>
      </c>
      <c r="H1047" s="303">
        <v>2221269.6618177514</v>
      </c>
      <c r="I1047" s="301" t="str">
        <f t="shared" si="272"/>
        <v>Ingresos Sección II LISR (SIC &amp; BMV)</v>
      </c>
      <c r="J1047" s="302">
        <f t="shared" si="273"/>
        <v>1923</v>
      </c>
      <c r="K1047" s="304">
        <f t="shared" si="274"/>
        <v>1155.1064284023669</v>
      </c>
      <c r="L1047" s="305">
        <f>IF(H1047=0,0,IF(OR(E1047=$AT$5,E1047=$AT$6),AA1047,IF(F1047="MXN",1/HLOOKUP(YEAR(G1047)+(MONTH(G1047)/100),TC!$5:$37,DAY(G1047)+2,FALSE),VLOOKUP(F1047,Equivalencia!$5:$23,((MAX(Equivalencia!$3:$3)-YEAR(G1047))*14)+MONTH(G1047)+2,FALSE))))</f>
        <v>5.0411356670430715E-2</v>
      </c>
      <c r="M1047" s="306">
        <f t="shared" si="275"/>
        <v>111977.21718310167</v>
      </c>
      <c r="N1047" s="305">
        <f>IF(G1047=0,0,(IF(OR(E1047=$AT$5,E1047=$AT$6),AC1047,HLOOKUP(YEAR(G1047)+(MONTH(G1047)/100),TC!$5:$37,DAY(G1047)+2,FALSE))))</f>
        <v>19.8368</v>
      </c>
      <c r="O1047" s="307">
        <f t="shared" si="276"/>
        <v>2221269.6618177514</v>
      </c>
      <c r="P1047" s="560">
        <f>IF(G1047=0,0,VLOOKUP(YEAR(G1047),INPC!$B$4:$P$30,MONTH(G1047)+2))</f>
        <v>109.271</v>
      </c>
      <c r="Q1047" s="560">
        <f>IF(X1047=0,0,IF(OR(E1047=$AT$10,E1047=$AT$9),VLOOKUP(YEAR(X1047),INPC!$B$4:$P$30,MONTH(X1047)+1),VLOOKUP(YEAR(X1047),INPC!$B$4:$P$30,MONTH(X1047)+2,0)))</f>
        <v>123.803</v>
      </c>
      <c r="R1047" s="309">
        <f t="shared" si="277"/>
        <v>1.1329</v>
      </c>
      <c r="S1047" s="310">
        <f t="shared" si="278"/>
        <v>2516476.3998733307</v>
      </c>
      <c r="T1047" s="555">
        <f t="shared" si="279"/>
        <v>1308.6200727370415</v>
      </c>
      <c r="U1047" s="311"/>
      <c r="V1047" s="312">
        <v>1923</v>
      </c>
      <c r="W1047" s="299" t="s">
        <v>194</v>
      </c>
      <c r="X1047" s="300">
        <v>44831</v>
      </c>
      <c r="Y1047" s="299" t="s">
        <v>60</v>
      </c>
      <c r="Z1047" s="303">
        <v>2034385.02</v>
      </c>
      <c r="AA1047" s="305">
        <f>IF(Z1047=0,0,IF(Y1047="MXN",1/HLOOKUP(YEAR(X1047)+(MONTH(X1047)/100),TC!$5:$37,DAY(X1047)+2,FALSE),VLOOKUP(Y1047,Equivalencia!$1:$23,((MAX(Equivalencia!$3:$3)-YEAR(X1047))*14)+MONTH(X1047)+2,FALSE)))</f>
        <v>4.9596532210467843E-2</v>
      </c>
      <c r="AB1047" s="306">
        <f t="shared" si="280"/>
        <v>100898.44217292327</v>
      </c>
      <c r="AC1047" s="305">
        <f>+IF(X1047=0,0,HLOOKUP(YEAR(X1047)+(MONTH(X1047)/100),TC!$5:$37,DAY(X1047)+2,FALSE))</f>
        <v>20.162700000000001</v>
      </c>
      <c r="AD1047" s="307">
        <f t="shared" si="281"/>
        <v>2034385.02</v>
      </c>
      <c r="AE1047" s="314">
        <f t="shared" si="282"/>
        <v>2516476.3998733307</v>
      </c>
      <c r="AF1047" s="315">
        <f t="shared" si="283"/>
        <v>-482091.3798733307</v>
      </c>
      <c r="AG1047" s="316">
        <f t="shared" si="284"/>
        <v>1.7945205479452055</v>
      </c>
      <c r="AH1047" s="314">
        <v>1</v>
      </c>
      <c r="AI1047" s="314">
        <f t="shared" si="285"/>
        <v>-482091.3798733307</v>
      </c>
      <c r="AJ1047" s="314">
        <f t="shared" si="286"/>
        <v>0</v>
      </c>
      <c r="AK1047" s="317"/>
      <c r="AL1047" s="315">
        <f t="shared" si="287"/>
        <v>-11078.775010178404</v>
      </c>
      <c r="AN1047" s="554">
        <f t="shared" si="288"/>
        <v>-4.987586694499853E-3</v>
      </c>
      <c r="AO1047" s="314"/>
      <c r="AP1047" s="318"/>
    </row>
    <row r="1048" spans="2:42">
      <c r="B1048" s="296" t="s">
        <v>1250</v>
      </c>
      <c r="C1048" s="299" t="s">
        <v>277</v>
      </c>
      <c r="D1048" s="298" t="s">
        <v>1039</v>
      </c>
      <c r="E1048" s="299" t="s">
        <v>113</v>
      </c>
      <c r="F1048" s="299" t="s">
        <v>60</v>
      </c>
      <c r="G1048" s="300">
        <v>44340</v>
      </c>
      <c r="H1048" s="303">
        <v>2319041.264369064</v>
      </c>
      <c r="I1048" s="301" t="str">
        <f t="shared" si="272"/>
        <v>Ingresos Sección II LISR (SIC &amp; BMV)</v>
      </c>
      <c r="J1048" s="302">
        <f t="shared" si="273"/>
        <v>816</v>
      </c>
      <c r="K1048" s="304">
        <f t="shared" si="274"/>
        <v>2841.9623337856178</v>
      </c>
      <c r="L1048" s="305">
        <f>IF(H1048=0,0,IF(OR(E1048=$AT$5,E1048=$AT$6),AA1048,IF(F1048="MXN",1/HLOOKUP(YEAR(G1048)+(MONTH(G1048)/100),TC!$5:$37,DAY(G1048)+2,FALSE),VLOOKUP(F1048,Equivalencia!$5:$23,((MAX(Equivalencia!$3:$3)-YEAR(G1048))*14)+MONTH(G1048)+2,FALSE))))</f>
        <v>5.0299280720285701E-2</v>
      </c>
      <c r="M1048" s="306">
        <f t="shared" si="275"/>
        <v>116646.10755842584</v>
      </c>
      <c r="N1048" s="305">
        <f>IF(G1048=0,0,(IF(OR(E1048=$AT$5,E1048=$AT$6),AC1048,HLOOKUP(YEAR(G1048)+(MONTH(G1048)/100),TC!$5:$37,DAY(G1048)+2,FALSE))))</f>
        <v>19.881</v>
      </c>
      <c r="O1048" s="307">
        <f t="shared" si="276"/>
        <v>2319041.264369064</v>
      </c>
      <c r="P1048" s="560">
        <f>IF(G1048=0,0,VLOOKUP(YEAR(G1048),INPC!$B$4:$P$30,MONTH(G1048)+2))</f>
        <v>112.419</v>
      </c>
      <c r="Q1048" s="560">
        <f>IF(X1048=0,0,IF(OR(E1048=$AT$10,E1048=$AT$9),VLOOKUP(YEAR(X1048),INPC!$B$4:$P$30,MONTH(X1048)+1),VLOOKUP(YEAR(X1048),INPC!$B$4:$P$30,MONTH(X1048)+2,0)))</f>
        <v>122.94799999999999</v>
      </c>
      <c r="R1048" s="309">
        <f t="shared" si="277"/>
        <v>1.0935999999999999</v>
      </c>
      <c r="S1048" s="310">
        <f t="shared" si="278"/>
        <v>2536103.5267140083</v>
      </c>
      <c r="T1048" s="555">
        <f t="shared" si="279"/>
        <v>3107.9700082279514</v>
      </c>
      <c r="U1048" s="311"/>
      <c r="V1048" s="312">
        <v>816</v>
      </c>
      <c r="W1048" s="299" t="s">
        <v>194</v>
      </c>
      <c r="X1048" s="300">
        <v>44792</v>
      </c>
      <c r="Y1048" s="299" t="s">
        <v>60</v>
      </c>
      <c r="Z1048" s="303">
        <v>2874093.19</v>
      </c>
      <c r="AA1048" s="305">
        <f>IF(Z1048=0,0,IF(Y1048="MXN",1/HLOOKUP(YEAR(X1048)+(MONTH(X1048)/100),TC!$5:$37,DAY(X1048)+2,FALSE),VLOOKUP(Y1048,Equivalencia!$1:$23,((MAX(Equivalencia!$3:$3)-YEAR(X1048))*14)+MONTH(X1048)+2,FALSE)))</f>
        <v>4.9903436849695844E-2</v>
      </c>
      <c r="AB1048" s="306">
        <f t="shared" si="280"/>
        <v>143427.12800730587</v>
      </c>
      <c r="AC1048" s="305">
        <f>+IF(X1048=0,0,HLOOKUP(YEAR(X1048)+(MONTH(X1048)/100),TC!$5:$37,DAY(X1048)+2,FALSE))</f>
        <v>20.038699999999999</v>
      </c>
      <c r="AD1048" s="307">
        <f t="shared" si="281"/>
        <v>2874093.19</v>
      </c>
      <c r="AE1048" s="314">
        <f t="shared" si="282"/>
        <v>2536103.5267140083</v>
      </c>
      <c r="AF1048" s="315">
        <f t="shared" si="283"/>
        <v>337989.66328599164</v>
      </c>
      <c r="AG1048" s="316">
        <f t="shared" si="284"/>
        <v>1.2383561643835617</v>
      </c>
      <c r="AH1048" s="314">
        <v>1</v>
      </c>
      <c r="AI1048" s="314">
        <f t="shared" si="285"/>
        <v>337989.66328599164</v>
      </c>
      <c r="AJ1048" s="314">
        <f t="shared" si="286"/>
        <v>0</v>
      </c>
      <c r="AK1048" s="317"/>
      <c r="AL1048" s="315">
        <f t="shared" si="287"/>
        <v>26781.020448880037</v>
      </c>
      <c r="AN1048" s="554">
        <f t="shared" si="288"/>
        <v>1.1548315616611628E-2</v>
      </c>
      <c r="AO1048" s="314"/>
      <c r="AP1048" s="318"/>
    </row>
    <row r="1049" spans="2:42">
      <c r="B1049" s="296" t="s">
        <v>1250</v>
      </c>
      <c r="C1049" s="299" t="s">
        <v>277</v>
      </c>
      <c r="D1049" s="298" t="s">
        <v>1039</v>
      </c>
      <c r="E1049" s="299" t="s">
        <v>113</v>
      </c>
      <c r="F1049" s="299" t="s">
        <v>60</v>
      </c>
      <c r="G1049" s="300">
        <v>44340</v>
      </c>
      <c r="H1049" s="303">
        <v>932163.6454816825</v>
      </c>
      <c r="I1049" s="301" t="str">
        <f t="shared" si="272"/>
        <v>Ingresos Sección II LISR (SIC &amp; BMV)</v>
      </c>
      <c r="J1049" s="302">
        <f t="shared" si="273"/>
        <v>328</v>
      </c>
      <c r="K1049" s="304">
        <f t="shared" si="274"/>
        <v>2841.9623337856174</v>
      </c>
      <c r="L1049" s="305">
        <f>IF(H1049=0,0,IF(OR(E1049=$AT$5,E1049=$AT$6),AA1049,IF(F1049="MXN",1/HLOOKUP(YEAR(G1049)+(MONTH(G1049)/100),TC!$5:$37,DAY(G1049)+2,FALSE),VLOOKUP(F1049,Equivalencia!$5:$23,((MAX(Equivalencia!$3:$3)-YEAR(G1049))*14)+MONTH(G1049)+2,FALSE))))</f>
        <v>5.0299280720285701E-2</v>
      </c>
      <c r="M1049" s="306">
        <f t="shared" si="275"/>
        <v>46887.160881328025</v>
      </c>
      <c r="N1049" s="305">
        <f>IF(G1049=0,0,(IF(OR(E1049=$AT$5,E1049=$AT$6),AC1049,HLOOKUP(YEAR(G1049)+(MONTH(G1049)/100),TC!$5:$37,DAY(G1049)+2,FALSE))))</f>
        <v>19.881</v>
      </c>
      <c r="O1049" s="307">
        <f t="shared" si="276"/>
        <v>932163.6454816825</v>
      </c>
      <c r="P1049" s="560">
        <f>IF(G1049=0,0,VLOOKUP(YEAR(G1049),INPC!$B$4:$P$30,MONTH(G1049)+2))</f>
        <v>112.419</v>
      </c>
      <c r="Q1049" s="560">
        <f>IF(X1049=0,0,IF(OR(E1049=$AT$10,E1049=$AT$9),VLOOKUP(YEAR(X1049),INPC!$B$4:$P$30,MONTH(X1049)+1),VLOOKUP(YEAR(X1049),INPC!$B$4:$P$30,MONTH(X1049)+2,0)))</f>
        <v>123.803</v>
      </c>
      <c r="R1049" s="309">
        <f t="shared" si="277"/>
        <v>1.1012</v>
      </c>
      <c r="S1049" s="310">
        <f t="shared" si="278"/>
        <v>1026498.6064044287</v>
      </c>
      <c r="T1049" s="555">
        <f t="shared" si="279"/>
        <v>3129.5689219647215</v>
      </c>
      <c r="U1049" s="311"/>
      <c r="V1049" s="312">
        <v>328</v>
      </c>
      <c r="W1049" s="299" t="s">
        <v>194</v>
      </c>
      <c r="X1049" s="300">
        <v>44831</v>
      </c>
      <c r="Y1049" s="299" t="s">
        <v>60</v>
      </c>
      <c r="Z1049" s="303">
        <v>1027709.19</v>
      </c>
      <c r="AA1049" s="305">
        <f>IF(Z1049=0,0,IF(Y1049="MXN",1/HLOOKUP(YEAR(X1049)+(MONTH(X1049)/100),TC!$5:$37,DAY(X1049)+2,FALSE),VLOOKUP(Y1049,Equivalencia!$1:$23,((MAX(Equivalencia!$3:$3)-YEAR(X1049))*14)+MONTH(X1049)+2,FALSE)))</f>
        <v>4.9596532210467843E-2</v>
      </c>
      <c r="AB1049" s="306">
        <f t="shared" si="280"/>
        <v>50970.811944828813</v>
      </c>
      <c r="AC1049" s="305">
        <f>+IF(X1049=0,0,HLOOKUP(YEAR(X1049)+(MONTH(X1049)/100),TC!$5:$37,DAY(X1049)+2,FALSE))</f>
        <v>20.162700000000001</v>
      </c>
      <c r="AD1049" s="307">
        <f t="shared" si="281"/>
        <v>1027709.19</v>
      </c>
      <c r="AE1049" s="314">
        <f t="shared" si="282"/>
        <v>1026498.6064044287</v>
      </c>
      <c r="AF1049" s="315">
        <f t="shared" si="283"/>
        <v>1210.5835955712246</v>
      </c>
      <c r="AG1049" s="316">
        <f t="shared" si="284"/>
        <v>1.3452054794520547</v>
      </c>
      <c r="AH1049" s="314">
        <v>1</v>
      </c>
      <c r="AI1049" s="314">
        <f t="shared" si="285"/>
        <v>1210.5835955712246</v>
      </c>
      <c r="AJ1049" s="314">
        <f t="shared" si="286"/>
        <v>0</v>
      </c>
      <c r="AK1049" s="317"/>
      <c r="AL1049" s="315">
        <f t="shared" si="287"/>
        <v>4083.6510635007871</v>
      </c>
      <c r="AN1049" s="554">
        <f t="shared" si="288"/>
        <v>4.3808306441629327E-3</v>
      </c>
      <c r="AO1049" s="314"/>
      <c r="AP1049" s="318"/>
    </row>
    <row r="1050" spans="2:42">
      <c r="B1050" s="296" t="s">
        <v>1250</v>
      </c>
      <c r="C1050" s="299" t="s">
        <v>277</v>
      </c>
      <c r="D1050" s="298" t="s">
        <v>899</v>
      </c>
      <c r="E1050" s="299" t="s">
        <v>113</v>
      </c>
      <c r="F1050" s="299" t="s">
        <v>60</v>
      </c>
      <c r="G1050" s="300">
        <v>43929</v>
      </c>
      <c r="H1050" s="303">
        <v>378984.50139892392</v>
      </c>
      <c r="I1050" s="301" t="str">
        <f t="shared" si="272"/>
        <v>Ingresos Sección II LISR (SIC &amp; BMV)</v>
      </c>
      <c r="J1050" s="302">
        <f t="shared" si="273"/>
        <v>204</v>
      </c>
      <c r="K1050" s="304">
        <f t="shared" si="274"/>
        <v>1857.7671637202154</v>
      </c>
      <c r="L1050" s="305">
        <f>IF(H1050=0,0,IF(OR(E1050=$AT$5,E1050=$AT$6),AA1050,IF(F1050="MXN",1/HLOOKUP(YEAR(G1050)+(MONTH(G1050)/100),TC!$5:$37,DAY(G1050)+2,FALSE),VLOOKUP(F1050,Equivalencia!$5:$23,((MAX(Equivalencia!$3:$3)-YEAR(G1050))*14)+MONTH(G1050)+2,FALSE))))</f>
        <v>4.0503047854351042E-2</v>
      </c>
      <c r="M1050" s="306">
        <f t="shared" si="275"/>
        <v>15350.027396217985</v>
      </c>
      <c r="N1050" s="305">
        <f>IF(G1050=0,0,(IF(OR(E1050=$AT$5,E1050=$AT$6),AC1050,HLOOKUP(YEAR(G1050)+(MONTH(G1050)/100),TC!$5:$37,DAY(G1050)+2,FALSE))))</f>
        <v>24.689499999999999</v>
      </c>
      <c r="O1050" s="307">
        <f t="shared" si="276"/>
        <v>378984.50139892392</v>
      </c>
      <c r="P1050" s="560">
        <f>IF(G1050=0,0,VLOOKUP(YEAR(G1050),INPC!$B$4:$P$30,MONTH(G1050)+2))</f>
        <v>105.755</v>
      </c>
      <c r="Q1050" s="560">
        <f>IF(X1050=0,0,IF(OR(E1050=$AT$10,E1050=$AT$9),VLOOKUP(YEAR(X1050),INPC!$B$4:$P$30,MONTH(X1050)+1),VLOOKUP(YEAR(X1050),INPC!$B$4:$P$30,MONTH(X1050)+2,0)))</f>
        <v>122.94799999999999</v>
      </c>
      <c r="R1050" s="309">
        <f t="shared" si="277"/>
        <v>1.1625000000000001</v>
      </c>
      <c r="S1050" s="310">
        <f t="shared" si="278"/>
        <v>440569.48287624912</v>
      </c>
      <c r="T1050" s="555">
        <f t="shared" si="279"/>
        <v>2159.6543278247505</v>
      </c>
      <c r="U1050" s="311"/>
      <c r="V1050" s="312">
        <v>204</v>
      </c>
      <c r="W1050" s="299" t="s">
        <v>194</v>
      </c>
      <c r="X1050" s="300">
        <v>44792</v>
      </c>
      <c r="Y1050" s="299" t="s">
        <v>60</v>
      </c>
      <c r="Z1050" s="303">
        <v>411730.00051282055</v>
      </c>
      <c r="AA1050" s="305">
        <f>IF(Z1050=0,0,IF(Y1050="MXN",1/HLOOKUP(YEAR(X1050)+(MONTH(X1050)/100),TC!$5:$37,DAY(X1050)+2,FALSE),VLOOKUP(Y1050,Equivalencia!$1:$23,((MAX(Equivalencia!$3:$3)-YEAR(X1050))*14)+MONTH(X1050)+2,FALSE)))</f>
        <v>4.9903436849695844E-2</v>
      </c>
      <c r="AB1050" s="306">
        <f t="shared" si="280"/>
        <v>20546.742079716776</v>
      </c>
      <c r="AC1050" s="305">
        <f>+IF(X1050=0,0,HLOOKUP(YEAR(X1050)+(MONTH(X1050)/100),TC!$5:$37,DAY(X1050)+2,FALSE))</f>
        <v>20.038699999999999</v>
      </c>
      <c r="AD1050" s="307">
        <f t="shared" si="281"/>
        <v>411730.00051282055</v>
      </c>
      <c r="AE1050" s="314">
        <f t="shared" si="282"/>
        <v>440569.48287624907</v>
      </c>
      <c r="AF1050" s="315">
        <f t="shared" si="283"/>
        <v>-28839.482363428513</v>
      </c>
      <c r="AG1050" s="316">
        <f t="shared" si="284"/>
        <v>2.3643835616438356</v>
      </c>
      <c r="AH1050" s="314">
        <v>1</v>
      </c>
      <c r="AI1050" s="314">
        <f t="shared" si="285"/>
        <v>-28839.482363428513</v>
      </c>
      <c r="AJ1050" s="314">
        <f t="shared" si="286"/>
        <v>0</v>
      </c>
      <c r="AK1050" s="317"/>
      <c r="AL1050" s="315">
        <f t="shared" si="287"/>
        <v>5196.7146834987907</v>
      </c>
      <c r="AN1050" s="554">
        <f t="shared" si="288"/>
        <v>1.3712208980357913E-2</v>
      </c>
      <c r="AO1050" s="314"/>
      <c r="AP1050" s="318"/>
    </row>
    <row r="1051" spans="2:42">
      <c r="B1051" s="296" t="s">
        <v>1250</v>
      </c>
      <c r="C1051" s="299" t="s">
        <v>277</v>
      </c>
      <c r="D1051" s="298" t="s">
        <v>899</v>
      </c>
      <c r="E1051" s="299" t="s">
        <v>113</v>
      </c>
      <c r="F1051" s="299" t="s">
        <v>60</v>
      </c>
      <c r="G1051" s="300">
        <v>44593</v>
      </c>
      <c r="H1051" s="303">
        <v>77988.889689213902</v>
      </c>
      <c r="I1051" s="301" t="str">
        <f t="shared" si="272"/>
        <v>Ingresos Sección II LISR (SIC &amp; BMV)</v>
      </c>
      <c r="J1051" s="302">
        <f t="shared" si="273"/>
        <v>30</v>
      </c>
      <c r="K1051" s="304">
        <f t="shared" si="274"/>
        <v>2599.6296563071301</v>
      </c>
      <c r="L1051" s="305">
        <f>IF(H1051=0,0,IF(OR(E1051=$AT$5,E1051=$AT$6),AA1051,IF(F1051="MXN",1/HLOOKUP(YEAR(G1051)+(MONTH(G1051)/100),TC!$5:$37,DAY(G1051)+2,FALSE),VLOOKUP(F1051,Equivalencia!$5:$23,((MAX(Equivalencia!$3:$3)-YEAR(G1051))*14)+MONTH(G1051)+2,FALSE))))</f>
        <v>4.7939327986500288E-2</v>
      </c>
      <c r="M1051" s="306">
        <f t="shared" si="275"/>
        <v>3738.7349621142157</v>
      </c>
      <c r="N1051" s="305">
        <f>IF(G1051=0,0,(IF(OR(E1051=$AT$5,E1051=$AT$6),AC1051,HLOOKUP(YEAR(G1051)+(MONTH(G1051)/100),TC!$5:$37,DAY(G1051)+2,FALSE))))</f>
        <v>20.8597</v>
      </c>
      <c r="O1051" s="307">
        <f t="shared" si="276"/>
        <v>77988.889689213902</v>
      </c>
      <c r="P1051" s="560">
        <f>IF(G1051=0,0,VLOOKUP(YEAR(G1051),INPC!$B$4:$P$30,MONTH(G1051)+2))</f>
        <v>118.98099999999999</v>
      </c>
      <c r="Q1051" s="560">
        <f>IF(X1051=0,0,IF(OR(E1051=$AT$10,E1051=$AT$9),VLOOKUP(YEAR(X1051),INPC!$B$4:$P$30,MONTH(X1051)+1),VLOOKUP(YEAR(X1051),INPC!$B$4:$P$30,MONTH(X1051)+2,0)))</f>
        <v>122.94799999999999</v>
      </c>
      <c r="R1051" s="309">
        <f t="shared" si="277"/>
        <v>1.0333000000000001</v>
      </c>
      <c r="S1051" s="310">
        <f t="shared" si="278"/>
        <v>80585.919715864729</v>
      </c>
      <c r="T1051" s="555">
        <f t="shared" si="279"/>
        <v>2686.1973238621576</v>
      </c>
      <c r="U1051" s="311"/>
      <c r="V1051" s="312">
        <v>30</v>
      </c>
      <c r="W1051" s="299" t="s">
        <v>194</v>
      </c>
      <c r="X1051" s="300">
        <v>44792</v>
      </c>
      <c r="Y1051" s="299" t="s">
        <v>60</v>
      </c>
      <c r="Z1051" s="303">
        <v>60548.52948717949</v>
      </c>
      <c r="AA1051" s="305">
        <f>IF(Z1051=0,0,IF(Y1051="MXN",1/HLOOKUP(YEAR(X1051)+(MONTH(X1051)/100),TC!$5:$37,DAY(X1051)+2,FALSE),VLOOKUP(Y1051,Equivalencia!$1:$23,((MAX(Equivalencia!$3:$3)-YEAR(X1051))*14)+MONTH(X1051)+2,FALSE)))</f>
        <v>4.9903436849695844E-2</v>
      </c>
      <c r="AB1051" s="306">
        <f t="shared" si="280"/>
        <v>3021.5797176054084</v>
      </c>
      <c r="AC1051" s="305">
        <f>+IF(X1051=0,0,HLOOKUP(YEAR(X1051)+(MONTH(X1051)/100),TC!$5:$37,DAY(X1051)+2,FALSE))</f>
        <v>20.038699999999999</v>
      </c>
      <c r="AD1051" s="307">
        <f t="shared" si="281"/>
        <v>60548.52948717949</v>
      </c>
      <c r="AE1051" s="314">
        <f t="shared" si="282"/>
        <v>80585.919715864729</v>
      </c>
      <c r="AF1051" s="315">
        <f t="shared" si="283"/>
        <v>-20037.390228685239</v>
      </c>
      <c r="AG1051" s="316">
        <f t="shared" si="284"/>
        <v>0.54520547945205478</v>
      </c>
      <c r="AH1051" s="314">
        <v>1</v>
      </c>
      <c r="AI1051" s="314">
        <f t="shared" si="285"/>
        <v>-20037.390228685239</v>
      </c>
      <c r="AJ1051" s="314">
        <f t="shared" si="286"/>
        <v>0</v>
      </c>
      <c r="AK1051" s="317"/>
      <c r="AL1051" s="315">
        <f t="shared" si="287"/>
        <v>-717.1552445088073</v>
      </c>
      <c r="AN1051" s="554">
        <f t="shared" si="288"/>
        <v>-9.1956078278159162E-3</v>
      </c>
      <c r="AO1051" s="314"/>
      <c r="AP1051" s="318"/>
    </row>
    <row r="1052" spans="2:42">
      <c r="B1052" s="296" t="s">
        <v>1250</v>
      </c>
      <c r="C1052" s="299" t="s">
        <v>277</v>
      </c>
      <c r="D1052" s="298" t="s">
        <v>1040</v>
      </c>
      <c r="E1052" s="299" t="s">
        <v>113</v>
      </c>
      <c r="F1052" s="299" t="s">
        <v>60</v>
      </c>
      <c r="G1052" s="300">
        <v>43997</v>
      </c>
      <c r="H1052" s="303">
        <v>410077.13615090732</v>
      </c>
      <c r="I1052" s="301" t="str">
        <f t="shared" si="272"/>
        <v>Ingresos Sección II LISR (SIC &amp; BMV)</v>
      </c>
      <c r="J1052" s="302">
        <f t="shared" si="273"/>
        <v>85</v>
      </c>
      <c r="K1052" s="304">
        <f t="shared" si="274"/>
        <v>4824.4368958930272</v>
      </c>
      <c r="L1052" s="305">
        <f>IF(H1052=0,0,IF(OR(E1052=$AT$5,E1052=$AT$6),AA1052,IF(F1052="MXN",1/HLOOKUP(YEAR(G1052)+(MONTH(G1052)/100),TC!$5:$37,DAY(G1052)+2,FALSE),VLOOKUP(F1052,Equivalencia!$5:$23,((MAX(Equivalencia!$3:$3)-YEAR(G1052))*14)+MONTH(G1052)+2,FALSE))))</f>
        <v>4.4592690366195176E-2</v>
      </c>
      <c r="M1052" s="306">
        <f t="shared" si="275"/>
        <v>18286.442758633471</v>
      </c>
      <c r="N1052" s="305">
        <f>IF(G1052=0,0,(IF(OR(E1052=$AT$5,E1052=$AT$6),AC1052,HLOOKUP(YEAR(G1052)+(MONTH(G1052)/100),TC!$5:$37,DAY(G1052)+2,FALSE))))</f>
        <v>22.4252</v>
      </c>
      <c r="O1052" s="307">
        <f t="shared" si="276"/>
        <v>410077.13615090732</v>
      </c>
      <c r="P1052" s="560">
        <f>IF(G1052=0,0,VLOOKUP(YEAR(G1052),INPC!$B$4:$P$30,MONTH(G1052)+2))</f>
        <v>106.74299999999999</v>
      </c>
      <c r="Q1052" s="560">
        <f>IF(X1052=0,0,IF(OR(E1052=$AT$10,E1052=$AT$9),VLOOKUP(YEAR(X1052),INPC!$B$4:$P$30,MONTH(X1052)+1),VLOOKUP(YEAR(X1052),INPC!$B$4:$P$30,MONTH(X1052)+2,0)))</f>
        <v>123.803</v>
      </c>
      <c r="R1052" s="309">
        <f t="shared" si="277"/>
        <v>1.1597999999999999</v>
      </c>
      <c r="S1052" s="310">
        <f t="shared" si="278"/>
        <v>475607.46250782226</v>
      </c>
      <c r="T1052" s="555">
        <f t="shared" si="279"/>
        <v>5595.3819118567326</v>
      </c>
      <c r="U1052" s="311"/>
      <c r="V1052" s="312">
        <v>85</v>
      </c>
      <c r="W1052" s="299" t="s">
        <v>194</v>
      </c>
      <c r="X1052" s="300">
        <v>44831</v>
      </c>
      <c r="Y1052" s="299" t="s">
        <v>60</v>
      </c>
      <c r="Z1052" s="303">
        <v>391474.97</v>
      </c>
      <c r="AA1052" s="305">
        <f>IF(Z1052=0,0,IF(Y1052="MXN",1/HLOOKUP(YEAR(X1052)+(MONTH(X1052)/100),TC!$5:$37,DAY(X1052)+2,FALSE),VLOOKUP(Y1052,Equivalencia!$1:$23,((MAX(Equivalencia!$3:$3)-YEAR(X1052))*14)+MONTH(X1052)+2,FALSE)))</f>
        <v>4.9596532210467843E-2</v>
      </c>
      <c r="AB1052" s="306">
        <f t="shared" si="280"/>
        <v>19415.800959196931</v>
      </c>
      <c r="AC1052" s="305">
        <f>+IF(X1052=0,0,HLOOKUP(YEAR(X1052)+(MONTH(X1052)/100),TC!$5:$37,DAY(X1052)+2,FALSE))</f>
        <v>20.162700000000001</v>
      </c>
      <c r="AD1052" s="307">
        <f t="shared" si="281"/>
        <v>391474.97</v>
      </c>
      <c r="AE1052" s="314">
        <f t="shared" si="282"/>
        <v>475607.46250782226</v>
      </c>
      <c r="AF1052" s="315">
        <f t="shared" si="283"/>
        <v>-84132.492507822288</v>
      </c>
      <c r="AG1052" s="316">
        <f t="shared" si="284"/>
        <v>2.2849315068493152</v>
      </c>
      <c r="AH1052" s="314">
        <v>1</v>
      </c>
      <c r="AI1052" s="314">
        <f t="shared" si="285"/>
        <v>-84132.492507822288</v>
      </c>
      <c r="AJ1052" s="314">
        <f t="shared" si="286"/>
        <v>0</v>
      </c>
      <c r="AK1052" s="317"/>
      <c r="AL1052" s="315">
        <f t="shared" si="287"/>
        <v>1129.3582005634598</v>
      </c>
      <c r="AN1052" s="554">
        <f t="shared" si="288"/>
        <v>2.7540140646804042E-3</v>
      </c>
      <c r="AO1052" s="314"/>
      <c r="AP1052" s="318"/>
    </row>
    <row r="1053" spans="2:42">
      <c r="B1053" s="296" t="s">
        <v>1250</v>
      </c>
      <c r="C1053" s="299" t="s">
        <v>277</v>
      </c>
      <c r="D1053" s="298" t="s">
        <v>1041</v>
      </c>
      <c r="E1053" s="299" t="s">
        <v>113</v>
      </c>
      <c r="F1053" s="299" t="s">
        <v>60</v>
      </c>
      <c r="G1053" s="300">
        <v>43767</v>
      </c>
      <c r="H1053" s="303">
        <v>435281.19545064378</v>
      </c>
      <c r="I1053" s="301" t="str">
        <f t="shared" si="272"/>
        <v>Ingresos Sección II LISR (SIC &amp; BMV)</v>
      </c>
      <c r="J1053" s="302">
        <f t="shared" si="273"/>
        <v>110</v>
      </c>
      <c r="K1053" s="304">
        <f t="shared" si="274"/>
        <v>3957.1017768240345</v>
      </c>
      <c r="L1053" s="305">
        <f>IF(H1053=0,0,IF(OR(E1053=$AT$5,E1053=$AT$6),AA1053,IF(F1053="MXN",1/HLOOKUP(YEAR(G1053)+(MONTH(G1053)/100),TC!$5:$37,DAY(G1053)+2,FALSE),VLOOKUP(F1053,Equivalencia!$5:$23,((MAX(Equivalencia!$3:$3)-YEAR(G1053))*14)+MONTH(G1053)+2,FALSE))))</f>
        <v>5.2405408238130176E-2</v>
      </c>
      <c r="M1053" s="306">
        <f t="shared" si="275"/>
        <v>22811.08874597232</v>
      </c>
      <c r="N1053" s="305">
        <f>IF(G1053=0,0,(IF(OR(E1053=$AT$5,E1053=$AT$6),AC1053,HLOOKUP(YEAR(G1053)+(MONTH(G1053)/100),TC!$5:$37,DAY(G1053)+2,FALSE))))</f>
        <v>19.082000000000001</v>
      </c>
      <c r="O1053" s="307">
        <f t="shared" si="276"/>
        <v>435281.19545064383</v>
      </c>
      <c r="P1053" s="560">
        <f>IF(G1053=0,0,VLOOKUP(YEAR(G1053),INPC!$B$4:$P$30,MONTH(G1053)+2))</f>
        <v>104.503</v>
      </c>
      <c r="Q1053" s="560">
        <f>IF(X1053=0,0,IF(OR(E1053=$AT$10,E1053=$AT$9),VLOOKUP(YEAR(X1053),INPC!$B$4:$P$30,MONTH(X1053)+1),VLOOKUP(YEAR(X1053),INPC!$B$4:$P$30,MONTH(X1053)+2,0)))</f>
        <v>122.94799999999999</v>
      </c>
      <c r="R1053" s="309">
        <f t="shared" si="277"/>
        <v>1.1765000000000001</v>
      </c>
      <c r="S1053" s="310">
        <f t="shared" si="278"/>
        <v>512108.32644768251</v>
      </c>
      <c r="T1053" s="555">
        <f t="shared" si="279"/>
        <v>4655.530240433477</v>
      </c>
      <c r="U1053" s="311"/>
      <c r="V1053" s="312">
        <v>110</v>
      </c>
      <c r="W1053" s="299" t="s">
        <v>194</v>
      </c>
      <c r="X1053" s="300">
        <v>44792</v>
      </c>
      <c r="Y1053" s="299" t="s">
        <v>60</v>
      </c>
      <c r="Z1053" s="303">
        <v>500565.39</v>
      </c>
      <c r="AA1053" s="305">
        <f>IF(Z1053=0,0,IF(Y1053="MXN",1/HLOOKUP(YEAR(X1053)+(MONTH(X1053)/100),TC!$5:$37,DAY(X1053)+2,FALSE),VLOOKUP(Y1053,Equivalencia!$1:$23,((MAX(Equivalencia!$3:$3)-YEAR(X1053))*14)+MONTH(X1053)+2,FALSE)))</f>
        <v>4.9903436849695844E-2</v>
      </c>
      <c r="AB1053" s="306">
        <f t="shared" si="280"/>
        <v>24979.93332900837</v>
      </c>
      <c r="AC1053" s="305">
        <f>+IF(X1053=0,0,HLOOKUP(YEAR(X1053)+(MONTH(X1053)/100),TC!$5:$37,DAY(X1053)+2,FALSE))</f>
        <v>20.038699999999999</v>
      </c>
      <c r="AD1053" s="307">
        <f t="shared" si="281"/>
        <v>500565.39</v>
      </c>
      <c r="AE1053" s="314">
        <f t="shared" si="282"/>
        <v>512108.32644768246</v>
      </c>
      <c r="AF1053" s="315">
        <f t="shared" si="283"/>
        <v>-11542.936447682441</v>
      </c>
      <c r="AG1053" s="316">
        <f t="shared" si="284"/>
        <v>2.8082191780821919</v>
      </c>
      <c r="AH1053" s="314">
        <v>1</v>
      </c>
      <c r="AI1053" s="314">
        <f t="shared" si="285"/>
        <v>-11542.936447682441</v>
      </c>
      <c r="AJ1053" s="314">
        <f t="shared" si="286"/>
        <v>0</v>
      </c>
      <c r="AK1053" s="317"/>
      <c r="AL1053" s="315">
        <f t="shared" si="287"/>
        <v>2168.8445830360506</v>
      </c>
      <c r="AN1053" s="554">
        <f t="shared" si="288"/>
        <v>4.9826287138148937E-3</v>
      </c>
      <c r="AO1053" s="314"/>
      <c r="AP1053" s="318"/>
    </row>
    <row r="1054" spans="2:42">
      <c r="B1054" s="296" t="s">
        <v>1250</v>
      </c>
      <c r="C1054" s="299" t="s">
        <v>277</v>
      </c>
      <c r="D1054" s="298" t="s">
        <v>1041</v>
      </c>
      <c r="E1054" s="299" t="s">
        <v>113</v>
      </c>
      <c r="F1054" s="299" t="s">
        <v>60</v>
      </c>
      <c r="G1054" s="300">
        <v>43767</v>
      </c>
      <c r="H1054" s="303">
        <v>284911.32793133048</v>
      </c>
      <c r="I1054" s="301" t="str">
        <f t="shared" si="272"/>
        <v>Ingresos Sección II LISR (SIC &amp; BMV)</v>
      </c>
      <c r="J1054" s="302">
        <f t="shared" si="273"/>
        <v>72</v>
      </c>
      <c r="K1054" s="304">
        <f t="shared" si="274"/>
        <v>3957.1017768240345</v>
      </c>
      <c r="L1054" s="305">
        <f>IF(H1054=0,0,IF(OR(E1054=$AT$5,E1054=$AT$6),AA1054,IF(F1054="MXN",1/HLOOKUP(YEAR(G1054)+(MONTH(G1054)/100),TC!$5:$37,DAY(G1054)+2,FALSE),VLOOKUP(F1054,Equivalencia!$5:$23,((MAX(Equivalencia!$3:$3)-YEAR(G1054))*14)+MONTH(G1054)+2,FALSE))))</f>
        <v>5.2405408238130176E-2</v>
      </c>
      <c r="M1054" s="306">
        <f t="shared" si="275"/>
        <v>14930.894451909155</v>
      </c>
      <c r="N1054" s="305">
        <f>IF(G1054=0,0,(IF(OR(E1054=$AT$5,E1054=$AT$6),AC1054,HLOOKUP(YEAR(G1054)+(MONTH(G1054)/100),TC!$5:$37,DAY(G1054)+2,FALSE))))</f>
        <v>19.082000000000001</v>
      </c>
      <c r="O1054" s="307">
        <f t="shared" si="276"/>
        <v>284911.32793133048</v>
      </c>
      <c r="P1054" s="560">
        <f>IF(G1054=0,0,VLOOKUP(YEAR(G1054),INPC!$B$4:$P$30,MONTH(G1054)+2))</f>
        <v>104.503</v>
      </c>
      <c r="Q1054" s="560">
        <f>IF(X1054=0,0,IF(OR(E1054=$AT$10,E1054=$AT$9),VLOOKUP(YEAR(X1054),INPC!$B$4:$P$30,MONTH(X1054)+1),VLOOKUP(YEAR(X1054),INPC!$B$4:$P$30,MONTH(X1054)+2,0)))</f>
        <v>123.803</v>
      </c>
      <c r="R1054" s="309">
        <f t="shared" si="277"/>
        <v>1.1846000000000001</v>
      </c>
      <c r="S1054" s="310">
        <f t="shared" si="278"/>
        <v>337505.9590674541</v>
      </c>
      <c r="T1054" s="555">
        <f t="shared" si="279"/>
        <v>4687.5827648257509</v>
      </c>
      <c r="U1054" s="311"/>
      <c r="V1054" s="312">
        <v>72</v>
      </c>
      <c r="W1054" s="299" t="s">
        <v>194</v>
      </c>
      <c r="X1054" s="300">
        <v>44831</v>
      </c>
      <c r="Y1054" s="299" t="s">
        <v>60</v>
      </c>
      <c r="Z1054" s="303">
        <v>272124.42</v>
      </c>
      <c r="AA1054" s="305">
        <f>IF(Z1054=0,0,IF(Y1054="MXN",1/HLOOKUP(YEAR(X1054)+(MONTH(X1054)/100),TC!$5:$37,DAY(X1054)+2,FALSE),VLOOKUP(Y1054,Equivalencia!$1:$23,((MAX(Equivalencia!$3:$3)-YEAR(X1054))*14)+MONTH(X1054)+2,FALSE)))</f>
        <v>4.9596532210467843E-2</v>
      </c>
      <c r="AB1054" s="306">
        <f t="shared" si="280"/>
        <v>13496.42756178488</v>
      </c>
      <c r="AC1054" s="305">
        <f>+IF(X1054=0,0,HLOOKUP(YEAR(X1054)+(MONTH(X1054)/100),TC!$5:$37,DAY(X1054)+2,FALSE))</f>
        <v>20.162700000000001</v>
      </c>
      <c r="AD1054" s="307">
        <f t="shared" si="281"/>
        <v>272124.42</v>
      </c>
      <c r="AE1054" s="314">
        <f t="shared" si="282"/>
        <v>337505.9590674541</v>
      </c>
      <c r="AF1054" s="315">
        <f t="shared" si="283"/>
        <v>-65381.539067454112</v>
      </c>
      <c r="AG1054" s="316">
        <f t="shared" si="284"/>
        <v>2.9150684931506849</v>
      </c>
      <c r="AH1054" s="314">
        <v>1</v>
      </c>
      <c r="AI1054" s="314">
        <f t="shared" si="285"/>
        <v>-65381.539067454112</v>
      </c>
      <c r="AJ1054" s="314">
        <f t="shared" si="286"/>
        <v>0</v>
      </c>
      <c r="AK1054" s="317"/>
      <c r="AL1054" s="315">
        <f t="shared" si="287"/>
        <v>-1434.4668901242749</v>
      </c>
      <c r="AN1054" s="554">
        <f t="shared" si="288"/>
        <v>-5.0347836308916819E-3</v>
      </c>
      <c r="AO1054" s="314"/>
      <c r="AP1054" s="318"/>
    </row>
    <row r="1055" spans="2:42">
      <c r="B1055" s="296"/>
      <c r="C1055" s="299"/>
      <c r="D1055" s="298"/>
      <c r="E1055" s="299"/>
      <c r="F1055" s="299"/>
      <c r="G1055" s="300"/>
      <c r="H1055" s="303"/>
      <c r="I1055" s="301">
        <f t="shared" si="272"/>
        <v>0</v>
      </c>
      <c r="J1055" s="302">
        <f t="shared" si="273"/>
        <v>0</v>
      </c>
      <c r="K1055" s="304">
        <f t="shared" si="274"/>
        <v>0</v>
      </c>
      <c r="L1055" s="305">
        <f>IF(H1055=0,0,IF(OR(E1055=$AT$5,E1055=$AT$6),AA1055,IF(F1055="MXN",1/HLOOKUP(YEAR(G1055)+(MONTH(G1055)/100),TC!$5:$37,DAY(G1055)+2,FALSE),VLOOKUP(F1055,Equivalencia!$5:$23,((MAX(Equivalencia!$3:$3)-YEAR(G1055))*14)+MONTH(G1055)+2,FALSE))))</f>
        <v>0</v>
      </c>
      <c r="M1055" s="306">
        <f t="shared" si="275"/>
        <v>0</v>
      </c>
      <c r="N1055" s="305">
        <f>IF(G1055=0,0,(IF(OR(E1055=$AT$5,E1055=$AT$6),AC1055,HLOOKUP(YEAR(G1055)+(MONTH(G1055)/100),TC!$5:$37,DAY(G1055)+2,FALSE))))</f>
        <v>0</v>
      </c>
      <c r="O1055" s="307">
        <f t="shared" si="276"/>
        <v>0</v>
      </c>
      <c r="P1055" s="560">
        <f>IF(G1055=0,0,VLOOKUP(YEAR(G1055),INPC!$B$4:$P$30,MONTH(G1055)+2))</f>
        <v>0</v>
      </c>
      <c r="Q1055" s="560">
        <f>IF(X1055=0,0,IF(OR(E1055=$AT$10,E1055=$AT$9),VLOOKUP(YEAR(X1055),INPC!$B$4:$P$30,MONTH(X1055)+1),VLOOKUP(YEAR(X1055),INPC!$B$4:$P$30,MONTH(X1055)+2,0)))</f>
        <v>0</v>
      </c>
      <c r="R1055" s="309">
        <f t="shared" si="277"/>
        <v>0</v>
      </c>
      <c r="S1055" s="310">
        <f t="shared" si="278"/>
        <v>0</v>
      </c>
      <c r="T1055" s="555">
        <f t="shared" si="279"/>
        <v>0</v>
      </c>
      <c r="U1055" s="311"/>
      <c r="V1055" s="312"/>
      <c r="W1055" s="299"/>
      <c r="X1055" s="300"/>
      <c r="Y1055" s="299"/>
      <c r="Z1055" s="303"/>
      <c r="AA1055" s="305">
        <f>IF(Z1055=0,0,IF(Y1055="MXN",1/HLOOKUP(YEAR(X1055)+(MONTH(X1055)/100),TC!$5:$37,DAY(X1055)+2,FALSE),VLOOKUP(Y1055,Equivalencia!$1:$23,((MAX(Equivalencia!$3:$3)-YEAR(X1055))*14)+MONTH(X1055)+2,FALSE)))</f>
        <v>0</v>
      </c>
      <c r="AB1055" s="306">
        <f t="shared" si="280"/>
        <v>0</v>
      </c>
      <c r="AC1055" s="305">
        <f>+IF(X1055=0,0,HLOOKUP(YEAR(X1055)+(MONTH(X1055)/100),TC!$5:$37,DAY(X1055)+2,FALSE))</f>
        <v>0</v>
      </c>
      <c r="AD1055" s="307">
        <f t="shared" si="281"/>
        <v>0</v>
      </c>
      <c r="AE1055" s="314">
        <f t="shared" si="282"/>
        <v>0</v>
      </c>
      <c r="AF1055" s="315">
        <f t="shared" si="283"/>
        <v>0</v>
      </c>
      <c r="AG1055" s="316">
        <f t="shared" si="284"/>
        <v>0</v>
      </c>
      <c r="AH1055" s="314">
        <v>1</v>
      </c>
      <c r="AI1055" s="314">
        <f t="shared" si="285"/>
        <v>0</v>
      </c>
      <c r="AJ1055" s="314">
        <f t="shared" si="286"/>
        <v>0</v>
      </c>
      <c r="AK1055" s="317"/>
      <c r="AL1055" s="315">
        <f t="shared" si="287"/>
        <v>0</v>
      </c>
      <c r="AN1055" s="554">
        <f t="shared" si="288"/>
        <v>0</v>
      </c>
      <c r="AO1055" s="314"/>
      <c r="AP1055" s="318"/>
    </row>
    <row r="1056" spans="2:42">
      <c r="B1056" s="296" t="s">
        <v>1254</v>
      </c>
      <c r="C1056" s="299" t="s">
        <v>277</v>
      </c>
      <c r="D1056" s="298" t="s">
        <v>714</v>
      </c>
      <c r="E1056" s="299" t="s">
        <v>113</v>
      </c>
      <c r="F1056" s="299" t="s">
        <v>59</v>
      </c>
      <c r="G1056" s="300">
        <v>44253</v>
      </c>
      <c r="H1056" s="303">
        <v>163.63714285714286</v>
      </c>
      <c r="I1056" s="301" t="str">
        <f t="shared" si="272"/>
        <v>Ingresos Sección II LISR (SIC &amp; BMV)</v>
      </c>
      <c r="J1056" s="302">
        <f t="shared" si="273"/>
        <v>1</v>
      </c>
      <c r="K1056" s="304">
        <f t="shared" si="274"/>
        <v>163.63714285714286</v>
      </c>
      <c r="L1056" s="305">
        <f>IF(H1056=0,0,IF(OR(E1056=$AT$5,E1056=$AT$6),AA1056,IF(F1056="MXN",1/HLOOKUP(YEAR(G1056)+(MONTH(G1056)/100),TC!$5:$37,DAY(G1056)+2,FALSE),VLOOKUP(F1056,Equivalencia!$5:$23,((MAX(Equivalencia!$3:$3)-YEAR(G1056))*14)+MONTH(G1056)+2,FALSE))))</f>
        <v>1</v>
      </c>
      <c r="M1056" s="306">
        <f t="shared" si="275"/>
        <v>163.63714285714286</v>
      </c>
      <c r="N1056" s="305">
        <f>IF(G1056=0,0,(IF(OR(E1056=$AT$5,E1056=$AT$6),AC1056,HLOOKUP(YEAR(G1056)+(MONTH(G1056)/100),TC!$5:$37,DAY(G1056)+2,FALSE))))</f>
        <v>20.475200000000001</v>
      </c>
      <c r="O1056" s="307">
        <f t="shared" si="276"/>
        <v>3350.5032274285718</v>
      </c>
      <c r="P1056" s="560">
        <f>IF(G1056=0,0,VLOOKUP(YEAR(G1056),INPC!$B$4:$P$30,MONTH(G1056)+2))</f>
        <v>110.907</v>
      </c>
      <c r="Q1056" s="560">
        <f>IF(X1056=0,0,IF(OR(E1056=$AT$10,E1056=$AT$9),VLOOKUP(YEAR(X1056),INPC!$B$4:$P$30,MONTH(X1056)+1),VLOOKUP(YEAR(X1056),INPC!$B$4:$P$30,MONTH(X1056)+2,0)))</f>
        <v>120.15900000000001</v>
      </c>
      <c r="R1056" s="309">
        <f t="shared" si="277"/>
        <v>1.0833999999999999</v>
      </c>
      <c r="S1056" s="310">
        <f t="shared" si="278"/>
        <v>3629.9351965961146</v>
      </c>
      <c r="T1056" s="555">
        <f t="shared" si="279"/>
        <v>3629.9351965961146</v>
      </c>
      <c r="U1056" s="311"/>
      <c r="V1056" s="312">
        <v>1</v>
      </c>
      <c r="W1056" s="299" t="s">
        <v>194</v>
      </c>
      <c r="X1056" s="300">
        <v>44673</v>
      </c>
      <c r="Y1056" s="299" t="s">
        <v>59</v>
      </c>
      <c r="Z1056" s="303">
        <v>126.19555555555556</v>
      </c>
      <c r="AA1056" s="305">
        <f>IF(Z1056=0,0,IF(Y1056="MXN",1/HLOOKUP(YEAR(X1056)+(MONTH(X1056)/100),TC!$5:$37,DAY(X1056)+2,FALSE),VLOOKUP(Y1056,Equivalencia!$1:$23,((MAX(Equivalencia!$3:$3)-YEAR(X1056))*14)+MONTH(X1056)+2,FALSE)))</f>
        <v>1</v>
      </c>
      <c r="AB1056" s="306">
        <f t="shared" si="280"/>
        <v>126.19555555555556</v>
      </c>
      <c r="AC1056" s="305">
        <f>+IF(X1056=0,0,HLOOKUP(YEAR(X1056)+(MONTH(X1056)/100),TC!$5:$37,DAY(X1056)+2,FALSE))</f>
        <v>20.0383</v>
      </c>
      <c r="AD1056" s="307">
        <f t="shared" si="281"/>
        <v>2528.7444008888888</v>
      </c>
      <c r="AE1056" s="314">
        <f t="shared" si="282"/>
        <v>3629.9351965961146</v>
      </c>
      <c r="AF1056" s="315">
        <f t="shared" si="283"/>
        <v>-1101.1907957072258</v>
      </c>
      <c r="AG1056" s="316">
        <f t="shared" si="284"/>
        <v>1.1506849315068493</v>
      </c>
      <c r="AH1056" s="314">
        <v>1</v>
      </c>
      <c r="AI1056" s="314">
        <f t="shared" si="285"/>
        <v>-1101.1907957072258</v>
      </c>
      <c r="AJ1056" s="314">
        <f t="shared" si="286"/>
        <v>0</v>
      </c>
      <c r="AK1056" s="317"/>
      <c r="AL1056" s="315">
        <f t="shared" si="287"/>
        <v>-37.441587301587305</v>
      </c>
      <c r="AN1056" s="554">
        <f t="shared" si="288"/>
        <v>-0.22880861061155441</v>
      </c>
      <c r="AO1056" s="314"/>
      <c r="AP1056" s="318"/>
    </row>
    <row r="1057" spans="2:42">
      <c r="B1057" s="296" t="s">
        <v>1254</v>
      </c>
      <c r="C1057" s="299" t="s">
        <v>277</v>
      </c>
      <c r="D1057" s="298" t="s">
        <v>714</v>
      </c>
      <c r="E1057" s="299" t="s">
        <v>113</v>
      </c>
      <c r="F1057" s="299" t="s">
        <v>59</v>
      </c>
      <c r="G1057" s="300">
        <v>44259</v>
      </c>
      <c r="H1057" s="303">
        <v>1271.3343749999999</v>
      </c>
      <c r="I1057" s="301" t="str">
        <f t="shared" si="272"/>
        <v>Ingresos Sección II LISR (SIC &amp; BMV)</v>
      </c>
      <c r="J1057" s="302">
        <f t="shared" si="273"/>
        <v>8</v>
      </c>
      <c r="K1057" s="304">
        <f t="shared" si="274"/>
        <v>158.91679687499999</v>
      </c>
      <c r="L1057" s="305">
        <f>IF(H1057=0,0,IF(OR(E1057=$AT$5,E1057=$AT$6),AA1057,IF(F1057="MXN",1/HLOOKUP(YEAR(G1057)+(MONTH(G1057)/100),TC!$5:$37,DAY(G1057)+2,FALSE),VLOOKUP(F1057,Equivalencia!$5:$23,((MAX(Equivalencia!$3:$3)-YEAR(G1057))*14)+MONTH(G1057)+2,FALSE))))</f>
        <v>1</v>
      </c>
      <c r="M1057" s="306">
        <f t="shared" si="275"/>
        <v>1271.3343749999999</v>
      </c>
      <c r="N1057" s="305">
        <f>IF(G1057=0,0,(IF(OR(E1057=$AT$5,E1057=$AT$6),AC1057,HLOOKUP(YEAR(G1057)+(MONTH(G1057)/100),TC!$5:$37,DAY(G1057)+2,FALSE))))</f>
        <v>20.690300000000001</v>
      </c>
      <c r="O1057" s="307">
        <f t="shared" si="276"/>
        <v>26304.2896190625</v>
      </c>
      <c r="P1057" s="560">
        <f>IF(G1057=0,0,VLOOKUP(YEAR(G1057),INPC!$B$4:$P$30,MONTH(G1057)+2))</f>
        <v>111.824</v>
      </c>
      <c r="Q1057" s="560">
        <f>IF(X1057=0,0,IF(OR(E1057=$AT$10,E1057=$AT$9),VLOOKUP(YEAR(X1057),INPC!$B$4:$P$30,MONTH(X1057)+1),VLOOKUP(YEAR(X1057),INPC!$B$4:$P$30,MONTH(X1057)+2,0)))</f>
        <v>120.15900000000001</v>
      </c>
      <c r="R1057" s="309">
        <f t="shared" si="277"/>
        <v>1.0745</v>
      </c>
      <c r="S1057" s="310">
        <f t="shared" si="278"/>
        <v>28263.959195682655</v>
      </c>
      <c r="T1057" s="555">
        <f t="shared" si="279"/>
        <v>3532.9948994603319</v>
      </c>
      <c r="U1057" s="311"/>
      <c r="V1057" s="312">
        <v>8</v>
      </c>
      <c r="W1057" s="299" t="s">
        <v>194</v>
      </c>
      <c r="X1057" s="300">
        <v>44673</v>
      </c>
      <c r="Y1057" s="299" t="s">
        <v>59</v>
      </c>
      <c r="Z1057" s="303">
        <v>1009.5644444444445</v>
      </c>
      <c r="AA1057" s="305">
        <f>IF(Z1057=0,0,IF(Y1057="MXN",1/HLOOKUP(YEAR(X1057)+(MONTH(X1057)/100),TC!$5:$37,DAY(X1057)+2,FALSE),VLOOKUP(Y1057,Equivalencia!$1:$23,((MAX(Equivalencia!$3:$3)-YEAR(X1057))*14)+MONTH(X1057)+2,FALSE)))</f>
        <v>1</v>
      </c>
      <c r="AB1057" s="306">
        <f t="shared" si="280"/>
        <v>1009.5644444444445</v>
      </c>
      <c r="AC1057" s="305">
        <f>+IF(X1057=0,0,HLOOKUP(YEAR(X1057)+(MONTH(X1057)/100),TC!$5:$37,DAY(X1057)+2,FALSE))</f>
        <v>20.0383</v>
      </c>
      <c r="AD1057" s="307">
        <f t="shared" si="281"/>
        <v>20229.95520711111</v>
      </c>
      <c r="AE1057" s="314">
        <f t="shared" si="282"/>
        <v>28263.959195682655</v>
      </c>
      <c r="AF1057" s="315">
        <f t="shared" si="283"/>
        <v>-8034.0039885715451</v>
      </c>
      <c r="AG1057" s="316">
        <f t="shared" si="284"/>
        <v>1.1342465753424658</v>
      </c>
      <c r="AH1057" s="314">
        <v>1</v>
      </c>
      <c r="AI1057" s="314">
        <f t="shared" si="285"/>
        <v>-8034.0039885715451</v>
      </c>
      <c r="AJ1057" s="314">
        <f t="shared" si="286"/>
        <v>0</v>
      </c>
      <c r="AK1057" s="317"/>
      <c r="AL1057" s="315">
        <f t="shared" si="287"/>
        <v>-261.76993055555545</v>
      </c>
      <c r="AN1057" s="554">
        <f t="shared" si="288"/>
        <v>-0.20590171689140041</v>
      </c>
      <c r="AO1057" s="314"/>
      <c r="AP1057" s="318"/>
    </row>
    <row r="1058" spans="2:42">
      <c r="B1058" s="296" t="s">
        <v>1254</v>
      </c>
      <c r="C1058" s="299" t="s">
        <v>277</v>
      </c>
      <c r="D1058" s="298" t="s">
        <v>839</v>
      </c>
      <c r="E1058" s="299" t="s">
        <v>113</v>
      </c>
      <c r="F1058" s="299" t="s">
        <v>59</v>
      </c>
      <c r="G1058" s="300">
        <v>44159</v>
      </c>
      <c r="H1058" s="303">
        <v>15484.8</v>
      </c>
      <c r="I1058" s="301" t="str">
        <f t="shared" si="272"/>
        <v>Ingresos Sección II LISR (SIC &amp; BMV)</v>
      </c>
      <c r="J1058" s="302">
        <f t="shared" si="273"/>
        <v>38</v>
      </c>
      <c r="K1058" s="304">
        <f t="shared" si="274"/>
        <v>407.49473684210523</v>
      </c>
      <c r="L1058" s="305">
        <f>IF(H1058=0,0,IF(OR(E1058=$AT$5,E1058=$AT$6),AA1058,IF(F1058="MXN",1/HLOOKUP(YEAR(G1058)+(MONTH(G1058)/100),TC!$5:$37,DAY(G1058)+2,FALSE),VLOOKUP(F1058,Equivalencia!$5:$23,((MAX(Equivalencia!$3:$3)-YEAR(G1058))*14)+MONTH(G1058)+2,FALSE))))</f>
        <v>1</v>
      </c>
      <c r="M1058" s="306">
        <f t="shared" si="275"/>
        <v>15484.8</v>
      </c>
      <c r="N1058" s="305">
        <f>IF(G1058=0,0,(IF(OR(E1058=$AT$5,E1058=$AT$6),AC1058,HLOOKUP(YEAR(G1058)+(MONTH(G1058)/100),TC!$5:$37,DAY(G1058)+2,FALSE))))</f>
        <v>20.1172</v>
      </c>
      <c r="O1058" s="307">
        <f t="shared" si="276"/>
        <v>311510.81855999999</v>
      </c>
      <c r="P1058" s="560">
        <f>IF(G1058=0,0,VLOOKUP(YEAR(G1058),INPC!$B$4:$P$30,MONTH(G1058)+2))</f>
        <v>108.85599999999999</v>
      </c>
      <c r="Q1058" s="560">
        <f>IF(X1058=0,0,IF(OR(E1058=$AT$10,E1058=$AT$9),VLOOKUP(YEAR(X1058),INPC!$B$4:$P$30,MONTH(X1058)+1),VLOOKUP(YEAR(X1058),INPC!$B$4:$P$30,MONTH(X1058)+2,0)))</f>
        <v>122.044</v>
      </c>
      <c r="R1058" s="309">
        <f t="shared" si="277"/>
        <v>1.1211</v>
      </c>
      <c r="S1058" s="310">
        <f t="shared" si="278"/>
        <v>349234.778687616</v>
      </c>
      <c r="T1058" s="555">
        <f t="shared" si="279"/>
        <v>9190.3889128320006</v>
      </c>
      <c r="U1058" s="311"/>
      <c r="V1058" s="312">
        <v>38</v>
      </c>
      <c r="W1058" s="299" t="s">
        <v>194</v>
      </c>
      <c r="X1058" s="300">
        <v>44763</v>
      </c>
      <c r="Y1058" s="299" t="s">
        <v>59</v>
      </c>
      <c r="Z1058" s="303">
        <v>4682.1397551020409</v>
      </c>
      <c r="AA1058" s="305">
        <f>IF(Z1058=0,0,IF(Y1058="MXN",1/HLOOKUP(YEAR(X1058)+(MONTH(X1058)/100),TC!$5:$37,DAY(X1058)+2,FALSE),VLOOKUP(Y1058,Equivalencia!$1:$23,((MAX(Equivalencia!$3:$3)-YEAR(X1058))*14)+MONTH(X1058)+2,FALSE)))</f>
        <v>1</v>
      </c>
      <c r="AB1058" s="306">
        <f t="shared" si="280"/>
        <v>4682.1397551020409</v>
      </c>
      <c r="AC1058" s="305">
        <f>+IF(X1058=0,0,HLOOKUP(YEAR(X1058)+(MONTH(X1058)/100),TC!$5:$37,DAY(X1058)+2,FALSE))</f>
        <v>20.4407</v>
      </c>
      <c r="AD1058" s="307">
        <f t="shared" si="281"/>
        <v>95706.214092114285</v>
      </c>
      <c r="AE1058" s="314">
        <f t="shared" si="282"/>
        <v>349234.778687616</v>
      </c>
      <c r="AF1058" s="315">
        <f t="shared" si="283"/>
        <v>-253528.5645955017</v>
      </c>
      <c r="AG1058" s="316">
        <f t="shared" si="284"/>
        <v>1.6547945205479453</v>
      </c>
      <c r="AH1058" s="314">
        <v>1</v>
      </c>
      <c r="AI1058" s="314">
        <f t="shared" si="285"/>
        <v>-253528.5645955017</v>
      </c>
      <c r="AJ1058" s="314">
        <f t="shared" si="286"/>
        <v>0</v>
      </c>
      <c r="AK1058" s="317"/>
      <c r="AL1058" s="315">
        <f t="shared" si="287"/>
        <v>-10802.660244897957</v>
      </c>
      <c r="AN1058" s="554">
        <f t="shared" si="288"/>
        <v>-0.697629949686012</v>
      </c>
      <c r="AO1058" s="314"/>
      <c r="AP1058" s="318"/>
    </row>
    <row r="1059" spans="2:42">
      <c r="B1059" s="296" t="s">
        <v>1254</v>
      </c>
      <c r="C1059" s="299" t="s">
        <v>277</v>
      </c>
      <c r="D1059" s="298" t="s">
        <v>839</v>
      </c>
      <c r="E1059" s="299" t="s">
        <v>113</v>
      </c>
      <c r="F1059" s="299" t="s">
        <v>59</v>
      </c>
      <c r="G1059" s="300">
        <v>44259</v>
      </c>
      <c r="H1059" s="303">
        <v>33483.050000000003</v>
      </c>
      <c r="I1059" s="301" t="str">
        <f t="shared" si="272"/>
        <v>Ingresos Sección II LISR (SIC &amp; BMV)</v>
      </c>
      <c r="J1059" s="302">
        <f t="shared" si="273"/>
        <v>57</v>
      </c>
      <c r="K1059" s="304">
        <f t="shared" si="274"/>
        <v>587.4219298245614</v>
      </c>
      <c r="L1059" s="305">
        <f>IF(H1059=0,0,IF(OR(E1059=$AT$5,E1059=$AT$6),AA1059,IF(F1059="MXN",1/HLOOKUP(YEAR(G1059)+(MONTH(G1059)/100),TC!$5:$37,DAY(G1059)+2,FALSE),VLOOKUP(F1059,Equivalencia!$5:$23,((MAX(Equivalencia!$3:$3)-YEAR(G1059))*14)+MONTH(G1059)+2,FALSE))))</f>
        <v>1</v>
      </c>
      <c r="M1059" s="306">
        <f t="shared" si="275"/>
        <v>33483.050000000003</v>
      </c>
      <c r="N1059" s="305">
        <f>IF(G1059=0,0,(IF(OR(E1059=$AT$5,E1059=$AT$6),AC1059,HLOOKUP(YEAR(G1059)+(MONTH(G1059)/100),TC!$5:$37,DAY(G1059)+2,FALSE))))</f>
        <v>20.690300000000001</v>
      </c>
      <c r="O1059" s="307">
        <f t="shared" si="276"/>
        <v>692774.34941500006</v>
      </c>
      <c r="P1059" s="560">
        <f>IF(G1059=0,0,VLOOKUP(YEAR(G1059),INPC!$B$4:$P$30,MONTH(G1059)+2))</f>
        <v>111.824</v>
      </c>
      <c r="Q1059" s="560">
        <f>IF(X1059=0,0,IF(OR(E1059=$AT$10,E1059=$AT$9),VLOOKUP(YEAR(X1059),INPC!$B$4:$P$30,MONTH(X1059)+1),VLOOKUP(YEAR(X1059),INPC!$B$4:$P$30,MONTH(X1059)+2,0)))</f>
        <v>122.044</v>
      </c>
      <c r="R1059" s="309">
        <f t="shared" si="277"/>
        <v>1.0912999999999999</v>
      </c>
      <c r="S1059" s="310">
        <f t="shared" si="278"/>
        <v>756024.6475165895</v>
      </c>
      <c r="T1059" s="555">
        <f t="shared" si="279"/>
        <v>13263.590307308588</v>
      </c>
      <c r="U1059" s="311"/>
      <c r="V1059" s="312">
        <v>57</v>
      </c>
      <c r="W1059" s="299" t="s">
        <v>194</v>
      </c>
      <c r="X1059" s="300">
        <v>44763</v>
      </c>
      <c r="Y1059" s="299" t="s">
        <v>59</v>
      </c>
      <c r="Z1059" s="303">
        <v>7023.2096326530609</v>
      </c>
      <c r="AA1059" s="305">
        <f>IF(Z1059=0,0,IF(Y1059="MXN",1/HLOOKUP(YEAR(X1059)+(MONTH(X1059)/100),TC!$5:$37,DAY(X1059)+2,FALSE),VLOOKUP(Y1059,Equivalencia!$1:$23,((MAX(Equivalencia!$3:$3)-YEAR(X1059))*14)+MONTH(X1059)+2,FALSE)))</f>
        <v>1</v>
      </c>
      <c r="AB1059" s="306">
        <f t="shared" si="280"/>
        <v>7023.2096326530609</v>
      </c>
      <c r="AC1059" s="305">
        <f>+IF(X1059=0,0,HLOOKUP(YEAR(X1059)+(MONTH(X1059)/100),TC!$5:$37,DAY(X1059)+2,FALSE))</f>
        <v>20.4407</v>
      </c>
      <c r="AD1059" s="307">
        <f t="shared" si="281"/>
        <v>143559.32113817142</v>
      </c>
      <c r="AE1059" s="314">
        <f t="shared" si="282"/>
        <v>756024.6475165895</v>
      </c>
      <c r="AF1059" s="315">
        <f t="shared" si="283"/>
        <v>-612465.32637841813</v>
      </c>
      <c r="AG1059" s="316">
        <f t="shared" si="284"/>
        <v>1.3808219178082193</v>
      </c>
      <c r="AH1059" s="314">
        <v>1</v>
      </c>
      <c r="AI1059" s="314">
        <f t="shared" si="285"/>
        <v>-612465.32637841813</v>
      </c>
      <c r="AJ1059" s="314">
        <f t="shared" si="286"/>
        <v>0</v>
      </c>
      <c r="AK1059" s="317"/>
      <c r="AL1059" s="315">
        <f t="shared" si="287"/>
        <v>-26459.840367346944</v>
      </c>
      <c r="AN1059" s="554">
        <f t="shared" si="288"/>
        <v>-0.79024582191129367</v>
      </c>
      <c r="AO1059" s="314"/>
      <c r="AP1059" s="318"/>
    </row>
    <row r="1060" spans="2:42">
      <c r="B1060" s="296" t="s">
        <v>1254</v>
      </c>
      <c r="C1060" s="299" t="s">
        <v>277</v>
      </c>
      <c r="D1060" s="298" t="s">
        <v>839</v>
      </c>
      <c r="E1060" s="299" t="s">
        <v>113</v>
      </c>
      <c r="F1060" s="299" t="s">
        <v>59</v>
      </c>
      <c r="G1060" s="300">
        <v>44316</v>
      </c>
      <c r="H1060" s="303">
        <v>27467.869565217388</v>
      </c>
      <c r="I1060" s="301" t="str">
        <f t="shared" si="272"/>
        <v>Ingresos Sección II LISR (SIC &amp; BMV)</v>
      </c>
      <c r="J1060" s="302">
        <f t="shared" si="273"/>
        <v>150</v>
      </c>
      <c r="K1060" s="304">
        <f t="shared" si="274"/>
        <v>183.11913043478259</v>
      </c>
      <c r="L1060" s="305">
        <f>IF(H1060=0,0,IF(OR(E1060=$AT$5,E1060=$AT$6),AA1060,IF(F1060="MXN",1/HLOOKUP(YEAR(G1060)+(MONTH(G1060)/100),TC!$5:$37,DAY(G1060)+2,FALSE),VLOOKUP(F1060,Equivalencia!$5:$23,((MAX(Equivalencia!$3:$3)-YEAR(G1060))*14)+MONTH(G1060)+2,FALSE))))</f>
        <v>1</v>
      </c>
      <c r="M1060" s="306">
        <f t="shared" si="275"/>
        <v>27467.869565217388</v>
      </c>
      <c r="N1060" s="305">
        <f>IF(G1060=0,0,(IF(OR(E1060=$AT$5,E1060=$AT$6),AC1060,HLOOKUP(YEAR(G1060)+(MONTH(G1060)/100),TC!$5:$37,DAY(G1060)+2,FALSE))))</f>
        <v>19.9712</v>
      </c>
      <c r="O1060" s="307">
        <f t="shared" si="276"/>
        <v>548566.31666086952</v>
      </c>
      <c r="P1060" s="560">
        <f>IF(G1060=0,0,VLOOKUP(YEAR(G1060),INPC!$B$4:$P$30,MONTH(G1060)+2))</f>
        <v>112.19</v>
      </c>
      <c r="Q1060" s="560">
        <f>IF(X1060=0,0,IF(OR(E1060=$AT$10,E1060=$AT$9),VLOOKUP(YEAR(X1060),INPC!$B$4:$P$30,MONTH(X1060)+1),VLOOKUP(YEAR(X1060),INPC!$B$4:$P$30,MONTH(X1060)+2,0)))</f>
        <v>122.044</v>
      </c>
      <c r="R1060" s="309">
        <f t="shared" si="277"/>
        <v>1.0878000000000001</v>
      </c>
      <c r="S1060" s="310">
        <f t="shared" si="278"/>
        <v>596730.43926369387</v>
      </c>
      <c r="T1060" s="555">
        <f t="shared" si="279"/>
        <v>3978.202928424626</v>
      </c>
      <c r="U1060" s="311"/>
      <c r="V1060" s="312">
        <v>150</v>
      </c>
      <c r="W1060" s="299" t="s">
        <v>194</v>
      </c>
      <c r="X1060" s="300">
        <v>44763</v>
      </c>
      <c r="Y1060" s="299" t="s">
        <v>59</v>
      </c>
      <c r="Z1060" s="303">
        <v>18482.130612244895</v>
      </c>
      <c r="AA1060" s="305">
        <f>IF(Z1060=0,0,IF(Y1060="MXN",1/HLOOKUP(YEAR(X1060)+(MONTH(X1060)/100),TC!$5:$37,DAY(X1060)+2,FALSE),VLOOKUP(Y1060,Equivalencia!$1:$23,((MAX(Equivalencia!$3:$3)-YEAR(X1060))*14)+MONTH(X1060)+2,FALSE)))</f>
        <v>1</v>
      </c>
      <c r="AB1060" s="306">
        <f t="shared" si="280"/>
        <v>18482.130612244895</v>
      </c>
      <c r="AC1060" s="305">
        <f>+IF(X1060=0,0,HLOOKUP(YEAR(X1060)+(MONTH(X1060)/100),TC!$5:$37,DAY(X1060)+2,FALSE))</f>
        <v>20.4407</v>
      </c>
      <c r="AD1060" s="307">
        <f t="shared" si="281"/>
        <v>377787.68720571423</v>
      </c>
      <c r="AE1060" s="314">
        <f t="shared" si="282"/>
        <v>596730.43926369387</v>
      </c>
      <c r="AF1060" s="315">
        <f t="shared" si="283"/>
        <v>-218942.75205797964</v>
      </c>
      <c r="AG1060" s="316">
        <f t="shared" si="284"/>
        <v>1.2246575342465753</v>
      </c>
      <c r="AH1060" s="314">
        <v>1</v>
      </c>
      <c r="AI1060" s="314">
        <f t="shared" si="285"/>
        <v>-218942.75205797964</v>
      </c>
      <c r="AJ1060" s="314">
        <f t="shared" si="286"/>
        <v>0</v>
      </c>
      <c r="AK1060" s="317"/>
      <c r="AL1060" s="315">
        <f t="shared" si="287"/>
        <v>-8985.7389529724933</v>
      </c>
      <c r="AN1060" s="554">
        <f t="shared" si="288"/>
        <v>-0.32713636314740441</v>
      </c>
      <c r="AO1060" s="314"/>
      <c r="AP1060" s="318"/>
    </row>
    <row r="1061" spans="2:42">
      <c r="B1061" s="296" t="s">
        <v>1254</v>
      </c>
      <c r="C1061" s="299" t="s">
        <v>277</v>
      </c>
      <c r="D1061" s="298" t="s">
        <v>838</v>
      </c>
      <c r="E1061" s="299" t="s">
        <v>113</v>
      </c>
      <c r="F1061" s="299" t="s">
        <v>59</v>
      </c>
      <c r="G1061" s="300">
        <v>44260</v>
      </c>
      <c r="H1061" s="303">
        <v>3303.8443636363631</v>
      </c>
      <c r="I1061" s="301" t="str">
        <f t="shared" si="272"/>
        <v>Ingresos Sección II LISR (SIC &amp; BMV)</v>
      </c>
      <c r="J1061" s="302">
        <f t="shared" si="273"/>
        <v>32</v>
      </c>
      <c r="K1061" s="304">
        <f t="shared" si="274"/>
        <v>103.24513636363635</v>
      </c>
      <c r="L1061" s="305">
        <f>IF(H1061=0,0,IF(OR(E1061=$AT$5,E1061=$AT$6),AA1061,IF(F1061="MXN",1/HLOOKUP(YEAR(G1061)+(MONTH(G1061)/100),TC!$5:$37,DAY(G1061)+2,FALSE),VLOOKUP(F1061,Equivalencia!$5:$23,((MAX(Equivalencia!$3:$3)-YEAR(G1061))*14)+MONTH(G1061)+2,FALSE))))</f>
        <v>1</v>
      </c>
      <c r="M1061" s="306">
        <f t="shared" si="275"/>
        <v>3303.8443636363631</v>
      </c>
      <c r="N1061" s="305">
        <f>IF(G1061=0,0,(IF(OR(E1061=$AT$5,E1061=$AT$6),AC1061,HLOOKUP(YEAR(G1061)+(MONTH(G1061)/100),TC!$5:$37,DAY(G1061)+2,FALSE))))</f>
        <v>20.895700000000001</v>
      </c>
      <c r="O1061" s="307">
        <f t="shared" si="276"/>
        <v>69036.140669236353</v>
      </c>
      <c r="P1061" s="560">
        <f>IF(G1061=0,0,VLOOKUP(YEAR(G1061),INPC!$B$4:$P$30,MONTH(G1061)+2))</f>
        <v>111.824</v>
      </c>
      <c r="Q1061" s="560">
        <f>IF(X1061=0,0,IF(OR(E1061=$AT$10,E1061=$AT$9),VLOOKUP(YEAR(X1061),INPC!$B$4:$P$30,MONTH(X1061)+1),VLOOKUP(YEAR(X1061),INPC!$B$4:$P$30,MONTH(X1061)+2,0)))</f>
        <v>122.044</v>
      </c>
      <c r="R1061" s="309">
        <f t="shared" si="277"/>
        <v>1.0912999999999999</v>
      </c>
      <c r="S1061" s="310">
        <f t="shared" si="278"/>
        <v>75339.140312337622</v>
      </c>
      <c r="T1061" s="555">
        <f t="shared" si="279"/>
        <v>2354.3481347605507</v>
      </c>
      <c r="U1061" s="311"/>
      <c r="V1061" s="312">
        <v>32</v>
      </c>
      <c r="W1061" s="299" t="s">
        <v>194</v>
      </c>
      <c r="X1061" s="300">
        <v>44769</v>
      </c>
      <c r="Y1061" s="299" t="s">
        <v>59</v>
      </c>
      <c r="Z1061" s="303">
        <v>3531.87</v>
      </c>
      <c r="AA1061" s="305">
        <f>IF(Z1061=0,0,IF(Y1061="MXN",1/HLOOKUP(YEAR(X1061)+(MONTH(X1061)/100),TC!$5:$37,DAY(X1061)+2,FALSE),VLOOKUP(Y1061,Equivalencia!$1:$23,((MAX(Equivalencia!$3:$3)-YEAR(X1061))*14)+MONTH(X1061)+2,FALSE)))</f>
        <v>1</v>
      </c>
      <c r="AB1061" s="306">
        <f t="shared" si="280"/>
        <v>3531.87</v>
      </c>
      <c r="AC1061" s="305">
        <f>+IF(X1061=0,0,HLOOKUP(YEAR(X1061)+(MONTH(X1061)/100),TC!$5:$37,DAY(X1061)+2,FALSE))</f>
        <v>20.465199999999999</v>
      </c>
      <c r="AD1061" s="307">
        <f t="shared" si="281"/>
        <v>72280.425923999996</v>
      </c>
      <c r="AE1061" s="314">
        <f t="shared" si="282"/>
        <v>75339.140312337622</v>
      </c>
      <c r="AF1061" s="315">
        <f t="shared" si="283"/>
        <v>-3058.7143883376266</v>
      </c>
      <c r="AG1061" s="316">
        <f t="shared" si="284"/>
        <v>1.3945205479452054</v>
      </c>
      <c r="AH1061" s="314">
        <v>1</v>
      </c>
      <c r="AI1061" s="314">
        <f t="shared" si="285"/>
        <v>-3058.7143883376266</v>
      </c>
      <c r="AJ1061" s="314">
        <f t="shared" si="286"/>
        <v>0</v>
      </c>
      <c r="AK1061" s="317"/>
      <c r="AL1061" s="315">
        <f t="shared" si="287"/>
        <v>228.02563636363675</v>
      </c>
      <c r="AN1061" s="554">
        <f t="shared" si="288"/>
        <v>6.9018274248445907E-2</v>
      </c>
      <c r="AO1061" s="314"/>
      <c r="AP1061" s="318"/>
    </row>
    <row r="1062" spans="2:42">
      <c r="B1062" s="296" t="s">
        <v>1254</v>
      </c>
      <c r="C1062" s="299" t="s">
        <v>277</v>
      </c>
      <c r="D1062" s="298" t="s">
        <v>838</v>
      </c>
      <c r="E1062" s="299" t="s">
        <v>113</v>
      </c>
      <c r="F1062" s="299" t="s">
        <v>59</v>
      </c>
      <c r="G1062" s="300">
        <v>44260</v>
      </c>
      <c r="H1062" s="303">
        <v>18790.614818181817</v>
      </c>
      <c r="I1062" s="301" t="str">
        <f t="shared" si="272"/>
        <v>Ingresos Sección II LISR (SIC &amp; BMV)</v>
      </c>
      <c r="J1062" s="302">
        <f t="shared" si="273"/>
        <v>182</v>
      </c>
      <c r="K1062" s="304">
        <f t="shared" si="274"/>
        <v>103.24513636363636</v>
      </c>
      <c r="L1062" s="305">
        <f>IF(H1062=0,0,IF(OR(E1062=$AT$5,E1062=$AT$6),AA1062,IF(F1062="MXN",1/HLOOKUP(YEAR(G1062)+(MONTH(G1062)/100),TC!$5:$37,DAY(G1062)+2,FALSE),VLOOKUP(F1062,Equivalencia!$5:$23,((MAX(Equivalencia!$3:$3)-YEAR(G1062))*14)+MONTH(G1062)+2,FALSE))))</f>
        <v>1</v>
      </c>
      <c r="M1062" s="306">
        <f t="shared" si="275"/>
        <v>18790.614818181817</v>
      </c>
      <c r="N1062" s="305">
        <f>IF(G1062=0,0,(IF(OR(E1062=$AT$5,E1062=$AT$6),AC1062,HLOOKUP(YEAR(G1062)+(MONTH(G1062)/100),TC!$5:$37,DAY(G1062)+2,FALSE))))</f>
        <v>20.895700000000001</v>
      </c>
      <c r="O1062" s="307">
        <f t="shared" si="276"/>
        <v>392643.05005628185</v>
      </c>
      <c r="P1062" s="560">
        <f>IF(G1062=0,0,VLOOKUP(YEAR(G1062),INPC!$B$4:$P$30,MONTH(G1062)+2))</f>
        <v>111.824</v>
      </c>
      <c r="Q1062" s="560">
        <f>IF(X1062=0,0,IF(OR(E1062=$AT$10,E1062=$AT$9),VLOOKUP(YEAR(X1062),INPC!$B$4:$P$30,MONTH(X1062)+1),VLOOKUP(YEAR(X1062),INPC!$B$4:$P$30,MONTH(X1062)+2,0)))</f>
        <v>122.044</v>
      </c>
      <c r="R1062" s="309">
        <f t="shared" si="277"/>
        <v>1.0912999999999999</v>
      </c>
      <c r="S1062" s="310">
        <f t="shared" si="278"/>
        <v>428491.36052642035</v>
      </c>
      <c r="T1062" s="555">
        <f t="shared" si="279"/>
        <v>2354.3481347605516</v>
      </c>
      <c r="U1062" s="311"/>
      <c r="V1062" s="312">
        <v>182</v>
      </c>
      <c r="W1062" s="299" t="s">
        <v>194</v>
      </c>
      <c r="X1062" s="300">
        <v>44770</v>
      </c>
      <c r="Y1062" s="299" t="s">
        <v>59</v>
      </c>
      <c r="Z1062" s="303">
        <v>20051.32</v>
      </c>
      <c r="AA1062" s="305">
        <f>IF(Z1062=0,0,IF(Y1062="MXN",1/HLOOKUP(YEAR(X1062)+(MONTH(X1062)/100),TC!$5:$37,DAY(X1062)+2,FALSE),VLOOKUP(Y1062,Equivalencia!$1:$23,((MAX(Equivalencia!$3:$3)-YEAR(X1062))*14)+MONTH(X1062)+2,FALSE)))</f>
        <v>1</v>
      </c>
      <c r="AB1062" s="306">
        <f t="shared" si="280"/>
        <v>20051.32</v>
      </c>
      <c r="AC1062" s="305">
        <f>+IF(X1062=0,0,HLOOKUP(YEAR(X1062)+(MONTH(X1062)/100),TC!$5:$37,DAY(X1062)+2,FALSE))</f>
        <v>20.433</v>
      </c>
      <c r="AD1062" s="307">
        <f t="shared" si="281"/>
        <v>409708.62156</v>
      </c>
      <c r="AE1062" s="314">
        <f t="shared" si="282"/>
        <v>428491.36052642041</v>
      </c>
      <c r="AF1062" s="315">
        <f t="shared" si="283"/>
        <v>-18782.738966420409</v>
      </c>
      <c r="AG1062" s="316">
        <f t="shared" si="284"/>
        <v>1.3972602739726028</v>
      </c>
      <c r="AH1062" s="314">
        <v>1</v>
      </c>
      <c r="AI1062" s="314">
        <f t="shared" si="285"/>
        <v>-18782.738966420409</v>
      </c>
      <c r="AJ1062" s="314">
        <f t="shared" si="286"/>
        <v>0</v>
      </c>
      <c r="AK1062" s="317"/>
      <c r="AL1062" s="315">
        <f t="shared" si="287"/>
        <v>1260.7051818181826</v>
      </c>
      <c r="AN1062" s="554">
        <f t="shared" si="288"/>
        <v>6.709227952447426E-2</v>
      </c>
      <c r="AO1062" s="314"/>
      <c r="AP1062" s="318"/>
    </row>
    <row r="1063" spans="2:42">
      <c r="B1063" s="296"/>
      <c r="C1063" s="299"/>
      <c r="D1063" s="298"/>
      <c r="E1063" s="299"/>
      <c r="F1063" s="299"/>
      <c r="G1063" s="300"/>
      <c r="H1063" s="303"/>
      <c r="I1063" s="301">
        <f t="shared" si="272"/>
        <v>0</v>
      </c>
      <c r="J1063" s="302">
        <f t="shared" si="273"/>
        <v>0</v>
      </c>
      <c r="K1063" s="304">
        <f t="shared" si="274"/>
        <v>0</v>
      </c>
      <c r="L1063" s="305">
        <f>IF(H1063=0,0,IF(OR(E1063=$AT$5,E1063=$AT$6),AA1063,IF(F1063="MXN",1/HLOOKUP(YEAR(G1063)+(MONTH(G1063)/100),TC!$5:$37,DAY(G1063)+2,FALSE),VLOOKUP(F1063,Equivalencia!$5:$23,((MAX(Equivalencia!$3:$3)-YEAR(G1063))*14)+MONTH(G1063)+2,FALSE))))</f>
        <v>0</v>
      </c>
      <c r="M1063" s="306">
        <f t="shared" si="275"/>
        <v>0</v>
      </c>
      <c r="N1063" s="305">
        <f>IF(G1063=0,0,(IF(OR(E1063=$AT$5,E1063=$AT$6),AC1063,HLOOKUP(YEAR(G1063)+(MONTH(G1063)/100),TC!$5:$37,DAY(G1063)+2,FALSE))))</f>
        <v>0</v>
      </c>
      <c r="O1063" s="307">
        <f t="shared" si="276"/>
        <v>0</v>
      </c>
      <c r="P1063" s="560">
        <f>IF(G1063=0,0,VLOOKUP(YEAR(G1063),INPC!$B$4:$P$30,MONTH(G1063)+2))</f>
        <v>0</v>
      </c>
      <c r="Q1063" s="560">
        <f>IF(X1063=0,0,IF(OR(E1063=$AT$10,E1063=$AT$9),VLOOKUP(YEAR(X1063),INPC!$B$4:$P$30,MONTH(X1063)+1),VLOOKUP(YEAR(X1063),INPC!$B$4:$P$30,MONTH(X1063)+2,0)))</f>
        <v>0</v>
      </c>
      <c r="R1063" s="309">
        <f t="shared" si="277"/>
        <v>0</v>
      </c>
      <c r="S1063" s="310">
        <f t="shared" si="278"/>
        <v>0</v>
      </c>
      <c r="T1063" s="555">
        <f t="shared" si="279"/>
        <v>0</v>
      </c>
      <c r="U1063" s="311"/>
      <c r="V1063" s="312"/>
      <c r="W1063" s="299"/>
      <c r="X1063" s="300"/>
      <c r="Y1063" s="299"/>
      <c r="Z1063" s="303"/>
      <c r="AA1063" s="305">
        <f>IF(Z1063=0,0,IF(Y1063="MXN",1/HLOOKUP(YEAR(X1063)+(MONTH(X1063)/100),TC!$5:$37,DAY(X1063)+2,FALSE),VLOOKUP(Y1063,Equivalencia!$1:$23,((MAX(Equivalencia!$3:$3)-YEAR(X1063))*14)+MONTH(X1063)+2,FALSE)))</f>
        <v>0</v>
      </c>
      <c r="AB1063" s="306">
        <f t="shared" si="280"/>
        <v>0</v>
      </c>
      <c r="AC1063" s="305">
        <f>+IF(X1063=0,0,HLOOKUP(YEAR(X1063)+(MONTH(X1063)/100),TC!$5:$37,DAY(X1063)+2,FALSE))</f>
        <v>0</v>
      </c>
      <c r="AD1063" s="307">
        <f t="shared" si="281"/>
        <v>0</v>
      </c>
      <c r="AE1063" s="314">
        <f t="shared" si="282"/>
        <v>0</v>
      </c>
      <c r="AF1063" s="315">
        <f t="shared" si="283"/>
        <v>0</v>
      </c>
      <c r="AG1063" s="316">
        <f t="shared" si="284"/>
        <v>0</v>
      </c>
      <c r="AH1063" s="314">
        <v>1</v>
      </c>
      <c r="AI1063" s="314">
        <f t="shared" si="285"/>
        <v>0</v>
      </c>
      <c r="AJ1063" s="314">
        <f t="shared" si="286"/>
        <v>0</v>
      </c>
      <c r="AK1063" s="317"/>
      <c r="AL1063" s="315">
        <f t="shared" si="287"/>
        <v>0</v>
      </c>
      <c r="AN1063" s="554">
        <f t="shared" si="288"/>
        <v>0</v>
      </c>
      <c r="AO1063" s="314"/>
      <c r="AP1063" s="318"/>
    </row>
    <row r="1064" spans="2:42">
      <c r="B1064" s="296" t="s">
        <v>1254</v>
      </c>
      <c r="C1064" s="299" t="s">
        <v>277</v>
      </c>
      <c r="D1064" s="298" t="s">
        <v>714</v>
      </c>
      <c r="E1064" s="299" t="s">
        <v>113</v>
      </c>
      <c r="F1064" s="299" t="s">
        <v>59</v>
      </c>
      <c r="G1064" s="300">
        <v>44341</v>
      </c>
      <c r="H1064" s="303">
        <v>8061.7182608695648</v>
      </c>
      <c r="I1064" s="301" t="str">
        <f t="shared" si="272"/>
        <v>Ingresos Sección II LISR (SIC &amp; BMV)</v>
      </c>
      <c r="J1064" s="302">
        <f t="shared" si="273"/>
        <v>48</v>
      </c>
      <c r="K1064" s="304">
        <f t="shared" si="274"/>
        <v>167.95246376811593</v>
      </c>
      <c r="L1064" s="305">
        <f>IF(H1064=0,0,IF(OR(E1064=$AT$5,E1064=$AT$6),AA1064,IF(F1064="MXN",1/HLOOKUP(YEAR(G1064)+(MONTH(G1064)/100),TC!$5:$37,DAY(G1064)+2,FALSE),VLOOKUP(F1064,Equivalencia!$5:$23,((MAX(Equivalencia!$3:$3)-YEAR(G1064))*14)+MONTH(G1064)+2,FALSE))))</f>
        <v>1</v>
      </c>
      <c r="M1064" s="306">
        <f t="shared" si="275"/>
        <v>8061.7182608695648</v>
      </c>
      <c r="N1064" s="305">
        <f>IF(G1064=0,0,(IF(OR(E1064=$AT$5,E1064=$AT$6),AC1064,HLOOKUP(YEAR(G1064)+(MONTH(G1064)/100),TC!$5:$37,DAY(G1064)+2,FALSE))))</f>
        <v>19.951000000000001</v>
      </c>
      <c r="O1064" s="307">
        <f t="shared" si="276"/>
        <v>160839.34102260869</v>
      </c>
      <c r="P1064" s="560">
        <f>IF(G1064=0,0,VLOOKUP(YEAR(G1064),INPC!$B$4:$P$30,MONTH(G1064)+2))</f>
        <v>112.419</v>
      </c>
      <c r="Q1064" s="560">
        <f>IF(X1064=0,0,IF(OR(E1064=$AT$10,E1064=$AT$9),VLOOKUP(YEAR(X1064),INPC!$B$4:$P$30,MONTH(X1064)+1),VLOOKUP(YEAR(X1064),INPC!$B$4:$P$30,MONTH(X1064)+2,0)))</f>
        <v>122.94799999999999</v>
      </c>
      <c r="R1064" s="309">
        <f t="shared" si="277"/>
        <v>1.0935999999999999</v>
      </c>
      <c r="S1064" s="310">
        <f t="shared" si="278"/>
        <v>175893.90334232483</v>
      </c>
      <c r="T1064" s="555">
        <f t="shared" si="279"/>
        <v>3664.4563196317672</v>
      </c>
      <c r="U1064" s="311"/>
      <c r="V1064" s="312">
        <v>48</v>
      </c>
      <c r="W1064" s="299" t="s">
        <v>194</v>
      </c>
      <c r="X1064" s="300">
        <v>44774</v>
      </c>
      <c r="Y1064" s="299" t="s">
        <v>59</v>
      </c>
      <c r="Z1064" s="303">
        <v>5258.512941176471</v>
      </c>
      <c r="AA1064" s="305">
        <f>IF(Z1064=0,0,IF(Y1064="MXN",1/HLOOKUP(YEAR(X1064)+(MONTH(X1064)/100),TC!$5:$37,DAY(X1064)+2,FALSE),VLOOKUP(Y1064,Equivalencia!$1:$23,((MAX(Equivalencia!$3:$3)-YEAR(X1064))*14)+MONTH(X1064)+2,FALSE)))</f>
        <v>1</v>
      </c>
      <c r="AB1064" s="306">
        <f t="shared" si="280"/>
        <v>5258.512941176471</v>
      </c>
      <c r="AC1064" s="305">
        <f>+IF(X1064=0,0,HLOOKUP(YEAR(X1064)+(MONTH(X1064)/100),TC!$5:$37,DAY(X1064)+2,FALSE))</f>
        <v>20.377800000000001</v>
      </c>
      <c r="AD1064" s="307">
        <f t="shared" si="281"/>
        <v>107156.92501270589</v>
      </c>
      <c r="AE1064" s="314">
        <f t="shared" si="282"/>
        <v>175893.90334232483</v>
      </c>
      <c r="AF1064" s="315">
        <f t="shared" si="283"/>
        <v>-68736.978329618942</v>
      </c>
      <c r="AG1064" s="316">
        <f t="shared" si="284"/>
        <v>1.1863013698630136</v>
      </c>
      <c r="AH1064" s="314">
        <v>1</v>
      </c>
      <c r="AI1064" s="314">
        <f t="shared" si="285"/>
        <v>-68736.978329618942</v>
      </c>
      <c r="AJ1064" s="314">
        <f t="shared" si="286"/>
        <v>0</v>
      </c>
      <c r="AK1064" s="317"/>
      <c r="AL1064" s="315">
        <f t="shared" si="287"/>
        <v>-2803.2053196930938</v>
      </c>
      <c r="AN1064" s="554">
        <f t="shared" si="288"/>
        <v>-0.34771809544615995</v>
      </c>
      <c r="AO1064" s="314"/>
      <c r="AP1064" s="318"/>
    </row>
    <row r="1065" spans="2:42">
      <c r="B1065" s="296" t="s">
        <v>1254</v>
      </c>
      <c r="C1065" s="299" t="s">
        <v>277</v>
      </c>
      <c r="D1065" s="298" t="s">
        <v>714</v>
      </c>
      <c r="E1065" s="299" t="s">
        <v>113</v>
      </c>
      <c r="F1065" s="299" t="s">
        <v>59</v>
      </c>
      <c r="G1065" s="300">
        <v>44348</v>
      </c>
      <c r="H1065" s="303">
        <v>3388.9396226415097</v>
      </c>
      <c r="I1065" s="301" t="str">
        <f t="shared" si="272"/>
        <v>Ingresos Sección II LISR (SIC &amp; BMV)</v>
      </c>
      <c r="J1065" s="302">
        <f t="shared" si="273"/>
        <v>20</v>
      </c>
      <c r="K1065" s="304">
        <f t="shared" si="274"/>
        <v>169.44698113207548</v>
      </c>
      <c r="L1065" s="305">
        <f>IF(H1065=0,0,IF(OR(E1065=$AT$5,E1065=$AT$6),AA1065,IF(F1065="MXN",1/HLOOKUP(YEAR(G1065)+(MONTH(G1065)/100),TC!$5:$37,DAY(G1065)+2,FALSE),VLOOKUP(F1065,Equivalencia!$5:$23,((MAX(Equivalencia!$3:$3)-YEAR(G1065))*14)+MONTH(G1065)+2,FALSE))))</f>
        <v>1</v>
      </c>
      <c r="M1065" s="306">
        <f t="shared" si="275"/>
        <v>3388.9396226415097</v>
      </c>
      <c r="N1065" s="305">
        <f>IF(G1065=0,0,(IF(OR(E1065=$AT$5,E1065=$AT$6),AC1065,HLOOKUP(YEAR(G1065)+(MONTH(G1065)/100),TC!$5:$37,DAY(G1065)+2,FALSE))))</f>
        <v>19.944199999999999</v>
      </c>
      <c r="O1065" s="307">
        <f t="shared" si="276"/>
        <v>67589.689621886791</v>
      </c>
      <c r="P1065" s="560">
        <f>IF(G1065=0,0,VLOOKUP(YEAR(G1065),INPC!$B$4:$P$30,MONTH(G1065)+2))</f>
        <v>113.018</v>
      </c>
      <c r="Q1065" s="560">
        <f>IF(X1065=0,0,IF(OR(E1065=$AT$10,E1065=$AT$9),VLOOKUP(YEAR(X1065),INPC!$B$4:$P$30,MONTH(X1065)+1),VLOOKUP(YEAR(X1065),INPC!$B$4:$P$30,MONTH(X1065)+2,0)))</f>
        <v>122.94799999999999</v>
      </c>
      <c r="R1065" s="309">
        <f t="shared" si="277"/>
        <v>1.0878000000000001</v>
      </c>
      <c r="S1065" s="310">
        <f t="shared" si="278"/>
        <v>73524.064370688458</v>
      </c>
      <c r="T1065" s="555">
        <f t="shared" si="279"/>
        <v>3676.2032185344228</v>
      </c>
      <c r="U1065" s="311"/>
      <c r="V1065" s="312">
        <v>20</v>
      </c>
      <c r="W1065" s="299" t="s">
        <v>194</v>
      </c>
      <c r="X1065" s="300">
        <v>44774</v>
      </c>
      <c r="Y1065" s="299" t="s">
        <v>59</v>
      </c>
      <c r="Z1065" s="303">
        <v>2191.0470588235294</v>
      </c>
      <c r="AA1065" s="305">
        <f>IF(Z1065=0,0,IF(Y1065="MXN",1/HLOOKUP(YEAR(X1065)+(MONTH(X1065)/100),TC!$5:$37,DAY(X1065)+2,FALSE),VLOOKUP(Y1065,Equivalencia!$1:$23,((MAX(Equivalencia!$3:$3)-YEAR(X1065))*14)+MONTH(X1065)+2,FALSE)))</f>
        <v>1</v>
      </c>
      <c r="AB1065" s="306">
        <f t="shared" si="280"/>
        <v>2191.0470588235294</v>
      </c>
      <c r="AC1065" s="305">
        <f>+IF(X1065=0,0,HLOOKUP(YEAR(X1065)+(MONTH(X1065)/100),TC!$5:$37,DAY(X1065)+2,FALSE))</f>
        <v>20.377800000000001</v>
      </c>
      <c r="AD1065" s="307">
        <f t="shared" si="281"/>
        <v>44648.718755294118</v>
      </c>
      <c r="AE1065" s="314">
        <f t="shared" si="282"/>
        <v>73524.064370688458</v>
      </c>
      <c r="AF1065" s="315">
        <f t="shared" si="283"/>
        <v>-28875.345615394341</v>
      </c>
      <c r="AG1065" s="316">
        <f t="shared" si="284"/>
        <v>1.167123287671233</v>
      </c>
      <c r="AH1065" s="314">
        <v>1</v>
      </c>
      <c r="AI1065" s="314">
        <f t="shared" si="285"/>
        <v>-28875.345615394341</v>
      </c>
      <c r="AJ1065" s="314">
        <f t="shared" si="286"/>
        <v>0</v>
      </c>
      <c r="AK1065" s="317"/>
      <c r="AL1065" s="315">
        <f t="shared" si="287"/>
        <v>-1197.8925638179803</v>
      </c>
      <c r="AN1065" s="554">
        <f t="shared" si="288"/>
        <v>-0.35347120255989767</v>
      </c>
      <c r="AO1065" s="314"/>
      <c r="AP1065" s="318"/>
    </row>
    <row r="1066" spans="2:42">
      <c r="B1066" s="296" t="s">
        <v>1254</v>
      </c>
      <c r="C1066" s="299" t="s">
        <v>277</v>
      </c>
      <c r="D1066" s="298" t="s">
        <v>714</v>
      </c>
      <c r="E1066" s="299" t="s">
        <v>113</v>
      </c>
      <c r="F1066" s="299" t="s">
        <v>59</v>
      </c>
      <c r="G1066" s="300">
        <v>44348</v>
      </c>
      <c r="H1066" s="303">
        <v>4236.1745283018872</v>
      </c>
      <c r="I1066" s="301" t="str">
        <f t="shared" si="272"/>
        <v>Ingresos Sección II LISR (SIC &amp; BMV)</v>
      </c>
      <c r="J1066" s="302">
        <f t="shared" si="273"/>
        <v>25</v>
      </c>
      <c r="K1066" s="304">
        <f t="shared" si="274"/>
        <v>169.44698113207548</v>
      </c>
      <c r="L1066" s="305">
        <f>IF(H1066=0,0,IF(OR(E1066=$AT$5,E1066=$AT$6),AA1066,IF(F1066="MXN",1/HLOOKUP(YEAR(G1066)+(MONTH(G1066)/100),TC!$5:$37,DAY(G1066)+2,FALSE),VLOOKUP(F1066,Equivalencia!$5:$23,((MAX(Equivalencia!$3:$3)-YEAR(G1066))*14)+MONTH(G1066)+2,FALSE))))</f>
        <v>1</v>
      </c>
      <c r="M1066" s="306">
        <f t="shared" si="275"/>
        <v>4236.1745283018872</v>
      </c>
      <c r="N1066" s="305">
        <f>IF(G1066=0,0,(IF(OR(E1066=$AT$5,E1066=$AT$6),AC1066,HLOOKUP(YEAR(G1066)+(MONTH(G1066)/100),TC!$5:$37,DAY(G1066)+2,FALSE))))</f>
        <v>19.944199999999999</v>
      </c>
      <c r="O1066" s="307">
        <f t="shared" si="276"/>
        <v>84487.112027358497</v>
      </c>
      <c r="P1066" s="560">
        <f>IF(G1066=0,0,VLOOKUP(YEAR(G1066),INPC!$B$4:$P$30,MONTH(G1066)+2))</f>
        <v>113.018</v>
      </c>
      <c r="Q1066" s="560">
        <f>IF(X1066=0,0,IF(OR(E1066=$AT$10,E1066=$AT$9),VLOOKUP(YEAR(X1066),INPC!$B$4:$P$30,MONTH(X1066)+1),VLOOKUP(YEAR(X1066),INPC!$B$4:$P$30,MONTH(X1066)+2,0)))</f>
        <v>122.94799999999999</v>
      </c>
      <c r="R1066" s="309">
        <f t="shared" si="277"/>
        <v>1.0878000000000001</v>
      </c>
      <c r="S1066" s="310">
        <f t="shared" si="278"/>
        <v>91905.080463360588</v>
      </c>
      <c r="T1066" s="555">
        <f t="shared" si="279"/>
        <v>3676.2032185344233</v>
      </c>
      <c r="U1066" s="311"/>
      <c r="V1066" s="312">
        <v>25</v>
      </c>
      <c r="W1066" s="299" t="s">
        <v>194</v>
      </c>
      <c r="X1066" s="300">
        <v>44774</v>
      </c>
      <c r="Y1066" s="299" t="s">
        <v>59</v>
      </c>
      <c r="Z1066" s="303">
        <v>2745.24</v>
      </c>
      <c r="AA1066" s="305">
        <f>IF(Z1066=0,0,IF(Y1066="MXN",1/HLOOKUP(YEAR(X1066)+(MONTH(X1066)/100),TC!$5:$37,DAY(X1066)+2,FALSE),VLOOKUP(Y1066,Equivalencia!$1:$23,((MAX(Equivalencia!$3:$3)-YEAR(X1066))*14)+MONTH(X1066)+2,FALSE)))</f>
        <v>1</v>
      </c>
      <c r="AB1066" s="306">
        <f t="shared" si="280"/>
        <v>2745.24</v>
      </c>
      <c r="AC1066" s="305">
        <f>+IF(X1066=0,0,HLOOKUP(YEAR(X1066)+(MONTH(X1066)/100),TC!$5:$37,DAY(X1066)+2,FALSE))</f>
        <v>20.377800000000001</v>
      </c>
      <c r="AD1066" s="307">
        <f t="shared" si="281"/>
        <v>55941.951671999996</v>
      </c>
      <c r="AE1066" s="314">
        <f t="shared" si="282"/>
        <v>91905.080463360588</v>
      </c>
      <c r="AF1066" s="315">
        <f t="shared" si="283"/>
        <v>-35963.128791360592</v>
      </c>
      <c r="AG1066" s="316">
        <f t="shared" si="284"/>
        <v>1.167123287671233</v>
      </c>
      <c r="AH1066" s="314">
        <v>1</v>
      </c>
      <c r="AI1066" s="314">
        <f t="shared" si="285"/>
        <v>-35963.128791360592</v>
      </c>
      <c r="AJ1066" s="314">
        <f t="shared" si="286"/>
        <v>0</v>
      </c>
      <c r="AK1066" s="317"/>
      <c r="AL1066" s="315">
        <f t="shared" si="287"/>
        <v>-1490.9345283018874</v>
      </c>
      <c r="AN1066" s="554">
        <f t="shared" si="288"/>
        <v>-0.35195304592408838</v>
      </c>
      <c r="AO1066" s="314"/>
      <c r="AP1066" s="318"/>
    </row>
    <row r="1067" spans="2:42">
      <c r="B1067" s="296" t="s">
        <v>1254</v>
      </c>
      <c r="C1067" s="299" t="s">
        <v>277</v>
      </c>
      <c r="D1067" s="298" t="s">
        <v>714</v>
      </c>
      <c r="E1067" s="299" t="s">
        <v>113</v>
      </c>
      <c r="F1067" s="299" t="s">
        <v>59</v>
      </c>
      <c r="G1067" s="300">
        <v>44348</v>
      </c>
      <c r="H1067" s="303">
        <v>1355.5758490566038</v>
      </c>
      <c r="I1067" s="301" t="str">
        <f t="shared" si="272"/>
        <v>Ingresos Sección II LISR (SIC &amp; BMV)</v>
      </c>
      <c r="J1067" s="302">
        <f t="shared" si="273"/>
        <v>8</v>
      </c>
      <c r="K1067" s="304">
        <f t="shared" si="274"/>
        <v>169.44698113207548</v>
      </c>
      <c r="L1067" s="305">
        <f>IF(H1067=0,0,IF(OR(E1067=$AT$5,E1067=$AT$6),AA1067,IF(F1067="MXN",1/HLOOKUP(YEAR(G1067)+(MONTH(G1067)/100),TC!$5:$37,DAY(G1067)+2,FALSE),VLOOKUP(F1067,Equivalencia!$5:$23,((MAX(Equivalencia!$3:$3)-YEAR(G1067))*14)+MONTH(G1067)+2,FALSE))))</f>
        <v>1</v>
      </c>
      <c r="M1067" s="306">
        <f t="shared" si="275"/>
        <v>1355.5758490566038</v>
      </c>
      <c r="N1067" s="305">
        <f>IF(G1067=0,0,(IF(OR(E1067=$AT$5,E1067=$AT$6),AC1067,HLOOKUP(YEAR(G1067)+(MONTH(G1067)/100),TC!$5:$37,DAY(G1067)+2,FALSE))))</f>
        <v>19.944199999999999</v>
      </c>
      <c r="O1067" s="307">
        <f t="shared" si="276"/>
        <v>27035.875848754717</v>
      </c>
      <c r="P1067" s="560">
        <f>IF(G1067=0,0,VLOOKUP(YEAR(G1067),INPC!$B$4:$P$30,MONTH(G1067)+2))</f>
        <v>113.018</v>
      </c>
      <c r="Q1067" s="560">
        <f>IF(X1067=0,0,IF(OR(E1067=$AT$10,E1067=$AT$9),VLOOKUP(YEAR(X1067),INPC!$B$4:$P$30,MONTH(X1067)+1),VLOOKUP(YEAR(X1067),INPC!$B$4:$P$30,MONTH(X1067)+2,0)))</f>
        <v>122.94799999999999</v>
      </c>
      <c r="R1067" s="309">
        <f t="shared" si="277"/>
        <v>1.0878000000000001</v>
      </c>
      <c r="S1067" s="310">
        <f t="shared" si="278"/>
        <v>29409.625748275383</v>
      </c>
      <c r="T1067" s="555">
        <f t="shared" si="279"/>
        <v>3676.2032185344228</v>
      </c>
      <c r="U1067" s="311"/>
      <c r="V1067" s="312">
        <v>8</v>
      </c>
      <c r="W1067" s="299" t="s">
        <v>194</v>
      </c>
      <c r="X1067" s="300">
        <v>44774</v>
      </c>
      <c r="Y1067" s="299" t="s">
        <v>59</v>
      </c>
      <c r="Z1067" s="303">
        <v>877.97714285714289</v>
      </c>
      <c r="AA1067" s="305">
        <f>IF(Z1067=0,0,IF(Y1067="MXN",1/HLOOKUP(YEAR(X1067)+(MONTH(X1067)/100),TC!$5:$37,DAY(X1067)+2,FALSE),VLOOKUP(Y1067,Equivalencia!$1:$23,((MAX(Equivalencia!$3:$3)-YEAR(X1067))*14)+MONTH(X1067)+2,FALSE)))</f>
        <v>1</v>
      </c>
      <c r="AB1067" s="306">
        <f t="shared" si="280"/>
        <v>877.97714285714289</v>
      </c>
      <c r="AC1067" s="305">
        <f>+IF(X1067=0,0,HLOOKUP(YEAR(X1067)+(MONTH(X1067)/100),TC!$5:$37,DAY(X1067)+2,FALSE))</f>
        <v>20.377800000000001</v>
      </c>
      <c r="AD1067" s="307">
        <f t="shared" si="281"/>
        <v>17891.242621714286</v>
      </c>
      <c r="AE1067" s="314">
        <f t="shared" si="282"/>
        <v>29409.625748275383</v>
      </c>
      <c r="AF1067" s="315">
        <f t="shared" si="283"/>
        <v>-11518.383126561097</v>
      </c>
      <c r="AG1067" s="316">
        <f t="shared" si="284"/>
        <v>1.167123287671233</v>
      </c>
      <c r="AH1067" s="314">
        <v>1</v>
      </c>
      <c r="AI1067" s="314">
        <f t="shared" si="285"/>
        <v>-11518.383126561097</v>
      </c>
      <c r="AJ1067" s="314">
        <f t="shared" si="286"/>
        <v>0</v>
      </c>
      <c r="AK1067" s="317"/>
      <c r="AL1067" s="315">
        <f t="shared" si="287"/>
        <v>-477.59870619946093</v>
      </c>
      <c r="AN1067" s="554">
        <f t="shared" si="288"/>
        <v>-0.35232163993762489</v>
      </c>
      <c r="AO1067" s="314"/>
      <c r="AP1067" s="318"/>
    </row>
    <row r="1068" spans="2:42">
      <c r="B1068" s="296" t="s">
        <v>1254</v>
      </c>
      <c r="C1068" s="299" t="s">
        <v>277</v>
      </c>
      <c r="D1068" s="298" t="s">
        <v>714</v>
      </c>
      <c r="E1068" s="299" t="s">
        <v>113</v>
      </c>
      <c r="F1068" s="299" t="s">
        <v>59</v>
      </c>
      <c r="G1068" s="300">
        <v>44355</v>
      </c>
      <c r="H1068" s="303">
        <v>951.14076923076914</v>
      </c>
      <c r="I1068" s="301" t="str">
        <f t="shared" si="272"/>
        <v>Ingresos Sección II LISR (SIC &amp; BMV)</v>
      </c>
      <c r="J1068" s="302">
        <f t="shared" si="273"/>
        <v>6</v>
      </c>
      <c r="K1068" s="304">
        <f t="shared" si="274"/>
        <v>158.52346153846153</v>
      </c>
      <c r="L1068" s="305">
        <f>IF(H1068=0,0,IF(OR(E1068=$AT$5,E1068=$AT$6),AA1068,IF(F1068="MXN",1/HLOOKUP(YEAR(G1068)+(MONTH(G1068)/100),TC!$5:$37,DAY(G1068)+2,FALSE),VLOOKUP(F1068,Equivalencia!$5:$23,((MAX(Equivalencia!$3:$3)-YEAR(G1068))*14)+MONTH(G1068)+2,FALSE))))</f>
        <v>1</v>
      </c>
      <c r="M1068" s="306">
        <f t="shared" si="275"/>
        <v>951.14076923076914</v>
      </c>
      <c r="N1068" s="305">
        <f>IF(G1068=0,0,(IF(OR(E1068=$AT$5,E1068=$AT$6),AC1068,HLOOKUP(YEAR(G1068)+(MONTH(G1068)/100),TC!$5:$37,DAY(G1068)+2,FALSE))))</f>
        <v>19.9328</v>
      </c>
      <c r="O1068" s="307">
        <f t="shared" si="276"/>
        <v>18958.898724923074</v>
      </c>
      <c r="P1068" s="560">
        <f>IF(G1068=0,0,VLOOKUP(YEAR(G1068),INPC!$B$4:$P$30,MONTH(G1068)+2))</f>
        <v>113.018</v>
      </c>
      <c r="Q1068" s="560">
        <f>IF(X1068=0,0,IF(OR(E1068=$AT$10,E1068=$AT$9),VLOOKUP(YEAR(X1068),INPC!$B$4:$P$30,MONTH(X1068)+1),VLOOKUP(YEAR(X1068),INPC!$B$4:$P$30,MONTH(X1068)+2,0)))</f>
        <v>122.94799999999999</v>
      </c>
      <c r="R1068" s="309">
        <f t="shared" si="277"/>
        <v>1.0878000000000001</v>
      </c>
      <c r="S1068" s="310">
        <f t="shared" si="278"/>
        <v>20623.49003297132</v>
      </c>
      <c r="T1068" s="555">
        <f t="shared" si="279"/>
        <v>3437.2483388285532</v>
      </c>
      <c r="U1068" s="311"/>
      <c r="V1068" s="312">
        <v>6</v>
      </c>
      <c r="W1068" s="299" t="s">
        <v>194</v>
      </c>
      <c r="X1068" s="300">
        <v>44774</v>
      </c>
      <c r="Y1068" s="299" t="s">
        <v>59</v>
      </c>
      <c r="Z1068" s="303">
        <v>658.48285714285714</v>
      </c>
      <c r="AA1068" s="305">
        <f>IF(Z1068=0,0,IF(Y1068="MXN",1/HLOOKUP(YEAR(X1068)+(MONTH(X1068)/100),TC!$5:$37,DAY(X1068)+2,FALSE),VLOOKUP(Y1068,Equivalencia!$1:$23,((MAX(Equivalencia!$3:$3)-YEAR(X1068))*14)+MONTH(X1068)+2,FALSE)))</f>
        <v>1</v>
      </c>
      <c r="AB1068" s="306">
        <f t="shared" si="280"/>
        <v>658.48285714285714</v>
      </c>
      <c r="AC1068" s="305">
        <f>+IF(X1068=0,0,HLOOKUP(YEAR(X1068)+(MONTH(X1068)/100),TC!$5:$37,DAY(X1068)+2,FALSE))</f>
        <v>20.377800000000001</v>
      </c>
      <c r="AD1068" s="307">
        <f t="shared" si="281"/>
        <v>13418.431966285714</v>
      </c>
      <c r="AE1068" s="314">
        <f t="shared" si="282"/>
        <v>20623.49003297132</v>
      </c>
      <c r="AF1068" s="315">
        <f t="shared" si="283"/>
        <v>-7205.0580666856058</v>
      </c>
      <c r="AG1068" s="316">
        <f t="shared" si="284"/>
        <v>1.1479452054794521</v>
      </c>
      <c r="AH1068" s="314">
        <v>1</v>
      </c>
      <c r="AI1068" s="314">
        <f t="shared" si="285"/>
        <v>-7205.0580666856058</v>
      </c>
      <c r="AJ1068" s="314">
        <f t="shared" si="286"/>
        <v>0</v>
      </c>
      <c r="AK1068" s="317"/>
      <c r="AL1068" s="315">
        <f t="shared" si="287"/>
        <v>-292.657912087912</v>
      </c>
      <c r="AN1068" s="554">
        <f t="shared" si="288"/>
        <v>-0.30769148117223255</v>
      </c>
      <c r="AO1068" s="314"/>
      <c r="AP1068" s="318"/>
    </row>
    <row r="1069" spans="2:42">
      <c r="B1069" s="296" t="s">
        <v>1254</v>
      </c>
      <c r="C1069" s="299" t="s">
        <v>277</v>
      </c>
      <c r="D1069" s="298" t="s">
        <v>714</v>
      </c>
      <c r="E1069" s="299" t="s">
        <v>113</v>
      </c>
      <c r="F1069" s="299" t="s">
        <v>59</v>
      </c>
      <c r="G1069" s="300">
        <v>44355</v>
      </c>
      <c r="H1069" s="303">
        <v>2060.8049999999998</v>
      </c>
      <c r="I1069" s="301" t="str">
        <f t="shared" si="272"/>
        <v>Ingresos Sección II LISR (SIC &amp; BMV)</v>
      </c>
      <c r="J1069" s="302">
        <f t="shared" si="273"/>
        <v>13</v>
      </c>
      <c r="K1069" s="304">
        <f t="shared" si="274"/>
        <v>158.52346153846153</v>
      </c>
      <c r="L1069" s="305">
        <f>IF(H1069=0,0,IF(OR(E1069=$AT$5,E1069=$AT$6),AA1069,IF(F1069="MXN",1/HLOOKUP(YEAR(G1069)+(MONTH(G1069)/100),TC!$5:$37,DAY(G1069)+2,FALSE),VLOOKUP(F1069,Equivalencia!$5:$23,((MAX(Equivalencia!$3:$3)-YEAR(G1069))*14)+MONTH(G1069)+2,FALSE))))</f>
        <v>1</v>
      </c>
      <c r="M1069" s="306">
        <f t="shared" si="275"/>
        <v>2060.8049999999998</v>
      </c>
      <c r="N1069" s="305">
        <f>IF(G1069=0,0,(IF(OR(E1069=$AT$5,E1069=$AT$6),AC1069,HLOOKUP(YEAR(G1069)+(MONTH(G1069)/100),TC!$5:$37,DAY(G1069)+2,FALSE))))</f>
        <v>19.9328</v>
      </c>
      <c r="O1069" s="307">
        <f t="shared" si="276"/>
        <v>41077.613903999998</v>
      </c>
      <c r="P1069" s="560">
        <f>IF(G1069=0,0,VLOOKUP(YEAR(G1069),INPC!$B$4:$P$30,MONTH(G1069)+2))</f>
        <v>113.018</v>
      </c>
      <c r="Q1069" s="560">
        <f>IF(X1069=0,0,IF(OR(E1069=$AT$10,E1069=$AT$9),VLOOKUP(YEAR(X1069),INPC!$B$4:$P$30,MONTH(X1069)+1),VLOOKUP(YEAR(X1069),INPC!$B$4:$P$30,MONTH(X1069)+2,0)))</f>
        <v>122.94799999999999</v>
      </c>
      <c r="R1069" s="309">
        <f t="shared" si="277"/>
        <v>1.0878000000000001</v>
      </c>
      <c r="S1069" s="310">
        <f t="shared" si="278"/>
        <v>44684.228404771202</v>
      </c>
      <c r="T1069" s="555">
        <f t="shared" si="279"/>
        <v>3437.2483388285541</v>
      </c>
      <c r="U1069" s="311"/>
      <c r="V1069" s="312">
        <v>13</v>
      </c>
      <c r="W1069" s="299" t="s">
        <v>194</v>
      </c>
      <c r="X1069" s="300">
        <v>44774</v>
      </c>
      <c r="Y1069" s="299" t="s">
        <v>59</v>
      </c>
      <c r="Z1069" s="303">
        <v>1421.58</v>
      </c>
      <c r="AA1069" s="305">
        <f>IF(Z1069=0,0,IF(Y1069="MXN",1/HLOOKUP(YEAR(X1069)+(MONTH(X1069)/100),TC!$5:$37,DAY(X1069)+2,FALSE),VLOOKUP(Y1069,Equivalencia!$1:$23,((MAX(Equivalencia!$3:$3)-YEAR(X1069))*14)+MONTH(X1069)+2,FALSE)))</f>
        <v>1</v>
      </c>
      <c r="AB1069" s="306">
        <f t="shared" si="280"/>
        <v>1421.58</v>
      </c>
      <c r="AC1069" s="305">
        <f>+IF(X1069=0,0,HLOOKUP(YEAR(X1069)+(MONTH(X1069)/100),TC!$5:$37,DAY(X1069)+2,FALSE))</f>
        <v>20.377800000000001</v>
      </c>
      <c r="AD1069" s="307">
        <f t="shared" si="281"/>
        <v>28968.672923999999</v>
      </c>
      <c r="AE1069" s="314">
        <f t="shared" si="282"/>
        <v>44684.228404771202</v>
      </c>
      <c r="AF1069" s="315">
        <f t="shared" si="283"/>
        <v>-15715.555480771203</v>
      </c>
      <c r="AG1069" s="316">
        <f t="shared" si="284"/>
        <v>1.1479452054794521</v>
      </c>
      <c r="AH1069" s="314">
        <v>1</v>
      </c>
      <c r="AI1069" s="314">
        <f t="shared" si="285"/>
        <v>-15715.555480771203</v>
      </c>
      <c r="AJ1069" s="314">
        <f t="shared" si="286"/>
        <v>0</v>
      </c>
      <c r="AK1069" s="317"/>
      <c r="AL1069" s="315">
        <f t="shared" si="287"/>
        <v>-639.22499999999991</v>
      </c>
      <c r="AN1069" s="554">
        <f t="shared" si="288"/>
        <v>-0.3101821860874755</v>
      </c>
      <c r="AO1069" s="314"/>
      <c r="AP1069" s="318"/>
    </row>
    <row r="1070" spans="2:42">
      <c r="B1070" s="296" t="s">
        <v>1254</v>
      </c>
      <c r="C1070" s="299" t="s">
        <v>277</v>
      </c>
      <c r="D1070" s="298" t="s">
        <v>714</v>
      </c>
      <c r="E1070" s="299" t="s">
        <v>113</v>
      </c>
      <c r="F1070" s="299" t="s">
        <v>59</v>
      </c>
      <c r="G1070" s="300">
        <v>44355</v>
      </c>
      <c r="H1070" s="303">
        <v>1902.2815384615383</v>
      </c>
      <c r="I1070" s="301" t="str">
        <f t="shared" si="272"/>
        <v>Ingresos Sección II LISR (SIC &amp; BMV)</v>
      </c>
      <c r="J1070" s="302">
        <f t="shared" si="273"/>
        <v>12</v>
      </c>
      <c r="K1070" s="304">
        <f t="shared" si="274"/>
        <v>158.52346153846153</v>
      </c>
      <c r="L1070" s="305">
        <f>IF(H1070=0,0,IF(OR(E1070=$AT$5,E1070=$AT$6),AA1070,IF(F1070="MXN",1/HLOOKUP(YEAR(G1070)+(MONTH(G1070)/100),TC!$5:$37,DAY(G1070)+2,FALSE),VLOOKUP(F1070,Equivalencia!$5:$23,((MAX(Equivalencia!$3:$3)-YEAR(G1070))*14)+MONTH(G1070)+2,FALSE))))</f>
        <v>1</v>
      </c>
      <c r="M1070" s="306">
        <f t="shared" si="275"/>
        <v>1902.2815384615383</v>
      </c>
      <c r="N1070" s="305">
        <f>IF(G1070=0,0,(IF(OR(E1070=$AT$5,E1070=$AT$6),AC1070,HLOOKUP(YEAR(G1070)+(MONTH(G1070)/100),TC!$5:$37,DAY(G1070)+2,FALSE))))</f>
        <v>19.9328</v>
      </c>
      <c r="O1070" s="307">
        <f t="shared" si="276"/>
        <v>37917.797449846148</v>
      </c>
      <c r="P1070" s="560">
        <f>IF(G1070=0,0,VLOOKUP(YEAR(G1070),INPC!$B$4:$P$30,MONTH(G1070)+2))</f>
        <v>113.018</v>
      </c>
      <c r="Q1070" s="560">
        <f>IF(X1070=0,0,IF(OR(E1070=$AT$10,E1070=$AT$9),VLOOKUP(YEAR(X1070),INPC!$B$4:$P$30,MONTH(X1070)+1),VLOOKUP(YEAR(X1070),INPC!$B$4:$P$30,MONTH(X1070)+2,0)))</f>
        <v>122.94799999999999</v>
      </c>
      <c r="R1070" s="309">
        <f t="shared" si="277"/>
        <v>1.0878000000000001</v>
      </c>
      <c r="S1070" s="310">
        <f t="shared" si="278"/>
        <v>41246.98006594264</v>
      </c>
      <c r="T1070" s="555">
        <f t="shared" si="279"/>
        <v>3437.2483388285532</v>
      </c>
      <c r="U1070" s="311"/>
      <c r="V1070" s="312">
        <v>12</v>
      </c>
      <c r="W1070" s="299" t="s">
        <v>194</v>
      </c>
      <c r="X1070" s="300">
        <v>44774</v>
      </c>
      <c r="Y1070" s="299" t="s">
        <v>59</v>
      </c>
      <c r="Z1070" s="303">
        <v>1319.49</v>
      </c>
      <c r="AA1070" s="305">
        <f>IF(Z1070=0,0,IF(Y1070="MXN",1/HLOOKUP(YEAR(X1070)+(MONTH(X1070)/100),TC!$5:$37,DAY(X1070)+2,FALSE),VLOOKUP(Y1070,Equivalencia!$1:$23,((MAX(Equivalencia!$3:$3)-YEAR(X1070))*14)+MONTH(X1070)+2,FALSE)))</f>
        <v>1</v>
      </c>
      <c r="AB1070" s="306">
        <f t="shared" si="280"/>
        <v>1319.49</v>
      </c>
      <c r="AC1070" s="305">
        <f>+IF(X1070=0,0,HLOOKUP(YEAR(X1070)+(MONTH(X1070)/100),TC!$5:$37,DAY(X1070)+2,FALSE))</f>
        <v>20.377800000000001</v>
      </c>
      <c r="AD1070" s="307">
        <f t="shared" si="281"/>
        <v>26888.303322</v>
      </c>
      <c r="AE1070" s="314">
        <f t="shared" si="282"/>
        <v>41246.98006594264</v>
      </c>
      <c r="AF1070" s="315">
        <f t="shared" si="283"/>
        <v>-14358.67674394264</v>
      </c>
      <c r="AG1070" s="316">
        <f t="shared" si="284"/>
        <v>1.1479452054794521</v>
      </c>
      <c r="AH1070" s="314">
        <v>1</v>
      </c>
      <c r="AI1070" s="314">
        <f t="shared" si="285"/>
        <v>-14358.67674394264</v>
      </c>
      <c r="AJ1070" s="314">
        <f t="shared" si="286"/>
        <v>0</v>
      </c>
      <c r="AK1070" s="317"/>
      <c r="AL1070" s="315">
        <f t="shared" si="287"/>
        <v>-582.79153846153827</v>
      </c>
      <c r="AN1070" s="554">
        <f t="shared" si="288"/>
        <v>-0.30636450319171382</v>
      </c>
      <c r="AO1070" s="314"/>
      <c r="AP1070" s="318"/>
    </row>
    <row r="1071" spans="2:42">
      <c r="B1071" s="296" t="s">
        <v>1254</v>
      </c>
      <c r="C1071" s="299" t="s">
        <v>277</v>
      </c>
      <c r="D1071" s="298" t="s">
        <v>714</v>
      </c>
      <c r="E1071" s="299" t="s">
        <v>113</v>
      </c>
      <c r="F1071" s="299" t="s">
        <v>59</v>
      </c>
      <c r="G1071" s="300">
        <v>44355</v>
      </c>
      <c r="H1071" s="303">
        <v>1743.7580769230769</v>
      </c>
      <c r="I1071" s="301" t="str">
        <f t="shared" si="272"/>
        <v>Ingresos Sección II LISR (SIC &amp; BMV)</v>
      </c>
      <c r="J1071" s="302">
        <f t="shared" si="273"/>
        <v>11</v>
      </c>
      <c r="K1071" s="304">
        <f t="shared" si="274"/>
        <v>158.52346153846153</v>
      </c>
      <c r="L1071" s="305">
        <f>IF(H1071=0,0,IF(OR(E1071=$AT$5,E1071=$AT$6),AA1071,IF(F1071="MXN",1/HLOOKUP(YEAR(G1071)+(MONTH(G1071)/100),TC!$5:$37,DAY(G1071)+2,FALSE),VLOOKUP(F1071,Equivalencia!$5:$23,((MAX(Equivalencia!$3:$3)-YEAR(G1071))*14)+MONTH(G1071)+2,FALSE))))</f>
        <v>1</v>
      </c>
      <c r="M1071" s="306">
        <f t="shared" si="275"/>
        <v>1743.7580769230769</v>
      </c>
      <c r="N1071" s="305">
        <f>IF(G1071=0,0,(IF(OR(E1071=$AT$5,E1071=$AT$6),AC1071,HLOOKUP(YEAR(G1071)+(MONTH(G1071)/100),TC!$5:$37,DAY(G1071)+2,FALSE))))</f>
        <v>19.9328</v>
      </c>
      <c r="O1071" s="307">
        <f t="shared" si="276"/>
        <v>34757.980995692305</v>
      </c>
      <c r="P1071" s="560">
        <f>IF(G1071=0,0,VLOOKUP(YEAR(G1071),INPC!$B$4:$P$30,MONTH(G1071)+2))</f>
        <v>113.018</v>
      </c>
      <c r="Q1071" s="560">
        <f>IF(X1071=0,0,IF(OR(E1071=$AT$10,E1071=$AT$9),VLOOKUP(YEAR(X1071),INPC!$B$4:$P$30,MONTH(X1071)+1),VLOOKUP(YEAR(X1071),INPC!$B$4:$P$30,MONTH(X1071)+2,0)))</f>
        <v>122.94799999999999</v>
      </c>
      <c r="R1071" s="309">
        <f t="shared" si="277"/>
        <v>1.0878000000000001</v>
      </c>
      <c r="S1071" s="310">
        <f t="shared" si="278"/>
        <v>37809.731727114093</v>
      </c>
      <c r="T1071" s="555">
        <f t="shared" si="279"/>
        <v>3437.2483388285541</v>
      </c>
      <c r="U1071" s="311"/>
      <c r="V1071" s="312">
        <v>11</v>
      </c>
      <c r="W1071" s="299" t="s">
        <v>194</v>
      </c>
      <c r="X1071" s="300">
        <v>44774</v>
      </c>
      <c r="Y1071" s="299" t="s">
        <v>59</v>
      </c>
      <c r="Z1071" s="303">
        <v>1202.98</v>
      </c>
      <c r="AA1071" s="305">
        <f>IF(Z1071=0,0,IF(Y1071="MXN",1/HLOOKUP(YEAR(X1071)+(MONTH(X1071)/100),TC!$5:$37,DAY(X1071)+2,FALSE),VLOOKUP(Y1071,Equivalencia!$1:$23,((MAX(Equivalencia!$3:$3)-YEAR(X1071))*14)+MONTH(X1071)+2,FALSE)))</f>
        <v>1</v>
      </c>
      <c r="AB1071" s="306">
        <f t="shared" si="280"/>
        <v>1202.98</v>
      </c>
      <c r="AC1071" s="305">
        <f>+IF(X1071=0,0,HLOOKUP(YEAR(X1071)+(MONTH(X1071)/100),TC!$5:$37,DAY(X1071)+2,FALSE))</f>
        <v>20.377800000000001</v>
      </c>
      <c r="AD1071" s="307">
        <f t="shared" si="281"/>
        <v>24514.085844000001</v>
      </c>
      <c r="AE1071" s="314">
        <f t="shared" si="282"/>
        <v>37809.731727114093</v>
      </c>
      <c r="AF1071" s="315">
        <f t="shared" si="283"/>
        <v>-13295.645883114092</v>
      </c>
      <c r="AG1071" s="316">
        <f t="shared" si="284"/>
        <v>1.1479452054794521</v>
      </c>
      <c r="AH1071" s="314">
        <v>1</v>
      </c>
      <c r="AI1071" s="314">
        <f t="shared" si="285"/>
        <v>-13295.645883114092</v>
      </c>
      <c r="AJ1071" s="314">
        <f t="shared" si="286"/>
        <v>0</v>
      </c>
      <c r="AK1071" s="317"/>
      <c r="AL1071" s="315">
        <f t="shared" si="287"/>
        <v>-540.77807692307692</v>
      </c>
      <c r="AN1071" s="554">
        <f t="shared" si="288"/>
        <v>-0.31012219187956341</v>
      </c>
      <c r="AO1071" s="314"/>
      <c r="AP1071" s="318"/>
    </row>
    <row r="1072" spans="2:42">
      <c r="B1072" s="296" t="s">
        <v>1254</v>
      </c>
      <c r="C1072" s="299" t="s">
        <v>277</v>
      </c>
      <c r="D1072" s="298" t="s">
        <v>714</v>
      </c>
      <c r="E1072" s="299" t="s">
        <v>113</v>
      </c>
      <c r="F1072" s="299" t="s">
        <v>59</v>
      </c>
      <c r="G1072" s="300">
        <v>44355</v>
      </c>
      <c r="H1072" s="303">
        <v>2377.851923076923</v>
      </c>
      <c r="I1072" s="301" t="str">
        <f t="shared" si="272"/>
        <v>Ingresos Sección II LISR (SIC &amp; BMV)</v>
      </c>
      <c r="J1072" s="302">
        <f t="shared" si="273"/>
        <v>15</v>
      </c>
      <c r="K1072" s="304">
        <f t="shared" si="274"/>
        <v>158.52346153846153</v>
      </c>
      <c r="L1072" s="305">
        <f>IF(H1072=0,0,IF(OR(E1072=$AT$5,E1072=$AT$6),AA1072,IF(F1072="MXN",1/HLOOKUP(YEAR(G1072)+(MONTH(G1072)/100),TC!$5:$37,DAY(G1072)+2,FALSE),VLOOKUP(F1072,Equivalencia!$5:$23,((MAX(Equivalencia!$3:$3)-YEAR(G1072))*14)+MONTH(G1072)+2,FALSE))))</f>
        <v>1</v>
      </c>
      <c r="M1072" s="306">
        <f t="shared" si="275"/>
        <v>2377.851923076923</v>
      </c>
      <c r="N1072" s="305">
        <f>IF(G1072=0,0,(IF(OR(E1072=$AT$5,E1072=$AT$6),AC1072,HLOOKUP(YEAR(G1072)+(MONTH(G1072)/100),TC!$5:$37,DAY(G1072)+2,FALSE))))</f>
        <v>19.9328</v>
      </c>
      <c r="O1072" s="307">
        <f t="shared" si="276"/>
        <v>47397.246812307691</v>
      </c>
      <c r="P1072" s="560">
        <f>IF(G1072=0,0,VLOOKUP(YEAR(G1072),INPC!$B$4:$P$30,MONTH(G1072)+2))</f>
        <v>113.018</v>
      </c>
      <c r="Q1072" s="560">
        <f>IF(X1072=0,0,IF(OR(E1072=$AT$10,E1072=$AT$9),VLOOKUP(YEAR(X1072),INPC!$B$4:$P$30,MONTH(X1072)+1),VLOOKUP(YEAR(X1072),INPC!$B$4:$P$30,MONTH(X1072)+2,0)))</f>
        <v>122.94799999999999</v>
      </c>
      <c r="R1072" s="309">
        <f t="shared" si="277"/>
        <v>1.0878000000000001</v>
      </c>
      <c r="S1072" s="310">
        <f t="shared" si="278"/>
        <v>51558.725082428311</v>
      </c>
      <c r="T1072" s="555">
        <f t="shared" si="279"/>
        <v>3437.2483388285541</v>
      </c>
      <c r="U1072" s="311"/>
      <c r="V1072" s="312">
        <v>15</v>
      </c>
      <c r="W1072" s="299" t="s">
        <v>194</v>
      </c>
      <c r="X1072" s="300">
        <v>44788</v>
      </c>
      <c r="Y1072" s="299" t="s">
        <v>59</v>
      </c>
      <c r="Z1072" s="303">
        <v>1763.14</v>
      </c>
      <c r="AA1072" s="305">
        <f>IF(Z1072=0,0,IF(Y1072="MXN",1/HLOOKUP(YEAR(X1072)+(MONTH(X1072)/100),TC!$5:$37,DAY(X1072)+2,FALSE),VLOOKUP(Y1072,Equivalencia!$1:$23,((MAX(Equivalencia!$3:$3)-YEAR(X1072))*14)+MONTH(X1072)+2,FALSE)))</f>
        <v>1</v>
      </c>
      <c r="AB1072" s="306">
        <f t="shared" si="280"/>
        <v>1763.14</v>
      </c>
      <c r="AC1072" s="305">
        <f>+IF(X1072=0,0,HLOOKUP(YEAR(X1072)+(MONTH(X1072)/100),TC!$5:$37,DAY(X1072)+2,FALSE))</f>
        <v>19.959499999999998</v>
      </c>
      <c r="AD1072" s="307">
        <f t="shared" si="281"/>
        <v>35191.392829999997</v>
      </c>
      <c r="AE1072" s="314">
        <f t="shared" si="282"/>
        <v>51558.725082428311</v>
      </c>
      <c r="AF1072" s="315">
        <f t="shared" si="283"/>
        <v>-16367.332252428314</v>
      </c>
      <c r="AG1072" s="316">
        <f t="shared" si="284"/>
        <v>1.1863013698630136</v>
      </c>
      <c r="AH1072" s="314">
        <v>1</v>
      </c>
      <c r="AI1072" s="314">
        <f t="shared" si="285"/>
        <v>-16367.332252428314</v>
      </c>
      <c r="AJ1072" s="314">
        <f t="shared" si="286"/>
        <v>0</v>
      </c>
      <c r="AK1072" s="317"/>
      <c r="AL1072" s="315">
        <f t="shared" si="287"/>
        <v>-614.71192307692286</v>
      </c>
      <c r="AN1072" s="554">
        <f t="shared" si="288"/>
        <v>-0.25851564477635347</v>
      </c>
      <c r="AO1072" s="314"/>
      <c r="AP1072" s="318"/>
    </row>
    <row r="1073" spans="2:42">
      <c r="B1073" s="296" t="s">
        <v>1254</v>
      </c>
      <c r="C1073" s="299" t="s">
        <v>277</v>
      </c>
      <c r="D1073" s="298" t="s">
        <v>714</v>
      </c>
      <c r="E1073" s="299" t="s">
        <v>113</v>
      </c>
      <c r="F1073" s="299" t="s">
        <v>59</v>
      </c>
      <c r="G1073" s="300">
        <v>44355</v>
      </c>
      <c r="H1073" s="303">
        <v>3328.9926923076923</v>
      </c>
      <c r="I1073" s="301" t="str">
        <f t="shared" si="272"/>
        <v>Ingresos Sección II LISR (SIC &amp; BMV)</v>
      </c>
      <c r="J1073" s="302">
        <f t="shared" si="273"/>
        <v>21</v>
      </c>
      <c r="K1073" s="304">
        <f t="shared" si="274"/>
        <v>158.52346153846153</v>
      </c>
      <c r="L1073" s="305">
        <f>IF(H1073=0,0,IF(OR(E1073=$AT$5,E1073=$AT$6),AA1073,IF(F1073="MXN",1/HLOOKUP(YEAR(G1073)+(MONTH(G1073)/100),TC!$5:$37,DAY(G1073)+2,FALSE),VLOOKUP(F1073,Equivalencia!$5:$23,((MAX(Equivalencia!$3:$3)-YEAR(G1073))*14)+MONTH(G1073)+2,FALSE))))</f>
        <v>1</v>
      </c>
      <c r="M1073" s="306">
        <f t="shared" si="275"/>
        <v>3328.9926923076923</v>
      </c>
      <c r="N1073" s="305">
        <f>IF(G1073=0,0,(IF(OR(E1073=$AT$5,E1073=$AT$6),AC1073,HLOOKUP(YEAR(G1073)+(MONTH(G1073)/100),TC!$5:$37,DAY(G1073)+2,FALSE))))</f>
        <v>19.9328</v>
      </c>
      <c r="O1073" s="307">
        <f t="shared" si="276"/>
        <v>66356.145537230768</v>
      </c>
      <c r="P1073" s="560">
        <f>IF(G1073=0,0,VLOOKUP(YEAR(G1073),INPC!$B$4:$P$30,MONTH(G1073)+2))</f>
        <v>113.018</v>
      </c>
      <c r="Q1073" s="560">
        <f>IF(X1073=0,0,IF(OR(E1073=$AT$10,E1073=$AT$9),VLOOKUP(YEAR(X1073),INPC!$B$4:$P$30,MONTH(X1073)+1),VLOOKUP(YEAR(X1073),INPC!$B$4:$P$30,MONTH(X1073)+2,0)))</f>
        <v>122.94799999999999</v>
      </c>
      <c r="R1073" s="309">
        <f t="shared" si="277"/>
        <v>1.0878000000000001</v>
      </c>
      <c r="S1073" s="310">
        <f t="shared" si="278"/>
        <v>72182.215115399638</v>
      </c>
      <c r="T1073" s="555">
        <f t="shared" si="279"/>
        <v>3437.2483388285541</v>
      </c>
      <c r="U1073" s="311"/>
      <c r="V1073" s="312">
        <v>21</v>
      </c>
      <c r="W1073" s="299" t="s">
        <v>194</v>
      </c>
      <c r="X1073" s="300">
        <v>44788</v>
      </c>
      <c r="Y1073" s="299" t="s">
        <v>59</v>
      </c>
      <c r="Z1073" s="303">
        <v>2463.0734210526316</v>
      </c>
      <c r="AA1073" s="305">
        <f>IF(Z1073=0,0,IF(Y1073="MXN",1/HLOOKUP(YEAR(X1073)+(MONTH(X1073)/100),TC!$5:$37,DAY(X1073)+2,FALSE),VLOOKUP(Y1073,Equivalencia!$1:$23,((MAX(Equivalencia!$3:$3)-YEAR(X1073))*14)+MONTH(X1073)+2,FALSE)))</f>
        <v>1</v>
      </c>
      <c r="AB1073" s="306">
        <f t="shared" si="280"/>
        <v>2463.0734210526316</v>
      </c>
      <c r="AC1073" s="305">
        <f>+IF(X1073=0,0,HLOOKUP(YEAR(X1073)+(MONTH(X1073)/100),TC!$5:$37,DAY(X1073)+2,FALSE))</f>
        <v>19.959499999999998</v>
      </c>
      <c r="AD1073" s="307">
        <f t="shared" si="281"/>
        <v>49161.713947499993</v>
      </c>
      <c r="AE1073" s="314">
        <f t="shared" si="282"/>
        <v>72182.215115399638</v>
      </c>
      <c r="AF1073" s="315">
        <f t="shared" si="283"/>
        <v>-23020.501167899645</v>
      </c>
      <c r="AG1073" s="316">
        <f t="shared" si="284"/>
        <v>1.1863013698630136</v>
      </c>
      <c r="AH1073" s="314">
        <v>1</v>
      </c>
      <c r="AI1073" s="314">
        <f t="shared" si="285"/>
        <v>-23020.501167899645</v>
      </c>
      <c r="AJ1073" s="314">
        <f t="shared" si="286"/>
        <v>0</v>
      </c>
      <c r="AK1073" s="317"/>
      <c r="AL1073" s="315">
        <f t="shared" si="287"/>
        <v>-865.91927125506072</v>
      </c>
      <c r="AN1073" s="554">
        <f t="shared" si="288"/>
        <v>-0.26011450047816009</v>
      </c>
      <c r="AO1073" s="314"/>
      <c r="AP1073" s="318"/>
    </row>
    <row r="1074" spans="2:42">
      <c r="B1074" s="296" t="s">
        <v>1254</v>
      </c>
      <c r="C1074" s="299" t="s">
        <v>277</v>
      </c>
      <c r="D1074" s="298" t="s">
        <v>714</v>
      </c>
      <c r="E1074" s="299" t="s">
        <v>113</v>
      </c>
      <c r="F1074" s="299" t="s">
        <v>59</v>
      </c>
      <c r="G1074" s="300">
        <v>44370</v>
      </c>
      <c r="H1074" s="303">
        <v>6986.98</v>
      </c>
      <c r="I1074" s="301" t="str">
        <f t="shared" si="272"/>
        <v>Ingresos Sección II LISR (SIC &amp; BMV)</v>
      </c>
      <c r="J1074" s="302">
        <f t="shared" si="273"/>
        <v>42</v>
      </c>
      <c r="K1074" s="304">
        <f t="shared" si="274"/>
        <v>166.35666666666665</v>
      </c>
      <c r="L1074" s="305">
        <f>IF(H1074=0,0,IF(OR(E1074=$AT$5,E1074=$AT$6),AA1074,IF(F1074="MXN",1/HLOOKUP(YEAR(G1074)+(MONTH(G1074)/100),TC!$5:$37,DAY(G1074)+2,FALSE),VLOOKUP(F1074,Equivalencia!$5:$23,((MAX(Equivalencia!$3:$3)-YEAR(G1074))*14)+MONTH(G1074)+2,FALSE))))</f>
        <v>1</v>
      </c>
      <c r="M1074" s="306">
        <f t="shared" si="275"/>
        <v>6986.98</v>
      </c>
      <c r="N1074" s="305">
        <f>IF(G1074=0,0,(IF(OR(E1074=$AT$5,E1074=$AT$6),AC1074,HLOOKUP(YEAR(G1074)+(MONTH(G1074)/100),TC!$5:$37,DAY(G1074)+2,FALSE))))</f>
        <v>20.6</v>
      </c>
      <c r="O1074" s="307">
        <f t="shared" si="276"/>
        <v>143931.788</v>
      </c>
      <c r="P1074" s="560">
        <f>IF(G1074=0,0,VLOOKUP(YEAR(G1074),INPC!$B$4:$P$30,MONTH(G1074)+2))</f>
        <v>113.018</v>
      </c>
      <c r="Q1074" s="560">
        <f>IF(X1074=0,0,IF(OR(E1074=$AT$10,E1074=$AT$9),VLOOKUP(YEAR(X1074),INPC!$B$4:$P$30,MONTH(X1074)+1),VLOOKUP(YEAR(X1074),INPC!$B$4:$P$30,MONTH(X1074)+2,0)))</f>
        <v>122.94799999999999</v>
      </c>
      <c r="R1074" s="309">
        <f t="shared" si="277"/>
        <v>1.0878000000000001</v>
      </c>
      <c r="S1074" s="310">
        <f t="shared" si="278"/>
        <v>156568.99898640002</v>
      </c>
      <c r="T1074" s="555">
        <f t="shared" si="279"/>
        <v>3727.8333092000007</v>
      </c>
      <c r="U1074" s="311"/>
      <c r="V1074" s="312">
        <v>42</v>
      </c>
      <c r="W1074" s="299" t="s">
        <v>194</v>
      </c>
      <c r="X1074" s="300">
        <v>44788</v>
      </c>
      <c r="Y1074" s="299" t="s">
        <v>59</v>
      </c>
      <c r="Z1074" s="303">
        <v>4926.1468421052632</v>
      </c>
      <c r="AA1074" s="305">
        <f>IF(Z1074=0,0,IF(Y1074="MXN",1/HLOOKUP(YEAR(X1074)+(MONTH(X1074)/100),TC!$5:$37,DAY(X1074)+2,FALSE),VLOOKUP(Y1074,Equivalencia!$1:$23,((MAX(Equivalencia!$3:$3)-YEAR(X1074))*14)+MONTH(X1074)+2,FALSE)))</f>
        <v>1</v>
      </c>
      <c r="AB1074" s="306">
        <f t="shared" si="280"/>
        <v>4926.1468421052632</v>
      </c>
      <c r="AC1074" s="305">
        <f>+IF(X1074=0,0,HLOOKUP(YEAR(X1074)+(MONTH(X1074)/100),TC!$5:$37,DAY(X1074)+2,FALSE))</f>
        <v>19.959499999999998</v>
      </c>
      <c r="AD1074" s="307">
        <f t="shared" si="281"/>
        <v>98323.427894999986</v>
      </c>
      <c r="AE1074" s="314">
        <f t="shared" si="282"/>
        <v>156568.99898640002</v>
      </c>
      <c r="AF1074" s="315">
        <f t="shared" si="283"/>
        <v>-58245.571091400037</v>
      </c>
      <c r="AG1074" s="316">
        <f t="shared" si="284"/>
        <v>1.1452054794520548</v>
      </c>
      <c r="AH1074" s="314">
        <v>1</v>
      </c>
      <c r="AI1074" s="314">
        <f t="shared" si="285"/>
        <v>-58245.571091400037</v>
      </c>
      <c r="AJ1074" s="314">
        <f t="shared" si="286"/>
        <v>0</v>
      </c>
      <c r="AK1074" s="317"/>
      <c r="AL1074" s="315">
        <f t="shared" si="287"/>
        <v>-2060.8331578947364</v>
      </c>
      <c r="AN1074" s="554">
        <f t="shared" si="288"/>
        <v>-0.29495335007324142</v>
      </c>
      <c r="AO1074" s="314"/>
      <c r="AP1074" s="318"/>
    </row>
    <row r="1075" spans="2:42">
      <c r="B1075" s="296" t="s">
        <v>1254</v>
      </c>
      <c r="C1075" s="299" t="s">
        <v>277</v>
      </c>
      <c r="D1075" s="298" t="s">
        <v>714</v>
      </c>
      <c r="E1075" s="299" t="s">
        <v>113</v>
      </c>
      <c r="F1075" s="299" t="s">
        <v>59</v>
      </c>
      <c r="G1075" s="300">
        <v>44370</v>
      </c>
      <c r="H1075" s="303">
        <v>3972.09</v>
      </c>
      <c r="I1075" s="301" t="str">
        <f t="shared" si="272"/>
        <v>Ingresos Sección II LISR (SIC &amp; BMV)</v>
      </c>
      <c r="J1075" s="302">
        <f t="shared" si="273"/>
        <v>24</v>
      </c>
      <c r="K1075" s="304">
        <f t="shared" si="274"/>
        <v>165.50375</v>
      </c>
      <c r="L1075" s="305">
        <f>IF(H1075=0,0,IF(OR(E1075=$AT$5,E1075=$AT$6),AA1075,IF(F1075="MXN",1/HLOOKUP(YEAR(G1075)+(MONTH(G1075)/100),TC!$5:$37,DAY(G1075)+2,FALSE),VLOOKUP(F1075,Equivalencia!$5:$23,((MAX(Equivalencia!$3:$3)-YEAR(G1075))*14)+MONTH(G1075)+2,FALSE))))</f>
        <v>1</v>
      </c>
      <c r="M1075" s="306">
        <f t="shared" si="275"/>
        <v>3972.09</v>
      </c>
      <c r="N1075" s="305">
        <f>IF(G1075=0,0,(IF(OR(E1075=$AT$5,E1075=$AT$6),AC1075,HLOOKUP(YEAR(G1075)+(MONTH(G1075)/100),TC!$5:$37,DAY(G1075)+2,FALSE))))</f>
        <v>20.6</v>
      </c>
      <c r="O1075" s="307">
        <f t="shared" si="276"/>
        <v>81825.054000000004</v>
      </c>
      <c r="P1075" s="560">
        <f>IF(G1075=0,0,VLOOKUP(YEAR(G1075),INPC!$B$4:$P$30,MONTH(G1075)+2))</f>
        <v>113.018</v>
      </c>
      <c r="Q1075" s="560">
        <f>IF(X1075=0,0,IF(OR(E1075=$AT$10,E1075=$AT$9),VLOOKUP(YEAR(X1075),INPC!$B$4:$P$30,MONTH(X1075)+1),VLOOKUP(YEAR(X1075),INPC!$B$4:$P$30,MONTH(X1075)+2,0)))</f>
        <v>122.94799999999999</v>
      </c>
      <c r="R1075" s="309">
        <f t="shared" si="277"/>
        <v>1.0878000000000001</v>
      </c>
      <c r="S1075" s="310">
        <f t="shared" si="278"/>
        <v>89009.293741200017</v>
      </c>
      <c r="T1075" s="555">
        <f t="shared" si="279"/>
        <v>3708.7205725500007</v>
      </c>
      <c r="U1075" s="311"/>
      <c r="V1075" s="312">
        <v>24</v>
      </c>
      <c r="W1075" s="299" t="s">
        <v>194</v>
      </c>
      <c r="X1075" s="300">
        <v>44788</v>
      </c>
      <c r="Y1075" s="299" t="s">
        <v>59</v>
      </c>
      <c r="Z1075" s="303">
        <v>2814.9410526315787</v>
      </c>
      <c r="AA1075" s="305">
        <f>IF(Z1075=0,0,IF(Y1075="MXN",1/HLOOKUP(YEAR(X1075)+(MONTH(X1075)/100),TC!$5:$37,DAY(X1075)+2,FALSE),VLOOKUP(Y1075,Equivalencia!$1:$23,((MAX(Equivalencia!$3:$3)-YEAR(X1075))*14)+MONTH(X1075)+2,FALSE)))</f>
        <v>1</v>
      </c>
      <c r="AB1075" s="306">
        <f t="shared" si="280"/>
        <v>2814.9410526315787</v>
      </c>
      <c r="AC1075" s="305">
        <f>+IF(X1075=0,0,HLOOKUP(YEAR(X1075)+(MONTH(X1075)/100),TC!$5:$37,DAY(X1075)+2,FALSE))</f>
        <v>19.959499999999998</v>
      </c>
      <c r="AD1075" s="307">
        <f t="shared" si="281"/>
        <v>56184.815939999993</v>
      </c>
      <c r="AE1075" s="314">
        <f t="shared" si="282"/>
        <v>89009.293741200017</v>
      </c>
      <c r="AF1075" s="315">
        <f t="shared" si="283"/>
        <v>-32824.477801200024</v>
      </c>
      <c r="AG1075" s="316">
        <f t="shared" si="284"/>
        <v>1.1452054794520548</v>
      </c>
      <c r="AH1075" s="314">
        <v>1</v>
      </c>
      <c r="AI1075" s="314">
        <f t="shared" si="285"/>
        <v>-32824.477801200024</v>
      </c>
      <c r="AJ1075" s="314">
        <f t="shared" si="286"/>
        <v>0</v>
      </c>
      <c r="AK1075" s="317"/>
      <c r="AL1075" s="315">
        <f t="shared" si="287"/>
        <v>-1157.1489473684214</v>
      </c>
      <c r="AN1075" s="554">
        <f t="shared" si="288"/>
        <v>-0.29131992159503473</v>
      </c>
      <c r="AO1075" s="314"/>
      <c r="AP1075" s="318"/>
    </row>
    <row r="1076" spans="2:42">
      <c r="B1076" s="296" t="s">
        <v>1254</v>
      </c>
      <c r="C1076" s="299" t="s">
        <v>277</v>
      </c>
      <c r="D1076" s="298" t="s">
        <v>714</v>
      </c>
      <c r="E1076" s="299" t="s">
        <v>113</v>
      </c>
      <c r="F1076" s="299" t="s">
        <v>59</v>
      </c>
      <c r="G1076" s="300">
        <v>44370</v>
      </c>
      <c r="H1076" s="303">
        <v>4492.8147945205483</v>
      </c>
      <c r="I1076" s="301" t="str">
        <f t="shared" si="272"/>
        <v>Ingresos Sección II LISR (SIC &amp; BMV)</v>
      </c>
      <c r="J1076" s="302">
        <f t="shared" si="273"/>
        <v>27</v>
      </c>
      <c r="K1076" s="304">
        <f t="shared" si="274"/>
        <v>166.40054794520549</v>
      </c>
      <c r="L1076" s="305">
        <f>IF(H1076=0,0,IF(OR(E1076=$AT$5,E1076=$AT$6),AA1076,IF(F1076="MXN",1/HLOOKUP(YEAR(G1076)+(MONTH(G1076)/100),TC!$5:$37,DAY(G1076)+2,FALSE),VLOOKUP(F1076,Equivalencia!$5:$23,((MAX(Equivalencia!$3:$3)-YEAR(G1076))*14)+MONTH(G1076)+2,FALSE))))</f>
        <v>1</v>
      </c>
      <c r="M1076" s="306">
        <f t="shared" si="275"/>
        <v>4492.8147945205483</v>
      </c>
      <c r="N1076" s="305">
        <f>IF(G1076=0,0,(IF(OR(E1076=$AT$5,E1076=$AT$6),AC1076,HLOOKUP(YEAR(G1076)+(MONTH(G1076)/100),TC!$5:$37,DAY(G1076)+2,FALSE))))</f>
        <v>20.6</v>
      </c>
      <c r="O1076" s="307">
        <f t="shared" si="276"/>
        <v>92551.9847671233</v>
      </c>
      <c r="P1076" s="560">
        <f>IF(G1076=0,0,VLOOKUP(YEAR(G1076),INPC!$B$4:$P$30,MONTH(G1076)+2))</f>
        <v>113.018</v>
      </c>
      <c r="Q1076" s="560">
        <f>IF(X1076=0,0,IF(OR(E1076=$AT$10,E1076=$AT$9),VLOOKUP(YEAR(X1076),INPC!$B$4:$P$30,MONTH(X1076)+1),VLOOKUP(YEAR(X1076),INPC!$B$4:$P$30,MONTH(X1076)+2,0)))</f>
        <v>122.94799999999999</v>
      </c>
      <c r="R1076" s="309">
        <f t="shared" si="277"/>
        <v>1.0878000000000001</v>
      </c>
      <c r="S1076" s="310">
        <f t="shared" si="278"/>
        <v>100678.04902967674</v>
      </c>
      <c r="T1076" s="555">
        <f t="shared" si="279"/>
        <v>3728.8166307287679</v>
      </c>
      <c r="U1076" s="311"/>
      <c r="V1076" s="312">
        <v>27</v>
      </c>
      <c r="W1076" s="299" t="s">
        <v>194</v>
      </c>
      <c r="X1076" s="300">
        <v>44788</v>
      </c>
      <c r="Y1076" s="299" t="s">
        <v>59</v>
      </c>
      <c r="Z1076" s="303">
        <v>3166.8086842105263</v>
      </c>
      <c r="AA1076" s="305">
        <f>IF(Z1076=0,0,IF(Y1076="MXN",1/HLOOKUP(YEAR(X1076)+(MONTH(X1076)/100),TC!$5:$37,DAY(X1076)+2,FALSE),VLOOKUP(Y1076,Equivalencia!$1:$23,((MAX(Equivalencia!$3:$3)-YEAR(X1076))*14)+MONTH(X1076)+2,FALSE)))</f>
        <v>1</v>
      </c>
      <c r="AB1076" s="306">
        <f t="shared" si="280"/>
        <v>3166.8086842105263</v>
      </c>
      <c r="AC1076" s="305">
        <f>+IF(X1076=0,0,HLOOKUP(YEAR(X1076)+(MONTH(X1076)/100),TC!$5:$37,DAY(X1076)+2,FALSE))</f>
        <v>19.959499999999998</v>
      </c>
      <c r="AD1076" s="307">
        <f t="shared" si="281"/>
        <v>63207.917932499993</v>
      </c>
      <c r="AE1076" s="314">
        <f t="shared" si="282"/>
        <v>100678.04902967674</v>
      </c>
      <c r="AF1076" s="315">
        <f t="shared" si="283"/>
        <v>-37470.131097176745</v>
      </c>
      <c r="AG1076" s="316">
        <f t="shared" si="284"/>
        <v>1.1452054794520548</v>
      </c>
      <c r="AH1076" s="314">
        <v>1</v>
      </c>
      <c r="AI1076" s="314">
        <f t="shared" si="285"/>
        <v>-37470.131097176745</v>
      </c>
      <c r="AJ1076" s="314">
        <f t="shared" si="286"/>
        <v>0</v>
      </c>
      <c r="AK1076" s="317"/>
      <c r="AL1076" s="315">
        <f t="shared" si="287"/>
        <v>-1326.006110310022</v>
      </c>
      <c r="AN1076" s="554">
        <f t="shared" si="288"/>
        <v>-0.29513927703568449</v>
      </c>
      <c r="AO1076" s="314"/>
      <c r="AP1076" s="318"/>
    </row>
    <row r="1077" spans="2:42">
      <c r="B1077" s="296" t="s">
        <v>1254</v>
      </c>
      <c r="C1077" s="299" t="s">
        <v>277</v>
      </c>
      <c r="D1077" s="298" t="s">
        <v>714</v>
      </c>
      <c r="E1077" s="299" t="s">
        <v>113</v>
      </c>
      <c r="F1077" s="299" t="s">
        <v>59</v>
      </c>
      <c r="G1077" s="300">
        <v>44370</v>
      </c>
      <c r="H1077" s="303">
        <v>1664.0054794520549</v>
      </c>
      <c r="I1077" s="301" t="str">
        <f t="shared" si="272"/>
        <v>Ingresos Sección II LISR (SIC &amp; BMV)</v>
      </c>
      <c r="J1077" s="302">
        <f t="shared" si="273"/>
        <v>10</v>
      </c>
      <c r="K1077" s="304">
        <f t="shared" si="274"/>
        <v>166.40054794520549</v>
      </c>
      <c r="L1077" s="305">
        <f>IF(H1077=0,0,IF(OR(E1077=$AT$5,E1077=$AT$6),AA1077,IF(F1077="MXN",1/HLOOKUP(YEAR(G1077)+(MONTH(G1077)/100),TC!$5:$37,DAY(G1077)+2,FALSE),VLOOKUP(F1077,Equivalencia!$5:$23,((MAX(Equivalencia!$3:$3)-YEAR(G1077))*14)+MONTH(G1077)+2,FALSE))))</f>
        <v>1</v>
      </c>
      <c r="M1077" s="306">
        <f t="shared" si="275"/>
        <v>1664.0054794520549</v>
      </c>
      <c r="N1077" s="305">
        <f>IF(G1077=0,0,(IF(OR(E1077=$AT$5,E1077=$AT$6),AC1077,HLOOKUP(YEAR(G1077)+(MONTH(G1077)/100),TC!$5:$37,DAY(G1077)+2,FALSE))))</f>
        <v>20.6</v>
      </c>
      <c r="O1077" s="307">
        <f t="shared" si="276"/>
        <v>34278.512876712331</v>
      </c>
      <c r="P1077" s="560">
        <f>IF(G1077=0,0,VLOOKUP(YEAR(G1077),INPC!$B$4:$P$30,MONTH(G1077)+2))</f>
        <v>113.018</v>
      </c>
      <c r="Q1077" s="560">
        <f>IF(X1077=0,0,IF(OR(E1077=$AT$10,E1077=$AT$9),VLOOKUP(YEAR(X1077),INPC!$B$4:$P$30,MONTH(X1077)+1),VLOOKUP(YEAR(X1077),INPC!$B$4:$P$30,MONTH(X1077)+2,0)))</f>
        <v>122.94799999999999</v>
      </c>
      <c r="R1077" s="309">
        <f t="shared" si="277"/>
        <v>1.0878000000000001</v>
      </c>
      <c r="S1077" s="310">
        <f t="shared" si="278"/>
        <v>37288.166307287676</v>
      </c>
      <c r="T1077" s="555">
        <f t="shared" si="279"/>
        <v>3728.8166307287674</v>
      </c>
      <c r="U1077" s="311"/>
      <c r="V1077" s="312">
        <v>10</v>
      </c>
      <c r="W1077" s="299" t="s">
        <v>194</v>
      </c>
      <c r="X1077" s="300">
        <v>44788</v>
      </c>
      <c r="Y1077" s="299" t="s">
        <v>59</v>
      </c>
      <c r="Z1077" s="303">
        <v>1171.6600000000001</v>
      </c>
      <c r="AA1077" s="305">
        <f>IF(Z1077=0,0,IF(Y1077="MXN",1/HLOOKUP(YEAR(X1077)+(MONTH(X1077)/100),TC!$5:$37,DAY(X1077)+2,FALSE),VLOOKUP(Y1077,Equivalencia!$1:$23,((MAX(Equivalencia!$3:$3)-YEAR(X1077))*14)+MONTH(X1077)+2,FALSE)))</f>
        <v>1</v>
      </c>
      <c r="AB1077" s="306">
        <f t="shared" si="280"/>
        <v>1171.6600000000001</v>
      </c>
      <c r="AC1077" s="305">
        <f>+IF(X1077=0,0,HLOOKUP(YEAR(X1077)+(MONTH(X1077)/100),TC!$5:$37,DAY(X1077)+2,FALSE))</f>
        <v>19.959499999999998</v>
      </c>
      <c r="AD1077" s="307">
        <f t="shared" si="281"/>
        <v>23385.747769999998</v>
      </c>
      <c r="AE1077" s="314">
        <f t="shared" si="282"/>
        <v>37288.166307287676</v>
      </c>
      <c r="AF1077" s="315">
        <f t="shared" si="283"/>
        <v>-13902.418537287678</v>
      </c>
      <c r="AG1077" s="316">
        <f t="shared" si="284"/>
        <v>1.1452054794520548</v>
      </c>
      <c r="AH1077" s="314">
        <v>1</v>
      </c>
      <c r="AI1077" s="314">
        <f t="shared" si="285"/>
        <v>-13902.418537287678</v>
      </c>
      <c r="AJ1077" s="314">
        <f t="shared" si="286"/>
        <v>0</v>
      </c>
      <c r="AK1077" s="317"/>
      <c r="AL1077" s="315">
        <f t="shared" si="287"/>
        <v>-492.34547945205486</v>
      </c>
      <c r="AN1077" s="554">
        <f t="shared" si="288"/>
        <v>-0.295879722471936</v>
      </c>
      <c r="AO1077" s="314"/>
      <c r="AP1077" s="318"/>
    </row>
    <row r="1078" spans="2:42">
      <c r="B1078" s="296" t="s">
        <v>1254</v>
      </c>
      <c r="C1078" s="299" t="s">
        <v>277</v>
      </c>
      <c r="D1078" s="298" t="s">
        <v>714</v>
      </c>
      <c r="E1078" s="299" t="s">
        <v>113</v>
      </c>
      <c r="F1078" s="299" t="s">
        <v>59</v>
      </c>
      <c r="G1078" s="300">
        <v>44370</v>
      </c>
      <c r="H1078" s="303">
        <v>5990.4197260273977</v>
      </c>
      <c r="I1078" s="301" t="str">
        <f t="shared" si="272"/>
        <v>Ingresos Sección II LISR (SIC &amp; BMV)</v>
      </c>
      <c r="J1078" s="302">
        <f t="shared" si="273"/>
        <v>36</v>
      </c>
      <c r="K1078" s="304">
        <f t="shared" si="274"/>
        <v>166.40054794520549</v>
      </c>
      <c r="L1078" s="305">
        <f>IF(H1078=0,0,IF(OR(E1078=$AT$5,E1078=$AT$6),AA1078,IF(F1078="MXN",1/HLOOKUP(YEAR(G1078)+(MONTH(G1078)/100),TC!$5:$37,DAY(G1078)+2,FALSE),VLOOKUP(F1078,Equivalencia!$5:$23,((MAX(Equivalencia!$3:$3)-YEAR(G1078))*14)+MONTH(G1078)+2,FALSE))))</f>
        <v>1</v>
      </c>
      <c r="M1078" s="306">
        <f t="shared" si="275"/>
        <v>5990.4197260273977</v>
      </c>
      <c r="N1078" s="305">
        <f>IF(G1078=0,0,(IF(OR(E1078=$AT$5,E1078=$AT$6),AC1078,HLOOKUP(YEAR(G1078)+(MONTH(G1078)/100),TC!$5:$37,DAY(G1078)+2,FALSE))))</f>
        <v>20.6</v>
      </c>
      <c r="O1078" s="307">
        <f t="shared" si="276"/>
        <v>123402.64635616441</v>
      </c>
      <c r="P1078" s="560">
        <f>IF(G1078=0,0,VLOOKUP(YEAR(G1078),INPC!$B$4:$P$30,MONTH(G1078)+2))</f>
        <v>113.018</v>
      </c>
      <c r="Q1078" s="560">
        <f>IF(X1078=0,0,IF(OR(E1078=$AT$10,E1078=$AT$9),VLOOKUP(YEAR(X1078),INPC!$B$4:$P$30,MONTH(X1078)+1),VLOOKUP(YEAR(X1078),INPC!$B$4:$P$30,MONTH(X1078)+2,0)))</f>
        <v>122.94799999999999</v>
      </c>
      <c r="R1078" s="309">
        <f t="shared" si="277"/>
        <v>1.0878000000000001</v>
      </c>
      <c r="S1078" s="310">
        <f t="shared" si="278"/>
        <v>134237.39870623566</v>
      </c>
      <c r="T1078" s="555">
        <f t="shared" si="279"/>
        <v>3728.8166307287684</v>
      </c>
      <c r="U1078" s="311"/>
      <c r="V1078" s="312">
        <v>36</v>
      </c>
      <c r="W1078" s="299" t="s">
        <v>194</v>
      </c>
      <c r="X1078" s="300">
        <v>44790</v>
      </c>
      <c r="Y1078" s="299" t="s">
        <v>59</v>
      </c>
      <c r="Z1078" s="303">
        <v>4173.3119999999999</v>
      </c>
      <c r="AA1078" s="305">
        <f>IF(Z1078=0,0,IF(Y1078="MXN",1/HLOOKUP(YEAR(X1078)+(MONTH(X1078)/100),TC!$5:$37,DAY(X1078)+2,FALSE),VLOOKUP(Y1078,Equivalencia!$1:$23,((MAX(Equivalencia!$3:$3)-YEAR(X1078))*14)+MONTH(X1078)+2,FALSE)))</f>
        <v>1</v>
      </c>
      <c r="AB1078" s="306">
        <f t="shared" si="280"/>
        <v>4173.3119999999999</v>
      </c>
      <c r="AC1078" s="305">
        <f>+IF(X1078=0,0,HLOOKUP(YEAR(X1078)+(MONTH(X1078)/100),TC!$5:$37,DAY(X1078)+2,FALSE))</f>
        <v>19.861799999999999</v>
      </c>
      <c r="AD1078" s="307">
        <f t="shared" si="281"/>
        <v>82889.488281599988</v>
      </c>
      <c r="AE1078" s="314">
        <f t="shared" si="282"/>
        <v>134237.39870623566</v>
      </c>
      <c r="AF1078" s="315">
        <f t="shared" si="283"/>
        <v>-51347.910424635673</v>
      </c>
      <c r="AG1078" s="316">
        <f t="shared" si="284"/>
        <v>1.1506849315068493</v>
      </c>
      <c r="AH1078" s="314">
        <v>1</v>
      </c>
      <c r="AI1078" s="314">
        <f t="shared" si="285"/>
        <v>-51347.910424635673</v>
      </c>
      <c r="AJ1078" s="314">
        <f t="shared" si="286"/>
        <v>0</v>
      </c>
      <c r="AK1078" s="317"/>
      <c r="AL1078" s="315">
        <f t="shared" si="287"/>
        <v>-1817.1077260273978</v>
      </c>
      <c r="AN1078" s="554">
        <f t="shared" si="288"/>
        <v>-0.30333562740726844</v>
      </c>
      <c r="AO1078" s="314"/>
      <c r="AP1078" s="318"/>
    </row>
    <row r="1079" spans="2:42">
      <c r="B1079" s="296" t="s">
        <v>1254</v>
      </c>
      <c r="C1079" s="299" t="s">
        <v>277</v>
      </c>
      <c r="D1079" s="298" t="s">
        <v>714</v>
      </c>
      <c r="E1079" s="299" t="s">
        <v>113</v>
      </c>
      <c r="F1079" s="299" t="s">
        <v>59</v>
      </c>
      <c r="G1079" s="300">
        <v>44370</v>
      </c>
      <c r="H1079" s="303">
        <v>1491.98</v>
      </c>
      <c r="I1079" s="301" t="str">
        <f t="shared" si="272"/>
        <v>Ingresos Sección II LISR (SIC &amp; BMV)</v>
      </c>
      <c r="J1079" s="302">
        <f t="shared" si="273"/>
        <v>9</v>
      </c>
      <c r="K1079" s="304">
        <f t="shared" si="274"/>
        <v>165.77555555555557</v>
      </c>
      <c r="L1079" s="305">
        <f>IF(H1079=0,0,IF(OR(E1079=$AT$5,E1079=$AT$6),AA1079,IF(F1079="MXN",1/HLOOKUP(YEAR(G1079)+(MONTH(G1079)/100),TC!$5:$37,DAY(G1079)+2,FALSE),VLOOKUP(F1079,Equivalencia!$5:$23,((MAX(Equivalencia!$3:$3)-YEAR(G1079))*14)+MONTH(G1079)+2,FALSE))))</f>
        <v>1</v>
      </c>
      <c r="M1079" s="306">
        <f t="shared" si="275"/>
        <v>1491.98</v>
      </c>
      <c r="N1079" s="305">
        <f>IF(G1079=0,0,(IF(OR(E1079=$AT$5,E1079=$AT$6),AC1079,HLOOKUP(YEAR(G1079)+(MONTH(G1079)/100),TC!$5:$37,DAY(G1079)+2,FALSE))))</f>
        <v>20.6</v>
      </c>
      <c r="O1079" s="307">
        <f t="shared" si="276"/>
        <v>30734.788000000004</v>
      </c>
      <c r="P1079" s="560">
        <f>IF(G1079=0,0,VLOOKUP(YEAR(G1079),INPC!$B$4:$P$30,MONTH(G1079)+2))</f>
        <v>113.018</v>
      </c>
      <c r="Q1079" s="560">
        <f>IF(X1079=0,0,IF(OR(E1079=$AT$10,E1079=$AT$9),VLOOKUP(YEAR(X1079),INPC!$B$4:$P$30,MONTH(X1079)+1),VLOOKUP(YEAR(X1079),INPC!$B$4:$P$30,MONTH(X1079)+2,0)))</f>
        <v>122.94799999999999</v>
      </c>
      <c r="R1079" s="309">
        <f t="shared" si="277"/>
        <v>1.0878000000000001</v>
      </c>
      <c r="S1079" s="310">
        <f t="shared" si="278"/>
        <v>33433.302386400006</v>
      </c>
      <c r="T1079" s="555">
        <f t="shared" si="279"/>
        <v>3714.8113762666671</v>
      </c>
      <c r="U1079" s="311"/>
      <c r="V1079" s="312">
        <v>9</v>
      </c>
      <c r="W1079" s="299" t="s">
        <v>194</v>
      </c>
      <c r="X1079" s="300">
        <v>44790</v>
      </c>
      <c r="Y1079" s="299" t="s">
        <v>59</v>
      </c>
      <c r="Z1079" s="303">
        <v>1043.328</v>
      </c>
      <c r="AA1079" s="305">
        <f>IF(Z1079=0,0,IF(Y1079="MXN",1/HLOOKUP(YEAR(X1079)+(MONTH(X1079)/100),TC!$5:$37,DAY(X1079)+2,FALSE),VLOOKUP(Y1079,Equivalencia!$1:$23,((MAX(Equivalencia!$3:$3)-YEAR(X1079))*14)+MONTH(X1079)+2,FALSE)))</f>
        <v>1</v>
      </c>
      <c r="AB1079" s="306">
        <f t="shared" si="280"/>
        <v>1043.328</v>
      </c>
      <c r="AC1079" s="305">
        <f>+IF(X1079=0,0,HLOOKUP(YEAR(X1079)+(MONTH(X1079)/100),TC!$5:$37,DAY(X1079)+2,FALSE))</f>
        <v>19.861799999999999</v>
      </c>
      <c r="AD1079" s="307">
        <f t="shared" si="281"/>
        <v>20722.372070399997</v>
      </c>
      <c r="AE1079" s="314">
        <f t="shared" si="282"/>
        <v>33433.302386400006</v>
      </c>
      <c r="AF1079" s="315">
        <f t="shared" si="283"/>
        <v>-12710.930316000009</v>
      </c>
      <c r="AG1079" s="316">
        <f t="shared" si="284"/>
        <v>1.1506849315068493</v>
      </c>
      <c r="AH1079" s="314">
        <v>1</v>
      </c>
      <c r="AI1079" s="314">
        <f t="shared" si="285"/>
        <v>-12710.930316000009</v>
      </c>
      <c r="AJ1079" s="314">
        <f t="shared" si="286"/>
        <v>0</v>
      </c>
      <c r="AK1079" s="317"/>
      <c r="AL1079" s="315">
        <f t="shared" si="287"/>
        <v>-448.65200000000004</v>
      </c>
      <c r="AN1079" s="554">
        <f t="shared" si="288"/>
        <v>-0.30070912478719558</v>
      </c>
      <c r="AO1079" s="314"/>
      <c r="AP1079" s="318"/>
    </row>
    <row r="1080" spans="2:42">
      <c r="B1080" s="296" t="s">
        <v>1254</v>
      </c>
      <c r="C1080" s="299" t="s">
        <v>277</v>
      </c>
      <c r="D1080" s="298" t="s">
        <v>714</v>
      </c>
      <c r="E1080" s="299" t="s">
        <v>113</v>
      </c>
      <c r="F1080" s="299" t="s">
        <v>59</v>
      </c>
      <c r="G1080" s="300">
        <v>44504</v>
      </c>
      <c r="H1080" s="303">
        <v>418.95000000000005</v>
      </c>
      <c r="I1080" s="301" t="str">
        <f t="shared" si="272"/>
        <v>Ingresos Sección II LISR (SIC &amp; BMV)</v>
      </c>
      <c r="J1080" s="302">
        <f t="shared" si="273"/>
        <v>3</v>
      </c>
      <c r="K1080" s="304">
        <f t="shared" si="274"/>
        <v>139.65</v>
      </c>
      <c r="L1080" s="305">
        <f>IF(H1080=0,0,IF(OR(E1080=$AT$5,E1080=$AT$6),AA1080,IF(F1080="MXN",1/HLOOKUP(YEAR(G1080)+(MONTH(G1080)/100),TC!$5:$37,DAY(G1080)+2,FALSE),VLOOKUP(F1080,Equivalencia!$5:$23,((MAX(Equivalencia!$3:$3)-YEAR(G1080))*14)+MONTH(G1080)+2,FALSE))))</f>
        <v>1</v>
      </c>
      <c r="M1080" s="306">
        <f t="shared" si="275"/>
        <v>418.95000000000005</v>
      </c>
      <c r="N1080" s="305">
        <f>IF(G1080=0,0,(IF(OR(E1080=$AT$5,E1080=$AT$6),AC1080,HLOOKUP(YEAR(G1080)+(MONTH(G1080)/100),TC!$5:$37,DAY(G1080)+2,FALSE))))</f>
        <v>20.8598</v>
      </c>
      <c r="O1080" s="307">
        <f t="shared" si="276"/>
        <v>8739.2132100000017</v>
      </c>
      <c r="P1080" s="560">
        <f>IF(G1080=0,0,VLOOKUP(YEAR(G1080),INPC!$B$4:$P$30,MONTH(G1080)+2))</f>
        <v>116.884</v>
      </c>
      <c r="Q1080" s="560">
        <f>IF(X1080=0,0,IF(OR(E1080=$AT$10,E1080=$AT$9),VLOOKUP(YEAR(X1080),INPC!$B$4:$P$30,MONTH(X1080)+1),VLOOKUP(YEAR(X1080),INPC!$B$4:$P$30,MONTH(X1080)+2,0)))</f>
        <v>122.94799999999999</v>
      </c>
      <c r="R1080" s="309">
        <f t="shared" si="277"/>
        <v>1.0518000000000001</v>
      </c>
      <c r="S1080" s="310">
        <f t="shared" si="278"/>
        <v>9191.904454278003</v>
      </c>
      <c r="T1080" s="555">
        <f t="shared" si="279"/>
        <v>3063.968151426001</v>
      </c>
      <c r="U1080" s="311"/>
      <c r="V1080" s="312">
        <v>3</v>
      </c>
      <c r="W1080" s="299" t="s">
        <v>194</v>
      </c>
      <c r="X1080" s="300">
        <v>44790</v>
      </c>
      <c r="Y1080" s="299" t="s">
        <v>59</v>
      </c>
      <c r="Z1080" s="303">
        <v>347.77600000000001</v>
      </c>
      <c r="AA1080" s="305">
        <f>IF(Z1080=0,0,IF(Y1080="MXN",1/HLOOKUP(YEAR(X1080)+(MONTH(X1080)/100),TC!$5:$37,DAY(X1080)+2,FALSE),VLOOKUP(Y1080,Equivalencia!$1:$23,((MAX(Equivalencia!$3:$3)-YEAR(X1080))*14)+MONTH(X1080)+2,FALSE)))</f>
        <v>1</v>
      </c>
      <c r="AB1080" s="306">
        <f t="shared" si="280"/>
        <v>347.77600000000001</v>
      </c>
      <c r="AC1080" s="305">
        <f>+IF(X1080=0,0,HLOOKUP(YEAR(X1080)+(MONTH(X1080)/100),TC!$5:$37,DAY(X1080)+2,FALSE))</f>
        <v>19.861799999999999</v>
      </c>
      <c r="AD1080" s="307">
        <f t="shared" si="281"/>
        <v>6907.4573567999996</v>
      </c>
      <c r="AE1080" s="314">
        <f t="shared" si="282"/>
        <v>9191.904454278003</v>
      </c>
      <c r="AF1080" s="315">
        <f t="shared" si="283"/>
        <v>-2284.4470974780033</v>
      </c>
      <c r="AG1080" s="316">
        <f t="shared" si="284"/>
        <v>0.78356164383561644</v>
      </c>
      <c r="AH1080" s="314">
        <v>1</v>
      </c>
      <c r="AI1080" s="314">
        <f t="shared" si="285"/>
        <v>-2284.4470974780033</v>
      </c>
      <c r="AJ1080" s="314">
        <f t="shared" si="286"/>
        <v>0</v>
      </c>
      <c r="AK1080" s="317"/>
      <c r="AL1080" s="315">
        <f t="shared" si="287"/>
        <v>-71.174000000000035</v>
      </c>
      <c r="AN1080" s="554">
        <f t="shared" si="288"/>
        <v>-0.1698866213151928</v>
      </c>
      <c r="AO1080" s="314"/>
      <c r="AP1080" s="318"/>
    </row>
    <row r="1081" spans="2:42">
      <c r="B1081" s="296" t="s">
        <v>1254</v>
      </c>
      <c r="C1081" s="299" t="s">
        <v>277</v>
      </c>
      <c r="D1081" s="298" t="s">
        <v>714</v>
      </c>
      <c r="E1081" s="299" t="s">
        <v>113</v>
      </c>
      <c r="F1081" s="299" t="s">
        <v>59</v>
      </c>
      <c r="G1081" s="300">
        <v>44504</v>
      </c>
      <c r="H1081" s="303">
        <v>1693.476923076923</v>
      </c>
      <c r="I1081" s="301" t="str">
        <f t="shared" si="272"/>
        <v>Ingresos Sección II LISR (SIC &amp; BMV)</v>
      </c>
      <c r="J1081" s="302">
        <f t="shared" si="273"/>
        <v>12</v>
      </c>
      <c r="K1081" s="304">
        <f t="shared" si="274"/>
        <v>141.12307692307692</v>
      </c>
      <c r="L1081" s="305">
        <f>IF(H1081=0,0,IF(OR(E1081=$AT$5,E1081=$AT$6),AA1081,IF(F1081="MXN",1/HLOOKUP(YEAR(G1081)+(MONTH(G1081)/100),TC!$5:$37,DAY(G1081)+2,FALSE),VLOOKUP(F1081,Equivalencia!$5:$23,((MAX(Equivalencia!$3:$3)-YEAR(G1081))*14)+MONTH(G1081)+2,FALSE))))</f>
        <v>1</v>
      </c>
      <c r="M1081" s="306">
        <f t="shared" si="275"/>
        <v>1693.476923076923</v>
      </c>
      <c r="N1081" s="305">
        <f>IF(G1081=0,0,(IF(OR(E1081=$AT$5,E1081=$AT$6),AC1081,HLOOKUP(YEAR(G1081)+(MONTH(G1081)/100),TC!$5:$37,DAY(G1081)+2,FALSE))))</f>
        <v>20.8598</v>
      </c>
      <c r="O1081" s="307">
        <f t="shared" si="276"/>
        <v>35325.589919999999</v>
      </c>
      <c r="P1081" s="560">
        <f>IF(G1081=0,0,VLOOKUP(YEAR(G1081),INPC!$B$4:$P$30,MONTH(G1081)+2))</f>
        <v>116.884</v>
      </c>
      <c r="Q1081" s="560">
        <f>IF(X1081=0,0,IF(OR(E1081=$AT$10,E1081=$AT$9),VLOOKUP(YEAR(X1081),INPC!$B$4:$P$30,MONTH(X1081)+1),VLOOKUP(YEAR(X1081),INPC!$B$4:$P$30,MONTH(X1081)+2,0)))</f>
        <v>122.94799999999999</v>
      </c>
      <c r="R1081" s="309">
        <f t="shared" si="277"/>
        <v>1.0518000000000001</v>
      </c>
      <c r="S1081" s="310">
        <f t="shared" si="278"/>
        <v>37155.455477855998</v>
      </c>
      <c r="T1081" s="555">
        <f t="shared" si="279"/>
        <v>3096.287956488</v>
      </c>
      <c r="U1081" s="311"/>
      <c r="V1081" s="312">
        <v>12</v>
      </c>
      <c r="W1081" s="299" t="s">
        <v>194</v>
      </c>
      <c r="X1081" s="300">
        <v>44790</v>
      </c>
      <c r="Y1081" s="299" t="s">
        <v>59</v>
      </c>
      <c r="Z1081" s="303">
        <v>1391.104</v>
      </c>
      <c r="AA1081" s="305">
        <f>IF(Z1081=0,0,IF(Y1081="MXN",1/HLOOKUP(YEAR(X1081)+(MONTH(X1081)/100),TC!$5:$37,DAY(X1081)+2,FALSE),VLOOKUP(Y1081,Equivalencia!$1:$23,((MAX(Equivalencia!$3:$3)-YEAR(X1081))*14)+MONTH(X1081)+2,FALSE)))</f>
        <v>1</v>
      </c>
      <c r="AB1081" s="306">
        <f t="shared" si="280"/>
        <v>1391.104</v>
      </c>
      <c r="AC1081" s="305">
        <f>+IF(X1081=0,0,HLOOKUP(YEAR(X1081)+(MONTH(X1081)/100),TC!$5:$37,DAY(X1081)+2,FALSE))</f>
        <v>19.861799999999999</v>
      </c>
      <c r="AD1081" s="307">
        <f t="shared" si="281"/>
        <v>27629.829427199998</v>
      </c>
      <c r="AE1081" s="314">
        <f t="shared" si="282"/>
        <v>37155.455477855998</v>
      </c>
      <c r="AF1081" s="315">
        <f t="shared" si="283"/>
        <v>-9525.6260506559993</v>
      </c>
      <c r="AG1081" s="316">
        <f t="shared" si="284"/>
        <v>0.78356164383561644</v>
      </c>
      <c r="AH1081" s="314">
        <v>1</v>
      </c>
      <c r="AI1081" s="314">
        <f t="shared" si="285"/>
        <v>-9525.6260506559993</v>
      </c>
      <c r="AJ1081" s="314">
        <f t="shared" si="286"/>
        <v>0</v>
      </c>
      <c r="AK1081" s="317"/>
      <c r="AL1081" s="315">
        <f t="shared" si="287"/>
        <v>-302.37292307692292</v>
      </c>
      <c r="AN1081" s="554">
        <f t="shared" si="288"/>
        <v>-0.1785515462044405</v>
      </c>
      <c r="AO1081" s="314"/>
      <c r="AP1081" s="318"/>
    </row>
    <row r="1082" spans="2:42">
      <c r="B1082" s="296" t="s">
        <v>1254</v>
      </c>
      <c r="C1082" s="299" t="s">
        <v>277</v>
      </c>
      <c r="D1082" s="298" t="s">
        <v>714</v>
      </c>
      <c r="E1082" s="299" t="s">
        <v>113</v>
      </c>
      <c r="F1082" s="299" t="s">
        <v>59</v>
      </c>
      <c r="G1082" s="300">
        <v>44504</v>
      </c>
      <c r="H1082" s="303">
        <v>141.12307692307692</v>
      </c>
      <c r="I1082" s="301" t="str">
        <f t="shared" si="272"/>
        <v>Ingresos Sección II LISR (SIC &amp; BMV)</v>
      </c>
      <c r="J1082" s="302">
        <f t="shared" si="273"/>
        <v>1</v>
      </c>
      <c r="K1082" s="304">
        <f t="shared" si="274"/>
        <v>141.12307692307692</v>
      </c>
      <c r="L1082" s="305">
        <f>IF(H1082=0,0,IF(OR(E1082=$AT$5,E1082=$AT$6),AA1082,IF(F1082="MXN",1/HLOOKUP(YEAR(G1082)+(MONTH(G1082)/100),TC!$5:$37,DAY(G1082)+2,FALSE),VLOOKUP(F1082,Equivalencia!$5:$23,((MAX(Equivalencia!$3:$3)-YEAR(G1082))*14)+MONTH(G1082)+2,FALSE))))</f>
        <v>1</v>
      </c>
      <c r="M1082" s="306">
        <f t="shared" si="275"/>
        <v>141.12307692307692</v>
      </c>
      <c r="N1082" s="305">
        <f>IF(G1082=0,0,(IF(OR(E1082=$AT$5,E1082=$AT$6),AC1082,HLOOKUP(YEAR(G1082)+(MONTH(G1082)/100),TC!$5:$37,DAY(G1082)+2,FALSE))))</f>
        <v>20.8598</v>
      </c>
      <c r="O1082" s="307">
        <f t="shared" si="276"/>
        <v>2943.79916</v>
      </c>
      <c r="P1082" s="560">
        <f>IF(G1082=0,0,VLOOKUP(YEAR(G1082),INPC!$B$4:$P$30,MONTH(G1082)+2))</f>
        <v>116.884</v>
      </c>
      <c r="Q1082" s="560">
        <f>IF(X1082=0,0,IF(OR(E1082=$AT$10,E1082=$AT$9),VLOOKUP(YEAR(X1082),INPC!$B$4:$P$30,MONTH(X1082)+1),VLOOKUP(YEAR(X1082),INPC!$B$4:$P$30,MONTH(X1082)+2,0)))</f>
        <v>122.94799999999999</v>
      </c>
      <c r="R1082" s="309">
        <f t="shared" si="277"/>
        <v>1.0518000000000001</v>
      </c>
      <c r="S1082" s="310">
        <f t="shared" si="278"/>
        <v>3096.2879564880004</v>
      </c>
      <c r="T1082" s="555">
        <f t="shared" si="279"/>
        <v>3096.2879564880004</v>
      </c>
      <c r="U1082" s="311"/>
      <c r="V1082" s="312">
        <v>1</v>
      </c>
      <c r="W1082" s="299" t="s">
        <v>194</v>
      </c>
      <c r="X1082" s="300">
        <v>44790</v>
      </c>
      <c r="Y1082" s="299" t="s">
        <v>59</v>
      </c>
      <c r="Z1082" s="303">
        <v>115.90177419354839</v>
      </c>
      <c r="AA1082" s="305">
        <f>IF(Z1082=0,0,IF(Y1082="MXN",1/HLOOKUP(YEAR(X1082)+(MONTH(X1082)/100),TC!$5:$37,DAY(X1082)+2,FALSE),VLOOKUP(Y1082,Equivalencia!$1:$23,((MAX(Equivalencia!$3:$3)-YEAR(X1082))*14)+MONTH(X1082)+2,FALSE)))</f>
        <v>1</v>
      </c>
      <c r="AB1082" s="306">
        <f t="shared" si="280"/>
        <v>115.90177419354839</v>
      </c>
      <c r="AC1082" s="305">
        <f>+IF(X1082=0,0,HLOOKUP(YEAR(X1082)+(MONTH(X1082)/100),TC!$5:$37,DAY(X1082)+2,FALSE))</f>
        <v>19.861799999999999</v>
      </c>
      <c r="AD1082" s="307">
        <f t="shared" si="281"/>
        <v>2302.0178586774191</v>
      </c>
      <c r="AE1082" s="314">
        <f t="shared" si="282"/>
        <v>3096.2879564880004</v>
      </c>
      <c r="AF1082" s="315">
        <f t="shared" si="283"/>
        <v>-794.27009781058132</v>
      </c>
      <c r="AG1082" s="316">
        <f t="shared" si="284"/>
        <v>0.78356164383561644</v>
      </c>
      <c r="AH1082" s="314">
        <v>1</v>
      </c>
      <c r="AI1082" s="314">
        <f t="shared" si="285"/>
        <v>-794.27009781058132</v>
      </c>
      <c r="AJ1082" s="314">
        <f t="shared" si="286"/>
        <v>0</v>
      </c>
      <c r="AK1082" s="317"/>
      <c r="AL1082" s="315">
        <f t="shared" si="287"/>
        <v>-25.221302729528531</v>
      </c>
      <c r="AN1082" s="554">
        <f t="shared" si="288"/>
        <v>-0.17871848658229092</v>
      </c>
      <c r="AO1082" s="314"/>
      <c r="AP1082" s="318"/>
    </row>
    <row r="1083" spans="2:42">
      <c r="B1083" s="296" t="s">
        <v>1254</v>
      </c>
      <c r="C1083" s="299" t="s">
        <v>277</v>
      </c>
      <c r="D1083" s="298" t="s">
        <v>714</v>
      </c>
      <c r="E1083" s="299" t="s">
        <v>113</v>
      </c>
      <c r="F1083" s="299" t="s">
        <v>59</v>
      </c>
      <c r="G1083" s="300">
        <v>44504</v>
      </c>
      <c r="H1083" s="303">
        <v>1996.67</v>
      </c>
      <c r="I1083" s="301" t="str">
        <f t="shared" si="272"/>
        <v>Ingresos Sección II LISR (SIC &amp; BMV)</v>
      </c>
      <c r="J1083" s="302">
        <f t="shared" si="273"/>
        <v>14</v>
      </c>
      <c r="K1083" s="304">
        <f t="shared" si="274"/>
        <v>142.61928571428572</v>
      </c>
      <c r="L1083" s="305">
        <f>IF(H1083=0,0,IF(OR(E1083=$AT$5,E1083=$AT$6),AA1083,IF(F1083="MXN",1/HLOOKUP(YEAR(G1083)+(MONTH(G1083)/100),TC!$5:$37,DAY(G1083)+2,FALSE),VLOOKUP(F1083,Equivalencia!$5:$23,((MAX(Equivalencia!$3:$3)-YEAR(G1083))*14)+MONTH(G1083)+2,FALSE))))</f>
        <v>1</v>
      </c>
      <c r="M1083" s="306">
        <f t="shared" si="275"/>
        <v>1996.67</v>
      </c>
      <c r="N1083" s="305">
        <f>IF(G1083=0,0,(IF(OR(E1083=$AT$5,E1083=$AT$6),AC1083,HLOOKUP(YEAR(G1083)+(MONTH(G1083)/100),TC!$5:$37,DAY(G1083)+2,FALSE))))</f>
        <v>20.8598</v>
      </c>
      <c r="O1083" s="307">
        <f t="shared" si="276"/>
        <v>41650.136866000001</v>
      </c>
      <c r="P1083" s="560">
        <f>IF(G1083=0,0,VLOOKUP(YEAR(G1083),INPC!$B$4:$P$30,MONTH(G1083)+2))</f>
        <v>116.884</v>
      </c>
      <c r="Q1083" s="560">
        <f>IF(X1083=0,0,IF(OR(E1083=$AT$10,E1083=$AT$9),VLOOKUP(YEAR(X1083),INPC!$B$4:$P$30,MONTH(X1083)+1),VLOOKUP(YEAR(X1083),INPC!$B$4:$P$30,MONTH(X1083)+2,0)))</f>
        <v>122.94799999999999</v>
      </c>
      <c r="R1083" s="309">
        <f t="shared" si="277"/>
        <v>1.0518000000000001</v>
      </c>
      <c r="S1083" s="310">
        <f t="shared" si="278"/>
        <v>43807.613955658802</v>
      </c>
      <c r="T1083" s="555">
        <f t="shared" si="279"/>
        <v>3129.1152825470572</v>
      </c>
      <c r="U1083" s="311"/>
      <c r="V1083" s="312">
        <v>14</v>
      </c>
      <c r="W1083" s="299" t="s">
        <v>194</v>
      </c>
      <c r="X1083" s="300">
        <v>44790</v>
      </c>
      <c r="Y1083" s="299" t="s">
        <v>59</v>
      </c>
      <c r="Z1083" s="303">
        <v>1622.6248387096775</v>
      </c>
      <c r="AA1083" s="305">
        <f>IF(Z1083=0,0,IF(Y1083="MXN",1/HLOOKUP(YEAR(X1083)+(MONTH(X1083)/100),TC!$5:$37,DAY(X1083)+2,FALSE),VLOOKUP(Y1083,Equivalencia!$1:$23,((MAX(Equivalencia!$3:$3)-YEAR(X1083))*14)+MONTH(X1083)+2,FALSE)))</f>
        <v>1</v>
      </c>
      <c r="AB1083" s="306">
        <f t="shared" si="280"/>
        <v>1622.6248387096775</v>
      </c>
      <c r="AC1083" s="305">
        <f>+IF(X1083=0,0,HLOOKUP(YEAR(X1083)+(MONTH(X1083)/100),TC!$5:$37,DAY(X1083)+2,FALSE))</f>
        <v>19.861799999999999</v>
      </c>
      <c r="AD1083" s="307">
        <f t="shared" si="281"/>
        <v>32228.250021483873</v>
      </c>
      <c r="AE1083" s="314">
        <f t="shared" si="282"/>
        <v>43807.613955658802</v>
      </c>
      <c r="AF1083" s="315">
        <f t="shared" si="283"/>
        <v>-11579.363934174929</v>
      </c>
      <c r="AG1083" s="316">
        <f t="shared" si="284"/>
        <v>0.78356164383561644</v>
      </c>
      <c r="AH1083" s="314">
        <v>1</v>
      </c>
      <c r="AI1083" s="314">
        <f t="shared" si="285"/>
        <v>-11579.363934174929</v>
      </c>
      <c r="AJ1083" s="314">
        <f t="shared" si="286"/>
        <v>0</v>
      </c>
      <c r="AK1083" s="317"/>
      <c r="AL1083" s="315">
        <f t="shared" si="287"/>
        <v>-374.04516129032254</v>
      </c>
      <c r="AN1083" s="554">
        <f t="shared" si="288"/>
        <v>-0.18733449257529913</v>
      </c>
      <c r="AO1083" s="314"/>
      <c r="AP1083" s="318"/>
    </row>
    <row r="1084" spans="2:42">
      <c r="B1084" s="296" t="s">
        <v>1254</v>
      </c>
      <c r="C1084" s="299" t="s">
        <v>277</v>
      </c>
      <c r="D1084" s="298" t="s">
        <v>714</v>
      </c>
      <c r="E1084" s="299" t="s">
        <v>113</v>
      </c>
      <c r="F1084" s="299" t="s">
        <v>59</v>
      </c>
      <c r="G1084" s="300">
        <v>44504</v>
      </c>
      <c r="H1084" s="303">
        <v>6473.4</v>
      </c>
      <c r="I1084" s="301" t="str">
        <f t="shared" ref="I1084:I1147" si="289">IF(D1084=0,0,IF(OR(E1084=$AT$9,E1084=$AT$10),"Ingresos Sección II LISR (SIC &amp; BMV)","Ingresos Sección I LISR"))</f>
        <v>Ingresos Sección II LISR (SIC &amp; BMV)</v>
      </c>
      <c r="J1084" s="302">
        <f t="shared" ref="J1084:J1147" si="290">+V1084</f>
        <v>45</v>
      </c>
      <c r="K1084" s="304">
        <f t="shared" ref="K1084:K1147" si="291">IF(H1084=0,0,H1084/J1084)</f>
        <v>143.85333333333332</v>
      </c>
      <c r="L1084" s="305">
        <f>IF(H1084=0,0,IF(OR(E1084=$AT$5,E1084=$AT$6),AA1084,IF(F1084="MXN",1/HLOOKUP(YEAR(G1084)+(MONTH(G1084)/100),TC!$5:$37,DAY(G1084)+2,FALSE),VLOOKUP(F1084,Equivalencia!$5:$23,((MAX(Equivalencia!$3:$3)-YEAR(G1084))*14)+MONTH(G1084)+2,FALSE))))</f>
        <v>1</v>
      </c>
      <c r="M1084" s="306">
        <f t="shared" ref="M1084:M1147" si="292">+H1084*L1084</f>
        <v>6473.4</v>
      </c>
      <c r="N1084" s="305">
        <f>IF(G1084=0,0,(IF(OR(E1084=$AT$5,E1084=$AT$6),AC1084,HLOOKUP(YEAR(G1084)+(MONTH(G1084)/100),TC!$5:$37,DAY(G1084)+2,FALSE))))</f>
        <v>20.8598</v>
      </c>
      <c r="O1084" s="307">
        <f t="shared" ref="O1084:O1147" si="293">+M1084*N1084</f>
        <v>135033.82931999999</v>
      </c>
      <c r="P1084" s="560">
        <f>IF(G1084=0,0,VLOOKUP(YEAR(G1084),INPC!$B$4:$P$30,MONTH(G1084)+2))</f>
        <v>116.884</v>
      </c>
      <c r="Q1084" s="560">
        <f>IF(X1084=0,0,IF(OR(E1084=$AT$10,E1084=$AT$9),VLOOKUP(YEAR(X1084),INPC!$B$4:$P$30,MONTH(X1084)+1),VLOOKUP(YEAR(X1084),INPC!$B$4:$P$30,MONTH(X1084)+2,0)))</f>
        <v>122.94799999999999</v>
      </c>
      <c r="R1084" s="309">
        <f t="shared" ref="R1084:R1147" si="294">IF(H1084=0,0,IF(OR(E1084=$AT$5,E1084=$AT$6),1,IF(TRUNC(Q1084/P1084,4)&gt;=1,TRUNC(Q1084/P1084,4),1)))</f>
        <v>1.0518000000000001</v>
      </c>
      <c r="S1084" s="310">
        <f t="shared" ref="S1084:S1147" si="295">+R1084*O1084</f>
        <v>142028.58167877601</v>
      </c>
      <c r="T1084" s="555">
        <f t="shared" ref="T1084:T1147" si="296">IF(V1084=0,0,S1084/V1084)</f>
        <v>3156.1907039728003</v>
      </c>
      <c r="U1084" s="311"/>
      <c r="V1084" s="312">
        <v>45</v>
      </c>
      <c r="W1084" s="299" t="s">
        <v>194</v>
      </c>
      <c r="X1084" s="300">
        <v>44790</v>
      </c>
      <c r="Y1084" s="299" t="s">
        <v>59</v>
      </c>
      <c r="Z1084" s="303">
        <v>5215.5798387096775</v>
      </c>
      <c r="AA1084" s="305">
        <f>IF(Z1084=0,0,IF(Y1084="MXN",1/HLOOKUP(YEAR(X1084)+(MONTH(X1084)/100),TC!$5:$37,DAY(X1084)+2,FALSE),VLOOKUP(Y1084,Equivalencia!$1:$23,((MAX(Equivalencia!$3:$3)-YEAR(X1084))*14)+MONTH(X1084)+2,FALSE)))</f>
        <v>1</v>
      </c>
      <c r="AB1084" s="306">
        <f t="shared" ref="AB1084:AB1147" si="297">+AA1084*Z1084</f>
        <v>5215.5798387096775</v>
      </c>
      <c r="AC1084" s="305">
        <f>+IF(X1084=0,0,HLOOKUP(YEAR(X1084)+(MONTH(X1084)/100),TC!$5:$37,DAY(X1084)+2,FALSE))</f>
        <v>19.861799999999999</v>
      </c>
      <c r="AD1084" s="307">
        <f t="shared" ref="AD1084:AD1147" si="298">+AC1084*AB1084</f>
        <v>103590.80364048386</v>
      </c>
      <c r="AE1084" s="314">
        <f t="shared" ref="AE1084:AE1147" si="299">+V1084*T1084</f>
        <v>142028.58167877601</v>
      </c>
      <c r="AF1084" s="315">
        <f t="shared" ref="AF1084:AF1147" si="300">IF(E1084=$AT$11,0,AD1084-AE1084)</f>
        <v>-38437.778038292148</v>
      </c>
      <c r="AG1084" s="316">
        <f t="shared" ref="AG1084:AG1147" si="301">+IF(AND(AF1084&lt;0,OR(E1084=$AT$5,E1084=$AT$6)),1,((X1084-G1084)/365))</f>
        <v>0.78356164383561644</v>
      </c>
      <c r="AH1084" s="314">
        <v>1</v>
      </c>
      <c r="AI1084" s="314">
        <f t="shared" ref="AI1084:AI1147" si="302">+IF(OR(E1084=$AT$9,E1084=$AT$10),AF1084,+AF1084/AH1084)</f>
        <v>-38437.778038292148</v>
      </c>
      <c r="AJ1084" s="314">
        <f t="shared" ref="AJ1084:AJ1147" si="303">+AF1084-AI1084</f>
        <v>0</v>
      </c>
      <c r="AK1084" s="317"/>
      <c r="AL1084" s="315">
        <f t="shared" ref="AL1084:AL1147" si="304">+AB1084-M1084</f>
        <v>-1257.8201612903222</v>
      </c>
      <c r="AN1084" s="554">
        <f t="shared" ref="AN1084:AN1147" si="305">IF(AL1084=0,0,AL1084/H1084)</f>
        <v>-0.19430595379403748</v>
      </c>
      <c r="AO1084" s="314"/>
      <c r="AP1084" s="318"/>
    </row>
    <row r="1085" spans="2:42">
      <c r="B1085" s="296" t="s">
        <v>1254</v>
      </c>
      <c r="C1085" s="299" t="s">
        <v>277</v>
      </c>
      <c r="D1085" s="298" t="s">
        <v>714</v>
      </c>
      <c r="E1085" s="299" t="s">
        <v>113</v>
      </c>
      <c r="F1085" s="299" t="s">
        <v>59</v>
      </c>
      <c r="G1085" s="300">
        <v>44519</v>
      </c>
      <c r="H1085" s="303">
        <v>257.91000000000003</v>
      </c>
      <c r="I1085" s="301" t="str">
        <f t="shared" si="289"/>
        <v>Ingresos Sección II LISR (SIC &amp; BMV)</v>
      </c>
      <c r="J1085" s="302">
        <f t="shared" si="290"/>
        <v>2</v>
      </c>
      <c r="K1085" s="304">
        <f t="shared" si="291"/>
        <v>128.95500000000001</v>
      </c>
      <c r="L1085" s="305">
        <f>IF(H1085=0,0,IF(OR(E1085=$AT$5,E1085=$AT$6),AA1085,IF(F1085="MXN",1/HLOOKUP(YEAR(G1085)+(MONTH(G1085)/100),TC!$5:$37,DAY(G1085)+2,FALSE),VLOOKUP(F1085,Equivalencia!$5:$23,((MAX(Equivalencia!$3:$3)-YEAR(G1085))*14)+MONTH(G1085)+2,FALSE))))</f>
        <v>1</v>
      </c>
      <c r="M1085" s="306">
        <f t="shared" si="292"/>
        <v>257.91000000000003</v>
      </c>
      <c r="N1085" s="305">
        <f>IF(G1085=0,0,(IF(OR(E1085=$AT$5,E1085=$AT$6),AC1085,HLOOKUP(YEAR(G1085)+(MONTH(G1085)/100),TC!$5:$37,DAY(G1085)+2,FALSE))))</f>
        <v>20.691199999999998</v>
      </c>
      <c r="O1085" s="307">
        <f t="shared" si="293"/>
        <v>5336.4673920000005</v>
      </c>
      <c r="P1085" s="560">
        <f>IF(G1085=0,0,VLOOKUP(YEAR(G1085),INPC!$B$4:$P$30,MONTH(G1085)+2))</f>
        <v>116.884</v>
      </c>
      <c r="Q1085" s="560">
        <f>IF(X1085=0,0,IF(OR(E1085=$AT$10,E1085=$AT$9),VLOOKUP(YEAR(X1085),INPC!$B$4:$P$30,MONTH(X1085)+1),VLOOKUP(YEAR(X1085),INPC!$B$4:$P$30,MONTH(X1085)+2,0)))</f>
        <v>122.94799999999999</v>
      </c>
      <c r="R1085" s="309">
        <f t="shared" si="294"/>
        <v>1.0518000000000001</v>
      </c>
      <c r="S1085" s="310">
        <f t="shared" si="295"/>
        <v>5612.8964029056006</v>
      </c>
      <c r="T1085" s="555">
        <f t="shared" si="296"/>
        <v>2806.4482014528003</v>
      </c>
      <c r="U1085" s="311"/>
      <c r="V1085" s="312">
        <v>2</v>
      </c>
      <c r="W1085" s="299" t="s">
        <v>194</v>
      </c>
      <c r="X1085" s="300">
        <v>44790</v>
      </c>
      <c r="Y1085" s="299" t="s">
        <v>59</v>
      </c>
      <c r="Z1085" s="303">
        <v>231.80354838709678</v>
      </c>
      <c r="AA1085" s="305">
        <f>IF(Z1085=0,0,IF(Y1085="MXN",1/HLOOKUP(YEAR(X1085)+(MONTH(X1085)/100),TC!$5:$37,DAY(X1085)+2,FALSE),VLOOKUP(Y1085,Equivalencia!$1:$23,((MAX(Equivalencia!$3:$3)-YEAR(X1085))*14)+MONTH(X1085)+2,FALSE)))</f>
        <v>1</v>
      </c>
      <c r="AB1085" s="306">
        <f t="shared" si="297"/>
        <v>231.80354838709678</v>
      </c>
      <c r="AC1085" s="305">
        <f>+IF(X1085=0,0,HLOOKUP(YEAR(X1085)+(MONTH(X1085)/100),TC!$5:$37,DAY(X1085)+2,FALSE))</f>
        <v>19.861799999999999</v>
      </c>
      <c r="AD1085" s="307">
        <f t="shared" si="298"/>
        <v>4604.0357173548382</v>
      </c>
      <c r="AE1085" s="314">
        <f t="shared" si="299"/>
        <v>5612.8964029056006</v>
      </c>
      <c r="AF1085" s="315">
        <f t="shared" si="300"/>
        <v>-1008.8606855507624</v>
      </c>
      <c r="AG1085" s="316">
        <f t="shared" si="301"/>
        <v>0.74246575342465748</v>
      </c>
      <c r="AH1085" s="314">
        <v>1</v>
      </c>
      <c r="AI1085" s="314">
        <f t="shared" si="302"/>
        <v>-1008.8606855507624</v>
      </c>
      <c r="AJ1085" s="314">
        <f t="shared" si="303"/>
        <v>0</v>
      </c>
      <c r="AK1085" s="317"/>
      <c r="AL1085" s="315">
        <f t="shared" si="304"/>
        <v>-26.106451612903243</v>
      </c>
      <c r="AN1085" s="554">
        <f t="shared" si="305"/>
        <v>-0.10122310733551719</v>
      </c>
      <c r="AO1085" s="314"/>
      <c r="AP1085" s="318"/>
    </row>
    <row r="1086" spans="2:42">
      <c r="B1086" s="296" t="s">
        <v>1254</v>
      </c>
      <c r="C1086" s="299" t="s">
        <v>277</v>
      </c>
      <c r="D1086" s="298" t="s">
        <v>875</v>
      </c>
      <c r="E1086" s="299" t="s">
        <v>113</v>
      </c>
      <c r="F1086" s="299" t="s">
        <v>59</v>
      </c>
      <c r="G1086" s="300">
        <v>44769</v>
      </c>
      <c r="H1086" s="303">
        <v>839.88</v>
      </c>
      <c r="I1086" s="301" t="str">
        <f t="shared" si="289"/>
        <v>Ingresos Sección II LISR (SIC &amp; BMV)</v>
      </c>
      <c r="J1086" s="302">
        <f t="shared" si="290"/>
        <v>5</v>
      </c>
      <c r="K1086" s="304">
        <f t="shared" si="291"/>
        <v>167.976</v>
      </c>
      <c r="L1086" s="305">
        <f>IF(H1086=0,0,IF(OR(E1086=$AT$5,E1086=$AT$6),AA1086,IF(F1086="MXN",1/HLOOKUP(YEAR(G1086)+(MONTH(G1086)/100),TC!$5:$37,DAY(G1086)+2,FALSE),VLOOKUP(F1086,Equivalencia!$5:$23,((MAX(Equivalencia!$3:$3)-YEAR(G1086))*14)+MONTH(G1086)+2,FALSE))))</f>
        <v>1</v>
      </c>
      <c r="M1086" s="306">
        <f t="shared" si="292"/>
        <v>839.88</v>
      </c>
      <c r="N1086" s="305">
        <f>IF(G1086=0,0,(IF(OR(E1086=$AT$5,E1086=$AT$6),AC1086,HLOOKUP(YEAR(G1086)+(MONTH(G1086)/100),TC!$5:$37,DAY(G1086)+2,FALSE))))</f>
        <v>20.465199999999999</v>
      </c>
      <c r="O1086" s="307">
        <f t="shared" si="293"/>
        <v>17188.312175999999</v>
      </c>
      <c r="P1086" s="560">
        <f>IF(G1086=0,0,VLOOKUP(YEAR(G1086),INPC!$B$4:$P$30,MONTH(G1086)+2))</f>
        <v>122.94799999999999</v>
      </c>
      <c r="Q1086" s="560">
        <f>IF(X1086=0,0,IF(OR(E1086=$AT$10,E1086=$AT$9),VLOOKUP(YEAR(X1086),INPC!$B$4:$P$30,MONTH(X1086)+1),VLOOKUP(YEAR(X1086),INPC!$B$4:$P$30,MONTH(X1086)+2,0)))</f>
        <v>124.571</v>
      </c>
      <c r="R1086" s="309">
        <f t="shared" si="294"/>
        <v>1.0132000000000001</v>
      </c>
      <c r="S1086" s="310">
        <f t="shared" si="295"/>
        <v>17415.197896723203</v>
      </c>
      <c r="T1086" s="555">
        <f t="shared" si="296"/>
        <v>3483.0395793446405</v>
      </c>
      <c r="U1086" s="311"/>
      <c r="V1086" s="312">
        <v>5</v>
      </c>
      <c r="W1086" s="299" t="s">
        <v>194</v>
      </c>
      <c r="X1086" s="300">
        <v>44861</v>
      </c>
      <c r="Y1086" s="299" t="s">
        <v>59</v>
      </c>
      <c r="Z1086" s="303">
        <v>500.34256465517245</v>
      </c>
      <c r="AA1086" s="305">
        <f>IF(Z1086=0,0,IF(Y1086="MXN",1/HLOOKUP(YEAR(X1086)+(MONTH(X1086)/100),TC!$5:$37,DAY(X1086)+2,FALSE),VLOOKUP(Y1086,Equivalencia!$1:$23,((MAX(Equivalencia!$3:$3)-YEAR(X1086))*14)+MONTH(X1086)+2,FALSE)))</f>
        <v>1</v>
      </c>
      <c r="AB1086" s="306">
        <f t="shared" si="297"/>
        <v>500.34256465517245</v>
      </c>
      <c r="AC1086" s="305">
        <f>+IF(X1086=0,0,HLOOKUP(YEAR(X1086)+(MONTH(X1086)/100),TC!$5:$37,DAY(X1086)+2,FALSE))</f>
        <v>19.871200000000002</v>
      </c>
      <c r="AD1086" s="307">
        <f t="shared" si="298"/>
        <v>9942.4071707758631</v>
      </c>
      <c r="AE1086" s="314">
        <f t="shared" si="299"/>
        <v>17415.197896723203</v>
      </c>
      <c r="AF1086" s="315">
        <f t="shared" si="300"/>
        <v>-7472.7907259473395</v>
      </c>
      <c r="AG1086" s="316">
        <f t="shared" si="301"/>
        <v>0.25205479452054796</v>
      </c>
      <c r="AH1086" s="314">
        <v>1</v>
      </c>
      <c r="AI1086" s="314">
        <f t="shared" si="302"/>
        <v>-7472.7907259473395</v>
      </c>
      <c r="AJ1086" s="314">
        <f t="shared" si="303"/>
        <v>0</v>
      </c>
      <c r="AK1086" s="317"/>
      <c r="AL1086" s="315">
        <f t="shared" si="304"/>
        <v>-339.53743534482754</v>
      </c>
      <c r="AN1086" s="554">
        <f t="shared" si="305"/>
        <v>-0.40426898526554694</v>
      </c>
      <c r="AO1086" s="314"/>
      <c r="AP1086" s="318"/>
    </row>
    <row r="1087" spans="2:42">
      <c r="B1087" s="296" t="s">
        <v>1254</v>
      </c>
      <c r="C1087" s="299" t="s">
        <v>277</v>
      </c>
      <c r="D1087" s="298" t="s">
        <v>875</v>
      </c>
      <c r="E1087" s="299" t="s">
        <v>113</v>
      </c>
      <c r="F1087" s="299" t="s">
        <v>59</v>
      </c>
      <c r="G1087" s="300">
        <v>44769</v>
      </c>
      <c r="H1087" s="303">
        <v>14421.85</v>
      </c>
      <c r="I1087" s="301" t="str">
        <f t="shared" si="289"/>
        <v>Ingresos Sección II LISR (SIC &amp; BMV)</v>
      </c>
      <c r="J1087" s="302">
        <f t="shared" si="290"/>
        <v>86</v>
      </c>
      <c r="K1087" s="304">
        <f t="shared" si="291"/>
        <v>167.69593023255814</v>
      </c>
      <c r="L1087" s="305">
        <f>IF(H1087=0,0,IF(OR(E1087=$AT$5,E1087=$AT$6),AA1087,IF(F1087="MXN",1/HLOOKUP(YEAR(G1087)+(MONTH(G1087)/100),TC!$5:$37,DAY(G1087)+2,FALSE),VLOOKUP(F1087,Equivalencia!$5:$23,((MAX(Equivalencia!$3:$3)-YEAR(G1087))*14)+MONTH(G1087)+2,FALSE))))</f>
        <v>1</v>
      </c>
      <c r="M1087" s="306">
        <f t="shared" si="292"/>
        <v>14421.85</v>
      </c>
      <c r="N1087" s="305">
        <f>IF(G1087=0,0,(IF(OR(E1087=$AT$5,E1087=$AT$6),AC1087,HLOOKUP(YEAR(G1087)+(MONTH(G1087)/100),TC!$5:$37,DAY(G1087)+2,FALSE))))</f>
        <v>20.465199999999999</v>
      </c>
      <c r="O1087" s="307">
        <f t="shared" si="293"/>
        <v>295146.04462</v>
      </c>
      <c r="P1087" s="560">
        <f>IF(G1087=0,0,VLOOKUP(YEAR(G1087),INPC!$B$4:$P$30,MONTH(G1087)+2))</f>
        <v>122.94799999999999</v>
      </c>
      <c r="Q1087" s="560">
        <f>IF(X1087=0,0,IF(OR(E1087=$AT$10,E1087=$AT$9),VLOOKUP(YEAR(X1087),INPC!$B$4:$P$30,MONTH(X1087)+1),VLOOKUP(YEAR(X1087),INPC!$B$4:$P$30,MONTH(X1087)+2,0)))</f>
        <v>124.571</v>
      </c>
      <c r="R1087" s="309">
        <f t="shared" si="294"/>
        <v>1.0132000000000001</v>
      </c>
      <c r="S1087" s="310">
        <f t="shared" si="295"/>
        <v>299041.97240898403</v>
      </c>
      <c r="T1087" s="555">
        <f t="shared" si="296"/>
        <v>3477.2322373137677</v>
      </c>
      <c r="U1087" s="311"/>
      <c r="V1087" s="312">
        <v>86</v>
      </c>
      <c r="W1087" s="299" t="s">
        <v>194</v>
      </c>
      <c r="X1087" s="300">
        <v>44861</v>
      </c>
      <c r="Y1087" s="299" t="s">
        <v>59</v>
      </c>
      <c r="Z1087" s="303">
        <v>8605.8921120689665</v>
      </c>
      <c r="AA1087" s="305">
        <f>IF(Z1087=0,0,IF(Y1087="MXN",1/HLOOKUP(YEAR(X1087)+(MONTH(X1087)/100),TC!$5:$37,DAY(X1087)+2,FALSE),VLOOKUP(Y1087,Equivalencia!$1:$23,((MAX(Equivalencia!$3:$3)-YEAR(X1087))*14)+MONTH(X1087)+2,FALSE)))</f>
        <v>1</v>
      </c>
      <c r="AB1087" s="306">
        <f t="shared" si="297"/>
        <v>8605.8921120689665</v>
      </c>
      <c r="AC1087" s="305">
        <f>+IF(X1087=0,0,HLOOKUP(YEAR(X1087)+(MONTH(X1087)/100),TC!$5:$37,DAY(X1087)+2,FALSE))</f>
        <v>19.871200000000002</v>
      </c>
      <c r="AD1087" s="307">
        <f t="shared" si="298"/>
        <v>171009.40333734488</v>
      </c>
      <c r="AE1087" s="314">
        <f t="shared" si="299"/>
        <v>299041.97240898403</v>
      </c>
      <c r="AF1087" s="315">
        <f t="shared" si="300"/>
        <v>-128032.56907163915</v>
      </c>
      <c r="AG1087" s="316">
        <f t="shared" si="301"/>
        <v>0.25205479452054796</v>
      </c>
      <c r="AH1087" s="314">
        <v>1</v>
      </c>
      <c r="AI1087" s="314">
        <f t="shared" si="302"/>
        <v>-128032.56907163915</v>
      </c>
      <c r="AJ1087" s="314">
        <f t="shared" si="303"/>
        <v>0</v>
      </c>
      <c r="AK1087" s="317"/>
      <c r="AL1087" s="315">
        <f t="shared" si="304"/>
        <v>-5815.9578879310338</v>
      </c>
      <c r="AN1087" s="554">
        <f t="shared" si="305"/>
        <v>-0.40327405207591493</v>
      </c>
      <c r="AO1087" s="314"/>
      <c r="AP1087" s="318"/>
    </row>
    <row r="1088" spans="2:42">
      <c r="B1088" s="296" t="s">
        <v>1254</v>
      </c>
      <c r="C1088" s="299" t="s">
        <v>277</v>
      </c>
      <c r="D1088" s="298" t="s">
        <v>875</v>
      </c>
      <c r="E1088" s="299" t="s">
        <v>113</v>
      </c>
      <c r="F1088" s="299" t="s">
        <v>59</v>
      </c>
      <c r="G1088" s="300">
        <v>44769</v>
      </c>
      <c r="H1088" s="303">
        <v>15335.78</v>
      </c>
      <c r="I1088" s="301" t="str">
        <f t="shared" si="289"/>
        <v>Ingresos Sección II LISR (SIC &amp; BMV)</v>
      </c>
      <c r="J1088" s="302">
        <f t="shared" si="290"/>
        <v>91</v>
      </c>
      <c r="K1088" s="304">
        <f t="shared" si="291"/>
        <v>168.52505494505496</v>
      </c>
      <c r="L1088" s="305">
        <f>IF(H1088=0,0,IF(OR(E1088=$AT$5,E1088=$AT$6),AA1088,IF(F1088="MXN",1/HLOOKUP(YEAR(G1088)+(MONTH(G1088)/100),TC!$5:$37,DAY(G1088)+2,FALSE),VLOOKUP(F1088,Equivalencia!$5:$23,((MAX(Equivalencia!$3:$3)-YEAR(G1088))*14)+MONTH(G1088)+2,FALSE))))</f>
        <v>1</v>
      </c>
      <c r="M1088" s="306">
        <f t="shared" si="292"/>
        <v>15335.78</v>
      </c>
      <c r="N1088" s="305">
        <f>IF(G1088=0,0,(IF(OR(E1088=$AT$5,E1088=$AT$6),AC1088,HLOOKUP(YEAR(G1088)+(MONTH(G1088)/100),TC!$5:$37,DAY(G1088)+2,FALSE))))</f>
        <v>20.465199999999999</v>
      </c>
      <c r="O1088" s="307">
        <f t="shared" si="293"/>
        <v>313849.804856</v>
      </c>
      <c r="P1088" s="560">
        <f>IF(G1088=0,0,VLOOKUP(YEAR(G1088),INPC!$B$4:$P$30,MONTH(G1088)+2))</f>
        <v>122.94799999999999</v>
      </c>
      <c r="Q1088" s="560">
        <f>IF(X1088=0,0,IF(OR(E1088=$AT$10,E1088=$AT$9),VLOOKUP(YEAR(X1088),INPC!$B$4:$P$30,MONTH(X1088)+1),VLOOKUP(YEAR(X1088),INPC!$B$4:$P$30,MONTH(X1088)+2,0)))</f>
        <v>124.571</v>
      </c>
      <c r="R1088" s="309">
        <f t="shared" si="294"/>
        <v>1.0132000000000001</v>
      </c>
      <c r="S1088" s="310">
        <f t="shared" si="295"/>
        <v>317992.62228009925</v>
      </c>
      <c r="T1088" s="555">
        <f t="shared" si="296"/>
        <v>3494.4244206604312</v>
      </c>
      <c r="U1088" s="311"/>
      <c r="V1088" s="312">
        <v>91</v>
      </c>
      <c r="W1088" s="299" t="s">
        <v>194</v>
      </c>
      <c r="X1088" s="300">
        <v>44861</v>
      </c>
      <c r="Y1088" s="299" t="s">
        <v>59</v>
      </c>
      <c r="Z1088" s="303">
        <v>9106.2346767241379</v>
      </c>
      <c r="AA1088" s="305">
        <f>IF(Z1088=0,0,IF(Y1088="MXN",1/HLOOKUP(YEAR(X1088)+(MONTH(X1088)/100),TC!$5:$37,DAY(X1088)+2,FALSE),VLOOKUP(Y1088,Equivalencia!$1:$23,((MAX(Equivalencia!$3:$3)-YEAR(X1088))*14)+MONTH(X1088)+2,FALSE)))</f>
        <v>1</v>
      </c>
      <c r="AB1088" s="306">
        <f t="shared" si="297"/>
        <v>9106.2346767241379</v>
      </c>
      <c r="AC1088" s="305">
        <f>+IF(X1088=0,0,HLOOKUP(YEAR(X1088)+(MONTH(X1088)/100),TC!$5:$37,DAY(X1088)+2,FALSE))</f>
        <v>19.871200000000002</v>
      </c>
      <c r="AD1088" s="307">
        <f t="shared" si="298"/>
        <v>180951.81050812072</v>
      </c>
      <c r="AE1088" s="314">
        <f t="shared" si="299"/>
        <v>317992.62228009925</v>
      </c>
      <c r="AF1088" s="315">
        <f t="shared" si="300"/>
        <v>-137040.81177197854</v>
      </c>
      <c r="AG1088" s="316">
        <f t="shared" si="301"/>
        <v>0.25205479452054796</v>
      </c>
      <c r="AH1088" s="314">
        <v>1</v>
      </c>
      <c r="AI1088" s="314">
        <f t="shared" si="302"/>
        <v>-137040.81177197854</v>
      </c>
      <c r="AJ1088" s="314">
        <f t="shared" si="303"/>
        <v>0</v>
      </c>
      <c r="AK1088" s="317"/>
      <c r="AL1088" s="315">
        <f t="shared" si="304"/>
        <v>-6229.5453232758628</v>
      </c>
      <c r="AN1088" s="554">
        <f t="shared" si="305"/>
        <v>-0.40620987802875774</v>
      </c>
      <c r="AO1088" s="314"/>
      <c r="AP1088" s="318"/>
    </row>
    <row r="1089" spans="2:42">
      <c r="B1089" s="296" t="s">
        <v>1254</v>
      </c>
      <c r="C1089" s="299" t="s">
        <v>277</v>
      </c>
      <c r="D1089" s="298" t="s">
        <v>875</v>
      </c>
      <c r="E1089" s="299" t="s">
        <v>113</v>
      </c>
      <c r="F1089" s="299" t="s">
        <v>59</v>
      </c>
      <c r="G1089" s="300">
        <v>44774</v>
      </c>
      <c r="H1089" s="303">
        <v>16383.67</v>
      </c>
      <c r="I1089" s="301" t="str">
        <f t="shared" si="289"/>
        <v>Ingresos Sección II LISR (SIC &amp; BMV)</v>
      </c>
      <c r="J1089" s="302">
        <f t="shared" si="290"/>
        <v>100</v>
      </c>
      <c r="K1089" s="304">
        <f t="shared" si="291"/>
        <v>163.83670000000001</v>
      </c>
      <c r="L1089" s="305">
        <f>IF(H1089=0,0,IF(OR(E1089=$AT$5,E1089=$AT$6),AA1089,IF(F1089="MXN",1/HLOOKUP(YEAR(G1089)+(MONTH(G1089)/100),TC!$5:$37,DAY(G1089)+2,FALSE),VLOOKUP(F1089,Equivalencia!$5:$23,((MAX(Equivalencia!$3:$3)-YEAR(G1089))*14)+MONTH(G1089)+2,FALSE))))</f>
        <v>1</v>
      </c>
      <c r="M1089" s="306">
        <f t="shared" si="292"/>
        <v>16383.67</v>
      </c>
      <c r="N1089" s="305">
        <f>IF(G1089=0,0,(IF(OR(E1089=$AT$5,E1089=$AT$6),AC1089,HLOOKUP(YEAR(G1089)+(MONTH(G1089)/100),TC!$5:$37,DAY(G1089)+2,FALSE))))</f>
        <v>20.377800000000001</v>
      </c>
      <c r="O1089" s="307">
        <f t="shared" si="293"/>
        <v>333863.15052600001</v>
      </c>
      <c r="P1089" s="560">
        <f>IF(G1089=0,0,VLOOKUP(YEAR(G1089),INPC!$B$4:$P$30,MONTH(G1089)+2))</f>
        <v>123.803</v>
      </c>
      <c r="Q1089" s="560">
        <f>IF(X1089=0,0,IF(OR(E1089=$AT$10,E1089=$AT$9),VLOOKUP(YEAR(X1089),INPC!$B$4:$P$30,MONTH(X1089)+1),VLOOKUP(YEAR(X1089),INPC!$B$4:$P$30,MONTH(X1089)+2,0)))</f>
        <v>124.571</v>
      </c>
      <c r="R1089" s="309">
        <f t="shared" si="294"/>
        <v>1.0062</v>
      </c>
      <c r="S1089" s="310">
        <f t="shared" si="295"/>
        <v>335933.10205926123</v>
      </c>
      <c r="T1089" s="555">
        <f t="shared" si="296"/>
        <v>3359.3310205926123</v>
      </c>
      <c r="U1089" s="311"/>
      <c r="V1089" s="312">
        <v>100</v>
      </c>
      <c r="W1089" s="299" t="s">
        <v>194</v>
      </c>
      <c r="X1089" s="300">
        <v>44861</v>
      </c>
      <c r="Y1089" s="299" t="s">
        <v>59</v>
      </c>
      <c r="Z1089" s="303">
        <v>10006.851293103449</v>
      </c>
      <c r="AA1089" s="305">
        <f>IF(Z1089=0,0,IF(Y1089="MXN",1/HLOOKUP(YEAR(X1089)+(MONTH(X1089)/100),TC!$5:$37,DAY(X1089)+2,FALSE),VLOOKUP(Y1089,Equivalencia!$1:$23,((MAX(Equivalencia!$3:$3)-YEAR(X1089))*14)+MONTH(X1089)+2,FALSE)))</f>
        <v>1</v>
      </c>
      <c r="AB1089" s="306">
        <f t="shared" si="297"/>
        <v>10006.851293103449</v>
      </c>
      <c r="AC1089" s="305">
        <f>+IF(X1089=0,0,HLOOKUP(YEAR(X1089)+(MONTH(X1089)/100),TC!$5:$37,DAY(X1089)+2,FALSE))</f>
        <v>19.871200000000002</v>
      </c>
      <c r="AD1089" s="307">
        <f t="shared" si="298"/>
        <v>198848.14341551729</v>
      </c>
      <c r="AE1089" s="314">
        <f t="shared" si="299"/>
        <v>335933.10205926123</v>
      </c>
      <c r="AF1089" s="315">
        <f t="shared" si="300"/>
        <v>-137084.95864374394</v>
      </c>
      <c r="AG1089" s="316">
        <f t="shared" si="301"/>
        <v>0.23835616438356164</v>
      </c>
      <c r="AH1089" s="314">
        <v>1</v>
      </c>
      <c r="AI1089" s="314">
        <f t="shared" si="302"/>
        <v>-137084.95864374394</v>
      </c>
      <c r="AJ1089" s="314">
        <f t="shared" si="303"/>
        <v>0</v>
      </c>
      <c r="AK1089" s="317"/>
      <c r="AL1089" s="315">
        <f t="shared" si="304"/>
        <v>-6376.8187068965508</v>
      </c>
      <c r="AN1089" s="554">
        <f t="shared" si="305"/>
        <v>-0.38921796562653854</v>
      </c>
      <c r="AO1089" s="314"/>
      <c r="AP1089" s="318"/>
    </row>
    <row r="1090" spans="2:42">
      <c r="B1090" s="296" t="s">
        <v>1254</v>
      </c>
      <c r="C1090" s="299" t="s">
        <v>277</v>
      </c>
      <c r="D1090" s="298" t="s">
        <v>875</v>
      </c>
      <c r="E1090" s="299" t="s">
        <v>113</v>
      </c>
      <c r="F1090" s="299" t="s">
        <v>59</v>
      </c>
      <c r="G1090" s="300">
        <v>44776</v>
      </c>
      <c r="H1090" s="303">
        <v>13866.64</v>
      </c>
      <c r="I1090" s="301" t="str">
        <f t="shared" si="289"/>
        <v>Ingresos Sección II LISR (SIC &amp; BMV)</v>
      </c>
      <c r="J1090" s="302">
        <f t="shared" si="290"/>
        <v>82</v>
      </c>
      <c r="K1090" s="304">
        <f t="shared" si="291"/>
        <v>169.10536585365853</v>
      </c>
      <c r="L1090" s="305">
        <f>IF(H1090=0,0,IF(OR(E1090=$AT$5,E1090=$AT$6),AA1090,IF(F1090="MXN",1/HLOOKUP(YEAR(G1090)+(MONTH(G1090)/100),TC!$5:$37,DAY(G1090)+2,FALSE),VLOOKUP(F1090,Equivalencia!$5:$23,((MAX(Equivalencia!$3:$3)-YEAR(G1090))*14)+MONTH(G1090)+2,FALSE))))</f>
        <v>1</v>
      </c>
      <c r="M1090" s="306">
        <f t="shared" si="292"/>
        <v>13866.64</v>
      </c>
      <c r="N1090" s="305">
        <f>IF(G1090=0,0,(IF(OR(E1090=$AT$5,E1090=$AT$6),AC1090,HLOOKUP(YEAR(G1090)+(MONTH(G1090)/100),TC!$5:$37,DAY(G1090)+2,FALSE))))</f>
        <v>20.263300000000001</v>
      </c>
      <c r="O1090" s="307">
        <f t="shared" si="293"/>
        <v>280983.88631199999</v>
      </c>
      <c r="P1090" s="560">
        <f>IF(G1090=0,0,VLOOKUP(YEAR(G1090),INPC!$B$4:$P$30,MONTH(G1090)+2))</f>
        <v>123.803</v>
      </c>
      <c r="Q1090" s="560">
        <f>IF(X1090=0,0,IF(OR(E1090=$AT$10,E1090=$AT$9),VLOOKUP(YEAR(X1090),INPC!$B$4:$P$30,MONTH(X1090)+1),VLOOKUP(YEAR(X1090),INPC!$B$4:$P$30,MONTH(X1090)+2,0)))</f>
        <v>124.571</v>
      </c>
      <c r="R1090" s="309">
        <f t="shared" si="294"/>
        <v>1.0062</v>
      </c>
      <c r="S1090" s="310">
        <f t="shared" si="295"/>
        <v>282725.98640713439</v>
      </c>
      <c r="T1090" s="555">
        <f t="shared" si="296"/>
        <v>3447.877883013834</v>
      </c>
      <c r="U1090" s="311"/>
      <c r="V1090" s="312">
        <v>82</v>
      </c>
      <c r="W1090" s="299" t="s">
        <v>194</v>
      </c>
      <c r="X1090" s="300">
        <v>44861</v>
      </c>
      <c r="Y1090" s="299" t="s">
        <v>59</v>
      </c>
      <c r="Z1090" s="303">
        <v>8205.6180603448283</v>
      </c>
      <c r="AA1090" s="305">
        <f>IF(Z1090=0,0,IF(Y1090="MXN",1/HLOOKUP(YEAR(X1090)+(MONTH(X1090)/100),TC!$5:$37,DAY(X1090)+2,FALSE),VLOOKUP(Y1090,Equivalencia!$1:$23,((MAX(Equivalencia!$3:$3)-YEAR(X1090))*14)+MONTH(X1090)+2,FALSE)))</f>
        <v>1</v>
      </c>
      <c r="AB1090" s="306">
        <f t="shared" si="297"/>
        <v>8205.6180603448283</v>
      </c>
      <c r="AC1090" s="305">
        <f>+IF(X1090=0,0,HLOOKUP(YEAR(X1090)+(MONTH(X1090)/100),TC!$5:$37,DAY(X1090)+2,FALSE))</f>
        <v>19.871200000000002</v>
      </c>
      <c r="AD1090" s="307">
        <f t="shared" si="298"/>
        <v>163055.47760072417</v>
      </c>
      <c r="AE1090" s="314">
        <f t="shared" si="299"/>
        <v>282725.98640713439</v>
      </c>
      <c r="AF1090" s="315">
        <f t="shared" si="300"/>
        <v>-119670.50880641022</v>
      </c>
      <c r="AG1090" s="316">
        <f t="shared" si="301"/>
        <v>0.23287671232876711</v>
      </c>
      <c r="AH1090" s="314">
        <v>1</v>
      </c>
      <c r="AI1090" s="314">
        <f t="shared" si="302"/>
        <v>-119670.50880641022</v>
      </c>
      <c r="AJ1090" s="314">
        <f t="shared" si="303"/>
        <v>0</v>
      </c>
      <c r="AK1090" s="317"/>
      <c r="AL1090" s="315">
        <f t="shared" si="304"/>
        <v>-5661.0219396551711</v>
      </c>
      <c r="AN1090" s="554">
        <f t="shared" si="305"/>
        <v>-0.40824755958582404</v>
      </c>
      <c r="AO1090" s="314"/>
      <c r="AP1090" s="318"/>
    </row>
    <row r="1091" spans="2:42">
      <c r="B1091" s="296" t="s">
        <v>1254</v>
      </c>
      <c r="C1091" s="299" t="s">
        <v>277</v>
      </c>
      <c r="D1091" s="298" t="s">
        <v>875</v>
      </c>
      <c r="E1091" s="299" t="s">
        <v>113</v>
      </c>
      <c r="F1091" s="299" t="s">
        <v>59</v>
      </c>
      <c r="G1091" s="300">
        <v>44781</v>
      </c>
      <c r="H1091" s="303">
        <v>17207.39</v>
      </c>
      <c r="I1091" s="301" t="str">
        <f t="shared" si="289"/>
        <v>Ingresos Sección II LISR (SIC &amp; BMV)</v>
      </c>
      <c r="J1091" s="302">
        <f t="shared" si="290"/>
        <v>100</v>
      </c>
      <c r="K1091" s="304">
        <f t="shared" si="291"/>
        <v>172.07389999999998</v>
      </c>
      <c r="L1091" s="305">
        <f>IF(H1091=0,0,IF(OR(E1091=$AT$5,E1091=$AT$6),AA1091,IF(F1091="MXN",1/HLOOKUP(YEAR(G1091)+(MONTH(G1091)/100),TC!$5:$37,DAY(G1091)+2,FALSE),VLOOKUP(F1091,Equivalencia!$5:$23,((MAX(Equivalencia!$3:$3)-YEAR(G1091))*14)+MONTH(G1091)+2,FALSE))))</f>
        <v>1</v>
      </c>
      <c r="M1091" s="306">
        <f t="shared" si="292"/>
        <v>17207.39</v>
      </c>
      <c r="N1091" s="305">
        <f>IF(G1091=0,0,(IF(OR(E1091=$AT$5,E1091=$AT$6),AC1091,HLOOKUP(YEAR(G1091)+(MONTH(G1091)/100),TC!$5:$37,DAY(G1091)+2,FALSE))))</f>
        <v>20.335799999999999</v>
      </c>
      <c r="O1091" s="307">
        <f t="shared" si="293"/>
        <v>349926.041562</v>
      </c>
      <c r="P1091" s="560">
        <f>IF(G1091=0,0,VLOOKUP(YEAR(G1091),INPC!$B$4:$P$30,MONTH(G1091)+2))</f>
        <v>123.803</v>
      </c>
      <c r="Q1091" s="560">
        <f>IF(X1091=0,0,IF(OR(E1091=$AT$10,E1091=$AT$9),VLOOKUP(YEAR(X1091),INPC!$B$4:$P$30,MONTH(X1091)+1),VLOOKUP(YEAR(X1091),INPC!$B$4:$P$30,MONTH(X1091)+2,0)))</f>
        <v>124.571</v>
      </c>
      <c r="R1091" s="309">
        <f t="shared" si="294"/>
        <v>1.0062</v>
      </c>
      <c r="S1091" s="310">
        <f t="shared" si="295"/>
        <v>352095.58301968442</v>
      </c>
      <c r="T1091" s="555">
        <f t="shared" si="296"/>
        <v>3520.9558301968441</v>
      </c>
      <c r="U1091" s="311"/>
      <c r="V1091" s="312">
        <v>100</v>
      </c>
      <c r="W1091" s="299" t="s">
        <v>194</v>
      </c>
      <c r="X1091" s="300">
        <v>44861</v>
      </c>
      <c r="Y1091" s="299" t="s">
        <v>59</v>
      </c>
      <c r="Z1091" s="303">
        <v>10006.851293103449</v>
      </c>
      <c r="AA1091" s="305">
        <f>IF(Z1091=0,0,IF(Y1091="MXN",1/HLOOKUP(YEAR(X1091)+(MONTH(X1091)/100),TC!$5:$37,DAY(X1091)+2,FALSE),VLOOKUP(Y1091,Equivalencia!$1:$23,((MAX(Equivalencia!$3:$3)-YEAR(X1091))*14)+MONTH(X1091)+2,FALSE)))</f>
        <v>1</v>
      </c>
      <c r="AB1091" s="306">
        <f t="shared" si="297"/>
        <v>10006.851293103449</v>
      </c>
      <c r="AC1091" s="305">
        <f>+IF(X1091=0,0,HLOOKUP(YEAR(X1091)+(MONTH(X1091)/100),TC!$5:$37,DAY(X1091)+2,FALSE))</f>
        <v>19.871200000000002</v>
      </c>
      <c r="AD1091" s="307">
        <f t="shared" si="298"/>
        <v>198848.14341551729</v>
      </c>
      <c r="AE1091" s="314">
        <f t="shared" si="299"/>
        <v>352095.58301968442</v>
      </c>
      <c r="AF1091" s="315">
        <f t="shared" si="300"/>
        <v>-153247.43960416713</v>
      </c>
      <c r="AG1091" s="316">
        <f t="shared" si="301"/>
        <v>0.21917808219178081</v>
      </c>
      <c r="AH1091" s="314">
        <v>1</v>
      </c>
      <c r="AI1091" s="314">
        <f t="shared" si="302"/>
        <v>-153247.43960416713</v>
      </c>
      <c r="AJ1091" s="314">
        <f t="shared" si="303"/>
        <v>0</v>
      </c>
      <c r="AK1091" s="317"/>
      <c r="AL1091" s="315">
        <f t="shared" si="304"/>
        <v>-7200.5387068965501</v>
      </c>
      <c r="AN1091" s="554">
        <f t="shared" si="305"/>
        <v>-0.41845618114638827</v>
      </c>
      <c r="AO1091" s="314"/>
      <c r="AP1091" s="318"/>
    </row>
    <row r="1092" spans="2:42">
      <c r="B1092" s="296" t="s">
        <v>1254</v>
      </c>
      <c r="C1092" s="299" t="s">
        <v>277</v>
      </c>
      <c r="D1092" s="298" t="s">
        <v>730</v>
      </c>
      <c r="E1092" s="299" t="s">
        <v>113</v>
      </c>
      <c r="F1092" s="299" t="s">
        <v>59</v>
      </c>
      <c r="G1092" s="300">
        <v>44259</v>
      </c>
      <c r="H1092" s="303">
        <v>4649.92</v>
      </c>
      <c r="I1092" s="301" t="str">
        <f t="shared" si="289"/>
        <v>Ingresos Sección II LISR (SIC &amp; BMV)</v>
      </c>
      <c r="J1092" s="302">
        <f t="shared" si="290"/>
        <v>16</v>
      </c>
      <c r="K1092" s="304">
        <f t="shared" si="291"/>
        <v>290.62</v>
      </c>
      <c r="L1092" s="305">
        <f>IF(H1092=0,0,IF(OR(E1092=$AT$5,E1092=$AT$6),AA1092,IF(F1092="MXN",1/HLOOKUP(YEAR(G1092)+(MONTH(G1092)/100),TC!$5:$37,DAY(G1092)+2,FALSE),VLOOKUP(F1092,Equivalencia!$5:$23,((MAX(Equivalencia!$3:$3)-YEAR(G1092))*14)+MONTH(G1092)+2,FALSE))))</f>
        <v>1</v>
      </c>
      <c r="M1092" s="306">
        <f t="shared" si="292"/>
        <v>4649.92</v>
      </c>
      <c r="N1092" s="305">
        <f>IF(G1092=0,0,(IF(OR(E1092=$AT$5,E1092=$AT$6),AC1092,HLOOKUP(YEAR(G1092)+(MONTH(G1092)/100),TC!$5:$37,DAY(G1092)+2,FALSE))))</f>
        <v>20.690300000000001</v>
      </c>
      <c r="O1092" s="307">
        <f t="shared" si="293"/>
        <v>96208.239776000002</v>
      </c>
      <c r="P1092" s="560">
        <f>IF(G1092=0,0,VLOOKUP(YEAR(G1092),INPC!$B$4:$P$30,MONTH(G1092)+2))</f>
        <v>111.824</v>
      </c>
      <c r="Q1092" s="560">
        <f>IF(X1092=0,0,IF(OR(E1092=$AT$10,E1092=$AT$9),VLOOKUP(YEAR(X1092),INPC!$B$4:$P$30,MONTH(X1092)+1),VLOOKUP(YEAR(X1092),INPC!$B$4:$P$30,MONTH(X1092)+2,0)))</f>
        <v>124.571</v>
      </c>
      <c r="R1092" s="309">
        <f t="shared" si="294"/>
        <v>1.1138999999999999</v>
      </c>
      <c r="S1092" s="310">
        <f t="shared" si="295"/>
        <v>107166.35828648639</v>
      </c>
      <c r="T1092" s="555">
        <f t="shared" si="296"/>
        <v>6697.8973929053991</v>
      </c>
      <c r="U1092" s="311"/>
      <c r="V1092" s="312">
        <v>16</v>
      </c>
      <c r="W1092" s="299" t="s">
        <v>194</v>
      </c>
      <c r="X1092" s="300">
        <v>44855</v>
      </c>
      <c r="Y1092" s="299" t="s">
        <v>59</v>
      </c>
      <c r="Z1092" s="303">
        <v>3180.0689230769231</v>
      </c>
      <c r="AA1092" s="305">
        <f>IF(Z1092=0,0,IF(Y1092="MXN",1/HLOOKUP(YEAR(X1092)+(MONTH(X1092)/100),TC!$5:$37,DAY(X1092)+2,FALSE),VLOOKUP(Y1092,Equivalencia!$1:$23,((MAX(Equivalencia!$3:$3)-YEAR(X1092))*14)+MONTH(X1092)+2,FALSE)))</f>
        <v>1</v>
      </c>
      <c r="AB1092" s="306">
        <f t="shared" si="297"/>
        <v>3180.0689230769231</v>
      </c>
      <c r="AC1092" s="305">
        <f>+IF(X1092=0,0,HLOOKUP(YEAR(X1092)+(MONTH(X1092)/100),TC!$5:$37,DAY(X1092)+2,FALSE))</f>
        <v>20.127199999999998</v>
      </c>
      <c r="AD1092" s="307">
        <f t="shared" si="298"/>
        <v>64005.883228553837</v>
      </c>
      <c r="AE1092" s="314">
        <f t="shared" si="299"/>
        <v>107166.35828648639</v>
      </c>
      <c r="AF1092" s="315">
        <f t="shared" si="300"/>
        <v>-43160.475057932548</v>
      </c>
      <c r="AG1092" s="316">
        <f t="shared" si="301"/>
        <v>1.6328767123287671</v>
      </c>
      <c r="AH1092" s="314">
        <v>1</v>
      </c>
      <c r="AI1092" s="314">
        <f t="shared" si="302"/>
        <v>-43160.475057932548</v>
      </c>
      <c r="AJ1092" s="314">
        <f t="shared" si="303"/>
        <v>0</v>
      </c>
      <c r="AK1092" s="317"/>
      <c r="AL1092" s="315">
        <f t="shared" si="304"/>
        <v>-1469.851076923077</v>
      </c>
      <c r="AN1092" s="554">
        <f t="shared" si="305"/>
        <v>-0.31610244411152816</v>
      </c>
      <c r="AO1092" s="314"/>
      <c r="AP1092" s="318"/>
    </row>
    <row r="1093" spans="2:42">
      <c r="B1093" s="296" t="s">
        <v>1254</v>
      </c>
      <c r="C1093" s="299" t="s">
        <v>277</v>
      </c>
      <c r="D1093" s="298" t="s">
        <v>730</v>
      </c>
      <c r="E1093" s="299" t="s">
        <v>113</v>
      </c>
      <c r="F1093" s="299" t="s">
        <v>59</v>
      </c>
      <c r="G1093" s="300">
        <v>44284</v>
      </c>
      <c r="H1093" s="303">
        <v>11798.930000000002</v>
      </c>
      <c r="I1093" s="301" t="str">
        <f t="shared" si="289"/>
        <v>Ingresos Sección II LISR (SIC &amp; BMV)</v>
      </c>
      <c r="J1093" s="302">
        <f t="shared" si="290"/>
        <v>41</v>
      </c>
      <c r="K1093" s="304">
        <f t="shared" si="291"/>
        <v>287.77878048780491</v>
      </c>
      <c r="L1093" s="305">
        <f>IF(H1093=0,0,IF(OR(E1093=$AT$5,E1093=$AT$6),AA1093,IF(F1093="MXN",1/HLOOKUP(YEAR(G1093)+(MONTH(G1093)/100),TC!$5:$37,DAY(G1093)+2,FALSE),VLOOKUP(F1093,Equivalencia!$5:$23,((MAX(Equivalencia!$3:$3)-YEAR(G1093))*14)+MONTH(G1093)+2,FALSE))))</f>
        <v>1</v>
      </c>
      <c r="M1093" s="306">
        <f t="shared" si="292"/>
        <v>11798.930000000002</v>
      </c>
      <c r="N1093" s="305">
        <f>IF(G1093=0,0,(IF(OR(E1093=$AT$5,E1093=$AT$6),AC1093,HLOOKUP(YEAR(G1093)+(MONTH(G1093)/100),TC!$5:$37,DAY(G1093)+2,FALSE))))</f>
        <v>20.766200000000001</v>
      </c>
      <c r="O1093" s="307">
        <f t="shared" si="293"/>
        <v>245018.94016600007</v>
      </c>
      <c r="P1093" s="560">
        <f>IF(G1093=0,0,VLOOKUP(YEAR(G1093),INPC!$B$4:$P$30,MONTH(G1093)+2))</f>
        <v>111.824</v>
      </c>
      <c r="Q1093" s="560">
        <f>IF(X1093=0,0,IF(OR(E1093=$AT$10,E1093=$AT$9),VLOOKUP(YEAR(X1093),INPC!$B$4:$P$30,MONTH(X1093)+1),VLOOKUP(YEAR(X1093),INPC!$B$4:$P$30,MONTH(X1093)+2,0)))</f>
        <v>124.571</v>
      </c>
      <c r="R1093" s="309">
        <f t="shared" si="294"/>
        <v>1.1138999999999999</v>
      </c>
      <c r="S1093" s="310">
        <f t="shared" si="295"/>
        <v>272926.59745090746</v>
      </c>
      <c r="T1093" s="555">
        <f t="shared" si="296"/>
        <v>6656.7462792904262</v>
      </c>
      <c r="U1093" s="311"/>
      <c r="V1093" s="312">
        <v>41</v>
      </c>
      <c r="W1093" s="299" t="s">
        <v>194</v>
      </c>
      <c r="X1093" s="300">
        <v>44855</v>
      </c>
      <c r="Y1093" s="299" t="s">
        <v>59</v>
      </c>
      <c r="Z1093" s="303">
        <v>8148.9266153846156</v>
      </c>
      <c r="AA1093" s="305">
        <f>IF(Z1093=0,0,IF(Y1093="MXN",1/HLOOKUP(YEAR(X1093)+(MONTH(X1093)/100),TC!$5:$37,DAY(X1093)+2,FALSE),VLOOKUP(Y1093,Equivalencia!$1:$23,((MAX(Equivalencia!$3:$3)-YEAR(X1093))*14)+MONTH(X1093)+2,FALSE)))</f>
        <v>1</v>
      </c>
      <c r="AB1093" s="306">
        <f t="shared" si="297"/>
        <v>8148.9266153846156</v>
      </c>
      <c r="AC1093" s="305">
        <f>+IF(X1093=0,0,HLOOKUP(YEAR(X1093)+(MONTH(X1093)/100),TC!$5:$37,DAY(X1093)+2,FALSE))</f>
        <v>20.127199999999998</v>
      </c>
      <c r="AD1093" s="307">
        <f t="shared" si="298"/>
        <v>164015.07577316923</v>
      </c>
      <c r="AE1093" s="314">
        <f t="shared" si="299"/>
        <v>272926.59745090746</v>
      </c>
      <c r="AF1093" s="315">
        <f t="shared" si="300"/>
        <v>-108911.52167773823</v>
      </c>
      <c r="AG1093" s="316">
        <f t="shared" si="301"/>
        <v>1.5643835616438355</v>
      </c>
      <c r="AH1093" s="314">
        <v>1</v>
      </c>
      <c r="AI1093" s="314">
        <f t="shared" si="302"/>
        <v>-108911.52167773823</v>
      </c>
      <c r="AJ1093" s="314">
        <f t="shared" si="303"/>
        <v>0</v>
      </c>
      <c r="AK1093" s="317"/>
      <c r="AL1093" s="315">
        <f t="shared" si="304"/>
        <v>-3650.0033846153865</v>
      </c>
      <c r="AN1093" s="554">
        <f t="shared" si="305"/>
        <v>-0.30935037199266252</v>
      </c>
      <c r="AO1093" s="314"/>
      <c r="AP1093" s="318"/>
    </row>
    <row r="1094" spans="2:42">
      <c r="B1094" s="296" t="s">
        <v>1254</v>
      </c>
      <c r="C1094" s="299" t="s">
        <v>277</v>
      </c>
      <c r="D1094" s="298" t="s">
        <v>730</v>
      </c>
      <c r="E1094" s="299" t="s">
        <v>113</v>
      </c>
      <c r="F1094" s="299" t="s">
        <v>59</v>
      </c>
      <c r="G1094" s="300">
        <v>44348</v>
      </c>
      <c r="H1094" s="303">
        <v>2469.04</v>
      </c>
      <c r="I1094" s="301" t="str">
        <f t="shared" si="289"/>
        <v>Ingresos Sección II LISR (SIC &amp; BMV)</v>
      </c>
      <c r="J1094" s="302">
        <f t="shared" si="290"/>
        <v>8</v>
      </c>
      <c r="K1094" s="304">
        <f t="shared" si="291"/>
        <v>308.63</v>
      </c>
      <c r="L1094" s="305">
        <f>IF(H1094=0,0,IF(OR(E1094=$AT$5,E1094=$AT$6),AA1094,IF(F1094="MXN",1/HLOOKUP(YEAR(G1094)+(MONTH(G1094)/100),TC!$5:$37,DAY(G1094)+2,FALSE),VLOOKUP(F1094,Equivalencia!$5:$23,((MAX(Equivalencia!$3:$3)-YEAR(G1094))*14)+MONTH(G1094)+2,FALSE))))</f>
        <v>1</v>
      </c>
      <c r="M1094" s="306">
        <f t="shared" si="292"/>
        <v>2469.04</v>
      </c>
      <c r="N1094" s="305">
        <f>IF(G1094=0,0,(IF(OR(E1094=$AT$5,E1094=$AT$6),AC1094,HLOOKUP(YEAR(G1094)+(MONTH(G1094)/100),TC!$5:$37,DAY(G1094)+2,FALSE))))</f>
        <v>19.944199999999999</v>
      </c>
      <c r="O1094" s="307">
        <f t="shared" si="293"/>
        <v>49243.027567999998</v>
      </c>
      <c r="P1094" s="560">
        <f>IF(G1094=0,0,VLOOKUP(YEAR(G1094),INPC!$B$4:$P$30,MONTH(G1094)+2))</f>
        <v>113.018</v>
      </c>
      <c r="Q1094" s="560">
        <f>IF(X1094=0,0,IF(OR(E1094=$AT$10,E1094=$AT$9),VLOOKUP(YEAR(X1094),INPC!$B$4:$P$30,MONTH(X1094)+1),VLOOKUP(YEAR(X1094),INPC!$B$4:$P$30,MONTH(X1094)+2,0)))</f>
        <v>124.571</v>
      </c>
      <c r="R1094" s="309">
        <f t="shared" si="294"/>
        <v>1.1022000000000001</v>
      </c>
      <c r="S1094" s="310">
        <f t="shared" si="295"/>
        <v>54275.664985449599</v>
      </c>
      <c r="T1094" s="555">
        <f t="shared" si="296"/>
        <v>6784.4581231811999</v>
      </c>
      <c r="U1094" s="311"/>
      <c r="V1094" s="312">
        <v>8</v>
      </c>
      <c r="W1094" s="299" t="s">
        <v>194</v>
      </c>
      <c r="X1094" s="300">
        <v>44855</v>
      </c>
      <c r="Y1094" s="299" t="s">
        <v>59</v>
      </c>
      <c r="Z1094" s="303">
        <v>1590.0344615384615</v>
      </c>
      <c r="AA1094" s="305">
        <f>IF(Z1094=0,0,IF(Y1094="MXN",1/HLOOKUP(YEAR(X1094)+(MONTH(X1094)/100),TC!$5:$37,DAY(X1094)+2,FALSE),VLOOKUP(Y1094,Equivalencia!$1:$23,((MAX(Equivalencia!$3:$3)-YEAR(X1094))*14)+MONTH(X1094)+2,FALSE)))</f>
        <v>1</v>
      </c>
      <c r="AB1094" s="306">
        <f t="shared" si="297"/>
        <v>1590.0344615384615</v>
      </c>
      <c r="AC1094" s="305">
        <f>+IF(X1094=0,0,HLOOKUP(YEAR(X1094)+(MONTH(X1094)/100),TC!$5:$37,DAY(X1094)+2,FALSE))</f>
        <v>20.127199999999998</v>
      </c>
      <c r="AD1094" s="307">
        <f t="shared" si="298"/>
        <v>32002.941614276919</v>
      </c>
      <c r="AE1094" s="314">
        <f t="shared" si="299"/>
        <v>54275.664985449599</v>
      </c>
      <c r="AF1094" s="315">
        <f t="shared" si="300"/>
        <v>-22272.72337117268</v>
      </c>
      <c r="AG1094" s="316">
        <f t="shared" si="301"/>
        <v>1.3890410958904109</v>
      </c>
      <c r="AH1094" s="314">
        <v>1</v>
      </c>
      <c r="AI1094" s="314">
        <f t="shared" si="302"/>
        <v>-22272.72337117268</v>
      </c>
      <c r="AJ1094" s="314">
        <f t="shared" si="303"/>
        <v>0</v>
      </c>
      <c r="AK1094" s="317"/>
      <c r="AL1094" s="315">
        <f t="shared" si="304"/>
        <v>-879.00553846153844</v>
      </c>
      <c r="AN1094" s="554">
        <f t="shared" si="305"/>
        <v>-0.35601105630590774</v>
      </c>
      <c r="AO1094" s="314"/>
      <c r="AP1094" s="318"/>
    </row>
    <row r="1095" spans="2:42">
      <c r="B1095" s="296" t="s">
        <v>1254</v>
      </c>
      <c r="C1095" s="299" t="s">
        <v>277</v>
      </c>
      <c r="D1095" s="298" t="s">
        <v>730</v>
      </c>
      <c r="E1095" s="299" t="s">
        <v>113</v>
      </c>
      <c r="F1095" s="299" t="s">
        <v>59</v>
      </c>
      <c r="G1095" s="300">
        <v>44348</v>
      </c>
      <c r="H1095" s="303">
        <v>5246.71</v>
      </c>
      <c r="I1095" s="301" t="str">
        <f t="shared" si="289"/>
        <v>Ingresos Sección II LISR (SIC &amp; BMV)</v>
      </c>
      <c r="J1095" s="302">
        <f t="shared" si="290"/>
        <v>17</v>
      </c>
      <c r="K1095" s="304">
        <f t="shared" si="291"/>
        <v>308.63</v>
      </c>
      <c r="L1095" s="305">
        <f>IF(H1095=0,0,IF(OR(E1095=$AT$5,E1095=$AT$6),AA1095,IF(F1095="MXN",1/HLOOKUP(YEAR(G1095)+(MONTH(G1095)/100),TC!$5:$37,DAY(G1095)+2,FALSE),VLOOKUP(F1095,Equivalencia!$5:$23,((MAX(Equivalencia!$3:$3)-YEAR(G1095))*14)+MONTH(G1095)+2,FALSE))))</f>
        <v>1</v>
      </c>
      <c r="M1095" s="306">
        <f t="shared" si="292"/>
        <v>5246.71</v>
      </c>
      <c r="N1095" s="305">
        <f>IF(G1095=0,0,(IF(OR(E1095=$AT$5,E1095=$AT$6),AC1095,HLOOKUP(YEAR(G1095)+(MONTH(G1095)/100),TC!$5:$37,DAY(G1095)+2,FALSE))))</f>
        <v>19.944199999999999</v>
      </c>
      <c r="O1095" s="307">
        <f t="shared" si="293"/>
        <v>104641.433582</v>
      </c>
      <c r="P1095" s="560">
        <f>IF(G1095=0,0,VLOOKUP(YEAR(G1095),INPC!$B$4:$P$30,MONTH(G1095)+2))</f>
        <v>113.018</v>
      </c>
      <c r="Q1095" s="560">
        <f>IF(X1095=0,0,IF(OR(E1095=$AT$10,E1095=$AT$9),VLOOKUP(YEAR(X1095),INPC!$B$4:$P$30,MONTH(X1095)+1),VLOOKUP(YEAR(X1095),INPC!$B$4:$P$30,MONTH(X1095)+2,0)))</f>
        <v>124.571</v>
      </c>
      <c r="R1095" s="309">
        <f t="shared" si="294"/>
        <v>1.1022000000000001</v>
      </c>
      <c r="S1095" s="310">
        <f t="shared" si="295"/>
        <v>115335.7880940804</v>
      </c>
      <c r="T1095" s="555">
        <f t="shared" si="296"/>
        <v>6784.4581231811999</v>
      </c>
      <c r="U1095" s="311"/>
      <c r="V1095" s="312">
        <v>17</v>
      </c>
      <c r="W1095" s="299" t="s">
        <v>194</v>
      </c>
      <c r="X1095" s="300">
        <v>44855</v>
      </c>
      <c r="Y1095" s="299" t="s">
        <v>59</v>
      </c>
      <c r="Z1095" s="303">
        <v>3401.0530555555556</v>
      </c>
      <c r="AA1095" s="305">
        <f>IF(Z1095=0,0,IF(Y1095="MXN",1/HLOOKUP(YEAR(X1095)+(MONTH(X1095)/100),TC!$5:$37,DAY(X1095)+2,FALSE),VLOOKUP(Y1095,Equivalencia!$1:$23,((MAX(Equivalencia!$3:$3)-YEAR(X1095))*14)+MONTH(X1095)+2,FALSE)))</f>
        <v>1</v>
      </c>
      <c r="AB1095" s="306">
        <f t="shared" si="297"/>
        <v>3401.0530555555556</v>
      </c>
      <c r="AC1095" s="305">
        <f>+IF(X1095=0,0,HLOOKUP(YEAR(X1095)+(MONTH(X1095)/100),TC!$5:$37,DAY(X1095)+2,FALSE))</f>
        <v>20.127199999999998</v>
      </c>
      <c r="AD1095" s="307">
        <f t="shared" si="298"/>
        <v>68453.675059777772</v>
      </c>
      <c r="AE1095" s="314">
        <f t="shared" si="299"/>
        <v>115335.7880940804</v>
      </c>
      <c r="AF1095" s="315">
        <f t="shared" si="300"/>
        <v>-46882.113034302631</v>
      </c>
      <c r="AG1095" s="316">
        <f t="shared" si="301"/>
        <v>1.3890410958904109</v>
      </c>
      <c r="AH1095" s="314">
        <v>1</v>
      </c>
      <c r="AI1095" s="314">
        <f t="shared" si="302"/>
        <v>-46882.113034302631</v>
      </c>
      <c r="AJ1095" s="314">
        <f t="shared" si="303"/>
        <v>0</v>
      </c>
      <c r="AK1095" s="317"/>
      <c r="AL1095" s="315">
        <f t="shared" si="304"/>
        <v>-1845.6569444444444</v>
      </c>
      <c r="AN1095" s="554">
        <f t="shared" si="305"/>
        <v>-0.35177414883697489</v>
      </c>
      <c r="AO1095" s="314"/>
      <c r="AP1095" s="318"/>
    </row>
    <row r="1096" spans="2:42">
      <c r="B1096" s="296" t="s">
        <v>1254</v>
      </c>
      <c r="C1096" s="299" t="s">
        <v>277</v>
      </c>
      <c r="D1096" s="298" t="s">
        <v>730</v>
      </c>
      <c r="E1096" s="299" t="s">
        <v>113</v>
      </c>
      <c r="F1096" s="299" t="s">
        <v>59</v>
      </c>
      <c r="G1096" s="300">
        <v>44431</v>
      </c>
      <c r="H1096" s="303">
        <v>6429.0870000000014</v>
      </c>
      <c r="I1096" s="301" t="str">
        <f t="shared" si="289"/>
        <v>Ingresos Sección II LISR (SIC &amp; BMV)</v>
      </c>
      <c r="J1096" s="302">
        <f t="shared" si="290"/>
        <v>19</v>
      </c>
      <c r="K1096" s="304">
        <f t="shared" si="291"/>
        <v>338.37300000000005</v>
      </c>
      <c r="L1096" s="305">
        <f>IF(H1096=0,0,IF(OR(E1096=$AT$5,E1096=$AT$6),AA1096,IF(F1096="MXN",1/HLOOKUP(YEAR(G1096)+(MONTH(G1096)/100),TC!$5:$37,DAY(G1096)+2,FALSE),VLOOKUP(F1096,Equivalencia!$5:$23,((MAX(Equivalencia!$3:$3)-YEAR(G1096))*14)+MONTH(G1096)+2,FALSE))))</f>
        <v>1</v>
      </c>
      <c r="M1096" s="306">
        <f t="shared" si="292"/>
        <v>6429.0870000000014</v>
      </c>
      <c r="N1096" s="305">
        <f>IF(G1096=0,0,(IF(OR(E1096=$AT$5,E1096=$AT$6),AC1096,HLOOKUP(YEAR(G1096)+(MONTH(G1096)/100),TC!$5:$37,DAY(G1096)+2,FALSE))))</f>
        <v>20.1175</v>
      </c>
      <c r="O1096" s="307">
        <f t="shared" si="293"/>
        <v>129337.15772250002</v>
      </c>
      <c r="P1096" s="560">
        <f>IF(G1096=0,0,VLOOKUP(YEAR(G1096),INPC!$B$4:$P$30,MONTH(G1096)+2))</f>
        <v>113.899</v>
      </c>
      <c r="Q1096" s="560">
        <f>IF(X1096=0,0,IF(OR(E1096=$AT$10,E1096=$AT$9),VLOOKUP(YEAR(X1096),INPC!$B$4:$P$30,MONTH(X1096)+1),VLOOKUP(YEAR(X1096),INPC!$B$4:$P$30,MONTH(X1096)+2,0)))</f>
        <v>124.571</v>
      </c>
      <c r="R1096" s="309">
        <f t="shared" si="294"/>
        <v>1.0935999999999999</v>
      </c>
      <c r="S1096" s="310">
        <f t="shared" si="295"/>
        <v>141443.11568532602</v>
      </c>
      <c r="T1096" s="555">
        <f t="shared" si="296"/>
        <v>7444.3745097540013</v>
      </c>
      <c r="U1096" s="311"/>
      <c r="V1096" s="312">
        <v>19</v>
      </c>
      <c r="W1096" s="299" t="s">
        <v>194</v>
      </c>
      <c r="X1096" s="300">
        <v>44855</v>
      </c>
      <c r="Y1096" s="299" t="s">
        <v>59</v>
      </c>
      <c r="Z1096" s="303">
        <v>3801.1769444444444</v>
      </c>
      <c r="AA1096" s="305">
        <f>IF(Z1096=0,0,IF(Y1096="MXN",1/HLOOKUP(YEAR(X1096)+(MONTH(X1096)/100),TC!$5:$37,DAY(X1096)+2,FALSE),VLOOKUP(Y1096,Equivalencia!$1:$23,((MAX(Equivalencia!$3:$3)-YEAR(X1096))*14)+MONTH(X1096)+2,FALSE)))</f>
        <v>1</v>
      </c>
      <c r="AB1096" s="306">
        <f t="shared" si="297"/>
        <v>3801.1769444444444</v>
      </c>
      <c r="AC1096" s="305">
        <f>+IF(X1096=0,0,HLOOKUP(YEAR(X1096)+(MONTH(X1096)/100),TC!$5:$37,DAY(X1096)+2,FALSE))</f>
        <v>20.127199999999998</v>
      </c>
      <c r="AD1096" s="307">
        <f t="shared" si="298"/>
        <v>76507.048596222216</v>
      </c>
      <c r="AE1096" s="314">
        <f t="shared" si="299"/>
        <v>141443.11568532602</v>
      </c>
      <c r="AF1096" s="315">
        <f t="shared" si="300"/>
        <v>-64936.067089103803</v>
      </c>
      <c r="AG1096" s="316">
        <f t="shared" si="301"/>
        <v>1.1616438356164382</v>
      </c>
      <c r="AH1096" s="314">
        <v>1</v>
      </c>
      <c r="AI1096" s="314">
        <f t="shared" si="302"/>
        <v>-64936.067089103803</v>
      </c>
      <c r="AJ1096" s="314">
        <f t="shared" si="303"/>
        <v>0</v>
      </c>
      <c r="AK1096" s="317"/>
      <c r="AL1096" s="315">
        <f t="shared" si="304"/>
        <v>-2627.9100555555569</v>
      </c>
      <c r="AN1096" s="554">
        <f t="shared" si="305"/>
        <v>-0.40875322663319946</v>
      </c>
      <c r="AO1096" s="314"/>
      <c r="AP1096" s="318"/>
    </row>
    <row r="1097" spans="2:42">
      <c r="B1097" s="296" t="s">
        <v>1254</v>
      </c>
      <c r="C1097" s="299" t="s">
        <v>277</v>
      </c>
      <c r="D1097" s="298" t="s">
        <v>731</v>
      </c>
      <c r="E1097" s="299" t="s">
        <v>113</v>
      </c>
      <c r="F1097" s="299" t="s">
        <v>59</v>
      </c>
      <c r="G1097" s="300">
        <v>44174</v>
      </c>
      <c r="H1097" s="303">
        <v>1095.245789473684</v>
      </c>
      <c r="I1097" s="301" t="str">
        <f t="shared" si="289"/>
        <v>Ingresos Sección II LISR (SIC &amp; BMV)</v>
      </c>
      <c r="J1097" s="302">
        <f t="shared" si="290"/>
        <v>15</v>
      </c>
      <c r="K1097" s="304">
        <f t="shared" si="291"/>
        <v>73.01638596491226</v>
      </c>
      <c r="L1097" s="305">
        <f>IF(H1097=0,0,IF(OR(E1097=$AT$5,E1097=$AT$6),AA1097,IF(F1097="MXN",1/HLOOKUP(YEAR(G1097)+(MONTH(G1097)/100),TC!$5:$37,DAY(G1097)+2,FALSE),VLOOKUP(F1097,Equivalencia!$5:$23,((MAX(Equivalencia!$3:$3)-YEAR(G1097))*14)+MONTH(G1097)+2,FALSE))))</f>
        <v>1</v>
      </c>
      <c r="M1097" s="306">
        <f t="shared" si="292"/>
        <v>1095.245789473684</v>
      </c>
      <c r="N1097" s="305">
        <f>IF(G1097=0,0,(IF(OR(E1097=$AT$5,E1097=$AT$6),AC1097,HLOOKUP(YEAR(G1097)+(MONTH(G1097)/100),TC!$5:$37,DAY(G1097)+2,FALSE))))</f>
        <v>19.821300000000001</v>
      </c>
      <c r="O1097" s="307">
        <f t="shared" si="293"/>
        <v>21709.195366894735</v>
      </c>
      <c r="P1097" s="560">
        <f>IF(G1097=0,0,VLOOKUP(YEAR(G1097),INPC!$B$4:$P$30,MONTH(G1097)+2))</f>
        <v>109.271</v>
      </c>
      <c r="Q1097" s="560">
        <f>IF(X1097=0,0,IF(OR(E1097=$AT$10,E1097=$AT$9),VLOOKUP(YEAR(X1097),INPC!$B$4:$P$30,MONTH(X1097)+1),VLOOKUP(YEAR(X1097),INPC!$B$4:$P$30,MONTH(X1097)+2,0)))</f>
        <v>122.94799999999999</v>
      </c>
      <c r="R1097" s="309">
        <f t="shared" si="294"/>
        <v>1.1251</v>
      </c>
      <c r="S1097" s="310">
        <f t="shared" si="295"/>
        <v>24425.015707293267</v>
      </c>
      <c r="T1097" s="555">
        <f t="shared" si="296"/>
        <v>1628.3343804862177</v>
      </c>
      <c r="U1097" s="311"/>
      <c r="V1097" s="312">
        <v>15</v>
      </c>
      <c r="W1097" s="299" t="s">
        <v>194</v>
      </c>
      <c r="X1097" s="300">
        <v>44783</v>
      </c>
      <c r="Y1097" s="299" t="s">
        <v>59</v>
      </c>
      <c r="Z1097" s="303">
        <v>1337.7583333333332</v>
      </c>
      <c r="AA1097" s="305">
        <f>IF(Z1097=0,0,IF(Y1097="MXN",1/HLOOKUP(YEAR(X1097)+(MONTH(X1097)/100),TC!$5:$37,DAY(X1097)+2,FALSE),VLOOKUP(Y1097,Equivalencia!$1:$23,((MAX(Equivalencia!$3:$3)-YEAR(X1097))*14)+MONTH(X1097)+2,FALSE)))</f>
        <v>1</v>
      </c>
      <c r="AB1097" s="306">
        <f t="shared" si="297"/>
        <v>1337.7583333333332</v>
      </c>
      <c r="AC1097" s="305">
        <f>+IF(X1097=0,0,HLOOKUP(YEAR(X1097)+(MONTH(X1097)/100),TC!$5:$37,DAY(X1097)+2,FALSE))</f>
        <v>20.2789</v>
      </c>
      <c r="AD1097" s="307">
        <f t="shared" si="298"/>
        <v>27128.267465833331</v>
      </c>
      <c r="AE1097" s="314">
        <f t="shared" si="299"/>
        <v>24425.015707293267</v>
      </c>
      <c r="AF1097" s="315">
        <f t="shared" si="300"/>
        <v>2703.2517585400637</v>
      </c>
      <c r="AG1097" s="316">
        <f t="shared" si="301"/>
        <v>1.6684931506849314</v>
      </c>
      <c r="AH1097" s="314">
        <v>1</v>
      </c>
      <c r="AI1097" s="314">
        <f t="shared" si="302"/>
        <v>2703.2517585400637</v>
      </c>
      <c r="AJ1097" s="314">
        <f t="shared" si="303"/>
        <v>0</v>
      </c>
      <c r="AK1097" s="317"/>
      <c r="AL1097" s="315">
        <f t="shared" si="304"/>
        <v>242.51254385964921</v>
      </c>
      <c r="AN1097" s="554">
        <f t="shared" si="305"/>
        <v>0.22142294103334345</v>
      </c>
      <c r="AO1097" s="314"/>
      <c r="AP1097" s="318"/>
    </row>
    <row r="1098" spans="2:42">
      <c r="B1098" s="296" t="s">
        <v>1254</v>
      </c>
      <c r="C1098" s="299" t="s">
        <v>277</v>
      </c>
      <c r="D1098" s="298" t="s">
        <v>731</v>
      </c>
      <c r="E1098" s="299" t="s">
        <v>113</v>
      </c>
      <c r="F1098" s="299" t="s">
        <v>59</v>
      </c>
      <c r="G1098" s="300">
        <v>44179</v>
      </c>
      <c r="H1098" s="303">
        <v>8463.98</v>
      </c>
      <c r="I1098" s="301" t="str">
        <f t="shared" si="289"/>
        <v>Ingresos Sección II LISR (SIC &amp; BMV)</v>
      </c>
      <c r="J1098" s="302">
        <f t="shared" si="290"/>
        <v>113</v>
      </c>
      <c r="K1098" s="304">
        <f t="shared" si="291"/>
        <v>74.90247787610619</v>
      </c>
      <c r="L1098" s="305">
        <f>IF(H1098=0,0,IF(OR(E1098=$AT$5,E1098=$AT$6),AA1098,IF(F1098="MXN",1/HLOOKUP(YEAR(G1098)+(MONTH(G1098)/100),TC!$5:$37,DAY(G1098)+2,FALSE),VLOOKUP(F1098,Equivalencia!$5:$23,((MAX(Equivalencia!$3:$3)-YEAR(G1098))*14)+MONTH(G1098)+2,FALSE))))</f>
        <v>1</v>
      </c>
      <c r="M1098" s="306">
        <f t="shared" si="292"/>
        <v>8463.98</v>
      </c>
      <c r="N1098" s="305">
        <f>IF(G1098=0,0,(IF(OR(E1098=$AT$5,E1098=$AT$6),AC1098,HLOOKUP(YEAR(G1098)+(MONTH(G1098)/100),TC!$5:$37,DAY(G1098)+2,FALSE))))</f>
        <v>19.9572</v>
      </c>
      <c r="O1098" s="307">
        <f t="shared" si="293"/>
        <v>168917.341656</v>
      </c>
      <c r="P1098" s="560">
        <f>IF(G1098=0,0,VLOOKUP(YEAR(G1098),INPC!$B$4:$P$30,MONTH(G1098)+2))</f>
        <v>109.271</v>
      </c>
      <c r="Q1098" s="560">
        <f>IF(X1098=0,0,IF(OR(E1098=$AT$10,E1098=$AT$9),VLOOKUP(YEAR(X1098),INPC!$B$4:$P$30,MONTH(X1098)+1),VLOOKUP(YEAR(X1098),INPC!$B$4:$P$30,MONTH(X1098)+2,0)))</f>
        <v>122.94799999999999</v>
      </c>
      <c r="R1098" s="309">
        <f t="shared" si="294"/>
        <v>1.1251</v>
      </c>
      <c r="S1098" s="310">
        <f t="shared" si="295"/>
        <v>190048.9010971656</v>
      </c>
      <c r="T1098" s="555">
        <f t="shared" si="296"/>
        <v>1681.8486822758018</v>
      </c>
      <c r="U1098" s="311"/>
      <c r="V1098" s="312">
        <v>113</v>
      </c>
      <c r="W1098" s="299" t="s">
        <v>194</v>
      </c>
      <c r="X1098" s="300">
        <v>44783</v>
      </c>
      <c r="Y1098" s="299" t="s">
        <v>59</v>
      </c>
      <c r="Z1098" s="303">
        <v>10077.779444444444</v>
      </c>
      <c r="AA1098" s="305">
        <f>IF(Z1098=0,0,IF(Y1098="MXN",1/HLOOKUP(YEAR(X1098)+(MONTH(X1098)/100),TC!$5:$37,DAY(X1098)+2,FALSE),VLOOKUP(Y1098,Equivalencia!$1:$23,((MAX(Equivalencia!$3:$3)-YEAR(X1098))*14)+MONTH(X1098)+2,FALSE)))</f>
        <v>1</v>
      </c>
      <c r="AB1098" s="306">
        <f t="shared" si="297"/>
        <v>10077.779444444444</v>
      </c>
      <c r="AC1098" s="305">
        <f>+IF(X1098=0,0,HLOOKUP(YEAR(X1098)+(MONTH(X1098)/100),TC!$5:$37,DAY(X1098)+2,FALSE))</f>
        <v>20.2789</v>
      </c>
      <c r="AD1098" s="307">
        <f t="shared" si="298"/>
        <v>204366.28157594445</v>
      </c>
      <c r="AE1098" s="314">
        <f t="shared" si="299"/>
        <v>190048.9010971656</v>
      </c>
      <c r="AF1098" s="315">
        <f t="shared" si="300"/>
        <v>14317.380478778854</v>
      </c>
      <c r="AG1098" s="316">
        <f t="shared" si="301"/>
        <v>1.6547945205479453</v>
      </c>
      <c r="AH1098" s="314">
        <v>1</v>
      </c>
      <c r="AI1098" s="314">
        <f t="shared" si="302"/>
        <v>14317.380478778854</v>
      </c>
      <c r="AJ1098" s="314">
        <f t="shared" si="303"/>
        <v>0</v>
      </c>
      <c r="AK1098" s="317"/>
      <c r="AL1098" s="315">
        <f t="shared" si="304"/>
        <v>1613.7994444444448</v>
      </c>
      <c r="AN1098" s="554">
        <f t="shared" si="305"/>
        <v>0.19066673650510102</v>
      </c>
      <c r="AO1098" s="314"/>
      <c r="AP1098" s="318"/>
    </row>
    <row r="1099" spans="2:42">
      <c r="B1099" s="296" t="s">
        <v>1254</v>
      </c>
      <c r="C1099" s="299" t="s">
        <v>277</v>
      </c>
      <c r="D1099" s="298" t="s">
        <v>731</v>
      </c>
      <c r="E1099" s="299" t="s">
        <v>113</v>
      </c>
      <c r="F1099" s="299" t="s">
        <v>59</v>
      </c>
      <c r="G1099" s="300">
        <v>44180</v>
      </c>
      <c r="H1099" s="303">
        <v>2536.0543333333339</v>
      </c>
      <c r="I1099" s="301" t="str">
        <f t="shared" si="289"/>
        <v>Ingresos Sección II LISR (SIC &amp; BMV)</v>
      </c>
      <c r="J1099" s="302">
        <f t="shared" si="290"/>
        <v>34</v>
      </c>
      <c r="K1099" s="304">
        <f t="shared" si="291"/>
        <v>74.589833333333345</v>
      </c>
      <c r="L1099" s="305">
        <f>IF(H1099=0,0,IF(OR(E1099=$AT$5,E1099=$AT$6),AA1099,IF(F1099="MXN",1/HLOOKUP(YEAR(G1099)+(MONTH(G1099)/100),TC!$5:$37,DAY(G1099)+2,FALSE),VLOOKUP(F1099,Equivalencia!$5:$23,((MAX(Equivalencia!$3:$3)-YEAR(G1099))*14)+MONTH(G1099)+2,FALSE))))</f>
        <v>1</v>
      </c>
      <c r="M1099" s="306">
        <f t="shared" si="292"/>
        <v>2536.0543333333339</v>
      </c>
      <c r="N1099" s="305">
        <f>IF(G1099=0,0,(IF(OR(E1099=$AT$5,E1099=$AT$6),AC1099,HLOOKUP(YEAR(G1099)+(MONTH(G1099)/100),TC!$5:$37,DAY(G1099)+2,FALSE))))</f>
        <v>20.107500000000002</v>
      </c>
      <c r="O1099" s="307">
        <f t="shared" si="293"/>
        <v>50993.712507500015</v>
      </c>
      <c r="P1099" s="560">
        <f>IF(G1099=0,0,VLOOKUP(YEAR(G1099),INPC!$B$4:$P$30,MONTH(G1099)+2))</f>
        <v>109.271</v>
      </c>
      <c r="Q1099" s="560">
        <f>IF(X1099=0,0,IF(OR(E1099=$AT$10,E1099=$AT$9),VLOOKUP(YEAR(X1099),INPC!$B$4:$P$30,MONTH(X1099)+1),VLOOKUP(YEAR(X1099),INPC!$B$4:$P$30,MONTH(X1099)+2,0)))</f>
        <v>122.94799999999999</v>
      </c>
      <c r="R1099" s="309">
        <f t="shared" si="294"/>
        <v>1.1251</v>
      </c>
      <c r="S1099" s="310">
        <f t="shared" si="295"/>
        <v>57373.025942188266</v>
      </c>
      <c r="T1099" s="555">
        <f t="shared" si="296"/>
        <v>1687.4419394761255</v>
      </c>
      <c r="U1099" s="311"/>
      <c r="V1099" s="312">
        <v>34</v>
      </c>
      <c r="W1099" s="299" t="s">
        <v>194</v>
      </c>
      <c r="X1099" s="300">
        <v>44783</v>
      </c>
      <c r="Y1099" s="299" t="s">
        <v>59</v>
      </c>
      <c r="Z1099" s="303">
        <v>3032.2522222222224</v>
      </c>
      <c r="AA1099" s="305">
        <f>IF(Z1099=0,0,IF(Y1099="MXN",1/HLOOKUP(YEAR(X1099)+(MONTH(X1099)/100),TC!$5:$37,DAY(X1099)+2,FALSE),VLOOKUP(Y1099,Equivalencia!$1:$23,((MAX(Equivalencia!$3:$3)-YEAR(X1099))*14)+MONTH(X1099)+2,FALSE)))</f>
        <v>1</v>
      </c>
      <c r="AB1099" s="306">
        <f t="shared" si="297"/>
        <v>3032.2522222222224</v>
      </c>
      <c r="AC1099" s="305">
        <f>+IF(X1099=0,0,HLOOKUP(YEAR(X1099)+(MONTH(X1099)/100),TC!$5:$37,DAY(X1099)+2,FALSE))</f>
        <v>20.2789</v>
      </c>
      <c r="AD1099" s="307">
        <f t="shared" si="298"/>
        <v>61490.739589222227</v>
      </c>
      <c r="AE1099" s="314">
        <f t="shared" si="299"/>
        <v>57373.025942188266</v>
      </c>
      <c r="AF1099" s="315">
        <f t="shared" si="300"/>
        <v>4117.713647033961</v>
      </c>
      <c r="AG1099" s="316">
        <f t="shared" si="301"/>
        <v>1.6520547945205479</v>
      </c>
      <c r="AH1099" s="314">
        <v>1</v>
      </c>
      <c r="AI1099" s="314">
        <f t="shared" si="302"/>
        <v>4117.713647033961</v>
      </c>
      <c r="AJ1099" s="314">
        <f t="shared" si="303"/>
        <v>0</v>
      </c>
      <c r="AK1099" s="317"/>
      <c r="AL1099" s="315">
        <f t="shared" si="304"/>
        <v>496.19788888888843</v>
      </c>
      <c r="AN1099" s="554">
        <f t="shared" si="305"/>
        <v>0.19565743618619436</v>
      </c>
      <c r="AO1099" s="314"/>
      <c r="AP1099" s="318"/>
    </row>
    <row r="1100" spans="2:42">
      <c r="B1100" s="296" t="s">
        <v>1254</v>
      </c>
      <c r="C1100" s="299" t="s">
        <v>277</v>
      </c>
      <c r="D1100" s="298" t="s">
        <v>731</v>
      </c>
      <c r="E1100" s="299" t="s">
        <v>113</v>
      </c>
      <c r="F1100" s="299" t="s">
        <v>59</v>
      </c>
      <c r="G1100" s="300">
        <v>44180</v>
      </c>
      <c r="H1100" s="303">
        <v>1566.3865000000003</v>
      </c>
      <c r="I1100" s="301" t="str">
        <f t="shared" si="289"/>
        <v>Ingresos Sección II LISR (SIC &amp; BMV)</v>
      </c>
      <c r="J1100" s="302">
        <f t="shared" si="290"/>
        <v>21</v>
      </c>
      <c r="K1100" s="304">
        <f t="shared" si="291"/>
        <v>74.589833333333345</v>
      </c>
      <c r="L1100" s="305">
        <f>IF(H1100=0,0,IF(OR(E1100=$AT$5,E1100=$AT$6),AA1100,IF(F1100="MXN",1/HLOOKUP(YEAR(G1100)+(MONTH(G1100)/100),TC!$5:$37,DAY(G1100)+2,FALSE),VLOOKUP(F1100,Equivalencia!$5:$23,((MAX(Equivalencia!$3:$3)-YEAR(G1100))*14)+MONTH(G1100)+2,FALSE))))</f>
        <v>1</v>
      </c>
      <c r="M1100" s="306">
        <f t="shared" si="292"/>
        <v>1566.3865000000003</v>
      </c>
      <c r="N1100" s="305">
        <f>IF(G1100=0,0,(IF(OR(E1100=$AT$5,E1100=$AT$6),AC1100,HLOOKUP(YEAR(G1100)+(MONTH(G1100)/100),TC!$5:$37,DAY(G1100)+2,FALSE))))</f>
        <v>20.107500000000002</v>
      </c>
      <c r="O1100" s="307">
        <f t="shared" si="293"/>
        <v>31496.116548750007</v>
      </c>
      <c r="P1100" s="560">
        <f>IF(G1100=0,0,VLOOKUP(YEAR(G1100),INPC!$B$4:$P$30,MONTH(G1100)+2))</f>
        <v>109.271</v>
      </c>
      <c r="Q1100" s="560">
        <f>IF(X1100=0,0,IF(OR(E1100=$AT$10,E1100=$AT$9),VLOOKUP(YEAR(X1100),INPC!$B$4:$P$30,MONTH(X1100)+1),VLOOKUP(YEAR(X1100),INPC!$B$4:$P$30,MONTH(X1100)+2,0)))</f>
        <v>122.94799999999999</v>
      </c>
      <c r="R1100" s="309">
        <f t="shared" si="294"/>
        <v>1.1251</v>
      </c>
      <c r="S1100" s="310">
        <f t="shared" si="295"/>
        <v>35436.28072899863</v>
      </c>
      <c r="T1100" s="555">
        <f t="shared" si="296"/>
        <v>1687.4419394761253</v>
      </c>
      <c r="U1100" s="311"/>
      <c r="V1100" s="312">
        <v>21</v>
      </c>
      <c r="W1100" s="299" t="s">
        <v>194</v>
      </c>
      <c r="X1100" s="300">
        <v>44783</v>
      </c>
      <c r="Y1100" s="299" t="s">
        <v>59</v>
      </c>
      <c r="Z1100" s="303">
        <v>1871.43</v>
      </c>
      <c r="AA1100" s="305">
        <f>IF(Z1100=0,0,IF(Y1100="MXN",1/HLOOKUP(YEAR(X1100)+(MONTH(X1100)/100),TC!$5:$37,DAY(X1100)+2,FALSE),VLOOKUP(Y1100,Equivalencia!$1:$23,((MAX(Equivalencia!$3:$3)-YEAR(X1100))*14)+MONTH(X1100)+2,FALSE)))</f>
        <v>1</v>
      </c>
      <c r="AB1100" s="306">
        <f t="shared" si="297"/>
        <v>1871.43</v>
      </c>
      <c r="AC1100" s="305">
        <f>+IF(X1100=0,0,HLOOKUP(YEAR(X1100)+(MONTH(X1100)/100),TC!$5:$37,DAY(X1100)+2,FALSE))</f>
        <v>20.2789</v>
      </c>
      <c r="AD1100" s="307">
        <f t="shared" si="298"/>
        <v>37950.541827000001</v>
      </c>
      <c r="AE1100" s="314">
        <f t="shared" si="299"/>
        <v>35436.28072899863</v>
      </c>
      <c r="AF1100" s="315">
        <f t="shared" si="300"/>
        <v>2514.2610980013706</v>
      </c>
      <c r="AG1100" s="316">
        <f t="shared" si="301"/>
        <v>1.6520547945205479</v>
      </c>
      <c r="AH1100" s="314">
        <v>1</v>
      </c>
      <c r="AI1100" s="314">
        <f t="shared" si="302"/>
        <v>2514.2610980013706</v>
      </c>
      <c r="AJ1100" s="314">
        <f t="shared" si="303"/>
        <v>0</v>
      </c>
      <c r="AK1100" s="317"/>
      <c r="AL1100" s="315">
        <f t="shared" si="304"/>
        <v>305.04349999999977</v>
      </c>
      <c r="AN1100" s="554">
        <f t="shared" si="305"/>
        <v>0.19474344294974433</v>
      </c>
      <c r="AO1100" s="314"/>
      <c r="AP1100" s="318"/>
    </row>
    <row r="1101" spans="2:42">
      <c r="B1101" s="296" t="s">
        <v>1254</v>
      </c>
      <c r="C1101" s="299" t="s">
        <v>277</v>
      </c>
      <c r="D1101" s="298" t="s">
        <v>731</v>
      </c>
      <c r="E1101" s="299" t="s">
        <v>113</v>
      </c>
      <c r="F1101" s="299" t="s">
        <v>59</v>
      </c>
      <c r="G1101" s="300">
        <v>44180</v>
      </c>
      <c r="H1101" s="303">
        <v>4848.3391666666676</v>
      </c>
      <c r="I1101" s="301" t="str">
        <f t="shared" si="289"/>
        <v>Ingresos Sección II LISR (SIC &amp; BMV)</v>
      </c>
      <c r="J1101" s="302">
        <f t="shared" si="290"/>
        <v>65</v>
      </c>
      <c r="K1101" s="304">
        <f t="shared" si="291"/>
        <v>74.589833333333345</v>
      </c>
      <c r="L1101" s="305">
        <f>IF(H1101=0,0,IF(OR(E1101=$AT$5,E1101=$AT$6),AA1101,IF(F1101="MXN",1/HLOOKUP(YEAR(G1101)+(MONTH(G1101)/100),TC!$5:$37,DAY(G1101)+2,FALSE),VLOOKUP(F1101,Equivalencia!$5:$23,((MAX(Equivalencia!$3:$3)-YEAR(G1101))*14)+MONTH(G1101)+2,FALSE))))</f>
        <v>1</v>
      </c>
      <c r="M1101" s="306">
        <f t="shared" si="292"/>
        <v>4848.3391666666676</v>
      </c>
      <c r="N1101" s="305">
        <f>IF(G1101=0,0,(IF(OR(E1101=$AT$5,E1101=$AT$6),AC1101,HLOOKUP(YEAR(G1101)+(MONTH(G1101)/100),TC!$5:$37,DAY(G1101)+2,FALSE))))</f>
        <v>20.107500000000002</v>
      </c>
      <c r="O1101" s="307">
        <f t="shared" si="293"/>
        <v>97487.979793750026</v>
      </c>
      <c r="P1101" s="560">
        <f>IF(G1101=0,0,VLOOKUP(YEAR(G1101),INPC!$B$4:$P$30,MONTH(G1101)+2))</f>
        <v>109.271</v>
      </c>
      <c r="Q1101" s="560">
        <f>IF(X1101=0,0,IF(OR(E1101=$AT$10,E1101=$AT$9),VLOOKUP(YEAR(X1101),INPC!$B$4:$P$30,MONTH(X1101)+1),VLOOKUP(YEAR(X1101),INPC!$B$4:$P$30,MONTH(X1101)+2,0)))</f>
        <v>124.571</v>
      </c>
      <c r="R1101" s="309">
        <f t="shared" si="294"/>
        <v>1.1399999999999999</v>
      </c>
      <c r="S1101" s="310">
        <f t="shared" si="295"/>
        <v>111136.29696487501</v>
      </c>
      <c r="T1101" s="555">
        <f t="shared" si="296"/>
        <v>1709.7891840750003</v>
      </c>
      <c r="U1101" s="311"/>
      <c r="V1101" s="312">
        <v>65</v>
      </c>
      <c r="W1101" s="299" t="s">
        <v>194</v>
      </c>
      <c r="X1101" s="300">
        <v>44847</v>
      </c>
      <c r="Y1101" s="299" t="s">
        <v>59</v>
      </c>
      <c r="Z1101" s="303">
        <v>4635.4854357798167</v>
      </c>
      <c r="AA1101" s="305">
        <f>IF(Z1101=0,0,IF(Y1101="MXN",1/HLOOKUP(YEAR(X1101)+(MONTH(X1101)/100),TC!$5:$37,DAY(X1101)+2,FALSE),VLOOKUP(Y1101,Equivalencia!$1:$23,((MAX(Equivalencia!$3:$3)-YEAR(X1101))*14)+MONTH(X1101)+2,FALSE)))</f>
        <v>1</v>
      </c>
      <c r="AB1101" s="306">
        <f t="shared" si="297"/>
        <v>4635.4854357798167</v>
      </c>
      <c r="AC1101" s="305">
        <f>+IF(X1101=0,0,HLOOKUP(YEAR(X1101)+(MONTH(X1101)/100),TC!$5:$37,DAY(X1101)+2,FALSE))</f>
        <v>19.965199999999999</v>
      </c>
      <c r="AD1101" s="307">
        <f t="shared" si="298"/>
        <v>92548.393822431201</v>
      </c>
      <c r="AE1101" s="314">
        <f t="shared" si="299"/>
        <v>111136.29696487501</v>
      </c>
      <c r="AF1101" s="315">
        <f t="shared" si="300"/>
        <v>-18587.903142443814</v>
      </c>
      <c r="AG1101" s="316">
        <f t="shared" si="301"/>
        <v>1.8273972602739725</v>
      </c>
      <c r="AH1101" s="314">
        <v>1</v>
      </c>
      <c r="AI1101" s="314">
        <f t="shared" si="302"/>
        <v>-18587.903142443814</v>
      </c>
      <c r="AJ1101" s="314">
        <f t="shared" si="303"/>
        <v>0</v>
      </c>
      <c r="AK1101" s="317"/>
      <c r="AL1101" s="315">
        <f t="shared" si="304"/>
        <v>-212.85373088685083</v>
      </c>
      <c r="AN1101" s="554">
        <f t="shared" si="305"/>
        <v>-4.390240112537179E-2</v>
      </c>
      <c r="AO1101" s="314"/>
      <c r="AP1101" s="318"/>
    </row>
    <row r="1102" spans="2:42">
      <c r="B1102" s="296" t="s">
        <v>1254</v>
      </c>
      <c r="C1102" s="299" t="s">
        <v>277</v>
      </c>
      <c r="D1102" s="298" t="s">
        <v>731</v>
      </c>
      <c r="E1102" s="299" t="s">
        <v>113</v>
      </c>
      <c r="F1102" s="299" t="s">
        <v>59</v>
      </c>
      <c r="G1102" s="300">
        <v>44194</v>
      </c>
      <c r="H1102" s="303">
        <v>9052.5400000000009</v>
      </c>
      <c r="I1102" s="301" t="str">
        <f t="shared" si="289"/>
        <v>Ingresos Sección II LISR (SIC &amp; BMV)</v>
      </c>
      <c r="J1102" s="302">
        <f t="shared" si="290"/>
        <v>120</v>
      </c>
      <c r="K1102" s="304">
        <f t="shared" si="291"/>
        <v>75.437833333333344</v>
      </c>
      <c r="L1102" s="305">
        <f>IF(H1102=0,0,IF(OR(E1102=$AT$5,E1102=$AT$6),AA1102,IF(F1102="MXN",1/HLOOKUP(YEAR(G1102)+(MONTH(G1102)/100),TC!$5:$37,DAY(G1102)+2,FALSE),VLOOKUP(F1102,Equivalencia!$5:$23,((MAX(Equivalencia!$3:$3)-YEAR(G1102))*14)+MONTH(G1102)+2,FALSE))))</f>
        <v>1</v>
      </c>
      <c r="M1102" s="306">
        <f t="shared" si="292"/>
        <v>9052.5400000000009</v>
      </c>
      <c r="N1102" s="305">
        <f>IF(G1102=0,0,(IF(OR(E1102=$AT$5,E1102=$AT$6),AC1102,HLOOKUP(YEAR(G1102)+(MONTH(G1102)/100),TC!$5:$37,DAY(G1102)+2,FALSE))))</f>
        <v>19.851700000000001</v>
      </c>
      <c r="O1102" s="307">
        <f t="shared" si="293"/>
        <v>179708.30831800002</v>
      </c>
      <c r="P1102" s="560">
        <f>IF(G1102=0,0,VLOOKUP(YEAR(G1102),INPC!$B$4:$P$30,MONTH(G1102)+2))</f>
        <v>109.271</v>
      </c>
      <c r="Q1102" s="560">
        <f>IF(X1102=0,0,IF(OR(E1102=$AT$10,E1102=$AT$9),VLOOKUP(YEAR(X1102),INPC!$B$4:$P$30,MONTH(X1102)+1),VLOOKUP(YEAR(X1102),INPC!$B$4:$P$30,MONTH(X1102)+2,0)))</f>
        <v>124.571</v>
      </c>
      <c r="R1102" s="309">
        <f t="shared" si="294"/>
        <v>1.1399999999999999</v>
      </c>
      <c r="S1102" s="310">
        <f t="shared" si="295"/>
        <v>204867.47148252002</v>
      </c>
      <c r="T1102" s="555">
        <f t="shared" si="296"/>
        <v>1707.2289290210001</v>
      </c>
      <c r="U1102" s="311"/>
      <c r="V1102" s="312">
        <v>120</v>
      </c>
      <c r="W1102" s="299" t="s">
        <v>194</v>
      </c>
      <c r="X1102" s="300">
        <v>44847</v>
      </c>
      <c r="Y1102" s="299" t="s">
        <v>59</v>
      </c>
      <c r="Z1102" s="303">
        <v>8557.8192660550449</v>
      </c>
      <c r="AA1102" s="305">
        <f>IF(Z1102=0,0,IF(Y1102="MXN",1/HLOOKUP(YEAR(X1102)+(MONTH(X1102)/100),TC!$5:$37,DAY(X1102)+2,FALSE),VLOOKUP(Y1102,Equivalencia!$1:$23,((MAX(Equivalencia!$3:$3)-YEAR(X1102))*14)+MONTH(X1102)+2,FALSE)))</f>
        <v>1</v>
      </c>
      <c r="AB1102" s="306">
        <f t="shared" si="297"/>
        <v>8557.8192660550449</v>
      </c>
      <c r="AC1102" s="305">
        <f>+IF(X1102=0,0,HLOOKUP(YEAR(X1102)+(MONTH(X1102)/100),TC!$5:$37,DAY(X1102)+2,FALSE))</f>
        <v>19.965199999999999</v>
      </c>
      <c r="AD1102" s="307">
        <f t="shared" si="298"/>
        <v>170858.57321064218</v>
      </c>
      <c r="AE1102" s="314">
        <f t="shared" si="299"/>
        <v>204867.47148252002</v>
      </c>
      <c r="AF1102" s="315">
        <f t="shared" si="300"/>
        <v>-34008.898271877842</v>
      </c>
      <c r="AG1102" s="316">
        <f t="shared" si="301"/>
        <v>1.789041095890411</v>
      </c>
      <c r="AH1102" s="314">
        <v>1</v>
      </c>
      <c r="AI1102" s="314">
        <f t="shared" si="302"/>
        <v>-34008.898271877842</v>
      </c>
      <c r="AJ1102" s="314">
        <f t="shared" si="303"/>
        <v>0</v>
      </c>
      <c r="AK1102" s="317"/>
      <c r="AL1102" s="315">
        <f t="shared" si="304"/>
        <v>-494.72073394495601</v>
      </c>
      <c r="AN1102" s="554">
        <f t="shared" si="305"/>
        <v>-5.4649936254902595E-2</v>
      </c>
      <c r="AO1102" s="314"/>
      <c r="AP1102" s="318"/>
    </row>
    <row r="1103" spans="2:42">
      <c r="B1103" s="296" t="s">
        <v>1254</v>
      </c>
      <c r="C1103" s="299" t="s">
        <v>277</v>
      </c>
      <c r="D1103" s="298" t="s">
        <v>731</v>
      </c>
      <c r="E1103" s="299" t="s">
        <v>113</v>
      </c>
      <c r="F1103" s="299" t="s">
        <v>59</v>
      </c>
      <c r="G1103" s="300">
        <v>44257</v>
      </c>
      <c r="H1103" s="303">
        <v>3282.2708547008542</v>
      </c>
      <c r="I1103" s="301" t="str">
        <f t="shared" si="289"/>
        <v>Ingresos Sección II LISR (SIC &amp; BMV)</v>
      </c>
      <c r="J1103" s="302">
        <f t="shared" si="290"/>
        <v>43</v>
      </c>
      <c r="K1103" s="304">
        <f t="shared" si="291"/>
        <v>76.331880341880336</v>
      </c>
      <c r="L1103" s="305">
        <f>IF(H1103=0,0,IF(OR(E1103=$AT$5,E1103=$AT$6),AA1103,IF(F1103="MXN",1/HLOOKUP(YEAR(G1103)+(MONTH(G1103)/100),TC!$5:$37,DAY(G1103)+2,FALSE),VLOOKUP(F1103,Equivalencia!$5:$23,((MAX(Equivalencia!$3:$3)-YEAR(G1103))*14)+MONTH(G1103)+2,FALSE))))</f>
        <v>1</v>
      </c>
      <c r="M1103" s="306">
        <f t="shared" si="292"/>
        <v>3282.2708547008542</v>
      </c>
      <c r="N1103" s="305">
        <f>IF(G1103=0,0,(IF(OR(E1103=$AT$5,E1103=$AT$6),AC1103,HLOOKUP(YEAR(G1103)+(MONTH(G1103)/100),TC!$5:$37,DAY(G1103)+2,FALSE))))</f>
        <v>20.939</v>
      </c>
      <c r="O1103" s="307">
        <f t="shared" si="293"/>
        <v>68727.469426581185</v>
      </c>
      <c r="P1103" s="560">
        <f>IF(G1103=0,0,VLOOKUP(YEAR(G1103),INPC!$B$4:$P$30,MONTH(G1103)+2))</f>
        <v>111.824</v>
      </c>
      <c r="Q1103" s="560">
        <f>IF(X1103=0,0,IF(OR(E1103=$AT$10,E1103=$AT$9),VLOOKUP(YEAR(X1103),INPC!$B$4:$P$30,MONTH(X1103)+1),VLOOKUP(YEAR(X1103),INPC!$B$4:$P$30,MONTH(X1103)+2,0)))</f>
        <v>124.571</v>
      </c>
      <c r="R1103" s="309">
        <f t="shared" si="294"/>
        <v>1.1138999999999999</v>
      </c>
      <c r="S1103" s="310">
        <f t="shared" si="295"/>
        <v>76555.528194268772</v>
      </c>
      <c r="T1103" s="555">
        <f t="shared" si="296"/>
        <v>1780.3611207969482</v>
      </c>
      <c r="U1103" s="311"/>
      <c r="V1103" s="312">
        <v>43</v>
      </c>
      <c r="W1103" s="299" t="s">
        <v>194</v>
      </c>
      <c r="X1103" s="300">
        <v>44847</v>
      </c>
      <c r="Y1103" s="299" t="s">
        <v>59</v>
      </c>
      <c r="Z1103" s="303">
        <v>3066.5519036697247</v>
      </c>
      <c r="AA1103" s="305">
        <f>IF(Z1103=0,0,IF(Y1103="MXN",1/HLOOKUP(YEAR(X1103)+(MONTH(X1103)/100),TC!$5:$37,DAY(X1103)+2,FALSE),VLOOKUP(Y1103,Equivalencia!$1:$23,((MAX(Equivalencia!$3:$3)-YEAR(X1103))*14)+MONTH(X1103)+2,FALSE)))</f>
        <v>1</v>
      </c>
      <c r="AB1103" s="306">
        <f t="shared" si="297"/>
        <v>3066.5519036697247</v>
      </c>
      <c r="AC1103" s="305">
        <f>+IF(X1103=0,0,HLOOKUP(YEAR(X1103)+(MONTH(X1103)/100),TC!$5:$37,DAY(X1103)+2,FALSE))</f>
        <v>19.965199999999999</v>
      </c>
      <c r="AD1103" s="307">
        <f t="shared" si="298"/>
        <v>61224.322067146786</v>
      </c>
      <c r="AE1103" s="314">
        <f t="shared" si="299"/>
        <v>76555.528194268772</v>
      </c>
      <c r="AF1103" s="315">
        <f t="shared" si="300"/>
        <v>-15331.206127121986</v>
      </c>
      <c r="AG1103" s="316">
        <f t="shared" si="301"/>
        <v>1.6164383561643836</v>
      </c>
      <c r="AH1103" s="314">
        <v>1</v>
      </c>
      <c r="AI1103" s="314">
        <f t="shared" si="302"/>
        <v>-15331.206127121986</v>
      </c>
      <c r="AJ1103" s="314">
        <f t="shared" si="303"/>
        <v>0</v>
      </c>
      <c r="AK1103" s="317"/>
      <c r="AL1103" s="315">
        <f t="shared" si="304"/>
        <v>-215.71895103112956</v>
      </c>
      <c r="AN1103" s="554">
        <f t="shared" si="305"/>
        <v>-6.5722470990527124E-2</v>
      </c>
      <c r="AO1103" s="314"/>
      <c r="AP1103" s="318"/>
    </row>
    <row r="1104" spans="2:42">
      <c r="B1104" s="296" t="s">
        <v>1254</v>
      </c>
      <c r="C1104" s="299" t="s">
        <v>277</v>
      </c>
      <c r="D1104" s="298" t="s">
        <v>731</v>
      </c>
      <c r="E1104" s="299" t="s">
        <v>113</v>
      </c>
      <c r="F1104" s="299" t="s">
        <v>59</v>
      </c>
      <c r="G1104" s="300">
        <v>44259</v>
      </c>
      <c r="H1104" s="303">
        <v>15139.466041055721</v>
      </c>
      <c r="I1104" s="301" t="str">
        <f t="shared" si="289"/>
        <v>Ingresos Sección II LISR (SIC &amp; BMV)</v>
      </c>
      <c r="J1104" s="302">
        <f t="shared" si="290"/>
        <v>208</v>
      </c>
      <c r="K1104" s="304">
        <f t="shared" si="291"/>
        <v>72.785894428152503</v>
      </c>
      <c r="L1104" s="305">
        <f>IF(H1104=0,0,IF(OR(E1104=$AT$5,E1104=$AT$6),AA1104,IF(F1104="MXN",1/HLOOKUP(YEAR(G1104)+(MONTH(G1104)/100),TC!$5:$37,DAY(G1104)+2,FALSE),VLOOKUP(F1104,Equivalencia!$5:$23,((MAX(Equivalencia!$3:$3)-YEAR(G1104))*14)+MONTH(G1104)+2,FALSE))))</f>
        <v>1</v>
      </c>
      <c r="M1104" s="306">
        <f t="shared" si="292"/>
        <v>15139.466041055721</v>
      </c>
      <c r="N1104" s="305">
        <f>IF(G1104=0,0,(IF(OR(E1104=$AT$5,E1104=$AT$6),AC1104,HLOOKUP(YEAR(G1104)+(MONTH(G1104)/100),TC!$5:$37,DAY(G1104)+2,FALSE))))</f>
        <v>20.690300000000001</v>
      </c>
      <c r="O1104" s="307">
        <f t="shared" si="293"/>
        <v>313240.09422925516</v>
      </c>
      <c r="P1104" s="560">
        <f>IF(G1104=0,0,VLOOKUP(YEAR(G1104),INPC!$B$4:$P$30,MONTH(G1104)+2))</f>
        <v>111.824</v>
      </c>
      <c r="Q1104" s="560">
        <f>IF(X1104=0,0,IF(OR(E1104=$AT$10,E1104=$AT$9),VLOOKUP(YEAR(X1104),INPC!$B$4:$P$30,MONTH(X1104)+1),VLOOKUP(YEAR(X1104),INPC!$B$4:$P$30,MONTH(X1104)+2,0)))</f>
        <v>124.571</v>
      </c>
      <c r="R1104" s="309">
        <f t="shared" si="294"/>
        <v>1.1138999999999999</v>
      </c>
      <c r="S1104" s="310">
        <f t="shared" si="295"/>
        <v>348918.14096196729</v>
      </c>
      <c r="T1104" s="555">
        <f t="shared" si="296"/>
        <v>1677.4910623171504</v>
      </c>
      <c r="U1104" s="311"/>
      <c r="V1104" s="312">
        <v>208</v>
      </c>
      <c r="W1104" s="299" t="s">
        <v>194</v>
      </c>
      <c r="X1104" s="300">
        <v>44847</v>
      </c>
      <c r="Y1104" s="299" t="s">
        <v>59</v>
      </c>
      <c r="Z1104" s="303">
        <v>14833.553394495413</v>
      </c>
      <c r="AA1104" s="305">
        <f>IF(Z1104=0,0,IF(Y1104="MXN",1/HLOOKUP(YEAR(X1104)+(MONTH(X1104)/100),TC!$5:$37,DAY(X1104)+2,FALSE),VLOOKUP(Y1104,Equivalencia!$1:$23,((MAX(Equivalencia!$3:$3)-YEAR(X1104))*14)+MONTH(X1104)+2,FALSE)))</f>
        <v>1</v>
      </c>
      <c r="AB1104" s="306">
        <f t="shared" si="297"/>
        <v>14833.553394495413</v>
      </c>
      <c r="AC1104" s="305">
        <f>+IF(X1104=0,0,HLOOKUP(YEAR(X1104)+(MONTH(X1104)/100),TC!$5:$37,DAY(X1104)+2,FALSE))</f>
        <v>19.965199999999999</v>
      </c>
      <c r="AD1104" s="307">
        <f t="shared" si="298"/>
        <v>296154.86023177981</v>
      </c>
      <c r="AE1104" s="314">
        <f t="shared" si="299"/>
        <v>348918.14096196729</v>
      </c>
      <c r="AF1104" s="315">
        <f t="shared" si="300"/>
        <v>-52763.280730187485</v>
      </c>
      <c r="AG1104" s="316">
        <f t="shared" si="301"/>
        <v>1.6109589041095891</v>
      </c>
      <c r="AH1104" s="314">
        <v>1</v>
      </c>
      <c r="AI1104" s="314">
        <f t="shared" si="302"/>
        <v>-52763.280730187485</v>
      </c>
      <c r="AJ1104" s="314">
        <f t="shared" si="303"/>
        <v>0</v>
      </c>
      <c r="AK1104" s="317"/>
      <c r="AL1104" s="315">
        <f t="shared" si="304"/>
        <v>-305.91264656030762</v>
      </c>
      <c r="AN1104" s="554">
        <f t="shared" si="305"/>
        <v>-2.020630355989592E-2</v>
      </c>
      <c r="AO1104" s="314"/>
      <c r="AP1104" s="318"/>
    </row>
    <row r="1105" spans="2:42">
      <c r="B1105" s="296" t="s">
        <v>1254</v>
      </c>
      <c r="C1105" s="299" t="s">
        <v>277</v>
      </c>
      <c r="D1105" s="298" t="s">
        <v>731</v>
      </c>
      <c r="E1105" s="299" t="s">
        <v>113</v>
      </c>
      <c r="F1105" s="299" t="s">
        <v>59</v>
      </c>
      <c r="G1105" s="300">
        <v>44259</v>
      </c>
      <c r="H1105" s="303">
        <v>655.07304985337248</v>
      </c>
      <c r="I1105" s="301" t="str">
        <f t="shared" si="289"/>
        <v>Ingresos Sección II LISR (SIC &amp; BMV)</v>
      </c>
      <c r="J1105" s="302">
        <f t="shared" si="290"/>
        <v>9</v>
      </c>
      <c r="K1105" s="304">
        <f t="shared" si="291"/>
        <v>72.785894428152503</v>
      </c>
      <c r="L1105" s="305">
        <f>IF(H1105=0,0,IF(OR(E1105=$AT$5,E1105=$AT$6),AA1105,IF(F1105="MXN",1/HLOOKUP(YEAR(G1105)+(MONTH(G1105)/100),TC!$5:$37,DAY(G1105)+2,FALSE),VLOOKUP(F1105,Equivalencia!$5:$23,((MAX(Equivalencia!$3:$3)-YEAR(G1105))*14)+MONTH(G1105)+2,FALSE))))</f>
        <v>1</v>
      </c>
      <c r="M1105" s="306">
        <f t="shared" si="292"/>
        <v>655.07304985337248</v>
      </c>
      <c r="N1105" s="305">
        <f>IF(G1105=0,0,(IF(OR(E1105=$AT$5,E1105=$AT$6),AC1105,HLOOKUP(YEAR(G1105)+(MONTH(G1105)/100),TC!$5:$37,DAY(G1105)+2,FALSE))))</f>
        <v>20.690300000000001</v>
      </c>
      <c r="O1105" s="307">
        <f t="shared" si="293"/>
        <v>13553.657923381234</v>
      </c>
      <c r="P1105" s="560">
        <f>IF(G1105=0,0,VLOOKUP(YEAR(G1105),INPC!$B$4:$P$30,MONTH(G1105)+2))</f>
        <v>111.824</v>
      </c>
      <c r="Q1105" s="560">
        <f>IF(X1105=0,0,IF(OR(E1105=$AT$10,E1105=$AT$9),VLOOKUP(YEAR(X1105),INPC!$B$4:$P$30,MONTH(X1105)+1),VLOOKUP(YEAR(X1105),INPC!$B$4:$P$30,MONTH(X1105)+2,0)))</f>
        <v>124.571</v>
      </c>
      <c r="R1105" s="309">
        <f t="shared" si="294"/>
        <v>1.1138999999999999</v>
      </c>
      <c r="S1105" s="310">
        <f t="shared" si="295"/>
        <v>15097.419560854354</v>
      </c>
      <c r="T1105" s="555">
        <f t="shared" si="296"/>
        <v>1677.4910623171504</v>
      </c>
      <c r="U1105" s="311"/>
      <c r="V1105" s="312">
        <v>9</v>
      </c>
      <c r="W1105" s="299" t="s">
        <v>194</v>
      </c>
      <c r="X1105" s="300">
        <v>44847</v>
      </c>
      <c r="Y1105" s="299" t="s">
        <v>59</v>
      </c>
      <c r="Z1105" s="303">
        <v>639.4</v>
      </c>
      <c r="AA1105" s="305">
        <f>IF(Z1105=0,0,IF(Y1105="MXN",1/HLOOKUP(YEAR(X1105)+(MONTH(X1105)/100),TC!$5:$37,DAY(X1105)+2,FALSE),VLOOKUP(Y1105,Equivalencia!$1:$23,((MAX(Equivalencia!$3:$3)-YEAR(X1105))*14)+MONTH(X1105)+2,FALSE)))</f>
        <v>1</v>
      </c>
      <c r="AB1105" s="306">
        <f t="shared" si="297"/>
        <v>639.4</v>
      </c>
      <c r="AC1105" s="305">
        <f>+IF(X1105=0,0,HLOOKUP(YEAR(X1105)+(MONTH(X1105)/100),TC!$5:$37,DAY(X1105)+2,FALSE))</f>
        <v>19.965199999999999</v>
      </c>
      <c r="AD1105" s="307">
        <f t="shared" si="298"/>
        <v>12765.748879999999</v>
      </c>
      <c r="AE1105" s="314">
        <f t="shared" si="299"/>
        <v>15097.419560854354</v>
      </c>
      <c r="AF1105" s="315">
        <f t="shared" si="300"/>
        <v>-2331.6706808543549</v>
      </c>
      <c r="AG1105" s="316">
        <f t="shared" si="301"/>
        <v>1.6109589041095891</v>
      </c>
      <c r="AH1105" s="314">
        <v>1</v>
      </c>
      <c r="AI1105" s="314">
        <f t="shared" si="302"/>
        <v>-2331.6706808543549</v>
      </c>
      <c r="AJ1105" s="314">
        <f t="shared" si="303"/>
        <v>0</v>
      </c>
      <c r="AK1105" s="317"/>
      <c r="AL1105" s="315">
        <f t="shared" si="304"/>
        <v>-15.673049853372504</v>
      </c>
      <c r="AN1105" s="554">
        <f t="shared" si="305"/>
        <v>-2.3925652042746475E-2</v>
      </c>
      <c r="AO1105" s="314"/>
      <c r="AP1105" s="318"/>
    </row>
    <row r="1106" spans="2:42">
      <c r="B1106" s="296" t="s">
        <v>1254</v>
      </c>
      <c r="C1106" s="299" t="s">
        <v>277</v>
      </c>
      <c r="D1106" s="298" t="s">
        <v>718</v>
      </c>
      <c r="E1106" s="299" t="s">
        <v>113</v>
      </c>
      <c r="F1106" s="299" t="s">
        <v>59</v>
      </c>
      <c r="G1106" s="300">
        <v>44260</v>
      </c>
      <c r="H1106" s="303">
        <v>11543.05806451613</v>
      </c>
      <c r="I1106" s="301" t="str">
        <f t="shared" si="289"/>
        <v>Ingresos Sección II LISR (SIC &amp; BMV)</v>
      </c>
      <c r="J1106" s="302">
        <f t="shared" si="290"/>
        <v>200</v>
      </c>
      <c r="K1106" s="304">
        <f t="shared" si="291"/>
        <v>57.71529032258065</v>
      </c>
      <c r="L1106" s="305">
        <f>IF(H1106=0,0,IF(OR(E1106=$AT$5,E1106=$AT$6),AA1106,IF(F1106="MXN",1/HLOOKUP(YEAR(G1106)+(MONTH(G1106)/100),TC!$5:$37,DAY(G1106)+2,FALSE),VLOOKUP(F1106,Equivalencia!$5:$23,((MAX(Equivalencia!$3:$3)-YEAR(G1106))*14)+MONTH(G1106)+2,FALSE))))</f>
        <v>1</v>
      </c>
      <c r="M1106" s="306">
        <f t="shared" si="292"/>
        <v>11543.05806451613</v>
      </c>
      <c r="N1106" s="305">
        <f>IF(G1106=0,0,(IF(OR(E1106=$AT$5,E1106=$AT$6),AC1106,HLOOKUP(YEAR(G1106)+(MONTH(G1106)/100),TC!$5:$37,DAY(G1106)+2,FALSE))))</f>
        <v>20.895700000000001</v>
      </c>
      <c r="O1106" s="307">
        <f t="shared" si="293"/>
        <v>241200.27839870972</v>
      </c>
      <c r="P1106" s="560">
        <f>IF(G1106=0,0,VLOOKUP(YEAR(G1106),INPC!$B$4:$P$30,MONTH(G1106)+2))</f>
        <v>111.824</v>
      </c>
      <c r="Q1106" s="560">
        <f>IF(X1106=0,0,IF(OR(E1106=$AT$10,E1106=$AT$9),VLOOKUP(YEAR(X1106),INPC!$B$4:$P$30,MONTH(X1106)+1),VLOOKUP(YEAR(X1106),INPC!$B$4:$P$30,MONTH(X1106)+2,0)))</f>
        <v>124.571</v>
      </c>
      <c r="R1106" s="309">
        <f t="shared" si="294"/>
        <v>1.1138999999999999</v>
      </c>
      <c r="S1106" s="310">
        <f t="shared" si="295"/>
        <v>268672.99010832276</v>
      </c>
      <c r="T1106" s="555">
        <f t="shared" si="296"/>
        <v>1343.3649505416138</v>
      </c>
      <c r="U1106" s="311"/>
      <c r="V1106" s="312">
        <v>200</v>
      </c>
      <c r="W1106" s="299" t="s">
        <v>194</v>
      </c>
      <c r="X1106" s="300">
        <v>44855</v>
      </c>
      <c r="Y1106" s="299" t="s">
        <v>59</v>
      </c>
      <c r="Z1106" s="303">
        <v>8181.9704433497545</v>
      </c>
      <c r="AA1106" s="305">
        <f>IF(Z1106=0,0,IF(Y1106="MXN",1/HLOOKUP(YEAR(X1106)+(MONTH(X1106)/100),TC!$5:$37,DAY(X1106)+2,FALSE),VLOOKUP(Y1106,Equivalencia!$1:$23,((MAX(Equivalencia!$3:$3)-YEAR(X1106))*14)+MONTH(X1106)+2,FALSE)))</f>
        <v>1</v>
      </c>
      <c r="AB1106" s="306">
        <f t="shared" si="297"/>
        <v>8181.9704433497545</v>
      </c>
      <c r="AC1106" s="305">
        <f>+IF(X1106=0,0,HLOOKUP(YEAR(X1106)+(MONTH(X1106)/100),TC!$5:$37,DAY(X1106)+2,FALSE))</f>
        <v>20.127199999999998</v>
      </c>
      <c r="AD1106" s="307">
        <f t="shared" si="298"/>
        <v>164680.15550738916</v>
      </c>
      <c r="AE1106" s="314">
        <f t="shared" si="299"/>
        <v>268672.99010832276</v>
      </c>
      <c r="AF1106" s="315">
        <f t="shared" si="300"/>
        <v>-103992.83460093359</v>
      </c>
      <c r="AG1106" s="316">
        <f t="shared" si="301"/>
        <v>1.6301369863013699</v>
      </c>
      <c r="AH1106" s="314">
        <v>1</v>
      </c>
      <c r="AI1106" s="314">
        <f t="shared" si="302"/>
        <v>-103992.83460093359</v>
      </c>
      <c r="AJ1106" s="314">
        <f t="shared" si="303"/>
        <v>0</v>
      </c>
      <c r="AK1106" s="317"/>
      <c r="AL1106" s="315">
        <f t="shared" si="304"/>
        <v>-3361.0876211663754</v>
      </c>
      <c r="AN1106" s="554">
        <f t="shared" si="305"/>
        <v>-0.29117826509930733</v>
      </c>
      <c r="AO1106" s="314"/>
      <c r="AP1106" s="318"/>
    </row>
    <row r="1107" spans="2:42">
      <c r="B1107" s="296" t="s">
        <v>1254</v>
      </c>
      <c r="C1107" s="299" t="s">
        <v>277</v>
      </c>
      <c r="D1107" s="298" t="s">
        <v>718</v>
      </c>
      <c r="E1107" s="299" t="s">
        <v>113</v>
      </c>
      <c r="F1107" s="299" t="s">
        <v>59</v>
      </c>
      <c r="G1107" s="300">
        <v>44277</v>
      </c>
      <c r="H1107" s="303">
        <v>176.71540540540536</v>
      </c>
      <c r="I1107" s="301" t="str">
        <f t="shared" si="289"/>
        <v>Ingresos Sección II LISR (SIC &amp; BMV)</v>
      </c>
      <c r="J1107" s="302">
        <f t="shared" si="290"/>
        <v>3</v>
      </c>
      <c r="K1107" s="304">
        <f t="shared" si="291"/>
        <v>58.905135135135119</v>
      </c>
      <c r="L1107" s="305">
        <f>IF(H1107=0,0,IF(OR(E1107=$AT$5,E1107=$AT$6),AA1107,IF(F1107="MXN",1/HLOOKUP(YEAR(G1107)+(MONTH(G1107)/100),TC!$5:$37,DAY(G1107)+2,FALSE),VLOOKUP(F1107,Equivalencia!$5:$23,((MAX(Equivalencia!$3:$3)-YEAR(G1107))*14)+MONTH(G1107)+2,FALSE))))</f>
        <v>1</v>
      </c>
      <c r="M1107" s="306">
        <f t="shared" si="292"/>
        <v>176.71540540540536</v>
      </c>
      <c r="N1107" s="305">
        <f>IF(G1107=0,0,(IF(OR(E1107=$AT$5,E1107=$AT$6),AC1107,HLOOKUP(YEAR(G1107)+(MONTH(G1107)/100),TC!$5:$37,DAY(G1107)+2,FALSE))))</f>
        <v>20.441500000000001</v>
      </c>
      <c r="O1107" s="307">
        <f t="shared" si="293"/>
        <v>3612.3279595945942</v>
      </c>
      <c r="P1107" s="560">
        <f>IF(G1107=0,0,VLOOKUP(YEAR(G1107),INPC!$B$4:$P$30,MONTH(G1107)+2))</f>
        <v>111.824</v>
      </c>
      <c r="Q1107" s="560">
        <f>IF(X1107=0,0,IF(OR(E1107=$AT$10,E1107=$AT$9),VLOOKUP(YEAR(X1107),INPC!$B$4:$P$30,MONTH(X1107)+1),VLOOKUP(YEAR(X1107),INPC!$B$4:$P$30,MONTH(X1107)+2,0)))</f>
        <v>124.571</v>
      </c>
      <c r="R1107" s="309">
        <f t="shared" si="294"/>
        <v>1.1138999999999999</v>
      </c>
      <c r="S1107" s="310">
        <f t="shared" si="295"/>
        <v>4023.772114192418</v>
      </c>
      <c r="T1107" s="555">
        <f t="shared" si="296"/>
        <v>1341.2573713974728</v>
      </c>
      <c r="U1107" s="311"/>
      <c r="V1107" s="312">
        <v>3</v>
      </c>
      <c r="W1107" s="299" t="s">
        <v>194</v>
      </c>
      <c r="X1107" s="300">
        <v>44855</v>
      </c>
      <c r="Y1107" s="299" t="s">
        <v>59</v>
      </c>
      <c r="Z1107" s="303">
        <v>122.72955665024632</v>
      </c>
      <c r="AA1107" s="305">
        <f>IF(Z1107=0,0,IF(Y1107="MXN",1/HLOOKUP(YEAR(X1107)+(MONTH(X1107)/100),TC!$5:$37,DAY(X1107)+2,FALSE),VLOOKUP(Y1107,Equivalencia!$1:$23,((MAX(Equivalencia!$3:$3)-YEAR(X1107))*14)+MONTH(X1107)+2,FALSE)))</f>
        <v>1</v>
      </c>
      <c r="AB1107" s="306">
        <f t="shared" si="297"/>
        <v>122.72955665024632</v>
      </c>
      <c r="AC1107" s="305">
        <f>+IF(X1107=0,0,HLOOKUP(YEAR(X1107)+(MONTH(X1107)/100),TC!$5:$37,DAY(X1107)+2,FALSE))</f>
        <v>20.127199999999998</v>
      </c>
      <c r="AD1107" s="307">
        <f t="shared" si="298"/>
        <v>2470.2023326108374</v>
      </c>
      <c r="AE1107" s="314">
        <f t="shared" si="299"/>
        <v>4023.7721141924185</v>
      </c>
      <c r="AF1107" s="315">
        <f t="shared" si="300"/>
        <v>-1553.5697815815811</v>
      </c>
      <c r="AG1107" s="316">
        <f t="shared" si="301"/>
        <v>1.5835616438356164</v>
      </c>
      <c r="AH1107" s="314">
        <v>1</v>
      </c>
      <c r="AI1107" s="314">
        <f t="shared" si="302"/>
        <v>-1553.5697815815811</v>
      </c>
      <c r="AJ1107" s="314">
        <f t="shared" si="303"/>
        <v>0</v>
      </c>
      <c r="AK1107" s="317"/>
      <c r="AL1107" s="315">
        <f t="shared" si="304"/>
        <v>-53.98584875515904</v>
      </c>
      <c r="AN1107" s="554">
        <f t="shared" si="305"/>
        <v>-0.30549599584319953</v>
      </c>
      <c r="AO1107" s="314"/>
      <c r="AP1107" s="318"/>
    </row>
    <row r="1108" spans="2:42">
      <c r="B1108" s="296" t="s">
        <v>1254</v>
      </c>
      <c r="C1108" s="299" t="s">
        <v>277</v>
      </c>
      <c r="D1108" s="298" t="s">
        <v>718</v>
      </c>
      <c r="E1108" s="299" t="s">
        <v>113</v>
      </c>
      <c r="F1108" s="299" t="s">
        <v>59</v>
      </c>
      <c r="G1108" s="300">
        <v>44277</v>
      </c>
      <c r="H1108" s="303">
        <v>2002.7745945945942</v>
      </c>
      <c r="I1108" s="301" t="str">
        <f t="shared" si="289"/>
        <v>Ingresos Sección II LISR (SIC &amp; BMV)</v>
      </c>
      <c r="J1108" s="302">
        <f t="shared" si="290"/>
        <v>34</v>
      </c>
      <c r="K1108" s="304">
        <f t="shared" si="291"/>
        <v>58.905135135135126</v>
      </c>
      <c r="L1108" s="305">
        <f>IF(H1108=0,0,IF(OR(E1108=$AT$5,E1108=$AT$6),AA1108,IF(F1108="MXN",1/HLOOKUP(YEAR(G1108)+(MONTH(G1108)/100),TC!$5:$37,DAY(G1108)+2,FALSE),VLOOKUP(F1108,Equivalencia!$5:$23,((MAX(Equivalencia!$3:$3)-YEAR(G1108))*14)+MONTH(G1108)+2,FALSE))))</f>
        <v>1</v>
      </c>
      <c r="M1108" s="306">
        <f t="shared" si="292"/>
        <v>2002.7745945945942</v>
      </c>
      <c r="N1108" s="305">
        <f>IF(G1108=0,0,(IF(OR(E1108=$AT$5,E1108=$AT$6),AC1108,HLOOKUP(YEAR(G1108)+(MONTH(G1108)/100),TC!$5:$37,DAY(G1108)+2,FALSE))))</f>
        <v>20.441500000000001</v>
      </c>
      <c r="O1108" s="307">
        <f t="shared" si="293"/>
        <v>40939.7168754054</v>
      </c>
      <c r="P1108" s="560">
        <f>IF(G1108=0,0,VLOOKUP(YEAR(G1108),INPC!$B$4:$P$30,MONTH(G1108)+2))</f>
        <v>111.824</v>
      </c>
      <c r="Q1108" s="560">
        <f>IF(X1108=0,0,IF(OR(E1108=$AT$10,E1108=$AT$9),VLOOKUP(YEAR(X1108),INPC!$B$4:$P$30,MONTH(X1108)+1),VLOOKUP(YEAR(X1108),INPC!$B$4:$P$30,MONTH(X1108)+2,0)))</f>
        <v>124.571</v>
      </c>
      <c r="R1108" s="309">
        <f t="shared" si="294"/>
        <v>1.1138999999999999</v>
      </c>
      <c r="S1108" s="310">
        <f t="shared" si="295"/>
        <v>45602.750627514069</v>
      </c>
      <c r="T1108" s="555">
        <f t="shared" si="296"/>
        <v>1341.2573713974725</v>
      </c>
      <c r="U1108" s="311"/>
      <c r="V1108" s="312">
        <v>34</v>
      </c>
      <c r="W1108" s="299" t="s">
        <v>194</v>
      </c>
      <c r="X1108" s="300">
        <v>44855</v>
      </c>
      <c r="Y1108" s="299" t="s">
        <v>59</v>
      </c>
      <c r="Z1108" s="303">
        <v>1390.9362637362638</v>
      </c>
      <c r="AA1108" s="305">
        <f>IF(Z1108=0,0,IF(Y1108="MXN",1/HLOOKUP(YEAR(X1108)+(MONTH(X1108)/100),TC!$5:$37,DAY(X1108)+2,FALSE),VLOOKUP(Y1108,Equivalencia!$1:$23,((MAX(Equivalencia!$3:$3)-YEAR(X1108))*14)+MONTH(X1108)+2,FALSE)))</f>
        <v>1</v>
      </c>
      <c r="AB1108" s="306">
        <f t="shared" si="297"/>
        <v>1390.9362637362638</v>
      </c>
      <c r="AC1108" s="305">
        <f>+IF(X1108=0,0,HLOOKUP(YEAR(X1108)+(MONTH(X1108)/100),TC!$5:$37,DAY(X1108)+2,FALSE))</f>
        <v>20.127199999999998</v>
      </c>
      <c r="AD1108" s="307">
        <f t="shared" si="298"/>
        <v>27995.652367472525</v>
      </c>
      <c r="AE1108" s="314">
        <f t="shared" si="299"/>
        <v>45602.750627514062</v>
      </c>
      <c r="AF1108" s="315">
        <f t="shared" si="300"/>
        <v>-17607.098260041537</v>
      </c>
      <c r="AG1108" s="316">
        <f t="shared" si="301"/>
        <v>1.5835616438356164</v>
      </c>
      <c r="AH1108" s="314">
        <v>1</v>
      </c>
      <c r="AI1108" s="314">
        <f t="shared" si="302"/>
        <v>-17607.098260041537</v>
      </c>
      <c r="AJ1108" s="314">
        <f t="shared" si="303"/>
        <v>0</v>
      </c>
      <c r="AK1108" s="317"/>
      <c r="AL1108" s="315">
        <f t="shared" si="304"/>
        <v>-611.83833085833044</v>
      </c>
      <c r="AN1108" s="554">
        <f t="shared" si="305"/>
        <v>-0.3054953525522327</v>
      </c>
      <c r="AO1108" s="314"/>
      <c r="AP1108" s="318"/>
    </row>
    <row r="1109" spans="2:42">
      <c r="B1109" s="296" t="s">
        <v>1254</v>
      </c>
      <c r="C1109" s="299" t="s">
        <v>277</v>
      </c>
      <c r="D1109" s="298" t="s">
        <v>718</v>
      </c>
      <c r="E1109" s="299" t="s">
        <v>113</v>
      </c>
      <c r="F1109" s="299" t="s">
        <v>59</v>
      </c>
      <c r="G1109" s="300">
        <v>44277</v>
      </c>
      <c r="H1109" s="303">
        <v>8685.8832000000002</v>
      </c>
      <c r="I1109" s="301" t="str">
        <f t="shared" si="289"/>
        <v>Ingresos Sección II LISR (SIC &amp; BMV)</v>
      </c>
      <c r="J1109" s="302">
        <f t="shared" si="290"/>
        <v>148</v>
      </c>
      <c r="K1109" s="304">
        <f t="shared" si="291"/>
        <v>58.688400000000001</v>
      </c>
      <c r="L1109" s="305">
        <f>IF(H1109=0,0,IF(OR(E1109=$AT$5,E1109=$AT$6),AA1109,IF(F1109="MXN",1/HLOOKUP(YEAR(G1109)+(MONTH(G1109)/100),TC!$5:$37,DAY(G1109)+2,FALSE),VLOOKUP(F1109,Equivalencia!$5:$23,((MAX(Equivalencia!$3:$3)-YEAR(G1109))*14)+MONTH(G1109)+2,FALSE))))</f>
        <v>1</v>
      </c>
      <c r="M1109" s="306">
        <f t="shared" si="292"/>
        <v>8685.8832000000002</v>
      </c>
      <c r="N1109" s="305">
        <f>IF(G1109=0,0,(IF(OR(E1109=$AT$5,E1109=$AT$6),AC1109,HLOOKUP(YEAR(G1109)+(MONTH(G1109)/100),TC!$5:$37,DAY(G1109)+2,FALSE))))</f>
        <v>20.441500000000001</v>
      </c>
      <c r="O1109" s="307">
        <f t="shared" si="293"/>
        <v>177552.48143280001</v>
      </c>
      <c r="P1109" s="560">
        <f>IF(G1109=0,0,VLOOKUP(YEAR(G1109),INPC!$B$4:$P$30,MONTH(G1109)+2))</f>
        <v>111.824</v>
      </c>
      <c r="Q1109" s="560">
        <f>IF(X1109=0,0,IF(OR(E1109=$AT$10,E1109=$AT$9),VLOOKUP(YEAR(X1109),INPC!$B$4:$P$30,MONTH(X1109)+1),VLOOKUP(YEAR(X1109),INPC!$B$4:$P$30,MONTH(X1109)+2,0)))</f>
        <v>124.571</v>
      </c>
      <c r="R1109" s="309">
        <f t="shared" si="294"/>
        <v>1.1138999999999999</v>
      </c>
      <c r="S1109" s="310">
        <f t="shared" si="295"/>
        <v>197775.70906799592</v>
      </c>
      <c r="T1109" s="555">
        <f t="shared" si="296"/>
        <v>1336.32235856754</v>
      </c>
      <c r="U1109" s="311"/>
      <c r="V1109" s="312">
        <v>148</v>
      </c>
      <c r="W1109" s="299" t="s">
        <v>194</v>
      </c>
      <c r="X1109" s="300">
        <v>44855</v>
      </c>
      <c r="Y1109" s="299" t="s">
        <v>59</v>
      </c>
      <c r="Z1109" s="303">
        <v>6054.6637362637366</v>
      </c>
      <c r="AA1109" s="305">
        <f>IF(Z1109=0,0,IF(Y1109="MXN",1/HLOOKUP(YEAR(X1109)+(MONTH(X1109)/100),TC!$5:$37,DAY(X1109)+2,FALSE),VLOOKUP(Y1109,Equivalencia!$1:$23,((MAX(Equivalencia!$3:$3)-YEAR(X1109))*14)+MONTH(X1109)+2,FALSE)))</f>
        <v>1</v>
      </c>
      <c r="AB1109" s="306">
        <f t="shared" si="297"/>
        <v>6054.6637362637366</v>
      </c>
      <c r="AC1109" s="305">
        <f>+IF(X1109=0,0,HLOOKUP(YEAR(X1109)+(MONTH(X1109)/100),TC!$5:$37,DAY(X1109)+2,FALSE))</f>
        <v>20.127199999999998</v>
      </c>
      <c r="AD1109" s="307">
        <f t="shared" si="298"/>
        <v>121863.42795252748</v>
      </c>
      <c r="AE1109" s="314">
        <f t="shared" si="299"/>
        <v>197775.70906799592</v>
      </c>
      <c r="AF1109" s="315">
        <f t="shared" si="300"/>
        <v>-75912.281115468446</v>
      </c>
      <c r="AG1109" s="316">
        <f t="shared" si="301"/>
        <v>1.5835616438356164</v>
      </c>
      <c r="AH1109" s="314">
        <v>1</v>
      </c>
      <c r="AI1109" s="314">
        <f t="shared" si="302"/>
        <v>-75912.281115468446</v>
      </c>
      <c r="AJ1109" s="314">
        <f t="shared" si="303"/>
        <v>0</v>
      </c>
      <c r="AK1109" s="317"/>
      <c r="AL1109" s="315">
        <f t="shared" si="304"/>
        <v>-2631.2194637362636</v>
      </c>
      <c r="AN1109" s="554">
        <f t="shared" si="305"/>
        <v>-0.30293056021479353</v>
      </c>
      <c r="AO1109" s="314"/>
      <c r="AP1109" s="318"/>
    </row>
    <row r="1110" spans="2:42">
      <c r="B1110" s="296" t="s">
        <v>1254</v>
      </c>
      <c r="C1110" s="299" t="s">
        <v>277</v>
      </c>
      <c r="D1110" s="298" t="s">
        <v>720</v>
      </c>
      <c r="E1110" s="299" t="s">
        <v>113</v>
      </c>
      <c r="F1110" s="299" t="s">
        <v>59</v>
      </c>
      <c r="G1110" s="300">
        <v>44222</v>
      </c>
      <c r="H1110" s="303">
        <v>328.71066666666667</v>
      </c>
      <c r="I1110" s="301" t="str">
        <f t="shared" si="289"/>
        <v>Ingresos Sección II LISR (SIC &amp; BMV)</v>
      </c>
      <c r="J1110" s="302">
        <f t="shared" si="290"/>
        <v>7</v>
      </c>
      <c r="K1110" s="304">
        <f t="shared" si="291"/>
        <v>46.958666666666666</v>
      </c>
      <c r="L1110" s="305">
        <f>IF(H1110=0,0,IF(OR(E1110=$AT$5,E1110=$AT$6),AA1110,IF(F1110="MXN",1/HLOOKUP(YEAR(G1110)+(MONTH(G1110)/100),TC!$5:$37,DAY(G1110)+2,FALSE),VLOOKUP(F1110,Equivalencia!$5:$23,((MAX(Equivalencia!$3:$3)-YEAR(G1110))*14)+MONTH(G1110)+2,FALSE))))</f>
        <v>1</v>
      </c>
      <c r="M1110" s="306">
        <f t="shared" si="292"/>
        <v>328.71066666666667</v>
      </c>
      <c r="N1110" s="305">
        <f>IF(G1110=0,0,(IF(OR(E1110=$AT$5,E1110=$AT$6),AC1110,HLOOKUP(YEAR(G1110)+(MONTH(G1110)/100),TC!$5:$37,DAY(G1110)+2,FALSE))))</f>
        <v>19.9833</v>
      </c>
      <c r="O1110" s="307">
        <f t="shared" si="293"/>
        <v>6568.7238651999996</v>
      </c>
      <c r="P1110" s="560">
        <f>IF(G1110=0,0,VLOOKUP(YEAR(G1110),INPC!$B$4:$P$30,MONTH(G1110)+2))</f>
        <v>110.21</v>
      </c>
      <c r="Q1110" s="560">
        <f>IF(X1110=0,0,IF(OR(E1110=$AT$10,E1110=$AT$9),VLOOKUP(YEAR(X1110),INPC!$B$4:$P$30,MONTH(X1110)+1),VLOOKUP(YEAR(X1110),INPC!$B$4:$P$30,MONTH(X1110)+2,0)))</f>
        <v>123.803</v>
      </c>
      <c r="R1110" s="309">
        <f t="shared" si="294"/>
        <v>1.1233</v>
      </c>
      <c r="S1110" s="310">
        <f t="shared" si="295"/>
        <v>7378.647517779159</v>
      </c>
      <c r="T1110" s="555">
        <f t="shared" si="296"/>
        <v>1054.0925025398799</v>
      </c>
      <c r="U1110" s="311"/>
      <c r="V1110" s="312">
        <v>7</v>
      </c>
      <c r="W1110" s="299" t="s">
        <v>194</v>
      </c>
      <c r="X1110" s="300">
        <v>44832</v>
      </c>
      <c r="Y1110" s="299" t="s">
        <v>59</v>
      </c>
      <c r="Z1110" s="303">
        <v>256.74098765432103</v>
      </c>
      <c r="AA1110" s="305">
        <f>IF(Z1110=0,0,IF(Y1110="MXN",1/HLOOKUP(YEAR(X1110)+(MONTH(X1110)/100),TC!$5:$37,DAY(X1110)+2,FALSE),VLOOKUP(Y1110,Equivalencia!$1:$23,((MAX(Equivalencia!$3:$3)-YEAR(X1110))*14)+MONTH(X1110)+2,FALSE)))</f>
        <v>1</v>
      </c>
      <c r="AB1110" s="306">
        <f t="shared" si="297"/>
        <v>256.74098765432103</v>
      </c>
      <c r="AC1110" s="305">
        <f>+IF(X1110=0,0,HLOOKUP(YEAR(X1110)+(MONTH(X1110)/100),TC!$5:$37,DAY(X1110)+2,FALSE))</f>
        <v>20.351700000000001</v>
      </c>
      <c r="AD1110" s="307">
        <f t="shared" si="298"/>
        <v>5225.1155584444459</v>
      </c>
      <c r="AE1110" s="314">
        <f t="shared" si="299"/>
        <v>7378.647517779159</v>
      </c>
      <c r="AF1110" s="315">
        <f t="shared" si="300"/>
        <v>-2153.5319593347131</v>
      </c>
      <c r="AG1110" s="316">
        <f t="shared" si="301"/>
        <v>1.6712328767123288</v>
      </c>
      <c r="AH1110" s="314">
        <v>1</v>
      </c>
      <c r="AI1110" s="314">
        <f t="shared" si="302"/>
        <v>-2153.5319593347131</v>
      </c>
      <c r="AJ1110" s="314">
        <f t="shared" si="303"/>
        <v>0</v>
      </c>
      <c r="AK1110" s="317"/>
      <c r="AL1110" s="315">
        <f t="shared" si="304"/>
        <v>-71.969679012345637</v>
      </c>
      <c r="AN1110" s="554">
        <f t="shared" si="305"/>
        <v>-0.21894537144828169</v>
      </c>
      <c r="AO1110" s="314"/>
      <c r="AP1110" s="318"/>
    </row>
    <row r="1111" spans="2:42">
      <c r="B1111" s="296" t="s">
        <v>1254</v>
      </c>
      <c r="C1111" s="299" t="s">
        <v>277</v>
      </c>
      <c r="D1111" s="298" t="s">
        <v>720</v>
      </c>
      <c r="E1111" s="299" t="s">
        <v>113</v>
      </c>
      <c r="F1111" s="299" t="s">
        <v>59</v>
      </c>
      <c r="G1111" s="300">
        <v>44222</v>
      </c>
      <c r="H1111" s="303">
        <v>661.33</v>
      </c>
      <c r="I1111" s="301" t="str">
        <f t="shared" si="289"/>
        <v>Ingresos Sección II LISR (SIC &amp; BMV)</v>
      </c>
      <c r="J1111" s="302">
        <f t="shared" si="290"/>
        <v>14</v>
      </c>
      <c r="K1111" s="304">
        <f t="shared" si="291"/>
        <v>47.237857142857145</v>
      </c>
      <c r="L1111" s="305">
        <f>IF(H1111=0,0,IF(OR(E1111=$AT$5,E1111=$AT$6),AA1111,IF(F1111="MXN",1/HLOOKUP(YEAR(G1111)+(MONTH(G1111)/100),TC!$5:$37,DAY(G1111)+2,FALSE),VLOOKUP(F1111,Equivalencia!$5:$23,((MAX(Equivalencia!$3:$3)-YEAR(G1111))*14)+MONTH(G1111)+2,FALSE))))</f>
        <v>1</v>
      </c>
      <c r="M1111" s="306">
        <f t="shared" si="292"/>
        <v>661.33</v>
      </c>
      <c r="N1111" s="305">
        <f>IF(G1111=0,0,(IF(OR(E1111=$AT$5,E1111=$AT$6),AC1111,HLOOKUP(YEAR(G1111)+(MONTH(G1111)/100),TC!$5:$37,DAY(G1111)+2,FALSE))))</f>
        <v>19.9833</v>
      </c>
      <c r="O1111" s="307">
        <f t="shared" si="293"/>
        <v>13215.555789</v>
      </c>
      <c r="P1111" s="560">
        <f>IF(G1111=0,0,VLOOKUP(YEAR(G1111),INPC!$B$4:$P$30,MONTH(G1111)+2))</f>
        <v>110.21</v>
      </c>
      <c r="Q1111" s="560">
        <f>IF(X1111=0,0,IF(OR(E1111=$AT$10,E1111=$AT$9),VLOOKUP(YEAR(X1111),INPC!$B$4:$P$30,MONTH(X1111)+1),VLOOKUP(YEAR(X1111),INPC!$B$4:$P$30,MONTH(X1111)+2,0)))</f>
        <v>123.803</v>
      </c>
      <c r="R1111" s="309">
        <f t="shared" si="294"/>
        <v>1.1233</v>
      </c>
      <c r="S1111" s="310">
        <f t="shared" si="295"/>
        <v>14845.0338177837</v>
      </c>
      <c r="T1111" s="555">
        <f t="shared" si="296"/>
        <v>1060.3595584131215</v>
      </c>
      <c r="U1111" s="311"/>
      <c r="V1111" s="312">
        <v>14</v>
      </c>
      <c r="W1111" s="299" t="s">
        <v>194</v>
      </c>
      <c r="X1111" s="300">
        <v>44832</v>
      </c>
      <c r="Y1111" s="299" t="s">
        <v>59</v>
      </c>
      <c r="Z1111" s="303">
        <v>513.48197530864206</v>
      </c>
      <c r="AA1111" s="305">
        <f>IF(Z1111=0,0,IF(Y1111="MXN",1/HLOOKUP(YEAR(X1111)+(MONTH(X1111)/100),TC!$5:$37,DAY(X1111)+2,FALSE),VLOOKUP(Y1111,Equivalencia!$1:$23,((MAX(Equivalencia!$3:$3)-YEAR(X1111))*14)+MONTH(X1111)+2,FALSE)))</f>
        <v>1</v>
      </c>
      <c r="AB1111" s="306">
        <f t="shared" si="297"/>
        <v>513.48197530864206</v>
      </c>
      <c r="AC1111" s="305">
        <f>+IF(X1111=0,0,HLOOKUP(YEAR(X1111)+(MONTH(X1111)/100),TC!$5:$37,DAY(X1111)+2,FALSE))</f>
        <v>20.351700000000001</v>
      </c>
      <c r="AD1111" s="307">
        <f t="shared" si="298"/>
        <v>10450.231116888892</v>
      </c>
      <c r="AE1111" s="314">
        <f t="shared" si="299"/>
        <v>14845.0338177837</v>
      </c>
      <c r="AF1111" s="315">
        <f t="shared" si="300"/>
        <v>-4394.8027008948084</v>
      </c>
      <c r="AG1111" s="316">
        <f t="shared" si="301"/>
        <v>1.6712328767123288</v>
      </c>
      <c r="AH1111" s="314">
        <v>1</v>
      </c>
      <c r="AI1111" s="314">
        <f t="shared" si="302"/>
        <v>-4394.8027008948084</v>
      </c>
      <c r="AJ1111" s="314">
        <f t="shared" si="303"/>
        <v>0</v>
      </c>
      <c r="AK1111" s="317"/>
      <c r="AL1111" s="315">
        <f t="shared" si="304"/>
        <v>-147.84802469135798</v>
      </c>
      <c r="AN1111" s="554">
        <f t="shared" si="305"/>
        <v>-0.2235616480295132</v>
      </c>
      <c r="AO1111" s="314"/>
      <c r="AP1111" s="318"/>
    </row>
    <row r="1112" spans="2:42">
      <c r="B1112" s="296" t="s">
        <v>1254</v>
      </c>
      <c r="C1112" s="299" t="s">
        <v>277</v>
      </c>
      <c r="D1112" s="298" t="s">
        <v>720</v>
      </c>
      <c r="E1112" s="299" t="s">
        <v>113</v>
      </c>
      <c r="F1112" s="299" t="s">
        <v>59</v>
      </c>
      <c r="G1112" s="300">
        <v>44222</v>
      </c>
      <c r="H1112" s="303">
        <v>328.71</v>
      </c>
      <c r="I1112" s="301" t="str">
        <f t="shared" si="289"/>
        <v>Ingresos Sección II LISR (SIC &amp; BMV)</v>
      </c>
      <c r="J1112" s="302">
        <f t="shared" si="290"/>
        <v>7</v>
      </c>
      <c r="K1112" s="304">
        <f t="shared" si="291"/>
        <v>46.958571428571425</v>
      </c>
      <c r="L1112" s="305">
        <f>IF(H1112=0,0,IF(OR(E1112=$AT$5,E1112=$AT$6),AA1112,IF(F1112="MXN",1/HLOOKUP(YEAR(G1112)+(MONTH(G1112)/100),TC!$5:$37,DAY(G1112)+2,FALSE),VLOOKUP(F1112,Equivalencia!$5:$23,((MAX(Equivalencia!$3:$3)-YEAR(G1112))*14)+MONTH(G1112)+2,FALSE))))</f>
        <v>1</v>
      </c>
      <c r="M1112" s="306">
        <f t="shared" si="292"/>
        <v>328.71</v>
      </c>
      <c r="N1112" s="305">
        <f>IF(G1112=0,0,(IF(OR(E1112=$AT$5,E1112=$AT$6),AC1112,HLOOKUP(YEAR(G1112)+(MONTH(G1112)/100),TC!$5:$37,DAY(G1112)+2,FALSE))))</f>
        <v>19.9833</v>
      </c>
      <c r="O1112" s="307">
        <f t="shared" si="293"/>
        <v>6568.7105429999992</v>
      </c>
      <c r="P1112" s="560">
        <f>IF(G1112=0,0,VLOOKUP(YEAR(G1112),INPC!$B$4:$P$30,MONTH(G1112)+2))</f>
        <v>110.21</v>
      </c>
      <c r="Q1112" s="560">
        <f>IF(X1112=0,0,IF(OR(E1112=$AT$10,E1112=$AT$9),VLOOKUP(YEAR(X1112),INPC!$B$4:$P$30,MONTH(X1112)+1),VLOOKUP(YEAR(X1112),INPC!$B$4:$P$30,MONTH(X1112)+2,0)))</f>
        <v>123.803</v>
      </c>
      <c r="R1112" s="309">
        <f t="shared" si="294"/>
        <v>1.1233</v>
      </c>
      <c r="S1112" s="310">
        <f t="shared" si="295"/>
        <v>7378.632552951899</v>
      </c>
      <c r="T1112" s="555">
        <f t="shared" si="296"/>
        <v>1054.0903647074142</v>
      </c>
      <c r="U1112" s="311"/>
      <c r="V1112" s="312">
        <v>7</v>
      </c>
      <c r="W1112" s="299" t="s">
        <v>194</v>
      </c>
      <c r="X1112" s="300">
        <v>44832</v>
      </c>
      <c r="Y1112" s="299" t="s">
        <v>59</v>
      </c>
      <c r="Z1112" s="303">
        <v>256.74098765432103</v>
      </c>
      <c r="AA1112" s="305">
        <f>IF(Z1112=0,0,IF(Y1112="MXN",1/HLOOKUP(YEAR(X1112)+(MONTH(X1112)/100),TC!$5:$37,DAY(X1112)+2,FALSE),VLOOKUP(Y1112,Equivalencia!$1:$23,((MAX(Equivalencia!$3:$3)-YEAR(X1112))*14)+MONTH(X1112)+2,FALSE)))</f>
        <v>1</v>
      </c>
      <c r="AB1112" s="306">
        <f t="shared" si="297"/>
        <v>256.74098765432103</v>
      </c>
      <c r="AC1112" s="305">
        <f>+IF(X1112=0,0,HLOOKUP(YEAR(X1112)+(MONTH(X1112)/100),TC!$5:$37,DAY(X1112)+2,FALSE))</f>
        <v>20.351700000000001</v>
      </c>
      <c r="AD1112" s="307">
        <f t="shared" si="298"/>
        <v>5225.1155584444459</v>
      </c>
      <c r="AE1112" s="314">
        <f t="shared" si="299"/>
        <v>7378.6325529518999</v>
      </c>
      <c r="AF1112" s="315">
        <f t="shared" si="300"/>
        <v>-2153.516994507454</v>
      </c>
      <c r="AG1112" s="316">
        <f t="shared" si="301"/>
        <v>1.6712328767123288</v>
      </c>
      <c r="AH1112" s="314">
        <v>1</v>
      </c>
      <c r="AI1112" s="314">
        <f t="shared" si="302"/>
        <v>-2153.516994507454</v>
      </c>
      <c r="AJ1112" s="314">
        <f t="shared" si="303"/>
        <v>0</v>
      </c>
      <c r="AK1112" s="317"/>
      <c r="AL1112" s="315">
        <f t="shared" si="304"/>
        <v>-71.969012345678948</v>
      </c>
      <c r="AN1112" s="554">
        <f t="shared" si="305"/>
        <v>-0.21894378736782863</v>
      </c>
      <c r="AO1112" s="314"/>
      <c r="AP1112" s="318"/>
    </row>
    <row r="1113" spans="2:42">
      <c r="B1113" s="296" t="s">
        <v>1254</v>
      </c>
      <c r="C1113" s="299" t="s">
        <v>277</v>
      </c>
      <c r="D1113" s="298" t="s">
        <v>720</v>
      </c>
      <c r="E1113" s="299" t="s">
        <v>113</v>
      </c>
      <c r="F1113" s="299" t="s">
        <v>59</v>
      </c>
      <c r="G1113" s="300">
        <v>44223</v>
      </c>
      <c r="H1113" s="303">
        <v>191.1</v>
      </c>
      <c r="I1113" s="301" t="str">
        <f t="shared" si="289"/>
        <v>Ingresos Sección II LISR (SIC &amp; BMV)</v>
      </c>
      <c r="J1113" s="302">
        <f t="shared" si="290"/>
        <v>4</v>
      </c>
      <c r="K1113" s="304">
        <f t="shared" si="291"/>
        <v>47.774999999999999</v>
      </c>
      <c r="L1113" s="305">
        <f>IF(H1113=0,0,IF(OR(E1113=$AT$5,E1113=$AT$6),AA1113,IF(F1113="MXN",1/HLOOKUP(YEAR(G1113)+(MONTH(G1113)/100),TC!$5:$37,DAY(G1113)+2,FALSE),VLOOKUP(F1113,Equivalencia!$5:$23,((MAX(Equivalencia!$3:$3)-YEAR(G1113))*14)+MONTH(G1113)+2,FALSE))))</f>
        <v>1</v>
      </c>
      <c r="M1113" s="306">
        <f t="shared" si="292"/>
        <v>191.1</v>
      </c>
      <c r="N1113" s="305">
        <f>IF(G1113=0,0,(IF(OR(E1113=$AT$5,E1113=$AT$6),AC1113,HLOOKUP(YEAR(G1113)+(MONTH(G1113)/100),TC!$5:$37,DAY(G1113)+2,FALSE))))</f>
        <v>20.159800000000001</v>
      </c>
      <c r="O1113" s="307">
        <f t="shared" si="293"/>
        <v>3852.5377800000001</v>
      </c>
      <c r="P1113" s="560">
        <f>IF(G1113=0,0,VLOOKUP(YEAR(G1113),INPC!$B$4:$P$30,MONTH(G1113)+2))</f>
        <v>110.21</v>
      </c>
      <c r="Q1113" s="560">
        <f>IF(X1113=0,0,IF(OR(E1113=$AT$10,E1113=$AT$9),VLOOKUP(YEAR(X1113),INPC!$B$4:$P$30,MONTH(X1113)+1),VLOOKUP(YEAR(X1113),INPC!$B$4:$P$30,MONTH(X1113)+2,0)))</f>
        <v>123.803</v>
      </c>
      <c r="R1113" s="309">
        <f t="shared" si="294"/>
        <v>1.1233</v>
      </c>
      <c r="S1113" s="310">
        <f t="shared" si="295"/>
        <v>4327.5556882740002</v>
      </c>
      <c r="T1113" s="555">
        <f t="shared" si="296"/>
        <v>1081.8889220685001</v>
      </c>
      <c r="U1113" s="311"/>
      <c r="V1113" s="312">
        <v>4</v>
      </c>
      <c r="W1113" s="299" t="s">
        <v>194</v>
      </c>
      <c r="X1113" s="300">
        <v>44832</v>
      </c>
      <c r="Y1113" s="299" t="s">
        <v>59</v>
      </c>
      <c r="Z1113" s="303">
        <v>146.70913580246915</v>
      </c>
      <c r="AA1113" s="305">
        <f>IF(Z1113=0,0,IF(Y1113="MXN",1/HLOOKUP(YEAR(X1113)+(MONTH(X1113)/100),TC!$5:$37,DAY(X1113)+2,FALSE),VLOOKUP(Y1113,Equivalencia!$1:$23,((MAX(Equivalencia!$3:$3)-YEAR(X1113))*14)+MONTH(X1113)+2,FALSE)))</f>
        <v>1</v>
      </c>
      <c r="AB1113" s="306">
        <f t="shared" si="297"/>
        <v>146.70913580246915</v>
      </c>
      <c r="AC1113" s="305">
        <f>+IF(X1113=0,0,HLOOKUP(YEAR(X1113)+(MONTH(X1113)/100),TC!$5:$37,DAY(X1113)+2,FALSE))</f>
        <v>20.351700000000001</v>
      </c>
      <c r="AD1113" s="307">
        <f t="shared" si="298"/>
        <v>2985.7803191111116</v>
      </c>
      <c r="AE1113" s="314">
        <f t="shared" si="299"/>
        <v>4327.5556882740002</v>
      </c>
      <c r="AF1113" s="315">
        <f t="shared" si="300"/>
        <v>-1341.7753691628886</v>
      </c>
      <c r="AG1113" s="316">
        <f t="shared" si="301"/>
        <v>1.6684931506849314</v>
      </c>
      <c r="AH1113" s="314">
        <v>1</v>
      </c>
      <c r="AI1113" s="314">
        <f t="shared" si="302"/>
        <v>-1341.7753691628886</v>
      </c>
      <c r="AJ1113" s="314">
        <f t="shared" si="303"/>
        <v>0</v>
      </c>
      <c r="AK1113" s="317"/>
      <c r="AL1113" s="315">
        <f t="shared" si="304"/>
        <v>-44.390864197530846</v>
      </c>
      <c r="AN1113" s="554">
        <f t="shared" si="305"/>
        <v>-0.2322912830849338</v>
      </c>
      <c r="AO1113" s="314"/>
      <c r="AP1113" s="318"/>
    </row>
    <row r="1114" spans="2:42">
      <c r="B1114" s="296" t="s">
        <v>1254</v>
      </c>
      <c r="C1114" s="299" t="s">
        <v>277</v>
      </c>
      <c r="D1114" s="298" t="s">
        <v>720</v>
      </c>
      <c r="E1114" s="299" t="s">
        <v>113</v>
      </c>
      <c r="F1114" s="299" t="s">
        <v>59</v>
      </c>
      <c r="G1114" s="300">
        <v>44223</v>
      </c>
      <c r="H1114" s="303">
        <v>143.33000000000001</v>
      </c>
      <c r="I1114" s="301" t="str">
        <f t="shared" si="289"/>
        <v>Ingresos Sección II LISR (SIC &amp; BMV)</v>
      </c>
      <c r="J1114" s="302">
        <f t="shared" si="290"/>
        <v>3</v>
      </c>
      <c r="K1114" s="304">
        <f t="shared" si="291"/>
        <v>47.776666666666671</v>
      </c>
      <c r="L1114" s="305">
        <f>IF(H1114=0,0,IF(OR(E1114=$AT$5,E1114=$AT$6),AA1114,IF(F1114="MXN",1/HLOOKUP(YEAR(G1114)+(MONTH(G1114)/100),TC!$5:$37,DAY(G1114)+2,FALSE),VLOOKUP(F1114,Equivalencia!$5:$23,((MAX(Equivalencia!$3:$3)-YEAR(G1114))*14)+MONTH(G1114)+2,FALSE))))</f>
        <v>1</v>
      </c>
      <c r="M1114" s="306">
        <f t="shared" si="292"/>
        <v>143.33000000000001</v>
      </c>
      <c r="N1114" s="305">
        <f>IF(G1114=0,0,(IF(OR(E1114=$AT$5,E1114=$AT$6),AC1114,HLOOKUP(YEAR(G1114)+(MONTH(G1114)/100),TC!$5:$37,DAY(G1114)+2,FALSE))))</f>
        <v>20.159800000000001</v>
      </c>
      <c r="O1114" s="307">
        <f t="shared" si="293"/>
        <v>2889.5041340000002</v>
      </c>
      <c r="P1114" s="560">
        <f>IF(G1114=0,0,VLOOKUP(YEAR(G1114),INPC!$B$4:$P$30,MONTH(G1114)+2))</f>
        <v>110.21</v>
      </c>
      <c r="Q1114" s="560">
        <f>IF(X1114=0,0,IF(OR(E1114=$AT$10,E1114=$AT$9),VLOOKUP(YEAR(X1114),INPC!$B$4:$P$30,MONTH(X1114)+1),VLOOKUP(YEAR(X1114),INPC!$B$4:$P$30,MONTH(X1114)+2,0)))</f>
        <v>123.803</v>
      </c>
      <c r="R1114" s="309">
        <f t="shared" si="294"/>
        <v>1.1233</v>
      </c>
      <c r="S1114" s="310">
        <f t="shared" si="295"/>
        <v>3245.7799937222003</v>
      </c>
      <c r="T1114" s="555">
        <f t="shared" si="296"/>
        <v>1081.9266645740668</v>
      </c>
      <c r="U1114" s="311"/>
      <c r="V1114" s="312">
        <v>3</v>
      </c>
      <c r="W1114" s="299" t="s">
        <v>194</v>
      </c>
      <c r="X1114" s="300">
        <v>44832</v>
      </c>
      <c r="Y1114" s="299" t="s">
        <v>59</v>
      </c>
      <c r="Z1114" s="303">
        <v>110.03185185185185</v>
      </c>
      <c r="AA1114" s="305">
        <f>IF(Z1114=0,0,IF(Y1114="MXN",1/HLOOKUP(YEAR(X1114)+(MONTH(X1114)/100),TC!$5:$37,DAY(X1114)+2,FALSE),VLOOKUP(Y1114,Equivalencia!$1:$23,((MAX(Equivalencia!$3:$3)-YEAR(X1114))*14)+MONTH(X1114)+2,FALSE)))</f>
        <v>1</v>
      </c>
      <c r="AB1114" s="306">
        <f t="shared" si="297"/>
        <v>110.03185185185185</v>
      </c>
      <c r="AC1114" s="305">
        <f>+IF(X1114=0,0,HLOOKUP(YEAR(X1114)+(MONTH(X1114)/100),TC!$5:$37,DAY(X1114)+2,FALSE))</f>
        <v>20.351700000000001</v>
      </c>
      <c r="AD1114" s="307">
        <f t="shared" si="298"/>
        <v>2239.3352393333334</v>
      </c>
      <c r="AE1114" s="314">
        <f t="shared" si="299"/>
        <v>3245.7799937222003</v>
      </c>
      <c r="AF1114" s="315">
        <f t="shared" si="300"/>
        <v>-1006.4447543888668</v>
      </c>
      <c r="AG1114" s="316">
        <f t="shared" si="301"/>
        <v>1.6684931506849314</v>
      </c>
      <c r="AH1114" s="314">
        <v>1</v>
      </c>
      <c r="AI1114" s="314">
        <f t="shared" si="302"/>
        <v>-1006.4447543888668</v>
      </c>
      <c r="AJ1114" s="314">
        <f t="shared" si="303"/>
        <v>0</v>
      </c>
      <c r="AK1114" s="317"/>
      <c r="AL1114" s="315">
        <f t="shared" si="304"/>
        <v>-33.298148148148158</v>
      </c>
      <c r="AN1114" s="554">
        <f t="shared" si="305"/>
        <v>-0.23231806424438817</v>
      </c>
      <c r="AO1114" s="314"/>
      <c r="AP1114" s="318"/>
    </row>
    <row r="1115" spans="2:42">
      <c r="B1115" s="296" t="s">
        <v>1254</v>
      </c>
      <c r="C1115" s="299" t="s">
        <v>277</v>
      </c>
      <c r="D1115" s="298" t="s">
        <v>720</v>
      </c>
      <c r="E1115" s="299" t="s">
        <v>113</v>
      </c>
      <c r="F1115" s="299" t="s">
        <v>59</v>
      </c>
      <c r="G1115" s="300">
        <v>44223</v>
      </c>
      <c r="H1115" s="303">
        <v>191.1</v>
      </c>
      <c r="I1115" s="301" t="str">
        <f t="shared" si="289"/>
        <v>Ingresos Sección II LISR (SIC &amp; BMV)</v>
      </c>
      <c r="J1115" s="302">
        <f t="shared" si="290"/>
        <v>4</v>
      </c>
      <c r="K1115" s="304">
        <f t="shared" si="291"/>
        <v>47.774999999999999</v>
      </c>
      <c r="L1115" s="305">
        <f>IF(H1115=0,0,IF(OR(E1115=$AT$5,E1115=$AT$6),AA1115,IF(F1115="MXN",1/HLOOKUP(YEAR(G1115)+(MONTH(G1115)/100),TC!$5:$37,DAY(G1115)+2,FALSE),VLOOKUP(F1115,Equivalencia!$5:$23,((MAX(Equivalencia!$3:$3)-YEAR(G1115))*14)+MONTH(G1115)+2,FALSE))))</f>
        <v>1</v>
      </c>
      <c r="M1115" s="306">
        <f t="shared" si="292"/>
        <v>191.1</v>
      </c>
      <c r="N1115" s="305">
        <f>IF(G1115=0,0,(IF(OR(E1115=$AT$5,E1115=$AT$6),AC1115,HLOOKUP(YEAR(G1115)+(MONTH(G1115)/100),TC!$5:$37,DAY(G1115)+2,FALSE))))</f>
        <v>20.159800000000001</v>
      </c>
      <c r="O1115" s="307">
        <f t="shared" si="293"/>
        <v>3852.5377800000001</v>
      </c>
      <c r="P1115" s="560">
        <f>IF(G1115=0,0,VLOOKUP(YEAR(G1115),INPC!$B$4:$P$30,MONTH(G1115)+2))</f>
        <v>110.21</v>
      </c>
      <c r="Q1115" s="560">
        <f>IF(X1115=0,0,IF(OR(E1115=$AT$10,E1115=$AT$9),VLOOKUP(YEAR(X1115),INPC!$B$4:$P$30,MONTH(X1115)+1),VLOOKUP(YEAR(X1115),INPC!$B$4:$P$30,MONTH(X1115)+2,0)))</f>
        <v>123.803</v>
      </c>
      <c r="R1115" s="309">
        <f t="shared" si="294"/>
        <v>1.1233</v>
      </c>
      <c r="S1115" s="310">
        <f t="shared" si="295"/>
        <v>4327.5556882740002</v>
      </c>
      <c r="T1115" s="555">
        <f t="shared" si="296"/>
        <v>1081.8889220685001</v>
      </c>
      <c r="U1115" s="311"/>
      <c r="V1115" s="312">
        <v>4</v>
      </c>
      <c r="W1115" s="299" t="s">
        <v>194</v>
      </c>
      <c r="X1115" s="300">
        <v>44832</v>
      </c>
      <c r="Y1115" s="299" t="s">
        <v>59</v>
      </c>
      <c r="Z1115" s="303">
        <v>146.70913580246915</v>
      </c>
      <c r="AA1115" s="305">
        <f>IF(Z1115=0,0,IF(Y1115="MXN",1/HLOOKUP(YEAR(X1115)+(MONTH(X1115)/100),TC!$5:$37,DAY(X1115)+2,FALSE),VLOOKUP(Y1115,Equivalencia!$1:$23,((MAX(Equivalencia!$3:$3)-YEAR(X1115))*14)+MONTH(X1115)+2,FALSE)))</f>
        <v>1</v>
      </c>
      <c r="AB1115" s="306">
        <f t="shared" si="297"/>
        <v>146.70913580246915</v>
      </c>
      <c r="AC1115" s="305">
        <f>+IF(X1115=0,0,HLOOKUP(YEAR(X1115)+(MONTH(X1115)/100),TC!$5:$37,DAY(X1115)+2,FALSE))</f>
        <v>20.351700000000001</v>
      </c>
      <c r="AD1115" s="307">
        <f t="shared" si="298"/>
        <v>2985.7803191111116</v>
      </c>
      <c r="AE1115" s="314">
        <f t="shared" si="299"/>
        <v>4327.5556882740002</v>
      </c>
      <c r="AF1115" s="315">
        <f t="shared" si="300"/>
        <v>-1341.7753691628886</v>
      </c>
      <c r="AG1115" s="316">
        <f t="shared" si="301"/>
        <v>1.6684931506849314</v>
      </c>
      <c r="AH1115" s="314">
        <v>1</v>
      </c>
      <c r="AI1115" s="314">
        <f t="shared" si="302"/>
        <v>-1341.7753691628886</v>
      </c>
      <c r="AJ1115" s="314">
        <f t="shared" si="303"/>
        <v>0</v>
      </c>
      <c r="AK1115" s="317"/>
      <c r="AL1115" s="315">
        <f t="shared" si="304"/>
        <v>-44.390864197530846</v>
      </c>
      <c r="AN1115" s="554">
        <f t="shared" si="305"/>
        <v>-0.2322912830849338</v>
      </c>
      <c r="AO1115" s="314"/>
      <c r="AP1115" s="318"/>
    </row>
    <row r="1116" spans="2:42">
      <c r="B1116" s="296" t="s">
        <v>1254</v>
      </c>
      <c r="C1116" s="299" t="s">
        <v>277</v>
      </c>
      <c r="D1116" s="298" t="s">
        <v>720</v>
      </c>
      <c r="E1116" s="299" t="s">
        <v>113</v>
      </c>
      <c r="F1116" s="299" t="s">
        <v>59</v>
      </c>
      <c r="G1116" s="300">
        <v>44259</v>
      </c>
      <c r="H1116" s="303">
        <v>2436.159928825623</v>
      </c>
      <c r="I1116" s="301" t="str">
        <f t="shared" si="289"/>
        <v>Ingresos Sección II LISR (SIC &amp; BMV)</v>
      </c>
      <c r="J1116" s="302">
        <f t="shared" si="290"/>
        <v>42</v>
      </c>
      <c r="K1116" s="304">
        <f t="shared" si="291"/>
        <v>58.003807829181497</v>
      </c>
      <c r="L1116" s="305">
        <f>IF(H1116=0,0,IF(OR(E1116=$AT$5,E1116=$AT$6),AA1116,IF(F1116="MXN",1/HLOOKUP(YEAR(G1116)+(MONTH(G1116)/100),TC!$5:$37,DAY(G1116)+2,FALSE),VLOOKUP(F1116,Equivalencia!$5:$23,((MAX(Equivalencia!$3:$3)-YEAR(G1116))*14)+MONTH(G1116)+2,FALSE))))</f>
        <v>1</v>
      </c>
      <c r="M1116" s="306">
        <f t="shared" si="292"/>
        <v>2436.159928825623</v>
      </c>
      <c r="N1116" s="305">
        <f>IF(G1116=0,0,(IF(OR(E1116=$AT$5,E1116=$AT$6),AC1116,HLOOKUP(YEAR(G1116)+(MONTH(G1116)/100),TC!$5:$37,DAY(G1116)+2,FALSE))))</f>
        <v>20.690300000000001</v>
      </c>
      <c r="O1116" s="307">
        <f t="shared" si="293"/>
        <v>50404.879775380788</v>
      </c>
      <c r="P1116" s="560">
        <f>IF(G1116=0,0,VLOOKUP(YEAR(G1116),INPC!$B$4:$P$30,MONTH(G1116)+2))</f>
        <v>111.824</v>
      </c>
      <c r="Q1116" s="560">
        <f>IF(X1116=0,0,IF(OR(E1116=$AT$10,E1116=$AT$9),VLOOKUP(YEAR(X1116),INPC!$B$4:$P$30,MONTH(X1116)+1),VLOOKUP(YEAR(X1116),INPC!$B$4:$P$30,MONTH(X1116)+2,0)))</f>
        <v>123.803</v>
      </c>
      <c r="R1116" s="309">
        <f t="shared" si="294"/>
        <v>1.1071</v>
      </c>
      <c r="S1116" s="310">
        <f t="shared" si="295"/>
        <v>55803.242399324066</v>
      </c>
      <c r="T1116" s="555">
        <f t="shared" si="296"/>
        <v>1328.6486285553349</v>
      </c>
      <c r="U1116" s="311"/>
      <c r="V1116" s="312">
        <v>42</v>
      </c>
      <c r="W1116" s="299" t="s">
        <v>194</v>
      </c>
      <c r="X1116" s="300">
        <v>44832</v>
      </c>
      <c r="Y1116" s="299" t="s">
        <v>59</v>
      </c>
      <c r="Z1116" s="303">
        <v>1540.4459259259261</v>
      </c>
      <c r="AA1116" s="305">
        <f>IF(Z1116=0,0,IF(Y1116="MXN",1/HLOOKUP(YEAR(X1116)+(MONTH(X1116)/100),TC!$5:$37,DAY(X1116)+2,FALSE),VLOOKUP(Y1116,Equivalencia!$1:$23,((MAX(Equivalencia!$3:$3)-YEAR(X1116))*14)+MONTH(X1116)+2,FALSE)))</f>
        <v>1</v>
      </c>
      <c r="AB1116" s="306">
        <f t="shared" si="297"/>
        <v>1540.4459259259261</v>
      </c>
      <c r="AC1116" s="305">
        <f>+IF(X1116=0,0,HLOOKUP(YEAR(X1116)+(MONTH(X1116)/100),TC!$5:$37,DAY(X1116)+2,FALSE))</f>
        <v>20.351700000000001</v>
      </c>
      <c r="AD1116" s="307">
        <f t="shared" si="298"/>
        <v>31350.693350666672</v>
      </c>
      <c r="AE1116" s="314">
        <f t="shared" si="299"/>
        <v>55803.242399324066</v>
      </c>
      <c r="AF1116" s="315">
        <f t="shared" si="300"/>
        <v>-24452.549048657394</v>
      </c>
      <c r="AG1116" s="316">
        <f t="shared" si="301"/>
        <v>1.5698630136986302</v>
      </c>
      <c r="AH1116" s="314">
        <v>1</v>
      </c>
      <c r="AI1116" s="314">
        <f t="shared" si="302"/>
        <v>-24452.549048657394</v>
      </c>
      <c r="AJ1116" s="314">
        <f t="shared" si="303"/>
        <v>0</v>
      </c>
      <c r="AK1116" s="317"/>
      <c r="AL1116" s="315">
        <f t="shared" si="304"/>
        <v>-895.71400289969688</v>
      </c>
      <c r="AN1116" s="554">
        <f t="shared" si="305"/>
        <v>-0.36767454890840662</v>
      </c>
      <c r="AO1116" s="314"/>
      <c r="AP1116" s="318"/>
    </row>
    <row r="1117" spans="2:42">
      <c r="B1117" s="296" t="s">
        <v>1254</v>
      </c>
      <c r="C1117" s="299" t="s">
        <v>277</v>
      </c>
      <c r="D1117" s="298" t="s">
        <v>720</v>
      </c>
      <c r="E1117" s="299" t="s">
        <v>113</v>
      </c>
      <c r="F1117" s="299" t="s">
        <v>59</v>
      </c>
      <c r="G1117" s="300">
        <v>44259</v>
      </c>
      <c r="H1117" s="303">
        <v>2494.1637366548043</v>
      </c>
      <c r="I1117" s="301" t="str">
        <f t="shared" si="289"/>
        <v>Ingresos Sección II LISR (SIC &amp; BMV)</v>
      </c>
      <c r="J1117" s="302">
        <f t="shared" si="290"/>
        <v>43</v>
      </c>
      <c r="K1117" s="304">
        <f t="shared" si="291"/>
        <v>58.003807829181497</v>
      </c>
      <c r="L1117" s="305">
        <f>IF(H1117=0,0,IF(OR(E1117=$AT$5,E1117=$AT$6),AA1117,IF(F1117="MXN",1/HLOOKUP(YEAR(G1117)+(MONTH(G1117)/100),TC!$5:$37,DAY(G1117)+2,FALSE),VLOOKUP(F1117,Equivalencia!$5:$23,((MAX(Equivalencia!$3:$3)-YEAR(G1117))*14)+MONTH(G1117)+2,FALSE))))</f>
        <v>1</v>
      </c>
      <c r="M1117" s="306">
        <f t="shared" si="292"/>
        <v>2494.1637366548043</v>
      </c>
      <c r="N1117" s="305">
        <f>IF(G1117=0,0,(IF(OR(E1117=$AT$5,E1117=$AT$6),AC1117,HLOOKUP(YEAR(G1117)+(MONTH(G1117)/100),TC!$5:$37,DAY(G1117)+2,FALSE))))</f>
        <v>20.690300000000001</v>
      </c>
      <c r="O1117" s="307">
        <f t="shared" si="293"/>
        <v>51604.995960508902</v>
      </c>
      <c r="P1117" s="560">
        <f>IF(G1117=0,0,VLOOKUP(YEAR(G1117),INPC!$B$4:$P$30,MONTH(G1117)+2))</f>
        <v>111.824</v>
      </c>
      <c r="Q1117" s="560">
        <f>IF(X1117=0,0,IF(OR(E1117=$AT$10,E1117=$AT$9),VLOOKUP(YEAR(X1117),INPC!$B$4:$P$30,MONTH(X1117)+1),VLOOKUP(YEAR(X1117),INPC!$B$4:$P$30,MONTH(X1117)+2,0)))</f>
        <v>123.803</v>
      </c>
      <c r="R1117" s="309">
        <f t="shared" si="294"/>
        <v>1.1071</v>
      </c>
      <c r="S1117" s="310">
        <f t="shared" si="295"/>
        <v>57131.891027879406</v>
      </c>
      <c r="T1117" s="555">
        <f t="shared" si="296"/>
        <v>1328.6486285553351</v>
      </c>
      <c r="U1117" s="311"/>
      <c r="V1117" s="312">
        <v>43</v>
      </c>
      <c r="W1117" s="299" t="s">
        <v>194</v>
      </c>
      <c r="X1117" s="300">
        <v>44832</v>
      </c>
      <c r="Y1117" s="299" t="s">
        <v>59</v>
      </c>
      <c r="Z1117" s="303">
        <v>1584.64</v>
      </c>
      <c r="AA1117" s="305">
        <f>IF(Z1117=0,0,IF(Y1117="MXN",1/HLOOKUP(YEAR(X1117)+(MONTH(X1117)/100),TC!$5:$37,DAY(X1117)+2,FALSE),VLOOKUP(Y1117,Equivalencia!$1:$23,((MAX(Equivalencia!$3:$3)-YEAR(X1117))*14)+MONTH(X1117)+2,FALSE)))</f>
        <v>1</v>
      </c>
      <c r="AB1117" s="306">
        <f t="shared" si="297"/>
        <v>1584.64</v>
      </c>
      <c r="AC1117" s="305">
        <f>+IF(X1117=0,0,HLOOKUP(YEAR(X1117)+(MONTH(X1117)/100),TC!$5:$37,DAY(X1117)+2,FALSE))</f>
        <v>20.351700000000001</v>
      </c>
      <c r="AD1117" s="307">
        <f t="shared" si="298"/>
        <v>32250.117888000004</v>
      </c>
      <c r="AE1117" s="314">
        <f t="shared" si="299"/>
        <v>57131.891027879406</v>
      </c>
      <c r="AF1117" s="315">
        <f t="shared" si="300"/>
        <v>-24881.773139879402</v>
      </c>
      <c r="AG1117" s="316">
        <f t="shared" si="301"/>
        <v>1.5698630136986302</v>
      </c>
      <c r="AH1117" s="314">
        <v>1</v>
      </c>
      <c r="AI1117" s="314">
        <f t="shared" si="302"/>
        <v>-24881.773139879402</v>
      </c>
      <c r="AJ1117" s="314">
        <f t="shared" si="303"/>
        <v>0</v>
      </c>
      <c r="AK1117" s="317"/>
      <c r="AL1117" s="315">
        <f t="shared" si="304"/>
        <v>-909.52373665480422</v>
      </c>
      <c r="AN1117" s="554">
        <f t="shared" si="305"/>
        <v>-0.36466079723966555</v>
      </c>
      <c r="AO1117" s="314"/>
      <c r="AP1117" s="318"/>
    </row>
    <row r="1118" spans="2:42">
      <c r="B1118" s="296" t="s">
        <v>1254</v>
      </c>
      <c r="C1118" s="299" t="s">
        <v>277</v>
      </c>
      <c r="D1118" s="298" t="s">
        <v>720</v>
      </c>
      <c r="E1118" s="299" t="s">
        <v>113</v>
      </c>
      <c r="F1118" s="299" t="s">
        <v>59</v>
      </c>
      <c r="G1118" s="300">
        <v>44259</v>
      </c>
      <c r="H1118" s="303">
        <v>2204.144697508897</v>
      </c>
      <c r="I1118" s="301" t="str">
        <f t="shared" si="289"/>
        <v>Ingresos Sección II LISR (SIC &amp; BMV)</v>
      </c>
      <c r="J1118" s="302">
        <f t="shared" si="290"/>
        <v>38</v>
      </c>
      <c r="K1118" s="304">
        <f t="shared" si="291"/>
        <v>58.003807829181504</v>
      </c>
      <c r="L1118" s="305">
        <f>IF(H1118=0,0,IF(OR(E1118=$AT$5,E1118=$AT$6),AA1118,IF(F1118="MXN",1/HLOOKUP(YEAR(G1118)+(MONTH(G1118)/100),TC!$5:$37,DAY(G1118)+2,FALSE),VLOOKUP(F1118,Equivalencia!$5:$23,((MAX(Equivalencia!$3:$3)-YEAR(G1118))*14)+MONTH(G1118)+2,FALSE))))</f>
        <v>1</v>
      </c>
      <c r="M1118" s="306">
        <f t="shared" si="292"/>
        <v>2204.144697508897</v>
      </c>
      <c r="N1118" s="305">
        <f>IF(G1118=0,0,(IF(OR(E1118=$AT$5,E1118=$AT$6),AC1118,HLOOKUP(YEAR(G1118)+(MONTH(G1118)/100),TC!$5:$37,DAY(G1118)+2,FALSE))))</f>
        <v>20.690300000000001</v>
      </c>
      <c r="O1118" s="307">
        <f t="shared" si="293"/>
        <v>45604.415034868332</v>
      </c>
      <c r="P1118" s="560">
        <f>IF(G1118=0,0,VLOOKUP(YEAR(G1118),INPC!$B$4:$P$30,MONTH(G1118)+2))</f>
        <v>111.824</v>
      </c>
      <c r="Q1118" s="560">
        <f>IF(X1118=0,0,IF(OR(E1118=$AT$10,E1118=$AT$9),VLOOKUP(YEAR(X1118),INPC!$B$4:$P$30,MONTH(X1118)+1),VLOOKUP(YEAR(X1118),INPC!$B$4:$P$30,MONTH(X1118)+2,0)))</f>
        <v>123.803</v>
      </c>
      <c r="R1118" s="309">
        <f t="shared" si="294"/>
        <v>1.1071</v>
      </c>
      <c r="S1118" s="310">
        <f t="shared" si="295"/>
        <v>50488.647885102728</v>
      </c>
      <c r="T1118" s="555">
        <f t="shared" si="296"/>
        <v>1328.6486285553349</v>
      </c>
      <c r="U1118" s="311"/>
      <c r="V1118" s="312">
        <v>38</v>
      </c>
      <c r="W1118" s="299" t="s">
        <v>194</v>
      </c>
      <c r="X1118" s="300">
        <v>44832</v>
      </c>
      <c r="Y1118" s="299" t="s">
        <v>59</v>
      </c>
      <c r="Z1118" s="303">
        <v>1393.4300000000003</v>
      </c>
      <c r="AA1118" s="305">
        <f>IF(Z1118=0,0,IF(Y1118="MXN",1/HLOOKUP(YEAR(X1118)+(MONTH(X1118)/100),TC!$5:$37,DAY(X1118)+2,FALSE),VLOOKUP(Y1118,Equivalencia!$1:$23,((MAX(Equivalencia!$3:$3)-YEAR(X1118))*14)+MONTH(X1118)+2,FALSE)))</f>
        <v>1</v>
      </c>
      <c r="AB1118" s="306">
        <f t="shared" si="297"/>
        <v>1393.4300000000003</v>
      </c>
      <c r="AC1118" s="305">
        <f>+IF(X1118=0,0,HLOOKUP(YEAR(X1118)+(MONTH(X1118)/100),TC!$5:$37,DAY(X1118)+2,FALSE))</f>
        <v>20.351700000000001</v>
      </c>
      <c r="AD1118" s="307">
        <f t="shared" si="298"/>
        <v>28358.669331000008</v>
      </c>
      <c r="AE1118" s="314">
        <f t="shared" si="299"/>
        <v>50488.647885102728</v>
      </c>
      <c r="AF1118" s="315">
        <f t="shared" si="300"/>
        <v>-22129.978554102719</v>
      </c>
      <c r="AG1118" s="316">
        <f t="shared" si="301"/>
        <v>1.5698630136986302</v>
      </c>
      <c r="AH1118" s="314">
        <v>1</v>
      </c>
      <c r="AI1118" s="314">
        <f t="shared" si="302"/>
        <v>-22129.978554102719</v>
      </c>
      <c r="AJ1118" s="314">
        <f t="shared" si="303"/>
        <v>0</v>
      </c>
      <c r="AK1118" s="317"/>
      <c r="AL1118" s="315">
        <f t="shared" si="304"/>
        <v>-810.71469750889673</v>
      </c>
      <c r="AN1118" s="554">
        <f t="shared" si="305"/>
        <v>-0.36781373674113077</v>
      </c>
      <c r="AO1118" s="314"/>
      <c r="AP1118" s="318"/>
    </row>
    <row r="1119" spans="2:42">
      <c r="B1119" s="296" t="s">
        <v>1254</v>
      </c>
      <c r="C1119" s="299" t="s">
        <v>277</v>
      </c>
      <c r="D1119" s="298" t="s">
        <v>720</v>
      </c>
      <c r="E1119" s="299" t="s">
        <v>113</v>
      </c>
      <c r="F1119" s="299" t="s">
        <v>59</v>
      </c>
      <c r="G1119" s="300">
        <v>44259</v>
      </c>
      <c r="H1119" s="303">
        <v>174.0114234875445</v>
      </c>
      <c r="I1119" s="301" t="str">
        <f t="shared" si="289"/>
        <v>Ingresos Sección II LISR (SIC &amp; BMV)</v>
      </c>
      <c r="J1119" s="302">
        <f t="shared" si="290"/>
        <v>3</v>
      </c>
      <c r="K1119" s="304">
        <f t="shared" si="291"/>
        <v>58.003807829181504</v>
      </c>
      <c r="L1119" s="305">
        <f>IF(H1119=0,0,IF(OR(E1119=$AT$5,E1119=$AT$6),AA1119,IF(F1119="MXN",1/HLOOKUP(YEAR(G1119)+(MONTH(G1119)/100),TC!$5:$37,DAY(G1119)+2,FALSE),VLOOKUP(F1119,Equivalencia!$5:$23,((MAX(Equivalencia!$3:$3)-YEAR(G1119))*14)+MONTH(G1119)+2,FALSE))))</f>
        <v>1</v>
      </c>
      <c r="M1119" s="306">
        <f t="shared" si="292"/>
        <v>174.0114234875445</v>
      </c>
      <c r="N1119" s="305">
        <f>IF(G1119=0,0,(IF(OR(E1119=$AT$5,E1119=$AT$6),AC1119,HLOOKUP(YEAR(G1119)+(MONTH(G1119)/100),TC!$5:$37,DAY(G1119)+2,FALSE))))</f>
        <v>20.690300000000001</v>
      </c>
      <c r="O1119" s="307">
        <f t="shared" si="293"/>
        <v>3600.348555384342</v>
      </c>
      <c r="P1119" s="560">
        <f>IF(G1119=0,0,VLOOKUP(YEAR(G1119),INPC!$B$4:$P$30,MONTH(G1119)+2))</f>
        <v>111.824</v>
      </c>
      <c r="Q1119" s="560">
        <f>IF(X1119=0,0,IF(OR(E1119=$AT$10,E1119=$AT$9),VLOOKUP(YEAR(X1119),INPC!$B$4:$P$30,MONTH(X1119)+1),VLOOKUP(YEAR(X1119),INPC!$B$4:$P$30,MONTH(X1119)+2,0)))</f>
        <v>123.803</v>
      </c>
      <c r="R1119" s="309">
        <f t="shared" si="294"/>
        <v>1.1071</v>
      </c>
      <c r="S1119" s="310">
        <f t="shared" si="295"/>
        <v>3985.9458856660049</v>
      </c>
      <c r="T1119" s="555">
        <f t="shared" si="296"/>
        <v>1328.6486285553349</v>
      </c>
      <c r="U1119" s="311"/>
      <c r="V1119" s="312">
        <v>3</v>
      </c>
      <c r="W1119" s="299" t="s">
        <v>194</v>
      </c>
      <c r="X1119" s="300">
        <v>44832</v>
      </c>
      <c r="Y1119" s="299" t="s">
        <v>59</v>
      </c>
      <c r="Z1119" s="303">
        <v>110.16</v>
      </c>
      <c r="AA1119" s="305">
        <f>IF(Z1119=0,0,IF(Y1119="MXN",1/HLOOKUP(YEAR(X1119)+(MONTH(X1119)/100),TC!$5:$37,DAY(X1119)+2,FALSE),VLOOKUP(Y1119,Equivalencia!$1:$23,((MAX(Equivalencia!$3:$3)-YEAR(X1119))*14)+MONTH(X1119)+2,FALSE)))</f>
        <v>1</v>
      </c>
      <c r="AB1119" s="306">
        <f t="shared" si="297"/>
        <v>110.16</v>
      </c>
      <c r="AC1119" s="305">
        <f>+IF(X1119=0,0,HLOOKUP(YEAR(X1119)+(MONTH(X1119)/100),TC!$5:$37,DAY(X1119)+2,FALSE))</f>
        <v>20.351700000000001</v>
      </c>
      <c r="AD1119" s="307">
        <f t="shared" si="298"/>
        <v>2241.943272</v>
      </c>
      <c r="AE1119" s="314">
        <f t="shared" si="299"/>
        <v>3985.9458856660049</v>
      </c>
      <c r="AF1119" s="315">
        <f t="shared" si="300"/>
        <v>-1744.0026136660049</v>
      </c>
      <c r="AG1119" s="316">
        <f t="shared" si="301"/>
        <v>1.5698630136986302</v>
      </c>
      <c r="AH1119" s="314">
        <v>1</v>
      </c>
      <c r="AI1119" s="314">
        <f t="shared" si="302"/>
        <v>-1744.0026136660049</v>
      </c>
      <c r="AJ1119" s="314">
        <f t="shared" si="303"/>
        <v>0</v>
      </c>
      <c r="AK1119" s="317"/>
      <c r="AL1119" s="315">
        <f t="shared" si="304"/>
        <v>-63.851423487544508</v>
      </c>
      <c r="AN1119" s="554">
        <f t="shared" si="305"/>
        <v>-0.36693811364697504</v>
      </c>
      <c r="AO1119" s="314"/>
      <c r="AP1119" s="318"/>
    </row>
    <row r="1120" spans="2:42">
      <c r="B1120" s="296" t="s">
        <v>1254</v>
      </c>
      <c r="C1120" s="299" t="s">
        <v>277</v>
      </c>
      <c r="D1120" s="298" t="s">
        <v>720</v>
      </c>
      <c r="E1120" s="299" t="s">
        <v>113</v>
      </c>
      <c r="F1120" s="299" t="s">
        <v>59</v>
      </c>
      <c r="G1120" s="300">
        <v>44348</v>
      </c>
      <c r="H1120" s="303">
        <v>1117.6779661016949</v>
      </c>
      <c r="I1120" s="301" t="str">
        <f t="shared" si="289"/>
        <v>Ingresos Sección II LISR (SIC &amp; BMV)</v>
      </c>
      <c r="J1120" s="302">
        <f t="shared" si="290"/>
        <v>17</v>
      </c>
      <c r="K1120" s="304">
        <f t="shared" si="291"/>
        <v>65.745762711864401</v>
      </c>
      <c r="L1120" s="305">
        <f>IF(H1120=0,0,IF(OR(E1120=$AT$5,E1120=$AT$6),AA1120,IF(F1120="MXN",1/HLOOKUP(YEAR(G1120)+(MONTH(G1120)/100),TC!$5:$37,DAY(G1120)+2,FALSE),VLOOKUP(F1120,Equivalencia!$5:$23,((MAX(Equivalencia!$3:$3)-YEAR(G1120))*14)+MONTH(G1120)+2,FALSE))))</f>
        <v>1</v>
      </c>
      <c r="M1120" s="306">
        <f t="shared" si="292"/>
        <v>1117.6779661016949</v>
      </c>
      <c r="N1120" s="305">
        <f>IF(G1120=0,0,(IF(OR(E1120=$AT$5,E1120=$AT$6),AC1120,HLOOKUP(YEAR(G1120)+(MONTH(G1120)/100),TC!$5:$37,DAY(G1120)+2,FALSE))))</f>
        <v>19.944199999999999</v>
      </c>
      <c r="O1120" s="307">
        <f t="shared" si="293"/>
        <v>22291.192891525421</v>
      </c>
      <c r="P1120" s="560">
        <f>IF(G1120=0,0,VLOOKUP(YEAR(G1120),INPC!$B$4:$P$30,MONTH(G1120)+2))</f>
        <v>113.018</v>
      </c>
      <c r="Q1120" s="560">
        <f>IF(X1120=0,0,IF(OR(E1120=$AT$10,E1120=$AT$9),VLOOKUP(YEAR(X1120),INPC!$B$4:$P$30,MONTH(X1120)+1),VLOOKUP(YEAR(X1120),INPC!$B$4:$P$30,MONTH(X1120)+2,0)))</f>
        <v>123.803</v>
      </c>
      <c r="R1120" s="309">
        <f t="shared" si="294"/>
        <v>1.0953999999999999</v>
      </c>
      <c r="S1120" s="310">
        <f t="shared" si="295"/>
        <v>24417.772693376945</v>
      </c>
      <c r="T1120" s="555">
        <f t="shared" si="296"/>
        <v>1436.3395701986437</v>
      </c>
      <c r="U1120" s="311"/>
      <c r="V1120" s="312">
        <v>17</v>
      </c>
      <c r="W1120" s="299" t="s">
        <v>194</v>
      </c>
      <c r="X1120" s="300">
        <v>44832</v>
      </c>
      <c r="Y1120" s="299" t="s">
        <v>59</v>
      </c>
      <c r="Z1120" s="303">
        <v>624.24</v>
      </c>
      <c r="AA1120" s="305">
        <f>IF(Z1120=0,0,IF(Y1120="MXN",1/HLOOKUP(YEAR(X1120)+(MONTH(X1120)/100),TC!$5:$37,DAY(X1120)+2,FALSE),VLOOKUP(Y1120,Equivalencia!$1:$23,((MAX(Equivalencia!$3:$3)-YEAR(X1120))*14)+MONTH(X1120)+2,FALSE)))</f>
        <v>1</v>
      </c>
      <c r="AB1120" s="306">
        <f t="shared" si="297"/>
        <v>624.24</v>
      </c>
      <c r="AC1120" s="305">
        <f>+IF(X1120=0,0,HLOOKUP(YEAR(X1120)+(MONTH(X1120)/100),TC!$5:$37,DAY(X1120)+2,FALSE))</f>
        <v>20.351700000000001</v>
      </c>
      <c r="AD1120" s="307">
        <f t="shared" si="298"/>
        <v>12704.345208000001</v>
      </c>
      <c r="AE1120" s="314">
        <f t="shared" si="299"/>
        <v>24417.772693376945</v>
      </c>
      <c r="AF1120" s="315">
        <f t="shared" si="300"/>
        <v>-11713.427485376944</v>
      </c>
      <c r="AG1120" s="316">
        <f t="shared" si="301"/>
        <v>1.3260273972602741</v>
      </c>
      <c r="AH1120" s="314">
        <v>1</v>
      </c>
      <c r="AI1120" s="314">
        <f t="shared" si="302"/>
        <v>-11713.427485376944</v>
      </c>
      <c r="AJ1120" s="314">
        <f t="shared" si="303"/>
        <v>0</v>
      </c>
      <c r="AK1120" s="317"/>
      <c r="AL1120" s="315">
        <f t="shared" si="304"/>
        <v>-493.43796610169488</v>
      </c>
      <c r="AN1120" s="554">
        <f t="shared" si="305"/>
        <v>-0.44148491879350343</v>
      </c>
      <c r="AO1120" s="314"/>
      <c r="AP1120" s="318"/>
    </row>
    <row r="1121" spans="2:42">
      <c r="B1121" s="296" t="s">
        <v>1254</v>
      </c>
      <c r="C1121" s="299" t="s">
        <v>277</v>
      </c>
      <c r="D1121" s="298" t="s">
        <v>720</v>
      </c>
      <c r="E1121" s="299" t="s">
        <v>113</v>
      </c>
      <c r="F1121" s="299" t="s">
        <v>59</v>
      </c>
      <c r="G1121" s="300">
        <v>44348</v>
      </c>
      <c r="H1121" s="303">
        <v>591.71186440677957</v>
      </c>
      <c r="I1121" s="301" t="str">
        <f t="shared" si="289"/>
        <v>Ingresos Sección II LISR (SIC &amp; BMV)</v>
      </c>
      <c r="J1121" s="302">
        <f t="shared" si="290"/>
        <v>9</v>
      </c>
      <c r="K1121" s="304">
        <f t="shared" si="291"/>
        <v>65.745762711864401</v>
      </c>
      <c r="L1121" s="305">
        <f>IF(H1121=0,0,IF(OR(E1121=$AT$5,E1121=$AT$6),AA1121,IF(F1121="MXN",1/HLOOKUP(YEAR(G1121)+(MONTH(G1121)/100),TC!$5:$37,DAY(G1121)+2,FALSE),VLOOKUP(F1121,Equivalencia!$5:$23,((MAX(Equivalencia!$3:$3)-YEAR(G1121))*14)+MONTH(G1121)+2,FALSE))))</f>
        <v>1</v>
      </c>
      <c r="M1121" s="306">
        <f t="shared" si="292"/>
        <v>591.71186440677957</v>
      </c>
      <c r="N1121" s="305">
        <f>IF(G1121=0,0,(IF(OR(E1121=$AT$5,E1121=$AT$6),AC1121,HLOOKUP(YEAR(G1121)+(MONTH(G1121)/100),TC!$5:$37,DAY(G1121)+2,FALSE))))</f>
        <v>19.944199999999999</v>
      </c>
      <c r="O1121" s="307">
        <f t="shared" si="293"/>
        <v>11801.219766101693</v>
      </c>
      <c r="P1121" s="560">
        <f>IF(G1121=0,0,VLOOKUP(YEAR(G1121),INPC!$B$4:$P$30,MONTH(G1121)+2))</f>
        <v>113.018</v>
      </c>
      <c r="Q1121" s="560">
        <f>IF(X1121=0,0,IF(OR(E1121=$AT$10,E1121=$AT$9),VLOOKUP(YEAR(X1121),INPC!$B$4:$P$30,MONTH(X1121)+1),VLOOKUP(YEAR(X1121),INPC!$B$4:$P$30,MONTH(X1121)+2,0)))</f>
        <v>123.803</v>
      </c>
      <c r="R1121" s="309">
        <f t="shared" si="294"/>
        <v>1.0953999999999999</v>
      </c>
      <c r="S1121" s="310">
        <f t="shared" si="295"/>
        <v>12927.056131787793</v>
      </c>
      <c r="T1121" s="555">
        <f t="shared" si="296"/>
        <v>1436.3395701986437</v>
      </c>
      <c r="U1121" s="311"/>
      <c r="V1121" s="312">
        <v>9</v>
      </c>
      <c r="W1121" s="299" t="s">
        <v>194</v>
      </c>
      <c r="X1121" s="300">
        <v>44832</v>
      </c>
      <c r="Y1121" s="299" t="s">
        <v>59</v>
      </c>
      <c r="Z1121" s="303">
        <v>329.97</v>
      </c>
      <c r="AA1121" s="305">
        <f>IF(Z1121=0,0,IF(Y1121="MXN",1/HLOOKUP(YEAR(X1121)+(MONTH(X1121)/100),TC!$5:$37,DAY(X1121)+2,FALSE),VLOOKUP(Y1121,Equivalencia!$1:$23,((MAX(Equivalencia!$3:$3)-YEAR(X1121))*14)+MONTH(X1121)+2,FALSE)))</f>
        <v>1</v>
      </c>
      <c r="AB1121" s="306">
        <f t="shared" si="297"/>
        <v>329.97</v>
      </c>
      <c r="AC1121" s="305">
        <f>+IF(X1121=0,0,HLOOKUP(YEAR(X1121)+(MONTH(X1121)/100),TC!$5:$37,DAY(X1121)+2,FALSE))</f>
        <v>20.351700000000001</v>
      </c>
      <c r="AD1121" s="307">
        <f t="shared" si="298"/>
        <v>6715.4504490000008</v>
      </c>
      <c r="AE1121" s="314">
        <f t="shared" si="299"/>
        <v>12927.056131787795</v>
      </c>
      <c r="AF1121" s="315">
        <f t="shared" si="300"/>
        <v>-6211.6056827877937</v>
      </c>
      <c r="AG1121" s="316">
        <f t="shared" si="301"/>
        <v>1.3260273972602741</v>
      </c>
      <c r="AH1121" s="314">
        <v>1</v>
      </c>
      <c r="AI1121" s="314">
        <f t="shared" si="302"/>
        <v>-6211.6056827877937</v>
      </c>
      <c r="AJ1121" s="314">
        <f t="shared" si="303"/>
        <v>0</v>
      </c>
      <c r="AK1121" s="317"/>
      <c r="AL1121" s="315">
        <f t="shared" si="304"/>
        <v>-261.74186440677954</v>
      </c>
      <c r="AN1121" s="554">
        <f t="shared" si="305"/>
        <v>-0.44234682478301957</v>
      </c>
      <c r="AO1121" s="314"/>
      <c r="AP1121" s="318"/>
    </row>
    <row r="1122" spans="2:42">
      <c r="B1122" s="296" t="s">
        <v>1254</v>
      </c>
      <c r="C1122" s="299" t="s">
        <v>277</v>
      </c>
      <c r="D1122" s="298" t="s">
        <v>720</v>
      </c>
      <c r="E1122" s="299" t="s">
        <v>113</v>
      </c>
      <c r="F1122" s="299" t="s">
        <v>59</v>
      </c>
      <c r="G1122" s="300">
        <v>44348</v>
      </c>
      <c r="H1122" s="303">
        <v>2432.593220338983</v>
      </c>
      <c r="I1122" s="301" t="str">
        <f t="shared" si="289"/>
        <v>Ingresos Sección II LISR (SIC &amp; BMV)</v>
      </c>
      <c r="J1122" s="302">
        <f t="shared" si="290"/>
        <v>37</v>
      </c>
      <c r="K1122" s="304">
        <f t="shared" si="291"/>
        <v>65.745762711864401</v>
      </c>
      <c r="L1122" s="305">
        <f>IF(H1122=0,0,IF(OR(E1122=$AT$5,E1122=$AT$6),AA1122,IF(F1122="MXN",1/HLOOKUP(YEAR(G1122)+(MONTH(G1122)/100),TC!$5:$37,DAY(G1122)+2,FALSE),VLOOKUP(F1122,Equivalencia!$5:$23,((MAX(Equivalencia!$3:$3)-YEAR(G1122))*14)+MONTH(G1122)+2,FALSE))))</f>
        <v>1</v>
      </c>
      <c r="M1122" s="306">
        <f t="shared" si="292"/>
        <v>2432.593220338983</v>
      </c>
      <c r="N1122" s="305">
        <f>IF(G1122=0,0,(IF(OR(E1122=$AT$5,E1122=$AT$6),AC1122,HLOOKUP(YEAR(G1122)+(MONTH(G1122)/100),TC!$5:$37,DAY(G1122)+2,FALSE))))</f>
        <v>19.944199999999999</v>
      </c>
      <c r="O1122" s="307">
        <f t="shared" si="293"/>
        <v>48516.125705084742</v>
      </c>
      <c r="P1122" s="560">
        <f>IF(G1122=0,0,VLOOKUP(YEAR(G1122),INPC!$B$4:$P$30,MONTH(G1122)+2))</f>
        <v>113.018</v>
      </c>
      <c r="Q1122" s="560">
        <f>IF(X1122=0,0,IF(OR(E1122=$AT$10,E1122=$AT$9),VLOOKUP(YEAR(X1122),INPC!$B$4:$P$30,MONTH(X1122)+1),VLOOKUP(YEAR(X1122),INPC!$B$4:$P$30,MONTH(X1122)+2,0)))</f>
        <v>123.803</v>
      </c>
      <c r="R1122" s="309">
        <f t="shared" si="294"/>
        <v>1.0953999999999999</v>
      </c>
      <c r="S1122" s="310">
        <f t="shared" si="295"/>
        <v>53144.564097349823</v>
      </c>
      <c r="T1122" s="555">
        <f t="shared" si="296"/>
        <v>1436.339570198644</v>
      </c>
      <c r="U1122" s="311"/>
      <c r="V1122" s="312">
        <v>37</v>
      </c>
      <c r="W1122" s="299" t="s">
        <v>194</v>
      </c>
      <c r="X1122" s="300">
        <v>44833</v>
      </c>
      <c r="Y1122" s="299" t="s">
        <v>59</v>
      </c>
      <c r="Z1122" s="303">
        <v>1312.93</v>
      </c>
      <c r="AA1122" s="305">
        <f>IF(Z1122=0,0,IF(Y1122="MXN",1/HLOOKUP(YEAR(X1122)+(MONTH(X1122)/100),TC!$5:$37,DAY(X1122)+2,FALSE),VLOOKUP(Y1122,Equivalencia!$1:$23,((MAX(Equivalencia!$3:$3)-YEAR(X1122))*14)+MONTH(X1122)+2,FALSE)))</f>
        <v>1</v>
      </c>
      <c r="AB1122" s="306">
        <f t="shared" si="297"/>
        <v>1312.93</v>
      </c>
      <c r="AC1122" s="305">
        <f>+IF(X1122=0,0,HLOOKUP(YEAR(X1122)+(MONTH(X1122)/100),TC!$5:$37,DAY(X1122)+2,FALSE))</f>
        <v>20.356999999999999</v>
      </c>
      <c r="AD1122" s="307">
        <f t="shared" si="298"/>
        <v>26727.316009999999</v>
      </c>
      <c r="AE1122" s="314">
        <f t="shared" si="299"/>
        <v>53144.56409734983</v>
      </c>
      <c r="AF1122" s="315">
        <f t="shared" si="300"/>
        <v>-26417.248087349832</v>
      </c>
      <c r="AG1122" s="316">
        <f t="shared" si="301"/>
        <v>1.3287671232876712</v>
      </c>
      <c r="AH1122" s="314">
        <v>1</v>
      </c>
      <c r="AI1122" s="314">
        <f t="shared" si="302"/>
        <v>-26417.248087349832</v>
      </c>
      <c r="AJ1122" s="314">
        <f t="shared" si="303"/>
        <v>0</v>
      </c>
      <c r="AK1122" s="317"/>
      <c r="AL1122" s="315">
        <f t="shared" si="304"/>
        <v>-1119.6632203389829</v>
      </c>
      <c r="AN1122" s="554">
        <f t="shared" si="305"/>
        <v>-0.46027556558879062</v>
      </c>
      <c r="AO1122" s="314"/>
      <c r="AP1122" s="318"/>
    </row>
    <row r="1123" spans="2:42">
      <c r="B1123" s="296" t="s">
        <v>1254</v>
      </c>
      <c r="C1123" s="299" t="s">
        <v>277</v>
      </c>
      <c r="D1123" s="298" t="s">
        <v>720</v>
      </c>
      <c r="E1123" s="299" t="s">
        <v>113</v>
      </c>
      <c r="F1123" s="299" t="s">
        <v>59</v>
      </c>
      <c r="G1123" s="300">
        <v>44348</v>
      </c>
      <c r="H1123" s="303">
        <v>3616.0169491525421</v>
      </c>
      <c r="I1123" s="301" t="str">
        <f t="shared" si="289"/>
        <v>Ingresos Sección II LISR (SIC &amp; BMV)</v>
      </c>
      <c r="J1123" s="302">
        <f t="shared" si="290"/>
        <v>55</v>
      </c>
      <c r="K1123" s="304">
        <f t="shared" si="291"/>
        <v>65.745762711864401</v>
      </c>
      <c r="L1123" s="305">
        <f>IF(H1123=0,0,IF(OR(E1123=$AT$5,E1123=$AT$6),AA1123,IF(F1123="MXN",1/HLOOKUP(YEAR(G1123)+(MONTH(G1123)/100),TC!$5:$37,DAY(G1123)+2,FALSE),VLOOKUP(F1123,Equivalencia!$5:$23,((MAX(Equivalencia!$3:$3)-YEAR(G1123))*14)+MONTH(G1123)+2,FALSE))))</f>
        <v>1</v>
      </c>
      <c r="M1123" s="306">
        <f t="shared" si="292"/>
        <v>3616.0169491525421</v>
      </c>
      <c r="N1123" s="305">
        <f>IF(G1123=0,0,(IF(OR(E1123=$AT$5,E1123=$AT$6),AC1123,HLOOKUP(YEAR(G1123)+(MONTH(G1123)/100),TC!$5:$37,DAY(G1123)+2,FALSE))))</f>
        <v>19.944199999999999</v>
      </c>
      <c r="O1123" s="307">
        <f t="shared" si="293"/>
        <v>72118.56523728813</v>
      </c>
      <c r="P1123" s="560">
        <f>IF(G1123=0,0,VLOOKUP(YEAR(G1123),INPC!$B$4:$P$30,MONTH(G1123)+2))</f>
        <v>113.018</v>
      </c>
      <c r="Q1123" s="560">
        <f>IF(X1123=0,0,IF(OR(E1123=$AT$10,E1123=$AT$9),VLOOKUP(YEAR(X1123),INPC!$B$4:$P$30,MONTH(X1123)+1),VLOOKUP(YEAR(X1123),INPC!$B$4:$P$30,MONTH(X1123)+2,0)))</f>
        <v>123.803</v>
      </c>
      <c r="R1123" s="309">
        <f t="shared" si="294"/>
        <v>1.0953999999999999</v>
      </c>
      <c r="S1123" s="310">
        <f t="shared" si="295"/>
        <v>78998.676360925412</v>
      </c>
      <c r="T1123" s="555">
        <f t="shared" si="296"/>
        <v>1436.339570198644</v>
      </c>
      <c r="U1123" s="311"/>
      <c r="V1123" s="312">
        <v>55</v>
      </c>
      <c r="W1123" s="299" t="s">
        <v>194</v>
      </c>
      <c r="X1123" s="300">
        <v>44834</v>
      </c>
      <c r="Y1123" s="299" t="s">
        <v>59</v>
      </c>
      <c r="Z1123" s="303">
        <v>1906.4469465648856</v>
      </c>
      <c r="AA1123" s="305">
        <f>IF(Z1123=0,0,IF(Y1123="MXN",1/HLOOKUP(YEAR(X1123)+(MONTH(X1123)/100),TC!$5:$37,DAY(X1123)+2,FALSE),VLOOKUP(Y1123,Equivalencia!$1:$23,((MAX(Equivalencia!$3:$3)-YEAR(X1123))*14)+MONTH(X1123)+2,FALSE)))</f>
        <v>1</v>
      </c>
      <c r="AB1123" s="306">
        <f t="shared" si="297"/>
        <v>1906.4469465648856</v>
      </c>
      <c r="AC1123" s="305">
        <f>+IF(X1123=0,0,HLOOKUP(YEAR(X1123)+(MONTH(X1123)/100),TC!$5:$37,DAY(X1123)+2,FALSE))</f>
        <v>20.305800000000001</v>
      </c>
      <c r="AD1123" s="307">
        <f t="shared" si="298"/>
        <v>38711.930407557258</v>
      </c>
      <c r="AE1123" s="314">
        <f t="shared" si="299"/>
        <v>78998.676360925412</v>
      </c>
      <c r="AF1123" s="315">
        <f t="shared" si="300"/>
        <v>-40286.745953368154</v>
      </c>
      <c r="AG1123" s="316">
        <f t="shared" si="301"/>
        <v>1.3315068493150686</v>
      </c>
      <c r="AH1123" s="314">
        <v>1</v>
      </c>
      <c r="AI1123" s="314">
        <f t="shared" si="302"/>
        <v>-40286.745953368154</v>
      </c>
      <c r="AJ1123" s="314">
        <f t="shared" si="303"/>
        <v>0</v>
      </c>
      <c r="AK1123" s="317"/>
      <c r="AL1123" s="315">
        <f t="shared" si="304"/>
        <v>-1709.5700025876565</v>
      </c>
      <c r="AN1123" s="554">
        <f t="shared" si="305"/>
        <v>-0.4727770988430558</v>
      </c>
      <c r="AO1123" s="314"/>
      <c r="AP1123" s="318"/>
    </row>
    <row r="1124" spans="2:42">
      <c r="B1124" s="296" t="s">
        <v>1254</v>
      </c>
      <c r="C1124" s="299" t="s">
        <v>277</v>
      </c>
      <c r="D1124" s="298" t="s">
        <v>720</v>
      </c>
      <c r="E1124" s="299" t="s">
        <v>113</v>
      </c>
      <c r="F1124" s="299" t="s">
        <v>59</v>
      </c>
      <c r="G1124" s="300">
        <v>44397</v>
      </c>
      <c r="H1124" s="303">
        <v>1221.23</v>
      </c>
      <c r="I1124" s="301" t="str">
        <f t="shared" si="289"/>
        <v>Ingresos Sección II LISR (SIC &amp; BMV)</v>
      </c>
      <c r="J1124" s="302">
        <f t="shared" si="290"/>
        <v>22</v>
      </c>
      <c r="K1124" s="304">
        <f t="shared" si="291"/>
        <v>55.510454545454543</v>
      </c>
      <c r="L1124" s="305">
        <f>IF(H1124=0,0,IF(OR(E1124=$AT$5,E1124=$AT$6),AA1124,IF(F1124="MXN",1/HLOOKUP(YEAR(G1124)+(MONTH(G1124)/100),TC!$5:$37,DAY(G1124)+2,FALSE),VLOOKUP(F1124,Equivalencia!$5:$23,((MAX(Equivalencia!$3:$3)-YEAR(G1124))*14)+MONTH(G1124)+2,FALSE))))</f>
        <v>1</v>
      </c>
      <c r="M1124" s="306">
        <f t="shared" si="292"/>
        <v>1221.23</v>
      </c>
      <c r="N1124" s="305">
        <f>IF(G1124=0,0,(IF(OR(E1124=$AT$5,E1124=$AT$6),AC1124,HLOOKUP(YEAR(G1124)+(MONTH(G1124)/100),TC!$5:$37,DAY(G1124)+2,FALSE))))</f>
        <v>19.8537</v>
      </c>
      <c r="O1124" s="307">
        <f t="shared" si="293"/>
        <v>24245.934051</v>
      </c>
      <c r="P1124" s="560">
        <f>IF(G1124=0,0,VLOOKUP(YEAR(G1124),INPC!$B$4:$P$30,MONTH(G1124)+2))</f>
        <v>113.682</v>
      </c>
      <c r="Q1124" s="560">
        <f>IF(X1124=0,0,IF(OR(E1124=$AT$10,E1124=$AT$9),VLOOKUP(YEAR(X1124),INPC!$B$4:$P$30,MONTH(X1124)+1),VLOOKUP(YEAR(X1124),INPC!$B$4:$P$30,MONTH(X1124)+2,0)))</f>
        <v>123.803</v>
      </c>
      <c r="R1124" s="309">
        <f t="shared" si="294"/>
        <v>1.089</v>
      </c>
      <c r="S1124" s="310">
        <f t="shared" si="295"/>
        <v>26403.822181538999</v>
      </c>
      <c r="T1124" s="555">
        <f t="shared" si="296"/>
        <v>1200.1737355245</v>
      </c>
      <c r="U1124" s="311"/>
      <c r="V1124" s="312">
        <v>22</v>
      </c>
      <c r="W1124" s="299" t="s">
        <v>194</v>
      </c>
      <c r="X1124" s="300">
        <v>44834</v>
      </c>
      <c r="Y1124" s="299" t="s">
        <v>59</v>
      </c>
      <c r="Z1124" s="303">
        <v>762.57877862595421</v>
      </c>
      <c r="AA1124" s="305">
        <f>IF(Z1124=0,0,IF(Y1124="MXN",1/HLOOKUP(YEAR(X1124)+(MONTH(X1124)/100),TC!$5:$37,DAY(X1124)+2,FALSE),VLOOKUP(Y1124,Equivalencia!$1:$23,((MAX(Equivalencia!$3:$3)-YEAR(X1124))*14)+MONTH(X1124)+2,FALSE)))</f>
        <v>1</v>
      </c>
      <c r="AB1124" s="306">
        <f t="shared" si="297"/>
        <v>762.57877862595421</v>
      </c>
      <c r="AC1124" s="305">
        <f>+IF(X1124=0,0,HLOOKUP(YEAR(X1124)+(MONTH(X1124)/100),TC!$5:$37,DAY(X1124)+2,FALSE))</f>
        <v>20.305800000000001</v>
      </c>
      <c r="AD1124" s="307">
        <f t="shared" si="298"/>
        <v>15484.772163022903</v>
      </c>
      <c r="AE1124" s="314">
        <f t="shared" si="299"/>
        <v>26403.822181538999</v>
      </c>
      <c r="AF1124" s="315">
        <f t="shared" si="300"/>
        <v>-10919.050018516096</v>
      </c>
      <c r="AG1124" s="316">
        <f t="shared" si="301"/>
        <v>1.1972602739726028</v>
      </c>
      <c r="AH1124" s="314">
        <v>1</v>
      </c>
      <c r="AI1124" s="314">
        <f t="shared" si="302"/>
        <v>-10919.050018516096</v>
      </c>
      <c r="AJ1124" s="314">
        <f t="shared" si="303"/>
        <v>0</v>
      </c>
      <c r="AK1124" s="317"/>
      <c r="AL1124" s="315">
        <f t="shared" si="304"/>
        <v>-458.6512213740458</v>
      </c>
      <c r="AN1124" s="554">
        <f t="shared" si="305"/>
        <v>-0.37556498069491068</v>
      </c>
      <c r="AO1124" s="314"/>
      <c r="AP1124" s="318"/>
    </row>
    <row r="1125" spans="2:42">
      <c r="B1125" s="296" t="s">
        <v>1254</v>
      </c>
      <c r="C1125" s="299" t="s">
        <v>277</v>
      </c>
      <c r="D1125" s="298" t="s">
        <v>720</v>
      </c>
      <c r="E1125" s="299" t="s">
        <v>113</v>
      </c>
      <c r="F1125" s="299" t="s">
        <v>59</v>
      </c>
      <c r="G1125" s="300">
        <v>44397</v>
      </c>
      <c r="H1125" s="303">
        <v>2996.9657142857141</v>
      </c>
      <c r="I1125" s="301" t="str">
        <f t="shared" si="289"/>
        <v>Ingresos Sección II LISR (SIC &amp; BMV)</v>
      </c>
      <c r="J1125" s="302">
        <f t="shared" si="290"/>
        <v>54</v>
      </c>
      <c r="K1125" s="304">
        <f t="shared" si="291"/>
        <v>55.499365079365077</v>
      </c>
      <c r="L1125" s="305">
        <f>IF(H1125=0,0,IF(OR(E1125=$AT$5,E1125=$AT$6),AA1125,IF(F1125="MXN",1/HLOOKUP(YEAR(G1125)+(MONTH(G1125)/100),TC!$5:$37,DAY(G1125)+2,FALSE),VLOOKUP(F1125,Equivalencia!$5:$23,((MAX(Equivalencia!$3:$3)-YEAR(G1125))*14)+MONTH(G1125)+2,FALSE))))</f>
        <v>1</v>
      </c>
      <c r="M1125" s="306">
        <f t="shared" si="292"/>
        <v>2996.9657142857141</v>
      </c>
      <c r="N1125" s="305">
        <f>IF(G1125=0,0,(IF(OR(E1125=$AT$5,E1125=$AT$6),AC1125,HLOOKUP(YEAR(G1125)+(MONTH(G1125)/100),TC!$5:$37,DAY(G1125)+2,FALSE))))</f>
        <v>19.8537</v>
      </c>
      <c r="O1125" s="307">
        <f t="shared" si="293"/>
        <v>59500.858201714283</v>
      </c>
      <c r="P1125" s="560">
        <f>IF(G1125=0,0,VLOOKUP(YEAR(G1125),INPC!$B$4:$P$30,MONTH(G1125)+2))</f>
        <v>113.682</v>
      </c>
      <c r="Q1125" s="560">
        <f>IF(X1125=0,0,IF(OR(E1125=$AT$10,E1125=$AT$9),VLOOKUP(YEAR(X1125),INPC!$B$4:$P$30,MONTH(X1125)+1),VLOOKUP(YEAR(X1125),INPC!$B$4:$P$30,MONTH(X1125)+2,0)))</f>
        <v>123.803</v>
      </c>
      <c r="R1125" s="309">
        <f t="shared" si="294"/>
        <v>1.089</v>
      </c>
      <c r="S1125" s="310">
        <f t="shared" si="295"/>
        <v>64796.43458166685</v>
      </c>
      <c r="T1125" s="555">
        <f t="shared" si="296"/>
        <v>1199.9339737345713</v>
      </c>
      <c r="U1125" s="311"/>
      <c r="V1125" s="312">
        <v>54</v>
      </c>
      <c r="W1125" s="299" t="s">
        <v>194</v>
      </c>
      <c r="X1125" s="300">
        <v>44834</v>
      </c>
      <c r="Y1125" s="299" t="s">
        <v>59</v>
      </c>
      <c r="Z1125" s="303">
        <v>1871.7842748091605</v>
      </c>
      <c r="AA1125" s="305">
        <f>IF(Z1125=0,0,IF(Y1125="MXN",1/HLOOKUP(YEAR(X1125)+(MONTH(X1125)/100),TC!$5:$37,DAY(X1125)+2,FALSE),VLOOKUP(Y1125,Equivalencia!$1:$23,((MAX(Equivalencia!$3:$3)-YEAR(X1125))*14)+MONTH(X1125)+2,FALSE)))</f>
        <v>1</v>
      </c>
      <c r="AB1125" s="306">
        <f t="shared" si="297"/>
        <v>1871.7842748091605</v>
      </c>
      <c r="AC1125" s="305">
        <f>+IF(X1125=0,0,HLOOKUP(YEAR(X1125)+(MONTH(X1125)/100),TC!$5:$37,DAY(X1125)+2,FALSE))</f>
        <v>20.305800000000001</v>
      </c>
      <c r="AD1125" s="307">
        <f t="shared" si="298"/>
        <v>38008.077127419856</v>
      </c>
      <c r="AE1125" s="314">
        <f t="shared" si="299"/>
        <v>64796.43458166685</v>
      </c>
      <c r="AF1125" s="315">
        <f t="shared" si="300"/>
        <v>-26788.357454246994</v>
      </c>
      <c r="AG1125" s="316">
        <f t="shared" si="301"/>
        <v>1.1972602739726028</v>
      </c>
      <c r="AH1125" s="314">
        <v>1</v>
      </c>
      <c r="AI1125" s="314">
        <f t="shared" si="302"/>
        <v>-26788.357454246994</v>
      </c>
      <c r="AJ1125" s="314">
        <f t="shared" si="303"/>
        <v>0</v>
      </c>
      <c r="AK1125" s="317"/>
      <c r="AL1125" s="315">
        <f t="shared" si="304"/>
        <v>-1125.1814394765536</v>
      </c>
      <c r="AN1125" s="554">
        <f t="shared" si="305"/>
        <v>-0.37544021078156553</v>
      </c>
      <c r="AO1125" s="314"/>
      <c r="AP1125" s="318"/>
    </row>
    <row r="1126" spans="2:42">
      <c r="B1126" s="296" t="s">
        <v>1254</v>
      </c>
      <c r="C1126" s="299" t="s">
        <v>277</v>
      </c>
      <c r="D1126" s="298" t="s">
        <v>720</v>
      </c>
      <c r="E1126" s="299" t="s">
        <v>113</v>
      </c>
      <c r="F1126" s="299" t="s">
        <v>59</v>
      </c>
      <c r="G1126" s="300">
        <v>44397</v>
      </c>
      <c r="H1126" s="303">
        <v>1109.9873015873015</v>
      </c>
      <c r="I1126" s="301" t="str">
        <f t="shared" si="289"/>
        <v>Ingresos Sección II LISR (SIC &amp; BMV)</v>
      </c>
      <c r="J1126" s="302">
        <f t="shared" si="290"/>
        <v>20</v>
      </c>
      <c r="K1126" s="304">
        <f t="shared" si="291"/>
        <v>55.499365079365077</v>
      </c>
      <c r="L1126" s="305">
        <f>IF(H1126=0,0,IF(OR(E1126=$AT$5,E1126=$AT$6),AA1126,IF(F1126="MXN",1/HLOOKUP(YEAR(G1126)+(MONTH(G1126)/100),TC!$5:$37,DAY(G1126)+2,FALSE),VLOOKUP(F1126,Equivalencia!$5:$23,((MAX(Equivalencia!$3:$3)-YEAR(G1126))*14)+MONTH(G1126)+2,FALSE))))</f>
        <v>1</v>
      </c>
      <c r="M1126" s="306">
        <f t="shared" si="292"/>
        <v>1109.9873015873015</v>
      </c>
      <c r="N1126" s="305">
        <f>IF(G1126=0,0,(IF(OR(E1126=$AT$5,E1126=$AT$6),AC1126,HLOOKUP(YEAR(G1126)+(MONTH(G1126)/100),TC!$5:$37,DAY(G1126)+2,FALSE))))</f>
        <v>19.8537</v>
      </c>
      <c r="O1126" s="307">
        <f t="shared" si="293"/>
        <v>22037.354889523809</v>
      </c>
      <c r="P1126" s="560">
        <f>IF(G1126=0,0,VLOOKUP(YEAR(G1126),INPC!$B$4:$P$30,MONTH(G1126)+2))</f>
        <v>113.682</v>
      </c>
      <c r="Q1126" s="560">
        <f>IF(X1126=0,0,IF(OR(E1126=$AT$10,E1126=$AT$9),VLOOKUP(YEAR(X1126),INPC!$B$4:$P$30,MONTH(X1126)+1),VLOOKUP(YEAR(X1126),INPC!$B$4:$P$30,MONTH(X1126)+2,0)))</f>
        <v>123.803</v>
      </c>
      <c r="R1126" s="309">
        <f t="shared" si="294"/>
        <v>1.089</v>
      </c>
      <c r="S1126" s="310">
        <f t="shared" si="295"/>
        <v>23998.679474691427</v>
      </c>
      <c r="T1126" s="555">
        <f t="shared" si="296"/>
        <v>1199.9339737345713</v>
      </c>
      <c r="U1126" s="311"/>
      <c r="V1126" s="312">
        <v>20</v>
      </c>
      <c r="W1126" s="299" t="s">
        <v>194</v>
      </c>
      <c r="X1126" s="300">
        <v>44834</v>
      </c>
      <c r="Y1126" s="299" t="s">
        <v>59</v>
      </c>
      <c r="Z1126" s="303">
        <v>697.28</v>
      </c>
      <c r="AA1126" s="305">
        <f>IF(Z1126=0,0,IF(Y1126="MXN",1/HLOOKUP(YEAR(X1126)+(MONTH(X1126)/100),TC!$5:$37,DAY(X1126)+2,FALSE),VLOOKUP(Y1126,Equivalencia!$1:$23,((MAX(Equivalencia!$3:$3)-YEAR(X1126))*14)+MONTH(X1126)+2,FALSE)))</f>
        <v>1</v>
      </c>
      <c r="AB1126" s="306">
        <f t="shared" si="297"/>
        <v>697.28</v>
      </c>
      <c r="AC1126" s="305">
        <f>+IF(X1126=0,0,HLOOKUP(YEAR(X1126)+(MONTH(X1126)/100),TC!$5:$37,DAY(X1126)+2,FALSE))</f>
        <v>20.305800000000001</v>
      </c>
      <c r="AD1126" s="307">
        <f t="shared" si="298"/>
        <v>14158.828224000001</v>
      </c>
      <c r="AE1126" s="314">
        <f t="shared" si="299"/>
        <v>23998.679474691424</v>
      </c>
      <c r="AF1126" s="315">
        <f t="shared" si="300"/>
        <v>-9839.851250691423</v>
      </c>
      <c r="AG1126" s="316">
        <f t="shared" si="301"/>
        <v>1.1972602739726028</v>
      </c>
      <c r="AH1126" s="314">
        <v>1</v>
      </c>
      <c r="AI1126" s="314">
        <f t="shared" si="302"/>
        <v>-9839.851250691423</v>
      </c>
      <c r="AJ1126" s="314">
        <f t="shared" si="303"/>
        <v>0</v>
      </c>
      <c r="AK1126" s="317"/>
      <c r="AL1126" s="315">
        <f t="shared" si="304"/>
        <v>-412.70730158730157</v>
      </c>
      <c r="AN1126" s="554">
        <f t="shared" si="305"/>
        <v>-0.37181263334915887</v>
      </c>
      <c r="AO1126" s="314"/>
      <c r="AP1126" s="318"/>
    </row>
    <row r="1127" spans="2:42">
      <c r="B1127" s="296" t="s">
        <v>1254</v>
      </c>
      <c r="C1127" s="299" t="s">
        <v>277</v>
      </c>
      <c r="D1127" s="298" t="s">
        <v>720</v>
      </c>
      <c r="E1127" s="299" t="s">
        <v>113</v>
      </c>
      <c r="F1127" s="299" t="s">
        <v>59</v>
      </c>
      <c r="G1127" s="300">
        <v>44397</v>
      </c>
      <c r="H1127" s="303">
        <v>443.99492063492062</v>
      </c>
      <c r="I1127" s="301" t="str">
        <f t="shared" si="289"/>
        <v>Ingresos Sección II LISR (SIC &amp; BMV)</v>
      </c>
      <c r="J1127" s="302">
        <f t="shared" si="290"/>
        <v>8</v>
      </c>
      <c r="K1127" s="304">
        <f t="shared" si="291"/>
        <v>55.499365079365077</v>
      </c>
      <c r="L1127" s="305">
        <f>IF(H1127=0,0,IF(OR(E1127=$AT$5,E1127=$AT$6),AA1127,IF(F1127="MXN",1/HLOOKUP(YEAR(G1127)+(MONTH(G1127)/100),TC!$5:$37,DAY(G1127)+2,FALSE),VLOOKUP(F1127,Equivalencia!$5:$23,((MAX(Equivalencia!$3:$3)-YEAR(G1127))*14)+MONTH(G1127)+2,FALSE))))</f>
        <v>1</v>
      </c>
      <c r="M1127" s="306">
        <f t="shared" si="292"/>
        <v>443.99492063492062</v>
      </c>
      <c r="N1127" s="305">
        <f>IF(G1127=0,0,(IF(OR(E1127=$AT$5,E1127=$AT$6),AC1127,HLOOKUP(YEAR(G1127)+(MONTH(G1127)/100),TC!$5:$37,DAY(G1127)+2,FALSE))))</f>
        <v>19.8537</v>
      </c>
      <c r="O1127" s="307">
        <f t="shared" si="293"/>
        <v>8814.9419558095233</v>
      </c>
      <c r="P1127" s="560">
        <f>IF(G1127=0,0,VLOOKUP(YEAR(G1127),INPC!$B$4:$P$30,MONTH(G1127)+2))</f>
        <v>113.682</v>
      </c>
      <c r="Q1127" s="560">
        <f>IF(X1127=0,0,IF(OR(E1127=$AT$10,E1127=$AT$9),VLOOKUP(YEAR(X1127),INPC!$B$4:$P$30,MONTH(X1127)+1),VLOOKUP(YEAR(X1127),INPC!$B$4:$P$30,MONTH(X1127)+2,0)))</f>
        <v>123.803</v>
      </c>
      <c r="R1127" s="309">
        <f t="shared" si="294"/>
        <v>1.089</v>
      </c>
      <c r="S1127" s="310">
        <f t="shared" si="295"/>
        <v>9599.4717898765703</v>
      </c>
      <c r="T1127" s="555">
        <f t="shared" si="296"/>
        <v>1199.9339737345713</v>
      </c>
      <c r="U1127" s="311"/>
      <c r="V1127" s="312">
        <v>8</v>
      </c>
      <c r="W1127" s="299" t="s">
        <v>194</v>
      </c>
      <c r="X1127" s="300">
        <v>44834</v>
      </c>
      <c r="Y1127" s="299" t="s">
        <v>59</v>
      </c>
      <c r="Z1127" s="303">
        <v>272.87</v>
      </c>
      <c r="AA1127" s="305">
        <f>IF(Z1127=0,0,IF(Y1127="MXN",1/HLOOKUP(YEAR(X1127)+(MONTH(X1127)/100),TC!$5:$37,DAY(X1127)+2,FALSE),VLOOKUP(Y1127,Equivalencia!$1:$23,((MAX(Equivalencia!$3:$3)-YEAR(X1127))*14)+MONTH(X1127)+2,FALSE)))</f>
        <v>1</v>
      </c>
      <c r="AB1127" s="306">
        <f t="shared" si="297"/>
        <v>272.87</v>
      </c>
      <c r="AC1127" s="305">
        <f>+IF(X1127=0,0,HLOOKUP(YEAR(X1127)+(MONTH(X1127)/100),TC!$5:$37,DAY(X1127)+2,FALSE))</f>
        <v>20.305800000000001</v>
      </c>
      <c r="AD1127" s="307">
        <f t="shared" si="298"/>
        <v>5540.8436460000003</v>
      </c>
      <c r="AE1127" s="314">
        <f t="shared" si="299"/>
        <v>9599.4717898765703</v>
      </c>
      <c r="AF1127" s="315">
        <f t="shared" si="300"/>
        <v>-4058.62814387657</v>
      </c>
      <c r="AG1127" s="316">
        <f t="shared" si="301"/>
        <v>1.1972602739726028</v>
      </c>
      <c r="AH1127" s="314">
        <v>1</v>
      </c>
      <c r="AI1127" s="314">
        <f t="shared" si="302"/>
        <v>-4058.62814387657</v>
      </c>
      <c r="AJ1127" s="314">
        <f t="shared" si="303"/>
        <v>0</v>
      </c>
      <c r="AK1127" s="317"/>
      <c r="AL1127" s="315">
        <f t="shared" si="304"/>
        <v>-171.12492063492061</v>
      </c>
      <c r="AN1127" s="554">
        <f t="shared" si="305"/>
        <v>-0.38542089713596034</v>
      </c>
      <c r="AO1127" s="314"/>
      <c r="AP1127" s="318"/>
    </row>
    <row r="1128" spans="2:42">
      <c r="B1128" s="296" t="s">
        <v>1254</v>
      </c>
      <c r="C1128" s="299" t="s">
        <v>277</v>
      </c>
      <c r="D1128" s="298" t="s">
        <v>720</v>
      </c>
      <c r="E1128" s="299" t="s">
        <v>113</v>
      </c>
      <c r="F1128" s="299" t="s">
        <v>59</v>
      </c>
      <c r="G1128" s="300">
        <v>44397</v>
      </c>
      <c r="H1128" s="303">
        <v>2441.9720634920632</v>
      </c>
      <c r="I1128" s="301" t="str">
        <f t="shared" si="289"/>
        <v>Ingresos Sección II LISR (SIC &amp; BMV)</v>
      </c>
      <c r="J1128" s="302">
        <f t="shared" si="290"/>
        <v>44</v>
      </c>
      <c r="K1128" s="304">
        <f t="shared" si="291"/>
        <v>55.49936507936507</v>
      </c>
      <c r="L1128" s="305">
        <f>IF(H1128=0,0,IF(OR(E1128=$AT$5,E1128=$AT$6),AA1128,IF(F1128="MXN",1/HLOOKUP(YEAR(G1128)+(MONTH(G1128)/100),TC!$5:$37,DAY(G1128)+2,FALSE),VLOOKUP(F1128,Equivalencia!$5:$23,((MAX(Equivalencia!$3:$3)-YEAR(G1128))*14)+MONTH(G1128)+2,FALSE))))</f>
        <v>1</v>
      </c>
      <c r="M1128" s="306">
        <f t="shared" si="292"/>
        <v>2441.9720634920632</v>
      </c>
      <c r="N1128" s="305">
        <f>IF(G1128=0,0,(IF(OR(E1128=$AT$5,E1128=$AT$6),AC1128,HLOOKUP(YEAR(G1128)+(MONTH(G1128)/100),TC!$5:$37,DAY(G1128)+2,FALSE))))</f>
        <v>19.8537</v>
      </c>
      <c r="O1128" s="307">
        <f t="shared" si="293"/>
        <v>48482.180756952373</v>
      </c>
      <c r="P1128" s="560">
        <f>IF(G1128=0,0,VLOOKUP(YEAR(G1128),INPC!$B$4:$P$30,MONTH(G1128)+2))</f>
        <v>113.682</v>
      </c>
      <c r="Q1128" s="560">
        <f>IF(X1128=0,0,IF(OR(E1128=$AT$10,E1128=$AT$9),VLOOKUP(YEAR(X1128),INPC!$B$4:$P$30,MONTH(X1128)+1),VLOOKUP(YEAR(X1128),INPC!$B$4:$P$30,MONTH(X1128)+2,0)))</f>
        <v>124.571</v>
      </c>
      <c r="R1128" s="309">
        <f t="shared" si="294"/>
        <v>1.0956999999999999</v>
      </c>
      <c r="S1128" s="310">
        <f t="shared" si="295"/>
        <v>53121.925455392709</v>
      </c>
      <c r="T1128" s="555">
        <f t="shared" si="296"/>
        <v>1207.3164876225617</v>
      </c>
      <c r="U1128" s="311"/>
      <c r="V1128" s="312">
        <v>44</v>
      </c>
      <c r="W1128" s="299" t="s">
        <v>194</v>
      </c>
      <c r="X1128" s="300">
        <v>44837</v>
      </c>
      <c r="Y1128" s="299" t="s">
        <v>59</v>
      </c>
      <c r="Z1128" s="303">
        <v>1557.6669565217392</v>
      </c>
      <c r="AA1128" s="305">
        <f>IF(Z1128=0,0,IF(Y1128="MXN",1/HLOOKUP(YEAR(X1128)+(MONTH(X1128)/100),TC!$5:$37,DAY(X1128)+2,FALSE),VLOOKUP(Y1128,Equivalencia!$1:$23,((MAX(Equivalencia!$3:$3)-YEAR(X1128))*14)+MONTH(X1128)+2,FALSE)))</f>
        <v>1</v>
      </c>
      <c r="AB1128" s="306">
        <f t="shared" si="297"/>
        <v>1557.6669565217392</v>
      </c>
      <c r="AC1128" s="305">
        <f>+IF(X1128=0,0,HLOOKUP(YEAR(X1128)+(MONTH(X1128)/100),TC!$5:$37,DAY(X1128)+2,FALSE))</f>
        <v>20.192699999999999</v>
      </c>
      <c r="AD1128" s="307">
        <f t="shared" si="298"/>
        <v>31453.501552956521</v>
      </c>
      <c r="AE1128" s="314">
        <f t="shared" si="299"/>
        <v>53121.925455392717</v>
      </c>
      <c r="AF1128" s="315">
        <f t="shared" si="300"/>
        <v>-21668.423902436196</v>
      </c>
      <c r="AG1128" s="316">
        <f t="shared" si="301"/>
        <v>1.2054794520547945</v>
      </c>
      <c r="AH1128" s="314">
        <v>1</v>
      </c>
      <c r="AI1128" s="314">
        <f t="shared" si="302"/>
        <v>-21668.423902436196</v>
      </c>
      <c r="AJ1128" s="314">
        <f t="shared" si="303"/>
        <v>0</v>
      </c>
      <c r="AK1128" s="317"/>
      <c r="AL1128" s="315">
        <f t="shared" si="304"/>
        <v>-884.305106970324</v>
      </c>
      <c r="AN1128" s="554">
        <f t="shared" si="305"/>
        <v>-0.3621274461697781</v>
      </c>
      <c r="AO1128" s="314"/>
      <c r="AP1128" s="318"/>
    </row>
    <row r="1129" spans="2:42">
      <c r="B1129" s="296" t="s">
        <v>1254</v>
      </c>
      <c r="C1129" s="299" t="s">
        <v>277</v>
      </c>
      <c r="D1129" s="298" t="s">
        <v>720</v>
      </c>
      <c r="E1129" s="299" t="s">
        <v>113</v>
      </c>
      <c r="F1129" s="299" t="s">
        <v>59</v>
      </c>
      <c r="G1129" s="300">
        <v>44398</v>
      </c>
      <c r="H1129" s="303">
        <v>116.08</v>
      </c>
      <c r="I1129" s="301" t="str">
        <f t="shared" si="289"/>
        <v>Ingresos Sección II LISR (SIC &amp; BMV)</v>
      </c>
      <c r="J1129" s="302">
        <f t="shared" si="290"/>
        <v>2</v>
      </c>
      <c r="K1129" s="304">
        <f t="shared" si="291"/>
        <v>58.04</v>
      </c>
      <c r="L1129" s="305">
        <f>IF(H1129=0,0,IF(OR(E1129=$AT$5,E1129=$AT$6),AA1129,IF(F1129="MXN",1/HLOOKUP(YEAR(G1129)+(MONTH(G1129)/100),TC!$5:$37,DAY(G1129)+2,FALSE),VLOOKUP(F1129,Equivalencia!$5:$23,((MAX(Equivalencia!$3:$3)-YEAR(G1129))*14)+MONTH(G1129)+2,FALSE))))</f>
        <v>1</v>
      </c>
      <c r="M1129" s="306">
        <f t="shared" si="292"/>
        <v>116.08</v>
      </c>
      <c r="N1129" s="305">
        <f>IF(G1129=0,0,(IF(OR(E1129=$AT$5,E1129=$AT$6),AC1129,HLOOKUP(YEAR(G1129)+(MONTH(G1129)/100),TC!$5:$37,DAY(G1129)+2,FALSE))))</f>
        <v>20</v>
      </c>
      <c r="O1129" s="307">
        <f t="shared" si="293"/>
        <v>2321.6</v>
      </c>
      <c r="P1129" s="560">
        <f>IF(G1129=0,0,VLOOKUP(YEAR(G1129),INPC!$B$4:$P$30,MONTH(G1129)+2))</f>
        <v>113.682</v>
      </c>
      <c r="Q1129" s="560">
        <f>IF(X1129=0,0,IF(OR(E1129=$AT$10,E1129=$AT$9),VLOOKUP(YEAR(X1129),INPC!$B$4:$P$30,MONTH(X1129)+1),VLOOKUP(YEAR(X1129),INPC!$B$4:$P$30,MONTH(X1129)+2,0)))</f>
        <v>124.571</v>
      </c>
      <c r="R1129" s="309">
        <f t="shared" si="294"/>
        <v>1.0956999999999999</v>
      </c>
      <c r="S1129" s="310">
        <f t="shared" si="295"/>
        <v>2543.7771199999997</v>
      </c>
      <c r="T1129" s="555">
        <f t="shared" si="296"/>
        <v>1271.8885599999999</v>
      </c>
      <c r="U1129" s="311"/>
      <c r="V1129" s="312">
        <v>2</v>
      </c>
      <c r="W1129" s="299" t="s">
        <v>194</v>
      </c>
      <c r="X1129" s="300">
        <v>44837</v>
      </c>
      <c r="Y1129" s="299" t="s">
        <v>59</v>
      </c>
      <c r="Z1129" s="303">
        <v>70.803043478260875</v>
      </c>
      <c r="AA1129" s="305">
        <f>IF(Z1129=0,0,IF(Y1129="MXN",1/HLOOKUP(YEAR(X1129)+(MONTH(X1129)/100),TC!$5:$37,DAY(X1129)+2,FALSE),VLOOKUP(Y1129,Equivalencia!$1:$23,((MAX(Equivalencia!$3:$3)-YEAR(X1129))*14)+MONTH(X1129)+2,FALSE)))</f>
        <v>1</v>
      </c>
      <c r="AB1129" s="306">
        <f t="shared" si="297"/>
        <v>70.803043478260875</v>
      </c>
      <c r="AC1129" s="305">
        <f>+IF(X1129=0,0,HLOOKUP(YEAR(X1129)+(MONTH(X1129)/100),TC!$5:$37,DAY(X1129)+2,FALSE))</f>
        <v>20.192699999999999</v>
      </c>
      <c r="AD1129" s="307">
        <f t="shared" si="298"/>
        <v>1429.7046160434784</v>
      </c>
      <c r="AE1129" s="314">
        <f t="shared" si="299"/>
        <v>2543.7771199999997</v>
      </c>
      <c r="AF1129" s="315">
        <f t="shared" si="300"/>
        <v>-1114.0725039565214</v>
      </c>
      <c r="AG1129" s="316">
        <f t="shared" si="301"/>
        <v>1.2027397260273973</v>
      </c>
      <c r="AH1129" s="314">
        <v>1</v>
      </c>
      <c r="AI1129" s="314">
        <f t="shared" si="302"/>
        <v>-1114.0725039565214</v>
      </c>
      <c r="AJ1129" s="314">
        <f t="shared" si="303"/>
        <v>0</v>
      </c>
      <c r="AK1129" s="317"/>
      <c r="AL1129" s="315">
        <f t="shared" si="304"/>
        <v>-45.276956521739123</v>
      </c>
      <c r="AN1129" s="554">
        <f t="shared" si="305"/>
        <v>-0.39004959098672576</v>
      </c>
      <c r="AO1129" s="314"/>
      <c r="AP1129" s="318"/>
    </row>
    <row r="1130" spans="2:42">
      <c r="B1130" s="296" t="s">
        <v>1254</v>
      </c>
      <c r="C1130" s="299" t="s">
        <v>277</v>
      </c>
      <c r="D1130" s="298" t="s">
        <v>720</v>
      </c>
      <c r="E1130" s="299" t="s">
        <v>113</v>
      </c>
      <c r="F1130" s="299" t="s">
        <v>59</v>
      </c>
      <c r="G1130" s="300">
        <v>44398</v>
      </c>
      <c r="H1130" s="303">
        <v>406.28</v>
      </c>
      <c r="I1130" s="301" t="str">
        <f t="shared" si="289"/>
        <v>Ingresos Sección II LISR (SIC &amp; BMV)</v>
      </c>
      <c r="J1130" s="302">
        <f t="shared" si="290"/>
        <v>7</v>
      </c>
      <c r="K1130" s="304">
        <f t="shared" si="291"/>
        <v>58.04</v>
      </c>
      <c r="L1130" s="305">
        <f>IF(H1130=0,0,IF(OR(E1130=$AT$5,E1130=$AT$6),AA1130,IF(F1130="MXN",1/HLOOKUP(YEAR(G1130)+(MONTH(G1130)/100),TC!$5:$37,DAY(G1130)+2,FALSE),VLOOKUP(F1130,Equivalencia!$5:$23,((MAX(Equivalencia!$3:$3)-YEAR(G1130))*14)+MONTH(G1130)+2,FALSE))))</f>
        <v>1</v>
      </c>
      <c r="M1130" s="306">
        <f t="shared" si="292"/>
        <v>406.28</v>
      </c>
      <c r="N1130" s="305">
        <f>IF(G1130=0,0,(IF(OR(E1130=$AT$5,E1130=$AT$6),AC1130,HLOOKUP(YEAR(G1130)+(MONTH(G1130)/100),TC!$5:$37,DAY(G1130)+2,FALSE))))</f>
        <v>20</v>
      </c>
      <c r="O1130" s="307">
        <f t="shared" si="293"/>
        <v>8125.5999999999995</v>
      </c>
      <c r="P1130" s="560">
        <f>IF(G1130=0,0,VLOOKUP(YEAR(G1130),INPC!$B$4:$P$30,MONTH(G1130)+2))</f>
        <v>113.682</v>
      </c>
      <c r="Q1130" s="560">
        <f>IF(X1130=0,0,IF(OR(E1130=$AT$10,E1130=$AT$9),VLOOKUP(YEAR(X1130),INPC!$B$4:$P$30,MONTH(X1130)+1),VLOOKUP(YEAR(X1130),INPC!$B$4:$P$30,MONTH(X1130)+2,0)))</f>
        <v>124.571</v>
      </c>
      <c r="R1130" s="309">
        <f t="shared" si="294"/>
        <v>1.0956999999999999</v>
      </c>
      <c r="S1130" s="310">
        <f t="shared" si="295"/>
        <v>8903.2199199999977</v>
      </c>
      <c r="T1130" s="555">
        <f t="shared" si="296"/>
        <v>1271.8885599999996</v>
      </c>
      <c r="U1130" s="311"/>
      <c r="V1130" s="312">
        <v>7</v>
      </c>
      <c r="W1130" s="299" t="s">
        <v>194</v>
      </c>
      <c r="X1130" s="300">
        <v>44837</v>
      </c>
      <c r="Y1130" s="299" t="s">
        <v>59</v>
      </c>
      <c r="Z1130" s="303">
        <v>249.14000000000001</v>
      </c>
      <c r="AA1130" s="305">
        <f>IF(Z1130=0,0,IF(Y1130="MXN",1/HLOOKUP(YEAR(X1130)+(MONTH(X1130)/100),TC!$5:$37,DAY(X1130)+2,FALSE),VLOOKUP(Y1130,Equivalencia!$1:$23,((MAX(Equivalencia!$3:$3)-YEAR(X1130))*14)+MONTH(X1130)+2,FALSE)))</f>
        <v>1</v>
      </c>
      <c r="AB1130" s="306">
        <f t="shared" si="297"/>
        <v>249.14000000000001</v>
      </c>
      <c r="AC1130" s="305">
        <f>+IF(X1130=0,0,HLOOKUP(YEAR(X1130)+(MONTH(X1130)/100),TC!$5:$37,DAY(X1130)+2,FALSE))</f>
        <v>20.192699999999999</v>
      </c>
      <c r="AD1130" s="307">
        <f t="shared" si="298"/>
        <v>5030.8092779999997</v>
      </c>
      <c r="AE1130" s="314">
        <f t="shared" si="299"/>
        <v>8903.2199199999977</v>
      </c>
      <c r="AF1130" s="315">
        <f t="shared" si="300"/>
        <v>-3872.410641999998</v>
      </c>
      <c r="AG1130" s="316">
        <f t="shared" si="301"/>
        <v>1.2027397260273973</v>
      </c>
      <c r="AH1130" s="314">
        <v>1</v>
      </c>
      <c r="AI1130" s="314">
        <f t="shared" si="302"/>
        <v>-3872.410641999998</v>
      </c>
      <c r="AJ1130" s="314">
        <f t="shared" si="303"/>
        <v>0</v>
      </c>
      <c r="AK1130" s="317"/>
      <c r="AL1130" s="315">
        <f t="shared" si="304"/>
        <v>-157.13999999999996</v>
      </c>
      <c r="AN1130" s="554">
        <f t="shared" si="305"/>
        <v>-0.38677759180860483</v>
      </c>
      <c r="AO1130" s="314"/>
      <c r="AP1130" s="318"/>
    </row>
    <row r="1131" spans="2:42">
      <c r="B1131" s="296" t="s">
        <v>1254</v>
      </c>
      <c r="C1131" s="299" t="s">
        <v>277</v>
      </c>
      <c r="D1131" s="298" t="s">
        <v>720</v>
      </c>
      <c r="E1131" s="299" t="s">
        <v>113</v>
      </c>
      <c r="F1131" s="299" t="s">
        <v>59</v>
      </c>
      <c r="G1131" s="300">
        <v>44398</v>
      </c>
      <c r="H1131" s="303">
        <v>1451.16</v>
      </c>
      <c r="I1131" s="301" t="str">
        <f t="shared" si="289"/>
        <v>Ingresos Sección II LISR (SIC &amp; BMV)</v>
      </c>
      <c r="J1131" s="302">
        <f t="shared" si="290"/>
        <v>25</v>
      </c>
      <c r="K1131" s="304">
        <f t="shared" si="291"/>
        <v>58.046400000000006</v>
      </c>
      <c r="L1131" s="305">
        <f>IF(H1131=0,0,IF(OR(E1131=$AT$5,E1131=$AT$6),AA1131,IF(F1131="MXN",1/HLOOKUP(YEAR(G1131)+(MONTH(G1131)/100),TC!$5:$37,DAY(G1131)+2,FALSE),VLOOKUP(F1131,Equivalencia!$5:$23,((MAX(Equivalencia!$3:$3)-YEAR(G1131))*14)+MONTH(G1131)+2,FALSE))))</f>
        <v>1</v>
      </c>
      <c r="M1131" s="306">
        <f t="shared" si="292"/>
        <v>1451.16</v>
      </c>
      <c r="N1131" s="305">
        <f>IF(G1131=0,0,(IF(OR(E1131=$AT$5,E1131=$AT$6),AC1131,HLOOKUP(YEAR(G1131)+(MONTH(G1131)/100),TC!$5:$37,DAY(G1131)+2,FALSE))))</f>
        <v>20</v>
      </c>
      <c r="O1131" s="307">
        <f t="shared" si="293"/>
        <v>29023.200000000001</v>
      </c>
      <c r="P1131" s="560">
        <f>IF(G1131=0,0,VLOOKUP(YEAR(G1131),INPC!$B$4:$P$30,MONTH(G1131)+2))</f>
        <v>113.682</v>
      </c>
      <c r="Q1131" s="560">
        <f>IF(X1131=0,0,IF(OR(E1131=$AT$10,E1131=$AT$9),VLOOKUP(YEAR(X1131),INPC!$B$4:$P$30,MONTH(X1131)+1),VLOOKUP(YEAR(X1131),INPC!$B$4:$P$30,MONTH(X1131)+2,0)))</f>
        <v>124.571</v>
      </c>
      <c r="R1131" s="309">
        <f t="shared" si="294"/>
        <v>1.0956999999999999</v>
      </c>
      <c r="S1131" s="310">
        <f t="shared" si="295"/>
        <v>31800.720239999999</v>
      </c>
      <c r="T1131" s="555">
        <f t="shared" si="296"/>
        <v>1272.0288095999999</v>
      </c>
      <c r="U1131" s="311"/>
      <c r="V1131" s="312">
        <v>25</v>
      </c>
      <c r="W1131" s="299" t="s">
        <v>194</v>
      </c>
      <c r="X1131" s="300">
        <v>44837</v>
      </c>
      <c r="Y1131" s="299" t="s">
        <v>59</v>
      </c>
      <c r="Z1131" s="303">
        <v>889.78571428571433</v>
      </c>
      <c r="AA1131" s="305">
        <f>IF(Z1131=0,0,IF(Y1131="MXN",1/HLOOKUP(YEAR(X1131)+(MONTH(X1131)/100),TC!$5:$37,DAY(X1131)+2,FALSE),VLOOKUP(Y1131,Equivalencia!$1:$23,((MAX(Equivalencia!$3:$3)-YEAR(X1131))*14)+MONTH(X1131)+2,FALSE)))</f>
        <v>1</v>
      </c>
      <c r="AB1131" s="306">
        <f t="shared" si="297"/>
        <v>889.78571428571433</v>
      </c>
      <c r="AC1131" s="305">
        <f>+IF(X1131=0,0,HLOOKUP(YEAR(X1131)+(MONTH(X1131)/100),TC!$5:$37,DAY(X1131)+2,FALSE))</f>
        <v>20.192699999999999</v>
      </c>
      <c r="AD1131" s="307">
        <f t="shared" si="298"/>
        <v>17967.175992857141</v>
      </c>
      <c r="AE1131" s="314">
        <f t="shared" si="299"/>
        <v>31800.720239999999</v>
      </c>
      <c r="AF1131" s="315">
        <f t="shared" si="300"/>
        <v>-13833.544247142858</v>
      </c>
      <c r="AG1131" s="316">
        <f t="shared" si="301"/>
        <v>1.2027397260273973</v>
      </c>
      <c r="AH1131" s="314">
        <v>1</v>
      </c>
      <c r="AI1131" s="314">
        <f t="shared" si="302"/>
        <v>-13833.544247142858</v>
      </c>
      <c r="AJ1131" s="314">
        <f t="shared" si="303"/>
        <v>0</v>
      </c>
      <c r="AK1131" s="317"/>
      <c r="AL1131" s="315">
        <f t="shared" si="304"/>
        <v>-561.37428571428575</v>
      </c>
      <c r="AN1131" s="554">
        <f t="shared" si="305"/>
        <v>-0.38684520364004366</v>
      </c>
      <c r="AO1131" s="314"/>
      <c r="AP1131" s="318"/>
    </row>
    <row r="1132" spans="2:42">
      <c r="B1132" s="296" t="s">
        <v>1254</v>
      </c>
      <c r="C1132" s="299" t="s">
        <v>277</v>
      </c>
      <c r="D1132" s="298" t="s">
        <v>720</v>
      </c>
      <c r="E1132" s="299" t="s">
        <v>113</v>
      </c>
      <c r="F1132" s="299" t="s">
        <v>59</v>
      </c>
      <c r="G1132" s="300">
        <v>44398</v>
      </c>
      <c r="H1132" s="303">
        <v>172.49307692307693</v>
      </c>
      <c r="I1132" s="301" t="str">
        <f t="shared" si="289"/>
        <v>Ingresos Sección II LISR (SIC &amp; BMV)</v>
      </c>
      <c r="J1132" s="302">
        <f t="shared" si="290"/>
        <v>3</v>
      </c>
      <c r="K1132" s="304">
        <f t="shared" si="291"/>
        <v>57.497692307692311</v>
      </c>
      <c r="L1132" s="305">
        <f>IF(H1132=0,0,IF(OR(E1132=$AT$5,E1132=$AT$6),AA1132,IF(F1132="MXN",1/HLOOKUP(YEAR(G1132)+(MONTH(G1132)/100),TC!$5:$37,DAY(G1132)+2,FALSE),VLOOKUP(F1132,Equivalencia!$5:$23,((MAX(Equivalencia!$3:$3)-YEAR(G1132))*14)+MONTH(G1132)+2,FALSE))))</f>
        <v>1</v>
      </c>
      <c r="M1132" s="306">
        <f t="shared" si="292"/>
        <v>172.49307692307693</v>
      </c>
      <c r="N1132" s="305">
        <f>IF(G1132=0,0,(IF(OR(E1132=$AT$5,E1132=$AT$6),AC1132,HLOOKUP(YEAR(G1132)+(MONTH(G1132)/100),TC!$5:$37,DAY(G1132)+2,FALSE))))</f>
        <v>20</v>
      </c>
      <c r="O1132" s="307">
        <f t="shared" si="293"/>
        <v>3449.8615384615387</v>
      </c>
      <c r="P1132" s="560">
        <f>IF(G1132=0,0,VLOOKUP(YEAR(G1132),INPC!$B$4:$P$30,MONTH(G1132)+2))</f>
        <v>113.682</v>
      </c>
      <c r="Q1132" s="560">
        <f>IF(X1132=0,0,IF(OR(E1132=$AT$10,E1132=$AT$9),VLOOKUP(YEAR(X1132),INPC!$B$4:$P$30,MONTH(X1132)+1),VLOOKUP(YEAR(X1132),INPC!$B$4:$P$30,MONTH(X1132)+2,0)))</f>
        <v>124.571</v>
      </c>
      <c r="R1132" s="309">
        <f t="shared" si="294"/>
        <v>1.0956999999999999</v>
      </c>
      <c r="S1132" s="310">
        <f t="shared" si="295"/>
        <v>3780.0132876923076</v>
      </c>
      <c r="T1132" s="555">
        <f t="shared" si="296"/>
        <v>1260.0044292307691</v>
      </c>
      <c r="U1132" s="311"/>
      <c r="V1132" s="312">
        <v>3</v>
      </c>
      <c r="W1132" s="299" t="s">
        <v>194</v>
      </c>
      <c r="X1132" s="300">
        <v>44837</v>
      </c>
      <c r="Y1132" s="299" t="s">
        <v>59</v>
      </c>
      <c r="Z1132" s="303">
        <v>106.77428571428572</v>
      </c>
      <c r="AA1132" s="305">
        <f>IF(Z1132=0,0,IF(Y1132="MXN",1/HLOOKUP(YEAR(X1132)+(MONTH(X1132)/100),TC!$5:$37,DAY(X1132)+2,FALSE),VLOOKUP(Y1132,Equivalencia!$1:$23,((MAX(Equivalencia!$3:$3)-YEAR(X1132))*14)+MONTH(X1132)+2,FALSE)))</f>
        <v>1</v>
      </c>
      <c r="AB1132" s="306">
        <f t="shared" si="297"/>
        <v>106.77428571428572</v>
      </c>
      <c r="AC1132" s="305">
        <f>+IF(X1132=0,0,HLOOKUP(YEAR(X1132)+(MONTH(X1132)/100),TC!$5:$37,DAY(X1132)+2,FALSE))</f>
        <v>20.192699999999999</v>
      </c>
      <c r="AD1132" s="307">
        <f t="shared" si="298"/>
        <v>2156.061119142857</v>
      </c>
      <c r="AE1132" s="314">
        <f t="shared" si="299"/>
        <v>3780.0132876923071</v>
      </c>
      <c r="AF1132" s="315">
        <f t="shared" si="300"/>
        <v>-1623.9521685494501</v>
      </c>
      <c r="AG1132" s="316">
        <f t="shared" si="301"/>
        <v>1.2027397260273973</v>
      </c>
      <c r="AH1132" s="314">
        <v>1</v>
      </c>
      <c r="AI1132" s="314">
        <f t="shared" si="302"/>
        <v>-1623.9521685494501</v>
      </c>
      <c r="AJ1132" s="314">
        <f t="shared" si="303"/>
        <v>0</v>
      </c>
      <c r="AK1132" s="317"/>
      <c r="AL1132" s="315">
        <f t="shared" si="304"/>
        <v>-65.718791208791203</v>
      </c>
      <c r="AN1132" s="554">
        <f t="shared" si="305"/>
        <v>-0.38099379048179666</v>
      </c>
      <c r="AO1132" s="314"/>
      <c r="AP1132" s="318"/>
    </row>
    <row r="1133" spans="2:42">
      <c r="B1133" s="296" t="s">
        <v>1254</v>
      </c>
      <c r="C1133" s="299" t="s">
        <v>277</v>
      </c>
      <c r="D1133" s="298" t="s">
        <v>720</v>
      </c>
      <c r="E1133" s="299" t="s">
        <v>113</v>
      </c>
      <c r="F1133" s="299" t="s">
        <v>59</v>
      </c>
      <c r="G1133" s="300">
        <v>44398</v>
      </c>
      <c r="H1133" s="303">
        <v>919.96307692307698</v>
      </c>
      <c r="I1133" s="301" t="str">
        <f t="shared" si="289"/>
        <v>Ingresos Sección II LISR (SIC &amp; BMV)</v>
      </c>
      <c r="J1133" s="302">
        <f t="shared" si="290"/>
        <v>16</v>
      </c>
      <c r="K1133" s="304">
        <f t="shared" si="291"/>
        <v>57.497692307692311</v>
      </c>
      <c r="L1133" s="305">
        <f>IF(H1133=0,0,IF(OR(E1133=$AT$5,E1133=$AT$6),AA1133,IF(F1133="MXN",1/HLOOKUP(YEAR(G1133)+(MONTH(G1133)/100),TC!$5:$37,DAY(G1133)+2,FALSE),VLOOKUP(F1133,Equivalencia!$5:$23,((MAX(Equivalencia!$3:$3)-YEAR(G1133))*14)+MONTH(G1133)+2,FALSE))))</f>
        <v>1</v>
      </c>
      <c r="M1133" s="306">
        <f t="shared" si="292"/>
        <v>919.96307692307698</v>
      </c>
      <c r="N1133" s="305">
        <f>IF(G1133=0,0,(IF(OR(E1133=$AT$5,E1133=$AT$6),AC1133,HLOOKUP(YEAR(G1133)+(MONTH(G1133)/100),TC!$5:$37,DAY(G1133)+2,FALSE))))</f>
        <v>20</v>
      </c>
      <c r="O1133" s="307">
        <f t="shared" si="293"/>
        <v>18399.261538461538</v>
      </c>
      <c r="P1133" s="560">
        <f>IF(G1133=0,0,VLOOKUP(YEAR(G1133),INPC!$B$4:$P$30,MONTH(G1133)+2))</f>
        <v>113.682</v>
      </c>
      <c r="Q1133" s="560">
        <f>IF(X1133=0,0,IF(OR(E1133=$AT$10,E1133=$AT$9),VLOOKUP(YEAR(X1133),INPC!$B$4:$P$30,MONTH(X1133)+1),VLOOKUP(YEAR(X1133),INPC!$B$4:$P$30,MONTH(X1133)+2,0)))</f>
        <v>124.571</v>
      </c>
      <c r="R1133" s="309">
        <f t="shared" si="294"/>
        <v>1.0956999999999999</v>
      </c>
      <c r="S1133" s="310">
        <f t="shared" si="295"/>
        <v>20160.070867692306</v>
      </c>
      <c r="T1133" s="555">
        <f t="shared" si="296"/>
        <v>1260.0044292307691</v>
      </c>
      <c r="U1133" s="311"/>
      <c r="V1133" s="312">
        <v>16</v>
      </c>
      <c r="W1133" s="299" t="s">
        <v>194</v>
      </c>
      <c r="X1133" s="300">
        <v>44837</v>
      </c>
      <c r="Y1133" s="299" t="s">
        <v>59</v>
      </c>
      <c r="Z1133" s="303">
        <v>566.54999999999995</v>
      </c>
      <c r="AA1133" s="305">
        <f>IF(Z1133=0,0,IF(Y1133="MXN",1/HLOOKUP(YEAR(X1133)+(MONTH(X1133)/100),TC!$5:$37,DAY(X1133)+2,FALSE),VLOOKUP(Y1133,Equivalencia!$1:$23,((MAX(Equivalencia!$3:$3)-YEAR(X1133))*14)+MONTH(X1133)+2,FALSE)))</f>
        <v>1</v>
      </c>
      <c r="AB1133" s="306">
        <f t="shared" si="297"/>
        <v>566.54999999999995</v>
      </c>
      <c r="AC1133" s="305">
        <f>+IF(X1133=0,0,HLOOKUP(YEAR(X1133)+(MONTH(X1133)/100),TC!$5:$37,DAY(X1133)+2,FALSE))</f>
        <v>20.192699999999999</v>
      </c>
      <c r="AD1133" s="307">
        <f t="shared" si="298"/>
        <v>11440.174184999998</v>
      </c>
      <c r="AE1133" s="314">
        <f t="shared" si="299"/>
        <v>20160.070867692306</v>
      </c>
      <c r="AF1133" s="315">
        <f t="shared" si="300"/>
        <v>-8719.8966826923079</v>
      </c>
      <c r="AG1133" s="316">
        <f t="shared" si="301"/>
        <v>1.2027397260273973</v>
      </c>
      <c r="AH1133" s="314">
        <v>1</v>
      </c>
      <c r="AI1133" s="314">
        <f t="shared" si="302"/>
        <v>-8719.8966826923079</v>
      </c>
      <c r="AJ1133" s="314">
        <f t="shared" si="303"/>
        <v>0</v>
      </c>
      <c r="AK1133" s="317"/>
      <c r="AL1133" s="315">
        <f t="shared" si="304"/>
        <v>-353.41307692307703</v>
      </c>
      <c r="AN1133" s="554">
        <f t="shared" si="305"/>
        <v>-0.38416006662474755</v>
      </c>
      <c r="AO1133" s="314"/>
      <c r="AP1133" s="318"/>
    </row>
    <row r="1134" spans="2:42">
      <c r="B1134" s="296" t="s">
        <v>1254</v>
      </c>
      <c r="C1134" s="299" t="s">
        <v>277</v>
      </c>
      <c r="D1134" s="298" t="s">
        <v>720</v>
      </c>
      <c r="E1134" s="299" t="s">
        <v>113</v>
      </c>
      <c r="F1134" s="299" t="s">
        <v>59</v>
      </c>
      <c r="G1134" s="300">
        <v>44398</v>
      </c>
      <c r="H1134" s="303">
        <v>402.48384615384617</v>
      </c>
      <c r="I1134" s="301" t="str">
        <f t="shared" si="289"/>
        <v>Ingresos Sección II LISR (SIC &amp; BMV)</v>
      </c>
      <c r="J1134" s="302">
        <f t="shared" si="290"/>
        <v>7</v>
      </c>
      <c r="K1134" s="304">
        <f t="shared" si="291"/>
        <v>57.497692307692311</v>
      </c>
      <c r="L1134" s="305">
        <f>IF(H1134=0,0,IF(OR(E1134=$AT$5,E1134=$AT$6),AA1134,IF(F1134="MXN",1/HLOOKUP(YEAR(G1134)+(MONTH(G1134)/100),TC!$5:$37,DAY(G1134)+2,FALSE),VLOOKUP(F1134,Equivalencia!$5:$23,((MAX(Equivalencia!$3:$3)-YEAR(G1134))*14)+MONTH(G1134)+2,FALSE))))</f>
        <v>1</v>
      </c>
      <c r="M1134" s="306">
        <f t="shared" si="292"/>
        <v>402.48384615384617</v>
      </c>
      <c r="N1134" s="305">
        <f>IF(G1134=0,0,(IF(OR(E1134=$AT$5,E1134=$AT$6),AC1134,HLOOKUP(YEAR(G1134)+(MONTH(G1134)/100),TC!$5:$37,DAY(G1134)+2,FALSE))))</f>
        <v>20</v>
      </c>
      <c r="O1134" s="307">
        <f t="shared" si="293"/>
        <v>8049.6769230769232</v>
      </c>
      <c r="P1134" s="560">
        <f>IF(G1134=0,0,VLOOKUP(YEAR(G1134),INPC!$B$4:$P$30,MONTH(G1134)+2))</f>
        <v>113.682</v>
      </c>
      <c r="Q1134" s="560">
        <f>IF(X1134=0,0,IF(OR(E1134=$AT$10,E1134=$AT$9),VLOOKUP(YEAR(X1134),INPC!$B$4:$P$30,MONTH(X1134)+1),VLOOKUP(YEAR(X1134),INPC!$B$4:$P$30,MONTH(X1134)+2,0)))</f>
        <v>124.571</v>
      </c>
      <c r="R1134" s="309">
        <f t="shared" si="294"/>
        <v>1.0956999999999999</v>
      </c>
      <c r="S1134" s="310">
        <f t="shared" si="295"/>
        <v>8820.0310046153845</v>
      </c>
      <c r="T1134" s="555">
        <f t="shared" si="296"/>
        <v>1260.0044292307691</v>
      </c>
      <c r="U1134" s="311"/>
      <c r="V1134" s="312">
        <v>7</v>
      </c>
      <c r="W1134" s="299" t="s">
        <v>194</v>
      </c>
      <c r="X1134" s="300">
        <v>44837</v>
      </c>
      <c r="Y1134" s="299" t="s">
        <v>59</v>
      </c>
      <c r="Z1134" s="303">
        <v>251.57999999999998</v>
      </c>
      <c r="AA1134" s="305">
        <f>IF(Z1134=0,0,IF(Y1134="MXN",1/HLOOKUP(YEAR(X1134)+(MONTH(X1134)/100),TC!$5:$37,DAY(X1134)+2,FALSE),VLOOKUP(Y1134,Equivalencia!$1:$23,((MAX(Equivalencia!$3:$3)-YEAR(X1134))*14)+MONTH(X1134)+2,FALSE)))</f>
        <v>1</v>
      </c>
      <c r="AB1134" s="306">
        <f t="shared" si="297"/>
        <v>251.57999999999998</v>
      </c>
      <c r="AC1134" s="305">
        <f>+IF(X1134=0,0,HLOOKUP(YEAR(X1134)+(MONTH(X1134)/100),TC!$5:$37,DAY(X1134)+2,FALSE))</f>
        <v>20.192699999999999</v>
      </c>
      <c r="AD1134" s="307">
        <f t="shared" si="298"/>
        <v>5080.0794659999992</v>
      </c>
      <c r="AE1134" s="314">
        <f t="shared" si="299"/>
        <v>8820.0310046153845</v>
      </c>
      <c r="AF1134" s="315">
        <f t="shared" si="300"/>
        <v>-3739.9515386153853</v>
      </c>
      <c r="AG1134" s="316">
        <f t="shared" si="301"/>
        <v>1.2027397260273973</v>
      </c>
      <c r="AH1134" s="314">
        <v>1</v>
      </c>
      <c r="AI1134" s="314">
        <f t="shared" si="302"/>
        <v>-3739.9515386153853</v>
      </c>
      <c r="AJ1134" s="314">
        <f t="shared" si="303"/>
        <v>0</v>
      </c>
      <c r="AK1134" s="317"/>
      <c r="AL1134" s="315">
        <f t="shared" si="304"/>
        <v>-150.90384615384619</v>
      </c>
      <c r="AN1134" s="554">
        <f t="shared" si="305"/>
        <v>-0.37493143537533286</v>
      </c>
      <c r="AO1134" s="314"/>
      <c r="AP1134" s="318"/>
    </row>
    <row r="1135" spans="2:42">
      <c r="B1135" s="296" t="s">
        <v>1254</v>
      </c>
      <c r="C1135" s="299" t="s">
        <v>277</v>
      </c>
      <c r="D1135" s="298" t="s">
        <v>720</v>
      </c>
      <c r="E1135" s="299" t="s">
        <v>113</v>
      </c>
      <c r="F1135" s="299" t="s">
        <v>59</v>
      </c>
      <c r="G1135" s="300">
        <v>44399</v>
      </c>
      <c r="H1135" s="303">
        <v>57.2</v>
      </c>
      <c r="I1135" s="301" t="str">
        <f t="shared" si="289"/>
        <v>Ingresos Sección II LISR (SIC &amp; BMV)</v>
      </c>
      <c r="J1135" s="302">
        <f t="shared" si="290"/>
        <v>1</v>
      </c>
      <c r="K1135" s="304">
        <f t="shared" si="291"/>
        <v>57.2</v>
      </c>
      <c r="L1135" s="305">
        <f>IF(H1135=0,0,IF(OR(E1135=$AT$5,E1135=$AT$6),AA1135,IF(F1135="MXN",1/HLOOKUP(YEAR(G1135)+(MONTH(G1135)/100),TC!$5:$37,DAY(G1135)+2,FALSE),VLOOKUP(F1135,Equivalencia!$5:$23,((MAX(Equivalencia!$3:$3)-YEAR(G1135))*14)+MONTH(G1135)+2,FALSE))))</f>
        <v>1</v>
      </c>
      <c r="M1135" s="306">
        <f t="shared" si="292"/>
        <v>57.2</v>
      </c>
      <c r="N1135" s="305">
        <f>IF(G1135=0,0,(IF(OR(E1135=$AT$5,E1135=$AT$6),AC1135,HLOOKUP(YEAR(G1135)+(MONTH(G1135)/100),TC!$5:$37,DAY(G1135)+2,FALSE))))</f>
        <v>20.134799999999998</v>
      </c>
      <c r="O1135" s="307">
        <f t="shared" si="293"/>
        <v>1151.71056</v>
      </c>
      <c r="P1135" s="560">
        <f>IF(G1135=0,0,VLOOKUP(YEAR(G1135),INPC!$B$4:$P$30,MONTH(G1135)+2))</f>
        <v>113.682</v>
      </c>
      <c r="Q1135" s="560">
        <f>IF(X1135=0,0,IF(OR(E1135=$AT$10,E1135=$AT$9),VLOOKUP(YEAR(X1135),INPC!$B$4:$P$30,MONTH(X1135)+1),VLOOKUP(YEAR(X1135),INPC!$B$4:$P$30,MONTH(X1135)+2,0)))</f>
        <v>124.571</v>
      </c>
      <c r="R1135" s="309">
        <f t="shared" si="294"/>
        <v>1.0956999999999999</v>
      </c>
      <c r="S1135" s="310">
        <f t="shared" si="295"/>
        <v>1261.9292605919998</v>
      </c>
      <c r="T1135" s="555">
        <f t="shared" si="296"/>
        <v>1261.9292605919998</v>
      </c>
      <c r="U1135" s="311"/>
      <c r="V1135" s="312">
        <v>1</v>
      </c>
      <c r="W1135" s="299" t="s">
        <v>194</v>
      </c>
      <c r="X1135" s="300">
        <v>44837</v>
      </c>
      <c r="Y1135" s="299" t="s">
        <v>59</v>
      </c>
      <c r="Z1135" s="303">
        <v>35.94</v>
      </c>
      <c r="AA1135" s="305">
        <f>IF(Z1135=0,0,IF(Y1135="MXN",1/HLOOKUP(YEAR(X1135)+(MONTH(X1135)/100),TC!$5:$37,DAY(X1135)+2,FALSE),VLOOKUP(Y1135,Equivalencia!$1:$23,((MAX(Equivalencia!$3:$3)-YEAR(X1135))*14)+MONTH(X1135)+2,FALSE)))</f>
        <v>1</v>
      </c>
      <c r="AB1135" s="306">
        <f t="shared" si="297"/>
        <v>35.94</v>
      </c>
      <c r="AC1135" s="305">
        <f>+IF(X1135=0,0,HLOOKUP(YEAR(X1135)+(MONTH(X1135)/100),TC!$5:$37,DAY(X1135)+2,FALSE))</f>
        <v>20.192699999999999</v>
      </c>
      <c r="AD1135" s="307">
        <f t="shared" si="298"/>
        <v>725.72563799999989</v>
      </c>
      <c r="AE1135" s="314">
        <f t="shared" si="299"/>
        <v>1261.9292605919998</v>
      </c>
      <c r="AF1135" s="315">
        <f t="shared" si="300"/>
        <v>-536.20362259199987</v>
      </c>
      <c r="AG1135" s="316">
        <f t="shared" si="301"/>
        <v>1.2</v>
      </c>
      <c r="AH1135" s="314">
        <v>1</v>
      </c>
      <c r="AI1135" s="314">
        <f t="shared" si="302"/>
        <v>-536.20362259199987</v>
      </c>
      <c r="AJ1135" s="314">
        <f t="shared" si="303"/>
        <v>0</v>
      </c>
      <c r="AK1135" s="317"/>
      <c r="AL1135" s="315">
        <f t="shared" si="304"/>
        <v>-21.260000000000005</v>
      </c>
      <c r="AN1135" s="554">
        <f t="shared" si="305"/>
        <v>-0.37167832167832177</v>
      </c>
      <c r="AO1135" s="314"/>
      <c r="AP1135" s="318"/>
    </row>
    <row r="1136" spans="2:42">
      <c r="B1136" s="296" t="s">
        <v>1254</v>
      </c>
      <c r="C1136" s="299" t="s">
        <v>277</v>
      </c>
      <c r="D1136" s="298" t="s">
        <v>720</v>
      </c>
      <c r="E1136" s="299" t="s">
        <v>113</v>
      </c>
      <c r="F1136" s="299" t="s">
        <v>59</v>
      </c>
      <c r="G1136" s="300">
        <v>44399</v>
      </c>
      <c r="H1136" s="303">
        <v>1024.31</v>
      </c>
      <c r="I1136" s="301" t="str">
        <f t="shared" si="289"/>
        <v>Ingresos Sección II LISR (SIC &amp; BMV)</v>
      </c>
      <c r="J1136" s="302">
        <f t="shared" si="290"/>
        <v>18</v>
      </c>
      <c r="K1136" s="304">
        <f t="shared" si="291"/>
        <v>56.906111111111109</v>
      </c>
      <c r="L1136" s="305">
        <f>IF(H1136=0,0,IF(OR(E1136=$AT$5,E1136=$AT$6),AA1136,IF(F1136="MXN",1/HLOOKUP(YEAR(G1136)+(MONTH(G1136)/100),TC!$5:$37,DAY(G1136)+2,FALSE),VLOOKUP(F1136,Equivalencia!$5:$23,((MAX(Equivalencia!$3:$3)-YEAR(G1136))*14)+MONTH(G1136)+2,FALSE))))</f>
        <v>1</v>
      </c>
      <c r="M1136" s="306">
        <f t="shared" si="292"/>
        <v>1024.31</v>
      </c>
      <c r="N1136" s="305">
        <f>IF(G1136=0,0,(IF(OR(E1136=$AT$5,E1136=$AT$6),AC1136,HLOOKUP(YEAR(G1136)+(MONTH(G1136)/100),TC!$5:$37,DAY(G1136)+2,FALSE))))</f>
        <v>20.134799999999998</v>
      </c>
      <c r="O1136" s="307">
        <f t="shared" si="293"/>
        <v>20624.276987999998</v>
      </c>
      <c r="P1136" s="560">
        <f>IF(G1136=0,0,VLOOKUP(YEAR(G1136),INPC!$B$4:$P$30,MONTH(G1136)+2))</f>
        <v>113.682</v>
      </c>
      <c r="Q1136" s="560">
        <f>IF(X1136=0,0,IF(OR(E1136=$AT$10,E1136=$AT$9),VLOOKUP(YEAR(X1136),INPC!$B$4:$P$30,MONTH(X1136)+1),VLOOKUP(YEAR(X1136),INPC!$B$4:$P$30,MONTH(X1136)+2,0)))</f>
        <v>124.571</v>
      </c>
      <c r="R1136" s="309">
        <f t="shared" si="294"/>
        <v>1.0956999999999999</v>
      </c>
      <c r="S1136" s="310">
        <f t="shared" si="295"/>
        <v>22598.020295751594</v>
      </c>
      <c r="T1136" s="555">
        <f t="shared" si="296"/>
        <v>1255.4455719861996</v>
      </c>
      <c r="U1136" s="311"/>
      <c r="V1136" s="312">
        <v>18</v>
      </c>
      <c r="W1136" s="299" t="s">
        <v>194</v>
      </c>
      <c r="X1136" s="300">
        <v>44838</v>
      </c>
      <c r="Y1136" s="299" t="s">
        <v>59</v>
      </c>
      <c r="Z1136" s="303">
        <v>674.46375</v>
      </c>
      <c r="AA1136" s="305">
        <f>IF(Z1136=0,0,IF(Y1136="MXN",1/HLOOKUP(YEAR(X1136)+(MONTH(X1136)/100),TC!$5:$37,DAY(X1136)+2,FALSE),VLOOKUP(Y1136,Equivalencia!$1:$23,((MAX(Equivalencia!$3:$3)-YEAR(X1136))*14)+MONTH(X1136)+2,FALSE)))</f>
        <v>1</v>
      </c>
      <c r="AB1136" s="306">
        <f t="shared" si="297"/>
        <v>674.46375</v>
      </c>
      <c r="AC1136" s="305">
        <f>+IF(X1136=0,0,HLOOKUP(YEAR(X1136)+(MONTH(X1136)/100),TC!$5:$37,DAY(X1136)+2,FALSE))</f>
        <v>20.092500000000001</v>
      </c>
      <c r="AD1136" s="307">
        <f t="shared" si="298"/>
        <v>13551.662896875001</v>
      </c>
      <c r="AE1136" s="314">
        <f t="shared" si="299"/>
        <v>22598.020295751594</v>
      </c>
      <c r="AF1136" s="315">
        <f t="shared" si="300"/>
        <v>-9046.3573988765929</v>
      </c>
      <c r="AG1136" s="316">
        <f t="shared" si="301"/>
        <v>1.2027397260273973</v>
      </c>
      <c r="AH1136" s="314">
        <v>1</v>
      </c>
      <c r="AI1136" s="314">
        <f t="shared" si="302"/>
        <v>-9046.3573988765929</v>
      </c>
      <c r="AJ1136" s="314">
        <f t="shared" si="303"/>
        <v>0</v>
      </c>
      <c r="AK1136" s="317"/>
      <c r="AL1136" s="315">
        <f t="shared" si="304"/>
        <v>-349.84624999999994</v>
      </c>
      <c r="AN1136" s="554">
        <f t="shared" si="305"/>
        <v>-0.34154333160859501</v>
      </c>
      <c r="AO1136" s="314"/>
      <c r="AP1136" s="318"/>
    </row>
    <row r="1137" spans="2:42">
      <c r="B1137" s="296" t="s">
        <v>1254</v>
      </c>
      <c r="C1137" s="299" t="s">
        <v>277</v>
      </c>
      <c r="D1137" s="298" t="s">
        <v>720</v>
      </c>
      <c r="E1137" s="299" t="s">
        <v>113</v>
      </c>
      <c r="F1137" s="299" t="s">
        <v>59</v>
      </c>
      <c r="G1137" s="300">
        <v>44662</v>
      </c>
      <c r="H1137" s="303">
        <v>657.09</v>
      </c>
      <c r="I1137" s="301" t="str">
        <f t="shared" si="289"/>
        <v>Ingresos Sección II LISR (SIC &amp; BMV)</v>
      </c>
      <c r="J1137" s="302">
        <f t="shared" si="290"/>
        <v>13</v>
      </c>
      <c r="K1137" s="304">
        <f t="shared" si="291"/>
        <v>50.54538461538462</v>
      </c>
      <c r="L1137" s="305">
        <f>IF(H1137=0,0,IF(OR(E1137=$AT$5,E1137=$AT$6),AA1137,IF(F1137="MXN",1/HLOOKUP(YEAR(G1137)+(MONTH(G1137)/100),TC!$5:$37,DAY(G1137)+2,FALSE),VLOOKUP(F1137,Equivalencia!$5:$23,((MAX(Equivalencia!$3:$3)-YEAR(G1137))*14)+MONTH(G1137)+2,FALSE))))</f>
        <v>1</v>
      </c>
      <c r="M1137" s="306">
        <f t="shared" si="292"/>
        <v>657.09</v>
      </c>
      <c r="N1137" s="305">
        <f>IF(G1137=0,0,(IF(OR(E1137=$AT$5,E1137=$AT$6),AC1137,HLOOKUP(YEAR(G1137)+(MONTH(G1137)/100),TC!$5:$37,DAY(G1137)+2,FALSE))))</f>
        <v>20.160499999999999</v>
      </c>
      <c r="O1137" s="307">
        <f t="shared" si="293"/>
        <v>13247.262945</v>
      </c>
      <c r="P1137" s="560">
        <f>IF(G1137=0,0,VLOOKUP(YEAR(G1137),INPC!$B$4:$P$30,MONTH(G1137)+2))</f>
        <v>120.809</v>
      </c>
      <c r="Q1137" s="560">
        <f>IF(X1137=0,0,IF(OR(E1137=$AT$10,E1137=$AT$9),VLOOKUP(YEAR(X1137),INPC!$B$4:$P$30,MONTH(X1137)+1),VLOOKUP(YEAR(X1137),INPC!$B$4:$P$30,MONTH(X1137)+2,0)))</f>
        <v>124.571</v>
      </c>
      <c r="R1137" s="309">
        <f t="shared" si="294"/>
        <v>1.0310999999999999</v>
      </c>
      <c r="S1137" s="310">
        <f t="shared" si="295"/>
        <v>13659.252822589498</v>
      </c>
      <c r="T1137" s="555">
        <f t="shared" si="296"/>
        <v>1050.7117555838076</v>
      </c>
      <c r="U1137" s="311"/>
      <c r="V1137" s="312">
        <v>13</v>
      </c>
      <c r="W1137" s="299" t="s">
        <v>194</v>
      </c>
      <c r="X1137" s="300">
        <v>44838</v>
      </c>
      <c r="Y1137" s="299" t="s">
        <v>59</v>
      </c>
      <c r="Z1137" s="303">
        <v>487.11270833333333</v>
      </c>
      <c r="AA1137" s="305">
        <f>IF(Z1137=0,0,IF(Y1137="MXN",1/HLOOKUP(YEAR(X1137)+(MONTH(X1137)/100),TC!$5:$37,DAY(X1137)+2,FALSE),VLOOKUP(Y1137,Equivalencia!$1:$23,((MAX(Equivalencia!$3:$3)-YEAR(X1137))*14)+MONTH(X1137)+2,FALSE)))</f>
        <v>1</v>
      </c>
      <c r="AB1137" s="306">
        <f t="shared" si="297"/>
        <v>487.11270833333333</v>
      </c>
      <c r="AC1137" s="305">
        <f>+IF(X1137=0,0,HLOOKUP(YEAR(X1137)+(MONTH(X1137)/100),TC!$5:$37,DAY(X1137)+2,FALSE))</f>
        <v>20.092500000000001</v>
      </c>
      <c r="AD1137" s="307">
        <f t="shared" si="298"/>
        <v>9787.3120921874997</v>
      </c>
      <c r="AE1137" s="314">
        <f t="shared" si="299"/>
        <v>13659.2528225895</v>
      </c>
      <c r="AF1137" s="315">
        <f t="shared" si="300"/>
        <v>-3871.9407304020006</v>
      </c>
      <c r="AG1137" s="316">
        <f t="shared" si="301"/>
        <v>0.48219178082191783</v>
      </c>
      <c r="AH1137" s="314">
        <v>1</v>
      </c>
      <c r="AI1137" s="314">
        <f t="shared" si="302"/>
        <v>-3871.9407304020006</v>
      </c>
      <c r="AJ1137" s="314">
        <f t="shared" si="303"/>
        <v>0</v>
      </c>
      <c r="AK1137" s="317"/>
      <c r="AL1137" s="315">
        <f t="shared" si="304"/>
        <v>-169.9772916666667</v>
      </c>
      <c r="AN1137" s="554">
        <f t="shared" si="305"/>
        <v>-0.2586819030371284</v>
      </c>
      <c r="AO1137" s="314"/>
      <c r="AP1137" s="318"/>
    </row>
    <row r="1138" spans="2:42">
      <c r="B1138" s="296" t="s">
        <v>1254</v>
      </c>
      <c r="C1138" s="299" t="s">
        <v>277</v>
      </c>
      <c r="D1138" s="298" t="s">
        <v>720</v>
      </c>
      <c r="E1138" s="299" t="s">
        <v>113</v>
      </c>
      <c r="F1138" s="299" t="s">
        <v>59</v>
      </c>
      <c r="G1138" s="300">
        <v>44662</v>
      </c>
      <c r="H1138" s="303">
        <v>303.39</v>
      </c>
      <c r="I1138" s="301" t="str">
        <f t="shared" si="289"/>
        <v>Ingresos Sección II LISR (SIC &amp; BMV)</v>
      </c>
      <c r="J1138" s="302">
        <f t="shared" si="290"/>
        <v>6</v>
      </c>
      <c r="K1138" s="304">
        <f t="shared" si="291"/>
        <v>50.564999999999998</v>
      </c>
      <c r="L1138" s="305">
        <f>IF(H1138=0,0,IF(OR(E1138=$AT$5,E1138=$AT$6),AA1138,IF(F1138="MXN",1/HLOOKUP(YEAR(G1138)+(MONTH(G1138)/100),TC!$5:$37,DAY(G1138)+2,FALSE),VLOOKUP(F1138,Equivalencia!$5:$23,((MAX(Equivalencia!$3:$3)-YEAR(G1138))*14)+MONTH(G1138)+2,FALSE))))</f>
        <v>1</v>
      </c>
      <c r="M1138" s="306">
        <f t="shared" si="292"/>
        <v>303.39</v>
      </c>
      <c r="N1138" s="305">
        <f>IF(G1138=0,0,(IF(OR(E1138=$AT$5,E1138=$AT$6),AC1138,HLOOKUP(YEAR(G1138)+(MONTH(G1138)/100),TC!$5:$37,DAY(G1138)+2,FALSE))))</f>
        <v>20.160499999999999</v>
      </c>
      <c r="O1138" s="307">
        <f t="shared" si="293"/>
        <v>6116.4940949999991</v>
      </c>
      <c r="P1138" s="560">
        <f>IF(G1138=0,0,VLOOKUP(YEAR(G1138),INPC!$B$4:$P$30,MONTH(G1138)+2))</f>
        <v>120.809</v>
      </c>
      <c r="Q1138" s="560">
        <f>IF(X1138=0,0,IF(OR(E1138=$AT$10,E1138=$AT$9),VLOOKUP(YEAR(X1138),INPC!$B$4:$P$30,MONTH(X1138)+1),VLOOKUP(YEAR(X1138),INPC!$B$4:$P$30,MONTH(X1138)+2,0)))</f>
        <v>124.571</v>
      </c>
      <c r="R1138" s="309">
        <f t="shared" si="294"/>
        <v>1.0310999999999999</v>
      </c>
      <c r="S1138" s="310">
        <f t="shared" si="295"/>
        <v>6306.7170613544986</v>
      </c>
      <c r="T1138" s="555">
        <f t="shared" si="296"/>
        <v>1051.1195102257498</v>
      </c>
      <c r="U1138" s="311"/>
      <c r="V1138" s="312">
        <v>6</v>
      </c>
      <c r="W1138" s="299" t="s">
        <v>194</v>
      </c>
      <c r="X1138" s="300">
        <v>44838</v>
      </c>
      <c r="Y1138" s="299" t="s">
        <v>59</v>
      </c>
      <c r="Z1138" s="303">
        <v>224.82124999999999</v>
      </c>
      <c r="AA1138" s="305">
        <f>IF(Z1138=0,0,IF(Y1138="MXN",1/HLOOKUP(YEAR(X1138)+(MONTH(X1138)/100),TC!$5:$37,DAY(X1138)+2,FALSE),VLOOKUP(Y1138,Equivalencia!$1:$23,((MAX(Equivalencia!$3:$3)-YEAR(X1138))*14)+MONTH(X1138)+2,FALSE)))</f>
        <v>1</v>
      </c>
      <c r="AB1138" s="306">
        <f t="shared" si="297"/>
        <v>224.82124999999999</v>
      </c>
      <c r="AC1138" s="305">
        <f>+IF(X1138=0,0,HLOOKUP(YEAR(X1138)+(MONTH(X1138)/100),TC!$5:$37,DAY(X1138)+2,FALSE))</f>
        <v>20.092500000000001</v>
      </c>
      <c r="AD1138" s="307">
        <f t="shared" si="298"/>
        <v>4517.2209656249997</v>
      </c>
      <c r="AE1138" s="314">
        <f t="shared" si="299"/>
        <v>6306.7170613544986</v>
      </c>
      <c r="AF1138" s="315">
        <f t="shared" si="300"/>
        <v>-1789.4960957294988</v>
      </c>
      <c r="AG1138" s="316">
        <f t="shared" si="301"/>
        <v>0.48219178082191783</v>
      </c>
      <c r="AH1138" s="314">
        <v>1</v>
      </c>
      <c r="AI1138" s="314">
        <f t="shared" si="302"/>
        <v>-1789.4960957294988</v>
      </c>
      <c r="AJ1138" s="314">
        <f t="shared" si="303"/>
        <v>0</v>
      </c>
      <c r="AK1138" s="317"/>
      <c r="AL1138" s="315">
        <f t="shared" si="304"/>
        <v>-78.568749999999994</v>
      </c>
      <c r="AN1138" s="554">
        <f t="shared" si="305"/>
        <v>-0.25896947822934174</v>
      </c>
      <c r="AO1138" s="314"/>
      <c r="AP1138" s="318"/>
    </row>
    <row r="1139" spans="2:42">
      <c r="B1139" s="296" t="s">
        <v>1254</v>
      </c>
      <c r="C1139" s="299" t="s">
        <v>277</v>
      </c>
      <c r="D1139" s="298" t="s">
        <v>720</v>
      </c>
      <c r="E1139" s="299" t="s">
        <v>113</v>
      </c>
      <c r="F1139" s="299" t="s">
        <v>59</v>
      </c>
      <c r="G1139" s="300">
        <v>44662</v>
      </c>
      <c r="H1139" s="303">
        <v>555.80904761904765</v>
      </c>
      <c r="I1139" s="301" t="str">
        <f t="shared" si="289"/>
        <v>Ingresos Sección II LISR (SIC &amp; BMV)</v>
      </c>
      <c r="J1139" s="302">
        <f t="shared" si="290"/>
        <v>11</v>
      </c>
      <c r="K1139" s="304">
        <f t="shared" si="291"/>
        <v>50.52809523809524</v>
      </c>
      <c r="L1139" s="305">
        <f>IF(H1139=0,0,IF(OR(E1139=$AT$5,E1139=$AT$6),AA1139,IF(F1139="MXN",1/HLOOKUP(YEAR(G1139)+(MONTH(G1139)/100),TC!$5:$37,DAY(G1139)+2,FALSE),VLOOKUP(F1139,Equivalencia!$5:$23,((MAX(Equivalencia!$3:$3)-YEAR(G1139))*14)+MONTH(G1139)+2,FALSE))))</f>
        <v>1</v>
      </c>
      <c r="M1139" s="306">
        <f t="shared" si="292"/>
        <v>555.80904761904765</v>
      </c>
      <c r="N1139" s="305">
        <f>IF(G1139=0,0,(IF(OR(E1139=$AT$5,E1139=$AT$6),AC1139,HLOOKUP(YEAR(G1139)+(MONTH(G1139)/100),TC!$5:$37,DAY(G1139)+2,FALSE))))</f>
        <v>20.160499999999999</v>
      </c>
      <c r="O1139" s="307">
        <f t="shared" si="293"/>
        <v>11205.388304523809</v>
      </c>
      <c r="P1139" s="560">
        <f>IF(G1139=0,0,VLOOKUP(YEAR(G1139),INPC!$B$4:$P$30,MONTH(G1139)+2))</f>
        <v>120.809</v>
      </c>
      <c r="Q1139" s="560">
        <f>IF(X1139=0,0,IF(OR(E1139=$AT$10,E1139=$AT$9),VLOOKUP(YEAR(X1139),INPC!$B$4:$P$30,MONTH(X1139)+1),VLOOKUP(YEAR(X1139),INPC!$B$4:$P$30,MONTH(X1139)+2,0)))</f>
        <v>124.571</v>
      </c>
      <c r="R1139" s="309">
        <f t="shared" si="294"/>
        <v>1.0310999999999999</v>
      </c>
      <c r="S1139" s="310">
        <f t="shared" si="295"/>
        <v>11553.875880794498</v>
      </c>
      <c r="T1139" s="555">
        <f t="shared" si="296"/>
        <v>1050.3523527994998</v>
      </c>
      <c r="U1139" s="311"/>
      <c r="V1139" s="312">
        <v>11</v>
      </c>
      <c r="W1139" s="299" t="s">
        <v>194</v>
      </c>
      <c r="X1139" s="300">
        <v>44838</v>
      </c>
      <c r="Y1139" s="299" t="s">
        <v>59</v>
      </c>
      <c r="Z1139" s="303">
        <v>412.17229166666664</v>
      </c>
      <c r="AA1139" s="305">
        <f>IF(Z1139=0,0,IF(Y1139="MXN",1/HLOOKUP(YEAR(X1139)+(MONTH(X1139)/100),TC!$5:$37,DAY(X1139)+2,FALSE),VLOOKUP(Y1139,Equivalencia!$1:$23,((MAX(Equivalencia!$3:$3)-YEAR(X1139))*14)+MONTH(X1139)+2,FALSE)))</f>
        <v>1</v>
      </c>
      <c r="AB1139" s="306">
        <f t="shared" si="297"/>
        <v>412.17229166666664</v>
      </c>
      <c r="AC1139" s="305">
        <f>+IF(X1139=0,0,HLOOKUP(YEAR(X1139)+(MONTH(X1139)/100),TC!$5:$37,DAY(X1139)+2,FALSE))</f>
        <v>20.092500000000001</v>
      </c>
      <c r="AD1139" s="307">
        <f t="shared" si="298"/>
        <v>8281.5717703124992</v>
      </c>
      <c r="AE1139" s="314">
        <f t="shared" si="299"/>
        <v>11553.875880794498</v>
      </c>
      <c r="AF1139" s="315">
        <f t="shared" si="300"/>
        <v>-3272.3041104819986</v>
      </c>
      <c r="AG1139" s="316">
        <f t="shared" si="301"/>
        <v>0.48219178082191783</v>
      </c>
      <c r="AH1139" s="314">
        <v>1</v>
      </c>
      <c r="AI1139" s="314">
        <f t="shared" si="302"/>
        <v>-3272.3041104819986</v>
      </c>
      <c r="AJ1139" s="314">
        <f t="shared" si="303"/>
        <v>0</v>
      </c>
      <c r="AK1139" s="317"/>
      <c r="AL1139" s="315">
        <f t="shared" si="304"/>
        <v>-143.63675595238101</v>
      </c>
      <c r="AN1139" s="554">
        <f t="shared" si="305"/>
        <v>-0.25842824359856381</v>
      </c>
      <c r="AO1139" s="314"/>
      <c r="AP1139" s="318"/>
    </row>
    <row r="1140" spans="2:42">
      <c r="B1140" s="296" t="s">
        <v>1254</v>
      </c>
      <c r="C1140" s="299" t="s">
        <v>277</v>
      </c>
      <c r="D1140" s="298" t="s">
        <v>720</v>
      </c>
      <c r="E1140" s="299" t="s">
        <v>113</v>
      </c>
      <c r="F1140" s="299" t="s">
        <v>59</v>
      </c>
      <c r="G1140" s="300">
        <v>44662</v>
      </c>
      <c r="H1140" s="303">
        <v>960.03380952380951</v>
      </c>
      <c r="I1140" s="301" t="str">
        <f t="shared" si="289"/>
        <v>Ingresos Sección II LISR (SIC &amp; BMV)</v>
      </c>
      <c r="J1140" s="302">
        <f t="shared" si="290"/>
        <v>19</v>
      </c>
      <c r="K1140" s="304">
        <f t="shared" si="291"/>
        <v>50.52809523809524</v>
      </c>
      <c r="L1140" s="305">
        <f>IF(H1140=0,0,IF(OR(E1140=$AT$5,E1140=$AT$6),AA1140,IF(F1140="MXN",1/HLOOKUP(YEAR(G1140)+(MONTH(G1140)/100),TC!$5:$37,DAY(G1140)+2,FALSE),VLOOKUP(F1140,Equivalencia!$5:$23,((MAX(Equivalencia!$3:$3)-YEAR(G1140))*14)+MONTH(G1140)+2,FALSE))))</f>
        <v>1</v>
      </c>
      <c r="M1140" s="306">
        <f t="shared" si="292"/>
        <v>960.03380952380951</v>
      </c>
      <c r="N1140" s="305">
        <f>IF(G1140=0,0,(IF(OR(E1140=$AT$5,E1140=$AT$6),AC1140,HLOOKUP(YEAR(G1140)+(MONTH(G1140)/100),TC!$5:$37,DAY(G1140)+2,FALSE))))</f>
        <v>20.160499999999999</v>
      </c>
      <c r="O1140" s="307">
        <f t="shared" si="293"/>
        <v>19354.761616904761</v>
      </c>
      <c r="P1140" s="560">
        <f>IF(G1140=0,0,VLOOKUP(YEAR(G1140),INPC!$B$4:$P$30,MONTH(G1140)+2))</f>
        <v>120.809</v>
      </c>
      <c r="Q1140" s="560">
        <f>IF(X1140=0,0,IF(OR(E1140=$AT$10,E1140=$AT$9),VLOOKUP(YEAR(X1140),INPC!$B$4:$P$30,MONTH(X1140)+1),VLOOKUP(YEAR(X1140),INPC!$B$4:$P$30,MONTH(X1140)+2,0)))</f>
        <v>124.571</v>
      </c>
      <c r="R1140" s="309">
        <f t="shared" si="294"/>
        <v>1.0310999999999999</v>
      </c>
      <c r="S1140" s="310">
        <f t="shared" si="295"/>
        <v>19956.694703190497</v>
      </c>
      <c r="T1140" s="555">
        <f t="shared" si="296"/>
        <v>1050.3523527994998</v>
      </c>
      <c r="U1140" s="311"/>
      <c r="V1140" s="312">
        <v>19</v>
      </c>
      <c r="W1140" s="299" t="s">
        <v>194</v>
      </c>
      <c r="X1140" s="300">
        <v>44838</v>
      </c>
      <c r="Y1140" s="299" t="s">
        <v>59</v>
      </c>
      <c r="Z1140" s="303">
        <v>713.42999999999984</v>
      </c>
      <c r="AA1140" s="305">
        <f>IF(Z1140=0,0,IF(Y1140="MXN",1/HLOOKUP(YEAR(X1140)+(MONTH(X1140)/100),TC!$5:$37,DAY(X1140)+2,FALSE),VLOOKUP(Y1140,Equivalencia!$1:$23,((MAX(Equivalencia!$3:$3)-YEAR(X1140))*14)+MONTH(X1140)+2,FALSE)))</f>
        <v>1</v>
      </c>
      <c r="AB1140" s="306">
        <f t="shared" si="297"/>
        <v>713.42999999999984</v>
      </c>
      <c r="AC1140" s="305">
        <f>+IF(X1140=0,0,HLOOKUP(YEAR(X1140)+(MONTH(X1140)/100),TC!$5:$37,DAY(X1140)+2,FALSE))</f>
        <v>20.092500000000001</v>
      </c>
      <c r="AD1140" s="307">
        <f t="shared" si="298"/>
        <v>14334.592274999997</v>
      </c>
      <c r="AE1140" s="314">
        <f t="shared" si="299"/>
        <v>19956.694703190497</v>
      </c>
      <c r="AF1140" s="315">
        <f t="shared" si="300"/>
        <v>-5622.1024281904993</v>
      </c>
      <c r="AG1140" s="316">
        <f t="shared" si="301"/>
        <v>0.48219178082191783</v>
      </c>
      <c r="AH1140" s="314">
        <v>1</v>
      </c>
      <c r="AI1140" s="314">
        <f t="shared" si="302"/>
        <v>-5622.1024281904993</v>
      </c>
      <c r="AJ1140" s="314">
        <f t="shared" si="303"/>
        <v>0</v>
      </c>
      <c r="AK1140" s="317"/>
      <c r="AL1140" s="315">
        <f t="shared" si="304"/>
        <v>-246.60380952380967</v>
      </c>
      <c r="AN1140" s="554">
        <f t="shared" si="305"/>
        <v>-0.25686992174382761</v>
      </c>
      <c r="AO1140" s="314"/>
      <c r="AP1140" s="318"/>
    </row>
    <row r="1141" spans="2:42">
      <c r="B1141" s="296" t="s">
        <v>1254</v>
      </c>
      <c r="C1141" s="299" t="s">
        <v>277</v>
      </c>
      <c r="D1141" s="298" t="s">
        <v>720</v>
      </c>
      <c r="E1141" s="299" t="s">
        <v>113</v>
      </c>
      <c r="F1141" s="299" t="s">
        <v>59</v>
      </c>
      <c r="G1141" s="300">
        <v>44662</v>
      </c>
      <c r="H1141" s="303">
        <v>858.9776190476191</v>
      </c>
      <c r="I1141" s="301" t="str">
        <f t="shared" si="289"/>
        <v>Ingresos Sección II LISR (SIC &amp; BMV)</v>
      </c>
      <c r="J1141" s="302">
        <f t="shared" si="290"/>
        <v>17</v>
      </c>
      <c r="K1141" s="304">
        <f t="shared" si="291"/>
        <v>50.52809523809524</v>
      </c>
      <c r="L1141" s="305">
        <f>IF(H1141=0,0,IF(OR(E1141=$AT$5,E1141=$AT$6),AA1141,IF(F1141="MXN",1/HLOOKUP(YEAR(G1141)+(MONTH(G1141)/100),TC!$5:$37,DAY(G1141)+2,FALSE),VLOOKUP(F1141,Equivalencia!$5:$23,((MAX(Equivalencia!$3:$3)-YEAR(G1141))*14)+MONTH(G1141)+2,FALSE))))</f>
        <v>1</v>
      </c>
      <c r="M1141" s="306">
        <f t="shared" si="292"/>
        <v>858.9776190476191</v>
      </c>
      <c r="N1141" s="305">
        <f>IF(G1141=0,0,(IF(OR(E1141=$AT$5,E1141=$AT$6),AC1141,HLOOKUP(YEAR(G1141)+(MONTH(G1141)/100),TC!$5:$37,DAY(G1141)+2,FALSE))))</f>
        <v>20.160499999999999</v>
      </c>
      <c r="O1141" s="307">
        <f t="shared" si="293"/>
        <v>17317.418288809524</v>
      </c>
      <c r="P1141" s="560">
        <f>IF(G1141=0,0,VLOOKUP(YEAR(G1141),INPC!$B$4:$P$30,MONTH(G1141)+2))</f>
        <v>120.809</v>
      </c>
      <c r="Q1141" s="560">
        <f>IF(X1141=0,0,IF(OR(E1141=$AT$10,E1141=$AT$9),VLOOKUP(YEAR(X1141),INPC!$B$4:$P$30,MONTH(X1141)+1),VLOOKUP(YEAR(X1141),INPC!$B$4:$P$30,MONTH(X1141)+2,0)))</f>
        <v>124.571</v>
      </c>
      <c r="R1141" s="309">
        <f t="shared" si="294"/>
        <v>1.0310999999999999</v>
      </c>
      <c r="S1141" s="310">
        <f t="shared" si="295"/>
        <v>17855.9899975915</v>
      </c>
      <c r="T1141" s="555">
        <f t="shared" si="296"/>
        <v>1050.3523527995001</v>
      </c>
      <c r="U1141" s="311"/>
      <c r="V1141" s="312">
        <v>17</v>
      </c>
      <c r="W1141" s="299" t="s">
        <v>194</v>
      </c>
      <c r="X1141" s="300">
        <v>44838</v>
      </c>
      <c r="Y1141" s="299" t="s">
        <v>59</v>
      </c>
      <c r="Z1141" s="303">
        <v>626.5</v>
      </c>
      <c r="AA1141" s="305">
        <f>IF(Z1141=0,0,IF(Y1141="MXN",1/HLOOKUP(YEAR(X1141)+(MONTH(X1141)/100),TC!$5:$37,DAY(X1141)+2,FALSE),VLOOKUP(Y1141,Equivalencia!$1:$23,((MAX(Equivalencia!$3:$3)-YEAR(X1141))*14)+MONTH(X1141)+2,FALSE)))</f>
        <v>1</v>
      </c>
      <c r="AB1141" s="306">
        <f t="shared" si="297"/>
        <v>626.5</v>
      </c>
      <c r="AC1141" s="305">
        <f>+IF(X1141=0,0,HLOOKUP(YEAR(X1141)+(MONTH(X1141)/100),TC!$5:$37,DAY(X1141)+2,FALSE))</f>
        <v>20.092500000000001</v>
      </c>
      <c r="AD1141" s="307">
        <f t="shared" si="298"/>
        <v>12587.95125</v>
      </c>
      <c r="AE1141" s="314">
        <f t="shared" si="299"/>
        <v>17855.9899975915</v>
      </c>
      <c r="AF1141" s="315">
        <f t="shared" si="300"/>
        <v>-5268.0387475914995</v>
      </c>
      <c r="AG1141" s="316">
        <f t="shared" si="301"/>
        <v>0.48219178082191783</v>
      </c>
      <c r="AH1141" s="314">
        <v>1</v>
      </c>
      <c r="AI1141" s="314">
        <f t="shared" si="302"/>
        <v>-5268.0387475914995</v>
      </c>
      <c r="AJ1141" s="314">
        <f t="shared" si="303"/>
        <v>0</v>
      </c>
      <c r="AK1141" s="317"/>
      <c r="AL1141" s="315">
        <f t="shared" si="304"/>
        <v>-232.4776190476191</v>
      </c>
      <c r="AN1141" s="554">
        <f t="shared" si="305"/>
        <v>-0.2706445591741678</v>
      </c>
      <c r="AO1141" s="314"/>
      <c r="AP1141" s="318"/>
    </row>
    <row r="1142" spans="2:42">
      <c r="B1142" s="296" t="s">
        <v>1254</v>
      </c>
      <c r="C1142" s="299" t="s">
        <v>277</v>
      </c>
      <c r="D1142" s="298" t="s">
        <v>720</v>
      </c>
      <c r="E1142" s="299" t="s">
        <v>113</v>
      </c>
      <c r="F1142" s="299" t="s">
        <v>59</v>
      </c>
      <c r="G1142" s="300">
        <v>44662</v>
      </c>
      <c r="H1142" s="303">
        <v>808.44952380952384</v>
      </c>
      <c r="I1142" s="301" t="str">
        <f t="shared" si="289"/>
        <v>Ingresos Sección II LISR (SIC &amp; BMV)</v>
      </c>
      <c r="J1142" s="302">
        <f t="shared" si="290"/>
        <v>16</v>
      </c>
      <c r="K1142" s="304">
        <f t="shared" si="291"/>
        <v>50.52809523809524</v>
      </c>
      <c r="L1142" s="305">
        <f>IF(H1142=0,0,IF(OR(E1142=$AT$5,E1142=$AT$6),AA1142,IF(F1142="MXN",1/HLOOKUP(YEAR(G1142)+(MONTH(G1142)/100),TC!$5:$37,DAY(G1142)+2,FALSE),VLOOKUP(F1142,Equivalencia!$5:$23,((MAX(Equivalencia!$3:$3)-YEAR(G1142))*14)+MONTH(G1142)+2,FALSE))))</f>
        <v>1</v>
      </c>
      <c r="M1142" s="306">
        <f t="shared" si="292"/>
        <v>808.44952380952384</v>
      </c>
      <c r="N1142" s="305">
        <f>IF(G1142=0,0,(IF(OR(E1142=$AT$5,E1142=$AT$6),AC1142,HLOOKUP(YEAR(G1142)+(MONTH(G1142)/100),TC!$5:$37,DAY(G1142)+2,FALSE))))</f>
        <v>20.160499999999999</v>
      </c>
      <c r="O1142" s="307">
        <f t="shared" si="293"/>
        <v>16298.746624761905</v>
      </c>
      <c r="P1142" s="560">
        <f>IF(G1142=0,0,VLOOKUP(YEAR(G1142),INPC!$B$4:$P$30,MONTH(G1142)+2))</f>
        <v>120.809</v>
      </c>
      <c r="Q1142" s="560">
        <f>IF(X1142=0,0,IF(OR(E1142=$AT$10,E1142=$AT$9),VLOOKUP(YEAR(X1142),INPC!$B$4:$P$30,MONTH(X1142)+1),VLOOKUP(YEAR(X1142),INPC!$B$4:$P$30,MONTH(X1142)+2,0)))</f>
        <v>124.571</v>
      </c>
      <c r="R1142" s="309">
        <f t="shared" si="294"/>
        <v>1.0310999999999999</v>
      </c>
      <c r="S1142" s="310">
        <f t="shared" si="295"/>
        <v>16805.637644791997</v>
      </c>
      <c r="T1142" s="555">
        <f t="shared" si="296"/>
        <v>1050.3523527994998</v>
      </c>
      <c r="U1142" s="311"/>
      <c r="V1142" s="312">
        <v>16</v>
      </c>
      <c r="W1142" s="299" t="s">
        <v>194</v>
      </c>
      <c r="X1142" s="300">
        <v>44838</v>
      </c>
      <c r="Y1142" s="299" t="s">
        <v>59</v>
      </c>
      <c r="Z1142" s="303">
        <v>600.01882352941175</v>
      </c>
      <c r="AA1142" s="305">
        <f>IF(Z1142=0,0,IF(Y1142="MXN",1/HLOOKUP(YEAR(X1142)+(MONTH(X1142)/100),TC!$5:$37,DAY(X1142)+2,FALSE),VLOOKUP(Y1142,Equivalencia!$1:$23,((MAX(Equivalencia!$3:$3)-YEAR(X1142))*14)+MONTH(X1142)+2,FALSE)))</f>
        <v>1</v>
      </c>
      <c r="AB1142" s="306">
        <f t="shared" si="297"/>
        <v>600.01882352941175</v>
      </c>
      <c r="AC1142" s="305">
        <f>+IF(X1142=0,0,HLOOKUP(YEAR(X1142)+(MONTH(X1142)/100),TC!$5:$37,DAY(X1142)+2,FALSE))</f>
        <v>20.092500000000001</v>
      </c>
      <c r="AD1142" s="307">
        <f t="shared" si="298"/>
        <v>12055.878211764706</v>
      </c>
      <c r="AE1142" s="314">
        <f t="shared" si="299"/>
        <v>16805.637644791997</v>
      </c>
      <c r="AF1142" s="315">
        <f t="shared" si="300"/>
        <v>-4749.7594330272914</v>
      </c>
      <c r="AG1142" s="316">
        <f t="shared" si="301"/>
        <v>0.48219178082191783</v>
      </c>
      <c r="AH1142" s="314">
        <v>1</v>
      </c>
      <c r="AI1142" s="314">
        <f t="shared" si="302"/>
        <v>-4749.7594330272914</v>
      </c>
      <c r="AJ1142" s="314">
        <f t="shared" si="303"/>
        <v>0</v>
      </c>
      <c r="AK1142" s="317"/>
      <c r="AL1142" s="315">
        <f t="shared" si="304"/>
        <v>-208.43070028011209</v>
      </c>
      <c r="AN1142" s="554">
        <f t="shared" si="305"/>
        <v>-0.257815354133624</v>
      </c>
      <c r="AO1142" s="314"/>
      <c r="AP1142" s="318"/>
    </row>
    <row r="1143" spans="2:42">
      <c r="B1143" s="296" t="s">
        <v>1254</v>
      </c>
      <c r="C1143" s="299" t="s">
        <v>277</v>
      </c>
      <c r="D1143" s="298" t="s">
        <v>720</v>
      </c>
      <c r="E1143" s="299" t="s">
        <v>113</v>
      </c>
      <c r="F1143" s="299" t="s">
        <v>59</v>
      </c>
      <c r="G1143" s="300">
        <v>44662</v>
      </c>
      <c r="H1143" s="303">
        <v>50.57714285714286</v>
      </c>
      <c r="I1143" s="301" t="str">
        <f t="shared" si="289"/>
        <v>Ingresos Sección II LISR (SIC &amp; BMV)</v>
      </c>
      <c r="J1143" s="302">
        <f t="shared" si="290"/>
        <v>1</v>
      </c>
      <c r="K1143" s="304">
        <f t="shared" si="291"/>
        <v>50.57714285714286</v>
      </c>
      <c r="L1143" s="305">
        <f>IF(H1143=0,0,IF(OR(E1143=$AT$5,E1143=$AT$6),AA1143,IF(F1143="MXN",1/HLOOKUP(YEAR(G1143)+(MONTH(G1143)/100),TC!$5:$37,DAY(G1143)+2,FALSE),VLOOKUP(F1143,Equivalencia!$5:$23,((MAX(Equivalencia!$3:$3)-YEAR(G1143))*14)+MONTH(G1143)+2,FALSE))))</f>
        <v>1</v>
      </c>
      <c r="M1143" s="306">
        <f t="shared" si="292"/>
        <v>50.57714285714286</v>
      </c>
      <c r="N1143" s="305">
        <f>IF(G1143=0,0,(IF(OR(E1143=$AT$5,E1143=$AT$6),AC1143,HLOOKUP(YEAR(G1143)+(MONTH(G1143)/100),TC!$5:$37,DAY(G1143)+2,FALSE))))</f>
        <v>20.160499999999999</v>
      </c>
      <c r="O1143" s="307">
        <f t="shared" si="293"/>
        <v>1019.6604885714286</v>
      </c>
      <c r="P1143" s="560">
        <f>IF(G1143=0,0,VLOOKUP(YEAR(G1143),INPC!$B$4:$P$30,MONTH(G1143)+2))</f>
        <v>120.809</v>
      </c>
      <c r="Q1143" s="560">
        <f>IF(X1143=0,0,IF(OR(E1143=$AT$10,E1143=$AT$9),VLOOKUP(YEAR(X1143),INPC!$B$4:$P$30,MONTH(X1143)+1),VLOOKUP(YEAR(X1143),INPC!$B$4:$P$30,MONTH(X1143)+2,0)))</f>
        <v>124.571</v>
      </c>
      <c r="R1143" s="309">
        <f t="shared" si="294"/>
        <v>1.0310999999999999</v>
      </c>
      <c r="S1143" s="310">
        <f t="shared" si="295"/>
        <v>1051.371929766</v>
      </c>
      <c r="T1143" s="555">
        <f t="shared" si="296"/>
        <v>1051.371929766</v>
      </c>
      <c r="U1143" s="311"/>
      <c r="V1143" s="312">
        <v>1</v>
      </c>
      <c r="W1143" s="299" t="s">
        <v>194</v>
      </c>
      <c r="X1143" s="300">
        <v>44838</v>
      </c>
      <c r="Y1143" s="299" t="s">
        <v>59</v>
      </c>
      <c r="Z1143" s="303">
        <v>37.501176470588234</v>
      </c>
      <c r="AA1143" s="305">
        <f>IF(Z1143=0,0,IF(Y1143="MXN",1/HLOOKUP(YEAR(X1143)+(MONTH(X1143)/100),TC!$5:$37,DAY(X1143)+2,FALSE),VLOOKUP(Y1143,Equivalencia!$1:$23,((MAX(Equivalencia!$3:$3)-YEAR(X1143))*14)+MONTH(X1143)+2,FALSE)))</f>
        <v>1</v>
      </c>
      <c r="AB1143" s="306">
        <f t="shared" si="297"/>
        <v>37.501176470588234</v>
      </c>
      <c r="AC1143" s="305">
        <f>+IF(X1143=0,0,HLOOKUP(YEAR(X1143)+(MONTH(X1143)/100),TC!$5:$37,DAY(X1143)+2,FALSE))</f>
        <v>20.092500000000001</v>
      </c>
      <c r="AD1143" s="307">
        <f t="shared" si="298"/>
        <v>753.49238823529413</v>
      </c>
      <c r="AE1143" s="314">
        <f t="shared" si="299"/>
        <v>1051.371929766</v>
      </c>
      <c r="AF1143" s="315">
        <f t="shared" si="300"/>
        <v>-297.87954153070586</v>
      </c>
      <c r="AG1143" s="316">
        <f t="shared" si="301"/>
        <v>0.48219178082191783</v>
      </c>
      <c r="AH1143" s="314">
        <v>1</v>
      </c>
      <c r="AI1143" s="314">
        <f t="shared" si="302"/>
        <v>-297.87954153070586</v>
      </c>
      <c r="AJ1143" s="314">
        <f t="shared" si="303"/>
        <v>0</v>
      </c>
      <c r="AK1143" s="317"/>
      <c r="AL1143" s="315">
        <f t="shared" si="304"/>
        <v>-13.075966386554626</v>
      </c>
      <c r="AN1143" s="554">
        <f t="shared" si="305"/>
        <v>-0.25853509407378367</v>
      </c>
      <c r="AO1143" s="314"/>
      <c r="AP1143" s="318"/>
    </row>
    <row r="1144" spans="2:42">
      <c r="B1144" s="296" t="s">
        <v>1254</v>
      </c>
      <c r="C1144" s="299" t="s">
        <v>277</v>
      </c>
      <c r="D1144" s="298" t="s">
        <v>720</v>
      </c>
      <c r="E1144" s="299" t="s">
        <v>113</v>
      </c>
      <c r="F1144" s="299" t="s">
        <v>59</v>
      </c>
      <c r="G1144" s="300">
        <v>44662</v>
      </c>
      <c r="H1144" s="303">
        <v>303.46285714285716</v>
      </c>
      <c r="I1144" s="301" t="str">
        <f t="shared" si="289"/>
        <v>Ingresos Sección II LISR (SIC &amp; BMV)</v>
      </c>
      <c r="J1144" s="302">
        <f t="shared" si="290"/>
        <v>6</v>
      </c>
      <c r="K1144" s="304">
        <f t="shared" si="291"/>
        <v>50.57714285714286</v>
      </c>
      <c r="L1144" s="305">
        <f>IF(H1144=0,0,IF(OR(E1144=$AT$5,E1144=$AT$6),AA1144,IF(F1144="MXN",1/HLOOKUP(YEAR(G1144)+(MONTH(G1144)/100),TC!$5:$37,DAY(G1144)+2,FALSE),VLOOKUP(F1144,Equivalencia!$5:$23,((MAX(Equivalencia!$3:$3)-YEAR(G1144))*14)+MONTH(G1144)+2,FALSE))))</f>
        <v>1</v>
      </c>
      <c r="M1144" s="306">
        <f t="shared" si="292"/>
        <v>303.46285714285716</v>
      </c>
      <c r="N1144" s="305">
        <f>IF(G1144=0,0,(IF(OR(E1144=$AT$5,E1144=$AT$6),AC1144,HLOOKUP(YEAR(G1144)+(MONTH(G1144)/100),TC!$5:$37,DAY(G1144)+2,FALSE))))</f>
        <v>20.160499999999999</v>
      </c>
      <c r="O1144" s="307">
        <f t="shared" si="293"/>
        <v>6117.9629314285712</v>
      </c>
      <c r="P1144" s="560">
        <f>IF(G1144=0,0,VLOOKUP(YEAR(G1144),INPC!$B$4:$P$30,MONTH(G1144)+2))</f>
        <v>120.809</v>
      </c>
      <c r="Q1144" s="560">
        <f>IF(X1144=0,0,IF(OR(E1144=$AT$10,E1144=$AT$9),VLOOKUP(YEAR(X1144),INPC!$B$4:$P$30,MONTH(X1144)+1),VLOOKUP(YEAR(X1144),INPC!$B$4:$P$30,MONTH(X1144)+2,0)))</f>
        <v>124.571</v>
      </c>
      <c r="R1144" s="309">
        <f t="shared" si="294"/>
        <v>1.0310999999999999</v>
      </c>
      <c r="S1144" s="310">
        <f t="shared" si="295"/>
        <v>6308.2315785959991</v>
      </c>
      <c r="T1144" s="555">
        <f t="shared" si="296"/>
        <v>1051.3719297659998</v>
      </c>
      <c r="U1144" s="311"/>
      <c r="V1144" s="312">
        <v>6</v>
      </c>
      <c r="W1144" s="299" t="s">
        <v>194</v>
      </c>
      <c r="X1144" s="300">
        <v>44838</v>
      </c>
      <c r="Y1144" s="299" t="s">
        <v>59</v>
      </c>
      <c r="Z1144" s="303">
        <v>225.60750000000002</v>
      </c>
      <c r="AA1144" s="305">
        <f>IF(Z1144=0,0,IF(Y1144="MXN",1/HLOOKUP(YEAR(X1144)+(MONTH(X1144)/100),TC!$5:$37,DAY(X1144)+2,FALSE),VLOOKUP(Y1144,Equivalencia!$1:$23,((MAX(Equivalencia!$3:$3)-YEAR(X1144))*14)+MONTH(X1144)+2,FALSE)))</f>
        <v>1</v>
      </c>
      <c r="AB1144" s="306">
        <f t="shared" si="297"/>
        <v>225.60750000000002</v>
      </c>
      <c r="AC1144" s="305">
        <f>+IF(X1144=0,0,HLOOKUP(YEAR(X1144)+(MONTH(X1144)/100),TC!$5:$37,DAY(X1144)+2,FALSE))</f>
        <v>20.092500000000001</v>
      </c>
      <c r="AD1144" s="307">
        <f t="shared" si="298"/>
        <v>4533.0186937500002</v>
      </c>
      <c r="AE1144" s="314">
        <f t="shared" si="299"/>
        <v>6308.2315785959981</v>
      </c>
      <c r="AF1144" s="315">
        <f t="shared" si="300"/>
        <v>-1775.2128848459979</v>
      </c>
      <c r="AG1144" s="316">
        <f t="shared" si="301"/>
        <v>0.48219178082191783</v>
      </c>
      <c r="AH1144" s="314">
        <v>1</v>
      </c>
      <c r="AI1144" s="314">
        <f t="shared" si="302"/>
        <v>-1775.2128848459979</v>
      </c>
      <c r="AJ1144" s="314">
        <f t="shared" si="303"/>
        <v>0</v>
      </c>
      <c r="AK1144" s="317"/>
      <c r="AL1144" s="315">
        <f t="shared" si="304"/>
        <v>-77.855357142857144</v>
      </c>
      <c r="AN1144" s="554">
        <f t="shared" si="305"/>
        <v>-0.25655646254660491</v>
      </c>
      <c r="AO1144" s="314"/>
      <c r="AP1144" s="318"/>
    </row>
    <row r="1145" spans="2:42">
      <c r="B1145" s="296" t="s">
        <v>1254</v>
      </c>
      <c r="C1145" s="299" t="s">
        <v>277</v>
      </c>
      <c r="D1145" s="298" t="s">
        <v>720</v>
      </c>
      <c r="E1145" s="299" t="s">
        <v>113</v>
      </c>
      <c r="F1145" s="299" t="s">
        <v>59</v>
      </c>
      <c r="G1145" s="300">
        <v>44662</v>
      </c>
      <c r="H1145" s="303">
        <v>100.79111111111111</v>
      </c>
      <c r="I1145" s="301" t="str">
        <f t="shared" si="289"/>
        <v>Ingresos Sección II LISR (SIC &amp; BMV)</v>
      </c>
      <c r="J1145" s="302">
        <f t="shared" si="290"/>
        <v>2</v>
      </c>
      <c r="K1145" s="304">
        <f t="shared" si="291"/>
        <v>50.395555555555553</v>
      </c>
      <c r="L1145" s="305">
        <f>IF(H1145=0,0,IF(OR(E1145=$AT$5,E1145=$AT$6),AA1145,IF(F1145="MXN",1/HLOOKUP(YEAR(G1145)+(MONTH(G1145)/100),TC!$5:$37,DAY(G1145)+2,FALSE),VLOOKUP(F1145,Equivalencia!$5:$23,((MAX(Equivalencia!$3:$3)-YEAR(G1145))*14)+MONTH(G1145)+2,FALSE))))</f>
        <v>1</v>
      </c>
      <c r="M1145" s="306">
        <f t="shared" si="292"/>
        <v>100.79111111111111</v>
      </c>
      <c r="N1145" s="305">
        <f>IF(G1145=0,0,(IF(OR(E1145=$AT$5,E1145=$AT$6),AC1145,HLOOKUP(YEAR(G1145)+(MONTH(G1145)/100),TC!$5:$37,DAY(G1145)+2,FALSE))))</f>
        <v>20.160499999999999</v>
      </c>
      <c r="O1145" s="307">
        <f t="shared" si="293"/>
        <v>2031.9991955555554</v>
      </c>
      <c r="P1145" s="560">
        <f>IF(G1145=0,0,VLOOKUP(YEAR(G1145),INPC!$B$4:$P$30,MONTH(G1145)+2))</f>
        <v>120.809</v>
      </c>
      <c r="Q1145" s="560">
        <f>IF(X1145=0,0,IF(OR(E1145=$AT$10,E1145=$AT$9),VLOOKUP(YEAR(X1145),INPC!$B$4:$P$30,MONTH(X1145)+1),VLOOKUP(YEAR(X1145),INPC!$B$4:$P$30,MONTH(X1145)+2,0)))</f>
        <v>124.571</v>
      </c>
      <c r="R1145" s="309">
        <f t="shared" si="294"/>
        <v>1.0310999999999999</v>
      </c>
      <c r="S1145" s="310">
        <f t="shared" si="295"/>
        <v>2095.1943705373328</v>
      </c>
      <c r="T1145" s="555">
        <f t="shared" si="296"/>
        <v>1047.5971852686664</v>
      </c>
      <c r="U1145" s="311"/>
      <c r="V1145" s="312">
        <v>2</v>
      </c>
      <c r="W1145" s="299" t="s">
        <v>194</v>
      </c>
      <c r="X1145" s="300">
        <v>44838</v>
      </c>
      <c r="Y1145" s="299" t="s">
        <v>59</v>
      </c>
      <c r="Z1145" s="303">
        <v>75.202500000000001</v>
      </c>
      <c r="AA1145" s="305">
        <f>IF(Z1145=0,0,IF(Y1145="MXN",1/HLOOKUP(YEAR(X1145)+(MONTH(X1145)/100),TC!$5:$37,DAY(X1145)+2,FALSE),VLOOKUP(Y1145,Equivalencia!$1:$23,((MAX(Equivalencia!$3:$3)-YEAR(X1145))*14)+MONTH(X1145)+2,FALSE)))</f>
        <v>1</v>
      </c>
      <c r="AB1145" s="306">
        <f t="shared" si="297"/>
        <v>75.202500000000001</v>
      </c>
      <c r="AC1145" s="305">
        <f>+IF(X1145=0,0,HLOOKUP(YEAR(X1145)+(MONTH(X1145)/100),TC!$5:$37,DAY(X1145)+2,FALSE))</f>
        <v>20.092500000000001</v>
      </c>
      <c r="AD1145" s="307">
        <f t="shared" si="298"/>
        <v>1511.0062312500002</v>
      </c>
      <c r="AE1145" s="314">
        <f t="shared" si="299"/>
        <v>2095.1943705373328</v>
      </c>
      <c r="AF1145" s="315">
        <f t="shared" si="300"/>
        <v>-584.18813928733266</v>
      </c>
      <c r="AG1145" s="316">
        <f t="shared" si="301"/>
        <v>0.48219178082191783</v>
      </c>
      <c r="AH1145" s="314">
        <v>1</v>
      </c>
      <c r="AI1145" s="314">
        <f t="shared" si="302"/>
        <v>-584.18813928733266</v>
      </c>
      <c r="AJ1145" s="314">
        <f t="shared" si="303"/>
        <v>0</v>
      </c>
      <c r="AK1145" s="317"/>
      <c r="AL1145" s="315">
        <f t="shared" si="304"/>
        <v>-25.588611111111106</v>
      </c>
      <c r="AN1145" s="554">
        <f t="shared" si="305"/>
        <v>-0.25387765675985535</v>
      </c>
      <c r="AO1145" s="314"/>
      <c r="AP1145" s="318"/>
    </row>
    <row r="1146" spans="2:42">
      <c r="B1146" s="296" t="s">
        <v>1254</v>
      </c>
      <c r="C1146" s="299" t="s">
        <v>277</v>
      </c>
      <c r="D1146" s="298" t="s">
        <v>720</v>
      </c>
      <c r="E1146" s="299" t="s">
        <v>113</v>
      </c>
      <c r="F1146" s="299" t="s">
        <v>59</v>
      </c>
      <c r="G1146" s="300">
        <v>44662</v>
      </c>
      <c r="H1146" s="303">
        <v>352.76888888888885</v>
      </c>
      <c r="I1146" s="301" t="str">
        <f t="shared" si="289"/>
        <v>Ingresos Sección II LISR (SIC &amp; BMV)</v>
      </c>
      <c r="J1146" s="302">
        <f t="shared" si="290"/>
        <v>7</v>
      </c>
      <c r="K1146" s="304">
        <f t="shared" si="291"/>
        <v>50.395555555555553</v>
      </c>
      <c r="L1146" s="305">
        <f>IF(H1146=0,0,IF(OR(E1146=$AT$5,E1146=$AT$6),AA1146,IF(F1146="MXN",1/HLOOKUP(YEAR(G1146)+(MONTH(G1146)/100),TC!$5:$37,DAY(G1146)+2,FALSE),VLOOKUP(F1146,Equivalencia!$5:$23,((MAX(Equivalencia!$3:$3)-YEAR(G1146))*14)+MONTH(G1146)+2,FALSE))))</f>
        <v>1</v>
      </c>
      <c r="M1146" s="306">
        <f t="shared" si="292"/>
        <v>352.76888888888885</v>
      </c>
      <c r="N1146" s="305">
        <f>IF(G1146=0,0,(IF(OR(E1146=$AT$5,E1146=$AT$6),AC1146,HLOOKUP(YEAR(G1146)+(MONTH(G1146)/100),TC!$5:$37,DAY(G1146)+2,FALSE))))</f>
        <v>20.160499999999999</v>
      </c>
      <c r="O1146" s="307">
        <f t="shared" si="293"/>
        <v>7111.9971844444435</v>
      </c>
      <c r="P1146" s="560">
        <f>IF(G1146=0,0,VLOOKUP(YEAR(G1146),INPC!$B$4:$P$30,MONTH(G1146)+2))</f>
        <v>120.809</v>
      </c>
      <c r="Q1146" s="560">
        <f>IF(X1146=0,0,IF(OR(E1146=$AT$10,E1146=$AT$9),VLOOKUP(YEAR(X1146),INPC!$B$4:$P$30,MONTH(X1146)+1),VLOOKUP(YEAR(X1146),INPC!$B$4:$P$30,MONTH(X1146)+2,0)))</f>
        <v>124.571</v>
      </c>
      <c r="R1146" s="309">
        <f t="shared" si="294"/>
        <v>1.0310999999999999</v>
      </c>
      <c r="S1146" s="310">
        <f t="shared" si="295"/>
        <v>7333.1802968806651</v>
      </c>
      <c r="T1146" s="555">
        <f t="shared" si="296"/>
        <v>1047.5971852686664</v>
      </c>
      <c r="U1146" s="311"/>
      <c r="V1146" s="312">
        <v>7</v>
      </c>
      <c r="W1146" s="299" t="s">
        <v>194</v>
      </c>
      <c r="X1146" s="300">
        <v>44838</v>
      </c>
      <c r="Y1146" s="299" t="s">
        <v>59</v>
      </c>
      <c r="Z1146" s="303">
        <v>258.64</v>
      </c>
      <c r="AA1146" s="305">
        <f>IF(Z1146=0,0,IF(Y1146="MXN",1/HLOOKUP(YEAR(X1146)+(MONTH(X1146)/100),TC!$5:$37,DAY(X1146)+2,FALSE),VLOOKUP(Y1146,Equivalencia!$1:$23,((MAX(Equivalencia!$3:$3)-YEAR(X1146))*14)+MONTH(X1146)+2,FALSE)))</f>
        <v>1</v>
      </c>
      <c r="AB1146" s="306">
        <f t="shared" si="297"/>
        <v>258.64</v>
      </c>
      <c r="AC1146" s="305">
        <f>+IF(X1146=0,0,HLOOKUP(YEAR(X1146)+(MONTH(X1146)/100),TC!$5:$37,DAY(X1146)+2,FALSE))</f>
        <v>20.092500000000001</v>
      </c>
      <c r="AD1146" s="307">
        <f t="shared" si="298"/>
        <v>5196.7241999999997</v>
      </c>
      <c r="AE1146" s="314">
        <f t="shared" si="299"/>
        <v>7333.1802968806651</v>
      </c>
      <c r="AF1146" s="315">
        <f t="shared" si="300"/>
        <v>-2136.4560968806654</v>
      </c>
      <c r="AG1146" s="316">
        <f t="shared" si="301"/>
        <v>0.48219178082191783</v>
      </c>
      <c r="AH1146" s="314">
        <v>1</v>
      </c>
      <c r="AI1146" s="314">
        <f t="shared" si="302"/>
        <v>-2136.4560968806654</v>
      </c>
      <c r="AJ1146" s="314">
        <f t="shared" si="303"/>
        <v>0</v>
      </c>
      <c r="AK1146" s="317"/>
      <c r="AL1146" s="315">
        <f t="shared" si="304"/>
        <v>-94.128888888888866</v>
      </c>
      <c r="AN1146" s="554">
        <f t="shared" si="305"/>
        <v>-0.26682877048870518</v>
      </c>
      <c r="AO1146" s="314"/>
      <c r="AP1146" s="318"/>
    </row>
    <row r="1147" spans="2:42">
      <c r="B1147" s="296" t="s">
        <v>1254</v>
      </c>
      <c r="C1147" s="299" t="s">
        <v>277</v>
      </c>
      <c r="D1147" s="298" t="s">
        <v>720</v>
      </c>
      <c r="E1147" s="299" t="s">
        <v>113</v>
      </c>
      <c r="F1147" s="299" t="s">
        <v>59</v>
      </c>
      <c r="G1147" s="300">
        <v>44662</v>
      </c>
      <c r="H1147" s="303">
        <v>1915.0311111111109</v>
      </c>
      <c r="I1147" s="301" t="str">
        <f t="shared" si="289"/>
        <v>Ingresos Sección II LISR (SIC &amp; BMV)</v>
      </c>
      <c r="J1147" s="302">
        <f t="shared" si="290"/>
        <v>38</v>
      </c>
      <c r="K1147" s="304">
        <f t="shared" si="291"/>
        <v>50.395555555555553</v>
      </c>
      <c r="L1147" s="305">
        <f>IF(H1147=0,0,IF(OR(E1147=$AT$5,E1147=$AT$6),AA1147,IF(F1147="MXN",1/HLOOKUP(YEAR(G1147)+(MONTH(G1147)/100),TC!$5:$37,DAY(G1147)+2,FALSE),VLOOKUP(F1147,Equivalencia!$5:$23,((MAX(Equivalencia!$3:$3)-YEAR(G1147))*14)+MONTH(G1147)+2,FALSE))))</f>
        <v>1</v>
      </c>
      <c r="M1147" s="306">
        <f t="shared" si="292"/>
        <v>1915.0311111111109</v>
      </c>
      <c r="N1147" s="305">
        <f>IF(G1147=0,0,(IF(OR(E1147=$AT$5,E1147=$AT$6),AC1147,HLOOKUP(YEAR(G1147)+(MONTH(G1147)/100),TC!$5:$37,DAY(G1147)+2,FALSE))))</f>
        <v>20.160499999999999</v>
      </c>
      <c r="O1147" s="307">
        <f t="shared" si="293"/>
        <v>38607.984715555547</v>
      </c>
      <c r="P1147" s="560">
        <f>IF(G1147=0,0,VLOOKUP(YEAR(G1147),INPC!$B$4:$P$30,MONTH(G1147)+2))</f>
        <v>120.809</v>
      </c>
      <c r="Q1147" s="560">
        <f>IF(X1147=0,0,IF(OR(E1147=$AT$10,E1147=$AT$9),VLOOKUP(YEAR(X1147),INPC!$B$4:$P$30,MONTH(X1147)+1),VLOOKUP(YEAR(X1147),INPC!$B$4:$P$30,MONTH(X1147)+2,0)))</f>
        <v>124.571</v>
      </c>
      <c r="R1147" s="309">
        <f t="shared" si="294"/>
        <v>1.0310999999999999</v>
      </c>
      <c r="S1147" s="310">
        <f t="shared" si="295"/>
        <v>39808.69304020932</v>
      </c>
      <c r="T1147" s="555">
        <f t="shared" si="296"/>
        <v>1047.5971852686664</v>
      </c>
      <c r="U1147" s="311"/>
      <c r="V1147" s="312">
        <v>38</v>
      </c>
      <c r="W1147" s="299" t="s">
        <v>194</v>
      </c>
      <c r="X1147" s="300">
        <v>44839</v>
      </c>
      <c r="Y1147" s="299" t="s">
        <v>59</v>
      </c>
      <c r="Z1147" s="680">
        <v>1420.58</v>
      </c>
      <c r="AA1147" s="305">
        <f>IF(Z1147=0,0,IF(Y1147="MXN",1/HLOOKUP(YEAR(X1147)+(MONTH(X1147)/100),TC!$5:$37,DAY(X1147)+2,FALSE),VLOOKUP(Y1147,Equivalencia!$1:$23,((MAX(Equivalencia!$3:$3)-YEAR(X1147))*14)+MONTH(X1147)+2,FALSE)))</f>
        <v>1</v>
      </c>
      <c r="AB1147" s="306">
        <f t="shared" si="297"/>
        <v>1420.58</v>
      </c>
      <c r="AC1147" s="305">
        <f>+IF(X1147=0,0,HLOOKUP(YEAR(X1147)+(MONTH(X1147)/100),TC!$5:$37,DAY(X1147)+2,FALSE))</f>
        <v>20.000800000000002</v>
      </c>
      <c r="AD1147" s="307">
        <f t="shared" si="298"/>
        <v>28412.736464000001</v>
      </c>
      <c r="AE1147" s="314">
        <f t="shared" si="299"/>
        <v>39808.69304020932</v>
      </c>
      <c r="AF1147" s="315">
        <f t="shared" si="300"/>
        <v>-11395.956576209319</v>
      </c>
      <c r="AG1147" s="316">
        <f t="shared" si="301"/>
        <v>0.48493150684931507</v>
      </c>
      <c r="AH1147" s="314">
        <v>1</v>
      </c>
      <c r="AI1147" s="314">
        <f t="shared" si="302"/>
        <v>-11395.956576209319</v>
      </c>
      <c r="AJ1147" s="314">
        <f t="shared" si="303"/>
        <v>0</v>
      </c>
      <c r="AK1147" s="317"/>
      <c r="AL1147" s="315">
        <f t="shared" si="304"/>
        <v>-494.451111111111</v>
      </c>
      <c r="AN1147" s="554">
        <f t="shared" si="305"/>
        <v>-0.25819481899916913</v>
      </c>
      <c r="AO1147" s="314"/>
      <c r="AP1147" s="318"/>
    </row>
    <row r="1148" spans="2:42">
      <c r="B1148" s="296" t="s">
        <v>1254</v>
      </c>
      <c r="C1148" s="299" t="s">
        <v>277</v>
      </c>
      <c r="D1148" s="298" t="s">
        <v>720</v>
      </c>
      <c r="E1148" s="299" t="s">
        <v>113</v>
      </c>
      <c r="F1148" s="299" t="s">
        <v>59</v>
      </c>
      <c r="G1148" s="300">
        <v>44662</v>
      </c>
      <c r="H1148" s="303">
        <v>1259.8888888888889</v>
      </c>
      <c r="I1148" s="301" t="str">
        <f t="shared" ref="I1148:I1211" si="306">IF(D1148=0,0,IF(OR(E1148=$AT$9,E1148=$AT$10),"Ingresos Sección II LISR (SIC &amp; BMV)","Ingresos Sección I LISR"))</f>
        <v>Ingresos Sección II LISR (SIC &amp; BMV)</v>
      </c>
      <c r="J1148" s="302">
        <f t="shared" ref="J1148:J1211" si="307">+V1148</f>
        <v>25</v>
      </c>
      <c r="K1148" s="304">
        <f t="shared" ref="K1148:K1211" si="308">IF(H1148=0,0,H1148/J1148)</f>
        <v>50.395555555555553</v>
      </c>
      <c r="L1148" s="305">
        <f>IF(H1148=0,0,IF(OR(E1148=$AT$5,E1148=$AT$6),AA1148,IF(F1148="MXN",1/HLOOKUP(YEAR(G1148)+(MONTH(G1148)/100),TC!$5:$37,DAY(G1148)+2,FALSE),VLOOKUP(F1148,Equivalencia!$5:$23,((MAX(Equivalencia!$3:$3)-YEAR(G1148))*14)+MONTH(G1148)+2,FALSE))))</f>
        <v>1</v>
      </c>
      <c r="M1148" s="306">
        <f t="shared" ref="M1148:M1211" si="309">+H1148*L1148</f>
        <v>1259.8888888888889</v>
      </c>
      <c r="N1148" s="305">
        <f>IF(G1148=0,0,(IF(OR(E1148=$AT$5,E1148=$AT$6),AC1148,HLOOKUP(YEAR(G1148)+(MONTH(G1148)/100),TC!$5:$37,DAY(G1148)+2,FALSE))))</f>
        <v>20.160499999999999</v>
      </c>
      <c r="O1148" s="307">
        <f t="shared" ref="O1148:O1211" si="310">+M1148*N1148</f>
        <v>25399.989944444445</v>
      </c>
      <c r="P1148" s="560">
        <f>IF(G1148=0,0,VLOOKUP(YEAR(G1148),INPC!$B$4:$P$30,MONTH(G1148)+2))</f>
        <v>120.809</v>
      </c>
      <c r="Q1148" s="560">
        <f>IF(X1148=0,0,IF(OR(E1148=$AT$10,E1148=$AT$9),VLOOKUP(YEAR(X1148),INPC!$B$4:$P$30,MONTH(X1148)+1),VLOOKUP(YEAR(X1148),INPC!$B$4:$P$30,MONTH(X1148)+2,0)))</f>
        <v>124.571</v>
      </c>
      <c r="R1148" s="309">
        <f t="shared" ref="R1148:R1211" si="311">IF(H1148=0,0,IF(OR(E1148=$AT$5,E1148=$AT$6),1,IF(TRUNC(Q1148/P1148,4)&gt;=1,TRUNC(Q1148/P1148,4),1)))</f>
        <v>1.0310999999999999</v>
      </c>
      <c r="S1148" s="310">
        <f t="shared" ref="S1148:S1211" si="312">+R1148*O1148</f>
        <v>26189.929631716666</v>
      </c>
      <c r="T1148" s="555">
        <f t="shared" ref="T1148:T1211" si="313">IF(V1148=0,0,S1148/V1148)</f>
        <v>1047.5971852686666</v>
      </c>
      <c r="U1148" s="311"/>
      <c r="V1148" s="312">
        <v>25</v>
      </c>
      <c r="W1148" s="299" t="s">
        <v>194</v>
      </c>
      <c r="X1148" s="300">
        <v>44839</v>
      </c>
      <c r="Y1148" s="299" t="s">
        <v>59</v>
      </c>
      <c r="Z1148" s="680">
        <v>941.39</v>
      </c>
      <c r="AA1148" s="305">
        <f>IF(Z1148=0,0,IF(Y1148="MXN",1/HLOOKUP(YEAR(X1148)+(MONTH(X1148)/100),TC!$5:$37,DAY(X1148)+2,FALSE),VLOOKUP(Y1148,Equivalencia!$1:$23,((MAX(Equivalencia!$3:$3)-YEAR(X1148))*14)+MONTH(X1148)+2,FALSE)))</f>
        <v>1</v>
      </c>
      <c r="AB1148" s="306">
        <f t="shared" ref="AB1148:AB1211" si="314">+AA1148*Z1148</f>
        <v>941.39</v>
      </c>
      <c r="AC1148" s="305">
        <f>+IF(X1148=0,0,HLOOKUP(YEAR(X1148)+(MONTH(X1148)/100),TC!$5:$37,DAY(X1148)+2,FALSE))</f>
        <v>20.000800000000002</v>
      </c>
      <c r="AD1148" s="307">
        <f t="shared" ref="AD1148:AD1211" si="315">+AC1148*AB1148</f>
        <v>18828.553112000001</v>
      </c>
      <c r="AE1148" s="314">
        <f t="shared" ref="AE1148:AE1211" si="316">+V1148*T1148</f>
        <v>26189.929631716666</v>
      </c>
      <c r="AF1148" s="315">
        <f t="shared" ref="AF1148:AF1211" si="317">IF(E1148=$AT$11,0,AD1148-AE1148)</f>
        <v>-7361.3765197166649</v>
      </c>
      <c r="AG1148" s="316">
        <f t="shared" ref="AG1148:AG1211" si="318">+IF(AND(AF1148&lt;0,OR(E1148=$AT$5,E1148=$AT$6)),1,((X1148-G1148)/365))</f>
        <v>0.48493150684931507</v>
      </c>
      <c r="AH1148" s="314">
        <v>1</v>
      </c>
      <c r="AI1148" s="314">
        <f t="shared" ref="AI1148:AI1211" si="319">+IF(OR(E1148=$AT$9,E1148=$AT$10),AF1148,+AF1148/AH1148)</f>
        <v>-7361.3765197166649</v>
      </c>
      <c r="AJ1148" s="314">
        <f t="shared" ref="AJ1148:AJ1211" si="320">+AF1148-AI1148</f>
        <v>0</v>
      </c>
      <c r="AK1148" s="317"/>
      <c r="AL1148" s="315">
        <f t="shared" ref="AL1148:AL1211" si="321">+AB1148-M1148</f>
        <v>-318.49888888888893</v>
      </c>
      <c r="AN1148" s="554">
        <f t="shared" ref="AN1148:AN1211" si="322">IF(AL1148=0,0,AL1148/H1148)</f>
        <v>-0.25279918864097367</v>
      </c>
      <c r="AO1148" s="314"/>
      <c r="AP1148" s="318"/>
    </row>
    <row r="1149" spans="2:42">
      <c r="B1149" s="296" t="s">
        <v>1254</v>
      </c>
      <c r="C1149" s="299" t="s">
        <v>277</v>
      </c>
      <c r="D1149" s="298" t="s">
        <v>707</v>
      </c>
      <c r="E1149" s="299" t="s">
        <v>113</v>
      </c>
      <c r="F1149" s="299" t="s">
        <v>59</v>
      </c>
      <c r="G1149" s="300">
        <v>44236</v>
      </c>
      <c r="H1149" s="303">
        <v>148.28272727272727</v>
      </c>
      <c r="I1149" s="301" t="str">
        <f t="shared" si="306"/>
        <v>Ingresos Sección II LISR (SIC &amp; BMV)</v>
      </c>
      <c r="J1149" s="302">
        <f t="shared" si="307"/>
        <v>1</v>
      </c>
      <c r="K1149" s="304">
        <f t="shared" si="308"/>
        <v>148.28272727272727</v>
      </c>
      <c r="L1149" s="305">
        <f>IF(H1149=0,0,IF(OR(E1149=$AT$5,E1149=$AT$6),AA1149,IF(F1149="MXN",1/HLOOKUP(YEAR(G1149)+(MONTH(G1149)/100),TC!$5:$37,DAY(G1149)+2,FALSE),VLOOKUP(F1149,Equivalencia!$5:$23,((MAX(Equivalencia!$3:$3)-YEAR(G1149))*14)+MONTH(G1149)+2,FALSE))))</f>
        <v>1</v>
      </c>
      <c r="M1149" s="306">
        <f t="shared" si="309"/>
        <v>148.28272727272727</v>
      </c>
      <c r="N1149" s="305">
        <f>IF(G1149=0,0,(IF(OR(E1149=$AT$5,E1149=$AT$6),AC1149,HLOOKUP(YEAR(G1149)+(MONTH(G1149)/100),TC!$5:$37,DAY(G1149)+2,FALSE))))</f>
        <v>20.1388</v>
      </c>
      <c r="O1149" s="307">
        <f t="shared" si="310"/>
        <v>2986.2361879999999</v>
      </c>
      <c r="P1149" s="560">
        <f>IF(G1149=0,0,VLOOKUP(YEAR(G1149),INPC!$B$4:$P$30,MONTH(G1149)+2))</f>
        <v>110.907</v>
      </c>
      <c r="Q1149" s="560">
        <f>IF(X1149=0,0,IF(OR(E1149=$AT$10,E1149=$AT$9),VLOOKUP(YEAR(X1149),INPC!$B$4:$P$30,MONTH(X1149)+1),VLOOKUP(YEAR(X1149),INPC!$B$4:$P$30,MONTH(X1149)+2,0)))</f>
        <v>123.803</v>
      </c>
      <c r="R1149" s="309">
        <f t="shared" si="311"/>
        <v>1.1162000000000001</v>
      </c>
      <c r="S1149" s="310">
        <f t="shared" si="312"/>
        <v>3333.2368330456002</v>
      </c>
      <c r="T1149" s="555">
        <f t="shared" si="313"/>
        <v>3333.2368330456002</v>
      </c>
      <c r="U1149" s="311"/>
      <c r="V1149" s="312">
        <v>1</v>
      </c>
      <c r="W1149" s="299" t="s">
        <v>194</v>
      </c>
      <c r="X1149" s="300">
        <v>44824</v>
      </c>
      <c r="Y1149" s="299" t="s">
        <v>59</v>
      </c>
      <c r="Z1149" s="303">
        <v>154.57037735849056</v>
      </c>
      <c r="AA1149" s="305">
        <f>IF(Z1149=0,0,IF(Y1149="MXN",1/HLOOKUP(YEAR(X1149)+(MONTH(X1149)/100),TC!$5:$37,DAY(X1149)+2,FALSE),VLOOKUP(Y1149,Equivalencia!$1:$23,((MAX(Equivalencia!$3:$3)-YEAR(X1149))*14)+MONTH(X1149)+2,FALSE)))</f>
        <v>1</v>
      </c>
      <c r="AB1149" s="306">
        <f t="shared" si="314"/>
        <v>154.57037735849056</v>
      </c>
      <c r="AC1149" s="305">
        <f>+IF(X1149=0,0,HLOOKUP(YEAR(X1149)+(MONTH(X1149)/100),TC!$5:$37,DAY(X1149)+2,FALSE))</f>
        <v>20.052499999999998</v>
      </c>
      <c r="AD1149" s="307">
        <f t="shared" si="315"/>
        <v>3099.5224919811317</v>
      </c>
      <c r="AE1149" s="314">
        <f t="shared" si="316"/>
        <v>3333.2368330456002</v>
      </c>
      <c r="AF1149" s="315">
        <f t="shared" si="317"/>
        <v>-233.7143410644685</v>
      </c>
      <c r="AG1149" s="316">
        <f t="shared" si="318"/>
        <v>1.6109589041095891</v>
      </c>
      <c r="AH1149" s="314">
        <v>1</v>
      </c>
      <c r="AI1149" s="314">
        <f t="shared" si="319"/>
        <v>-233.7143410644685</v>
      </c>
      <c r="AJ1149" s="314">
        <f t="shared" si="320"/>
        <v>0</v>
      </c>
      <c r="AK1149" s="317"/>
      <c r="AL1149" s="315">
        <f t="shared" si="321"/>
        <v>6.2876500857632891</v>
      </c>
      <c r="AN1149" s="554">
        <f t="shared" si="322"/>
        <v>4.2403118700391866E-2</v>
      </c>
      <c r="AO1149" s="314"/>
      <c r="AP1149" s="318"/>
    </row>
    <row r="1150" spans="2:42">
      <c r="B1150" s="296" t="s">
        <v>1254</v>
      </c>
      <c r="C1150" s="299" t="s">
        <v>277</v>
      </c>
      <c r="D1150" s="298" t="s">
        <v>707</v>
      </c>
      <c r="E1150" s="299" t="s">
        <v>113</v>
      </c>
      <c r="F1150" s="299" t="s">
        <v>59</v>
      </c>
      <c r="G1150" s="300">
        <v>44259</v>
      </c>
      <c r="H1150" s="303">
        <v>8129.8146428571417</v>
      </c>
      <c r="I1150" s="301" t="str">
        <f t="shared" si="306"/>
        <v>Ingresos Sección II LISR (SIC &amp; BMV)</v>
      </c>
      <c r="J1150" s="302">
        <f t="shared" si="307"/>
        <v>52</v>
      </c>
      <c r="K1150" s="304">
        <f t="shared" si="308"/>
        <v>156.34258928571427</v>
      </c>
      <c r="L1150" s="305">
        <f>IF(H1150=0,0,IF(OR(E1150=$AT$5,E1150=$AT$6),AA1150,IF(F1150="MXN",1/HLOOKUP(YEAR(G1150)+(MONTH(G1150)/100),TC!$5:$37,DAY(G1150)+2,FALSE),VLOOKUP(F1150,Equivalencia!$5:$23,((MAX(Equivalencia!$3:$3)-YEAR(G1150))*14)+MONTH(G1150)+2,FALSE))))</f>
        <v>1</v>
      </c>
      <c r="M1150" s="306">
        <f t="shared" si="309"/>
        <v>8129.8146428571417</v>
      </c>
      <c r="N1150" s="305">
        <f>IF(G1150=0,0,(IF(OR(E1150=$AT$5,E1150=$AT$6),AC1150,HLOOKUP(YEAR(G1150)+(MONTH(G1150)/100),TC!$5:$37,DAY(G1150)+2,FALSE))))</f>
        <v>20.690300000000001</v>
      </c>
      <c r="O1150" s="307">
        <f t="shared" si="310"/>
        <v>168208.30390510711</v>
      </c>
      <c r="P1150" s="560">
        <f>IF(G1150=0,0,VLOOKUP(YEAR(G1150),INPC!$B$4:$P$30,MONTH(G1150)+2))</f>
        <v>111.824</v>
      </c>
      <c r="Q1150" s="560">
        <f>IF(X1150=0,0,IF(OR(E1150=$AT$10,E1150=$AT$9),VLOOKUP(YEAR(X1150),INPC!$B$4:$P$30,MONTH(X1150)+1),VLOOKUP(YEAR(X1150),INPC!$B$4:$P$30,MONTH(X1150)+2,0)))</f>
        <v>123.803</v>
      </c>
      <c r="R1150" s="309">
        <f t="shared" si="311"/>
        <v>1.1071</v>
      </c>
      <c r="S1150" s="310">
        <f t="shared" si="312"/>
        <v>186223.41325334407</v>
      </c>
      <c r="T1150" s="555">
        <f t="shared" si="313"/>
        <v>3581.219485641232</v>
      </c>
      <c r="U1150" s="311"/>
      <c r="V1150" s="312">
        <v>52</v>
      </c>
      <c r="W1150" s="299" t="s">
        <v>194</v>
      </c>
      <c r="X1150" s="300">
        <v>44824</v>
      </c>
      <c r="Y1150" s="299" t="s">
        <v>59</v>
      </c>
      <c r="Z1150" s="303">
        <v>8037.6596226415095</v>
      </c>
      <c r="AA1150" s="305">
        <f>IF(Z1150=0,0,IF(Y1150="MXN",1/HLOOKUP(YEAR(X1150)+(MONTH(X1150)/100),TC!$5:$37,DAY(X1150)+2,FALSE),VLOOKUP(Y1150,Equivalencia!$1:$23,((MAX(Equivalencia!$3:$3)-YEAR(X1150))*14)+MONTH(X1150)+2,FALSE)))</f>
        <v>1</v>
      </c>
      <c r="AB1150" s="306">
        <f t="shared" si="314"/>
        <v>8037.6596226415095</v>
      </c>
      <c r="AC1150" s="305">
        <f>+IF(X1150=0,0,HLOOKUP(YEAR(X1150)+(MONTH(X1150)/100),TC!$5:$37,DAY(X1150)+2,FALSE))</f>
        <v>20.052499999999998</v>
      </c>
      <c r="AD1150" s="307">
        <f t="shared" si="315"/>
        <v>161175.16958301887</v>
      </c>
      <c r="AE1150" s="314">
        <f t="shared" si="316"/>
        <v>186223.41325334407</v>
      </c>
      <c r="AF1150" s="315">
        <f t="shared" si="317"/>
        <v>-25048.243670325202</v>
      </c>
      <c r="AG1150" s="316">
        <f t="shared" si="318"/>
        <v>1.547945205479452</v>
      </c>
      <c r="AH1150" s="314">
        <v>1</v>
      </c>
      <c r="AI1150" s="314">
        <f t="shared" si="319"/>
        <v>-25048.243670325202</v>
      </c>
      <c r="AJ1150" s="314">
        <f t="shared" si="320"/>
        <v>0</v>
      </c>
      <c r="AK1150" s="317"/>
      <c r="AL1150" s="315">
        <f t="shared" si="321"/>
        <v>-92.155020215632248</v>
      </c>
      <c r="AN1150" s="554">
        <f t="shared" si="322"/>
        <v>-1.1335439276785934E-2</v>
      </c>
      <c r="AO1150" s="314"/>
      <c r="AP1150" s="318"/>
    </row>
    <row r="1151" spans="2:42">
      <c r="B1151" s="296" t="s">
        <v>1254</v>
      </c>
      <c r="C1151" s="299" t="s">
        <v>277</v>
      </c>
      <c r="D1151" s="298" t="s">
        <v>707</v>
      </c>
      <c r="E1151" s="299" t="s">
        <v>113</v>
      </c>
      <c r="F1151" s="299" t="s">
        <v>59</v>
      </c>
      <c r="G1151" s="300">
        <v>44259</v>
      </c>
      <c r="H1151" s="303">
        <v>1407.0833035714284</v>
      </c>
      <c r="I1151" s="301" t="str">
        <f t="shared" si="306"/>
        <v>Ingresos Sección II LISR (SIC &amp; BMV)</v>
      </c>
      <c r="J1151" s="302">
        <f t="shared" si="307"/>
        <v>9</v>
      </c>
      <c r="K1151" s="304">
        <f t="shared" si="308"/>
        <v>156.34258928571427</v>
      </c>
      <c r="L1151" s="305">
        <f>IF(H1151=0,0,IF(OR(E1151=$AT$5,E1151=$AT$6),AA1151,IF(F1151="MXN",1/HLOOKUP(YEAR(G1151)+(MONTH(G1151)/100),TC!$5:$37,DAY(G1151)+2,FALSE),VLOOKUP(F1151,Equivalencia!$5:$23,((MAX(Equivalencia!$3:$3)-YEAR(G1151))*14)+MONTH(G1151)+2,FALSE))))</f>
        <v>1</v>
      </c>
      <c r="M1151" s="306">
        <f t="shared" si="309"/>
        <v>1407.0833035714284</v>
      </c>
      <c r="N1151" s="305">
        <f>IF(G1151=0,0,(IF(OR(E1151=$AT$5,E1151=$AT$6),AC1151,HLOOKUP(YEAR(G1151)+(MONTH(G1151)/100),TC!$5:$37,DAY(G1151)+2,FALSE))))</f>
        <v>20.690300000000001</v>
      </c>
      <c r="O1151" s="307">
        <f t="shared" si="310"/>
        <v>29112.975675883925</v>
      </c>
      <c r="P1151" s="560">
        <f>IF(G1151=0,0,VLOOKUP(YEAR(G1151),INPC!$B$4:$P$30,MONTH(G1151)+2))</f>
        <v>111.824</v>
      </c>
      <c r="Q1151" s="560">
        <f>IF(X1151=0,0,IF(OR(E1151=$AT$10,E1151=$AT$9),VLOOKUP(YEAR(X1151),INPC!$B$4:$P$30,MONTH(X1151)+1),VLOOKUP(YEAR(X1151),INPC!$B$4:$P$30,MONTH(X1151)+2,0)))</f>
        <v>123.803</v>
      </c>
      <c r="R1151" s="309">
        <f t="shared" si="311"/>
        <v>1.1071</v>
      </c>
      <c r="S1151" s="310">
        <f t="shared" si="312"/>
        <v>32230.975370771092</v>
      </c>
      <c r="T1151" s="555">
        <f t="shared" si="313"/>
        <v>3581.2194856412325</v>
      </c>
      <c r="U1151" s="311"/>
      <c r="V1151" s="312">
        <v>9</v>
      </c>
      <c r="W1151" s="299" t="s">
        <v>194</v>
      </c>
      <c r="X1151" s="300">
        <v>44824</v>
      </c>
      <c r="Y1151" s="299" t="s">
        <v>59</v>
      </c>
      <c r="Z1151" s="303">
        <v>1397.97</v>
      </c>
      <c r="AA1151" s="305">
        <f>IF(Z1151=0,0,IF(Y1151="MXN",1/HLOOKUP(YEAR(X1151)+(MONTH(X1151)/100),TC!$5:$37,DAY(X1151)+2,FALSE),VLOOKUP(Y1151,Equivalencia!$1:$23,((MAX(Equivalencia!$3:$3)-YEAR(X1151))*14)+MONTH(X1151)+2,FALSE)))</f>
        <v>1</v>
      </c>
      <c r="AB1151" s="306">
        <f t="shared" si="314"/>
        <v>1397.97</v>
      </c>
      <c r="AC1151" s="305">
        <f>+IF(X1151=0,0,HLOOKUP(YEAR(X1151)+(MONTH(X1151)/100),TC!$5:$37,DAY(X1151)+2,FALSE))</f>
        <v>20.052499999999998</v>
      </c>
      <c r="AD1151" s="307">
        <f t="shared" si="315"/>
        <v>28032.793425</v>
      </c>
      <c r="AE1151" s="314">
        <f t="shared" si="316"/>
        <v>32230.975370771092</v>
      </c>
      <c r="AF1151" s="315">
        <f t="shared" si="317"/>
        <v>-4198.1819457710917</v>
      </c>
      <c r="AG1151" s="316">
        <f t="shared" si="318"/>
        <v>1.547945205479452</v>
      </c>
      <c r="AH1151" s="314">
        <v>1</v>
      </c>
      <c r="AI1151" s="314">
        <f t="shared" si="319"/>
        <v>-4198.1819457710917</v>
      </c>
      <c r="AJ1151" s="314">
        <f t="shared" si="320"/>
        <v>0</v>
      </c>
      <c r="AK1151" s="317"/>
      <c r="AL1151" s="315">
        <f t="shared" si="321"/>
        <v>-9.1133035714283324</v>
      </c>
      <c r="AN1151" s="554">
        <f t="shared" si="322"/>
        <v>-6.4767335013478896E-3</v>
      </c>
      <c r="AO1151" s="314"/>
      <c r="AP1151" s="318"/>
    </row>
    <row r="1152" spans="2:42">
      <c r="B1152" s="296" t="s">
        <v>1254</v>
      </c>
      <c r="C1152" s="299" t="s">
        <v>277</v>
      </c>
      <c r="D1152" s="298" t="s">
        <v>707</v>
      </c>
      <c r="E1152" s="299" t="s">
        <v>113</v>
      </c>
      <c r="F1152" s="299" t="s">
        <v>59</v>
      </c>
      <c r="G1152" s="300">
        <v>44259</v>
      </c>
      <c r="H1152" s="303">
        <v>7973.4720535714278</v>
      </c>
      <c r="I1152" s="301" t="str">
        <f t="shared" si="306"/>
        <v>Ingresos Sección II LISR (SIC &amp; BMV)</v>
      </c>
      <c r="J1152" s="302">
        <f t="shared" si="307"/>
        <v>51</v>
      </c>
      <c r="K1152" s="304">
        <f t="shared" si="308"/>
        <v>156.34258928571427</v>
      </c>
      <c r="L1152" s="305">
        <f>IF(H1152=0,0,IF(OR(E1152=$AT$5,E1152=$AT$6),AA1152,IF(F1152="MXN",1/HLOOKUP(YEAR(G1152)+(MONTH(G1152)/100),TC!$5:$37,DAY(G1152)+2,FALSE),VLOOKUP(F1152,Equivalencia!$5:$23,((MAX(Equivalencia!$3:$3)-YEAR(G1152))*14)+MONTH(G1152)+2,FALSE))))</f>
        <v>1</v>
      </c>
      <c r="M1152" s="306">
        <f t="shared" si="309"/>
        <v>7973.4720535714278</v>
      </c>
      <c r="N1152" s="305">
        <f>IF(G1152=0,0,(IF(OR(E1152=$AT$5,E1152=$AT$6),AC1152,HLOOKUP(YEAR(G1152)+(MONTH(G1152)/100),TC!$5:$37,DAY(G1152)+2,FALSE))))</f>
        <v>20.690300000000001</v>
      </c>
      <c r="O1152" s="307">
        <f t="shared" si="310"/>
        <v>164973.52883000893</v>
      </c>
      <c r="P1152" s="560">
        <f>IF(G1152=0,0,VLOOKUP(YEAR(G1152),INPC!$B$4:$P$30,MONTH(G1152)+2))</f>
        <v>111.824</v>
      </c>
      <c r="Q1152" s="560">
        <f>IF(X1152=0,0,IF(OR(E1152=$AT$10,E1152=$AT$9),VLOOKUP(YEAR(X1152),INPC!$B$4:$P$30,MONTH(X1152)+1),VLOOKUP(YEAR(X1152),INPC!$B$4:$P$30,MONTH(X1152)+2,0)))</f>
        <v>123.803</v>
      </c>
      <c r="R1152" s="309">
        <f t="shared" si="311"/>
        <v>1.1071</v>
      </c>
      <c r="S1152" s="310">
        <f t="shared" si="312"/>
        <v>182642.19376770288</v>
      </c>
      <c r="T1152" s="555">
        <f t="shared" si="313"/>
        <v>3581.219485641233</v>
      </c>
      <c r="U1152" s="311"/>
      <c r="V1152" s="312">
        <v>51</v>
      </c>
      <c r="W1152" s="299" t="s">
        <v>194</v>
      </c>
      <c r="X1152" s="300">
        <v>44825</v>
      </c>
      <c r="Y1152" s="299" t="s">
        <v>59</v>
      </c>
      <c r="Z1152" s="303">
        <v>7925.901206896553</v>
      </c>
      <c r="AA1152" s="305">
        <f>IF(Z1152=0,0,IF(Y1152="MXN",1/HLOOKUP(YEAR(X1152)+(MONTH(X1152)/100),TC!$5:$37,DAY(X1152)+2,FALSE),VLOOKUP(Y1152,Equivalencia!$1:$23,((MAX(Equivalencia!$3:$3)-YEAR(X1152))*14)+MONTH(X1152)+2,FALSE)))</f>
        <v>1</v>
      </c>
      <c r="AB1152" s="306">
        <f t="shared" si="314"/>
        <v>7925.901206896553</v>
      </c>
      <c r="AC1152" s="305">
        <f>+IF(X1152=0,0,HLOOKUP(YEAR(X1152)+(MONTH(X1152)/100),TC!$5:$37,DAY(X1152)+2,FALSE))</f>
        <v>19.994299999999999</v>
      </c>
      <c r="AD1152" s="307">
        <f t="shared" si="315"/>
        <v>158472.84650105174</v>
      </c>
      <c r="AE1152" s="314">
        <f t="shared" si="316"/>
        <v>182642.19376770288</v>
      </c>
      <c r="AF1152" s="315">
        <f t="shared" si="317"/>
        <v>-24169.347266651137</v>
      </c>
      <c r="AG1152" s="316">
        <f t="shared" si="318"/>
        <v>1.5506849315068494</v>
      </c>
      <c r="AH1152" s="314">
        <v>1</v>
      </c>
      <c r="AI1152" s="314">
        <f t="shared" si="319"/>
        <v>-24169.347266651137</v>
      </c>
      <c r="AJ1152" s="314">
        <f t="shared" si="320"/>
        <v>0</v>
      </c>
      <c r="AK1152" s="317"/>
      <c r="AL1152" s="315">
        <f t="shared" si="321"/>
        <v>-47.570846674874701</v>
      </c>
      <c r="AN1152" s="554">
        <f t="shared" si="322"/>
        <v>-5.9661395130327279E-3</v>
      </c>
      <c r="AO1152" s="314"/>
      <c r="AP1152" s="318"/>
    </row>
    <row r="1153" spans="2:42">
      <c r="B1153" s="296" t="s">
        <v>1254</v>
      </c>
      <c r="C1153" s="299" t="s">
        <v>277</v>
      </c>
      <c r="D1153" s="298" t="s">
        <v>707</v>
      </c>
      <c r="E1153" s="299" t="s">
        <v>113</v>
      </c>
      <c r="F1153" s="299" t="s">
        <v>59</v>
      </c>
      <c r="G1153" s="300">
        <v>44263</v>
      </c>
      <c r="H1153" s="303">
        <v>1099.3877528089888</v>
      </c>
      <c r="I1153" s="301" t="str">
        <f t="shared" si="306"/>
        <v>Ingresos Sección II LISR (SIC &amp; BMV)</v>
      </c>
      <c r="J1153" s="302">
        <f t="shared" si="307"/>
        <v>7</v>
      </c>
      <c r="K1153" s="304">
        <f t="shared" si="308"/>
        <v>157.05539325842696</v>
      </c>
      <c r="L1153" s="305">
        <f>IF(H1153=0,0,IF(OR(E1153=$AT$5,E1153=$AT$6),AA1153,IF(F1153="MXN",1/HLOOKUP(YEAR(G1153)+(MONTH(G1153)/100),TC!$5:$37,DAY(G1153)+2,FALSE),VLOOKUP(F1153,Equivalencia!$5:$23,((MAX(Equivalencia!$3:$3)-YEAR(G1153))*14)+MONTH(G1153)+2,FALSE))))</f>
        <v>1</v>
      </c>
      <c r="M1153" s="306">
        <f t="shared" si="309"/>
        <v>1099.3877528089888</v>
      </c>
      <c r="N1153" s="305">
        <f>IF(G1153=0,0,(IF(OR(E1153=$AT$5,E1153=$AT$6),AC1153,HLOOKUP(YEAR(G1153)+(MONTH(G1153)/100),TC!$5:$37,DAY(G1153)+2,FALSE))))</f>
        <v>20.849799999999998</v>
      </c>
      <c r="O1153" s="307">
        <f t="shared" si="310"/>
        <v>22922.014768516852</v>
      </c>
      <c r="P1153" s="560">
        <f>IF(G1153=0,0,VLOOKUP(YEAR(G1153),INPC!$B$4:$P$30,MONTH(G1153)+2))</f>
        <v>111.824</v>
      </c>
      <c r="Q1153" s="560">
        <f>IF(X1153=0,0,IF(OR(E1153=$AT$10,E1153=$AT$9),VLOOKUP(YEAR(X1153),INPC!$B$4:$P$30,MONTH(X1153)+1),VLOOKUP(YEAR(X1153),INPC!$B$4:$P$30,MONTH(X1153)+2,0)))</f>
        <v>123.803</v>
      </c>
      <c r="R1153" s="309">
        <f t="shared" si="311"/>
        <v>1.1071</v>
      </c>
      <c r="S1153" s="310">
        <f t="shared" si="312"/>
        <v>25376.962550225006</v>
      </c>
      <c r="T1153" s="555">
        <f t="shared" si="313"/>
        <v>3625.2803643178581</v>
      </c>
      <c r="U1153" s="311"/>
      <c r="V1153" s="312">
        <v>7</v>
      </c>
      <c r="W1153" s="299" t="s">
        <v>194</v>
      </c>
      <c r="X1153" s="300">
        <v>44825</v>
      </c>
      <c r="Y1153" s="299" t="s">
        <v>59</v>
      </c>
      <c r="Z1153" s="303">
        <v>1087.8687931034483</v>
      </c>
      <c r="AA1153" s="305">
        <f>IF(Z1153=0,0,IF(Y1153="MXN",1/HLOOKUP(YEAR(X1153)+(MONTH(X1153)/100),TC!$5:$37,DAY(X1153)+2,FALSE),VLOOKUP(Y1153,Equivalencia!$1:$23,((MAX(Equivalencia!$3:$3)-YEAR(X1153))*14)+MONTH(X1153)+2,FALSE)))</f>
        <v>1</v>
      </c>
      <c r="AB1153" s="306">
        <f t="shared" si="314"/>
        <v>1087.8687931034483</v>
      </c>
      <c r="AC1153" s="305">
        <f>+IF(X1153=0,0,HLOOKUP(YEAR(X1153)+(MONTH(X1153)/100),TC!$5:$37,DAY(X1153)+2,FALSE))</f>
        <v>19.994299999999999</v>
      </c>
      <c r="AD1153" s="307">
        <f t="shared" si="315"/>
        <v>21751.175009948274</v>
      </c>
      <c r="AE1153" s="314">
        <f t="shared" si="316"/>
        <v>25376.962550225006</v>
      </c>
      <c r="AF1153" s="315">
        <f t="shared" si="317"/>
        <v>-3625.7875402767313</v>
      </c>
      <c r="AG1153" s="316">
        <f t="shared" si="318"/>
        <v>1.5397260273972602</v>
      </c>
      <c r="AH1153" s="314">
        <v>1</v>
      </c>
      <c r="AI1153" s="314">
        <f t="shared" si="319"/>
        <v>-3625.7875402767313</v>
      </c>
      <c r="AJ1153" s="314">
        <f t="shared" si="320"/>
        <v>0</v>
      </c>
      <c r="AK1153" s="317"/>
      <c r="AL1153" s="315">
        <f t="shared" si="321"/>
        <v>-11.51895970554051</v>
      </c>
      <c r="AN1153" s="554">
        <f t="shared" si="322"/>
        <v>-1.047761326802942E-2</v>
      </c>
      <c r="AO1153" s="314"/>
      <c r="AP1153" s="318"/>
    </row>
    <row r="1154" spans="2:42">
      <c r="B1154" s="296" t="s">
        <v>1254</v>
      </c>
      <c r="C1154" s="299" t="s">
        <v>277</v>
      </c>
      <c r="D1154" s="298" t="s">
        <v>707</v>
      </c>
      <c r="E1154" s="299" t="s">
        <v>113</v>
      </c>
      <c r="F1154" s="299" t="s">
        <v>59</v>
      </c>
      <c r="G1154" s="300">
        <v>44263</v>
      </c>
      <c r="H1154" s="303">
        <v>314.11078651685392</v>
      </c>
      <c r="I1154" s="301" t="str">
        <f t="shared" si="306"/>
        <v>Ingresos Sección II LISR (SIC &amp; BMV)</v>
      </c>
      <c r="J1154" s="302">
        <f t="shared" si="307"/>
        <v>2</v>
      </c>
      <c r="K1154" s="304">
        <f t="shared" si="308"/>
        <v>157.05539325842696</v>
      </c>
      <c r="L1154" s="305">
        <f>IF(H1154=0,0,IF(OR(E1154=$AT$5,E1154=$AT$6),AA1154,IF(F1154="MXN",1/HLOOKUP(YEAR(G1154)+(MONTH(G1154)/100),TC!$5:$37,DAY(G1154)+2,FALSE),VLOOKUP(F1154,Equivalencia!$5:$23,((MAX(Equivalencia!$3:$3)-YEAR(G1154))*14)+MONTH(G1154)+2,FALSE))))</f>
        <v>1</v>
      </c>
      <c r="M1154" s="306">
        <f t="shared" si="309"/>
        <v>314.11078651685392</v>
      </c>
      <c r="N1154" s="305">
        <f>IF(G1154=0,0,(IF(OR(E1154=$AT$5,E1154=$AT$6),AC1154,HLOOKUP(YEAR(G1154)+(MONTH(G1154)/100),TC!$5:$37,DAY(G1154)+2,FALSE))))</f>
        <v>20.849799999999998</v>
      </c>
      <c r="O1154" s="307">
        <f t="shared" si="310"/>
        <v>6549.1470767191004</v>
      </c>
      <c r="P1154" s="560">
        <f>IF(G1154=0,0,VLOOKUP(YEAR(G1154),INPC!$B$4:$P$30,MONTH(G1154)+2))</f>
        <v>111.824</v>
      </c>
      <c r="Q1154" s="560">
        <f>IF(X1154=0,0,IF(OR(E1154=$AT$10,E1154=$AT$9),VLOOKUP(YEAR(X1154),INPC!$B$4:$P$30,MONTH(X1154)+1),VLOOKUP(YEAR(X1154),INPC!$B$4:$P$30,MONTH(X1154)+2,0)))</f>
        <v>123.803</v>
      </c>
      <c r="R1154" s="309">
        <f t="shared" si="311"/>
        <v>1.1071</v>
      </c>
      <c r="S1154" s="310">
        <f t="shared" si="312"/>
        <v>7250.5607286357163</v>
      </c>
      <c r="T1154" s="555">
        <f t="shared" si="313"/>
        <v>3625.2803643178581</v>
      </c>
      <c r="U1154" s="311"/>
      <c r="V1154" s="312">
        <v>2</v>
      </c>
      <c r="W1154" s="299" t="s">
        <v>194</v>
      </c>
      <c r="X1154" s="300">
        <v>44825</v>
      </c>
      <c r="Y1154" s="299" t="s">
        <v>59</v>
      </c>
      <c r="Z1154" s="303">
        <v>313.43</v>
      </c>
      <c r="AA1154" s="305">
        <f>IF(Z1154=0,0,IF(Y1154="MXN",1/HLOOKUP(YEAR(X1154)+(MONTH(X1154)/100),TC!$5:$37,DAY(X1154)+2,FALSE),VLOOKUP(Y1154,Equivalencia!$1:$23,((MAX(Equivalencia!$3:$3)-YEAR(X1154))*14)+MONTH(X1154)+2,FALSE)))</f>
        <v>1</v>
      </c>
      <c r="AB1154" s="306">
        <f t="shared" si="314"/>
        <v>313.43</v>
      </c>
      <c r="AC1154" s="305">
        <f>+IF(X1154=0,0,HLOOKUP(YEAR(X1154)+(MONTH(X1154)/100),TC!$5:$37,DAY(X1154)+2,FALSE))</f>
        <v>19.994299999999999</v>
      </c>
      <c r="AD1154" s="307">
        <f t="shared" si="315"/>
        <v>6266.8134490000002</v>
      </c>
      <c r="AE1154" s="314">
        <f t="shared" si="316"/>
        <v>7250.5607286357163</v>
      </c>
      <c r="AF1154" s="315">
        <f t="shared" si="317"/>
        <v>-983.74727963571604</v>
      </c>
      <c r="AG1154" s="316">
        <f t="shared" si="318"/>
        <v>1.5397260273972602</v>
      </c>
      <c r="AH1154" s="314">
        <v>1</v>
      </c>
      <c r="AI1154" s="314">
        <f t="shared" si="319"/>
        <v>-983.74727963571604</v>
      </c>
      <c r="AJ1154" s="314">
        <f t="shared" si="320"/>
        <v>0</v>
      </c>
      <c r="AK1154" s="317"/>
      <c r="AL1154" s="315">
        <f t="shared" si="321"/>
        <v>-0.68078651685391378</v>
      </c>
      <c r="AN1154" s="554">
        <f t="shared" si="322"/>
        <v>-2.167345236383296E-3</v>
      </c>
      <c r="AO1154" s="314"/>
      <c r="AP1154" s="318"/>
    </row>
    <row r="1155" spans="2:42">
      <c r="B1155" s="296" t="s">
        <v>1254</v>
      </c>
      <c r="C1155" s="299" t="s">
        <v>277</v>
      </c>
      <c r="D1155" s="298" t="s">
        <v>707</v>
      </c>
      <c r="E1155" s="299" t="s">
        <v>113</v>
      </c>
      <c r="F1155" s="299" t="s">
        <v>59</v>
      </c>
      <c r="G1155" s="300">
        <v>44263</v>
      </c>
      <c r="H1155" s="303">
        <v>6282.2157303370786</v>
      </c>
      <c r="I1155" s="301" t="str">
        <f t="shared" si="306"/>
        <v>Ingresos Sección II LISR (SIC &amp; BMV)</v>
      </c>
      <c r="J1155" s="302">
        <f t="shared" si="307"/>
        <v>40</v>
      </c>
      <c r="K1155" s="304">
        <f t="shared" si="308"/>
        <v>157.05539325842696</v>
      </c>
      <c r="L1155" s="305">
        <f>IF(H1155=0,0,IF(OR(E1155=$AT$5,E1155=$AT$6),AA1155,IF(F1155="MXN",1/HLOOKUP(YEAR(G1155)+(MONTH(G1155)/100),TC!$5:$37,DAY(G1155)+2,FALSE),VLOOKUP(F1155,Equivalencia!$5:$23,((MAX(Equivalencia!$3:$3)-YEAR(G1155))*14)+MONTH(G1155)+2,FALSE))))</f>
        <v>1</v>
      </c>
      <c r="M1155" s="306">
        <f t="shared" si="309"/>
        <v>6282.2157303370786</v>
      </c>
      <c r="N1155" s="305">
        <f>IF(G1155=0,0,(IF(OR(E1155=$AT$5,E1155=$AT$6),AC1155,HLOOKUP(YEAR(G1155)+(MONTH(G1155)/100),TC!$5:$37,DAY(G1155)+2,FALSE))))</f>
        <v>20.849799999999998</v>
      </c>
      <c r="O1155" s="307">
        <f t="shared" si="310"/>
        <v>130982.94153438201</v>
      </c>
      <c r="P1155" s="560">
        <f>IF(G1155=0,0,VLOOKUP(YEAR(G1155),INPC!$B$4:$P$30,MONTH(G1155)+2))</f>
        <v>111.824</v>
      </c>
      <c r="Q1155" s="560">
        <f>IF(X1155=0,0,IF(OR(E1155=$AT$10,E1155=$AT$9),VLOOKUP(YEAR(X1155),INPC!$B$4:$P$30,MONTH(X1155)+1),VLOOKUP(YEAR(X1155),INPC!$B$4:$P$30,MONTH(X1155)+2,0)))</f>
        <v>124.571</v>
      </c>
      <c r="R1155" s="309">
        <f t="shared" si="311"/>
        <v>1.1138999999999999</v>
      </c>
      <c r="S1155" s="310">
        <f t="shared" si="312"/>
        <v>145901.89857514811</v>
      </c>
      <c r="T1155" s="555">
        <f t="shared" si="313"/>
        <v>3647.5474643787029</v>
      </c>
      <c r="U1155" s="311"/>
      <c r="V1155" s="312">
        <v>40</v>
      </c>
      <c r="W1155" s="299" t="s">
        <v>194</v>
      </c>
      <c r="X1155" s="300">
        <v>44851</v>
      </c>
      <c r="Y1155" s="299" t="s">
        <v>59</v>
      </c>
      <c r="Z1155" s="303">
        <v>5842.05</v>
      </c>
      <c r="AA1155" s="305">
        <f>IF(Z1155=0,0,IF(Y1155="MXN",1/HLOOKUP(YEAR(X1155)+(MONTH(X1155)/100),TC!$5:$37,DAY(X1155)+2,FALSE),VLOOKUP(Y1155,Equivalencia!$1:$23,((MAX(Equivalencia!$3:$3)-YEAR(X1155))*14)+MONTH(X1155)+2,FALSE)))</f>
        <v>1</v>
      </c>
      <c r="AB1155" s="306">
        <f t="shared" si="314"/>
        <v>5842.05</v>
      </c>
      <c r="AC1155" s="305">
        <f>+IF(X1155=0,0,HLOOKUP(YEAR(X1155)+(MONTH(X1155)/100),TC!$5:$37,DAY(X1155)+2,FALSE))</f>
        <v>20.0398</v>
      </c>
      <c r="AD1155" s="307">
        <f t="shared" si="315"/>
        <v>117073.51359</v>
      </c>
      <c r="AE1155" s="314">
        <f t="shared" si="316"/>
        <v>145901.89857514811</v>
      </c>
      <c r="AF1155" s="315">
        <f t="shared" si="317"/>
        <v>-28828.384985148106</v>
      </c>
      <c r="AG1155" s="316">
        <f t="shared" si="318"/>
        <v>1.6109589041095891</v>
      </c>
      <c r="AH1155" s="314">
        <v>1</v>
      </c>
      <c r="AI1155" s="314">
        <f t="shared" si="319"/>
        <v>-28828.384985148106</v>
      </c>
      <c r="AJ1155" s="314">
        <f t="shared" si="320"/>
        <v>0</v>
      </c>
      <c r="AK1155" s="317"/>
      <c r="AL1155" s="315">
        <f t="shared" si="321"/>
        <v>-440.16573033707846</v>
      </c>
      <c r="AN1155" s="554">
        <f t="shared" si="322"/>
        <v>-7.0065363755577509E-2</v>
      </c>
      <c r="AO1155" s="314"/>
      <c r="AP1155" s="318"/>
    </row>
    <row r="1156" spans="2:42">
      <c r="B1156" s="296" t="s">
        <v>1254</v>
      </c>
      <c r="C1156" s="299" t="s">
        <v>277</v>
      </c>
      <c r="D1156" s="298" t="s">
        <v>707</v>
      </c>
      <c r="E1156" s="299" t="s">
        <v>113</v>
      </c>
      <c r="F1156" s="299" t="s">
        <v>59</v>
      </c>
      <c r="G1156" s="300">
        <v>44263</v>
      </c>
      <c r="H1156" s="303">
        <v>3298.163258426966</v>
      </c>
      <c r="I1156" s="301" t="str">
        <f t="shared" si="306"/>
        <v>Ingresos Sección II LISR (SIC &amp; BMV)</v>
      </c>
      <c r="J1156" s="302">
        <f t="shared" si="307"/>
        <v>21</v>
      </c>
      <c r="K1156" s="304">
        <f t="shared" si="308"/>
        <v>157.05539325842696</v>
      </c>
      <c r="L1156" s="305">
        <f>IF(H1156=0,0,IF(OR(E1156=$AT$5,E1156=$AT$6),AA1156,IF(F1156="MXN",1/HLOOKUP(YEAR(G1156)+(MONTH(G1156)/100),TC!$5:$37,DAY(G1156)+2,FALSE),VLOOKUP(F1156,Equivalencia!$5:$23,((MAX(Equivalencia!$3:$3)-YEAR(G1156))*14)+MONTH(G1156)+2,FALSE))))</f>
        <v>1</v>
      </c>
      <c r="M1156" s="306">
        <f t="shared" si="309"/>
        <v>3298.163258426966</v>
      </c>
      <c r="N1156" s="305">
        <f>IF(G1156=0,0,(IF(OR(E1156=$AT$5,E1156=$AT$6),AC1156,HLOOKUP(YEAR(G1156)+(MONTH(G1156)/100),TC!$5:$37,DAY(G1156)+2,FALSE))))</f>
        <v>20.849799999999998</v>
      </c>
      <c r="O1156" s="307">
        <f t="shared" si="310"/>
        <v>68766.044305550546</v>
      </c>
      <c r="P1156" s="560">
        <f>IF(G1156=0,0,VLOOKUP(YEAR(G1156),INPC!$B$4:$P$30,MONTH(G1156)+2))</f>
        <v>111.824</v>
      </c>
      <c r="Q1156" s="560">
        <f>IF(X1156=0,0,IF(OR(E1156=$AT$10,E1156=$AT$9),VLOOKUP(YEAR(X1156),INPC!$B$4:$P$30,MONTH(X1156)+1),VLOOKUP(YEAR(X1156),INPC!$B$4:$P$30,MONTH(X1156)+2,0)))</f>
        <v>124.571</v>
      </c>
      <c r="R1156" s="309">
        <f t="shared" si="311"/>
        <v>1.1138999999999999</v>
      </c>
      <c r="S1156" s="310">
        <f t="shared" si="312"/>
        <v>76598.496751952742</v>
      </c>
      <c r="T1156" s="555">
        <f t="shared" si="313"/>
        <v>3647.547464378702</v>
      </c>
      <c r="U1156" s="311"/>
      <c r="V1156" s="312">
        <v>21</v>
      </c>
      <c r="W1156" s="299" t="s">
        <v>194</v>
      </c>
      <c r="X1156" s="300">
        <v>44851</v>
      </c>
      <c r="Y1156" s="299" t="s">
        <v>59</v>
      </c>
      <c r="Z1156" s="303">
        <v>3054.29</v>
      </c>
      <c r="AA1156" s="305">
        <f>IF(Z1156=0,0,IF(Y1156="MXN",1/HLOOKUP(YEAR(X1156)+(MONTH(X1156)/100),TC!$5:$37,DAY(X1156)+2,FALSE),VLOOKUP(Y1156,Equivalencia!$1:$23,((MAX(Equivalencia!$3:$3)-YEAR(X1156))*14)+MONTH(X1156)+2,FALSE)))</f>
        <v>1</v>
      </c>
      <c r="AB1156" s="306">
        <f t="shared" si="314"/>
        <v>3054.29</v>
      </c>
      <c r="AC1156" s="305">
        <f>+IF(X1156=0,0,HLOOKUP(YEAR(X1156)+(MONTH(X1156)/100),TC!$5:$37,DAY(X1156)+2,FALSE))</f>
        <v>20.0398</v>
      </c>
      <c r="AD1156" s="307">
        <f t="shared" si="315"/>
        <v>61207.360741999997</v>
      </c>
      <c r="AE1156" s="314">
        <f t="shared" si="316"/>
        <v>76598.496751952742</v>
      </c>
      <c r="AF1156" s="315">
        <f t="shared" si="317"/>
        <v>-15391.136009952745</v>
      </c>
      <c r="AG1156" s="316">
        <f t="shared" si="318"/>
        <v>1.6109589041095891</v>
      </c>
      <c r="AH1156" s="314">
        <v>1</v>
      </c>
      <c r="AI1156" s="314">
        <f t="shared" si="319"/>
        <v>-15391.136009952745</v>
      </c>
      <c r="AJ1156" s="314">
        <f t="shared" si="320"/>
        <v>0</v>
      </c>
      <c r="AK1156" s="317"/>
      <c r="AL1156" s="315">
        <f t="shared" si="321"/>
        <v>-243.873258426966</v>
      </c>
      <c r="AN1156" s="554">
        <f t="shared" si="322"/>
        <v>-7.394214273773686E-2</v>
      </c>
      <c r="AO1156" s="314"/>
      <c r="AP1156" s="318"/>
    </row>
    <row r="1157" spans="2:42">
      <c r="B1157" s="296" t="s">
        <v>1254</v>
      </c>
      <c r="C1157" s="299" t="s">
        <v>277</v>
      </c>
      <c r="D1157" s="298" t="s">
        <v>879</v>
      </c>
      <c r="E1157" s="299" t="s">
        <v>113</v>
      </c>
      <c r="F1157" s="299" t="s">
        <v>59</v>
      </c>
      <c r="G1157" s="300">
        <v>44159</v>
      </c>
      <c r="H1157" s="303">
        <v>6070.2833333333328</v>
      </c>
      <c r="I1157" s="301" t="str">
        <f t="shared" si="306"/>
        <v>Ingresos Sección II LISR (SIC &amp; BMV)</v>
      </c>
      <c r="J1157" s="302">
        <f t="shared" si="307"/>
        <v>45</v>
      </c>
      <c r="K1157" s="304">
        <f t="shared" si="308"/>
        <v>134.89518518518517</v>
      </c>
      <c r="L1157" s="305">
        <f>IF(H1157=0,0,IF(OR(E1157=$AT$5,E1157=$AT$6),AA1157,IF(F1157="MXN",1/HLOOKUP(YEAR(G1157)+(MONTH(G1157)/100),TC!$5:$37,DAY(G1157)+2,FALSE),VLOOKUP(F1157,Equivalencia!$5:$23,((MAX(Equivalencia!$3:$3)-YEAR(G1157))*14)+MONTH(G1157)+2,FALSE))))</f>
        <v>1</v>
      </c>
      <c r="M1157" s="306">
        <f t="shared" si="309"/>
        <v>6070.2833333333328</v>
      </c>
      <c r="N1157" s="305">
        <f>IF(G1157=0,0,(IF(OR(E1157=$AT$5,E1157=$AT$6),AC1157,HLOOKUP(YEAR(G1157)+(MONTH(G1157)/100),TC!$5:$37,DAY(G1157)+2,FALSE))))</f>
        <v>20.1172</v>
      </c>
      <c r="O1157" s="307">
        <f t="shared" si="310"/>
        <v>122117.10387333333</v>
      </c>
      <c r="P1157" s="560">
        <f>IF(G1157=0,0,VLOOKUP(YEAR(G1157),INPC!$B$4:$P$30,MONTH(G1157)+2))</f>
        <v>108.85599999999999</v>
      </c>
      <c r="Q1157" s="560">
        <f>IF(X1157=0,0,IF(OR(E1157=$AT$10,E1157=$AT$9),VLOOKUP(YEAR(X1157),INPC!$B$4:$P$30,MONTH(X1157)+1),VLOOKUP(YEAR(X1157),INPC!$B$4:$P$30,MONTH(X1157)+2,0)))</f>
        <v>123.803</v>
      </c>
      <c r="R1157" s="309">
        <f t="shared" si="311"/>
        <v>1.1373</v>
      </c>
      <c r="S1157" s="310">
        <f t="shared" si="312"/>
        <v>138883.78223514199</v>
      </c>
      <c r="T1157" s="555">
        <f t="shared" si="313"/>
        <v>3086.3062718920442</v>
      </c>
      <c r="U1157" s="311"/>
      <c r="V1157" s="312">
        <v>45</v>
      </c>
      <c r="W1157" s="299" t="s">
        <v>194</v>
      </c>
      <c r="X1157" s="300">
        <v>44834</v>
      </c>
      <c r="Y1157" s="299" t="s">
        <v>59</v>
      </c>
      <c r="Z1157" s="303">
        <v>3836.6209923664119</v>
      </c>
      <c r="AA1157" s="305">
        <f>IF(Z1157=0,0,IF(Y1157="MXN",1/HLOOKUP(YEAR(X1157)+(MONTH(X1157)/100),TC!$5:$37,DAY(X1157)+2,FALSE),VLOOKUP(Y1157,Equivalencia!$1:$23,((MAX(Equivalencia!$3:$3)-YEAR(X1157))*14)+MONTH(X1157)+2,FALSE)))</f>
        <v>1</v>
      </c>
      <c r="AB1157" s="306">
        <f t="shared" si="314"/>
        <v>3836.6209923664119</v>
      </c>
      <c r="AC1157" s="305">
        <f>+IF(X1157=0,0,HLOOKUP(YEAR(X1157)+(MONTH(X1157)/100),TC!$5:$37,DAY(X1157)+2,FALSE))</f>
        <v>20.305800000000001</v>
      </c>
      <c r="AD1157" s="307">
        <f t="shared" si="315"/>
        <v>77905.658546793886</v>
      </c>
      <c r="AE1157" s="314">
        <f t="shared" si="316"/>
        <v>138883.78223514199</v>
      </c>
      <c r="AF1157" s="315">
        <f t="shared" si="317"/>
        <v>-60978.123688348103</v>
      </c>
      <c r="AG1157" s="316">
        <f t="shared" si="318"/>
        <v>1.8493150684931507</v>
      </c>
      <c r="AH1157" s="314">
        <v>1</v>
      </c>
      <c r="AI1157" s="314">
        <f t="shared" si="319"/>
        <v>-60978.123688348103</v>
      </c>
      <c r="AJ1157" s="314">
        <f t="shared" si="320"/>
        <v>0</v>
      </c>
      <c r="AK1157" s="317"/>
      <c r="AL1157" s="315">
        <f t="shared" si="321"/>
        <v>-2233.662340966921</v>
      </c>
      <c r="AN1157" s="554">
        <f t="shared" si="322"/>
        <v>-0.36796673537483221</v>
      </c>
      <c r="AO1157" s="314"/>
      <c r="AP1157" s="318"/>
    </row>
    <row r="1158" spans="2:42">
      <c r="B1158" s="296" t="s">
        <v>1254</v>
      </c>
      <c r="C1158" s="299" t="s">
        <v>277</v>
      </c>
      <c r="D1158" s="298" t="s">
        <v>879</v>
      </c>
      <c r="E1158" s="299" t="s">
        <v>113</v>
      </c>
      <c r="F1158" s="299" t="s">
        <v>59</v>
      </c>
      <c r="G1158" s="300">
        <v>44349</v>
      </c>
      <c r="H1158" s="303">
        <v>4236.7925454545457</v>
      </c>
      <c r="I1158" s="301" t="str">
        <f t="shared" si="306"/>
        <v>Ingresos Sección II LISR (SIC &amp; BMV)</v>
      </c>
      <c r="J1158" s="302">
        <f t="shared" si="307"/>
        <v>31</v>
      </c>
      <c r="K1158" s="304">
        <f t="shared" si="308"/>
        <v>136.67072727272728</v>
      </c>
      <c r="L1158" s="305">
        <f>IF(H1158=0,0,IF(OR(E1158=$AT$5,E1158=$AT$6),AA1158,IF(F1158="MXN",1/HLOOKUP(YEAR(G1158)+(MONTH(G1158)/100),TC!$5:$37,DAY(G1158)+2,FALSE),VLOOKUP(F1158,Equivalencia!$5:$23,((MAX(Equivalencia!$3:$3)-YEAR(G1158))*14)+MONTH(G1158)+2,FALSE))))</f>
        <v>1</v>
      </c>
      <c r="M1158" s="306">
        <f t="shared" si="309"/>
        <v>4236.7925454545457</v>
      </c>
      <c r="N1158" s="305">
        <f>IF(G1158=0,0,(IF(OR(E1158=$AT$5,E1158=$AT$6),AC1158,HLOOKUP(YEAR(G1158)+(MONTH(G1158)/100),TC!$5:$37,DAY(G1158)+2,FALSE))))</f>
        <v>19.921299999999999</v>
      </c>
      <c r="O1158" s="307">
        <f t="shared" si="310"/>
        <v>84402.415335763639</v>
      </c>
      <c r="P1158" s="560">
        <f>IF(G1158=0,0,VLOOKUP(YEAR(G1158),INPC!$B$4:$P$30,MONTH(G1158)+2))</f>
        <v>113.018</v>
      </c>
      <c r="Q1158" s="560">
        <f>IF(X1158=0,0,IF(OR(E1158=$AT$10,E1158=$AT$9),VLOOKUP(YEAR(X1158),INPC!$B$4:$P$30,MONTH(X1158)+1),VLOOKUP(YEAR(X1158),INPC!$B$4:$P$30,MONTH(X1158)+2,0)))</f>
        <v>123.803</v>
      </c>
      <c r="R1158" s="309">
        <f t="shared" si="311"/>
        <v>1.0953999999999999</v>
      </c>
      <c r="S1158" s="310">
        <f t="shared" si="312"/>
        <v>92454.405758795489</v>
      </c>
      <c r="T1158" s="555">
        <f t="shared" si="313"/>
        <v>2982.4001857675962</v>
      </c>
      <c r="U1158" s="311"/>
      <c r="V1158" s="312">
        <v>31</v>
      </c>
      <c r="W1158" s="299" t="s">
        <v>194</v>
      </c>
      <c r="X1158" s="300">
        <v>44834</v>
      </c>
      <c r="Y1158" s="299" t="s">
        <v>59</v>
      </c>
      <c r="Z1158" s="303">
        <v>2643.0055725190841</v>
      </c>
      <c r="AA1158" s="305">
        <f>IF(Z1158=0,0,IF(Y1158="MXN",1/HLOOKUP(YEAR(X1158)+(MONTH(X1158)/100),TC!$5:$37,DAY(X1158)+2,FALSE),VLOOKUP(Y1158,Equivalencia!$1:$23,((MAX(Equivalencia!$3:$3)-YEAR(X1158))*14)+MONTH(X1158)+2,FALSE)))</f>
        <v>1</v>
      </c>
      <c r="AB1158" s="306">
        <f t="shared" si="314"/>
        <v>2643.0055725190841</v>
      </c>
      <c r="AC1158" s="305">
        <f>+IF(X1158=0,0,HLOOKUP(YEAR(X1158)+(MONTH(X1158)/100),TC!$5:$37,DAY(X1158)+2,FALSE))</f>
        <v>20.305800000000001</v>
      </c>
      <c r="AD1158" s="307">
        <f t="shared" si="315"/>
        <v>53668.342554458024</v>
      </c>
      <c r="AE1158" s="314">
        <f t="shared" si="316"/>
        <v>92454.405758795489</v>
      </c>
      <c r="AF1158" s="315">
        <f t="shared" si="317"/>
        <v>-38786.063204337464</v>
      </c>
      <c r="AG1158" s="316">
        <f t="shared" si="318"/>
        <v>1.3287671232876712</v>
      </c>
      <c r="AH1158" s="314">
        <v>1</v>
      </c>
      <c r="AI1158" s="314">
        <f t="shared" si="319"/>
        <v>-38786.063204337464</v>
      </c>
      <c r="AJ1158" s="314">
        <f t="shared" si="320"/>
        <v>0</v>
      </c>
      <c r="AK1158" s="317"/>
      <c r="AL1158" s="315">
        <f t="shared" si="321"/>
        <v>-1593.7869729354616</v>
      </c>
      <c r="AN1158" s="554">
        <f t="shared" si="322"/>
        <v>-0.37617772308567721</v>
      </c>
      <c r="AO1158" s="314"/>
      <c r="AP1158" s="318"/>
    </row>
    <row r="1159" spans="2:42">
      <c r="B1159" s="296" t="s">
        <v>1254</v>
      </c>
      <c r="C1159" s="299" t="s">
        <v>277</v>
      </c>
      <c r="D1159" s="298" t="s">
        <v>879</v>
      </c>
      <c r="E1159" s="299" t="s">
        <v>113</v>
      </c>
      <c r="F1159" s="299" t="s">
        <v>59</v>
      </c>
      <c r="G1159" s="300">
        <v>44400</v>
      </c>
      <c r="H1159" s="303">
        <v>21045.72</v>
      </c>
      <c r="I1159" s="301" t="str">
        <f t="shared" si="306"/>
        <v>Ingresos Sección II LISR (SIC &amp; BMV)</v>
      </c>
      <c r="J1159" s="302">
        <f t="shared" si="307"/>
        <v>127</v>
      </c>
      <c r="K1159" s="304">
        <f t="shared" si="308"/>
        <v>165.71433070866144</v>
      </c>
      <c r="L1159" s="305">
        <f>IF(H1159=0,0,IF(OR(E1159=$AT$5,E1159=$AT$6),AA1159,IF(F1159="MXN",1/HLOOKUP(YEAR(G1159)+(MONTH(G1159)/100),TC!$5:$37,DAY(G1159)+2,FALSE),VLOOKUP(F1159,Equivalencia!$5:$23,((MAX(Equivalencia!$3:$3)-YEAR(G1159))*14)+MONTH(G1159)+2,FALSE))))</f>
        <v>1</v>
      </c>
      <c r="M1159" s="306">
        <f t="shared" si="309"/>
        <v>21045.72</v>
      </c>
      <c r="N1159" s="305">
        <f>IF(G1159=0,0,(IF(OR(E1159=$AT$5,E1159=$AT$6),AC1159,HLOOKUP(YEAR(G1159)+(MONTH(G1159)/100),TC!$5:$37,DAY(G1159)+2,FALSE))))</f>
        <v>20.1907</v>
      </c>
      <c r="O1159" s="307">
        <f t="shared" si="310"/>
        <v>424927.81880400004</v>
      </c>
      <c r="P1159" s="560">
        <f>IF(G1159=0,0,VLOOKUP(YEAR(G1159),INPC!$B$4:$P$30,MONTH(G1159)+2))</f>
        <v>113.682</v>
      </c>
      <c r="Q1159" s="560">
        <f>IF(X1159=0,0,IF(OR(E1159=$AT$10,E1159=$AT$9),VLOOKUP(YEAR(X1159),INPC!$B$4:$P$30,MONTH(X1159)+1),VLOOKUP(YEAR(X1159),INPC!$B$4:$P$30,MONTH(X1159)+2,0)))</f>
        <v>123.803</v>
      </c>
      <c r="R1159" s="309">
        <f t="shared" si="311"/>
        <v>1.089</v>
      </c>
      <c r="S1159" s="310">
        <f t="shared" si="312"/>
        <v>462746.394677556</v>
      </c>
      <c r="T1159" s="555">
        <f t="shared" si="313"/>
        <v>3643.6723990358742</v>
      </c>
      <c r="U1159" s="311"/>
      <c r="V1159" s="312">
        <v>127</v>
      </c>
      <c r="W1159" s="299" t="s">
        <v>194</v>
      </c>
      <c r="X1159" s="300">
        <v>44834</v>
      </c>
      <c r="Y1159" s="299" t="s">
        <v>59</v>
      </c>
      <c r="Z1159" s="303">
        <v>10827.797022900762</v>
      </c>
      <c r="AA1159" s="305">
        <f>IF(Z1159=0,0,IF(Y1159="MXN",1/HLOOKUP(YEAR(X1159)+(MONTH(X1159)/100),TC!$5:$37,DAY(X1159)+2,FALSE),VLOOKUP(Y1159,Equivalencia!$1:$23,((MAX(Equivalencia!$3:$3)-YEAR(X1159))*14)+MONTH(X1159)+2,FALSE)))</f>
        <v>1</v>
      </c>
      <c r="AB1159" s="306">
        <f t="shared" si="314"/>
        <v>10827.797022900762</v>
      </c>
      <c r="AC1159" s="305">
        <f>+IF(X1159=0,0,HLOOKUP(YEAR(X1159)+(MONTH(X1159)/100),TC!$5:$37,DAY(X1159)+2,FALSE))</f>
        <v>20.305800000000001</v>
      </c>
      <c r="AD1159" s="307">
        <f t="shared" si="315"/>
        <v>219867.08078761832</v>
      </c>
      <c r="AE1159" s="314">
        <f t="shared" si="316"/>
        <v>462746.394677556</v>
      </c>
      <c r="AF1159" s="315">
        <f t="shared" si="317"/>
        <v>-242879.31388993768</v>
      </c>
      <c r="AG1159" s="316">
        <f t="shared" si="318"/>
        <v>1.189041095890411</v>
      </c>
      <c r="AH1159" s="314">
        <v>1</v>
      </c>
      <c r="AI1159" s="314">
        <f t="shared" si="319"/>
        <v>-242879.31388993768</v>
      </c>
      <c r="AJ1159" s="314">
        <f t="shared" si="320"/>
        <v>0</v>
      </c>
      <c r="AK1159" s="317"/>
      <c r="AL1159" s="315">
        <f t="shared" si="321"/>
        <v>-10217.922977099239</v>
      </c>
      <c r="AN1159" s="554">
        <f t="shared" si="322"/>
        <v>-0.4855107345863785</v>
      </c>
      <c r="AO1159" s="314"/>
      <c r="AP1159" s="318"/>
    </row>
    <row r="1160" spans="2:42">
      <c r="B1160" s="296" t="s">
        <v>1254</v>
      </c>
      <c r="C1160" s="299" t="s">
        <v>277</v>
      </c>
      <c r="D1160" s="298" t="s">
        <v>879</v>
      </c>
      <c r="E1160" s="299" t="s">
        <v>113</v>
      </c>
      <c r="F1160" s="299" t="s">
        <v>59</v>
      </c>
      <c r="G1160" s="300">
        <v>44405</v>
      </c>
      <c r="H1160" s="303">
        <v>12565.69</v>
      </c>
      <c r="I1160" s="301" t="str">
        <f t="shared" si="306"/>
        <v>Ingresos Sección II LISR (SIC &amp; BMV)</v>
      </c>
      <c r="J1160" s="302">
        <f t="shared" si="307"/>
        <v>76</v>
      </c>
      <c r="K1160" s="304">
        <f t="shared" si="308"/>
        <v>165.33802631578948</v>
      </c>
      <c r="L1160" s="305">
        <f>IF(H1160=0,0,IF(OR(E1160=$AT$5,E1160=$AT$6),AA1160,IF(F1160="MXN",1/HLOOKUP(YEAR(G1160)+(MONTH(G1160)/100),TC!$5:$37,DAY(G1160)+2,FALSE),VLOOKUP(F1160,Equivalencia!$5:$23,((MAX(Equivalencia!$3:$3)-YEAR(G1160))*14)+MONTH(G1160)+2,FALSE))))</f>
        <v>1</v>
      </c>
      <c r="M1160" s="306">
        <f t="shared" si="309"/>
        <v>12565.69</v>
      </c>
      <c r="N1160" s="305">
        <f>IF(G1160=0,0,(IF(OR(E1160=$AT$5,E1160=$AT$6),AC1160,HLOOKUP(YEAR(G1160)+(MONTH(G1160)/100),TC!$5:$37,DAY(G1160)+2,FALSE))))</f>
        <v>20.0245</v>
      </c>
      <c r="O1160" s="307">
        <f t="shared" si="310"/>
        <v>251621.65940500001</v>
      </c>
      <c r="P1160" s="560">
        <f>IF(G1160=0,0,VLOOKUP(YEAR(G1160),INPC!$B$4:$P$30,MONTH(G1160)+2))</f>
        <v>113.682</v>
      </c>
      <c r="Q1160" s="560">
        <f>IF(X1160=0,0,IF(OR(E1160=$AT$10,E1160=$AT$9),VLOOKUP(YEAR(X1160),INPC!$B$4:$P$30,MONTH(X1160)+1),VLOOKUP(YEAR(X1160),INPC!$B$4:$P$30,MONTH(X1160)+2,0)))</f>
        <v>123.803</v>
      </c>
      <c r="R1160" s="309">
        <f t="shared" si="311"/>
        <v>1.089</v>
      </c>
      <c r="S1160" s="310">
        <f t="shared" si="312"/>
        <v>274015.98709204502</v>
      </c>
      <c r="T1160" s="555">
        <f t="shared" si="313"/>
        <v>3605.4735143690136</v>
      </c>
      <c r="U1160" s="311"/>
      <c r="V1160" s="312">
        <v>76</v>
      </c>
      <c r="W1160" s="299" t="s">
        <v>194</v>
      </c>
      <c r="X1160" s="300">
        <v>44834</v>
      </c>
      <c r="Y1160" s="299" t="s">
        <v>59</v>
      </c>
      <c r="Z1160" s="303">
        <v>6479.626564885496</v>
      </c>
      <c r="AA1160" s="305">
        <f>IF(Z1160=0,0,IF(Y1160="MXN",1/HLOOKUP(YEAR(X1160)+(MONTH(X1160)/100),TC!$5:$37,DAY(X1160)+2,FALSE),VLOOKUP(Y1160,Equivalencia!$1:$23,((MAX(Equivalencia!$3:$3)-YEAR(X1160))*14)+MONTH(X1160)+2,FALSE)))</f>
        <v>1</v>
      </c>
      <c r="AB1160" s="306">
        <f t="shared" si="314"/>
        <v>6479.626564885496</v>
      </c>
      <c r="AC1160" s="305">
        <f>+IF(X1160=0,0,HLOOKUP(YEAR(X1160)+(MONTH(X1160)/100),TC!$5:$37,DAY(X1160)+2,FALSE))</f>
        <v>20.305800000000001</v>
      </c>
      <c r="AD1160" s="307">
        <f t="shared" si="315"/>
        <v>131574.00110125192</v>
      </c>
      <c r="AE1160" s="314">
        <f t="shared" si="316"/>
        <v>274015.98709204502</v>
      </c>
      <c r="AF1160" s="315">
        <f t="shared" si="317"/>
        <v>-142441.98599079309</v>
      </c>
      <c r="AG1160" s="316">
        <f t="shared" si="318"/>
        <v>1.1753424657534246</v>
      </c>
      <c r="AH1160" s="314">
        <v>1</v>
      </c>
      <c r="AI1160" s="314">
        <f t="shared" si="319"/>
        <v>-142441.98599079309</v>
      </c>
      <c r="AJ1160" s="314">
        <f t="shared" si="320"/>
        <v>0</v>
      </c>
      <c r="AK1160" s="317"/>
      <c r="AL1160" s="315">
        <f t="shared" si="321"/>
        <v>-6086.0634351145045</v>
      </c>
      <c r="AN1160" s="554">
        <f t="shared" si="322"/>
        <v>-0.48433977243704918</v>
      </c>
      <c r="AO1160" s="314"/>
      <c r="AP1160" s="318"/>
    </row>
    <row r="1161" spans="2:42">
      <c r="B1161" s="296" t="s">
        <v>1254</v>
      </c>
      <c r="C1161" s="299" t="s">
        <v>277</v>
      </c>
      <c r="D1161" s="298" t="s">
        <v>879</v>
      </c>
      <c r="E1161" s="299" t="s">
        <v>113</v>
      </c>
      <c r="F1161" s="299" t="s">
        <v>59</v>
      </c>
      <c r="G1161" s="300">
        <v>44466</v>
      </c>
      <c r="H1161" s="303">
        <v>15504.240000000002</v>
      </c>
      <c r="I1161" s="301" t="str">
        <f t="shared" si="306"/>
        <v>Ingresos Sección II LISR (SIC &amp; BMV)</v>
      </c>
      <c r="J1161" s="302">
        <f t="shared" si="307"/>
        <v>104</v>
      </c>
      <c r="K1161" s="304">
        <f t="shared" si="308"/>
        <v>149.07923076923078</v>
      </c>
      <c r="L1161" s="305">
        <f>IF(H1161=0,0,IF(OR(E1161=$AT$5,E1161=$AT$6),AA1161,IF(F1161="MXN",1/HLOOKUP(YEAR(G1161)+(MONTH(G1161)/100),TC!$5:$37,DAY(G1161)+2,FALSE),VLOOKUP(F1161,Equivalencia!$5:$23,((MAX(Equivalencia!$3:$3)-YEAR(G1161))*14)+MONTH(G1161)+2,FALSE))))</f>
        <v>1</v>
      </c>
      <c r="M1161" s="306">
        <f t="shared" si="309"/>
        <v>15504.240000000002</v>
      </c>
      <c r="N1161" s="305">
        <f>IF(G1161=0,0,(IF(OR(E1161=$AT$5,E1161=$AT$6),AC1161,HLOOKUP(YEAR(G1161)+(MONTH(G1161)/100),TC!$5:$37,DAY(G1161)+2,FALSE))))</f>
        <v>20.027999999999999</v>
      </c>
      <c r="O1161" s="307">
        <f t="shared" si="310"/>
        <v>310518.91872000002</v>
      </c>
      <c r="P1161" s="560">
        <f>IF(G1161=0,0,VLOOKUP(YEAR(G1161),INPC!$B$4:$P$30,MONTH(G1161)+2))</f>
        <v>114.601</v>
      </c>
      <c r="Q1161" s="560">
        <f>IF(X1161=0,0,IF(OR(E1161=$AT$10,E1161=$AT$9),VLOOKUP(YEAR(X1161),INPC!$B$4:$P$30,MONTH(X1161)+1),VLOOKUP(YEAR(X1161),INPC!$B$4:$P$30,MONTH(X1161)+2,0)))</f>
        <v>123.803</v>
      </c>
      <c r="R1161" s="309">
        <f t="shared" si="311"/>
        <v>1.0802</v>
      </c>
      <c r="S1161" s="310">
        <f t="shared" si="312"/>
        <v>335422.53600134404</v>
      </c>
      <c r="T1161" s="555">
        <f t="shared" si="313"/>
        <v>3225.2166923206159</v>
      </c>
      <c r="U1161" s="311"/>
      <c r="V1161" s="312">
        <v>104</v>
      </c>
      <c r="W1161" s="299" t="s">
        <v>194</v>
      </c>
      <c r="X1161" s="300">
        <v>44834</v>
      </c>
      <c r="Y1161" s="299" t="s">
        <v>59</v>
      </c>
      <c r="Z1161" s="303">
        <v>8866.8574045801524</v>
      </c>
      <c r="AA1161" s="305">
        <f>IF(Z1161=0,0,IF(Y1161="MXN",1/HLOOKUP(YEAR(X1161)+(MONTH(X1161)/100),TC!$5:$37,DAY(X1161)+2,FALSE),VLOOKUP(Y1161,Equivalencia!$1:$23,((MAX(Equivalencia!$3:$3)-YEAR(X1161))*14)+MONTH(X1161)+2,FALSE)))</f>
        <v>1</v>
      </c>
      <c r="AB1161" s="306">
        <f t="shared" si="314"/>
        <v>8866.8574045801524</v>
      </c>
      <c r="AC1161" s="305">
        <f>+IF(X1161=0,0,HLOOKUP(YEAR(X1161)+(MONTH(X1161)/100),TC!$5:$37,DAY(X1161)+2,FALSE))</f>
        <v>20.305800000000001</v>
      </c>
      <c r="AD1161" s="307">
        <f t="shared" si="315"/>
        <v>180048.63308592368</v>
      </c>
      <c r="AE1161" s="314">
        <f t="shared" si="316"/>
        <v>335422.53600134404</v>
      </c>
      <c r="AF1161" s="315">
        <f t="shared" si="317"/>
        <v>-155373.90291542036</v>
      </c>
      <c r="AG1161" s="316">
        <f t="shared" si="318"/>
        <v>1.0082191780821919</v>
      </c>
      <c r="AH1161" s="314">
        <v>1</v>
      </c>
      <c r="AI1161" s="314">
        <f t="shared" si="319"/>
        <v>-155373.90291542036</v>
      </c>
      <c r="AJ1161" s="314">
        <f t="shared" si="320"/>
        <v>0</v>
      </c>
      <c r="AK1161" s="317"/>
      <c r="AL1161" s="315">
        <f t="shared" si="321"/>
        <v>-6637.3825954198492</v>
      </c>
      <c r="AN1161" s="554">
        <f t="shared" si="322"/>
        <v>-0.42810112559015134</v>
      </c>
      <c r="AO1161" s="314"/>
      <c r="AP1161" s="318"/>
    </row>
    <row r="1162" spans="2:42">
      <c r="B1162" s="296" t="s">
        <v>1254</v>
      </c>
      <c r="C1162" s="299" t="s">
        <v>277</v>
      </c>
      <c r="D1162" s="298" t="s">
        <v>879</v>
      </c>
      <c r="E1162" s="299" t="s">
        <v>113</v>
      </c>
      <c r="F1162" s="299" t="s">
        <v>59</v>
      </c>
      <c r="G1162" s="300">
        <v>44519</v>
      </c>
      <c r="H1162" s="303">
        <v>171.7</v>
      </c>
      <c r="I1162" s="301" t="str">
        <f t="shared" si="306"/>
        <v>Ingresos Sección II LISR (SIC &amp; BMV)</v>
      </c>
      <c r="J1162" s="302">
        <f t="shared" si="307"/>
        <v>1</v>
      </c>
      <c r="K1162" s="304">
        <f t="shared" si="308"/>
        <v>171.7</v>
      </c>
      <c r="L1162" s="305">
        <f>IF(H1162=0,0,IF(OR(E1162=$AT$5,E1162=$AT$6),AA1162,IF(F1162="MXN",1/HLOOKUP(YEAR(G1162)+(MONTH(G1162)/100),TC!$5:$37,DAY(G1162)+2,FALSE),VLOOKUP(F1162,Equivalencia!$5:$23,((MAX(Equivalencia!$3:$3)-YEAR(G1162))*14)+MONTH(G1162)+2,FALSE))))</f>
        <v>1</v>
      </c>
      <c r="M1162" s="306">
        <f t="shared" si="309"/>
        <v>171.7</v>
      </c>
      <c r="N1162" s="305">
        <f>IF(G1162=0,0,(IF(OR(E1162=$AT$5,E1162=$AT$6),AC1162,HLOOKUP(YEAR(G1162)+(MONTH(G1162)/100),TC!$5:$37,DAY(G1162)+2,FALSE))))</f>
        <v>20.691199999999998</v>
      </c>
      <c r="O1162" s="307">
        <f t="shared" si="310"/>
        <v>3552.6790399999995</v>
      </c>
      <c r="P1162" s="560">
        <f>IF(G1162=0,0,VLOOKUP(YEAR(G1162),INPC!$B$4:$P$30,MONTH(G1162)+2))</f>
        <v>116.884</v>
      </c>
      <c r="Q1162" s="560">
        <f>IF(X1162=0,0,IF(OR(E1162=$AT$10,E1162=$AT$9),VLOOKUP(YEAR(X1162),INPC!$B$4:$P$30,MONTH(X1162)+1),VLOOKUP(YEAR(X1162),INPC!$B$4:$P$30,MONTH(X1162)+2,0)))</f>
        <v>123.803</v>
      </c>
      <c r="R1162" s="309">
        <f t="shared" si="311"/>
        <v>1.0590999999999999</v>
      </c>
      <c r="S1162" s="310">
        <f t="shared" si="312"/>
        <v>3762.6423712639994</v>
      </c>
      <c r="T1162" s="555">
        <f t="shared" si="313"/>
        <v>3762.6423712639994</v>
      </c>
      <c r="U1162" s="311"/>
      <c r="V1162" s="312">
        <v>1</v>
      </c>
      <c r="W1162" s="299" t="s">
        <v>194</v>
      </c>
      <c r="X1162" s="300">
        <v>44834</v>
      </c>
      <c r="Y1162" s="299" t="s">
        <v>59</v>
      </c>
      <c r="Z1162" s="303">
        <v>85.258244274809158</v>
      </c>
      <c r="AA1162" s="305">
        <f>IF(Z1162=0,0,IF(Y1162="MXN",1/HLOOKUP(YEAR(X1162)+(MONTH(X1162)/100),TC!$5:$37,DAY(X1162)+2,FALSE),VLOOKUP(Y1162,Equivalencia!$1:$23,((MAX(Equivalencia!$3:$3)-YEAR(X1162))*14)+MONTH(X1162)+2,FALSE)))</f>
        <v>1</v>
      </c>
      <c r="AB1162" s="306">
        <f t="shared" si="314"/>
        <v>85.258244274809158</v>
      </c>
      <c r="AC1162" s="305">
        <f>+IF(X1162=0,0,HLOOKUP(YEAR(X1162)+(MONTH(X1162)/100),TC!$5:$37,DAY(X1162)+2,FALSE))</f>
        <v>20.305800000000001</v>
      </c>
      <c r="AD1162" s="307">
        <f t="shared" si="315"/>
        <v>1731.23685659542</v>
      </c>
      <c r="AE1162" s="314">
        <f t="shared" si="316"/>
        <v>3762.6423712639994</v>
      </c>
      <c r="AF1162" s="315">
        <f t="shared" si="317"/>
        <v>-2031.4055146685794</v>
      </c>
      <c r="AG1162" s="316">
        <f t="shared" si="318"/>
        <v>0.86301369863013699</v>
      </c>
      <c r="AH1162" s="314">
        <v>1</v>
      </c>
      <c r="AI1162" s="314">
        <f t="shared" si="319"/>
        <v>-2031.4055146685794</v>
      </c>
      <c r="AJ1162" s="314">
        <f t="shared" si="320"/>
        <v>0</v>
      </c>
      <c r="AK1162" s="317"/>
      <c r="AL1162" s="315">
        <f t="shared" si="321"/>
        <v>-86.441755725190831</v>
      </c>
      <c r="AN1162" s="554">
        <f t="shared" si="322"/>
        <v>-0.50344645151538048</v>
      </c>
      <c r="AO1162" s="314"/>
      <c r="AP1162" s="318"/>
    </row>
    <row r="1163" spans="2:42">
      <c r="B1163" s="296" t="s">
        <v>1254</v>
      </c>
      <c r="C1163" s="299" t="s">
        <v>277</v>
      </c>
      <c r="D1163" s="298" t="s">
        <v>879</v>
      </c>
      <c r="E1163" s="299" t="s">
        <v>113</v>
      </c>
      <c r="F1163" s="299" t="s">
        <v>59</v>
      </c>
      <c r="G1163" s="300">
        <v>44740</v>
      </c>
      <c r="H1163" s="303">
        <v>8455</v>
      </c>
      <c r="I1163" s="301" t="str">
        <f t="shared" si="306"/>
        <v>Ingresos Sección II LISR (SIC &amp; BMV)</v>
      </c>
      <c r="J1163" s="302">
        <f t="shared" si="307"/>
        <v>81</v>
      </c>
      <c r="K1163" s="304">
        <f t="shared" si="308"/>
        <v>104.38271604938272</v>
      </c>
      <c r="L1163" s="305">
        <f>IF(H1163=0,0,IF(OR(E1163=$AT$5,E1163=$AT$6),AA1163,IF(F1163="MXN",1/HLOOKUP(YEAR(G1163)+(MONTH(G1163)/100),TC!$5:$37,DAY(G1163)+2,FALSE),VLOOKUP(F1163,Equivalencia!$5:$23,((MAX(Equivalencia!$3:$3)-YEAR(G1163))*14)+MONTH(G1163)+2,FALSE))))</f>
        <v>1</v>
      </c>
      <c r="M1163" s="306">
        <f t="shared" si="309"/>
        <v>8455</v>
      </c>
      <c r="N1163" s="305">
        <f>IF(G1163=0,0,(IF(OR(E1163=$AT$5,E1163=$AT$6),AC1163,HLOOKUP(YEAR(G1163)+(MONTH(G1163)/100),TC!$5:$37,DAY(G1163)+2,FALSE))))</f>
        <v>19.870699999999999</v>
      </c>
      <c r="O1163" s="307">
        <f t="shared" si="310"/>
        <v>168006.76850000001</v>
      </c>
      <c r="P1163" s="560">
        <f>IF(G1163=0,0,VLOOKUP(YEAR(G1163),INPC!$B$4:$P$30,MONTH(G1163)+2))</f>
        <v>122.044</v>
      </c>
      <c r="Q1163" s="560">
        <f>IF(X1163=0,0,IF(OR(E1163=$AT$10,E1163=$AT$9),VLOOKUP(YEAR(X1163),INPC!$B$4:$P$30,MONTH(X1163)+1),VLOOKUP(YEAR(X1163),INPC!$B$4:$P$30,MONTH(X1163)+2,0)))</f>
        <v>123.803</v>
      </c>
      <c r="R1163" s="309">
        <f t="shared" si="311"/>
        <v>1.0144</v>
      </c>
      <c r="S1163" s="310">
        <f t="shared" si="312"/>
        <v>170426.0659664</v>
      </c>
      <c r="T1163" s="555">
        <f t="shared" si="313"/>
        <v>2104.0255057580248</v>
      </c>
      <c r="U1163" s="311"/>
      <c r="V1163" s="312">
        <v>81</v>
      </c>
      <c r="W1163" s="299" t="s">
        <v>194</v>
      </c>
      <c r="X1163" s="300">
        <v>44834</v>
      </c>
      <c r="Y1163" s="299" t="s">
        <v>59</v>
      </c>
      <c r="Z1163" s="303">
        <v>6905.9177862595416</v>
      </c>
      <c r="AA1163" s="305">
        <f>IF(Z1163=0,0,IF(Y1163="MXN",1/HLOOKUP(YEAR(X1163)+(MONTH(X1163)/100),TC!$5:$37,DAY(X1163)+2,FALSE),VLOOKUP(Y1163,Equivalencia!$1:$23,((MAX(Equivalencia!$3:$3)-YEAR(X1163))*14)+MONTH(X1163)+2,FALSE)))</f>
        <v>1</v>
      </c>
      <c r="AB1163" s="306">
        <f t="shared" si="314"/>
        <v>6905.9177862595416</v>
      </c>
      <c r="AC1163" s="305">
        <f>+IF(X1163=0,0,HLOOKUP(YEAR(X1163)+(MONTH(X1163)/100),TC!$5:$37,DAY(X1163)+2,FALSE))</f>
        <v>20.305800000000001</v>
      </c>
      <c r="AD1163" s="307">
        <f t="shared" si="315"/>
        <v>140230.185384229</v>
      </c>
      <c r="AE1163" s="314">
        <f t="shared" si="316"/>
        <v>170426.0659664</v>
      </c>
      <c r="AF1163" s="315">
        <f t="shared" si="317"/>
        <v>-30195.880582170998</v>
      </c>
      <c r="AG1163" s="316">
        <f t="shared" si="318"/>
        <v>0.25753424657534246</v>
      </c>
      <c r="AH1163" s="314">
        <v>1</v>
      </c>
      <c r="AI1163" s="314">
        <f t="shared" si="319"/>
        <v>-30195.880582170998</v>
      </c>
      <c r="AJ1163" s="314">
        <f t="shared" si="320"/>
        <v>0</v>
      </c>
      <c r="AK1163" s="317"/>
      <c r="AL1163" s="315">
        <f t="shared" si="321"/>
        <v>-1549.0822137404584</v>
      </c>
      <c r="AN1163" s="554">
        <f t="shared" si="322"/>
        <v>-0.1832149277043712</v>
      </c>
      <c r="AO1163" s="314"/>
      <c r="AP1163" s="318"/>
    </row>
    <row r="1164" spans="2:42">
      <c r="B1164" s="296" t="s">
        <v>1254</v>
      </c>
      <c r="C1164" s="299" t="s">
        <v>277</v>
      </c>
      <c r="D1164" s="298" t="s">
        <v>879</v>
      </c>
      <c r="E1164" s="299" t="s">
        <v>113</v>
      </c>
      <c r="F1164" s="299" t="s">
        <v>59</v>
      </c>
      <c r="G1164" s="300">
        <v>44806</v>
      </c>
      <c r="H1164" s="303">
        <v>6364.25</v>
      </c>
      <c r="I1164" s="301" t="str">
        <f t="shared" si="306"/>
        <v>Ingresos Sección II LISR (SIC &amp; BMV)</v>
      </c>
      <c r="J1164" s="302">
        <f t="shared" si="307"/>
        <v>59</v>
      </c>
      <c r="K1164" s="304">
        <f t="shared" si="308"/>
        <v>107.86864406779661</v>
      </c>
      <c r="L1164" s="305">
        <f>IF(H1164=0,0,IF(OR(E1164=$AT$5,E1164=$AT$6),AA1164,IF(F1164="MXN",1/HLOOKUP(YEAR(G1164)+(MONTH(G1164)/100),TC!$5:$37,DAY(G1164)+2,FALSE),VLOOKUP(F1164,Equivalencia!$5:$23,((MAX(Equivalencia!$3:$3)-YEAR(G1164))*14)+MONTH(G1164)+2,FALSE))))</f>
        <v>1</v>
      </c>
      <c r="M1164" s="306">
        <f t="shared" si="309"/>
        <v>6364.25</v>
      </c>
      <c r="N1164" s="305">
        <f>IF(G1164=0,0,(IF(OR(E1164=$AT$5,E1164=$AT$6),AC1164,HLOOKUP(YEAR(G1164)+(MONTH(G1164)/100),TC!$5:$37,DAY(G1164)+2,FALSE))))</f>
        <v>20.0962</v>
      </c>
      <c r="O1164" s="307">
        <f t="shared" si="310"/>
        <v>127897.24085</v>
      </c>
      <c r="P1164" s="560">
        <f>IF(G1164=0,0,VLOOKUP(YEAR(G1164),INPC!$B$4:$P$30,MONTH(G1164)+2))</f>
        <v>124.571</v>
      </c>
      <c r="Q1164" s="560">
        <f>IF(X1164=0,0,IF(OR(E1164=$AT$10,E1164=$AT$9),VLOOKUP(YEAR(X1164),INPC!$B$4:$P$30,MONTH(X1164)+1),VLOOKUP(YEAR(X1164),INPC!$B$4:$P$30,MONTH(X1164)+2,0)))</f>
        <v>123.803</v>
      </c>
      <c r="R1164" s="309">
        <f t="shared" si="311"/>
        <v>1</v>
      </c>
      <c r="S1164" s="310">
        <f t="shared" si="312"/>
        <v>127897.24085</v>
      </c>
      <c r="T1164" s="555">
        <f t="shared" si="313"/>
        <v>2167.7498449152545</v>
      </c>
      <c r="U1164" s="311"/>
      <c r="V1164" s="312">
        <v>59</v>
      </c>
      <c r="W1164" s="299" t="s">
        <v>194</v>
      </c>
      <c r="X1164" s="300">
        <v>44834</v>
      </c>
      <c r="Y1164" s="299" t="s">
        <v>59</v>
      </c>
      <c r="Z1164" s="303">
        <v>5030.2364122137406</v>
      </c>
      <c r="AA1164" s="305">
        <f>IF(Z1164=0,0,IF(Y1164="MXN",1/HLOOKUP(YEAR(X1164)+(MONTH(X1164)/100),TC!$5:$37,DAY(X1164)+2,FALSE),VLOOKUP(Y1164,Equivalencia!$1:$23,((MAX(Equivalencia!$3:$3)-YEAR(X1164))*14)+MONTH(X1164)+2,FALSE)))</f>
        <v>1</v>
      </c>
      <c r="AB1164" s="306">
        <f t="shared" si="314"/>
        <v>5030.2364122137406</v>
      </c>
      <c r="AC1164" s="305">
        <f>+IF(X1164=0,0,HLOOKUP(YEAR(X1164)+(MONTH(X1164)/100),TC!$5:$37,DAY(X1164)+2,FALSE))</f>
        <v>20.305800000000001</v>
      </c>
      <c r="AD1164" s="307">
        <f t="shared" si="315"/>
        <v>102142.97453912978</v>
      </c>
      <c r="AE1164" s="314">
        <f t="shared" si="316"/>
        <v>127897.24085000002</v>
      </c>
      <c r="AF1164" s="315">
        <f t="shared" si="317"/>
        <v>-25754.26631087024</v>
      </c>
      <c r="AG1164" s="316">
        <f t="shared" si="318"/>
        <v>7.6712328767123292E-2</v>
      </c>
      <c r="AH1164" s="314">
        <v>1</v>
      </c>
      <c r="AI1164" s="314">
        <f t="shared" si="319"/>
        <v>-25754.26631087024</v>
      </c>
      <c r="AJ1164" s="314">
        <f t="shared" si="320"/>
        <v>0</v>
      </c>
      <c r="AK1164" s="317"/>
      <c r="AL1164" s="315">
        <f t="shared" si="321"/>
        <v>-1334.0135877862594</v>
      </c>
      <c r="AN1164" s="554">
        <f t="shared" si="322"/>
        <v>-0.20961049421161324</v>
      </c>
      <c r="AO1164" s="314"/>
      <c r="AP1164" s="318"/>
    </row>
    <row r="1165" spans="2:42">
      <c r="B1165" s="296" t="s">
        <v>1254</v>
      </c>
      <c r="C1165" s="299" t="s">
        <v>277</v>
      </c>
      <c r="D1165" s="298" t="s">
        <v>880</v>
      </c>
      <c r="E1165" s="299" t="s">
        <v>113</v>
      </c>
      <c r="F1165" s="299" t="s">
        <v>59</v>
      </c>
      <c r="G1165" s="300">
        <v>44159</v>
      </c>
      <c r="H1165" s="303">
        <v>7385.0642105263159</v>
      </c>
      <c r="I1165" s="301" t="str">
        <f t="shared" si="306"/>
        <v>Ingresos Sección II LISR (SIC &amp; BMV)</v>
      </c>
      <c r="J1165" s="302">
        <f t="shared" si="307"/>
        <v>22</v>
      </c>
      <c r="K1165" s="304">
        <f t="shared" si="308"/>
        <v>335.68473684210528</v>
      </c>
      <c r="L1165" s="305">
        <f>IF(H1165=0,0,IF(OR(E1165=$AT$5,E1165=$AT$6),AA1165,IF(F1165="MXN",1/HLOOKUP(YEAR(G1165)+(MONTH(G1165)/100),TC!$5:$37,DAY(G1165)+2,FALSE),VLOOKUP(F1165,Equivalencia!$5:$23,((MAX(Equivalencia!$3:$3)-YEAR(G1165))*14)+MONTH(G1165)+2,FALSE))))</f>
        <v>1</v>
      </c>
      <c r="M1165" s="306">
        <f t="shared" si="309"/>
        <v>7385.0642105263159</v>
      </c>
      <c r="N1165" s="305">
        <f>IF(G1165=0,0,(IF(OR(E1165=$AT$5,E1165=$AT$6),AC1165,HLOOKUP(YEAR(G1165)+(MONTH(G1165)/100),TC!$5:$37,DAY(G1165)+2,FALSE))))</f>
        <v>20.1172</v>
      </c>
      <c r="O1165" s="307">
        <f t="shared" si="310"/>
        <v>148566.81373600001</v>
      </c>
      <c r="P1165" s="560">
        <f>IF(G1165=0,0,VLOOKUP(YEAR(G1165),INPC!$B$4:$P$30,MONTH(G1165)+2))</f>
        <v>108.85599999999999</v>
      </c>
      <c r="Q1165" s="560">
        <f>IF(X1165=0,0,IF(OR(E1165=$AT$10,E1165=$AT$9),VLOOKUP(YEAR(X1165),INPC!$B$4:$P$30,MONTH(X1165)+1),VLOOKUP(YEAR(X1165),INPC!$B$4:$P$30,MONTH(X1165)+2,0)))</f>
        <v>122.94799999999999</v>
      </c>
      <c r="R1165" s="309">
        <f t="shared" si="311"/>
        <v>1.1294</v>
      </c>
      <c r="S1165" s="310">
        <f t="shared" si="312"/>
        <v>167791.3594334384</v>
      </c>
      <c r="T1165" s="555">
        <f t="shared" si="313"/>
        <v>7626.8799742472002</v>
      </c>
      <c r="U1165" s="311"/>
      <c r="V1165" s="312">
        <v>22</v>
      </c>
      <c r="W1165" s="299" t="s">
        <v>194</v>
      </c>
      <c r="X1165" s="300">
        <v>44782</v>
      </c>
      <c r="Y1165" s="299" t="s">
        <v>59</v>
      </c>
      <c r="Z1165" s="303">
        <v>7640.14</v>
      </c>
      <c r="AA1165" s="305">
        <f>IF(Z1165=0,0,IF(Y1165="MXN",1/HLOOKUP(YEAR(X1165)+(MONTH(X1165)/100),TC!$5:$37,DAY(X1165)+2,FALSE),VLOOKUP(Y1165,Equivalencia!$1:$23,((MAX(Equivalencia!$3:$3)-YEAR(X1165))*14)+MONTH(X1165)+2,FALSE)))</f>
        <v>1</v>
      </c>
      <c r="AB1165" s="306">
        <f t="shared" si="314"/>
        <v>7640.14</v>
      </c>
      <c r="AC1165" s="305">
        <f>+IF(X1165=0,0,HLOOKUP(YEAR(X1165)+(MONTH(X1165)/100),TC!$5:$37,DAY(X1165)+2,FALSE))</f>
        <v>20.401</v>
      </c>
      <c r="AD1165" s="307">
        <f t="shared" si="315"/>
        <v>155866.49614</v>
      </c>
      <c r="AE1165" s="314">
        <f t="shared" si="316"/>
        <v>167791.3594334384</v>
      </c>
      <c r="AF1165" s="315">
        <f t="shared" si="317"/>
        <v>-11924.863293438393</v>
      </c>
      <c r="AG1165" s="316">
        <f t="shared" si="318"/>
        <v>1.7068493150684931</v>
      </c>
      <c r="AH1165" s="314">
        <v>1</v>
      </c>
      <c r="AI1165" s="314">
        <f t="shared" si="319"/>
        <v>-11924.863293438393</v>
      </c>
      <c r="AJ1165" s="314">
        <f t="shared" si="320"/>
        <v>0</v>
      </c>
      <c r="AK1165" s="317"/>
      <c r="AL1165" s="315">
        <f t="shared" si="321"/>
        <v>255.07578947368438</v>
      </c>
      <c r="AN1165" s="554">
        <f t="shared" si="322"/>
        <v>3.4539413903823826E-2</v>
      </c>
      <c r="AO1165" s="314"/>
      <c r="AP1165" s="318"/>
    </row>
    <row r="1166" spans="2:42">
      <c r="B1166" s="296" t="s">
        <v>1254</v>
      </c>
      <c r="C1166" s="299" t="s">
        <v>277</v>
      </c>
      <c r="D1166" s="298" t="s">
        <v>880</v>
      </c>
      <c r="E1166" s="299" t="s">
        <v>113</v>
      </c>
      <c r="F1166" s="299" t="s">
        <v>59</v>
      </c>
      <c r="G1166" s="300">
        <v>44159</v>
      </c>
      <c r="H1166" s="303">
        <v>335.68473684210528</v>
      </c>
      <c r="I1166" s="301" t="str">
        <f t="shared" si="306"/>
        <v>Ingresos Sección II LISR (SIC &amp; BMV)</v>
      </c>
      <c r="J1166" s="302">
        <f t="shared" si="307"/>
        <v>1</v>
      </c>
      <c r="K1166" s="304">
        <f t="shared" si="308"/>
        <v>335.68473684210528</v>
      </c>
      <c r="L1166" s="305">
        <f>IF(H1166=0,0,IF(OR(E1166=$AT$5,E1166=$AT$6),AA1166,IF(F1166="MXN",1/HLOOKUP(YEAR(G1166)+(MONTH(G1166)/100),TC!$5:$37,DAY(G1166)+2,FALSE),VLOOKUP(F1166,Equivalencia!$5:$23,((MAX(Equivalencia!$3:$3)-YEAR(G1166))*14)+MONTH(G1166)+2,FALSE))))</f>
        <v>1</v>
      </c>
      <c r="M1166" s="306">
        <f t="shared" si="309"/>
        <v>335.68473684210528</v>
      </c>
      <c r="N1166" s="305">
        <f>IF(G1166=0,0,(IF(OR(E1166=$AT$5,E1166=$AT$6),AC1166,HLOOKUP(YEAR(G1166)+(MONTH(G1166)/100),TC!$5:$37,DAY(G1166)+2,FALSE))))</f>
        <v>20.1172</v>
      </c>
      <c r="O1166" s="307">
        <f t="shared" si="310"/>
        <v>6753.0369880000007</v>
      </c>
      <c r="P1166" s="560">
        <f>IF(G1166=0,0,VLOOKUP(YEAR(G1166),INPC!$B$4:$P$30,MONTH(G1166)+2))</f>
        <v>108.85599999999999</v>
      </c>
      <c r="Q1166" s="560">
        <f>IF(X1166=0,0,IF(OR(E1166=$AT$10,E1166=$AT$9),VLOOKUP(YEAR(X1166),INPC!$B$4:$P$30,MONTH(X1166)+1),VLOOKUP(YEAR(X1166),INPC!$B$4:$P$30,MONTH(X1166)+2,0)))</f>
        <v>122.94799999999999</v>
      </c>
      <c r="R1166" s="309">
        <f t="shared" si="311"/>
        <v>1.1294</v>
      </c>
      <c r="S1166" s="310">
        <f t="shared" si="312"/>
        <v>7626.8799742472002</v>
      </c>
      <c r="T1166" s="555">
        <f t="shared" si="313"/>
        <v>7626.8799742472002</v>
      </c>
      <c r="U1166" s="311"/>
      <c r="V1166" s="312">
        <v>1</v>
      </c>
      <c r="W1166" s="299" t="s">
        <v>194</v>
      </c>
      <c r="X1166" s="300">
        <v>44782</v>
      </c>
      <c r="Y1166" s="299" t="s">
        <v>59</v>
      </c>
      <c r="Z1166" s="303">
        <v>346.4136842105263</v>
      </c>
      <c r="AA1166" s="305">
        <f>IF(Z1166=0,0,IF(Y1166="MXN",1/HLOOKUP(YEAR(X1166)+(MONTH(X1166)/100),TC!$5:$37,DAY(X1166)+2,FALSE),VLOOKUP(Y1166,Equivalencia!$1:$23,((MAX(Equivalencia!$3:$3)-YEAR(X1166))*14)+MONTH(X1166)+2,FALSE)))</f>
        <v>1</v>
      </c>
      <c r="AB1166" s="306">
        <f t="shared" si="314"/>
        <v>346.4136842105263</v>
      </c>
      <c r="AC1166" s="305">
        <f>+IF(X1166=0,0,HLOOKUP(YEAR(X1166)+(MONTH(X1166)/100),TC!$5:$37,DAY(X1166)+2,FALSE))</f>
        <v>20.401</v>
      </c>
      <c r="AD1166" s="307">
        <f t="shared" si="315"/>
        <v>7067.185571578947</v>
      </c>
      <c r="AE1166" s="314">
        <f t="shared" si="316"/>
        <v>7626.8799742472002</v>
      </c>
      <c r="AF1166" s="315">
        <f t="shared" si="317"/>
        <v>-559.69440266825313</v>
      </c>
      <c r="AG1166" s="316">
        <f t="shared" si="318"/>
        <v>1.7068493150684931</v>
      </c>
      <c r="AH1166" s="314">
        <v>1</v>
      </c>
      <c r="AI1166" s="314">
        <f t="shared" si="319"/>
        <v>-559.69440266825313</v>
      </c>
      <c r="AJ1166" s="314">
        <f t="shared" si="320"/>
        <v>0</v>
      </c>
      <c r="AK1166" s="317"/>
      <c r="AL1166" s="315">
        <f t="shared" si="321"/>
        <v>10.728947368421018</v>
      </c>
      <c r="AN1166" s="554">
        <f t="shared" si="322"/>
        <v>3.1961379803418205E-2</v>
      </c>
      <c r="AO1166" s="314"/>
      <c r="AP1166" s="318"/>
    </row>
    <row r="1167" spans="2:42">
      <c r="B1167" s="296" t="s">
        <v>1254</v>
      </c>
      <c r="C1167" s="299" t="s">
        <v>277</v>
      </c>
      <c r="D1167" s="298" t="s">
        <v>880</v>
      </c>
      <c r="E1167" s="299" t="s">
        <v>113</v>
      </c>
      <c r="F1167" s="299" t="s">
        <v>59</v>
      </c>
      <c r="G1167" s="300">
        <v>44260</v>
      </c>
      <c r="H1167" s="303">
        <v>1793</v>
      </c>
      <c r="I1167" s="301" t="str">
        <f t="shared" si="306"/>
        <v>Ingresos Sección II LISR (SIC &amp; BMV)</v>
      </c>
      <c r="J1167" s="302">
        <f t="shared" si="307"/>
        <v>5</v>
      </c>
      <c r="K1167" s="304">
        <f t="shared" si="308"/>
        <v>358.6</v>
      </c>
      <c r="L1167" s="305">
        <f>IF(H1167=0,0,IF(OR(E1167=$AT$5,E1167=$AT$6),AA1167,IF(F1167="MXN",1/HLOOKUP(YEAR(G1167)+(MONTH(G1167)/100),TC!$5:$37,DAY(G1167)+2,FALSE),VLOOKUP(F1167,Equivalencia!$5:$23,((MAX(Equivalencia!$3:$3)-YEAR(G1167))*14)+MONTH(G1167)+2,FALSE))))</f>
        <v>1</v>
      </c>
      <c r="M1167" s="306">
        <f t="shared" si="309"/>
        <v>1793</v>
      </c>
      <c r="N1167" s="305">
        <f>IF(G1167=0,0,(IF(OR(E1167=$AT$5,E1167=$AT$6),AC1167,HLOOKUP(YEAR(G1167)+(MONTH(G1167)/100),TC!$5:$37,DAY(G1167)+2,FALSE))))</f>
        <v>20.895700000000001</v>
      </c>
      <c r="O1167" s="307">
        <f t="shared" si="310"/>
        <v>37465.990100000003</v>
      </c>
      <c r="P1167" s="560">
        <f>IF(G1167=0,0,VLOOKUP(YEAR(G1167),INPC!$B$4:$P$30,MONTH(G1167)+2))</f>
        <v>111.824</v>
      </c>
      <c r="Q1167" s="560">
        <f>IF(X1167=0,0,IF(OR(E1167=$AT$10,E1167=$AT$9),VLOOKUP(YEAR(X1167),INPC!$B$4:$P$30,MONTH(X1167)+1),VLOOKUP(YEAR(X1167),INPC!$B$4:$P$30,MONTH(X1167)+2,0)))</f>
        <v>122.94799999999999</v>
      </c>
      <c r="R1167" s="309">
        <f t="shared" si="311"/>
        <v>1.0993999999999999</v>
      </c>
      <c r="S1167" s="310">
        <f t="shared" si="312"/>
        <v>41190.109515939999</v>
      </c>
      <c r="T1167" s="555">
        <f t="shared" si="313"/>
        <v>8238.0219031880006</v>
      </c>
      <c r="U1167" s="311"/>
      <c r="V1167" s="312">
        <v>5</v>
      </c>
      <c r="W1167" s="299" t="s">
        <v>194</v>
      </c>
      <c r="X1167" s="300">
        <v>44782</v>
      </c>
      <c r="Y1167" s="299" t="s">
        <v>59</v>
      </c>
      <c r="Z1167" s="303">
        <v>1732.0684210526315</v>
      </c>
      <c r="AA1167" s="305">
        <f>IF(Z1167=0,0,IF(Y1167="MXN",1/HLOOKUP(YEAR(X1167)+(MONTH(X1167)/100),TC!$5:$37,DAY(X1167)+2,FALSE),VLOOKUP(Y1167,Equivalencia!$1:$23,((MAX(Equivalencia!$3:$3)-YEAR(X1167))*14)+MONTH(X1167)+2,FALSE)))</f>
        <v>1</v>
      </c>
      <c r="AB1167" s="306">
        <f t="shared" si="314"/>
        <v>1732.0684210526315</v>
      </c>
      <c r="AC1167" s="305">
        <f>+IF(X1167=0,0,HLOOKUP(YEAR(X1167)+(MONTH(X1167)/100),TC!$5:$37,DAY(X1167)+2,FALSE))</f>
        <v>20.401</v>
      </c>
      <c r="AD1167" s="307">
        <f t="shared" si="315"/>
        <v>35335.927857894734</v>
      </c>
      <c r="AE1167" s="314">
        <f t="shared" si="316"/>
        <v>41190.109515939999</v>
      </c>
      <c r="AF1167" s="315">
        <f t="shared" si="317"/>
        <v>-5854.1816580452651</v>
      </c>
      <c r="AG1167" s="316">
        <f t="shared" si="318"/>
        <v>1.4301369863013698</v>
      </c>
      <c r="AH1167" s="314">
        <v>1</v>
      </c>
      <c r="AI1167" s="314">
        <f t="shared" si="319"/>
        <v>-5854.1816580452651</v>
      </c>
      <c r="AJ1167" s="314">
        <f t="shared" si="320"/>
        <v>0</v>
      </c>
      <c r="AK1167" s="317"/>
      <c r="AL1167" s="315">
        <f t="shared" si="321"/>
        <v>-60.931578947368507</v>
      </c>
      <c r="AN1167" s="554">
        <f t="shared" si="322"/>
        <v>-3.3983033434115177E-2</v>
      </c>
      <c r="AO1167" s="314"/>
      <c r="AP1167" s="318"/>
    </row>
    <row r="1168" spans="2:42">
      <c r="B1168" s="296" t="s">
        <v>1254</v>
      </c>
      <c r="C1168" s="299" t="s">
        <v>277</v>
      </c>
      <c r="D1168" s="298" t="s">
        <v>880</v>
      </c>
      <c r="E1168" s="299" t="s">
        <v>113</v>
      </c>
      <c r="F1168" s="299" t="s">
        <v>59</v>
      </c>
      <c r="G1168" s="300">
        <v>44349</v>
      </c>
      <c r="H1168" s="303">
        <v>4733.8864444444444</v>
      </c>
      <c r="I1168" s="301" t="str">
        <f t="shared" si="306"/>
        <v>Ingresos Sección II LISR (SIC &amp; BMV)</v>
      </c>
      <c r="J1168" s="302">
        <f t="shared" si="307"/>
        <v>13</v>
      </c>
      <c r="K1168" s="304">
        <f t="shared" si="308"/>
        <v>364.14511111111108</v>
      </c>
      <c r="L1168" s="305">
        <f>IF(H1168=0,0,IF(OR(E1168=$AT$5,E1168=$AT$6),AA1168,IF(F1168="MXN",1/HLOOKUP(YEAR(G1168)+(MONTH(G1168)/100),TC!$5:$37,DAY(G1168)+2,FALSE),VLOOKUP(F1168,Equivalencia!$5:$23,((MAX(Equivalencia!$3:$3)-YEAR(G1168))*14)+MONTH(G1168)+2,FALSE))))</f>
        <v>1</v>
      </c>
      <c r="M1168" s="306">
        <f t="shared" si="309"/>
        <v>4733.8864444444444</v>
      </c>
      <c r="N1168" s="305">
        <f>IF(G1168=0,0,(IF(OR(E1168=$AT$5,E1168=$AT$6),AC1168,HLOOKUP(YEAR(G1168)+(MONTH(G1168)/100),TC!$5:$37,DAY(G1168)+2,FALSE))))</f>
        <v>19.921299999999999</v>
      </c>
      <c r="O1168" s="307">
        <f t="shared" si="310"/>
        <v>94305.172025711101</v>
      </c>
      <c r="P1168" s="560">
        <f>IF(G1168=0,0,VLOOKUP(YEAR(G1168),INPC!$B$4:$P$30,MONTH(G1168)+2))</f>
        <v>113.018</v>
      </c>
      <c r="Q1168" s="560">
        <f>IF(X1168=0,0,IF(OR(E1168=$AT$10,E1168=$AT$9),VLOOKUP(YEAR(X1168),INPC!$B$4:$P$30,MONTH(X1168)+1),VLOOKUP(YEAR(X1168),INPC!$B$4:$P$30,MONTH(X1168)+2,0)))</f>
        <v>122.94799999999999</v>
      </c>
      <c r="R1168" s="309">
        <f t="shared" si="311"/>
        <v>1.0878000000000001</v>
      </c>
      <c r="S1168" s="310">
        <f t="shared" si="312"/>
        <v>102585.16612956855</v>
      </c>
      <c r="T1168" s="555">
        <f t="shared" si="313"/>
        <v>7891.1666253514268</v>
      </c>
      <c r="U1168" s="311"/>
      <c r="V1168" s="312">
        <v>13</v>
      </c>
      <c r="W1168" s="299" t="s">
        <v>194</v>
      </c>
      <c r="X1168" s="300">
        <v>44782</v>
      </c>
      <c r="Y1168" s="299" t="s">
        <v>59</v>
      </c>
      <c r="Z1168" s="303">
        <v>4503.3778947368419</v>
      </c>
      <c r="AA1168" s="305">
        <f>IF(Z1168=0,0,IF(Y1168="MXN",1/HLOOKUP(YEAR(X1168)+(MONTH(X1168)/100),TC!$5:$37,DAY(X1168)+2,FALSE),VLOOKUP(Y1168,Equivalencia!$1:$23,((MAX(Equivalencia!$3:$3)-YEAR(X1168))*14)+MONTH(X1168)+2,FALSE)))</f>
        <v>1</v>
      </c>
      <c r="AB1168" s="306">
        <f t="shared" si="314"/>
        <v>4503.3778947368419</v>
      </c>
      <c r="AC1168" s="305">
        <f>+IF(X1168=0,0,HLOOKUP(YEAR(X1168)+(MONTH(X1168)/100),TC!$5:$37,DAY(X1168)+2,FALSE))</f>
        <v>20.401</v>
      </c>
      <c r="AD1168" s="307">
        <f t="shared" si="315"/>
        <v>91873.41243052631</v>
      </c>
      <c r="AE1168" s="314">
        <f t="shared" si="316"/>
        <v>102585.16612956855</v>
      </c>
      <c r="AF1168" s="315">
        <f t="shared" si="317"/>
        <v>-10711.753699042238</v>
      </c>
      <c r="AG1168" s="316">
        <f t="shared" si="318"/>
        <v>1.1863013698630136</v>
      </c>
      <c r="AH1168" s="314">
        <v>1</v>
      </c>
      <c r="AI1168" s="314">
        <f t="shared" si="319"/>
        <v>-10711.753699042238</v>
      </c>
      <c r="AJ1168" s="314">
        <f t="shared" si="320"/>
        <v>0</v>
      </c>
      <c r="AK1168" s="317"/>
      <c r="AL1168" s="315">
        <f t="shared" si="321"/>
        <v>-230.50854970760247</v>
      </c>
      <c r="AN1168" s="554">
        <f t="shared" si="322"/>
        <v>-4.8693299345640366E-2</v>
      </c>
      <c r="AO1168" s="314"/>
      <c r="AP1168" s="318"/>
    </row>
    <row r="1169" spans="2:42">
      <c r="B1169" s="296" t="s">
        <v>1254</v>
      </c>
      <c r="C1169" s="299" t="s">
        <v>277</v>
      </c>
      <c r="D1169" s="298" t="s">
        <v>880</v>
      </c>
      <c r="E1169" s="299" t="s">
        <v>113</v>
      </c>
      <c r="F1169" s="299" t="s">
        <v>59</v>
      </c>
      <c r="G1169" s="300">
        <v>44349</v>
      </c>
      <c r="H1169" s="303">
        <v>11652.643555555554</v>
      </c>
      <c r="I1169" s="301" t="str">
        <f t="shared" si="306"/>
        <v>Ingresos Sección II LISR (SIC &amp; BMV)</v>
      </c>
      <c r="J1169" s="302">
        <f t="shared" si="307"/>
        <v>32</v>
      </c>
      <c r="K1169" s="304">
        <f t="shared" si="308"/>
        <v>364.14511111111108</v>
      </c>
      <c r="L1169" s="305">
        <f>IF(H1169=0,0,IF(OR(E1169=$AT$5,E1169=$AT$6),AA1169,IF(F1169="MXN",1/HLOOKUP(YEAR(G1169)+(MONTH(G1169)/100),TC!$5:$37,DAY(G1169)+2,FALSE),VLOOKUP(F1169,Equivalencia!$5:$23,((MAX(Equivalencia!$3:$3)-YEAR(G1169))*14)+MONTH(G1169)+2,FALSE))))</f>
        <v>1</v>
      </c>
      <c r="M1169" s="306">
        <f t="shared" si="309"/>
        <v>11652.643555555554</v>
      </c>
      <c r="N1169" s="305">
        <f>IF(G1169=0,0,(IF(OR(E1169=$AT$5,E1169=$AT$6),AC1169,HLOOKUP(YEAR(G1169)+(MONTH(G1169)/100),TC!$5:$37,DAY(G1169)+2,FALSE))))</f>
        <v>19.921299999999999</v>
      </c>
      <c r="O1169" s="307">
        <f t="shared" si="310"/>
        <v>232135.80806328886</v>
      </c>
      <c r="P1169" s="560">
        <f>IF(G1169=0,0,VLOOKUP(YEAR(G1169),INPC!$B$4:$P$30,MONTH(G1169)+2))</f>
        <v>113.018</v>
      </c>
      <c r="Q1169" s="560">
        <f>IF(X1169=0,0,IF(OR(E1169=$AT$10,E1169=$AT$9),VLOOKUP(YEAR(X1169),INPC!$B$4:$P$30,MONTH(X1169)+1),VLOOKUP(YEAR(X1169),INPC!$B$4:$P$30,MONTH(X1169)+2,0)))</f>
        <v>124.571</v>
      </c>
      <c r="R1169" s="309">
        <f t="shared" si="311"/>
        <v>1.1022000000000001</v>
      </c>
      <c r="S1169" s="310">
        <f t="shared" si="312"/>
        <v>255860.087647357</v>
      </c>
      <c r="T1169" s="555">
        <f t="shared" si="313"/>
        <v>7995.6277389799061</v>
      </c>
      <c r="U1169" s="311"/>
      <c r="V1169" s="312">
        <v>32</v>
      </c>
      <c r="W1169" s="299" t="s">
        <v>194</v>
      </c>
      <c r="X1169" s="300">
        <v>44861</v>
      </c>
      <c r="Y1169" s="299" t="s">
        <v>59</v>
      </c>
      <c r="Z1169" s="303">
        <v>10085.880000000001</v>
      </c>
      <c r="AA1169" s="305">
        <f>IF(Z1169=0,0,IF(Y1169="MXN",1/HLOOKUP(YEAR(X1169)+(MONTH(X1169)/100),TC!$5:$37,DAY(X1169)+2,FALSE),VLOOKUP(Y1169,Equivalencia!$1:$23,((MAX(Equivalencia!$3:$3)-YEAR(X1169))*14)+MONTH(X1169)+2,FALSE)))</f>
        <v>1</v>
      </c>
      <c r="AB1169" s="306">
        <f t="shared" si="314"/>
        <v>10085.880000000001</v>
      </c>
      <c r="AC1169" s="305">
        <f>+IF(X1169=0,0,HLOOKUP(YEAR(X1169)+(MONTH(X1169)/100),TC!$5:$37,DAY(X1169)+2,FALSE))</f>
        <v>19.871200000000002</v>
      </c>
      <c r="AD1169" s="307">
        <f t="shared" si="315"/>
        <v>200418.53865600005</v>
      </c>
      <c r="AE1169" s="314">
        <f t="shared" si="316"/>
        <v>255860.087647357</v>
      </c>
      <c r="AF1169" s="315">
        <f t="shared" si="317"/>
        <v>-55441.548991356947</v>
      </c>
      <c r="AG1169" s="316">
        <f t="shared" si="318"/>
        <v>1.4027397260273973</v>
      </c>
      <c r="AH1169" s="314">
        <v>1</v>
      </c>
      <c r="AI1169" s="314">
        <f t="shared" si="319"/>
        <v>-55441.548991356947</v>
      </c>
      <c r="AJ1169" s="314">
        <f t="shared" si="320"/>
        <v>0</v>
      </c>
      <c r="AK1169" s="317"/>
      <c r="AL1169" s="315">
        <f t="shared" si="321"/>
        <v>-1566.7635555555535</v>
      </c>
      <c r="AN1169" s="554">
        <f t="shared" si="322"/>
        <v>-0.13445563215641124</v>
      </c>
      <c r="AO1169" s="314"/>
      <c r="AP1169" s="318"/>
    </row>
    <row r="1170" spans="2:42">
      <c r="B1170" s="296" t="s">
        <v>1254</v>
      </c>
      <c r="C1170" s="299" t="s">
        <v>277</v>
      </c>
      <c r="D1170" s="298" t="s">
        <v>880</v>
      </c>
      <c r="E1170" s="299" t="s">
        <v>113</v>
      </c>
      <c r="F1170" s="299" t="s">
        <v>59</v>
      </c>
      <c r="G1170" s="300">
        <v>44446</v>
      </c>
      <c r="H1170" s="303">
        <v>346</v>
      </c>
      <c r="I1170" s="301" t="str">
        <f t="shared" si="306"/>
        <v>Ingresos Sección II LISR (SIC &amp; BMV)</v>
      </c>
      <c r="J1170" s="302">
        <f t="shared" si="307"/>
        <v>1</v>
      </c>
      <c r="K1170" s="304">
        <f t="shared" si="308"/>
        <v>346</v>
      </c>
      <c r="L1170" s="305">
        <f>IF(H1170=0,0,IF(OR(E1170=$AT$5,E1170=$AT$6),AA1170,IF(F1170="MXN",1/HLOOKUP(YEAR(G1170)+(MONTH(G1170)/100),TC!$5:$37,DAY(G1170)+2,FALSE),VLOOKUP(F1170,Equivalencia!$5:$23,((MAX(Equivalencia!$3:$3)-YEAR(G1170))*14)+MONTH(G1170)+2,FALSE))))</f>
        <v>1</v>
      </c>
      <c r="M1170" s="306">
        <f t="shared" si="309"/>
        <v>346</v>
      </c>
      <c r="N1170" s="305">
        <f>IF(G1170=0,0,(IF(OR(E1170=$AT$5,E1170=$AT$6),AC1170,HLOOKUP(YEAR(G1170)+(MONTH(G1170)/100),TC!$5:$37,DAY(G1170)+2,FALSE))))</f>
        <v>19.8992</v>
      </c>
      <c r="O1170" s="307">
        <f t="shared" si="310"/>
        <v>6885.1232</v>
      </c>
      <c r="P1170" s="560">
        <f>IF(G1170=0,0,VLOOKUP(YEAR(G1170),INPC!$B$4:$P$30,MONTH(G1170)+2))</f>
        <v>114.601</v>
      </c>
      <c r="Q1170" s="560">
        <f>IF(X1170=0,0,IF(OR(E1170=$AT$10,E1170=$AT$9),VLOOKUP(YEAR(X1170),INPC!$B$4:$P$30,MONTH(X1170)+1),VLOOKUP(YEAR(X1170),INPC!$B$4:$P$30,MONTH(X1170)+2,0)))</f>
        <v>124.571</v>
      </c>
      <c r="R1170" s="309">
        <f t="shared" si="311"/>
        <v>1.0869</v>
      </c>
      <c r="S1170" s="310">
        <f t="shared" si="312"/>
        <v>7483.4404060799998</v>
      </c>
      <c r="T1170" s="555">
        <f t="shared" si="313"/>
        <v>7483.4404060799998</v>
      </c>
      <c r="U1170" s="311"/>
      <c r="V1170" s="312">
        <v>1</v>
      </c>
      <c r="W1170" s="299" t="s">
        <v>194</v>
      </c>
      <c r="X1170" s="300">
        <v>44861</v>
      </c>
      <c r="Y1170" s="299" t="s">
        <v>59</v>
      </c>
      <c r="Z1170" s="303">
        <v>315.18375000000003</v>
      </c>
      <c r="AA1170" s="305">
        <f>IF(Z1170=0,0,IF(Y1170="MXN",1/HLOOKUP(YEAR(X1170)+(MONTH(X1170)/100),TC!$5:$37,DAY(X1170)+2,FALSE),VLOOKUP(Y1170,Equivalencia!$1:$23,((MAX(Equivalencia!$3:$3)-YEAR(X1170))*14)+MONTH(X1170)+2,FALSE)))</f>
        <v>1</v>
      </c>
      <c r="AB1170" s="306">
        <f t="shared" si="314"/>
        <v>315.18375000000003</v>
      </c>
      <c r="AC1170" s="305">
        <f>+IF(X1170=0,0,HLOOKUP(YEAR(X1170)+(MONTH(X1170)/100),TC!$5:$37,DAY(X1170)+2,FALSE))</f>
        <v>19.871200000000002</v>
      </c>
      <c r="AD1170" s="307">
        <f t="shared" si="315"/>
        <v>6263.0793330000015</v>
      </c>
      <c r="AE1170" s="314">
        <f t="shared" si="316"/>
        <v>7483.4404060799998</v>
      </c>
      <c r="AF1170" s="315">
        <f t="shared" si="317"/>
        <v>-1220.3610730799983</v>
      </c>
      <c r="AG1170" s="316">
        <f t="shared" si="318"/>
        <v>1.1369863013698631</v>
      </c>
      <c r="AH1170" s="314">
        <v>1</v>
      </c>
      <c r="AI1170" s="314">
        <f t="shared" si="319"/>
        <v>-1220.3610730799983</v>
      </c>
      <c r="AJ1170" s="314">
        <f t="shared" si="320"/>
        <v>0</v>
      </c>
      <c r="AK1170" s="317"/>
      <c r="AL1170" s="315">
        <f t="shared" si="321"/>
        <v>-30.816249999999968</v>
      </c>
      <c r="AN1170" s="554">
        <f t="shared" si="322"/>
        <v>-8.9064306358381418E-2</v>
      </c>
      <c r="AO1170" s="314"/>
      <c r="AP1170" s="318"/>
    </row>
    <row r="1171" spans="2:42">
      <c r="B1171" s="296" t="s">
        <v>1254</v>
      </c>
      <c r="C1171" s="299" t="s">
        <v>277</v>
      </c>
      <c r="D1171" s="298" t="s">
        <v>880</v>
      </c>
      <c r="E1171" s="299" t="s">
        <v>113</v>
      </c>
      <c r="F1171" s="299" t="s">
        <v>59</v>
      </c>
      <c r="G1171" s="300">
        <v>44446</v>
      </c>
      <c r="H1171" s="303">
        <v>2423.511428571429</v>
      </c>
      <c r="I1171" s="301" t="str">
        <f t="shared" si="306"/>
        <v>Ingresos Sección II LISR (SIC &amp; BMV)</v>
      </c>
      <c r="J1171" s="302">
        <f t="shared" si="307"/>
        <v>7</v>
      </c>
      <c r="K1171" s="304">
        <f t="shared" si="308"/>
        <v>346.215918367347</v>
      </c>
      <c r="L1171" s="305">
        <f>IF(H1171=0,0,IF(OR(E1171=$AT$5,E1171=$AT$6),AA1171,IF(F1171="MXN",1/HLOOKUP(YEAR(G1171)+(MONTH(G1171)/100),TC!$5:$37,DAY(G1171)+2,FALSE),VLOOKUP(F1171,Equivalencia!$5:$23,((MAX(Equivalencia!$3:$3)-YEAR(G1171))*14)+MONTH(G1171)+2,FALSE))))</f>
        <v>1</v>
      </c>
      <c r="M1171" s="306">
        <f t="shared" si="309"/>
        <v>2423.511428571429</v>
      </c>
      <c r="N1171" s="305">
        <f>IF(G1171=0,0,(IF(OR(E1171=$AT$5,E1171=$AT$6),AC1171,HLOOKUP(YEAR(G1171)+(MONTH(G1171)/100),TC!$5:$37,DAY(G1171)+2,FALSE))))</f>
        <v>19.8992</v>
      </c>
      <c r="O1171" s="307">
        <f t="shared" si="310"/>
        <v>48225.938619428583</v>
      </c>
      <c r="P1171" s="560">
        <f>IF(G1171=0,0,VLOOKUP(YEAR(G1171),INPC!$B$4:$P$30,MONTH(G1171)+2))</f>
        <v>114.601</v>
      </c>
      <c r="Q1171" s="560">
        <f>IF(X1171=0,0,IF(OR(E1171=$AT$10,E1171=$AT$9),VLOOKUP(YEAR(X1171),INPC!$B$4:$P$30,MONTH(X1171)+1),VLOOKUP(YEAR(X1171),INPC!$B$4:$P$30,MONTH(X1171)+2,0)))</f>
        <v>124.571</v>
      </c>
      <c r="R1171" s="309">
        <f t="shared" si="311"/>
        <v>1.0869</v>
      </c>
      <c r="S1171" s="310">
        <f t="shared" si="312"/>
        <v>52416.772685456926</v>
      </c>
      <c r="T1171" s="555">
        <f t="shared" si="313"/>
        <v>7488.1103836367038</v>
      </c>
      <c r="U1171" s="311"/>
      <c r="V1171" s="312">
        <v>7</v>
      </c>
      <c r="W1171" s="299" t="s">
        <v>194</v>
      </c>
      <c r="X1171" s="300">
        <v>44861</v>
      </c>
      <c r="Y1171" s="299" t="s">
        <v>59</v>
      </c>
      <c r="Z1171" s="303">
        <v>2206.2862500000001</v>
      </c>
      <c r="AA1171" s="305">
        <f>IF(Z1171=0,0,IF(Y1171="MXN",1/HLOOKUP(YEAR(X1171)+(MONTH(X1171)/100),TC!$5:$37,DAY(X1171)+2,FALSE),VLOOKUP(Y1171,Equivalencia!$1:$23,((MAX(Equivalencia!$3:$3)-YEAR(X1171))*14)+MONTH(X1171)+2,FALSE)))</f>
        <v>1</v>
      </c>
      <c r="AB1171" s="306">
        <f t="shared" si="314"/>
        <v>2206.2862500000001</v>
      </c>
      <c r="AC1171" s="305">
        <f>+IF(X1171=0,0,HLOOKUP(YEAR(X1171)+(MONTH(X1171)/100),TC!$5:$37,DAY(X1171)+2,FALSE))</f>
        <v>19.871200000000002</v>
      </c>
      <c r="AD1171" s="307">
        <f t="shared" si="315"/>
        <v>43841.555331000003</v>
      </c>
      <c r="AE1171" s="314">
        <f t="shared" si="316"/>
        <v>52416.772685456926</v>
      </c>
      <c r="AF1171" s="315">
        <f t="shared" si="317"/>
        <v>-8575.2173544569232</v>
      </c>
      <c r="AG1171" s="316">
        <f t="shared" si="318"/>
        <v>1.1369863013698631</v>
      </c>
      <c r="AH1171" s="314">
        <v>1</v>
      </c>
      <c r="AI1171" s="314">
        <f t="shared" si="319"/>
        <v>-8575.2173544569232</v>
      </c>
      <c r="AJ1171" s="314">
        <f t="shared" si="320"/>
        <v>0</v>
      </c>
      <c r="AK1171" s="317"/>
      <c r="AL1171" s="315">
        <f t="shared" si="321"/>
        <v>-217.22517857142884</v>
      </c>
      <c r="AN1171" s="554">
        <f t="shared" si="322"/>
        <v>-8.9632413534552674E-2</v>
      </c>
      <c r="AO1171" s="314"/>
      <c r="AP1171" s="318"/>
    </row>
    <row r="1172" spans="2:42">
      <c r="B1172" s="296" t="s">
        <v>1254</v>
      </c>
      <c r="C1172" s="299" t="s">
        <v>277</v>
      </c>
      <c r="D1172" s="298" t="s">
        <v>716</v>
      </c>
      <c r="E1172" s="299" t="s">
        <v>113</v>
      </c>
      <c r="F1172" s="299" t="s">
        <v>59</v>
      </c>
      <c r="G1172" s="300">
        <v>44159</v>
      </c>
      <c r="H1172" s="303">
        <v>11851.568892508145</v>
      </c>
      <c r="I1172" s="301" t="str">
        <f t="shared" si="306"/>
        <v>Ingresos Sección II LISR (SIC &amp; BMV)</v>
      </c>
      <c r="J1172" s="302">
        <f t="shared" si="307"/>
        <v>105</v>
      </c>
      <c r="K1172" s="304">
        <f t="shared" si="308"/>
        <v>112.87208469055376</v>
      </c>
      <c r="L1172" s="305">
        <f>IF(H1172=0,0,IF(OR(E1172=$AT$5,E1172=$AT$6),AA1172,IF(F1172="MXN",1/HLOOKUP(YEAR(G1172)+(MONTH(G1172)/100),TC!$5:$37,DAY(G1172)+2,FALSE),VLOOKUP(F1172,Equivalencia!$5:$23,((MAX(Equivalencia!$3:$3)-YEAR(G1172))*14)+MONTH(G1172)+2,FALSE))))</f>
        <v>1</v>
      </c>
      <c r="M1172" s="306">
        <f t="shared" si="309"/>
        <v>11851.568892508145</v>
      </c>
      <c r="N1172" s="305">
        <f>IF(G1172=0,0,(IF(OR(E1172=$AT$5,E1172=$AT$6),AC1172,HLOOKUP(YEAR(G1172)+(MONTH(G1172)/100),TC!$5:$37,DAY(G1172)+2,FALSE))))</f>
        <v>20.1172</v>
      </c>
      <c r="O1172" s="307">
        <f t="shared" si="310"/>
        <v>238420.38172436485</v>
      </c>
      <c r="P1172" s="560">
        <f>IF(G1172=0,0,VLOOKUP(YEAR(G1172),INPC!$B$4:$P$30,MONTH(G1172)+2))</f>
        <v>108.85599999999999</v>
      </c>
      <c r="Q1172" s="560">
        <f>IF(X1172=0,0,IF(OR(E1172=$AT$10,E1172=$AT$9),VLOOKUP(YEAR(X1172),INPC!$B$4:$P$30,MONTH(X1172)+1),VLOOKUP(YEAR(X1172),INPC!$B$4:$P$30,MONTH(X1172)+2,0)))</f>
        <v>124.571</v>
      </c>
      <c r="R1172" s="309">
        <f t="shared" si="311"/>
        <v>1.1443000000000001</v>
      </c>
      <c r="S1172" s="310">
        <f t="shared" si="312"/>
        <v>272824.4428071907</v>
      </c>
      <c r="T1172" s="555">
        <f t="shared" si="313"/>
        <v>2598.3280267351497</v>
      </c>
      <c r="U1172" s="311"/>
      <c r="V1172" s="312">
        <v>105</v>
      </c>
      <c r="W1172" s="299" t="s">
        <v>194</v>
      </c>
      <c r="X1172" s="300">
        <v>44847</v>
      </c>
      <c r="Y1172" s="299" t="s">
        <v>59</v>
      </c>
      <c r="Z1172" s="303">
        <v>14313.88</v>
      </c>
      <c r="AA1172" s="305">
        <f>IF(Z1172=0,0,IF(Y1172="MXN",1/HLOOKUP(YEAR(X1172)+(MONTH(X1172)/100),TC!$5:$37,DAY(X1172)+2,FALSE),VLOOKUP(Y1172,Equivalencia!$1:$23,((MAX(Equivalencia!$3:$3)-YEAR(X1172))*14)+MONTH(X1172)+2,FALSE)))</f>
        <v>1</v>
      </c>
      <c r="AB1172" s="306">
        <f t="shared" si="314"/>
        <v>14313.88</v>
      </c>
      <c r="AC1172" s="305">
        <f>+IF(X1172=0,0,HLOOKUP(YEAR(X1172)+(MONTH(X1172)/100),TC!$5:$37,DAY(X1172)+2,FALSE))</f>
        <v>19.965199999999999</v>
      </c>
      <c r="AD1172" s="307">
        <f t="shared" si="315"/>
        <v>285779.47697599995</v>
      </c>
      <c r="AE1172" s="314">
        <f t="shared" si="316"/>
        <v>272824.4428071907</v>
      </c>
      <c r="AF1172" s="315">
        <f t="shared" si="317"/>
        <v>12955.034168809245</v>
      </c>
      <c r="AG1172" s="316">
        <f t="shared" si="318"/>
        <v>1.8849315068493151</v>
      </c>
      <c r="AH1172" s="314">
        <v>1</v>
      </c>
      <c r="AI1172" s="314">
        <f t="shared" si="319"/>
        <v>12955.034168809245</v>
      </c>
      <c r="AJ1172" s="314">
        <f t="shared" si="320"/>
        <v>0</v>
      </c>
      <c r="AK1172" s="317"/>
      <c r="AL1172" s="315">
        <f t="shared" si="321"/>
        <v>2462.3111074918543</v>
      </c>
      <c r="AN1172" s="554">
        <f t="shared" si="322"/>
        <v>0.20776245995991136</v>
      </c>
      <c r="AO1172" s="314"/>
      <c r="AP1172" s="318"/>
    </row>
    <row r="1173" spans="2:42">
      <c r="B1173" s="296" t="s">
        <v>1254</v>
      </c>
      <c r="C1173" s="299" t="s">
        <v>277</v>
      </c>
      <c r="D1173" s="298" t="s">
        <v>918</v>
      </c>
      <c r="E1173" s="299" t="s">
        <v>113</v>
      </c>
      <c r="F1173" s="299" t="s">
        <v>59</v>
      </c>
      <c r="G1173" s="300">
        <v>44707</v>
      </c>
      <c r="H1173" s="303">
        <v>28557.469999999998</v>
      </c>
      <c r="I1173" s="301" t="str">
        <f t="shared" si="306"/>
        <v>Ingresos Sección II LISR (SIC &amp; BMV)</v>
      </c>
      <c r="J1173" s="302">
        <f t="shared" si="307"/>
        <v>162</v>
      </c>
      <c r="K1173" s="304">
        <f t="shared" si="308"/>
        <v>176.28067901234567</v>
      </c>
      <c r="L1173" s="305">
        <f>IF(H1173=0,0,IF(OR(E1173=$AT$5,E1173=$AT$6),AA1173,IF(F1173="MXN",1/HLOOKUP(YEAR(G1173)+(MONTH(G1173)/100),TC!$5:$37,DAY(G1173)+2,FALSE),VLOOKUP(F1173,Equivalencia!$5:$23,((MAX(Equivalencia!$3:$3)-YEAR(G1173))*14)+MONTH(G1173)+2,FALSE))))</f>
        <v>1</v>
      </c>
      <c r="M1173" s="306">
        <f t="shared" si="309"/>
        <v>28557.469999999998</v>
      </c>
      <c r="N1173" s="305">
        <f>IF(G1173=0,0,(IF(OR(E1173=$AT$5,E1173=$AT$6),AC1173,HLOOKUP(YEAR(G1173)+(MONTH(G1173)/100),TC!$5:$37,DAY(G1173)+2,FALSE))))</f>
        <v>19.887</v>
      </c>
      <c r="O1173" s="307">
        <f t="shared" si="310"/>
        <v>567922.40588999994</v>
      </c>
      <c r="P1173" s="560">
        <f>IF(G1173=0,0,VLOOKUP(YEAR(G1173),INPC!$B$4:$P$30,MONTH(G1173)+2))</f>
        <v>121.02200000000001</v>
      </c>
      <c r="Q1173" s="560">
        <f>IF(X1173=0,0,IF(OR(E1173=$AT$10,E1173=$AT$9),VLOOKUP(YEAR(X1173),INPC!$B$4:$P$30,MONTH(X1173)+1),VLOOKUP(YEAR(X1173),INPC!$B$4:$P$30,MONTH(X1173)+2,0)))</f>
        <v>123.803</v>
      </c>
      <c r="R1173" s="309">
        <f t="shared" si="311"/>
        <v>1.0228999999999999</v>
      </c>
      <c r="S1173" s="310">
        <f t="shared" si="312"/>
        <v>580927.82898488094</v>
      </c>
      <c r="T1173" s="555">
        <f t="shared" si="313"/>
        <v>3585.9742529930923</v>
      </c>
      <c r="U1173" s="311"/>
      <c r="V1173" s="312">
        <v>162</v>
      </c>
      <c r="W1173" s="299" t="s">
        <v>194</v>
      </c>
      <c r="X1173" s="300">
        <v>44832</v>
      </c>
      <c r="Y1173" s="299" t="s">
        <v>59</v>
      </c>
      <c r="Z1173" s="303">
        <v>20439.704531249998</v>
      </c>
      <c r="AA1173" s="305">
        <f>IF(Z1173=0,0,IF(Y1173="MXN",1/HLOOKUP(YEAR(X1173)+(MONTH(X1173)/100),TC!$5:$37,DAY(X1173)+2,FALSE),VLOOKUP(Y1173,Equivalencia!$1:$23,((MAX(Equivalencia!$3:$3)-YEAR(X1173))*14)+MONTH(X1173)+2,FALSE)))</f>
        <v>1</v>
      </c>
      <c r="AB1173" s="306">
        <f t="shared" si="314"/>
        <v>20439.704531249998</v>
      </c>
      <c r="AC1173" s="305">
        <f>+IF(X1173=0,0,HLOOKUP(YEAR(X1173)+(MONTH(X1173)/100),TC!$5:$37,DAY(X1173)+2,FALSE))</f>
        <v>20.351700000000001</v>
      </c>
      <c r="AD1173" s="307">
        <f t="shared" si="315"/>
        <v>415982.73470864061</v>
      </c>
      <c r="AE1173" s="314">
        <f t="shared" si="316"/>
        <v>580927.82898488094</v>
      </c>
      <c r="AF1173" s="315">
        <f t="shared" si="317"/>
        <v>-164945.09427624033</v>
      </c>
      <c r="AG1173" s="316">
        <f t="shared" si="318"/>
        <v>0.34246575342465752</v>
      </c>
      <c r="AH1173" s="314">
        <v>1</v>
      </c>
      <c r="AI1173" s="314">
        <f t="shared" si="319"/>
        <v>-164945.09427624033</v>
      </c>
      <c r="AJ1173" s="314">
        <f t="shared" si="320"/>
        <v>0</v>
      </c>
      <c r="AK1173" s="317"/>
      <c r="AL1173" s="315">
        <f t="shared" si="321"/>
        <v>-8117.7654687499999</v>
      </c>
      <c r="AN1173" s="554">
        <f t="shared" si="322"/>
        <v>-0.28426066695509095</v>
      </c>
      <c r="AO1173" s="314"/>
      <c r="AP1173" s="318"/>
    </row>
    <row r="1174" spans="2:42">
      <c r="B1174" s="296" t="s">
        <v>1254</v>
      </c>
      <c r="C1174" s="299" t="s">
        <v>277</v>
      </c>
      <c r="D1174" s="298" t="s">
        <v>918</v>
      </c>
      <c r="E1174" s="299" t="s">
        <v>113</v>
      </c>
      <c r="F1174" s="299" t="s">
        <v>59</v>
      </c>
      <c r="G1174" s="300">
        <v>44708</v>
      </c>
      <c r="H1174" s="303">
        <v>14772.379999999997</v>
      </c>
      <c r="I1174" s="301" t="str">
        <f t="shared" si="306"/>
        <v>Ingresos Sección II LISR (SIC &amp; BMV)</v>
      </c>
      <c r="J1174" s="302">
        <f t="shared" si="307"/>
        <v>80</v>
      </c>
      <c r="K1174" s="304">
        <f t="shared" si="308"/>
        <v>184.65474999999998</v>
      </c>
      <c r="L1174" s="305">
        <f>IF(H1174=0,0,IF(OR(E1174=$AT$5,E1174=$AT$6),AA1174,IF(F1174="MXN",1/HLOOKUP(YEAR(G1174)+(MONTH(G1174)/100),TC!$5:$37,DAY(G1174)+2,FALSE),VLOOKUP(F1174,Equivalencia!$5:$23,((MAX(Equivalencia!$3:$3)-YEAR(G1174))*14)+MONTH(G1174)+2,FALSE))))</f>
        <v>1</v>
      </c>
      <c r="M1174" s="306">
        <f t="shared" si="309"/>
        <v>14772.379999999997</v>
      </c>
      <c r="N1174" s="305">
        <f>IF(G1174=0,0,(IF(OR(E1174=$AT$5,E1174=$AT$6),AC1174,HLOOKUP(YEAR(G1174)+(MONTH(G1174)/100),TC!$5:$37,DAY(G1174)+2,FALSE))))</f>
        <v>19.837700000000002</v>
      </c>
      <c r="O1174" s="307">
        <f t="shared" si="310"/>
        <v>293050.04272599996</v>
      </c>
      <c r="P1174" s="560">
        <f>IF(G1174=0,0,VLOOKUP(YEAR(G1174),INPC!$B$4:$P$30,MONTH(G1174)+2))</f>
        <v>121.02200000000001</v>
      </c>
      <c r="Q1174" s="560">
        <f>IF(X1174=0,0,IF(OR(E1174=$AT$10,E1174=$AT$9),VLOOKUP(YEAR(X1174),INPC!$B$4:$P$30,MONTH(X1174)+1),VLOOKUP(YEAR(X1174),INPC!$B$4:$P$30,MONTH(X1174)+2,0)))</f>
        <v>123.803</v>
      </c>
      <c r="R1174" s="309">
        <f t="shared" si="311"/>
        <v>1.0228999999999999</v>
      </c>
      <c r="S1174" s="310">
        <f t="shared" si="312"/>
        <v>299760.88870442531</v>
      </c>
      <c r="T1174" s="555">
        <f t="shared" si="313"/>
        <v>3747.0111088053163</v>
      </c>
      <c r="U1174" s="311"/>
      <c r="V1174" s="312">
        <v>80</v>
      </c>
      <c r="W1174" s="299" t="s">
        <v>194</v>
      </c>
      <c r="X1174" s="300">
        <v>44832</v>
      </c>
      <c r="Y1174" s="299" t="s">
        <v>59</v>
      </c>
      <c r="Z1174" s="303">
        <v>10093.68125</v>
      </c>
      <c r="AA1174" s="305">
        <f>IF(Z1174=0,0,IF(Y1174="MXN",1/HLOOKUP(YEAR(X1174)+(MONTH(X1174)/100),TC!$5:$37,DAY(X1174)+2,FALSE),VLOOKUP(Y1174,Equivalencia!$1:$23,((MAX(Equivalencia!$3:$3)-YEAR(X1174))*14)+MONTH(X1174)+2,FALSE)))</f>
        <v>1</v>
      </c>
      <c r="AB1174" s="306">
        <f t="shared" si="314"/>
        <v>10093.68125</v>
      </c>
      <c r="AC1174" s="305">
        <f>+IF(X1174=0,0,HLOOKUP(YEAR(X1174)+(MONTH(X1174)/100),TC!$5:$37,DAY(X1174)+2,FALSE))</f>
        <v>20.351700000000001</v>
      </c>
      <c r="AD1174" s="307">
        <f t="shared" si="315"/>
        <v>205423.57269562501</v>
      </c>
      <c r="AE1174" s="314">
        <f t="shared" si="316"/>
        <v>299760.88870442531</v>
      </c>
      <c r="AF1174" s="315">
        <f t="shared" si="317"/>
        <v>-94337.316008800291</v>
      </c>
      <c r="AG1174" s="316">
        <f t="shared" si="318"/>
        <v>0.33972602739726027</v>
      </c>
      <c r="AH1174" s="314">
        <v>1</v>
      </c>
      <c r="AI1174" s="314">
        <f t="shared" si="319"/>
        <v>-94337.316008800291</v>
      </c>
      <c r="AJ1174" s="314">
        <f t="shared" si="320"/>
        <v>0</v>
      </c>
      <c r="AK1174" s="317"/>
      <c r="AL1174" s="315">
        <f t="shared" si="321"/>
        <v>-4678.6987499999977</v>
      </c>
      <c r="AN1174" s="554">
        <f t="shared" si="322"/>
        <v>-0.31671936072589513</v>
      </c>
      <c r="AO1174" s="314"/>
      <c r="AP1174" s="318"/>
    </row>
    <row r="1175" spans="2:42">
      <c r="B1175" s="296" t="s">
        <v>1254</v>
      </c>
      <c r="C1175" s="299" t="s">
        <v>277</v>
      </c>
      <c r="D1175" s="298" t="s">
        <v>918</v>
      </c>
      <c r="E1175" s="299" t="s">
        <v>113</v>
      </c>
      <c r="F1175" s="299" t="s">
        <v>59</v>
      </c>
      <c r="G1175" s="300">
        <v>44775</v>
      </c>
      <c r="H1175" s="303">
        <v>15289.010000000002</v>
      </c>
      <c r="I1175" s="301" t="str">
        <f t="shared" si="306"/>
        <v>Ingresos Sección II LISR (SIC &amp; BMV)</v>
      </c>
      <c r="J1175" s="302">
        <f t="shared" si="307"/>
        <v>81</v>
      </c>
      <c r="K1175" s="304">
        <f t="shared" si="308"/>
        <v>188.75320987654322</v>
      </c>
      <c r="L1175" s="305">
        <f>IF(H1175=0,0,IF(OR(E1175=$AT$5,E1175=$AT$6),AA1175,IF(F1175="MXN",1/HLOOKUP(YEAR(G1175)+(MONTH(G1175)/100),TC!$5:$37,DAY(G1175)+2,FALSE),VLOOKUP(F1175,Equivalencia!$5:$23,((MAX(Equivalencia!$3:$3)-YEAR(G1175))*14)+MONTH(G1175)+2,FALSE))))</f>
        <v>1</v>
      </c>
      <c r="M1175" s="306">
        <f t="shared" si="309"/>
        <v>15289.010000000002</v>
      </c>
      <c r="N1175" s="305">
        <f>IF(G1175=0,0,(IF(OR(E1175=$AT$5,E1175=$AT$6),AC1175,HLOOKUP(YEAR(G1175)+(MONTH(G1175)/100),TC!$5:$37,DAY(G1175)+2,FALSE))))</f>
        <v>20.348500000000001</v>
      </c>
      <c r="O1175" s="307">
        <f t="shared" si="310"/>
        <v>311108.41998500004</v>
      </c>
      <c r="P1175" s="560">
        <f>IF(G1175=0,0,VLOOKUP(YEAR(G1175),INPC!$B$4:$P$30,MONTH(G1175)+2))</f>
        <v>123.803</v>
      </c>
      <c r="Q1175" s="560">
        <f>IF(X1175=0,0,IF(OR(E1175=$AT$10,E1175=$AT$9),VLOOKUP(YEAR(X1175),INPC!$B$4:$P$30,MONTH(X1175)+1),VLOOKUP(YEAR(X1175),INPC!$B$4:$P$30,MONTH(X1175)+2,0)))</f>
        <v>123.803</v>
      </c>
      <c r="R1175" s="309">
        <f t="shared" si="311"/>
        <v>1</v>
      </c>
      <c r="S1175" s="310">
        <f t="shared" si="312"/>
        <v>311108.41998500004</v>
      </c>
      <c r="T1175" s="555">
        <f t="shared" si="313"/>
        <v>3840.8446911728402</v>
      </c>
      <c r="U1175" s="311"/>
      <c r="V1175" s="312">
        <v>81</v>
      </c>
      <c r="W1175" s="299" t="s">
        <v>194</v>
      </c>
      <c r="X1175" s="300">
        <v>44832</v>
      </c>
      <c r="Y1175" s="299" t="s">
        <v>59</v>
      </c>
      <c r="Z1175" s="303">
        <v>10219.852265624999</v>
      </c>
      <c r="AA1175" s="305">
        <f>IF(Z1175=0,0,IF(Y1175="MXN",1/HLOOKUP(YEAR(X1175)+(MONTH(X1175)/100),TC!$5:$37,DAY(X1175)+2,FALSE),VLOOKUP(Y1175,Equivalencia!$1:$23,((MAX(Equivalencia!$3:$3)-YEAR(X1175))*14)+MONTH(X1175)+2,FALSE)))</f>
        <v>1</v>
      </c>
      <c r="AB1175" s="306">
        <f t="shared" si="314"/>
        <v>10219.852265624999</v>
      </c>
      <c r="AC1175" s="305">
        <f>+IF(X1175=0,0,HLOOKUP(YEAR(X1175)+(MONTH(X1175)/100),TC!$5:$37,DAY(X1175)+2,FALSE))</f>
        <v>20.351700000000001</v>
      </c>
      <c r="AD1175" s="307">
        <f t="shared" si="315"/>
        <v>207991.3673543203</v>
      </c>
      <c r="AE1175" s="314">
        <f t="shared" si="316"/>
        <v>311108.41998500004</v>
      </c>
      <c r="AF1175" s="315">
        <f t="shared" si="317"/>
        <v>-103117.05263067974</v>
      </c>
      <c r="AG1175" s="316">
        <f t="shared" si="318"/>
        <v>0.15616438356164383</v>
      </c>
      <c r="AH1175" s="314">
        <v>1</v>
      </c>
      <c r="AI1175" s="314">
        <f t="shared" si="319"/>
        <v>-103117.05263067974</v>
      </c>
      <c r="AJ1175" s="314">
        <f t="shared" si="320"/>
        <v>0</v>
      </c>
      <c r="AK1175" s="317"/>
      <c r="AL1175" s="315">
        <f t="shared" si="321"/>
        <v>-5069.1577343750032</v>
      </c>
      <c r="AN1175" s="554">
        <f t="shared" si="322"/>
        <v>-0.3315556556228953</v>
      </c>
      <c r="AO1175" s="314"/>
      <c r="AP1175" s="318"/>
    </row>
    <row r="1176" spans="2:42">
      <c r="B1176" s="296" t="s">
        <v>1254</v>
      </c>
      <c r="C1176" s="299" t="s">
        <v>277</v>
      </c>
      <c r="D1176" s="298" t="s">
        <v>918</v>
      </c>
      <c r="E1176" s="299" t="s">
        <v>113</v>
      </c>
      <c r="F1176" s="299" t="s">
        <v>59</v>
      </c>
      <c r="G1176" s="300">
        <v>44781</v>
      </c>
      <c r="H1176" s="303">
        <v>10695.54</v>
      </c>
      <c r="I1176" s="301" t="str">
        <f t="shared" si="306"/>
        <v>Ingresos Sección II LISR (SIC &amp; BMV)</v>
      </c>
      <c r="J1176" s="302">
        <f t="shared" si="307"/>
        <v>61</v>
      </c>
      <c r="K1176" s="304">
        <f t="shared" si="308"/>
        <v>175.33672131147543</v>
      </c>
      <c r="L1176" s="305">
        <f>IF(H1176=0,0,IF(OR(E1176=$AT$5,E1176=$AT$6),AA1176,IF(F1176="MXN",1/HLOOKUP(YEAR(G1176)+(MONTH(G1176)/100),TC!$5:$37,DAY(G1176)+2,FALSE),VLOOKUP(F1176,Equivalencia!$5:$23,((MAX(Equivalencia!$3:$3)-YEAR(G1176))*14)+MONTH(G1176)+2,FALSE))))</f>
        <v>1</v>
      </c>
      <c r="M1176" s="306">
        <f t="shared" si="309"/>
        <v>10695.54</v>
      </c>
      <c r="N1176" s="305">
        <f>IF(G1176=0,0,(IF(OR(E1176=$AT$5,E1176=$AT$6),AC1176,HLOOKUP(YEAR(G1176)+(MONTH(G1176)/100),TC!$5:$37,DAY(G1176)+2,FALSE))))</f>
        <v>20.335799999999999</v>
      </c>
      <c r="O1176" s="307">
        <f t="shared" si="310"/>
        <v>217502.36233200002</v>
      </c>
      <c r="P1176" s="560">
        <f>IF(G1176=0,0,VLOOKUP(YEAR(G1176),INPC!$B$4:$P$30,MONTH(G1176)+2))</f>
        <v>123.803</v>
      </c>
      <c r="Q1176" s="560">
        <f>IF(X1176=0,0,IF(OR(E1176=$AT$10,E1176=$AT$9),VLOOKUP(YEAR(X1176),INPC!$B$4:$P$30,MONTH(X1176)+1),VLOOKUP(YEAR(X1176),INPC!$B$4:$P$30,MONTH(X1176)+2,0)))</f>
        <v>123.803</v>
      </c>
      <c r="R1176" s="309">
        <f t="shared" si="311"/>
        <v>1</v>
      </c>
      <c r="S1176" s="310">
        <f t="shared" si="312"/>
        <v>217502.36233200002</v>
      </c>
      <c r="T1176" s="555">
        <f t="shared" si="313"/>
        <v>3565.612497245902</v>
      </c>
      <c r="U1176" s="311"/>
      <c r="V1176" s="312">
        <v>61</v>
      </c>
      <c r="W1176" s="299" t="s">
        <v>194</v>
      </c>
      <c r="X1176" s="300">
        <v>44832</v>
      </c>
      <c r="Y1176" s="299" t="s">
        <v>59</v>
      </c>
      <c r="Z1176" s="303">
        <v>7696.4319531249994</v>
      </c>
      <c r="AA1176" s="305">
        <f>IF(Z1176=0,0,IF(Y1176="MXN",1/HLOOKUP(YEAR(X1176)+(MONTH(X1176)/100),TC!$5:$37,DAY(X1176)+2,FALSE),VLOOKUP(Y1176,Equivalencia!$1:$23,((MAX(Equivalencia!$3:$3)-YEAR(X1176))*14)+MONTH(X1176)+2,FALSE)))</f>
        <v>1</v>
      </c>
      <c r="AB1176" s="306">
        <f t="shared" si="314"/>
        <v>7696.4319531249994</v>
      </c>
      <c r="AC1176" s="305">
        <f>+IF(X1176=0,0,HLOOKUP(YEAR(X1176)+(MONTH(X1176)/100),TC!$5:$37,DAY(X1176)+2,FALSE))</f>
        <v>20.351700000000001</v>
      </c>
      <c r="AD1176" s="307">
        <f t="shared" si="315"/>
        <v>156635.47418041405</v>
      </c>
      <c r="AE1176" s="314">
        <f t="shared" si="316"/>
        <v>217502.36233200002</v>
      </c>
      <c r="AF1176" s="315">
        <f t="shared" si="317"/>
        <v>-60866.888151585968</v>
      </c>
      <c r="AG1176" s="316">
        <f t="shared" si="318"/>
        <v>0.13972602739726028</v>
      </c>
      <c r="AH1176" s="314">
        <v>1</v>
      </c>
      <c r="AI1176" s="314">
        <f t="shared" si="319"/>
        <v>-60866.888151585968</v>
      </c>
      <c r="AJ1176" s="314">
        <f t="shared" si="320"/>
        <v>0</v>
      </c>
      <c r="AK1176" s="317"/>
      <c r="AL1176" s="315">
        <f t="shared" si="321"/>
        <v>-2999.1080468750015</v>
      </c>
      <c r="AN1176" s="554">
        <f t="shared" si="322"/>
        <v>-0.28040735174427855</v>
      </c>
      <c r="AO1176" s="314"/>
      <c r="AP1176" s="318"/>
    </row>
    <row r="1177" spans="2:42">
      <c r="B1177" s="296" t="s">
        <v>1254</v>
      </c>
      <c r="C1177" s="299" t="s">
        <v>277</v>
      </c>
      <c r="D1177" s="298" t="s">
        <v>1042</v>
      </c>
      <c r="E1177" s="299" t="s">
        <v>113</v>
      </c>
      <c r="F1177" s="299" t="s">
        <v>59</v>
      </c>
      <c r="G1177" s="300">
        <v>44273</v>
      </c>
      <c r="H1177" s="303">
        <v>467.23199999999997</v>
      </c>
      <c r="I1177" s="301" t="str">
        <f t="shared" si="306"/>
        <v>Ingresos Sección II LISR (SIC &amp; BMV)</v>
      </c>
      <c r="J1177" s="302">
        <f t="shared" si="307"/>
        <v>1</v>
      </c>
      <c r="K1177" s="304">
        <f t="shared" si="308"/>
        <v>467.23199999999997</v>
      </c>
      <c r="L1177" s="305">
        <f>IF(H1177=0,0,IF(OR(E1177=$AT$5,E1177=$AT$6),AA1177,IF(F1177="MXN",1/HLOOKUP(YEAR(G1177)+(MONTH(G1177)/100),TC!$5:$37,DAY(G1177)+2,FALSE),VLOOKUP(F1177,Equivalencia!$5:$23,((MAX(Equivalencia!$3:$3)-YEAR(G1177))*14)+MONTH(G1177)+2,FALSE))))</f>
        <v>1</v>
      </c>
      <c r="M1177" s="306">
        <f t="shared" si="309"/>
        <v>467.23199999999997</v>
      </c>
      <c r="N1177" s="305">
        <f>IF(G1177=0,0,(IF(OR(E1177=$AT$5,E1177=$AT$6),AC1177,HLOOKUP(YEAR(G1177)+(MONTH(G1177)/100),TC!$5:$37,DAY(G1177)+2,FALSE))))</f>
        <v>20.575299999999999</v>
      </c>
      <c r="O1177" s="307">
        <f t="shared" si="310"/>
        <v>9613.438569599999</v>
      </c>
      <c r="P1177" s="560">
        <f>IF(G1177=0,0,VLOOKUP(YEAR(G1177),INPC!$B$4:$P$30,MONTH(G1177)+2))</f>
        <v>111.824</v>
      </c>
      <c r="Q1177" s="560">
        <f>IF(X1177=0,0,IF(OR(E1177=$AT$10,E1177=$AT$9),VLOOKUP(YEAR(X1177),INPC!$B$4:$P$30,MONTH(X1177)+1),VLOOKUP(YEAR(X1177),INPC!$B$4:$P$30,MONTH(X1177)+2,0)))</f>
        <v>122.94799999999999</v>
      </c>
      <c r="R1177" s="309">
        <f t="shared" si="311"/>
        <v>1.0993999999999999</v>
      </c>
      <c r="S1177" s="310">
        <f t="shared" si="312"/>
        <v>10569.014363418239</v>
      </c>
      <c r="T1177" s="555">
        <f t="shared" si="313"/>
        <v>10569.014363418239</v>
      </c>
      <c r="U1177" s="311"/>
      <c r="V1177" s="312">
        <v>1</v>
      </c>
      <c r="W1177" s="299" t="s">
        <v>194</v>
      </c>
      <c r="X1177" s="300">
        <v>44776</v>
      </c>
      <c r="Y1177" s="299" t="s">
        <v>59</v>
      </c>
      <c r="Z1177" s="303">
        <v>350.76904761904763</v>
      </c>
      <c r="AA1177" s="305">
        <f>IF(Z1177=0,0,IF(Y1177="MXN",1/HLOOKUP(YEAR(X1177)+(MONTH(X1177)/100),TC!$5:$37,DAY(X1177)+2,FALSE),VLOOKUP(Y1177,Equivalencia!$1:$23,((MAX(Equivalencia!$3:$3)-YEAR(X1177))*14)+MONTH(X1177)+2,FALSE)))</f>
        <v>1</v>
      </c>
      <c r="AB1177" s="306">
        <f t="shared" si="314"/>
        <v>350.76904761904763</v>
      </c>
      <c r="AC1177" s="305">
        <f>+IF(X1177=0,0,HLOOKUP(YEAR(X1177)+(MONTH(X1177)/100),TC!$5:$37,DAY(X1177)+2,FALSE))</f>
        <v>20.263300000000001</v>
      </c>
      <c r="AD1177" s="307">
        <f t="shared" si="315"/>
        <v>7107.7384426190483</v>
      </c>
      <c r="AE1177" s="314">
        <f t="shared" si="316"/>
        <v>10569.014363418239</v>
      </c>
      <c r="AF1177" s="315">
        <f t="shared" si="317"/>
        <v>-3461.2759207991903</v>
      </c>
      <c r="AG1177" s="316">
        <f t="shared" si="318"/>
        <v>1.3780821917808219</v>
      </c>
      <c r="AH1177" s="314">
        <v>1</v>
      </c>
      <c r="AI1177" s="314">
        <f t="shared" si="319"/>
        <v>-3461.2759207991903</v>
      </c>
      <c r="AJ1177" s="314">
        <f t="shared" si="320"/>
        <v>0</v>
      </c>
      <c r="AK1177" s="317"/>
      <c r="AL1177" s="315">
        <f t="shared" si="321"/>
        <v>-116.46295238095234</v>
      </c>
      <c r="AN1177" s="554">
        <f t="shared" si="322"/>
        <v>-0.24926150687656742</v>
      </c>
      <c r="AO1177" s="314"/>
      <c r="AP1177" s="318"/>
    </row>
    <row r="1178" spans="2:42">
      <c r="B1178" s="296" t="s">
        <v>1254</v>
      </c>
      <c r="C1178" s="299" t="s">
        <v>277</v>
      </c>
      <c r="D1178" s="298" t="s">
        <v>1042</v>
      </c>
      <c r="E1178" s="299" t="s">
        <v>113</v>
      </c>
      <c r="F1178" s="299" t="s">
        <v>59</v>
      </c>
      <c r="G1178" s="300">
        <v>44279</v>
      </c>
      <c r="H1178" s="303">
        <v>6422.52</v>
      </c>
      <c r="I1178" s="301" t="str">
        <f t="shared" si="306"/>
        <v>Ingresos Sección II LISR (SIC &amp; BMV)</v>
      </c>
      <c r="J1178" s="302">
        <f t="shared" si="307"/>
        <v>14</v>
      </c>
      <c r="K1178" s="304">
        <f t="shared" si="308"/>
        <v>458.75142857142862</v>
      </c>
      <c r="L1178" s="305">
        <f>IF(H1178=0,0,IF(OR(E1178=$AT$5,E1178=$AT$6),AA1178,IF(F1178="MXN",1/HLOOKUP(YEAR(G1178)+(MONTH(G1178)/100),TC!$5:$37,DAY(G1178)+2,FALSE),VLOOKUP(F1178,Equivalencia!$5:$23,((MAX(Equivalencia!$3:$3)-YEAR(G1178))*14)+MONTH(G1178)+2,FALSE))))</f>
        <v>1</v>
      </c>
      <c r="M1178" s="306">
        <f t="shared" si="309"/>
        <v>6422.52</v>
      </c>
      <c r="N1178" s="305">
        <f>IF(G1178=0,0,(IF(OR(E1178=$AT$5,E1178=$AT$6),AC1178,HLOOKUP(YEAR(G1178)+(MONTH(G1178)/100),TC!$5:$37,DAY(G1178)+2,FALSE))))</f>
        <v>20.578800000000001</v>
      </c>
      <c r="O1178" s="307">
        <f t="shared" si="310"/>
        <v>132167.75457600001</v>
      </c>
      <c r="P1178" s="560">
        <f>IF(G1178=0,0,VLOOKUP(YEAR(G1178),INPC!$B$4:$P$30,MONTH(G1178)+2))</f>
        <v>111.824</v>
      </c>
      <c r="Q1178" s="560">
        <f>IF(X1178=0,0,IF(OR(E1178=$AT$10,E1178=$AT$9),VLOOKUP(YEAR(X1178),INPC!$B$4:$P$30,MONTH(X1178)+1),VLOOKUP(YEAR(X1178),INPC!$B$4:$P$30,MONTH(X1178)+2,0)))</f>
        <v>122.94799999999999</v>
      </c>
      <c r="R1178" s="309">
        <f t="shared" si="311"/>
        <v>1.0993999999999999</v>
      </c>
      <c r="S1178" s="310">
        <f t="shared" si="312"/>
        <v>145305.22938085441</v>
      </c>
      <c r="T1178" s="555">
        <f t="shared" si="313"/>
        <v>10378.944955775314</v>
      </c>
      <c r="U1178" s="311"/>
      <c r="V1178" s="312">
        <v>14</v>
      </c>
      <c r="W1178" s="299" t="s">
        <v>194</v>
      </c>
      <c r="X1178" s="300">
        <v>44776</v>
      </c>
      <c r="Y1178" s="299" t="s">
        <v>59</v>
      </c>
      <c r="Z1178" s="303">
        <v>4910.7666666666664</v>
      </c>
      <c r="AA1178" s="305">
        <f>IF(Z1178=0,0,IF(Y1178="MXN",1/HLOOKUP(YEAR(X1178)+(MONTH(X1178)/100),TC!$5:$37,DAY(X1178)+2,FALSE),VLOOKUP(Y1178,Equivalencia!$1:$23,((MAX(Equivalencia!$3:$3)-YEAR(X1178))*14)+MONTH(X1178)+2,FALSE)))</f>
        <v>1</v>
      </c>
      <c r="AB1178" s="306">
        <f t="shared" si="314"/>
        <v>4910.7666666666664</v>
      </c>
      <c r="AC1178" s="305">
        <f>+IF(X1178=0,0,HLOOKUP(YEAR(X1178)+(MONTH(X1178)/100),TC!$5:$37,DAY(X1178)+2,FALSE))</f>
        <v>20.263300000000001</v>
      </c>
      <c r="AD1178" s="307">
        <f t="shared" si="315"/>
        <v>99508.338196666664</v>
      </c>
      <c r="AE1178" s="314">
        <f t="shared" si="316"/>
        <v>145305.22938085441</v>
      </c>
      <c r="AF1178" s="315">
        <f t="shared" si="317"/>
        <v>-45796.891184187742</v>
      </c>
      <c r="AG1178" s="316">
        <f t="shared" si="318"/>
        <v>1.3616438356164384</v>
      </c>
      <c r="AH1178" s="314">
        <v>1</v>
      </c>
      <c r="AI1178" s="314">
        <f t="shared" si="319"/>
        <v>-45796.891184187742</v>
      </c>
      <c r="AJ1178" s="314">
        <f t="shared" si="320"/>
        <v>0</v>
      </c>
      <c r="AK1178" s="317"/>
      <c r="AL1178" s="315">
        <f t="shared" si="321"/>
        <v>-1511.753333333334</v>
      </c>
      <c r="AN1178" s="554">
        <f t="shared" si="322"/>
        <v>-0.23538320368536556</v>
      </c>
      <c r="AO1178" s="314"/>
      <c r="AP1178" s="318"/>
    </row>
    <row r="1179" spans="2:42">
      <c r="B1179" s="296" t="s">
        <v>1254</v>
      </c>
      <c r="C1179" s="299" t="s">
        <v>277</v>
      </c>
      <c r="D1179" s="298" t="s">
        <v>1042</v>
      </c>
      <c r="E1179" s="299" t="s">
        <v>113</v>
      </c>
      <c r="F1179" s="299" t="s">
        <v>59</v>
      </c>
      <c r="G1179" s="300">
        <v>44280</v>
      </c>
      <c r="H1179" s="303">
        <v>2707.17</v>
      </c>
      <c r="I1179" s="301" t="str">
        <f t="shared" si="306"/>
        <v>Ingresos Sección II LISR (SIC &amp; BMV)</v>
      </c>
      <c r="J1179" s="302">
        <f t="shared" si="307"/>
        <v>6</v>
      </c>
      <c r="K1179" s="304">
        <f t="shared" si="308"/>
        <v>451.19499999999999</v>
      </c>
      <c r="L1179" s="305">
        <f>IF(H1179=0,0,IF(OR(E1179=$AT$5,E1179=$AT$6),AA1179,IF(F1179="MXN",1/HLOOKUP(YEAR(G1179)+(MONTH(G1179)/100),TC!$5:$37,DAY(G1179)+2,FALSE),VLOOKUP(F1179,Equivalencia!$5:$23,((MAX(Equivalencia!$3:$3)-YEAR(G1179))*14)+MONTH(G1179)+2,FALSE))))</f>
        <v>1</v>
      </c>
      <c r="M1179" s="306">
        <f t="shared" si="309"/>
        <v>2707.17</v>
      </c>
      <c r="N1179" s="305">
        <f>IF(G1179=0,0,(IF(OR(E1179=$AT$5,E1179=$AT$6),AC1179,HLOOKUP(YEAR(G1179)+(MONTH(G1179)/100),TC!$5:$37,DAY(G1179)+2,FALSE))))</f>
        <v>20.640799999999999</v>
      </c>
      <c r="O1179" s="307">
        <f t="shared" si="310"/>
        <v>55878.154535999995</v>
      </c>
      <c r="P1179" s="560">
        <f>IF(G1179=0,0,VLOOKUP(YEAR(G1179),INPC!$B$4:$P$30,MONTH(G1179)+2))</f>
        <v>111.824</v>
      </c>
      <c r="Q1179" s="560">
        <f>IF(X1179=0,0,IF(OR(E1179=$AT$10,E1179=$AT$9),VLOOKUP(YEAR(X1179),INPC!$B$4:$P$30,MONTH(X1179)+1),VLOOKUP(YEAR(X1179),INPC!$B$4:$P$30,MONTH(X1179)+2,0)))</f>
        <v>122.94799999999999</v>
      </c>
      <c r="R1179" s="309">
        <f t="shared" si="311"/>
        <v>1.0993999999999999</v>
      </c>
      <c r="S1179" s="310">
        <f t="shared" si="312"/>
        <v>61432.443096878393</v>
      </c>
      <c r="T1179" s="555">
        <f t="shared" si="313"/>
        <v>10238.740516146399</v>
      </c>
      <c r="U1179" s="311"/>
      <c r="V1179" s="312">
        <v>6</v>
      </c>
      <c r="W1179" s="299" t="s">
        <v>194</v>
      </c>
      <c r="X1179" s="300">
        <v>44776</v>
      </c>
      <c r="Y1179" s="299" t="s">
        <v>59</v>
      </c>
      <c r="Z1179" s="303">
        <v>2104.6142857142859</v>
      </c>
      <c r="AA1179" s="305">
        <f>IF(Z1179=0,0,IF(Y1179="MXN",1/HLOOKUP(YEAR(X1179)+(MONTH(X1179)/100),TC!$5:$37,DAY(X1179)+2,FALSE),VLOOKUP(Y1179,Equivalencia!$1:$23,((MAX(Equivalencia!$3:$3)-YEAR(X1179))*14)+MONTH(X1179)+2,FALSE)))</f>
        <v>1</v>
      </c>
      <c r="AB1179" s="306">
        <f t="shared" si="314"/>
        <v>2104.6142857142859</v>
      </c>
      <c r="AC1179" s="305">
        <f>+IF(X1179=0,0,HLOOKUP(YEAR(X1179)+(MONTH(X1179)/100),TC!$5:$37,DAY(X1179)+2,FALSE))</f>
        <v>20.263300000000001</v>
      </c>
      <c r="AD1179" s="307">
        <f t="shared" si="315"/>
        <v>42646.430655714292</v>
      </c>
      <c r="AE1179" s="314">
        <f t="shared" si="316"/>
        <v>61432.4430968784</v>
      </c>
      <c r="AF1179" s="315">
        <f t="shared" si="317"/>
        <v>-18786.012441164108</v>
      </c>
      <c r="AG1179" s="316">
        <f t="shared" si="318"/>
        <v>1.3589041095890411</v>
      </c>
      <c r="AH1179" s="314">
        <v>1</v>
      </c>
      <c r="AI1179" s="314">
        <f t="shared" si="319"/>
        <v>-18786.012441164108</v>
      </c>
      <c r="AJ1179" s="314">
        <f t="shared" si="320"/>
        <v>0</v>
      </c>
      <c r="AK1179" s="317"/>
      <c r="AL1179" s="315">
        <f t="shared" si="321"/>
        <v>-602.5557142857142</v>
      </c>
      <c r="AN1179" s="554">
        <f t="shared" si="322"/>
        <v>-0.22257771557963268</v>
      </c>
      <c r="AO1179" s="314"/>
      <c r="AP1179" s="318"/>
    </row>
    <row r="1180" spans="2:42">
      <c r="B1180" s="296" t="s">
        <v>1254</v>
      </c>
      <c r="C1180" s="299" t="s">
        <v>277</v>
      </c>
      <c r="D1180" s="298" t="s">
        <v>719</v>
      </c>
      <c r="E1180" s="299" t="s">
        <v>113</v>
      </c>
      <c r="F1180" s="299" t="s">
        <v>59</v>
      </c>
      <c r="G1180" s="300">
        <v>44314</v>
      </c>
      <c r="H1180" s="303">
        <v>10538.559692307692</v>
      </c>
      <c r="I1180" s="301" t="str">
        <f t="shared" si="306"/>
        <v>Ingresos Sección II LISR (SIC &amp; BMV)</v>
      </c>
      <c r="J1180" s="302">
        <f t="shared" si="307"/>
        <v>62</v>
      </c>
      <c r="K1180" s="304">
        <f t="shared" si="308"/>
        <v>169.97676923076924</v>
      </c>
      <c r="L1180" s="305">
        <f>IF(H1180=0,0,IF(OR(E1180=$AT$5,E1180=$AT$6),AA1180,IF(F1180="MXN",1/HLOOKUP(YEAR(G1180)+(MONTH(G1180)/100),TC!$5:$37,DAY(G1180)+2,FALSE),VLOOKUP(F1180,Equivalencia!$5:$23,((MAX(Equivalencia!$3:$3)-YEAR(G1180))*14)+MONTH(G1180)+2,FALSE))))</f>
        <v>1</v>
      </c>
      <c r="M1180" s="306">
        <f t="shared" si="309"/>
        <v>10538.559692307692</v>
      </c>
      <c r="N1180" s="305">
        <f>IF(G1180=0,0,(IF(OR(E1180=$AT$5,E1180=$AT$6),AC1180,HLOOKUP(YEAR(G1180)+(MONTH(G1180)/100),TC!$5:$37,DAY(G1180)+2,FALSE))))</f>
        <v>19.836200000000002</v>
      </c>
      <c r="O1180" s="307">
        <f t="shared" si="310"/>
        <v>209044.97776855386</v>
      </c>
      <c r="P1180" s="560">
        <f>IF(G1180=0,0,VLOOKUP(YEAR(G1180),INPC!$B$4:$P$30,MONTH(G1180)+2))</f>
        <v>112.19</v>
      </c>
      <c r="Q1180" s="560">
        <f>IF(X1180=0,0,IF(OR(E1180=$AT$10,E1180=$AT$9),VLOOKUP(YEAR(X1180),INPC!$B$4:$P$30,MONTH(X1180)+1),VLOOKUP(YEAR(X1180),INPC!$B$4:$P$30,MONTH(X1180)+2,0)))</f>
        <v>123.803</v>
      </c>
      <c r="R1180" s="309">
        <f t="shared" si="311"/>
        <v>1.1034999999999999</v>
      </c>
      <c r="S1180" s="310">
        <f t="shared" si="312"/>
        <v>230681.13296759917</v>
      </c>
      <c r="T1180" s="555">
        <f t="shared" si="313"/>
        <v>3720.6634349612768</v>
      </c>
      <c r="U1180" s="311"/>
      <c r="V1180" s="312">
        <v>62</v>
      </c>
      <c r="W1180" s="299" t="s">
        <v>194</v>
      </c>
      <c r="X1180" s="300">
        <v>44834</v>
      </c>
      <c r="Y1180" s="299" t="s">
        <v>59</v>
      </c>
      <c r="Z1180" s="303">
        <v>9328.0565048543685</v>
      </c>
      <c r="AA1180" s="305">
        <f>IF(Z1180=0,0,IF(Y1180="MXN",1/HLOOKUP(YEAR(X1180)+(MONTH(X1180)/100),TC!$5:$37,DAY(X1180)+2,FALSE),VLOOKUP(Y1180,Equivalencia!$1:$23,((MAX(Equivalencia!$3:$3)-YEAR(X1180))*14)+MONTH(X1180)+2,FALSE)))</f>
        <v>1</v>
      </c>
      <c r="AB1180" s="306">
        <f t="shared" si="314"/>
        <v>9328.0565048543685</v>
      </c>
      <c r="AC1180" s="305">
        <f>+IF(X1180=0,0,HLOOKUP(YEAR(X1180)+(MONTH(X1180)/100),TC!$5:$37,DAY(X1180)+2,FALSE))</f>
        <v>20.305800000000001</v>
      </c>
      <c r="AD1180" s="307">
        <f t="shared" si="315"/>
        <v>189413.64977627184</v>
      </c>
      <c r="AE1180" s="314">
        <f t="shared" si="316"/>
        <v>230681.13296759917</v>
      </c>
      <c r="AF1180" s="315">
        <f t="shared" si="317"/>
        <v>-41267.483191327337</v>
      </c>
      <c r="AG1180" s="316">
        <f t="shared" si="318"/>
        <v>1.4246575342465753</v>
      </c>
      <c r="AH1180" s="314">
        <v>1</v>
      </c>
      <c r="AI1180" s="314">
        <f t="shared" si="319"/>
        <v>-41267.483191327337</v>
      </c>
      <c r="AJ1180" s="314">
        <f t="shared" si="320"/>
        <v>0</v>
      </c>
      <c r="AK1180" s="317"/>
      <c r="AL1180" s="315">
        <f t="shared" si="321"/>
        <v>-1210.5031874533233</v>
      </c>
      <c r="AN1180" s="554">
        <f t="shared" si="322"/>
        <v>-0.11486419613269298</v>
      </c>
      <c r="AO1180" s="314"/>
      <c r="AP1180" s="318"/>
    </row>
    <row r="1181" spans="2:42">
      <c r="B1181" s="296" t="s">
        <v>1254</v>
      </c>
      <c r="C1181" s="299" t="s">
        <v>277</v>
      </c>
      <c r="D1181" s="298" t="s">
        <v>719</v>
      </c>
      <c r="E1181" s="299" t="s">
        <v>113</v>
      </c>
      <c r="F1181" s="299" t="s">
        <v>59</v>
      </c>
      <c r="G1181" s="300">
        <v>44315</v>
      </c>
      <c r="H1181" s="303">
        <v>1556.16</v>
      </c>
      <c r="I1181" s="301" t="str">
        <f t="shared" si="306"/>
        <v>Ingresos Sección II LISR (SIC &amp; BMV)</v>
      </c>
      <c r="J1181" s="302">
        <f t="shared" si="307"/>
        <v>9</v>
      </c>
      <c r="K1181" s="304">
        <f t="shared" si="308"/>
        <v>172.90666666666667</v>
      </c>
      <c r="L1181" s="305">
        <f>IF(H1181=0,0,IF(OR(E1181=$AT$5,E1181=$AT$6),AA1181,IF(F1181="MXN",1/HLOOKUP(YEAR(G1181)+(MONTH(G1181)/100),TC!$5:$37,DAY(G1181)+2,FALSE),VLOOKUP(F1181,Equivalencia!$5:$23,((MAX(Equivalencia!$3:$3)-YEAR(G1181))*14)+MONTH(G1181)+2,FALSE))))</f>
        <v>1</v>
      </c>
      <c r="M1181" s="306">
        <f t="shared" si="309"/>
        <v>1556.16</v>
      </c>
      <c r="N1181" s="305">
        <f>IF(G1181=0,0,(IF(OR(E1181=$AT$5,E1181=$AT$6),AC1181,HLOOKUP(YEAR(G1181)+(MONTH(G1181)/100),TC!$5:$37,DAY(G1181)+2,FALSE))))</f>
        <v>19.9785</v>
      </c>
      <c r="O1181" s="307">
        <f t="shared" si="310"/>
        <v>31089.742560000002</v>
      </c>
      <c r="P1181" s="560">
        <f>IF(G1181=0,0,VLOOKUP(YEAR(G1181),INPC!$B$4:$P$30,MONTH(G1181)+2))</f>
        <v>112.19</v>
      </c>
      <c r="Q1181" s="560">
        <f>IF(X1181=0,0,IF(OR(E1181=$AT$10,E1181=$AT$9),VLOOKUP(YEAR(X1181),INPC!$B$4:$P$30,MONTH(X1181)+1),VLOOKUP(YEAR(X1181),INPC!$B$4:$P$30,MONTH(X1181)+2,0)))</f>
        <v>123.803</v>
      </c>
      <c r="R1181" s="309">
        <f t="shared" si="311"/>
        <v>1.1034999999999999</v>
      </c>
      <c r="S1181" s="310">
        <f t="shared" si="312"/>
        <v>34307.53091496</v>
      </c>
      <c r="T1181" s="555">
        <f t="shared" si="313"/>
        <v>3811.9478794400002</v>
      </c>
      <c r="U1181" s="311"/>
      <c r="V1181" s="312">
        <v>9</v>
      </c>
      <c r="W1181" s="299" t="s">
        <v>194</v>
      </c>
      <c r="X1181" s="300">
        <v>44834</v>
      </c>
      <c r="Y1181" s="299" t="s">
        <v>59</v>
      </c>
      <c r="Z1181" s="303">
        <v>1354.0727184466018</v>
      </c>
      <c r="AA1181" s="305">
        <f>IF(Z1181=0,0,IF(Y1181="MXN",1/HLOOKUP(YEAR(X1181)+(MONTH(X1181)/100),TC!$5:$37,DAY(X1181)+2,FALSE),VLOOKUP(Y1181,Equivalencia!$1:$23,((MAX(Equivalencia!$3:$3)-YEAR(X1181))*14)+MONTH(X1181)+2,FALSE)))</f>
        <v>1</v>
      </c>
      <c r="AB1181" s="306">
        <f t="shared" si="314"/>
        <v>1354.0727184466018</v>
      </c>
      <c r="AC1181" s="305">
        <f>+IF(X1181=0,0,HLOOKUP(YEAR(X1181)+(MONTH(X1181)/100),TC!$5:$37,DAY(X1181)+2,FALSE))</f>
        <v>20.305800000000001</v>
      </c>
      <c r="AD1181" s="307">
        <f t="shared" si="315"/>
        <v>27495.529806233008</v>
      </c>
      <c r="AE1181" s="314">
        <f t="shared" si="316"/>
        <v>34307.53091496</v>
      </c>
      <c r="AF1181" s="315">
        <f t="shared" si="317"/>
        <v>-6812.0011087269922</v>
      </c>
      <c r="AG1181" s="316">
        <f t="shared" si="318"/>
        <v>1.4219178082191781</v>
      </c>
      <c r="AH1181" s="314">
        <v>1</v>
      </c>
      <c r="AI1181" s="314">
        <f t="shared" si="319"/>
        <v>-6812.0011087269922</v>
      </c>
      <c r="AJ1181" s="314">
        <f t="shared" si="320"/>
        <v>0</v>
      </c>
      <c r="AK1181" s="317"/>
      <c r="AL1181" s="315">
        <f t="shared" si="321"/>
        <v>-202.08728155339827</v>
      </c>
      <c r="AN1181" s="554">
        <f t="shared" si="322"/>
        <v>-0.12986279145678994</v>
      </c>
      <c r="AO1181" s="314"/>
      <c r="AP1181" s="318"/>
    </row>
    <row r="1182" spans="2:42">
      <c r="B1182" s="296" t="s">
        <v>1254</v>
      </c>
      <c r="C1182" s="299" t="s">
        <v>277</v>
      </c>
      <c r="D1182" s="298" t="s">
        <v>719</v>
      </c>
      <c r="E1182" s="299" t="s">
        <v>113</v>
      </c>
      <c r="F1182" s="299" t="s">
        <v>59</v>
      </c>
      <c r="G1182" s="300">
        <v>44315</v>
      </c>
      <c r="H1182" s="303">
        <v>5487.8826666666673</v>
      </c>
      <c r="I1182" s="301" t="str">
        <f t="shared" si="306"/>
        <v>Ingresos Sección II LISR (SIC &amp; BMV)</v>
      </c>
      <c r="J1182" s="302">
        <f t="shared" si="307"/>
        <v>32</v>
      </c>
      <c r="K1182" s="304">
        <f t="shared" si="308"/>
        <v>171.49633333333335</v>
      </c>
      <c r="L1182" s="305">
        <f>IF(H1182=0,0,IF(OR(E1182=$AT$5,E1182=$AT$6),AA1182,IF(F1182="MXN",1/HLOOKUP(YEAR(G1182)+(MONTH(G1182)/100),TC!$5:$37,DAY(G1182)+2,FALSE),VLOOKUP(F1182,Equivalencia!$5:$23,((MAX(Equivalencia!$3:$3)-YEAR(G1182))*14)+MONTH(G1182)+2,FALSE))))</f>
        <v>1</v>
      </c>
      <c r="M1182" s="306">
        <f t="shared" si="309"/>
        <v>5487.8826666666673</v>
      </c>
      <c r="N1182" s="305">
        <f>IF(G1182=0,0,(IF(OR(E1182=$AT$5,E1182=$AT$6),AC1182,HLOOKUP(YEAR(G1182)+(MONTH(G1182)/100),TC!$5:$37,DAY(G1182)+2,FALSE))))</f>
        <v>19.9785</v>
      </c>
      <c r="O1182" s="307">
        <f t="shared" si="310"/>
        <v>109639.66385600001</v>
      </c>
      <c r="P1182" s="560">
        <f>IF(G1182=0,0,VLOOKUP(YEAR(G1182),INPC!$B$4:$P$30,MONTH(G1182)+2))</f>
        <v>112.19</v>
      </c>
      <c r="Q1182" s="560">
        <f>IF(X1182=0,0,IF(OR(E1182=$AT$10,E1182=$AT$9),VLOOKUP(YEAR(X1182),INPC!$B$4:$P$30,MONTH(X1182)+1),VLOOKUP(YEAR(X1182),INPC!$B$4:$P$30,MONTH(X1182)+2,0)))</f>
        <v>123.803</v>
      </c>
      <c r="R1182" s="309">
        <f t="shared" si="311"/>
        <v>1.1034999999999999</v>
      </c>
      <c r="S1182" s="310">
        <f t="shared" si="312"/>
        <v>120987.36906509601</v>
      </c>
      <c r="T1182" s="555">
        <f t="shared" si="313"/>
        <v>3780.8552832842502</v>
      </c>
      <c r="U1182" s="311"/>
      <c r="V1182" s="312">
        <v>32</v>
      </c>
      <c r="W1182" s="299" t="s">
        <v>194</v>
      </c>
      <c r="X1182" s="300">
        <v>44834</v>
      </c>
      <c r="Y1182" s="299" t="s">
        <v>59</v>
      </c>
      <c r="Z1182" s="303">
        <v>4814.4807766990289</v>
      </c>
      <c r="AA1182" s="305">
        <f>IF(Z1182=0,0,IF(Y1182="MXN",1/HLOOKUP(YEAR(X1182)+(MONTH(X1182)/100),TC!$5:$37,DAY(X1182)+2,FALSE),VLOOKUP(Y1182,Equivalencia!$1:$23,((MAX(Equivalencia!$3:$3)-YEAR(X1182))*14)+MONTH(X1182)+2,FALSE)))</f>
        <v>1</v>
      </c>
      <c r="AB1182" s="306">
        <f t="shared" si="314"/>
        <v>4814.4807766990289</v>
      </c>
      <c r="AC1182" s="305">
        <f>+IF(X1182=0,0,HLOOKUP(YEAR(X1182)+(MONTH(X1182)/100),TC!$5:$37,DAY(X1182)+2,FALSE))</f>
        <v>20.305800000000001</v>
      </c>
      <c r="AD1182" s="307">
        <f t="shared" si="315"/>
        <v>97761.883755495146</v>
      </c>
      <c r="AE1182" s="314">
        <f t="shared" si="316"/>
        <v>120987.36906509601</v>
      </c>
      <c r="AF1182" s="315">
        <f t="shared" si="317"/>
        <v>-23225.485309600859</v>
      </c>
      <c r="AG1182" s="316">
        <f t="shared" si="318"/>
        <v>1.4219178082191781</v>
      </c>
      <c r="AH1182" s="314">
        <v>1</v>
      </c>
      <c r="AI1182" s="314">
        <f t="shared" si="319"/>
        <v>-23225.485309600859</v>
      </c>
      <c r="AJ1182" s="314">
        <f t="shared" si="320"/>
        <v>0</v>
      </c>
      <c r="AK1182" s="317"/>
      <c r="AL1182" s="315">
        <f t="shared" si="321"/>
        <v>-673.40188996763845</v>
      </c>
      <c r="AN1182" s="554">
        <f t="shared" si="322"/>
        <v>-0.12270704948884446</v>
      </c>
      <c r="AO1182" s="314"/>
      <c r="AP1182" s="318"/>
    </row>
    <row r="1183" spans="2:42">
      <c r="B1183" s="296" t="s">
        <v>1254</v>
      </c>
      <c r="C1183" s="299" t="s">
        <v>277</v>
      </c>
      <c r="D1183" s="298" t="s">
        <v>719</v>
      </c>
      <c r="E1183" s="299" t="s">
        <v>113</v>
      </c>
      <c r="F1183" s="299" t="s">
        <v>59</v>
      </c>
      <c r="G1183" s="300">
        <v>44315</v>
      </c>
      <c r="H1183" s="303">
        <v>4801.8973333333342</v>
      </c>
      <c r="I1183" s="301" t="str">
        <f t="shared" si="306"/>
        <v>Ingresos Sección II LISR (SIC &amp; BMV)</v>
      </c>
      <c r="J1183" s="302">
        <f t="shared" si="307"/>
        <v>28</v>
      </c>
      <c r="K1183" s="304">
        <f t="shared" si="308"/>
        <v>171.49633333333335</v>
      </c>
      <c r="L1183" s="305">
        <f>IF(H1183=0,0,IF(OR(E1183=$AT$5,E1183=$AT$6),AA1183,IF(F1183="MXN",1/HLOOKUP(YEAR(G1183)+(MONTH(G1183)/100),TC!$5:$37,DAY(G1183)+2,FALSE),VLOOKUP(F1183,Equivalencia!$5:$23,((MAX(Equivalencia!$3:$3)-YEAR(G1183))*14)+MONTH(G1183)+2,FALSE))))</f>
        <v>1</v>
      </c>
      <c r="M1183" s="306">
        <f t="shared" si="309"/>
        <v>4801.8973333333342</v>
      </c>
      <c r="N1183" s="305">
        <f>IF(G1183=0,0,(IF(OR(E1183=$AT$5,E1183=$AT$6),AC1183,HLOOKUP(YEAR(G1183)+(MONTH(G1183)/100),TC!$5:$37,DAY(G1183)+2,FALSE))))</f>
        <v>19.9785</v>
      </c>
      <c r="O1183" s="307">
        <f t="shared" si="310"/>
        <v>95934.705874000021</v>
      </c>
      <c r="P1183" s="560">
        <f>IF(G1183=0,0,VLOOKUP(YEAR(G1183),INPC!$B$4:$P$30,MONTH(G1183)+2))</f>
        <v>112.19</v>
      </c>
      <c r="Q1183" s="560">
        <f>IF(X1183=0,0,IF(OR(E1183=$AT$10,E1183=$AT$9),VLOOKUP(YEAR(X1183),INPC!$B$4:$P$30,MONTH(X1183)+1),VLOOKUP(YEAR(X1183),INPC!$B$4:$P$30,MONTH(X1183)+2,0)))</f>
        <v>124.571</v>
      </c>
      <c r="R1183" s="309">
        <f t="shared" si="311"/>
        <v>1.1103000000000001</v>
      </c>
      <c r="S1183" s="310">
        <f t="shared" si="312"/>
        <v>106516.30393190224</v>
      </c>
      <c r="T1183" s="555">
        <f t="shared" si="313"/>
        <v>3804.1537118536512</v>
      </c>
      <c r="U1183" s="311"/>
      <c r="V1183" s="312">
        <v>28</v>
      </c>
      <c r="W1183" s="299" t="s">
        <v>194</v>
      </c>
      <c r="X1183" s="300">
        <v>44861</v>
      </c>
      <c r="Y1183" s="299" t="s">
        <v>59</v>
      </c>
      <c r="Z1183" s="303">
        <v>4230.6511111111113</v>
      </c>
      <c r="AA1183" s="305">
        <f>IF(Z1183=0,0,IF(Y1183="MXN",1/HLOOKUP(YEAR(X1183)+(MONTH(X1183)/100),TC!$5:$37,DAY(X1183)+2,FALSE),VLOOKUP(Y1183,Equivalencia!$1:$23,((MAX(Equivalencia!$3:$3)-YEAR(X1183))*14)+MONTH(X1183)+2,FALSE)))</f>
        <v>1</v>
      </c>
      <c r="AB1183" s="306">
        <f t="shared" si="314"/>
        <v>4230.6511111111113</v>
      </c>
      <c r="AC1183" s="305">
        <f>+IF(X1183=0,0,HLOOKUP(YEAR(X1183)+(MONTH(X1183)/100),TC!$5:$37,DAY(X1183)+2,FALSE))</f>
        <v>19.871200000000002</v>
      </c>
      <c r="AD1183" s="307">
        <f t="shared" si="315"/>
        <v>84068.114359111118</v>
      </c>
      <c r="AE1183" s="314">
        <f t="shared" si="316"/>
        <v>106516.30393190224</v>
      </c>
      <c r="AF1183" s="315">
        <f t="shared" si="317"/>
        <v>-22448.189572791118</v>
      </c>
      <c r="AG1183" s="316">
        <f t="shared" si="318"/>
        <v>1.4958904109589042</v>
      </c>
      <c r="AH1183" s="314">
        <v>1</v>
      </c>
      <c r="AI1183" s="314">
        <f t="shared" si="319"/>
        <v>-22448.189572791118</v>
      </c>
      <c r="AJ1183" s="314">
        <f t="shared" si="320"/>
        <v>0</v>
      </c>
      <c r="AK1183" s="317"/>
      <c r="AL1183" s="315">
        <f t="shared" si="321"/>
        <v>-571.24622222222297</v>
      </c>
      <c r="AN1183" s="554">
        <f t="shared" si="322"/>
        <v>-0.11896260635495112</v>
      </c>
      <c r="AO1183" s="314"/>
      <c r="AP1183" s="318"/>
    </row>
    <row r="1184" spans="2:42">
      <c r="B1184" s="296" t="s">
        <v>1254</v>
      </c>
      <c r="C1184" s="299" t="s">
        <v>277</v>
      </c>
      <c r="D1184" s="298" t="s">
        <v>719</v>
      </c>
      <c r="E1184" s="299" t="s">
        <v>113</v>
      </c>
      <c r="F1184" s="299" t="s">
        <v>59</v>
      </c>
      <c r="G1184" s="300">
        <v>44316</v>
      </c>
      <c r="H1184" s="303">
        <v>17075.546249999999</v>
      </c>
      <c r="I1184" s="301" t="str">
        <f t="shared" si="306"/>
        <v>Ingresos Sección II LISR (SIC &amp; BMV)</v>
      </c>
      <c r="J1184" s="302">
        <f t="shared" si="307"/>
        <v>98</v>
      </c>
      <c r="K1184" s="304">
        <f t="shared" si="308"/>
        <v>174.24026785714284</v>
      </c>
      <c r="L1184" s="305">
        <f>IF(H1184=0,0,IF(OR(E1184=$AT$5,E1184=$AT$6),AA1184,IF(F1184="MXN",1/HLOOKUP(YEAR(G1184)+(MONTH(G1184)/100),TC!$5:$37,DAY(G1184)+2,FALSE),VLOOKUP(F1184,Equivalencia!$5:$23,((MAX(Equivalencia!$3:$3)-YEAR(G1184))*14)+MONTH(G1184)+2,FALSE))))</f>
        <v>1</v>
      </c>
      <c r="M1184" s="306">
        <f t="shared" si="309"/>
        <v>17075.546249999999</v>
      </c>
      <c r="N1184" s="305">
        <f>IF(G1184=0,0,(IF(OR(E1184=$AT$5,E1184=$AT$6),AC1184,HLOOKUP(YEAR(G1184)+(MONTH(G1184)/100),TC!$5:$37,DAY(G1184)+2,FALSE))))</f>
        <v>19.9712</v>
      </c>
      <c r="O1184" s="307">
        <f t="shared" si="310"/>
        <v>341019.14926799998</v>
      </c>
      <c r="P1184" s="560">
        <f>IF(G1184=0,0,VLOOKUP(YEAR(G1184),INPC!$B$4:$P$30,MONTH(G1184)+2))</f>
        <v>112.19</v>
      </c>
      <c r="Q1184" s="560">
        <f>IF(X1184=0,0,IF(OR(E1184=$AT$10,E1184=$AT$9),VLOOKUP(YEAR(X1184),INPC!$B$4:$P$30,MONTH(X1184)+1),VLOOKUP(YEAR(X1184),INPC!$B$4:$P$30,MONTH(X1184)+2,0)))</f>
        <v>124.571</v>
      </c>
      <c r="R1184" s="309">
        <f t="shared" si="311"/>
        <v>1.1103000000000001</v>
      </c>
      <c r="S1184" s="310">
        <f t="shared" si="312"/>
        <v>378633.56143226038</v>
      </c>
      <c r="T1184" s="555">
        <f t="shared" si="313"/>
        <v>3863.6077697169426</v>
      </c>
      <c r="U1184" s="311"/>
      <c r="V1184" s="312">
        <v>98</v>
      </c>
      <c r="W1184" s="299" t="s">
        <v>194</v>
      </c>
      <c r="X1184" s="300">
        <v>44861</v>
      </c>
      <c r="Y1184" s="299" t="s">
        <v>59</v>
      </c>
      <c r="Z1184" s="303">
        <v>14807.278888888888</v>
      </c>
      <c r="AA1184" s="305">
        <f>IF(Z1184=0,0,IF(Y1184="MXN",1/HLOOKUP(YEAR(X1184)+(MONTH(X1184)/100),TC!$5:$37,DAY(X1184)+2,FALSE),VLOOKUP(Y1184,Equivalencia!$1:$23,((MAX(Equivalencia!$3:$3)-YEAR(X1184))*14)+MONTH(X1184)+2,FALSE)))</f>
        <v>1</v>
      </c>
      <c r="AB1184" s="306">
        <f t="shared" si="314"/>
        <v>14807.278888888888</v>
      </c>
      <c r="AC1184" s="305">
        <f>+IF(X1184=0,0,HLOOKUP(YEAR(X1184)+(MONTH(X1184)/100),TC!$5:$37,DAY(X1184)+2,FALSE))</f>
        <v>19.871200000000002</v>
      </c>
      <c r="AD1184" s="307">
        <f t="shared" si="315"/>
        <v>294238.40025688888</v>
      </c>
      <c r="AE1184" s="314">
        <f t="shared" si="316"/>
        <v>378633.56143226038</v>
      </c>
      <c r="AF1184" s="315">
        <f t="shared" si="317"/>
        <v>-84395.161175371497</v>
      </c>
      <c r="AG1184" s="316">
        <f t="shared" si="318"/>
        <v>1.4931506849315068</v>
      </c>
      <c r="AH1184" s="314">
        <v>1</v>
      </c>
      <c r="AI1184" s="314">
        <f t="shared" si="319"/>
        <v>-84395.161175371497</v>
      </c>
      <c r="AJ1184" s="314">
        <f t="shared" si="320"/>
        <v>0</v>
      </c>
      <c r="AK1184" s="317"/>
      <c r="AL1184" s="315">
        <f t="shared" si="321"/>
        <v>-2268.2673611111113</v>
      </c>
      <c r="AN1184" s="554">
        <f t="shared" si="322"/>
        <v>-0.13283717708949494</v>
      </c>
      <c r="AO1184" s="314"/>
      <c r="AP1184" s="318"/>
    </row>
    <row r="1185" spans="2:42">
      <c r="B1185" s="296" t="s">
        <v>1254</v>
      </c>
      <c r="C1185" s="299" t="s">
        <v>277</v>
      </c>
      <c r="D1185" s="298" t="s">
        <v>719</v>
      </c>
      <c r="E1185" s="299" t="s">
        <v>113</v>
      </c>
      <c r="F1185" s="299" t="s">
        <v>59</v>
      </c>
      <c r="G1185" s="300">
        <v>44316</v>
      </c>
      <c r="H1185" s="303">
        <v>2439.36375</v>
      </c>
      <c r="I1185" s="301" t="str">
        <f t="shared" si="306"/>
        <v>Ingresos Sección II LISR (SIC &amp; BMV)</v>
      </c>
      <c r="J1185" s="302">
        <f t="shared" si="307"/>
        <v>14</v>
      </c>
      <c r="K1185" s="304">
        <f t="shared" si="308"/>
        <v>174.24026785714287</v>
      </c>
      <c r="L1185" s="305">
        <f>IF(H1185=0,0,IF(OR(E1185=$AT$5,E1185=$AT$6),AA1185,IF(F1185="MXN",1/HLOOKUP(YEAR(G1185)+(MONTH(G1185)/100),TC!$5:$37,DAY(G1185)+2,FALSE),VLOOKUP(F1185,Equivalencia!$5:$23,((MAX(Equivalencia!$3:$3)-YEAR(G1185))*14)+MONTH(G1185)+2,FALSE))))</f>
        <v>1</v>
      </c>
      <c r="M1185" s="306">
        <f t="shared" si="309"/>
        <v>2439.36375</v>
      </c>
      <c r="N1185" s="305">
        <f>IF(G1185=0,0,(IF(OR(E1185=$AT$5,E1185=$AT$6),AC1185,HLOOKUP(YEAR(G1185)+(MONTH(G1185)/100),TC!$5:$37,DAY(G1185)+2,FALSE))))</f>
        <v>19.9712</v>
      </c>
      <c r="O1185" s="307">
        <f t="shared" si="310"/>
        <v>48717.021324000001</v>
      </c>
      <c r="P1185" s="560">
        <f>IF(G1185=0,0,VLOOKUP(YEAR(G1185),INPC!$B$4:$P$30,MONTH(G1185)+2))</f>
        <v>112.19</v>
      </c>
      <c r="Q1185" s="560">
        <f>IF(X1185=0,0,IF(OR(E1185=$AT$10,E1185=$AT$9),VLOOKUP(YEAR(X1185),INPC!$B$4:$P$30,MONTH(X1185)+1),VLOOKUP(YEAR(X1185),INPC!$B$4:$P$30,MONTH(X1185)+2,0)))</f>
        <v>124.571</v>
      </c>
      <c r="R1185" s="309">
        <f t="shared" si="311"/>
        <v>1.1103000000000001</v>
      </c>
      <c r="S1185" s="310">
        <f t="shared" si="312"/>
        <v>54090.508776037204</v>
      </c>
      <c r="T1185" s="555">
        <f t="shared" si="313"/>
        <v>3863.607769716943</v>
      </c>
      <c r="U1185" s="311"/>
      <c r="V1185" s="312">
        <v>14</v>
      </c>
      <c r="W1185" s="299" t="s">
        <v>194</v>
      </c>
      <c r="X1185" s="300">
        <v>44861</v>
      </c>
      <c r="Y1185" s="299" t="s">
        <v>59</v>
      </c>
      <c r="Z1185" s="303">
        <v>2122.0207272727275</v>
      </c>
      <c r="AA1185" s="305">
        <f>IF(Z1185=0,0,IF(Y1185="MXN",1/HLOOKUP(YEAR(X1185)+(MONTH(X1185)/100),TC!$5:$37,DAY(X1185)+2,FALSE),VLOOKUP(Y1185,Equivalencia!$1:$23,((MAX(Equivalencia!$3:$3)-YEAR(X1185))*14)+MONTH(X1185)+2,FALSE)))</f>
        <v>1</v>
      </c>
      <c r="AB1185" s="306">
        <f t="shared" si="314"/>
        <v>2122.0207272727275</v>
      </c>
      <c r="AC1185" s="305">
        <f>+IF(X1185=0,0,HLOOKUP(YEAR(X1185)+(MONTH(X1185)/100),TC!$5:$37,DAY(X1185)+2,FALSE))</f>
        <v>19.871200000000002</v>
      </c>
      <c r="AD1185" s="307">
        <f t="shared" si="315"/>
        <v>42167.098275781827</v>
      </c>
      <c r="AE1185" s="314">
        <f t="shared" si="316"/>
        <v>54090.508776037204</v>
      </c>
      <c r="AF1185" s="315">
        <f t="shared" si="317"/>
        <v>-11923.410500255377</v>
      </c>
      <c r="AG1185" s="316">
        <f t="shared" si="318"/>
        <v>1.4931506849315068</v>
      </c>
      <c r="AH1185" s="314">
        <v>1</v>
      </c>
      <c r="AI1185" s="314">
        <f t="shared" si="319"/>
        <v>-11923.410500255377</v>
      </c>
      <c r="AJ1185" s="314">
        <f t="shared" si="320"/>
        <v>0</v>
      </c>
      <c r="AK1185" s="317"/>
      <c r="AL1185" s="315">
        <f t="shared" si="321"/>
        <v>-317.34302272727246</v>
      </c>
      <c r="AN1185" s="554">
        <f t="shared" si="322"/>
        <v>-0.13009253856759675</v>
      </c>
      <c r="AO1185" s="314"/>
      <c r="AP1185" s="318"/>
    </row>
    <row r="1186" spans="2:42">
      <c r="B1186" s="296" t="s">
        <v>1254</v>
      </c>
      <c r="C1186" s="299" t="s">
        <v>277</v>
      </c>
      <c r="D1186" s="298" t="s">
        <v>719</v>
      </c>
      <c r="E1186" s="299" t="s">
        <v>113</v>
      </c>
      <c r="F1186" s="299" t="s">
        <v>59</v>
      </c>
      <c r="G1186" s="300">
        <v>44348</v>
      </c>
      <c r="H1186" s="303">
        <v>7239.74</v>
      </c>
      <c r="I1186" s="301" t="str">
        <f t="shared" si="306"/>
        <v>Ingresos Sección II LISR (SIC &amp; BMV)</v>
      </c>
      <c r="J1186" s="302">
        <f t="shared" si="307"/>
        <v>41</v>
      </c>
      <c r="K1186" s="304">
        <f t="shared" si="308"/>
        <v>176.57902439024389</v>
      </c>
      <c r="L1186" s="305">
        <f>IF(H1186=0,0,IF(OR(E1186=$AT$5,E1186=$AT$6),AA1186,IF(F1186="MXN",1/HLOOKUP(YEAR(G1186)+(MONTH(G1186)/100),TC!$5:$37,DAY(G1186)+2,FALSE),VLOOKUP(F1186,Equivalencia!$5:$23,((MAX(Equivalencia!$3:$3)-YEAR(G1186))*14)+MONTH(G1186)+2,FALSE))))</f>
        <v>1</v>
      </c>
      <c r="M1186" s="306">
        <f t="shared" si="309"/>
        <v>7239.74</v>
      </c>
      <c r="N1186" s="305">
        <f>IF(G1186=0,0,(IF(OR(E1186=$AT$5,E1186=$AT$6),AC1186,HLOOKUP(YEAR(G1186)+(MONTH(G1186)/100),TC!$5:$37,DAY(G1186)+2,FALSE))))</f>
        <v>19.944199999999999</v>
      </c>
      <c r="O1186" s="307">
        <f t="shared" si="310"/>
        <v>144390.82250799998</v>
      </c>
      <c r="P1186" s="560">
        <f>IF(G1186=0,0,VLOOKUP(YEAR(G1186),INPC!$B$4:$P$30,MONTH(G1186)+2))</f>
        <v>113.018</v>
      </c>
      <c r="Q1186" s="560">
        <f>IF(X1186=0,0,IF(OR(E1186=$AT$10,E1186=$AT$9),VLOOKUP(YEAR(X1186),INPC!$B$4:$P$30,MONTH(X1186)+1),VLOOKUP(YEAR(X1186),INPC!$B$4:$P$30,MONTH(X1186)+2,0)))</f>
        <v>124.571</v>
      </c>
      <c r="R1186" s="309">
        <f t="shared" si="311"/>
        <v>1.1022000000000001</v>
      </c>
      <c r="S1186" s="310">
        <f t="shared" si="312"/>
        <v>159147.56456831758</v>
      </c>
      <c r="T1186" s="555">
        <f t="shared" si="313"/>
        <v>3881.6479163004287</v>
      </c>
      <c r="U1186" s="311"/>
      <c r="V1186" s="312">
        <v>41</v>
      </c>
      <c r="W1186" s="299" t="s">
        <v>194</v>
      </c>
      <c r="X1186" s="300">
        <v>44861</v>
      </c>
      <c r="Y1186" s="299" t="s">
        <v>59</v>
      </c>
      <c r="Z1186" s="303">
        <v>6214.4892727272727</v>
      </c>
      <c r="AA1186" s="305">
        <f>IF(Z1186=0,0,IF(Y1186="MXN",1/HLOOKUP(YEAR(X1186)+(MONTH(X1186)/100),TC!$5:$37,DAY(X1186)+2,FALSE),VLOOKUP(Y1186,Equivalencia!$1:$23,((MAX(Equivalencia!$3:$3)-YEAR(X1186))*14)+MONTH(X1186)+2,FALSE)))</f>
        <v>1</v>
      </c>
      <c r="AB1186" s="306">
        <f t="shared" si="314"/>
        <v>6214.4892727272727</v>
      </c>
      <c r="AC1186" s="305">
        <f>+IF(X1186=0,0,HLOOKUP(YEAR(X1186)+(MONTH(X1186)/100),TC!$5:$37,DAY(X1186)+2,FALSE))</f>
        <v>19.871200000000002</v>
      </c>
      <c r="AD1186" s="307">
        <f t="shared" si="315"/>
        <v>123489.3592362182</v>
      </c>
      <c r="AE1186" s="314">
        <f t="shared" si="316"/>
        <v>159147.56456831758</v>
      </c>
      <c r="AF1186" s="315">
        <f t="shared" si="317"/>
        <v>-35658.205332099387</v>
      </c>
      <c r="AG1186" s="316">
        <f t="shared" si="318"/>
        <v>1.4054794520547946</v>
      </c>
      <c r="AH1186" s="314">
        <v>1</v>
      </c>
      <c r="AI1186" s="314">
        <f t="shared" si="319"/>
        <v>-35658.205332099387</v>
      </c>
      <c r="AJ1186" s="314">
        <f t="shared" si="320"/>
        <v>0</v>
      </c>
      <c r="AK1186" s="317"/>
      <c r="AL1186" s="315">
        <f t="shared" si="321"/>
        <v>-1025.2507272727271</v>
      </c>
      <c r="AN1186" s="554">
        <f t="shared" si="322"/>
        <v>-0.14161430207061679</v>
      </c>
      <c r="AO1186" s="314"/>
      <c r="AP1186" s="318"/>
    </row>
    <row r="1187" spans="2:42">
      <c r="B1187" s="296" t="s">
        <v>1254</v>
      </c>
      <c r="C1187" s="299" t="s">
        <v>277</v>
      </c>
      <c r="D1187" s="298" t="s">
        <v>725</v>
      </c>
      <c r="E1187" s="299" t="s">
        <v>106</v>
      </c>
      <c r="F1187" s="299" t="s">
        <v>59</v>
      </c>
      <c r="G1187" s="300">
        <v>44397</v>
      </c>
      <c r="H1187" s="303">
        <v>117.4701923076923</v>
      </c>
      <c r="I1187" s="301" t="str">
        <f t="shared" si="306"/>
        <v>Ingresos Sección I LISR</v>
      </c>
      <c r="J1187" s="302">
        <f t="shared" si="307"/>
        <v>1</v>
      </c>
      <c r="K1187" s="304">
        <f t="shared" si="308"/>
        <v>117.4701923076923</v>
      </c>
      <c r="L1187" s="305">
        <f>IF(H1187=0,0,IF(OR(E1187=$AT$5,E1187=$AT$6),AA1187,IF(F1187="MXN",1/HLOOKUP(YEAR(G1187)+(MONTH(G1187)/100),TC!$5:$37,DAY(G1187)+2,FALSE),VLOOKUP(F1187,Equivalencia!$5:$23,((MAX(Equivalencia!$3:$3)-YEAR(G1187))*14)+MONTH(G1187)+2,FALSE))))</f>
        <v>1</v>
      </c>
      <c r="M1187" s="306">
        <f t="shared" si="309"/>
        <v>117.4701923076923</v>
      </c>
      <c r="N1187" s="305">
        <f>IF(G1187=0,0,(IF(OR(E1187=$AT$5,E1187=$AT$6),AC1187,HLOOKUP(YEAR(G1187)+(MONTH(G1187)/100),TC!$5:$37,DAY(G1187)+2,FALSE))))</f>
        <v>19.8537</v>
      </c>
      <c r="O1187" s="307">
        <f t="shared" si="310"/>
        <v>2332.2179570192307</v>
      </c>
      <c r="P1187" s="560">
        <f>IF(G1187=0,0,VLOOKUP(YEAR(G1187),INPC!$B$4:$P$30,MONTH(G1187)+2))</f>
        <v>113.682</v>
      </c>
      <c r="Q1187" s="560">
        <f>IF(X1187=0,0,IF(OR(E1187=$AT$10,E1187=$AT$9),VLOOKUP(YEAR(X1187),INPC!$B$4:$P$30,MONTH(X1187)+1),VLOOKUP(YEAR(X1187),INPC!$B$4:$P$30,MONTH(X1187)+2,0)))</f>
        <v>125.276</v>
      </c>
      <c r="R1187" s="309">
        <f t="shared" si="311"/>
        <v>1.1019000000000001</v>
      </c>
      <c r="S1187" s="310">
        <f t="shared" si="312"/>
        <v>2569.8709668394904</v>
      </c>
      <c r="T1187" s="555">
        <f t="shared" si="313"/>
        <v>2569.8709668394904</v>
      </c>
      <c r="U1187" s="311"/>
      <c r="V1187" s="312">
        <v>1</v>
      </c>
      <c r="W1187" s="299" t="s">
        <v>194</v>
      </c>
      <c r="X1187" s="300">
        <v>44846</v>
      </c>
      <c r="Y1187" s="299" t="s">
        <v>59</v>
      </c>
      <c r="Z1187" s="303">
        <v>75.635925925925932</v>
      </c>
      <c r="AA1187" s="305">
        <f>IF(Z1187=0,0,IF(Y1187="MXN",1/HLOOKUP(YEAR(X1187)+(MONTH(X1187)/100),TC!$5:$37,DAY(X1187)+2,FALSE),VLOOKUP(Y1187,Equivalencia!$1:$23,((MAX(Equivalencia!$3:$3)-YEAR(X1187))*14)+MONTH(X1187)+2,FALSE)))</f>
        <v>1</v>
      </c>
      <c r="AB1187" s="306">
        <f t="shared" si="314"/>
        <v>75.635925925925932</v>
      </c>
      <c r="AC1187" s="305">
        <f>+IF(X1187=0,0,HLOOKUP(YEAR(X1187)+(MONTH(X1187)/100),TC!$5:$37,DAY(X1187)+2,FALSE))</f>
        <v>19.975200000000001</v>
      </c>
      <c r="AD1187" s="307">
        <f t="shared" si="315"/>
        <v>1510.8427475555557</v>
      </c>
      <c r="AE1187" s="314">
        <f t="shared" si="316"/>
        <v>2569.8709668394904</v>
      </c>
      <c r="AF1187" s="315">
        <f t="shared" si="317"/>
        <v>-1059.0282192839347</v>
      </c>
      <c r="AG1187" s="316">
        <f t="shared" si="318"/>
        <v>1.2301369863013698</v>
      </c>
      <c r="AH1187" s="314">
        <v>1</v>
      </c>
      <c r="AI1187" s="314">
        <f t="shared" si="319"/>
        <v>-1059.0282192839347</v>
      </c>
      <c r="AJ1187" s="314">
        <f t="shared" si="320"/>
        <v>0</v>
      </c>
      <c r="AK1187" s="317"/>
      <c r="AL1187" s="315">
        <f t="shared" si="321"/>
        <v>-41.834266381766369</v>
      </c>
      <c r="AN1187" s="554">
        <f t="shared" si="322"/>
        <v>-0.35612665272726329</v>
      </c>
      <c r="AO1187" s="314"/>
      <c r="AP1187" s="318"/>
    </row>
    <row r="1188" spans="2:42">
      <c r="B1188" s="296" t="s">
        <v>1254</v>
      </c>
      <c r="C1188" s="299" t="s">
        <v>277</v>
      </c>
      <c r="D1188" s="298" t="s">
        <v>725</v>
      </c>
      <c r="E1188" s="299" t="s">
        <v>106</v>
      </c>
      <c r="F1188" s="299" t="s">
        <v>59</v>
      </c>
      <c r="G1188" s="300">
        <v>44397</v>
      </c>
      <c r="H1188" s="303">
        <v>470.6</v>
      </c>
      <c r="I1188" s="301" t="str">
        <f t="shared" si="306"/>
        <v>Ingresos Sección I LISR</v>
      </c>
      <c r="J1188" s="302">
        <f t="shared" si="307"/>
        <v>4</v>
      </c>
      <c r="K1188" s="304">
        <f t="shared" si="308"/>
        <v>117.65</v>
      </c>
      <c r="L1188" s="305">
        <f>IF(H1188=0,0,IF(OR(E1188=$AT$5,E1188=$AT$6),AA1188,IF(F1188="MXN",1/HLOOKUP(YEAR(G1188)+(MONTH(G1188)/100),TC!$5:$37,DAY(G1188)+2,FALSE),VLOOKUP(F1188,Equivalencia!$5:$23,((MAX(Equivalencia!$3:$3)-YEAR(G1188))*14)+MONTH(G1188)+2,FALSE))))</f>
        <v>1</v>
      </c>
      <c r="M1188" s="306">
        <f t="shared" si="309"/>
        <v>470.6</v>
      </c>
      <c r="N1188" s="305">
        <f>IF(G1188=0,0,(IF(OR(E1188=$AT$5,E1188=$AT$6),AC1188,HLOOKUP(YEAR(G1188)+(MONTH(G1188)/100),TC!$5:$37,DAY(G1188)+2,FALSE))))</f>
        <v>19.8537</v>
      </c>
      <c r="O1188" s="307">
        <f t="shared" si="310"/>
        <v>9343.1512199999997</v>
      </c>
      <c r="P1188" s="560">
        <f>IF(G1188=0,0,VLOOKUP(YEAR(G1188),INPC!$B$4:$P$30,MONTH(G1188)+2))</f>
        <v>113.682</v>
      </c>
      <c r="Q1188" s="560">
        <f>IF(X1188=0,0,IF(OR(E1188=$AT$10,E1188=$AT$9),VLOOKUP(YEAR(X1188),INPC!$B$4:$P$30,MONTH(X1188)+1),VLOOKUP(YEAR(X1188),INPC!$B$4:$P$30,MONTH(X1188)+2,0)))</f>
        <v>125.276</v>
      </c>
      <c r="R1188" s="309">
        <f t="shared" si="311"/>
        <v>1.1019000000000001</v>
      </c>
      <c r="S1188" s="310">
        <f t="shared" si="312"/>
        <v>10295.218329318001</v>
      </c>
      <c r="T1188" s="555">
        <f t="shared" si="313"/>
        <v>2573.8045823295001</v>
      </c>
      <c r="U1188" s="311"/>
      <c r="V1188" s="312">
        <v>4</v>
      </c>
      <c r="W1188" s="299" t="s">
        <v>194</v>
      </c>
      <c r="X1188" s="300">
        <v>44846</v>
      </c>
      <c r="Y1188" s="299" t="s">
        <v>59</v>
      </c>
      <c r="Z1188" s="303">
        <v>302.54370370370373</v>
      </c>
      <c r="AA1188" s="305">
        <f>IF(Z1188=0,0,IF(Y1188="MXN",1/HLOOKUP(YEAR(X1188)+(MONTH(X1188)/100),TC!$5:$37,DAY(X1188)+2,FALSE),VLOOKUP(Y1188,Equivalencia!$1:$23,((MAX(Equivalencia!$3:$3)-YEAR(X1188))*14)+MONTH(X1188)+2,FALSE)))</f>
        <v>1</v>
      </c>
      <c r="AB1188" s="306">
        <f t="shared" si="314"/>
        <v>302.54370370370373</v>
      </c>
      <c r="AC1188" s="305">
        <f>+IF(X1188=0,0,HLOOKUP(YEAR(X1188)+(MONTH(X1188)/100),TC!$5:$37,DAY(X1188)+2,FALSE))</f>
        <v>19.975200000000001</v>
      </c>
      <c r="AD1188" s="307">
        <f t="shared" si="315"/>
        <v>6043.3709902222226</v>
      </c>
      <c r="AE1188" s="314">
        <f t="shared" si="316"/>
        <v>10295.218329318001</v>
      </c>
      <c r="AF1188" s="315">
        <f t="shared" si="317"/>
        <v>-4251.8473390957779</v>
      </c>
      <c r="AG1188" s="316">
        <f t="shared" si="318"/>
        <v>1.2301369863013698</v>
      </c>
      <c r="AH1188" s="314">
        <v>1</v>
      </c>
      <c r="AI1188" s="314">
        <f t="shared" si="319"/>
        <v>-4251.8473390957779</v>
      </c>
      <c r="AJ1188" s="314">
        <f t="shared" si="320"/>
        <v>0</v>
      </c>
      <c r="AK1188" s="317"/>
      <c r="AL1188" s="315">
        <f t="shared" si="321"/>
        <v>-168.0562962962963</v>
      </c>
      <c r="AN1188" s="554">
        <f t="shared" si="322"/>
        <v>-0.35711070186208305</v>
      </c>
      <c r="AO1188" s="314"/>
      <c r="AP1188" s="318"/>
    </row>
    <row r="1189" spans="2:42">
      <c r="B1189" s="296" t="s">
        <v>1254</v>
      </c>
      <c r="C1189" s="299" t="s">
        <v>277</v>
      </c>
      <c r="D1189" s="298" t="s">
        <v>725</v>
      </c>
      <c r="E1189" s="299" t="s">
        <v>106</v>
      </c>
      <c r="F1189" s="299" t="s">
        <v>59</v>
      </c>
      <c r="G1189" s="300">
        <v>44398</v>
      </c>
      <c r="H1189" s="303">
        <v>2046.4</v>
      </c>
      <c r="I1189" s="301" t="str">
        <f t="shared" si="306"/>
        <v>Ingresos Sección I LISR</v>
      </c>
      <c r="J1189" s="302">
        <f t="shared" si="307"/>
        <v>17</v>
      </c>
      <c r="K1189" s="304">
        <f t="shared" si="308"/>
        <v>120.37647058823529</v>
      </c>
      <c r="L1189" s="305">
        <f>IF(H1189=0,0,IF(OR(E1189=$AT$5,E1189=$AT$6),AA1189,IF(F1189="MXN",1/HLOOKUP(YEAR(G1189)+(MONTH(G1189)/100),TC!$5:$37,DAY(G1189)+2,FALSE),VLOOKUP(F1189,Equivalencia!$5:$23,((MAX(Equivalencia!$3:$3)-YEAR(G1189))*14)+MONTH(G1189)+2,FALSE))))</f>
        <v>1</v>
      </c>
      <c r="M1189" s="306">
        <f t="shared" si="309"/>
        <v>2046.4</v>
      </c>
      <c r="N1189" s="305">
        <f>IF(G1189=0,0,(IF(OR(E1189=$AT$5,E1189=$AT$6),AC1189,HLOOKUP(YEAR(G1189)+(MONTH(G1189)/100),TC!$5:$37,DAY(G1189)+2,FALSE))))</f>
        <v>20</v>
      </c>
      <c r="O1189" s="307">
        <f t="shared" si="310"/>
        <v>40928</v>
      </c>
      <c r="P1189" s="560">
        <f>IF(G1189=0,0,VLOOKUP(YEAR(G1189),INPC!$B$4:$P$30,MONTH(G1189)+2))</f>
        <v>113.682</v>
      </c>
      <c r="Q1189" s="560">
        <f>IF(X1189=0,0,IF(OR(E1189=$AT$10,E1189=$AT$9),VLOOKUP(YEAR(X1189),INPC!$B$4:$P$30,MONTH(X1189)+1),VLOOKUP(YEAR(X1189),INPC!$B$4:$P$30,MONTH(X1189)+2,0)))</f>
        <v>125.276</v>
      </c>
      <c r="R1189" s="309">
        <f t="shared" si="311"/>
        <v>1.1019000000000001</v>
      </c>
      <c r="S1189" s="310">
        <f t="shared" si="312"/>
        <v>45098.563200000004</v>
      </c>
      <c r="T1189" s="555">
        <f t="shared" si="313"/>
        <v>2652.8566588235299</v>
      </c>
      <c r="U1189" s="311"/>
      <c r="V1189" s="312">
        <v>17</v>
      </c>
      <c r="W1189" s="299" t="s">
        <v>194</v>
      </c>
      <c r="X1189" s="300">
        <v>44846</v>
      </c>
      <c r="Y1189" s="299" t="s">
        <v>59</v>
      </c>
      <c r="Z1189" s="303">
        <v>1285.8107407407408</v>
      </c>
      <c r="AA1189" s="305">
        <f>IF(Z1189=0,0,IF(Y1189="MXN",1/HLOOKUP(YEAR(X1189)+(MONTH(X1189)/100),TC!$5:$37,DAY(X1189)+2,FALSE),VLOOKUP(Y1189,Equivalencia!$1:$23,((MAX(Equivalencia!$3:$3)-YEAR(X1189))*14)+MONTH(X1189)+2,FALSE)))</f>
        <v>1</v>
      </c>
      <c r="AB1189" s="306">
        <f t="shared" si="314"/>
        <v>1285.8107407407408</v>
      </c>
      <c r="AC1189" s="305">
        <f>+IF(X1189=0,0,HLOOKUP(YEAR(X1189)+(MONTH(X1189)/100),TC!$5:$37,DAY(X1189)+2,FALSE))</f>
        <v>19.975200000000001</v>
      </c>
      <c r="AD1189" s="307">
        <f t="shared" si="315"/>
        <v>25684.326708444449</v>
      </c>
      <c r="AE1189" s="314">
        <f t="shared" si="316"/>
        <v>45098.563200000004</v>
      </c>
      <c r="AF1189" s="315">
        <f t="shared" si="317"/>
        <v>-19414.236491555555</v>
      </c>
      <c r="AG1189" s="316">
        <f t="shared" si="318"/>
        <v>1.2273972602739727</v>
      </c>
      <c r="AH1189" s="314">
        <v>1</v>
      </c>
      <c r="AI1189" s="314">
        <f t="shared" si="319"/>
        <v>-19414.236491555555</v>
      </c>
      <c r="AJ1189" s="314">
        <f t="shared" si="320"/>
        <v>0</v>
      </c>
      <c r="AK1189" s="317"/>
      <c r="AL1189" s="315">
        <f t="shared" si="321"/>
        <v>-760.58925925925928</v>
      </c>
      <c r="AN1189" s="554">
        <f t="shared" si="322"/>
        <v>-0.37167184287493121</v>
      </c>
      <c r="AO1189" s="314"/>
      <c r="AP1189" s="318"/>
    </row>
    <row r="1190" spans="2:42">
      <c r="B1190" s="296" t="s">
        <v>1254</v>
      </c>
      <c r="C1190" s="299" t="s">
        <v>277</v>
      </c>
      <c r="D1190" s="298" t="s">
        <v>725</v>
      </c>
      <c r="E1190" s="299" t="s">
        <v>106</v>
      </c>
      <c r="F1190" s="299" t="s">
        <v>59</v>
      </c>
      <c r="G1190" s="300">
        <v>44398</v>
      </c>
      <c r="H1190" s="303">
        <v>599.53235294117644</v>
      </c>
      <c r="I1190" s="301" t="str">
        <f t="shared" si="306"/>
        <v>Ingresos Sección I LISR</v>
      </c>
      <c r="J1190" s="302">
        <f t="shared" si="307"/>
        <v>5</v>
      </c>
      <c r="K1190" s="304">
        <f t="shared" si="308"/>
        <v>119.90647058823529</v>
      </c>
      <c r="L1190" s="305">
        <f>IF(H1190=0,0,IF(OR(E1190=$AT$5,E1190=$AT$6),AA1190,IF(F1190="MXN",1/HLOOKUP(YEAR(G1190)+(MONTH(G1190)/100),TC!$5:$37,DAY(G1190)+2,FALSE),VLOOKUP(F1190,Equivalencia!$5:$23,((MAX(Equivalencia!$3:$3)-YEAR(G1190))*14)+MONTH(G1190)+2,FALSE))))</f>
        <v>1</v>
      </c>
      <c r="M1190" s="306">
        <f t="shared" si="309"/>
        <v>599.53235294117644</v>
      </c>
      <c r="N1190" s="305">
        <f>IF(G1190=0,0,(IF(OR(E1190=$AT$5,E1190=$AT$6),AC1190,HLOOKUP(YEAR(G1190)+(MONTH(G1190)/100),TC!$5:$37,DAY(G1190)+2,FALSE))))</f>
        <v>20</v>
      </c>
      <c r="O1190" s="307">
        <f t="shared" si="310"/>
        <v>11990.647058823528</v>
      </c>
      <c r="P1190" s="560">
        <f>IF(G1190=0,0,VLOOKUP(YEAR(G1190),INPC!$B$4:$P$30,MONTH(G1190)+2))</f>
        <v>113.682</v>
      </c>
      <c r="Q1190" s="560">
        <f>IF(X1190=0,0,IF(OR(E1190=$AT$10,E1190=$AT$9),VLOOKUP(YEAR(X1190),INPC!$B$4:$P$30,MONTH(X1190)+1),VLOOKUP(YEAR(X1190),INPC!$B$4:$P$30,MONTH(X1190)+2,0)))</f>
        <v>125.276</v>
      </c>
      <c r="R1190" s="309">
        <f t="shared" si="311"/>
        <v>1.1019000000000001</v>
      </c>
      <c r="S1190" s="310">
        <f t="shared" si="312"/>
        <v>13212.493994117647</v>
      </c>
      <c r="T1190" s="555">
        <f t="shared" si="313"/>
        <v>2642.4987988235293</v>
      </c>
      <c r="U1190" s="311"/>
      <c r="V1190" s="312">
        <v>5</v>
      </c>
      <c r="W1190" s="299" t="s">
        <v>194</v>
      </c>
      <c r="X1190" s="300">
        <v>44846</v>
      </c>
      <c r="Y1190" s="299" t="s">
        <v>59</v>
      </c>
      <c r="Z1190" s="303">
        <v>378.17962962962963</v>
      </c>
      <c r="AA1190" s="305">
        <f>IF(Z1190=0,0,IF(Y1190="MXN",1/HLOOKUP(YEAR(X1190)+(MONTH(X1190)/100),TC!$5:$37,DAY(X1190)+2,FALSE),VLOOKUP(Y1190,Equivalencia!$1:$23,((MAX(Equivalencia!$3:$3)-YEAR(X1190))*14)+MONTH(X1190)+2,FALSE)))</f>
        <v>1</v>
      </c>
      <c r="AB1190" s="306">
        <f t="shared" si="314"/>
        <v>378.17962962962963</v>
      </c>
      <c r="AC1190" s="305">
        <f>+IF(X1190=0,0,HLOOKUP(YEAR(X1190)+(MONTH(X1190)/100),TC!$5:$37,DAY(X1190)+2,FALSE))</f>
        <v>19.975200000000001</v>
      </c>
      <c r="AD1190" s="307">
        <f t="shared" si="315"/>
        <v>7554.2137377777781</v>
      </c>
      <c r="AE1190" s="314">
        <f t="shared" si="316"/>
        <v>13212.493994117647</v>
      </c>
      <c r="AF1190" s="315">
        <f t="shared" si="317"/>
        <v>-5658.2802563398691</v>
      </c>
      <c r="AG1190" s="316">
        <f t="shared" si="318"/>
        <v>1.2273972602739727</v>
      </c>
      <c r="AH1190" s="314">
        <v>1</v>
      </c>
      <c r="AI1190" s="314">
        <f t="shared" si="319"/>
        <v>-5658.2802563398691</v>
      </c>
      <c r="AJ1190" s="314">
        <f t="shared" si="320"/>
        <v>0</v>
      </c>
      <c r="AK1190" s="317"/>
      <c r="AL1190" s="315">
        <f t="shared" si="321"/>
        <v>-221.35272331154681</v>
      </c>
      <c r="AN1190" s="554">
        <f t="shared" si="322"/>
        <v>-0.36920897133513825</v>
      </c>
      <c r="AO1190" s="314"/>
      <c r="AP1190" s="318"/>
    </row>
    <row r="1191" spans="2:42">
      <c r="B1191" s="296" t="s">
        <v>1254</v>
      </c>
      <c r="C1191" s="299" t="s">
        <v>277</v>
      </c>
      <c r="D1191" s="298" t="s">
        <v>725</v>
      </c>
      <c r="E1191" s="299" t="s">
        <v>106</v>
      </c>
      <c r="F1191" s="299" t="s">
        <v>59</v>
      </c>
      <c r="G1191" s="300">
        <v>44398</v>
      </c>
      <c r="H1191" s="303">
        <v>1438.8776470588236</v>
      </c>
      <c r="I1191" s="301" t="str">
        <f t="shared" si="306"/>
        <v>Ingresos Sección I LISR</v>
      </c>
      <c r="J1191" s="302">
        <f t="shared" si="307"/>
        <v>12</v>
      </c>
      <c r="K1191" s="304">
        <f t="shared" si="308"/>
        <v>119.90647058823531</v>
      </c>
      <c r="L1191" s="305">
        <f>IF(H1191=0,0,IF(OR(E1191=$AT$5,E1191=$AT$6),AA1191,IF(F1191="MXN",1/HLOOKUP(YEAR(G1191)+(MONTH(G1191)/100),TC!$5:$37,DAY(G1191)+2,FALSE),VLOOKUP(F1191,Equivalencia!$5:$23,((MAX(Equivalencia!$3:$3)-YEAR(G1191))*14)+MONTH(G1191)+2,FALSE))))</f>
        <v>1</v>
      </c>
      <c r="M1191" s="306">
        <f t="shared" si="309"/>
        <v>1438.8776470588236</v>
      </c>
      <c r="N1191" s="305">
        <f>IF(G1191=0,0,(IF(OR(E1191=$AT$5,E1191=$AT$6),AC1191,HLOOKUP(YEAR(G1191)+(MONTH(G1191)/100),TC!$5:$37,DAY(G1191)+2,FALSE))))</f>
        <v>20</v>
      </c>
      <c r="O1191" s="307">
        <f t="shared" si="310"/>
        <v>28777.552941176473</v>
      </c>
      <c r="P1191" s="560">
        <f>IF(G1191=0,0,VLOOKUP(YEAR(G1191),INPC!$B$4:$P$30,MONTH(G1191)+2))</f>
        <v>113.682</v>
      </c>
      <c r="Q1191" s="560">
        <f>IF(X1191=0,0,IF(OR(E1191=$AT$10,E1191=$AT$9),VLOOKUP(YEAR(X1191),INPC!$B$4:$P$30,MONTH(X1191)+1),VLOOKUP(YEAR(X1191),INPC!$B$4:$P$30,MONTH(X1191)+2,0)))</f>
        <v>125.276</v>
      </c>
      <c r="R1191" s="309">
        <f t="shared" si="311"/>
        <v>1.1019000000000001</v>
      </c>
      <c r="S1191" s="310">
        <f t="shared" si="312"/>
        <v>31709.985585882358</v>
      </c>
      <c r="T1191" s="555">
        <f t="shared" si="313"/>
        <v>2642.4987988235298</v>
      </c>
      <c r="U1191" s="311"/>
      <c r="V1191" s="312">
        <v>12</v>
      </c>
      <c r="W1191" s="299" t="s">
        <v>194</v>
      </c>
      <c r="X1191" s="300">
        <v>44846</v>
      </c>
      <c r="Y1191" s="299" t="s">
        <v>59</v>
      </c>
      <c r="Z1191" s="303">
        <v>907.62239999999997</v>
      </c>
      <c r="AA1191" s="305">
        <f>IF(Z1191=0,0,IF(Y1191="MXN",1/HLOOKUP(YEAR(X1191)+(MONTH(X1191)/100),TC!$5:$37,DAY(X1191)+2,FALSE),VLOOKUP(Y1191,Equivalencia!$1:$23,((MAX(Equivalencia!$3:$3)-YEAR(X1191))*14)+MONTH(X1191)+2,FALSE)))</f>
        <v>1</v>
      </c>
      <c r="AB1191" s="306">
        <f t="shared" si="314"/>
        <v>907.62239999999997</v>
      </c>
      <c r="AC1191" s="305">
        <f>+IF(X1191=0,0,HLOOKUP(YEAR(X1191)+(MONTH(X1191)/100),TC!$5:$37,DAY(X1191)+2,FALSE))</f>
        <v>19.975200000000001</v>
      </c>
      <c r="AD1191" s="307">
        <f t="shared" si="315"/>
        <v>18129.938964479999</v>
      </c>
      <c r="AE1191" s="314">
        <f t="shared" si="316"/>
        <v>31709.985585882358</v>
      </c>
      <c r="AF1191" s="315">
        <f t="shared" si="317"/>
        <v>-13580.046621402358</v>
      </c>
      <c r="AG1191" s="316">
        <f t="shared" si="318"/>
        <v>1.2273972602739727</v>
      </c>
      <c r="AH1191" s="314">
        <v>1</v>
      </c>
      <c r="AI1191" s="314">
        <f t="shared" si="319"/>
        <v>-13580.046621402358</v>
      </c>
      <c r="AJ1191" s="314">
        <f t="shared" si="320"/>
        <v>0</v>
      </c>
      <c r="AK1191" s="317"/>
      <c r="AL1191" s="315">
        <f t="shared" si="321"/>
        <v>-531.25524705882367</v>
      </c>
      <c r="AN1191" s="554">
        <f t="shared" si="322"/>
        <v>-0.36921502543649226</v>
      </c>
      <c r="AO1191" s="314"/>
      <c r="AP1191" s="318"/>
    </row>
    <row r="1192" spans="2:42">
      <c r="B1192" s="296" t="s">
        <v>1254</v>
      </c>
      <c r="C1192" s="299" t="s">
        <v>277</v>
      </c>
      <c r="D1192" s="298" t="s">
        <v>725</v>
      </c>
      <c r="E1192" s="299" t="s">
        <v>106</v>
      </c>
      <c r="F1192" s="299" t="s">
        <v>59</v>
      </c>
      <c r="G1192" s="300">
        <v>44407</v>
      </c>
      <c r="H1192" s="303">
        <v>237.65</v>
      </c>
      <c r="I1192" s="301" t="str">
        <f t="shared" si="306"/>
        <v>Ingresos Sección I LISR</v>
      </c>
      <c r="J1192" s="302">
        <f t="shared" si="307"/>
        <v>2</v>
      </c>
      <c r="K1192" s="304">
        <f t="shared" si="308"/>
        <v>118.825</v>
      </c>
      <c r="L1192" s="305">
        <f>IF(H1192=0,0,IF(OR(E1192=$AT$5,E1192=$AT$6),AA1192,IF(F1192="MXN",1/HLOOKUP(YEAR(G1192)+(MONTH(G1192)/100),TC!$5:$37,DAY(G1192)+2,FALSE),VLOOKUP(F1192,Equivalencia!$5:$23,((MAX(Equivalencia!$3:$3)-YEAR(G1192))*14)+MONTH(G1192)+2,FALSE))))</f>
        <v>1</v>
      </c>
      <c r="M1192" s="306">
        <f t="shared" si="309"/>
        <v>237.65</v>
      </c>
      <c r="N1192" s="305">
        <f>IF(G1192=0,0,(IF(OR(E1192=$AT$5,E1192=$AT$6),AC1192,HLOOKUP(YEAR(G1192)+(MONTH(G1192)/100),TC!$5:$37,DAY(G1192)+2,FALSE))))</f>
        <v>19.953499999999998</v>
      </c>
      <c r="O1192" s="307">
        <f t="shared" si="310"/>
        <v>4741.9492749999999</v>
      </c>
      <c r="P1192" s="560">
        <f>IF(G1192=0,0,VLOOKUP(YEAR(G1192),INPC!$B$4:$P$30,MONTH(G1192)+2))</f>
        <v>113.682</v>
      </c>
      <c r="Q1192" s="560">
        <f>IF(X1192=0,0,IF(OR(E1192=$AT$10,E1192=$AT$9),VLOOKUP(YEAR(X1192),INPC!$B$4:$P$30,MONTH(X1192)+1),VLOOKUP(YEAR(X1192),INPC!$B$4:$P$30,MONTH(X1192)+2,0)))</f>
        <v>125.276</v>
      </c>
      <c r="R1192" s="309">
        <f t="shared" si="311"/>
        <v>1.1019000000000001</v>
      </c>
      <c r="S1192" s="310">
        <f t="shared" si="312"/>
        <v>5225.1539061225003</v>
      </c>
      <c r="T1192" s="555">
        <f t="shared" si="313"/>
        <v>2612.5769530612502</v>
      </c>
      <c r="U1192" s="311"/>
      <c r="V1192" s="312">
        <v>2</v>
      </c>
      <c r="W1192" s="299" t="s">
        <v>194</v>
      </c>
      <c r="X1192" s="300">
        <v>44846</v>
      </c>
      <c r="Y1192" s="299" t="s">
        <v>59</v>
      </c>
      <c r="Z1192" s="303">
        <v>151.2704</v>
      </c>
      <c r="AA1192" s="305">
        <f>IF(Z1192=0,0,IF(Y1192="MXN",1/HLOOKUP(YEAR(X1192)+(MONTH(X1192)/100),TC!$5:$37,DAY(X1192)+2,FALSE),VLOOKUP(Y1192,Equivalencia!$1:$23,((MAX(Equivalencia!$3:$3)-YEAR(X1192))*14)+MONTH(X1192)+2,FALSE)))</f>
        <v>1</v>
      </c>
      <c r="AB1192" s="306">
        <f t="shared" si="314"/>
        <v>151.2704</v>
      </c>
      <c r="AC1192" s="305">
        <f>+IF(X1192=0,0,HLOOKUP(YEAR(X1192)+(MONTH(X1192)/100),TC!$5:$37,DAY(X1192)+2,FALSE))</f>
        <v>19.975200000000001</v>
      </c>
      <c r="AD1192" s="307">
        <f t="shared" si="315"/>
        <v>3021.6564940799999</v>
      </c>
      <c r="AE1192" s="314">
        <f t="shared" si="316"/>
        <v>5225.1539061225003</v>
      </c>
      <c r="AF1192" s="315">
        <f t="shared" si="317"/>
        <v>-2203.4974120425004</v>
      </c>
      <c r="AG1192" s="316">
        <f t="shared" si="318"/>
        <v>1.2027397260273973</v>
      </c>
      <c r="AH1192" s="314">
        <v>1</v>
      </c>
      <c r="AI1192" s="314">
        <f t="shared" si="319"/>
        <v>-2203.4974120425004</v>
      </c>
      <c r="AJ1192" s="314">
        <f t="shared" si="320"/>
        <v>0</v>
      </c>
      <c r="AK1192" s="317"/>
      <c r="AL1192" s="315">
        <f t="shared" si="321"/>
        <v>-86.379600000000011</v>
      </c>
      <c r="AN1192" s="554">
        <f t="shared" si="322"/>
        <v>-0.36347401641068805</v>
      </c>
      <c r="AO1192" s="314"/>
      <c r="AP1192" s="318"/>
    </row>
    <row r="1193" spans="2:42">
      <c r="B1193" s="296" t="s">
        <v>1254</v>
      </c>
      <c r="C1193" s="299" t="s">
        <v>277</v>
      </c>
      <c r="D1193" s="298" t="s">
        <v>725</v>
      </c>
      <c r="E1193" s="299" t="s">
        <v>106</v>
      </c>
      <c r="F1193" s="299" t="s">
        <v>59</v>
      </c>
      <c r="G1193" s="300">
        <v>44407</v>
      </c>
      <c r="H1193" s="303">
        <v>1166.1500000000001</v>
      </c>
      <c r="I1193" s="301" t="str">
        <f t="shared" si="306"/>
        <v>Ingresos Sección I LISR</v>
      </c>
      <c r="J1193" s="302">
        <f t="shared" si="307"/>
        <v>10</v>
      </c>
      <c r="K1193" s="304">
        <f t="shared" si="308"/>
        <v>116.61500000000001</v>
      </c>
      <c r="L1193" s="305">
        <f>IF(H1193=0,0,IF(OR(E1193=$AT$5,E1193=$AT$6),AA1193,IF(F1193="MXN",1/HLOOKUP(YEAR(G1193)+(MONTH(G1193)/100),TC!$5:$37,DAY(G1193)+2,FALSE),VLOOKUP(F1193,Equivalencia!$5:$23,((MAX(Equivalencia!$3:$3)-YEAR(G1193))*14)+MONTH(G1193)+2,FALSE))))</f>
        <v>1</v>
      </c>
      <c r="M1193" s="306">
        <f t="shared" si="309"/>
        <v>1166.1500000000001</v>
      </c>
      <c r="N1193" s="305">
        <f>IF(G1193=0,0,(IF(OR(E1193=$AT$5,E1193=$AT$6),AC1193,HLOOKUP(YEAR(G1193)+(MONTH(G1193)/100),TC!$5:$37,DAY(G1193)+2,FALSE))))</f>
        <v>19.953499999999998</v>
      </c>
      <c r="O1193" s="307">
        <f t="shared" si="310"/>
        <v>23268.774024999999</v>
      </c>
      <c r="P1193" s="560">
        <f>IF(G1193=0,0,VLOOKUP(YEAR(G1193),INPC!$B$4:$P$30,MONTH(G1193)+2))</f>
        <v>113.682</v>
      </c>
      <c r="Q1193" s="560">
        <f>IF(X1193=0,0,IF(OR(E1193=$AT$10,E1193=$AT$9),VLOOKUP(YEAR(X1193),INPC!$B$4:$P$30,MONTH(X1193)+1),VLOOKUP(YEAR(X1193),INPC!$B$4:$P$30,MONTH(X1193)+2,0)))</f>
        <v>125.276</v>
      </c>
      <c r="R1193" s="309">
        <f t="shared" si="311"/>
        <v>1.1019000000000001</v>
      </c>
      <c r="S1193" s="310">
        <f t="shared" si="312"/>
        <v>25639.8620981475</v>
      </c>
      <c r="T1193" s="555">
        <f t="shared" si="313"/>
        <v>2563.9862098147501</v>
      </c>
      <c r="U1193" s="311"/>
      <c r="V1193" s="312">
        <v>10</v>
      </c>
      <c r="W1193" s="299" t="s">
        <v>194</v>
      </c>
      <c r="X1193" s="300">
        <v>44846</v>
      </c>
      <c r="Y1193" s="299" t="s">
        <v>59</v>
      </c>
      <c r="Z1193" s="303">
        <v>756.35199999999998</v>
      </c>
      <c r="AA1193" s="305">
        <f>IF(Z1193=0,0,IF(Y1193="MXN",1/HLOOKUP(YEAR(X1193)+(MONTH(X1193)/100),TC!$5:$37,DAY(X1193)+2,FALSE),VLOOKUP(Y1193,Equivalencia!$1:$23,((MAX(Equivalencia!$3:$3)-YEAR(X1193))*14)+MONTH(X1193)+2,FALSE)))</f>
        <v>1</v>
      </c>
      <c r="AB1193" s="306">
        <f t="shared" si="314"/>
        <v>756.35199999999998</v>
      </c>
      <c r="AC1193" s="305">
        <f>+IF(X1193=0,0,HLOOKUP(YEAR(X1193)+(MONTH(X1193)/100),TC!$5:$37,DAY(X1193)+2,FALSE))</f>
        <v>19.975200000000001</v>
      </c>
      <c r="AD1193" s="307">
        <f t="shared" si="315"/>
        <v>15108.2824704</v>
      </c>
      <c r="AE1193" s="314">
        <f t="shared" si="316"/>
        <v>25639.8620981475</v>
      </c>
      <c r="AF1193" s="315">
        <f t="shared" si="317"/>
        <v>-10531.5796277475</v>
      </c>
      <c r="AG1193" s="316">
        <f t="shared" si="318"/>
        <v>1.2027397260273973</v>
      </c>
      <c r="AH1193" s="314">
        <v>1</v>
      </c>
      <c r="AI1193" s="314">
        <f t="shared" si="319"/>
        <v>-10531.5796277475</v>
      </c>
      <c r="AJ1193" s="314">
        <f t="shared" si="320"/>
        <v>0</v>
      </c>
      <c r="AK1193" s="317"/>
      <c r="AL1193" s="315">
        <f t="shared" si="321"/>
        <v>-409.79800000000012</v>
      </c>
      <c r="AN1193" s="554">
        <f t="shared" si="322"/>
        <v>-0.35141105346653523</v>
      </c>
      <c r="AO1193" s="314"/>
      <c r="AP1193" s="318"/>
    </row>
    <row r="1194" spans="2:42">
      <c r="B1194" s="296" t="s">
        <v>1254</v>
      </c>
      <c r="C1194" s="299" t="s">
        <v>277</v>
      </c>
      <c r="D1194" s="298" t="s">
        <v>725</v>
      </c>
      <c r="E1194" s="299" t="s">
        <v>106</v>
      </c>
      <c r="F1194" s="299" t="s">
        <v>59</v>
      </c>
      <c r="G1194" s="300">
        <v>44407</v>
      </c>
      <c r="H1194" s="303">
        <v>118.26363636363637</v>
      </c>
      <c r="I1194" s="301" t="str">
        <f t="shared" si="306"/>
        <v>Ingresos Sección I LISR</v>
      </c>
      <c r="J1194" s="302">
        <f t="shared" si="307"/>
        <v>1</v>
      </c>
      <c r="K1194" s="304">
        <f t="shared" si="308"/>
        <v>118.26363636363637</v>
      </c>
      <c r="L1194" s="305">
        <f>IF(H1194=0,0,IF(OR(E1194=$AT$5,E1194=$AT$6),AA1194,IF(F1194="MXN",1/HLOOKUP(YEAR(G1194)+(MONTH(G1194)/100),TC!$5:$37,DAY(G1194)+2,FALSE),VLOOKUP(F1194,Equivalencia!$5:$23,((MAX(Equivalencia!$3:$3)-YEAR(G1194))*14)+MONTH(G1194)+2,FALSE))))</f>
        <v>1</v>
      </c>
      <c r="M1194" s="306">
        <f t="shared" si="309"/>
        <v>118.26363636363637</v>
      </c>
      <c r="N1194" s="305">
        <f>IF(G1194=0,0,(IF(OR(E1194=$AT$5,E1194=$AT$6),AC1194,HLOOKUP(YEAR(G1194)+(MONTH(G1194)/100),TC!$5:$37,DAY(G1194)+2,FALSE))))</f>
        <v>19.953499999999998</v>
      </c>
      <c r="O1194" s="307">
        <f t="shared" si="310"/>
        <v>2359.7734681818179</v>
      </c>
      <c r="P1194" s="560">
        <f>IF(G1194=0,0,VLOOKUP(YEAR(G1194),INPC!$B$4:$P$30,MONTH(G1194)+2))</f>
        <v>113.682</v>
      </c>
      <c r="Q1194" s="560">
        <f>IF(X1194=0,0,IF(OR(E1194=$AT$10,E1194=$AT$9),VLOOKUP(YEAR(X1194),INPC!$B$4:$P$30,MONTH(X1194)+1),VLOOKUP(YEAR(X1194),INPC!$B$4:$P$30,MONTH(X1194)+2,0)))</f>
        <v>125.276</v>
      </c>
      <c r="R1194" s="309">
        <f t="shared" si="311"/>
        <v>1.1019000000000001</v>
      </c>
      <c r="S1194" s="310">
        <f t="shared" si="312"/>
        <v>2600.2343845895452</v>
      </c>
      <c r="T1194" s="555">
        <f t="shared" si="313"/>
        <v>2600.2343845895452</v>
      </c>
      <c r="U1194" s="311"/>
      <c r="V1194" s="312">
        <v>1</v>
      </c>
      <c r="W1194" s="299" t="s">
        <v>194</v>
      </c>
      <c r="X1194" s="300">
        <v>44846</v>
      </c>
      <c r="Y1194" s="299" t="s">
        <v>59</v>
      </c>
      <c r="Z1194" s="303">
        <v>75.635199999999998</v>
      </c>
      <c r="AA1194" s="305">
        <f>IF(Z1194=0,0,IF(Y1194="MXN",1/HLOOKUP(YEAR(X1194)+(MONTH(X1194)/100),TC!$5:$37,DAY(X1194)+2,FALSE),VLOOKUP(Y1194,Equivalencia!$1:$23,((MAX(Equivalencia!$3:$3)-YEAR(X1194))*14)+MONTH(X1194)+2,FALSE)))</f>
        <v>1</v>
      </c>
      <c r="AB1194" s="306">
        <f t="shared" si="314"/>
        <v>75.635199999999998</v>
      </c>
      <c r="AC1194" s="305">
        <f>+IF(X1194=0,0,HLOOKUP(YEAR(X1194)+(MONTH(X1194)/100),TC!$5:$37,DAY(X1194)+2,FALSE))</f>
        <v>19.975200000000001</v>
      </c>
      <c r="AD1194" s="307">
        <f t="shared" si="315"/>
        <v>1510.82824704</v>
      </c>
      <c r="AE1194" s="314">
        <f t="shared" si="316"/>
        <v>2600.2343845895452</v>
      </c>
      <c r="AF1194" s="315">
        <f t="shared" si="317"/>
        <v>-1089.4061375495453</v>
      </c>
      <c r="AG1194" s="316">
        <f t="shared" si="318"/>
        <v>1.2027397260273973</v>
      </c>
      <c r="AH1194" s="314">
        <v>1</v>
      </c>
      <c r="AI1194" s="314">
        <f t="shared" si="319"/>
        <v>-1089.4061375495453</v>
      </c>
      <c r="AJ1194" s="314">
        <f t="shared" si="320"/>
        <v>0</v>
      </c>
      <c r="AK1194" s="317"/>
      <c r="AL1194" s="315">
        <f t="shared" si="321"/>
        <v>-42.628436363636368</v>
      </c>
      <c r="AN1194" s="554">
        <f t="shared" si="322"/>
        <v>-0.36045260973172422</v>
      </c>
      <c r="AO1194" s="314"/>
      <c r="AP1194" s="318"/>
    </row>
    <row r="1195" spans="2:42">
      <c r="B1195" s="296" t="s">
        <v>1254</v>
      </c>
      <c r="C1195" s="299" t="s">
        <v>277</v>
      </c>
      <c r="D1195" s="298" t="s">
        <v>725</v>
      </c>
      <c r="E1195" s="299" t="s">
        <v>106</v>
      </c>
      <c r="F1195" s="299" t="s">
        <v>59</v>
      </c>
      <c r="G1195" s="300">
        <v>44407</v>
      </c>
      <c r="H1195" s="303">
        <v>1182.6363636363637</v>
      </c>
      <c r="I1195" s="301" t="str">
        <f t="shared" si="306"/>
        <v>Ingresos Sección I LISR</v>
      </c>
      <c r="J1195" s="302">
        <f t="shared" si="307"/>
        <v>10</v>
      </c>
      <c r="K1195" s="304">
        <f t="shared" si="308"/>
        <v>118.26363636363638</v>
      </c>
      <c r="L1195" s="305">
        <f>IF(H1195=0,0,IF(OR(E1195=$AT$5,E1195=$AT$6),AA1195,IF(F1195="MXN",1/HLOOKUP(YEAR(G1195)+(MONTH(G1195)/100),TC!$5:$37,DAY(G1195)+2,FALSE),VLOOKUP(F1195,Equivalencia!$5:$23,((MAX(Equivalencia!$3:$3)-YEAR(G1195))*14)+MONTH(G1195)+2,FALSE))))</f>
        <v>1</v>
      </c>
      <c r="M1195" s="306">
        <f t="shared" si="309"/>
        <v>1182.6363636363637</v>
      </c>
      <c r="N1195" s="305">
        <f>IF(G1195=0,0,(IF(OR(E1195=$AT$5,E1195=$AT$6),AC1195,HLOOKUP(YEAR(G1195)+(MONTH(G1195)/100),TC!$5:$37,DAY(G1195)+2,FALSE))))</f>
        <v>19.953499999999998</v>
      </c>
      <c r="O1195" s="307">
        <f t="shared" si="310"/>
        <v>23597.734681818183</v>
      </c>
      <c r="P1195" s="560">
        <f>IF(G1195=0,0,VLOOKUP(YEAR(G1195),INPC!$B$4:$P$30,MONTH(G1195)+2))</f>
        <v>113.682</v>
      </c>
      <c r="Q1195" s="560">
        <f>IF(X1195=0,0,IF(OR(E1195=$AT$10,E1195=$AT$9),VLOOKUP(YEAR(X1195),INPC!$B$4:$P$30,MONTH(X1195)+1),VLOOKUP(YEAR(X1195),INPC!$B$4:$P$30,MONTH(X1195)+2,0)))</f>
        <v>125.276</v>
      </c>
      <c r="R1195" s="309">
        <f t="shared" si="311"/>
        <v>1.1019000000000001</v>
      </c>
      <c r="S1195" s="310">
        <f t="shared" si="312"/>
        <v>26002.343845895459</v>
      </c>
      <c r="T1195" s="555">
        <f t="shared" si="313"/>
        <v>2600.2343845895457</v>
      </c>
      <c r="U1195" s="311"/>
      <c r="V1195" s="312">
        <v>10</v>
      </c>
      <c r="W1195" s="299" t="s">
        <v>194</v>
      </c>
      <c r="X1195" s="300">
        <v>44846</v>
      </c>
      <c r="Y1195" s="299" t="s">
        <v>59</v>
      </c>
      <c r="Z1195" s="303">
        <v>751.57500000000005</v>
      </c>
      <c r="AA1195" s="305">
        <f>IF(Z1195=0,0,IF(Y1195="MXN",1/HLOOKUP(YEAR(X1195)+(MONTH(X1195)/100),TC!$5:$37,DAY(X1195)+2,FALSE),VLOOKUP(Y1195,Equivalencia!$1:$23,((MAX(Equivalencia!$3:$3)-YEAR(X1195))*14)+MONTH(X1195)+2,FALSE)))</f>
        <v>1</v>
      </c>
      <c r="AB1195" s="306">
        <f t="shared" si="314"/>
        <v>751.57500000000005</v>
      </c>
      <c r="AC1195" s="305">
        <f>+IF(X1195=0,0,HLOOKUP(YEAR(X1195)+(MONTH(X1195)/100),TC!$5:$37,DAY(X1195)+2,FALSE))</f>
        <v>19.975200000000001</v>
      </c>
      <c r="AD1195" s="307">
        <f t="shared" si="315"/>
        <v>15012.860940000002</v>
      </c>
      <c r="AE1195" s="314">
        <f t="shared" si="316"/>
        <v>26002.343845895455</v>
      </c>
      <c r="AF1195" s="315">
        <f t="shared" si="317"/>
        <v>-10989.482905895453</v>
      </c>
      <c r="AG1195" s="316">
        <f t="shared" si="318"/>
        <v>1.2027397260273973</v>
      </c>
      <c r="AH1195" s="314">
        <v>1</v>
      </c>
      <c r="AI1195" s="314">
        <f t="shared" si="319"/>
        <v>-10989.482905895453</v>
      </c>
      <c r="AJ1195" s="314">
        <f t="shared" si="320"/>
        <v>0</v>
      </c>
      <c r="AK1195" s="317"/>
      <c r="AL1195" s="315">
        <f t="shared" si="321"/>
        <v>-431.06136363636369</v>
      </c>
      <c r="AN1195" s="554">
        <f t="shared" si="322"/>
        <v>-0.36449189022984091</v>
      </c>
      <c r="AO1195" s="314"/>
      <c r="AP1195" s="318"/>
    </row>
    <row r="1196" spans="2:42">
      <c r="B1196" s="296" t="s">
        <v>1254</v>
      </c>
      <c r="C1196" s="299" t="s">
        <v>277</v>
      </c>
      <c r="D1196" s="298" t="s">
        <v>725</v>
      </c>
      <c r="E1196" s="299" t="s">
        <v>106</v>
      </c>
      <c r="F1196" s="299" t="s">
        <v>59</v>
      </c>
      <c r="G1196" s="300">
        <v>44407</v>
      </c>
      <c r="H1196" s="303">
        <v>716.44499999999994</v>
      </c>
      <c r="I1196" s="301" t="str">
        <f t="shared" si="306"/>
        <v>Ingresos Sección I LISR</v>
      </c>
      <c r="J1196" s="302">
        <f t="shared" si="307"/>
        <v>6</v>
      </c>
      <c r="K1196" s="304">
        <f t="shared" si="308"/>
        <v>119.40749999999998</v>
      </c>
      <c r="L1196" s="305">
        <f>IF(H1196=0,0,IF(OR(E1196=$AT$5,E1196=$AT$6),AA1196,IF(F1196="MXN",1/HLOOKUP(YEAR(G1196)+(MONTH(G1196)/100),TC!$5:$37,DAY(G1196)+2,FALSE),VLOOKUP(F1196,Equivalencia!$5:$23,((MAX(Equivalencia!$3:$3)-YEAR(G1196))*14)+MONTH(G1196)+2,FALSE))))</f>
        <v>1</v>
      </c>
      <c r="M1196" s="306">
        <f t="shared" si="309"/>
        <v>716.44499999999994</v>
      </c>
      <c r="N1196" s="305">
        <f>IF(G1196=0,0,(IF(OR(E1196=$AT$5,E1196=$AT$6),AC1196,HLOOKUP(YEAR(G1196)+(MONTH(G1196)/100),TC!$5:$37,DAY(G1196)+2,FALSE))))</f>
        <v>19.953499999999998</v>
      </c>
      <c r="O1196" s="307">
        <f t="shared" si="310"/>
        <v>14295.585307499998</v>
      </c>
      <c r="P1196" s="560">
        <f>IF(G1196=0,0,VLOOKUP(YEAR(G1196),INPC!$B$4:$P$30,MONTH(G1196)+2))</f>
        <v>113.682</v>
      </c>
      <c r="Q1196" s="560">
        <f>IF(X1196=0,0,IF(OR(E1196=$AT$10,E1196=$AT$9),VLOOKUP(YEAR(X1196),INPC!$B$4:$P$30,MONTH(X1196)+1),VLOOKUP(YEAR(X1196),INPC!$B$4:$P$30,MONTH(X1196)+2,0)))</f>
        <v>125.276</v>
      </c>
      <c r="R1196" s="309">
        <f t="shared" si="311"/>
        <v>1.1019000000000001</v>
      </c>
      <c r="S1196" s="310">
        <f t="shared" si="312"/>
        <v>15752.305450334248</v>
      </c>
      <c r="T1196" s="555">
        <f t="shared" si="313"/>
        <v>2625.3842417223746</v>
      </c>
      <c r="U1196" s="311"/>
      <c r="V1196" s="312">
        <v>6</v>
      </c>
      <c r="W1196" s="299" t="s">
        <v>194</v>
      </c>
      <c r="X1196" s="300">
        <v>44846</v>
      </c>
      <c r="Y1196" s="299" t="s">
        <v>59</v>
      </c>
      <c r="Z1196" s="303">
        <v>450.94499999999999</v>
      </c>
      <c r="AA1196" s="305">
        <f>IF(Z1196=0,0,IF(Y1196="MXN",1/HLOOKUP(YEAR(X1196)+(MONTH(X1196)/100),TC!$5:$37,DAY(X1196)+2,FALSE),VLOOKUP(Y1196,Equivalencia!$1:$23,((MAX(Equivalencia!$3:$3)-YEAR(X1196))*14)+MONTH(X1196)+2,FALSE)))</f>
        <v>1</v>
      </c>
      <c r="AB1196" s="306">
        <f t="shared" si="314"/>
        <v>450.94499999999999</v>
      </c>
      <c r="AC1196" s="305">
        <f>+IF(X1196=0,0,HLOOKUP(YEAR(X1196)+(MONTH(X1196)/100),TC!$5:$37,DAY(X1196)+2,FALSE))</f>
        <v>19.975200000000001</v>
      </c>
      <c r="AD1196" s="307">
        <f t="shared" si="315"/>
        <v>9007.7165640000003</v>
      </c>
      <c r="AE1196" s="314">
        <f t="shared" si="316"/>
        <v>15752.305450334246</v>
      </c>
      <c r="AF1196" s="315">
        <f t="shared" si="317"/>
        <v>-6744.5888863342461</v>
      </c>
      <c r="AG1196" s="316">
        <f t="shared" si="318"/>
        <v>1.2027397260273973</v>
      </c>
      <c r="AH1196" s="314">
        <v>1</v>
      </c>
      <c r="AI1196" s="314">
        <f t="shared" si="319"/>
        <v>-6744.5888863342461</v>
      </c>
      <c r="AJ1196" s="314">
        <f t="shared" si="320"/>
        <v>0</v>
      </c>
      <c r="AK1196" s="317"/>
      <c r="AL1196" s="315">
        <f t="shared" si="321"/>
        <v>-265.49999999999994</v>
      </c>
      <c r="AN1196" s="554">
        <f t="shared" si="322"/>
        <v>-0.3705797374536775</v>
      </c>
      <c r="AO1196" s="314"/>
      <c r="AP1196" s="318"/>
    </row>
    <row r="1197" spans="2:42">
      <c r="B1197" s="296" t="s">
        <v>1254</v>
      </c>
      <c r="C1197" s="299" t="s">
        <v>277</v>
      </c>
      <c r="D1197" s="298" t="s">
        <v>725</v>
      </c>
      <c r="E1197" s="299" t="s">
        <v>106</v>
      </c>
      <c r="F1197" s="299" t="s">
        <v>59</v>
      </c>
      <c r="G1197" s="300">
        <v>44407</v>
      </c>
      <c r="H1197" s="303">
        <v>1671.7049999999999</v>
      </c>
      <c r="I1197" s="301" t="str">
        <f t="shared" si="306"/>
        <v>Ingresos Sección I LISR</v>
      </c>
      <c r="J1197" s="302">
        <f t="shared" si="307"/>
        <v>14</v>
      </c>
      <c r="K1197" s="304">
        <f t="shared" si="308"/>
        <v>119.4075</v>
      </c>
      <c r="L1197" s="305">
        <f>IF(H1197=0,0,IF(OR(E1197=$AT$5,E1197=$AT$6),AA1197,IF(F1197="MXN",1/HLOOKUP(YEAR(G1197)+(MONTH(G1197)/100),TC!$5:$37,DAY(G1197)+2,FALSE),VLOOKUP(F1197,Equivalencia!$5:$23,((MAX(Equivalencia!$3:$3)-YEAR(G1197))*14)+MONTH(G1197)+2,FALSE))))</f>
        <v>1</v>
      </c>
      <c r="M1197" s="306">
        <f t="shared" si="309"/>
        <v>1671.7049999999999</v>
      </c>
      <c r="N1197" s="305">
        <f>IF(G1197=0,0,(IF(OR(E1197=$AT$5,E1197=$AT$6),AC1197,HLOOKUP(YEAR(G1197)+(MONTH(G1197)/100),TC!$5:$37,DAY(G1197)+2,FALSE))))</f>
        <v>19.953499999999998</v>
      </c>
      <c r="O1197" s="307">
        <f t="shared" si="310"/>
        <v>33356.365717499997</v>
      </c>
      <c r="P1197" s="560">
        <f>IF(G1197=0,0,VLOOKUP(YEAR(G1197),INPC!$B$4:$P$30,MONTH(G1197)+2))</f>
        <v>113.682</v>
      </c>
      <c r="Q1197" s="560">
        <f>IF(X1197=0,0,IF(OR(E1197=$AT$10,E1197=$AT$9),VLOOKUP(YEAR(X1197),INPC!$B$4:$P$30,MONTH(X1197)+1),VLOOKUP(YEAR(X1197),INPC!$B$4:$P$30,MONTH(X1197)+2,0)))</f>
        <v>125.276</v>
      </c>
      <c r="R1197" s="309">
        <f t="shared" si="311"/>
        <v>1.1019000000000001</v>
      </c>
      <c r="S1197" s="310">
        <f t="shared" si="312"/>
        <v>36755.37938411325</v>
      </c>
      <c r="T1197" s="555">
        <f t="shared" si="313"/>
        <v>2625.384241722375</v>
      </c>
      <c r="U1197" s="311"/>
      <c r="V1197" s="312">
        <v>14</v>
      </c>
      <c r="W1197" s="299" t="s">
        <v>194</v>
      </c>
      <c r="X1197" s="300">
        <v>44846</v>
      </c>
      <c r="Y1197" s="299" t="s">
        <v>59</v>
      </c>
      <c r="Z1197" s="303">
        <v>1057.8699999999999</v>
      </c>
      <c r="AA1197" s="305">
        <f>IF(Z1197=0,0,IF(Y1197="MXN",1/HLOOKUP(YEAR(X1197)+(MONTH(X1197)/100),TC!$5:$37,DAY(X1197)+2,FALSE),VLOOKUP(Y1197,Equivalencia!$1:$23,((MAX(Equivalencia!$3:$3)-YEAR(X1197))*14)+MONTH(X1197)+2,FALSE)))</f>
        <v>1</v>
      </c>
      <c r="AB1197" s="306">
        <f t="shared" si="314"/>
        <v>1057.8699999999999</v>
      </c>
      <c r="AC1197" s="305">
        <f>+IF(X1197=0,0,HLOOKUP(YEAR(X1197)+(MONTH(X1197)/100),TC!$5:$37,DAY(X1197)+2,FALSE))</f>
        <v>19.975200000000001</v>
      </c>
      <c r="AD1197" s="307">
        <f t="shared" si="315"/>
        <v>21131.164823999999</v>
      </c>
      <c r="AE1197" s="314">
        <f t="shared" si="316"/>
        <v>36755.37938411325</v>
      </c>
      <c r="AF1197" s="315">
        <f t="shared" si="317"/>
        <v>-15624.214560113251</v>
      </c>
      <c r="AG1197" s="316">
        <f t="shared" si="318"/>
        <v>1.2027397260273973</v>
      </c>
      <c r="AH1197" s="314">
        <v>1</v>
      </c>
      <c r="AI1197" s="314">
        <f t="shared" si="319"/>
        <v>-15624.214560113251</v>
      </c>
      <c r="AJ1197" s="314">
        <f t="shared" si="320"/>
        <v>0</v>
      </c>
      <c r="AK1197" s="317"/>
      <c r="AL1197" s="315">
        <f t="shared" si="321"/>
        <v>-613.83500000000004</v>
      </c>
      <c r="AN1197" s="554">
        <f t="shared" si="322"/>
        <v>-0.36719098166243452</v>
      </c>
      <c r="AO1197" s="314"/>
      <c r="AP1197" s="318"/>
    </row>
    <row r="1198" spans="2:42">
      <c r="B1198" s="296" t="s">
        <v>1254</v>
      </c>
      <c r="C1198" s="299" t="s">
        <v>277</v>
      </c>
      <c r="D1198" s="298" t="s">
        <v>725</v>
      </c>
      <c r="E1198" s="299" t="s">
        <v>106</v>
      </c>
      <c r="F1198" s="299" t="s">
        <v>59</v>
      </c>
      <c r="G1198" s="300">
        <v>44407</v>
      </c>
      <c r="H1198" s="303">
        <v>1910.52</v>
      </c>
      <c r="I1198" s="301" t="str">
        <f t="shared" si="306"/>
        <v>Ingresos Sección I LISR</v>
      </c>
      <c r="J1198" s="302">
        <f t="shared" si="307"/>
        <v>16</v>
      </c>
      <c r="K1198" s="304">
        <f t="shared" si="308"/>
        <v>119.4075</v>
      </c>
      <c r="L1198" s="305">
        <f>IF(H1198=0,0,IF(OR(E1198=$AT$5,E1198=$AT$6),AA1198,IF(F1198="MXN",1/HLOOKUP(YEAR(G1198)+(MONTH(G1198)/100),TC!$5:$37,DAY(G1198)+2,FALSE),VLOOKUP(F1198,Equivalencia!$5:$23,((MAX(Equivalencia!$3:$3)-YEAR(G1198))*14)+MONTH(G1198)+2,FALSE))))</f>
        <v>1</v>
      </c>
      <c r="M1198" s="306">
        <f t="shared" si="309"/>
        <v>1910.52</v>
      </c>
      <c r="N1198" s="305">
        <f>IF(G1198=0,0,(IF(OR(E1198=$AT$5,E1198=$AT$6),AC1198,HLOOKUP(YEAR(G1198)+(MONTH(G1198)/100),TC!$5:$37,DAY(G1198)+2,FALSE))))</f>
        <v>19.953499999999998</v>
      </c>
      <c r="O1198" s="307">
        <f t="shared" si="310"/>
        <v>38121.560819999999</v>
      </c>
      <c r="P1198" s="560">
        <f>IF(G1198=0,0,VLOOKUP(YEAR(G1198),INPC!$B$4:$P$30,MONTH(G1198)+2))</f>
        <v>113.682</v>
      </c>
      <c r="Q1198" s="560">
        <f>IF(X1198=0,0,IF(OR(E1198=$AT$10,E1198=$AT$9),VLOOKUP(YEAR(X1198),INPC!$B$4:$P$30,MONTH(X1198)+1),VLOOKUP(YEAR(X1198),INPC!$B$4:$P$30,MONTH(X1198)+2,0)))</f>
        <v>125.276</v>
      </c>
      <c r="R1198" s="309">
        <f t="shared" si="311"/>
        <v>1.1019000000000001</v>
      </c>
      <c r="S1198" s="310">
        <f t="shared" si="312"/>
        <v>42006.147867558</v>
      </c>
      <c r="T1198" s="555">
        <f t="shared" si="313"/>
        <v>2625.384241722375</v>
      </c>
      <c r="U1198" s="311"/>
      <c r="V1198" s="312">
        <v>16</v>
      </c>
      <c r="W1198" s="299" t="s">
        <v>194</v>
      </c>
      <c r="X1198" s="300">
        <v>44847</v>
      </c>
      <c r="Y1198" s="299" t="s">
        <v>59</v>
      </c>
      <c r="Z1198" s="303">
        <v>1238.3721739130435</v>
      </c>
      <c r="AA1198" s="305">
        <f>IF(Z1198=0,0,IF(Y1198="MXN",1/HLOOKUP(YEAR(X1198)+(MONTH(X1198)/100),TC!$5:$37,DAY(X1198)+2,FALSE),VLOOKUP(Y1198,Equivalencia!$1:$23,((MAX(Equivalencia!$3:$3)-YEAR(X1198))*14)+MONTH(X1198)+2,FALSE)))</f>
        <v>1</v>
      </c>
      <c r="AB1198" s="306">
        <f t="shared" si="314"/>
        <v>1238.3721739130435</v>
      </c>
      <c r="AC1198" s="305">
        <f>+IF(X1198=0,0,HLOOKUP(YEAR(X1198)+(MONTH(X1198)/100),TC!$5:$37,DAY(X1198)+2,FALSE))</f>
        <v>19.965199999999999</v>
      </c>
      <c r="AD1198" s="307">
        <f t="shared" si="315"/>
        <v>24724.348126608696</v>
      </c>
      <c r="AE1198" s="314">
        <f t="shared" si="316"/>
        <v>42006.147867558</v>
      </c>
      <c r="AF1198" s="315">
        <f t="shared" si="317"/>
        <v>-17281.799740949304</v>
      </c>
      <c r="AG1198" s="316">
        <f t="shared" si="318"/>
        <v>1.2054794520547945</v>
      </c>
      <c r="AH1198" s="314">
        <v>1</v>
      </c>
      <c r="AI1198" s="314">
        <f t="shared" si="319"/>
        <v>-17281.799740949304</v>
      </c>
      <c r="AJ1198" s="314">
        <f t="shared" si="320"/>
        <v>0</v>
      </c>
      <c r="AK1198" s="317"/>
      <c r="AL1198" s="315">
        <f t="shared" si="321"/>
        <v>-672.14782608695646</v>
      </c>
      <c r="AN1198" s="554">
        <f t="shared" si="322"/>
        <v>-0.35181407474768989</v>
      </c>
      <c r="AO1198" s="314"/>
      <c r="AP1198" s="318"/>
    </row>
    <row r="1199" spans="2:42">
      <c r="B1199" s="296" t="s">
        <v>1254</v>
      </c>
      <c r="C1199" s="299" t="s">
        <v>277</v>
      </c>
      <c r="D1199" s="298" t="s">
        <v>725</v>
      </c>
      <c r="E1199" s="299" t="s">
        <v>106</v>
      </c>
      <c r="F1199" s="299" t="s">
        <v>59</v>
      </c>
      <c r="G1199" s="300">
        <v>44410</v>
      </c>
      <c r="H1199" s="303">
        <v>838.49062500000002</v>
      </c>
      <c r="I1199" s="301" t="str">
        <f t="shared" si="306"/>
        <v>Ingresos Sección I LISR</v>
      </c>
      <c r="J1199" s="302">
        <f t="shared" si="307"/>
        <v>7</v>
      </c>
      <c r="K1199" s="304">
        <f t="shared" si="308"/>
        <v>119.784375</v>
      </c>
      <c r="L1199" s="305">
        <f>IF(H1199=0,0,IF(OR(E1199=$AT$5,E1199=$AT$6),AA1199,IF(F1199="MXN",1/HLOOKUP(YEAR(G1199)+(MONTH(G1199)/100),TC!$5:$37,DAY(G1199)+2,FALSE),VLOOKUP(F1199,Equivalencia!$5:$23,((MAX(Equivalencia!$3:$3)-YEAR(G1199))*14)+MONTH(G1199)+2,FALSE))))</f>
        <v>1</v>
      </c>
      <c r="M1199" s="306">
        <f t="shared" si="309"/>
        <v>838.49062500000002</v>
      </c>
      <c r="N1199" s="305">
        <f>IF(G1199=0,0,(IF(OR(E1199=$AT$5,E1199=$AT$6),AC1199,HLOOKUP(YEAR(G1199)+(MONTH(G1199)/100),TC!$5:$37,DAY(G1199)+2,FALSE))))</f>
        <v>19.844799999999999</v>
      </c>
      <c r="O1199" s="307">
        <f t="shared" si="310"/>
        <v>16639.678755000001</v>
      </c>
      <c r="P1199" s="560">
        <f>IF(G1199=0,0,VLOOKUP(YEAR(G1199),INPC!$B$4:$P$30,MONTH(G1199)+2))</f>
        <v>113.899</v>
      </c>
      <c r="Q1199" s="560">
        <f>IF(X1199=0,0,IF(OR(E1199=$AT$10,E1199=$AT$9),VLOOKUP(YEAR(X1199),INPC!$B$4:$P$30,MONTH(X1199)+1),VLOOKUP(YEAR(X1199),INPC!$B$4:$P$30,MONTH(X1199)+2,0)))</f>
        <v>125.276</v>
      </c>
      <c r="R1199" s="309">
        <f t="shared" si="311"/>
        <v>1.0998000000000001</v>
      </c>
      <c r="S1199" s="310">
        <f t="shared" si="312"/>
        <v>18300.318694749003</v>
      </c>
      <c r="T1199" s="555">
        <f t="shared" si="313"/>
        <v>2614.3312421070004</v>
      </c>
      <c r="U1199" s="311"/>
      <c r="V1199" s="312">
        <v>7</v>
      </c>
      <c r="W1199" s="299" t="s">
        <v>194</v>
      </c>
      <c r="X1199" s="300">
        <v>44847</v>
      </c>
      <c r="Y1199" s="299" t="s">
        <v>59</v>
      </c>
      <c r="Z1199" s="303">
        <v>541.78782608695656</v>
      </c>
      <c r="AA1199" s="305">
        <f>IF(Z1199=0,0,IF(Y1199="MXN",1/HLOOKUP(YEAR(X1199)+(MONTH(X1199)/100),TC!$5:$37,DAY(X1199)+2,FALSE),VLOOKUP(Y1199,Equivalencia!$1:$23,((MAX(Equivalencia!$3:$3)-YEAR(X1199))*14)+MONTH(X1199)+2,FALSE)))</f>
        <v>1</v>
      </c>
      <c r="AB1199" s="306">
        <f t="shared" si="314"/>
        <v>541.78782608695656</v>
      </c>
      <c r="AC1199" s="305">
        <f>+IF(X1199=0,0,HLOOKUP(YEAR(X1199)+(MONTH(X1199)/100),TC!$5:$37,DAY(X1199)+2,FALSE))</f>
        <v>19.965199999999999</v>
      </c>
      <c r="AD1199" s="307">
        <f t="shared" si="315"/>
        <v>10816.902305391304</v>
      </c>
      <c r="AE1199" s="314">
        <f t="shared" si="316"/>
        <v>18300.318694749003</v>
      </c>
      <c r="AF1199" s="315">
        <f t="shared" si="317"/>
        <v>-7483.4163893576988</v>
      </c>
      <c r="AG1199" s="316">
        <f t="shared" si="318"/>
        <v>1.1972602739726028</v>
      </c>
      <c r="AH1199" s="314">
        <v>1</v>
      </c>
      <c r="AI1199" s="314">
        <f t="shared" si="319"/>
        <v>-7483.4163893576988</v>
      </c>
      <c r="AJ1199" s="314">
        <f t="shared" si="320"/>
        <v>0</v>
      </c>
      <c r="AK1199" s="317"/>
      <c r="AL1199" s="315">
        <f t="shared" si="321"/>
        <v>-296.70279891304347</v>
      </c>
      <c r="AN1199" s="554">
        <f t="shared" si="322"/>
        <v>-0.35385344816830056</v>
      </c>
      <c r="AO1199" s="314"/>
      <c r="AP1199" s="318"/>
    </row>
    <row r="1200" spans="2:42">
      <c r="B1200" s="296" t="s">
        <v>1254</v>
      </c>
      <c r="C1200" s="299" t="s">
        <v>277</v>
      </c>
      <c r="D1200" s="298" t="s">
        <v>725</v>
      </c>
      <c r="E1200" s="299" t="s">
        <v>106</v>
      </c>
      <c r="F1200" s="299" t="s">
        <v>59</v>
      </c>
      <c r="G1200" s="300">
        <v>44410</v>
      </c>
      <c r="H1200" s="303">
        <v>1078.059375</v>
      </c>
      <c r="I1200" s="301" t="str">
        <f t="shared" si="306"/>
        <v>Ingresos Sección I LISR</v>
      </c>
      <c r="J1200" s="302">
        <f t="shared" si="307"/>
        <v>9</v>
      </c>
      <c r="K1200" s="304">
        <f t="shared" si="308"/>
        <v>119.78437500000001</v>
      </c>
      <c r="L1200" s="305">
        <f>IF(H1200=0,0,IF(OR(E1200=$AT$5,E1200=$AT$6),AA1200,IF(F1200="MXN",1/HLOOKUP(YEAR(G1200)+(MONTH(G1200)/100),TC!$5:$37,DAY(G1200)+2,FALSE),VLOOKUP(F1200,Equivalencia!$5:$23,((MAX(Equivalencia!$3:$3)-YEAR(G1200))*14)+MONTH(G1200)+2,FALSE))))</f>
        <v>1</v>
      </c>
      <c r="M1200" s="306">
        <f t="shared" si="309"/>
        <v>1078.059375</v>
      </c>
      <c r="N1200" s="305">
        <f>IF(G1200=0,0,(IF(OR(E1200=$AT$5,E1200=$AT$6),AC1200,HLOOKUP(YEAR(G1200)+(MONTH(G1200)/100),TC!$5:$37,DAY(G1200)+2,FALSE))))</f>
        <v>19.844799999999999</v>
      </c>
      <c r="O1200" s="307">
        <f t="shared" si="310"/>
        <v>21393.872684999998</v>
      </c>
      <c r="P1200" s="560">
        <f>IF(G1200=0,0,VLOOKUP(YEAR(G1200),INPC!$B$4:$P$30,MONTH(G1200)+2))</f>
        <v>113.899</v>
      </c>
      <c r="Q1200" s="560">
        <f>IF(X1200=0,0,IF(OR(E1200=$AT$10,E1200=$AT$9),VLOOKUP(YEAR(X1200),INPC!$B$4:$P$30,MONTH(X1200)+1),VLOOKUP(YEAR(X1200),INPC!$B$4:$P$30,MONTH(X1200)+2,0)))</f>
        <v>125.276</v>
      </c>
      <c r="R1200" s="309">
        <f t="shared" si="311"/>
        <v>1.0998000000000001</v>
      </c>
      <c r="S1200" s="310">
        <f t="shared" si="312"/>
        <v>23528.981178963</v>
      </c>
      <c r="T1200" s="555">
        <f t="shared" si="313"/>
        <v>2614.331242107</v>
      </c>
      <c r="U1200" s="311"/>
      <c r="V1200" s="312">
        <v>9</v>
      </c>
      <c r="W1200" s="299" t="s">
        <v>194</v>
      </c>
      <c r="X1200" s="300">
        <v>44847</v>
      </c>
      <c r="Y1200" s="299" t="s">
        <v>59</v>
      </c>
      <c r="Z1200" s="303">
        <v>677.52</v>
      </c>
      <c r="AA1200" s="305">
        <f>IF(Z1200=0,0,IF(Y1200="MXN",1/HLOOKUP(YEAR(X1200)+(MONTH(X1200)/100),TC!$5:$37,DAY(X1200)+2,FALSE),VLOOKUP(Y1200,Equivalencia!$1:$23,((MAX(Equivalencia!$3:$3)-YEAR(X1200))*14)+MONTH(X1200)+2,FALSE)))</f>
        <v>1</v>
      </c>
      <c r="AB1200" s="306">
        <f t="shared" si="314"/>
        <v>677.52</v>
      </c>
      <c r="AC1200" s="305">
        <f>+IF(X1200=0,0,HLOOKUP(YEAR(X1200)+(MONTH(X1200)/100),TC!$5:$37,DAY(X1200)+2,FALSE))</f>
        <v>19.965199999999999</v>
      </c>
      <c r="AD1200" s="307">
        <f t="shared" si="315"/>
        <v>13526.822303999999</v>
      </c>
      <c r="AE1200" s="314">
        <f t="shared" si="316"/>
        <v>23528.981178963</v>
      </c>
      <c r="AF1200" s="315">
        <f t="shared" si="317"/>
        <v>-10002.158874963001</v>
      </c>
      <c r="AG1200" s="316">
        <f t="shared" si="318"/>
        <v>1.1972602739726028</v>
      </c>
      <c r="AH1200" s="314">
        <v>1</v>
      </c>
      <c r="AI1200" s="314">
        <f t="shared" si="319"/>
        <v>-10002.158874963001</v>
      </c>
      <c r="AJ1200" s="314">
        <f t="shared" si="320"/>
        <v>0</v>
      </c>
      <c r="AK1200" s="317"/>
      <c r="AL1200" s="315">
        <f t="shared" si="321"/>
        <v>-400.53937500000006</v>
      </c>
      <c r="AN1200" s="554">
        <f t="shared" si="322"/>
        <v>-0.3715373979285696</v>
      </c>
      <c r="AO1200" s="314"/>
      <c r="AP1200" s="318"/>
    </row>
    <row r="1201" spans="2:42">
      <c r="B1201" s="296" t="s">
        <v>1254</v>
      </c>
      <c r="C1201" s="299" t="s">
        <v>277</v>
      </c>
      <c r="D1201" s="298" t="s">
        <v>725</v>
      </c>
      <c r="E1201" s="299" t="s">
        <v>106</v>
      </c>
      <c r="F1201" s="299" t="s">
        <v>59</v>
      </c>
      <c r="G1201" s="300">
        <v>44418</v>
      </c>
      <c r="H1201" s="303">
        <v>1426.4349999999999</v>
      </c>
      <c r="I1201" s="301" t="str">
        <f t="shared" si="306"/>
        <v>Ingresos Sección I LISR</v>
      </c>
      <c r="J1201" s="302">
        <f t="shared" si="307"/>
        <v>12</v>
      </c>
      <c r="K1201" s="304">
        <f t="shared" si="308"/>
        <v>118.86958333333332</v>
      </c>
      <c r="L1201" s="305">
        <f>IF(H1201=0,0,IF(OR(E1201=$AT$5,E1201=$AT$6),AA1201,IF(F1201="MXN",1/HLOOKUP(YEAR(G1201)+(MONTH(G1201)/100),TC!$5:$37,DAY(G1201)+2,FALSE),VLOOKUP(F1201,Equivalencia!$5:$23,((MAX(Equivalencia!$3:$3)-YEAR(G1201))*14)+MONTH(G1201)+2,FALSE))))</f>
        <v>1</v>
      </c>
      <c r="M1201" s="306">
        <f t="shared" si="309"/>
        <v>1426.4349999999999</v>
      </c>
      <c r="N1201" s="305">
        <f>IF(G1201=0,0,(IF(OR(E1201=$AT$5,E1201=$AT$6),AC1201,HLOOKUP(YEAR(G1201)+(MONTH(G1201)/100),TC!$5:$37,DAY(G1201)+2,FALSE))))</f>
        <v>20.003699999999998</v>
      </c>
      <c r="O1201" s="307">
        <f t="shared" si="310"/>
        <v>28533.977809499997</v>
      </c>
      <c r="P1201" s="560">
        <f>IF(G1201=0,0,VLOOKUP(YEAR(G1201),INPC!$B$4:$P$30,MONTH(G1201)+2))</f>
        <v>113.899</v>
      </c>
      <c r="Q1201" s="560">
        <f>IF(X1201=0,0,IF(OR(E1201=$AT$10,E1201=$AT$9),VLOOKUP(YEAR(X1201),INPC!$B$4:$P$30,MONTH(X1201)+1),VLOOKUP(YEAR(X1201),INPC!$B$4:$P$30,MONTH(X1201)+2,0)))</f>
        <v>125.276</v>
      </c>
      <c r="R1201" s="309">
        <f t="shared" si="311"/>
        <v>1.0998000000000001</v>
      </c>
      <c r="S1201" s="310">
        <f t="shared" si="312"/>
        <v>31381.668794888101</v>
      </c>
      <c r="T1201" s="555">
        <f t="shared" si="313"/>
        <v>2615.1390662406752</v>
      </c>
      <c r="U1201" s="311"/>
      <c r="V1201" s="312">
        <v>12</v>
      </c>
      <c r="W1201" s="299" t="s">
        <v>194</v>
      </c>
      <c r="X1201" s="300">
        <v>44847</v>
      </c>
      <c r="Y1201" s="299" t="s">
        <v>59</v>
      </c>
      <c r="Z1201" s="303">
        <v>903.36</v>
      </c>
      <c r="AA1201" s="305">
        <f>IF(Z1201=0,0,IF(Y1201="MXN",1/HLOOKUP(YEAR(X1201)+(MONTH(X1201)/100),TC!$5:$37,DAY(X1201)+2,FALSE),VLOOKUP(Y1201,Equivalencia!$1:$23,((MAX(Equivalencia!$3:$3)-YEAR(X1201))*14)+MONTH(X1201)+2,FALSE)))</f>
        <v>1</v>
      </c>
      <c r="AB1201" s="306">
        <f t="shared" si="314"/>
        <v>903.36</v>
      </c>
      <c r="AC1201" s="305">
        <f>+IF(X1201=0,0,HLOOKUP(YEAR(X1201)+(MONTH(X1201)/100),TC!$5:$37,DAY(X1201)+2,FALSE))</f>
        <v>19.965199999999999</v>
      </c>
      <c r="AD1201" s="307">
        <f t="shared" si="315"/>
        <v>18035.763071999998</v>
      </c>
      <c r="AE1201" s="314">
        <f t="shared" si="316"/>
        <v>31381.668794888101</v>
      </c>
      <c r="AF1201" s="315">
        <f t="shared" si="317"/>
        <v>-13345.905722888103</v>
      </c>
      <c r="AG1201" s="316">
        <f t="shared" si="318"/>
        <v>1.1753424657534246</v>
      </c>
      <c r="AH1201" s="314">
        <v>1</v>
      </c>
      <c r="AI1201" s="314">
        <f t="shared" si="319"/>
        <v>-13345.905722888103</v>
      </c>
      <c r="AJ1201" s="314">
        <f t="shared" si="320"/>
        <v>0</v>
      </c>
      <c r="AK1201" s="317"/>
      <c r="AL1201" s="315">
        <f t="shared" si="321"/>
        <v>-523.07499999999993</v>
      </c>
      <c r="AN1201" s="554">
        <f t="shared" si="322"/>
        <v>-0.36670090119774118</v>
      </c>
      <c r="AO1201" s="314"/>
      <c r="AP1201" s="318"/>
    </row>
    <row r="1202" spans="2:42">
      <c r="B1202" s="296" t="s">
        <v>1254</v>
      </c>
      <c r="C1202" s="299" t="s">
        <v>277</v>
      </c>
      <c r="D1202" s="298" t="s">
        <v>725</v>
      </c>
      <c r="E1202" s="299" t="s">
        <v>106</v>
      </c>
      <c r="F1202" s="299" t="s">
        <v>59</v>
      </c>
      <c r="G1202" s="300">
        <v>44418</v>
      </c>
      <c r="H1202" s="303">
        <v>1426.4349999999999</v>
      </c>
      <c r="I1202" s="301" t="str">
        <f t="shared" si="306"/>
        <v>Ingresos Sección I LISR</v>
      </c>
      <c r="J1202" s="302">
        <f t="shared" si="307"/>
        <v>12</v>
      </c>
      <c r="K1202" s="304">
        <f t="shared" si="308"/>
        <v>118.86958333333332</v>
      </c>
      <c r="L1202" s="305">
        <f>IF(H1202=0,0,IF(OR(E1202=$AT$5,E1202=$AT$6),AA1202,IF(F1202="MXN",1/HLOOKUP(YEAR(G1202)+(MONTH(G1202)/100),TC!$5:$37,DAY(G1202)+2,FALSE),VLOOKUP(F1202,Equivalencia!$5:$23,((MAX(Equivalencia!$3:$3)-YEAR(G1202))*14)+MONTH(G1202)+2,FALSE))))</f>
        <v>1</v>
      </c>
      <c r="M1202" s="306">
        <f t="shared" si="309"/>
        <v>1426.4349999999999</v>
      </c>
      <c r="N1202" s="305">
        <f>IF(G1202=0,0,(IF(OR(E1202=$AT$5,E1202=$AT$6),AC1202,HLOOKUP(YEAR(G1202)+(MONTH(G1202)/100),TC!$5:$37,DAY(G1202)+2,FALSE))))</f>
        <v>20.003699999999998</v>
      </c>
      <c r="O1202" s="307">
        <f t="shared" si="310"/>
        <v>28533.977809499997</v>
      </c>
      <c r="P1202" s="560">
        <f>IF(G1202=0,0,VLOOKUP(YEAR(G1202),INPC!$B$4:$P$30,MONTH(G1202)+2))</f>
        <v>113.899</v>
      </c>
      <c r="Q1202" s="560">
        <f>IF(X1202=0,0,IF(OR(E1202=$AT$10,E1202=$AT$9),VLOOKUP(YEAR(X1202),INPC!$B$4:$P$30,MONTH(X1202)+1),VLOOKUP(YEAR(X1202),INPC!$B$4:$P$30,MONTH(X1202)+2,0)))</f>
        <v>125.276</v>
      </c>
      <c r="R1202" s="309">
        <f t="shared" si="311"/>
        <v>1.0998000000000001</v>
      </c>
      <c r="S1202" s="310">
        <f t="shared" si="312"/>
        <v>31381.668794888101</v>
      </c>
      <c r="T1202" s="555">
        <f t="shared" si="313"/>
        <v>2615.1390662406752</v>
      </c>
      <c r="U1202" s="311"/>
      <c r="V1202" s="312">
        <v>12</v>
      </c>
      <c r="W1202" s="299" t="s">
        <v>194</v>
      </c>
      <c r="X1202" s="300">
        <v>44847</v>
      </c>
      <c r="Y1202" s="299" t="s">
        <v>59</v>
      </c>
      <c r="Z1202" s="303">
        <v>928.30285714285708</v>
      </c>
      <c r="AA1202" s="305">
        <f>IF(Z1202=0,0,IF(Y1202="MXN",1/HLOOKUP(YEAR(X1202)+(MONTH(X1202)/100),TC!$5:$37,DAY(X1202)+2,FALSE),VLOOKUP(Y1202,Equivalencia!$1:$23,((MAX(Equivalencia!$3:$3)-YEAR(X1202))*14)+MONTH(X1202)+2,FALSE)))</f>
        <v>1</v>
      </c>
      <c r="AB1202" s="306">
        <f t="shared" si="314"/>
        <v>928.30285714285708</v>
      </c>
      <c r="AC1202" s="305">
        <f>+IF(X1202=0,0,HLOOKUP(YEAR(X1202)+(MONTH(X1202)/100),TC!$5:$37,DAY(X1202)+2,FALSE))</f>
        <v>19.965199999999999</v>
      </c>
      <c r="AD1202" s="307">
        <f t="shared" si="315"/>
        <v>18533.752203428568</v>
      </c>
      <c r="AE1202" s="314">
        <f t="shared" si="316"/>
        <v>31381.668794888101</v>
      </c>
      <c r="AF1202" s="315">
        <f t="shared" si="317"/>
        <v>-12847.916591459532</v>
      </c>
      <c r="AG1202" s="316">
        <f t="shared" si="318"/>
        <v>1.1753424657534246</v>
      </c>
      <c r="AH1202" s="314">
        <v>1</v>
      </c>
      <c r="AI1202" s="314">
        <f t="shared" si="319"/>
        <v>-12847.916591459532</v>
      </c>
      <c r="AJ1202" s="314">
        <f t="shared" si="320"/>
        <v>0</v>
      </c>
      <c r="AK1202" s="317"/>
      <c r="AL1202" s="315">
        <f t="shared" si="321"/>
        <v>-498.13214285714287</v>
      </c>
      <c r="AN1202" s="554">
        <f t="shared" si="322"/>
        <v>-0.34921475065961149</v>
      </c>
      <c r="AO1202" s="314"/>
      <c r="AP1202" s="318"/>
    </row>
    <row r="1203" spans="2:42">
      <c r="B1203" s="296" t="s">
        <v>1254</v>
      </c>
      <c r="C1203" s="299" t="s">
        <v>277</v>
      </c>
      <c r="D1203" s="298" t="s">
        <v>725</v>
      </c>
      <c r="E1203" s="299" t="s">
        <v>106</v>
      </c>
      <c r="F1203" s="299" t="s">
        <v>59</v>
      </c>
      <c r="G1203" s="300">
        <v>44418</v>
      </c>
      <c r="H1203" s="303">
        <v>237.50472727272728</v>
      </c>
      <c r="I1203" s="301" t="str">
        <f t="shared" si="306"/>
        <v>Ingresos Sección I LISR</v>
      </c>
      <c r="J1203" s="302">
        <f t="shared" si="307"/>
        <v>2</v>
      </c>
      <c r="K1203" s="304">
        <f t="shared" si="308"/>
        <v>118.75236363636364</v>
      </c>
      <c r="L1203" s="305">
        <f>IF(H1203=0,0,IF(OR(E1203=$AT$5,E1203=$AT$6),AA1203,IF(F1203="MXN",1/HLOOKUP(YEAR(G1203)+(MONTH(G1203)/100),TC!$5:$37,DAY(G1203)+2,FALSE),VLOOKUP(F1203,Equivalencia!$5:$23,((MAX(Equivalencia!$3:$3)-YEAR(G1203))*14)+MONTH(G1203)+2,FALSE))))</f>
        <v>1</v>
      </c>
      <c r="M1203" s="306">
        <f t="shared" si="309"/>
        <v>237.50472727272728</v>
      </c>
      <c r="N1203" s="305">
        <f>IF(G1203=0,0,(IF(OR(E1203=$AT$5,E1203=$AT$6),AC1203,HLOOKUP(YEAR(G1203)+(MONTH(G1203)/100),TC!$5:$37,DAY(G1203)+2,FALSE))))</f>
        <v>20.003699999999998</v>
      </c>
      <c r="O1203" s="307">
        <f t="shared" si="310"/>
        <v>4750.9733129454544</v>
      </c>
      <c r="P1203" s="560">
        <f>IF(G1203=0,0,VLOOKUP(YEAR(G1203),INPC!$B$4:$P$30,MONTH(G1203)+2))</f>
        <v>113.899</v>
      </c>
      <c r="Q1203" s="560">
        <f>IF(X1203=0,0,IF(OR(E1203=$AT$10,E1203=$AT$9),VLOOKUP(YEAR(X1203),INPC!$B$4:$P$30,MONTH(X1203)+1),VLOOKUP(YEAR(X1203),INPC!$B$4:$P$30,MONTH(X1203)+2,0)))</f>
        <v>125.276</v>
      </c>
      <c r="R1203" s="309">
        <f t="shared" si="311"/>
        <v>1.0998000000000001</v>
      </c>
      <c r="S1203" s="310">
        <f t="shared" si="312"/>
        <v>5225.1204495774109</v>
      </c>
      <c r="T1203" s="555">
        <f t="shared" si="313"/>
        <v>2612.5602247887055</v>
      </c>
      <c r="U1203" s="311"/>
      <c r="V1203" s="312">
        <v>2</v>
      </c>
      <c r="W1203" s="299" t="s">
        <v>194</v>
      </c>
      <c r="X1203" s="300">
        <v>44847</v>
      </c>
      <c r="Y1203" s="299" t="s">
        <v>59</v>
      </c>
      <c r="Z1203" s="303">
        <v>154.71714285714285</v>
      </c>
      <c r="AA1203" s="305">
        <f>IF(Z1203=0,0,IF(Y1203="MXN",1/HLOOKUP(YEAR(X1203)+(MONTH(X1203)/100),TC!$5:$37,DAY(X1203)+2,FALSE),VLOOKUP(Y1203,Equivalencia!$1:$23,((MAX(Equivalencia!$3:$3)-YEAR(X1203))*14)+MONTH(X1203)+2,FALSE)))</f>
        <v>1</v>
      </c>
      <c r="AB1203" s="306">
        <f t="shared" si="314"/>
        <v>154.71714285714285</v>
      </c>
      <c r="AC1203" s="305">
        <f>+IF(X1203=0,0,HLOOKUP(YEAR(X1203)+(MONTH(X1203)/100),TC!$5:$37,DAY(X1203)+2,FALSE))</f>
        <v>19.965199999999999</v>
      </c>
      <c r="AD1203" s="307">
        <f t="shared" si="315"/>
        <v>3088.9587005714284</v>
      </c>
      <c r="AE1203" s="314">
        <f t="shared" si="316"/>
        <v>5225.1204495774109</v>
      </c>
      <c r="AF1203" s="315">
        <f t="shared" si="317"/>
        <v>-2136.1617490059825</v>
      </c>
      <c r="AG1203" s="316">
        <f t="shared" si="318"/>
        <v>1.1753424657534246</v>
      </c>
      <c r="AH1203" s="314">
        <v>1</v>
      </c>
      <c r="AI1203" s="314">
        <f t="shared" si="319"/>
        <v>-2136.1617490059825</v>
      </c>
      <c r="AJ1203" s="314">
        <f t="shared" si="320"/>
        <v>0</v>
      </c>
      <c r="AK1203" s="317"/>
      <c r="AL1203" s="315">
        <f t="shared" si="321"/>
        <v>-82.787584415584433</v>
      </c>
      <c r="AN1203" s="554">
        <f t="shared" si="322"/>
        <v>-0.34857236471137371</v>
      </c>
      <c r="AO1203" s="314"/>
      <c r="AP1203" s="318"/>
    </row>
    <row r="1204" spans="2:42">
      <c r="B1204" s="296" t="s">
        <v>1254</v>
      </c>
      <c r="C1204" s="299" t="s">
        <v>277</v>
      </c>
      <c r="D1204" s="298" t="s">
        <v>725</v>
      </c>
      <c r="E1204" s="299" t="s">
        <v>106</v>
      </c>
      <c r="F1204" s="299" t="s">
        <v>59</v>
      </c>
      <c r="G1204" s="300">
        <v>44418</v>
      </c>
      <c r="H1204" s="303">
        <v>950.01890909090912</v>
      </c>
      <c r="I1204" s="301" t="str">
        <f t="shared" si="306"/>
        <v>Ingresos Sección I LISR</v>
      </c>
      <c r="J1204" s="302">
        <f t="shared" si="307"/>
        <v>8</v>
      </c>
      <c r="K1204" s="304">
        <f t="shared" si="308"/>
        <v>118.75236363636364</v>
      </c>
      <c r="L1204" s="305">
        <f>IF(H1204=0,0,IF(OR(E1204=$AT$5,E1204=$AT$6),AA1204,IF(F1204="MXN",1/HLOOKUP(YEAR(G1204)+(MONTH(G1204)/100),TC!$5:$37,DAY(G1204)+2,FALSE),VLOOKUP(F1204,Equivalencia!$5:$23,((MAX(Equivalencia!$3:$3)-YEAR(G1204))*14)+MONTH(G1204)+2,FALSE))))</f>
        <v>1</v>
      </c>
      <c r="M1204" s="306">
        <f t="shared" si="309"/>
        <v>950.01890909090912</v>
      </c>
      <c r="N1204" s="305">
        <f>IF(G1204=0,0,(IF(OR(E1204=$AT$5,E1204=$AT$6),AC1204,HLOOKUP(YEAR(G1204)+(MONTH(G1204)/100),TC!$5:$37,DAY(G1204)+2,FALSE))))</f>
        <v>20.003699999999998</v>
      </c>
      <c r="O1204" s="307">
        <f t="shared" si="310"/>
        <v>19003.893251781818</v>
      </c>
      <c r="P1204" s="560">
        <f>IF(G1204=0,0,VLOOKUP(YEAR(G1204),INPC!$B$4:$P$30,MONTH(G1204)+2))</f>
        <v>113.899</v>
      </c>
      <c r="Q1204" s="560">
        <f>IF(X1204=0,0,IF(OR(E1204=$AT$10,E1204=$AT$9),VLOOKUP(YEAR(X1204),INPC!$B$4:$P$30,MONTH(X1204)+1),VLOOKUP(YEAR(X1204),INPC!$B$4:$P$30,MONTH(X1204)+2,0)))</f>
        <v>125.276</v>
      </c>
      <c r="R1204" s="309">
        <f t="shared" si="311"/>
        <v>1.0998000000000001</v>
      </c>
      <c r="S1204" s="310">
        <f t="shared" si="312"/>
        <v>20900.481798309644</v>
      </c>
      <c r="T1204" s="555">
        <f t="shared" si="313"/>
        <v>2612.5602247887055</v>
      </c>
      <c r="U1204" s="311"/>
      <c r="V1204" s="312">
        <v>8</v>
      </c>
      <c r="W1204" s="299" t="s">
        <v>194</v>
      </c>
      <c r="X1204" s="300">
        <v>44847</v>
      </c>
      <c r="Y1204" s="299" t="s">
        <v>59</v>
      </c>
      <c r="Z1204" s="303">
        <v>600.63</v>
      </c>
      <c r="AA1204" s="305">
        <f>IF(Z1204=0,0,IF(Y1204="MXN",1/HLOOKUP(YEAR(X1204)+(MONTH(X1204)/100),TC!$5:$37,DAY(X1204)+2,FALSE),VLOOKUP(Y1204,Equivalencia!$1:$23,((MAX(Equivalencia!$3:$3)-YEAR(X1204))*14)+MONTH(X1204)+2,FALSE)))</f>
        <v>1</v>
      </c>
      <c r="AB1204" s="306">
        <f t="shared" si="314"/>
        <v>600.63</v>
      </c>
      <c r="AC1204" s="305">
        <f>+IF(X1204=0,0,HLOOKUP(YEAR(X1204)+(MONTH(X1204)/100),TC!$5:$37,DAY(X1204)+2,FALSE))</f>
        <v>19.965199999999999</v>
      </c>
      <c r="AD1204" s="307">
        <f t="shared" si="315"/>
        <v>11991.698075999999</v>
      </c>
      <c r="AE1204" s="314">
        <f t="shared" si="316"/>
        <v>20900.481798309644</v>
      </c>
      <c r="AF1204" s="315">
        <f t="shared" si="317"/>
        <v>-8908.7837223096449</v>
      </c>
      <c r="AG1204" s="316">
        <f t="shared" si="318"/>
        <v>1.1753424657534246</v>
      </c>
      <c r="AH1204" s="314">
        <v>1</v>
      </c>
      <c r="AI1204" s="314">
        <f t="shared" si="319"/>
        <v>-8908.7837223096449</v>
      </c>
      <c r="AJ1204" s="314">
        <f t="shared" si="320"/>
        <v>0</v>
      </c>
      <c r="AK1204" s="317"/>
      <c r="AL1204" s="315">
        <f t="shared" si="321"/>
        <v>-349.38890909090912</v>
      </c>
      <c r="AN1204" s="554">
        <f t="shared" si="322"/>
        <v>-0.36777047882683295</v>
      </c>
      <c r="AO1204" s="314"/>
      <c r="AP1204" s="318"/>
    </row>
    <row r="1205" spans="2:42">
      <c r="B1205" s="296" t="s">
        <v>1254</v>
      </c>
      <c r="C1205" s="299" t="s">
        <v>277</v>
      </c>
      <c r="D1205" s="298" t="s">
        <v>725</v>
      </c>
      <c r="E1205" s="299" t="s">
        <v>106</v>
      </c>
      <c r="F1205" s="299" t="s">
        <v>59</v>
      </c>
      <c r="G1205" s="300">
        <v>44418</v>
      </c>
      <c r="H1205" s="303">
        <v>831.26654545454551</v>
      </c>
      <c r="I1205" s="301" t="str">
        <f t="shared" si="306"/>
        <v>Ingresos Sección I LISR</v>
      </c>
      <c r="J1205" s="302">
        <f t="shared" si="307"/>
        <v>7</v>
      </c>
      <c r="K1205" s="304">
        <f t="shared" si="308"/>
        <v>118.75236363636364</v>
      </c>
      <c r="L1205" s="305">
        <f>IF(H1205=0,0,IF(OR(E1205=$AT$5,E1205=$AT$6),AA1205,IF(F1205="MXN",1/HLOOKUP(YEAR(G1205)+(MONTH(G1205)/100),TC!$5:$37,DAY(G1205)+2,FALSE),VLOOKUP(F1205,Equivalencia!$5:$23,((MAX(Equivalencia!$3:$3)-YEAR(G1205))*14)+MONTH(G1205)+2,FALSE))))</f>
        <v>1</v>
      </c>
      <c r="M1205" s="306">
        <f t="shared" si="309"/>
        <v>831.26654545454551</v>
      </c>
      <c r="N1205" s="305">
        <f>IF(G1205=0,0,(IF(OR(E1205=$AT$5,E1205=$AT$6),AC1205,HLOOKUP(YEAR(G1205)+(MONTH(G1205)/100),TC!$5:$37,DAY(G1205)+2,FALSE))))</f>
        <v>20.003699999999998</v>
      </c>
      <c r="O1205" s="307">
        <f t="shared" si="310"/>
        <v>16628.40659530909</v>
      </c>
      <c r="P1205" s="560">
        <f>IF(G1205=0,0,VLOOKUP(YEAR(G1205),INPC!$B$4:$P$30,MONTH(G1205)+2))</f>
        <v>113.899</v>
      </c>
      <c r="Q1205" s="560">
        <f>IF(X1205=0,0,IF(OR(E1205=$AT$10,E1205=$AT$9),VLOOKUP(YEAR(X1205),INPC!$B$4:$P$30,MONTH(X1205)+1),VLOOKUP(YEAR(X1205),INPC!$B$4:$P$30,MONTH(X1205)+2,0)))</f>
        <v>125.276</v>
      </c>
      <c r="R1205" s="309">
        <f t="shared" si="311"/>
        <v>1.0998000000000001</v>
      </c>
      <c r="S1205" s="310">
        <f t="shared" si="312"/>
        <v>18287.92157352094</v>
      </c>
      <c r="T1205" s="555">
        <f t="shared" si="313"/>
        <v>2612.5602247887059</v>
      </c>
      <c r="U1205" s="311"/>
      <c r="V1205" s="312">
        <v>7</v>
      </c>
      <c r="W1205" s="299" t="s">
        <v>194</v>
      </c>
      <c r="X1205" s="300">
        <v>44847</v>
      </c>
      <c r="Y1205" s="299" t="s">
        <v>59</v>
      </c>
      <c r="Z1205" s="303">
        <v>525.05999999999995</v>
      </c>
      <c r="AA1205" s="305">
        <f>IF(Z1205=0,0,IF(Y1205="MXN",1/HLOOKUP(YEAR(X1205)+(MONTH(X1205)/100),TC!$5:$37,DAY(X1205)+2,FALSE),VLOOKUP(Y1205,Equivalencia!$1:$23,((MAX(Equivalencia!$3:$3)-YEAR(X1205))*14)+MONTH(X1205)+2,FALSE)))</f>
        <v>1</v>
      </c>
      <c r="AB1205" s="306">
        <f t="shared" si="314"/>
        <v>525.05999999999995</v>
      </c>
      <c r="AC1205" s="305">
        <f>+IF(X1205=0,0,HLOOKUP(YEAR(X1205)+(MONTH(X1205)/100),TC!$5:$37,DAY(X1205)+2,FALSE))</f>
        <v>19.965199999999999</v>
      </c>
      <c r="AD1205" s="307">
        <f t="shared" si="315"/>
        <v>10482.927911999999</v>
      </c>
      <c r="AE1205" s="314">
        <f t="shared" si="316"/>
        <v>18287.92157352094</v>
      </c>
      <c r="AF1205" s="315">
        <f t="shared" si="317"/>
        <v>-7804.9936615209408</v>
      </c>
      <c r="AG1205" s="316">
        <f t="shared" si="318"/>
        <v>1.1753424657534246</v>
      </c>
      <c r="AH1205" s="314">
        <v>1</v>
      </c>
      <c r="AI1205" s="314">
        <f t="shared" si="319"/>
        <v>-7804.9936615209408</v>
      </c>
      <c r="AJ1205" s="314">
        <f t="shared" si="320"/>
        <v>0</v>
      </c>
      <c r="AK1205" s="317"/>
      <c r="AL1205" s="315">
        <f t="shared" si="321"/>
        <v>-306.20654545454556</v>
      </c>
      <c r="AN1205" s="554">
        <f t="shared" si="322"/>
        <v>-0.36836144450768016</v>
      </c>
      <c r="AO1205" s="314"/>
      <c r="AP1205" s="318"/>
    </row>
    <row r="1206" spans="2:42">
      <c r="B1206" s="296" t="s">
        <v>1254</v>
      </c>
      <c r="C1206" s="299" t="s">
        <v>277</v>
      </c>
      <c r="D1206" s="298" t="s">
        <v>725</v>
      </c>
      <c r="E1206" s="299" t="s">
        <v>106</v>
      </c>
      <c r="F1206" s="299" t="s">
        <v>59</v>
      </c>
      <c r="G1206" s="300">
        <v>44418</v>
      </c>
      <c r="H1206" s="303">
        <v>593.76181818181817</v>
      </c>
      <c r="I1206" s="301" t="str">
        <f t="shared" si="306"/>
        <v>Ingresos Sección I LISR</v>
      </c>
      <c r="J1206" s="302">
        <f t="shared" si="307"/>
        <v>5</v>
      </c>
      <c r="K1206" s="304">
        <f t="shared" si="308"/>
        <v>118.75236363636364</v>
      </c>
      <c r="L1206" s="305">
        <f>IF(H1206=0,0,IF(OR(E1206=$AT$5,E1206=$AT$6),AA1206,IF(F1206="MXN",1/HLOOKUP(YEAR(G1206)+(MONTH(G1206)/100),TC!$5:$37,DAY(G1206)+2,FALSE),VLOOKUP(F1206,Equivalencia!$5:$23,((MAX(Equivalencia!$3:$3)-YEAR(G1206))*14)+MONTH(G1206)+2,FALSE))))</f>
        <v>1</v>
      </c>
      <c r="M1206" s="306">
        <f t="shared" si="309"/>
        <v>593.76181818181817</v>
      </c>
      <c r="N1206" s="305">
        <f>IF(G1206=0,0,(IF(OR(E1206=$AT$5,E1206=$AT$6),AC1206,HLOOKUP(YEAR(G1206)+(MONTH(G1206)/100),TC!$5:$37,DAY(G1206)+2,FALSE))))</f>
        <v>20.003699999999998</v>
      </c>
      <c r="O1206" s="307">
        <f t="shared" si="310"/>
        <v>11877.433282363636</v>
      </c>
      <c r="P1206" s="560">
        <f>IF(G1206=0,0,VLOOKUP(YEAR(G1206),INPC!$B$4:$P$30,MONTH(G1206)+2))</f>
        <v>113.899</v>
      </c>
      <c r="Q1206" s="560">
        <f>IF(X1206=0,0,IF(OR(E1206=$AT$10,E1206=$AT$9),VLOOKUP(YEAR(X1206),INPC!$B$4:$P$30,MONTH(X1206)+1),VLOOKUP(YEAR(X1206),INPC!$B$4:$P$30,MONTH(X1206)+2,0)))</f>
        <v>125.276</v>
      </c>
      <c r="R1206" s="309">
        <f t="shared" si="311"/>
        <v>1.0998000000000001</v>
      </c>
      <c r="S1206" s="310">
        <f t="shared" si="312"/>
        <v>13062.801123943527</v>
      </c>
      <c r="T1206" s="555">
        <f t="shared" si="313"/>
        <v>2612.5602247887055</v>
      </c>
      <c r="U1206" s="311"/>
      <c r="V1206" s="312">
        <v>5</v>
      </c>
      <c r="W1206" s="299" t="s">
        <v>194</v>
      </c>
      <c r="X1206" s="300">
        <v>44847</v>
      </c>
      <c r="Y1206" s="299" t="s">
        <v>59</v>
      </c>
      <c r="Z1206" s="303">
        <v>386.99</v>
      </c>
      <c r="AA1206" s="305">
        <f>IF(Z1206=0,0,IF(Y1206="MXN",1/HLOOKUP(YEAR(X1206)+(MONTH(X1206)/100),TC!$5:$37,DAY(X1206)+2,FALSE),VLOOKUP(Y1206,Equivalencia!$1:$23,((MAX(Equivalencia!$3:$3)-YEAR(X1206))*14)+MONTH(X1206)+2,FALSE)))</f>
        <v>1</v>
      </c>
      <c r="AB1206" s="306">
        <f t="shared" si="314"/>
        <v>386.99</v>
      </c>
      <c r="AC1206" s="305">
        <f>+IF(X1206=0,0,HLOOKUP(YEAR(X1206)+(MONTH(X1206)/100),TC!$5:$37,DAY(X1206)+2,FALSE))</f>
        <v>19.965199999999999</v>
      </c>
      <c r="AD1206" s="307">
        <f t="shared" si="315"/>
        <v>7726.3327479999998</v>
      </c>
      <c r="AE1206" s="314">
        <f t="shared" si="316"/>
        <v>13062.801123943527</v>
      </c>
      <c r="AF1206" s="315">
        <f t="shared" si="317"/>
        <v>-5336.4683759435275</v>
      </c>
      <c r="AG1206" s="316">
        <f t="shared" si="318"/>
        <v>1.1753424657534246</v>
      </c>
      <c r="AH1206" s="314">
        <v>1</v>
      </c>
      <c r="AI1206" s="314">
        <f t="shared" si="319"/>
        <v>-5336.4683759435275</v>
      </c>
      <c r="AJ1206" s="314">
        <f t="shared" si="320"/>
        <v>0</v>
      </c>
      <c r="AK1206" s="317"/>
      <c r="AL1206" s="315">
        <f t="shared" si="321"/>
        <v>-206.77181818181816</v>
      </c>
      <c r="AN1206" s="554">
        <f t="shared" si="322"/>
        <v>-0.34824034124488235</v>
      </c>
      <c r="AO1206" s="314"/>
      <c r="AP1206" s="318"/>
    </row>
    <row r="1207" spans="2:42">
      <c r="B1207" s="296" t="s">
        <v>1254</v>
      </c>
      <c r="C1207" s="299" t="s">
        <v>277</v>
      </c>
      <c r="D1207" s="298" t="s">
        <v>725</v>
      </c>
      <c r="E1207" s="299" t="s">
        <v>106</v>
      </c>
      <c r="F1207" s="299" t="s">
        <v>59</v>
      </c>
      <c r="G1207" s="300">
        <v>44418</v>
      </c>
      <c r="H1207" s="303">
        <v>475.00945454545456</v>
      </c>
      <c r="I1207" s="301" t="str">
        <f t="shared" si="306"/>
        <v>Ingresos Sección I LISR</v>
      </c>
      <c r="J1207" s="302">
        <f t="shared" si="307"/>
        <v>4</v>
      </c>
      <c r="K1207" s="304">
        <f t="shared" si="308"/>
        <v>118.75236363636364</v>
      </c>
      <c r="L1207" s="305">
        <f>IF(H1207=0,0,IF(OR(E1207=$AT$5,E1207=$AT$6),AA1207,IF(F1207="MXN",1/HLOOKUP(YEAR(G1207)+(MONTH(G1207)/100),TC!$5:$37,DAY(G1207)+2,FALSE),VLOOKUP(F1207,Equivalencia!$5:$23,((MAX(Equivalencia!$3:$3)-YEAR(G1207))*14)+MONTH(G1207)+2,FALSE))))</f>
        <v>1</v>
      </c>
      <c r="M1207" s="306">
        <f t="shared" si="309"/>
        <v>475.00945454545456</v>
      </c>
      <c r="N1207" s="305">
        <f>IF(G1207=0,0,(IF(OR(E1207=$AT$5,E1207=$AT$6),AC1207,HLOOKUP(YEAR(G1207)+(MONTH(G1207)/100),TC!$5:$37,DAY(G1207)+2,FALSE))))</f>
        <v>20.003699999999998</v>
      </c>
      <c r="O1207" s="307">
        <f t="shared" si="310"/>
        <v>9501.9466258909088</v>
      </c>
      <c r="P1207" s="560">
        <f>IF(G1207=0,0,VLOOKUP(YEAR(G1207),INPC!$B$4:$P$30,MONTH(G1207)+2))</f>
        <v>113.899</v>
      </c>
      <c r="Q1207" s="560">
        <f>IF(X1207=0,0,IF(OR(E1207=$AT$10,E1207=$AT$9),VLOOKUP(YEAR(X1207),INPC!$B$4:$P$30,MONTH(X1207)+1),VLOOKUP(YEAR(X1207),INPC!$B$4:$P$30,MONTH(X1207)+2,0)))</f>
        <v>125.276</v>
      </c>
      <c r="R1207" s="309">
        <f t="shared" si="311"/>
        <v>1.0998000000000001</v>
      </c>
      <c r="S1207" s="310">
        <f t="shared" si="312"/>
        <v>10450.240899154822</v>
      </c>
      <c r="T1207" s="555">
        <f t="shared" si="313"/>
        <v>2612.5602247887055</v>
      </c>
      <c r="U1207" s="311"/>
      <c r="V1207" s="312">
        <v>4</v>
      </c>
      <c r="W1207" s="299" t="s">
        <v>194</v>
      </c>
      <c r="X1207" s="300">
        <v>44847</v>
      </c>
      <c r="Y1207" s="299" t="s">
        <v>59</v>
      </c>
      <c r="Z1207" s="303">
        <v>301.12</v>
      </c>
      <c r="AA1207" s="305">
        <f>IF(Z1207=0,0,IF(Y1207="MXN",1/HLOOKUP(YEAR(X1207)+(MONTH(X1207)/100),TC!$5:$37,DAY(X1207)+2,FALSE),VLOOKUP(Y1207,Equivalencia!$1:$23,((MAX(Equivalencia!$3:$3)-YEAR(X1207))*14)+MONTH(X1207)+2,FALSE)))</f>
        <v>1</v>
      </c>
      <c r="AB1207" s="306">
        <f t="shared" si="314"/>
        <v>301.12</v>
      </c>
      <c r="AC1207" s="305">
        <f>+IF(X1207=0,0,HLOOKUP(YEAR(X1207)+(MONTH(X1207)/100),TC!$5:$37,DAY(X1207)+2,FALSE))</f>
        <v>19.965199999999999</v>
      </c>
      <c r="AD1207" s="307">
        <f t="shared" si="315"/>
        <v>6011.9210240000002</v>
      </c>
      <c r="AE1207" s="314">
        <f t="shared" si="316"/>
        <v>10450.240899154822</v>
      </c>
      <c r="AF1207" s="315">
        <f t="shared" si="317"/>
        <v>-4438.3198751548216</v>
      </c>
      <c r="AG1207" s="316">
        <f t="shared" si="318"/>
        <v>1.1753424657534246</v>
      </c>
      <c r="AH1207" s="314">
        <v>1</v>
      </c>
      <c r="AI1207" s="314">
        <f t="shared" si="319"/>
        <v>-4438.3198751548216</v>
      </c>
      <c r="AJ1207" s="314">
        <f t="shared" si="320"/>
        <v>0</v>
      </c>
      <c r="AK1207" s="317"/>
      <c r="AL1207" s="315">
        <f t="shared" si="321"/>
        <v>-173.88945454545456</v>
      </c>
      <c r="AN1207" s="554">
        <f t="shared" si="322"/>
        <v>-0.36607577571661731</v>
      </c>
      <c r="AO1207" s="314"/>
      <c r="AP1207" s="318"/>
    </row>
    <row r="1208" spans="2:42">
      <c r="B1208" s="296" t="s">
        <v>1254</v>
      </c>
      <c r="C1208" s="299" t="s">
        <v>277</v>
      </c>
      <c r="D1208" s="298" t="s">
        <v>725</v>
      </c>
      <c r="E1208" s="299" t="s">
        <v>106</v>
      </c>
      <c r="F1208" s="299" t="s">
        <v>59</v>
      </c>
      <c r="G1208" s="300">
        <v>44418</v>
      </c>
      <c r="H1208" s="303">
        <v>356.25709090909095</v>
      </c>
      <c r="I1208" s="301" t="str">
        <f t="shared" si="306"/>
        <v>Ingresos Sección I LISR</v>
      </c>
      <c r="J1208" s="302">
        <f t="shared" si="307"/>
        <v>3</v>
      </c>
      <c r="K1208" s="304">
        <f t="shared" si="308"/>
        <v>118.75236363636365</v>
      </c>
      <c r="L1208" s="305">
        <f>IF(H1208=0,0,IF(OR(E1208=$AT$5,E1208=$AT$6),AA1208,IF(F1208="MXN",1/HLOOKUP(YEAR(G1208)+(MONTH(G1208)/100),TC!$5:$37,DAY(G1208)+2,FALSE),VLOOKUP(F1208,Equivalencia!$5:$23,((MAX(Equivalencia!$3:$3)-YEAR(G1208))*14)+MONTH(G1208)+2,FALSE))))</f>
        <v>1</v>
      </c>
      <c r="M1208" s="306">
        <f t="shared" si="309"/>
        <v>356.25709090909095</v>
      </c>
      <c r="N1208" s="305">
        <f>IF(G1208=0,0,(IF(OR(E1208=$AT$5,E1208=$AT$6),AC1208,HLOOKUP(YEAR(G1208)+(MONTH(G1208)/100),TC!$5:$37,DAY(G1208)+2,FALSE))))</f>
        <v>20.003699999999998</v>
      </c>
      <c r="O1208" s="307">
        <f t="shared" si="310"/>
        <v>7126.4599694181825</v>
      </c>
      <c r="P1208" s="560">
        <f>IF(G1208=0,0,VLOOKUP(YEAR(G1208),INPC!$B$4:$P$30,MONTH(G1208)+2))</f>
        <v>113.899</v>
      </c>
      <c r="Q1208" s="560">
        <f>IF(X1208=0,0,IF(OR(E1208=$AT$10,E1208=$AT$9),VLOOKUP(YEAR(X1208),INPC!$B$4:$P$30,MONTH(X1208)+1),VLOOKUP(YEAR(X1208),INPC!$B$4:$P$30,MONTH(X1208)+2,0)))</f>
        <v>125.276</v>
      </c>
      <c r="R1208" s="309">
        <f t="shared" si="311"/>
        <v>1.0998000000000001</v>
      </c>
      <c r="S1208" s="310">
        <f t="shared" si="312"/>
        <v>7837.6806743661182</v>
      </c>
      <c r="T1208" s="555">
        <f t="shared" si="313"/>
        <v>2612.5602247887059</v>
      </c>
      <c r="U1208" s="311"/>
      <c r="V1208" s="312">
        <v>3</v>
      </c>
      <c r="W1208" s="299" t="s">
        <v>194</v>
      </c>
      <c r="X1208" s="300">
        <v>44847</v>
      </c>
      <c r="Y1208" s="299" t="s">
        <v>59</v>
      </c>
      <c r="Z1208" s="303">
        <v>232.07</v>
      </c>
      <c r="AA1208" s="305">
        <f>IF(Z1208=0,0,IF(Y1208="MXN",1/HLOOKUP(YEAR(X1208)+(MONTH(X1208)/100),TC!$5:$37,DAY(X1208)+2,FALSE),VLOOKUP(Y1208,Equivalencia!$1:$23,((MAX(Equivalencia!$3:$3)-YEAR(X1208))*14)+MONTH(X1208)+2,FALSE)))</f>
        <v>1</v>
      </c>
      <c r="AB1208" s="306">
        <f t="shared" si="314"/>
        <v>232.07</v>
      </c>
      <c r="AC1208" s="305">
        <f>+IF(X1208=0,0,HLOOKUP(YEAR(X1208)+(MONTH(X1208)/100),TC!$5:$37,DAY(X1208)+2,FALSE))</f>
        <v>19.965199999999999</v>
      </c>
      <c r="AD1208" s="307">
        <f t="shared" si="315"/>
        <v>4633.3239640000002</v>
      </c>
      <c r="AE1208" s="314">
        <f t="shared" si="316"/>
        <v>7837.6806743661182</v>
      </c>
      <c r="AF1208" s="315">
        <f t="shared" si="317"/>
        <v>-3204.356710366118</v>
      </c>
      <c r="AG1208" s="316">
        <f t="shared" si="318"/>
        <v>1.1753424657534246</v>
      </c>
      <c r="AH1208" s="314">
        <v>1</v>
      </c>
      <c r="AI1208" s="314">
        <f t="shared" si="319"/>
        <v>-3204.356710366118</v>
      </c>
      <c r="AJ1208" s="314">
        <f t="shared" si="320"/>
        <v>0</v>
      </c>
      <c r="AK1208" s="317"/>
      <c r="AL1208" s="315">
        <f t="shared" si="321"/>
        <v>-124.18709090909095</v>
      </c>
      <c r="AN1208" s="554">
        <f t="shared" si="322"/>
        <v>-0.34858840449236361</v>
      </c>
      <c r="AO1208" s="314"/>
      <c r="AP1208" s="318"/>
    </row>
    <row r="1209" spans="2:42">
      <c r="B1209" s="296" t="s">
        <v>1254</v>
      </c>
      <c r="C1209" s="299" t="s">
        <v>277</v>
      </c>
      <c r="D1209" s="298" t="s">
        <v>725</v>
      </c>
      <c r="E1209" s="299" t="s">
        <v>106</v>
      </c>
      <c r="F1209" s="299" t="s">
        <v>59</v>
      </c>
      <c r="G1209" s="300">
        <v>44418</v>
      </c>
      <c r="H1209" s="303">
        <v>237.50472727272728</v>
      </c>
      <c r="I1209" s="301" t="str">
        <f t="shared" si="306"/>
        <v>Ingresos Sección I LISR</v>
      </c>
      <c r="J1209" s="302">
        <f t="shared" si="307"/>
        <v>2</v>
      </c>
      <c r="K1209" s="304">
        <f t="shared" si="308"/>
        <v>118.75236363636364</v>
      </c>
      <c r="L1209" s="305">
        <f>IF(H1209=0,0,IF(OR(E1209=$AT$5,E1209=$AT$6),AA1209,IF(F1209="MXN",1/HLOOKUP(YEAR(G1209)+(MONTH(G1209)/100),TC!$5:$37,DAY(G1209)+2,FALSE),VLOOKUP(F1209,Equivalencia!$5:$23,((MAX(Equivalencia!$3:$3)-YEAR(G1209))*14)+MONTH(G1209)+2,FALSE))))</f>
        <v>1</v>
      </c>
      <c r="M1209" s="306">
        <f t="shared" si="309"/>
        <v>237.50472727272728</v>
      </c>
      <c r="N1209" s="305">
        <f>IF(G1209=0,0,(IF(OR(E1209=$AT$5,E1209=$AT$6),AC1209,HLOOKUP(YEAR(G1209)+(MONTH(G1209)/100),TC!$5:$37,DAY(G1209)+2,FALSE))))</f>
        <v>20.003699999999998</v>
      </c>
      <c r="O1209" s="307">
        <f t="shared" si="310"/>
        <v>4750.9733129454544</v>
      </c>
      <c r="P1209" s="560">
        <f>IF(G1209=0,0,VLOOKUP(YEAR(G1209),INPC!$B$4:$P$30,MONTH(G1209)+2))</f>
        <v>113.899</v>
      </c>
      <c r="Q1209" s="560">
        <f>IF(X1209=0,0,IF(OR(E1209=$AT$10,E1209=$AT$9),VLOOKUP(YEAR(X1209),INPC!$B$4:$P$30,MONTH(X1209)+1),VLOOKUP(YEAR(X1209),INPC!$B$4:$P$30,MONTH(X1209)+2,0)))</f>
        <v>125.276</v>
      </c>
      <c r="R1209" s="309">
        <f t="shared" si="311"/>
        <v>1.0998000000000001</v>
      </c>
      <c r="S1209" s="310">
        <f t="shared" si="312"/>
        <v>5225.1204495774109</v>
      </c>
      <c r="T1209" s="555">
        <f t="shared" si="313"/>
        <v>2612.5602247887055</v>
      </c>
      <c r="U1209" s="311"/>
      <c r="V1209" s="312">
        <v>2</v>
      </c>
      <c r="W1209" s="299" t="s">
        <v>194</v>
      </c>
      <c r="X1209" s="300">
        <v>44847</v>
      </c>
      <c r="Y1209" s="299" t="s">
        <v>59</v>
      </c>
      <c r="Z1209" s="303">
        <v>150.02000000000001</v>
      </c>
      <c r="AA1209" s="305">
        <f>IF(Z1209=0,0,IF(Y1209="MXN",1/HLOOKUP(YEAR(X1209)+(MONTH(X1209)/100),TC!$5:$37,DAY(X1209)+2,FALSE),VLOOKUP(Y1209,Equivalencia!$1:$23,((MAX(Equivalencia!$3:$3)-YEAR(X1209))*14)+MONTH(X1209)+2,FALSE)))</f>
        <v>1</v>
      </c>
      <c r="AB1209" s="306">
        <f t="shared" si="314"/>
        <v>150.02000000000001</v>
      </c>
      <c r="AC1209" s="305">
        <f>+IF(X1209=0,0,HLOOKUP(YEAR(X1209)+(MONTH(X1209)/100),TC!$5:$37,DAY(X1209)+2,FALSE))</f>
        <v>19.965199999999999</v>
      </c>
      <c r="AD1209" s="307">
        <f t="shared" si="315"/>
        <v>2995.1793040000002</v>
      </c>
      <c r="AE1209" s="314">
        <f t="shared" si="316"/>
        <v>5225.1204495774109</v>
      </c>
      <c r="AF1209" s="315">
        <f t="shared" si="317"/>
        <v>-2229.9411455774107</v>
      </c>
      <c r="AG1209" s="316">
        <f t="shared" si="318"/>
        <v>1.1753424657534246</v>
      </c>
      <c r="AH1209" s="314">
        <v>1</v>
      </c>
      <c r="AI1209" s="314">
        <f t="shared" si="319"/>
        <v>-2229.9411455774107</v>
      </c>
      <c r="AJ1209" s="314">
        <f t="shared" si="320"/>
        <v>0</v>
      </c>
      <c r="AK1209" s="317"/>
      <c r="AL1209" s="315">
        <f t="shared" si="321"/>
        <v>-87.48472727272727</v>
      </c>
      <c r="AN1209" s="554">
        <f t="shared" si="322"/>
        <v>-0.3683494146719376</v>
      </c>
      <c r="AO1209" s="314"/>
      <c r="AP1209" s="318"/>
    </row>
    <row r="1210" spans="2:42">
      <c r="B1210" s="296" t="s">
        <v>1254</v>
      </c>
      <c r="C1210" s="299" t="s">
        <v>277</v>
      </c>
      <c r="D1210" s="298" t="s">
        <v>725</v>
      </c>
      <c r="E1210" s="299" t="s">
        <v>106</v>
      </c>
      <c r="F1210" s="299" t="s">
        <v>59</v>
      </c>
      <c r="G1210" s="300">
        <v>44418</v>
      </c>
      <c r="H1210" s="303">
        <v>237.50472727272728</v>
      </c>
      <c r="I1210" s="301" t="str">
        <f t="shared" si="306"/>
        <v>Ingresos Sección I LISR</v>
      </c>
      <c r="J1210" s="302">
        <f t="shared" si="307"/>
        <v>2</v>
      </c>
      <c r="K1210" s="304">
        <f t="shared" si="308"/>
        <v>118.75236363636364</v>
      </c>
      <c r="L1210" s="305">
        <f>IF(H1210=0,0,IF(OR(E1210=$AT$5,E1210=$AT$6),AA1210,IF(F1210="MXN",1/HLOOKUP(YEAR(G1210)+(MONTH(G1210)/100),TC!$5:$37,DAY(G1210)+2,FALSE),VLOOKUP(F1210,Equivalencia!$5:$23,((MAX(Equivalencia!$3:$3)-YEAR(G1210))*14)+MONTH(G1210)+2,FALSE))))</f>
        <v>1</v>
      </c>
      <c r="M1210" s="306">
        <f t="shared" si="309"/>
        <v>237.50472727272728</v>
      </c>
      <c r="N1210" s="305">
        <f>IF(G1210=0,0,(IF(OR(E1210=$AT$5,E1210=$AT$6),AC1210,HLOOKUP(YEAR(G1210)+(MONTH(G1210)/100),TC!$5:$37,DAY(G1210)+2,FALSE))))</f>
        <v>20.003699999999998</v>
      </c>
      <c r="O1210" s="307">
        <f t="shared" si="310"/>
        <v>4750.9733129454544</v>
      </c>
      <c r="P1210" s="560">
        <f>IF(G1210=0,0,VLOOKUP(YEAR(G1210),INPC!$B$4:$P$30,MONTH(G1210)+2))</f>
        <v>113.899</v>
      </c>
      <c r="Q1210" s="560">
        <f>IF(X1210=0,0,IF(OR(E1210=$AT$10,E1210=$AT$9),VLOOKUP(YEAR(X1210),INPC!$B$4:$P$30,MONTH(X1210)+1),VLOOKUP(YEAR(X1210),INPC!$B$4:$P$30,MONTH(X1210)+2,0)))</f>
        <v>125.276</v>
      </c>
      <c r="R1210" s="309">
        <f t="shared" si="311"/>
        <v>1.0998000000000001</v>
      </c>
      <c r="S1210" s="310">
        <f t="shared" si="312"/>
        <v>5225.1204495774109</v>
      </c>
      <c r="T1210" s="555">
        <f t="shared" si="313"/>
        <v>2612.5602247887055</v>
      </c>
      <c r="U1210" s="311"/>
      <c r="V1210" s="312">
        <v>2</v>
      </c>
      <c r="W1210" s="299" t="s">
        <v>194</v>
      </c>
      <c r="X1210" s="300">
        <v>44847</v>
      </c>
      <c r="Y1210" s="299" t="s">
        <v>59</v>
      </c>
      <c r="Z1210" s="303">
        <v>150.16</v>
      </c>
      <c r="AA1210" s="305">
        <f>IF(Z1210=0,0,IF(Y1210="MXN",1/HLOOKUP(YEAR(X1210)+(MONTH(X1210)/100),TC!$5:$37,DAY(X1210)+2,FALSE),VLOOKUP(Y1210,Equivalencia!$1:$23,((MAX(Equivalencia!$3:$3)-YEAR(X1210))*14)+MONTH(X1210)+2,FALSE)))</f>
        <v>1</v>
      </c>
      <c r="AB1210" s="306">
        <f t="shared" si="314"/>
        <v>150.16</v>
      </c>
      <c r="AC1210" s="305">
        <f>+IF(X1210=0,0,HLOOKUP(YEAR(X1210)+(MONTH(X1210)/100),TC!$5:$37,DAY(X1210)+2,FALSE))</f>
        <v>19.965199999999999</v>
      </c>
      <c r="AD1210" s="307">
        <f t="shared" si="315"/>
        <v>2997.974432</v>
      </c>
      <c r="AE1210" s="314">
        <f t="shared" si="316"/>
        <v>5225.1204495774109</v>
      </c>
      <c r="AF1210" s="315">
        <f t="shared" si="317"/>
        <v>-2227.1460175774109</v>
      </c>
      <c r="AG1210" s="316">
        <f t="shared" si="318"/>
        <v>1.1753424657534246</v>
      </c>
      <c r="AH1210" s="314">
        <v>1</v>
      </c>
      <c r="AI1210" s="314">
        <f t="shared" si="319"/>
        <v>-2227.1460175774109</v>
      </c>
      <c r="AJ1210" s="314">
        <f t="shared" si="320"/>
        <v>0</v>
      </c>
      <c r="AK1210" s="317"/>
      <c r="AL1210" s="315">
        <f t="shared" si="321"/>
        <v>-87.344727272727283</v>
      </c>
      <c r="AN1210" s="554">
        <f t="shared" si="322"/>
        <v>-0.36775995272055834</v>
      </c>
      <c r="AO1210" s="314"/>
      <c r="AP1210" s="318"/>
    </row>
    <row r="1211" spans="2:42">
      <c r="B1211" s="296" t="s">
        <v>1254</v>
      </c>
      <c r="C1211" s="299" t="s">
        <v>277</v>
      </c>
      <c r="D1211" s="298" t="s">
        <v>725</v>
      </c>
      <c r="E1211" s="299" t="s">
        <v>106</v>
      </c>
      <c r="F1211" s="299" t="s">
        <v>59</v>
      </c>
      <c r="G1211" s="300">
        <v>44418</v>
      </c>
      <c r="H1211" s="303">
        <v>950.01890909090912</v>
      </c>
      <c r="I1211" s="301" t="str">
        <f t="shared" si="306"/>
        <v>Ingresos Sección I LISR</v>
      </c>
      <c r="J1211" s="302">
        <f t="shared" si="307"/>
        <v>8</v>
      </c>
      <c r="K1211" s="304">
        <f t="shared" si="308"/>
        <v>118.75236363636364</v>
      </c>
      <c r="L1211" s="305">
        <f>IF(H1211=0,0,IF(OR(E1211=$AT$5,E1211=$AT$6),AA1211,IF(F1211="MXN",1/HLOOKUP(YEAR(G1211)+(MONTH(G1211)/100),TC!$5:$37,DAY(G1211)+2,FALSE),VLOOKUP(F1211,Equivalencia!$5:$23,((MAX(Equivalencia!$3:$3)-YEAR(G1211))*14)+MONTH(G1211)+2,FALSE))))</f>
        <v>1</v>
      </c>
      <c r="M1211" s="306">
        <f t="shared" si="309"/>
        <v>950.01890909090912</v>
      </c>
      <c r="N1211" s="305">
        <f>IF(G1211=0,0,(IF(OR(E1211=$AT$5,E1211=$AT$6),AC1211,HLOOKUP(YEAR(G1211)+(MONTH(G1211)/100),TC!$5:$37,DAY(G1211)+2,FALSE))))</f>
        <v>20.003699999999998</v>
      </c>
      <c r="O1211" s="307">
        <f t="shared" si="310"/>
        <v>19003.893251781818</v>
      </c>
      <c r="P1211" s="560">
        <f>IF(G1211=0,0,VLOOKUP(YEAR(G1211),INPC!$B$4:$P$30,MONTH(G1211)+2))</f>
        <v>113.899</v>
      </c>
      <c r="Q1211" s="560">
        <f>IF(X1211=0,0,IF(OR(E1211=$AT$10,E1211=$AT$9),VLOOKUP(YEAR(X1211),INPC!$B$4:$P$30,MONTH(X1211)+1),VLOOKUP(YEAR(X1211),INPC!$B$4:$P$30,MONTH(X1211)+2,0)))</f>
        <v>125.276</v>
      </c>
      <c r="R1211" s="309">
        <f t="shared" si="311"/>
        <v>1.0998000000000001</v>
      </c>
      <c r="S1211" s="310">
        <f t="shared" si="312"/>
        <v>20900.481798309644</v>
      </c>
      <c r="T1211" s="555">
        <f t="shared" si="313"/>
        <v>2612.5602247887055</v>
      </c>
      <c r="U1211" s="311"/>
      <c r="V1211" s="312">
        <v>8</v>
      </c>
      <c r="W1211" s="299" t="s">
        <v>194</v>
      </c>
      <c r="X1211" s="300">
        <v>44848</v>
      </c>
      <c r="Y1211" s="299" t="s">
        <v>59</v>
      </c>
      <c r="Z1211" s="303">
        <v>606.54</v>
      </c>
      <c r="AA1211" s="305">
        <f>IF(Z1211=0,0,IF(Y1211="MXN",1/HLOOKUP(YEAR(X1211)+(MONTH(X1211)/100),TC!$5:$37,DAY(X1211)+2,FALSE),VLOOKUP(Y1211,Equivalencia!$1:$23,((MAX(Equivalencia!$3:$3)-YEAR(X1211))*14)+MONTH(X1211)+2,FALSE)))</f>
        <v>1</v>
      </c>
      <c r="AB1211" s="306">
        <f t="shared" si="314"/>
        <v>606.54</v>
      </c>
      <c r="AC1211" s="305">
        <f>+IF(X1211=0,0,HLOOKUP(YEAR(X1211)+(MONTH(X1211)/100),TC!$5:$37,DAY(X1211)+2,FALSE))</f>
        <v>20.0352</v>
      </c>
      <c r="AD1211" s="307">
        <f t="shared" si="315"/>
        <v>12152.150207999999</v>
      </c>
      <c r="AE1211" s="314">
        <f t="shared" si="316"/>
        <v>20900.481798309644</v>
      </c>
      <c r="AF1211" s="315">
        <f t="shared" si="317"/>
        <v>-8748.3315903096445</v>
      </c>
      <c r="AG1211" s="316">
        <f t="shared" si="318"/>
        <v>1.178082191780822</v>
      </c>
      <c r="AH1211" s="314">
        <v>1</v>
      </c>
      <c r="AI1211" s="314">
        <f t="shared" si="319"/>
        <v>-8748.3315903096445</v>
      </c>
      <c r="AJ1211" s="314">
        <f t="shared" si="320"/>
        <v>0</v>
      </c>
      <c r="AK1211" s="317"/>
      <c r="AL1211" s="315">
        <f t="shared" si="321"/>
        <v>-343.47890909090916</v>
      </c>
      <c r="AN1211" s="554">
        <f t="shared" si="322"/>
        <v>-0.36154955001852601</v>
      </c>
      <c r="AO1211" s="314"/>
      <c r="AP1211" s="318"/>
    </row>
    <row r="1212" spans="2:42">
      <c r="B1212" s="296" t="s">
        <v>1254</v>
      </c>
      <c r="C1212" s="299" t="s">
        <v>277</v>
      </c>
      <c r="D1212" s="298" t="s">
        <v>725</v>
      </c>
      <c r="E1212" s="299" t="s">
        <v>106</v>
      </c>
      <c r="F1212" s="299" t="s">
        <v>59</v>
      </c>
      <c r="G1212" s="300">
        <v>44418</v>
      </c>
      <c r="H1212" s="303">
        <v>950.01890909090912</v>
      </c>
      <c r="I1212" s="301" t="str">
        <f t="shared" ref="I1212:I1275" si="323">IF(D1212=0,0,IF(OR(E1212=$AT$9,E1212=$AT$10),"Ingresos Sección II LISR (SIC &amp; BMV)","Ingresos Sección I LISR"))</f>
        <v>Ingresos Sección I LISR</v>
      </c>
      <c r="J1212" s="302">
        <f t="shared" ref="J1212:J1275" si="324">+V1212</f>
        <v>8</v>
      </c>
      <c r="K1212" s="304">
        <f t="shared" ref="K1212:K1275" si="325">IF(H1212=0,0,H1212/J1212)</f>
        <v>118.75236363636364</v>
      </c>
      <c r="L1212" s="305">
        <f>IF(H1212=0,0,IF(OR(E1212=$AT$5,E1212=$AT$6),AA1212,IF(F1212="MXN",1/HLOOKUP(YEAR(G1212)+(MONTH(G1212)/100),TC!$5:$37,DAY(G1212)+2,FALSE),VLOOKUP(F1212,Equivalencia!$5:$23,((MAX(Equivalencia!$3:$3)-YEAR(G1212))*14)+MONTH(G1212)+2,FALSE))))</f>
        <v>1</v>
      </c>
      <c r="M1212" s="306">
        <f t="shared" ref="M1212:M1275" si="326">+H1212*L1212</f>
        <v>950.01890909090912</v>
      </c>
      <c r="N1212" s="305">
        <f>IF(G1212=0,0,(IF(OR(E1212=$AT$5,E1212=$AT$6),AC1212,HLOOKUP(YEAR(G1212)+(MONTH(G1212)/100),TC!$5:$37,DAY(G1212)+2,FALSE))))</f>
        <v>20.003699999999998</v>
      </c>
      <c r="O1212" s="307">
        <f t="shared" ref="O1212:O1275" si="327">+M1212*N1212</f>
        <v>19003.893251781818</v>
      </c>
      <c r="P1212" s="560">
        <f>IF(G1212=0,0,VLOOKUP(YEAR(G1212),INPC!$B$4:$P$30,MONTH(G1212)+2))</f>
        <v>113.899</v>
      </c>
      <c r="Q1212" s="560">
        <f>IF(X1212=0,0,IF(OR(E1212=$AT$10,E1212=$AT$9),VLOOKUP(YEAR(X1212),INPC!$B$4:$P$30,MONTH(X1212)+1),VLOOKUP(YEAR(X1212),INPC!$B$4:$P$30,MONTH(X1212)+2,0)))</f>
        <v>125.276</v>
      </c>
      <c r="R1212" s="309">
        <f t="shared" ref="R1212:R1275" si="328">IF(H1212=0,0,IF(OR(E1212=$AT$5,E1212=$AT$6),1,IF(TRUNC(Q1212/P1212,4)&gt;=1,TRUNC(Q1212/P1212,4),1)))</f>
        <v>1.0998000000000001</v>
      </c>
      <c r="S1212" s="310">
        <f t="shared" ref="S1212:S1275" si="329">+R1212*O1212</f>
        <v>20900.481798309644</v>
      </c>
      <c r="T1212" s="555">
        <f t="shared" ref="T1212:T1275" si="330">IF(V1212=0,0,S1212/V1212)</f>
        <v>2612.5602247887055</v>
      </c>
      <c r="U1212" s="311"/>
      <c r="V1212" s="312">
        <v>8</v>
      </c>
      <c r="W1212" s="299" t="s">
        <v>194</v>
      </c>
      <c r="X1212" s="300">
        <v>44848</v>
      </c>
      <c r="Y1212" s="299" t="s">
        <v>59</v>
      </c>
      <c r="Z1212" s="303">
        <v>609.70000000000005</v>
      </c>
      <c r="AA1212" s="305">
        <f>IF(Z1212=0,0,IF(Y1212="MXN",1/HLOOKUP(YEAR(X1212)+(MONTH(X1212)/100),TC!$5:$37,DAY(X1212)+2,FALSE),VLOOKUP(Y1212,Equivalencia!$1:$23,((MAX(Equivalencia!$3:$3)-YEAR(X1212))*14)+MONTH(X1212)+2,FALSE)))</f>
        <v>1</v>
      </c>
      <c r="AB1212" s="306">
        <f t="shared" ref="AB1212:AB1275" si="331">+AA1212*Z1212</f>
        <v>609.70000000000005</v>
      </c>
      <c r="AC1212" s="305">
        <f>+IF(X1212=0,0,HLOOKUP(YEAR(X1212)+(MONTH(X1212)/100),TC!$5:$37,DAY(X1212)+2,FALSE))</f>
        <v>20.0352</v>
      </c>
      <c r="AD1212" s="307">
        <f t="shared" ref="AD1212:AD1275" si="332">+AC1212*AB1212</f>
        <v>12215.461440000001</v>
      </c>
      <c r="AE1212" s="314">
        <f t="shared" ref="AE1212:AE1275" si="333">+V1212*T1212</f>
        <v>20900.481798309644</v>
      </c>
      <c r="AF1212" s="315">
        <f t="shared" ref="AF1212:AF1275" si="334">IF(E1212=$AT$11,0,AD1212-AE1212)</f>
        <v>-8685.0203583096427</v>
      </c>
      <c r="AG1212" s="316">
        <f t="shared" ref="AG1212:AG1275" si="335">+IF(AND(AF1212&lt;0,OR(E1212=$AT$5,E1212=$AT$6)),1,((X1212-G1212)/365))</f>
        <v>1.178082191780822</v>
      </c>
      <c r="AH1212" s="314">
        <v>1</v>
      </c>
      <c r="AI1212" s="314">
        <f t="shared" ref="AI1212:AI1275" si="336">+IF(OR(E1212=$AT$9,E1212=$AT$10),AF1212,+AF1212/AH1212)</f>
        <v>-8685.0203583096427</v>
      </c>
      <c r="AJ1212" s="314">
        <f t="shared" ref="AJ1212:AJ1275" si="337">+AF1212-AI1212</f>
        <v>0</v>
      </c>
      <c r="AK1212" s="317"/>
      <c r="AL1212" s="315">
        <f t="shared" ref="AL1212:AL1275" si="338">+AB1212-M1212</f>
        <v>-340.31890909090907</v>
      </c>
      <c r="AN1212" s="554">
        <f t="shared" ref="AN1212:AN1275" si="339">IF(AL1212=0,0,AL1212/H1212)</f>
        <v>-0.35822330043574252</v>
      </c>
      <c r="AO1212" s="314"/>
      <c r="AP1212" s="318"/>
    </row>
    <row r="1213" spans="2:42">
      <c r="B1213" s="296" t="s">
        <v>1254</v>
      </c>
      <c r="C1213" s="299" t="s">
        <v>277</v>
      </c>
      <c r="D1213" s="298" t="s">
        <v>725</v>
      </c>
      <c r="E1213" s="299" t="s">
        <v>106</v>
      </c>
      <c r="F1213" s="299" t="s">
        <v>59</v>
      </c>
      <c r="G1213" s="300">
        <v>44418</v>
      </c>
      <c r="H1213" s="303">
        <v>712.5141818181819</v>
      </c>
      <c r="I1213" s="301" t="str">
        <f t="shared" si="323"/>
        <v>Ingresos Sección I LISR</v>
      </c>
      <c r="J1213" s="302">
        <f t="shared" si="324"/>
        <v>6</v>
      </c>
      <c r="K1213" s="304">
        <f t="shared" si="325"/>
        <v>118.75236363636365</v>
      </c>
      <c r="L1213" s="305">
        <f>IF(H1213=0,0,IF(OR(E1213=$AT$5,E1213=$AT$6),AA1213,IF(F1213="MXN",1/HLOOKUP(YEAR(G1213)+(MONTH(G1213)/100),TC!$5:$37,DAY(G1213)+2,FALSE),VLOOKUP(F1213,Equivalencia!$5:$23,((MAX(Equivalencia!$3:$3)-YEAR(G1213))*14)+MONTH(G1213)+2,FALSE))))</f>
        <v>1</v>
      </c>
      <c r="M1213" s="306">
        <f t="shared" si="326"/>
        <v>712.5141818181819</v>
      </c>
      <c r="N1213" s="305">
        <f>IF(G1213=0,0,(IF(OR(E1213=$AT$5,E1213=$AT$6),AC1213,HLOOKUP(YEAR(G1213)+(MONTH(G1213)/100),TC!$5:$37,DAY(G1213)+2,FALSE))))</f>
        <v>20.003699999999998</v>
      </c>
      <c r="O1213" s="307">
        <f t="shared" si="327"/>
        <v>14252.919938836365</v>
      </c>
      <c r="P1213" s="560">
        <f>IF(G1213=0,0,VLOOKUP(YEAR(G1213),INPC!$B$4:$P$30,MONTH(G1213)+2))</f>
        <v>113.899</v>
      </c>
      <c r="Q1213" s="560">
        <f>IF(X1213=0,0,IF(OR(E1213=$AT$10,E1213=$AT$9),VLOOKUP(YEAR(X1213),INPC!$B$4:$P$30,MONTH(X1213)+1),VLOOKUP(YEAR(X1213),INPC!$B$4:$P$30,MONTH(X1213)+2,0)))</f>
        <v>125.276</v>
      </c>
      <c r="R1213" s="309">
        <f t="shared" si="328"/>
        <v>1.0998000000000001</v>
      </c>
      <c r="S1213" s="310">
        <f t="shared" si="329"/>
        <v>15675.361348732236</v>
      </c>
      <c r="T1213" s="555">
        <f t="shared" si="330"/>
        <v>2612.5602247887059</v>
      </c>
      <c r="U1213" s="311"/>
      <c r="V1213" s="312">
        <v>6</v>
      </c>
      <c r="W1213" s="299" t="s">
        <v>194</v>
      </c>
      <c r="X1213" s="300">
        <v>44848</v>
      </c>
      <c r="Y1213" s="299" t="s">
        <v>59</v>
      </c>
      <c r="Z1213" s="303">
        <v>454.07142857142856</v>
      </c>
      <c r="AA1213" s="305">
        <f>IF(Z1213=0,0,IF(Y1213="MXN",1/HLOOKUP(YEAR(X1213)+(MONTH(X1213)/100),TC!$5:$37,DAY(X1213)+2,FALSE),VLOOKUP(Y1213,Equivalencia!$1:$23,((MAX(Equivalencia!$3:$3)-YEAR(X1213))*14)+MONTH(X1213)+2,FALSE)))</f>
        <v>1</v>
      </c>
      <c r="AB1213" s="306">
        <f t="shared" si="331"/>
        <v>454.07142857142856</v>
      </c>
      <c r="AC1213" s="305">
        <f>+IF(X1213=0,0,HLOOKUP(YEAR(X1213)+(MONTH(X1213)/100),TC!$5:$37,DAY(X1213)+2,FALSE))</f>
        <v>20.0352</v>
      </c>
      <c r="AD1213" s="307">
        <f t="shared" si="332"/>
        <v>9097.4118857142857</v>
      </c>
      <c r="AE1213" s="314">
        <f t="shared" si="333"/>
        <v>15675.361348732236</v>
      </c>
      <c r="AF1213" s="315">
        <f t="shared" si="334"/>
        <v>-6577.9494630179506</v>
      </c>
      <c r="AG1213" s="316">
        <f t="shared" si="335"/>
        <v>1.178082191780822</v>
      </c>
      <c r="AH1213" s="314">
        <v>1</v>
      </c>
      <c r="AI1213" s="314">
        <f t="shared" si="336"/>
        <v>-6577.9494630179506</v>
      </c>
      <c r="AJ1213" s="314">
        <f t="shared" si="337"/>
        <v>0</v>
      </c>
      <c r="AK1213" s="317"/>
      <c r="AL1213" s="315">
        <f t="shared" si="338"/>
        <v>-258.44275324675334</v>
      </c>
      <c r="AN1213" s="554">
        <f t="shared" si="339"/>
        <v>-0.36271945154447788</v>
      </c>
      <c r="AO1213" s="314"/>
      <c r="AP1213" s="318"/>
    </row>
    <row r="1214" spans="2:42">
      <c r="B1214" s="296" t="s">
        <v>1254</v>
      </c>
      <c r="C1214" s="299" t="s">
        <v>277</v>
      </c>
      <c r="D1214" s="298" t="s">
        <v>725</v>
      </c>
      <c r="E1214" s="299" t="s">
        <v>106</v>
      </c>
      <c r="F1214" s="299" t="s">
        <v>59</v>
      </c>
      <c r="G1214" s="300">
        <v>44418</v>
      </c>
      <c r="H1214" s="303">
        <v>118.02555555555556</v>
      </c>
      <c r="I1214" s="301" t="str">
        <f t="shared" si="323"/>
        <v>Ingresos Sección I LISR</v>
      </c>
      <c r="J1214" s="302">
        <f t="shared" si="324"/>
        <v>1</v>
      </c>
      <c r="K1214" s="304">
        <f t="shared" si="325"/>
        <v>118.02555555555556</v>
      </c>
      <c r="L1214" s="305">
        <f>IF(H1214=0,0,IF(OR(E1214=$AT$5,E1214=$AT$6),AA1214,IF(F1214="MXN",1/HLOOKUP(YEAR(G1214)+(MONTH(G1214)/100),TC!$5:$37,DAY(G1214)+2,FALSE),VLOOKUP(F1214,Equivalencia!$5:$23,((MAX(Equivalencia!$3:$3)-YEAR(G1214))*14)+MONTH(G1214)+2,FALSE))))</f>
        <v>1</v>
      </c>
      <c r="M1214" s="306">
        <f t="shared" si="326"/>
        <v>118.02555555555556</v>
      </c>
      <c r="N1214" s="305">
        <f>IF(G1214=0,0,(IF(OR(E1214=$AT$5,E1214=$AT$6),AC1214,HLOOKUP(YEAR(G1214)+(MONTH(G1214)/100),TC!$5:$37,DAY(G1214)+2,FALSE))))</f>
        <v>20.003699999999998</v>
      </c>
      <c r="O1214" s="307">
        <f t="shared" si="327"/>
        <v>2360.9478056666667</v>
      </c>
      <c r="P1214" s="560">
        <f>IF(G1214=0,0,VLOOKUP(YEAR(G1214),INPC!$B$4:$P$30,MONTH(G1214)+2))</f>
        <v>113.899</v>
      </c>
      <c r="Q1214" s="560">
        <f>IF(X1214=0,0,IF(OR(E1214=$AT$10,E1214=$AT$9),VLOOKUP(YEAR(X1214),INPC!$B$4:$P$30,MONTH(X1214)+1),VLOOKUP(YEAR(X1214),INPC!$B$4:$P$30,MONTH(X1214)+2,0)))</f>
        <v>125.276</v>
      </c>
      <c r="R1214" s="309">
        <f t="shared" si="328"/>
        <v>1.0998000000000001</v>
      </c>
      <c r="S1214" s="310">
        <f t="shared" si="329"/>
        <v>2596.5703966722003</v>
      </c>
      <c r="T1214" s="555">
        <f t="shared" si="330"/>
        <v>2596.5703966722003</v>
      </c>
      <c r="U1214" s="311"/>
      <c r="V1214" s="312">
        <v>1</v>
      </c>
      <c r="W1214" s="299" t="s">
        <v>194</v>
      </c>
      <c r="X1214" s="300">
        <v>44848</v>
      </c>
      <c r="Y1214" s="299" t="s">
        <v>59</v>
      </c>
      <c r="Z1214" s="303">
        <v>75.678571428571431</v>
      </c>
      <c r="AA1214" s="305">
        <f>IF(Z1214=0,0,IF(Y1214="MXN",1/HLOOKUP(YEAR(X1214)+(MONTH(X1214)/100),TC!$5:$37,DAY(X1214)+2,FALSE),VLOOKUP(Y1214,Equivalencia!$1:$23,((MAX(Equivalencia!$3:$3)-YEAR(X1214))*14)+MONTH(X1214)+2,FALSE)))</f>
        <v>1</v>
      </c>
      <c r="AB1214" s="306">
        <f t="shared" si="331"/>
        <v>75.678571428571431</v>
      </c>
      <c r="AC1214" s="305">
        <f>+IF(X1214=0,0,HLOOKUP(YEAR(X1214)+(MONTH(X1214)/100),TC!$5:$37,DAY(X1214)+2,FALSE))</f>
        <v>20.0352</v>
      </c>
      <c r="AD1214" s="307">
        <f t="shared" si="332"/>
        <v>1516.2353142857144</v>
      </c>
      <c r="AE1214" s="314">
        <f t="shared" si="333"/>
        <v>2596.5703966722003</v>
      </c>
      <c r="AF1214" s="315">
        <f t="shared" si="334"/>
        <v>-1080.335082386486</v>
      </c>
      <c r="AG1214" s="316">
        <f t="shared" si="335"/>
        <v>1.178082191780822</v>
      </c>
      <c r="AH1214" s="314">
        <v>1</v>
      </c>
      <c r="AI1214" s="314">
        <f t="shared" si="336"/>
        <v>-1080.335082386486</v>
      </c>
      <c r="AJ1214" s="314">
        <f t="shared" si="337"/>
        <v>0</v>
      </c>
      <c r="AK1214" s="317"/>
      <c r="AL1214" s="315">
        <f t="shared" si="338"/>
        <v>-42.346984126984125</v>
      </c>
      <c r="AN1214" s="554">
        <f t="shared" si="339"/>
        <v>-0.35879504169799115</v>
      </c>
      <c r="AO1214" s="314"/>
      <c r="AP1214" s="318"/>
    </row>
    <row r="1215" spans="2:42">
      <c r="B1215" s="296" t="s">
        <v>1254</v>
      </c>
      <c r="C1215" s="299" t="s">
        <v>277</v>
      </c>
      <c r="D1215" s="298" t="s">
        <v>725</v>
      </c>
      <c r="E1215" s="299" t="s">
        <v>106</v>
      </c>
      <c r="F1215" s="299" t="s">
        <v>59</v>
      </c>
      <c r="G1215" s="300">
        <v>44418</v>
      </c>
      <c r="H1215" s="303">
        <v>354.07666666666665</v>
      </c>
      <c r="I1215" s="301" t="str">
        <f t="shared" si="323"/>
        <v>Ingresos Sección I LISR</v>
      </c>
      <c r="J1215" s="302">
        <f t="shared" si="324"/>
        <v>3</v>
      </c>
      <c r="K1215" s="304">
        <f t="shared" si="325"/>
        <v>118.02555555555556</v>
      </c>
      <c r="L1215" s="305">
        <f>IF(H1215=0,0,IF(OR(E1215=$AT$5,E1215=$AT$6),AA1215,IF(F1215="MXN",1/HLOOKUP(YEAR(G1215)+(MONTH(G1215)/100),TC!$5:$37,DAY(G1215)+2,FALSE),VLOOKUP(F1215,Equivalencia!$5:$23,((MAX(Equivalencia!$3:$3)-YEAR(G1215))*14)+MONTH(G1215)+2,FALSE))))</f>
        <v>1</v>
      </c>
      <c r="M1215" s="306">
        <f t="shared" si="326"/>
        <v>354.07666666666665</v>
      </c>
      <c r="N1215" s="305">
        <f>IF(G1215=0,0,(IF(OR(E1215=$AT$5,E1215=$AT$6),AC1215,HLOOKUP(YEAR(G1215)+(MONTH(G1215)/100),TC!$5:$37,DAY(G1215)+2,FALSE))))</f>
        <v>20.003699999999998</v>
      </c>
      <c r="O1215" s="307">
        <f t="shared" si="327"/>
        <v>7082.8434169999991</v>
      </c>
      <c r="P1215" s="560">
        <f>IF(G1215=0,0,VLOOKUP(YEAR(G1215),INPC!$B$4:$P$30,MONTH(G1215)+2))</f>
        <v>113.899</v>
      </c>
      <c r="Q1215" s="560">
        <f>IF(X1215=0,0,IF(OR(E1215=$AT$10,E1215=$AT$9),VLOOKUP(YEAR(X1215),INPC!$B$4:$P$30,MONTH(X1215)+1),VLOOKUP(YEAR(X1215),INPC!$B$4:$P$30,MONTH(X1215)+2,0)))</f>
        <v>125.276</v>
      </c>
      <c r="R1215" s="309">
        <f t="shared" si="328"/>
        <v>1.0998000000000001</v>
      </c>
      <c r="S1215" s="310">
        <f t="shared" si="329"/>
        <v>7789.7111900166001</v>
      </c>
      <c r="T1215" s="555">
        <f t="shared" si="330"/>
        <v>2596.5703966721999</v>
      </c>
      <c r="U1215" s="311"/>
      <c r="V1215" s="312">
        <v>3</v>
      </c>
      <c r="W1215" s="299" t="s">
        <v>194</v>
      </c>
      <c r="X1215" s="300">
        <v>44848</v>
      </c>
      <c r="Y1215" s="299" t="s">
        <v>59</v>
      </c>
      <c r="Z1215" s="303">
        <v>229.93</v>
      </c>
      <c r="AA1215" s="305">
        <f>IF(Z1215=0,0,IF(Y1215="MXN",1/HLOOKUP(YEAR(X1215)+(MONTH(X1215)/100),TC!$5:$37,DAY(X1215)+2,FALSE),VLOOKUP(Y1215,Equivalencia!$1:$23,((MAX(Equivalencia!$3:$3)-YEAR(X1215))*14)+MONTH(X1215)+2,FALSE)))</f>
        <v>1</v>
      </c>
      <c r="AB1215" s="306">
        <f t="shared" si="331"/>
        <v>229.93</v>
      </c>
      <c r="AC1215" s="305">
        <f>+IF(X1215=0,0,HLOOKUP(YEAR(X1215)+(MONTH(X1215)/100),TC!$5:$37,DAY(X1215)+2,FALSE))</f>
        <v>20.0352</v>
      </c>
      <c r="AD1215" s="307">
        <f t="shared" si="332"/>
        <v>4606.6935359999998</v>
      </c>
      <c r="AE1215" s="314">
        <f t="shared" si="333"/>
        <v>7789.7111900166001</v>
      </c>
      <c r="AF1215" s="315">
        <f t="shared" si="334"/>
        <v>-3183.0176540166003</v>
      </c>
      <c r="AG1215" s="316">
        <f t="shared" si="335"/>
        <v>1.178082191780822</v>
      </c>
      <c r="AH1215" s="314">
        <v>1</v>
      </c>
      <c r="AI1215" s="314">
        <f t="shared" si="336"/>
        <v>-3183.0176540166003</v>
      </c>
      <c r="AJ1215" s="314">
        <f t="shared" si="337"/>
        <v>0</v>
      </c>
      <c r="AK1215" s="317"/>
      <c r="AL1215" s="315">
        <f t="shared" si="338"/>
        <v>-124.14666666666665</v>
      </c>
      <c r="AN1215" s="554">
        <f t="shared" si="339"/>
        <v>-0.35062086365476397</v>
      </c>
      <c r="AO1215" s="314"/>
      <c r="AP1215" s="318"/>
    </row>
    <row r="1216" spans="2:42">
      <c r="B1216" s="296" t="s">
        <v>1254</v>
      </c>
      <c r="C1216" s="299" t="s">
        <v>277</v>
      </c>
      <c r="D1216" s="298" t="s">
        <v>725</v>
      </c>
      <c r="E1216" s="299" t="s">
        <v>106</v>
      </c>
      <c r="F1216" s="299" t="s">
        <v>59</v>
      </c>
      <c r="G1216" s="300">
        <v>44418</v>
      </c>
      <c r="H1216" s="303">
        <v>236.05111111111111</v>
      </c>
      <c r="I1216" s="301" t="str">
        <f t="shared" si="323"/>
        <v>Ingresos Sección I LISR</v>
      </c>
      <c r="J1216" s="302">
        <f t="shared" si="324"/>
        <v>2</v>
      </c>
      <c r="K1216" s="304">
        <f t="shared" si="325"/>
        <v>118.02555555555556</v>
      </c>
      <c r="L1216" s="305">
        <f>IF(H1216=0,0,IF(OR(E1216=$AT$5,E1216=$AT$6),AA1216,IF(F1216="MXN",1/HLOOKUP(YEAR(G1216)+(MONTH(G1216)/100),TC!$5:$37,DAY(G1216)+2,FALSE),VLOOKUP(F1216,Equivalencia!$5:$23,((MAX(Equivalencia!$3:$3)-YEAR(G1216))*14)+MONTH(G1216)+2,FALSE))))</f>
        <v>1</v>
      </c>
      <c r="M1216" s="306">
        <f t="shared" si="326"/>
        <v>236.05111111111111</v>
      </c>
      <c r="N1216" s="305">
        <f>IF(G1216=0,0,(IF(OR(E1216=$AT$5,E1216=$AT$6),AC1216,HLOOKUP(YEAR(G1216)+(MONTH(G1216)/100),TC!$5:$37,DAY(G1216)+2,FALSE))))</f>
        <v>20.003699999999998</v>
      </c>
      <c r="O1216" s="307">
        <f t="shared" si="327"/>
        <v>4721.8956113333334</v>
      </c>
      <c r="P1216" s="560">
        <f>IF(G1216=0,0,VLOOKUP(YEAR(G1216),INPC!$B$4:$P$30,MONTH(G1216)+2))</f>
        <v>113.899</v>
      </c>
      <c r="Q1216" s="560">
        <f>IF(X1216=0,0,IF(OR(E1216=$AT$10,E1216=$AT$9),VLOOKUP(YEAR(X1216),INPC!$B$4:$P$30,MONTH(X1216)+1),VLOOKUP(YEAR(X1216),INPC!$B$4:$P$30,MONTH(X1216)+2,0)))</f>
        <v>125.276</v>
      </c>
      <c r="R1216" s="309">
        <f t="shared" si="328"/>
        <v>1.0998000000000001</v>
      </c>
      <c r="S1216" s="310">
        <f t="shared" si="329"/>
        <v>5193.1407933444007</v>
      </c>
      <c r="T1216" s="555">
        <f t="shared" si="330"/>
        <v>2596.5703966722003</v>
      </c>
      <c r="U1216" s="311"/>
      <c r="V1216" s="312">
        <v>2</v>
      </c>
      <c r="W1216" s="299" t="s">
        <v>194</v>
      </c>
      <c r="X1216" s="300">
        <v>44848</v>
      </c>
      <c r="Y1216" s="299" t="s">
        <v>59</v>
      </c>
      <c r="Z1216" s="303">
        <v>151.63999999999999</v>
      </c>
      <c r="AA1216" s="305">
        <f>IF(Z1216=0,0,IF(Y1216="MXN",1/HLOOKUP(YEAR(X1216)+(MONTH(X1216)/100),TC!$5:$37,DAY(X1216)+2,FALSE),VLOOKUP(Y1216,Equivalencia!$1:$23,((MAX(Equivalencia!$3:$3)-YEAR(X1216))*14)+MONTH(X1216)+2,FALSE)))</f>
        <v>1</v>
      </c>
      <c r="AB1216" s="306">
        <f t="shared" si="331"/>
        <v>151.63999999999999</v>
      </c>
      <c r="AC1216" s="305">
        <f>+IF(X1216=0,0,HLOOKUP(YEAR(X1216)+(MONTH(X1216)/100),TC!$5:$37,DAY(X1216)+2,FALSE))</f>
        <v>20.0352</v>
      </c>
      <c r="AD1216" s="307">
        <f t="shared" si="332"/>
        <v>3038.1377279999997</v>
      </c>
      <c r="AE1216" s="314">
        <f t="shared" si="333"/>
        <v>5193.1407933444007</v>
      </c>
      <c r="AF1216" s="315">
        <f t="shared" si="334"/>
        <v>-2155.003065344401</v>
      </c>
      <c r="AG1216" s="316">
        <f t="shared" si="335"/>
        <v>1.178082191780822</v>
      </c>
      <c r="AH1216" s="314">
        <v>1</v>
      </c>
      <c r="AI1216" s="314">
        <f t="shared" si="336"/>
        <v>-2155.003065344401</v>
      </c>
      <c r="AJ1216" s="314">
        <f t="shared" si="337"/>
        <v>0</v>
      </c>
      <c r="AK1216" s="317"/>
      <c r="AL1216" s="315">
        <f t="shared" si="338"/>
        <v>-84.411111111111126</v>
      </c>
      <c r="AN1216" s="554">
        <f t="shared" si="339"/>
        <v>-0.35759675399866325</v>
      </c>
      <c r="AO1216" s="314"/>
      <c r="AP1216" s="318"/>
    </row>
    <row r="1217" spans="2:42">
      <c r="B1217" s="296" t="s">
        <v>1254</v>
      </c>
      <c r="C1217" s="299" t="s">
        <v>277</v>
      </c>
      <c r="D1217" s="298" t="s">
        <v>725</v>
      </c>
      <c r="E1217" s="299" t="s">
        <v>106</v>
      </c>
      <c r="F1217" s="299" t="s">
        <v>59</v>
      </c>
      <c r="G1217" s="300">
        <v>44418</v>
      </c>
      <c r="H1217" s="303">
        <v>118.02555555555556</v>
      </c>
      <c r="I1217" s="301" t="str">
        <f t="shared" si="323"/>
        <v>Ingresos Sección I LISR</v>
      </c>
      <c r="J1217" s="302">
        <f t="shared" si="324"/>
        <v>1</v>
      </c>
      <c r="K1217" s="304">
        <f t="shared" si="325"/>
        <v>118.02555555555556</v>
      </c>
      <c r="L1217" s="305">
        <f>IF(H1217=0,0,IF(OR(E1217=$AT$5,E1217=$AT$6),AA1217,IF(F1217="MXN",1/HLOOKUP(YEAR(G1217)+(MONTH(G1217)/100),TC!$5:$37,DAY(G1217)+2,FALSE),VLOOKUP(F1217,Equivalencia!$5:$23,((MAX(Equivalencia!$3:$3)-YEAR(G1217))*14)+MONTH(G1217)+2,FALSE))))</f>
        <v>1</v>
      </c>
      <c r="M1217" s="306">
        <f t="shared" si="326"/>
        <v>118.02555555555556</v>
      </c>
      <c r="N1217" s="305">
        <f>IF(G1217=0,0,(IF(OR(E1217=$AT$5,E1217=$AT$6),AC1217,HLOOKUP(YEAR(G1217)+(MONTH(G1217)/100),TC!$5:$37,DAY(G1217)+2,FALSE))))</f>
        <v>20.003699999999998</v>
      </c>
      <c r="O1217" s="307">
        <f t="shared" si="327"/>
        <v>2360.9478056666667</v>
      </c>
      <c r="P1217" s="560">
        <f>IF(G1217=0,0,VLOOKUP(YEAR(G1217),INPC!$B$4:$P$30,MONTH(G1217)+2))</f>
        <v>113.899</v>
      </c>
      <c r="Q1217" s="560">
        <f>IF(X1217=0,0,IF(OR(E1217=$AT$10,E1217=$AT$9),VLOOKUP(YEAR(X1217),INPC!$B$4:$P$30,MONTH(X1217)+1),VLOOKUP(YEAR(X1217),INPC!$B$4:$P$30,MONTH(X1217)+2,0)))</f>
        <v>125.276</v>
      </c>
      <c r="R1217" s="309">
        <f t="shared" si="328"/>
        <v>1.0998000000000001</v>
      </c>
      <c r="S1217" s="310">
        <f t="shared" si="329"/>
        <v>2596.5703966722003</v>
      </c>
      <c r="T1217" s="555">
        <f t="shared" si="330"/>
        <v>2596.5703966722003</v>
      </c>
      <c r="U1217" s="311"/>
      <c r="V1217" s="312">
        <v>1</v>
      </c>
      <c r="W1217" s="299" t="s">
        <v>194</v>
      </c>
      <c r="X1217" s="300">
        <v>44848</v>
      </c>
      <c r="Y1217" s="299" t="s">
        <v>59</v>
      </c>
      <c r="Z1217" s="303">
        <v>75.680000000000007</v>
      </c>
      <c r="AA1217" s="305">
        <f>IF(Z1217=0,0,IF(Y1217="MXN",1/HLOOKUP(YEAR(X1217)+(MONTH(X1217)/100),TC!$5:$37,DAY(X1217)+2,FALSE),VLOOKUP(Y1217,Equivalencia!$1:$23,((MAX(Equivalencia!$3:$3)-YEAR(X1217))*14)+MONTH(X1217)+2,FALSE)))</f>
        <v>1</v>
      </c>
      <c r="AB1217" s="306">
        <f t="shared" si="331"/>
        <v>75.680000000000007</v>
      </c>
      <c r="AC1217" s="305">
        <f>+IF(X1217=0,0,HLOOKUP(YEAR(X1217)+(MONTH(X1217)/100),TC!$5:$37,DAY(X1217)+2,FALSE))</f>
        <v>20.0352</v>
      </c>
      <c r="AD1217" s="307">
        <f t="shared" si="332"/>
        <v>1516.2639360000001</v>
      </c>
      <c r="AE1217" s="314">
        <f t="shared" si="333"/>
        <v>2596.5703966722003</v>
      </c>
      <c r="AF1217" s="315">
        <f t="shared" si="334"/>
        <v>-1080.3064606722003</v>
      </c>
      <c r="AG1217" s="316">
        <f t="shared" si="335"/>
        <v>1.178082191780822</v>
      </c>
      <c r="AH1217" s="314">
        <v>1</v>
      </c>
      <c r="AI1217" s="314">
        <f t="shared" si="336"/>
        <v>-1080.3064606722003</v>
      </c>
      <c r="AJ1217" s="314">
        <f t="shared" si="337"/>
        <v>0</v>
      </c>
      <c r="AK1217" s="317"/>
      <c r="AL1217" s="315">
        <f t="shared" si="338"/>
        <v>-42.345555555555549</v>
      </c>
      <c r="AN1217" s="554">
        <f t="shared" si="339"/>
        <v>-0.35878293778183629</v>
      </c>
      <c r="AO1217" s="314"/>
      <c r="AP1217" s="318"/>
    </row>
    <row r="1218" spans="2:42">
      <c r="B1218" s="296" t="s">
        <v>1254</v>
      </c>
      <c r="C1218" s="299" t="s">
        <v>277</v>
      </c>
      <c r="D1218" s="298" t="s">
        <v>725</v>
      </c>
      <c r="E1218" s="299" t="s">
        <v>106</v>
      </c>
      <c r="F1218" s="299" t="s">
        <v>59</v>
      </c>
      <c r="G1218" s="300">
        <v>44418</v>
      </c>
      <c r="H1218" s="303">
        <v>118.02555555555556</v>
      </c>
      <c r="I1218" s="301" t="str">
        <f t="shared" si="323"/>
        <v>Ingresos Sección I LISR</v>
      </c>
      <c r="J1218" s="302">
        <f t="shared" si="324"/>
        <v>1</v>
      </c>
      <c r="K1218" s="304">
        <f t="shared" si="325"/>
        <v>118.02555555555556</v>
      </c>
      <c r="L1218" s="305">
        <f>IF(H1218=0,0,IF(OR(E1218=$AT$5,E1218=$AT$6),AA1218,IF(F1218="MXN",1/HLOOKUP(YEAR(G1218)+(MONTH(G1218)/100),TC!$5:$37,DAY(G1218)+2,FALSE),VLOOKUP(F1218,Equivalencia!$5:$23,((MAX(Equivalencia!$3:$3)-YEAR(G1218))*14)+MONTH(G1218)+2,FALSE))))</f>
        <v>1</v>
      </c>
      <c r="M1218" s="306">
        <f t="shared" si="326"/>
        <v>118.02555555555556</v>
      </c>
      <c r="N1218" s="305">
        <f>IF(G1218=0,0,(IF(OR(E1218=$AT$5,E1218=$AT$6),AC1218,HLOOKUP(YEAR(G1218)+(MONTH(G1218)/100),TC!$5:$37,DAY(G1218)+2,FALSE))))</f>
        <v>20.003699999999998</v>
      </c>
      <c r="O1218" s="307">
        <f t="shared" si="327"/>
        <v>2360.9478056666667</v>
      </c>
      <c r="P1218" s="560">
        <f>IF(G1218=0,0,VLOOKUP(YEAR(G1218),INPC!$B$4:$P$30,MONTH(G1218)+2))</f>
        <v>113.899</v>
      </c>
      <c r="Q1218" s="560">
        <f>IF(X1218=0,0,IF(OR(E1218=$AT$10,E1218=$AT$9),VLOOKUP(YEAR(X1218),INPC!$B$4:$P$30,MONTH(X1218)+1),VLOOKUP(YEAR(X1218),INPC!$B$4:$P$30,MONTH(X1218)+2,0)))</f>
        <v>125.276</v>
      </c>
      <c r="R1218" s="309">
        <f t="shared" si="328"/>
        <v>1.0998000000000001</v>
      </c>
      <c r="S1218" s="310">
        <f t="shared" si="329"/>
        <v>2596.5703966722003</v>
      </c>
      <c r="T1218" s="555">
        <f t="shared" si="330"/>
        <v>2596.5703966722003</v>
      </c>
      <c r="U1218" s="311"/>
      <c r="V1218" s="312">
        <v>1</v>
      </c>
      <c r="W1218" s="299" t="s">
        <v>194</v>
      </c>
      <c r="X1218" s="300">
        <v>44848</v>
      </c>
      <c r="Y1218" s="299" t="s">
        <v>59</v>
      </c>
      <c r="Z1218" s="303">
        <v>76.209999999999994</v>
      </c>
      <c r="AA1218" s="305">
        <f>IF(Z1218=0,0,IF(Y1218="MXN",1/HLOOKUP(YEAR(X1218)+(MONTH(X1218)/100),TC!$5:$37,DAY(X1218)+2,FALSE),VLOOKUP(Y1218,Equivalencia!$1:$23,((MAX(Equivalencia!$3:$3)-YEAR(X1218))*14)+MONTH(X1218)+2,FALSE)))</f>
        <v>1</v>
      </c>
      <c r="AB1218" s="306">
        <f t="shared" si="331"/>
        <v>76.209999999999994</v>
      </c>
      <c r="AC1218" s="305">
        <f>+IF(X1218=0,0,HLOOKUP(YEAR(X1218)+(MONTH(X1218)/100),TC!$5:$37,DAY(X1218)+2,FALSE))</f>
        <v>20.0352</v>
      </c>
      <c r="AD1218" s="307">
        <f t="shared" si="332"/>
        <v>1526.8825919999999</v>
      </c>
      <c r="AE1218" s="314">
        <f t="shared" si="333"/>
        <v>2596.5703966722003</v>
      </c>
      <c r="AF1218" s="315">
        <f t="shared" si="334"/>
        <v>-1069.6878046722004</v>
      </c>
      <c r="AG1218" s="316">
        <f t="shared" si="335"/>
        <v>1.178082191780822</v>
      </c>
      <c r="AH1218" s="314">
        <v>1</v>
      </c>
      <c r="AI1218" s="314">
        <f t="shared" si="336"/>
        <v>-1069.6878046722004</v>
      </c>
      <c r="AJ1218" s="314">
        <f t="shared" si="337"/>
        <v>0</v>
      </c>
      <c r="AK1218" s="317"/>
      <c r="AL1218" s="315">
        <f t="shared" si="338"/>
        <v>-41.815555555555562</v>
      </c>
      <c r="AN1218" s="554">
        <f t="shared" si="339"/>
        <v>-0.35429238488839521</v>
      </c>
      <c r="AO1218" s="314"/>
      <c r="AP1218" s="318"/>
    </row>
    <row r="1219" spans="2:42">
      <c r="B1219" s="296" t="s">
        <v>1254</v>
      </c>
      <c r="C1219" s="299" t="s">
        <v>277</v>
      </c>
      <c r="D1219" s="298" t="s">
        <v>725</v>
      </c>
      <c r="E1219" s="299" t="s">
        <v>106</v>
      </c>
      <c r="F1219" s="299" t="s">
        <v>59</v>
      </c>
      <c r="G1219" s="300">
        <v>44418</v>
      </c>
      <c r="H1219" s="303">
        <v>118.02555555555556</v>
      </c>
      <c r="I1219" s="301" t="str">
        <f t="shared" si="323"/>
        <v>Ingresos Sección I LISR</v>
      </c>
      <c r="J1219" s="302">
        <f t="shared" si="324"/>
        <v>1</v>
      </c>
      <c r="K1219" s="304">
        <f t="shared" si="325"/>
        <v>118.02555555555556</v>
      </c>
      <c r="L1219" s="305">
        <f>IF(H1219=0,0,IF(OR(E1219=$AT$5,E1219=$AT$6),AA1219,IF(F1219="MXN",1/HLOOKUP(YEAR(G1219)+(MONTH(G1219)/100),TC!$5:$37,DAY(G1219)+2,FALSE),VLOOKUP(F1219,Equivalencia!$5:$23,((MAX(Equivalencia!$3:$3)-YEAR(G1219))*14)+MONTH(G1219)+2,FALSE))))</f>
        <v>1</v>
      </c>
      <c r="M1219" s="306">
        <f t="shared" si="326"/>
        <v>118.02555555555556</v>
      </c>
      <c r="N1219" s="305">
        <f>IF(G1219=0,0,(IF(OR(E1219=$AT$5,E1219=$AT$6),AC1219,HLOOKUP(YEAR(G1219)+(MONTH(G1219)/100),TC!$5:$37,DAY(G1219)+2,FALSE))))</f>
        <v>20.003699999999998</v>
      </c>
      <c r="O1219" s="307">
        <f t="shared" si="327"/>
        <v>2360.9478056666667</v>
      </c>
      <c r="P1219" s="560">
        <f>IF(G1219=0,0,VLOOKUP(YEAR(G1219),INPC!$B$4:$P$30,MONTH(G1219)+2))</f>
        <v>113.899</v>
      </c>
      <c r="Q1219" s="560">
        <f>IF(X1219=0,0,IF(OR(E1219=$AT$10,E1219=$AT$9),VLOOKUP(YEAR(X1219),INPC!$B$4:$P$30,MONTH(X1219)+1),VLOOKUP(YEAR(X1219),INPC!$B$4:$P$30,MONTH(X1219)+2,0)))</f>
        <v>125.276</v>
      </c>
      <c r="R1219" s="309">
        <f t="shared" si="328"/>
        <v>1.0998000000000001</v>
      </c>
      <c r="S1219" s="310">
        <f t="shared" si="329"/>
        <v>2596.5703966722003</v>
      </c>
      <c r="T1219" s="555">
        <f t="shared" si="330"/>
        <v>2596.5703966722003</v>
      </c>
      <c r="U1219" s="311"/>
      <c r="V1219" s="312">
        <v>1</v>
      </c>
      <c r="W1219" s="299" t="s">
        <v>194</v>
      </c>
      <c r="X1219" s="300">
        <v>44848</v>
      </c>
      <c r="Y1219" s="299" t="s">
        <v>59</v>
      </c>
      <c r="Z1219" s="303">
        <v>76.650000000000006</v>
      </c>
      <c r="AA1219" s="305">
        <f>IF(Z1219=0,0,IF(Y1219="MXN",1/HLOOKUP(YEAR(X1219)+(MONTH(X1219)/100),TC!$5:$37,DAY(X1219)+2,FALSE),VLOOKUP(Y1219,Equivalencia!$1:$23,((MAX(Equivalencia!$3:$3)-YEAR(X1219))*14)+MONTH(X1219)+2,FALSE)))</f>
        <v>1</v>
      </c>
      <c r="AB1219" s="306">
        <f t="shared" si="331"/>
        <v>76.650000000000006</v>
      </c>
      <c r="AC1219" s="305">
        <f>+IF(X1219=0,0,HLOOKUP(YEAR(X1219)+(MONTH(X1219)/100),TC!$5:$37,DAY(X1219)+2,FALSE))</f>
        <v>20.0352</v>
      </c>
      <c r="AD1219" s="307">
        <f t="shared" si="332"/>
        <v>1535.6980800000001</v>
      </c>
      <c r="AE1219" s="314">
        <f t="shared" si="333"/>
        <v>2596.5703966722003</v>
      </c>
      <c r="AF1219" s="315">
        <f t="shared" si="334"/>
        <v>-1060.8723166722002</v>
      </c>
      <c r="AG1219" s="316">
        <f t="shared" si="335"/>
        <v>1.178082191780822</v>
      </c>
      <c r="AH1219" s="314">
        <v>1</v>
      </c>
      <c r="AI1219" s="314">
        <f t="shared" si="336"/>
        <v>-1060.8723166722002</v>
      </c>
      <c r="AJ1219" s="314">
        <f t="shared" si="337"/>
        <v>0</v>
      </c>
      <c r="AK1219" s="317"/>
      <c r="AL1219" s="315">
        <f t="shared" si="338"/>
        <v>-41.37555555555555</v>
      </c>
      <c r="AN1219" s="554">
        <f t="shared" si="339"/>
        <v>-0.35056437871270812</v>
      </c>
      <c r="AO1219" s="314"/>
      <c r="AP1219" s="318"/>
    </row>
    <row r="1220" spans="2:42">
      <c r="B1220" s="296" t="s">
        <v>1254</v>
      </c>
      <c r="C1220" s="299" t="s">
        <v>277</v>
      </c>
      <c r="D1220" s="298" t="s">
        <v>725</v>
      </c>
      <c r="E1220" s="299" t="s">
        <v>106</v>
      </c>
      <c r="F1220" s="299" t="s">
        <v>59</v>
      </c>
      <c r="G1220" s="300">
        <v>44419</v>
      </c>
      <c r="H1220" s="303">
        <v>487.15199999999999</v>
      </c>
      <c r="I1220" s="301" t="str">
        <f t="shared" si="323"/>
        <v>Ingresos Sección I LISR</v>
      </c>
      <c r="J1220" s="302">
        <f t="shared" si="324"/>
        <v>4</v>
      </c>
      <c r="K1220" s="304">
        <f t="shared" si="325"/>
        <v>121.788</v>
      </c>
      <c r="L1220" s="305">
        <f>IF(H1220=0,0,IF(OR(E1220=$AT$5,E1220=$AT$6),AA1220,IF(F1220="MXN",1/HLOOKUP(YEAR(G1220)+(MONTH(G1220)/100),TC!$5:$37,DAY(G1220)+2,FALSE),VLOOKUP(F1220,Equivalencia!$5:$23,((MAX(Equivalencia!$3:$3)-YEAR(G1220))*14)+MONTH(G1220)+2,FALSE))))</f>
        <v>1</v>
      </c>
      <c r="M1220" s="306">
        <f t="shared" si="326"/>
        <v>487.15199999999999</v>
      </c>
      <c r="N1220" s="305">
        <f>IF(G1220=0,0,(IF(OR(E1220=$AT$5,E1220=$AT$6),AC1220,HLOOKUP(YEAR(G1220)+(MONTH(G1220)/100),TC!$5:$37,DAY(G1220)+2,FALSE))))</f>
        <v>20.064800000000002</v>
      </c>
      <c r="O1220" s="307">
        <f t="shared" si="327"/>
        <v>9774.6074496000001</v>
      </c>
      <c r="P1220" s="560">
        <f>IF(G1220=0,0,VLOOKUP(YEAR(G1220),INPC!$B$4:$P$30,MONTH(G1220)+2))</f>
        <v>113.899</v>
      </c>
      <c r="Q1220" s="560">
        <f>IF(X1220=0,0,IF(OR(E1220=$AT$10,E1220=$AT$9),VLOOKUP(YEAR(X1220),INPC!$B$4:$P$30,MONTH(X1220)+1),VLOOKUP(YEAR(X1220),INPC!$B$4:$P$30,MONTH(X1220)+2,0)))</f>
        <v>125.276</v>
      </c>
      <c r="R1220" s="309">
        <f t="shared" si="328"/>
        <v>1.0998000000000001</v>
      </c>
      <c r="S1220" s="310">
        <f t="shared" si="329"/>
        <v>10750.113273070081</v>
      </c>
      <c r="T1220" s="555">
        <f t="shared" si="330"/>
        <v>2687.5283182675203</v>
      </c>
      <c r="U1220" s="311"/>
      <c r="V1220" s="312">
        <v>4</v>
      </c>
      <c r="W1220" s="299" t="s">
        <v>194</v>
      </c>
      <c r="X1220" s="300">
        <v>44851</v>
      </c>
      <c r="Y1220" s="299" t="s">
        <v>59</v>
      </c>
      <c r="Z1220" s="303">
        <v>310.13</v>
      </c>
      <c r="AA1220" s="305">
        <f>IF(Z1220=0,0,IF(Y1220="MXN",1/HLOOKUP(YEAR(X1220)+(MONTH(X1220)/100),TC!$5:$37,DAY(X1220)+2,FALSE),VLOOKUP(Y1220,Equivalencia!$1:$23,((MAX(Equivalencia!$3:$3)-YEAR(X1220))*14)+MONTH(X1220)+2,FALSE)))</f>
        <v>1</v>
      </c>
      <c r="AB1220" s="306">
        <f t="shared" si="331"/>
        <v>310.13</v>
      </c>
      <c r="AC1220" s="305">
        <f>+IF(X1220=0,0,HLOOKUP(YEAR(X1220)+(MONTH(X1220)/100),TC!$5:$37,DAY(X1220)+2,FALSE))</f>
        <v>20.0398</v>
      </c>
      <c r="AD1220" s="307">
        <f t="shared" si="332"/>
        <v>6214.943174</v>
      </c>
      <c r="AE1220" s="314">
        <f t="shared" si="333"/>
        <v>10750.113273070081</v>
      </c>
      <c r="AF1220" s="315">
        <f t="shared" si="334"/>
        <v>-4535.1700990700811</v>
      </c>
      <c r="AG1220" s="316">
        <f t="shared" si="335"/>
        <v>1.1835616438356165</v>
      </c>
      <c r="AH1220" s="314">
        <v>1</v>
      </c>
      <c r="AI1220" s="314">
        <f t="shared" si="336"/>
        <v>-4535.1700990700811</v>
      </c>
      <c r="AJ1220" s="314">
        <f t="shared" si="337"/>
        <v>0</v>
      </c>
      <c r="AK1220" s="317"/>
      <c r="AL1220" s="315">
        <f t="shared" si="338"/>
        <v>-177.02199999999999</v>
      </c>
      <c r="AN1220" s="554">
        <f t="shared" si="339"/>
        <v>-0.36338144973232173</v>
      </c>
      <c r="AO1220" s="314"/>
      <c r="AP1220" s="318"/>
    </row>
    <row r="1221" spans="2:42">
      <c r="B1221" s="296" t="s">
        <v>1254</v>
      </c>
      <c r="C1221" s="299" t="s">
        <v>277</v>
      </c>
      <c r="D1221" s="298" t="s">
        <v>725</v>
      </c>
      <c r="E1221" s="299" t="s">
        <v>106</v>
      </c>
      <c r="F1221" s="299" t="s">
        <v>59</v>
      </c>
      <c r="G1221" s="300">
        <v>44419</v>
      </c>
      <c r="H1221" s="303">
        <v>121.788</v>
      </c>
      <c r="I1221" s="301" t="str">
        <f t="shared" si="323"/>
        <v>Ingresos Sección I LISR</v>
      </c>
      <c r="J1221" s="302">
        <f t="shared" si="324"/>
        <v>1</v>
      </c>
      <c r="K1221" s="304">
        <f t="shared" si="325"/>
        <v>121.788</v>
      </c>
      <c r="L1221" s="305">
        <f>IF(H1221=0,0,IF(OR(E1221=$AT$5,E1221=$AT$6),AA1221,IF(F1221="MXN",1/HLOOKUP(YEAR(G1221)+(MONTH(G1221)/100),TC!$5:$37,DAY(G1221)+2,FALSE),VLOOKUP(F1221,Equivalencia!$5:$23,((MAX(Equivalencia!$3:$3)-YEAR(G1221))*14)+MONTH(G1221)+2,FALSE))))</f>
        <v>1</v>
      </c>
      <c r="M1221" s="306">
        <f t="shared" si="326"/>
        <v>121.788</v>
      </c>
      <c r="N1221" s="305">
        <f>IF(G1221=0,0,(IF(OR(E1221=$AT$5,E1221=$AT$6),AC1221,HLOOKUP(YEAR(G1221)+(MONTH(G1221)/100),TC!$5:$37,DAY(G1221)+2,FALSE))))</f>
        <v>20.064800000000002</v>
      </c>
      <c r="O1221" s="307">
        <f t="shared" si="327"/>
        <v>2443.6518624</v>
      </c>
      <c r="P1221" s="560">
        <f>IF(G1221=0,0,VLOOKUP(YEAR(G1221),INPC!$B$4:$P$30,MONTH(G1221)+2))</f>
        <v>113.899</v>
      </c>
      <c r="Q1221" s="560">
        <f>IF(X1221=0,0,IF(OR(E1221=$AT$10,E1221=$AT$9),VLOOKUP(YEAR(X1221),INPC!$B$4:$P$30,MONTH(X1221)+1),VLOOKUP(YEAR(X1221),INPC!$B$4:$P$30,MONTH(X1221)+2,0)))</f>
        <v>125.276</v>
      </c>
      <c r="R1221" s="309">
        <f t="shared" si="328"/>
        <v>1.0998000000000001</v>
      </c>
      <c r="S1221" s="310">
        <f t="shared" si="329"/>
        <v>2687.5283182675203</v>
      </c>
      <c r="T1221" s="555">
        <f t="shared" si="330"/>
        <v>2687.5283182675203</v>
      </c>
      <c r="U1221" s="311"/>
      <c r="V1221" s="312">
        <v>1</v>
      </c>
      <c r="W1221" s="299" t="s">
        <v>194</v>
      </c>
      <c r="X1221" s="300">
        <v>44851</v>
      </c>
      <c r="Y1221" s="299" t="s">
        <v>59</v>
      </c>
      <c r="Z1221" s="303">
        <v>77.540000000000006</v>
      </c>
      <c r="AA1221" s="305">
        <f>IF(Z1221=0,0,IF(Y1221="MXN",1/HLOOKUP(YEAR(X1221)+(MONTH(X1221)/100),TC!$5:$37,DAY(X1221)+2,FALSE),VLOOKUP(Y1221,Equivalencia!$1:$23,((MAX(Equivalencia!$3:$3)-YEAR(X1221))*14)+MONTH(X1221)+2,FALSE)))</f>
        <v>1</v>
      </c>
      <c r="AB1221" s="306">
        <f t="shared" si="331"/>
        <v>77.540000000000006</v>
      </c>
      <c r="AC1221" s="305">
        <f>+IF(X1221=0,0,HLOOKUP(YEAR(X1221)+(MONTH(X1221)/100),TC!$5:$37,DAY(X1221)+2,FALSE))</f>
        <v>20.0398</v>
      </c>
      <c r="AD1221" s="307">
        <f t="shared" si="332"/>
        <v>1553.8860920000002</v>
      </c>
      <c r="AE1221" s="314">
        <f t="shared" si="333"/>
        <v>2687.5283182675203</v>
      </c>
      <c r="AF1221" s="315">
        <f t="shared" si="334"/>
        <v>-1133.6422262675201</v>
      </c>
      <c r="AG1221" s="316">
        <f t="shared" si="335"/>
        <v>1.1835616438356165</v>
      </c>
      <c r="AH1221" s="314">
        <v>1</v>
      </c>
      <c r="AI1221" s="314">
        <f t="shared" si="336"/>
        <v>-1133.6422262675201</v>
      </c>
      <c r="AJ1221" s="314">
        <f t="shared" si="337"/>
        <v>0</v>
      </c>
      <c r="AK1221" s="317"/>
      <c r="AL1221" s="315">
        <f t="shared" si="338"/>
        <v>-44.24799999999999</v>
      </c>
      <c r="AN1221" s="554">
        <f t="shared" si="339"/>
        <v>-0.36331986731040816</v>
      </c>
      <c r="AO1221" s="314"/>
      <c r="AP1221" s="318"/>
    </row>
    <row r="1222" spans="2:42">
      <c r="B1222" s="296" t="s">
        <v>1254</v>
      </c>
      <c r="C1222" s="299" t="s">
        <v>277</v>
      </c>
      <c r="D1222" s="298" t="s">
        <v>1043</v>
      </c>
      <c r="E1222" s="299" t="s">
        <v>113</v>
      </c>
      <c r="F1222" s="299" t="s">
        <v>59</v>
      </c>
      <c r="G1222" s="300">
        <v>44104</v>
      </c>
      <c r="H1222" s="303">
        <v>4920.6162962962962</v>
      </c>
      <c r="I1222" s="301" t="str">
        <f t="shared" si="323"/>
        <v>Ingresos Sección II LISR (SIC &amp; BMV)</v>
      </c>
      <c r="J1222" s="302">
        <f t="shared" si="324"/>
        <v>63</v>
      </c>
      <c r="K1222" s="304">
        <f t="shared" si="325"/>
        <v>78.105020576131693</v>
      </c>
      <c r="L1222" s="305">
        <f>IF(H1222=0,0,IF(OR(E1222=$AT$5,E1222=$AT$6),AA1222,IF(F1222="MXN",1/HLOOKUP(YEAR(G1222)+(MONTH(G1222)/100),TC!$5:$37,DAY(G1222)+2,FALSE),VLOOKUP(F1222,Equivalencia!$5:$23,((MAX(Equivalencia!$3:$3)-YEAR(G1222))*14)+MONTH(G1222)+2,FALSE))))</f>
        <v>1</v>
      </c>
      <c r="M1222" s="306">
        <f t="shared" si="326"/>
        <v>4920.6162962962962</v>
      </c>
      <c r="N1222" s="305">
        <f>IF(G1222=0,0,(IF(OR(E1222=$AT$5,E1222=$AT$6),AC1222,HLOOKUP(YEAR(G1222)+(MONTH(G1222)/100),TC!$5:$37,DAY(G1222)+2,FALSE))))</f>
        <v>22.4573</v>
      </c>
      <c r="O1222" s="307">
        <f t="shared" si="327"/>
        <v>110503.75635081482</v>
      </c>
      <c r="P1222" s="560">
        <f>IF(G1222=0,0,VLOOKUP(YEAR(G1222),INPC!$B$4:$P$30,MONTH(G1222)+2))</f>
        <v>108.114</v>
      </c>
      <c r="Q1222" s="560">
        <f>IF(X1222=0,0,IF(OR(E1222=$AT$10,E1222=$AT$9),VLOOKUP(YEAR(X1222),INPC!$B$4:$P$30,MONTH(X1222)+1),VLOOKUP(YEAR(X1222),INPC!$B$4:$P$30,MONTH(X1222)+2,0)))</f>
        <v>122.94799999999999</v>
      </c>
      <c r="R1222" s="309">
        <f t="shared" si="328"/>
        <v>1.1372</v>
      </c>
      <c r="S1222" s="310">
        <f t="shared" si="329"/>
        <v>125664.87172214661</v>
      </c>
      <c r="T1222" s="555">
        <f t="shared" si="330"/>
        <v>1994.6805035261366</v>
      </c>
      <c r="U1222" s="311"/>
      <c r="V1222" s="312">
        <v>63</v>
      </c>
      <c r="W1222" s="299" t="s">
        <v>194</v>
      </c>
      <c r="X1222" s="300">
        <v>44775</v>
      </c>
      <c r="Y1222" s="299" t="s">
        <v>59</v>
      </c>
      <c r="Z1222" s="303">
        <v>5153.0936301369866</v>
      </c>
      <c r="AA1222" s="305">
        <f>IF(Z1222=0,0,IF(Y1222="MXN",1/HLOOKUP(YEAR(X1222)+(MONTH(X1222)/100),TC!$5:$37,DAY(X1222)+2,FALSE),VLOOKUP(Y1222,Equivalencia!$1:$23,((MAX(Equivalencia!$3:$3)-YEAR(X1222))*14)+MONTH(X1222)+2,FALSE)))</f>
        <v>1</v>
      </c>
      <c r="AB1222" s="306">
        <f t="shared" si="331"/>
        <v>5153.0936301369866</v>
      </c>
      <c r="AC1222" s="305">
        <f>+IF(X1222=0,0,HLOOKUP(YEAR(X1222)+(MONTH(X1222)/100),TC!$5:$37,DAY(X1222)+2,FALSE))</f>
        <v>20.348500000000001</v>
      </c>
      <c r="AD1222" s="307">
        <f t="shared" si="332"/>
        <v>104857.72573284247</v>
      </c>
      <c r="AE1222" s="314">
        <f t="shared" si="333"/>
        <v>125664.87172214661</v>
      </c>
      <c r="AF1222" s="315">
        <f t="shared" si="334"/>
        <v>-20807.145989304132</v>
      </c>
      <c r="AG1222" s="316">
        <f t="shared" si="335"/>
        <v>1.8383561643835618</v>
      </c>
      <c r="AH1222" s="314">
        <v>1</v>
      </c>
      <c r="AI1222" s="314">
        <f t="shared" si="336"/>
        <v>-20807.145989304132</v>
      </c>
      <c r="AJ1222" s="314">
        <f t="shared" si="337"/>
        <v>0</v>
      </c>
      <c r="AK1222" s="317"/>
      <c r="AL1222" s="315">
        <f t="shared" si="338"/>
        <v>232.47733384069033</v>
      </c>
      <c r="AN1222" s="554">
        <f t="shared" si="339"/>
        <v>4.7245572473446858E-2</v>
      </c>
      <c r="AO1222" s="314"/>
      <c r="AP1222" s="318"/>
    </row>
    <row r="1223" spans="2:42">
      <c r="B1223" s="296" t="s">
        <v>1254</v>
      </c>
      <c r="C1223" s="299" t="s">
        <v>277</v>
      </c>
      <c r="D1223" s="298" t="s">
        <v>1043</v>
      </c>
      <c r="E1223" s="299" t="s">
        <v>113</v>
      </c>
      <c r="F1223" s="299" t="s">
        <v>59</v>
      </c>
      <c r="G1223" s="300">
        <v>44141</v>
      </c>
      <c r="H1223" s="303">
        <v>6503.4649999999992</v>
      </c>
      <c r="I1223" s="301" t="str">
        <f t="shared" si="323"/>
        <v>Ingresos Sección II LISR (SIC &amp; BMV)</v>
      </c>
      <c r="J1223" s="302">
        <f t="shared" si="324"/>
        <v>83</v>
      </c>
      <c r="K1223" s="304">
        <f t="shared" si="325"/>
        <v>78.35499999999999</v>
      </c>
      <c r="L1223" s="305">
        <f>IF(H1223=0,0,IF(OR(E1223=$AT$5,E1223=$AT$6),AA1223,IF(F1223="MXN",1/HLOOKUP(YEAR(G1223)+(MONTH(G1223)/100),TC!$5:$37,DAY(G1223)+2,FALSE),VLOOKUP(F1223,Equivalencia!$5:$23,((MAX(Equivalencia!$3:$3)-YEAR(G1223))*14)+MONTH(G1223)+2,FALSE))))</f>
        <v>1</v>
      </c>
      <c r="M1223" s="306">
        <f t="shared" si="326"/>
        <v>6503.4649999999992</v>
      </c>
      <c r="N1223" s="305">
        <f>IF(G1223=0,0,(IF(OR(E1223=$AT$5,E1223=$AT$6),AC1223,HLOOKUP(YEAR(G1223)+(MONTH(G1223)/100),TC!$5:$37,DAY(G1223)+2,FALSE))))</f>
        <v>21.034500000000001</v>
      </c>
      <c r="O1223" s="307">
        <f t="shared" si="327"/>
        <v>136797.13454249999</v>
      </c>
      <c r="P1223" s="560">
        <f>IF(G1223=0,0,VLOOKUP(YEAR(G1223),INPC!$B$4:$P$30,MONTH(G1223)+2))</f>
        <v>108.85599999999999</v>
      </c>
      <c r="Q1223" s="560">
        <f>IF(X1223=0,0,IF(OR(E1223=$AT$10,E1223=$AT$9),VLOOKUP(YEAR(X1223),INPC!$B$4:$P$30,MONTH(X1223)+1),VLOOKUP(YEAR(X1223),INPC!$B$4:$P$30,MONTH(X1223)+2,0)))</f>
        <v>122.94799999999999</v>
      </c>
      <c r="R1223" s="309">
        <f t="shared" si="328"/>
        <v>1.1294</v>
      </c>
      <c r="S1223" s="310">
        <f t="shared" si="329"/>
        <v>154498.68375229949</v>
      </c>
      <c r="T1223" s="555">
        <f t="shared" si="330"/>
        <v>1861.4299247264998</v>
      </c>
      <c r="U1223" s="311"/>
      <c r="V1223" s="312">
        <v>83</v>
      </c>
      <c r="W1223" s="299" t="s">
        <v>194</v>
      </c>
      <c r="X1223" s="300">
        <v>44775</v>
      </c>
      <c r="Y1223" s="299" t="s">
        <v>59</v>
      </c>
      <c r="Z1223" s="303">
        <v>6788.9963698630136</v>
      </c>
      <c r="AA1223" s="305">
        <f>IF(Z1223=0,0,IF(Y1223="MXN",1/HLOOKUP(YEAR(X1223)+(MONTH(X1223)/100),TC!$5:$37,DAY(X1223)+2,FALSE),VLOOKUP(Y1223,Equivalencia!$1:$23,((MAX(Equivalencia!$3:$3)-YEAR(X1223))*14)+MONTH(X1223)+2,FALSE)))</f>
        <v>1</v>
      </c>
      <c r="AB1223" s="306">
        <f t="shared" si="331"/>
        <v>6788.9963698630136</v>
      </c>
      <c r="AC1223" s="305">
        <f>+IF(X1223=0,0,HLOOKUP(YEAR(X1223)+(MONTH(X1223)/100),TC!$5:$37,DAY(X1223)+2,FALSE))</f>
        <v>20.348500000000001</v>
      </c>
      <c r="AD1223" s="307">
        <f t="shared" si="332"/>
        <v>138145.89263215754</v>
      </c>
      <c r="AE1223" s="314">
        <f t="shared" si="333"/>
        <v>154498.68375229949</v>
      </c>
      <c r="AF1223" s="315">
        <f t="shared" si="334"/>
        <v>-16352.791120141948</v>
      </c>
      <c r="AG1223" s="316">
        <f t="shared" si="335"/>
        <v>1.736986301369863</v>
      </c>
      <c r="AH1223" s="314">
        <v>1</v>
      </c>
      <c r="AI1223" s="314">
        <f t="shared" si="336"/>
        <v>-16352.791120141948</v>
      </c>
      <c r="AJ1223" s="314">
        <f t="shared" si="337"/>
        <v>0</v>
      </c>
      <c r="AK1223" s="317"/>
      <c r="AL1223" s="315">
        <f t="shared" si="338"/>
        <v>285.53136986301433</v>
      </c>
      <c r="AN1223" s="554">
        <f t="shared" si="339"/>
        <v>4.3904498580835657E-2</v>
      </c>
      <c r="AO1223" s="314"/>
      <c r="AP1223" s="318"/>
    </row>
    <row r="1224" spans="2:42">
      <c r="B1224" s="296" t="s">
        <v>1254</v>
      </c>
      <c r="C1224" s="299" t="s">
        <v>277</v>
      </c>
      <c r="D1224" s="298" t="s">
        <v>1043</v>
      </c>
      <c r="E1224" s="299" t="s">
        <v>113</v>
      </c>
      <c r="F1224" s="299" t="s">
        <v>59</v>
      </c>
      <c r="G1224" s="300">
        <v>44141</v>
      </c>
      <c r="H1224" s="303">
        <v>1958.8749999999998</v>
      </c>
      <c r="I1224" s="301" t="str">
        <f t="shared" si="323"/>
        <v>Ingresos Sección II LISR (SIC &amp; BMV)</v>
      </c>
      <c r="J1224" s="302">
        <f t="shared" si="324"/>
        <v>25</v>
      </c>
      <c r="K1224" s="304">
        <f t="shared" si="325"/>
        <v>78.35499999999999</v>
      </c>
      <c r="L1224" s="305">
        <f>IF(H1224=0,0,IF(OR(E1224=$AT$5,E1224=$AT$6),AA1224,IF(F1224="MXN",1/HLOOKUP(YEAR(G1224)+(MONTH(G1224)/100),TC!$5:$37,DAY(G1224)+2,FALSE),VLOOKUP(F1224,Equivalencia!$5:$23,((MAX(Equivalencia!$3:$3)-YEAR(G1224))*14)+MONTH(G1224)+2,FALSE))))</f>
        <v>1</v>
      </c>
      <c r="M1224" s="306">
        <f t="shared" si="326"/>
        <v>1958.8749999999998</v>
      </c>
      <c r="N1224" s="305">
        <f>IF(G1224=0,0,(IF(OR(E1224=$AT$5,E1224=$AT$6),AC1224,HLOOKUP(YEAR(G1224)+(MONTH(G1224)/100),TC!$5:$37,DAY(G1224)+2,FALSE))))</f>
        <v>21.034500000000001</v>
      </c>
      <c r="O1224" s="307">
        <f t="shared" si="327"/>
        <v>41203.9561875</v>
      </c>
      <c r="P1224" s="560">
        <f>IF(G1224=0,0,VLOOKUP(YEAR(G1224),INPC!$B$4:$P$30,MONTH(G1224)+2))</f>
        <v>108.85599999999999</v>
      </c>
      <c r="Q1224" s="560">
        <f>IF(X1224=0,0,IF(OR(E1224=$AT$10,E1224=$AT$9),VLOOKUP(YEAR(X1224),INPC!$B$4:$P$30,MONTH(X1224)+1),VLOOKUP(YEAR(X1224),INPC!$B$4:$P$30,MONTH(X1224)+2,0)))</f>
        <v>122.94799999999999</v>
      </c>
      <c r="R1224" s="309">
        <f t="shared" si="328"/>
        <v>1.1294</v>
      </c>
      <c r="S1224" s="310">
        <f t="shared" si="329"/>
        <v>46535.748118162497</v>
      </c>
      <c r="T1224" s="555">
        <f t="shared" si="330"/>
        <v>1861.4299247264998</v>
      </c>
      <c r="U1224" s="311"/>
      <c r="V1224" s="312">
        <v>25</v>
      </c>
      <c r="W1224" s="299" t="s">
        <v>194</v>
      </c>
      <c r="X1224" s="300">
        <v>44775</v>
      </c>
      <c r="Y1224" s="299" t="s">
        <v>59</v>
      </c>
      <c r="Z1224" s="303">
        <v>2062.11</v>
      </c>
      <c r="AA1224" s="305">
        <f>IF(Z1224=0,0,IF(Y1224="MXN",1/HLOOKUP(YEAR(X1224)+(MONTH(X1224)/100),TC!$5:$37,DAY(X1224)+2,FALSE),VLOOKUP(Y1224,Equivalencia!$1:$23,((MAX(Equivalencia!$3:$3)-YEAR(X1224))*14)+MONTH(X1224)+2,FALSE)))</f>
        <v>1</v>
      </c>
      <c r="AB1224" s="306">
        <f t="shared" si="331"/>
        <v>2062.11</v>
      </c>
      <c r="AC1224" s="305">
        <f>+IF(X1224=0,0,HLOOKUP(YEAR(X1224)+(MONTH(X1224)/100),TC!$5:$37,DAY(X1224)+2,FALSE))</f>
        <v>20.348500000000001</v>
      </c>
      <c r="AD1224" s="307">
        <f t="shared" si="332"/>
        <v>41960.845335000005</v>
      </c>
      <c r="AE1224" s="314">
        <f t="shared" si="333"/>
        <v>46535.748118162497</v>
      </c>
      <c r="AF1224" s="315">
        <f t="shared" si="334"/>
        <v>-4574.9027831624917</v>
      </c>
      <c r="AG1224" s="316">
        <f t="shared" si="335"/>
        <v>1.736986301369863</v>
      </c>
      <c r="AH1224" s="314">
        <v>1</v>
      </c>
      <c r="AI1224" s="314">
        <f t="shared" si="336"/>
        <v>-4574.9027831624917</v>
      </c>
      <c r="AJ1224" s="314">
        <f t="shared" si="337"/>
        <v>0</v>
      </c>
      <c r="AK1224" s="317"/>
      <c r="AL1224" s="315">
        <f t="shared" si="338"/>
        <v>103.23500000000035</v>
      </c>
      <c r="AN1224" s="554">
        <f t="shared" si="339"/>
        <v>5.2701167762108543E-2</v>
      </c>
      <c r="AO1224" s="314"/>
      <c r="AP1224" s="318"/>
    </row>
    <row r="1225" spans="2:42">
      <c r="B1225" s="296" t="s">
        <v>1254</v>
      </c>
      <c r="C1225" s="299" t="s">
        <v>277</v>
      </c>
      <c r="D1225" s="298" t="s">
        <v>1043</v>
      </c>
      <c r="E1225" s="299" t="s">
        <v>113</v>
      </c>
      <c r="F1225" s="299" t="s">
        <v>59</v>
      </c>
      <c r="G1225" s="300">
        <v>44141</v>
      </c>
      <c r="H1225" s="303">
        <v>626.83999999999992</v>
      </c>
      <c r="I1225" s="301" t="str">
        <f t="shared" si="323"/>
        <v>Ingresos Sección II LISR (SIC &amp; BMV)</v>
      </c>
      <c r="J1225" s="302">
        <f t="shared" si="324"/>
        <v>8</v>
      </c>
      <c r="K1225" s="304">
        <f t="shared" si="325"/>
        <v>78.35499999999999</v>
      </c>
      <c r="L1225" s="305">
        <f>IF(H1225=0,0,IF(OR(E1225=$AT$5,E1225=$AT$6),AA1225,IF(F1225="MXN",1/HLOOKUP(YEAR(G1225)+(MONTH(G1225)/100),TC!$5:$37,DAY(G1225)+2,FALSE),VLOOKUP(F1225,Equivalencia!$5:$23,((MAX(Equivalencia!$3:$3)-YEAR(G1225))*14)+MONTH(G1225)+2,FALSE))))</f>
        <v>1</v>
      </c>
      <c r="M1225" s="306">
        <f t="shared" si="326"/>
        <v>626.83999999999992</v>
      </c>
      <c r="N1225" s="305">
        <f>IF(G1225=0,0,(IF(OR(E1225=$AT$5,E1225=$AT$6),AC1225,HLOOKUP(YEAR(G1225)+(MONTH(G1225)/100),TC!$5:$37,DAY(G1225)+2,FALSE))))</f>
        <v>21.034500000000001</v>
      </c>
      <c r="O1225" s="307">
        <f t="shared" si="327"/>
        <v>13185.265979999998</v>
      </c>
      <c r="P1225" s="560">
        <f>IF(G1225=0,0,VLOOKUP(YEAR(G1225),INPC!$B$4:$P$30,MONTH(G1225)+2))</f>
        <v>108.85599999999999</v>
      </c>
      <c r="Q1225" s="560">
        <f>IF(X1225=0,0,IF(OR(E1225=$AT$10,E1225=$AT$9),VLOOKUP(YEAR(X1225),INPC!$B$4:$P$30,MONTH(X1225)+1),VLOOKUP(YEAR(X1225),INPC!$B$4:$P$30,MONTH(X1225)+2,0)))</f>
        <v>122.94799999999999</v>
      </c>
      <c r="R1225" s="309">
        <f t="shared" si="328"/>
        <v>1.1294</v>
      </c>
      <c r="S1225" s="310">
        <f t="shared" si="329"/>
        <v>14891.439397811997</v>
      </c>
      <c r="T1225" s="555">
        <f t="shared" si="330"/>
        <v>1861.4299247264996</v>
      </c>
      <c r="U1225" s="311"/>
      <c r="V1225" s="312">
        <v>8</v>
      </c>
      <c r="W1225" s="299" t="s">
        <v>194</v>
      </c>
      <c r="X1225" s="300">
        <v>44775</v>
      </c>
      <c r="Y1225" s="299" t="s">
        <v>59</v>
      </c>
      <c r="Z1225" s="303">
        <v>660.98</v>
      </c>
      <c r="AA1225" s="305">
        <f>IF(Z1225=0,0,IF(Y1225="MXN",1/HLOOKUP(YEAR(X1225)+(MONTH(X1225)/100),TC!$5:$37,DAY(X1225)+2,FALSE),VLOOKUP(Y1225,Equivalencia!$1:$23,((MAX(Equivalencia!$3:$3)-YEAR(X1225))*14)+MONTH(X1225)+2,FALSE)))</f>
        <v>1</v>
      </c>
      <c r="AB1225" s="306">
        <f t="shared" si="331"/>
        <v>660.98</v>
      </c>
      <c r="AC1225" s="305">
        <f>+IF(X1225=0,0,HLOOKUP(YEAR(X1225)+(MONTH(X1225)/100),TC!$5:$37,DAY(X1225)+2,FALSE))</f>
        <v>20.348500000000001</v>
      </c>
      <c r="AD1225" s="307">
        <f t="shared" si="332"/>
        <v>13449.951530000002</v>
      </c>
      <c r="AE1225" s="314">
        <f t="shared" si="333"/>
        <v>14891.439397811997</v>
      </c>
      <c r="AF1225" s="315">
        <f t="shared" si="334"/>
        <v>-1441.4878678119949</v>
      </c>
      <c r="AG1225" s="316">
        <f t="shared" si="335"/>
        <v>1.736986301369863</v>
      </c>
      <c r="AH1225" s="314">
        <v>1</v>
      </c>
      <c r="AI1225" s="314">
        <f t="shared" si="336"/>
        <v>-1441.4878678119949</v>
      </c>
      <c r="AJ1225" s="314">
        <f t="shared" si="337"/>
        <v>0</v>
      </c>
      <c r="AK1225" s="317"/>
      <c r="AL1225" s="315">
        <f t="shared" si="338"/>
        <v>34.1400000000001</v>
      </c>
      <c r="AN1225" s="554">
        <f t="shared" si="339"/>
        <v>5.4463658987939673E-2</v>
      </c>
      <c r="AO1225" s="314"/>
      <c r="AP1225" s="318"/>
    </row>
    <row r="1226" spans="2:42">
      <c r="B1226" s="296" t="s">
        <v>1254</v>
      </c>
      <c r="C1226" s="299" t="s">
        <v>277</v>
      </c>
      <c r="D1226" s="298" t="s">
        <v>1043</v>
      </c>
      <c r="E1226" s="299" t="s">
        <v>113</v>
      </c>
      <c r="F1226" s="299" t="s">
        <v>59</v>
      </c>
      <c r="G1226" s="300">
        <v>44141</v>
      </c>
      <c r="H1226" s="303">
        <v>626.83999999999992</v>
      </c>
      <c r="I1226" s="301" t="str">
        <f t="shared" si="323"/>
        <v>Ingresos Sección II LISR (SIC &amp; BMV)</v>
      </c>
      <c r="J1226" s="302">
        <f t="shared" si="324"/>
        <v>8</v>
      </c>
      <c r="K1226" s="304">
        <f t="shared" si="325"/>
        <v>78.35499999999999</v>
      </c>
      <c r="L1226" s="305">
        <f>IF(H1226=0,0,IF(OR(E1226=$AT$5,E1226=$AT$6),AA1226,IF(F1226="MXN",1/HLOOKUP(YEAR(G1226)+(MONTH(G1226)/100),TC!$5:$37,DAY(G1226)+2,FALSE),VLOOKUP(F1226,Equivalencia!$5:$23,((MAX(Equivalencia!$3:$3)-YEAR(G1226))*14)+MONTH(G1226)+2,FALSE))))</f>
        <v>1</v>
      </c>
      <c r="M1226" s="306">
        <f t="shared" si="326"/>
        <v>626.83999999999992</v>
      </c>
      <c r="N1226" s="305">
        <f>IF(G1226=0,0,(IF(OR(E1226=$AT$5,E1226=$AT$6),AC1226,HLOOKUP(YEAR(G1226)+(MONTH(G1226)/100),TC!$5:$37,DAY(G1226)+2,FALSE))))</f>
        <v>21.034500000000001</v>
      </c>
      <c r="O1226" s="307">
        <f t="shared" si="327"/>
        <v>13185.265979999998</v>
      </c>
      <c r="P1226" s="560">
        <f>IF(G1226=0,0,VLOOKUP(YEAR(G1226),INPC!$B$4:$P$30,MONTH(G1226)+2))</f>
        <v>108.85599999999999</v>
      </c>
      <c r="Q1226" s="560">
        <f>IF(X1226=0,0,IF(OR(E1226=$AT$10,E1226=$AT$9),VLOOKUP(YEAR(X1226),INPC!$B$4:$P$30,MONTH(X1226)+1),VLOOKUP(YEAR(X1226),INPC!$B$4:$P$30,MONTH(X1226)+2,0)))</f>
        <v>122.94799999999999</v>
      </c>
      <c r="R1226" s="309">
        <f t="shared" si="328"/>
        <v>1.1294</v>
      </c>
      <c r="S1226" s="310">
        <f t="shared" si="329"/>
        <v>14891.439397811997</v>
      </c>
      <c r="T1226" s="555">
        <f t="shared" si="330"/>
        <v>1861.4299247264996</v>
      </c>
      <c r="U1226" s="311"/>
      <c r="V1226" s="312">
        <v>8</v>
      </c>
      <c r="W1226" s="299" t="s">
        <v>194</v>
      </c>
      <c r="X1226" s="300">
        <v>44775</v>
      </c>
      <c r="Y1226" s="299" t="s">
        <v>59</v>
      </c>
      <c r="Z1226" s="303">
        <v>660.98</v>
      </c>
      <c r="AA1226" s="305">
        <f>IF(Z1226=0,0,IF(Y1226="MXN",1/HLOOKUP(YEAR(X1226)+(MONTH(X1226)/100),TC!$5:$37,DAY(X1226)+2,FALSE),VLOOKUP(Y1226,Equivalencia!$1:$23,((MAX(Equivalencia!$3:$3)-YEAR(X1226))*14)+MONTH(X1226)+2,FALSE)))</f>
        <v>1</v>
      </c>
      <c r="AB1226" s="306">
        <f t="shared" si="331"/>
        <v>660.98</v>
      </c>
      <c r="AC1226" s="305">
        <f>+IF(X1226=0,0,HLOOKUP(YEAR(X1226)+(MONTH(X1226)/100),TC!$5:$37,DAY(X1226)+2,FALSE))</f>
        <v>20.348500000000001</v>
      </c>
      <c r="AD1226" s="307">
        <f t="shared" si="332"/>
        <v>13449.951530000002</v>
      </c>
      <c r="AE1226" s="314">
        <f t="shared" si="333"/>
        <v>14891.439397811997</v>
      </c>
      <c r="AF1226" s="315">
        <f t="shared" si="334"/>
        <v>-1441.4878678119949</v>
      </c>
      <c r="AG1226" s="316">
        <f t="shared" si="335"/>
        <v>1.736986301369863</v>
      </c>
      <c r="AH1226" s="314">
        <v>1</v>
      </c>
      <c r="AI1226" s="314">
        <f t="shared" si="336"/>
        <v>-1441.4878678119949</v>
      </c>
      <c r="AJ1226" s="314">
        <f t="shared" si="337"/>
        <v>0</v>
      </c>
      <c r="AK1226" s="317"/>
      <c r="AL1226" s="315">
        <f t="shared" si="338"/>
        <v>34.1400000000001</v>
      </c>
      <c r="AN1226" s="554">
        <f t="shared" si="339"/>
        <v>5.4463658987939673E-2</v>
      </c>
      <c r="AO1226" s="314"/>
      <c r="AP1226" s="318"/>
    </row>
    <row r="1227" spans="2:42">
      <c r="B1227" s="296" t="s">
        <v>1254</v>
      </c>
      <c r="C1227" s="299" t="s">
        <v>277</v>
      </c>
      <c r="D1227" s="298" t="s">
        <v>713</v>
      </c>
      <c r="E1227" s="299" t="s">
        <v>113</v>
      </c>
      <c r="F1227" s="299" t="s">
        <v>59</v>
      </c>
      <c r="G1227" s="300">
        <v>44508</v>
      </c>
      <c r="H1227" s="303">
        <v>15088.900621468927</v>
      </c>
      <c r="I1227" s="301" t="str">
        <f t="shared" si="323"/>
        <v>Ingresos Sección II LISR (SIC &amp; BMV)</v>
      </c>
      <c r="J1227" s="302">
        <f t="shared" si="324"/>
        <v>206</v>
      </c>
      <c r="K1227" s="304">
        <f t="shared" si="325"/>
        <v>73.247090395480228</v>
      </c>
      <c r="L1227" s="305">
        <f>IF(H1227=0,0,IF(OR(E1227=$AT$5,E1227=$AT$6),AA1227,IF(F1227="MXN",1/HLOOKUP(YEAR(G1227)+(MONTH(G1227)/100),TC!$5:$37,DAY(G1227)+2,FALSE),VLOOKUP(F1227,Equivalencia!$5:$23,((MAX(Equivalencia!$3:$3)-YEAR(G1227))*14)+MONTH(G1227)+2,FALSE))))</f>
        <v>1</v>
      </c>
      <c r="M1227" s="306">
        <f t="shared" si="326"/>
        <v>15088.900621468927</v>
      </c>
      <c r="N1227" s="305">
        <f>IF(G1227=0,0,(IF(OR(E1227=$AT$5,E1227=$AT$6),AC1227,HLOOKUP(YEAR(G1227)+(MONTH(G1227)/100),TC!$5:$37,DAY(G1227)+2,FALSE))))</f>
        <v>20.624199999999998</v>
      </c>
      <c r="O1227" s="307">
        <f t="shared" si="327"/>
        <v>311196.50419729942</v>
      </c>
      <c r="P1227" s="560">
        <f>IF(G1227=0,0,VLOOKUP(YEAR(G1227),INPC!$B$4:$P$30,MONTH(G1227)+2))</f>
        <v>116.884</v>
      </c>
      <c r="Q1227" s="560">
        <f>IF(X1227=0,0,IF(OR(E1227=$AT$10,E1227=$AT$9),VLOOKUP(YEAR(X1227),INPC!$B$4:$P$30,MONTH(X1227)+1),VLOOKUP(YEAR(X1227),INPC!$B$4:$P$30,MONTH(X1227)+2,0)))</f>
        <v>124.571</v>
      </c>
      <c r="R1227" s="309">
        <f t="shared" si="328"/>
        <v>1.0657000000000001</v>
      </c>
      <c r="S1227" s="310">
        <f t="shared" si="329"/>
        <v>331642.11452306202</v>
      </c>
      <c r="T1227" s="555">
        <f t="shared" si="330"/>
        <v>1609.9131772964176</v>
      </c>
      <c r="U1227" s="311"/>
      <c r="V1227" s="312">
        <v>206</v>
      </c>
      <c r="W1227" s="299" t="s">
        <v>194</v>
      </c>
      <c r="X1227" s="300">
        <v>44846</v>
      </c>
      <c r="Y1227" s="299" t="s">
        <v>59</v>
      </c>
      <c r="Z1227" s="303">
        <v>7787.2788596491228</v>
      </c>
      <c r="AA1227" s="305">
        <f>IF(Z1227=0,0,IF(Y1227="MXN",1/HLOOKUP(YEAR(X1227)+(MONTH(X1227)/100),TC!$5:$37,DAY(X1227)+2,FALSE),VLOOKUP(Y1227,Equivalencia!$1:$23,((MAX(Equivalencia!$3:$3)-YEAR(X1227))*14)+MONTH(X1227)+2,FALSE)))</f>
        <v>1</v>
      </c>
      <c r="AB1227" s="306">
        <f t="shared" si="331"/>
        <v>7787.2788596491228</v>
      </c>
      <c r="AC1227" s="305">
        <f>+IF(X1227=0,0,HLOOKUP(YEAR(X1227)+(MONTH(X1227)/100),TC!$5:$37,DAY(X1227)+2,FALSE))</f>
        <v>19.975200000000001</v>
      </c>
      <c r="AD1227" s="307">
        <f t="shared" si="332"/>
        <v>155552.45267726315</v>
      </c>
      <c r="AE1227" s="314">
        <f t="shared" si="333"/>
        <v>331642.11452306202</v>
      </c>
      <c r="AF1227" s="315">
        <f t="shared" si="334"/>
        <v>-176089.66184579887</v>
      </c>
      <c r="AG1227" s="316">
        <f t="shared" si="335"/>
        <v>0.92602739726027394</v>
      </c>
      <c r="AH1227" s="314">
        <v>1</v>
      </c>
      <c r="AI1227" s="314">
        <f t="shared" si="336"/>
        <v>-176089.66184579887</v>
      </c>
      <c r="AJ1227" s="314">
        <f t="shared" si="337"/>
        <v>0</v>
      </c>
      <c r="AK1227" s="317"/>
      <c r="AL1227" s="315">
        <f t="shared" si="338"/>
        <v>-7301.6217618198043</v>
      </c>
      <c r="AN1227" s="554">
        <f t="shared" si="339"/>
        <v>-0.48390680971354827</v>
      </c>
      <c r="AO1227" s="314"/>
      <c r="AP1227" s="318"/>
    </row>
    <row r="1228" spans="2:42">
      <c r="B1228" s="296" t="s">
        <v>1254</v>
      </c>
      <c r="C1228" s="299" t="s">
        <v>277</v>
      </c>
      <c r="D1228" s="298" t="s">
        <v>713</v>
      </c>
      <c r="E1228" s="299" t="s">
        <v>113</v>
      </c>
      <c r="F1228" s="299" t="s">
        <v>59</v>
      </c>
      <c r="G1228" s="300">
        <v>44510</v>
      </c>
      <c r="H1228" s="303">
        <v>1081.02</v>
      </c>
      <c r="I1228" s="301" t="str">
        <f t="shared" si="323"/>
        <v>Ingresos Sección II LISR (SIC &amp; BMV)</v>
      </c>
      <c r="J1228" s="302">
        <f t="shared" si="324"/>
        <v>15</v>
      </c>
      <c r="K1228" s="304">
        <f t="shared" si="325"/>
        <v>72.067999999999998</v>
      </c>
      <c r="L1228" s="305">
        <f>IF(H1228=0,0,IF(OR(E1228=$AT$5,E1228=$AT$6),AA1228,IF(F1228="MXN",1/HLOOKUP(YEAR(G1228)+(MONTH(G1228)/100),TC!$5:$37,DAY(G1228)+2,FALSE),VLOOKUP(F1228,Equivalencia!$5:$23,((MAX(Equivalencia!$3:$3)-YEAR(G1228))*14)+MONTH(G1228)+2,FALSE))))</f>
        <v>1</v>
      </c>
      <c r="M1228" s="306">
        <f t="shared" si="326"/>
        <v>1081.02</v>
      </c>
      <c r="N1228" s="305">
        <f>IF(G1228=0,0,(IF(OR(E1228=$AT$5,E1228=$AT$6),AC1228,HLOOKUP(YEAR(G1228)+(MONTH(G1228)/100),TC!$5:$37,DAY(G1228)+2,FALSE))))</f>
        <v>20.326499999999999</v>
      </c>
      <c r="O1228" s="307">
        <f t="shared" si="327"/>
        <v>21973.353029999998</v>
      </c>
      <c r="P1228" s="560">
        <f>IF(G1228=0,0,VLOOKUP(YEAR(G1228),INPC!$B$4:$P$30,MONTH(G1228)+2))</f>
        <v>116.884</v>
      </c>
      <c r="Q1228" s="560">
        <f>IF(X1228=0,0,IF(OR(E1228=$AT$10,E1228=$AT$9),VLOOKUP(YEAR(X1228),INPC!$B$4:$P$30,MONTH(X1228)+1),VLOOKUP(YEAR(X1228),INPC!$B$4:$P$30,MONTH(X1228)+2,0)))</f>
        <v>124.571</v>
      </c>
      <c r="R1228" s="309">
        <f t="shared" si="328"/>
        <v>1.0657000000000001</v>
      </c>
      <c r="S1228" s="310">
        <f t="shared" si="329"/>
        <v>23417.002324071</v>
      </c>
      <c r="T1228" s="555">
        <f t="shared" si="330"/>
        <v>1561.1334882714</v>
      </c>
      <c r="U1228" s="311"/>
      <c r="V1228" s="312">
        <v>15</v>
      </c>
      <c r="W1228" s="299" t="s">
        <v>194</v>
      </c>
      <c r="X1228" s="300">
        <v>44846</v>
      </c>
      <c r="Y1228" s="299" t="s">
        <v>59</v>
      </c>
      <c r="Z1228" s="303">
        <v>567.03486842105258</v>
      </c>
      <c r="AA1228" s="305">
        <f>IF(Z1228=0,0,IF(Y1228="MXN",1/HLOOKUP(YEAR(X1228)+(MONTH(X1228)/100),TC!$5:$37,DAY(X1228)+2,FALSE),VLOOKUP(Y1228,Equivalencia!$1:$23,((MAX(Equivalencia!$3:$3)-YEAR(X1228))*14)+MONTH(X1228)+2,FALSE)))</f>
        <v>1</v>
      </c>
      <c r="AB1228" s="306">
        <f t="shared" si="331"/>
        <v>567.03486842105258</v>
      </c>
      <c r="AC1228" s="305">
        <f>+IF(X1228=0,0,HLOOKUP(YEAR(X1228)+(MONTH(X1228)/100),TC!$5:$37,DAY(X1228)+2,FALSE))</f>
        <v>19.975200000000001</v>
      </c>
      <c r="AD1228" s="307">
        <f t="shared" si="332"/>
        <v>11326.634903684209</v>
      </c>
      <c r="AE1228" s="314">
        <f t="shared" si="333"/>
        <v>23417.002324071</v>
      </c>
      <c r="AF1228" s="315">
        <f t="shared" si="334"/>
        <v>-12090.36742038679</v>
      </c>
      <c r="AG1228" s="316">
        <f t="shared" si="335"/>
        <v>0.92054794520547945</v>
      </c>
      <c r="AH1228" s="314">
        <v>1</v>
      </c>
      <c r="AI1228" s="314">
        <f t="shared" si="336"/>
        <v>-12090.36742038679</v>
      </c>
      <c r="AJ1228" s="314">
        <f t="shared" si="337"/>
        <v>0</v>
      </c>
      <c r="AK1228" s="317"/>
      <c r="AL1228" s="315">
        <f t="shared" si="338"/>
        <v>-513.9851315789474</v>
      </c>
      <c r="AN1228" s="554">
        <f t="shared" si="339"/>
        <v>-0.4754631103762626</v>
      </c>
      <c r="AO1228" s="314"/>
      <c r="AP1228" s="318"/>
    </row>
    <row r="1229" spans="2:42">
      <c r="B1229" s="296" t="s">
        <v>1254</v>
      </c>
      <c r="C1229" s="299" t="s">
        <v>277</v>
      </c>
      <c r="D1229" s="298" t="s">
        <v>713</v>
      </c>
      <c r="E1229" s="299" t="s">
        <v>113</v>
      </c>
      <c r="F1229" s="299" t="s">
        <v>59</v>
      </c>
      <c r="G1229" s="300">
        <v>44510</v>
      </c>
      <c r="H1229" s="303">
        <v>508.53452631578949</v>
      </c>
      <c r="I1229" s="301" t="str">
        <f t="shared" si="323"/>
        <v>Ingresos Sección II LISR (SIC &amp; BMV)</v>
      </c>
      <c r="J1229" s="302">
        <f t="shared" si="324"/>
        <v>7</v>
      </c>
      <c r="K1229" s="304">
        <f t="shared" si="325"/>
        <v>72.647789473684213</v>
      </c>
      <c r="L1229" s="305">
        <f>IF(H1229=0,0,IF(OR(E1229=$AT$5,E1229=$AT$6),AA1229,IF(F1229="MXN",1/HLOOKUP(YEAR(G1229)+(MONTH(G1229)/100),TC!$5:$37,DAY(G1229)+2,FALSE),VLOOKUP(F1229,Equivalencia!$5:$23,((MAX(Equivalencia!$3:$3)-YEAR(G1229))*14)+MONTH(G1229)+2,FALSE))))</f>
        <v>1</v>
      </c>
      <c r="M1229" s="306">
        <f t="shared" si="326"/>
        <v>508.53452631578949</v>
      </c>
      <c r="N1229" s="305">
        <f>IF(G1229=0,0,(IF(OR(E1229=$AT$5,E1229=$AT$6),AC1229,HLOOKUP(YEAR(G1229)+(MONTH(G1229)/100),TC!$5:$37,DAY(G1229)+2,FALSE))))</f>
        <v>20.326499999999999</v>
      </c>
      <c r="O1229" s="307">
        <f t="shared" si="327"/>
        <v>10336.727049157895</v>
      </c>
      <c r="P1229" s="560">
        <f>IF(G1229=0,0,VLOOKUP(YEAR(G1229),INPC!$B$4:$P$30,MONTH(G1229)+2))</f>
        <v>116.884</v>
      </c>
      <c r="Q1229" s="560">
        <f>IF(X1229=0,0,IF(OR(E1229=$AT$10,E1229=$AT$9),VLOOKUP(YEAR(X1229),INPC!$B$4:$P$30,MONTH(X1229)+1),VLOOKUP(YEAR(X1229),INPC!$B$4:$P$30,MONTH(X1229)+2,0)))</f>
        <v>124.571</v>
      </c>
      <c r="R1229" s="309">
        <f t="shared" si="328"/>
        <v>1.0657000000000001</v>
      </c>
      <c r="S1229" s="310">
        <f t="shared" si="329"/>
        <v>11015.85001628757</v>
      </c>
      <c r="T1229" s="555">
        <f t="shared" si="330"/>
        <v>1573.6928594696528</v>
      </c>
      <c r="U1229" s="311"/>
      <c r="V1229" s="312">
        <v>7</v>
      </c>
      <c r="W1229" s="299" t="s">
        <v>194</v>
      </c>
      <c r="X1229" s="300">
        <v>44846</v>
      </c>
      <c r="Y1229" s="299" t="s">
        <v>59</v>
      </c>
      <c r="Z1229" s="303">
        <v>264.61627192982456</v>
      </c>
      <c r="AA1229" s="305">
        <f>IF(Z1229=0,0,IF(Y1229="MXN",1/HLOOKUP(YEAR(X1229)+(MONTH(X1229)/100),TC!$5:$37,DAY(X1229)+2,FALSE),VLOOKUP(Y1229,Equivalencia!$1:$23,((MAX(Equivalencia!$3:$3)-YEAR(X1229))*14)+MONTH(X1229)+2,FALSE)))</f>
        <v>1</v>
      </c>
      <c r="AB1229" s="306">
        <f t="shared" si="331"/>
        <v>264.61627192982456</v>
      </c>
      <c r="AC1229" s="305">
        <f>+IF(X1229=0,0,HLOOKUP(YEAR(X1229)+(MONTH(X1229)/100),TC!$5:$37,DAY(X1229)+2,FALSE))</f>
        <v>19.975200000000001</v>
      </c>
      <c r="AD1229" s="307">
        <f t="shared" si="332"/>
        <v>5285.7629550526317</v>
      </c>
      <c r="AE1229" s="314">
        <f t="shared" si="333"/>
        <v>11015.85001628757</v>
      </c>
      <c r="AF1229" s="315">
        <f t="shared" si="334"/>
        <v>-5730.0870612349381</v>
      </c>
      <c r="AG1229" s="316">
        <f t="shared" si="335"/>
        <v>0.92054794520547945</v>
      </c>
      <c r="AH1229" s="314">
        <v>1</v>
      </c>
      <c r="AI1229" s="314">
        <f t="shared" si="336"/>
        <v>-5730.0870612349381</v>
      </c>
      <c r="AJ1229" s="314">
        <f t="shared" si="337"/>
        <v>0</v>
      </c>
      <c r="AK1229" s="317"/>
      <c r="AL1229" s="315">
        <f t="shared" si="338"/>
        <v>-243.91825438596493</v>
      </c>
      <c r="AN1229" s="554">
        <f t="shared" si="339"/>
        <v>-0.47964934879268495</v>
      </c>
      <c r="AO1229" s="314"/>
      <c r="AP1229" s="318"/>
    </row>
    <row r="1230" spans="2:42">
      <c r="B1230" s="296" t="s">
        <v>1254</v>
      </c>
      <c r="C1230" s="299" t="s">
        <v>277</v>
      </c>
      <c r="D1230" s="298" t="s">
        <v>713</v>
      </c>
      <c r="E1230" s="299" t="s">
        <v>113</v>
      </c>
      <c r="F1230" s="299" t="s">
        <v>59</v>
      </c>
      <c r="G1230" s="300">
        <v>44510</v>
      </c>
      <c r="H1230" s="303">
        <v>13294.545473684211</v>
      </c>
      <c r="I1230" s="301" t="str">
        <f t="shared" si="323"/>
        <v>Ingresos Sección II LISR (SIC &amp; BMV)</v>
      </c>
      <c r="J1230" s="302">
        <f t="shared" si="324"/>
        <v>183</v>
      </c>
      <c r="K1230" s="304">
        <f t="shared" si="325"/>
        <v>72.647789473684213</v>
      </c>
      <c r="L1230" s="305">
        <f>IF(H1230=0,0,IF(OR(E1230=$AT$5,E1230=$AT$6),AA1230,IF(F1230="MXN",1/HLOOKUP(YEAR(G1230)+(MONTH(G1230)/100),TC!$5:$37,DAY(G1230)+2,FALSE),VLOOKUP(F1230,Equivalencia!$5:$23,((MAX(Equivalencia!$3:$3)-YEAR(G1230))*14)+MONTH(G1230)+2,FALSE))))</f>
        <v>1</v>
      </c>
      <c r="M1230" s="306">
        <f t="shared" si="326"/>
        <v>13294.545473684211</v>
      </c>
      <c r="N1230" s="305">
        <f>IF(G1230=0,0,(IF(OR(E1230=$AT$5,E1230=$AT$6),AC1230,HLOOKUP(YEAR(G1230)+(MONTH(G1230)/100),TC!$5:$37,DAY(G1230)+2,FALSE))))</f>
        <v>20.326499999999999</v>
      </c>
      <c r="O1230" s="307">
        <f t="shared" si="327"/>
        <v>270231.5785708421</v>
      </c>
      <c r="P1230" s="560">
        <f>IF(G1230=0,0,VLOOKUP(YEAR(G1230),INPC!$B$4:$P$30,MONTH(G1230)+2))</f>
        <v>116.884</v>
      </c>
      <c r="Q1230" s="560">
        <f>IF(X1230=0,0,IF(OR(E1230=$AT$10,E1230=$AT$9),VLOOKUP(YEAR(X1230),INPC!$B$4:$P$30,MONTH(X1230)+1),VLOOKUP(YEAR(X1230),INPC!$B$4:$P$30,MONTH(X1230)+2,0)))</f>
        <v>124.571</v>
      </c>
      <c r="R1230" s="309">
        <f t="shared" si="328"/>
        <v>1.0657000000000001</v>
      </c>
      <c r="S1230" s="310">
        <f t="shared" si="329"/>
        <v>287985.79328294646</v>
      </c>
      <c r="T1230" s="555">
        <f t="shared" si="330"/>
        <v>1573.6928594696528</v>
      </c>
      <c r="U1230" s="311"/>
      <c r="V1230" s="312">
        <v>183</v>
      </c>
      <c r="W1230" s="299" t="s">
        <v>194</v>
      </c>
      <c r="X1230" s="300">
        <v>44855</v>
      </c>
      <c r="Y1230" s="299" t="s">
        <v>59</v>
      </c>
      <c r="Z1230" s="303">
        <v>7031.1174874371854</v>
      </c>
      <c r="AA1230" s="305">
        <f>IF(Z1230=0,0,IF(Y1230="MXN",1/HLOOKUP(YEAR(X1230)+(MONTH(X1230)/100),TC!$5:$37,DAY(X1230)+2,FALSE),VLOOKUP(Y1230,Equivalencia!$1:$23,((MAX(Equivalencia!$3:$3)-YEAR(X1230))*14)+MONTH(X1230)+2,FALSE)))</f>
        <v>1</v>
      </c>
      <c r="AB1230" s="306">
        <f t="shared" si="331"/>
        <v>7031.1174874371854</v>
      </c>
      <c r="AC1230" s="305">
        <f>+IF(X1230=0,0,HLOOKUP(YEAR(X1230)+(MONTH(X1230)/100),TC!$5:$37,DAY(X1230)+2,FALSE))</f>
        <v>20.127199999999998</v>
      </c>
      <c r="AD1230" s="307">
        <f t="shared" si="332"/>
        <v>141516.70789314571</v>
      </c>
      <c r="AE1230" s="314">
        <f t="shared" si="333"/>
        <v>287985.79328294646</v>
      </c>
      <c r="AF1230" s="315">
        <f t="shared" si="334"/>
        <v>-146469.08538980075</v>
      </c>
      <c r="AG1230" s="316">
        <f t="shared" si="335"/>
        <v>0.9452054794520548</v>
      </c>
      <c r="AH1230" s="314">
        <v>1</v>
      </c>
      <c r="AI1230" s="314">
        <f t="shared" si="336"/>
        <v>-146469.08538980075</v>
      </c>
      <c r="AJ1230" s="314">
        <f t="shared" si="337"/>
        <v>0</v>
      </c>
      <c r="AK1230" s="317"/>
      <c r="AL1230" s="315">
        <f t="shared" si="338"/>
        <v>-6263.4279862470257</v>
      </c>
      <c r="AN1230" s="554">
        <f t="shared" si="339"/>
        <v>-0.47112765146015118</v>
      </c>
      <c r="AO1230" s="314"/>
      <c r="AP1230" s="318"/>
    </row>
    <row r="1231" spans="2:42">
      <c r="B1231" s="296" t="s">
        <v>1254</v>
      </c>
      <c r="C1231" s="299" t="s">
        <v>277</v>
      </c>
      <c r="D1231" s="298" t="s">
        <v>713</v>
      </c>
      <c r="E1231" s="299" t="s">
        <v>113</v>
      </c>
      <c r="F1231" s="299" t="s">
        <v>59</v>
      </c>
      <c r="G1231" s="300">
        <v>44512</v>
      </c>
      <c r="H1231" s="303">
        <v>1181.0018461538461</v>
      </c>
      <c r="I1231" s="301" t="str">
        <f t="shared" si="323"/>
        <v>Ingresos Sección II LISR (SIC &amp; BMV)</v>
      </c>
      <c r="J1231" s="302">
        <f t="shared" si="324"/>
        <v>16</v>
      </c>
      <c r="K1231" s="304">
        <f t="shared" si="325"/>
        <v>73.812615384615384</v>
      </c>
      <c r="L1231" s="305">
        <f>IF(H1231=0,0,IF(OR(E1231=$AT$5,E1231=$AT$6),AA1231,IF(F1231="MXN",1/HLOOKUP(YEAR(G1231)+(MONTH(G1231)/100),TC!$5:$37,DAY(G1231)+2,FALSE),VLOOKUP(F1231,Equivalencia!$5:$23,((MAX(Equivalencia!$3:$3)-YEAR(G1231))*14)+MONTH(G1231)+2,FALSE))))</f>
        <v>1</v>
      </c>
      <c r="M1231" s="306">
        <f t="shared" si="326"/>
        <v>1181.0018461538461</v>
      </c>
      <c r="N1231" s="305">
        <f>IF(G1231=0,0,(IF(OR(E1231=$AT$5,E1231=$AT$6),AC1231,HLOOKUP(YEAR(G1231)+(MONTH(G1231)/100),TC!$5:$37,DAY(G1231)+2,FALSE))))</f>
        <v>20.470199999999998</v>
      </c>
      <c r="O1231" s="307">
        <f t="shared" si="327"/>
        <v>24175.343991138459</v>
      </c>
      <c r="P1231" s="560">
        <f>IF(G1231=0,0,VLOOKUP(YEAR(G1231),INPC!$B$4:$P$30,MONTH(G1231)+2))</f>
        <v>116.884</v>
      </c>
      <c r="Q1231" s="560">
        <f>IF(X1231=0,0,IF(OR(E1231=$AT$10,E1231=$AT$9),VLOOKUP(YEAR(X1231),INPC!$B$4:$P$30,MONTH(X1231)+1),VLOOKUP(YEAR(X1231),INPC!$B$4:$P$30,MONTH(X1231)+2,0)))</f>
        <v>124.571</v>
      </c>
      <c r="R1231" s="309">
        <f t="shared" si="328"/>
        <v>1.0657000000000001</v>
      </c>
      <c r="S1231" s="310">
        <f t="shared" si="329"/>
        <v>25763.664091356259</v>
      </c>
      <c r="T1231" s="555">
        <f t="shared" si="330"/>
        <v>1610.2290057097662</v>
      </c>
      <c r="U1231" s="311"/>
      <c r="V1231" s="312">
        <v>16</v>
      </c>
      <c r="W1231" s="299" t="s">
        <v>194</v>
      </c>
      <c r="X1231" s="300">
        <v>44855</v>
      </c>
      <c r="Y1231" s="299" t="s">
        <v>59</v>
      </c>
      <c r="Z1231" s="303">
        <v>614.742512562814</v>
      </c>
      <c r="AA1231" s="305">
        <f>IF(Z1231=0,0,IF(Y1231="MXN",1/HLOOKUP(YEAR(X1231)+(MONTH(X1231)/100),TC!$5:$37,DAY(X1231)+2,FALSE),VLOOKUP(Y1231,Equivalencia!$1:$23,((MAX(Equivalencia!$3:$3)-YEAR(X1231))*14)+MONTH(X1231)+2,FALSE)))</f>
        <v>1</v>
      </c>
      <c r="AB1231" s="306">
        <f t="shared" si="331"/>
        <v>614.742512562814</v>
      </c>
      <c r="AC1231" s="305">
        <f>+IF(X1231=0,0,HLOOKUP(YEAR(X1231)+(MONTH(X1231)/100),TC!$5:$37,DAY(X1231)+2,FALSE))</f>
        <v>20.127199999999998</v>
      </c>
      <c r="AD1231" s="307">
        <f t="shared" si="332"/>
        <v>12373.04549885427</v>
      </c>
      <c r="AE1231" s="314">
        <f t="shared" si="333"/>
        <v>25763.664091356259</v>
      </c>
      <c r="AF1231" s="315">
        <f t="shared" si="334"/>
        <v>-13390.618592501989</v>
      </c>
      <c r="AG1231" s="316">
        <f t="shared" si="335"/>
        <v>0.9397260273972603</v>
      </c>
      <c r="AH1231" s="314">
        <v>1</v>
      </c>
      <c r="AI1231" s="314">
        <f t="shared" si="336"/>
        <v>-13390.618592501989</v>
      </c>
      <c r="AJ1231" s="314">
        <f t="shared" si="337"/>
        <v>0</v>
      </c>
      <c r="AK1231" s="317"/>
      <c r="AL1231" s="315">
        <f t="shared" si="338"/>
        <v>-566.25933359103215</v>
      </c>
      <c r="AN1231" s="554">
        <f t="shared" si="339"/>
        <v>-0.47947370737409245</v>
      </c>
      <c r="AO1231" s="314"/>
      <c r="AP1231" s="318"/>
    </row>
    <row r="1232" spans="2:42">
      <c r="B1232" s="296" t="s">
        <v>1254</v>
      </c>
      <c r="C1232" s="299" t="s">
        <v>277</v>
      </c>
      <c r="D1232" s="298" t="s">
        <v>915</v>
      </c>
      <c r="E1232" s="299" t="s">
        <v>113</v>
      </c>
      <c r="F1232" s="299" t="s">
        <v>59</v>
      </c>
      <c r="G1232" s="300">
        <v>44671</v>
      </c>
      <c r="H1232" s="303">
        <v>10037.037317073171</v>
      </c>
      <c r="I1232" s="301" t="str">
        <f t="shared" si="323"/>
        <v>Ingresos Sección II LISR (SIC &amp; BMV)</v>
      </c>
      <c r="J1232" s="302">
        <f t="shared" si="324"/>
        <v>19</v>
      </c>
      <c r="K1232" s="304">
        <f t="shared" si="325"/>
        <v>528.2651219512195</v>
      </c>
      <c r="L1232" s="305">
        <f>IF(H1232=0,0,IF(OR(E1232=$AT$5,E1232=$AT$6),AA1232,IF(F1232="MXN",1/HLOOKUP(YEAR(G1232)+(MONTH(G1232)/100),TC!$5:$37,DAY(G1232)+2,FALSE),VLOOKUP(F1232,Equivalencia!$5:$23,((MAX(Equivalencia!$3:$3)-YEAR(G1232))*14)+MONTH(G1232)+2,FALSE))))</f>
        <v>1</v>
      </c>
      <c r="M1232" s="306">
        <f t="shared" si="326"/>
        <v>10037.037317073171</v>
      </c>
      <c r="N1232" s="305">
        <f>IF(G1232=0,0,(IF(OR(E1232=$AT$5,E1232=$AT$6),AC1232,HLOOKUP(YEAR(G1232)+(MONTH(G1232)/100),TC!$5:$37,DAY(G1232)+2,FALSE))))</f>
        <v>19.9377</v>
      </c>
      <c r="O1232" s="307">
        <f t="shared" si="327"/>
        <v>200115.43891660977</v>
      </c>
      <c r="P1232" s="560">
        <f>IF(G1232=0,0,VLOOKUP(YEAR(G1232),INPC!$B$4:$P$30,MONTH(G1232)+2))</f>
        <v>120.809</v>
      </c>
      <c r="Q1232" s="560">
        <f>IF(X1232=0,0,IF(OR(E1232=$AT$10,E1232=$AT$9),VLOOKUP(YEAR(X1232),INPC!$B$4:$P$30,MONTH(X1232)+1),VLOOKUP(YEAR(X1232),INPC!$B$4:$P$30,MONTH(X1232)+2,0)))</f>
        <v>124.571</v>
      </c>
      <c r="R1232" s="309">
        <f t="shared" si="328"/>
        <v>1.0310999999999999</v>
      </c>
      <c r="S1232" s="310">
        <f t="shared" si="329"/>
        <v>206339.02906691632</v>
      </c>
      <c r="T1232" s="555">
        <f t="shared" si="330"/>
        <v>10859.948898258754</v>
      </c>
      <c r="U1232" s="311"/>
      <c r="V1232" s="312">
        <v>19</v>
      </c>
      <c r="W1232" s="299" t="s">
        <v>194</v>
      </c>
      <c r="X1232" s="300">
        <v>44861</v>
      </c>
      <c r="Y1232" s="299" t="s">
        <v>59</v>
      </c>
      <c r="Z1232" s="303">
        <v>10115.959999999999</v>
      </c>
      <c r="AA1232" s="305">
        <f>IF(Z1232=0,0,IF(Y1232="MXN",1/HLOOKUP(YEAR(X1232)+(MONTH(X1232)/100),TC!$5:$37,DAY(X1232)+2,FALSE),VLOOKUP(Y1232,Equivalencia!$1:$23,((MAX(Equivalencia!$3:$3)-YEAR(X1232))*14)+MONTH(X1232)+2,FALSE)))</f>
        <v>1</v>
      </c>
      <c r="AB1232" s="306">
        <f t="shared" si="331"/>
        <v>10115.959999999999</v>
      </c>
      <c r="AC1232" s="305">
        <f>+IF(X1232=0,0,HLOOKUP(YEAR(X1232)+(MONTH(X1232)/100),TC!$5:$37,DAY(X1232)+2,FALSE))</f>
        <v>19.871200000000002</v>
      </c>
      <c r="AD1232" s="307">
        <f t="shared" si="332"/>
        <v>201016.264352</v>
      </c>
      <c r="AE1232" s="314">
        <f t="shared" si="333"/>
        <v>206339.02906691632</v>
      </c>
      <c r="AF1232" s="315">
        <f t="shared" si="334"/>
        <v>-5322.764714916324</v>
      </c>
      <c r="AG1232" s="316">
        <f t="shared" si="335"/>
        <v>0.52054794520547942</v>
      </c>
      <c r="AH1232" s="314">
        <v>1</v>
      </c>
      <c r="AI1232" s="314">
        <f t="shared" si="336"/>
        <v>-5322.764714916324</v>
      </c>
      <c r="AJ1232" s="314">
        <f t="shared" si="337"/>
        <v>0</v>
      </c>
      <c r="AK1232" s="317"/>
      <c r="AL1232" s="315">
        <f t="shared" si="338"/>
        <v>78.922682926828202</v>
      </c>
      <c r="AN1232" s="554">
        <f t="shared" si="339"/>
        <v>7.8631453120712597E-3</v>
      </c>
      <c r="AO1232" s="314"/>
      <c r="AP1232" s="318"/>
    </row>
    <row r="1233" spans="2:42">
      <c r="B1233" s="296" t="s">
        <v>1254</v>
      </c>
      <c r="C1233" s="299" t="s">
        <v>277</v>
      </c>
      <c r="D1233" s="298" t="s">
        <v>1044</v>
      </c>
      <c r="E1233" s="299" t="s">
        <v>113</v>
      </c>
      <c r="F1233" s="299" t="s">
        <v>59</v>
      </c>
      <c r="G1233" s="300">
        <v>44777</v>
      </c>
      <c r="H1233" s="303">
        <v>823.65</v>
      </c>
      <c r="I1233" s="301" t="str">
        <f t="shared" si="323"/>
        <v>Ingresos Sección II LISR (SIC &amp; BMV)</v>
      </c>
      <c r="J1233" s="302">
        <f t="shared" si="324"/>
        <v>2</v>
      </c>
      <c r="K1233" s="304">
        <f t="shared" si="325"/>
        <v>411.82499999999999</v>
      </c>
      <c r="L1233" s="305">
        <f>IF(H1233=0,0,IF(OR(E1233=$AT$5,E1233=$AT$6),AA1233,IF(F1233="MXN",1/HLOOKUP(YEAR(G1233)+(MONTH(G1233)/100),TC!$5:$37,DAY(G1233)+2,FALSE),VLOOKUP(F1233,Equivalencia!$5:$23,((MAX(Equivalencia!$3:$3)-YEAR(G1233))*14)+MONTH(G1233)+2,FALSE))))</f>
        <v>1</v>
      </c>
      <c r="M1233" s="306">
        <f t="shared" si="326"/>
        <v>823.65</v>
      </c>
      <c r="N1233" s="305">
        <f>IF(G1233=0,0,(IF(OR(E1233=$AT$5,E1233=$AT$6),AC1233,HLOOKUP(YEAR(G1233)+(MONTH(G1233)/100),TC!$5:$37,DAY(G1233)+2,FALSE))))</f>
        <v>20.5152</v>
      </c>
      <c r="O1233" s="307">
        <f t="shared" si="327"/>
        <v>16897.34448</v>
      </c>
      <c r="P1233" s="560">
        <f>IF(G1233=0,0,VLOOKUP(YEAR(G1233),INPC!$B$4:$P$30,MONTH(G1233)+2))</f>
        <v>123.803</v>
      </c>
      <c r="Q1233" s="560">
        <f>IF(X1233=0,0,IF(OR(E1233=$AT$10,E1233=$AT$9),VLOOKUP(YEAR(X1233),INPC!$B$4:$P$30,MONTH(X1233)+1),VLOOKUP(YEAR(X1233),INPC!$B$4:$P$30,MONTH(X1233)+2,0)))</f>
        <v>124.571</v>
      </c>
      <c r="R1233" s="309">
        <f t="shared" si="328"/>
        <v>1.0062</v>
      </c>
      <c r="S1233" s="310">
        <f t="shared" si="329"/>
        <v>17002.108015776001</v>
      </c>
      <c r="T1233" s="555">
        <f t="shared" si="330"/>
        <v>8501.0540078880003</v>
      </c>
      <c r="U1233" s="311"/>
      <c r="V1233" s="312">
        <v>2</v>
      </c>
      <c r="W1233" s="299" t="s">
        <v>194</v>
      </c>
      <c r="X1233" s="300">
        <v>44855</v>
      </c>
      <c r="Y1233" s="299" t="s">
        <v>59</v>
      </c>
      <c r="Z1233" s="303">
        <v>496.79311475409838</v>
      </c>
      <c r="AA1233" s="305">
        <f>IF(Z1233=0,0,IF(Y1233="MXN",1/HLOOKUP(YEAR(X1233)+(MONTH(X1233)/100),TC!$5:$37,DAY(X1233)+2,FALSE),VLOOKUP(Y1233,Equivalencia!$1:$23,((MAX(Equivalencia!$3:$3)-YEAR(X1233))*14)+MONTH(X1233)+2,FALSE)))</f>
        <v>1</v>
      </c>
      <c r="AB1233" s="306">
        <f t="shared" si="331"/>
        <v>496.79311475409838</v>
      </c>
      <c r="AC1233" s="305">
        <f>+IF(X1233=0,0,HLOOKUP(YEAR(X1233)+(MONTH(X1233)/100),TC!$5:$37,DAY(X1233)+2,FALSE))</f>
        <v>20.127199999999998</v>
      </c>
      <c r="AD1233" s="307">
        <f t="shared" si="332"/>
        <v>9999.0543792786884</v>
      </c>
      <c r="AE1233" s="314">
        <f t="shared" si="333"/>
        <v>17002.108015776001</v>
      </c>
      <c r="AF1233" s="315">
        <f t="shared" si="334"/>
        <v>-7003.0536364973123</v>
      </c>
      <c r="AG1233" s="316">
        <f t="shared" si="335"/>
        <v>0.21369863013698631</v>
      </c>
      <c r="AH1233" s="314">
        <v>1</v>
      </c>
      <c r="AI1233" s="314">
        <f t="shared" si="336"/>
        <v>-7003.0536364973123</v>
      </c>
      <c r="AJ1233" s="314">
        <f t="shared" si="337"/>
        <v>0</v>
      </c>
      <c r="AK1233" s="317"/>
      <c r="AL1233" s="315">
        <f t="shared" si="338"/>
        <v>-326.85688524590159</v>
      </c>
      <c r="AN1233" s="554">
        <f t="shared" si="339"/>
        <v>-0.39683953772342817</v>
      </c>
      <c r="AO1233" s="314"/>
      <c r="AP1233" s="318"/>
    </row>
    <row r="1234" spans="2:42">
      <c r="B1234" s="296" t="s">
        <v>1254</v>
      </c>
      <c r="C1234" s="299" t="s">
        <v>277</v>
      </c>
      <c r="D1234" s="298" t="s">
        <v>1044</v>
      </c>
      <c r="E1234" s="299" t="s">
        <v>113</v>
      </c>
      <c r="F1234" s="299" t="s">
        <v>59</v>
      </c>
      <c r="G1234" s="300">
        <v>44777</v>
      </c>
      <c r="H1234" s="303">
        <v>2081.35</v>
      </c>
      <c r="I1234" s="301" t="str">
        <f t="shared" si="323"/>
        <v>Ingresos Sección II LISR (SIC &amp; BMV)</v>
      </c>
      <c r="J1234" s="302">
        <f t="shared" si="324"/>
        <v>5</v>
      </c>
      <c r="K1234" s="304">
        <f t="shared" si="325"/>
        <v>416.27</v>
      </c>
      <c r="L1234" s="305">
        <f>IF(H1234=0,0,IF(OR(E1234=$AT$5,E1234=$AT$6),AA1234,IF(F1234="MXN",1/HLOOKUP(YEAR(G1234)+(MONTH(G1234)/100),TC!$5:$37,DAY(G1234)+2,FALSE),VLOOKUP(F1234,Equivalencia!$5:$23,((MAX(Equivalencia!$3:$3)-YEAR(G1234))*14)+MONTH(G1234)+2,FALSE))))</f>
        <v>1</v>
      </c>
      <c r="M1234" s="306">
        <f t="shared" si="326"/>
        <v>2081.35</v>
      </c>
      <c r="N1234" s="305">
        <f>IF(G1234=0,0,(IF(OR(E1234=$AT$5,E1234=$AT$6),AC1234,HLOOKUP(YEAR(G1234)+(MONTH(G1234)/100),TC!$5:$37,DAY(G1234)+2,FALSE))))</f>
        <v>20.5152</v>
      </c>
      <c r="O1234" s="307">
        <f t="shared" si="327"/>
        <v>42699.311519999996</v>
      </c>
      <c r="P1234" s="560">
        <f>IF(G1234=0,0,VLOOKUP(YEAR(G1234),INPC!$B$4:$P$30,MONTH(G1234)+2))</f>
        <v>123.803</v>
      </c>
      <c r="Q1234" s="560">
        <f>IF(X1234=0,0,IF(OR(E1234=$AT$10,E1234=$AT$9),VLOOKUP(YEAR(X1234),INPC!$B$4:$P$30,MONTH(X1234)+1),VLOOKUP(YEAR(X1234),INPC!$B$4:$P$30,MONTH(X1234)+2,0)))</f>
        <v>124.571</v>
      </c>
      <c r="R1234" s="309">
        <f t="shared" si="328"/>
        <v>1.0062</v>
      </c>
      <c r="S1234" s="310">
        <f t="shared" si="329"/>
        <v>42964.047251423995</v>
      </c>
      <c r="T1234" s="555">
        <f t="shared" si="330"/>
        <v>8592.8094502847998</v>
      </c>
      <c r="U1234" s="311"/>
      <c r="V1234" s="312">
        <v>5</v>
      </c>
      <c r="W1234" s="299" t="s">
        <v>194</v>
      </c>
      <c r="X1234" s="300">
        <v>44855</v>
      </c>
      <c r="Y1234" s="299" t="s">
        <v>59</v>
      </c>
      <c r="Z1234" s="303">
        <v>1241.982786885246</v>
      </c>
      <c r="AA1234" s="305">
        <f>IF(Z1234=0,0,IF(Y1234="MXN",1/HLOOKUP(YEAR(X1234)+(MONTH(X1234)/100),TC!$5:$37,DAY(X1234)+2,FALSE),VLOOKUP(Y1234,Equivalencia!$1:$23,((MAX(Equivalencia!$3:$3)-YEAR(X1234))*14)+MONTH(X1234)+2,FALSE)))</f>
        <v>1</v>
      </c>
      <c r="AB1234" s="306">
        <f t="shared" si="331"/>
        <v>1241.982786885246</v>
      </c>
      <c r="AC1234" s="305">
        <f>+IF(X1234=0,0,HLOOKUP(YEAR(X1234)+(MONTH(X1234)/100),TC!$5:$37,DAY(X1234)+2,FALSE))</f>
        <v>20.127199999999998</v>
      </c>
      <c r="AD1234" s="307">
        <f t="shared" si="332"/>
        <v>24997.635948196723</v>
      </c>
      <c r="AE1234" s="314">
        <f t="shared" si="333"/>
        <v>42964.047251423995</v>
      </c>
      <c r="AF1234" s="315">
        <f t="shared" si="334"/>
        <v>-17966.411303227273</v>
      </c>
      <c r="AG1234" s="316">
        <f t="shared" si="335"/>
        <v>0.21369863013698631</v>
      </c>
      <c r="AH1234" s="314">
        <v>1</v>
      </c>
      <c r="AI1234" s="314">
        <f t="shared" si="336"/>
        <v>-17966.411303227273</v>
      </c>
      <c r="AJ1234" s="314">
        <f t="shared" si="337"/>
        <v>0</v>
      </c>
      <c r="AK1234" s="317"/>
      <c r="AL1234" s="315">
        <f t="shared" si="338"/>
        <v>-839.36721311475389</v>
      </c>
      <c r="AN1234" s="554">
        <f t="shared" si="339"/>
        <v>-0.40328018503123164</v>
      </c>
      <c r="AO1234" s="314"/>
      <c r="AP1234" s="318"/>
    </row>
    <row r="1235" spans="2:42">
      <c r="B1235" s="296" t="s">
        <v>1254</v>
      </c>
      <c r="C1235" s="299" t="s">
        <v>277</v>
      </c>
      <c r="D1235" s="298" t="s">
        <v>1044</v>
      </c>
      <c r="E1235" s="299" t="s">
        <v>113</v>
      </c>
      <c r="F1235" s="299" t="s">
        <v>59</v>
      </c>
      <c r="G1235" s="300">
        <v>44777</v>
      </c>
      <c r="H1235" s="303">
        <v>4579.55</v>
      </c>
      <c r="I1235" s="301" t="str">
        <f t="shared" si="323"/>
        <v>Ingresos Sección II LISR (SIC &amp; BMV)</v>
      </c>
      <c r="J1235" s="302">
        <f t="shared" si="324"/>
        <v>11</v>
      </c>
      <c r="K1235" s="304">
        <f t="shared" si="325"/>
        <v>416.32272727272726</v>
      </c>
      <c r="L1235" s="305">
        <f>IF(H1235=0,0,IF(OR(E1235=$AT$5,E1235=$AT$6),AA1235,IF(F1235="MXN",1/HLOOKUP(YEAR(G1235)+(MONTH(G1235)/100),TC!$5:$37,DAY(G1235)+2,FALSE),VLOOKUP(F1235,Equivalencia!$5:$23,((MAX(Equivalencia!$3:$3)-YEAR(G1235))*14)+MONTH(G1235)+2,FALSE))))</f>
        <v>1</v>
      </c>
      <c r="M1235" s="306">
        <f t="shared" si="326"/>
        <v>4579.55</v>
      </c>
      <c r="N1235" s="305">
        <f>IF(G1235=0,0,(IF(OR(E1235=$AT$5,E1235=$AT$6),AC1235,HLOOKUP(YEAR(G1235)+(MONTH(G1235)/100),TC!$5:$37,DAY(G1235)+2,FALSE))))</f>
        <v>20.5152</v>
      </c>
      <c r="O1235" s="307">
        <f t="shared" si="327"/>
        <v>93950.384160000001</v>
      </c>
      <c r="P1235" s="560">
        <f>IF(G1235=0,0,VLOOKUP(YEAR(G1235),INPC!$B$4:$P$30,MONTH(G1235)+2))</f>
        <v>123.803</v>
      </c>
      <c r="Q1235" s="560">
        <f>IF(X1235=0,0,IF(OR(E1235=$AT$10,E1235=$AT$9),VLOOKUP(YEAR(X1235),INPC!$B$4:$P$30,MONTH(X1235)+1),VLOOKUP(YEAR(X1235),INPC!$B$4:$P$30,MONTH(X1235)+2,0)))</f>
        <v>124.571</v>
      </c>
      <c r="R1235" s="309">
        <f t="shared" si="328"/>
        <v>1.0062</v>
      </c>
      <c r="S1235" s="310">
        <f t="shared" si="329"/>
        <v>94532.876541791993</v>
      </c>
      <c r="T1235" s="555">
        <f t="shared" si="330"/>
        <v>8593.8978674356349</v>
      </c>
      <c r="U1235" s="311"/>
      <c r="V1235" s="312">
        <v>11</v>
      </c>
      <c r="W1235" s="299" t="s">
        <v>194</v>
      </c>
      <c r="X1235" s="300">
        <v>44855</v>
      </c>
      <c r="Y1235" s="299" t="s">
        <v>59</v>
      </c>
      <c r="Z1235" s="303">
        <v>2732.3621311475413</v>
      </c>
      <c r="AA1235" s="305">
        <f>IF(Z1235=0,0,IF(Y1235="MXN",1/HLOOKUP(YEAR(X1235)+(MONTH(X1235)/100),TC!$5:$37,DAY(X1235)+2,FALSE),VLOOKUP(Y1235,Equivalencia!$1:$23,((MAX(Equivalencia!$3:$3)-YEAR(X1235))*14)+MONTH(X1235)+2,FALSE)))</f>
        <v>1</v>
      </c>
      <c r="AB1235" s="306">
        <f t="shared" si="331"/>
        <v>2732.3621311475413</v>
      </c>
      <c r="AC1235" s="305">
        <f>+IF(X1235=0,0,HLOOKUP(YEAR(X1235)+(MONTH(X1235)/100),TC!$5:$37,DAY(X1235)+2,FALSE))</f>
        <v>20.127199999999998</v>
      </c>
      <c r="AD1235" s="307">
        <f t="shared" si="332"/>
        <v>54994.799086032792</v>
      </c>
      <c r="AE1235" s="314">
        <f t="shared" si="333"/>
        <v>94532.876541791979</v>
      </c>
      <c r="AF1235" s="315">
        <f t="shared" si="334"/>
        <v>-39538.077455759187</v>
      </c>
      <c r="AG1235" s="316">
        <f t="shared" si="335"/>
        <v>0.21369863013698631</v>
      </c>
      <c r="AH1235" s="314">
        <v>1</v>
      </c>
      <c r="AI1235" s="314">
        <f t="shared" si="336"/>
        <v>-39538.077455759187</v>
      </c>
      <c r="AJ1235" s="314">
        <f t="shared" si="337"/>
        <v>0</v>
      </c>
      <c r="AK1235" s="317"/>
      <c r="AL1235" s="315">
        <f t="shared" si="338"/>
        <v>-1847.1878688524589</v>
      </c>
      <c r="AN1235" s="554">
        <f t="shared" si="339"/>
        <v>-0.40335575959482017</v>
      </c>
      <c r="AO1235" s="314"/>
      <c r="AP1235" s="318"/>
    </row>
    <row r="1236" spans="2:42">
      <c r="B1236" s="296" t="s">
        <v>1254</v>
      </c>
      <c r="C1236" s="299" t="s">
        <v>277</v>
      </c>
      <c r="D1236" s="298" t="s">
        <v>1044</v>
      </c>
      <c r="E1236" s="299" t="s">
        <v>113</v>
      </c>
      <c r="F1236" s="299" t="s">
        <v>59</v>
      </c>
      <c r="G1236" s="300">
        <v>44777</v>
      </c>
      <c r="H1236" s="303">
        <v>9144.34</v>
      </c>
      <c r="I1236" s="301" t="str">
        <f t="shared" si="323"/>
        <v>Ingresos Sección II LISR (SIC &amp; BMV)</v>
      </c>
      <c r="J1236" s="302">
        <f t="shared" si="324"/>
        <v>22</v>
      </c>
      <c r="K1236" s="304">
        <f t="shared" si="325"/>
        <v>415.65181818181821</v>
      </c>
      <c r="L1236" s="305">
        <f>IF(H1236=0,0,IF(OR(E1236=$AT$5,E1236=$AT$6),AA1236,IF(F1236="MXN",1/HLOOKUP(YEAR(G1236)+(MONTH(G1236)/100),TC!$5:$37,DAY(G1236)+2,FALSE),VLOOKUP(F1236,Equivalencia!$5:$23,((MAX(Equivalencia!$3:$3)-YEAR(G1236))*14)+MONTH(G1236)+2,FALSE))))</f>
        <v>1</v>
      </c>
      <c r="M1236" s="306">
        <f t="shared" si="326"/>
        <v>9144.34</v>
      </c>
      <c r="N1236" s="305">
        <f>IF(G1236=0,0,(IF(OR(E1236=$AT$5,E1236=$AT$6),AC1236,HLOOKUP(YEAR(G1236)+(MONTH(G1236)/100),TC!$5:$37,DAY(G1236)+2,FALSE))))</f>
        <v>20.5152</v>
      </c>
      <c r="O1236" s="307">
        <f t="shared" si="327"/>
        <v>187597.963968</v>
      </c>
      <c r="P1236" s="560">
        <f>IF(G1236=0,0,VLOOKUP(YEAR(G1236),INPC!$B$4:$P$30,MONTH(G1236)+2))</f>
        <v>123.803</v>
      </c>
      <c r="Q1236" s="560">
        <f>IF(X1236=0,0,IF(OR(E1236=$AT$10,E1236=$AT$9),VLOOKUP(YEAR(X1236),INPC!$B$4:$P$30,MONTH(X1236)+1),VLOOKUP(YEAR(X1236),INPC!$B$4:$P$30,MONTH(X1236)+2,0)))</f>
        <v>124.571</v>
      </c>
      <c r="R1236" s="309">
        <f t="shared" si="328"/>
        <v>1.0062</v>
      </c>
      <c r="S1236" s="310">
        <f t="shared" si="329"/>
        <v>188761.0713446016</v>
      </c>
      <c r="T1236" s="555">
        <f t="shared" si="330"/>
        <v>8580.0486974818905</v>
      </c>
      <c r="U1236" s="311"/>
      <c r="V1236" s="312">
        <v>22</v>
      </c>
      <c r="W1236" s="299" t="s">
        <v>194</v>
      </c>
      <c r="X1236" s="300">
        <v>44855</v>
      </c>
      <c r="Y1236" s="299" t="s">
        <v>59</v>
      </c>
      <c r="Z1236" s="303">
        <v>5464.7242622950826</v>
      </c>
      <c r="AA1236" s="305">
        <f>IF(Z1236=0,0,IF(Y1236="MXN",1/HLOOKUP(YEAR(X1236)+(MONTH(X1236)/100),TC!$5:$37,DAY(X1236)+2,FALSE),VLOOKUP(Y1236,Equivalencia!$1:$23,((MAX(Equivalencia!$3:$3)-YEAR(X1236))*14)+MONTH(X1236)+2,FALSE)))</f>
        <v>1</v>
      </c>
      <c r="AB1236" s="306">
        <f t="shared" si="331"/>
        <v>5464.7242622950826</v>
      </c>
      <c r="AC1236" s="305">
        <f>+IF(X1236=0,0,HLOOKUP(YEAR(X1236)+(MONTH(X1236)/100),TC!$5:$37,DAY(X1236)+2,FALSE))</f>
        <v>20.127199999999998</v>
      </c>
      <c r="AD1236" s="307">
        <f t="shared" si="332"/>
        <v>109989.59817206558</v>
      </c>
      <c r="AE1236" s="314">
        <f t="shared" si="333"/>
        <v>188761.0713446016</v>
      </c>
      <c r="AF1236" s="315">
        <f t="shared" si="334"/>
        <v>-78771.473172536018</v>
      </c>
      <c r="AG1236" s="316">
        <f t="shared" si="335"/>
        <v>0.21369863013698631</v>
      </c>
      <c r="AH1236" s="314">
        <v>1</v>
      </c>
      <c r="AI1236" s="314">
        <f t="shared" si="336"/>
        <v>-78771.473172536018</v>
      </c>
      <c r="AJ1236" s="314">
        <f t="shared" si="337"/>
        <v>0</v>
      </c>
      <c r="AK1236" s="317"/>
      <c r="AL1236" s="315">
        <f t="shared" si="338"/>
        <v>-3679.6157377049176</v>
      </c>
      <c r="AN1236" s="554">
        <f t="shared" si="339"/>
        <v>-0.402392708244107</v>
      </c>
      <c r="AO1236" s="314"/>
      <c r="AP1236" s="318"/>
    </row>
    <row r="1237" spans="2:42">
      <c r="B1237" s="296" t="s">
        <v>1254</v>
      </c>
      <c r="C1237" s="299" t="s">
        <v>277</v>
      </c>
      <c r="D1237" s="298" t="s">
        <v>1044</v>
      </c>
      <c r="E1237" s="299" t="s">
        <v>113</v>
      </c>
      <c r="F1237" s="299" t="s">
        <v>59</v>
      </c>
      <c r="G1237" s="300">
        <v>44819</v>
      </c>
      <c r="H1237" s="303">
        <v>384.89</v>
      </c>
      <c r="I1237" s="301" t="str">
        <f t="shared" si="323"/>
        <v>Ingresos Sección II LISR (SIC &amp; BMV)</v>
      </c>
      <c r="J1237" s="302">
        <f t="shared" si="324"/>
        <v>1</v>
      </c>
      <c r="K1237" s="304">
        <f t="shared" si="325"/>
        <v>384.89</v>
      </c>
      <c r="L1237" s="305">
        <f>IF(H1237=0,0,IF(OR(E1237=$AT$5,E1237=$AT$6),AA1237,IF(F1237="MXN",1/HLOOKUP(YEAR(G1237)+(MONTH(G1237)/100),TC!$5:$37,DAY(G1237)+2,FALSE),VLOOKUP(F1237,Equivalencia!$5:$23,((MAX(Equivalencia!$3:$3)-YEAR(G1237))*14)+MONTH(G1237)+2,FALSE))))</f>
        <v>1</v>
      </c>
      <c r="M1237" s="306">
        <f t="shared" si="326"/>
        <v>384.89</v>
      </c>
      <c r="N1237" s="305">
        <f>IF(G1237=0,0,(IF(OR(E1237=$AT$5,E1237=$AT$6),AC1237,HLOOKUP(YEAR(G1237)+(MONTH(G1237)/100),TC!$5:$37,DAY(G1237)+2,FALSE))))</f>
        <v>20.055</v>
      </c>
      <c r="O1237" s="307">
        <f t="shared" si="327"/>
        <v>7718.9689499999995</v>
      </c>
      <c r="P1237" s="560">
        <f>IF(G1237=0,0,VLOOKUP(YEAR(G1237),INPC!$B$4:$P$30,MONTH(G1237)+2))</f>
        <v>124.571</v>
      </c>
      <c r="Q1237" s="560">
        <f>IF(X1237=0,0,IF(OR(E1237=$AT$10,E1237=$AT$9),VLOOKUP(YEAR(X1237),INPC!$B$4:$P$30,MONTH(X1237)+1),VLOOKUP(YEAR(X1237),INPC!$B$4:$P$30,MONTH(X1237)+2,0)))</f>
        <v>124.571</v>
      </c>
      <c r="R1237" s="309">
        <f t="shared" si="328"/>
        <v>1</v>
      </c>
      <c r="S1237" s="310">
        <f t="shared" si="329"/>
        <v>7718.9689499999995</v>
      </c>
      <c r="T1237" s="555">
        <f t="shared" si="330"/>
        <v>7718.9689499999995</v>
      </c>
      <c r="U1237" s="311"/>
      <c r="V1237" s="312">
        <v>1</v>
      </c>
      <c r="W1237" s="299" t="s">
        <v>194</v>
      </c>
      <c r="X1237" s="300">
        <v>44855</v>
      </c>
      <c r="Y1237" s="299" t="s">
        <v>59</v>
      </c>
      <c r="Z1237" s="303">
        <v>248.39655737704919</v>
      </c>
      <c r="AA1237" s="305">
        <f>IF(Z1237=0,0,IF(Y1237="MXN",1/HLOOKUP(YEAR(X1237)+(MONTH(X1237)/100),TC!$5:$37,DAY(X1237)+2,FALSE),VLOOKUP(Y1237,Equivalencia!$1:$23,((MAX(Equivalencia!$3:$3)-YEAR(X1237))*14)+MONTH(X1237)+2,FALSE)))</f>
        <v>1</v>
      </c>
      <c r="AB1237" s="306">
        <f t="shared" si="331"/>
        <v>248.39655737704919</v>
      </c>
      <c r="AC1237" s="305">
        <f>+IF(X1237=0,0,HLOOKUP(YEAR(X1237)+(MONTH(X1237)/100),TC!$5:$37,DAY(X1237)+2,FALSE))</f>
        <v>20.127199999999998</v>
      </c>
      <c r="AD1237" s="307">
        <f t="shared" si="332"/>
        <v>4999.5271896393442</v>
      </c>
      <c r="AE1237" s="314">
        <f t="shared" si="333"/>
        <v>7718.9689499999995</v>
      </c>
      <c r="AF1237" s="315">
        <f t="shared" si="334"/>
        <v>-2719.4417603606553</v>
      </c>
      <c r="AG1237" s="316">
        <f t="shared" si="335"/>
        <v>9.8630136986301367E-2</v>
      </c>
      <c r="AH1237" s="314">
        <v>1</v>
      </c>
      <c r="AI1237" s="314">
        <f t="shared" si="336"/>
        <v>-2719.4417603606553</v>
      </c>
      <c r="AJ1237" s="314">
        <f t="shared" si="337"/>
        <v>0</v>
      </c>
      <c r="AK1237" s="317"/>
      <c r="AL1237" s="315">
        <f t="shared" si="338"/>
        <v>-136.49344262295079</v>
      </c>
      <c r="AN1237" s="554">
        <f t="shared" si="339"/>
        <v>-0.35462974518161239</v>
      </c>
      <c r="AO1237" s="314"/>
      <c r="AP1237" s="318"/>
    </row>
    <row r="1238" spans="2:42">
      <c r="B1238" s="296" t="s">
        <v>1254</v>
      </c>
      <c r="C1238" s="299" t="s">
        <v>277</v>
      </c>
      <c r="D1238" s="298" t="s">
        <v>1044</v>
      </c>
      <c r="E1238" s="299" t="s">
        <v>113</v>
      </c>
      <c r="F1238" s="299" t="s">
        <v>59</v>
      </c>
      <c r="G1238" s="300">
        <v>44819</v>
      </c>
      <c r="H1238" s="303">
        <v>7749.09</v>
      </c>
      <c r="I1238" s="301" t="str">
        <f t="shared" si="323"/>
        <v>Ingresos Sección II LISR (SIC &amp; BMV)</v>
      </c>
      <c r="J1238" s="302">
        <f t="shared" si="324"/>
        <v>20</v>
      </c>
      <c r="K1238" s="304">
        <f t="shared" si="325"/>
        <v>387.4545</v>
      </c>
      <c r="L1238" s="305">
        <f>IF(H1238=0,0,IF(OR(E1238=$AT$5,E1238=$AT$6),AA1238,IF(F1238="MXN",1/HLOOKUP(YEAR(G1238)+(MONTH(G1238)/100),TC!$5:$37,DAY(G1238)+2,FALSE),VLOOKUP(F1238,Equivalencia!$5:$23,((MAX(Equivalencia!$3:$3)-YEAR(G1238))*14)+MONTH(G1238)+2,FALSE))))</f>
        <v>1</v>
      </c>
      <c r="M1238" s="306">
        <f t="shared" si="326"/>
        <v>7749.09</v>
      </c>
      <c r="N1238" s="305">
        <f>IF(G1238=0,0,(IF(OR(E1238=$AT$5,E1238=$AT$6),AC1238,HLOOKUP(YEAR(G1238)+(MONTH(G1238)/100),TC!$5:$37,DAY(G1238)+2,FALSE))))</f>
        <v>20.055</v>
      </c>
      <c r="O1238" s="307">
        <f t="shared" si="327"/>
        <v>155407.99995</v>
      </c>
      <c r="P1238" s="560">
        <f>IF(G1238=0,0,VLOOKUP(YEAR(G1238),INPC!$B$4:$P$30,MONTH(G1238)+2))</f>
        <v>124.571</v>
      </c>
      <c r="Q1238" s="560">
        <f>IF(X1238=0,0,IF(OR(E1238=$AT$10,E1238=$AT$9),VLOOKUP(YEAR(X1238),INPC!$B$4:$P$30,MONTH(X1238)+1),VLOOKUP(YEAR(X1238),INPC!$B$4:$P$30,MONTH(X1238)+2,0)))</f>
        <v>124.571</v>
      </c>
      <c r="R1238" s="309">
        <f t="shared" si="328"/>
        <v>1</v>
      </c>
      <c r="S1238" s="310">
        <f t="shared" si="329"/>
        <v>155407.99995</v>
      </c>
      <c r="T1238" s="555">
        <f t="shared" si="330"/>
        <v>7770.3999974999997</v>
      </c>
      <c r="U1238" s="311"/>
      <c r="V1238" s="312">
        <v>20</v>
      </c>
      <c r="W1238" s="299" t="s">
        <v>194</v>
      </c>
      <c r="X1238" s="300">
        <v>44855</v>
      </c>
      <c r="Y1238" s="299" t="s">
        <v>59</v>
      </c>
      <c r="Z1238" s="303">
        <v>4967.9311475409841</v>
      </c>
      <c r="AA1238" s="305">
        <f>IF(Z1238=0,0,IF(Y1238="MXN",1/HLOOKUP(YEAR(X1238)+(MONTH(X1238)/100),TC!$5:$37,DAY(X1238)+2,FALSE),VLOOKUP(Y1238,Equivalencia!$1:$23,((MAX(Equivalencia!$3:$3)-YEAR(X1238))*14)+MONTH(X1238)+2,FALSE)))</f>
        <v>1</v>
      </c>
      <c r="AB1238" s="306">
        <f t="shared" si="331"/>
        <v>4967.9311475409841</v>
      </c>
      <c r="AC1238" s="305">
        <f>+IF(X1238=0,0,HLOOKUP(YEAR(X1238)+(MONTH(X1238)/100),TC!$5:$37,DAY(X1238)+2,FALSE))</f>
        <v>20.127199999999998</v>
      </c>
      <c r="AD1238" s="307">
        <f t="shared" si="332"/>
        <v>99990.543792786892</v>
      </c>
      <c r="AE1238" s="314">
        <f t="shared" si="333"/>
        <v>155407.99995</v>
      </c>
      <c r="AF1238" s="315">
        <f t="shared" si="334"/>
        <v>-55417.456157213106</v>
      </c>
      <c r="AG1238" s="316">
        <f t="shared" si="335"/>
        <v>9.8630136986301367E-2</v>
      </c>
      <c r="AH1238" s="314">
        <v>1</v>
      </c>
      <c r="AI1238" s="314">
        <f t="shared" si="336"/>
        <v>-55417.456157213106</v>
      </c>
      <c r="AJ1238" s="314">
        <f t="shared" si="337"/>
        <v>0</v>
      </c>
      <c r="AK1238" s="317"/>
      <c r="AL1238" s="315">
        <f t="shared" si="338"/>
        <v>-2781.1588524590161</v>
      </c>
      <c r="AN1238" s="554">
        <f t="shared" si="339"/>
        <v>-0.35890134873372437</v>
      </c>
      <c r="AO1238" s="314"/>
      <c r="AP1238" s="318"/>
    </row>
    <row r="1239" spans="2:42">
      <c r="B1239" s="296"/>
      <c r="C1239" s="299"/>
      <c r="D1239" s="298"/>
      <c r="E1239" s="299"/>
      <c r="F1239" s="299"/>
      <c r="G1239" s="300"/>
      <c r="H1239" s="303"/>
      <c r="I1239" s="301">
        <f t="shared" si="323"/>
        <v>0</v>
      </c>
      <c r="J1239" s="302">
        <f t="shared" si="324"/>
        <v>0</v>
      </c>
      <c r="K1239" s="304">
        <f t="shared" si="325"/>
        <v>0</v>
      </c>
      <c r="L1239" s="305">
        <f>IF(H1239=0,0,IF(OR(E1239=$AT$5,E1239=$AT$6),AA1239,IF(F1239="MXN",1/HLOOKUP(YEAR(G1239)+(MONTH(G1239)/100),TC!$5:$37,DAY(G1239)+2,FALSE),VLOOKUP(F1239,Equivalencia!$5:$23,((MAX(Equivalencia!$3:$3)-YEAR(G1239))*14)+MONTH(G1239)+2,FALSE))))</f>
        <v>0</v>
      </c>
      <c r="M1239" s="306">
        <f t="shared" si="326"/>
        <v>0</v>
      </c>
      <c r="N1239" s="305">
        <f>IF(G1239=0,0,(IF(OR(E1239=$AT$5,E1239=$AT$6),AC1239,HLOOKUP(YEAR(G1239)+(MONTH(G1239)/100),TC!$5:$37,DAY(G1239)+2,FALSE))))</f>
        <v>0</v>
      </c>
      <c r="O1239" s="307">
        <f t="shared" si="327"/>
        <v>0</v>
      </c>
      <c r="P1239" s="560">
        <f>IF(G1239=0,0,VLOOKUP(YEAR(G1239),INPC!$B$4:$P$30,MONTH(G1239)+2))</f>
        <v>0</v>
      </c>
      <c r="Q1239" s="560">
        <f>IF(X1239=0,0,IF(OR(E1239=$AT$10,E1239=$AT$9),VLOOKUP(YEAR(X1239),INPC!$B$4:$P$30,MONTH(X1239)+1),VLOOKUP(YEAR(X1239),INPC!$B$4:$P$30,MONTH(X1239)+2,0)))</f>
        <v>0</v>
      </c>
      <c r="R1239" s="309">
        <f t="shared" si="328"/>
        <v>0</v>
      </c>
      <c r="S1239" s="310">
        <f t="shared" si="329"/>
        <v>0</v>
      </c>
      <c r="T1239" s="555">
        <f t="shared" si="330"/>
        <v>0</v>
      </c>
      <c r="U1239" s="311"/>
      <c r="V1239" s="312"/>
      <c r="W1239" s="299"/>
      <c r="X1239" s="300"/>
      <c r="Y1239" s="299"/>
      <c r="Z1239" s="303"/>
      <c r="AA1239" s="305">
        <f>IF(Z1239=0,0,IF(Y1239="MXN",1/HLOOKUP(YEAR(X1239)+(MONTH(X1239)/100),TC!$5:$37,DAY(X1239)+2,FALSE),VLOOKUP(Y1239,Equivalencia!$1:$23,((MAX(Equivalencia!$3:$3)-YEAR(X1239))*14)+MONTH(X1239)+2,FALSE)))</f>
        <v>0</v>
      </c>
      <c r="AB1239" s="306">
        <f t="shared" si="331"/>
        <v>0</v>
      </c>
      <c r="AC1239" s="305">
        <f>+IF(X1239=0,0,HLOOKUP(YEAR(X1239)+(MONTH(X1239)/100),TC!$5:$37,DAY(X1239)+2,FALSE))</f>
        <v>0</v>
      </c>
      <c r="AD1239" s="307">
        <f t="shared" si="332"/>
        <v>0</v>
      </c>
      <c r="AE1239" s="314">
        <f t="shared" si="333"/>
        <v>0</v>
      </c>
      <c r="AF1239" s="315">
        <f t="shared" si="334"/>
        <v>0</v>
      </c>
      <c r="AG1239" s="316">
        <f t="shared" si="335"/>
        <v>0</v>
      </c>
      <c r="AH1239" s="314">
        <v>1</v>
      </c>
      <c r="AI1239" s="314">
        <f t="shared" si="336"/>
        <v>0</v>
      </c>
      <c r="AJ1239" s="314">
        <f t="shared" si="337"/>
        <v>0</v>
      </c>
      <c r="AK1239" s="317"/>
      <c r="AL1239" s="315">
        <f t="shared" si="338"/>
        <v>0</v>
      </c>
      <c r="AN1239" s="554">
        <f t="shared" si="339"/>
        <v>0</v>
      </c>
      <c r="AO1239" s="314"/>
      <c r="AP1239" s="318"/>
    </row>
    <row r="1240" spans="2:42">
      <c r="B1240" s="296" t="s">
        <v>1254</v>
      </c>
      <c r="C1240" s="299" t="s">
        <v>277</v>
      </c>
      <c r="D1240" s="298" t="s">
        <v>1045</v>
      </c>
      <c r="E1240" s="299" t="s">
        <v>113</v>
      </c>
      <c r="F1240" s="299" t="s">
        <v>59</v>
      </c>
      <c r="G1240" s="300">
        <v>44622</v>
      </c>
      <c r="H1240" s="303">
        <v>1591.81</v>
      </c>
      <c r="I1240" s="301" t="str">
        <f t="shared" si="323"/>
        <v>Ingresos Sección II LISR (SIC &amp; BMV)</v>
      </c>
      <c r="J1240" s="302">
        <f t="shared" si="324"/>
        <v>40</v>
      </c>
      <c r="K1240" s="304">
        <f t="shared" si="325"/>
        <v>39.795249999999996</v>
      </c>
      <c r="L1240" s="305">
        <f>IF(H1240=0,0,IF(OR(E1240=$AT$5,E1240=$AT$6),AA1240,IF(F1240="MXN",1/HLOOKUP(YEAR(G1240)+(MONTH(G1240)/100),TC!$5:$37,DAY(G1240)+2,FALSE),VLOOKUP(F1240,Equivalencia!$5:$23,((MAX(Equivalencia!$3:$3)-YEAR(G1240))*14)+MONTH(G1240)+2,FALSE))))</f>
        <v>1</v>
      </c>
      <c r="M1240" s="306">
        <f t="shared" si="326"/>
        <v>1591.81</v>
      </c>
      <c r="N1240" s="305">
        <f>IF(G1240=0,0,(IF(OR(E1240=$AT$5,E1240=$AT$6),AC1240,HLOOKUP(YEAR(G1240)+(MONTH(G1240)/100),TC!$5:$37,DAY(G1240)+2,FALSE))))</f>
        <v>20.425699999999999</v>
      </c>
      <c r="O1240" s="307">
        <f t="shared" si="327"/>
        <v>32513.833516999999</v>
      </c>
      <c r="P1240" s="560">
        <f>IF(G1240=0,0,VLOOKUP(YEAR(G1240),INPC!$B$4:$P$30,MONTH(G1240)+2))</f>
        <v>120.15900000000001</v>
      </c>
      <c r="Q1240" s="560">
        <f>IF(X1240=0,0,IF(OR(E1240=$AT$10,E1240=$AT$9),VLOOKUP(YEAR(X1240),INPC!$B$4:$P$30,MONTH(X1240)+1),VLOOKUP(YEAR(X1240),INPC!$B$4:$P$30,MONTH(X1240)+2,0)))</f>
        <v>118.98099999999999</v>
      </c>
      <c r="R1240" s="309">
        <f t="shared" si="328"/>
        <v>1</v>
      </c>
      <c r="S1240" s="310">
        <f t="shared" si="329"/>
        <v>32513.833516999999</v>
      </c>
      <c r="T1240" s="555">
        <f t="shared" si="330"/>
        <v>812.84583792499996</v>
      </c>
      <c r="U1240" s="311"/>
      <c r="V1240" s="312">
        <v>40</v>
      </c>
      <c r="W1240" s="299" t="s">
        <v>194</v>
      </c>
      <c r="X1240" s="300">
        <v>44624</v>
      </c>
      <c r="Y1240" s="299" t="s">
        <v>59</v>
      </c>
      <c r="Z1240" s="303">
        <v>921.15</v>
      </c>
      <c r="AA1240" s="305">
        <f>IF(Z1240=0,0,IF(Y1240="MXN",1/HLOOKUP(YEAR(X1240)+(MONTH(X1240)/100),TC!$5:$37,DAY(X1240)+2,FALSE),VLOOKUP(Y1240,Equivalencia!$1:$23,((MAX(Equivalencia!$3:$3)-YEAR(X1240))*14)+MONTH(X1240)+2,FALSE)))</f>
        <v>1</v>
      </c>
      <c r="AB1240" s="306">
        <f t="shared" si="331"/>
        <v>921.15</v>
      </c>
      <c r="AC1240" s="305">
        <f>+IF(X1240=0,0,HLOOKUP(YEAR(X1240)+(MONTH(X1240)/100),TC!$5:$37,DAY(X1240)+2,FALSE))</f>
        <v>20.7193</v>
      </c>
      <c r="AD1240" s="307">
        <f t="shared" si="332"/>
        <v>19085.583194999999</v>
      </c>
      <c r="AE1240" s="314">
        <f t="shared" si="333"/>
        <v>32513.833516999999</v>
      </c>
      <c r="AF1240" s="315">
        <f t="shared" si="334"/>
        <v>-13428.250322</v>
      </c>
      <c r="AG1240" s="316">
        <f t="shared" si="335"/>
        <v>5.4794520547945206E-3</v>
      </c>
      <c r="AH1240" s="314">
        <v>1</v>
      </c>
      <c r="AI1240" s="314">
        <f t="shared" si="336"/>
        <v>-13428.250322</v>
      </c>
      <c r="AJ1240" s="314">
        <f t="shared" si="337"/>
        <v>0</v>
      </c>
      <c r="AK1240" s="317"/>
      <c r="AL1240" s="315">
        <f t="shared" si="338"/>
        <v>-670.66</v>
      </c>
      <c r="AN1240" s="554">
        <f t="shared" si="339"/>
        <v>-0.4213191272827787</v>
      </c>
      <c r="AO1240" s="314"/>
      <c r="AP1240" s="318"/>
    </row>
    <row r="1241" spans="2:42">
      <c r="B1241" s="296" t="s">
        <v>1254</v>
      </c>
      <c r="C1241" s="299" t="s">
        <v>277</v>
      </c>
      <c r="D1241" s="298" t="s">
        <v>1045</v>
      </c>
      <c r="E1241" s="299" t="s">
        <v>113</v>
      </c>
      <c r="F1241" s="299" t="s">
        <v>59</v>
      </c>
      <c r="G1241" s="300">
        <v>44622</v>
      </c>
      <c r="H1241" s="303">
        <v>318.36199999999997</v>
      </c>
      <c r="I1241" s="301" t="str">
        <f t="shared" si="323"/>
        <v>Ingresos Sección II LISR (SIC &amp; BMV)</v>
      </c>
      <c r="J1241" s="302">
        <f t="shared" si="324"/>
        <v>8</v>
      </c>
      <c r="K1241" s="304">
        <f t="shared" si="325"/>
        <v>39.795249999999996</v>
      </c>
      <c r="L1241" s="305">
        <f>IF(H1241=0,0,IF(OR(E1241=$AT$5,E1241=$AT$6),AA1241,IF(F1241="MXN",1/HLOOKUP(YEAR(G1241)+(MONTH(G1241)/100),TC!$5:$37,DAY(G1241)+2,FALSE),VLOOKUP(F1241,Equivalencia!$5:$23,((MAX(Equivalencia!$3:$3)-YEAR(G1241))*14)+MONTH(G1241)+2,FALSE))))</f>
        <v>1</v>
      </c>
      <c r="M1241" s="306">
        <f t="shared" si="326"/>
        <v>318.36199999999997</v>
      </c>
      <c r="N1241" s="305">
        <f>IF(G1241=0,0,(IF(OR(E1241=$AT$5,E1241=$AT$6),AC1241,HLOOKUP(YEAR(G1241)+(MONTH(G1241)/100),TC!$5:$37,DAY(G1241)+2,FALSE))))</f>
        <v>20.425699999999999</v>
      </c>
      <c r="O1241" s="307">
        <f t="shared" si="327"/>
        <v>6502.7667033999987</v>
      </c>
      <c r="P1241" s="560">
        <f>IF(G1241=0,0,VLOOKUP(YEAR(G1241),INPC!$B$4:$P$30,MONTH(G1241)+2))</f>
        <v>120.15900000000001</v>
      </c>
      <c r="Q1241" s="560">
        <f>IF(X1241=0,0,IF(OR(E1241=$AT$10,E1241=$AT$9),VLOOKUP(YEAR(X1241),INPC!$B$4:$P$30,MONTH(X1241)+1),VLOOKUP(YEAR(X1241),INPC!$B$4:$P$30,MONTH(X1241)+2,0)))</f>
        <v>118.98099999999999</v>
      </c>
      <c r="R1241" s="309">
        <f t="shared" si="328"/>
        <v>1</v>
      </c>
      <c r="S1241" s="310">
        <f t="shared" si="329"/>
        <v>6502.7667033999987</v>
      </c>
      <c r="T1241" s="555">
        <f t="shared" si="330"/>
        <v>812.84583792499984</v>
      </c>
      <c r="U1241" s="311"/>
      <c r="V1241" s="312">
        <v>8</v>
      </c>
      <c r="W1241" s="299" t="s">
        <v>194</v>
      </c>
      <c r="X1241" s="300">
        <v>44627</v>
      </c>
      <c r="Y1241" s="299" t="s">
        <v>59</v>
      </c>
      <c r="Z1241" s="303">
        <v>187.38</v>
      </c>
      <c r="AA1241" s="305">
        <f>IF(Z1241=0,0,IF(Y1241="MXN",1/HLOOKUP(YEAR(X1241)+(MONTH(X1241)/100),TC!$5:$37,DAY(X1241)+2,FALSE),VLOOKUP(Y1241,Equivalencia!$1:$23,((MAX(Equivalencia!$3:$3)-YEAR(X1241))*14)+MONTH(X1241)+2,FALSE)))</f>
        <v>1</v>
      </c>
      <c r="AB1241" s="306">
        <f t="shared" si="331"/>
        <v>187.38</v>
      </c>
      <c r="AC1241" s="305">
        <f>+IF(X1241=0,0,HLOOKUP(YEAR(X1241)+(MONTH(X1241)/100),TC!$5:$37,DAY(X1241)+2,FALSE))</f>
        <v>20.703299999999999</v>
      </c>
      <c r="AD1241" s="307">
        <f t="shared" si="332"/>
        <v>3879.3843539999998</v>
      </c>
      <c r="AE1241" s="314">
        <f t="shared" si="333"/>
        <v>6502.7667033999987</v>
      </c>
      <c r="AF1241" s="315">
        <f t="shared" si="334"/>
        <v>-2623.3823493999989</v>
      </c>
      <c r="AG1241" s="316">
        <f t="shared" si="335"/>
        <v>1.3698630136986301E-2</v>
      </c>
      <c r="AH1241" s="314">
        <v>1</v>
      </c>
      <c r="AI1241" s="314">
        <f t="shared" si="336"/>
        <v>-2623.3823493999989</v>
      </c>
      <c r="AJ1241" s="314">
        <f t="shared" si="337"/>
        <v>0</v>
      </c>
      <c r="AK1241" s="317"/>
      <c r="AL1241" s="315">
        <f t="shared" si="338"/>
        <v>-130.98199999999997</v>
      </c>
      <c r="AN1241" s="554">
        <f t="shared" si="339"/>
        <v>-0.41142473033841975</v>
      </c>
      <c r="AO1241" s="314"/>
      <c r="AP1241" s="318"/>
    </row>
    <row r="1242" spans="2:42">
      <c r="B1242" s="296" t="s">
        <v>1254</v>
      </c>
      <c r="C1242" s="299" t="s">
        <v>277</v>
      </c>
      <c r="D1242" s="298" t="s">
        <v>1045</v>
      </c>
      <c r="E1242" s="299" t="s">
        <v>113</v>
      </c>
      <c r="F1242" s="299" t="s">
        <v>59</v>
      </c>
      <c r="G1242" s="300">
        <v>44622</v>
      </c>
      <c r="H1242" s="303">
        <v>397.95249999999999</v>
      </c>
      <c r="I1242" s="301" t="str">
        <f t="shared" si="323"/>
        <v>Ingresos Sección II LISR (SIC &amp; BMV)</v>
      </c>
      <c r="J1242" s="302">
        <f t="shared" si="324"/>
        <v>10</v>
      </c>
      <c r="K1242" s="304">
        <f t="shared" si="325"/>
        <v>39.795249999999996</v>
      </c>
      <c r="L1242" s="305">
        <f>IF(H1242=0,0,IF(OR(E1242=$AT$5,E1242=$AT$6),AA1242,IF(F1242="MXN",1/HLOOKUP(YEAR(G1242)+(MONTH(G1242)/100),TC!$5:$37,DAY(G1242)+2,FALSE),VLOOKUP(F1242,Equivalencia!$5:$23,((MAX(Equivalencia!$3:$3)-YEAR(G1242))*14)+MONTH(G1242)+2,FALSE))))</f>
        <v>1</v>
      </c>
      <c r="M1242" s="306">
        <f t="shared" si="326"/>
        <v>397.95249999999999</v>
      </c>
      <c r="N1242" s="305">
        <f>IF(G1242=0,0,(IF(OR(E1242=$AT$5,E1242=$AT$6),AC1242,HLOOKUP(YEAR(G1242)+(MONTH(G1242)/100),TC!$5:$37,DAY(G1242)+2,FALSE))))</f>
        <v>20.425699999999999</v>
      </c>
      <c r="O1242" s="307">
        <f t="shared" si="327"/>
        <v>8128.4583792499998</v>
      </c>
      <c r="P1242" s="560">
        <f>IF(G1242=0,0,VLOOKUP(YEAR(G1242),INPC!$B$4:$P$30,MONTH(G1242)+2))</f>
        <v>120.15900000000001</v>
      </c>
      <c r="Q1242" s="560">
        <f>IF(X1242=0,0,IF(OR(E1242=$AT$10,E1242=$AT$9),VLOOKUP(YEAR(X1242),INPC!$B$4:$P$30,MONTH(X1242)+1),VLOOKUP(YEAR(X1242),INPC!$B$4:$P$30,MONTH(X1242)+2,0)))</f>
        <v>118.98099999999999</v>
      </c>
      <c r="R1242" s="309">
        <f t="shared" si="328"/>
        <v>1</v>
      </c>
      <c r="S1242" s="310">
        <f t="shared" si="329"/>
        <v>8128.4583792499998</v>
      </c>
      <c r="T1242" s="555">
        <f t="shared" si="330"/>
        <v>812.84583792499996</v>
      </c>
      <c r="U1242" s="311"/>
      <c r="V1242" s="312">
        <v>10</v>
      </c>
      <c r="W1242" s="299" t="s">
        <v>194</v>
      </c>
      <c r="X1242" s="300">
        <v>44627</v>
      </c>
      <c r="Y1242" s="299" t="s">
        <v>59</v>
      </c>
      <c r="Z1242" s="303">
        <v>234.59</v>
      </c>
      <c r="AA1242" s="305">
        <f>IF(Z1242=0,0,IF(Y1242="MXN",1/HLOOKUP(YEAR(X1242)+(MONTH(X1242)/100),TC!$5:$37,DAY(X1242)+2,FALSE),VLOOKUP(Y1242,Equivalencia!$1:$23,((MAX(Equivalencia!$3:$3)-YEAR(X1242))*14)+MONTH(X1242)+2,FALSE)))</f>
        <v>1</v>
      </c>
      <c r="AB1242" s="306">
        <f t="shared" si="331"/>
        <v>234.59</v>
      </c>
      <c r="AC1242" s="305">
        <f>+IF(X1242=0,0,HLOOKUP(YEAR(X1242)+(MONTH(X1242)/100),TC!$5:$37,DAY(X1242)+2,FALSE))</f>
        <v>20.703299999999999</v>
      </c>
      <c r="AD1242" s="307">
        <f t="shared" si="332"/>
        <v>4856.787147</v>
      </c>
      <c r="AE1242" s="314">
        <f t="shared" si="333"/>
        <v>8128.4583792499998</v>
      </c>
      <c r="AF1242" s="315">
        <f t="shared" si="334"/>
        <v>-3271.6712322499998</v>
      </c>
      <c r="AG1242" s="316">
        <f t="shared" si="335"/>
        <v>1.3698630136986301E-2</v>
      </c>
      <c r="AH1242" s="314">
        <v>1</v>
      </c>
      <c r="AI1242" s="314">
        <f t="shared" si="336"/>
        <v>-3271.6712322499998</v>
      </c>
      <c r="AJ1242" s="314">
        <f t="shared" si="337"/>
        <v>0</v>
      </c>
      <c r="AK1242" s="317"/>
      <c r="AL1242" s="315">
        <f t="shared" si="338"/>
        <v>-163.36249999999998</v>
      </c>
      <c r="AN1242" s="554">
        <f t="shared" si="339"/>
        <v>-0.41050753544706964</v>
      </c>
      <c r="AO1242" s="314"/>
      <c r="AP1242" s="318"/>
    </row>
    <row r="1243" spans="2:42">
      <c r="B1243" s="296" t="s">
        <v>1254</v>
      </c>
      <c r="C1243" s="299" t="s">
        <v>277</v>
      </c>
      <c r="D1243" s="298" t="s">
        <v>1045</v>
      </c>
      <c r="E1243" s="299" t="s">
        <v>113</v>
      </c>
      <c r="F1243" s="299" t="s">
        <v>59</v>
      </c>
      <c r="G1243" s="300">
        <v>44622</v>
      </c>
      <c r="H1243" s="303">
        <v>79.590499999999992</v>
      </c>
      <c r="I1243" s="301" t="str">
        <f t="shared" si="323"/>
        <v>Ingresos Sección II LISR (SIC &amp; BMV)</v>
      </c>
      <c r="J1243" s="302">
        <f t="shared" si="324"/>
        <v>2</v>
      </c>
      <c r="K1243" s="304">
        <f t="shared" si="325"/>
        <v>39.795249999999996</v>
      </c>
      <c r="L1243" s="305">
        <f>IF(H1243=0,0,IF(OR(E1243=$AT$5,E1243=$AT$6),AA1243,IF(F1243="MXN",1/HLOOKUP(YEAR(G1243)+(MONTH(G1243)/100),TC!$5:$37,DAY(G1243)+2,FALSE),VLOOKUP(F1243,Equivalencia!$5:$23,((MAX(Equivalencia!$3:$3)-YEAR(G1243))*14)+MONTH(G1243)+2,FALSE))))</f>
        <v>1</v>
      </c>
      <c r="M1243" s="306">
        <f t="shared" si="326"/>
        <v>79.590499999999992</v>
      </c>
      <c r="N1243" s="305">
        <f>IF(G1243=0,0,(IF(OR(E1243=$AT$5,E1243=$AT$6),AC1243,HLOOKUP(YEAR(G1243)+(MONTH(G1243)/100),TC!$5:$37,DAY(G1243)+2,FALSE))))</f>
        <v>20.425699999999999</v>
      </c>
      <c r="O1243" s="307">
        <f t="shared" si="327"/>
        <v>1625.6916758499997</v>
      </c>
      <c r="P1243" s="560">
        <f>IF(G1243=0,0,VLOOKUP(YEAR(G1243),INPC!$B$4:$P$30,MONTH(G1243)+2))</f>
        <v>120.15900000000001</v>
      </c>
      <c r="Q1243" s="560">
        <f>IF(X1243=0,0,IF(OR(E1243=$AT$10,E1243=$AT$9),VLOOKUP(YEAR(X1243),INPC!$B$4:$P$30,MONTH(X1243)+1),VLOOKUP(YEAR(X1243),INPC!$B$4:$P$30,MONTH(X1243)+2,0)))</f>
        <v>118.98099999999999</v>
      </c>
      <c r="R1243" s="309">
        <f t="shared" si="328"/>
        <v>1</v>
      </c>
      <c r="S1243" s="310">
        <f t="shared" si="329"/>
        <v>1625.6916758499997</v>
      </c>
      <c r="T1243" s="555">
        <f t="shared" si="330"/>
        <v>812.84583792499984</v>
      </c>
      <c r="U1243" s="311"/>
      <c r="V1243" s="312">
        <v>2</v>
      </c>
      <c r="W1243" s="299" t="s">
        <v>194</v>
      </c>
      <c r="X1243" s="300">
        <v>44628</v>
      </c>
      <c r="Y1243" s="299" t="s">
        <v>59</v>
      </c>
      <c r="Z1243" s="303">
        <v>44.97</v>
      </c>
      <c r="AA1243" s="305">
        <f>IF(Z1243=0,0,IF(Y1243="MXN",1/HLOOKUP(YEAR(X1243)+(MONTH(X1243)/100),TC!$5:$37,DAY(X1243)+2,FALSE),VLOOKUP(Y1243,Equivalencia!$1:$23,((MAX(Equivalencia!$3:$3)-YEAR(X1243))*14)+MONTH(X1243)+2,FALSE)))</f>
        <v>1</v>
      </c>
      <c r="AB1243" s="306">
        <f t="shared" si="331"/>
        <v>44.97</v>
      </c>
      <c r="AC1243" s="305">
        <f>+IF(X1243=0,0,HLOOKUP(YEAR(X1243)+(MONTH(X1243)/100),TC!$5:$37,DAY(X1243)+2,FALSE))</f>
        <v>20.926200000000001</v>
      </c>
      <c r="AD1243" s="307">
        <f t="shared" si="332"/>
        <v>941.05121400000007</v>
      </c>
      <c r="AE1243" s="314">
        <f t="shared" si="333"/>
        <v>1625.6916758499997</v>
      </c>
      <c r="AF1243" s="315">
        <f t="shared" si="334"/>
        <v>-684.64046184999961</v>
      </c>
      <c r="AG1243" s="316">
        <f t="shared" si="335"/>
        <v>1.643835616438356E-2</v>
      </c>
      <c r="AH1243" s="314">
        <v>1</v>
      </c>
      <c r="AI1243" s="314">
        <f t="shared" si="336"/>
        <v>-684.64046184999961</v>
      </c>
      <c r="AJ1243" s="314">
        <f t="shared" si="337"/>
        <v>0</v>
      </c>
      <c r="AK1243" s="317"/>
      <c r="AL1243" s="315">
        <f t="shared" si="338"/>
        <v>-34.620499999999993</v>
      </c>
      <c r="AN1243" s="554">
        <f t="shared" si="339"/>
        <v>-0.43498281830117913</v>
      </c>
      <c r="AO1243" s="314"/>
      <c r="AP1243" s="318"/>
    </row>
    <row r="1244" spans="2:42">
      <c r="B1244" s="296" t="s">
        <v>1254</v>
      </c>
      <c r="C1244" s="299" t="s">
        <v>277</v>
      </c>
      <c r="D1244" s="298" t="s">
        <v>1045</v>
      </c>
      <c r="E1244" s="299" t="s">
        <v>113</v>
      </c>
      <c r="F1244" s="299" t="s">
        <v>59</v>
      </c>
      <c r="G1244" s="300">
        <v>44622</v>
      </c>
      <c r="H1244" s="303">
        <v>119.38574999999999</v>
      </c>
      <c r="I1244" s="301" t="str">
        <f t="shared" si="323"/>
        <v>Ingresos Sección II LISR (SIC &amp; BMV)</v>
      </c>
      <c r="J1244" s="302">
        <f t="shared" si="324"/>
        <v>3</v>
      </c>
      <c r="K1244" s="304">
        <f t="shared" si="325"/>
        <v>39.795249999999996</v>
      </c>
      <c r="L1244" s="305">
        <f>IF(H1244=0,0,IF(OR(E1244=$AT$5,E1244=$AT$6),AA1244,IF(F1244="MXN",1/HLOOKUP(YEAR(G1244)+(MONTH(G1244)/100),TC!$5:$37,DAY(G1244)+2,FALSE),VLOOKUP(F1244,Equivalencia!$5:$23,((MAX(Equivalencia!$3:$3)-YEAR(G1244))*14)+MONTH(G1244)+2,FALSE))))</f>
        <v>1</v>
      </c>
      <c r="M1244" s="306">
        <f t="shared" si="326"/>
        <v>119.38574999999999</v>
      </c>
      <c r="N1244" s="305">
        <f>IF(G1244=0,0,(IF(OR(E1244=$AT$5,E1244=$AT$6),AC1244,HLOOKUP(YEAR(G1244)+(MONTH(G1244)/100),TC!$5:$37,DAY(G1244)+2,FALSE))))</f>
        <v>20.425699999999999</v>
      </c>
      <c r="O1244" s="307">
        <f t="shared" si="327"/>
        <v>2438.5375137749998</v>
      </c>
      <c r="P1244" s="560">
        <f>IF(G1244=0,0,VLOOKUP(YEAR(G1244),INPC!$B$4:$P$30,MONTH(G1244)+2))</f>
        <v>120.15900000000001</v>
      </c>
      <c r="Q1244" s="560">
        <f>IF(X1244=0,0,IF(OR(E1244=$AT$10,E1244=$AT$9),VLOOKUP(YEAR(X1244),INPC!$B$4:$P$30,MONTH(X1244)+1),VLOOKUP(YEAR(X1244),INPC!$B$4:$P$30,MONTH(X1244)+2,0)))</f>
        <v>118.98099999999999</v>
      </c>
      <c r="R1244" s="309">
        <f t="shared" si="328"/>
        <v>1</v>
      </c>
      <c r="S1244" s="310">
        <f t="shared" si="329"/>
        <v>2438.5375137749998</v>
      </c>
      <c r="T1244" s="555">
        <f t="shared" si="330"/>
        <v>812.84583792499996</v>
      </c>
      <c r="U1244" s="311"/>
      <c r="V1244" s="312">
        <v>3</v>
      </c>
      <c r="W1244" s="299" t="s">
        <v>194</v>
      </c>
      <c r="X1244" s="300">
        <v>44628</v>
      </c>
      <c r="Y1244" s="299" t="s">
        <v>59</v>
      </c>
      <c r="Z1244" s="303">
        <v>66.510000000000005</v>
      </c>
      <c r="AA1244" s="305">
        <f>IF(Z1244=0,0,IF(Y1244="MXN",1/HLOOKUP(YEAR(X1244)+(MONTH(X1244)/100),TC!$5:$37,DAY(X1244)+2,FALSE),VLOOKUP(Y1244,Equivalencia!$1:$23,((MAX(Equivalencia!$3:$3)-YEAR(X1244))*14)+MONTH(X1244)+2,FALSE)))</f>
        <v>1</v>
      </c>
      <c r="AB1244" s="306">
        <f t="shared" si="331"/>
        <v>66.510000000000005</v>
      </c>
      <c r="AC1244" s="305">
        <f>+IF(X1244=0,0,HLOOKUP(YEAR(X1244)+(MONTH(X1244)/100),TC!$5:$37,DAY(X1244)+2,FALSE))</f>
        <v>20.926200000000001</v>
      </c>
      <c r="AD1244" s="307">
        <f t="shared" si="332"/>
        <v>1391.8015620000001</v>
      </c>
      <c r="AE1244" s="314">
        <f t="shared" si="333"/>
        <v>2438.5375137749998</v>
      </c>
      <c r="AF1244" s="315">
        <f t="shared" si="334"/>
        <v>-1046.7359517749996</v>
      </c>
      <c r="AG1244" s="316">
        <f t="shared" si="335"/>
        <v>1.643835616438356E-2</v>
      </c>
      <c r="AH1244" s="314">
        <v>1</v>
      </c>
      <c r="AI1244" s="314">
        <f t="shared" si="336"/>
        <v>-1046.7359517749996</v>
      </c>
      <c r="AJ1244" s="314">
        <f t="shared" si="337"/>
        <v>0</v>
      </c>
      <c r="AK1244" s="317"/>
      <c r="AL1244" s="315">
        <f t="shared" si="338"/>
        <v>-52.875749999999982</v>
      </c>
      <c r="AN1244" s="554">
        <f t="shared" si="339"/>
        <v>-0.44289833585666621</v>
      </c>
      <c r="AO1244" s="314"/>
      <c r="AP1244" s="318"/>
    </row>
    <row r="1245" spans="2:42">
      <c r="B1245" s="296" t="s">
        <v>1254</v>
      </c>
      <c r="C1245" s="299" t="s">
        <v>277</v>
      </c>
      <c r="D1245" s="298" t="s">
        <v>1045</v>
      </c>
      <c r="E1245" s="299" t="s">
        <v>113</v>
      </c>
      <c r="F1245" s="299" t="s">
        <v>59</v>
      </c>
      <c r="G1245" s="300">
        <v>44622</v>
      </c>
      <c r="H1245" s="303">
        <v>79.590499999999992</v>
      </c>
      <c r="I1245" s="301" t="str">
        <f t="shared" si="323"/>
        <v>Ingresos Sección II LISR (SIC &amp; BMV)</v>
      </c>
      <c r="J1245" s="302">
        <f t="shared" si="324"/>
        <v>2</v>
      </c>
      <c r="K1245" s="304">
        <f t="shared" si="325"/>
        <v>39.795249999999996</v>
      </c>
      <c r="L1245" s="305">
        <f>IF(H1245=0,0,IF(OR(E1245=$AT$5,E1245=$AT$6),AA1245,IF(F1245="MXN",1/HLOOKUP(YEAR(G1245)+(MONTH(G1245)/100),TC!$5:$37,DAY(G1245)+2,FALSE),VLOOKUP(F1245,Equivalencia!$5:$23,((MAX(Equivalencia!$3:$3)-YEAR(G1245))*14)+MONTH(G1245)+2,FALSE))))</f>
        <v>1</v>
      </c>
      <c r="M1245" s="306">
        <f t="shared" si="326"/>
        <v>79.590499999999992</v>
      </c>
      <c r="N1245" s="305">
        <f>IF(G1245=0,0,(IF(OR(E1245=$AT$5,E1245=$AT$6),AC1245,HLOOKUP(YEAR(G1245)+(MONTH(G1245)/100),TC!$5:$37,DAY(G1245)+2,FALSE))))</f>
        <v>20.425699999999999</v>
      </c>
      <c r="O1245" s="307">
        <f t="shared" si="327"/>
        <v>1625.6916758499997</v>
      </c>
      <c r="P1245" s="560">
        <f>IF(G1245=0,0,VLOOKUP(YEAR(G1245),INPC!$B$4:$P$30,MONTH(G1245)+2))</f>
        <v>120.15900000000001</v>
      </c>
      <c r="Q1245" s="560">
        <f>IF(X1245=0,0,IF(OR(E1245=$AT$10,E1245=$AT$9),VLOOKUP(YEAR(X1245),INPC!$B$4:$P$30,MONTH(X1245)+1),VLOOKUP(YEAR(X1245),INPC!$B$4:$P$30,MONTH(X1245)+2,0)))</f>
        <v>118.98099999999999</v>
      </c>
      <c r="R1245" s="309">
        <f t="shared" si="328"/>
        <v>1</v>
      </c>
      <c r="S1245" s="310">
        <f t="shared" si="329"/>
        <v>1625.6916758499997</v>
      </c>
      <c r="T1245" s="555">
        <f t="shared" si="330"/>
        <v>812.84583792499984</v>
      </c>
      <c r="U1245" s="311"/>
      <c r="V1245" s="312">
        <v>2</v>
      </c>
      <c r="W1245" s="299" t="s">
        <v>194</v>
      </c>
      <c r="X1245" s="300">
        <v>44629</v>
      </c>
      <c r="Y1245" s="299" t="s">
        <v>59</v>
      </c>
      <c r="Z1245" s="303">
        <v>44.81</v>
      </c>
      <c r="AA1245" s="305">
        <f>IF(Z1245=0,0,IF(Y1245="MXN",1/HLOOKUP(YEAR(X1245)+(MONTH(X1245)/100),TC!$5:$37,DAY(X1245)+2,FALSE),VLOOKUP(Y1245,Equivalencia!$1:$23,((MAX(Equivalencia!$3:$3)-YEAR(X1245))*14)+MONTH(X1245)+2,FALSE)))</f>
        <v>1</v>
      </c>
      <c r="AB1245" s="306">
        <f t="shared" si="331"/>
        <v>44.81</v>
      </c>
      <c r="AC1245" s="305">
        <f>+IF(X1245=0,0,HLOOKUP(YEAR(X1245)+(MONTH(X1245)/100),TC!$5:$37,DAY(X1245)+2,FALSE))</f>
        <v>21.194700000000001</v>
      </c>
      <c r="AD1245" s="307">
        <f t="shared" si="332"/>
        <v>949.73450700000012</v>
      </c>
      <c r="AE1245" s="314">
        <f t="shared" si="333"/>
        <v>1625.6916758499997</v>
      </c>
      <c r="AF1245" s="315">
        <f t="shared" si="334"/>
        <v>-675.95716884999956</v>
      </c>
      <c r="AG1245" s="316">
        <f t="shared" si="335"/>
        <v>1.9178082191780823E-2</v>
      </c>
      <c r="AH1245" s="314">
        <v>1</v>
      </c>
      <c r="AI1245" s="314">
        <f t="shared" si="336"/>
        <v>-675.95716884999956</v>
      </c>
      <c r="AJ1245" s="314">
        <f t="shared" si="337"/>
        <v>0</v>
      </c>
      <c r="AK1245" s="317"/>
      <c r="AL1245" s="315">
        <f t="shared" si="338"/>
        <v>-34.780499999999989</v>
      </c>
      <c r="AN1245" s="554">
        <f t="shared" si="339"/>
        <v>-0.43699310847400119</v>
      </c>
      <c r="AO1245" s="314"/>
      <c r="AP1245" s="318"/>
    </row>
    <row r="1246" spans="2:42">
      <c r="B1246" s="296"/>
      <c r="C1246" s="299"/>
      <c r="D1246" s="298"/>
      <c r="E1246" s="299"/>
      <c r="F1246" s="299"/>
      <c r="G1246" s="300"/>
      <c r="H1246" s="303"/>
      <c r="I1246" s="301">
        <f t="shared" si="323"/>
        <v>0</v>
      </c>
      <c r="J1246" s="302">
        <f t="shared" si="324"/>
        <v>0</v>
      </c>
      <c r="K1246" s="304">
        <f t="shared" si="325"/>
        <v>0</v>
      </c>
      <c r="L1246" s="305">
        <f>IF(H1246=0,0,IF(OR(E1246=$AT$5,E1246=$AT$6),AA1246,IF(F1246="MXN",1/HLOOKUP(YEAR(G1246)+(MONTH(G1246)/100),TC!$5:$37,DAY(G1246)+2,FALSE),VLOOKUP(F1246,Equivalencia!$5:$23,((MAX(Equivalencia!$3:$3)-YEAR(G1246))*14)+MONTH(G1246)+2,FALSE))))</f>
        <v>0</v>
      </c>
      <c r="M1246" s="306">
        <f t="shared" si="326"/>
        <v>0</v>
      </c>
      <c r="N1246" s="305">
        <f>IF(G1246=0,0,(IF(OR(E1246=$AT$5,E1246=$AT$6),AC1246,HLOOKUP(YEAR(G1246)+(MONTH(G1246)/100),TC!$5:$37,DAY(G1246)+2,FALSE))))</f>
        <v>0</v>
      </c>
      <c r="O1246" s="307">
        <f t="shared" si="327"/>
        <v>0</v>
      </c>
      <c r="P1246" s="560">
        <f>IF(G1246=0,0,VLOOKUP(YEAR(G1246),INPC!$B$4:$P$30,MONTH(G1246)+2))</f>
        <v>0</v>
      </c>
      <c r="Q1246" s="560">
        <f>IF(X1246=0,0,IF(OR(E1246=$AT$10,E1246=$AT$9),VLOOKUP(YEAR(X1246),INPC!$B$4:$P$30,MONTH(X1246)+1),VLOOKUP(YEAR(X1246),INPC!$B$4:$P$30,MONTH(X1246)+2,0)))</f>
        <v>0</v>
      </c>
      <c r="R1246" s="309">
        <f t="shared" si="328"/>
        <v>0</v>
      </c>
      <c r="S1246" s="310">
        <f t="shared" si="329"/>
        <v>0</v>
      </c>
      <c r="T1246" s="555">
        <f t="shared" si="330"/>
        <v>0</v>
      </c>
      <c r="U1246" s="311"/>
      <c r="V1246" s="312"/>
      <c r="W1246" s="299"/>
      <c r="X1246" s="300"/>
      <c r="Y1246" s="299"/>
      <c r="Z1246" s="303"/>
      <c r="AA1246" s="305">
        <f>IF(Z1246=0,0,IF(Y1246="MXN",1/HLOOKUP(YEAR(X1246)+(MONTH(X1246)/100),TC!$5:$37,DAY(X1246)+2,FALSE),VLOOKUP(Y1246,Equivalencia!$1:$23,((MAX(Equivalencia!$3:$3)-YEAR(X1246))*14)+MONTH(X1246)+2,FALSE)))</f>
        <v>0</v>
      </c>
      <c r="AB1246" s="306">
        <f t="shared" si="331"/>
        <v>0</v>
      </c>
      <c r="AC1246" s="305">
        <f>+IF(X1246=0,0,HLOOKUP(YEAR(X1246)+(MONTH(X1246)/100),TC!$5:$37,DAY(X1246)+2,FALSE))</f>
        <v>0</v>
      </c>
      <c r="AD1246" s="307">
        <f t="shared" si="332"/>
        <v>0</v>
      </c>
      <c r="AE1246" s="314">
        <f t="shared" si="333"/>
        <v>0</v>
      </c>
      <c r="AF1246" s="315">
        <f t="shared" si="334"/>
        <v>0</v>
      </c>
      <c r="AG1246" s="316">
        <f t="shared" si="335"/>
        <v>0</v>
      </c>
      <c r="AH1246" s="314">
        <v>1</v>
      </c>
      <c r="AI1246" s="314">
        <f t="shared" si="336"/>
        <v>0</v>
      </c>
      <c r="AJ1246" s="314">
        <f t="shared" si="337"/>
        <v>0</v>
      </c>
      <c r="AK1246" s="317"/>
      <c r="AL1246" s="315">
        <f t="shared" si="338"/>
        <v>0</v>
      </c>
      <c r="AN1246" s="554">
        <f t="shared" si="339"/>
        <v>0</v>
      </c>
      <c r="AO1246" s="314"/>
      <c r="AP1246" s="318"/>
    </row>
    <row r="1247" spans="2:42">
      <c r="B1247" s="296" t="s">
        <v>1254</v>
      </c>
      <c r="C1247" s="299" t="s">
        <v>277</v>
      </c>
      <c r="D1247" s="298" t="s">
        <v>720</v>
      </c>
      <c r="E1247" s="299" t="s">
        <v>113</v>
      </c>
      <c r="F1247" s="299" t="s">
        <v>59</v>
      </c>
      <c r="G1247" s="300">
        <v>44214</v>
      </c>
      <c r="H1247" s="303">
        <v>236.84385964912281</v>
      </c>
      <c r="I1247" s="301" t="str">
        <f t="shared" si="323"/>
        <v>Ingresos Sección II LISR (SIC &amp; BMV)</v>
      </c>
      <c r="J1247" s="302">
        <f t="shared" si="324"/>
        <v>5</v>
      </c>
      <c r="K1247" s="304">
        <f t="shared" si="325"/>
        <v>47.368771929824561</v>
      </c>
      <c r="L1247" s="305">
        <f>IF(H1247=0,0,IF(OR(E1247=$AT$5,E1247=$AT$6),AA1247,IF(F1247="MXN",1/HLOOKUP(YEAR(G1247)+(MONTH(G1247)/100),TC!$5:$37,DAY(G1247)+2,FALSE),VLOOKUP(F1247,Equivalencia!$5:$23,((MAX(Equivalencia!$3:$3)-YEAR(G1247))*14)+MONTH(G1247)+2,FALSE))))</f>
        <v>1</v>
      </c>
      <c r="M1247" s="306">
        <f t="shared" si="326"/>
        <v>236.84385964912281</v>
      </c>
      <c r="N1247" s="305">
        <f>IF(G1247=0,0,(IF(OR(E1247=$AT$5,E1247=$AT$6),AC1247,HLOOKUP(YEAR(G1247)+(MONTH(G1247)/100),TC!$5:$37,DAY(G1247)+2,FALSE))))</f>
        <v>19.779299999999999</v>
      </c>
      <c r="O1247" s="307">
        <f t="shared" si="327"/>
        <v>4684.6057531578945</v>
      </c>
      <c r="P1247" s="560">
        <f>IF(G1247=0,0,VLOOKUP(YEAR(G1247),INPC!$B$4:$P$30,MONTH(G1247)+2))</f>
        <v>110.21</v>
      </c>
      <c r="Q1247" s="560">
        <f>IF(X1247=0,0,IF(OR(E1247=$AT$10,E1247=$AT$9),VLOOKUP(YEAR(X1247),INPC!$B$4:$P$30,MONTH(X1247)+1),VLOOKUP(YEAR(X1247),INPC!$B$4:$P$30,MONTH(X1247)+2,0)))</f>
        <v>118.002</v>
      </c>
      <c r="R1247" s="309">
        <f t="shared" si="328"/>
        <v>1.0707</v>
      </c>
      <c r="S1247" s="310">
        <f t="shared" si="329"/>
        <v>5015.8073799061576</v>
      </c>
      <c r="T1247" s="555">
        <f t="shared" si="330"/>
        <v>1003.1614759812315</v>
      </c>
      <c r="U1247" s="311"/>
      <c r="V1247" s="312">
        <v>5</v>
      </c>
      <c r="W1247" s="299" t="s">
        <v>194</v>
      </c>
      <c r="X1247" s="300">
        <v>44600</v>
      </c>
      <c r="Y1247" s="299" t="s">
        <v>59</v>
      </c>
      <c r="Z1247" s="303">
        <v>296.20416666666665</v>
      </c>
      <c r="AA1247" s="305">
        <f>IF(Z1247=0,0,IF(Y1247="MXN",1/HLOOKUP(YEAR(X1247)+(MONTH(X1247)/100),TC!$5:$37,DAY(X1247)+2,FALSE),VLOOKUP(Y1247,Equivalencia!$1:$23,((MAX(Equivalencia!$3:$3)-YEAR(X1247))*14)+MONTH(X1247)+2,FALSE)))</f>
        <v>1</v>
      </c>
      <c r="AB1247" s="306">
        <f t="shared" si="331"/>
        <v>296.20416666666665</v>
      </c>
      <c r="AC1247" s="305">
        <f>+IF(X1247=0,0,HLOOKUP(YEAR(X1247)+(MONTH(X1247)/100),TC!$5:$37,DAY(X1247)+2,FALSE))</f>
        <v>20.5562</v>
      </c>
      <c r="AD1247" s="307">
        <f t="shared" si="332"/>
        <v>6088.8320908333335</v>
      </c>
      <c r="AE1247" s="314">
        <f t="shared" si="333"/>
        <v>5015.8073799061576</v>
      </c>
      <c r="AF1247" s="315">
        <f t="shared" si="334"/>
        <v>1073.0247109271759</v>
      </c>
      <c r="AG1247" s="316">
        <f t="shared" si="335"/>
        <v>1.0575342465753426</v>
      </c>
      <c r="AH1247" s="314">
        <v>1</v>
      </c>
      <c r="AI1247" s="314">
        <f t="shared" si="336"/>
        <v>1073.0247109271759</v>
      </c>
      <c r="AJ1247" s="314">
        <f t="shared" si="337"/>
        <v>0</v>
      </c>
      <c r="AK1247" s="317"/>
      <c r="AL1247" s="315">
        <f t="shared" si="338"/>
        <v>59.360307017543846</v>
      </c>
      <c r="AN1247" s="554">
        <f t="shared" si="339"/>
        <v>0.25063055088480818</v>
      </c>
      <c r="AO1247" s="314"/>
      <c r="AP1247" s="318"/>
    </row>
    <row r="1248" spans="2:42">
      <c r="B1248" s="296" t="s">
        <v>1254</v>
      </c>
      <c r="C1248" s="299" t="s">
        <v>277</v>
      </c>
      <c r="D1248" s="298" t="s">
        <v>720</v>
      </c>
      <c r="E1248" s="299" t="s">
        <v>113</v>
      </c>
      <c r="F1248" s="299" t="s">
        <v>59</v>
      </c>
      <c r="G1248" s="300">
        <v>44216</v>
      </c>
      <c r="H1248" s="303">
        <v>920.75433962264162</v>
      </c>
      <c r="I1248" s="301" t="str">
        <f t="shared" si="323"/>
        <v>Ingresos Sección II LISR (SIC &amp; BMV)</v>
      </c>
      <c r="J1248" s="302">
        <f t="shared" si="324"/>
        <v>19</v>
      </c>
      <c r="K1248" s="304">
        <f t="shared" si="325"/>
        <v>48.460754716981135</v>
      </c>
      <c r="L1248" s="305">
        <f>IF(H1248=0,0,IF(OR(E1248=$AT$5,E1248=$AT$6),AA1248,IF(F1248="MXN",1/HLOOKUP(YEAR(G1248)+(MONTH(G1248)/100),TC!$5:$37,DAY(G1248)+2,FALSE),VLOOKUP(F1248,Equivalencia!$5:$23,((MAX(Equivalencia!$3:$3)-YEAR(G1248))*14)+MONTH(G1248)+2,FALSE))))</f>
        <v>1</v>
      </c>
      <c r="M1248" s="306">
        <f t="shared" si="326"/>
        <v>920.75433962264162</v>
      </c>
      <c r="N1248" s="305">
        <f>IF(G1248=0,0,(IF(OR(E1248=$AT$5,E1248=$AT$6),AC1248,HLOOKUP(YEAR(G1248)+(MONTH(G1248)/100),TC!$5:$37,DAY(G1248)+2,FALSE))))</f>
        <v>19.757000000000001</v>
      </c>
      <c r="O1248" s="307">
        <f t="shared" si="327"/>
        <v>18191.343487924532</v>
      </c>
      <c r="P1248" s="560">
        <f>IF(G1248=0,0,VLOOKUP(YEAR(G1248),INPC!$B$4:$P$30,MONTH(G1248)+2))</f>
        <v>110.21</v>
      </c>
      <c r="Q1248" s="560">
        <f>IF(X1248=0,0,IF(OR(E1248=$AT$10,E1248=$AT$9),VLOOKUP(YEAR(X1248),INPC!$B$4:$P$30,MONTH(X1248)+1),VLOOKUP(YEAR(X1248),INPC!$B$4:$P$30,MONTH(X1248)+2,0)))</f>
        <v>118.002</v>
      </c>
      <c r="R1248" s="309">
        <f t="shared" si="328"/>
        <v>1.0707</v>
      </c>
      <c r="S1248" s="310">
        <f t="shared" si="329"/>
        <v>19477.471472520796</v>
      </c>
      <c r="T1248" s="555">
        <f t="shared" si="330"/>
        <v>1025.1300775010945</v>
      </c>
      <c r="U1248" s="311"/>
      <c r="V1248" s="312">
        <v>19</v>
      </c>
      <c r="W1248" s="299" t="s">
        <v>194</v>
      </c>
      <c r="X1248" s="300">
        <v>44600</v>
      </c>
      <c r="Y1248" s="299" t="s">
        <v>59</v>
      </c>
      <c r="Z1248" s="303">
        <v>1125.5758333333333</v>
      </c>
      <c r="AA1248" s="305">
        <f>IF(Z1248=0,0,IF(Y1248="MXN",1/HLOOKUP(YEAR(X1248)+(MONTH(X1248)/100),TC!$5:$37,DAY(X1248)+2,FALSE),VLOOKUP(Y1248,Equivalencia!$1:$23,((MAX(Equivalencia!$3:$3)-YEAR(X1248))*14)+MONTH(X1248)+2,FALSE)))</f>
        <v>1</v>
      </c>
      <c r="AB1248" s="306">
        <f t="shared" si="331"/>
        <v>1125.5758333333333</v>
      </c>
      <c r="AC1248" s="305">
        <f>+IF(X1248=0,0,HLOOKUP(YEAR(X1248)+(MONTH(X1248)/100),TC!$5:$37,DAY(X1248)+2,FALSE))</f>
        <v>20.5562</v>
      </c>
      <c r="AD1248" s="307">
        <f t="shared" si="332"/>
        <v>23137.561945166668</v>
      </c>
      <c r="AE1248" s="314">
        <f t="shared" si="333"/>
        <v>19477.471472520796</v>
      </c>
      <c r="AF1248" s="315">
        <f t="shared" si="334"/>
        <v>3660.0904726458721</v>
      </c>
      <c r="AG1248" s="316">
        <f t="shared" si="335"/>
        <v>1.0520547945205478</v>
      </c>
      <c r="AH1248" s="314">
        <v>1</v>
      </c>
      <c r="AI1248" s="314">
        <f t="shared" si="336"/>
        <v>3660.0904726458721</v>
      </c>
      <c r="AJ1248" s="314">
        <f t="shared" si="337"/>
        <v>0</v>
      </c>
      <c r="AK1248" s="317"/>
      <c r="AL1248" s="315">
        <f t="shared" si="338"/>
        <v>204.8214937106917</v>
      </c>
      <c r="AN1248" s="554">
        <f t="shared" si="339"/>
        <v>0.22244966425532672</v>
      </c>
      <c r="AO1248" s="314"/>
      <c r="AP1248" s="318"/>
    </row>
    <row r="1249" spans="2:42">
      <c r="B1249" s="296" t="s">
        <v>1254</v>
      </c>
      <c r="C1249" s="299" t="s">
        <v>277</v>
      </c>
      <c r="D1249" s="298" t="s">
        <v>720</v>
      </c>
      <c r="E1249" s="299" t="s">
        <v>113</v>
      </c>
      <c r="F1249" s="299" t="s">
        <v>59</v>
      </c>
      <c r="G1249" s="300">
        <v>44216</v>
      </c>
      <c r="H1249" s="303">
        <v>193.84301886792454</v>
      </c>
      <c r="I1249" s="301" t="str">
        <f t="shared" si="323"/>
        <v>Ingresos Sección II LISR (SIC &amp; BMV)</v>
      </c>
      <c r="J1249" s="302">
        <f t="shared" si="324"/>
        <v>4</v>
      </c>
      <c r="K1249" s="304">
        <f t="shared" si="325"/>
        <v>48.460754716981135</v>
      </c>
      <c r="L1249" s="305">
        <f>IF(H1249=0,0,IF(OR(E1249=$AT$5,E1249=$AT$6),AA1249,IF(F1249="MXN",1/HLOOKUP(YEAR(G1249)+(MONTH(G1249)/100),TC!$5:$37,DAY(G1249)+2,FALSE),VLOOKUP(F1249,Equivalencia!$5:$23,((MAX(Equivalencia!$3:$3)-YEAR(G1249))*14)+MONTH(G1249)+2,FALSE))))</f>
        <v>1</v>
      </c>
      <c r="M1249" s="306">
        <f t="shared" si="326"/>
        <v>193.84301886792454</v>
      </c>
      <c r="N1249" s="305">
        <f>IF(G1249=0,0,(IF(OR(E1249=$AT$5,E1249=$AT$6),AC1249,HLOOKUP(YEAR(G1249)+(MONTH(G1249)/100),TC!$5:$37,DAY(G1249)+2,FALSE))))</f>
        <v>19.757000000000001</v>
      </c>
      <c r="O1249" s="307">
        <f t="shared" si="327"/>
        <v>3829.7565237735853</v>
      </c>
      <c r="P1249" s="560">
        <f>IF(G1249=0,0,VLOOKUP(YEAR(G1249),INPC!$B$4:$P$30,MONTH(G1249)+2))</f>
        <v>110.21</v>
      </c>
      <c r="Q1249" s="560">
        <f>IF(X1249=0,0,IF(OR(E1249=$AT$10,E1249=$AT$9),VLOOKUP(YEAR(X1249),INPC!$B$4:$P$30,MONTH(X1249)+1),VLOOKUP(YEAR(X1249),INPC!$B$4:$P$30,MONTH(X1249)+2,0)))</f>
        <v>118.002</v>
      </c>
      <c r="R1249" s="309">
        <f t="shared" si="328"/>
        <v>1.0707</v>
      </c>
      <c r="S1249" s="310">
        <f t="shared" si="329"/>
        <v>4100.5203100043773</v>
      </c>
      <c r="T1249" s="555">
        <f t="shared" si="330"/>
        <v>1025.1300775010943</v>
      </c>
      <c r="U1249" s="311"/>
      <c r="V1249" s="312">
        <v>4</v>
      </c>
      <c r="W1249" s="299" t="s">
        <v>194</v>
      </c>
      <c r="X1249" s="300">
        <v>44600</v>
      </c>
      <c r="Y1249" s="299" t="s">
        <v>59</v>
      </c>
      <c r="Z1249" s="303">
        <v>238.08</v>
      </c>
      <c r="AA1249" s="305">
        <f>IF(Z1249=0,0,IF(Y1249="MXN",1/HLOOKUP(YEAR(X1249)+(MONTH(X1249)/100),TC!$5:$37,DAY(X1249)+2,FALSE),VLOOKUP(Y1249,Equivalencia!$1:$23,((MAX(Equivalencia!$3:$3)-YEAR(X1249))*14)+MONTH(X1249)+2,FALSE)))</f>
        <v>1</v>
      </c>
      <c r="AB1249" s="306">
        <f t="shared" si="331"/>
        <v>238.08</v>
      </c>
      <c r="AC1249" s="305">
        <f>+IF(X1249=0,0,HLOOKUP(YEAR(X1249)+(MONTH(X1249)/100),TC!$5:$37,DAY(X1249)+2,FALSE))</f>
        <v>20.5562</v>
      </c>
      <c r="AD1249" s="307">
        <f t="shared" si="332"/>
        <v>4894.0200960000002</v>
      </c>
      <c r="AE1249" s="314">
        <f t="shared" si="333"/>
        <v>4100.5203100043773</v>
      </c>
      <c r="AF1249" s="315">
        <f t="shared" si="334"/>
        <v>793.49978599562291</v>
      </c>
      <c r="AG1249" s="316">
        <f t="shared" si="335"/>
        <v>1.0520547945205478</v>
      </c>
      <c r="AH1249" s="314">
        <v>1</v>
      </c>
      <c r="AI1249" s="314">
        <f t="shared" si="336"/>
        <v>793.49978599562291</v>
      </c>
      <c r="AJ1249" s="314">
        <f t="shared" si="337"/>
        <v>0</v>
      </c>
      <c r="AK1249" s="317"/>
      <c r="AL1249" s="315">
        <f t="shared" si="338"/>
        <v>44.236981132075471</v>
      </c>
      <c r="AN1249" s="554">
        <f t="shared" si="339"/>
        <v>0.22821033943046695</v>
      </c>
      <c r="AO1249" s="314"/>
      <c r="AP1249" s="318"/>
    </row>
    <row r="1250" spans="2:42">
      <c r="B1250" s="296" t="s">
        <v>1254</v>
      </c>
      <c r="C1250" s="299" t="s">
        <v>277</v>
      </c>
      <c r="D1250" s="298" t="s">
        <v>720</v>
      </c>
      <c r="E1250" s="299" t="s">
        <v>113</v>
      </c>
      <c r="F1250" s="299" t="s">
        <v>59</v>
      </c>
      <c r="G1250" s="300">
        <v>44216</v>
      </c>
      <c r="H1250" s="303">
        <v>1453.8226415094341</v>
      </c>
      <c r="I1250" s="301" t="str">
        <f t="shared" si="323"/>
        <v>Ingresos Sección II LISR (SIC &amp; BMV)</v>
      </c>
      <c r="J1250" s="302">
        <f t="shared" si="324"/>
        <v>30</v>
      </c>
      <c r="K1250" s="304">
        <f t="shared" si="325"/>
        <v>48.460754716981135</v>
      </c>
      <c r="L1250" s="305">
        <f>IF(H1250=0,0,IF(OR(E1250=$AT$5,E1250=$AT$6),AA1250,IF(F1250="MXN",1/HLOOKUP(YEAR(G1250)+(MONTH(G1250)/100),TC!$5:$37,DAY(G1250)+2,FALSE),VLOOKUP(F1250,Equivalencia!$5:$23,((MAX(Equivalencia!$3:$3)-YEAR(G1250))*14)+MONTH(G1250)+2,FALSE))))</f>
        <v>1</v>
      </c>
      <c r="M1250" s="306">
        <f t="shared" si="326"/>
        <v>1453.8226415094341</v>
      </c>
      <c r="N1250" s="305">
        <f>IF(G1250=0,0,(IF(OR(E1250=$AT$5,E1250=$AT$6),AC1250,HLOOKUP(YEAR(G1250)+(MONTH(G1250)/100),TC!$5:$37,DAY(G1250)+2,FALSE))))</f>
        <v>19.757000000000001</v>
      </c>
      <c r="O1250" s="307">
        <f t="shared" si="327"/>
        <v>28723.173928301891</v>
      </c>
      <c r="P1250" s="560">
        <f>IF(G1250=0,0,VLOOKUP(YEAR(G1250),INPC!$B$4:$P$30,MONTH(G1250)+2))</f>
        <v>110.21</v>
      </c>
      <c r="Q1250" s="560">
        <f>IF(X1250=0,0,IF(OR(E1250=$AT$10,E1250=$AT$9),VLOOKUP(YEAR(X1250),INPC!$B$4:$P$30,MONTH(X1250)+1),VLOOKUP(YEAR(X1250),INPC!$B$4:$P$30,MONTH(X1250)+2,0)))</f>
        <v>118.002</v>
      </c>
      <c r="R1250" s="309">
        <f t="shared" si="328"/>
        <v>1.0707</v>
      </c>
      <c r="S1250" s="310">
        <f t="shared" si="329"/>
        <v>30753.902325032836</v>
      </c>
      <c r="T1250" s="555">
        <f t="shared" si="330"/>
        <v>1025.1300775010945</v>
      </c>
      <c r="U1250" s="311"/>
      <c r="V1250" s="312">
        <v>30</v>
      </c>
      <c r="W1250" s="299" t="s">
        <v>194</v>
      </c>
      <c r="X1250" s="300">
        <v>44600</v>
      </c>
      <c r="Y1250" s="299" t="s">
        <v>59</v>
      </c>
      <c r="Z1250" s="303">
        <v>1776.5534482758621</v>
      </c>
      <c r="AA1250" s="305">
        <f>IF(Z1250=0,0,IF(Y1250="MXN",1/HLOOKUP(YEAR(X1250)+(MONTH(X1250)/100),TC!$5:$37,DAY(X1250)+2,FALSE),VLOOKUP(Y1250,Equivalencia!$1:$23,((MAX(Equivalencia!$3:$3)-YEAR(X1250))*14)+MONTH(X1250)+2,FALSE)))</f>
        <v>1</v>
      </c>
      <c r="AB1250" s="306">
        <f t="shared" si="331"/>
        <v>1776.5534482758621</v>
      </c>
      <c r="AC1250" s="305">
        <f>+IF(X1250=0,0,HLOOKUP(YEAR(X1250)+(MONTH(X1250)/100),TC!$5:$37,DAY(X1250)+2,FALSE))</f>
        <v>20.5562</v>
      </c>
      <c r="AD1250" s="307">
        <f t="shared" si="332"/>
        <v>36519.187993448279</v>
      </c>
      <c r="AE1250" s="314">
        <f t="shared" si="333"/>
        <v>30753.902325032836</v>
      </c>
      <c r="AF1250" s="315">
        <f t="shared" si="334"/>
        <v>5765.2856684154431</v>
      </c>
      <c r="AG1250" s="316">
        <f t="shared" si="335"/>
        <v>1.0520547945205478</v>
      </c>
      <c r="AH1250" s="314">
        <v>1</v>
      </c>
      <c r="AI1250" s="314">
        <f t="shared" si="336"/>
        <v>5765.2856684154431</v>
      </c>
      <c r="AJ1250" s="314">
        <f t="shared" si="337"/>
        <v>0</v>
      </c>
      <c r="AK1250" s="317"/>
      <c r="AL1250" s="315">
        <f t="shared" si="338"/>
        <v>322.73080676642803</v>
      </c>
      <c r="AN1250" s="554">
        <f t="shared" si="339"/>
        <v>0.22198774290057291</v>
      </c>
      <c r="AO1250" s="314"/>
      <c r="AP1250" s="318"/>
    </row>
    <row r="1251" spans="2:42">
      <c r="B1251" s="296" t="s">
        <v>1254</v>
      </c>
      <c r="C1251" s="299" t="s">
        <v>277</v>
      </c>
      <c r="D1251" s="298" t="s">
        <v>720</v>
      </c>
      <c r="E1251" s="299" t="s">
        <v>113</v>
      </c>
      <c r="F1251" s="299" t="s">
        <v>59</v>
      </c>
      <c r="G1251" s="300">
        <v>44216</v>
      </c>
      <c r="H1251" s="303">
        <v>385.6</v>
      </c>
      <c r="I1251" s="301" t="str">
        <f t="shared" si="323"/>
        <v>Ingresos Sección II LISR (SIC &amp; BMV)</v>
      </c>
      <c r="J1251" s="302">
        <f t="shared" si="324"/>
        <v>8</v>
      </c>
      <c r="K1251" s="304">
        <f t="shared" si="325"/>
        <v>48.2</v>
      </c>
      <c r="L1251" s="305">
        <f>IF(H1251=0,0,IF(OR(E1251=$AT$5,E1251=$AT$6),AA1251,IF(F1251="MXN",1/HLOOKUP(YEAR(G1251)+(MONTH(G1251)/100),TC!$5:$37,DAY(G1251)+2,FALSE),VLOOKUP(F1251,Equivalencia!$5:$23,((MAX(Equivalencia!$3:$3)-YEAR(G1251))*14)+MONTH(G1251)+2,FALSE))))</f>
        <v>1</v>
      </c>
      <c r="M1251" s="306">
        <f t="shared" si="326"/>
        <v>385.6</v>
      </c>
      <c r="N1251" s="305">
        <f>IF(G1251=0,0,(IF(OR(E1251=$AT$5,E1251=$AT$6),AC1251,HLOOKUP(YEAR(G1251)+(MONTH(G1251)/100),TC!$5:$37,DAY(G1251)+2,FALSE))))</f>
        <v>19.757000000000001</v>
      </c>
      <c r="O1251" s="307">
        <f t="shared" si="327"/>
        <v>7618.2992000000013</v>
      </c>
      <c r="P1251" s="560">
        <f>IF(G1251=0,0,VLOOKUP(YEAR(G1251),INPC!$B$4:$P$30,MONTH(G1251)+2))</f>
        <v>110.21</v>
      </c>
      <c r="Q1251" s="560">
        <f>IF(X1251=0,0,IF(OR(E1251=$AT$10,E1251=$AT$9),VLOOKUP(YEAR(X1251),INPC!$B$4:$P$30,MONTH(X1251)+1),VLOOKUP(YEAR(X1251),INPC!$B$4:$P$30,MONTH(X1251)+2,0)))</f>
        <v>118.002</v>
      </c>
      <c r="R1251" s="309">
        <f t="shared" si="328"/>
        <v>1.0707</v>
      </c>
      <c r="S1251" s="310">
        <f t="shared" si="329"/>
        <v>8156.9129534400008</v>
      </c>
      <c r="T1251" s="555">
        <f t="shared" si="330"/>
        <v>1019.6141191800001</v>
      </c>
      <c r="U1251" s="311"/>
      <c r="V1251" s="312">
        <v>8</v>
      </c>
      <c r="W1251" s="299" t="s">
        <v>194</v>
      </c>
      <c r="X1251" s="300">
        <v>44600</v>
      </c>
      <c r="Y1251" s="299" t="s">
        <v>59</v>
      </c>
      <c r="Z1251" s="303">
        <v>473.74758620689659</v>
      </c>
      <c r="AA1251" s="305">
        <f>IF(Z1251=0,0,IF(Y1251="MXN",1/HLOOKUP(YEAR(X1251)+(MONTH(X1251)/100),TC!$5:$37,DAY(X1251)+2,FALSE),VLOOKUP(Y1251,Equivalencia!$1:$23,((MAX(Equivalencia!$3:$3)-YEAR(X1251))*14)+MONTH(X1251)+2,FALSE)))</f>
        <v>1</v>
      </c>
      <c r="AB1251" s="306">
        <f t="shared" si="331"/>
        <v>473.74758620689659</v>
      </c>
      <c r="AC1251" s="305">
        <f>+IF(X1251=0,0,HLOOKUP(YEAR(X1251)+(MONTH(X1251)/100),TC!$5:$37,DAY(X1251)+2,FALSE))</f>
        <v>20.5562</v>
      </c>
      <c r="AD1251" s="307">
        <f t="shared" si="332"/>
        <v>9738.4501315862071</v>
      </c>
      <c r="AE1251" s="314">
        <f t="shared" si="333"/>
        <v>8156.9129534400008</v>
      </c>
      <c r="AF1251" s="315">
        <f t="shared" si="334"/>
        <v>1581.5371781462063</v>
      </c>
      <c r="AG1251" s="316">
        <f t="shared" si="335"/>
        <v>1.0520547945205478</v>
      </c>
      <c r="AH1251" s="314">
        <v>1</v>
      </c>
      <c r="AI1251" s="314">
        <f t="shared" si="336"/>
        <v>1581.5371781462063</v>
      </c>
      <c r="AJ1251" s="314">
        <f t="shared" si="337"/>
        <v>0</v>
      </c>
      <c r="AK1251" s="317"/>
      <c r="AL1251" s="315">
        <f t="shared" si="338"/>
        <v>88.147586206896563</v>
      </c>
      <c r="AN1251" s="554">
        <f t="shared" si="339"/>
        <v>0.22859851194734584</v>
      </c>
      <c r="AO1251" s="314"/>
      <c r="AP1251" s="318"/>
    </row>
    <row r="1252" spans="2:42">
      <c r="B1252" s="296" t="s">
        <v>1254</v>
      </c>
      <c r="C1252" s="299" t="s">
        <v>277</v>
      </c>
      <c r="D1252" s="298" t="s">
        <v>720</v>
      </c>
      <c r="E1252" s="299" t="s">
        <v>113</v>
      </c>
      <c r="F1252" s="299" t="s">
        <v>59</v>
      </c>
      <c r="G1252" s="300">
        <v>44216</v>
      </c>
      <c r="H1252" s="303">
        <v>969.21224489795918</v>
      </c>
      <c r="I1252" s="301" t="str">
        <f t="shared" si="323"/>
        <v>Ingresos Sección II LISR (SIC &amp; BMV)</v>
      </c>
      <c r="J1252" s="302">
        <f t="shared" si="324"/>
        <v>20</v>
      </c>
      <c r="K1252" s="304">
        <f t="shared" si="325"/>
        <v>48.460612244897959</v>
      </c>
      <c r="L1252" s="305">
        <f>IF(H1252=0,0,IF(OR(E1252=$AT$5,E1252=$AT$6),AA1252,IF(F1252="MXN",1/HLOOKUP(YEAR(G1252)+(MONTH(G1252)/100),TC!$5:$37,DAY(G1252)+2,FALSE),VLOOKUP(F1252,Equivalencia!$5:$23,((MAX(Equivalencia!$3:$3)-YEAR(G1252))*14)+MONTH(G1252)+2,FALSE))))</f>
        <v>1</v>
      </c>
      <c r="M1252" s="306">
        <f t="shared" si="326"/>
        <v>969.21224489795918</v>
      </c>
      <c r="N1252" s="305">
        <f>IF(G1252=0,0,(IF(OR(E1252=$AT$5,E1252=$AT$6),AC1252,HLOOKUP(YEAR(G1252)+(MONTH(G1252)/100),TC!$5:$37,DAY(G1252)+2,FALSE))))</f>
        <v>19.757000000000001</v>
      </c>
      <c r="O1252" s="307">
        <f t="shared" si="327"/>
        <v>19148.72632244898</v>
      </c>
      <c r="P1252" s="560">
        <f>IF(G1252=0,0,VLOOKUP(YEAR(G1252),INPC!$B$4:$P$30,MONTH(G1252)+2))</f>
        <v>110.21</v>
      </c>
      <c r="Q1252" s="560">
        <f>IF(X1252=0,0,IF(OR(E1252=$AT$10,E1252=$AT$9),VLOOKUP(YEAR(X1252),INPC!$B$4:$P$30,MONTH(X1252)+1),VLOOKUP(YEAR(X1252),INPC!$B$4:$P$30,MONTH(X1252)+2,0)))</f>
        <v>118.002</v>
      </c>
      <c r="R1252" s="309">
        <f t="shared" si="328"/>
        <v>1.0707</v>
      </c>
      <c r="S1252" s="310">
        <f t="shared" si="329"/>
        <v>20502.541273446121</v>
      </c>
      <c r="T1252" s="555">
        <f t="shared" si="330"/>
        <v>1025.1270636723061</v>
      </c>
      <c r="U1252" s="311"/>
      <c r="V1252" s="312">
        <v>20</v>
      </c>
      <c r="W1252" s="299" t="s">
        <v>194</v>
      </c>
      <c r="X1252" s="300">
        <v>44600</v>
      </c>
      <c r="Y1252" s="299" t="s">
        <v>59</v>
      </c>
      <c r="Z1252" s="303">
        <v>1184.3689655172416</v>
      </c>
      <c r="AA1252" s="305">
        <f>IF(Z1252=0,0,IF(Y1252="MXN",1/HLOOKUP(YEAR(X1252)+(MONTH(X1252)/100),TC!$5:$37,DAY(X1252)+2,FALSE),VLOOKUP(Y1252,Equivalencia!$1:$23,((MAX(Equivalencia!$3:$3)-YEAR(X1252))*14)+MONTH(X1252)+2,FALSE)))</f>
        <v>1</v>
      </c>
      <c r="AB1252" s="306">
        <f t="shared" si="331"/>
        <v>1184.3689655172416</v>
      </c>
      <c r="AC1252" s="305">
        <f>+IF(X1252=0,0,HLOOKUP(YEAR(X1252)+(MONTH(X1252)/100),TC!$5:$37,DAY(X1252)+2,FALSE))</f>
        <v>20.5562</v>
      </c>
      <c r="AD1252" s="307">
        <f t="shared" si="332"/>
        <v>24346.125328965521</v>
      </c>
      <c r="AE1252" s="314">
        <f t="shared" si="333"/>
        <v>20502.541273446121</v>
      </c>
      <c r="AF1252" s="315">
        <f t="shared" si="334"/>
        <v>3843.5840555194009</v>
      </c>
      <c r="AG1252" s="316">
        <f t="shared" si="335"/>
        <v>1.0520547945205478</v>
      </c>
      <c r="AH1252" s="314">
        <v>1</v>
      </c>
      <c r="AI1252" s="314">
        <f t="shared" si="336"/>
        <v>3843.5840555194009</v>
      </c>
      <c r="AJ1252" s="314">
        <f t="shared" si="337"/>
        <v>0</v>
      </c>
      <c r="AK1252" s="317"/>
      <c r="AL1252" s="315">
        <f t="shared" si="338"/>
        <v>215.1567206192824</v>
      </c>
      <c r="AN1252" s="554">
        <f t="shared" si="339"/>
        <v>0.22199133549115918</v>
      </c>
      <c r="AO1252" s="314"/>
      <c r="AP1252" s="318"/>
    </row>
    <row r="1253" spans="2:42">
      <c r="B1253" s="296" t="s">
        <v>1254</v>
      </c>
      <c r="C1253" s="299" t="s">
        <v>277</v>
      </c>
      <c r="D1253" s="298" t="s">
        <v>720</v>
      </c>
      <c r="E1253" s="299" t="s">
        <v>113</v>
      </c>
      <c r="F1253" s="299" t="s">
        <v>59</v>
      </c>
      <c r="G1253" s="300">
        <v>44216</v>
      </c>
      <c r="H1253" s="303">
        <v>290.7645283018868</v>
      </c>
      <c r="I1253" s="301" t="str">
        <f t="shared" si="323"/>
        <v>Ingresos Sección II LISR (SIC &amp; BMV)</v>
      </c>
      <c r="J1253" s="302">
        <f t="shared" si="324"/>
        <v>6</v>
      </c>
      <c r="K1253" s="304">
        <f t="shared" si="325"/>
        <v>48.460754716981135</v>
      </c>
      <c r="L1253" s="305">
        <f>IF(H1253=0,0,IF(OR(E1253=$AT$5,E1253=$AT$6),AA1253,IF(F1253="MXN",1/HLOOKUP(YEAR(G1253)+(MONTH(G1253)/100),TC!$5:$37,DAY(G1253)+2,FALSE),VLOOKUP(F1253,Equivalencia!$5:$23,((MAX(Equivalencia!$3:$3)-YEAR(G1253))*14)+MONTH(G1253)+2,FALSE))))</f>
        <v>1</v>
      </c>
      <c r="M1253" s="306">
        <f t="shared" si="326"/>
        <v>290.7645283018868</v>
      </c>
      <c r="N1253" s="305">
        <f>IF(G1253=0,0,(IF(OR(E1253=$AT$5,E1253=$AT$6),AC1253,HLOOKUP(YEAR(G1253)+(MONTH(G1253)/100),TC!$5:$37,DAY(G1253)+2,FALSE))))</f>
        <v>19.757000000000001</v>
      </c>
      <c r="O1253" s="307">
        <f t="shared" si="327"/>
        <v>5744.6347856603779</v>
      </c>
      <c r="P1253" s="560">
        <f>IF(G1253=0,0,VLOOKUP(YEAR(G1253),INPC!$B$4:$P$30,MONTH(G1253)+2))</f>
        <v>110.21</v>
      </c>
      <c r="Q1253" s="560">
        <f>IF(X1253=0,0,IF(OR(E1253=$AT$10,E1253=$AT$9),VLOOKUP(YEAR(X1253),INPC!$B$4:$P$30,MONTH(X1253)+1),VLOOKUP(YEAR(X1253),INPC!$B$4:$P$30,MONTH(X1253)+2,0)))</f>
        <v>118.002</v>
      </c>
      <c r="R1253" s="309">
        <f t="shared" si="328"/>
        <v>1.0707</v>
      </c>
      <c r="S1253" s="310">
        <f t="shared" si="329"/>
        <v>6150.7804650065664</v>
      </c>
      <c r="T1253" s="555">
        <f t="shared" si="330"/>
        <v>1025.1300775010943</v>
      </c>
      <c r="U1253" s="311"/>
      <c r="V1253" s="312">
        <v>6</v>
      </c>
      <c r="W1253" s="299" t="s">
        <v>194</v>
      </c>
      <c r="X1253" s="300">
        <v>44600</v>
      </c>
      <c r="Y1253" s="299" t="s">
        <v>59</v>
      </c>
      <c r="Z1253" s="303">
        <v>354.66</v>
      </c>
      <c r="AA1253" s="305">
        <f>IF(Z1253=0,0,IF(Y1253="MXN",1/HLOOKUP(YEAR(X1253)+(MONTH(X1253)/100),TC!$5:$37,DAY(X1253)+2,FALSE),VLOOKUP(Y1253,Equivalencia!$1:$23,((MAX(Equivalencia!$3:$3)-YEAR(X1253))*14)+MONTH(X1253)+2,FALSE)))</f>
        <v>1</v>
      </c>
      <c r="AB1253" s="306">
        <f t="shared" si="331"/>
        <v>354.66</v>
      </c>
      <c r="AC1253" s="305">
        <f>+IF(X1253=0,0,HLOOKUP(YEAR(X1253)+(MONTH(X1253)/100),TC!$5:$37,DAY(X1253)+2,FALSE))</f>
        <v>20.5562</v>
      </c>
      <c r="AD1253" s="307">
        <f t="shared" si="332"/>
        <v>7290.4618920000003</v>
      </c>
      <c r="AE1253" s="314">
        <f t="shared" si="333"/>
        <v>6150.7804650065664</v>
      </c>
      <c r="AF1253" s="315">
        <f t="shared" si="334"/>
        <v>1139.6814269934339</v>
      </c>
      <c r="AG1253" s="316">
        <f t="shared" si="335"/>
        <v>1.0520547945205478</v>
      </c>
      <c r="AH1253" s="314">
        <v>1</v>
      </c>
      <c r="AI1253" s="314">
        <f t="shared" si="336"/>
        <v>1139.6814269934339</v>
      </c>
      <c r="AJ1253" s="314">
        <f t="shared" si="337"/>
        <v>0</v>
      </c>
      <c r="AK1253" s="317"/>
      <c r="AL1253" s="315">
        <f t="shared" si="338"/>
        <v>63.895471698113226</v>
      </c>
      <c r="AN1253" s="554">
        <f t="shared" si="339"/>
        <v>0.21974988514339561</v>
      </c>
      <c r="AO1253" s="314"/>
      <c r="AP1253" s="318"/>
    </row>
    <row r="1254" spans="2:42">
      <c r="B1254" s="296" t="s">
        <v>1254</v>
      </c>
      <c r="C1254" s="299" t="s">
        <v>277</v>
      </c>
      <c r="D1254" s="298" t="s">
        <v>720</v>
      </c>
      <c r="E1254" s="299" t="s">
        <v>113</v>
      </c>
      <c r="F1254" s="299" t="s">
        <v>59</v>
      </c>
      <c r="G1254" s="300">
        <v>44216</v>
      </c>
      <c r="H1254" s="303">
        <v>387.68603773584908</v>
      </c>
      <c r="I1254" s="301" t="str">
        <f t="shared" si="323"/>
        <v>Ingresos Sección II LISR (SIC &amp; BMV)</v>
      </c>
      <c r="J1254" s="302">
        <f t="shared" si="324"/>
        <v>8</v>
      </c>
      <c r="K1254" s="304">
        <f t="shared" si="325"/>
        <v>48.460754716981135</v>
      </c>
      <c r="L1254" s="305">
        <f>IF(H1254=0,0,IF(OR(E1254=$AT$5,E1254=$AT$6),AA1254,IF(F1254="MXN",1/HLOOKUP(YEAR(G1254)+(MONTH(G1254)/100),TC!$5:$37,DAY(G1254)+2,FALSE),VLOOKUP(F1254,Equivalencia!$5:$23,((MAX(Equivalencia!$3:$3)-YEAR(G1254))*14)+MONTH(G1254)+2,FALSE))))</f>
        <v>1</v>
      </c>
      <c r="M1254" s="306">
        <f t="shared" si="326"/>
        <v>387.68603773584908</v>
      </c>
      <c r="N1254" s="305">
        <f>IF(G1254=0,0,(IF(OR(E1254=$AT$5,E1254=$AT$6),AC1254,HLOOKUP(YEAR(G1254)+(MONTH(G1254)/100),TC!$5:$37,DAY(G1254)+2,FALSE))))</f>
        <v>19.757000000000001</v>
      </c>
      <c r="O1254" s="307">
        <f t="shared" si="327"/>
        <v>7659.5130475471706</v>
      </c>
      <c r="P1254" s="560">
        <f>IF(G1254=0,0,VLOOKUP(YEAR(G1254),INPC!$B$4:$P$30,MONTH(G1254)+2))</f>
        <v>110.21</v>
      </c>
      <c r="Q1254" s="560">
        <f>IF(X1254=0,0,IF(OR(E1254=$AT$10,E1254=$AT$9),VLOOKUP(YEAR(X1254),INPC!$B$4:$P$30,MONTH(X1254)+1),VLOOKUP(YEAR(X1254),INPC!$B$4:$P$30,MONTH(X1254)+2,0)))</f>
        <v>118.002</v>
      </c>
      <c r="R1254" s="309">
        <f t="shared" si="328"/>
        <v>1.0707</v>
      </c>
      <c r="S1254" s="310">
        <f t="shared" si="329"/>
        <v>8201.0406200087546</v>
      </c>
      <c r="T1254" s="555">
        <f t="shared" si="330"/>
        <v>1025.1300775010943</v>
      </c>
      <c r="U1254" s="311"/>
      <c r="V1254" s="312">
        <v>8</v>
      </c>
      <c r="W1254" s="299" t="s">
        <v>194</v>
      </c>
      <c r="X1254" s="300">
        <v>44600</v>
      </c>
      <c r="Y1254" s="299" t="s">
        <v>59</v>
      </c>
      <c r="Z1254" s="303">
        <v>467.1</v>
      </c>
      <c r="AA1254" s="305">
        <f>IF(Z1254=0,0,IF(Y1254="MXN",1/HLOOKUP(YEAR(X1254)+(MONTH(X1254)/100),TC!$5:$37,DAY(X1254)+2,FALSE),VLOOKUP(Y1254,Equivalencia!$1:$23,((MAX(Equivalencia!$3:$3)-YEAR(X1254))*14)+MONTH(X1254)+2,FALSE)))</f>
        <v>1</v>
      </c>
      <c r="AB1254" s="306">
        <f t="shared" si="331"/>
        <v>467.1</v>
      </c>
      <c r="AC1254" s="305">
        <f>+IF(X1254=0,0,HLOOKUP(YEAR(X1254)+(MONTH(X1254)/100),TC!$5:$37,DAY(X1254)+2,FALSE))</f>
        <v>20.5562</v>
      </c>
      <c r="AD1254" s="307">
        <f t="shared" si="332"/>
        <v>9601.8010200000008</v>
      </c>
      <c r="AE1254" s="314">
        <f t="shared" si="333"/>
        <v>8201.0406200087546</v>
      </c>
      <c r="AF1254" s="315">
        <f t="shared" si="334"/>
        <v>1400.7603999912462</v>
      </c>
      <c r="AG1254" s="316">
        <f t="shared" si="335"/>
        <v>1.0520547945205478</v>
      </c>
      <c r="AH1254" s="314">
        <v>1</v>
      </c>
      <c r="AI1254" s="314">
        <f t="shared" si="336"/>
        <v>1400.7603999912462</v>
      </c>
      <c r="AJ1254" s="314">
        <f t="shared" si="337"/>
        <v>0</v>
      </c>
      <c r="AK1254" s="317"/>
      <c r="AL1254" s="315">
        <f t="shared" si="338"/>
        <v>79.413962264150939</v>
      </c>
      <c r="AN1254" s="554">
        <f t="shared" si="339"/>
        <v>0.20484091386922698</v>
      </c>
      <c r="AO1254" s="314"/>
      <c r="AP1254" s="318"/>
    </row>
    <row r="1255" spans="2:42">
      <c r="B1255" s="296" t="s">
        <v>1254</v>
      </c>
      <c r="C1255" s="299" t="s">
        <v>277</v>
      </c>
      <c r="D1255" s="298" t="s">
        <v>720</v>
      </c>
      <c r="E1255" s="299" t="s">
        <v>113</v>
      </c>
      <c r="F1255" s="299" t="s">
        <v>59</v>
      </c>
      <c r="G1255" s="300">
        <v>44216</v>
      </c>
      <c r="H1255" s="303">
        <v>48.460754716981135</v>
      </c>
      <c r="I1255" s="301" t="str">
        <f t="shared" si="323"/>
        <v>Ingresos Sección II LISR (SIC &amp; BMV)</v>
      </c>
      <c r="J1255" s="302">
        <f t="shared" si="324"/>
        <v>1</v>
      </c>
      <c r="K1255" s="304">
        <f t="shared" si="325"/>
        <v>48.460754716981135</v>
      </c>
      <c r="L1255" s="305">
        <f>IF(H1255=0,0,IF(OR(E1255=$AT$5,E1255=$AT$6),AA1255,IF(F1255="MXN",1/HLOOKUP(YEAR(G1255)+(MONTH(G1255)/100),TC!$5:$37,DAY(G1255)+2,FALSE),VLOOKUP(F1255,Equivalencia!$5:$23,((MAX(Equivalencia!$3:$3)-YEAR(G1255))*14)+MONTH(G1255)+2,FALSE))))</f>
        <v>1</v>
      </c>
      <c r="M1255" s="306">
        <f t="shared" si="326"/>
        <v>48.460754716981135</v>
      </c>
      <c r="N1255" s="305">
        <f>IF(G1255=0,0,(IF(OR(E1255=$AT$5,E1255=$AT$6),AC1255,HLOOKUP(YEAR(G1255)+(MONTH(G1255)/100),TC!$5:$37,DAY(G1255)+2,FALSE))))</f>
        <v>19.757000000000001</v>
      </c>
      <c r="O1255" s="307">
        <f t="shared" si="327"/>
        <v>957.43913094339632</v>
      </c>
      <c r="P1255" s="560">
        <f>IF(G1255=0,0,VLOOKUP(YEAR(G1255),INPC!$B$4:$P$30,MONTH(G1255)+2))</f>
        <v>110.21</v>
      </c>
      <c r="Q1255" s="560">
        <f>IF(X1255=0,0,IF(OR(E1255=$AT$10,E1255=$AT$9),VLOOKUP(YEAR(X1255),INPC!$B$4:$P$30,MONTH(X1255)+1),VLOOKUP(YEAR(X1255),INPC!$B$4:$P$30,MONTH(X1255)+2,0)))</f>
        <v>118.002</v>
      </c>
      <c r="R1255" s="309">
        <f t="shared" si="328"/>
        <v>1.0707</v>
      </c>
      <c r="S1255" s="310">
        <f t="shared" si="329"/>
        <v>1025.1300775010943</v>
      </c>
      <c r="T1255" s="555">
        <f t="shared" si="330"/>
        <v>1025.1300775010943</v>
      </c>
      <c r="U1255" s="311"/>
      <c r="V1255" s="312">
        <v>1</v>
      </c>
      <c r="W1255" s="299" t="s">
        <v>194</v>
      </c>
      <c r="X1255" s="300">
        <v>44601</v>
      </c>
      <c r="Y1255" s="299" t="s">
        <v>59</v>
      </c>
      <c r="Z1255" s="303">
        <v>60.57</v>
      </c>
      <c r="AA1255" s="305">
        <f>IF(Z1255=0,0,IF(Y1255="MXN",1/HLOOKUP(YEAR(X1255)+(MONTH(X1255)/100),TC!$5:$37,DAY(X1255)+2,FALSE),VLOOKUP(Y1255,Equivalencia!$1:$23,((MAX(Equivalencia!$3:$3)-YEAR(X1255))*14)+MONTH(X1255)+2,FALSE)))</f>
        <v>1</v>
      </c>
      <c r="AB1255" s="306">
        <f t="shared" si="331"/>
        <v>60.57</v>
      </c>
      <c r="AC1255" s="305">
        <f>+IF(X1255=0,0,HLOOKUP(YEAR(X1255)+(MONTH(X1255)/100),TC!$5:$37,DAY(X1255)+2,FALSE))</f>
        <v>20.732500000000002</v>
      </c>
      <c r="AD1255" s="307">
        <f t="shared" si="332"/>
        <v>1255.7675250000002</v>
      </c>
      <c r="AE1255" s="314">
        <f t="shared" si="333"/>
        <v>1025.1300775010943</v>
      </c>
      <c r="AF1255" s="315">
        <f t="shared" si="334"/>
        <v>230.63744749890589</v>
      </c>
      <c r="AG1255" s="316">
        <f t="shared" si="335"/>
        <v>1.0547945205479452</v>
      </c>
      <c r="AH1255" s="314">
        <v>1</v>
      </c>
      <c r="AI1255" s="314">
        <f t="shared" si="336"/>
        <v>230.63744749890589</v>
      </c>
      <c r="AJ1255" s="314">
        <f t="shared" si="337"/>
        <v>0</v>
      </c>
      <c r="AK1255" s="317"/>
      <c r="AL1255" s="315">
        <f t="shared" si="338"/>
        <v>12.109245283018865</v>
      </c>
      <c r="AN1255" s="554">
        <f t="shared" si="339"/>
        <v>0.24987735650711324</v>
      </c>
      <c r="AO1255" s="314"/>
      <c r="AP1255" s="318"/>
    </row>
    <row r="1256" spans="2:42">
      <c r="B1256" s="296" t="s">
        <v>1254</v>
      </c>
      <c r="C1256" s="299" t="s">
        <v>277</v>
      </c>
      <c r="D1256" s="298" t="s">
        <v>720</v>
      </c>
      <c r="E1256" s="299" t="s">
        <v>113</v>
      </c>
      <c r="F1256" s="299" t="s">
        <v>59</v>
      </c>
      <c r="G1256" s="300">
        <v>44216</v>
      </c>
      <c r="H1256" s="303">
        <v>484.60754716981137</v>
      </c>
      <c r="I1256" s="301" t="str">
        <f t="shared" si="323"/>
        <v>Ingresos Sección II LISR (SIC &amp; BMV)</v>
      </c>
      <c r="J1256" s="302">
        <f t="shared" si="324"/>
        <v>10</v>
      </c>
      <c r="K1256" s="304">
        <f t="shared" si="325"/>
        <v>48.460754716981135</v>
      </c>
      <c r="L1256" s="305">
        <f>IF(H1256=0,0,IF(OR(E1256=$AT$5,E1256=$AT$6),AA1256,IF(F1256="MXN",1/HLOOKUP(YEAR(G1256)+(MONTH(G1256)/100),TC!$5:$37,DAY(G1256)+2,FALSE),VLOOKUP(F1256,Equivalencia!$5:$23,((MAX(Equivalencia!$3:$3)-YEAR(G1256))*14)+MONTH(G1256)+2,FALSE))))</f>
        <v>1</v>
      </c>
      <c r="M1256" s="306">
        <f t="shared" si="326"/>
        <v>484.60754716981137</v>
      </c>
      <c r="N1256" s="305">
        <f>IF(G1256=0,0,(IF(OR(E1256=$AT$5,E1256=$AT$6),AC1256,HLOOKUP(YEAR(G1256)+(MONTH(G1256)/100),TC!$5:$37,DAY(G1256)+2,FALSE))))</f>
        <v>19.757000000000001</v>
      </c>
      <c r="O1256" s="307">
        <f t="shared" si="327"/>
        <v>9574.3913094339641</v>
      </c>
      <c r="P1256" s="560">
        <f>IF(G1256=0,0,VLOOKUP(YEAR(G1256),INPC!$B$4:$P$30,MONTH(G1256)+2))</f>
        <v>110.21</v>
      </c>
      <c r="Q1256" s="560">
        <f>IF(X1256=0,0,IF(OR(E1256=$AT$10,E1256=$AT$9),VLOOKUP(YEAR(X1256),INPC!$B$4:$P$30,MONTH(X1256)+1),VLOOKUP(YEAR(X1256),INPC!$B$4:$P$30,MONTH(X1256)+2,0)))</f>
        <v>118.002</v>
      </c>
      <c r="R1256" s="309">
        <f t="shared" si="328"/>
        <v>1.0707</v>
      </c>
      <c r="S1256" s="310">
        <f t="shared" si="329"/>
        <v>10251.300775010945</v>
      </c>
      <c r="T1256" s="555">
        <f t="shared" si="330"/>
        <v>1025.1300775010945</v>
      </c>
      <c r="U1256" s="311"/>
      <c r="V1256" s="312">
        <v>10</v>
      </c>
      <c r="W1256" s="299" t="s">
        <v>194</v>
      </c>
      <c r="X1256" s="300">
        <v>44601</v>
      </c>
      <c r="Y1256" s="299" t="s">
        <v>59</v>
      </c>
      <c r="Z1256" s="303">
        <v>605.52</v>
      </c>
      <c r="AA1256" s="305">
        <f>IF(Z1256=0,0,IF(Y1256="MXN",1/HLOOKUP(YEAR(X1256)+(MONTH(X1256)/100),TC!$5:$37,DAY(X1256)+2,FALSE),VLOOKUP(Y1256,Equivalencia!$1:$23,((MAX(Equivalencia!$3:$3)-YEAR(X1256))*14)+MONTH(X1256)+2,FALSE)))</f>
        <v>1</v>
      </c>
      <c r="AB1256" s="306">
        <f t="shared" si="331"/>
        <v>605.52</v>
      </c>
      <c r="AC1256" s="305">
        <f>+IF(X1256=0,0,HLOOKUP(YEAR(X1256)+(MONTH(X1256)/100),TC!$5:$37,DAY(X1256)+2,FALSE))</f>
        <v>20.732500000000002</v>
      </c>
      <c r="AD1256" s="307">
        <f t="shared" si="332"/>
        <v>12553.9434</v>
      </c>
      <c r="AE1256" s="314">
        <f t="shared" si="333"/>
        <v>10251.300775010946</v>
      </c>
      <c r="AF1256" s="315">
        <f t="shared" si="334"/>
        <v>2302.6426249890537</v>
      </c>
      <c r="AG1256" s="316">
        <f t="shared" si="335"/>
        <v>1.0547945205479452</v>
      </c>
      <c r="AH1256" s="314">
        <v>1</v>
      </c>
      <c r="AI1256" s="314">
        <f t="shared" si="336"/>
        <v>2302.6426249890537</v>
      </c>
      <c r="AJ1256" s="314">
        <f t="shared" si="337"/>
        <v>0</v>
      </c>
      <c r="AK1256" s="317"/>
      <c r="AL1256" s="315">
        <f t="shared" si="338"/>
        <v>120.91245283018861</v>
      </c>
      <c r="AN1256" s="554">
        <f t="shared" si="339"/>
        <v>0.24950592192865637</v>
      </c>
      <c r="AO1256" s="314"/>
      <c r="AP1256" s="318"/>
    </row>
    <row r="1257" spans="2:42">
      <c r="B1257" s="296" t="s">
        <v>1254</v>
      </c>
      <c r="C1257" s="299" t="s">
        <v>277</v>
      </c>
      <c r="D1257" s="298" t="s">
        <v>720</v>
      </c>
      <c r="E1257" s="299" t="s">
        <v>113</v>
      </c>
      <c r="F1257" s="299" t="s">
        <v>59</v>
      </c>
      <c r="G1257" s="300">
        <v>44216</v>
      </c>
      <c r="H1257" s="303">
        <v>193.84244897959184</v>
      </c>
      <c r="I1257" s="301" t="str">
        <f t="shared" si="323"/>
        <v>Ingresos Sección II LISR (SIC &amp; BMV)</v>
      </c>
      <c r="J1257" s="302">
        <f t="shared" si="324"/>
        <v>4</v>
      </c>
      <c r="K1257" s="304">
        <f t="shared" si="325"/>
        <v>48.460612244897959</v>
      </c>
      <c r="L1257" s="305">
        <f>IF(H1257=0,0,IF(OR(E1257=$AT$5,E1257=$AT$6),AA1257,IF(F1257="MXN",1/HLOOKUP(YEAR(G1257)+(MONTH(G1257)/100),TC!$5:$37,DAY(G1257)+2,FALSE),VLOOKUP(F1257,Equivalencia!$5:$23,((MAX(Equivalencia!$3:$3)-YEAR(G1257))*14)+MONTH(G1257)+2,FALSE))))</f>
        <v>1</v>
      </c>
      <c r="M1257" s="306">
        <f t="shared" si="326"/>
        <v>193.84244897959184</v>
      </c>
      <c r="N1257" s="305">
        <f>IF(G1257=0,0,(IF(OR(E1257=$AT$5,E1257=$AT$6),AC1257,HLOOKUP(YEAR(G1257)+(MONTH(G1257)/100),TC!$5:$37,DAY(G1257)+2,FALSE))))</f>
        <v>19.757000000000001</v>
      </c>
      <c r="O1257" s="307">
        <f t="shared" si="327"/>
        <v>3829.7452644897962</v>
      </c>
      <c r="P1257" s="560">
        <f>IF(G1257=0,0,VLOOKUP(YEAR(G1257),INPC!$B$4:$P$30,MONTH(G1257)+2))</f>
        <v>110.21</v>
      </c>
      <c r="Q1257" s="560">
        <f>IF(X1257=0,0,IF(OR(E1257=$AT$10,E1257=$AT$9),VLOOKUP(YEAR(X1257),INPC!$B$4:$P$30,MONTH(X1257)+1),VLOOKUP(YEAR(X1257),INPC!$B$4:$P$30,MONTH(X1257)+2,0)))</f>
        <v>118.002</v>
      </c>
      <c r="R1257" s="309">
        <f t="shared" si="328"/>
        <v>1.0707</v>
      </c>
      <c r="S1257" s="310">
        <f t="shared" si="329"/>
        <v>4100.5082546892245</v>
      </c>
      <c r="T1257" s="555">
        <f t="shared" si="330"/>
        <v>1025.1270636723061</v>
      </c>
      <c r="U1257" s="311"/>
      <c r="V1257" s="312">
        <v>4</v>
      </c>
      <c r="W1257" s="299" t="s">
        <v>194</v>
      </c>
      <c r="X1257" s="300">
        <v>44601</v>
      </c>
      <c r="Y1257" s="299" t="s">
        <v>59</v>
      </c>
      <c r="Z1257" s="303">
        <v>242.12</v>
      </c>
      <c r="AA1257" s="305">
        <f>IF(Z1257=0,0,IF(Y1257="MXN",1/HLOOKUP(YEAR(X1257)+(MONTH(X1257)/100),TC!$5:$37,DAY(X1257)+2,FALSE),VLOOKUP(Y1257,Equivalencia!$1:$23,((MAX(Equivalencia!$3:$3)-YEAR(X1257))*14)+MONTH(X1257)+2,FALSE)))</f>
        <v>1</v>
      </c>
      <c r="AB1257" s="306">
        <f t="shared" si="331"/>
        <v>242.12</v>
      </c>
      <c r="AC1257" s="305">
        <f>+IF(X1257=0,0,HLOOKUP(YEAR(X1257)+(MONTH(X1257)/100),TC!$5:$37,DAY(X1257)+2,FALSE))</f>
        <v>20.732500000000002</v>
      </c>
      <c r="AD1257" s="307">
        <f t="shared" si="332"/>
        <v>5019.7529000000004</v>
      </c>
      <c r="AE1257" s="314">
        <f t="shared" si="333"/>
        <v>4100.5082546892245</v>
      </c>
      <c r="AF1257" s="315">
        <f t="shared" si="334"/>
        <v>919.24464531077592</v>
      </c>
      <c r="AG1257" s="316">
        <f t="shared" si="335"/>
        <v>1.0547945205479452</v>
      </c>
      <c r="AH1257" s="314">
        <v>1</v>
      </c>
      <c r="AI1257" s="314">
        <f t="shared" si="336"/>
        <v>919.24464531077592</v>
      </c>
      <c r="AJ1257" s="314">
        <f t="shared" si="337"/>
        <v>0</v>
      </c>
      <c r="AK1257" s="317"/>
      <c r="AL1257" s="315">
        <f t="shared" si="338"/>
        <v>48.277551020408168</v>
      </c>
      <c r="AN1257" s="554">
        <f t="shared" si="339"/>
        <v>0.24905561849092681</v>
      </c>
      <c r="AO1257" s="314"/>
      <c r="AP1257" s="318"/>
    </row>
    <row r="1258" spans="2:42">
      <c r="B1258" s="296" t="s">
        <v>1254</v>
      </c>
      <c r="C1258" s="299" t="s">
        <v>277</v>
      </c>
      <c r="D1258" s="298" t="s">
        <v>720</v>
      </c>
      <c r="E1258" s="299" t="s">
        <v>113</v>
      </c>
      <c r="F1258" s="299" t="s">
        <v>59</v>
      </c>
      <c r="G1258" s="300">
        <v>44216</v>
      </c>
      <c r="H1258" s="303">
        <v>337.40000000000003</v>
      </c>
      <c r="I1258" s="301" t="str">
        <f t="shared" si="323"/>
        <v>Ingresos Sección II LISR (SIC &amp; BMV)</v>
      </c>
      <c r="J1258" s="302">
        <f t="shared" si="324"/>
        <v>7</v>
      </c>
      <c r="K1258" s="304">
        <f t="shared" si="325"/>
        <v>48.2</v>
      </c>
      <c r="L1258" s="305">
        <f>IF(H1258=0,0,IF(OR(E1258=$AT$5,E1258=$AT$6),AA1258,IF(F1258="MXN",1/HLOOKUP(YEAR(G1258)+(MONTH(G1258)/100),TC!$5:$37,DAY(G1258)+2,FALSE),VLOOKUP(F1258,Equivalencia!$5:$23,((MAX(Equivalencia!$3:$3)-YEAR(G1258))*14)+MONTH(G1258)+2,FALSE))))</f>
        <v>1</v>
      </c>
      <c r="M1258" s="306">
        <f t="shared" si="326"/>
        <v>337.40000000000003</v>
      </c>
      <c r="N1258" s="305">
        <f>IF(G1258=0,0,(IF(OR(E1258=$AT$5,E1258=$AT$6),AC1258,HLOOKUP(YEAR(G1258)+(MONTH(G1258)/100),TC!$5:$37,DAY(G1258)+2,FALSE))))</f>
        <v>19.757000000000001</v>
      </c>
      <c r="O1258" s="307">
        <f t="shared" si="327"/>
        <v>6666.0118000000011</v>
      </c>
      <c r="P1258" s="560">
        <f>IF(G1258=0,0,VLOOKUP(YEAR(G1258),INPC!$B$4:$P$30,MONTH(G1258)+2))</f>
        <v>110.21</v>
      </c>
      <c r="Q1258" s="560">
        <f>IF(X1258=0,0,IF(OR(E1258=$AT$10,E1258=$AT$9),VLOOKUP(YEAR(X1258),INPC!$B$4:$P$30,MONTH(X1258)+1),VLOOKUP(YEAR(X1258),INPC!$B$4:$P$30,MONTH(X1258)+2,0)))</f>
        <v>118.002</v>
      </c>
      <c r="R1258" s="309">
        <f t="shared" si="328"/>
        <v>1.0707</v>
      </c>
      <c r="S1258" s="310">
        <f t="shared" si="329"/>
        <v>7137.2988342600011</v>
      </c>
      <c r="T1258" s="555">
        <f t="shared" si="330"/>
        <v>1019.6141191800001</v>
      </c>
      <c r="U1258" s="311"/>
      <c r="V1258" s="312">
        <v>7</v>
      </c>
      <c r="W1258" s="299" t="s">
        <v>194</v>
      </c>
      <c r="X1258" s="300">
        <v>44601</v>
      </c>
      <c r="Y1258" s="299" t="s">
        <v>59</v>
      </c>
      <c r="Z1258" s="303">
        <v>423.71000000000004</v>
      </c>
      <c r="AA1258" s="305">
        <f>IF(Z1258=0,0,IF(Y1258="MXN",1/HLOOKUP(YEAR(X1258)+(MONTH(X1258)/100),TC!$5:$37,DAY(X1258)+2,FALSE),VLOOKUP(Y1258,Equivalencia!$1:$23,((MAX(Equivalencia!$3:$3)-YEAR(X1258))*14)+MONTH(X1258)+2,FALSE)))</f>
        <v>1</v>
      </c>
      <c r="AB1258" s="306">
        <f t="shared" si="331"/>
        <v>423.71000000000004</v>
      </c>
      <c r="AC1258" s="305">
        <f>+IF(X1258=0,0,HLOOKUP(YEAR(X1258)+(MONTH(X1258)/100),TC!$5:$37,DAY(X1258)+2,FALSE))</f>
        <v>20.732500000000002</v>
      </c>
      <c r="AD1258" s="307">
        <f t="shared" si="332"/>
        <v>8784.5675750000009</v>
      </c>
      <c r="AE1258" s="314">
        <f t="shared" si="333"/>
        <v>7137.2988342600011</v>
      </c>
      <c r="AF1258" s="315">
        <f t="shared" si="334"/>
        <v>1647.2687407399999</v>
      </c>
      <c r="AG1258" s="316">
        <f t="shared" si="335"/>
        <v>1.0547945205479452</v>
      </c>
      <c r="AH1258" s="314">
        <v>1</v>
      </c>
      <c r="AI1258" s="314">
        <f t="shared" si="336"/>
        <v>1647.2687407399999</v>
      </c>
      <c r="AJ1258" s="314">
        <f t="shared" si="337"/>
        <v>0</v>
      </c>
      <c r="AK1258" s="317"/>
      <c r="AL1258" s="315">
        <f t="shared" si="338"/>
        <v>86.31</v>
      </c>
      <c r="AN1258" s="554">
        <f t="shared" si="339"/>
        <v>0.25580912863070537</v>
      </c>
      <c r="AO1258" s="314"/>
      <c r="AP1258" s="318"/>
    </row>
    <row r="1259" spans="2:42">
      <c r="B1259" s="296" t="s">
        <v>1254</v>
      </c>
      <c r="C1259" s="299" t="s">
        <v>277</v>
      </c>
      <c r="D1259" s="298" t="s">
        <v>720</v>
      </c>
      <c r="E1259" s="299" t="s">
        <v>113</v>
      </c>
      <c r="F1259" s="299" t="s">
        <v>59</v>
      </c>
      <c r="G1259" s="300">
        <v>44216</v>
      </c>
      <c r="H1259" s="303">
        <v>48.2</v>
      </c>
      <c r="I1259" s="301" t="str">
        <f t="shared" si="323"/>
        <v>Ingresos Sección II LISR (SIC &amp; BMV)</v>
      </c>
      <c r="J1259" s="302">
        <f t="shared" si="324"/>
        <v>1</v>
      </c>
      <c r="K1259" s="304">
        <f t="shared" si="325"/>
        <v>48.2</v>
      </c>
      <c r="L1259" s="305">
        <f>IF(H1259=0,0,IF(OR(E1259=$AT$5,E1259=$AT$6),AA1259,IF(F1259="MXN",1/HLOOKUP(YEAR(G1259)+(MONTH(G1259)/100),TC!$5:$37,DAY(G1259)+2,FALSE),VLOOKUP(F1259,Equivalencia!$5:$23,((MAX(Equivalencia!$3:$3)-YEAR(G1259))*14)+MONTH(G1259)+2,FALSE))))</f>
        <v>1</v>
      </c>
      <c r="M1259" s="306">
        <f t="shared" si="326"/>
        <v>48.2</v>
      </c>
      <c r="N1259" s="305">
        <f>IF(G1259=0,0,(IF(OR(E1259=$AT$5,E1259=$AT$6),AC1259,HLOOKUP(YEAR(G1259)+(MONTH(G1259)/100),TC!$5:$37,DAY(G1259)+2,FALSE))))</f>
        <v>19.757000000000001</v>
      </c>
      <c r="O1259" s="307">
        <f t="shared" si="327"/>
        <v>952.28740000000016</v>
      </c>
      <c r="P1259" s="560">
        <f>IF(G1259=0,0,VLOOKUP(YEAR(G1259),INPC!$B$4:$P$30,MONTH(G1259)+2))</f>
        <v>110.21</v>
      </c>
      <c r="Q1259" s="560">
        <f>IF(X1259=0,0,IF(OR(E1259=$AT$10,E1259=$AT$9),VLOOKUP(YEAR(X1259),INPC!$B$4:$P$30,MONTH(X1259)+1),VLOOKUP(YEAR(X1259),INPC!$B$4:$P$30,MONTH(X1259)+2,0)))</f>
        <v>118.002</v>
      </c>
      <c r="R1259" s="309">
        <f t="shared" si="328"/>
        <v>1.0707</v>
      </c>
      <c r="S1259" s="310">
        <f t="shared" si="329"/>
        <v>1019.6141191800001</v>
      </c>
      <c r="T1259" s="555">
        <f t="shared" si="330"/>
        <v>1019.6141191800001</v>
      </c>
      <c r="U1259" s="311"/>
      <c r="V1259" s="312">
        <v>1</v>
      </c>
      <c r="W1259" s="299" t="s">
        <v>194</v>
      </c>
      <c r="X1259" s="300">
        <v>44601</v>
      </c>
      <c r="Y1259" s="299" t="s">
        <v>59</v>
      </c>
      <c r="Z1259" s="303">
        <v>60.555833333333332</v>
      </c>
      <c r="AA1259" s="305">
        <f>IF(Z1259=0,0,IF(Y1259="MXN",1/HLOOKUP(YEAR(X1259)+(MONTH(X1259)/100),TC!$5:$37,DAY(X1259)+2,FALSE),VLOOKUP(Y1259,Equivalencia!$1:$23,((MAX(Equivalencia!$3:$3)-YEAR(X1259))*14)+MONTH(X1259)+2,FALSE)))</f>
        <v>1</v>
      </c>
      <c r="AB1259" s="306">
        <f t="shared" si="331"/>
        <v>60.555833333333332</v>
      </c>
      <c r="AC1259" s="305">
        <f>+IF(X1259=0,0,HLOOKUP(YEAR(X1259)+(MONTH(X1259)/100),TC!$5:$37,DAY(X1259)+2,FALSE))</f>
        <v>20.732500000000002</v>
      </c>
      <c r="AD1259" s="307">
        <f t="shared" si="332"/>
        <v>1255.4738145833335</v>
      </c>
      <c r="AE1259" s="314">
        <f t="shared" si="333"/>
        <v>1019.6141191800001</v>
      </c>
      <c r="AF1259" s="315">
        <f t="shared" si="334"/>
        <v>235.85969540333338</v>
      </c>
      <c r="AG1259" s="316">
        <f t="shared" si="335"/>
        <v>1.0547945205479452</v>
      </c>
      <c r="AH1259" s="314">
        <v>1</v>
      </c>
      <c r="AI1259" s="314">
        <f t="shared" si="336"/>
        <v>235.85969540333338</v>
      </c>
      <c r="AJ1259" s="314">
        <f t="shared" si="337"/>
        <v>0</v>
      </c>
      <c r="AK1259" s="317"/>
      <c r="AL1259" s="315">
        <f t="shared" si="338"/>
        <v>12.355833333333329</v>
      </c>
      <c r="AN1259" s="554">
        <f t="shared" si="339"/>
        <v>0.25634508990318111</v>
      </c>
      <c r="AO1259" s="314"/>
      <c r="AP1259" s="318"/>
    </row>
    <row r="1260" spans="2:42">
      <c r="B1260" s="296" t="s">
        <v>1254</v>
      </c>
      <c r="C1260" s="299" t="s">
        <v>277</v>
      </c>
      <c r="D1260" s="298" t="s">
        <v>720</v>
      </c>
      <c r="E1260" s="299" t="s">
        <v>113</v>
      </c>
      <c r="F1260" s="299" t="s">
        <v>59</v>
      </c>
      <c r="G1260" s="300">
        <v>44217</v>
      </c>
      <c r="H1260" s="303">
        <v>544.16694444444443</v>
      </c>
      <c r="I1260" s="301" t="str">
        <f t="shared" si="323"/>
        <v>Ingresos Sección II LISR (SIC &amp; BMV)</v>
      </c>
      <c r="J1260" s="302">
        <f t="shared" si="324"/>
        <v>11</v>
      </c>
      <c r="K1260" s="304">
        <f t="shared" si="325"/>
        <v>49.469722222222224</v>
      </c>
      <c r="L1260" s="305">
        <f>IF(H1260=0,0,IF(OR(E1260=$AT$5,E1260=$AT$6),AA1260,IF(F1260="MXN",1/HLOOKUP(YEAR(G1260)+(MONTH(G1260)/100),TC!$5:$37,DAY(G1260)+2,FALSE),VLOOKUP(F1260,Equivalencia!$5:$23,((MAX(Equivalencia!$3:$3)-YEAR(G1260))*14)+MONTH(G1260)+2,FALSE))))</f>
        <v>1</v>
      </c>
      <c r="M1260" s="306">
        <f t="shared" si="326"/>
        <v>544.16694444444443</v>
      </c>
      <c r="N1260" s="305">
        <f>IF(G1260=0,0,(IF(OR(E1260=$AT$5,E1260=$AT$6),AC1260,HLOOKUP(YEAR(G1260)+(MONTH(G1260)/100),TC!$5:$37,DAY(G1260)+2,FALSE))))</f>
        <v>19.678799999999999</v>
      </c>
      <c r="O1260" s="307">
        <f t="shared" si="327"/>
        <v>10708.552466333333</v>
      </c>
      <c r="P1260" s="560">
        <f>IF(G1260=0,0,VLOOKUP(YEAR(G1260),INPC!$B$4:$P$30,MONTH(G1260)+2))</f>
        <v>110.21</v>
      </c>
      <c r="Q1260" s="560">
        <f>IF(X1260=0,0,IF(OR(E1260=$AT$10,E1260=$AT$9),VLOOKUP(YEAR(X1260),INPC!$B$4:$P$30,MONTH(X1260)+1),VLOOKUP(YEAR(X1260),INPC!$B$4:$P$30,MONTH(X1260)+2,0)))</f>
        <v>118.002</v>
      </c>
      <c r="R1260" s="309">
        <f t="shared" si="328"/>
        <v>1.0707</v>
      </c>
      <c r="S1260" s="310">
        <f t="shared" si="329"/>
        <v>11465.647125703099</v>
      </c>
      <c r="T1260" s="555">
        <f t="shared" si="330"/>
        <v>1042.3315568820999</v>
      </c>
      <c r="U1260" s="311"/>
      <c r="V1260" s="312">
        <v>11</v>
      </c>
      <c r="W1260" s="299" t="s">
        <v>194</v>
      </c>
      <c r="X1260" s="300">
        <v>44601</v>
      </c>
      <c r="Y1260" s="299" t="s">
        <v>59</v>
      </c>
      <c r="Z1260" s="303">
        <v>666.11416666666662</v>
      </c>
      <c r="AA1260" s="305">
        <f>IF(Z1260=0,0,IF(Y1260="MXN",1/HLOOKUP(YEAR(X1260)+(MONTH(X1260)/100),TC!$5:$37,DAY(X1260)+2,FALSE),VLOOKUP(Y1260,Equivalencia!$1:$23,((MAX(Equivalencia!$3:$3)-YEAR(X1260))*14)+MONTH(X1260)+2,FALSE)))</f>
        <v>1</v>
      </c>
      <c r="AB1260" s="306">
        <f t="shared" si="331"/>
        <v>666.11416666666662</v>
      </c>
      <c r="AC1260" s="305">
        <f>+IF(X1260=0,0,HLOOKUP(YEAR(X1260)+(MONTH(X1260)/100),TC!$5:$37,DAY(X1260)+2,FALSE))</f>
        <v>20.732500000000002</v>
      </c>
      <c r="AD1260" s="307">
        <f t="shared" si="332"/>
        <v>13810.211960416667</v>
      </c>
      <c r="AE1260" s="314">
        <f t="shared" si="333"/>
        <v>11465.647125703099</v>
      </c>
      <c r="AF1260" s="315">
        <f t="shared" si="334"/>
        <v>2344.5648347135684</v>
      </c>
      <c r="AG1260" s="316">
        <f t="shared" si="335"/>
        <v>1.0520547945205478</v>
      </c>
      <c r="AH1260" s="314">
        <v>1</v>
      </c>
      <c r="AI1260" s="314">
        <f t="shared" si="336"/>
        <v>2344.5648347135684</v>
      </c>
      <c r="AJ1260" s="314">
        <f t="shared" si="337"/>
        <v>0</v>
      </c>
      <c r="AK1260" s="317"/>
      <c r="AL1260" s="315">
        <f t="shared" si="338"/>
        <v>121.94722222222219</v>
      </c>
      <c r="AN1260" s="554">
        <f t="shared" si="339"/>
        <v>0.22409891572286075</v>
      </c>
      <c r="AO1260" s="314"/>
      <c r="AP1260" s="318"/>
    </row>
    <row r="1261" spans="2:42">
      <c r="B1261" s="296" t="s">
        <v>1254</v>
      </c>
      <c r="C1261" s="299" t="s">
        <v>277</v>
      </c>
      <c r="D1261" s="298" t="s">
        <v>720</v>
      </c>
      <c r="E1261" s="299" t="s">
        <v>113</v>
      </c>
      <c r="F1261" s="299" t="s">
        <v>59</v>
      </c>
      <c r="G1261" s="300">
        <v>44217</v>
      </c>
      <c r="H1261" s="303">
        <v>692.57611111111112</v>
      </c>
      <c r="I1261" s="301" t="str">
        <f t="shared" si="323"/>
        <v>Ingresos Sección II LISR (SIC &amp; BMV)</v>
      </c>
      <c r="J1261" s="302">
        <f t="shared" si="324"/>
        <v>14</v>
      </c>
      <c r="K1261" s="304">
        <f t="shared" si="325"/>
        <v>49.469722222222224</v>
      </c>
      <c r="L1261" s="305">
        <f>IF(H1261=0,0,IF(OR(E1261=$AT$5,E1261=$AT$6),AA1261,IF(F1261="MXN",1/HLOOKUP(YEAR(G1261)+(MONTH(G1261)/100),TC!$5:$37,DAY(G1261)+2,FALSE),VLOOKUP(F1261,Equivalencia!$5:$23,((MAX(Equivalencia!$3:$3)-YEAR(G1261))*14)+MONTH(G1261)+2,FALSE))))</f>
        <v>1</v>
      </c>
      <c r="M1261" s="306">
        <f t="shared" si="326"/>
        <v>692.57611111111112</v>
      </c>
      <c r="N1261" s="305">
        <f>IF(G1261=0,0,(IF(OR(E1261=$AT$5,E1261=$AT$6),AC1261,HLOOKUP(YEAR(G1261)+(MONTH(G1261)/100),TC!$5:$37,DAY(G1261)+2,FALSE))))</f>
        <v>19.678799999999999</v>
      </c>
      <c r="O1261" s="307">
        <f t="shared" si="327"/>
        <v>13629.066775333333</v>
      </c>
      <c r="P1261" s="560">
        <f>IF(G1261=0,0,VLOOKUP(YEAR(G1261),INPC!$B$4:$P$30,MONTH(G1261)+2))</f>
        <v>110.21</v>
      </c>
      <c r="Q1261" s="560">
        <f>IF(X1261=0,0,IF(OR(E1261=$AT$10,E1261=$AT$9),VLOOKUP(YEAR(X1261),INPC!$B$4:$P$30,MONTH(X1261)+1),VLOOKUP(YEAR(X1261),INPC!$B$4:$P$30,MONTH(X1261)+2,0)))</f>
        <v>118.002</v>
      </c>
      <c r="R1261" s="309">
        <f t="shared" si="328"/>
        <v>1.0707</v>
      </c>
      <c r="S1261" s="310">
        <f t="shared" si="329"/>
        <v>14592.641796349399</v>
      </c>
      <c r="T1261" s="555">
        <f t="shared" si="330"/>
        <v>1042.3315568820999</v>
      </c>
      <c r="U1261" s="311"/>
      <c r="V1261" s="312">
        <v>14</v>
      </c>
      <c r="W1261" s="299" t="s">
        <v>194</v>
      </c>
      <c r="X1261" s="300">
        <v>44601</v>
      </c>
      <c r="Y1261" s="299" t="s">
        <v>59</v>
      </c>
      <c r="Z1261" s="303">
        <v>844.03</v>
      </c>
      <c r="AA1261" s="305">
        <f>IF(Z1261=0,0,IF(Y1261="MXN",1/HLOOKUP(YEAR(X1261)+(MONTH(X1261)/100),TC!$5:$37,DAY(X1261)+2,FALSE),VLOOKUP(Y1261,Equivalencia!$1:$23,((MAX(Equivalencia!$3:$3)-YEAR(X1261))*14)+MONTH(X1261)+2,FALSE)))</f>
        <v>1</v>
      </c>
      <c r="AB1261" s="306">
        <f t="shared" si="331"/>
        <v>844.03</v>
      </c>
      <c r="AC1261" s="305">
        <f>+IF(X1261=0,0,HLOOKUP(YEAR(X1261)+(MONTH(X1261)/100),TC!$5:$37,DAY(X1261)+2,FALSE))</f>
        <v>20.732500000000002</v>
      </c>
      <c r="AD1261" s="307">
        <f t="shared" si="332"/>
        <v>17498.851975000001</v>
      </c>
      <c r="AE1261" s="314">
        <f t="shared" si="333"/>
        <v>14592.641796349399</v>
      </c>
      <c r="AF1261" s="315">
        <f t="shared" si="334"/>
        <v>2906.2101786506028</v>
      </c>
      <c r="AG1261" s="316">
        <f t="shared" si="335"/>
        <v>1.0520547945205478</v>
      </c>
      <c r="AH1261" s="314">
        <v>1</v>
      </c>
      <c r="AI1261" s="314">
        <f t="shared" si="336"/>
        <v>2906.2101786506028</v>
      </c>
      <c r="AJ1261" s="314">
        <f t="shared" si="337"/>
        <v>0</v>
      </c>
      <c r="AK1261" s="317"/>
      <c r="AL1261" s="315">
        <f t="shared" si="338"/>
        <v>151.45388888888886</v>
      </c>
      <c r="AN1261" s="554">
        <f t="shared" si="339"/>
        <v>0.21868194189647824</v>
      </c>
      <c r="AO1261" s="314"/>
      <c r="AP1261" s="318"/>
    </row>
    <row r="1262" spans="2:42">
      <c r="B1262" s="296" t="s">
        <v>1254</v>
      </c>
      <c r="C1262" s="299" t="s">
        <v>277</v>
      </c>
      <c r="D1262" s="298" t="s">
        <v>720</v>
      </c>
      <c r="E1262" s="299" t="s">
        <v>113</v>
      </c>
      <c r="F1262" s="299" t="s">
        <v>59</v>
      </c>
      <c r="G1262" s="300">
        <v>44217</v>
      </c>
      <c r="H1262" s="303">
        <v>98.939444444444447</v>
      </c>
      <c r="I1262" s="301" t="str">
        <f t="shared" si="323"/>
        <v>Ingresos Sección II LISR (SIC &amp; BMV)</v>
      </c>
      <c r="J1262" s="302">
        <f t="shared" si="324"/>
        <v>2</v>
      </c>
      <c r="K1262" s="304">
        <f t="shared" si="325"/>
        <v>49.469722222222224</v>
      </c>
      <c r="L1262" s="305">
        <f>IF(H1262=0,0,IF(OR(E1262=$AT$5,E1262=$AT$6),AA1262,IF(F1262="MXN",1/HLOOKUP(YEAR(G1262)+(MONTH(G1262)/100),TC!$5:$37,DAY(G1262)+2,FALSE),VLOOKUP(F1262,Equivalencia!$5:$23,((MAX(Equivalencia!$3:$3)-YEAR(G1262))*14)+MONTH(G1262)+2,FALSE))))</f>
        <v>1</v>
      </c>
      <c r="M1262" s="306">
        <f t="shared" si="326"/>
        <v>98.939444444444447</v>
      </c>
      <c r="N1262" s="305">
        <f>IF(G1262=0,0,(IF(OR(E1262=$AT$5,E1262=$AT$6),AC1262,HLOOKUP(YEAR(G1262)+(MONTH(G1262)/100),TC!$5:$37,DAY(G1262)+2,FALSE))))</f>
        <v>19.678799999999999</v>
      </c>
      <c r="O1262" s="307">
        <f t="shared" si="327"/>
        <v>1947.0095393333334</v>
      </c>
      <c r="P1262" s="560">
        <f>IF(G1262=0,0,VLOOKUP(YEAR(G1262),INPC!$B$4:$P$30,MONTH(G1262)+2))</f>
        <v>110.21</v>
      </c>
      <c r="Q1262" s="560">
        <f>IF(X1262=0,0,IF(OR(E1262=$AT$10,E1262=$AT$9),VLOOKUP(YEAR(X1262),INPC!$B$4:$P$30,MONTH(X1262)+1),VLOOKUP(YEAR(X1262),INPC!$B$4:$P$30,MONTH(X1262)+2,0)))</f>
        <v>118.002</v>
      </c>
      <c r="R1262" s="309">
        <f t="shared" si="328"/>
        <v>1.0707</v>
      </c>
      <c r="S1262" s="310">
        <f t="shared" si="329"/>
        <v>2084.6631137641998</v>
      </c>
      <c r="T1262" s="555">
        <f t="shared" si="330"/>
        <v>1042.3315568820999</v>
      </c>
      <c r="U1262" s="311"/>
      <c r="V1262" s="312">
        <v>2</v>
      </c>
      <c r="W1262" s="299" t="s">
        <v>194</v>
      </c>
      <c r="X1262" s="300">
        <v>44601</v>
      </c>
      <c r="Y1262" s="299" t="s">
        <v>59</v>
      </c>
      <c r="Z1262" s="303">
        <v>120.58</v>
      </c>
      <c r="AA1262" s="305">
        <f>IF(Z1262=0,0,IF(Y1262="MXN",1/HLOOKUP(YEAR(X1262)+(MONTH(X1262)/100),TC!$5:$37,DAY(X1262)+2,FALSE),VLOOKUP(Y1262,Equivalencia!$1:$23,((MAX(Equivalencia!$3:$3)-YEAR(X1262))*14)+MONTH(X1262)+2,FALSE)))</f>
        <v>1</v>
      </c>
      <c r="AB1262" s="306">
        <f t="shared" si="331"/>
        <v>120.58</v>
      </c>
      <c r="AC1262" s="305">
        <f>+IF(X1262=0,0,HLOOKUP(YEAR(X1262)+(MONTH(X1262)/100),TC!$5:$37,DAY(X1262)+2,FALSE))</f>
        <v>20.732500000000002</v>
      </c>
      <c r="AD1262" s="307">
        <f t="shared" si="332"/>
        <v>2499.9248500000003</v>
      </c>
      <c r="AE1262" s="314">
        <f t="shared" si="333"/>
        <v>2084.6631137641998</v>
      </c>
      <c r="AF1262" s="315">
        <f t="shared" si="334"/>
        <v>415.26173623580053</v>
      </c>
      <c r="AG1262" s="316">
        <f t="shared" si="335"/>
        <v>1.0520547945205478</v>
      </c>
      <c r="AH1262" s="314">
        <v>1</v>
      </c>
      <c r="AI1262" s="314">
        <f t="shared" si="336"/>
        <v>415.26173623580053</v>
      </c>
      <c r="AJ1262" s="314">
        <f t="shared" si="337"/>
        <v>0</v>
      </c>
      <c r="AK1262" s="317"/>
      <c r="AL1262" s="315">
        <f t="shared" si="338"/>
        <v>21.640555555555551</v>
      </c>
      <c r="AN1262" s="554">
        <f t="shared" si="339"/>
        <v>0.21872525843529425</v>
      </c>
      <c r="AO1262" s="314"/>
      <c r="AP1262" s="318"/>
    </row>
    <row r="1263" spans="2:42">
      <c r="B1263" s="296" t="s">
        <v>1254</v>
      </c>
      <c r="C1263" s="299" t="s">
        <v>277</v>
      </c>
      <c r="D1263" s="298" t="s">
        <v>720</v>
      </c>
      <c r="E1263" s="299" t="s">
        <v>113</v>
      </c>
      <c r="F1263" s="299" t="s">
        <v>59</v>
      </c>
      <c r="G1263" s="300">
        <v>44217</v>
      </c>
      <c r="H1263" s="303">
        <v>98.939444444444447</v>
      </c>
      <c r="I1263" s="301" t="str">
        <f t="shared" si="323"/>
        <v>Ingresos Sección II LISR (SIC &amp; BMV)</v>
      </c>
      <c r="J1263" s="302">
        <f t="shared" si="324"/>
        <v>2</v>
      </c>
      <c r="K1263" s="304">
        <f t="shared" si="325"/>
        <v>49.469722222222224</v>
      </c>
      <c r="L1263" s="305">
        <f>IF(H1263=0,0,IF(OR(E1263=$AT$5,E1263=$AT$6),AA1263,IF(F1263="MXN",1/HLOOKUP(YEAR(G1263)+(MONTH(G1263)/100),TC!$5:$37,DAY(G1263)+2,FALSE),VLOOKUP(F1263,Equivalencia!$5:$23,((MAX(Equivalencia!$3:$3)-YEAR(G1263))*14)+MONTH(G1263)+2,FALSE))))</f>
        <v>1</v>
      </c>
      <c r="M1263" s="306">
        <f t="shared" si="326"/>
        <v>98.939444444444447</v>
      </c>
      <c r="N1263" s="305">
        <f>IF(G1263=0,0,(IF(OR(E1263=$AT$5,E1263=$AT$6),AC1263,HLOOKUP(YEAR(G1263)+(MONTH(G1263)/100),TC!$5:$37,DAY(G1263)+2,FALSE))))</f>
        <v>19.678799999999999</v>
      </c>
      <c r="O1263" s="307">
        <f t="shared" si="327"/>
        <v>1947.0095393333334</v>
      </c>
      <c r="P1263" s="560">
        <f>IF(G1263=0,0,VLOOKUP(YEAR(G1263),INPC!$B$4:$P$30,MONTH(G1263)+2))</f>
        <v>110.21</v>
      </c>
      <c r="Q1263" s="560">
        <f>IF(X1263=0,0,IF(OR(E1263=$AT$10,E1263=$AT$9),VLOOKUP(YEAR(X1263),INPC!$B$4:$P$30,MONTH(X1263)+1),VLOOKUP(YEAR(X1263),INPC!$B$4:$P$30,MONTH(X1263)+2,0)))</f>
        <v>118.002</v>
      </c>
      <c r="R1263" s="309">
        <f t="shared" si="328"/>
        <v>1.0707</v>
      </c>
      <c r="S1263" s="310">
        <f t="shared" si="329"/>
        <v>2084.6631137641998</v>
      </c>
      <c r="T1263" s="555">
        <f t="shared" si="330"/>
        <v>1042.3315568820999</v>
      </c>
      <c r="U1263" s="311"/>
      <c r="V1263" s="312">
        <v>2</v>
      </c>
      <c r="W1263" s="299" t="s">
        <v>194</v>
      </c>
      <c r="X1263" s="300">
        <v>44601</v>
      </c>
      <c r="Y1263" s="299" t="s">
        <v>59</v>
      </c>
      <c r="Z1263" s="303">
        <v>121.06</v>
      </c>
      <c r="AA1263" s="305">
        <f>IF(Z1263=0,0,IF(Y1263="MXN",1/HLOOKUP(YEAR(X1263)+(MONTH(X1263)/100),TC!$5:$37,DAY(X1263)+2,FALSE),VLOOKUP(Y1263,Equivalencia!$1:$23,((MAX(Equivalencia!$3:$3)-YEAR(X1263))*14)+MONTH(X1263)+2,FALSE)))</f>
        <v>1</v>
      </c>
      <c r="AB1263" s="306">
        <f t="shared" si="331"/>
        <v>121.06</v>
      </c>
      <c r="AC1263" s="305">
        <f>+IF(X1263=0,0,HLOOKUP(YEAR(X1263)+(MONTH(X1263)/100),TC!$5:$37,DAY(X1263)+2,FALSE))</f>
        <v>20.732500000000002</v>
      </c>
      <c r="AD1263" s="307">
        <f t="shared" si="332"/>
        <v>2509.8764500000002</v>
      </c>
      <c r="AE1263" s="314">
        <f t="shared" si="333"/>
        <v>2084.6631137641998</v>
      </c>
      <c r="AF1263" s="315">
        <f t="shared" si="334"/>
        <v>425.2133362358004</v>
      </c>
      <c r="AG1263" s="316">
        <f t="shared" si="335"/>
        <v>1.0520547945205478</v>
      </c>
      <c r="AH1263" s="314">
        <v>1</v>
      </c>
      <c r="AI1263" s="314">
        <f t="shared" si="336"/>
        <v>425.2133362358004</v>
      </c>
      <c r="AJ1263" s="314">
        <f t="shared" si="337"/>
        <v>0</v>
      </c>
      <c r="AK1263" s="317"/>
      <c r="AL1263" s="315">
        <f t="shared" si="338"/>
        <v>22.120555555555555</v>
      </c>
      <c r="AN1263" s="554">
        <f t="shared" si="339"/>
        <v>0.22357671078268973</v>
      </c>
      <c r="AO1263" s="314"/>
      <c r="AP1263" s="318"/>
    </row>
    <row r="1264" spans="2:42">
      <c r="B1264" s="296" t="s">
        <v>1254</v>
      </c>
      <c r="C1264" s="299" t="s">
        <v>277</v>
      </c>
      <c r="D1264" s="298" t="s">
        <v>720</v>
      </c>
      <c r="E1264" s="299" t="s">
        <v>113</v>
      </c>
      <c r="F1264" s="299" t="s">
        <v>59</v>
      </c>
      <c r="G1264" s="300">
        <v>44218</v>
      </c>
      <c r="H1264" s="303">
        <v>98.939444444444447</v>
      </c>
      <c r="I1264" s="301" t="str">
        <f t="shared" si="323"/>
        <v>Ingresos Sección II LISR (SIC &amp; BMV)</v>
      </c>
      <c r="J1264" s="302">
        <f t="shared" si="324"/>
        <v>2</v>
      </c>
      <c r="K1264" s="304">
        <f t="shared" si="325"/>
        <v>49.469722222222224</v>
      </c>
      <c r="L1264" s="305">
        <f>IF(H1264=0,0,IF(OR(E1264=$AT$5,E1264=$AT$6),AA1264,IF(F1264="MXN",1/HLOOKUP(YEAR(G1264)+(MONTH(G1264)/100),TC!$5:$37,DAY(G1264)+2,FALSE),VLOOKUP(F1264,Equivalencia!$5:$23,((MAX(Equivalencia!$3:$3)-YEAR(G1264))*14)+MONTH(G1264)+2,FALSE))))</f>
        <v>1</v>
      </c>
      <c r="M1264" s="306">
        <f t="shared" si="326"/>
        <v>98.939444444444447</v>
      </c>
      <c r="N1264" s="305">
        <f>IF(G1264=0,0,(IF(OR(E1264=$AT$5,E1264=$AT$6),AC1264,HLOOKUP(YEAR(G1264)+(MONTH(G1264)/100),TC!$5:$37,DAY(G1264)+2,FALSE))))</f>
        <v>19.5793</v>
      </c>
      <c r="O1264" s="307">
        <f t="shared" si="327"/>
        <v>1937.1650646111111</v>
      </c>
      <c r="P1264" s="560">
        <f>IF(G1264=0,0,VLOOKUP(YEAR(G1264),INPC!$B$4:$P$30,MONTH(G1264)+2))</f>
        <v>110.21</v>
      </c>
      <c r="Q1264" s="560">
        <f>IF(X1264=0,0,IF(OR(E1264=$AT$10,E1264=$AT$9),VLOOKUP(YEAR(X1264),INPC!$B$4:$P$30,MONTH(X1264)+1),VLOOKUP(YEAR(X1264),INPC!$B$4:$P$30,MONTH(X1264)+2,0)))</f>
        <v>118.002</v>
      </c>
      <c r="R1264" s="309">
        <f t="shared" si="328"/>
        <v>1.0707</v>
      </c>
      <c r="S1264" s="310">
        <f t="shared" si="329"/>
        <v>2074.1226346791168</v>
      </c>
      <c r="T1264" s="555">
        <f t="shared" si="330"/>
        <v>1037.0613173395584</v>
      </c>
      <c r="U1264" s="311"/>
      <c r="V1264" s="312">
        <v>2</v>
      </c>
      <c r="W1264" s="299" t="s">
        <v>194</v>
      </c>
      <c r="X1264" s="300">
        <v>44601</v>
      </c>
      <c r="Y1264" s="299" t="s">
        <v>59</v>
      </c>
      <c r="Z1264" s="303">
        <v>121.11</v>
      </c>
      <c r="AA1264" s="305">
        <f>IF(Z1264=0,0,IF(Y1264="MXN",1/HLOOKUP(YEAR(X1264)+(MONTH(X1264)/100),TC!$5:$37,DAY(X1264)+2,FALSE),VLOOKUP(Y1264,Equivalencia!$1:$23,((MAX(Equivalencia!$3:$3)-YEAR(X1264))*14)+MONTH(X1264)+2,FALSE)))</f>
        <v>1</v>
      </c>
      <c r="AB1264" s="306">
        <f t="shared" si="331"/>
        <v>121.11</v>
      </c>
      <c r="AC1264" s="305">
        <f>+IF(X1264=0,0,HLOOKUP(YEAR(X1264)+(MONTH(X1264)/100),TC!$5:$37,DAY(X1264)+2,FALSE))</f>
        <v>20.732500000000002</v>
      </c>
      <c r="AD1264" s="307">
        <f t="shared" si="332"/>
        <v>2510.9130750000004</v>
      </c>
      <c r="AE1264" s="314">
        <f t="shared" si="333"/>
        <v>2074.1226346791168</v>
      </c>
      <c r="AF1264" s="315">
        <f t="shared" si="334"/>
        <v>436.79044032088359</v>
      </c>
      <c r="AG1264" s="316">
        <f t="shared" si="335"/>
        <v>1.0493150684931507</v>
      </c>
      <c r="AH1264" s="314">
        <v>1</v>
      </c>
      <c r="AI1264" s="314">
        <f t="shared" si="336"/>
        <v>436.79044032088359</v>
      </c>
      <c r="AJ1264" s="314">
        <f t="shared" si="337"/>
        <v>0</v>
      </c>
      <c r="AK1264" s="317"/>
      <c r="AL1264" s="315">
        <f t="shared" si="338"/>
        <v>22.170555555555552</v>
      </c>
      <c r="AN1264" s="554">
        <f t="shared" si="339"/>
        <v>0.22408207040221007</v>
      </c>
      <c r="AO1264" s="314"/>
      <c r="AP1264" s="318"/>
    </row>
    <row r="1265" spans="2:42">
      <c r="B1265" s="296" t="s">
        <v>1254</v>
      </c>
      <c r="C1265" s="299" t="s">
        <v>277</v>
      </c>
      <c r="D1265" s="298" t="s">
        <v>720</v>
      </c>
      <c r="E1265" s="299" t="s">
        <v>113</v>
      </c>
      <c r="F1265" s="299" t="s">
        <v>59</v>
      </c>
      <c r="G1265" s="300">
        <v>44218</v>
      </c>
      <c r="H1265" s="303">
        <v>247.34861111111113</v>
      </c>
      <c r="I1265" s="301" t="str">
        <f t="shared" si="323"/>
        <v>Ingresos Sección II LISR (SIC &amp; BMV)</v>
      </c>
      <c r="J1265" s="302">
        <f t="shared" si="324"/>
        <v>5</v>
      </c>
      <c r="K1265" s="304">
        <f t="shared" si="325"/>
        <v>49.469722222222224</v>
      </c>
      <c r="L1265" s="305">
        <f>IF(H1265=0,0,IF(OR(E1265=$AT$5,E1265=$AT$6),AA1265,IF(F1265="MXN",1/HLOOKUP(YEAR(G1265)+(MONTH(G1265)/100),TC!$5:$37,DAY(G1265)+2,FALSE),VLOOKUP(F1265,Equivalencia!$5:$23,((MAX(Equivalencia!$3:$3)-YEAR(G1265))*14)+MONTH(G1265)+2,FALSE))))</f>
        <v>1</v>
      </c>
      <c r="M1265" s="306">
        <f t="shared" si="326"/>
        <v>247.34861111111113</v>
      </c>
      <c r="N1265" s="305">
        <f>IF(G1265=0,0,(IF(OR(E1265=$AT$5,E1265=$AT$6),AC1265,HLOOKUP(YEAR(G1265)+(MONTH(G1265)/100),TC!$5:$37,DAY(G1265)+2,FALSE))))</f>
        <v>19.5793</v>
      </c>
      <c r="O1265" s="307">
        <f t="shared" si="327"/>
        <v>4842.9126615277783</v>
      </c>
      <c r="P1265" s="560">
        <f>IF(G1265=0,0,VLOOKUP(YEAR(G1265),INPC!$B$4:$P$30,MONTH(G1265)+2))</f>
        <v>110.21</v>
      </c>
      <c r="Q1265" s="560">
        <f>IF(X1265=0,0,IF(OR(E1265=$AT$10,E1265=$AT$9),VLOOKUP(YEAR(X1265),INPC!$B$4:$P$30,MONTH(X1265)+1),VLOOKUP(YEAR(X1265),INPC!$B$4:$P$30,MONTH(X1265)+2,0)))</f>
        <v>118.002</v>
      </c>
      <c r="R1265" s="309">
        <f t="shared" si="328"/>
        <v>1.0707</v>
      </c>
      <c r="S1265" s="310">
        <f t="shared" si="329"/>
        <v>5185.3065866977922</v>
      </c>
      <c r="T1265" s="555">
        <f t="shared" si="330"/>
        <v>1037.0613173395584</v>
      </c>
      <c r="U1265" s="311"/>
      <c r="V1265" s="312">
        <v>5</v>
      </c>
      <c r="W1265" s="299" t="s">
        <v>194</v>
      </c>
      <c r="X1265" s="300">
        <v>44601</v>
      </c>
      <c r="Y1265" s="299" t="s">
        <v>59</v>
      </c>
      <c r="Z1265" s="303">
        <v>302.85000000000002</v>
      </c>
      <c r="AA1265" s="305">
        <f>IF(Z1265=0,0,IF(Y1265="MXN",1/HLOOKUP(YEAR(X1265)+(MONTH(X1265)/100),TC!$5:$37,DAY(X1265)+2,FALSE),VLOOKUP(Y1265,Equivalencia!$1:$23,((MAX(Equivalencia!$3:$3)-YEAR(X1265))*14)+MONTH(X1265)+2,FALSE)))</f>
        <v>1</v>
      </c>
      <c r="AB1265" s="306">
        <f t="shared" si="331"/>
        <v>302.85000000000002</v>
      </c>
      <c r="AC1265" s="305">
        <f>+IF(X1265=0,0,HLOOKUP(YEAR(X1265)+(MONTH(X1265)/100),TC!$5:$37,DAY(X1265)+2,FALSE))</f>
        <v>20.732500000000002</v>
      </c>
      <c r="AD1265" s="307">
        <f t="shared" si="332"/>
        <v>6278.837625000001</v>
      </c>
      <c r="AE1265" s="314">
        <f t="shared" si="333"/>
        <v>5185.3065866977922</v>
      </c>
      <c r="AF1265" s="315">
        <f t="shared" si="334"/>
        <v>1093.5310383022088</v>
      </c>
      <c r="AG1265" s="316">
        <f t="shared" si="335"/>
        <v>1.0493150684931507</v>
      </c>
      <c r="AH1265" s="314">
        <v>1</v>
      </c>
      <c r="AI1265" s="314">
        <f t="shared" si="336"/>
        <v>1093.5310383022088</v>
      </c>
      <c r="AJ1265" s="314">
        <f t="shared" si="337"/>
        <v>0</v>
      </c>
      <c r="AK1265" s="317"/>
      <c r="AL1265" s="315">
        <f t="shared" si="338"/>
        <v>55.501388888888897</v>
      </c>
      <c r="AN1265" s="554">
        <f t="shared" si="339"/>
        <v>0.22438528617392234</v>
      </c>
      <c r="AO1265" s="314"/>
      <c r="AP1265" s="318"/>
    </row>
    <row r="1266" spans="2:42">
      <c r="B1266" s="296" t="s">
        <v>1254</v>
      </c>
      <c r="C1266" s="299" t="s">
        <v>277</v>
      </c>
      <c r="D1266" s="298" t="s">
        <v>720</v>
      </c>
      <c r="E1266" s="299" t="s">
        <v>113</v>
      </c>
      <c r="F1266" s="299" t="s">
        <v>59</v>
      </c>
      <c r="G1266" s="300">
        <v>44217</v>
      </c>
      <c r="H1266" s="303">
        <v>1929.32</v>
      </c>
      <c r="I1266" s="301" t="str">
        <f t="shared" si="323"/>
        <v>Ingresos Sección II LISR (SIC &amp; BMV)</v>
      </c>
      <c r="J1266" s="302">
        <f t="shared" si="324"/>
        <v>39</v>
      </c>
      <c r="K1266" s="304">
        <f t="shared" si="325"/>
        <v>49.469743589743587</v>
      </c>
      <c r="L1266" s="305">
        <f>IF(H1266=0,0,IF(OR(E1266=$AT$5,E1266=$AT$6),AA1266,IF(F1266="MXN",1/HLOOKUP(YEAR(G1266)+(MONTH(G1266)/100),TC!$5:$37,DAY(G1266)+2,FALSE),VLOOKUP(F1266,Equivalencia!$5:$23,((MAX(Equivalencia!$3:$3)-YEAR(G1266))*14)+MONTH(G1266)+2,FALSE))))</f>
        <v>1</v>
      </c>
      <c r="M1266" s="306">
        <f t="shared" si="326"/>
        <v>1929.32</v>
      </c>
      <c r="N1266" s="305">
        <f>IF(G1266=0,0,(IF(OR(E1266=$AT$5,E1266=$AT$6),AC1266,HLOOKUP(YEAR(G1266)+(MONTH(G1266)/100),TC!$5:$37,DAY(G1266)+2,FALSE))))</f>
        <v>19.678799999999999</v>
      </c>
      <c r="O1266" s="307">
        <f t="shared" si="327"/>
        <v>37966.702416</v>
      </c>
      <c r="P1266" s="560">
        <f>IF(G1266=0,0,VLOOKUP(YEAR(G1266),INPC!$B$4:$P$30,MONTH(G1266)+2))</f>
        <v>110.21</v>
      </c>
      <c r="Q1266" s="560">
        <f>IF(X1266=0,0,IF(OR(E1266=$AT$10,E1266=$AT$9),VLOOKUP(YEAR(X1266),INPC!$B$4:$P$30,MONTH(X1266)+1),VLOOKUP(YEAR(X1266),INPC!$B$4:$P$30,MONTH(X1266)+2,0)))</f>
        <v>118.002</v>
      </c>
      <c r="R1266" s="309">
        <f t="shared" si="328"/>
        <v>1.0707</v>
      </c>
      <c r="S1266" s="310">
        <f t="shared" si="329"/>
        <v>40650.948276811199</v>
      </c>
      <c r="T1266" s="555">
        <f t="shared" si="330"/>
        <v>1042.3320070977231</v>
      </c>
      <c r="U1266" s="311"/>
      <c r="V1266" s="312">
        <v>39</v>
      </c>
      <c r="W1266" s="299" t="s">
        <v>194</v>
      </c>
      <c r="X1266" s="300">
        <v>44601</v>
      </c>
      <c r="Y1266" s="299" t="s">
        <v>59</v>
      </c>
      <c r="Z1266" s="303">
        <v>2361.5149999999999</v>
      </c>
      <c r="AA1266" s="305">
        <f>IF(Z1266=0,0,IF(Y1266="MXN",1/HLOOKUP(YEAR(X1266)+(MONTH(X1266)/100),TC!$5:$37,DAY(X1266)+2,FALSE),VLOOKUP(Y1266,Equivalencia!$1:$23,((MAX(Equivalencia!$3:$3)-YEAR(X1266))*14)+MONTH(X1266)+2,FALSE)))</f>
        <v>1</v>
      </c>
      <c r="AB1266" s="306">
        <f t="shared" si="331"/>
        <v>2361.5149999999999</v>
      </c>
      <c r="AC1266" s="305">
        <f>+IF(X1266=0,0,HLOOKUP(YEAR(X1266)+(MONTH(X1266)/100),TC!$5:$37,DAY(X1266)+2,FALSE))</f>
        <v>20.732500000000002</v>
      </c>
      <c r="AD1266" s="307">
        <f t="shared" si="332"/>
        <v>48960.109737500003</v>
      </c>
      <c r="AE1266" s="314">
        <f t="shared" si="333"/>
        <v>40650.948276811199</v>
      </c>
      <c r="AF1266" s="315">
        <f t="shared" si="334"/>
        <v>8309.1614606888033</v>
      </c>
      <c r="AG1266" s="316">
        <f t="shared" si="335"/>
        <v>1.0520547945205478</v>
      </c>
      <c r="AH1266" s="314">
        <v>1</v>
      </c>
      <c r="AI1266" s="314">
        <f t="shared" si="336"/>
        <v>8309.1614606888033</v>
      </c>
      <c r="AJ1266" s="314">
        <f t="shared" si="337"/>
        <v>0</v>
      </c>
      <c r="AK1266" s="317"/>
      <c r="AL1266" s="315">
        <f t="shared" si="338"/>
        <v>432.19499999999994</v>
      </c>
      <c r="AN1266" s="554">
        <f t="shared" si="339"/>
        <v>0.22401416042958139</v>
      </c>
      <c r="AO1266" s="314"/>
      <c r="AP1266" s="318"/>
    </row>
    <row r="1267" spans="2:42">
      <c r="B1267" s="296" t="s">
        <v>1254</v>
      </c>
      <c r="C1267" s="299" t="s">
        <v>277</v>
      </c>
      <c r="D1267" s="298" t="s">
        <v>720</v>
      </c>
      <c r="E1267" s="299" t="s">
        <v>113</v>
      </c>
      <c r="F1267" s="299" t="s">
        <v>59</v>
      </c>
      <c r="G1267" s="300">
        <v>44218</v>
      </c>
      <c r="H1267" s="303">
        <v>1338.4945161290323</v>
      </c>
      <c r="I1267" s="301" t="str">
        <f t="shared" si="323"/>
        <v>Ingresos Sección II LISR (SIC &amp; BMV)</v>
      </c>
      <c r="J1267" s="302">
        <f t="shared" si="324"/>
        <v>27</v>
      </c>
      <c r="K1267" s="304">
        <f t="shared" si="325"/>
        <v>49.573870967741932</v>
      </c>
      <c r="L1267" s="305">
        <f>IF(H1267=0,0,IF(OR(E1267=$AT$5,E1267=$AT$6),AA1267,IF(F1267="MXN",1/HLOOKUP(YEAR(G1267)+(MONTH(G1267)/100),TC!$5:$37,DAY(G1267)+2,FALSE),VLOOKUP(F1267,Equivalencia!$5:$23,((MAX(Equivalencia!$3:$3)-YEAR(G1267))*14)+MONTH(G1267)+2,FALSE))))</f>
        <v>1</v>
      </c>
      <c r="M1267" s="306">
        <f t="shared" si="326"/>
        <v>1338.4945161290323</v>
      </c>
      <c r="N1267" s="305">
        <f>IF(G1267=0,0,(IF(OR(E1267=$AT$5,E1267=$AT$6),AC1267,HLOOKUP(YEAR(G1267)+(MONTH(G1267)/100),TC!$5:$37,DAY(G1267)+2,FALSE))))</f>
        <v>19.5793</v>
      </c>
      <c r="O1267" s="307">
        <f t="shared" si="327"/>
        <v>26206.78567964516</v>
      </c>
      <c r="P1267" s="560">
        <f>IF(G1267=0,0,VLOOKUP(YEAR(G1267),INPC!$B$4:$P$30,MONTH(G1267)+2))</f>
        <v>110.21</v>
      </c>
      <c r="Q1267" s="560">
        <f>IF(X1267=0,0,IF(OR(E1267=$AT$10,E1267=$AT$9),VLOOKUP(YEAR(X1267),INPC!$B$4:$P$30,MONTH(X1267)+1),VLOOKUP(YEAR(X1267),INPC!$B$4:$P$30,MONTH(X1267)+2,0)))</f>
        <v>118.002</v>
      </c>
      <c r="R1267" s="309">
        <f t="shared" si="328"/>
        <v>1.0707</v>
      </c>
      <c r="S1267" s="310">
        <f t="shared" si="329"/>
        <v>28059.605427196071</v>
      </c>
      <c r="T1267" s="555">
        <f t="shared" si="330"/>
        <v>1039.2446454517064</v>
      </c>
      <c r="U1267" s="311"/>
      <c r="V1267" s="312">
        <v>27</v>
      </c>
      <c r="W1267" s="299" t="s">
        <v>194</v>
      </c>
      <c r="X1267" s="300">
        <v>44601</v>
      </c>
      <c r="Y1267" s="299" t="s">
        <v>59</v>
      </c>
      <c r="Z1267" s="303">
        <v>1634.895</v>
      </c>
      <c r="AA1267" s="305">
        <f>IF(Z1267=0,0,IF(Y1267="MXN",1/HLOOKUP(YEAR(X1267)+(MONTH(X1267)/100),TC!$5:$37,DAY(X1267)+2,FALSE),VLOOKUP(Y1267,Equivalencia!$1:$23,((MAX(Equivalencia!$3:$3)-YEAR(X1267))*14)+MONTH(X1267)+2,FALSE)))</f>
        <v>1</v>
      </c>
      <c r="AB1267" s="306">
        <f t="shared" si="331"/>
        <v>1634.895</v>
      </c>
      <c r="AC1267" s="305">
        <f>+IF(X1267=0,0,HLOOKUP(YEAR(X1267)+(MONTH(X1267)/100),TC!$5:$37,DAY(X1267)+2,FALSE))</f>
        <v>20.732500000000002</v>
      </c>
      <c r="AD1267" s="307">
        <f t="shared" si="332"/>
        <v>33895.460587500005</v>
      </c>
      <c r="AE1267" s="314">
        <f t="shared" si="333"/>
        <v>28059.605427196075</v>
      </c>
      <c r="AF1267" s="315">
        <f t="shared" si="334"/>
        <v>5835.8551603039305</v>
      </c>
      <c r="AG1267" s="316">
        <f t="shared" si="335"/>
        <v>1.0493150684931507</v>
      </c>
      <c r="AH1267" s="314">
        <v>1</v>
      </c>
      <c r="AI1267" s="314">
        <f t="shared" si="336"/>
        <v>5835.8551603039305</v>
      </c>
      <c r="AJ1267" s="314">
        <f t="shared" si="337"/>
        <v>0</v>
      </c>
      <c r="AK1267" s="317"/>
      <c r="AL1267" s="315">
        <f t="shared" si="338"/>
        <v>296.40048387096772</v>
      </c>
      <c r="AN1267" s="554">
        <f t="shared" si="339"/>
        <v>0.22144318134986996</v>
      </c>
      <c r="AO1267" s="314"/>
      <c r="AP1267" s="318"/>
    </row>
    <row r="1268" spans="2:42">
      <c r="B1268" s="296" t="s">
        <v>1254</v>
      </c>
      <c r="C1268" s="299" t="s">
        <v>277</v>
      </c>
      <c r="D1268" s="298" t="s">
        <v>720</v>
      </c>
      <c r="E1268" s="299" t="s">
        <v>113</v>
      </c>
      <c r="F1268" s="299" t="s">
        <v>59</v>
      </c>
      <c r="G1268" s="300">
        <v>44218</v>
      </c>
      <c r="H1268" s="303">
        <v>198.29548387096773</v>
      </c>
      <c r="I1268" s="301" t="str">
        <f t="shared" si="323"/>
        <v>Ingresos Sección II LISR (SIC &amp; BMV)</v>
      </c>
      <c r="J1268" s="302">
        <f t="shared" si="324"/>
        <v>4</v>
      </c>
      <c r="K1268" s="304">
        <f t="shared" si="325"/>
        <v>49.573870967741932</v>
      </c>
      <c r="L1268" s="305">
        <f>IF(H1268=0,0,IF(OR(E1268=$AT$5,E1268=$AT$6),AA1268,IF(F1268="MXN",1/HLOOKUP(YEAR(G1268)+(MONTH(G1268)/100),TC!$5:$37,DAY(G1268)+2,FALSE),VLOOKUP(F1268,Equivalencia!$5:$23,((MAX(Equivalencia!$3:$3)-YEAR(G1268))*14)+MONTH(G1268)+2,FALSE))))</f>
        <v>1</v>
      </c>
      <c r="M1268" s="306">
        <f t="shared" si="326"/>
        <v>198.29548387096773</v>
      </c>
      <c r="N1268" s="305">
        <f>IF(G1268=0,0,(IF(OR(E1268=$AT$5,E1268=$AT$6),AC1268,HLOOKUP(YEAR(G1268)+(MONTH(G1268)/100),TC!$5:$37,DAY(G1268)+2,FALSE))))</f>
        <v>19.5793</v>
      </c>
      <c r="O1268" s="307">
        <f t="shared" si="327"/>
        <v>3882.4867673548383</v>
      </c>
      <c r="P1268" s="560">
        <f>IF(G1268=0,0,VLOOKUP(YEAR(G1268),INPC!$B$4:$P$30,MONTH(G1268)+2))</f>
        <v>110.21</v>
      </c>
      <c r="Q1268" s="560">
        <f>IF(X1268=0,0,IF(OR(E1268=$AT$10,E1268=$AT$9),VLOOKUP(YEAR(X1268),INPC!$B$4:$P$30,MONTH(X1268)+1),VLOOKUP(YEAR(X1268),INPC!$B$4:$P$30,MONTH(X1268)+2,0)))</f>
        <v>118.002</v>
      </c>
      <c r="R1268" s="309">
        <f t="shared" si="328"/>
        <v>1.0707</v>
      </c>
      <c r="S1268" s="310">
        <f t="shared" si="329"/>
        <v>4156.9785818068258</v>
      </c>
      <c r="T1268" s="555">
        <f t="shared" si="330"/>
        <v>1039.2446454517064</v>
      </c>
      <c r="U1268" s="311"/>
      <c r="V1268" s="312">
        <v>4</v>
      </c>
      <c r="W1268" s="299" t="s">
        <v>194</v>
      </c>
      <c r="X1268" s="300">
        <v>44602</v>
      </c>
      <c r="Y1268" s="299" t="s">
        <v>59</v>
      </c>
      <c r="Z1268" s="303">
        <v>246.0575</v>
      </c>
      <c r="AA1268" s="305">
        <f>IF(Z1268=0,0,IF(Y1268="MXN",1/HLOOKUP(YEAR(X1268)+(MONTH(X1268)/100),TC!$5:$37,DAY(X1268)+2,FALSE),VLOOKUP(Y1268,Equivalencia!$1:$23,((MAX(Equivalencia!$3:$3)-YEAR(X1268))*14)+MONTH(X1268)+2,FALSE)))</f>
        <v>1</v>
      </c>
      <c r="AB1268" s="306">
        <f t="shared" si="331"/>
        <v>246.0575</v>
      </c>
      <c r="AC1268" s="305">
        <f>+IF(X1268=0,0,HLOOKUP(YEAR(X1268)+(MONTH(X1268)/100),TC!$5:$37,DAY(X1268)+2,FALSE))</f>
        <v>20.641300000000001</v>
      </c>
      <c r="AD1268" s="307">
        <f t="shared" si="332"/>
        <v>5078.9466747500001</v>
      </c>
      <c r="AE1268" s="314">
        <f t="shared" si="333"/>
        <v>4156.9785818068258</v>
      </c>
      <c r="AF1268" s="315">
        <f t="shared" si="334"/>
        <v>921.96809294317427</v>
      </c>
      <c r="AG1268" s="316">
        <f t="shared" si="335"/>
        <v>1.0520547945205478</v>
      </c>
      <c r="AH1268" s="314">
        <v>1</v>
      </c>
      <c r="AI1268" s="314">
        <f t="shared" si="336"/>
        <v>921.96809294317427</v>
      </c>
      <c r="AJ1268" s="314">
        <f t="shared" si="337"/>
        <v>0</v>
      </c>
      <c r="AK1268" s="317"/>
      <c r="AL1268" s="315">
        <f t="shared" si="338"/>
        <v>47.762016129032276</v>
      </c>
      <c r="AN1268" s="554">
        <f t="shared" si="339"/>
        <v>0.24086285374058924</v>
      </c>
      <c r="AO1268" s="314"/>
      <c r="AP1268" s="318"/>
    </row>
    <row r="1269" spans="2:42">
      <c r="B1269" s="296" t="s">
        <v>1254</v>
      </c>
      <c r="C1269" s="299" t="s">
        <v>277</v>
      </c>
      <c r="D1269" s="298" t="s">
        <v>720</v>
      </c>
      <c r="E1269" s="299" t="s">
        <v>113</v>
      </c>
      <c r="F1269" s="299" t="s">
        <v>59</v>
      </c>
      <c r="G1269" s="300">
        <v>44218</v>
      </c>
      <c r="H1269" s="303">
        <v>594.18000000000006</v>
      </c>
      <c r="I1269" s="301" t="str">
        <f t="shared" si="323"/>
        <v>Ingresos Sección II LISR (SIC &amp; BMV)</v>
      </c>
      <c r="J1269" s="302">
        <f t="shared" si="324"/>
        <v>12</v>
      </c>
      <c r="K1269" s="304">
        <f t="shared" si="325"/>
        <v>49.515000000000008</v>
      </c>
      <c r="L1269" s="305">
        <f>IF(H1269=0,0,IF(OR(E1269=$AT$5,E1269=$AT$6),AA1269,IF(F1269="MXN",1/HLOOKUP(YEAR(G1269)+(MONTH(G1269)/100),TC!$5:$37,DAY(G1269)+2,FALSE),VLOOKUP(F1269,Equivalencia!$5:$23,((MAX(Equivalencia!$3:$3)-YEAR(G1269))*14)+MONTH(G1269)+2,FALSE))))</f>
        <v>1</v>
      </c>
      <c r="M1269" s="306">
        <f t="shared" si="326"/>
        <v>594.18000000000006</v>
      </c>
      <c r="N1269" s="305">
        <f>IF(G1269=0,0,(IF(OR(E1269=$AT$5,E1269=$AT$6),AC1269,HLOOKUP(YEAR(G1269)+(MONTH(G1269)/100),TC!$5:$37,DAY(G1269)+2,FALSE))))</f>
        <v>19.5793</v>
      </c>
      <c r="O1269" s="307">
        <f t="shared" si="327"/>
        <v>11633.628474000001</v>
      </c>
      <c r="P1269" s="560">
        <f>IF(G1269=0,0,VLOOKUP(YEAR(G1269),INPC!$B$4:$P$30,MONTH(G1269)+2))</f>
        <v>110.21</v>
      </c>
      <c r="Q1269" s="560">
        <f>IF(X1269=0,0,IF(OR(E1269=$AT$10,E1269=$AT$9),VLOOKUP(YEAR(X1269),INPC!$B$4:$P$30,MONTH(X1269)+1),VLOOKUP(YEAR(X1269),INPC!$B$4:$P$30,MONTH(X1269)+2,0)))</f>
        <v>118.002</v>
      </c>
      <c r="R1269" s="309">
        <f t="shared" si="328"/>
        <v>1.0707</v>
      </c>
      <c r="S1269" s="310">
        <f t="shared" si="329"/>
        <v>12456.126007111801</v>
      </c>
      <c r="T1269" s="555">
        <f t="shared" si="330"/>
        <v>1038.01050059265</v>
      </c>
      <c r="U1269" s="311"/>
      <c r="V1269" s="312">
        <v>12</v>
      </c>
      <c r="W1269" s="299" t="s">
        <v>194</v>
      </c>
      <c r="X1269" s="300">
        <v>44602</v>
      </c>
      <c r="Y1269" s="299" t="s">
        <v>59</v>
      </c>
      <c r="Z1269" s="303">
        <v>738.17250000000001</v>
      </c>
      <c r="AA1269" s="305">
        <f>IF(Z1269=0,0,IF(Y1269="MXN",1/HLOOKUP(YEAR(X1269)+(MONTH(X1269)/100),TC!$5:$37,DAY(X1269)+2,FALSE),VLOOKUP(Y1269,Equivalencia!$1:$23,((MAX(Equivalencia!$3:$3)-YEAR(X1269))*14)+MONTH(X1269)+2,FALSE)))</f>
        <v>1</v>
      </c>
      <c r="AB1269" s="306">
        <f t="shared" si="331"/>
        <v>738.17250000000001</v>
      </c>
      <c r="AC1269" s="305">
        <f>+IF(X1269=0,0,HLOOKUP(YEAR(X1269)+(MONTH(X1269)/100),TC!$5:$37,DAY(X1269)+2,FALSE))</f>
        <v>20.641300000000001</v>
      </c>
      <c r="AD1269" s="307">
        <f t="shared" si="332"/>
        <v>15236.840024250001</v>
      </c>
      <c r="AE1269" s="314">
        <f t="shared" si="333"/>
        <v>12456.126007111801</v>
      </c>
      <c r="AF1269" s="315">
        <f t="shared" si="334"/>
        <v>2780.7140171381998</v>
      </c>
      <c r="AG1269" s="316">
        <f t="shared" si="335"/>
        <v>1.0520547945205478</v>
      </c>
      <c r="AH1269" s="314">
        <v>1</v>
      </c>
      <c r="AI1269" s="314">
        <f t="shared" si="336"/>
        <v>2780.7140171381998</v>
      </c>
      <c r="AJ1269" s="314">
        <f t="shared" si="337"/>
        <v>0</v>
      </c>
      <c r="AK1269" s="317"/>
      <c r="AL1269" s="315">
        <f t="shared" si="338"/>
        <v>143.99249999999995</v>
      </c>
      <c r="AN1269" s="554">
        <f t="shared" si="339"/>
        <v>0.24233818034938898</v>
      </c>
      <c r="AO1269" s="314"/>
      <c r="AP1269" s="318"/>
    </row>
    <row r="1270" spans="2:42">
      <c r="B1270" s="296" t="s">
        <v>1254</v>
      </c>
      <c r="C1270" s="299" t="s">
        <v>277</v>
      </c>
      <c r="D1270" s="298" t="s">
        <v>720</v>
      </c>
      <c r="E1270" s="299" t="s">
        <v>113</v>
      </c>
      <c r="F1270" s="299" t="s">
        <v>59</v>
      </c>
      <c r="G1270" s="300">
        <v>44218</v>
      </c>
      <c r="H1270" s="303">
        <v>99.03</v>
      </c>
      <c r="I1270" s="301" t="str">
        <f t="shared" si="323"/>
        <v>Ingresos Sección II LISR (SIC &amp; BMV)</v>
      </c>
      <c r="J1270" s="302">
        <f t="shared" si="324"/>
        <v>2</v>
      </c>
      <c r="K1270" s="304">
        <f t="shared" si="325"/>
        <v>49.515000000000001</v>
      </c>
      <c r="L1270" s="305">
        <f>IF(H1270=0,0,IF(OR(E1270=$AT$5,E1270=$AT$6),AA1270,IF(F1270="MXN",1/HLOOKUP(YEAR(G1270)+(MONTH(G1270)/100),TC!$5:$37,DAY(G1270)+2,FALSE),VLOOKUP(F1270,Equivalencia!$5:$23,((MAX(Equivalencia!$3:$3)-YEAR(G1270))*14)+MONTH(G1270)+2,FALSE))))</f>
        <v>1</v>
      </c>
      <c r="M1270" s="306">
        <f t="shared" si="326"/>
        <v>99.03</v>
      </c>
      <c r="N1270" s="305">
        <f>IF(G1270=0,0,(IF(OR(E1270=$AT$5,E1270=$AT$6),AC1270,HLOOKUP(YEAR(G1270)+(MONTH(G1270)/100),TC!$5:$37,DAY(G1270)+2,FALSE))))</f>
        <v>19.5793</v>
      </c>
      <c r="O1270" s="307">
        <f t="shared" si="327"/>
        <v>1938.938079</v>
      </c>
      <c r="P1270" s="560">
        <f>IF(G1270=0,0,VLOOKUP(YEAR(G1270),INPC!$B$4:$P$30,MONTH(G1270)+2))</f>
        <v>110.21</v>
      </c>
      <c r="Q1270" s="560">
        <f>IF(X1270=0,0,IF(OR(E1270=$AT$10,E1270=$AT$9),VLOOKUP(YEAR(X1270),INPC!$B$4:$P$30,MONTH(X1270)+1),VLOOKUP(YEAR(X1270),INPC!$B$4:$P$30,MONTH(X1270)+2,0)))</f>
        <v>118.002</v>
      </c>
      <c r="R1270" s="309">
        <f t="shared" si="328"/>
        <v>1.0707</v>
      </c>
      <c r="S1270" s="310">
        <f t="shared" si="329"/>
        <v>2076.0210011853001</v>
      </c>
      <c r="T1270" s="555">
        <f t="shared" si="330"/>
        <v>1038.01050059265</v>
      </c>
      <c r="U1270" s="311"/>
      <c r="V1270" s="312">
        <v>2</v>
      </c>
      <c r="W1270" s="299" t="s">
        <v>194</v>
      </c>
      <c r="X1270" s="300">
        <v>44602</v>
      </c>
      <c r="Y1270" s="299" t="s">
        <v>59</v>
      </c>
      <c r="Z1270" s="303">
        <v>122.23333333333333</v>
      </c>
      <c r="AA1270" s="305">
        <f>IF(Z1270=0,0,IF(Y1270="MXN",1/HLOOKUP(YEAR(X1270)+(MONTH(X1270)/100),TC!$5:$37,DAY(X1270)+2,FALSE),VLOOKUP(Y1270,Equivalencia!$1:$23,((MAX(Equivalencia!$3:$3)-YEAR(X1270))*14)+MONTH(X1270)+2,FALSE)))</f>
        <v>1</v>
      </c>
      <c r="AB1270" s="306">
        <f t="shared" si="331"/>
        <v>122.23333333333333</v>
      </c>
      <c r="AC1270" s="305">
        <f>+IF(X1270=0,0,HLOOKUP(YEAR(X1270)+(MONTH(X1270)/100),TC!$5:$37,DAY(X1270)+2,FALSE))</f>
        <v>20.641300000000001</v>
      </c>
      <c r="AD1270" s="307">
        <f t="shared" si="332"/>
        <v>2523.0549033333336</v>
      </c>
      <c r="AE1270" s="314">
        <f t="shared" si="333"/>
        <v>2076.0210011853001</v>
      </c>
      <c r="AF1270" s="315">
        <f t="shared" si="334"/>
        <v>447.03390214803358</v>
      </c>
      <c r="AG1270" s="316">
        <f t="shared" si="335"/>
        <v>1.0520547945205478</v>
      </c>
      <c r="AH1270" s="314">
        <v>1</v>
      </c>
      <c r="AI1270" s="314">
        <f t="shared" si="336"/>
        <v>447.03390214803358</v>
      </c>
      <c r="AJ1270" s="314">
        <f t="shared" si="337"/>
        <v>0</v>
      </c>
      <c r="AK1270" s="317"/>
      <c r="AL1270" s="315">
        <f t="shared" si="338"/>
        <v>23.203333333333333</v>
      </c>
      <c r="AN1270" s="554">
        <f t="shared" si="339"/>
        <v>0.2343061025278535</v>
      </c>
      <c r="AO1270" s="314"/>
      <c r="AP1270" s="318"/>
    </row>
    <row r="1271" spans="2:42">
      <c r="B1271" s="296" t="s">
        <v>1254</v>
      </c>
      <c r="C1271" s="299" t="s">
        <v>277</v>
      </c>
      <c r="D1271" s="298" t="s">
        <v>720</v>
      </c>
      <c r="E1271" s="299" t="s">
        <v>113</v>
      </c>
      <c r="F1271" s="299" t="s">
        <v>59</v>
      </c>
      <c r="G1271" s="300">
        <v>44218</v>
      </c>
      <c r="H1271" s="303">
        <v>394.16</v>
      </c>
      <c r="I1271" s="301" t="str">
        <f t="shared" si="323"/>
        <v>Ingresos Sección II LISR (SIC &amp; BMV)</v>
      </c>
      <c r="J1271" s="302">
        <f t="shared" si="324"/>
        <v>8</v>
      </c>
      <c r="K1271" s="304">
        <f t="shared" si="325"/>
        <v>49.27</v>
      </c>
      <c r="L1271" s="305">
        <f>IF(H1271=0,0,IF(OR(E1271=$AT$5,E1271=$AT$6),AA1271,IF(F1271="MXN",1/HLOOKUP(YEAR(G1271)+(MONTH(G1271)/100),TC!$5:$37,DAY(G1271)+2,FALSE),VLOOKUP(F1271,Equivalencia!$5:$23,((MAX(Equivalencia!$3:$3)-YEAR(G1271))*14)+MONTH(G1271)+2,FALSE))))</f>
        <v>1</v>
      </c>
      <c r="M1271" s="306">
        <f t="shared" si="326"/>
        <v>394.16</v>
      </c>
      <c r="N1271" s="305">
        <f>IF(G1271=0,0,(IF(OR(E1271=$AT$5,E1271=$AT$6),AC1271,HLOOKUP(YEAR(G1271)+(MONTH(G1271)/100),TC!$5:$37,DAY(G1271)+2,FALSE))))</f>
        <v>19.5793</v>
      </c>
      <c r="O1271" s="307">
        <f t="shared" si="327"/>
        <v>7717.3768880000007</v>
      </c>
      <c r="P1271" s="560">
        <f>IF(G1271=0,0,VLOOKUP(YEAR(G1271),INPC!$B$4:$P$30,MONTH(G1271)+2))</f>
        <v>110.21</v>
      </c>
      <c r="Q1271" s="560">
        <f>IF(X1271=0,0,IF(OR(E1271=$AT$10,E1271=$AT$9),VLOOKUP(YEAR(X1271),INPC!$B$4:$P$30,MONTH(X1271)+1),VLOOKUP(YEAR(X1271),INPC!$B$4:$P$30,MONTH(X1271)+2,0)))</f>
        <v>118.002</v>
      </c>
      <c r="R1271" s="309">
        <f t="shared" si="328"/>
        <v>1.0707</v>
      </c>
      <c r="S1271" s="310">
        <f t="shared" si="329"/>
        <v>8262.9954339816013</v>
      </c>
      <c r="T1271" s="555">
        <f t="shared" si="330"/>
        <v>1032.8744292477002</v>
      </c>
      <c r="U1271" s="311"/>
      <c r="V1271" s="312">
        <v>8</v>
      </c>
      <c r="W1271" s="299" t="s">
        <v>194</v>
      </c>
      <c r="X1271" s="300">
        <v>44602</v>
      </c>
      <c r="Y1271" s="299" t="s">
        <v>59</v>
      </c>
      <c r="Z1271" s="303">
        <v>488.93333333333334</v>
      </c>
      <c r="AA1271" s="305">
        <f>IF(Z1271=0,0,IF(Y1271="MXN",1/HLOOKUP(YEAR(X1271)+(MONTH(X1271)/100),TC!$5:$37,DAY(X1271)+2,FALSE),VLOOKUP(Y1271,Equivalencia!$1:$23,((MAX(Equivalencia!$3:$3)-YEAR(X1271))*14)+MONTH(X1271)+2,FALSE)))</f>
        <v>1</v>
      </c>
      <c r="AB1271" s="306">
        <f t="shared" si="331"/>
        <v>488.93333333333334</v>
      </c>
      <c r="AC1271" s="305">
        <f>+IF(X1271=0,0,HLOOKUP(YEAR(X1271)+(MONTH(X1271)/100),TC!$5:$37,DAY(X1271)+2,FALSE))</f>
        <v>20.641300000000001</v>
      </c>
      <c r="AD1271" s="307">
        <f t="shared" si="332"/>
        <v>10092.219613333335</v>
      </c>
      <c r="AE1271" s="314">
        <f t="shared" si="333"/>
        <v>8262.9954339816013</v>
      </c>
      <c r="AF1271" s="315">
        <f t="shared" si="334"/>
        <v>1829.2241793517333</v>
      </c>
      <c r="AG1271" s="316">
        <f t="shared" si="335"/>
        <v>1.0520547945205478</v>
      </c>
      <c r="AH1271" s="314">
        <v>1</v>
      </c>
      <c r="AI1271" s="314">
        <f t="shared" si="336"/>
        <v>1829.2241793517333</v>
      </c>
      <c r="AJ1271" s="314">
        <f t="shared" si="337"/>
        <v>0</v>
      </c>
      <c r="AK1271" s="317"/>
      <c r="AL1271" s="315">
        <f t="shared" si="338"/>
        <v>94.773333333333312</v>
      </c>
      <c r="AN1271" s="554">
        <f t="shared" si="339"/>
        <v>0.24044381300317968</v>
      </c>
      <c r="AO1271" s="314"/>
      <c r="AP1271" s="318"/>
    </row>
    <row r="1272" spans="2:42">
      <c r="B1272" s="296" t="s">
        <v>1254</v>
      </c>
      <c r="C1272" s="299" t="s">
        <v>277</v>
      </c>
      <c r="D1272" s="298" t="s">
        <v>720</v>
      </c>
      <c r="E1272" s="299" t="s">
        <v>113</v>
      </c>
      <c r="F1272" s="299" t="s">
        <v>59</v>
      </c>
      <c r="G1272" s="300">
        <v>44218</v>
      </c>
      <c r="H1272" s="303">
        <v>195.81</v>
      </c>
      <c r="I1272" s="301" t="str">
        <f t="shared" si="323"/>
        <v>Ingresos Sección II LISR (SIC &amp; BMV)</v>
      </c>
      <c r="J1272" s="302">
        <f t="shared" si="324"/>
        <v>4</v>
      </c>
      <c r="K1272" s="304">
        <f t="shared" si="325"/>
        <v>48.952500000000001</v>
      </c>
      <c r="L1272" s="305">
        <f>IF(H1272=0,0,IF(OR(E1272=$AT$5,E1272=$AT$6),AA1272,IF(F1272="MXN",1/HLOOKUP(YEAR(G1272)+(MONTH(G1272)/100),TC!$5:$37,DAY(G1272)+2,FALSE),VLOOKUP(F1272,Equivalencia!$5:$23,((MAX(Equivalencia!$3:$3)-YEAR(G1272))*14)+MONTH(G1272)+2,FALSE))))</f>
        <v>1</v>
      </c>
      <c r="M1272" s="306">
        <f t="shared" si="326"/>
        <v>195.81</v>
      </c>
      <c r="N1272" s="305">
        <f>IF(G1272=0,0,(IF(OR(E1272=$AT$5,E1272=$AT$6),AC1272,HLOOKUP(YEAR(G1272)+(MONTH(G1272)/100),TC!$5:$37,DAY(G1272)+2,FALSE))))</f>
        <v>19.5793</v>
      </c>
      <c r="O1272" s="307">
        <f t="shared" si="327"/>
        <v>3833.822733</v>
      </c>
      <c r="P1272" s="560">
        <f>IF(G1272=0,0,VLOOKUP(YEAR(G1272),INPC!$B$4:$P$30,MONTH(G1272)+2))</f>
        <v>110.21</v>
      </c>
      <c r="Q1272" s="560">
        <f>IF(X1272=0,0,IF(OR(E1272=$AT$10,E1272=$AT$9),VLOOKUP(YEAR(X1272),INPC!$B$4:$P$30,MONTH(X1272)+1),VLOOKUP(YEAR(X1272),INPC!$B$4:$P$30,MONTH(X1272)+2,0)))</f>
        <v>118.002</v>
      </c>
      <c r="R1272" s="309">
        <f t="shared" si="328"/>
        <v>1.0707</v>
      </c>
      <c r="S1272" s="310">
        <f t="shared" si="329"/>
        <v>4104.8740002230998</v>
      </c>
      <c r="T1272" s="555">
        <f t="shared" si="330"/>
        <v>1026.2185000557749</v>
      </c>
      <c r="U1272" s="311"/>
      <c r="V1272" s="312">
        <v>4</v>
      </c>
      <c r="W1272" s="299" t="s">
        <v>194</v>
      </c>
      <c r="X1272" s="300">
        <v>44602</v>
      </c>
      <c r="Y1272" s="299" t="s">
        <v>59</v>
      </c>
      <c r="Z1272" s="303">
        <v>244.46666666666667</v>
      </c>
      <c r="AA1272" s="305">
        <f>IF(Z1272=0,0,IF(Y1272="MXN",1/HLOOKUP(YEAR(X1272)+(MONTH(X1272)/100),TC!$5:$37,DAY(X1272)+2,FALSE),VLOOKUP(Y1272,Equivalencia!$1:$23,((MAX(Equivalencia!$3:$3)-YEAR(X1272))*14)+MONTH(X1272)+2,FALSE)))</f>
        <v>1</v>
      </c>
      <c r="AB1272" s="306">
        <f t="shared" si="331"/>
        <v>244.46666666666667</v>
      </c>
      <c r="AC1272" s="305">
        <f>+IF(X1272=0,0,HLOOKUP(YEAR(X1272)+(MONTH(X1272)/100),TC!$5:$37,DAY(X1272)+2,FALSE))</f>
        <v>20.641300000000001</v>
      </c>
      <c r="AD1272" s="307">
        <f t="shared" si="332"/>
        <v>5046.1098066666673</v>
      </c>
      <c r="AE1272" s="314">
        <f t="shared" si="333"/>
        <v>4104.8740002230998</v>
      </c>
      <c r="AF1272" s="315">
        <f t="shared" si="334"/>
        <v>941.23580644356753</v>
      </c>
      <c r="AG1272" s="316">
        <f t="shared" si="335"/>
        <v>1.0520547945205478</v>
      </c>
      <c r="AH1272" s="314">
        <v>1</v>
      </c>
      <c r="AI1272" s="314">
        <f t="shared" si="336"/>
        <v>941.23580644356753</v>
      </c>
      <c r="AJ1272" s="314">
        <f t="shared" si="337"/>
        <v>0</v>
      </c>
      <c r="AK1272" s="317"/>
      <c r="AL1272" s="315">
        <f t="shared" si="338"/>
        <v>48.656666666666666</v>
      </c>
      <c r="AN1272" s="554">
        <f t="shared" si="339"/>
        <v>0.24848918168973325</v>
      </c>
      <c r="AO1272" s="314"/>
      <c r="AP1272" s="318"/>
    </row>
    <row r="1273" spans="2:42">
      <c r="B1273" s="296" t="s">
        <v>1254</v>
      </c>
      <c r="C1273" s="299" t="s">
        <v>277</v>
      </c>
      <c r="D1273" s="298" t="s">
        <v>720</v>
      </c>
      <c r="E1273" s="299" t="s">
        <v>113</v>
      </c>
      <c r="F1273" s="299" t="s">
        <v>59</v>
      </c>
      <c r="G1273" s="300">
        <v>44218</v>
      </c>
      <c r="H1273" s="303">
        <v>347.01882352941175</v>
      </c>
      <c r="I1273" s="301" t="str">
        <f t="shared" si="323"/>
        <v>Ingresos Sección II LISR (SIC &amp; BMV)</v>
      </c>
      <c r="J1273" s="302">
        <f t="shared" si="324"/>
        <v>7</v>
      </c>
      <c r="K1273" s="304">
        <f t="shared" si="325"/>
        <v>49.57411764705882</v>
      </c>
      <c r="L1273" s="305">
        <f>IF(H1273=0,0,IF(OR(E1273=$AT$5,E1273=$AT$6),AA1273,IF(F1273="MXN",1/HLOOKUP(YEAR(G1273)+(MONTH(G1273)/100),TC!$5:$37,DAY(G1273)+2,FALSE),VLOOKUP(F1273,Equivalencia!$5:$23,((MAX(Equivalencia!$3:$3)-YEAR(G1273))*14)+MONTH(G1273)+2,FALSE))))</f>
        <v>1</v>
      </c>
      <c r="M1273" s="306">
        <f t="shared" si="326"/>
        <v>347.01882352941175</v>
      </c>
      <c r="N1273" s="305">
        <f>IF(G1273=0,0,(IF(OR(E1273=$AT$5,E1273=$AT$6),AC1273,HLOOKUP(YEAR(G1273)+(MONTH(G1273)/100),TC!$5:$37,DAY(G1273)+2,FALSE))))</f>
        <v>19.5793</v>
      </c>
      <c r="O1273" s="307">
        <f t="shared" si="327"/>
        <v>6794.385651529411</v>
      </c>
      <c r="P1273" s="560">
        <f>IF(G1273=0,0,VLOOKUP(YEAR(G1273),INPC!$B$4:$P$30,MONTH(G1273)+2))</f>
        <v>110.21</v>
      </c>
      <c r="Q1273" s="560">
        <f>IF(X1273=0,0,IF(OR(E1273=$AT$10,E1273=$AT$9),VLOOKUP(YEAR(X1273),INPC!$B$4:$P$30,MONTH(X1273)+1),VLOOKUP(YEAR(X1273),INPC!$B$4:$P$30,MONTH(X1273)+2,0)))</f>
        <v>118.002</v>
      </c>
      <c r="R1273" s="309">
        <f t="shared" si="328"/>
        <v>1.0707</v>
      </c>
      <c r="S1273" s="310">
        <f t="shared" si="329"/>
        <v>7274.7487170925406</v>
      </c>
      <c r="T1273" s="555">
        <f t="shared" si="330"/>
        <v>1039.2498167275057</v>
      </c>
      <c r="U1273" s="311"/>
      <c r="V1273" s="312">
        <v>7</v>
      </c>
      <c r="W1273" s="299" t="s">
        <v>194</v>
      </c>
      <c r="X1273" s="300">
        <v>44602</v>
      </c>
      <c r="Y1273" s="299" t="s">
        <v>59</v>
      </c>
      <c r="Z1273" s="303">
        <v>427.81666666666666</v>
      </c>
      <c r="AA1273" s="305">
        <f>IF(Z1273=0,0,IF(Y1273="MXN",1/HLOOKUP(YEAR(X1273)+(MONTH(X1273)/100),TC!$5:$37,DAY(X1273)+2,FALSE),VLOOKUP(Y1273,Equivalencia!$1:$23,((MAX(Equivalencia!$3:$3)-YEAR(X1273))*14)+MONTH(X1273)+2,FALSE)))</f>
        <v>1</v>
      </c>
      <c r="AB1273" s="306">
        <f t="shared" si="331"/>
        <v>427.81666666666666</v>
      </c>
      <c r="AC1273" s="305">
        <f>+IF(X1273=0,0,HLOOKUP(YEAR(X1273)+(MONTH(X1273)/100),TC!$5:$37,DAY(X1273)+2,FALSE))</f>
        <v>20.641300000000001</v>
      </c>
      <c r="AD1273" s="307">
        <f t="shared" si="332"/>
        <v>8830.6921616666677</v>
      </c>
      <c r="AE1273" s="314">
        <f t="shared" si="333"/>
        <v>7274.7487170925397</v>
      </c>
      <c r="AF1273" s="315">
        <f t="shared" si="334"/>
        <v>1555.9434445741281</v>
      </c>
      <c r="AG1273" s="316">
        <f t="shared" si="335"/>
        <v>1.0520547945205478</v>
      </c>
      <c r="AH1273" s="314">
        <v>1</v>
      </c>
      <c r="AI1273" s="314">
        <f t="shared" si="336"/>
        <v>1555.9434445741281</v>
      </c>
      <c r="AJ1273" s="314">
        <f t="shared" si="337"/>
        <v>0</v>
      </c>
      <c r="AK1273" s="317"/>
      <c r="AL1273" s="315">
        <f t="shared" si="338"/>
        <v>80.797843137254915</v>
      </c>
      <c r="AN1273" s="554">
        <f t="shared" si="339"/>
        <v>0.2328341797585711</v>
      </c>
      <c r="AO1273" s="314"/>
      <c r="AP1273" s="318"/>
    </row>
    <row r="1274" spans="2:42">
      <c r="B1274" s="296" t="s">
        <v>1254</v>
      </c>
      <c r="C1274" s="299" t="s">
        <v>277</v>
      </c>
      <c r="D1274" s="298" t="s">
        <v>720</v>
      </c>
      <c r="E1274" s="299" t="s">
        <v>113</v>
      </c>
      <c r="F1274" s="299" t="s">
        <v>59</v>
      </c>
      <c r="G1274" s="300">
        <v>44218</v>
      </c>
      <c r="H1274" s="303">
        <v>148.72235294117647</v>
      </c>
      <c r="I1274" s="301" t="str">
        <f t="shared" si="323"/>
        <v>Ingresos Sección II LISR (SIC &amp; BMV)</v>
      </c>
      <c r="J1274" s="302">
        <f t="shared" si="324"/>
        <v>3</v>
      </c>
      <c r="K1274" s="304">
        <f t="shared" si="325"/>
        <v>49.57411764705882</v>
      </c>
      <c r="L1274" s="305">
        <f>IF(H1274=0,0,IF(OR(E1274=$AT$5,E1274=$AT$6),AA1274,IF(F1274="MXN",1/HLOOKUP(YEAR(G1274)+(MONTH(G1274)/100),TC!$5:$37,DAY(G1274)+2,FALSE),VLOOKUP(F1274,Equivalencia!$5:$23,((MAX(Equivalencia!$3:$3)-YEAR(G1274))*14)+MONTH(G1274)+2,FALSE))))</f>
        <v>1</v>
      </c>
      <c r="M1274" s="306">
        <f t="shared" si="326"/>
        <v>148.72235294117647</v>
      </c>
      <c r="N1274" s="305">
        <f>IF(G1274=0,0,(IF(OR(E1274=$AT$5,E1274=$AT$6),AC1274,HLOOKUP(YEAR(G1274)+(MONTH(G1274)/100),TC!$5:$37,DAY(G1274)+2,FALSE))))</f>
        <v>19.5793</v>
      </c>
      <c r="O1274" s="307">
        <f t="shared" si="327"/>
        <v>2911.8795649411763</v>
      </c>
      <c r="P1274" s="560">
        <f>IF(G1274=0,0,VLOOKUP(YEAR(G1274),INPC!$B$4:$P$30,MONTH(G1274)+2))</f>
        <v>110.21</v>
      </c>
      <c r="Q1274" s="560">
        <f>IF(X1274=0,0,IF(OR(E1274=$AT$10,E1274=$AT$9),VLOOKUP(YEAR(X1274),INPC!$B$4:$P$30,MONTH(X1274)+1),VLOOKUP(YEAR(X1274),INPC!$B$4:$P$30,MONTH(X1274)+2,0)))</f>
        <v>118.002</v>
      </c>
      <c r="R1274" s="309">
        <f t="shared" si="328"/>
        <v>1.0707</v>
      </c>
      <c r="S1274" s="310">
        <f t="shared" si="329"/>
        <v>3117.7494501825176</v>
      </c>
      <c r="T1274" s="555">
        <f t="shared" si="330"/>
        <v>1039.249816727506</v>
      </c>
      <c r="U1274" s="311"/>
      <c r="V1274" s="312">
        <v>3</v>
      </c>
      <c r="W1274" s="299" t="s">
        <v>194</v>
      </c>
      <c r="X1274" s="300">
        <v>44602</v>
      </c>
      <c r="Y1274" s="299" t="s">
        <v>59</v>
      </c>
      <c r="Z1274" s="303">
        <v>183.35</v>
      </c>
      <c r="AA1274" s="305">
        <f>IF(Z1274=0,0,IF(Y1274="MXN",1/HLOOKUP(YEAR(X1274)+(MONTH(X1274)/100),TC!$5:$37,DAY(X1274)+2,FALSE),VLOOKUP(Y1274,Equivalencia!$1:$23,((MAX(Equivalencia!$3:$3)-YEAR(X1274))*14)+MONTH(X1274)+2,FALSE)))</f>
        <v>1</v>
      </c>
      <c r="AB1274" s="306">
        <f t="shared" si="331"/>
        <v>183.35</v>
      </c>
      <c r="AC1274" s="305">
        <f>+IF(X1274=0,0,HLOOKUP(YEAR(X1274)+(MONTH(X1274)/100),TC!$5:$37,DAY(X1274)+2,FALSE))</f>
        <v>20.641300000000001</v>
      </c>
      <c r="AD1274" s="307">
        <f t="shared" si="332"/>
        <v>3784.582355</v>
      </c>
      <c r="AE1274" s="314">
        <f t="shared" si="333"/>
        <v>3117.7494501825176</v>
      </c>
      <c r="AF1274" s="315">
        <f t="shared" si="334"/>
        <v>666.83290481748236</v>
      </c>
      <c r="AG1274" s="316">
        <f t="shared" si="335"/>
        <v>1.0520547945205478</v>
      </c>
      <c r="AH1274" s="314">
        <v>1</v>
      </c>
      <c r="AI1274" s="314">
        <f t="shared" si="336"/>
        <v>666.83290481748236</v>
      </c>
      <c r="AJ1274" s="314">
        <f t="shared" si="337"/>
        <v>0</v>
      </c>
      <c r="AK1274" s="317"/>
      <c r="AL1274" s="315">
        <f t="shared" si="338"/>
        <v>34.627647058823527</v>
      </c>
      <c r="AN1274" s="554">
        <f t="shared" si="339"/>
        <v>0.23283417975857104</v>
      </c>
      <c r="AO1274" s="314"/>
      <c r="AP1274" s="318"/>
    </row>
    <row r="1275" spans="2:42">
      <c r="B1275" s="296" t="s">
        <v>1254</v>
      </c>
      <c r="C1275" s="299" t="s">
        <v>277</v>
      </c>
      <c r="D1275" s="298" t="s">
        <v>720</v>
      </c>
      <c r="E1275" s="299" t="s">
        <v>113</v>
      </c>
      <c r="F1275" s="299" t="s">
        <v>59</v>
      </c>
      <c r="G1275" s="300">
        <v>44218</v>
      </c>
      <c r="H1275" s="303">
        <v>148.72235294117647</v>
      </c>
      <c r="I1275" s="301" t="str">
        <f t="shared" si="323"/>
        <v>Ingresos Sección II LISR (SIC &amp; BMV)</v>
      </c>
      <c r="J1275" s="302">
        <f t="shared" si="324"/>
        <v>3</v>
      </c>
      <c r="K1275" s="304">
        <f t="shared" si="325"/>
        <v>49.57411764705882</v>
      </c>
      <c r="L1275" s="305">
        <f>IF(H1275=0,0,IF(OR(E1275=$AT$5,E1275=$AT$6),AA1275,IF(F1275="MXN",1/HLOOKUP(YEAR(G1275)+(MONTH(G1275)/100),TC!$5:$37,DAY(G1275)+2,FALSE),VLOOKUP(F1275,Equivalencia!$5:$23,((MAX(Equivalencia!$3:$3)-YEAR(G1275))*14)+MONTH(G1275)+2,FALSE))))</f>
        <v>1</v>
      </c>
      <c r="M1275" s="306">
        <f t="shared" si="326"/>
        <v>148.72235294117647</v>
      </c>
      <c r="N1275" s="305">
        <f>IF(G1275=0,0,(IF(OR(E1275=$AT$5,E1275=$AT$6),AC1275,HLOOKUP(YEAR(G1275)+(MONTH(G1275)/100),TC!$5:$37,DAY(G1275)+2,FALSE))))</f>
        <v>19.5793</v>
      </c>
      <c r="O1275" s="307">
        <f t="shared" si="327"/>
        <v>2911.8795649411763</v>
      </c>
      <c r="P1275" s="560">
        <f>IF(G1275=0,0,VLOOKUP(YEAR(G1275),INPC!$B$4:$P$30,MONTH(G1275)+2))</f>
        <v>110.21</v>
      </c>
      <c r="Q1275" s="560">
        <f>IF(X1275=0,0,IF(OR(E1275=$AT$10,E1275=$AT$9),VLOOKUP(YEAR(X1275),INPC!$B$4:$P$30,MONTH(X1275)+1),VLOOKUP(YEAR(X1275),INPC!$B$4:$P$30,MONTH(X1275)+2,0)))</f>
        <v>118.002</v>
      </c>
      <c r="R1275" s="309">
        <f t="shared" si="328"/>
        <v>1.0707</v>
      </c>
      <c r="S1275" s="310">
        <f t="shared" si="329"/>
        <v>3117.7494501825176</v>
      </c>
      <c r="T1275" s="555">
        <f t="shared" si="330"/>
        <v>1039.249816727506</v>
      </c>
      <c r="U1275" s="311"/>
      <c r="V1275" s="312">
        <v>3</v>
      </c>
      <c r="W1275" s="299" t="s">
        <v>194</v>
      </c>
      <c r="X1275" s="300">
        <v>44602</v>
      </c>
      <c r="Y1275" s="299" t="s">
        <v>59</v>
      </c>
      <c r="Z1275" s="303">
        <v>184.55</v>
      </c>
      <c r="AA1275" s="305">
        <f>IF(Z1275=0,0,IF(Y1275="MXN",1/HLOOKUP(YEAR(X1275)+(MONTH(X1275)/100),TC!$5:$37,DAY(X1275)+2,FALSE),VLOOKUP(Y1275,Equivalencia!$1:$23,((MAX(Equivalencia!$3:$3)-YEAR(X1275))*14)+MONTH(X1275)+2,FALSE)))</f>
        <v>1</v>
      </c>
      <c r="AB1275" s="306">
        <f t="shared" si="331"/>
        <v>184.55</v>
      </c>
      <c r="AC1275" s="305">
        <f>+IF(X1275=0,0,HLOOKUP(YEAR(X1275)+(MONTH(X1275)/100),TC!$5:$37,DAY(X1275)+2,FALSE))</f>
        <v>20.641300000000001</v>
      </c>
      <c r="AD1275" s="307">
        <f t="shared" si="332"/>
        <v>3809.3519150000006</v>
      </c>
      <c r="AE1275" s="314">
        <f t="shared" si="333"/>
        <v>3117.7494501825176</v>
      </c>
      <c r="AF1275" s="315">
        <f t="shared" si="334"/>
        <v>691.602464817483</v>
      </c>
      <c r="AG1275" s="316">
        <f t="shared" si="335"/>
        <v>1.0520547945205478</v>
      </c>
      <c r="AH1275" s="314">
        <v>1</v>
      </c>
      <c r="AI1275" s="314">
        <f t="shared" si="336"/>
        <v>691.602464817483</v>
      </c>
      <c r="AJ1275" s="314">
        <f t="shared" si="337"/>
        <v>0</v>
      </c>
      <c r="AK1275" s="317"/>
      <c r="AL1275" s="315">
        <f t="shared" si="338"/>
        <v>35.827647058823544</v>
      </c>
      <c r="AN1275" s="554">
        <f t="shared" si="339"/>
        <v>0.24090290632366679</v>
      </c>
      <c r="AO1275" s="314"/>
      <c r="AP1275" s="318"/>
    </row>
    <row r="1276" spans="2:42">
      <c r="B1276" s="296" t="s">
        <v>1254</v>
      </c>
      <c r="C1276" s="299" t="s">
        <v>277</v>
      </c>
      <c r="D1276" s="298" t="s">
        <v>720</v>
      </c>
      <c r="E1276" s="299" t="s">
        <v>113</v>
      </c>
      <c r="F1276" s="299" t="s">
        <v>59</v>
      </c>
      <c r="G1276" s="300">
        <v>44218</v>
      </c>
      <c r="H1276" s="303">
        <v>297.44470588235293</v>
      </c>
      <c r="I1276" s="301" t="str">
        <f t="shared" ref="I1276:I1339" si="340">IF(D1276=0,0,IF(OR(E1276=$AT$9,E1276=$AT$10),"Ingresos Sección II LISR (SIC &amp; BMV)","Ingresos Sección I LISR"))</f>
        <v>Ingresos Sección II LISR (SIC &amp; BMV)</v>
      </c>
      <c r="J1276" s="302">
        <f t="shared" ref="J1276:J1339" si="341">+V1276</f>
        <v>6</v>
      </c>
      <c r="K1276" s="304">
        <f t="shared" ref="K1276:K1339" si="342">IF(H1276=0,0,H1276/J1276)</f>
        <v>49.57411764705882</v>
      </c>
      <c r="L1276" s="305">
        <f>IF(H1276=0,0,IF(OR(E1276=$AT$5,E1276=$AT$6),AA1276,IF(F1276="MXN",1/HLOOKUP(YEAR(G1276)+(MONTH(G1276)/100),TC!$5:$37,DAY(G1276)+2,FALSE),VLOOKUP(F1276,Equivalencia!$5:$23,((MAX(Equivalencia!$3:$3)-YEAR(G1276))*14)+MONTH(G1276)+2,FALSE))))</f>
        <v>1</v>
      </c>
      <c r="M1276" s="306">
        <f t="shared" ref="M1276:M1339" si="343">+H1276*L1276</f>
        <v>297.44470588235293</v>
      </c>
      <c r="N1276" s="305">
        <f>IF(G1276=0,0,(IF(OR(E1276=$AT$5,E1276=$AT$6),AC1276,HLOOKUP(YEAR(G1276)+(MONTH(G1276)/100),TC!$5:$37,DAY(G1276)+2,FALSE))))</f>
        <v>19.5793</v>
      </c>
      <c r="O1276" s="307">
        <f t="shared" ref="O1276:O1339" si="344">+M1276*N1276</f>
        <v>5823.7591298823527</v>
      </c>
      <c r="P1276" s="560">
        <f>IF(G1276=0,0,VLOOKUP(YEAR(G1276),INPC!$B$4:$P$30,MONTH(G1276)+2))</f>
        <v>110.21</v>
      </c>
      <c r="Q1276" s="560">
        <f>IF(X1276=0,0,IF(OR(E1276=$AT$10,E1276=$AT$9),VLOOKUP(YEAR(X1276),INPC!$B$4:$P$30,MONTH(X1276)+1),VLOOKUP(YEAR(X1276),INPC!$B$4:$P$30,MONTH(X1276)+2,0)))</f>
        <v>118.002</v>
      </c>
      <c r="R1276" s="309">
        <f t="shared" ref="R1276:R1339" si="345">IF(H1276=0,0,IF(OR(E1276=$AT$5,E1276=$AT$6),1,IF(TRUNC(Q1276/P1276,4)&gt;=1,TRUNC(Q1276/P1276,4),1)))</f>
        <v>1.0707</v>
      </c>
      <c r="S1276" s="310">
        <f t="shared" ref="S1276:S1339" si="346">+R1276*O1276</f>
        <v>6235.4989003650353</v>
      </c>
      <c r="T1276" s="555">
        <f t="shared" ref="T1276:T1339" si="347">IF(V1276=0,0,S1276/V1276)</f>
        <v>1039.249816727506</v>
      </c>
      <c r="U1276" s="311"/>
      <c r="V1276" s="312">
        <v>6</v>
      </c>
      <c r="W1276" s="299" t="s">
        <v>194</v>
      </c>
      <c r="X1276" s="300">
        <v>44608</v>
      </c>
      <c r="Y1276" s="299" t="s">
        <v>59</v>
      </c>
      <c r="Z1276" s="303">
        <v>376.83</v>
      </c>
      <c r="AA1276" s="305">
        <f>IF(Z1276=0,0,IF(Y1276="MXN",1/HLOOKUP(YEAR(X1276)+(MONTH(X1276)/100),TC!$5:$37,DAY(X1276)+2,FALSE),VLOOKUP(Y1276,Equivalencia!$1:$23,((MAX(Equivalencia!$3:$3)-YEAR(X1276))*14)+MONTH(X1276)+2,FALSE)))</f>
        <v>1</v>
      </c>
      <c r="AB1276" s="306">
        <f t="shared" ref="AB1276:AB1339" si="348">+AA1276*Z1276</f>
        <v>376.83</v>
      </c>
      <c r="AC1276" s="305">
        <f>+IF(X1276=0,0,HLOOKUP(YEAR(X1276)+(MONTH(X1276)/100),TC!$5:$37,DAY(X1276)+2,FALSE))</f>
        <v>20.411000000000001</v>
      </c>
      <c r="AD1276" s="307">
        <f t="shared" ref="AD1276:AD1339" si="349">+AC1276*AB1276</f>
        <v>7691.4771300000002</v>
      </c>
      <c r="AE1276" s="314">
        <f t="shared" ref="AE1276:AE1339" si="350">+V1276*T1276</f>
        <v>6235.4989003650353</v>
      </c>
      <c r="AF1276" s="315">
        <f t="shared" ref="AF1276:AF1339" si="351">IF(E1276=$AT$11,0,AD1276-AE1276)</f>
        <v>1455.9782296349649</v>
      </c>
      <c r="AG1276" s="316">
        <f t="shared" ref="AG1276:AG1339" si="352">+IF(AND(AF1276&lt;0,OR(E1276=$AT$5,E1276=$AT$6)),1,((X1276-G1276)/365))</f>
        <v>1.0684931506849316</v>
      </c>
      <c r="AH1276" s="314">
        <v>1</v>
      </c>
      <c r="AI1276" s="314">
        <f t="shared" ref="AI1276:AI1339" si="353">+IF(OR(E1276=$AT$9,E1276=$AT$10),AF1276,+AF1276/AH1276)</f>
        <v>1455.9782296349649</v>
      </c>
      <c r="AJ1276" s="314">
        <f t="shared" ref="AJ1276:AJ1339" si="354">+AF1276-AI1276</f>
        <v>0</v>
      </c>
      <c r="AK1276" s="317"/>
      <c r="AL1276" s="315">
        <f t="shared" ref="AL1276:AL1339" si="355">+AB1276-M1276</f>
        <v>79.385294117647049</v>
      </c>
      <c r="AN1276" s="554">
        <f t="shared" ref="AN1276:AN1339" si="356">IF(AL1276=0,0,AL1276/H1276)</f>
        <v>0.26689092980207885</v>
      </c>
      <c r="AO1276" s="314"/>
      <c r="AP1276" s="318"/>
    </row>
    <row r="1277" spans="2:42">
      <c r="B1277" s="296" t="s">
        <v>1254</v>
      </c>
      <c r="C1277" s="299" t="s">
        <v>277</v>
      </c>
      <c r="D1277" s="298" t="s">
        <v>720</v>
      </c>
      <c r="E1277" s="299" t="s">
        <v>113</v>
      </c>
      <c r="F1277" s="299" t="s">
        <v>59</v>
      </c>
      <c r="G1277" s="300">
        <v>44218</v>
      </c>
      <c r="H1277" s="303">
        <v>743.61176470588225</v>
      </c>
      <c r="I1277" s="301" t="str">
        <f t="shared" si="340"/>
        <v>Ingresos Sección II LISR (SIC &amp; BMV)</v>
      </c>
      <c r="J1277" s="302">
        <f t="shared" si="341"/>
        <v>15</v>
      </c>
      <c r="K1277" s="304">
        <f t="shared" si="342"/>
        <v>49.57411764705882</v>
      </c>
      <c r="L1277" s="305">
        <f>IF(H1277=0,0,IF(OR(E1277=$AT$5,E1277=$AT$6),AA1277,IF(F1277="MXN",1/HLOOKUP(YEAR(G1277)+(MONTH(G1277)/100),TC!$5:$37,DAY(G1277)+2,FALSE),VLOOKUP(F1277,Equivalencia!$5:$23,((MAX(Equivalencia!$3:$3)-YEAR(G1277))*14)+MONTH(G1277)+2,FALSE))))</f>
        <v>1</v>
      </c>
      <c r="M1277" s="306">
        <f t="shared" si="343"/>
        <v>743.61176470588225</v>
      </c>
      <c r="N1277" s="305">
        <f>IF(G1277=0,0,(IF(OR(E1277=$AT$5,E1277=$AT$6),AC1277,HLOOKUP(YEAR(G1277)+(MONTH(G1277)/100),TC!$5:$37,DAY(G1277)+2,FALSE))))</f>
        <v>19.5793</v>
      </c>
      <c r="O1277" s="307">
        <f t="shared" si="344"/>
        <v>14559.39782470588</v>
      </c>
      <c r="P1277" s="560">
        <f>IF(G1277=0,0,VLOOKUP(YEAR(G1277),INPC!$B$4:$P$30,MONTH(G1277)+2))</f>
        <v>110.21</v>
      </c>
      <c r="Q1277" s="560">
        <f>IF(X1277=0,0,IF(OR(E1277=$AT$10,E1277=$AT$9),VLOOKUP(YEAR(X1277),INPC!$B$4:$P$30,MONTH(X1277)+1),VLOOKUP(YEAR(X1277),INPC!$B$4:$P$30,MONTH(X1277)+2,0)))</f>
        <v>118.002</v>
      </c>
      <c r="R1277" s="309">
        <f t="shared" si="345"/>
        <v>1.0707</v>
      </c>
      <c r="S1277" s="310">
        <f t="shared" si="346"/>
        <v>15588.747250912586</v>
      </c>
      <c r="T1277" s="555">
        <f t="shared" si="347"/>
        <v>1039.2498167275057</v>
      </c>
      <c r="U1277" s="311"/>
      <c r="V1277" s="312">
        <v>15</v>
      </c>
      <c r="W1277" s="299" t="s">
        <v>194</v>
      </c>
      <c r="X1277" s="300">
        <v>44608</v>
      </c>
      <c r="Y1277" s="299" t="s">
        <v>59</v>
      </c>
      <c r="Z1277" s="303">
        <v>931.20872093023263</v>
      </c>
      <c r="AA1277" s="305">
        <f>IF(Z1277=0,0,IF(Y1277="MXN",1/HLOOKUP(YEAR(X1277)+(MONTH(X1277)/100),TC!$5:$37,DAY(X1277)+2,FALSE),VLOOKUP(Y1277,Equivalencia!$1:$23,((MAX(Equivalencia!$3:$3)-YEAR(X1277))*14)+MONTH(X1277)+2,FALSE)))</f>
        <v>1</v>
      </c>
      <c r="AB1277" s="306">
        <f t="shared" si="348"/>
        <v>931.20872093023263</v>
      </c>
      <c r="AC1277" s="305">
        <f>+IF(X1277=0,0,HLOOKUP(YEAR(X1277)+(MONTH(X1277)/100),TC!$5:$37,DAY(X1277)+2,FALSE))</f>
        <v>20.411000000000001</v>
      </c>
      <c r="AD1277" s="307">
        <f t="shared" si="349"/>
        <v>19006.901202906978</v>
      </c>
      <c r="AE1277" s="314">
        <f t="shared" si="350"/>
        <v>15588.747250912586</v>
      </c>
      <c r="AF1277" s="315">
        <f t="shared" si="351"/>
        <v>3418.1539519943926</v>
      </c>
      <c r="AG1277" s="316">
        <f t="shared" si="352"/>
        <v>1.0684931506849316</v>
      </c>
      <c r="AH1277" s="314">
        <v>1</v>
      </c>
      <c r="AI1277" s="314">
        <f t="shared" si="353"/>
        <v>3418.1539519943926</v>
      </c>
      <c r="AJ1277" s="314">
        <f t="shared" si="354"/>
        <v>0</v>
      </c>
      <c r="AK1277" s="317"/>
      <c r="AL1277" s="315">
        <f t="shared" si="355"/>
        <v>187.59695622435038</v>
      </c>
      <c r="AN1277" s="554">
        <f t="shared" si="356"/>
        <v>0.25227809070308327</v>
      </c>
      <c r="AO1277" s="314"/>
      <c r="AP1277" s="318"/>
    </row>
    <row r="1278" spans="2:42">
      <c r="B1278" s="296" t="s">
        <v>1254</v>
      </c>
      <c r="C1278" s="299" t="s">
        <v>277</v>
      </c>
      <c r="D1278" s="298" t="s">
        <v>720</v>
      </c>
      <c r="E1278" s="299" t="s">
        <v>113</v>
      </c>
      <c r="F1278" s="299" t="s">
        <v>59</v>
      </c>
      <c r="G1278" s="300">
        <v>44218</v>
      </c>
      <c r="H1278" s="303">
        <v>346.61</v>
      </c>
      <c r="I1278" s="301" t="str">
        <f t="shared" si="340"/>
        <v>Ingresos Sección II LISR (SIC &amp; BMV)</v>
      </c>
      <c r="J1278" s="302">
        <f t="shared" si="341"/>
        <v>7</v>
      </c>
      <c r="K1278" s="304">
        <f t="shared" si="342"/>
        <v>49.515714285714289</v>
      </c>
      <c r="L1278" s="305">
        <f>IF(H1278=0,0,IF(OR(E1278=$AT$5,E1278=$AT$6),AA1278,IF(F1278="MXN",1/HLOOKUP(YEAR(G1278)+(MONTH(G1278)/100),TC!$5:$37,DAY(G1278)+2,FALSE),VLOOKUP(F1278,Equivalencia!$5:$23,((MAX(Equivalencia!$3:$3)-YEAR(G1278))*14)+MONTH(G1278)+2,FALSE))))</f>
        <v>1</v>
      </c>
      <c r="M1278" s="306">
        <f t="shared" si="343"/>
        <v>346.61</v>
      </c>
      <c r="N1278" s="305">
        <f>IF(G1278=0,0,(IF(OR(E1278=$AT$5,E1278=$AT$6),AC1278,HLOOKUP(YEAR(G1278)+(MONTH(G1278)/100),TC!$5:$37,DAY(G1278)+2,FALSE))))</f>
        <v>19.5793</v>
      </c>
      <c r="O1278" s="307">
        <f t="shared" si="344"/>
        <v>6786.3811730000007</v>
      </c>
      <c r="P1278" s="560">
        <f>IF(G1278=0,0,VLOOKUP(YEAR(G1278),INPC!$B$4:$P$30,MONTH(G1278)+2))</f>
        <v>110.21</v>
      </c>
      <c r="Q1278" s="560">
        <f>IF(X1278=0,0,IF(OR(E1278=$AT$10,E1278=$AT$9),VLOOKUP(YEAR(X1278),INPC!$B$4:$P$30,MONTH(X1278)+1),VLOOKUP(YEAR(X1278),INPC!$B$4:$P$30,MONTH(X1278)+2,0)))</f>
        <v>118.002</v>
      </c>
      <c r="R1278" s="309">
        <f t="shared" si="345"/>
        <v>1.0707</v>
      </c>
      <c r="S1278" s="310">
        <f t="shared" si="346"/>
        <v>7266.178321931101</v>
      </c>
      <c r="T1278" s="555">
        <f t="shared" si="347"/>
        <v>1038.025474561586</v>
      </c>
      <c r="U1278" s="311"/>
      <c r="V1278" s="312">
        <v>7</v>
      </c>
      <c r="W1278" s="299" t="s">
        <v>194</v>
      </c>
      <c r="X1278" s="300">
        <v>44608</v>
      </c>
      <c r="Y1278" s="299" t="s">
        <v>59</v>
      </c>
      <c r="Z1278" s="303">
        <v>434.56406976744188</v>
      </c>
      <c r="AA1278" s="305">
        <f>IF(Z1278=0,0,IF(Y1278="MXN",1/HLOOKUP(YEAR(X1278)+(MONTH(X1278)/100),TC!$5:$37,DAY(X1278)+2,FALSE),VLOOKUP(Y1278,Equivalencia!$1:$23,((MAX(Equivalencia!$3:$3)-YEAR(X1278))*14)+MONTH(X1278)+2,FALSE)))</f>
        <v>1</v>
      </c>
      <c r="AB1278" s="306">
        <f t="shared" si="348"/>
        <v>434.56406976744188</v>
      </c>
      <c r="AC1278" s="305">
        <f>+IF(X1278=0,0,HLOOKUP(YEAR(X1278)+(MONTH(X1278)/100),TC!$5:$37,DAY(X1278)+2,FALSE))</f>
        <v>20.411000000000001</v>
      </c>
      <c r="AD1278" s="307">
        <f t="shared" si="349"/>
        <v>8869.8872280232572</v>
      </c>
      <c r="AE1278" s="314">
        <f t="shared" si="350"/>
        <v>7266.1783219311019</v>
      </c>
      <c r="AF1278" s="315">
        <f t="shared" si="351"/>
        <v>1603.7089060921553</v>
      </c>
      <c r="AG1278" s="316">
        <f t="shared" si="352"/>
        <v>1.0684931506849316</v>
      </c>
      <c r="AH1278" s="314">
        <v>1</v>
      </c>
      <c r="AI1278" s="314">
        <f t="shared" si="353"/>
        <v>1603.7089060921553</v>
      </c>
      <c r="AJ1278" s="314">
        <f t="shared" si="354"/>
        <v>0</v>
      </c>
      <c r="AK1278" s="317"/>
      <c r="AL1278" s="315">
        <f t="shared" si="355"/>
        <v>87.954069767441865</v>
      </c>
      <c r="AN1278" s="554">
        <f t="shared" si="356"/>
        <v>0.25375514199660099</v>
      </c>
      <c r="AO1278" s="314"/>
      <c r="AP1278" s="318"/>
    </row>
    <row r="1279" spans="2:42">
      <c r="B1279" s="296" t="s">
        <v>1254</v>
      </c>
      <c r="C1279" s="299" t="s">
        <v>277</v>
      </c>
      <c r="D1279" s="298" t="s">
        <v>720</v>
      </c>
      <c r="E1279" s="299" t="s">
        <v>113</v>
      </c>
      <c r="F1279" s="299" t="s">
        <v>59</v>
      </c>
      <c r="G1279" s="300">
        <v>44218</v>
      </c>
      <c r="H1279" s="303">
        <v>3024.01</v>
      </c>
      <c r="I1279" s="301" t="str">
        <f t="shared" si="340"/>
        <v>Ingresos Sección II LISR (SIC &amp; BMV)</v>
      </c>
      <c r="J1279" s="302">
        <f t="shared" si="341"/>
        <v>61</v>
      </c>
      <c r="K1279" s="304">
        <f t="shared" si="342"/>
        <v>49.573934426229513</v>
      </c>
      <c r="L1279" s="305">
        <f>IF(H1279=0,0,IF(OR(E1279=$AT$5,E1279=$AT$6),AA1279,IF(F1279="MXN",1/HLOOKUP(YEAR(G1279)+(MONTH(G1279)/100),TC!$5:$37,DAY(G1279)+2,FALSE),VLOOKUP(F1279,Equivalencia!$5:$23,((MAX(Equivalencia!$3:$3)-YEAR(G1279))*14)+MONTH(G1279)+2,FALSE))))</f>
        <v>1</v>
      </c>
      <c r="M1279" s="306">
        <f t="shared" si="343"/>
        <v>3024.01</v>
      </c>
      <c r="N1279" s="305">
        <f>IF(G1279=0,0,(IF(OR(E1279=$AT$5,E1279=$AT$6),AC1279,HLOOKUP(YEAR(G1279)+(MONTH(G1279)/100),TC!$5:$37,DAY(G1279)+2,FALSE))))</f>
        <v>19.5793</v>
      </c>
      <c r="O1279" s="307">
        <f t="shared" si="344"/>
        <v>59207.998993000001</v>
      </c>
      <c r="P1279" s="560">
        <f>IF(G1279=0,0,VLOOKUP(YEAR(G1279),INPC!$B$4:$P$30,MONTH(G1279)+2))</f>
        <v>110.21</v>
      </c>
      <c r="Q1279" s="560">
        <f>IF(X1279=0,0,IF(OR(E1279=$AT$10,E1279=$AT$9),VLOOKUP(YEAR(X1279),INPC!$B$4:$P$30,MONTH(X1279)+1),VLOOKUP(YEAR(X1279),INPC!$B$4:$P$30,MONTH(X1279)+2,0)))</f>
        <v>118.002</v>
      </c>
      <c r="R1279" s="309">
        <f t="shared" si="345"/>
        <v>1.0707</v>
      </c>
      <c r="S1279" s="310">
        <f t="shared" si="346"/>
        <v>63394.004521805102</v>
      </c>
      <c r="T1279" s="555">
        <f t="shared" si="347"/>
        <v>1039.2459757672968</v>
      </c>
      <c r="U1279" s="311"/>
      <c r="V1279" s="312">
        <v>61</v>
      </c>
      <c r="W1279" s="299" t="s">
        <v>194</v>
      </c>
      <c r="X1279" s="300">
        <v>44608</v>
      </c>
      <c r="Y1279" s="299" t="s">
        <v>59</v>
      </c>
      <c r="Z1279" s="303">
        <v>3786.9154651162794</v>
      </c>
      <c r="AA1279" s="305">
        <f>IF(Z1279=0,0,IF(Y1279="MXN",1/HLOOKUP(YEAR(X1279)+(MONTH(X1279)/100),TC!$5:$37,DAY(X1279)+2,FALSE),VLOOKUP(Y1279,Equivalencia!$1:$23,((MAX(Equivalencia!$3:$3)-YEAR(X1279))*14)+MONTH(X1279)+2,FALSE)))</f>
        <v>1</v>
      </c>
      <c r="AB1279" s="306">
        <f t="shared" si="348"/>
        <v>3786.9154651162794</v>
      </c>
      <c r="AC1279" s="305">
        <f>+IF(X1279=0,0,HLOOKUP(YEAR(X1279)+(MONTH(X1279)/100),TC!$5:$37,DAY(X1279)+2,FALSE))</f>
        <v>20.411000000000001</v>
      </c>
      <c r="AD1279" s="307">
        <f t="shared" si="349"/>
        <v>77294.731558488391</v>
      </c>
      <c r="AE1279" s="314">
        <f t="shared" si="350"/>
        <v>63394.004521805109</v>
      </c>
      <c r="AF1279" s="315">
        <f t="shared" si="351"/>
        <v>13900.727036683282</v>
      </c>
      <c r="AG1279" s="316">
        <f t="shared" si="352"/>
        <v>1.0684931506849316</v>
      </c>
      <c r="AH1279" s="314">
        <v>1</v>
      </c>
      <c r="AI1279" s="314">
        <f t="shared" si="353"/>
        <v>13900.727036683282</v>
      </c>
      <c r="AJ1279" s="314">
        <f t="shared" si="354"/>
        <v>0</v>
      </c>
      <c r="AK1279" s="317"/>
      <c r="AL1279" s="315">
        <f t="shared" si="355"/>
        <v>762.90546511627917</v>
      </c>
      <c r="AN1279" s="554">
        <f t="shared" si="356"/>
        <v>0.25228271901094212</v>
      </c>
      <c r="AO1279" s="314"/>
      <c r="AP1279" s="318"/>
    </row>
    <row r="1280" spans="2:42">
      <c r="B1280" s="296" t="s">
        <v>1254</v>
      </c>
      <c r="C1280" s="299" t="s">
        <v>277</v>
      </c>
      <c r="D1280" s="298" t="s">
        <v>720</v>
      </c>
      <c r="E1280" s="299" t="s">
        <v>113</v>
      </c>
      <c r="F1280" s="299" t="s">
        <v>59</v>
      </c>
      <c r="G1280" s="300">
        <v>44218</v>
      </c>
      <c r="H1280" s="303">
        <v>147.81</v>
      </c>
      <c r="I1280" s="301" t="str">
        <f t="shared" si="340"/>
        <v>Ingresos Sección II LISR (SIC &amp; BMV)</v>
      </c>
      <c r="J1280" s="302">
        <f t="shared" si="341"/>
        <v>3</v>
      </c>
      <c r="K1280" s="304">
        <f t="shared" si="342"/>
        <v>49.27</v>
      </c>
      <c r="L1280" s="305">
        <f>IF(H1280=0,0,IF(OR(E1280=$AT$5,E1280=$AT$6),AA1280,IF(F1280="MXN",1/HLOOKUP(YEAR(G1280)+(MONTH(G1280)/100),TC!$5:$37,DAY(G1280)+2,FALSE),VLOOKUP(F1280,Equivalencia!$5:$23,((MAX(Equivalencia!$3:$3)-YEAR(G1280))*14)+MONTH(G1280)+2,FALSE))))</f>
        <v>1</v>
      </c>
      <c r="M1280" s="306">
        <f t="shared" si="343"/>
        <v>147.81</v>
      </c>
      <c r="N1280" s="305">
        <f>IF(G1280=0,0,(IF(OR(E1280=$AT$5,E1280=$AT$6),AC1280,HLOOKUP(YEAR(G1280)+(MONTH(G1280)/100),TC!$5:$37,DAY(G1280)+2,FALSE))))</f>
        <v>19.5793</v>
      </c>
      <c r="O1280" s="307">
        <f t="shared" si="344"/>
        <v>2894.016333</v>
      </c>
      <c r="P1280" s="560">
        <f>IF(G1280=0,0,VLOOKUP(YEAR(G1280),INPC!$B$4:$P$30,MONTH(G1280)+2))</f>
        <v>110.21</v>
      </c>
      <c r="Q1280" s="560">
        <f>IF(X1280=0,0,IF(OR(E1280=$AT$10,E1280=$AT$9),VLOOKUP(YEAR(X1280),INPC!$B$4:$P$30,MONTH(X1280)+1),VLOOKUP(YEAR(X1280),INPC!$B$4:$P$30,MONTH(X1280)+2,0)))</f>
        <v>118.002</v>
      </c>
      <c r="R1280" s="309">
        <f t="shared" si="345"/>
        <v>1.0707</v>
      </c>
      <c r="S1280" s="310">
        <f t="shared" si="346"/>
        <v>3098.6232877430998</v>
      </c>
      <c r="T1280" s="555">
        <f t="shared" si="347"/>
        <v>1032.8744292476999</v>
      </c>
      <c r="U1280" s="311"/>
      <c r="V1280" s="312">
        <v>3</v>
      </c>
      <c r="W1280" s="299" t="s">
        <v>194</v>
      </c>
      <c r="X1280" s="300">
        <v>44608</v>
      </c>
      <c r="Y1280" s="299" t="s">
        <v>59</v>
      </c>
      <c r="Z1280" s="303">
        <v>186.24174418604653</v>
      </c>
      <c r="AA1280" s="305">
        <f>IF(Z1280=0,0,IF(Y1280="MXN",1/HLOOKUP(YEAR(X1280)+(MONTH(X1280)/100),TC!$5:$37,DAY(X1280)+2,FALSE),VLOOKUP(Y1280,Equivalencia!$1:$23,((MAX(Equivalencia!$3:$3)-YEAR(X1280))*14)+MONTH(X1280)+2,FALSE)))</f>
        <v>1</v>
      </c>
      <c r="AB1280" s="306">
        <f t="shared" si="348"/>
        <v>186.24174418604653</v>
      </c>
      <c r="AC1280" s="305">
        <f>+IF(X1280=0,0,HLOOKUP(YEAR(X1280)+(MONTH(X1280)/100),TC!$5:$37,DAY(X1280)+2,FALSE))</f>
        <v>20.411000000000001</v>
      </c>
      <c r="AD1280" s="307">
        <f t="shared" si="349"/>
        <v>3801.3802405813958</v>
      </c>
      <c r="AE1280" s="314">
        <f t="shared" si="350"/>
        <v>3098.6232877430998</v>
      </c>
      <c r="AF1280" s="315">
        <f t="shared" si="351"/>
        <v>702.756952838296</v>
      </c>
      <c r="AG1280" s="316">
        <f t="shared" si="352"/>
        <v>1.0684931506849316</v>
      </c>
      <c r="AH1280" s="314">
        <v>1</v>
      </c>
      <c r="AI1280" s="314">
        <f t="shared" si="353"/>
        <v>702.756952838296</v>
      </c>
      <c r="AJ1280" s="314">
        <f t="shared" si="354"/>
        <v>0</v>
      </c>
      <c r="AK1280" s="317"/>
      <c r="AL1280" s="315">
        <f t="shared" si="355"/>
        <v>38.431744186046529</v>
      </c>
      <c r="AN1280" s="554">
        <f t="shared" si="356"/>
        <v>0.26000774092447421</v>
      </c>
      <c r="AO1280" s="314"/>
      <c r="AP1280" s="318"/>
    </row>
    <row r="1281" spans="2:42">
      <c r="B1281" s="296" t="s">
        <v>1254</v>
      </c>
      <c r="C1281" s="299" t="s">
        <v>277</v>
      </c>
      <c r="D1281" s="298" t="s">
        <v>720</v>
      </c>
      <c r="E1281" s="299" t="s">
        <v>113</v>
      </c>
      <c r="F1281" s="299" t="s">
        <v>59</v>
      </c>
      <c r="G1281" s="300">
        <v>44218</v>
      </c>
      <c r="H1281" s="303">
        <v>541.96999999999991</v>
      </c>
      <c r="I1281" s="301" t="str">
        <f t="shared" si="340"/>
        <v>Ingresos Sección II LISR (SIC &amp; BMV)</v>
      </c>
      <c r="J1281" s="302">
        <f t="shared" si="341"/>
        <v>11</v>
      </c>
      <c r="K1281" s="304">
        <f t="shared" si="342"/>
        <v>49.269999999999989</v>
      </c>
      <c r="L1281" s="305">
        <f>IF(H1281=0,0,IF(OR(E1281=$AT$5,E1281=$AT$6),AA1281,IF(F1281="MXN",1/HLOOKUP(YEAR(G1281)+(MONTH(G1281)/100),TC!$5:$37,DAY(G1281)+2,FALSE),VLOOKUP(F1281,Equivalencia!$5:$23,((MAX(Equivalencia!$3:$3)-YEAR(G1281))*14)+MONTH(G1281)+2,FALSE))))</f>
        <v>1</v>
      </c>
      <c r="M1281" s="306">
        <f t="shared" si="343"/>
        <v>541.96999999999991</v>
      </c>
      <c r="N1281" s="305">
        <f>IF(G1281=0,0,(IF(OR(E1281=$AT$5,E1281=$AT$6),AC1281,HLOOKUP(YEAR(G1281)+(MONTH(G1281)/100),TC!$5:$37,DAY(G1281)+2,FALSE))))</f>
        <v>19.5793</v>
      </c>
      <c r="O1281" s="307">
        <f t="shared" si="344"/>
        <v>10611.393220999998</v>
      </c>
      <c r="P1281" s="560">
        <f>IF(G1281=0,0,VLOOKUP(YEAR(G1281),INPC!$B$4:$P$30,MONTH(G1281)+2))</f>
        <v>110.21</v>
      </c>
      <c r="Q1281" s="560">
        <f>IF(X1281=0,0,IF(OR(E1281=$AT$10,E1281=$AT$9),VLOOKUP(YEAR(X1281),INPC!$B$4:$P$30,MONTH(X1281)+1),VLOOKUP(YEAR(X1281),INPC!$B$4:$P$30,MONTH(X1281)+2,0)))</f>
        <v>118.002</v>
      </c>
      <c r="R1281" s="309">
        <f t="shared" si="345"/>
        <v>1.0707</v>
      </c>
      <c r="S1281" s="310">
        <f t="shared" si="346"/>
        <v>11361.618721724699</v>
      </c>
      <c r="T1281" s="555">
        <f t="shared" si="347"/>
        <v>1032.8744292476999</v>
      </c>
      <c r="U1281" s="311"/>
      <c r="V1281" s="312">
        <v>11</v>
      </c>
      <c r="W1281" s="299" t="s">
        <v>194</v>
      </c>
      <c r="X1281" s="300">
        <v>44609</v>
      </c>
      <c r="Y1281" s="299" t="s">
        <v>59</v>
      </c>
      <c r="Z1281" s="303">
        <v>659.75937499999998</v>
      </c>
      <c r="AA1281" s="305">
        <f>IF(Z1281=0,0,IF(Y1281="MXN",1/HLOOKUP(YEAR(X1281)+(MONTH(X1281)/100),TC!$5:$37,DAY(X1281)+2,FALSE),VLOOKUP(Y1281,Equivalencia!$1:$23,((MAX(Equivalencia!$3:$3)-YEAR(X1281))*14)+MONTH(X1281)+2,FALSE)))</f>
        <v>1</v>
      </c>
      <c r="AB1281" s="306">
        <f t="shared" si="348"/>
        <v>659.75937499999998</v>
      </c>
      <c r="AC1281" s="305">
        <f>+IF(X1281=0,0,HLOOKUP(YEAR(X1281)+(MONTH(X1281)/100),TC!$5:$37,DAY(X1281)+2,FALSE))</f>
        <v>20.3992</v>
      </c>
      <c r="AD1281" s="307">
        <f t="shared" si="349"/>
        <v>13458.563442499999</v>
      </c>
      <c r="AE1281" s="314">
        <f t="shared" si="350"/>
        <v>11361.618721724699</v>
      </c>
      <c r="AF1281" s="315">
        <f t="shared" si="351"/>
        <v>2096.9447207753001</v>
      </c>
      <c r="AG1281" s="316">
        <f t="shared" si="352"/>
        <v>1.0712328767123287</v>
      </c>
      <c r="AH1281" s="314">
        <v>1</v>
      </c>
      <c r="AI1281" s="314">
        <f t="shared" si="353"/>
        <v>2096.9447207753001</v>
      </c>
      <c r="AJ1281" s="314">
        <f t="shared" si="354"/>
        <v>0</v>
      </c>
      <c r="AK1281" s="317"/>
      <c r="AL1281" s="315">
        <f t="shared" si="355"/>
        <v>117.78937500000006</v>
      </c>
      <c r="AN1281" s="554">
        <f t="shared" si="356"/>
        <v>0.21733559975644423</v>
      </c>
      <c r="AO1281" s="314"/>
      <c r="AP1281" s="318"/>
    </row>
    <row r="1282" spans="2:42">
      <c r="B1282" s="296" t="s">
        <v>1254</v>
      </c>
      <c r="C1282" s="299" t="s">
        <v>277</v>
      </c>
      <c r="D1282" s="298" t="s">
        <v>720</v>
      </c>
      <c r="E1282" s="299" t="s">
        <v>113</v>
      </c>
      <c r="F1282" s="299" t="s">
        <v>59</v>
      </c>
      <c r="G1282" s="300">
        <v>44218</v>
      </c>
      <c r="H1282" s="303">
        <v>48.95</v>
      </c>
      <c r="I1282" s="301" t="str">
        <f t="shared" si="340"/>
        <v>Ingresos Sección II LISR (SIC &amp; BMV)</v>
      </c>
      <c r="J1282" s="302">
        <f t="shared" si="341"/>
        <v>1</v>
      </c>
      <c r="K1282" s="304">
        <f t="shared" si="342"/>
        <v>48.95</v>
      </c>
      <c r="L1282" s="305">
        <f>IF(H1282=0,0,IF(OR(E1282=$AT$5,E1282=$AT$6),AA1282,IF(F1282="MXN",1/HLOOKUP(YEAR(G1282)+(MONTH(G1282)/100),TC!$5:$37,DAY(G1282)+2,FALSE),VLOOKUP(F1282,Equivalencia!$5:$23,((MAX(Equivalencia!$3:$3)-YEAR(G1282))*14)+MONTH(G1282)+2,FALSE))))</f>
        <v>1</v>
      </c>
      <c r="M1282" s="306">
        <f t="shared" si="343"/>
        <v>48.95</v>
      </c>
      <c r="N1282" s="305">
        <f>IF(G1282=0,0,(IF(OR(E1282=$AT$5,E1282=$AT$6),AC1282,HLOOKUP(YEAR(G1282)+(MONTH(G1282)/100),TC!$5:$37,DAY(G1282)+2,FALSE))))</f>
        <v>19.5793</v>
      </c>
      <c r="O1282" s="307">
        <f t="shared" si="344"/>
        <v>958.40673500000003</v>
      </c>
      <c r="P1282" s="560">
        <f>IF(G1282=0,0,VLOOKUP(YEAR(G1282),INPC!$B$4:$P$30,MONTH(G1282)+2))</f>
        <v>110.21</v>
      </c>
      <c r="Q1282" s="560">
        <f>IF(X1282=0,0,IF(OR(E1282=$AT$10,E1282=$AT$9),VLOOKUP(YEAR(X1282),INPC!$B$4:$P$30,MONTH(X1282)+1),VLOOKUP(YEAR(X1282),INPC!$B$4:$P$30,MONTH(X1282)+2,0)))</f>
        <v>118.002</v>
      </c>
      <c r="R1282" s="309">
        <f t="shared" si="345"/>
        <v>1.0707</v>
      </c>
      <c r="S1282" s="310">
        <f t="shared" si="346"/>
        <v>1026.1660911644999</v>
      </c>
      <c r="T1282" s="555">
        <f t="shared" si="347"/>
        <v>1026.1660911644999</v>
      </c>
      <c r="U1282" s="311"/>
      <c r="V1282" s="312">
        <v>1</v>
      </c>
      <c r="W1282" s="299" t="s">
        <v>194</v>
      </c>
      <c r="X1282" s="300">
        <v>44609</v>
      </c>
      <c r="Y1282" s="299" t="s">
        <v>59</v>
      </c>
      <c r="Z1282" s="303">
        <v>59.978124999999999</v>
      </c>
      <c r="AA1282" s="305">
        <f>IF(Z1282=0,0,IF(Y1282="MXN",1/HLOOKUP(YEAR(X1282)+(MONTH(X1282)/100),TC!$5:$37,DAY(X1282)+2,FALSE),VLOOKUP(Y1282,Equivalencia!$1:$23,((MAX(Equivalencia!$3:$3)-YEAR(X1282))*14)+MONTH(X1282)+2,FALSE)))</f>
        <v>1</v>
      </c>
      <c r="AB1282" s="306">
        <f t="shared" si="348"/>
        <v>59.978124999999999</v>
      </c>
      <c r="AC1282" s="305">
        <f>+IF(X1282=0,0,HLOOKUP(YEAR(X1282)+(MONTH(X1282)/100),TC!$5:$37,DAY(X1282)+2,FALSE))</f>
        <v>20.3992</v>
      </c>
      <c r="AD1282" s="307">
        <f t="shared" si="349"/>
        <v>1223.5057675</v>
      </c>
      <c r="AE1282" s="314">
        <f t="shared" si="350"/>
        <v>1026.1660911644999</v>
      </c>
      <c r="AF1282" s="315">
        <f t="shared" si="351"/>
        <v>197.33967633550014</v>
      </c>
      <c r="AG1282" s="316">
        <f t="shared" si="352"/>
        <v>1.0712328767123287</v>
      </c>
      <c r="AH1282" s="314">
        <v>1</v>
      </c>
      <c r="AI1282" s="314">
        <f t="shared" si="353"/>
        <v>197.33967633550014</v>
      </c>
      <c r="AJ1282" s="314">
        <f t="shared" si="354"/>
        <v>0</v>
      </c>
      <c r="AK1282" s="317"/>
      <c r="AL1282" s="315">
        <f t="shared" si="355"/>
        <v>11.028124999999996</v>
      </c>
      <c r="AN1282" s="554">
        <f t="shared" si="356"/>
        <v>0.22529366700715006</v>
      </c>
      <c r="AO1282" s="314"/>
      <c r="AP1282" s="318"/>
    </row>
    <row r="1283" spans="2:42">
      <c r="B1283" s="296" t="s">
        <v>1254</v>
      </c>
      <c r="C1283" s="299" t="s">
        <v>277</v>
      </c>
      <c r="D1283" s="298" t="s">
        <v>720</v>
      </c>
      <c r="E1283" s="299" t="s">
        <v>113</v>
      </c>
      <c r="F1283" s="299" t="s">
        <v>59</v>
      </c>
      <c r="G1283" s="300">
        <v>44218</v>
      </c>
      <c r="H1283" s="303">
        <v>197.07999999999998</v>
      </c>
      <c r="I1283" s="301" t="str">
        <f t="shared" si="340"/>
        <v>Ingresos Sección II LISR (SIC &amp; BMV)</v>
      </c>
      <c r="J1283" s="302">
        <f t="shared" si="341"/>
        <v>4</v>
      </c>
      <c r="K1283" s="304">
        <f t="shared" si="342"/>
        <v>49.269999999999996</v>
      </c>
      <c r="L1283" s="305">
        <f>IF(H1283=0,0,IF(OR(E1283=$AT$5,E1283=$AT$6),AA1283,IF(F1283="MXN",1/HLOOKUP(YEAR(G1283)+(MONTH(G1283)/100),TC!$5:$37,DAY(G1283)+2,FALSE),VLOOKUP(F1283,Equivalencia!$5:$23,((MAX(Equivalencia!$3:$3)-YEAR(G1283))*14)+MONTH(G1283)+2,FALSE))))</f>
        <v>1</v>
      </c>
      <c r="M1283" s="306">
        <f t="shared" si="343"/>
        <v>197.07999999999998</v>
      </c>
      <c r="N1283" s="305">
        <f>IF(G1283=0,0,(IF(OR(E1283=$AT$5,E1283=$AT$6),AC1283,HLOOKUP(YEAR(G1283)+(MONTH(G1283)/100),TC!$5:$37,DAY(G1283)+2,FALSE))))</f>
        <v>19.5793</v>
      </c>
      <c r="O1283" s="307">
        <f t="shared" si="344"/>
        <v>3858.6884439999999</v>
      </c>
      <c r="P1283" s="560">
        <f>IF(G1283=0,0,VLOOKUP(YEAR(G1283),INPC!$B$4:$P$30,MONTH(G1283)+2))</f>
        <v>110.21</v>
      </c>
      <c r="Q1283" s="560">
        <f>IF(X1283=0,0,IF(OR(E1283=$AT$10,E1283=$AT$9),VLOOKUP(YEAR(X1283),INPC!$B$4:$P$30,MONTH(X1283)+1),VLOOKUP(YEAR(X1283),INPC!$B$4:$P$30,MONTH(X1283)+2,0)))</f>
        <v>118.002</v>
      </c>
      <c r="R1283" s="309">
        <f t="shared" si="345"/>
        <v>1.0707</v>
      </c>
      <c r="S1283" s="310">
        <f t="shared" si="346"/>
        <v>4131.4977169907997</v>
      </c>
      <c r="T1283" s="555">
        <f t="shared" si="347"/>
        <v>1032.8744292476999</v>
      </c>
      <c r="U1283" s="311"/>
      <c r="V1283" s="312">
        <v>4</v>
      </c>
      <c r="W1283" s="299" t="s">
        <v>194</v>
      </c>
      <c r="X1283" s="300">
        <v>44609</v>
      </c>
      <c r="Y1283" s="299" t="s">
        <v>59</v>
      </c>
      <c r="Z1283" s="303">
        <v>239.91249999999999</v>
      </c>
      <c r="AA1283" s="305">
        <f>IF(Z1283=0,0,IF(Y1283="MXN",1/HLOOKUP(YEAR(X1283)+(MONTH(X1283)/100),TC!$5:$37,DAY(X1283)+2,FALSE),VLOOKUP(Y1283,Equivalencia!$1:$23,((MAX(Equivalencia!$3:$3)-YEAR(X1283))*14)+MONTH(X1283)+2,FALSE)))</f>
        <v>1</v>
      </c>
      <c r="AB1283" s="306">
        <f t="shared" si="348"/>
        <v>239.91249999999999</v>
      </c>
      <c r="AC1283" s="305">
        <f>+IF(X1283=0,0,HLOOKUP(YEAR(X1283)+(MONTH(X1283)/100),TC!$5:$37,DAY(X1283)+2,FALSE))</f>
        <v>20.3992</v>
      </c>
      <c r="AD1283" s="307">
        <f t="shared" si="349"/>
        <v>4894.0230700000002</v>
      </c>
      <c r="AE1283" s="314">
        <f t="shared" si="350"/>
        <v>4131.4977169907997</v>
      </c>
      <c r="AF1283" s="315">
        <f t="shared" si="351"/>
        <v>762.52535300920044</v>
      </c>
      <c r="AG1283" s="316">
        <f t="shared" si="352"/>
        <v>1.0712328767123287</v>
      </c>
      <c r="AH1283" s="314">
        <v>1</v>
      </c>
      <c r="AI1283" s="314">
        <f t="shared" si="353"/>
        <v>762.52535300920044</v>
      </c>
      <c r="AJ1283" s="314">
        <f t="shared" si="354"/>
        <v>0</v>
      </c>
      <c r="AK1283" s="317"/>
      <c r="AL1283" s="315">
        <f t="shared" si="355"/>
        <v>42.83250000000001</v>
      </c>
      <c r="AN1283" s="554">
        <f t="shared" si="356"/>
        <v>0.21733559975644415</v>
      </c>
      <c r="AO1283" s="314"/>
      <c r="AP1283" s="318"/>
    </row>
    <row r="1284" spans="2:42">
      <c r="B1284" s="296" t="s">
        <v>1254</v>
      </c>
      <c r="C1284" s="299" t="s">
        <v>277</v>
      </c>
      <c r="D1284" s="298" t="s">
        <v>720</v>
      </c>
      <c r="E1284" s="299" t="s">
        <v>113</v>
      </c>
      <c r="F1284" s="299" t="s">
        <v>59</v>
      </c>
      <c r="G1284" s="300">
        <v>44218</v>
      </c>
      <c r="H1284" s="303">
        <v>147.81</v>
      </c>
      <c r="I1284" s="301" t="str">
        <f t="shared" si="340"/>
        <v>Ingresos Sección II LISR (SIC &amp; BMV)</v>
      </c>
      <c r="J1284" s="302">
        <f t="shared" si="341"/>
        <v>3</v>
      </c>
      <c r="K1284" s="304">
        <f t="shared" si="342"/>
        <v>49.27</v>
      </c>
      <c r="L1284" s="305">
        <f>IF(H1284=0,0,IF(OR(E1284=$AT$5,E1284=$AT$6),AA1284,IF(F1284="MXN",1/HLOOKUP(YEAR(G1284)+(MONTH(G1284)/100),TC!$5:$37,DAY(G1284)+2,FALSE),VLOOKUP(F1284,Equivalencia!$5:$23,((MAX(Equivalencia!$3:$3)-YEAR(G1284))*14)+MONTH(G1284)+2,FALSE))))</f>
        <v>1</v>
      </c>
      <c r="M1284" s="306">
        <f t="shared" si="343"/>
        <v>147.81</v>
      </c>
      <c r="N1284" s="305">
        <f>IF(G1284=0,0,(IF(OR(E1284=$AT$5,E1284=$AT$6),AC1284,HLOOKUP(YEAR(G1284)+(MONTH(G1284)/100),TC!$5:$37,DAY(G1284)+2,FALSE))))</f>
        <v>19.5793</v>
      </c>
      <c r="O1284" s="307">
        <f t="shared" si="344"/>
        <v>2894.016333</v>
      </c>
      <c r="P1284" s="560">
        <f>IF(G1284=0,0,VLOOKUP(YEAR(G1284),INPC!$B$4:$P$30,MONTH(G1284)+2))</f>
        <v>110.21</v>
      </c>
      <c r="Q1284" s="560">
        <f>IF(X1284=0,0,IF(OR(E1284=$AT$10,E1284=$AT$9),VLOOKUP(YEAR(X1284),INPC!$B$4:$P$30,MONTH(X1284)+1),VLOOKUP(YEAR(X1284),INPC!$B$4:$P$30,MONTH(X1284)+2,0)))</f>
        <v>118.002</v>
      </c>
      <c r="R1284" s="309">
        <f t="shared" si="345"/>
        <v>1.0707</v>
      </c>
      <c r="S1284" s="310">
        <f t="shared" si="346"/>
        <v>3098.6232877430998</v>
      </c>
      <c r="T1284" s="555">
        <f t="shared" si="347"/>
        <v>1032.8744292476999</v>
      </c>
      <c r="U1284" s="311"/>
      <c r="V1284" s="312">
        <v>3</v>
      </c>
      <c r="W1284" s="299" t="s">
        <v>194</v>
      </c>
      <c r="X1284" s="300">
        <v>44609</v>
      </c>
      <c r="Y1284" s="299" t="s">
        <v>59</v>
      </c>
      <c r="Z1284" s="303">
        <v>181.48439999999999</v>
      </c>
      <c r="AA1284" s="305">
        <f>IF(Z1284=0,0,IF(Y1284="MXN",1/HLOOKUP(YEAR(X1284)+(MONTH(X1284)/100),TC!$5:$37,DAY(X1284)+2,FALSE),VLOOKUP(Y1284,Equivalencia!$1:$23,((MAX(Equivalencia!$3:$3)-YEAR(X1284))*14)+MONTH(X1284)+2,FALSE)))</f>
        <v>1</v>
      </c>
      <c r="AB1284" s="306">
        <f t="shared" si="348"/>
        <v>181.48439999999999</v>
      </c>
      <c r="AC1284" s="305">
        <f>+IF(X1284=0,0,HLOOKUP(YEAR(X1284)+(MONTH(X1284)/100),TC!$5:$37,DAY(X1284)+2,FALSE))</f>
        <v>20.3992</v>
      </c>
      <c r="AD1284" s="307">
        <f t="shared" si="349"/>
        <v>3702.1365724799998</v>
      </c>
      <c r="AE1284" s="314">
        <f t="shared" si="350"/>
        <v>3098.6232877430998</v>
      </c>
      <c r="AF1284" s="315">
        <f t="shared" si="351"/>
        <v>603.5132847369</v>
      </c>
      <c r="AG1284" s="316">
        <f t="shared" si="352"/>
        <v>1.0712328767123287</v>
      </c>
      <c r="AH1284" s="314">
        <v>1</v>
      </c>
      <c r="AI1284" s="314">
        <f t="shared" si="353"/>
        <v>603.5132847369</v>
      </c>
      <c r="AJ1284" s="314">
        <f t="shared" si="354"/>
        <v>0</v>
      </c>
      <c r="AK1284" s="317"/>
      <c r="AL1284" s="315">
        <f t="shared" si="355"/>
        <v>33.674399999999991</v>
      </c>
      <c r="AN1284" s="554">
        <f t="shared" si="356"/>
        <v>0.22782220418104318</v>
      </c>
      <c r="AO1284" s="314"/>
      <c r="AP1284" s="318"/>
    </row>
    <row r="1285" spans="2:42">
      <c r="B1285" s="296" t="s">
        <v>1254</v>
      </c>
      <c r="C1285" s="299" t="s">
        <v>277</v>
      </c>
      <c r="D1285" s="298" t="s">
        <v>720</v>
      </c>
      <c r="E1285" s="299" t="s">
        <v>113</v>
      </c>
      <c r="F1285" s="299" t="s">
        <v>59</v>
      </c>
      <c r="G1285" s="300">
        <v>44218</v>
      </c>
      <c r="H1285" s="303">
        <v>48.95</v>
      </c>
      <c r="I1285" s="301" t="str">
        <f t="shared" si="340"/>
        <v>Ingresos Sección II LISR (SIC &amp; BMV)</v>
      </c>
      <c r="J1285" s="302">
        <f t="shared" si="341"/>
        <v>1</v>
      </c>
      <c r="K1285" s="304">
        <f t="shared" si="342"/>
        <v>48.95</v>
      </c>
      <c r="L1285" s="305">
        <f>IF(H1285=0,0,IF(OR(E1285=$AT$5,E1285=$AT$6),AA1285,IF(F1285="MXN",1/HLOOKUP(YEAR(G1285)+(MONTH(G1285)/100),TC!$5:$37,DAY(G1285)+2,FALSE),VLOOKUP(F1285,Equivalencia!$5:$23,((MAX(Equivalencia!$3:$3)-YEAR(G1285))*14)+MONTH(G1285)+2,FALSE))))</f>
        <v>1</v>
      </c>
      <c r="M1285" s="306">
        <f t="shared" si="343"/>
        <v>48.95</v>
      </c>
      <c r="N1285" s="305">
        <f>IF(G1285=0,0,(IF(OR(E1285=$AT$5,E1285=$AT$6),AC1285,HLOOKUP(YEAR(G1285)+(MONTH(G1285)/100),TC!$5:$37,DAY(G1285)+2,FALSE))))</f>
        <v>19.5793</v>
      </c>
      <c r="O1285" s="307">
        <f t="shared" si="344"/>
        <v>958.40673500000003</v>
      </c>
      <c r="P1285" s="560">
        <f>IF(G1285=0,0,VLOOKUP(YEAR(G1285),INPC!$B$4:$P$30,MONTH(G1285)+2))</f>
        <v>110.21</v>
      </c>
      <c r="Q1285" s="560">
        <f>IF(X1285=0,0,IF(OR(E1285=$AT$10,E1285=$AT$9),VLOOKUP(YEAR(X1285),INPC!$B$4:$P$30,MONTH(X1285)+1),VLOOKUP(YEAR(X1285),INPC!$B$4:$P$30,MONTH(X1285)+2,0)))</f>
        <v>118.002</v>
      </c>
      <c r="R1285" s="309">
        <f t="shared" si="345"/>
        <v>1.0707</v>
      </c>
      <c r="S1285" s="310">
        <f t="shared" si="346"/>
        <v>1026.1660911644999</v>
      </c>
      <c r="T1285" s="555">
        <f t="shared" si="347"/>
        <v>1026.1660911644999</v>
      </c>
      <c r="U1285" s="311"/>
      <c r="V1285" s="312">
        <v>1</v>
      </c>
      <c r="W1285" s="299" t="s">
        <v>194</v>
      </c>
      <c r="X1285" s="300">
        <v>44609</v>
      </c>
      <c r="Y1285" s="299" t="s">
        <v>59</v>
      </c>
      <c r="Z1285" s="303">
        <v>60.494799999999998</v>
      </c>
      <c r="AA1285" s="305">
        <f>IF(Z1285=0,0,IF(Y1285="MXN",1/HLOOKUP(YEAR(X1285)+(MONTH(X1285)/100),TC!$5:$37,DAY(X1285)+2,FALSE),VLOOKUP(Y1285,Equivalencia!$1:$23,((MAX(Equivalencia!$3:$3)-YEAR(X1285))*14)+MONTH(X1285)+2,FALSE)))</f>
        <v>1</v>
      </c>
      <c r="AB1285" s="306">
        <f t="shared" si="348"/>
        <v>60.494799999999998</v>
      </c>
      <c r="AC1285" s="305">
        <f>+IF(X1285=0,0,HLOOKUP(YEAR(X1285)+(MONTH(X1285)/100),TC!$5:$37,DAY(X1285)+2,FALSE))</f>
        <v>20.3992</v>
      </c>
      <c r="AD1285" s="307">
        <f t="shared" si="349"/>
        <v>1234.04552416</v>
      </c>
      <c r="AE1285" s="314">
        <f t="shared" si="350"/>
        <v>1026.1660911644999</v>
      </c>
      <c r="AF1285" s="315">
        <f t="shared" si="351"/>
        <v>207.87943299550011</v>
      </c>
      <c r="AG1285" s="316">
        <f t="shared" si="352"/>
        <v>1.0712328767123287</v>
      </c>
      <c r="AH1285" s="314">
        <v>1</v>
      </c>
      <c r="AI1285" s="314">
        <f t="shared" si="353"/>
        <v>207.87943299550011</v>
      </c>
      <c r="AJ1285" s="314">
        <f t="shared" si="354"/>
        <v>0</v>
      </c>
      <c r="AK1285" s="317"/>
      <c r="AL1285" s="315">
        <f t="shared" si="355"/>
        <v>11.544799999999995</v>
      </c>
      <c r="AN1285" s="554">
        <f t="shared" si="356"/>
        <v>0.2358488253319713</v>
      </c>
      <c r="AO1285" s="314"/>
      <c r="AP1285" s="318"/>
    </row>
    <row r="1286" spans="2:42">
      <c r="B1286" s="296" t="s">
        <v>1254</v>
      </c>
      <c r="C1286" s="299" t="s">
        <v>277</v>
      </c>
      <c r="D1286" s="298" t="s">
        <v>720</v>
      </c>
      <c r="E1286" s="299" t="s">
        <v>113</v>
      </c>
      <c r="F1286" s="299" t="s">
        <v>59</v>
      </c>
      <c r="G1286" s="300">
        <v>44218</v>
      </c>
      <c r="H1286" s="303">
        <v>396.12</v>
      </c>
      <c r="I1286" s="301" t="str">
        <f t="shared" si="340"/>
        <v>Ingresos Sección II LISR (SIC &amp; BMV)</v>
      </c>
      <c r="J1286" s="302">
        <f t="shared" si="341"/>
        <v>8</v>
      </c>
      <c r="K1286" s="304">
        <f t="shared" si="342"/>
        <v>49.515000000000001</v>
      </c>
      <c r="L1286" s="305">
        <f>IF(H1286=0,0,IF(OR(E1286=$AT$5,E1286=$AT$6),AA1286,IF(F1286="MXN",1/HLOOKUP(YEAR(G1286)+(MONTH(G1286)/100),TC!$5:$37,DAY(G1286)+2,FALSE),VLOOKUP(F1286,Equivalencia!$5:$23,((MAX(Equivalencia!$3:$3)-YEAR(G1286))*14)+MONTH(G1286)+2,FALSE))))</f>
        <v>1</v>
      </c>
      <c r="M1286" s="306">
        <f t="shared" si="343"/>
        <v>396.12</v>
      </c>
      <c r="N1286" s="305">
        <f>IF(G1286=0,0,(IF(OR(E1286=$AT$5,E1286=$AT$6),AC1286,HLOOKUP(YEAR(G1286)+(MONTH(G1286)/100),TC!$5:$37,DAY(G1286)+2,FALSE))))</f>
        <v>19.5793</v>
      </c>
      <c r="O1286" s="307">
        <f t="shared" si="344"/>
        <v>7755.7523160000001</v>
      </c>
      <c r="P1286" s="560">
        <f>IF(G1286=0,0,VLOOKUP(YEAR(G1286),INPC!$B$4:$P$30,MONTH(G1286)+2))</f>
        <v>110.21</v>
      </c>
      <c r="Q1286" s="560">
        <f>IF(X1286=0,0,IF(OR(E1286=$AT$10,E1286=$AT$9),VLOOKUP(YEAR(X1286),INPC!$B$4:$P$30,MONTH(X1286)+1),VLOOKUP(YEAR(X1286),INPC!$B$4:$P$30,MONTH(X1286)+2,0)))</f>
        <v>118.002</v>
      </c>
      <c r="R1286" s="309">
        <f t="shared" si="345"/>
        <v>1.0707</v>
      </c>
      <c r="S1286" s="310">
        <f t="shared" si="346"/>
        <v>8304.0840047412003</v>
      </c>
      <c r="T1286" s="555">
        <f t="shared" si="347"/>
        <v>1038.01050059265</v>
      </c>
      <c r="U1286" s="311"/>
      <c r="V1286" s="312">
        <v>8</v>
      </c>
      <c r="W1286" s="299" t="s">
        <v>194</v>
      </c>
      <c r="X1286" s="300">
        <v>44609</v>
      </c>
      <c r="Y1286" s="299" t="s">
        <v>59</v>
      </c>
      <c r="Z1286" s="303">
        <v>483.95839999999998</v>
      </c>
      <c r="AA1286" s="305">
        <f>IF(Z1286=0,0,IF(Y1286="MXN",1/HLOOKUP(YEAR(X1286)+(MONTH(X1286)/100),TC!$5:$37,DAY(X1286)+2,FALSE),VLOOKUP(Y1286,Equivalencia!$1:$23,((MAX(Equivalencia!$3:$3)-YEAR(X1286))*14)+MONTH(X1286)+2,FALSE)))</f>
        <v>1</v>
      </c>
      <c r="AB1286" s="306">
        <f t="shared" si="348"/>
        <v>483.95839999999998</v>
      </c>
      <c r="AC1286" s="305">
        <f>+IF(X1286=0,0,HLOOKUP(YEAR(X1286)+(MONTH(X1286)/100),TC!$5:$37,DAY(X1286)+2,FALSE))</f>
        <v>20.3992</v>
      </c>
      <c r="AD1286" s="307">
        <f t="shared" si="349"/>
        <v>9872.3641932800001</v>
      </c>
      <c r="AE1286" s="314">
        <f t="shared" si="350"/>
        <v>8304.0840047412003</v>
      </c>
      <c r="AF1286" s="315">
        <f t="shared" si="351"/>
        <v>1568.2801885387998</v>
      </c>
      <c r="AG1286" s="316">
        <f t="shared" si="352"/>
        <v>1.0712328767123287</v>
      </c>
      <c r="AH1286" s="314">
        <v>1</v>
      </c>
      <c r="AI1286" s="314">
        <f t="shared" si="353"/>
        <v>1568.2801885387998</v>
      </c>
      <c r="AJ1286" s="314">
        <f t="shared" si="354"/>
        <v>0</v>
      </c>
      <c r="AK1286" s="317"/>
      <c r="AL1286" s="315">
        <f t="shared" si="355"/>
        <v>87.838399999999979</v>
      </c>
      <c r="AN1286" s="554">
        <f t="shared" si="356"/>
        <v>0.22174694537008982</v>
      </c>
      <c r="AO1286" s="314"/>
      <c r="AP1286" s="318"/>
    </row>
    <row r="1287" spans="2:42">
      <c r="B1287" s="296" t="s">
        <v>1254</v>
      </c>
      <c r="C1287" s="299" t="s">
        <v>277</v>
      </c>
      <c r="D1287" s="298" t="s">
        <v>720</v>
      </c>
      <c r="E1287" s="299" t="s">
        <v>113</v>
      </c>
      <c r="F1287" s="299" t="s">
        <v>59</v>
      </c>
      <c r="G1287" s="300">
        <v>44221</v>
      </c>
      <c r="H1287" s="303">
        <v>338.52</v>
      </c>
      <c r="I1287" s="301" t="str">
        <f t="shared" si="340"/>
        <v>Ingresos Sección II LISR (SIC &amp; BMV)</v>
      </c>
      <c r="J1287" s="302">
        <f t="shared" si="341"/>
        <v>7</v>
      </c>
      <c r="K1287" s="304">
        <f t="shared" si="342"/>
        <v>48.36</v>
      </c>
      <c r="L1287" s="305">
        <f>IF(H1287=0,0,IF(OR(E1287=$AT$5,E1287=$AT$6),AA1287,IF(F1287="MXN",1/HLOOKUP(YEAR(G1287)+(MONTH(G1287)/100),TC!$5:$37,DAY(G1287)+2,FALSE),VLOOKUP(F1287,Equivalencia!$5:$23,((MAX(Equivalencia!$3:$3)-YEAR(G1287))*14)+MONTH(G1287)+2,FALSE))))</f>
        <v>1</v>
      </c>
      <c r="M1287" s="306">
        <f t="shared" si="343"/>
        <v>338.52</v>
      </c>
      <c r="N1287" s="305">
        <f>IF(G1287=0,0,(IF(OR(E1287=$AT$5,E1287=$AT$6),AC1287,HLOOKUP(YEAR(G1287)+(MONTH(G1287)/100),TC!$5:$37,DAY(G1287)+2,FALSE))))</f>
        <v>19.7393</v>
      </c>
      <c r="O1287" s="307">
        <f t="shared" si="344"/>
        <v>6682.1478360000001</v>
      </c>
      <c r="P1287" s="560">
        <f>IF(G1287=0,0,VLOOKUP(YEAR(G1287),INPC!$B$4:$P$30,MONTH(G1287)+2))</f>
        <v>110.21</v>
      </c>
      <c r="Q1287" s="560">
        <f>IF(X1287=0,0,IF(OR(E1287=$AT$10,E1287=$AT$9),VLOOKUP(YEAR(X1287),INPC!$B$4:$P$30,MONTH(X1287)+1),VLOOKUP(YEAR(X1287),INPC!$B$4:$P$30,MONTH(X1287)+2,0)))</f>
        <v>118.002</v>
      </c>
      <c r="R1287" s="309">
        <f t="shared" si="345"/>
        <v>1.0707</v>
      </c>
      <c r="S1287" s="310">
        <f t="shared" si="346"/>
        <v>7154.5756880052004</v>
      </c>
      <c r="T1287" s="555">
        <f t="shared" si="347"/>
        <v>1022.0822411436001</v>
      </c>
      <c r="U1287" s="311"/>
      <c r="V1287" s="312">
        <v>7</v>
      </c>
      <c r="W1287" s="299" t="s">
        <v>194</v>
      </c>
      <c r="X1287" s="300">
        <v>44609</v>
      </c>
      <c r="Y1287" s="299" t="s">
        <v>59</v>
      </c>
      <c r="Z1287" s="303">
        <v>423.46359999999999</v>
      </c>
      <c r="AA1287" s="305">
        <f>IF(Z1287=0,0,IF(Y1287="MXN",1/HLOOKUP(YEAR(X1287)+(MONTH(X1287)/100),TC!$5:$37,DAY(X1287)+2,FALSE),VLOOKUP(Y1287,Equivalencia!$1:$23,((MAX(Equivalencia!$3:$3)-YEAR(X1287))*14)+MONTH(X1287)+2,FALSE)))</f>
        <v>1</v>
      </c>
      <c r="AB1287" s="306">
        <f t="shared" si="348"/>
        <v>423.46359999999999</v>
      </c>
      <c r="AC1287" s="305">
        <f>+IF(X1287=0,0,HLOOKUP(YEAR(X1287)+(MONTH(X1287)/100),TC!$5:$37,DAY(X1287)+2,FALSE))</f>
        <v>20.3992</v>
      </c>
      <c r="AD1287" s="307">
        <f t="shared" si="349"/>
        <v>8638.3186691200008</v>
      </c>
      <c r="AE1287" s="314">
        <f t="shared" si="350"/>
        <v>7154.5756880052004</v>
      </c>
      <c r="AF1287" s="315">
        <f t="shared" si="351"/>
        <v>1483.7429811148004</v>
      </c>
      <c r="AG1287" s="316">
        <f t="shared" si="352"/>
        <v>1.0630136986301371</v>
      </c>
      <c r="AH1287" s="314">
        <v>1</v>
      </c>
      <c r="AI1287" s="314">
        <f t="shared" si="353"/>
        <v>1483.7429811148004</v>
      </c>
      <c r="AJ1287" s="314">
        <f t="shared" si="354"/>
        <v>0</v>
      </c>
      <c r="AK1287" s="317"/>
      <c r="AL1287" s="315">
        <f t="shared" si="355"/>
        <v>84.943600000000004</v>
      </c>
      <c r="AN1287" s="554">
        <f t="shared" si="356"/>
        <v>0.2509263854425145</v>
      </c>
      <c r="AO1287" s="314"/>
      <c r="AP1287" s="318"/>
    </row>
    <row r="1288" spans="2:42">
      <c r="B1288" s="296" t="s">
        <v>1254</v>
      </c>
      <c r="C1288" s="299" t="s">
        <v>277</v>
      </c>
      <c r="D1288" s="298" t="s">
        <v>720</v>
      </c>
      <c r="E1288" s="299" t="s">
        <v>113</v>
      </c>
      <c r="F1288" s="299" t="s">
        <v>59</v>
      </c>
      <c r="G1288" s="300">
        <v>44221</v>
      </c>
      <c r="H1288" s="303">
        <v>288.47199999999998</v>
      </c>
      <c r="I1288" s="301" t="str">
        <f t="shared" si="340"/>
        <v>Ingresos Sección II LISR (SIC &amp; BMV)</v>
      </c>
      <c r="J1288" s="302">
        <f t="shared" si="341"/>
        <v>6</v>
      </c>
      <c r="K1288" s="304">
        <f t="shared" si="342"/>
        <v>48.078666666666663</v>
      </c>
      <c r="L1288" s="305">
        <f>IF(H1288=0,0,IF(OR(E1288=$AT$5,E1288=$AT$6),AA1288,IF(F1288="MXN",1/HLOOKUP(YEAR(G1288)+(MONTH(G1288)/100),TC!$5:$37,DAY(G1288)+2,FALSE),VLOOKUP(F1288,Equivalencia!$5:$23,((MAX(Equivalencia!$3:$3)-YEAR(G1288))*14)+MONTH(G1288)+2,FALSE))))</f>
        <v>1</v>
      </c>
      <c r="M1288" s="306">
        <f t="shared" si="343"/>
        <v>288.47199999999998</v>
      </c>
      <c r="N1288" s="305">
        <f>IF(G1288=0,0,(IF(OR(E1288=$AT$5,E1288=$AT$6),AC1288,HLOOKUP(YEAR(G1288)+(MONTH(G1288)/100),TC!$5:$37,DAY(G1288)+2,FALSE))))</f>
        <v>19.7393</v>
      </c>
      <c r="O1288" s="307">
        <f t="shared" si="344"/>
        <v>5694.2353495999996</v>
      </c>
      <c r="P1288" s="560">
        <f>IF(G1288=0,0,VLOOKUP(YEAR(G1288),INPC!$B$4:$P$30,MONTH(G1288)+2))</f>
        <v>110.21</v>
      </c>
      <c r="Q1288" s="560">
        <f>IF(X1288=0,0,IF(OR(E1288=$AT$10,E1288=$AT$9),VLOOKUP(YEAR(X1288),INPC!$B$4:$P$30,MONTH(X1288)+1),VLOOKUP(YEAR(X1288),INPC!$B$4:$P$30,MONTH(X1288)+2,0)))</f>
        <v>118.002</v>
      </c>
      <c r="R1288" s="309">
        <f t="shared" si="345"/>
        <v>1.0707</v>
      </c>
      <c r="S1288" s="310">
        <f t="shared" si="346"/>
        <v>6096.8177888167193</v>
      </c>
      <c r="T1288" s="555">
        <f t="shared" si="347"/>
        <v>1016.1362981361199</v>
      </c>
      <c r="U1288" s="311"/>
      <c r="V1288" s="312">
        <v>6</v>
      </c>
      <c r="W1288" s="299" t="s">
        <v>194</v>
      </c>
      <c r="X1288" s="300">
        <v>44609</v>
      </c>
      <c r="Y1288" s="299" t="s">
        <v>59</v>
      </c>
      <c r="Z1288" s="303">
        <v>362.96879999999999</v>
      </c>
      <c r="AA1288" s="305">
        <f>IF(Z1288=0,0,IF(Y1288="MXN",1/HLOOKUP(YEAR(X1288)+(MONTH(X1288)/100),TC!$5:$37,DAY(X1288)+2,FALSE),VLOOKUP(Y1288,Equivalencia!$1:$23,((MAX(Equivalencia!$3:$3)-YEAR(X1288))*14)+MONTH(X1288)+2,FALSE)))</f>
        <v>1</v>
      </c>
      <c r="AB1288" s="306">
        <f t="shared" si="348"/>
        <v>362.96879999999999</v>
      </c>
      <c r="AC1288" s="305">
        <f>+IF(X1288=0,0,HLOOKUP(YEAR(X1288)+(MONTH(X1288)/100),TC!$5:$37,DAY(X1288)+2,FALSE))</f>
        <v>20.3992</v>
      </c>
      <c r="AD1288" s="307">
        <f t="shared" si="349"/>
        <v>7404.2731449599996</v>
      </c>
      <c r="AE1288" s="314">
        <f t="shared" si="350"/>
        <v>6096.8177888167193</v>
      </c>
      <c r="AF1288" s="315">
        <f t="shared" si="351"/>
        <v>1307.4553561432804</v>
      </c>
      <c r="AG1288" s="316">
        <f t="shared" si="352"/>
        <v>1.0630136986301371</v>
      </c>
      <c r="AH1288" s="314">
        <v>1</v>
      </c>
      <c r="AI1288" s="314">
        <f t="shared" si="353"/>
        <v>1307.4553561432804</v>
      </c>
      <c r="AJ1288" s="314">
        <f t="shared" si="354"/>
        <v>0</v>
      </c>
      <c r="AK1288" s="317"/>
      <c r="AL1288" s="315">
        <f t="shared" si="355"/>
        <v>74.496800000000007</v>
      </c>
      <c r="AN1288" s="554">
        <f t="shared" si="356"/>
        <v>0.25824620760420425</v>
      </c>
      <c r="AO1288" s="314"/>
      <c r="AP1288" s="318"/>
    </row>
    <row r="1289" spans="2:42">
      <c r="B1289" s="296" t="s">
        <v>1254</v>
      </c>
      <c r="C1289" s="299" t="s">
        <v>277</v>
      </c>
      <c r="D1289" s="298" t="s">
        <v>720</v>
      </c>
      <c r="E1289" s="299" t="s">
        <v>113</v>
      </c>
      <c r="F1289" s="299" t="s">
        <v>59</v>
      </c>
      <c r="G1289" s="300">
        <v>44221</v>
      </c>
      <c r="H1289" s="303">
        <v>432.70799999999997</v>
      </c>
      <c r="I1289" s="301" t="str">
        <f t="shared" si="340"/>
        <v>Ingresos Sección II LISR (SIC &amp; BMV)</v>
      </c>
      <c r="J1289" s="302">
        <f t="shared" si="341"/>
        <v>9</v>
      </c>
      <c r="K1289" s="304">
        <f t="shared" si="342"/>
        <v>48.078666666666663</v>
      </c>
      <c r="L1289" s="305">
        <f>IF(H1289=0,0,IF(OR(E1289=$AT$5,E1289=$AT$6),AA1289,IF(F1289="MXN",1/HLOOKUP(YEAR(G1289)+(MONTH(G1289)/100),TC!$5:$37,DAY(G1289)+2,FALSE),VLOOKUP(F1289,Equivalencia!$5:$23,((MAX(Equivalencia!$3:$3)-YEAR(G1289))*14)+MONTH(G1289)+2,FALSE))))</f>
        <v>1</v>
      </c>
      <c r="M1289" s="306">
        <f t="shared" si="343"/>
        <v>432.70799999999997</v>
      </c>
      <c r="N1289" s="305">
        <f>IF(G1289=0,0,(IF(OR(E1289=$AT$5,E1289=$AT$6),AC1289,HLOOKUP(YEAR(G1289)+(MONTH(G1289)/100),TC!$5:$37,DAY(G1289)+2,FALSE))))</f>
        <v>19.7393</v>
      </c>
      <c r="O1289" s="307">
        <f t="shared" si="344"/>
        <v>8541.3530243999994</v>
      </c>
      <c r="P1289" s="560">
        <f>IF(G1289=0,0,VLOOKUP(YEAR(G1289),INPC!$B$4:$P$30,MONTH(G1289)+2))</f>
        <v>110.21</v>
      </c>
      <c r="Q1289" s="560">
        <f>IF(X1289=0,0,IF(OR(E1289=$AT$10,E1289=$AT$9),VLOOKUP(YEAR(X1289),INPC!$B$4:$P$30,MONTH(X1289)+1),VLOOKUP(YEAR(X1289),INPC!$B$4:$P$30,MONTH(X1289)+2,0)))</f>
        <v>118.002</v>
      </c>
      <c r="R1289" s="309">
        <f t="shared" si="345"/>
        <v>1.0707</v>
      </c>
      <c r="S1289" s="310">
        <f t="shared" si="346"/>
        <v>9145.2266832250789</v>
      </c>
      <c r="T1289" s="555">
        <f t="shared" si="347"/>
        <v>1016.1362981361199</v>
      </c>
      <c r="U1289" s="311"/>
      <c r="V1289" s="312">
        <v>9</v>
      </c>
      <c r="W1289" s="299" t="s">
        <v>194</v>
      </c>
      <c r="X1289" s="300">
        <v>44610</v>
      </c>
      <c r="Y1289" s="299" t="s">
        <v>59</v>
      </c>
      <c r="Z1289" s="303">
        <v>534.11727272727273</v>
      </c>
      <c r="AA1289" s="305">
        <f>IF(Z1289=0,0,IF(Y1289="MXN",1/HLOOKUP(YEAR(X1289)+(MONTH(X1289)/100),TC!$5:$37,DAY(X1289)+2,FALSE),VLOOKUP(Y1289,Equivalencia!$1:$23,((MAX(Equivalencia!$3:$3)-YEAR(X1289))*14)+MONTH(X1289)+2,FALSE)))</f>
        <v>1</v>
      </c>
      <c r="AB1289" s="306">
        <f t="shared" si="348"/>
        <v>534.11727272727273</v>
      </c>
      <c r="AC1289" s="305">
        <f>+IF(X1289=0,0,HLOOKUP(YEAR(X1289)+(MONTH(X1289)/100),TC!$5:$37,DAY(X1289)+2,FALSE))</f>
        <v>20.333500000000001</v>
      </c>
      <c r="AD1289" s="307">
        <f t="shared" si="349"/>
        <v>10860.473565</v>
      </c>
      <c r="AE1289" s="314">
        <f t="shared" si="350"/>
        <v>9145.2266832250789</v>
      </c>
      <c r="AF1289" s="315">
        <f t="shared" si="351"/>
        <v>1715.2468817749213</v>
      </c>
      <c r="AG1289" s="316">
        <f t="shared" si="352"/>
        <v>1.0657534246575342</v>
      </c>
      <c r="AH1289" s="314">
        <v>1</v>
      </c>
      <c r="AI1289" s="314">
        <f t="shared" si="353"/>
        <v>1715.2468817749213</v>
      </c>
      <c r="AJ1289" s="314">
        <f t="shared" si="354"/>
        <v>0</v>
      </c>
      <c r="AK1289" s="317"/>
      <c r="AL1289" s="315">
        <f t="shared" si="355"/>
        <v>101.40927272727276</v>
      </c>
      <c r="AN1289" s="554">
        <f t="shared" si="356"/>
        <v>0.23435959752829338</v>
      </c>
      <c r="AO1289" s="314"/>
      <c r="AP1289" s="318"/>
    </row>
    <row r="1290" spans="2:42">
      <c r="B1290" s="296" t="s">
        <v>1254</v>
      </c>
      <c r="C1290" s="299" t="s">
        <v>277</v>
      </c>
      <c r="D1290" s="298" t="s">
        <v>720</v>
      </c>
      <c r="E1290" s="299" t="s">
        <v>113</v>
      </c>
      <c r="F1290" s="299" t="s">
        <v>59</v>
      </c>
      <c r="G1290" s="300">
        <v>44221</v>
      </c>
      <c r="H1290" s="303">
        <v>96.72</v>
      </c>
      <c r="I1290" s="301" t="str">
        <f t="shared" si="340"/>
        <v>Ingresos Sección II LISR (SIC &amp; BMV)</v>
      </c>
      <c r="J1290" s="302">
        <f t="shared" si="341"/>
        <v>2</v>
      </c>
      <c r="K1290" s="304">
        <f t="shared" si="342"/>
        <v>48.36</v>
      </c>
      <c r="L1290" s="305">
        <f>IF(H1290=0,0,IF(OR(E1290=$AT$5,E1290=$AT$6),AA1290,IF(F1290="MXN",1/HLOOKUP(YEAR(G1290)+(MONTH(G1290)/100),TC!$5:$37,DAY(G1290)+2,FALSE),VLOOKUP(F1290,Equivalencia!$5:$23,((MAX(Equivalencia!$3:$3)-YEAR(G1290))*14)+MONTH(G1290)+2,FALSE))))</f>
        <v>1</v>
      </c>
      <c r="M1290" s="306">
        <f t="shared" si="343"/>
        <v>96.72</v>
      </c>
      <c r="N1290" s="305">
        <f>IF(G1290=0,0,(IF(OR(E1290=$AT$5,E1290=$AT$6),AC1290,HLOOKUP(YEAR(G1290)+(MONTH(G1290)/100),TC!$5:$37,DAY(G1290)+2,FALSE))))</f>
        <v>19.7393</v>
      </c>
      <c r="O1290" s="307">
        <f t="shared" si="344"/>
        <v>1909.1850959999999</v>
      </c>
      <c r="P1290" s="560">
        <f>IF(G1290=0,0,VLOOKUP(YEAR(G1290),INPC!$B$4:$P$30,MONTH(G1290)+2))</f>
        <v>110.21</v>
      </c>
      <c r="Q1290" s="560">
        <f>IF(X1290=0,0,IF(OR(E1290=$AT$10,E1290=$AT$9),VLOOKUP(YEAR(X1290),INPC!$B$4:$P$30,MONTH(X1290)+1),VLOOKUP(YEAR(X1290),INPC!$B$4:$P$30,MONTH(X1290)+2,0)))</f>
        <v>118.002</v>
      </c>
      <c r="R1290" s="309">
        <f t="shared" si="345"/>
        <v>1.0707</v>
      </c>
      <c r="S1290" s="310">
        <f t="shared" si="346"/>
        <v>2044.1644822871999</v>
      </c>
      <c r="T1290" s="555">
        <f t="shared" si="347"/>
        <v>1022.0822411436</v>
      </c>
      <c r="U1290" s="311"/>
      <c r="V1290" s="312">
        <v>2</v>
      </c>
      <c r="W1290" s="299" t="s">
        <v>194</v>
      </c>
      <c r="X1290" s="300">
        <v>44610</v>
      </c>
      <c r="Y1290" s="299" t="s">
        <v>59</v>
      </c>
      <c r="Z1290" s="303">
        <v>118.69272727272727</v>
      </c>
      <c r="AA1290" s="305">
        <f>IF(Z1290=0,0,IF(Y1290="MXN",1/HLOOKUP(YEAR(X1290)+(MONTH(X1290)/100),TC!$5:$37,DAY(X1290)+2,FALSE),VLOOKUP(Y1290,Equivalencia!$1:$23,((MAX(Equivalencia!$3:$3)-YEAR(X1290))*14)+MONTH(X1290)+2,FALSE)))</f>
        <v>1</v>
      </c>
      <c r="AB1290" s="306">
        <f t="shared" si="348"/>
        <v>118.69272727272727</v>
      </c>
      <c r="AC1290" s="305">
        <f>+IF(X1290=0,0,HLOOKUP(YEAR(X1290)+(MONTH(X1290)/100),TC!$5:$37,DAY(X1290)+2,FALSE))</f>
        <v>20.333500000000001</v>
      </c>
      <c r="AD1290" s="307">
        <f t="shared" si="349"/>
        <v>2413.4385699999998</v>
      </c>
      <c r="AE1290" s="314">
        <f t="shared" si="350"/>
        <v>2044.1644822871999</v>
      </c>
      <c r="AF1290" s="315">
        <f t="shared" si="351"/>
        <v>369.27408771279988</v>
      </c>
      <c r="AG1290" s="316">
        <f t="shared" si="352"/>
        <v>1.0657534246575342</v>
      </c>
      <c r="AH1290" s="314">
        <v>1</v>
      </c>
      <c r="AI1290" s="314">
        <f t="shared" si="353"/>
        <v>369.27408771279988</v>
      </c>
      <c r="AJ1290" s="314">
        <f t="shared" si="354"/>
        <v>0</v>
      </c>
      <c r="AK1290" s="317"/>
      <c r="AL1290" s="315">
        <f t="shared" si="355"/>
        <v>21.972727272727269</v>
      </c>
      <c r="AN1290" s="554">
        <f t="shared" si="356"/>
        <v>0.22717873524325133</v>
      </c>
      <c r="AO1290" s="314"/>
      <c r="AP1290" s="318"/>
    </row>
    <row r="1291" spans="2:42">
      <c r="B1291" s="296" t="s">
        <v>1254</v>
      </c>
      <c r="C1291" s="299" t="s">
        <v>277</v>
      </c>
      <c r="D1291" s="298" t="s">
        <v>720</v>
      </c>
      <c r="E1291" s="299" t="s">
        <v>113</v>
      </c>
      <c r="F1291" s="299" t="s">
        <v>59</v>
      </c>
      <c r="G1291" s="300">
        <v>44221</v>
      </c>
      <c r="H1291" s="303">
        <v>193.44</v>
      </c>
      <c r="I1291" s="301" t="str">
        <f t="shared" si="340"/>
        <v>Ingresos Sección II LISR (SIC &amp; BMV)</v>
      </c>
      <c r="J1291" s="302">
        <f t="shared" si="341"/>
        <v>4</v>
      </c>
      <c r="K1291" s="304">
        <f t="shared" si="342"/>
        <v>48.36</v>
      </c>
      <c r="L1291" s="305">
        <f>IF(H1291=0,0,IF(OR(E1291=$AT$5,E1291=$AT$6),AA1291,IF(F1291="MXN",1/HLOOKUP(YEAR(G1291)+(MONTH(G1291)/100),TC!$5:$37,DAY(G1291)+2,FALSE),VLOOKUP(F1291,Equivalencia!$5:$23,((MAX(Equivalencia!$3:$3)-YEAR(G1291))*14)+MONTH(G1291)+2,FALSE))))</f>
        <v>1</v>
      </c>
      <c r="M1291" s="306">
        <f t="shared" si="343"/>
        <v>193.44</v>
      </c>
      <c r="N1291" s="305">
        <f>IF(G1291=0,0,(IF(OR(E1291=$AT$5,E1291=$AT$6),AC1291,HLOOKUP(YEAR(G1291)+(MONTH(G1291)/100),TC!$5:$37,DAY(G1291)+2,FALSE))))</f>
        <v>19.7393</v>
      </c>
      <c r="O1291" s="307">
        <f t="shared" si="344"/>
        <v>3818.3701919999999</v>
      </c>
      <c r="P1291" s="560">
        <f>IF(G1291=0,0,VLOOKUP(YEAR(G1291),INPC!$B$4:$P$30,MONTH(G1291)+2))</f>
        <v>110.21</v>
      </c>
      <c r="Q1291" s="560">
        <f>IF(X1291=0,0,IF(OR(E1291=$AT$10,E1291=$AT$9),VLOOKUP(YEAR(X1291),INPC!$B$4:$P$30,MONTH(X1291)+1),VLOOKUP(YEAR(X1291),INPC!$B$4:$P$30,MONTH(X1291)+2,0)))</f>
        <v>118.002</v>
      </c>
      <c r="R1291" s="309">
        <f t="shared" si="345"/>
        <v>1.0707</v>
      </c>
      <c r="S1291" s="310">
        <f t="shared" si="346"/>
        <v>4088.3289645743998</v>
      </c>
      <c r="T1291" s="555">
        <f t="shared" si="347"/>
        <v>1022.0822411436</v>
      </c>
      <c r="U1291" s="311"/>
      <c r="V1291" s="312">
        <v>4</v>
      </c>
      <c r="W1291" s="299" t="s">
        <v>194</v>
      </c>
      <c r="X1291" s="300">
        <v>44610</v>
      </c>
      <c r="Y1291" s="299" t="s">
        <v>59</v>
      </c>
      <c r="Z1291" s="303">
        <v>235.96</v>
      </c>
      <c r="AA1291" s="305">
        <f>IF(Z1291=0,0,IF(Y1291="MXN",1/HLOOKUP(YEAR(X1291)+(MONTH(X1291)/100),TC!$5:$37,DAY(X1291)+2,FALSE),VLOOKUP(Y1291,Equivalencia!$1:$23,((MAX(Equivalencia!$3:$3)-YEAR(X1291))*14)+MONTH(X1291)+2,FALSE)))</f>
        <v>1</v>
      </c>
      <c r="AB1291" s="306">
        <f t="shared" si="348"/>
        <v>235.96</v>
      </c>
      <c r="AC1291" s="305">
        <f>+IF(X1291=0,0,HLOOKUP(YEAR(X1291)+(MONTH(X1291)/100),TC!$5:$37,DAY(X1291)+2,FALSE))</f>
        <v>20.333500000000001</v>
      </c>
      <c r="AD1291" s="307">
        <f t="shared" si="349"/>
        <v>4797.8926600000004</v>
      </c>
      <c r="AE1291" s="314">
        <f t="shared" si="350"/>
        <v>4088.3289645743998</v>
      </c>
      <c r="AF1291" s="315">
        <f t="shared" si="351"/>
        <v>709.5636954256006</v>
      </c>
      <c r="AG1291" s="316">
        <f t="shared" si="352"/>
        <v>1.0657534246575342</v>
      </c>
      <c r="AH1291" s="314">
        <v>1</v>
      </c>
      <c r="AI1291" s="314">
        <f t="shared" si="353"/>
        <v>709.5636954256006</v>
      </c>
      <c r="AJ1291" s="314">
        <f t="shared" si="354"/>
        <v>0</v>
      </c>
      <c r="AK1291" s="317"/>
      <c r="AL1291" s="315">
        <f t="shared" si="355"/>
        <v>42.52000000000001</v>
      </c>
      <c r="AN1291" s="554">
        <f t="shared" si="356"/>
        <v>0.21980976013234083</v>
      </c>
      <c r="AO1291" s="314"/>
      <c r="AP1291" s="318"/>
    </row>
    <row r="1292" spans="2:42">
      <c r="B1292" s="296" t="s">
        <v>1254</v>
      </c>
      <c r="C1292" s="299" t="s">
        <v>277</v>
      </c>
      <c r="D1292" s="298" t="s">
        <v>720</v>
      </c>
      <c r="E1292" s="299" t="s">
        <v>113</v>
      </c>
      <c r="F1292" s="299" t="s">
        <v>59</v>
      </c>
      <c r="G1292" s="300">
        <v>44221</v>
      </c>
      <c r="H1292" s="303">
        <v>48.36</v>
      </c>
      <c r="I1292" s="301" t="str">
        <f t="shared" si="340"/>
        <v>Ingresos Sección II LISR (SIC &amp; BMV)</v>
      </c>
      <c r="J1292" s="302">
        <f t="shared" si="341"/>
        <v>1</v>
      </c>
      <c r="K1292" s="304">
        <f t="shared" si="342"/>
        <v>48.36</v>
      </c>
      <c r="L1292" s="305">
        <f>IF(H1292=0,0,IF(OR(E1292=$AT$5,E1292=$AT$6),AA1292,IF(F1292="MXN",1/HLOOKUP(YEAR(G1292)+(MONTH(G1292)/100),TC!$5:$37,DAY(G1292)+2,FALSE),VLOOKUP(F1292,Equivalencia!$5:$23,((MAX(Equivalencia!$3:$3)-YEAR(G1292))*14)+MONTH(G1292)+2,FALSE))))</f>
        <v>1</v>
      </c>
      <c r="M1292" s="306">
        <f t="shared" si="343"/>
        <v>48.36</v>
      </c>
      <c r="N1292" s="305">
        <f>IF(G1292=0,0,(IF(OR(E1292=$AT$5,E1292=$AT$6),AC1292,HLOOKUP(YEAR(G1292)+(MONTH(G1292)/100),TC!$5:$37,DAY(G1292)+2,FALSE))))</f>
        <v>19.7393</v>
      </c>
      <c r="O1292" s="307">
        <f t="shared" si="344"/>
        <v>954.59254799999997</v>
      </c>
      <c r="P1292" s="560">
        <f>IF(G1292=0,0,VLOOKUP(YEAR(G1292),INPC!$B$4:$P$30,MONTH(G1292)+2))</f>
        <v>110.21</v>
      </c>
      <c r="Q1292" s="560">
        <f>IF(X1292=0,0,IF(OR(E1292=$AT$10,E1292=$AT$9),VLOOKUP(YEAR(X1292),INPC!$B$4:$P$30,MONTH(X1292)+1),VLOOKUP(YEAR(X1292),INPC!$B$4:$P$30,MONTH(X1292)+2,0)))</f>
        <v>118.002</v>
      </c>
      <c r="R1292" s="309">
        <f t="shared" si="345"/>
        <v>1.0707</v>
      </c>
      <c r="S1292" s="310">
        <f t="shared" si="346"/>
        <v>1022.0822411436</v>
      </c>
      <c r="T1292" s="555">
        <f t="shared" si="347"/>
        <v>1022.0822411436</v>
      </c>
      <c r="U1292" s="311"/>
      <c r="V1292" s="312">
        <v>1</v>
      </c>
      <c r="W1292" s="299" t="s">
        <v>194</v>
      </c>
      <c r="X1292" s="300">
        <v>44610</v>
      </c>
      <c r="Y1292" s="299" t="s">
        <v>59</v>
      </c>
      <c r="Z1292" s="303">
        <v>59.145000000000003</v>
      </c>
      <c r="AA1292" s="305">
        <f>IF(Z1292=0,0,IF(Y1292="MXN",1/HLOOKUP(YEAR(X1292)+(MONTH(X1292)/100),TC!$5:$37,DAY(X1292)+2,FALSE),VLOOKUP(Y1292,Equivalencia!$1:$23,((MAX(Equivalencia!$3:$3)-YEAR(X1292))*14)+MONTH(X1292)+2,FALSE)))</f>
        <v>1</v>
      </c>
      <c r="AB1292" s="306">
        <f t="shared" si="348"/>
        <v>59.145000000000003</v>
      </c>
      <c r="AC1292" s="305">
        <f>+IF(X1292=0,0,HLOOKUP(YEAR(X1292)+(MONTH(X1292)/100),TC!$5:$37,DAY(X1292)+2,FALSE))</f>
        <v>20.333500000000001</v>
      </c>
      <c r="AD1292" s="307">
        <f t="shared" si="349"/>
        <v>1202.6248575000002</v>
      </c>
      <c r="AE1292" s="314">
        <f t="shared" si="350"/>
        <v>1022.0822411436</v>
      </c>
      <c r="AF1292" s="315">
        <f t="shared" si="351"/>
        <v>180.54261635640023</v>
      </c>
      <c r="AG1292" s="316">
        <f t="shared" si="352"/>
        <v>1.0657534246575342</v>
      </c>
      <c r="AH1292" s="314">
        <v>1</v>
      </c>
      <c r="AI1292" s="314">
        <f t="shared" si="353"/>
        <v>180.54261635640023</v>
      </c>
      <c r="AJ1292" s="314">
        <f t="shared" si="354"/>
        <v>0</v>
      </c>
      <c r="AK1292" s="317"/>
      <c r="AL1292" s="315">
        <f t="shared" si="355"/>
        <v>10.785000000000004</v>
      </c>
      <c r="AN1292" s="554">
        <f t="shared" si="356"/>
        <v>0.22301488833746907</v>
      </c>
      <c r="AO1292" s="314"/>
      <c r="AP1292" s="318"/>
    </row>
    <row r="1293" spans="2:42">
      <c r="B1293" s="296" t="s">
        <v>1254</v>
      </c>
      <c r="C1293" s="299" t="s">
        <v>277</v>
      </c>
      <c r="D1293" s="298" t="s">
        <v>720</v>
      </c>
      <c r="E1293" s="299" t="s">
        <v>113</v>
      </c>
      <c r="F1293" s="299" t="s">
        <v>59</v>
      </c>
      <c r="G1293" s="300">
        <v>44221</v>
      </c>
      <c r="H1293" s="303">
        <v>240.39310344827587</v>
      </c>
      <c r="I1293" s="301" t="str">
        <f t="shared" si="340"/>
        <v>Ingresos Sección II LISR (SIC &amp; BMV)</v>
      </c>
      <c r="J1293" s="302">
        <f t="shared" si="341"/>
        <v>5</v>
      </c>
      <c r="K1293" s="304">
        <f t="shared" si="342"/>
        <v>48.078620689655175</v>
      </c>
      <c r="L1293" s="305">
        <f>IF(H1293=0,0,IF(OR(E1293=$AT$5,E1293=$AT$6),AA1293,IF(F1293="MXN",1/HLOOKUP(YEAR(G1293)+(MONTH(G1293)/100),TC!$5:$37,DAY(G1293)+2,FALSE),VLOOKUP(F1293,Equivalencia!$5:$23,((MAX(Equivalencia!$3:$3)-YEAR(G1293))*14)+MONTH(G1293)+2,FALSE))))</f>
        <v>1</v>
      </c>
      <c r="M1293" s="306">
        <f t="shared" si="343"/>
        <v>240.39310344827587</v>
      </c>
      <c r="N1293" s="305">
        <f>IF(G1293=0,0,(IF(OR(E1293=$AT$5,E1293=$AT$6),AC1293,HLOOKUP(YEAR(G1293)+(MONTH(G1293)/100),TC!$5:$37,DAY(G1293)+2,FALSE))))</f>
        <v>19.7393</v>
      </c>
      <c r="O1293" s="307">
        <f t="shared" si="344"/>
        <v>4745.1915868965516</v>
      </c>
      <c r="P1293" s="560">
        <f>IF(G1293=0,0,VLOOKUP(YEAR(G1293),INPC!$B$4:$P$30,MONTH(G1293)+2))</f>
        <v>110.21</v>
      </c>
      <c r="Q1293" s="560">
        <f>IF(X1293=0,0,IF(OR(E1293=$AT$10,E1293=$AT$9),VLOOKUP(YEAR(X1293),INPC!$B$4:$P$30,MONTH(X1293)+1),VLOOKUP(YEAR(X1293),INPC!$B$4:$P$30,MONTH(X1293)+2,0)))</f>
        <v>118.002</v>
      </c>
      <c r="R1293" s="309">
        <f t="shared" si="345"/>
        <v>1.0707</v>
      </c>
      <c r="S1293" s="310">
        <f t="shared" si="346"/>
        <v>5080.6766320901379</v>
      </c>
      <c r="T1293" s="555">
        <f t="shared" si="347"/>
        <v>1016.1353264180276</v>
      </c>
      <c r="U1293" s="311"/>
      <c r="V1293" s="312">
        <v>5</v>
      </c>
      <c r="W1293" s="299" t="s">
        <v>194</v>
      </c>
      <c r="X1293" s="300">
        <v>44610</v>
      </c>
      <c r="Y1293" s="299" t="s">
        <v>59</v>
      </c>
      <c r="Z1293" s="303">
        <v>295.72500000000002</v>
      </c>
      <c r="AA1293" s="305">
        <f>IF(Z1293=0,0,IF(Y1293="MXN",1/HLOOKUP(YEAR(X1293)+(MONTH(X1293)/100),TC!$5:$37,DAY(X1293)+2,FALSE),VLOOKUP(Y1293,Equivalencia!$1:$23,((MAX(Equivalencia!$3:$3)-YEAR(X1293))*14)+MONTH(X1293)+2,FALSE)))</f>
        <v>1</v>
      </c>
      <c r="AB1293" s="306">
        <f t="shared" si="348"/>
        <v>295.72500000000002</v>
      </c>
      <c r="AC1293" s="305">
        <f>+IF(X1293=0,0,HLOOKUP(YEAR(X1293)+(MONTH(X1293)/100),TC!$5:$37,DAY(X1293)+2,FALSE))</f>
        <v>20.333500000000001</v>
      </c>
      <c r="AD1293" s="307">
        <f t="shared" si="349"/>
        <v>6013.1242875000007</v>
      </c>
      <c r="AE1293" s="314">
        <f t="shared" si="350"/>
        <v>5080.6766320901379</v>
      </c>
      <c r="AF1293" s="315">
        <f t="shared" si="351"/>
        <v>932.44765540986282</v>
      </c>
      <c r="AG1293" s="316">
        <f t="shared" si="352"/>
        <v>1.0657534246575342</v>
      </c>
      <c r="AH1293" s="314">
        <v>1</v>
      </c>
      <c r="AI1293" s="314">
        <f t="shared" si="353"/>
        <v>932.44765540986282</v>
      </c>
      <c r="AJ1293" s="314">
        <f t="shared" si="354"/>
        <v>0</v>
      </c>
      <c r="AK1293" s="317"/>
      <c r="AL1293" s="315">
        <f t="shared" si="355"/>
        <v>55.331896551724157</v>
      </c>
      <c r="AN1293" s="554">
        <f t="shared" si="356"/>
        <v>0.23017256218263196</v>
      </c>
      <c r="AO1293" s="314"/>
      <c r="AP1293" s="318"/>
    </row>
    <row r="1294" spans="2:42">
      <c r="B1294" s="296" t="s">
        <v>1254</v>
      </c>
      <c r="C1294" s="299" t="s">
        <v>277</v>
      </c>
      <c r="D1294" s="298" t="s">
        <v>720</v>
      </c>
      <c r="E1294" s="299" t="s">
        <v>113</v>
      </c>
      <c r="F1294" s="299" t="s">
        <v>59</v>
      </c>
      <c r="G1294" s="300">
        <v>44221</v>
      </c>
      <c r="H1294" s="303">
        <v>384.6289655172414</v>
      </c>
      <c r="I1294" s="301" t="str">
        <f t="shared" si="340"/>
        <v>Ingresos Sección II LISR (SIC &amp; BMV)</v>
      </c>
      <c r="J1294" s="302">
        <f t="shared" si="341"/>
        <v>8</v>
      </c>
      <c r="K1294" s="304">
        <f t="shared" si="342"/>
        <v>48.078620689655175</v>
      </c>
      <c r="L1294" s="305">
        <f>IF(H1294=0,0,IF(OR(E1294=$AT$5,E1294=$AT$6),AA1294,IF(F1294="MXN",1/HLOOKUP(YEAR(G1294)+(MONTH(G1294)/100),TC!$5:$37,DAY(G1294)+2,FALSE),VLOOKUP(F1294,Equivalencia!$5:$23,((MAX(Equivalencia!$3:$3)-YEAR(G1294))*14)+MONTH(G1294)+2,FALSE))))</f>
        <v>1</v>
      </c>
      <c r="M1294" s="306">
        <f t="shared" si="343"/>
        <v>384.6289655172414</v>
      </c>
      <c r="N1294" s="305">
        <f>IF(G1294=0,0,(IF(OR(E1294=$AT$5,E1294=$AT$6),AC1294,HLOOKUP(YEAR(G1294)+(MONTH(G1294)/100),TC!$5:$37,DAY(G1294)+2,FALSE))))</f>
        <v>19.7393</v>
      </c>
      <c r="O1294" s="307">
        <f t="shared" si="344"/>
        <v>7592.3065390344827</v>
      </c>
      <c r="P1294" s="560">
        <f>IF(G1294=0,0,VLOOKUP(YEAR(G1294),INPC!$B$4:$P$30,MONTH(G1294)+2))</f>
        <v>110.21</v>
      </c>
      <c r="Q1294" s="560">
        <f>IF(X1294=0,0,IF(OR(E1294=$AT$10,E1294=$AT$9),VLOOKUP(YEAR(X1294),INPC!$B$4:$P$30,MONTH(X1294)+1),VLOOKUP(YEAR(X1294),INPC!$B$4:$P$30,MONTH(X1294)+2,0)))</f>
        <v>118.002</v>
      </c>
      <c r="R1294" s="309">
        <f t="shared" si="345"/>
        <v>1.0707</v>
      </c>
      <c r="S1294" s="310">
        <f t="shared" si="346"/>
        <v>8129.0826113442208</v>
      </c>
      <c r="T1294" s="555">
        <f t="shared" si="347"/>
        <v>1016.1353264180276</v>
      </c>
      <c r="U1294" s="311"/>
      <c r="V1294" s="312">
        <v>8</v>
      </c>
      <c r="W1294" s="299" t="s">
        <v>194</v>
      </c>
      <c r="X1294" s="300">
        <v>44610</v>
      </c>
      <c r="Y1294" s="299" t="s">
        <v>59</v>
      </c>
      <c r="Z1294" s="303">
        <v>471.77</v>
      </c>
      <c r="AA1294" s="305">
        <f>IF(Z1294=0,0,IF(Y1294="MXN",1/HLOOKUP(YEAR(X1294)+(MONTH(X1294)/100),TC!$5:$37,DAY(X1294)+2,FALSE),VLOOKUP(Y1294,Equivalencia!$1:$23,((MAX(Equivalencia!$3:$3)-YEAR(X1294))*14)+MONTH(X1294)+2,FALSE)))</f>
        <v>1</v>
      </c>
      <c r="AB1294" s="306">
        <f t="shared" si="348"/>
        <v>471.77</v>
      </c>
      <c r="AC1294" s="305">
        <f>+IF(X1294=0,0,HLOOKUP(YEAR(X1294)+(MONTH(X1294)/100),TC!$5:$37,DAY(X1294)+2,FALSE))</f>
        <v>20.333500000000001</v>
      </c>
      <c r="AD1294" s="307">
        <f t="shared" si="349"/>
        <v>9592.7352950000004</v>
      </c>
      <c r="AE1294" s="314">
        <f t="shared" si="350"/>
        <v>8129.0826113442208</v>
      </c>
      <c r="AF1294" s="315">
        <f t="shared" si="351"/>
        <v>1463.6526836557796</v>
      </c>
      <c r="AG1294" s="316">
        <f t="shared" si="352"/>
        <v>1.0657534246575342</v>
      </c>
      <c r="AH1294" s="314">
        <v>1</v>
      </c>
      <c r="AI1294" s="314">
        <f t="shared" si="353"/>
        <v>1463.6526836557796</v>
      </c>
      <c r="AJ1294" s="314">
        <f t="shared" si="354"/>
        <v>0</v>
      </c>
      <c r="AK1294" s="317"/>
      <c r="AL1294" s="315">
        <f t="shared" si="355"/>
        <v>87.141034482758585</v>
      </c>
      <c r="AN1294" s="554">
        <f t="shared" si="356"/>
        <v>0.22655868978971214</v>
      </c>
      <c r="AO1294" s="314"/>
      <c r="AP1294" s="318"/>
    </row>
    <row r="1295" spans="2:42">
      <c r="B1295" s="296" t="s">
        <v>1254</v>
      </c>
      <c r="C1295" s="299" t="s">
        <v>277</v>
      </c>
      <c r="D1295" s="298" t="s">
        <v>720</v>
      </c>
      <c r="E1295" s="299" t="s">
        <v>113</v>
      </c>
      <c r="F1295" s="299" t="s">
        <v>59</v>
      </c>
      <c r="G1295" s="300">
        <v>44221</v>
      </c>
      <c r="H1295" s="303">
        <v>769.25793103448279</v>
      </c>
      <c r="I1295" s="301" t="str">
        <f t="shared" si="340"/>
        <v>Ingresos Sección II LISR (SIC &amp; BMV)</v>
      </c>
      <c r="J1295" s="302">
        <f t="shared" si="341"/>
        <v>16</v>
      </c>
      <c r="K1295" s="304">
        <f t="shared" si="342"/>
        <v>48.078620689655175</v>
      </c>
      <c r="L1295" s="305">
        <f>IF(H1295=0,0,IF(OR(E1295=$AT$5,E1295=$AT$6),AA1295,IF(F1295="MXN",1/HLOOKUP(YEAR(G1295)+(MONTH(G1295)/100),TC!$5:$37,DAY(G1295)+2,FALSE),VLOOKUP(F1295,Equivalencia!$5:$23,((MAX(Equivalencia!$3:$3)-YEAR(G1295))*14)+MONTH(G1295)+2,FALSE))))</f>
        <v>1</v>
      </c>
      <c r="M1295" s="306">
        <f t="shared" si="343"/>
        <v>769.25793103448279</v>
      </c>
      <c r="N1295" s="305">
        <f>IF(G1295=0,0,(IF(OR(E1295=$AT$5,E1295=$AT$6),AC1295,HLOOKUP(YEAR(G1295)+(MONTH(G1295)/100),TC!$5:$37,DAY(G1295)+2,FALSE))))</f>
        <v>19.7393</v>
      </c>
      <c r="O1295" s="307">
        <f t="shared" si="344"/>
        <v>15184.613078068965</v>
      </c>
      <c r="P1295" s="560">
        <f>IF(G1295=0,0,VLOOKUP(YEAR(G1295),INPC!$B$4:$P$30,MONTH(G1295)+2))</f>
        <v>110.21</v>
      </c>
      <c r="Q1295" s="560">
        <f>IF(X1295=0,0,IF(OR(E1295=$AT$10,E1295=$AT$9),VLOOKUP(YEAR(X1295),INPC!$B$4:$P$30,MONTH(X1295)+1),VLOOKUP(YEAR(X1295),INPC!$B$4:$P$30,MONTH(X1295)+2,0)))</f>
        <v>118.002</v>
      </c>
      <c r="R1295" s="309">
        <f t="shared" si="345"/>
        <v>1.0707</v>
      </c>
      <c r="S1295" s="310">
        <f t="shared" si="346"/>
        <v>16258.165222688442</v>
      </c>
      <c r="T1295" s="555">
        <f t="shared" si="347"/>
        <v>1016.1353264180276</v>
      </c>
      <c r="U1295" s="311"/>
      <c r="V1295" s="312">
        <v>16</v>
      </c>
      <c r="W1295" s="299" t="s">
        <v>194</v>
      </c>
      <c r="X1295" s="300">
        <v>44614</v>
      </c>
      <c r="Y1295" s="299" t="s">
        <v>59</v>
      </c>
      <c r="Z1295" s="303">
        <v>938.39157894736832</v>
      </c>
      <c r="AA1295" s="305">
        <f>IF(Z1295=0,0,IF(Y1295="MXN",1/HLOOKUP(YEAR(X1295)+(MONTH(X1295)/100),TC!$5:$37,DAY(X1295)+2,FALSE),VLOOKUP(Y1295,Equivalencia!$1:$23,((MAX(Equivalencia!$3:$3)-YEAR(X1295))*14)+MONTH(X1295)+2,FALSE)))</f>
        <v>1</v>
      </c>
      <c r="AB1295" s="306">
        <f t="shared" si="348"/>
        <v>938.39157894736832</v>
      </c>
      <c r="AC1295" s="305">
        <f>+IF(X1295=0,0,HLOOKUP(YEAR(X1295)+(MONTH(X1295)/100),TC!$5:$37,DAY(X1295)+2,FALSE))</f>
        <v>20.3063</v>
      </c>
      <c r="AD1295" s="307">
        <f t="shared" si="349"/>
        <v>19055.260919578945</v>
      </c>
      <c r="AE1295" s="314">
        <f t="shared" si="350"/>
        <v>16258.165222688442</v>
      </c>
      <c r="AF1295" s="315">
        <f t="shared" si="351"/>
        <v>2797.0956968905029</v>
      </c>
      <c r="AG1295" s="316">
        <f t="shared" si="352"/>
        <v>1.0767123287671232</v>
      </c>
      <c r="AH1295" s="314">
        <v>1</v>
      </c>
      <c r="AI1295" s="314">
        <f t="shared" si="353"/>
        <v>2797.0956968905029</v>
      </c>
      <c r="AJ1295" s="314">
        <f t="shared" si="354"/>
        <v>0</v>
      </c>
      <c r="AK1295" s="317"/>
      <c r="AL1295" s="315">
        <f t="shared" si="355"/>
        <v>169.13364791288552</v>
      </c>
      <c r="AN1295" s="554">
        <f t="shared" si="356"/>
        <v>0.21986597874322589</v>
      </c>
      <c r="AO1295" s="314"/>
      <c r="AP1295" s="318"/>
    </row>
    <row r="1296" spans="2:42">
      <c r="B1296" s="296" t="s">
        <v>1254</v>
      </c>
      <c r="C1296" s="299" t="s">
        <v>277</v>
      </c>
      <c r="D1296" s="298" t="s">
        <v>720</v>
      </c>
      <c r="E1296" s="299" t="s">
        <v>113</v>
      </c>
      <c r="F1296" s="299" t="s">
        <v>59</v>
      </c>
      <c r="G1296" s="300">
        <v>44221</v>
      </c>
      <c r="H1296" s="303">
        <v>144.23624999999998</v>
      </c>
      <c r="I1296" s="301" t="str">
        <f t="shared" si="340"/>
        <v>Ingresos Sección II LISR (SIC &amp; BMV)</v>
      </c>
      <c r="J1296" s="302">
        <f t="shared" si="341"/>
        <v>3</v>
      </c>
      <c r="K1296" s="304">
        <f t="shared" si="342"/>
        <v>48.078749999999992</v>
      </c>
      <c r="L1296" s="305">
        <f>IF(H1296=0,0,IF(OR(E1296=$AT$5,E1296=$AT$6),AA1296,IF(F1296="MXN",1/HLOOKUP(YEAR(G1296)+(MONTH(G1296)/100),TC!$5:$37,DAY(G1296)+2,FALSE),VLOOKUP(F1296,Equivalencia!$5:$23,((MAX(Equivalencia!$3:$3)-YEAR(G1296))*14)+MONTH(G1296)+2,FALSE))))</f>
        <v>1</v>
      </c>
      <c r="M1296" s="306">
        <f t="shared" si="343"/>
        <v>144.23624999999998</v>
      </c>
      <c r="N1296" s="305">
        <f>IF(G1296=0,0,(IF(OR(E1296=$AT$5,E1296=$AT$6),AC1296,HLOOKUP(YEAR(G1296)+(MONTH(G1296)/100),TC!$5:$37,DAY(G1296)+2,FALSE))))</f>
        <v>19.7393</v>
      </c>
      <c r="O1296" s="307">
        <f t="shared" si="344"/>
        <v>2847.1226096249998</v>
      </c>
      <c r="P1296" s="560">
        <f>IF(G1296=0,0,VLOOKUP(YEAR(G1296),INPC!$B$4:$P$30,MONTH(G1296)+2))</f>
        <v>110.21</v>
      </c>
      <c r="Q1296" s="560">
        <f>IF(X1296=0,0,IF(OR(E1296=$AT$10,E1296=$AT$9),VLOOKUP(YEAR(X1296),INPC!$B$4:$P$30,MONTH(X1296)+1),VLOOKUP(YEAR(X1296),INPC!$B$4:$P$30,MONTH(X1296)+2,0)))</f>
        <v>118.002</v>
      </c>
      <c r="R1296" s="309">
        <f t="shared" si="345"/>
        <v>1.0707</v>
      </c>
      <c r="S1296" s="310">
        <f t="shared" si="346"/>
        <v>3048.4141781254871</v>
      </c>
      <c r="T1296" s="555">
        <f t="shared" si="347"/>
        <v>1016.1380593751624</v>
      </c>
      <c r="U1296" s="311"/>
      <c r="V1296" s="312">
        <v>3</v>
      </c>
      <c r="W1296" s="299" t="s">
        <v>194</v>
      </c>
      <c r="X1296" s="300">
        <v>44614</v>
      </c>
      <c r="Y1296" s="299" t="s">
        <v>59</v>
      </c>
      <c r="Z1296" s="303">
        <v>175.94842105263155</v>
      </c>
      <c r="AA1296" s="305">
        <f>IF(Z1296=0,0,IF(Y1296="MXN",1/HLOOKUP(YEAR(X1296)+(MONTH(X1296)/100),TC!$5:$37,DAY(X1296)+2,FALSE),VLOOKUP(Y1296,Equivalencia!$1:$23,((MAX(Equivalencia!$3:$3)-YEAR(X1296))*14)+MONTH(X1296)+2,FALSE)))</f>
        <v>1</v>
      </c>
      <c r="AB1296" s="306">
        <f t="shared" si="348"/>
        <v>175.94842105263155</v>
      </c>
      <c r="AC1296" s="305">
        <f>+IF(X1296=0,0,HLOOKUP(YEAR(X1296)+(MONTH(X1296)/100),TC!$5:$37,DAY(X1296)+2,FALSE))</f>
        <v>20.3063</v>
      </c>
      <c r="AD1296" s="307">
        <f t="shared" si="349"/>
        <v>3572.8614224210519</v>
      </c>
      <c r="AE1296" s="314">
        <f t="shared" si="350"/>
        <v>3048.4141781254871</v>
      </c>
      <c r="AF1296" s="315">
        <f t="shared" si="351"/>
        <v>524.44724429556481</v>
      </c>
      <c r="AG1296" s="316">
        <f t="shared" si="352"/>
        <v>1.0767123287671232</v>
      </c>
      <c r="AH1296" s="314">
        <v>1</v>
      </c>
      <c r="AI1296" s="314">
        <f t="shared" si="353"/>
        <v>524.44724429556481</v>
      </c>
      <c r="AJ1296" s="314">
        <f t="shared" si="354"/>
        <v>0</v>
      </c>
      <c r="AK1296" s="317"/>
      <c r="AL1296" s="315">
        <f t="shared" si="355"/>
        <v>31.712171052631561</v>
      </c>
      <c r="AN1296" s="554">
        <f t="shared" si="356"/>
        <v>0.2198626978490606</v>
      </c>
      <c r="AO1296" s="314"/>
      <c r="AP1296" s="318"/>
    </row>
    <row r="1297" spans="2:42">
      <c r="B1297" s="296" t="s">
        <v>1254</v>
      </c>
      <c r="C1297" s="299" t="s">
        <v>277</v>
      </c>
      <c r="D1297" s="298" t="s">
        <v>720</v>
      </c>
      <c r="E1297" s="299" t="s">
        <v>113</v>
      </c>
      <c r="F1297" s="299" t="s">
        <v>59</v>
      </c>
      <c r="G1297" s="300">
        <v>44221</v>
      </c>
      <c r="H1297" s="303">
        <v>625.02374999999995</v>
      </c>
      <c r="I1297" s="301" t="str">
        <f t="shared" si="340"/>
        <v>Ingresos Sección II LISR (SIC &amp; BMV)</v>
      </c>
      <c r="J1297" s="302">
        <f t="shared" si="341"/>
        <v>13</v>
      </c>
      <c r="K1297" s="304">
        <f t="shared" si="342"/>
        <v>48.078749999999999</v>
      </c>
      <c r="L1297" s="305">
        <f>IF(H1297=0,0,IF(OR(E1297=$AT$5,E1297=$AT$6),AA1297,IF(F1297="MXN",1/HLOOKUP(YEAR(G1297)+(MONTH(G1297)/100),TC!$5:$37,DAY(G1297)+2,FALSE),VLOOKUP(F1297,Equivalencia!$5:$23,((MAX(Equivalencia!$3:$3)-YEAR(G1297))*14)+MONTH(G1297)+2,FALSE))))</f>
        <v>1</v>
      </c>
      <c r="M1297" s="306">
        <f t="shared" si="343"/>
        <v>625.02374999999995</v>
      </c>
      <c r="N1297" s="305">
        <f>IF(G1297=0,0,(IF(OR(E1297=$AT$5,E1297=$AT$6),AC1297,HLOOKUP(YEAR(G1297)+(MONTH(G1297)/100),TC!$5:$37,DAY(G1297)+2,FALSE))))</f>
        <v>19.7393</v>
      </c>
      <c r="O1297" s="307">
        <f t="shared" si="344"/>
        <v>12337.531308374999</v>
      </c>
      <c r="P1297" s="560">
        <f>IF(G1297=0,0,VLOOKUP(YEAR(G1297),INPC!$B$4:$P$30,MONTH(G1297)+2))</f>
        <v>110.21</v>
      </c>
      <c r="Q1297" s="560">
        <f>IF(X1297=0,0,IF(OR(E1297=$AT$10,E1297=$AT$9),VLOOKUP(YEAR(X1297),INPC!$B$4:$P$30,MONTH(X1297)+1),VLOOKUP(YEAR(X1297),INPC!$B$4:$P$30,MONTH(X1297)+2,0)))</f>
        <v>118.002</v>
      </c>
      <c r="R1297" s="309">
        <f t="shared" si="345"/>
        <v>1.0707</v>
      </c>
      <c r="S1297" s="310">
        <f t="shared" si="346"/>
        <v>13209.79477187711</v>
      </c>
      <c r="T1297" s="555">
        <f t="shared" si="347"/>
        <v>1016.1380593751624</v>
      </c>
      <c r="U1297" s="311"/>
      <c r="V1297" s="312">
        <v>13</v>
      </c>
      <c r="W1297" s="299" t="s">
        <v>194</v>
      </c>
      <c r="X1297" s="300">
        <v>44614</v>
      </c>
      <c r="Y1297" s="299" t="s">
        <v>59</v>
      </c>
      <c r="Z1297" s="303">
        <v>764.63883720930232</v>
      </c>
      <c r="AA1297" s="305">
        <f>IF(Z1297=0,0,IF(Y1297="MXN",1/HLOOKUP(YEAR(X1297)+(MONTH(X1297)/100),TC!$5:$37,DAY(X1297)+2,FALSE),VLOOKUP(Y1297,Equivalencia!$1:$23,((MAX(Equivalencia!$3:$3)-YEAR(X1297))*14)+MONTH(X1297)+2,FALSE)))</f>
        <v>1</v>
      </c>
      <c r="AB1297" s="306">
        <f t="shared" si="348"/>
        <v>764.63883720930232</v>
      </c>
      <c r="AC1297" s="305">
        <f>+IF(X1297=0,0,HLOOKUP(YEAR(X1297)+(MONTH(X1297)/100),TC!$5:$37,DAY(X1297)+2,FALSE))</f>
        <v>20.3063</v>
      </c>
      <c r="AD1297" s="307">
        <f t="shared" si="349"/>
        <v>15526.985620023255</v>
      </c>
      <c r="AE1297" s="314">
        <f t="shared" si="350"/>
        <v>13209.79477187711</v>
      </c>
      <c r="AF1297" s="315">
        <f t="shared" si="351"/>
        <v>2317.1908481461451</v>
      </c>
      <c r="AG1297" s="316">
        <f t="shared" si="352"/>
        <v>1.0767123287671232</v>
      </c>
      <c r="AH1297" s="314">
        <v>1</v>
      </c>
      <c r="AI1297" s="314">
        <f t="shared" si="353"/>
        <v>2317.1908481461451</v>
      </c>
      <c r="AJ1297" s="314">
        <f t="shared" si="354"/>
        <v>0</v>
      </c>
      <c r="AK1297" s="317"/>
      <c r="AL1297" s="315">
        <f t="shared" si="355"/>
        <v>139.61508720930237</v>
      </c>
      <c r="AN1297" s="554">
        <f t="shared" si="356"/>
        <v>0.22337565126013592</v>
      </c>
      <c r="AO1297" s="314"/>
      <c r="AP1297" s="318"/>
    </row>
    <row r="1298" spans="2:42">
      <c r="B1298" s="296" t="s">
        <v>1254</v>
      </c>
      <c r="C1298" s="299" t="s">
        <v>277</v>
      </c>
      <c r="D1298" s="298" t="s">
        <v>720</v>
      </c>
      <c r="E1298" s="299" t="s">
        <v>113</v>
      </c>
      <c r="F1298" s="299" t="s">
        <v>59</v>
      </c>
      <c r="G1298" s="300">
        <v>44221</v>
      </c>
      <c r="H1298" s="303">
        <v>628.67999999999995</v>
      </c>
      <c r="I1298" s="301" t="str">
        <f t="shared" si="340"/>
        <v>Ingresos Sección II LISR (SIC &amp; BMV)</v>
      </c>
      <c r="J1298" s="302">
        <f t="shared" si="341"/>
        <v>13</v>
      </c>
      <c r="K1298" s="304">
        <f t="shared" si="342"/>
        <v>48.36</v>
      </c>
      <c r="L1298" s="305">
        <f>IF(H1298=0,0,IF(OR(E1298=$AT$5,E1298=$AT$6),AA1298,IF(F1298="MXN",1/HLOOKUP(YEAR(G1298)+(MONTH(G1298)/100),TC!$5:$37,DAY(G1298)+2,FALSE),VLOOKUP(F1298,Equivalencia!$5:$23,((MAX(Equivalencia!$3:$3)-YEAR(G1298))*14)+MONTH(G1298)+2,FALSE))))</f>
        <v>1</v>
      </c>
      <c r="M1298" s="306">
        <f t="shared" si="343"/>
        <v>628.67999999999995</v>
      </c>
      <c r="N1298" s="305">
        <f>IF(G1298=0,0,(IF(OR(E1298=$AT$5,E1298=$AT$6),AC1298,HLOOKUP(YEAR(G1298)+(MONTH(G1298)/100),TC!$5:$37,DAY(G1298)+2,FALSE))))</f>
        <v>19.7393</v>
      </c>
      <c r="O1298" s="307">
        <f t="shared" si="344"/>
        <v>12409.703124</v>
      </c>
      <c r="P1298" s="560">
        <f>IF(G1298=0,0,VLOOKUP(YEAR(G1298),INPC!$B$4:$P$30,MONTH(G1298)+2))</f>
        <v>110.21</v>
      </c>
      <c r="Q1298" s="560">
        <f>IF(X1298=0,0,IF(OR(E1298=$AT$10,E1298=$AT$9),VLOOKUP(YEAR(X1298),INPC!$B$4:$P$30,MONTH(X1298)+1),VLOOKUP(YEAR(X1298),INPC!$B$4:$P$30,MONTH(X1298)+2,0)))</f>
        <v>118.002</v>
      </c>
      <c r="R1298" s="309">
        <f t="shared" si="345"/>
        <v>1.0707</v>
      </c>
      <c r="S1298" s="310">
        <f t="shared" si="346"/>
        <v>13287.069134866799</v>
      </c>
      <c r="T1298" s="555">
        <f t="shared" si="347"/>
        <v>1022.0822411436</v>
      </c>
      <c r="U1298" s="311"/>
      <c r="V1298" s="312">
        <v>13</v>
      </c>
      <c r="W1298" s="299" t="s">
        <v>194</v>
      </c>
      <c r="X1298" s="300">
        <v>44614</v>
      </c>
      <c r="Y1298" s="299" t="s">
        <v>59</v>
      </c>
      <c r="Z1298" s="303">
        <v>764.63883720930232</v>
      </c>
      <c r="AA1298" s="305">
        <f>IF(Z1298=0,0,IF(Y1298="MXN",1/HLOOKUP(YEAR(X1298)+(MONTH(X1298)/100),TC!$5:$37,DAY(X1298)+2,FALSE),VLOOKUP(Y1298,Equivalencia!$1:$23,((MAX(Equivalencia!$3:$3)-YEAR(X1298))*14)+MONTH(X1298)+2,FALSE)))</f>
        <v>1</v>
      </c>
      <c r="AB1298" s="306">
        <f t="shared" si="348"/>
        <v>764.63883720930232</v>
      </c>
      <c r="AC1298" s="305">
        <f>+IF(X1298=0,0,HLOOKUP(YEAR(X1298)+(MONTH(X1298)/100),TC!$5:$37,DAY(X1298)+2,FALSE))</f>
        <v>20.3063</v>
      </c>
      <c r="AD1298" s="307">
        <f t="shared" si="349"/>
        <v>15526.985620023255</v>
      </c>
      <c r="AE1298" s="314">
        <f t="shared" si="350"/>
        <v>13287.069134866799</v>
      </c>
      <c r="AF1298" s="315">
        <f t="shared" si="351"/>
        <v>2239.9164851564565</v>
      </c>
      <c r="AG1298" s="316">
        <f t="shared" si="352"/>
        <v>1.0767123287671232</v>
      </c>
      <c r="AH1298" s="314">
        <v>1</v>
      </c>
      <c r="AI1298" s="314">
        <f t="shared" si="353"/>
        <v>2239.9164851564565</v>
      </c>
      <c r="AJ1298" s="314">
        <f t="shared" si="354"/>
        <v>0</v>
      </c>
      <c r="AK1298" s="317"/>
      <c r="AL1298" s="315">
        <f t="shared" si="355"/>
        <v>135.95883720930237</v>
      </c>
      <c r="AN1298" s="554">
        <f t="shared" si="356"/>
        <v>0.21626079596822292</v>
      </c>
      <c r="AO1298" s="314"/>
      <c r="AP1298" s="318"/>
    </row>
    <row r="1299" spans="2:42">
      <c r="B1299" s="296" t="s">
        <v>1254</v>
      </c>
      <c r="C1299" s="299" t="s">
        <v>277</v>
      </c>
      <c r="D1299" s="298" t="s">
        <v>720</v>
      </c>
      <c r="E1299" s="299" t="s">
        <v>113</v>
      </c>
      <c r="F1299" s="299" t="s">
        <v>59</v>
      </c>
      <c r="G1299" s="300">
        <v>44222</v>
      </c>
      <c r="H1299" s="303">
        <v>282.24</v>
      </c>
      <c r="I1299" s="301" t="str">
        <f t="shared" si="340"/>
        <v>Ingresos Sección II LISR (SIC &amp; BMV)</v>
      </c>
      <c r="J1299" s="302">
        <f t="shared" si="341"/>
        <v>6</v>
      </c>
      <c r="K1299" s="304">
        <f t="shared" si="342"/>
        <v>47.04</v>
      </c>
      <c r="L1299" s="305">
        <f>IF(H1299=0,0,IF(OR(E1299=$AT$5,E1299=$AT$6),AA1299,IF(F1299="MXN",1/HLOOKUP(YEAR(G1299)+(MONTH(G1299)/100),TC!$5:$37,DAY(G1299)+2,FALSE),VLOOKUP(F1299,Equivalencia!$5:$23,((MAX(Equivalencia!$3:$3)-YEAR(G1299))*14)+MONTH(G1299)+2,FALSE))))</f>
        <v>1</v>
      </c>
      <c r="M1299" s="306">
        <f t="shared" si="343"/>
        <v>282.24</v>
      </c>
      <c r="N1299" s="305">
        <f>IF(G1299=0,0,(IF(OR(E1299=$AT$5,E1299=$AT$6),AC1299,HLOOKUP(YEAR(G1299)+(MONTH(G1299)/100),TC!$5:$37,DAY(G1299)+2,FALSE))))</f>
        <v>19.9833</v>
      </c>
      <c r="O1299" s="307">
        <f t="shared" si="344"/>
        <v>5640.0865920000006</v>
      </c>
      <c r="P1299" s="560">
        <f>IF(G1299=0,0,VLOOKUP(YEAR(G1299),INPC!$B$4:$P$30,MONTH(G1299)+2))</f>
        <v>110.21</v>
      </c>
      <c r="Q1299" s="560">
        <f>IF(X1299=0,0,IF(OR(E1299=$AT$10,E1299=$AT$9),VLOOKUP(YEAR(X1299),INPC!$B$4:$P$30,MONTH(X1299)+1),VLOOKUP(YEAR(X1299),INPC!$B$4:$P$30,MONTH(X1299)+2,0)))</f>
        <v>118.002</v>
      </c>
      <c r="R1299" s="309">
        <f t="shared" si="345"/>
        <v>1.0707</v>
      </c>
      <c r="S1299" s="310">
        <f t="shared" si="346"/>
        <v>6038.8407140544005</v>
      </c>
      <c r="T1299" s="555">
        <f t="shared" si="347"/>
        <v>1006.4734523424</v>
      </c>
      <c r="U1299" s="311"/>
      <c r="V1299" s="312">
        <v>6</v>
      </c>
      <c r="W1299" s="299" t="s">
        <v>194</v>
      </c>
      <c r="X1299" s="300">
        <v>44614</v>
      </c>
      <c r="Y1299" s="299" t="s">
        <v>59</v>
      </c>
      <c r="Z1299" s="303">
        <v>352.91023255813957</v>
      </c>
      <c r="AA1299" s="305">
        <f>IF(Z1299=0,0,IF(Y1299="MXN",1/HLOOKUP(YEAR(X1299)+(MONTH(X1299)/100),TC!$5:$37,DAY(X1299)+2,FALSE),VLOOKUP(Y1299,Equivalencia!$1:$23,((MAX(Equivalencia!$3:$3)-YEAR(X1299))*14)+MONTH(X1299)+2,FALSE)))</f>
        <v>1</v>
      </c>
      <c r="AB1299" s="306">
        <f t="shared" si="348"/>
        <v>352.91023255813957</v>
      </c>
      <c r="AC1299" s="305">
        <f>+IF(X1299=0,0,HLOOKUP(YEAR(X1299)+(MONTH(X1299)/100),TC!$5:$37,DAY(X1299)+2,FALSE))</f>
        <v>20.3063</v>
      </c>
      <c r="AD1299" s="307">
        <f t="shared" si="349"/>
        <v>7166.30105539535</v>
      </c>
      <c r="AE1299" s="314">
        <f t="shared" si="350"/>
        <v>6038.8407140544005</v>
      </c>
      <c r="AF1299" s="315">
        <f t="shared" si="351"/>
        <v>1127.4603413409495</v>
      </c>
      <c r="AG1299" s="316">
        <f t="shared" si="352"/>
        <v>1.0739726027397261</v>
      </c>
      <c r="AH1299" s="314">
        <v>1</v>
      </c>
      <c r="AI1299" s="314">
        <f t="shared" si="353"/>
        <v>1127.4603413409495</v>
      </c>
      <c r="AJ1299" s="314">
        <f t="shared" si="354"/>
        <v>0</v>
      </c>
      <c r="AK1299" s="317"/>
      <c r="AL1299" s="315">
        <f t="shared" si="355"/>
        <v>70.67023255813956</v>
      </c>
      <c r="AN1299" s="554">
        <f t="shared" si="356"/>
        <v>0.25039056320202507</v>
      </c>
      <c r="AO1299" s="314"/>
      <c r="AP1299" s="318"/>
    </row>
    <row r="1300" spans="2:42">
      <c r="B1300" s="296" t="s">
        <v>1254</v>
      </c>
      <c r="C1300" s="299" t="s">
        <v>277</v>
      </c>
      <c r="D1300" s="298" t="s">
        <v>720</v>
      </c>
      <c r="E1300" s="299" t="s">
        <v>113</v>
      </c>
      <c r="F1300" s="299" t="s">
        <v>59</v>
      </c>
      <c r="G1300" s="300">
        <v>44222</v>
      </c>
      <c r="H1300" s="303">
        <v>47.04</v>
      </c>
      <c r="I1300" s="301" t="str">
        <f t="shared" si="340"/>
        <v>Ingresos Sección II LISR (SIC &amp; BMV)</v>
      </c>
      <c r="J1300" s="302">
        <f t="shared" si="341"/>
        <v>1</v>
      </c>
      <c r="K1300" s="304">
        <f t="shared" si="342"/>
        <v>47.04</v>
      </c>
      <c r="L1300" s="305">
        <f>IF(H1300=0,0,IF(OR(E1300=$AT$5,E1300=$AT$6),AA1300,IF(F1300="MXN",1/HLOOKUP(YEAR(G1300)+(MONTH(G1300)/100),TC!$5:$37,DAY(G1300)+2,FALSE),VLOOKUP(F1300,Equivalencia!$5:$23,((MAX(Equivalencia!$3:$3)-YEAR(G1300))*14)+MONTH(G1300)+2,FALSE))))</f>
        <v>1</v>
      </c>
      <c r="M1300" s="306">
        <f t="shared" si="343"/>
        <v>47.04</v>
      </c>
      <c r="N1300" s="305">
        <f>IF(G1300=0,0,(IF(OR(E1300=$AT$5,E1300=$AT$6),AC1300,HLOOKUP(YEAR(G1300)+(MONTH(G1300)/100),TC!$5:$37,DAY(G1300)+2,FALSE))))</f>
        <v>19.9833</v>
      </c>
      <c r="O1300" s="307">
        <f t="shared" si="344"/>
        <v>940.01443199999994</v>
      </c>
      <c r="P1300" s="560">
        <f>IF(G1300=0,0,VLOOKUP(YEAR(G1300),INPC!$B$4:$P$30,MONTH(G1300)+2))</f>
        <v>110.21</v>
      </c>
      <c r="Q1300" s="560">
        <f>IF(X1300=0,0,IF(OR(E1300=$AT$10,E1300=$AT$9),VLOOKUP(YEAR(X1300),INPC!$B$4:$P$30,MONTH(X1300)+1),VLOOKUP(YEAR(X1300),INPC!$B$4:$P$30,MONTH(X1300)+2,0)))</f>
        <v>118.002</v>
      </c>
      <c r="R1300" s="309">
        <f t="shared" si="345"/>
        <v>1.0707</v>
      </c>
      <c r="S1300" s="310">
        <f t="shared" si="346"/>
        <v>1006.4734523423999</v>
      </c>
      <c r="T1300" s="555">
        <f t="shared" si="347"/>
        <v>1006.4734523423999</v>
      </c>
      <c r="U1300" s="311"/>
      <c r="V1300" s="312">
        <v>1</v>
      </c>
      <c r="W1300" s="299" t="s">
        <v>194</v>
      </c>
      <c r="X1300" s="300">
        <v>44614</v>
      </c>
      <c r="Y1300" s="299" t="s">
        <v>59</v>
      </c>
      <c r="Z1300" s="303">
        <v>58.818372093023257</v>
      </c>
      <c r="AA1300" s="305">
        <f>IF(Z1300=0,0,IF(Y1300="MXN",1/HLOOKUP(YEAR(X1300)+(MONTH(X1300)/100),TC!$5:$37,DAY(X1300)+2,FALSE),VLOOKUP(Y1300,Equivalencia!$1:$23,((MAX(Equivalencia!$3:$3)-YEAR(X1300))*14)+MONTH(X1300)+2,FALSE)))</f>
        <v>1</v>
      </c>
      <c r="AB1300" s="306">
        <f t="shared" si="348"/>
        <v>58.818372093023257</v>
      </c>
      <c r="AC1300" s="305">
        <f>+IF(X1300=0,0,HLOOKUP(YEAR(X1300)+(MONTH(X1300)/100),TC!$5:$37,DAY(X1300)+2,FALSE))</f>
        <v>20.3063</v>
      </c>
      <c r="AD1300" s="307">
        <f t="shared" si="349"/>
        <v>1194.3835092325583</v>
      </c>
      <c r="AE1300" s="314">
        <f t="shared" si="350"/>
        <v>1006.4734523423999</v>
      </c>
      <c r="AF1300" s="315">
        <f t="shared" si="351"/>
        <v>187.91005689015833</v>
      </c>
      <c r="AG1300" s="316">
        <f t="shared" si="352"/>
        <v>1.0739726027397261</v>
      </c>
      <c r="AH1300" s="314">
        <v>1</v>
      </c>
      <c r="AI1300" s="314">
        <f t="shared" si="353"/>
        <v>187.91005689015833</v>
      </c>
      <c r="AJ1300" s="314">
        <f t="shared" si="354"/>
        <v>0</v>
      </c>
      <c r="AK1300" s="317"/>
      <c r="AL1300" s="315">
        <f t="shared" si="355"/>
        <v>11.778372093023258</v>
      </c>
      <c r="AN1300" s="554">
        <f t="shared" si="356"/>
        <v>0.25039056320202502</v>
      </c>
      <c r="AO1300" s="314"/>
      <c r="AP1300" s="318"/>
    </row>
    <row r="1301" spans="2:42">
      <c r="B1301" s="296" t="s">
        <v>1254</v>
      </c>
      <c r="C1301" s="299" t="s">
        <v>277</v>
      </c>
      <c r="D1301" s="298" t="s">
        <v>720</v>
      </c>
      <c r="E1301" s="299" t="s">
        <v>113</v>
      </c>
      <c r="F1301" s="299" t="s">
        <v>59</v>
      </c>
      <c r="G1301" s="300">
        <v>44222</v>
      </c>
      <c r="H1301" s="303">
        <v>472.37333333333333</v>
      </c>
      <c r="I1301" s="301" t="str">
        <f t="shared" si="340"/>
        <v>Ingresos Sección II LISR (SIC &amp; BMV)</v>
      </c>
      <c r="J1301" s="302">
        <f t="shared" si="341"/>
        <v>10</v>
      </c>
      <c r="K1301" s="304">
        <f t="shared" si="342"/>
        <v>47.237333333333332</v>
      </c>
      <c r="L1301" s="305">
        <f>IF(H1301=0,0,IF(OR(E1301=$AT$5,E1301=$AT$6),AA1301,IF(F1301="MXN",1/HLOOKUP(YEAR(G1301)+(MONTH(G1301)/100),TC!$5:$37,DAY(G1301)+2,FALSE),VLOOKUP(F1301,Equivalencia!$5:$23,((MAX(Equivalencia!$3:$3)-YEAR(G1301))*14)+MONTH(G1301)+2,FALSE))))</f>
        <v>1</v>
      </c>
      <c r="M1301" s="306">
        <f t="shared" si="343"/>
        <v>472.37333333333333</v>
      </c>
      <c r="N1301" s="305">
        <f>IF(G1301=0,0,(IF(OR(E1301=$AT$5,E1301=$AT$6),AC1301,HLOOKUP(YEAR(G1301)+(MONTH(G1301)/100),TC!$5:$37,DAY(G1301)+2,FALSE))))</f>
        <v>19.9833</v>
      </c>
      <c r="O1301" s="307">
        <f t="shared" si="344"/>
        <v>9439.5780319999994</v>
      </c>
      <c r="P1301" s="560">
        <f>IF(G1301=0,0,VLOOKUP(YEAR(G1301),INPC!$B$4:$P$30,MONTH(G1301)+2))</f>
        <v>110.21</v>
      </c>
      <c r="Q1301" s="560">
        <f>IF(X1301=0,0,IF(OR(E1301=$AT$10,E1301=$AT$9),VLOOKUP(YEAR(X1301),INPC!$B$4:$P$30,MONTH(X1301)+1),VLOOKUP(YEAR(X1301),INPC!$B$4:$P$30,MONTH(X1301)+2,0)))</f>
        <v>118.002</v>
      </c>
      <c r="R1301" s="309">
        <f t="shared" si="345"/>
        <v>1.0707</v>
      </c>
      <c r="S1301" s="310">
        <f t="shared" si="346"/>
        <v>10106.956198862399</v>
      </c>
      <c r="T1301" s="555">
        <f t="shared" si="347"/>
        <v>1010.6956198862399</v>
      </c>
      <c r="U1301" s="311"/>
      <c r="V1301" s="312">
        <v>10</v>
      </c>
      <c r="W1301" s="299" t="s">
        <v>194</v>
      </c>
      <c r="X1301" s="300">
        <v>44614</v>
      </c>
      <c r="Y1301" s="299" t="s">
        <v>59</v>
      </c>
      <c r="Z1301" s="303">
        <v>588.18372093023254</v>
      </c>
      <c r="AA1301" s="305">
        <f>IF(Z1301=0,0,IF(Y1301="MXN",1/HLOOKUP(YEAR(X1301)+(MONTH(X1301)/100),TC!$5:$37,DAY(X1301)+2,FALSE),VLOOKUP(Y1301,Equivalencia!$1:$23,((MAX(Equivalencia!$3:$3)-YEAR(X1301))*14)+MONTH(X1301)+2,FALSE)))</f>
        <v>1</v>
      </c>
      <c r="AB1301" s="306">
        <f t="shared" si="348"/>
        <v>588.18372093023254</v>
      </c>
      <c r="AC1301" s="305">
        <f>+IF(X1301=0,0,HLOOKUP(YEAR(X1301)+(MONTH(X1301)/100),TC!$5:$37,DAY(X1301)+2,FALSE))</f>
        <v>20.3063</v>
      </c>
      <c r="AD1301" s="307">
        <f t="shared" si="349"/>
        <v>11943.83509232558</v>
      </c>
      <c r="AE1301" s="314">
        <f t="shared" si="350"/>
        <v>10106.956198862399</v>
      </c>
      <c r="AF1301" s="315">
        <f t="shared" si="351"/>
        <v>1836.8788934631812</v>
      </c>
      <c r="AG1301" s="316">
        <f t="shared" si="352"/>
        <v>1.0739726027397261</v>
      </c>
      <c r="AH1301" s="314">
        <v>1</v>
      </c>
      <c r="AI1301" s="314">
        <f t="shared" si="353"/>
        <v>1836.8788934631812</v>
      </c>
      <c r="AJ1301" s="314">
        <f t="shared" si="354"/>
        <v>0</v>
      </c>
      <c r="AK1301" s="317"/>
      <c r="AL1301" s="315">
        <f t="shared" si="355"/>
        <v>115.8103875968992</v>
      </c>
      <c r="AN1301" s="554">
        <f t="shared" si="356"/>
        <v>0.24516707321235859</v>
      </c>
      <c r="AO1301" s="314"/>
      <c r="AP1301" s="318"/>
    </row>
    <row r="1302" spans="2:42">
      <c r="B1302" s="296" t="s">
        <v>1254</v>
      </c>
      <c r="C1302" s="299" t="s">
        <v>277</v>
      </c>
      <c r="D1302" s="298" t="s">
        <v>720</v>
      </c>
      <c r="E1302" s="299" t="s">
        <v>113</v>
      </c>
      <c r="F1302" s="299" t="s">
        <v>59</v>
      </c>
      <c r="G1302" s="300">
        <v>44222</v>
      </c>
      <c r="H1302" s="303">
        <v>236.18666666666667</v>
      </c>
      <c r="I1302" s="301" t="str">
        <f t="shared" si="340"/>
        <v>Ingresos Sección II LISR (SIC &amp; BMV)</v>
      </c>
      <c r="J1302" s="302">
        <f t="shared" si="341"/>
        <v>5</v>
      </c>
      <c r="K1302" s="304">
        <f t="shared" si="342"/>
        <v>47.237333333333332</v>
      </c>
      <c r="L1302" s="305">
        <f>IF(H1302=0,0,IF(OR(E1302=$AT$5,E1302=$AT$6),AA1302,IF(F1302="MXN",1/HLOOKUP(YEAR(G1302)+(MONTH(G1302)/100),TC!$5:$37,DAY(G1302)+2,FALSE),VLOOKUP(F1302,Equivalencia!$5:$23,((MAX(Equivalencia!$3:$3)-YEAR(G1302))*14)+MONTH(G1302)+2,FALSE))))</f>
        <v>1</v>
      </c>
      <c r="M1302" s="306">
        <f t="shared" si="343"/>
        <v>236.18666666666667</v>
      </c>
      <c r="N1302" s="305">
        <f>IF(G1302=0,0,(IF(OR(E1302=$AT$5,E1302=$AT$6),AC1302,HLOOKUP(YEAR(G1302)+(MONTH(G1302)/100),TC!$5:$37,DAY(G1302)+2,FALSE))))</f>
        <v>19.9833</v>
      </c>
      <c r="O1302" s="307">
        <f t="shared" si="344"/>
        <v>4719.7890159999997</v>
      </c>
      <c r="P1302" s="560">
        <f>IF(G1302=0,0,VLOOKUP(YEAR(G1302),INPC!$B$4:$P$30,MONTH(G1302)+2))</f>
        <v>110.21</v>
      </c>
      <c r="Q1302" s="560">
        <f>IF(X1302=0,0,IF(OR(E1302=$AT$10,E1302=$AT$9),VLOOKUP(YEAR(X1302),INPC!$B$4:$P$30,MONTH(X1302)+1),VLOOKUP(YEAR(X1302),INPC!$B$4:$P$30,MONTH(X1302)+2,0)))</f>
        <v>118.002</v>
      </c>
      <c r="R1302" s="309">
        <f t="shared" si="345"/>
        <v>1.0707</v>
      </c>
      <c r="S1302" s="310">
        <f t="shared" si="346"/>
        <v>5053.4780994311996</v>
      </c>
      <c r="T1302" s="555">
        <f t="shared" si="347"/>
        <v>1010.6956198862399</v>
      </c>
      <c r="U1302" s="311"/>
      <c r="V1302" s="312">
        <v>5</v>
      </c>
      <c r="W1302" s="299" t="s">
        <v>194</v>
      </c>
      <c r="X1302" s="300">
        <v>44614</v>
      </c>
      <c r="Y1302" s="299" t="s">
        <v>59</v>
      </c>
      <c r="Z1302" s="303">
        <v>293.05</v>
      </c>
      <c r="AA1302" s="305">
        <f>IF(Z1302=0,0,IF(Y1302="MXN",1/HLOOKUP(YEAR(X1302)+(MONTH(X1302)/100),TC!$5:$37,DAY(X1302)+2,FALSE),VLOOKUP(Y1302,Equivalencia!$1:$23,((MAX(Equivalencia!$3:$3)-YEAR(X1302))*14)+MONTH(X1302)+2,FALSE)))</f>
        <v>1</v>
      </c>
      <c r="AB1302" s="306">
        <f t="shared" si="348"/>
        <v>293.05</v>
      </c>
      <c r="AC1302" s="305">
        <f>+IF(X1302=0,0,HLOOKUP(YEAR(X1302)+(MONTH(X1302)/100),TC!$5:$37,DAY(X1302)+2,FALSE))</f>
        <v>20.3063</v>
      </c>
      <c r="AD1302" s="307">
        <f t="shared" si="349"/>
        <v>5950.7612150000004</v>
      </c>
      <c r="AE1302" s="314">
        <f t="shared" si="350"/>
        <v>5053.4780994311996</v>
      </c>
      <c r="AF1302" s="315">
        <f t="shared" si="351"/>
        <v>897.28311556880089</v>
      </c>
      <c r="AG1302" s="316">
        <f t="shared" si="352"/>
        <v>1.0739726027397261</v>
      </c>
      <c r="AH1302" s="314">
        <v>1</v>
      </c>
      <c r="AI1302" s="314">
        <f t="shared" si="353"/>
        <v>897.28311556880089</v>
      </c>
      <c r="AJ1302" s="314">
        <f t="shared" si="354"/>
        <v>0</v>
      </c>
      <c r="AK1302" s="317"/>
      <c r="AL1302" s="315">
        <f t="shared" si="355"/>
        <v>56.863333333333344</v>
      </c>
      <c r="AN1302" s="554">
        <f t="shared" si="356"/>
        <v>0.24075589928869826</v>
      </c>
      <c r="AO1302" s="314"/>
      <c r="AP1302" s="318"/>
    </row>
    <row r="1303" spans="2:42">
      <c r="B1303" s="296" t="s">
        <v>1254</v>
      </c>
      <c r="C1303" s="299" t="s">
        <v>277</v>
      </c>
      <c r="D1303" s="298" t="s">
        <v>720</v>
      </c>
      <c r="E1303" s="299" t="s">
        <v>113</v>
      </c>
      <c r="F1303" s="299" t="s">
        <v>59</v>
      </c>
      <c r="G1303" s="300">
        <v>44222</v>
      </c>
      <c r="H1303" s="303">
        <v>187.83555555555554</v>
      </c>
      <c r="I1303" s="301" t="str">
        <f t="shared" si="340"/>
        <v>Ingresos Sección II LISR (SIC &amp; BMV)</v>
      </c>
      <c r="J1303" s="302">
        <f t="shared" si="341"/>
        <v>4</v>
      </c>
      <c r="K1303" s="304">
        <f t="shared" si="342"/>
        <v>46.958888888888886</v>
      </c>
      <c r="L1303" s="305">
        <f>IF(H1303=0,0,IF(OR(E1303=$AT$5,E1303=$AT$6),AA1303,IF(F1303="MXN",1/HLOOKUP(YEAR(G1303)+(MONTH(G1303)/100),TC!$5:$37,DAY(G1303)+2,FALSE),VLOOKUP(F1303,Equivalencia!$5:$23,((MAX(Equivalencia!$3:$3)-YEAR(G1303))*14)+MONTH(G1303)+2,FALSE))))</f>
        <v>1</v>
      </c>
      <c r="M1303" s="306">
        <f t="shared" si="343"/>
        <v>187.83555555555554</v>
      </c>
      <c r="N1303" s="305">
        <f>IF(G1303=0,0,(IF(OR(E1303=$AT$5,E1303=$AT$6),AC1303,HLOOKUP(YEAR(G1303)+(MONTH(G1303)/100),TC!$5:$37,DAY(G1303)+2,FALSE))))</f>
        <v>19.9833</v>
      </c>
      <c r="O1303" s="307">
        <f t="shared" si="344"/>
        <v>3753.5742573333332</v>
      </c>
      <c r="P1303" s="560">
        <f>IF(G1303=0,0,VLOOKUP(YEAR(G1303),INPC!$B$4:$P$30,MONTH(G1303)+2))</f>
        <v>110.21</v>
      </c>
      <c r="Q1303" s="560">
        <f>IF(X1303=0,0,IF(OR(E1303=$AT$10,E1303=$AT$9),VLOOKUP(YEAR(X1303),INPC!$B$4:$P$30,MONTH(X1303)+1),VLOOKUP(YEAR(X1303),INPC!$B$4:$P$30,MONTH(X1303)+2,0)))</f>
        <v>118.002</v>
      </c>
      <c r="R1303" s="309">
        <f t="shared" si="345"/>
        <v>1.0707</v>
      </c>
      <c r="S1303" s="310">
        <f t="shared" si="346"/>
        <v>4018.9519573267999</v>
      </c>
      <c r="T1303" s="555">
        <f t="shared" si="347"/>
        <v>1004.7379893317</v>
      </c>
      <c r="U1303" s="311"/>
      <c r="V1303" s="312">
        <v>4</v>
      </c>
      <c r="W1303" s="299" t="s">
        <v>194</v>
      </c>
      <c r="X1303" s="300">
        <v>44614</v>
      </c>
      <c r="Y1303" s="299" t="s">
        <v>59</v>
      </c>
      <c r="Z1303" s="303">
        <v>234.44</v>
      </c>
      <c r="AA1303" s="305">
        <f>IF(Z1303=0,0,IF(Y1303="MXN",1/HLOOKUP(YEAR(X1303)+(MONTH(X1303)/100),TC!$5:$37,DAY(X1303)+2,FALSE),VLOOKUP(Y1303,Equivalencia!$1:$23,((MAX(Equivalencia!$3:$3)-YEAR(X1303))*14)+MONTH(X1303)+2,FALSE)))</f>
        <v>1</v>
      </c>
      <c r="AB1303" s="306">
        <f t="shared" si="348"/>
        <v>234.44</v>
      </c>
      <c r="AC1303" s="305">
        <f>+IF(X1303=0,0,HLOOKUP(YEAR(X1303)+(MONTH(X1303)/100),TC!$5:$37,DAY(X1303)+2,FALSE))</f>
        <v>20.3063</v>
      </c>
      <c r="AD1303" s="307">
        <f t="shared" si="349"/>
        <v>4760.608972</v>
      </c>
      <c r="AE1303" s="314">
        <f t="shared" si="350"/>
        <v>4018.9519573267999</v>
      </c>
      <c r="AF1303" s="315">
        <f t="shared" si="351"/>
        <v>741.65701467320014</v>
      </c>
      <c r="AG1303" s="316">
        <f t="shared" si="352"/>
        <v>1.0739726027397261</v>
      </c>
      <c r="AH1303" s="314">
        <v>1</v>
      </c>
      <c r="AI1303" s="314">
        <f t="shared" si="353"/>
        <v>741.65701467320014</v>
      </c>
      <c r="AJ1303" s="314">
        <f t="shared" si="354"/>
        <v>0</v>
      </c>
      <c r="AK1303" s="317"/>
      <c r="AL1303" s="315">
        <f t="shared" si="355"/>
        <v>46.604444444444454</v>
      </c>
      <c r="AN1303" s="554">
        <f t="shared" si="356"/>
        <v>0.24811300664884184</v>
      </c>
      <c r="AO1303" s="314"/>
      <c r="AP1303" s="318"/>
    </row>
    <row r="1304" spans="2:42">
      <c r="B1304" s="296" t="s">
        <v>1254</v>
      </c>
      <c r="C1304" s="299" t="s">
        <v>277</v>
      </c>
      <c r="D1304" s="298" t="s">
        <v>720</v>
      </c>
      <c r="E1304" s="299" t="s">
        <v>113</v>
      </c>
      <c r="F1304" s="299" t="s">
        <v>59</v>
      </c>
      <c r="G1304" s="300">
        <v>44222</v>
      </c>
      <c r="H1304" s="303">
        <v>234.79444444444442</v>
      </c>
      <c r="I1304" s="301" t="str">
        <f t="shared" si="340"/>
        <v>Ingresos Sección II LISR (SIC &amp; BMV)</v>
      </c>
      <c r="J1304" s="302">
        <f t="shared" si="341"/>
        <v>5</v>
      </c>
      <c r="K1304" s="304">
        <f t="shared" si="342"/>
        <v>46.958888888888886</v>
      </c>
      <c r="L1304" s="305">
        <f>IF(H1304=0,0,IF(OR(E1304=$AT$5,E1304=$AT$6),AA1304,IF(F1304="MXN",1/HLOOKUP(YEAR(G1304)+(MONTH(G1304)/100),TC!$5:$37,DAY(G1304)+2,FALSE),VLOOKUP(F1304,Equivalencia!$5:$23,((MAX(Equivalencia!$3:$3)-YEAR(G1304))*14)+MONTH(G1304)+2,FALSE))))</f>
        <v>1</v>
      </c>
      <c r="M1304" s="306">
        <f t="shared" si="343"/>
        <v>234.79444444444442</v>
      </c>
      <c r="N1304" s="305">
        <f>IF(G1304=0,0,(IF(OR(E1304=$AT$5,E1304=$AT$6),AC1304,HLOOKUP(YEAR(G1304)+(MONTH(G1304)/100),TC!$5:$37,DAY(G1304)+2,FALSE))))</f>
        <v>19.9833</v>
      </c>
      <c r="O1304" s="307">
        <f t="shared" si="344"/>
        <v>4691.9678216666662</v>
      </c>
      <c r="P1304" s="560">
        <f>IF(G1304=0,0,VLOOKUP(YEAR(G1304),INPC!$B$4:$P$30,MONTH(G1304)+2))</f>
        <v>110.21</v>
      </c>
      <c r="Q1304" s="560">
        <f>IF(X1304=0,0,IF(OR(E1304=$AT$10,E1304=$AT$9),VLOOKUP(YEAR(X1304),INPC!$B$4:$P$30,MONTH(X1304)+1),VLOOKUP(YEAR(X1304),INPC!$B$4:$P$30,MONTH(X1304)+2,0)))</f>
        <v>118.002</v>
      </c>
      <c r="R1304" s="309">
        <f t="shared" si="345"/>
        <v>1.0707</v>
      </c>
      <c r="S1304" s="310">
        <f t="shared" si="346"/>
        <v>5023.6899466584991</v>
      </c>
      <c r="T1304" s="555">
        <f t="shared" si="347"/>
        <v>1004.7379893316999</v>
      </c>
      <c r="U1304" s="311"/>
      <c r="V1304" s="312">
        <v>5</v>
      </c>
      <c r="W1304" s="299" t="s">
        <v>194</v>
      </c>
      <c r="X1304" s="300">
        <v>44615</v>
      </c>
      <c r="Y1304" s="299" t="s">
        <v>59</v>
      </c>
      <c r="Z1304" s="303">
        <v>288.06590909090909</v>
      </c>
      <c r="AA1304" s="305">
        <f>IF(Z1304=0,0,IF(Y1304="MXN",1/HLOOKUP(YEAR(X1304)+(MONTH(X1304)/100),TC!$5:$37,DAY(X1304)+2,FALSE),VLOOKUP(Y1304,Equivalencia!$1:$23,((MAX(Equivalencia!$3:$3)-YEAR(X1304))*14)+MONTH(X1304)+2,FALSE)))</f>
        <v>1</v>
      </c>
      <c r="AB1304" s="306">
        <f t="shared" si="348"/>
        <v>288.06590909090909</v>
      </c>
      <c r="AC1304" s="305">
        <f>+IF(X1304=0,0,HLOOKUP(YEAR(X1304)+(MONTH(X1304)/100),TC!$5:$37,DAY(X1304)+2,FALSE))</f>
        <v>20.282499999999999</v>
      </c>
      <c r="AD1304" s="307">
        <f t="shared" si="349"/>
        <v>5842.6968011363633</v>
      </c>
      <c r="AE1304" s="314">
        <f t="shared" si="350"/>
        <v>5023.6899466584991</v>
      </c>
      <c r="AF1304" s="315">
        <f t="shared" si="351"/>
        <v>819.00685447786418</v>
      </c>
      <c r="AG1304" s="316">
        <f t="shared" si="352"/>
        <v>1.0767123287671232</v>
      </c>
      <c r="AH1304" s="314">
        <v>1</v>
      </c>
      <c r="AI1304" s="314">
        <f t="shared" si="353"/>
        <v>819.00685447786418</v>
      </c>
      <c r="AJ1304" s="314">
        <f t="shared" si="354"/>
        <v>0</v>
      </c>
      <c r="AK1304" s="317"/>
      <c r="AL1304" s="315">
        <f t="shared" si="355"/>
        <v>53.271464646464665</v>
      </c>
      <c r="AN1304" s="554">
        <f t="shared" si="356"/>
        <v>0.22688554140415115</v>
      </c>
      <c r="AO1304" s="314"/>
      <c r="AP1304" s="318"/>
    </row>
    <row r="1305" spans="2:42">
      <c r="B1305" s="296" t="s">
        <v>1254</v>
      </c>
      <c r="C1305" s="299" t="s">
        <v>277</v>
      </c>
      <c r="D1305" s="298" t="s">
        <v>720</v>
      </c>
      <c r="E1305" s="299" t="s">
        <v>113</v>
      </c>
      <c r="F1305" s="299" t="s">
        <v>59</v>
      </c>
      <c r="G1305" s="300">
        <v>44222</v>
      </c>
      <c r="H1305" s="303">
        <v>1369.89</v>
      </c>
      <c r="I1305" s="301" t="str">
        <f t="shared" si="340"/>
        <v>Ingresos Sección II LISR (SIC &amp; BMV)</v>
      </c>
      <c r="J1305" s="302">
        <f t="shared" si="341"/>
        <v>29</v>
      </c>
      <c r="K1305" s="304">
        <f t="shared" si="342"/>
        <v>47.237586206896552</v>
      </c>
      <c r="L1305" s="305">
        <f>IF(H1305=0,0,IF(OR(E1305=$AT$5,E1305=$AT$6),AA1305,IF(F1305="MXN",1/HLOOKUP(YEAR(G1305)+(MONTH(G1305)/100),TC!$5:$37,DAY(G1305)+2,FALSE),VLOOKUP(F1305,Equivalencia!$5:$23,((MAX(Equivalencia!$3:$3)-YEAR(G1305))*14)+MONTH(G1305)+2,FALSE))))</f>
        <v>1</v>
      </c>
      <c r="M1305" s="306">
        <f t="shared" si="343"/>
        <v>1369.89</v>
      </c>
      <c r="N1305" s="305">
        <f>IF(G1305=0,0,(IF(OR(E1305=$AT$5,E1305=$AT$6),AC1305,HLOOKUP(YEAR(G1305)+(MONTH(G1305)/100),TC!$5:$37,DAY(G1305)+2,FALSE))))</f>
        <v>19.9833</v>
      </c>
      <c r="O1305" s="307">
        <f t="shared" si="344"/>
        <v>27374.922837000002</v>
      </c>
      <c r="P1305" s="560">
        <f>IF(G1305=0,0,VLOOKUP(YEAR(G1305),INPC!$B$4:$P$30,MONTH(G1305)+2))</f>
        <v>110.21</v>
      </c>
      <c r="Q1305" s="560">
        <f>IF(X1305=0,0,IF(OR(E1305=$AT$10,E1305=$AT$9),VLOOKUP(YEAR(X1305),INPC!$B$4:$P$30,MONTH(X1305)+1),VLOOKUP(YEAR(X1305),INPC!$B$4:$P$30,MONTH(X1305)+2,0)))</f>
        <v>118.002</v>
      </c>
      <c r="R1305" s="309">
        <f t="shared" si="345"/>
        <v>1.0707</v>
      </c>
      <c r="S1305" s="310">
        <f t="shared" si="346"/>
        <v>29310.329881575901</v>
      </c>
      <c r="T1305" s="555">
        <f t="shared" si="347"/>
        <v>1010.701030399169</v>
      </c>
      <c r="U1305" s="311"/>
      <c r="V1305" s="312">
        <v>29</v>
      </c>
      <c r="W1305" s="299" t="s">
        <v>194</v>
      </c>
      <c r="X1305" s="300">
        <v>44615</v>
      </c>
      <c r="Y1305" s="299" t="s">
        <v>59</v>
      </c>
      <c r="Z1305" s="303">
        <v>1670.7822727272728</v>
      </c>
      <c r="AA1305" s="305">
        <f>IF(Z1305=0,0,IF(Y1305="MXN",1/HLOOKUP(YEAR(X1305)+(MONTH(X1305)/100),TC!$5:$37,DAY(X1305)+2,FALSE),VLOOKUP(Y1305,Equivalencia!$1:$23,((MAX(Equivalencia!$3:$3)-YEAR(X1305))*14)+MONTH(X1305)+2,FALSE)))</f>
        <v>1</v>
      </c>
      <c r="AB1305" s="306">
        <f t="shared" si="348"/>
        <v>1670.7822727272728</v>
      </c>
      <c r="AC1305" s="305">
        <f>+IF(X1305=0,0,HLOOKUP(YEAR(X1305)+(MONTH(X1305)/100),TC!$5:$37,DAY(X1305)+2,FALSE))</f>
        <v>20.282499999999999</v>
      </c>
      <c r="AD1305" s="307">
        <f t="shared" si="349"/>
        <v>33887.641446590911</v>
      </c>
      <c r="AE1305" s="314">
        <f t="shared" si="350"/>
        <v>29310.329881575901</v>
      </c>
      <c r="AF1305" s="315">
        <f t="shared" si="351"/>
        <v>4577.3115650150103</v>
      </c>
      <c r="AG1305" s="316">
        <f t="shared" si="352"/>
        <v>1.0767123287671232</v>
      </c>
      <c r="AH1305" s="314">
        <v>1</v>
      </c>
      <c r="AI1305" s="314">
        <f t="shared" si="353"/>
        <v>4577.3115650150103</v>
      </c>
      <c r="AJ1305" s="314">
        <f t="shared" si="354"/>
        <v>0</v>
      </c>
      <c r="AK1305" s="317"/>
      <c r="AL1305" s="315">
        <f t="shared" si="355"/>
        <v>300.89227272727271</v>
      </c>
      <c r="AN1305" s="554">
        <f t="shared" si="356"/>
        <v>0.2196470320443778</v>
      </c>
      <c r="AO1305" s="314"/>
      <c r="AP1305" s="318"/>
    </row>
    <row r="1306" spans="2:42">
      <c r="B1306" s="296" t="s">
        <v>1254</v>
      </c>
      <c r="C1306" s="299" t="s">
        <v>277</v>
      </c>
      <c r="D1306" s="298" t="s">
        <v>720</v>
      </c>
      <c r="E1306" s="299" t="s">
        <v>113</v>
      </c>
      <c r="F1306" s="299" t="s">
        <v>59</v>
      </c>
      <c r="G1306" s="300">
        <v>44222</v>
      </c>
      <c r="H1306" s="303">
        <v>94.08</v>
      </c>
      <c r="I1306" s="301" t="str">
        <f t="shared" si="340"/>
        <v>Ingresos Sección II LISR (SIC &amp; BMV)</v>
      </c>
      <c r="J1306" s="302">
        <f t="shared" si="341"/>
        <v>2</v>
      </c>
      <c r="K1306" s="304">
        <f t="shared" si="342"/>
        <v>47.04</v>
      </c>
      <c r="L1306" s="305">
        <f>IF(H1306=0,0,IF(OR(E1306=$AT$5,E1306=$AT$6),AA1306,IF(F1306="MXN",1/HLOOKUP(YEAR(G1306)+(MONTH(G1306)/100),TC!$5:$37,DAY(G1306)+2,FALSE),VLOOKUP(F1306,Equivalencia!$5:$23,((MAX(Equivalencia!$3:$3)-YEAR(G1306))*14)+MONTH(G1306)+2,FALSE))))</f>
        <v>1</v>
      </c>
      <c r="M1306" s="306">
        <f t="shared" si="343"/>
        <v>94.08</v>
      </c>
      <c r="N1306" s="305">
        <f>IF(G1306=0,0,(IF(OR(E1306=$AT$5,E1306=$AT$6),AC1306,HLOOKUP(YEAR(G1306)+(MONTH(G1306)/100),TC!$5:$37,DAY(G1306)+2,FALSE))))</f>
        <v>19.9833</v>
      </c>
      <c r="O1306" s="307">
        <f t="shared" si="344"/>
        <v>1880.0288639999999</v>
      </c>
      <c r="P1306" s="560">
        <f>IF(G1306=0,0,VLOOKUP(YEAR(G1306),INPC!$B$4:$P$30,MONTH(G1306)+2))</f>
        <v>110.21</v>
      </c>
      <c r="Q1306" s="560">
        <f>IF(X1306=0,0,IF(OR(E1306=$AT$10,E1306=$AT$9),VLOOKUP(YEAR(X1306),INPC!$B$4:$P$30,MONTH(X1306)+1),VLOOKUP(YEAR(X1306),INPC!$B$4:$P$30,MONTH(X1306)+2,0)))</f>
        <v>118.002</v>
      </c>
      <c r="R1306" s="309">
        <f t="shared" si="345"/>
        <v>1.0707</v>
      </c>
      <c r="S1306" s="310">
        <f t="shared" si="346"/>
        <v>2012.9469046847998</v>
      </c>
      <c r="T1306" s="555">
        <f t="shared" si="347"/>
        <v>1006.4734523423999</v>
      </c>
      <c r="U1306" s="311"/>
      <c r="V1306" s="312">
        <v>2</v>
      </c>
      <c r="W1306" s="299" t="s">
        <v>194</v>
      </c>
      <c r="X1306" s="300">
        <v>44615</v>
      </c>
      <c r="Y1306" s="299" t="s">
        <v>59</v>
      </c>
      <c r="Z1306" s="303">
        <v>115.22636363636364</v>
      </c>
      <c r="AA1306" s="305">
        <f>IF(Z1306=0,0,IF(Y1306="MXN",1/HLOOKUP(YEAR(X1306)+(MONTH(X1306)/100),TC!$5:$37,DAY(X1306)+2,FALSE),VLOOKUP(Y1306,Equivalencia!$1:$23,((MAX(Equivalencia!$3:$3)-YEAR(X1306))*14)+MONTH(X1306)+2,FALSE)))</f>
        <v>1</v>
      </c>
      <c r="AB1306" s="306">
        <f t="shared" si="348"/>
        <v>115.22636363636364</v>
      </c>
      <c r="AC1306" s="305">
        <f>+IF(X1306=0,0,HLOOKUP(YEAR(X1306)+(MONTH(X1306)/100),TC!$5:$37,DAY(X1306)+2,FALSE))</f>
        <v>20.282499999999999</v>
      </c>
      <c r="AD1306" s="307">
        <f t="shared" si="349"/>
        <v>2337.0787204545454</v>
      </c>
      <c r="AE1306" s="314">
        <f t="shared" si="350"/>
        <v>2012.9469046847998</v>
      </c>
      <c r="AF1306" s="315">
        <f t="shared" si="351"/>
        <v>324.13181576974557</v>
      </c>
      <c r="AG1306" s="316">
        <f t="shared" si="352"/>
        <v>1.0767123287671232</v>
      </c>
      <c r="AH1306" s="314">
        <v>1</v>
      </c>
      <c r="AI1306" s="314">
        <f t="shared" si="353"/>
        <v>324.13181576974557</v>
      </c>
      <c r="AJ1306" s="314">
        <f t="shared" si="354"/>
        <v>0</v>
      </c>
      <c r="AK1306" s="317"/>
      <c r="AL1306" s="315">
        <f t="shared" si="355"/>
        <v>21.146363636363645</v>
      </c>
      <c r="AN1306" s="554">
        <f t="shared" si="356"/>
        <v>0.22477002164502174</v>
      </c>
      <c r="AO1306" s="314"/>
      <c r="AP1306" s="318"/>
    </row>
    <row r="1307" spans="2:42">
      <c r="B1307" s="296" t="s">
        <v>1254</v>
      </c>
      <c r="C1307" s="299" t="s">
        <v>277</v>
      </c>
      <c r="D1307" s="298" t="s">
        <v>720</v>
      </c>
      <c r="E1307" s="299" t="s">
        <v>113</v>
      </c>
      <c r="F1307" s="299" t="s">
        <v>59</v>
      </c>
      <c r="G1307" s="300">
        <v>44222</v>
      </c>
      <c r="H1307" s="303">
        <v>375.66933333333333</v>
      </c>
      <c r="I1307" s="301" t="str">
        <f t="shared" si="340"/>
        <v>Ingresos Sección II LISR (SIC &amp; BMV)</v>
      </c>
      <c r="J1307" s="302">
        <f t="shared" si="341"/>
        <v>8</v>
      </c>
      <c r="K1307" s="304">
        <f t="shared" si="342"/>
        <v>46.958666666666666</v>
      </c>
      <c r="L1307" s="305">
        <f>IF(H1307=0,0,IF(OR(E1307=$AT$5,E1307=$AT$6),AA1307,IF(F1307="MXN",1/HLOOKUP(YEAR(G1307)+(MONTH(G1307)/100),TC!$5:$37,DAY(G1307)+2,FALSE),VLOOKUP(F1307,Equivalencia!$5:$23,((MAX(Equivalencia!$3:$3)-YEAR(G1307))*14)+MONTH(G1307)+2,FALSE))))</f>
        <v>1</v>
      </c>
      <c r="M1307" s="306">
        <f t="shared" si="343"/>
        <v>375.66933333333333</v>
      </c>
      <c r="N1307" s="305">
        <f>IF(G1307=0,0,(IF(OR(E1307=$AT$5,E1307=$AT$6),AC1307,HLOOKUP(YEAR(G1307)+(MONTH(G1307)/100),TC!$5:$37,DAY(G1307)+2,FALSE))))</f>
        <v>19.9833</v>
      </c>
      <c r="O1307" s="307">
        <f t="shared" si="344"/>
        <v>7507.1129887999996</v>
      </c>
      <c r="P1307" s="560">
        <f>IF(G1307=0,0,VLOOKUP(YEAR(G1307),INPC!$B$4:$P$30,MONTH(G1307)+2))</f>
        <v>110.21</v>
      </c>
      <c r="Q1307" s="560">
        <f>IF(X1307=0,0,IF(OR(E1307=$AT$10,E1307=$AT$9),VLOOKUP(YEAR(X1307),INPC!$B$4:$P$30,MONTH(X1307)+1),VLOOKUP(YEAR(X1307),INPC!$B$4:$P$30,MONTH(X1307)+2,0)))</f>
        <v>118.002</v>
      </c>
      <c r="R1307" s="309">
        <f t="shared" si="345"/>
        <v>1.0707</v>
      </c>
      <c r="S1307" s="310">
        <f t="shared" si="346"/>
        <v>8037.8658771081591</v>
      </c>
      <c r="T1307" s="555">
        <f t="shared" si="347"/>
        <v>1004.7332346385199</v>
      </c>
      <c r="U1307" s="311"/>
      <c r="V1307" s="312">
        <v>8</v>
      </c>
      <c r="W1307" s="299" t="s">
        <v>194</v>
      </c>
      <c r="X1307" s="300">
        <v>44615</v>
      </c>
      <c r="Y1307" s="299" t="s">
        <v>59</v>
      </c>
      <c r="Z1307" s="303">
        <v>460.90545454545457</v>
      </c>
      <c r="AA1307" s="305">
        <f>IF(Z1307=0,0,IF(Y1307="MXN",1/HLOOKUP(YEAR(X1307)+(MONTH(X1307)/100),TC!$5:$37,DAY(X1307)+2,FALSE),VLOOKUP(Y1307,Equivalencia!$1:$23,((MAX(Equivalencia!$3:$3)-YEAR(X1307))*14)+MONTH(X1307)+2,FALSE)))</f>
        <v>1</v>
      </c>
      <c r="AB1307" s="306">
        <f t="shared" si="348"/>
        <v>460.90545454545457</v>
      </c>
      <c r="AC1307" s="305">
        <f>+IF(X1307=0,0,HLOOKUP(YEAR(X1307)+(MONTH(X1307)/100),TC!$5:$37,DAY(X1307)+2,FALSE))</f>
        <v>20.282499999999999</v>
      </c>
      <c r="AD1307" s="307">
        <f t="shared" si="349"/>
        <v>9348.3148818181817</v>
      </c>
      <c r="AE1307" s="314">
        <f t="shared" si="350"/>
        <v>8037.8658771081591</v>
      </c>
      <c r="AF1307" s="315">
        <f t="shared" si="351"/>
        <v>1310.4490047100226</v>
      </c>
      <c r="AG1307" s="316">
        <f t="shared" si="352"/>
        <v>1.0767123287671232</v>
      </c>
      <c r="AH1307" s="314">
        <v>1</v>
      </c>
      <c r="AI1307" s="314">
        <f t="shared" si="353"/>
        <v>1310.4490047100226</v>
      </c>
      <c r="AJ1307" s="314">
        <f t="shared" si="354"/>
        <v>0</v>
      </c>
      <c r="AK1307" s="317"/>
      <c r="AL1307" s="315">
        <f t="shared" si="355"/>
        <v>85.236121212121247</v>
      </c>
      <c r="AN1307" s="554">
        <f t="shared" si="356"/>
        <v>0.22689134738738656</v>
      </c>
      <c r="AO1307" s="314"/>
      <c r="AP1307" s="318"/>
    </row>
    <row r="1308" spans="2:42">
      <c r="B1308" s="296"/>
      <c r="C1308" s="299"/>
      <c r="D1308" s="298"/>
      <c r="E1308" s="299"/>
      <c r="F1308" s="299"/>
      <c r="G1308" s="300"/>
      <c r="H1308" s="303"/>
      <c r="I1308" s="301">
        <f t="shared" si="340"/>
        <v>0</v>
      </c>
      <c r="J1308" s="302">
        <f t="shared" si="341"/>
        <v>0</v>
      </c>
      <c r="K1308" s="304">
        <f t="shared" si="342"/>
        <v>0</v>
      </c>
      <c r="L1308" s="305">
        <f>IF(H1308=0,0,IF(OR(E1308=$AT$5,E1308=$AT$6),AA1308,IF(F1308="MXN",1/HLOOKUP(YEAR(G1308)+(MONTH(G1308)/100),TC!$5:$37,DAY(G1308)+2,FALSE),VLOOKUP(F1308,Equivalencia!$5:$23,((MAX(Equivalencia!$3:$3)-YEAR(G1308))*14)+MONTH(G1308)+2,FALSE))))</f>
        <v>0</v>
      </c>
      <c r="M1308" s="306">
        <f t="shared" si="343"/>
        <v>0</v>
      </c>
      <c r="N1308" s="305">
        <f>IF(G1308=0,0,(IF(OR(E1308=$AT$5,E1308=$AT$6),AC1308,HLOOKUP(YEAR(G1308)+(MONTH(G1308)/100),TC!$5:$37,DAY(G1308)+2,FALSE))))</f>
        <v>0</v>
      </c>
      <c r="O1308" s="307">
        <f t="shared" si="344"/>
        <v>0</v>
      </c>
      <c r="P1308" s="560">
        <f>IF(G1308=0,0,VLOOKUP(YEAR(G1308),INPC!$B$4:$P$30,MONTH(G1308)+2))</f>
        <v>0</v>
      </c>
      <c r="Q1308" s="560">
        <f>IF(X1308=0,0,IF(OR(E1308=$AT$10,E1308=$AT$9),VLOOKUP(YEAR(X1308),INPC!$B$4:$P$30,MONTH(X1308)+1),VLOOKUP(YEAR(X1308),INPC!$B$4:$P$30,MONTH(X1308)+2,0)))</f>
        <v>0</v>
      </c>
      <c r="R1308" s="309">
        <f t="shared" si="345"/>
        <v>0</v>
      </c>
      <c r="S1308" s="310">
        <f t="shared" si="346"/>
        <v>0</v>
      </c>
      <c r="T1308" s="555">
        <f t="shared" si="347"/>
        <v>0</v>
      </c>
      <c r="U1308" s="311"/>
      <c r="V1308" s="312"/>
      <c r="W1308" s="299"/>
      <c r="X1308" s="300"/>
      <c r="Y1308" s="299"/>
      <c r="Z1308" s="303"/>
      <c r="AA1308" s="305">
        <f>IF(Z1308=0,0,IF(Y1308="MXN",1/HLOOKUP(YEAR(X1308)+(MONTH(X1308)/100),TC!$5:$37,DAY(X1308)+2,FALSE),VLOOKUP(Y1308,Equivalencia!$1:$23,((MAX(Equivalencia!$3:$3)-YEAR(X1308))*14)+MONTH(X1308)+2,FALSE)))</f>
        <v>0</v>
      </c>
      <c r="AB1308" s="306">
        <f t="shared" si="348"/>
        <v>0</v>
      </c>
      <c r="AC1308" s="305">
        <f>+IF(X1308=0,0,HLOOKUP(YEAR(X1308)+(MONTH(X1308)/100),TC!$5:$37,DAY(X1308)+2,FALSE))</f>
        <v>0</v>
      </c>
      <c r="AD1308" s="307">
        <f t="shared" si="349"/>
        <v>0</v>
      </c>
      <c r="AE1308" s="314">
        <f t="shared" si="350"/>
        <v>0</v>
      </c>
      <c r="AF1308" s="315">
        <f t="shared" si="351"/>
        <v>0</v>
      </c>
      <c r="AG1308" s="316">
        <f t="shared" si="352"/>
        <v>0</v>
      </c>
      <c r="AH1308" s="314">
        <v>1</v>
      </c>
      <c r="AI1308" s="314">
        <f t="shared" si="353"/>
        <v>0</v>
      </c>
      <c r="AJ1308" s="314">
        <f t="shared" si="354"/>
        <v>0</v>
      </c>
      <c r="AK1308" s="317"/>
      <c r="AL1308" s="315">
        <f t="shared" si="355"/>
        <v>0</v>
      </c>
      <c r="AN1308" s="554">
        <f t="shared" si="356"/>
        <v>0</v>
      </c>
      <c r="AO1308" s="314"/>
      <c r="AP1308" s="318"/>
    </row>
    <row r="1309" spans="2:42">
      <c r="B1309" s="296"/>
      <c r="C1309" s="299"/>
      <c r="D1309" s="298"/>
      <c r="E1309" s="299"/>
      <c r="F1309" s="299"/>
      <c r="G1309" s="300"/>
      <c r="H1309" s="303"/>
      <c r="I1309" s="301">
        <f t="shared" si="340"/>
        <v>0</v>
      </c>
      <c r="J1309" s="302">
        <f t="shared" si="341"/>
        <v>0</v>
      </c>
      <c r="K1309" s="304">
        <f t="shared" si="342"/>
        <v>0</v>
      </c>
      <c r="L1309" s="305">
        <f>IF(H1309=0,0,IF(OR(E1309=$AT$5,E1309=$AT$6),AA1309,IF(F1309="MXN",1/HLOOKUP(YEAR(G1309)+(MONTH(G1309)/100),TC!$5:$37,DAY(G1309)+2,FALSE),VLOOKUP(F1309,Equivalencia!$5:$23,((MAX(Equivalencia!$3:$3)-YEAR(G1309))*14)+MONTH(G1309)+2,FALSE))))</f>
        <v>0</v>
      </c>
      <c r="M1309" s="306">
        <f t="shared" si="343"/>
        <v>0</v>
      </c>
      <c r="N1309" s="305">
        <f>IF(G1309=0,0,(IF(OR(E1309=$AT$5,E1309=$AT$6),AC1309,HLOOKUP(YEAR(G1309)+(MONTH(G1309)/100),TC!$5:$37,DAY(G1309)+2,FALSE))))</f>
        <v>0</v>
      </c>
      <c r="O1309" s="307">
        <f t="shared" si="344"/>
        <v>0</v>
      </c>
      <c r="P1309" s="560">
        <f>IF(G1309=0,0,VLOOKUP(YEAR(G1309),INPC!$B$4:$P$30,MONTH(G1309)+2))</f>
        <v>0</v>
      </c>
      <c r="Q1309" s="560">
        <f>IF(X1309=0,0,IF(OR(E1309=$AT$10,E1309=$AT$9),VLOOKUP(YEAR(X1309),INPC!$B$4:$P$30,MONTH(X1309)+1),VLOOKUP(YEAR(X1309),INPC!$B$4:$P$30,MONTH(X1309)+2,0)))</f>
        <v>0</v>
      </c>
      <c r="R1309" s="309">
        <f t="shared" si="345"/>
        <v>0</v>
      </c>
      <c r="S1309" s="310">
        <f t="shared" si="346"/>
        <v>0</v>
      </c>
      <c r="T1309" s="555">
        <f t="shared" si="347"/>
        <v>0</v>
      </c>
      <c r="U1309" s="311"/>
      <c r="V1309" s="312"/>
      <c r="W1309" s="299"/>
      <c r="X1309" s="300"/>
      <c r="Y1309" s="299"/>
      <c r="Z1309" s="303"/>
      <c r="AA1309" s="305">
        <f>IF(Z1309=0,0,IF(Y1309="MXN",1/HLOOKUP(YEAR(X1309)+(MONTH(X1309)/100),TC!$5:$37,DAY(X1309)+2,FALSE),VLOOKUP(Y1309,Equivalencia!$1:$23,((MAX(Equivalencia!$3:$3)-YEAR(X1309))*14)+MONTH(X1309)+2,FALSE)))</f>
        <v>0</v>
      </c>
      <c r="AB1309" s="306">
        <f t="shared" si="348"/>
        <v>0</v>
      </c>
      <c r="AC1309" s="305">
        <f>+IF(X1309=0,0,HLOOKUP(YEAR(X1309)+(MONTH(X1309)/100),TC!$5:$37,DAY(X1309)+2,FALSE))</f>
        <v>0</v>
      </c>
      <c r="AD1309" s="307">
        <f t="shared" si="349"/>
        <v>0</v>
      </c>
      <c r="AE1309" s="314">
        <f t="shared" si="350"/>
        <v>0</v>
      </c>
      <c r="AF1309" s="315">
        <f t="shared" si="351"/>
        <v>0</v>
      </c>
      <c r="AG1309" s="316">
        <f t="shared" si="352"/>
        <v>0</v>
      </c>
      <c r="AH1309" s="314">
        <v>1</v>
      </c>
      <c r="AI1309" s="314">
        <f t="shared" si="353"/>
        <v>0</v>
      </c>
      <c r="AJ1309" s="314">
        <f t="shared" si="354"/>
        <v>0</v>
      </c>
      <c r="AK1309" s="317"/>
      <c r="AL1309" s="315">
        <f t="shared" si="355"/>
        <v>0</v>
      </c>
      <c r="AN1309" s="554">
        <f t="shared" si="356"/>
        <v>0</v>
      </c>
      <c r="AO1309" s="314"/>
      <c r="AP1309" s="318"/>
    </row>
    <row r="1310" spans="2:42">
      <c r="B1310" s="296"/>
      <c r="C1310" s="299"/>
      <c r="D1310" s="298"/>
      <c r="E1310" s="299"/>
      <c r="F1310" s="299"/>
      <c r="G1310" s="300"/>
      <c r="H1310" s="303"/>
      <c r="I1310" s="301">
        <f t="shared" si="340"/>
        <v>0</v>
      </c>
      <c r="J1310" s="302">
        <f t="shared" si="341"/>
        <v>0</v>
      </c>
      <c r="K1310" s="304">
        <f t="shared" si="342"/>
        <v>0</v>
      </c>
      <c r="L1310" s="305">
        <f>IF(H1310=0,0,IF(OR(E1310=$AT$5,E1310=$AT$6),AA1310,IF(F1310="MXN",1/HLOOKUP(YEAR(G1310)+(MONTH(G1310)/100),TC!$5:$37,DAY(G1310)+2,FALSE),VLOOKUP(F1310,Equivalencia!$5:$23,((MAX(Equivalencia!$3:$3)-YEAR(G1310))*14)+MONTH(G1310)+2,FALSE))))</f>
        <v>0</v>
      </c>
      <c r="M1310" s="306">
        <f t="shared" si="343"/>
        <v>0</v>
      </c>
      <c r="N1310" s="305">
        <f>IF(G1310=0,0,(IF(OR(E1310=$AT$5,E1310=$AT$6),AC1310,HLOOKUP(YEAR(G1310)+(MONTH(G1310)/100),TC!$5:$37,DAY(G1310)+2,FALSE))))</f>
        <v>0</v>
      </c>
      <c r="O1310" s="307">
        <f t="shared" si="344"/>
        <v>0</v>
      </c>
      <c r="P1310" s="560">
        <f>IF(G1310=0,0,VLOOKUP(YEAR(G1310),INPC!$B$4:$P$30,MONTH(G1310)+2))</f>
        <v>0</v>
      </c>
      <c r="Q1310" s="560">
        <f>IF(X1310=0,0,IF(OR(E1310=$AT$10,E1310=$AT$9),VLOOKUP(YEAR(X1310),INPC!$B$4:$P$30,MONTH(X1310)+1),VLOOKUP(YEAR(X1310),INPC!$B$4:$P$30,MONTH(X1310)+2,0)))</f>
        <v>0</v>
      </c>
      <c r="R1310" s="309">
        <f t="shared" si="345"/>
        <v>0</v>
      </c>
      <c r="S1310" s="310">
        <f t="shared" si="346"/>
        <v>0</v>
      </c>
      <c r="T1310" s="555">
        <f t="shared" si="347"/>
        <v>0</v>
      </c>
      <c r="U1310" s="311"/>
      <c r="V1310" s="312"/>
      <c r="W1310" s="299"/>
      <c r="X1310" s="300"/>
      <c r="Y1310" s="299"/>
      <c r="Z1310" s="303"/>
      <c r="AA1310" s="305">
        <f>IF(Z1310=0,0,IF(Y1310="MXN",1/HLOOKUP(YEAR(X1310)+(MONTH(X1310)/100),TC!$5:$37,DAY(X1310)+2,FALSE),VLOOKUP(Y1310,Equivalencia!$1:$23,((MAX(Equivalencia!$3:$3)-YEAR(X1310))*14)+MONTH(X1310)+2,FALSE)))</f>
        <v>0</v>
      </c>
      <c r="AB1310" s="306">
        <f t="shared" si="348"/>
        <v>0</v>
      </c>
      <c r="AC1310" s="305">
        <f>+IF(X1310=0,0,HLOOKUP(YEAR(X1310)+(MONTH(X1310)/100),TC!$5:$37,DAY(X1310)+2,FALSE))</f>
        <v>0</v>
      </c>
      <c r="AD1310" s="307">
        <f t="shared" si="349"/>
        <v>0</v>
      </c>
      <c r="AE1310" s="314">
        <f t="shared" si="350"/>
        <v>0</v>
      </c>
      <c r="AF1310" s="315">
        <f t="shared" si="351"/>
        <v>0</v>
      </c>
      <c r="AG1310" s="316">
        <f t="shared" si="352"/>
        <v>0</v>
      </c>
      <c r="AH1310" s="314">
        <v>1</v>
      </c>
      <c r="AI1310" s="314">
        <f t="shared" si="353"/>
        <v>0</v>
      </c>
      <c r="AJ1310" s="314">
        <f t="shared" si="354"/>
        <v>0</v>
      </c>
      <c r="AK1310" s="317"/>
      <c r="AL1310" s="315">
        <f t="shared" si="355"/>
        <v>0</v>
      </c>
      <c r="AN1310" s="554">
        <f t="shared" si="356"/>
        <v>0</v>
      </c>
      <c r="AO1310" s="314"/>
      <c r="AP1310" s="318"/>
    </row>
    <row r="1311" spans="2:42">
      <c r="B1311" s="296"/>
      <c r="C1311" s="299"/>
      <c r="D1311" s="298"/>
      <c r="E1311" s="299"/>
      <c r="F1311" s="299"/>
      <c r="G1311" s="300"/>
      <c r="H1311" s="303"/>
      <c r="I1311" s="301">
        <f t="shared" si="340"/>
        <v>0</v>
      </c>
      <c r="J1311" s="302">
        <f t="shared" si="341"/>
        <v>0</v>
      </c>
      <c r="K1311" s="304">
        <f t="shared" si="342"/>
        <v>0</v>
      </c>
      <c r="L1311" s="305">
        <f>IF(H1311=0,0,IF(OR(E1311=$AT$5,E1311=$AT$6),AA1311,IF(F1311="MXN",1/HLOOKUP(YEAR(G1311)+(MONTH(G1311)/100),TC!$5:$37,DAY(G1311)+2,FALSE),VLOOKUP(F1311,Equivalencia!$5:$23,((MAX(Equivalencia!$3:$3)-YEAR(G1311))*14)+MONTH(G1311)+2,FALSE))))</f>
        <v>0</v>
      </c>
      <c r="M1311" s="306">
        <f t="shared" si="343"/>
        <v>0</v>
      </c>
      <c r="N1311" s="305">
        <f>IF(G1311=0,0,(IF(OR(E1311=$AT$5,E1311=$AT$6),AC1311,HLOOKUP(YEAR(G1311)+(MONTH(G1311)/100),TC!$5:$37,DAY(G1311)+2,FALSE))))</f>
        <v>0</v>
      </c>
      <c r="O1311" s="307">
        <f t="shared" si="344"/>
        <v>0</v>
      </c>
      <c r="P1311" s="560">
        <f>IF(G1311=0,0,VLOOKUP(YEAR(G1311),INPC!$B$4:$P$30,MONTH(G1311)+2))</f>
        <v>0</v>
      </c>
      <c r="Q1311" s="560">
        <f>IF(X1311=0,0,IF(OR(E1311=$AT$10,E1311=$AT$9),VLOOKUP(YEAR(X1311),INPC!$B$4:$P$30,MONTH(X1311)+1),VLOOKUP(YEAR(X1311),INPC!$B$4:$P$30,MONTH(X1311)+2,0)))</f>
        <v>0</v>
      </c>
      <c r="R1311" s="309">
        <f t="shared" si="345"/>
        <v>0</v>
      </c>
      <c r="S1311" s="310">
        <f t="shared" si="346"/>
        <v>0</v>
      </c>
      <c r="T1311" s="555">
        <f t="shared" si="347"/>
        <v>0</v>
      </c>
      <c r="U1311" s="311"/>
      <c r="V1311" s="312"/>
      <c r="W1311" s="299"/>
      <c r="X1311" s="300"/>
      <c r="Y1311" s="299"/>
      <c r="Z1311" s="303"/>
      <c r="AA1311" s="305">
        <f>IF(Z1311=0,0,IF(Y1311="MXN",1/HLOOKUP(YEAR(X1311)+(MONTH(X1311)/100),TC!$5:$37,DAY(X1311)+2,FALSE),VLOOKUP(Y1311,Equivalencia!$1:$23,((MAX(Equivalencia!$3:$3)-YEAR(X1311))*14)+MONTH(X1311)+2,FALSE)))</f>
        <v>0</v>
      </c>
      <c r="AB1311" s="306">
        <f t="shared" si="348"/>
        <v>0</v>
      </c>
      <c r="AC1311" s="305">
        <f>+IF(X1311=0,0,HLOOKUP(YEAR(X1311)+(MONTH(X1311)/100),TC!$5:$37,DAY(X1311)+2,FALSE))</f>
        <v>0</v>
      </c>
      <c r="AD1311" s="307">
        <f t="shared" si="349"/>
        <v>0</v>
      </c>
      <c r="AE1311" s="314">
        <f t="shared" si="350"/>
        <v>0</v>
      </c>
      <c r="AF1311" s="315">
        <f t="shared" si="351"/>
        <v>0</v>
      </c>
      <c r="AG1311" s="316">
        <f t="shared" si="352"/>
        <v>0</v>
      </c>
      <c r="AH1311" s="314">
        <v>1</v>
      </c>
      <c r="AI1311" s="314">
        <f t="shared" si="353"/>
        <v>0</v>
      </c>
      <c r="AJ1311" s="314">
        <f t="shared" si="354"/>
        <v>0</v>
      </c>
      <c r="AK1311" s="317"/>
      <c r="AL1311" s="315">
        <f t="shared" si="355"/>
        <v>0</v>
      </c>
      <c r="AN1311" s="554">
        <f t="shared" si="356"/>
        <v>0</v>
      </c>
      <c r="AO1311" s="314"/>
      <c r="AP1311" s="318"/>
    </row>
    <row r="1312" spans="2:42">
      <c r="B1312" s="296"/>
      <c r="C1312" s="299"/>
      <c r="D1312" s="298"/>
      <c r="E1312" s="299"/>
      <c r="F1312" s="299"/>
      <c r="G1312" s="300"/>
      <c r="H1312" s="303"/>
      <c r="I1312" s="301">
        <f t="shared" si="340"/>
        <v>0</v>
      </c>
      <c r="J1312" s="302">
        <f t="shared" si="341"/>
        <v>0</v>
      </c>
      <c r="K1312" s="304">
        <f t="shared" si="342"/>
        <v>0</v>
      </c>
      <c r="L1312" s="305">
        <f>IF(H1312=0,0,IF(OR(E1312=$AT$5,E1312=$AT$6),AA1312,IF(F1312="MXN",1/HLOOKUP(YEAR(G1312)+(MONTH(G1312)/100),TC!$5:$37,DAY(G1312)+2,FALSE),VLOOKUP(F1312,Equivalencia!$5:$23,((MAX(Equivalencia!$3:$3)-YEAR(G1312))*14)+MONTH(G1312)+2,FALSE))))</f>
        <v>0</v>
      </c>
      <c r="M1312" s="306">
        <f t="shared" si="343"/>
        <v>0</v>
      </c>
      <c r="N1312" s="305">
        <f>IF(G1312=0,0,(IF(OR(E1312=$AT$5,E1312=$AT$6),AC1312,HLOOKUP(YEAR(G1312)+(MONTH(G1312)/100),TC!$5:$37,DAY(G1312)+2,FALSE))))</f>
        <v>0</v>
      </c>
      <c r="O1312" s="307">
        <f t="shared" si="344"/>
        <v>0</v>
      </c>
      <c r="P1312" s="560">
        <f>IF(G1312=0,0,VLOOKUP(YEAR(G1312),INPC!$B$4:$P$30,MONTH(G1312)+2))</f>
        <v>0</v>
      </c>
      <c r="Q1312" s="560">
        <f>IF(X1312=0,0,IF(OR(E1312=$AT$10,E1312=$AT$9),VLOOKUP(YEAR(X1312),INPC!$B$4:$P$30,MONTH(X1312)+1),VLOOKUP(YEAR(X1312),INPC!$B$4:$P$30,MONTH(X1312)+2,0)))</f>
        <v>0</v>
      </c>
      <c r="R1312" s="309">
        <f t="shared" si="345"/>
        <v>0</v>
      </c>
      <c r="S1312" s="310">
        <f t="shared" si="346"/>
        <v>0</v>
      </c>
      <c r="T1312" s="555">
        <f t="shared" si="347"/>
        <v>0</v>
      </c>
      <c r="U1312" s="311"/>
      <c r="V1312" s="312"/>
      <c r="W1312" s="299"/>
      <c r="X1312" s="300"/>
      <c r="Y1312" s="299"/>
      <c r="Z1312" s="303"/>
      <c r="AA1312" s="305">
        <f>IF(Z1312=0,0,IF(Y1312="MXN",1/HLOOKUP(YEAR(X1312)+(MONTH(X1312)/100),TC!$5:$37,DAY(X1312)+2,FALSE),VLOOKUP(Y1312,Equivalencia!$1:$23,((MAX(Equivalencia!$3:$3)-YEAR(X1312))*14)+MONTH(X1312)+2,FALSE)))</f>
        <v>0</v>
      </c>
      <c r="AB1312" s="306">
        <f t="shared" si="348"/>
        <v>0</v>
      </c>
      <c r="AC1312" s="305">
        <f>+IF(X1312=0,0,HLOOKUP(YEAR(X1312)+(MONTH(X1312)/100),TC!$5:$37,DAY(X1312)+2,FALSE))</f>
        <v>0</v>
      </c>
      <c r="AD1312" s="307">
        <f t="shared" si="349"/>
        <v>0</v>
      </c>
      <c r="AE1312" s="314">
        <f t="shared" si="350"/>
        <v>0</v>
      </c>
      <c r="AF1312" s="315">
        <f t="shared" si="351"/>
        <v>0</v>
      </c>
      <c r="AG1312" s="316">
        <f t="shared" si="352"/>
        <v>0</v>
      </c>
      <c r="AH1312" s="314">
        <v>1</v>
      </c>
      <c r="AI1312" s="314">
        <f t="shared" si="353"/>
        <v>0</v>
      </c>
      <c r="AJ1312" s="314">
        <f t="shared" si="354"/>
        <v>0</v>
      </c>
      <c r="AK1312" s="317"/>
      <c r="AL1312" s="315">
        <f t="shared" si="355"/>
        <v>0</v>
      </c>
      <c r="AN1312" s="554">
        <f t="shared" si="356"/>
        <v>0</v>
      </c>
      <c r="AO1312" s="314"/>
      <c r="AP1312" s="318"/>
    </row>
    <row r="1313" spans="2:42">
      <c r="B1313" s="296"/>
      <c r="C1313" s="299"/>
      <c r="D1313" s="298"/>
      <c r="E1313" s="299"/>
      <c r="F1313" s="299"/>
      <c r="G1313" s="300"/>
      <c r="H1313" s="303"/>
      <c r="I1313" s="301">
        <f t="shared" si="340"/>
        <v>0</v>
      </c>
      <c r="J1313" s="302">
        <f t="shared" si="341"/>
        <v>0</v>
      </c>
      <c r="K1313" s="304">
        <f t="shared" si="342"/>
        <v>0</v>
      </c>
      <c r="L1313" s="305">
        <f>IF(H1313=0,0,IF(OR(E1313=$AT$5,E1313=$AT$6),AA1313,IF(F1313="MXN",1/HLOOKUP(YEAR(G1313)+(MONTH(G1313)/100),TC!$5:$37,DAY(G1313)+2,FALSE),VLOOKUP(F1313,Equivalencia!$5:$23,((MAX(Equivalencia!$3:$3)-YEAR(G1313))*14)+MONTH(G1313)+2,FALSE))))</f>
        <v>0</v>
      </c>
      <c r="M1313" s="306">
        <f t="shared" si="343"/>
        <v>0</v>
      </c>
      <c r="N1313" s="305">
        <f>IF(G1313=0,0,(IF(OR(E1313=$AT$5,E1313=$AT$6),AC1313,HLOOKUP(YEAR(G1313)+(MONTH(G1313)/100),TC!$5:$37,DAY(G1313)+2,FALSE))))</f>
        <v>0</v>
      </c>
      <c r="O1313" s="307">
        <f t="shared" si="344"/>
        <v>0</v>
      </c>
      <c r="P1313" s="560">
        <f>IF(G1313=0,0,VLOOKUP(YEAR(G1313),INPC!$B$4:$P$30,MONTH(G1313)+2))</f>
        <v>0</v>
      </c>
      <c r="Q1313" s="560">
        <f>IF(X1313=0,0,IF(OR(E1313=$AT$10,E1313=$AT$9),VLOOKUP(YEAR(X1313),INPC!$B$4:$P$30,MONTH(X1313)+1),VLOOKUP(YEAR(X1313),INPC!$B$4:$P$30,MONTH(X1313)+2,0)))</f>
        <v>0</v>
      </c>
      <c r="R1313" s="309">
        <f t="shared" si="345"/>
        <v>0</v>
      </c>
      <c r="S1313" s="310">
        <f t="shared" si="346"/>
        <v>0</v>
      </c>
      <c r="T1313" s="555">
        <f t="shared" si="347"/>
        <v>0</v>
      </c>
      <c r="U1313" s="311"/>
      <c r="V1313" s="312"/>
      <c r="W1313" s="299"/>
      <c r="X1313" s="300"/>
      <c r="Y1313" s="299"/>
      <c r="Z1313" s="303"/>
      <c r="AA1313" s="305">
        <f>IF(Z1313=0,0,IF(Y1313="MXN",1/HLOOKUP(YEAR(X1313)+(MONTH(X1313)/100),TC!$5:$37,DAY(X1313)+2,FALSE),VLOOKUP(Y1313,Equivalencia!$1:$23,((MAX(Equivalencia!$3:$3)-YEAR(X1313))*14)+MONTH(X1313)+2,FALSE)))</f>
        <v>0</v>
      </c>
      <c r="AB1313" s="306">
        <f t="shared" si="348"/>
        <v>0</v>
      </c>
      <c r="AC1313" s="305">
        <f>+IF(X1313=0,0,HLOOKUP(YEAR(X1313)+(MONTH(X1313)/100),TC!$5:$37,DAY(X1313)+2,FALSE))</f>
        <v>0</v>
      </c>
      <c r="AD1313" s="307">
        <f t="shared" si="349"/>
        <v>0</v>
      </c>
      <c r="AE1313" s="314">
        <f t="shared" si="350"/>
        <v>0</v>
      </c>
      <c r="AF1313" s="315">
        <f t="shared" si="351"/>
        <v>0</v>
      </c>
      <c r="AG1313" s="316">
        <f t="shared" si="352"/>
        <v>0</v>
      </c>
      <c r="AH1313" s="314">
        <v>1</v>
      </c>
      <c r="AI1313" s="314">
        <f t="shared" si="353"/>
        <v>0</v>
      </c>
      <c r="AJ1313" s="314">
        <f t="shared" si="354"/>
        <v>0</v>
      </c>
      <c r="AK1313" s="317"/>
      <c r="AL1313" s="315">
        <f t="shared" si="355"/>
        <v>0</v>
      </c>
      <c r="AN1313" s="554">
        <f t="shared" si="356"/>
        <v>0</v>
      </c>
      <c r="AO1313" s="314"/>
      <c r="AP1313" s="318"/>
    </row>
    <row r="1314" spans="2:42">
      <c r="B1314" s="296"/>
      <c r="C1314" s="299"/>
      <c r="D1314" s="298"/>
      <c r="E1314" s="299"/>
      <c r="F1314" s="299"/>
      <c r="G1314" s="300"/>
      <c r="H1314" s="303"/>
      <c r="I1314" s="301">
        <f t="shared" si="340"/>
        <v>0</v>
      </c>
      <c r="J1314" s="302">
        <f t="shared" si="341"/>
        <v>0</v>
      </c>
      <c r="K1314" s="304">
        <f t="shared" si="342"/>
        <v>0</v>
      </c>
      <c r="L1314" s="305">
        <f>IF(H1314=0,0,IF(OR(E1314=$AT$5,E1314=$AT$6),AA1314,IF(F1314="MXN",1/HLOOKUP(YEAR(G1314)+(MONTH(G1314)/100),TC!$5:$37,DAY(G1314)+2,FALSE),VLOOKUP(F1314,Equivalencia!$5:$23,((MAX(Equivalencia!$3:$3)-YEAR(G1314))*14)+MONTH(G1314)+2,FALSE))))</f>
        <v>0</v>
      </c>
      <c r="M1314" s="306">
        <f t="shared" si="343"/>
        <v>0</v>
      </c>
      <c r="N1314" s="305">
        <f>IF(G1314=0,0,(IF(OR(E1314=$AT$5,E1314=$AT$6),AC1314,HLOOKUP(YEAR(G1314)+(MONTH(G1314)/100),TC!$5:$37,DAY(G1314)+2,FALSE))))</f>
        <v>0</v>
      </c>
      <c r="O1314" s="307">
        <f t="shared" si="344"/>
        <v>0</v>
      </c>
      <c r="P1314" s="560">
        <f>IF(G1314=0,0,VLOOKUP(YEAR(G1314),INPC!$B$4:$P$30,MONTH(G1314)+2))</f>
        <v>0</v>
      </c>
      <c r="Q1314" s="560">
        <f>IF(X1314=0,0,IF(OR(E1314=$AT$10,E1314=$AT$9),VLOOKUP(YEAR(X1314),INPC!$B$4:$P$30,MONTH(X1314)+1),VLOOKUP(YEAR(X1314),INPC!$B$4:$P$30,MONTH(X1314)+2,0)))</f>
        <v>0</v>
      </c>
      <c r="R1314" s="309">
        <f t="shared" si="345"/>
        <v>0</v>
      </c>
      <c r="S1314" s="310">
        <f t="shared" si="346"/>
        <v>0</v>
      </c>
      <c r="T1314" s="555">
        <f t="shared" si="347"/>
        <v>0</v>
      </c>
      <c r="U1314" s="311"/>
      <c r="V1314" s="312"/>
      <c r="W1314" s="299"/>
      <c r="X1314" s="300"/>
      <c r="Y1314" s="299"/>
      <c r="Z1314" s="303"/>
      <c r="AA1314" s="305">
        <f>IF(Z1314=0,0,IF(Y1314="MXN",1/HLOOKUP(YEAR(X1314)+(MONTH(X1314)/100),TC!$5:$37,DAY(X1314)+2,FALSE),VLOOKUP(Y1314,Equivalencia!$1:$23,((MAX(Equivalencia!$3:$3)-YEAR(X1314))*14)+MONTH(X1314)+2,FALSE)))</f>
        <v>0</v>
      </c>
      <c r="AB1314" s="306">
        <f t="shared" si="348"/>
        <v>0</v>
      </c>
      <c r="AC1314" s="305">
        <f>+IF(X1314=0,0,HLOOKUP(YEAR(X1314)+(MONTH(X1314)/100),TC!$5:$37,DAY(X1314)+2,FALSE))</f>
        <v>0</v>
      </c>
      <c r="AD1314" s="307">
        <f t="shared" si="349"/>
        <v>0</v>
      </c>
      <c r="AE1314" s="314">
        <f t="shared" si="350"/>
        <v>0</v>
      </c>
      <c r="AF1314" s="315">
        <f t="shared" si="351"/>
        <v>0</v>
      </c>
      <c r="AG1314" s="316">
        <f t="shared" si="352"/>
        <v>0</v>
      </c>
      <c r="AH1314" s="314">
        <v>1</v>
      </c>
      <c r="AI1314" s="314">
        <f t="shared" si="353"/>
        <v>0</v>
      </c>
      <c r="AJ1314" s="314">
        <f t="shared" si="354"/>
        <v>0</v>
      </c>
      <c r="AK1314" s="317"/>
      <c r="AL1314" s="315">
        <f t="shared" si="355"/>
        <v>0</v>
      </c>
      <c r="AN1314" s="554">
        <f t="shared" si="356"/>
        <v>0</v>
      </c>
      <c r="AO1314" s="314"/>
      <c r="AP1314" s="318"/>
    </row>
    <row r="1315" spans="2:42">
      <c r="B1315" s="296"/>
      <c r="C1315" s="299"/>
      <c r="D1315" s="298"/>
      <c r="E1315" s="299"/>
      <c r="F1315" s="299"/>
      <c r="G1315" s="300"/>
      <c r="H1315" s="303"/>
      <c r="I1315" s="301">
        <f t="shared" si="340"/>
        <v>0</v>
      </c>
      <c r="J1315" s="302">
        <f t="shared" si="341"/>
        <v>0</v>
      </c>
      <c r="K1315" s="304">
        <f t="shared" si="342"/>
        <v>0</v>
      </c>
      <c r="L1315" s="305">
        <f>IF(H1315=0,0,IF(OR(E1315=$AT$5,E1315=$AT$6),AA1315,IF(F1315="MXN",1/HLOOKUP(YEAR(G1315)+(MONTH(G1315)/100),TC!$5:$37,DAY(G1315)+2,FALSE),VLOOKUP(F1315,Equivalencia!$5:$23,((MAX(Equivalencia!$3:$3)-YEAR(G1315))*14)+MONTH(G1315)+2,FALSE))))</f>
        <v>0</v>
      </c>
      <c r="M1315" s="306">
        <f t="shared" si="343"/>
        <v>0</v>
      </c>
      <c r="N1315" s="305">
        <f>IF(G1315=0,0,(IF(OR(E1315=$AT$5,E1315=$AT$6),AC1315,HLOOKUP(YEAR(G1315)+(MONTH(G1315)/100),TC!$5:$37,DAY(G1315)+2,FALSE))))</f>
        <v>0</v>
      </c>
      <c r="O1315" s="307">
        <f t="shared" si="344"/>
        <v>0</v>
      </c>
      <c r="P1315" s="560">
        <f>IF(G1315=0,0,VLOOKUP(YEAR(G1315),INPC!$B$4:$P$30,MONTH(G1315)+2))</f>
        <v>0</v>
      </c>
      <c r="Q1315" s="560">
        <f>IF(X1315=0,0,IF(OR(E1315=$AT$10,E1315=$AT$9),VLOOKUP(YEAR(X1315),INPC!$B$4:$P$30,MONTH(X1315)+1),VLOOKUP(YEAR(X1315),INPC!$B$4:$P$30,MONTH(X1315)+2,0)))</f>
        <v>0</v>
      </c>
      <c r="R1315" s="309">
        <f t="shared" si="345"/>
        <v>0</v>
      </c>
      <c r="S1315" s="310">
        <f t="shared" si="346"/>
        <v>0</v>
      </c>
      <c r="T1315" s="555">
        <f t="shared" si="347"/>
        <v>0</v>
      </c>
      <c r="U1315" s="311"/>
      <c r="V1315" s="312"/>
      <c r="W1315" s="299"/>
      <c r="X1315" s="300"/>
      <c r="Y1315" s="299"/>
      <c r="Z1315" s="303"/>
      <c r="AA1315" s="305">
        <f>IF(Z1315=0,0,IF(Y1315="MXN",1/HLOOKUP(YEAR(X1315)+(MONTH(X1315)/100),TC!$5:$37,DAY(X1315)+2,FALSE),VLOOKUP(Y1315,Equivalencia!$1:$23,((MAX(Equivalencia!$3:$3)-YEAR(X1315))*14)+MONTH(X1315)+2,FALSE)))</f>
        <v>0</v>
      </c>
      <c r="AB1315" s="306">
        <f t="shared" si="348"/>
        <v>0</v>
      </c>
      <c r="AC1315" s="305">
        <f>+IF(X1315=0,0,HLOOKUP(YEAR(X1315)+(MONTH(X1315)/100),TC!$5:$37,DAY(X1315)+2,FALSE))</f>
        <v>0</v>
      </c>
      <c r="AD1315" s="307">
        <f t="shared" si="349"/>
        <v>0</v>
      </c>
      <c r="AE1315" s="314">
        <f t="shared" si="350"/>
        <v>0</v>
      </c>
      <c r="AF1315" s="315">
        <f t="shared" si="351"/>
        <v>0</v>
      </c>
      <c r="AG1315" s="316">
        <f t="shared" si="352"/>
        <v>0</v>
      </c>
      <c r="AH1315" s="314">
        <v>1</v>
      </c>
      <c r="AI1315" s="314">
        <f t="shared" si="353"/>
        <v>0</v>
      </c>
      <c r="AJ1315" s="314">
        <f t="shared" si="354"/>
        <v>0</v>
      </c>
      <c r="AK1315" s="317"/>
      <c r="AL1315" s="315">
        <f t="shared" si="355"/>
        <v>0</v>
      </c>
      <c r="AN1315" s="554">
        <f t="shared" si="356"/>
        <v>0</v>
      </c>
      <c r="AO1315" s="314"/>
      <c r="AP1315" s="318"/>
    </row>
    <row r="1316" spans="2:42">
      <c r="B1316" s="296"/>
      <c r="C1316" s="299"/>
      <c r="D1316" s="298"/>
      <c r="E1316" s="299"/>
      <c r="F1316" s="299"/>
      <c r="G1316" s="300"/>
      <c r="H1316" s="303"/>
      <c r="I1316" s="301">
        <f t="shared" si="340"/>
        <v>0</v>
      </c>
      <c r="J1316" s="302">
        <f t="shared" si="341"/>
        <v>0</v>
      </c>
      <c r="K1316" s="304">
        <f t="shared" si="342"/>
        <v>0</v>
      </c>
      <c r="L1316" s="305">
        <f>IF(H1316=0,0,IF(OR(E1316=$AT$5,E1316=$AT$6),AA1316,IF(F1316="MXN",1/HLOOKUP(YEAR(G1316)+(MONTH(G1316)/100),TC!$5:$37,DAY(G1316)+2,FALSE),VLOOKUP(F1316,Equivalencia!$5:$23,((MAX(Equivalencia!$3:$3)-YEAR(G1316))*14)+MONTH(G1316)+2,FALSE))))</f>
        <v>0</v>
      </c>
      <c r="M1316" s="306">
        <f t="shared" si="343"/>
        <v>0</v>
      </c>
      <c r="N1316" s="305">
        <f>IF(G1316=0,0,(IF(OR(E1316=$AT$5,E1316=$AT$6),AC1316,HLOOKUP(YEAR(G1316)+(MONTH(G1316)/100),TC!$5:$37,DAY(G1316)+2,FALSE))))</f>
        <v>0</v>
      </c>
      <c r="O1316" s="307">
        <f t="shared" si="344"/>
        <v>0</v>
      </c>
      <c r="P1316" s="560">
        <f>IF(G1316=0,0,VLOOKUP(YEAR(G1316),INPC!$B$4:$P$30,MONTH(G1316)+2))</f>
        <v>0</v>
      </c>
      <c r="Q1316" s="560">
        <f>IF(X1316=0,0,IF(OR(E1316=$AT$10,E1316=$AT$9),VLOOKUP(YEAR(X1316),INPC!$B$4:$P$30,MONTH(X1316)+1),VLOOKUP(YEAR(X1316),INPC!$B$4:$P$30,MONTH(X1316)+2,0)))</f>
        <v>0</v>
      </c>
      <c r="R1316" s="309">
        <f t="shared" si="345"/>
        <v>0</v>
      </c>
      <c r="S1316" s="310">
        <f t="shared" si="346"/>
        <v>0</v>
      </c>
      <c r="T1316" s="555">
        <f t="shared" si="347"/>
        <v>0</v>
      </c>
      <c r="U1316" s="311"/>
      <c r="V1316" s="312"/>
      <c r="W1316" s="299"/>
      <c r="X1316" s="300"/>
      <c r="Y1316" s="299"/>
      <c r="Z1316" s="303"/>
      <c r="AA1316" s="305">
        <f>IF(Z1316=0,0,IF(Y1316="MXN",1/HLOOKUP(YEAR(X1316)+(MONTH(X1316)/100),TC!$5:$37,DAY(X1316)+2,FALSE),VLOOKUP(Y1316,Equivalencia!$1:$23,((MAX(Equivalencia!$3:$3)-YEAR(X1316))*14)+MONTH(X1316)+2,FALSE)))</f>
        <v>0</v>
      </c>
      <c r="AB1316" s="306">
        <f t="shared" si="348"/>
        <v>0</v>
      </c>
      <c r="AC1316" s="305">
        <f>+IF(X1316=0,0,HLOOKUP(YEAR(X1316)+(MONTH(X1316)/100),TC!$5:$37,DAY(X1316)+2,FALSE))</f>
        <v>0</v>
      </c>
      <c r="AD1316" s="307">
        <f t="shared" si="349"/>
        <v>0</v>
      </c>
      <c r="AE1316" s="314">
        <f t="shared" si="350"/>
        <v>0</v>
      </c>
      <c r="AF1316" s="315">
        <f t="shared" si="351"/>
        <v>0</v>
      </c>
      <c r="AG1316" s="316">
        <f t="shared" si="352"/>
        <v>0</v>
      </c>
      <c r="AH1316" s="314">
        <v>1</v>
      </c>
      <c r="AI1316" s="314">
        <f t="shared" si="353"/>
        <v>0</v>
      </c>
      <c r="AJ1316" s="314">
        <f t="shared" si="354"/>
        <v>0</v>
      </c>
      <c r="AK1316" s="317"/>
      <c r="AL1316" s="315">
        <f t="shared" si="355"/>
        <v>0</v>
      </c>
      <c r="AN1316" s="554">
        <f t="shared" si="356"/>
        <v>0</v>
      </c>
      <c r="AO1316" s="314"/>
      <c r="AP1316" s="318"/>
    </row>
    <row r="1317" spans="2:42">
      <c r="B1317" s="296"/>
      <c r="C1317" s="299"/>
      <c r="D1317" s="298"/>
      <c r="E1317" s="299"/>
      <c r="F1317" s="299"/>
      <c r="G1317" s="300"/>
      <c r="H1317" s="303"/>
      <c r="I1317" s="301">
        <f t="shared" si="340"/>
        <v>0</v>
      </c>
      <c r="J1317" s="302">
        <f t="shared" si="341"/>
        <v>0</v>
      </c>
      <c r="K1317" s="304">
        <f t="shared" si="342"/>
        <v>0</v>
      </c>
      <c r="L1317" s="305">
        <f>IF(H1317=0,0,IF(OR(E1317=$AT$5,E1317=$AT$6),AA1317,IF(F1317="MXN",1/HLOOKUP(YEAR(G1317)+(MONTH(G1317)/100),TC!$5:$37,DAY(G1317)+2,FALSE),VLOOKUP(F1317,Equivalencia!$5:$23,((MAX(Equivalencia!$3:$3)-YEAR(G1317))*14)+MONTH(G1317)+2,FALSE))))</f>
        <v>0</v>
      </c>
      <c r="M1317" s="306">
        <f t="shared" si="343"/>
        <v>0</v>
      </c>
      <c r="N1317" s="305">
        <f>IF(G1317=0,0,(IF(OR(E1317=$AT$5,E1317=$AT$6),AC1317,HLOOKUP(YEAR(G1317)+(MONTH(G1317)/100),TC!$5:$37,DAY(G1317)+2,FALSE))))</f>
        <v>0</v>
      </c>
      <c r="O1317" s="307">
        <f t="shared" si="344"/>
        <v>0</v>
      </c>
      <c r="P1317" s="560">
        <f>IF(G1317=0,0,VLOOKUP(YEAR(G1317),INPC!$B$4:$P$30,MONTH(G1317)+2))</f>
        <v>0</v>
      </c>
      <c r="Q1317" s="560">
        <f>IF(X1317=0,0,IF(OR(E1317=$AT$10,E1317=$AT$9),VLOOKUP(YEAR(X1317),INPC!$B$4:$P$30,MONTH(X1317)+1),VLOOKUP(YEAR(X1317),INPC!$B$4:$P$30,MONTH(X1317)+2,0)))</f>
        <v>0</v>
      </c>
      <c r="R1317" s="309">
        <f t="shared" si="345"/>
        <v>0</v>
      </c>
      <c r="S1317" s="310">
        <f t="shared" si="346"/>
        <v>0</v>
      </c>
      <c r="T1317" s="555">
        <f t="shared" si="347"/>
        <v>0</v>
      </c>
      <c r="U1317" s="311"/>
      <c r="V1317" s="312"/>
      <c r="W1317" s="299"/>
      <c r="X1317" s="300"/>
      <c r="Y1317" s="299"/>
      <c r="Z1317" s="303"/>
      <c r="AA1317" s="305">
        <f>IF(Z1317=0,0,IF(Y1317="MXN",1/HLOOKUP(YEAR(X1317)+(MONTH(X1317)/100),TC!$5:$37,DAY(X1317)+2,FALSE),VLOOKUP(Y1317,Equivalencia!$1:$23,((MAX(Equivalencia!$3:$3)-YEAR(X1317))*14)+MONTH(X1317)+2,FALSE)))</f>
        <v>0</v>
      </c>
      <c r="AB1317" s="306">
        <f t="shared" si="348"/>
        <v>0</v>
      </c>
      <c r="AC1317" s="305">
        <f>+IF(X1317=0,0,HLOOKUP(YEAR(X1317)+(MONTH(X1317)/100),TC!$5:$37,DAY(X1317)+2,FALSE))</f>
        <v>0</v>
      </c>
      <c r="AD1317" s="307">
        <f t="shared" si="349"/>
        <v>0</v>
      </c>
      <c r="AE1317" s="314">
        <f t="shared" si="350"/>
        <v>0</v>
      </c>
      <c r="AF1317" s="315">
        <f t="shared" si="351"/>
        <v>0</v>
      </c>
      <c r="AG1317" s="316">
        <f t="shared" si="352"/>
        <v>0</v>
      </c>
      <c r="AH1317" s="314">
        <v>1</v>
      </c>
      <c r="AI1317" s="314">
        <f t="shared" si="353"/>
        <v>0</v>
      </c>
      <c r="AJ1317" s="314">
        <f t="shared" si="354"/>
        <v>0</v>
      </c>
      <c r="AK1317" s="317"/>
      <c r="AL1317" s="315">
        <f t="shared" si="355"/>
        <v>0</v>
      </c>
      <c r="AN1317" s="554">
        <f t="shared" si="356"/>
        <v>0</v>
      </c>
      <c r="AO1317" s="314"/>
      <c r="AP1317" s="318"/>
    </row>
    <row r="1318" spans="2:42">
      <c r="B1318" s="296"/>
      <c r="C1318" s="299"/>
      <c r="D1318" s="298"/>
      <c r="E1318" s="299"/>
      <c r="F1318" s="299"/>
      <c r="G1318" s="300"/>
      <c r="H1318" s="303"/>
      <c r="I1318" s="301">
        <f t="shared" si="340"/>
        <v>0</v>
      </c>
      <c r="J1318" s="302">
        <f t="shared" si="341"/>
        <v>0</v>
      </c>
      <c r="K1318" s="304">
        <f t="shared" si="342"/>
        <v>0</v>
      </c>
      <c r="L1318" s="305">
        <f>IF(H1318=0,0,IF(OR(E1318=$AT$5,E1318=$AT$6),AA1318,IF(F1318="MXN",1/HLOOKUP(YEAR(G1318)+(MONTH(G1318)/100),TC!$5:$37,DAY(G1318)+2,FALSE),VLOOKUP(F1318,Equivalencia!$5:$23,((MAX(Equivalencia!$3:$3)-YEAR(G1318))*14)+MONTH(G1318)+2,FALSE))))</f>
        <v>0</v>
      </c>
      <c r="M1318" s="306">
        <f t="shared" si="343"/>
        <v>0</v>
      </c>
      <c r="N1318" s="305">
        <f>IF(G1318=0,0,(IF(OR(E1318=$AT$5,E1318=$AT$6),AC1318,HLOOKUP(YEAR(G1318)+(MONTH(G1318)/100),TC!$5:$37,DAY(G1318)+2,FALSE))))</f>
        <v>0</v>
      </c>
      <c r="O1318" s="307">
        <f t="shared" si="344"/>
        <v>0</v>
      </c>
      <c r="P1318" s="560">
        <f>IF(G1318=0,0,VLOOKUP(YEAR(G1318),INPC!$B$4:$P$30,MONTH(G1318)+2))</f>
        <v>0</v>
      </c>
      <c r="Q1318" s="560">
        <f>IF(X1318=0,0,IF(OR(E1318=$AT$10,E1318=$AT$9),VLOOKUP(YEAR(X1318),INPC!$B$4:$P$30,MONTH(X1318)+1),VLOOKUP(YEAR(X1318),INPC!$B$4:$P$30,MONTH(X1318)+2,0)))</f>
        <v>0</v>
      </c>
      <c r="R1318" s="309">
        <f t="shared" si="345"/>
        <v>0</v>
      </c>
      <c r="S1318" s="310">
        <f t="shared" si="346"/>
        <v>0</v>
      </c>
      <c r="T1318" s="555">
        <f t="shared" si="347"/>
        <v>0</v>
      </c>
      <c r="U1318" s="311"/>
      <c r="V1318" s="312"/>
      <c r="W1318" s="299"/>
      <c r="X1318" s="300"/>
      <c r="Y1318" s="299"/>
      <c r="Z1318" s="303"/>
      <c r="AA1318" s="305">
        <f>IF(Z1318=0,0,IF(Y1318="MXN",1/HLOOKUP(YEAR(X1318)+(MONTH(X1318)/100),TC!$5:$37,DAY(X1318)+2,FALSE),VLOOKUP(Y1318,Equivalencia!$1:$23,((MAX(Equivalencia!$3:$3)-YEAR(X1318))*14)+MONTH(X1318)+2,FALSE)))</f>
        <v>0</v>
      </c>
      <c r="AB1318" s="306">
        <f t="shared" si="348"/>
        <v>0</v>
      </c>
      <c r="AC1318" s="305">
        <f>+IF(X1318=0,0,HLOOKUP(YEAR(X1318)+(MONTH(X1318)/100),TC!$5:$37,DAY(X1318)+2,FALSE))</f>
        <v>0</v>
      </c>
      <c r="AD1318" s="307">
        <f t="shared" si="349"/>
        <v>0</v>
      </c>
      <c r="AE1318" s="314">
        <f t="shared" si="350"/>
        <v>0</v>
      </c>
      <c r="AF1318" s="315">
        <f t="shared" si="351"/>
        <v>0</v>
      </c>
      <c r="AG1318" s="316">
        <f t="shared" si="352"/>
        <v>0</v>
      </c>
      <c r="AH1318" s="314">
        <v>1</v>
      </c>
      <c r="AI1318" s="314">
        <f t="shared" si="353"/>
        <v>0</v>
      </c>
      <c r="AJ1318" s="314">
        <f t="shared" si="354"/>
        <v>0</v>
      </c>
      <c r="AK1318" s="317"/>
      <c r="AL1318" s="315">
        <f t="shared" si="355"/>
        <v>0</v>
      </c>
      <c r="AN1318" s="554">
        <f t="shared" si="356"/>
        <v>0</v>
      </c>
      <c r="AO1318" s="314"/>
      <c r="AP1318" s="318"/>
    </row>
    <row r="1319" spans="2:42">
      <c r="B1319" s="296"/>
      <c r="C1319" s="299"/>
      <c r="D1319" s="298"/>
      <c r="E1319" s="299"/>
      <c r="F1319" s="299"/>
      <c r="G1319" s="300"/>
      <c r="H1319" s="303"/>
      <c r="I1319" s="301">
        <f t="shared" si="340"/>
        <v>0</v>
      </c>
      <c r="J1319" s="302">
        <f t="shared" si="341"/>
        <v>0</v>
      </c>
      <c r="K1319" s="304">
        <f t="shared" si="342"/>
        <v>0</v>
      </c>
      <c r="L1319" s="305">
        <f>IF(H1319=0,0,IF(OR(E1319=$AT$5,E1319=$AT$6),AA1319,IF(F1319="MXN",1/HLOOKUP(YEAR(G1319)+(MONTH(G1319)/100),TC!$5:$37,DAY(G1319)+2,FALSE),VLOOKUP(F1319,Equivalencia!$5:$23,((MAX(Equivalencia!$3:$3)-YEAR(G1319))*14)+MONTH(G1319)+2,FALSE))))</f>
        <v>0</v>
      </c>
      <c r="M1319" s="306">
        <f t="shared" si="343"/>
        <v>0</v>
      </c>
      <c r="N1319" s="305">
        <f>IF(G1319=0,0,(IF(OR(E1319=$AT$5,E1319=$AT$6),AC1319,HLOOKUP(YEAR(G1319)+(MONTH(G1319)/100),TC!$5:$37,DAY(G1319)+2,FALSE))))</f>
        <v>0</v>
      </c>
      <c r="O1319" s="307">
        <f t="shared" si="344"/>
        <v>0</v>
      </c>
      <c r="P1319" s="560">
        <f>IF(G1319=0,0,VLOOKUP(YEAR(G1319),INPC!$B$4:$P$30,MONTH(G1319)+2))</f>
        <v>0</v>
      </c>
      <c r="Q1319" s="560">
        <f>IF(X1319=0,0,IF(OR(E1319=$AT$10,E1319=$AT$9),VLOOKUP(YEAR(X1319),INPC!$B$4:$P$30,MONTH(X1319)+1),VLOOKUP(YEAR(X1319),INPC!$B$4:$P$30,MONTH(X1319)+2,0)))</f>
        <v>0</v>
      </c>
      <c r="R1319" s="309">
        <f t="shared" si="345"/>
        <v>0</v>
      </c>
      <c r="S1319" s="310">
        <f t="shared" si="346"/>
        <v>0</v>
      </c>
      <c r="T1319" s="555">
        <f t="shared" si="347"/>
        <v>0</v>
      </c>
      <c r="U1319" s="311"/>
      <c r="V1319" s="312"/>
      <c r="W1319" s="299"/>
      <c r="X1319" s="300"/>
      <c r="Y1319" s="299"/>
      <c r="Z1319" s="303"/>
      <c r="AA1319" s="305">
        <f>IF(Z1319=0,0,IF(Y1319="MXN",1/HLOOKUP(YEAR(X1319)+(MONTH(X1319)/100),TC!$5:$37,DAY(X1319)+2,FALSE),VLOOKUP(Y1319,Equivalencia!$1:$23,((MAX(Equivalencia!$3:$3)-YEAR(X1319))*14)+MONTH(X1319)+2,FALSE)))</f>
        <v>0</v>
      </c>
      <c r="AB1319" s="306">
        <f t="shared" si="348"/>
        <v>0</v>
      </c>
      <c r="AC1319" s="305">
        <f>+IF(X1319=0,0,HLOOKUP(YEAR(X1319)+(MONTH(X1319)/100),TC!$5:$37,DAY(X1319)+2,FALSE))</f>
        <v>0</v>
      </c>
      <c r="AD1319" s="307">
        <f t="shared" si="349"/>
        <v>0</v>
      </c>
      <c r="AE1319" s="314">
        <f t="shared" si="350"/>
        <v>0</v>
      </c>
      <c r="AF1319" s="315">
        <f t="shared" si="351"/>
        <v>0</v>
      </c>
      <c r="AG1319" s="316">
        <f t="shared" si="352"/>
        <v>0</v>
      </c>
      <c r="AH1319" s="314">
        <v>1</v>
      </c>
      <c r="AI1319" s="314">
        <f t="shared" si="353"/>
        <v>0</v>
      </c>
      <c r="AJ1319" s="314">
        <f t="shared" si="354"/>
        <v>0</v>
      </c>
      <c r="AK1319" s="317"/>
      <c r="AL1319" s="315">
        <f t="shared" si="355"/>
        <v>0</v>
      </c>
      <c r="AN1319" s="554">
        <f t="shared" si="356"/>
        <v>0</v>
      </c>
      <c r="AO1319" s="314"/>
      <c r="AP1319" s="318"/>
    </row>
    <row r="1320" spans="2:42">
      <c r="B1320" s="296"/>
      <c r="C1320" s="299"/>
      <c r="D1320" s="298"/>
      <c r="E1320" s="299"/>
      <c r="F1320" s="299"/>
      <c r="G1320" s="300"/>
      <c r="H1320" s="303"/>
      <c r="I1320" s="301">
        <f t="shared" si="340"/>
        <v>0</v>
      </c>
      <c r="J1320" s="302">
        <f t="shared" si="341"/>
        <v>0</v>
      </c>
      <c r="K1320" s="304">
        <f t="shared" si="342"/>
        <v>0</v>
      </c>
      <c r="L1320" s="305">
        <f>IF(H1320=0,0,IF(OR(E1320=$AT$5,E1320=$AT$6),AA1320,IF(F1320="MXN",1/HLOOKUP(YEAR(G1320)+(MONTH(G1320)/100),TC!$5:$37,DAY(G1320)+2,FALSE),VLOOKUP(F1320,Equivalencia!$5:$23,((MAX(Equivalencia!$3:$3)-YEAR(G1320))*14)+MONTH(G1320)+2,FALSE))))</f>
        <v>0</v>
      </c>
      <c r="M1320" s="306">
        <f t="shared" si="343"/>
        <v>0</v>
      </c>
      <c r="N1320" s="305">
        <f>IF(G1320=0,0,(IF(OR(E1320=$AT$5,E1320=$AT$6),AC1320,HLOOKUP(YEAR(G1320)+(MONTH(G1320)/100),TC!$5:$37,DAY(G1320)+2,FALSE))))</f>
        <v>0</v>
      </c>
      <c r="O1320" s="307">
        <f t="shared" si="344"/>
        <v>0</v>
      </c>
      <c r="P1320" s="560">
        <f>IF(G1320=0,0,VLOOKUP(YEAR(G1320),INPC!$B$4:$P$30,MONTH(G1320)+2))</f>
        <v>0</v>
      </c>
      <c r="Q1320" s="560">
        <f>IF(X1320=0,0,IF(OR(E1320=$AT$10,E1320=$AT$9),VLOOKUP(YEAR(X1320),INPC!$B$4:$P$30,MONTH(X1320)+1),VLOOKUP(YEAR(X1320),INPC!$B$4:$P$30,MONTH(X1320)+2,0)))</f>
        <v>0</v>
      </c>
      <c r="R1320" s="309">
        <f t="shared" si="345"/>
        <v>0</v>
      </c>
      <c r="S1320" s="310">
        <f t="shared" si="346"/>
        <v>0</v>
      </c>
      <c r="T1320" s="555">
        <f t="shared" si="347"/>
        <v>0</v>
      </c>
      <c r="U1320" s="311"/>
      <c r="V1320" s="312"/>
      <c r="W1320" s="299"/>
      <c r="X1320" s="300"/>
      <c r="Y1320" s="299"/>
      <c r="Z1320" s="303"/>
      <c r="AA1320" s="305">
        <f>IF(Z1320=0,0,IF(Y1320="MXN",1/HLOOKUP(YEAR(X1320)+(MONTH(X1320)/100),TC!$5:$37,DAY(X1320)+2,FALSE),VLOOKUP(Y1320,Equivalencia!$1:$23,((MAX(Equivalencia!$3:$3)-YEAR(X1320))*14)+MONTH(X1320)+2,FALSE)))</f>
        <v>0</v>
      </c>
      <c r="AB1320" s="306">
        <f t="shared" si="348"/>
        <v>0</v>
      </c>
      <c r="AC1320" s="305">
        <f>+IF(X1320=0,0,HLOOKUP(YEAR(X1320)+(MONTH(X1320)/100),TC!$5:$37,DAY(X1320)+2,FALSE))</f>
        <v>0</v>
      </c>
      <c r="AD1320" s="307">
        <f t="shared" si="349"/>
        <v>0</v>
      </c>
      <c r="AE1320" s="314">
        <f t="shared" si="350"/>
        <v>0</v>
      </c>
      <c r="AF1320" s="315">
        <f t="shared" si="351"/>
        <v>0</v>
      </c>
      <c r="AG1320" s="316">
        <f t="shared" si="352"/>
        <v>0</v>
      </c>
      <c r="AH1320" s="314">
        <v>1</v>
      </c>
      <c r="AI1320" s="314">
        <f t="shared" si="353"/>
        <v>0</v>
      </c>
      <c r="AJ1320" s="314">
        <f t="shared" si="354"/>
        <v>0</v>
      </c>
      <c r="AK1320" s="317"/>
      <c r="AL1320" s="315">
        <f t="shared" si="355"/>
        <v>0</v>
      </c>
      <c r="AN1320" s="554">
        <f t="shared" si="356"/>
        <v>0</v>
      </c>
      <c r="AO1320" s="314"/>
      <c r="AP1320" s="318"/>
    </row>
    <row r="1321" spans="2:42">
      <c r="B1321" s="296"/>
      <c r="C1321" s="299"/>
      <c r="D1321" s="298"/>
      <c r="E1321" s="299"/>
      <c r="F1321" s="299"/>
      <c r="G1321" s="300"/>
      <c r="H1321" s="303"/>
      <c r="I1321" s="301">
        <f t="shared" si="340"/>
        <v>0</v>
      </c>
      <c r="J1321" s="302">
        <f t="shared" si="341"/>
        <v>0</v>
      </c>
      <c r="K1321" s="304">
        <f t="shared" si="342"/>
        <v>0</v>
      </c>
      <c r="L1321" s="305">
        <f>IF(H1321=0,0,IF(OR(E1321=$AT$5,E1321=$AT$6),AA1321,IF(F1321="MXN",1/HLOOKUP(YEAR(G1321)+(MONTH(G1321)/100),TC!$5:$37,DAY(G1321)+2,FALSE),VLOOKUP(F1321,Equivalencia!$5:$23,((MAX(Equivalencia!$3:$3)-YEAR(G1321))*14)+MONTH(G1321)+2,FALSE))))</f>
        <v>0</v>
      </c>
      <c r="M1321" s="306">
        <f t="shared" si="343"/>
        <v>0</v>
      </c>
      <c r="N1321" s="305">
        <f>IF(G1321=0,0,(IF(OR(E1321=$AT$5,E1321=$AT$6),AC1321,HLOOKUP(YEAR(G1321)+(MONTH(G1321)/100),TC!$5:$37,DAY(G1321)+2,FALSE))))</f>
        <v>0</v>
      </c>
      <c r="O1321" s="307">
        <f t="shared" si="344"/>
        <v>0</v>
      </c>
      <c r="P1321" s="560">
        <f>IF(G1321=0,0,VLOOKUP(YEAR(G1321),INPC!$B$4:$P$30,MONTH(G1321)+2))</f>
        <v>0</v>
      </c>
      <c r="Q1321" s="560">
        <f>IF(X1321=0,0,IF(OR(E1321=$AT$10,E1321=$AT$9),VLOOKUP(YEAR(X1321),INPC!$B$4:$P$30,MONTH(X1321)+1),VLOOKUP(YEAR(X1321),INPC!$B$4:$P$30,MONTH(X1321)+2,0)))</f>
        <v>0</v>
      </c>
      <c r="R1321" s="309">
        <f t="shared" si="345"/>
        <v>0</v>
      </c>
      <c r="S1321" s="310">
        <f t="shared" si="346"/>
        <v>0</v>
      </c>
      <c r="T1321" s="555">
        <f t="shared" si="347"/>
        <v>0</v>
      </c>
      <c r="U1321" s="311"/>
      <c r="V1321" s="312"/>
      <c r="W1321" s="299"/>
      <c r="X1321" s="300"/>
      <c r="Y1321" s="299"/>
      <c r="Z1321" s="303"/>
      <c r="AA1321" s="305">
        <f>IF(Z1321=0,0,IF(Y1321="MXN",1/HLOOKUP(YEAR(X1321)+(MONTH(X1321)/100),TC!$5:$37,DAY(X1321)+2,FALSE),VLOOKUP(Y1321,Equivalencia!$1:$23,((MAX(Equivalencia!$3:$3)-YEAR(X1321))*14)+MONTH(X1321)+2,FALSE)))</f>
        <v>0</v>
      </c>
      <c r="AB1321" s="306">
        <f t="shared" si="348"/>
        <v>0</v>
      </c>
      <c r="AC1321" s="305">
        <f>+IF(X1321=0,0,HLOOKUP(YEAR(X1321)+(MONTH(X1321)/100),TC!$5:$37,DAY(X1321)+2,FALSE))</f>
        <v>0</v>
      </c>
      <c r="AD1321" s="307">
        <f t="shared" si="349"/>
        <v>0</v>
      </c>
      <c r="AE1321" s="314">
        <f t="shared" si="350"/>
        <v>0</v>
      </c>
      <c r="AF1321" s="315">
        <f t="shared" si="351"/>
        <v>0</v>
      </c>
      <c r="AG1321" s="316">
        <f t="shared" si="352"/>
        <v>0</v>
      </c>
      <c r="AH1321" s="314">
        <v>1</v>
      </c>
      <c r="AI1321" s="314">
        <f t="shared" si="353"/>
        <v>0</v>
      </c>
      <c r="AJ1321" s="314">
        <f t="shared" si="354"/>
        <v>0</v>
      </c>
      <c r="AK1321" s="317"/>
      <c r="AL1321" s="315">
        <f t="shared" si="355"/>
        <v>0</v>
      </c>
      <c r="AN1321" s="554">
        <f t="shared" si="356"/>
        <v>0</v>
      </c>
      <c r="AO1321" s="314"/>
      <c r="AP1321" s="318"/>
    </row>
    <row r="1322" spans="2:42">
      <c r="B1322" s="296"/>
      <c r="C1322" s="299"/>
      <c r="D1322" s="298"/>
      <c r="E1322" s="299"/>
      <c r="F1322" s="299"/>
      <c r="G1322" s="300"/>
      <c r="H1322" s="303"/>
      <c r="I1322" s="301">
        <f t="shared" si="340"/>
        <v>0</v>
      </c>
      <c r="J1322" s="302">
        <f t="shared" si="341"/>
        <v>0</v>
      </c>
      <c r="K1322" s="304">
        <f t="shared" si="342"/>
        <v>0</v>
      </c>
      <c r="L1322" s="305">
        <f>IF(H1322=0,0,IF(OR(E1322=$AT$5,E1322=$AT$6),AA1322,IF(F1322="MXN",1/HLOOKUP(YEAR(G1322)+(MONTH(G1322)/100),TC!$5:$37,DAY(G1322)+2,FALSE),VLOOKUP(F1322,Equivalencia!$5:$23,((MAX(Equivalencia!$3:$3)-YEAR(G1322))*14)+MONTH(G1322)+2,FALSE))))</f>
        <v>0</v>
      </c>
      <c r="M1322" s="306">
        <f t="shared" si="343"/>
        <v>0</v>
      </c>
      <c r="N1322" s="305">
        <f>IF(G1322=0,0,(IF(OR(E1322=$AT$5,E1322=$AT$6),AC1322,HLOOKUP(YEAR(G1322)+(MONTH(G1322)/100),TC!$5:$37,DAY(G1322)+2,FALSE))))</f>
        <v>0</v>
      </c>
      <c r="O1322" s="307">
        <f t="shared" si="344"/>
        <v>0</v>
      </c>
      <c r="P1322" s="560">
        <f>IF(G1322=0,0,VLOOKUP(YEAR(G1322),INPC!$B$4:$P$30,MONTH(G1322)+2))</f>
        <v>0</v>
      </c>
      <c r="Q1322" s="560">
        <f>IF(X1322=0,0,IF(OR(E1322=$AT$10,E1322=$AT$9),VLOOKUP(YEAR(X1322),INPC!$B$4:$P$30,MONTH(X1322)+1),VLOOKUP(YEAR(X1322),INPC!$B$4:$P$30,MONTH(X1322)+2,0)))</f>
        <v>0</v>
      </c>
      <c r="R1322" s="309">
        <f t="shared" si="345"/>
        <v>0</v>
      </c>
      <c r="S1322" s="310">
        <f t="shared" si="346"/>
        <v>0</v>
      </c>
      <c r="T1322" s="555">
        <f t="shared" si="347"/>
        <v>0</v>
      </c>
      <c r="U1322" s="311"/>
      <c r="V1322" s="312"/>
      <c r="W1322" s="299"/>
      <c r="X1322" s="300"/>
      <c r="Y1322" s="299"/>
      <c r="Z1322" s="303"/>
      <c r="AA1322" s="305">
        <f>IF(Z1322=0,0,IF(Y1322="MXN",1/HLOOKUP(YEAR(X1322)+(MONTH(X1322)/100),TC!$5:$37,DAY(X1322)+2,FALSE),VLOOKUP(Y1322,Equivalencia!$1:$23,((MAX(Equivalencia!$3:$3)-YEAR(X1322))*14)+MONTH(X1322)+2,FALSE)))</f>
        <v>0</v>
      </c>
      <c r="AB1322" s="306">
        <f t="shared" si="348"/>
        <v>0</v>
      </c>
      <c r="AC1322" s="305">
        <f>+IF(X1322=0,0,HLOOKUP(YEAR(X1322)+(MONTH(X1322)/100),TC!$5:$37,DAY(X1322)+2,FALSE))</f>
        <v>0</v>
      </c>
      <c r="AD1322" s="307">
        <f t="shared" si="349"/>
        <v>0</v>
      </c>
      <c r="AE1322" s="314">
        <f t="shared" si="350"/>
        <v>0</v>
      </c>
      <c r="AF1322" s="315">
        <f t="shared" si="351"/>
        <v>0</v>
      </c>
      <c r="AG1322" s="316">
        <f t="shared" si="352"/>
        <v>0</v>
      </c>
      <c r="AH1322" s="314">
        <v>1</v>
      </c>
      <c r="AI1322" s="314">
        <f t="shared" si="353"/>
        <v>0</v>
      </c>
      <c r="AJ1322" s="314">
        <f t="shared" si="354"/>
        <v>0</v>
      </c>
      <c r="AK1322" s="317"/>
      <c r="AL1322" s="315">
        <f t="shared" si="355"/>
        <v>0</v>
      </c>
      <c r="AN1322" s="554">
        <f t="shared" si="356"/>
        <v>0</v>
      </c>
      <c r="AO1322" s="314"/>
      <c r="AP1322" s="318"/>
    </row>
    <row r="1323" spans="2:42">
      <c r="B1323" s="296"/>
      <c r="C1323" s="299"/>
      <c r="D1323" s="298"/>
      <c r="E1323" s="299"/>
      <c r="F1323" s="299"/>
      <c r="G1323" s="300"/>
      <c r="H1323" s="303"/>
      <c r="I1323" s="301">
        <f t="shared" si="340"/>
        <v>0</v>
      </c>
      <c r="J1323" s="302">
        <f t="shared" si="341"/>
        <v>0</v>
      </c>
      <c r="K1323" s="304">
        <f t="shared" si="342"/>
        <v>0</v>
      </c>
      <c r="L1323" s="305">
        <f>IF(H1323=0,0,IF(OR(E1323=$AT$5,E1323=$AT$6),AA1323,IF(F1323="MXN",1/HLOOKUP(YEAR(G1323)+(MONTH(G1323)/100),TC!$5:$37,DAY(G1323)+2,FALSE),VLOOKUP(F1323,Equivalencia!$5:$23,((MAX(Equivalencia!$3:$3)-YEAR(G1323))*14)+MONTH(G1323)+2,FALSE))))</f>
        <v>0</v>
      </c>
      <c r="M1323" s="306">
        <f t="shared" si="343"/>
        <v>0</v>
      </c>
      <c r="N1323" s="305">
        <f>IF(G1323=0,0,(IF(OR(E1323=$AT$5,E1323=$AT$6),AC1323,HLOOKUP(YEAR(G1323)+(MONTH(G1323)/100),TC!$5:$37,DAY(G1323)+2,FALSE))))</f>
        <v>0</v>
      </c>
      <c r="O1323" s="307">
        <f t="shared" si="344"/>
        <v>0</v>
      </c>
      <c r="P1323" s="560">
        <f>IF(G1323=0,0,VLOOKUP(YEAR(G1323),INPC!$B$4:$P$30,MONTH(G1323)+2))</f>
        <v>0</v>
      </c>
      <c r="Q1323" s="560">
        <f>IF(X1323=0,0,IF(OR(E1323=$AT$10,E1323=$AT$9),VLOOKUP(YEAR(X1323),INPC!$B$4:$P$30,MONTH(X1323)+1),VLOOKUP(YEAR(X1323),INPC!$B$4:$P$30,MONTH(X1323)+2,0)))</f>
        <v>0</v>
      </c>
      <c r="R1323" s="309">
        <f t="shared" si="345"/>
        <v>0</v>
      </c>
      <c r="S1323" s="310">
        <f t="shared" si="346"/>
        <v>0</v>
      </c>
      <c r="T1323" s="555">
        <f t="shared" si="347"/>
        <v>0</v>
      </c>
      <c r="U1323" s="311"/>
      <c r="V1323" s="312"/>
      <c r="W1323" s="299"/>
      <c r="X1323" s="300"/>
      <c r="Y1323" s="299"/>
      <c r="Z1323" s="303"/>
      <c r="AA1323" s="305">
        <f>IF(Z1323=0,0,IF(Y1323="MXN",1/HLOOKUP(YEAR(X1323)+(MONTH(X1323)/100),TC!$5:$37,DAY(X1323)+2,FALSE),VLOOKUP(Y1323,Equivalencia!$1:$23,((MAX(Equivalencia!$3:$3)-YEAR(X1323))*14)+MONTH(X1323)+2,FALSE)))</f>
        <v>0</v>
      </c>
      <c r="AB1323" s="306">
        <f t="shared" si="348"/>
        <v>0</v>
      </c>
      <c r="AC1323" s="305">
        <f>+IF(X1323=0,0,HLOOKUP(YEAR(X1323)+(MONTH(X1323)/100),TC!$5:$37,DAY(X1323)+2,FALSE))</f>
        <v>0</v>
      </c>
      <c r="AD1323" s="307">
        <f t="shared" si="349"/>
        <v>0</v>
      </c>
      <c r="AE1323" s="314">
        <f t="shared" si="350"/>
        <v>0</v>
      </c>
      <c r="AF1323" s="315">
        <f t="shared" si="351"/>
        <v>0</v>
      </c>
      <c r="AG1323" s="316">
        <f t="shared" si="352"/>
        <v>0</v>
      </c>
      <c r="AH1323" s="314">
        <v>1</v>
      </c>
      <c r="AI1323" s="314">
        <f t="shared" si="353"/>
        <v>0</v>
      </c>
      <c r="AJ1323" s="314">
        <f t="shared" si="354"/>
        <v>0</v>
      </c>
      <c r="AK1323" s="317"/>
      <c r="AL1323" s="315">
        <f t="shared" si="355"/>
        <v>0</v>
      </c>
      <c r="AN1323" s="554">
        <f t="shared" si="356"/>
        <v>0</v>
      </c>
      <c r="AO1323" s="314"/>
      <c r="AP1323" s="318"/>
    </row>
    <row r="1324" spans="2:42">
      <c r="B1324" s="296"/>
      <c r="C1324" s="299"/>
      <c r="D1324" s="298"/>
      <c r="E1324" s="299"/>
      <c r="F1324" s="299"/>
      <c r="G1324" s="300"/>
      <c r="H1324" s="303"/>
      <c r="I1324" s="301">
        <f t="shared" si="340"/>
        <v>0</v>
      </c>
      <c r="J1324" s="302">
        <f t="shared" si="341"/>
        <v>0</v>
      </c>
      <c r="K1324" s="304">
        <f t="shared" si="342"/>
        <v>0</v>
      </c>
      <c r="L1324" s="305">
        <f>IF(H1324=0,0,IF(OR(E1324=$AT$5,E1324=$AT$6),AA1324,IF(F1324="MXN",1/HLOOKUP(YEAR(G1324)+(MONTH(G1324)/100),TC!$5:$37,DAY(G1324)+2,FALSE),VLOOKUP(F1324,Equivalencia!$5:$23,((MAX(Equivalencia!$3:$3)-YEAR(G1324))*14)+MONTH(G1324)+2,FALSE))))</f>
        <v>0</v>
      </c>
      <c r="M1324" s="306">
        <f t="shared" si="343"/>
        <v>0</v>
      </c>
      <c r="N1324" s="305">
        <f>IF(G1324=0,0,(IF(OR(E1324=$AT$5,E1324=$AT$6),AC1324,HLOOKUP(YEAR(G1324)+(MONTH(G1324)/100),TC!$5:$37,DAY(G1324)+2,FALSE))))</f>
        <v>0</v>
      </c>
      <c r="O1324" s="307">
        <f t="shared" si="344"/>
        <v>0</v>
      </c>
      <c r="P1324" s="560">
        <f>IF(G1324=0,0,VLOOKUP(YEAR(G1324),INPC!$B$4:$P$30,MONTH(G1324)+2))</f>
        <v>0</v>
      </c>
      <c r="Q1324" s="560">
        <f>IF(X1324=0,0,IF(OR(E1324=$AT$10,E1324=$AT$9),VLOOKUP(YEAR(X1324),INPC!$B$4:$P$30,MONTH(X1324)+1),VLOOKUP(YEAR(X1324),INPC!$B$4:$P$30,MONTH(X1324)+2,0)))</f>
        <v>0</v>
      </c>
      <c r="R1324" s="309">
        <f t="shared" si="345"/>
        <v>0</v>
      </c>
      <c r="S1324" s="310">
        <f t="shared" si="346"/>
        <v>0</v>
      </c>
      <c r="T1324" s="555">
        <f t="shared" si="347"/>
        <v>0</v>
      </c>
      <c r="U1324" s="311"/>
      <c r="V1324" s="312"/>
      <c r="W1324" s="299"/>
      <c r="X1324" s="300"/>
      <c r="Y1324" s="299"/>
      <c r="Z1324" s="303"/>
      <c r="AA1324" s="305">
        <f>IF(Z1324=0,0,IF(Y1324="MXN",1/HLOOKUP(YEAR(X1324)+(MONTH(X1324)/100),TC!$5:$37,DAY(X1324)+2,FALSE),VLOOKUP(Y1324,Equivalencia!$1:$23,((MAX(Equivalencia!$3:$3)-YEAR(X1324))*14)+MONTH(X1324)+2,FALSE)))</f>
        <v>0</v>
      </c>
      <c r="AB1324" s="306">
        <f t="shared" si="348"/>
        <v>0</v>
      </c>
      <c r="AC1324" s="305">
        <f>+IF(X1324=0,0,HLOOKUP(YEAR(X1324)+(MONTH(X1324)/100),TC!$5:$37,DAY(X1324)+2,FALSE))</f>
        <v>0</v>
      </c>
      <c r="AD1324" s="307">
        <f t="shared" si="349"/>
        <v>0</v>
      </c>
      <c r="AE1324" s="314">
        <f t="shared" si="350"/>
        <v>0</v>
      </c>
      <c r="AF1324" s="315">
        <f t="shared" si="351"/>
        <v>0</v>
      </c>
      <c r="AG1324" s="316">
        <f t="shared" si="352"/>
        <v>0</v>
      </c>
      <c r="AH1324" s="314">
        <v>1</v>
      </c>
      <c r="AI1324" s="314">
        <f t="shared" si="353"/>
        <v>0</v>
      </c>
      <c r="AJ1324" s="314">
        <f t="shared" si="354"/>
        <v>0</v>
      </c>
      <c r="AK1324" s="317"/>
      <c r="AL1324" s="315">
        <f t="shared" si="355"/>
        <v>0</v>
      </c>
      <c r="AN1324" s="554">
        <f t="shared" si="356"/>
        <v>0</v>
      </c>
      <c r="AO1324" s="314"/>
      <c r="AP1324" s="318"/>
    </row>
    <row r="1325" spans="2:42">
      <c r="B1325" s="296"/>
      <c r="C1325" s="299"/>
      <c r="D1325" s="298"/>
      <c r="E1325" s="299"/>
      <c r="F1325" s="299"/>
      <c r="G1325" s="300"/>
      <c r="H1325" s="303"/>
      <c r="I1325" s="301">
        <f t="shared" si="340"/>
        <v>0</v>
      </c>
      <c r="J1325" s="302">
        <f t="shared" si="341"/>
        <v>0</v>
      </c>
      <c r="K1325" s="304">
        <f t="shared" si="342"/>
        <v>0</v>
      </c>
      <c r="L1325" s="305">
        <f>IF(H1325=0,0,IF(OR(E1325=$AT$5,E1325=$AT$6),AA1325,IF(F1325="MXN",1/HLOOKUP(YEAR(G1325)+(MONTH(G1325)/100),TC!$5:$37,DAY(G1325)+2,FALSE),VLOOKUP(F1325,Equivalencia!$5:$23,((MAX(Equivalencia!$3:$3)-YEAR(G1325))*14)+MONTH(G1325)+2,FALSE))))</f>
        <v>0</v>
      </c>
      <c r="M1325" s="306">
        <f t="shared" si="343"/>
        <v>0</v>
      </c>
      <c r="N1325" s="305">
        <f>IF(G1325=0,0,(IF(OR(E1325=$AT$5,E1325=$AT$6),AC1325,HLOOKUP(YEAR(G1325)+(MONTH(G1325)/100),TC!$5:$37,DAY(G1325)+2,FALSE))))</f>
        <v>0</v>
      </c>
      <c r="O1325" s="307">
        <f t="shared" si="344"/>
        <v>0</v>
      </c>
      <c r="P1325" s="560">
        <f>IF(G1325=0,0,VLOOKUP(YEAR(G1325),INPC!$B$4:$P$30,MONTH(G1325)+2))</f>
        <v>0</v>
      </c>
      <c r="Q1325" s="560">
        <f>IF(X1325=0,0,IF(OR(E1325=$AT$10,E1325=$AT$9),VLOOKUP(YEAR(X1325),INPC!$B$4:$P$30,MONTH(X1325)+1),VLOOKUP(YEAR(X1325),INPC!$B$4:$P$30,MONTH(X1325)+2,0)))</f>
        <v>0</v>
      </c>
      <c r="R1325" s="309">
        <f t="shared" si="345"/>
        <v>0</v>
      </c>
      <c r="S1325" s="310">
        <f t="shared" si="346"/>
        <v>0</v>
      </c>
      <c r="T1325" s="555">
        <f t="shared" si="347"/>
        <v>0</v>
      </c>
      <c r="U1325" s="311"/>
      <c r="V1325" s="312"/>
      <c r="W1325" s="299"/>
      <c r="X1325" s="300"/>
      <c r="Y1325" s="299"/>
      <c r="Z1325" s="303"/>
      <c r="AA1325" s="305">
        <f>IF(Z1325=0,0,IF(Y1325="MXN",1/HLOOKUP(YEAR(X1325)+(MONTH(X1325)/100),TC!$5:$37,DAY(X1325)+2,FALSE),VLOOKUP(Y1325,Equivalencia!$1:$23,((MAX(Equivalencia!$3:$3)-YEAR(X1325))*14)+MONTH(X1325)+2,FALSE)))</f>
        <v>0</v>
      </c>
      <c r="AB1325" s="306">
        <f t="shared" si="348"/>
        <v>0</v>
      </c>
      <c r="AC1325" s="305">
        <f>+IF(X1325=0,0,HLOOKUP(YEAR(X1325)+(MONTH(X1325)/100),TC!$5:$37,DAY(X1325)+2,FALSE))</f>
        <v>0</v>
      </c>
      <c r="AD1325" s="307">
        <f t="shared" si="349"/>
        <v>0</v>
      </c>
      <c r="AE1325" s="314">
        <f t="shared" si="350"/>
        <v>0</v>
      </c>
      <c r="AF1325" s="315">
        <f t="shared" si="351"/>
        <v>0</v>
      </c>
      <c r="AG1325" s="316">
        <f t="shared" si="352"/>
        <v>0</v>
      </c>
      <c r="AH1325" s="314">
        <v>1</v>
      </c>
      <c r="AI1325" s="314">
        <f t="shared" si="353"/>
        <v>0</v>
      </c>
      <c r="AJ1325" s="314">
        <f t="shared" si="354"/>
        <v>0</v>
      </c>
      <c r="AK1325" s="317"/>
      <c r="AL1325" s="315">
        <f t="shared" si="355"/>
        <v>0</v>
      </c>
      <c r="AN1325" s="554">
        <f t="shared" si="356"/>
        <v>0</v>
      </c>
      <c r="AO1325" s="314"/>
      <c r="AP1325" s="318"/>
    </row>
    <row r="1326" spans="2:42">
      <c r="B1326" s="296"/>
      <c r="C1326" s="299"/>
      <c r="D1326" s="298"/>
      <c r="E1326" s="299"/>
      <c r="F1326" s="299"/>
      <c r="G1326" s="300"/>
      <c r="H1326" s="303"/>
      <c r="I1326" s="301">
        <f t="shared" si="340"/>
        <v>0</v>
      </c>
      <c r="J1326" s="302">
        <f t="shared" si="341"/>
        <v>0</v>
      </c>
      <c r="K1326" s="304">
        <f t="shared" si="342"/>
        <v>0</v>
      </c>
      <c r="L1326" s="305">
        <f>IF(H1326=0,0,IF(OR(E1326=$AT$5,E1326=$AT$6),AA1326,IF(F1326="MXN",1/HLOOKUP(YEAR(G1326)+(MONTH(G1326)/100),TC!$5:$37,DAY(G1326)+2,FALSE),VLOOKUP(F1326,Equivalencia!$5:$23,((MAX(Equivalencia!$3:$3)-YEAR(G1326))*14)+MONTH(G1326)+2,FALSE))))</f>
        <v>0</v>
      </c>
      <c r="M1326" s="306">
        <f t="shared" si="343"/>
        <v>0</v>
      </c>
      <c r="N1326" s="305">
        <f>IF(G1326=0,0,(IF(OR(E1326=$AT$5,E1326=$AT$6),AC1326,HLOOKUP(YEAR(G1326)+(MONTH(G1326)/100),TC!$5:$37,DAY(G1326)+2,FALSE))))</f>
        <v>0</v>
      </c>
      <c r="O1326" s="307">
        <f t="shared" si="344"/>
        <v>0</v>
      </c>
      <c r="P1326" s="560">
        <f>IF(G1326=0,0,VLOOKUP(YEAR(G1326),INPC!$B$4:$P$30,MONTH(G1326)+2))</f>
        <v>0</v>
      </c>
      <c r="Q1326" s="560">
        <f>IF(X1326=0,0,IF(OR(E1326=$AT$10,E1326=$AT$9),VLOOKUP(YEAR(X1326),INPC!$B$4:$P$30,MONTH(X1326)+1),VLOOKUP(YEAR(X1326),INPC!$B$4:$P$30,MONTH(X1326)+2,0)))</f>
        <v>0</v>
      </c>
      <c r="R1326" s="309">
        <f t="shared" si="345"/>
        <v>0</v>
      </c>
      <c r="S1326" s="310">
        <f t="shared" si="346"/>
        <v>0</v>
      </c>
      <c r="T1326" s="555">
        <f t="shared" si="347"/>
        <v>0</v>
      </c>
      <c r="U1326" s="311"/>
      <c r="V1326" s="312"/>
      <c r="W1326" s="299"/>
      <c r="X1326" s="300"/>
      <c r="Y1326" s="299"/>
      <c r="Z1326" s="303"/>
      <c r="AA1326" s="305">
        <f>IF(Z1326=0,0,IF(Y1326="MXN",1/HLOOKUP(YEAR(X1326)+(MONTH(X1326)/100),TC!$5:$37,DAY(X1326)+2,FALSE),VLOOKUP(Y1326,Equivalencia!$1:$23,((MAX(Equivalencia!$3:$3)-YEAR(X1326))*14)+MONTH(X1326)+2,FALSE)))</f>
        <v>0</v>
      </c>
      <c r="AB1326" s="306">
        <f t="shared" si="348"/>
        <v>0</v>
      </c>
      <c r="AC1326" s="305">
        <f>+IF(X1326=0,0,HLOOKUP(YEAR(X1326)+(MONTH(X1326)/100),TC!$5:$37,DAY(X1326)+2,FALSE))</f>
        <v>0</v>
      </c>
      <c r="AD1326" s="307">
        <f t="shared" si="349"/>
        <v>0</v>
      </c>
      <c r="AE1326" s="314">
        <f t="shared" si="350"/>
        <v>0</v>
      </c>
      <c r="AF1326" s="315">
        <f t="shared" si="351"/>
        <v>0</v>
      </c>
      <c r="AG1326" s="316">
        <f t="shared" si="352"/>
        <v>0</v>
      </c>
      <c r="AH1326" s="314">
        <v>1</v>
      </c>
      <c r="AI1326" s="314">
        <f t="shared" si="353"/>
        <v>0</v>
      </c>
      <c r="AJ1326" s="314">
        <f t="shared" si="354"/>
        <v>0</v>
      </c>
      <c r="AK1326" s="317"/>
      <c r="AL1326" s="315">
        <f t="shared" si="355"/>
        <v>0</v>
      </c>
      <c r="AN1326" s="554">
        <f t="shared" si="356"/>
        <v>0</v>
      </c>
      <c r="AO1326" s="314"/>
      <c r="AP1326" s="318"/>
    </row>
    <row r="1327" spans="2:42">
      <c r="B1327" s="296"/>
      <c r="C1327" s="299"/>
      <c r="D1327" s="298"/>
      <c r="E1327" s="299"/>
      <c r="F1327" s="299"/>
      <c r="G1327" s="300"/>
      <c r="H1327" s="303"/>
      <c r="I1327" s="301">
        <f t="shared" si="340"/>
        <v>0</v>
      </c>
      <c r="J1327" s="302">
        <f t="shared" si="341"/>
        <v>0</v>
      </c>
      <c r="K1327" s="304">
        <f t="shared" si="342"/>
        <v>0</v>
      </c>
      <c r="L1327" s="305">
        <f>IF(H1327=0,0,IF(OR(E1327=$AT$5,E1327=$AT$6),AA1327,IF(F1327="MXN",1/HLOOKUP(YEAR(G1327)+(MONTH(G1327)/100),TC!$5:$37,DAY(G1327)+2,FALSE),VLOOKUP(F1327,Equivalencia!$5:$23,((MAX(Equivalencia!$3:$3)-YEAR(G1327))*14)+MONTH(G1327)+2,FALSE))))</f>
        <v>0</v>
      </c>
      <c r="M1327" s="306">
        <f t="shared" si="343"/>
        <v>0</v>
      </c>
      <c r="N1327" s="305">
        <f>IF(G1327=0,0,(IF(OR(E1327=$AT$5,E1327=$AT$6),AC1327,HLOOKUP(YEAR(G1327)+(MONTH(G1327)/100),TC!$5:$37,DAY(G1327)+2,FALSE))))</f>
        <v>0</v>
      </c>
      <c r="O1327" s="307">
        <f t="shared" si="344"/>
        <v>0</v>
      </c>
      <c r="P1327" s="560">
        <f>IF(G1327=0,0,VLOOKUP(YEAR(G1327),INPC!$B$4:$P$30,MONTH(G1327)+2))</f>
        <v>0</v>
      </c>
      <c r="Q1327" s="560">
        <f>IF(X1327=0,0,IF(OR(E1327=$AT$10,E1327=$AT$9),VLOOKUP(YEAR(X1327),INPC!$B$4:$P$30,MONTH(X1327)+1),VLOOKUP(YEAR(X1327),INPC!$B$4:$P$30,MONTH(X1327)+2,0)))</f>
        <v>0</v>
      </c>
      <c r="R1327" s="309">
        <f t="shared" si="345"/>
        <v>0</v>
      </c>
      <c r="S1327" s="310">
        <f t="shared" si="346"/>
        <v>0</v>
      </c>
      <c r="T1327" s="555">
        <f t="shared" si="347"/>
        <v>0</v>
      </c>
      <c r="U1327" s="311"/>
      <c r="V1327" s="312"/>
      <c r="W1327" s="299"/>
      <c r="X1327" s="300"/>
      <c r="Y1327" s="299"/>
      <c r="Z1327" s="303"/>
      <c r="AA1327" s="305">
        <f>IF(Z1327=0,0,IF(Y1327="MXN",1/HLOOKUP(YEAR(X1327)+(MONTH(X1327)/100),TC!$5:$37,DAY(X1327)+2,FALSE),VLOOKUP(Y1327,Equivalencia!$1:$23,((MAX(Equivalencia!$3:$3)-YEAR(X1327))*14)+MONTH(X1327)+2,FALSE)))</f>
        <v>0</v>
      </c>
      <c r="AB1327" s="306">
        <f t="shared" si="348"/>
        <v>0</v>
      </c>
      <c r="AC1327" s="305">
        <f>+IF(X1327=0,0,HLOOKUP(YEAR(X1327)+(MONTH(X1327)/100),TC!$5:$37,DAY(X1327)+2,FALSE))</f>
        <v>0</v>
      </c>
      <c r="AD1327" s="307">
        <f t="shared" si="349"/>
        <v>0</v>
      </c>
      <c r="AE1327" s="314">
        <f t="shared" si="350"/>
        <v>0</v>
      </c>
      <c r="AF1327" s="315">
        <f t="shared" si="351"/>
        <v>0</v>
      </c>
      <c r="AG1327" s="316">
        <f t="shared" si="352"/>
        <v>0</v>
      </c>
      <c r="AH1327" s="314">
        <v>1</v>
      </c>
      <c r="AI1327" s="314">
        <f t="shared" si="353"/>
        <v>0</v>
      </c>
      <c r="AJ1327" s="314">
        <f t="shared" si="354"/>
        <v>0</v>
      </c>
      <c r="AK1327" s="317"/>
      <c r="AL1327" s="315">
        <f t="shared" si="355"/>
        <v>0</v>
      </c>
      <c r="AN1327" s="554">
        <f t="shared" si="356"/>
        <v>0</v>
      </c>
      <c r="AO1327" s="314"/>
      <c r="AP1327" s="318"/>
    </row>
    <row r="1328" spans="2:42">
      <c r="B1328" s="296"/>
      <c r="C1328" s="299"/>
      <c r="D1328" s="298"/>
      <c r="E1328" s="299"/>
      <c r="F1328" s="299"/>
      <c r="G1328" s="300"/>
      <c r="H1328" s="303"/>
      <c r="I1328" s="301">
        <f t="shared" si="340"/>
        <v>0</v>
      </c>
      <c r="J1328" s="302">
        <f t="shared" si="341"/>
        <v>0</v>
      </c>
      <c r="K1328" s="304">
        <f t="shared" si="342"/>
        <v>0</v>
      </c>
      <c r="L1328" s="305">
        <f>IF(H1328=0,0,IF(OR(E1328=$AT$5,E1328=$AT$6),AA1328,IF(F1328="MXN",1/HLOOKUP(YEAR(G1328)+(MONTH(G1328)/100),TC!$5:$37,DAY(G1328)+2,FALSE),VLOOKUP(F1328,Equivalencia!$5:$23,((MAX(Equivalencia!$3:$3)-YEAR(G1328))*14)+MONTH(G1328)+2,FALSE))))</f>
        <v>0</v>
      </c>
      <c r="M1328" s="306">
        <f t="shared" si="343"/>
        <v>0</v>
      </c>
      <c r="N1328" s="305">
        <f>IF(G1328=0,0,(IF(OR(E1328=$AT$5,E1328=$AT$6),AC1328,HLOOKUP(YEAR(G1328)+(MONTH(G1328)/100),TC!$5:$37,DAY(G1328)+2,FALSE))))</f>
        <v>0</v>
      </c>
      <c r="O1328" s="307">
        <f t="shared" si="344"/>
        <v>0</v>
      </c>
      <c r="P1328" s="560">
        <f>IF(G1328=0,0,VLOOKUP(YEAR(G1328),INPC!$B$4:$P$30,MONTH(G1328)+2))</f>
        <v>0</v>
      </c>
      <c r="Q1328" s="560">
        <f>IF(X1328=0,0,IF(OR(E1328=$AT$10,E1328=$AT$9),VLOOKUP(YEAR(X1328),INPC!$B$4:$P$30,MONTH(X1328)+1),VLOOKUP(YEAR(X1328),INPC!$B$4:$P$30,MONTH(X1328)+2,0)))</f>
        <v>0</v>
      </c>
      <c r="R1328" s="309">
        <f t="shared" si="345"/>
        <v>0</v>
      </c>
      <c r="S1328" s="310">
        <f t="shared" si="346"/>
        <v>0</v>
      </c>
      <c r="T1328" s="555">
        <f t="shared" si="347"/>
        <v>0</v>
      </c>
      <c r="U1328" s="311"/>
      <c r="V1328" s="312"/>
      <c r="W1328" s="299"/>
      <c r="X1328" s="300"/>
      <c r="Y1328" s="299"/>
      <c r="Z1328" s="303"/>
      <c r="AA1328" s="305">
        <f>IF(Z1328=0,0,IF(Y1328="MXN",1/HLOOKUP(YEAR(X1328)+(MONTH(X1328)/100),TC!$5:$37,DAY(X1328)+2,FALSE),VLOOKUP(Y1328,Equivalencia!$1:$23,((MAX(Equivalencia!$3:$3)-YEAR(X1328))*14)+MONTH(X1328)+2,FALSE)))</f>
        <v>0</v>
      </c>
      <c r="AB1328" s="306">
        <f t="shared" si="348"/>
        <v>0</v>
      </c>
      <c r="AC1328" s="305">
        <f>+IF(X1328=0,0,HLOOKUP(YEAR(X1328)+(MONTH(X1328)/100),TC!$5:$37,DAY(X1328)+2,FALSE))</f>
        <v>0</v>
      </c>
      <c r="AD1328" s="307">
        <f t="shared" si="349"/>
        <v>0</v>
      </c>
      <c r="AE1328" s="314">
        <f t="shared" si="350"/>
        <v>0</v>
      </c>
      <c r="AF1328" s="315">
        <f t="shared" si="351"/>
        <v>0</v>
      </c>
      <c r="AG1328" s="316">
        <f t="shared" si="352"/>
        <v>0</v>
      </c>
      <c r="AH1328" s="314">
        <v>1</v>
      </c>
      <c r="AI1328" s="314">
        <f t="shared" si="353"/>
        <v>0</v>
      </c>
      <c r="AJ1328" s="314">
        <f t="shared" si="354"/>
        <v>0</v>
      </c>
      <c r="AK1328" s="317"/>
      <c r="AL1328" s="315">
        <f t="shared" si="355"/>
        <v>0</v>
      </c>
      <c r="AN1328" s="554">
        <f t="shared" si="356"/>
        <v>0</v>
      </c>
      <c r="AO1328" s="314"/>
      <c r="AP1328" s="318"/>
    </row>
    <row r="1329" spans="2:42">
      <c r="B1329" s="296"/>
      <c r="C1329" s="299"/>
      <c r="D1329" s="298"/>
      <c r="E1329" s="299"/>
      <c r="F1329" s="299"/>
      <c r="G1329" s="300"/>
      <c r="H1329" s="303"/>
      <c r="I1329" s="301">
        <f t="shared" si="340"/>
        <v>0</v>
      </c>
      <c r="J1329" s="302">
        <f t="shared" si="341"/>
        <v>0</v>
      </c>
      <c r="K1329" s="304">
        <f t="shared" si="342"/>
        <v>0</v>
      </c>
      <c r="L1329" s="305">
        <f>IF(H1329=0,0,IF(OR(E1329=$AT$5,E1329=$AT$6),AA1329,IF(F1329="MXN",1/HLOOKUP(YEAR(G1329)+(MONTH(G1329)/100),TC!$5:$37,DAY(G1329)+2,FALSE),VLOOKUP(F1329,Equivalencia!$5:$23,((MAX(Equivalencia!$3:$3)-YEAR(G1329))*14)+MONTH(G1329)+2,FALSE))))</f>
        <v>0</v>
      </c>
      <c r="M1329" s="306">
        <f t="shared" si="343"/>
        <v>0</v>
      </c>
      <c r="N1329" s="305">
        <f>IF(G1329=0,0,(IF(OR(E1329=$AT$5,E1329=$AT$6),AC1329,HLOOKUP(YEAR(G1329)+(MONTH(G1329)/100),TC!$5:$37,DAY(G1329)+2,FALSE))))</f>
        <v>0</v>
      </c>
      <c r="O1329" s="307">
        <f t="shared" si="344"/>
        <v>0</v>
      </c>
      <c r="P1329" s="560">
        <f>IF(G1329=0,0,VLOOKUP(YEAR(G1329),INPC!$B$4:$P$30,MONTH(G1329)+2))</f>
        <v>0</v>
      </c>
      <c r="Q1329" s="560">
        <f>IF(X1329=0,0,IF(OR(E1329=$AT$10,E1329=$AT$9),VLOOKUP(YEAR(X1329),INPC!$B$4:$P$30,MONTH(X1329)+1),VLOOKUP(YEAR(X1329),INPC!$B$4:$P$30,MONTH(X1329)+2,0)))</f>
        <v>0</v>
      </c>
      <c r="R1329" s="309">
        <f t="shared" si="345"/>
        <v>0</v>
      </c>
      <c r="S1329" s="310">
        <f t="shared" si="346"/>
        <v>0</v>
      </c>
      <c r="T1329" s="555">
        <f t="shared" si="347"/>
        <v>0</v>
      </c>
      <c r="U1329" s="311"/>
      <c r="V1329" s="312"/>
      <c r="W1329" s="299"/>
      <c r="X1329" s="300"/>
      <c r="Y1329" s="299"/>
      <c r="Z1329" s="303"/>
      <c r="AA1329" s="305">
        <f>IF(Z1329=0,0,IF(Y1329="MXN",1/HLOOKUP(YEAR(X1329)+(MONTH(X1329)/100),TC!$5:$37,DAY(X1329)+2,FALSE),VLOOKUP(Y1329,Equivalencia!$1:$23,((MAX(Equivalencia!$3:$3)-YEAR(X1329))*14)+MONTH(X1329)+2,FALSE)))</f>
        <v>0</v>
      </c>
      <c r="AB1329" s="306">
        <f t="shared" si="348"/>
        <v>0</v>
      </c>
      <c r="AC1329" s="305">
        <f>+IF(X1329=0,0,HLOOKUP(YEAR(X1329)+(MONTH(X1329)/100),TC!$5:$37,DAY(X1329)+2,FALSE))</f>
        <v>0</v>
      </c>
      <c r="AD1329" s="307">
        <f t="shared" si="349"/>
        <v>0</v>
      </c>
      <c r="AE1329" s="314">
        <f t="shared" si="350"/>
        <v>0</v>
      </c>
      <c r="AF1329" s="315">
        <f t="shared" si="351"/>
        <v>0</v>
      </c>
      <c r="AG1329" s="316">
        <f t="shared" si="352"/>
        <v>0</v>
      </c>
      <c r="AH1329" s="314">
        <v>1</v>
      </c>
      <c r="AI1329" s="314">
        <f t="shared" si="353"/>
        <v>0</v>
      </c>
      <c r="AJ1329" s="314">
        <f t="shared" si="354"/>
        <v>0</v>
      </c>
      <c r="AK1329" s="317"/>
      <c r="AL1329" s="315">
        <f t="shared" si="355"/>
        <v>0</v>
      </c>
      <c r="AN1329" s="554">
        <f t="shared" si="356"/>
        <v>0</v>
      </c>
      <c r="AO1329" s="314"/>
      <c r="AP1329" s="318"/>
    </row>
    <row r="1330" spans="2:42">
      <c r="B1330" s="296"/>
      <c r="C1330" s="299"/>
      <c r="D1330" s="298"/>
      <c r="E1330" s="299"/>
      <c r="F1330" s="299"/>
      <c r="G1330" s="300"/>
      <c r="H1330" s="303"/>
      <c r="I1330" s="301">
        <f t="shared" si="340"/>
        <v>0</v>
      </c>
      <c r="J1330" s="302">
        <f t="shared" si="341"/>
        <v>0</v>
      </c>
      <c r="K1330" s="304">
        <f t="shared" si="342"/>
        <v>0</v>
      </c>
      <c r="L1330" s="305">
        <f>IF(H1330=0,0,IF(OR(E1330=$AT$5,E1330=$AT$6),AA1330,IF(F1330="MXN",1/HLOOKUP(YEAR(G1330)+(MONTH(G1330)/100),TC!$5:$37,DAY(G1330)+2,FALSE),VLOOKUP(F1330,Equivalencia!$5:$23,((MAX(Equivalencia!$3:$3)-YEAR(G1330))*14)+MONTH(G1330)+2,FALSE))))</f>
        <v>0</v>
      </c>
      <c r="M1330" s="306">
        <f t="shared" si="343"/>
        <v>0</v>
      </c>
      <c r="N1330" s="305">
        <f>IF(G1330=0,0,(IF(OR(E1330=$AT$5,E1330=$AT$6),AC1330,HLOOKUP(YEAR(G1330)+(MONTH(G1330)/100),TC!$5:$37,DAY(G1330)+2,FALSE))))</f>
        <v>0</v>
      </c>
      <c r="O1330" s="307">
        <f t="shared" si="344"/>
        <v>0</v>
      </c>
      <c r="P1330" s="560">
        <f>IF(G1330=0,0,VLOOKUP(YEAR(G1330),INPC!$B$4:$P$30,MONTH(G1330)+2))</f>
        <v>0</v>
      </c>
      <c r="Q1330" s="560">
        <f>IF(X1330=0,0,IF(OR(E1330=$AT$10,E1330=$AT$9),VLOOKUP(YEAR(X1330),INPC!$B$4:$P$30,MONTH(X1330)+1),VLOOKUP(YEAR(X1330),INPC!$B$4:$P$30,MONTH(X1330)+2,0)))</f>
        <v>0</v>
      </c>
      <c r="R1330" s="309">
        <f t="shared" si="345"/>
        <v>0</v>
      </c>
      <c r="S1330" s="310">
        <f t="shared" si="346"/>
        <v>0</v>
      </c>
      <c r="T1330" s="555">
        <f t="shared" si="347"/>
        <v>0</v>
      </c>
      <c r="U1330" s="311"/>
      <c r="V1330" s="312"/>
      <c r="W1330" s="299"/>
      <c r="X1330" s="300"/>
      <c r="Y1330" s="299"/>
      <c r="Z1330" s="303"/>
      <c r="AA1330" s="305">
        <f>IF(Z1330=0,0,IF(Y1330="MXN",1/HLOOKUP(YEAR(X1330)+(MONTH(X1330)/100),TC!$5:$37,DAY(X1330)+2,FALSE),VLOOKUP(Y1330,Equivalencia!$1:$23,((MAX(Equivalencia!$3:$3)-YEAR(X1330))*14)+MONTH(X1330)+2,FALSE)))</f>
        <v>0</v>
      </c>
      <c r="AB1330" s="306">
        <f t="shared" si="348"/>
        <v>0</v>
      </c>
      <c r="AC1330" s="305">
        <f>+IF(X1330=0,0,HLOOKUP(YEAR(X1330)+(MONTH(X1330)/100),TC!$5:$37,DAY(X1330)+2,FALSE))</f>
        <v>0</v>
      </c>
      <c r="AD1330" s="307">
        <f t="shared" si="349"/>
        <v>0</v>
      </c>
      <c r="AE1330" s="314">
        <f t="shared" si="350"/>
        <v>0</v>
      </c>
      <c r="AF1330" s="315">
        <f t="shared" si="351"/>
        <v>0</v>
      </c>
      <c r="AG1330" s="316">
        <f t="shared" si="352"/>
        <v>0</v>
      </c>
      <c r="AH1330" s="314">
        <v>1</v>
      </c>
      <c r="AI1330" s="314">
        <f t="shared" si="353"/>
        <v>0</v>
      </c>
      <c r="AJ1330" s="314">
        <f t="shared" si="354"/>
        <v>0</v>
      </c>
      <c r="AK1330" s="317"/>
      <c r="AL1330" s="315">
        <f t="shared" si="355"/>
        <v>0</v>
      </c>
      <c r="AN1330" s="554">
        <f t="shared" si="356"/>
        <v>0</v>
      </c>
      <c r="AO1330" s="314"/>
      <c r="AP1330" s="318"/>
    </row>
    <row r="1331" spans="2:42">
      <c r="B1331" s="296"/>
      <c r="C1331" s="299"/>
      <c r="D1331" s="298"/>
      <c r="E1331" s="299"/>
      <c r="F1331" s="299"/>
      <c r="G1331" s="300"/>
      <c r="H1331" s="303"/>
      <c r="I1331" s="301">
        <f t="shared" si="340"/>
        <v>0</v>
      </c>
      <c r="J1331" s="302">
        <f t="shared" si="341"/>
        <v>0</v>
      </c>
      <c r="K1331" s="304">
        <f t="shared" si="342"/>
        <v>0</v>
      </c>
      <c r="L1331" s="305">
        <f>IF(H1331=0,0,IF(OR(E1331=$AT$5,E1331=$AT$6),AA1331,IF(F1331="MXN",1/HLOOKUP(YEAR(G1331)+(MONTH(G1331)/100),TC!$5:$37,DAY(G1331)+2,FALSE),VLOOKUP(F1331,Equivalencia!$5:$23,((MAX(Equivalencia!$3:$3)-YEAR(G1331))*14)+MONTH(G1331)+2,FALSE))))</f>
        <v>0</v>
      </c>
      <c r="M1331" s="306">
        <f t="shared" si="343"/>
        <v>0</v>
      </c>
      <c r="N1331" s="305">
        <f>IF(G1331=0,0,(IF(OR(E1331=$AT$5,E1331=$AT$6),AC1331,HLOOKUP(YEAR(G1331)+(MONTH(G1331)/100),TC!$5:$37,DAY(G1331)+2,FALSE))))</f>
        <v>0</v>
      </c>
      <c r="O1331" s="307">
        <f t="shared" si="344"/>
        <v>0</v>
      </c>
      <c r="P1331" s="560">
        <f>IF(G1331=0,0,VLOOKUP(YEAR(G1331),INPC!$B$4:$P$30,MONTH(G1331)+2))</f>
        <v>0</v>
      </c>
      <c r="Q1331" s="560">
        <f>IF(X1331=0,0,IF(OR(E1331=$AT$10,E1331=$AT$9),VLOOKUP(YEAR(X1331),INPC!$B$4:$P$30,MONTH(X1331)+1),VLOOKUP(YEAR(X1331),INPC!$B$4:$P$30,MONTH(X1331)+2,0)))</f>
        <v>0</v>
      </c>
      <c r="R1331" s="309">
        <f t="shared" si="345"/>
        <v>0</v>
      </c>
      <c r="S1331" s="310">
        <f t="shared" si="346"/>
        <v>0</v>
      </c>
      <c r="T1331" s="555">
        <f t="shared" si="347"/>
        <v>0</v>
      </c>
      <c r="U1331" s="311"/>
      <c r="V1331" s="312"/>
      <c r="W1331" s="299"/>
      <c r="X1331" s="300"/>
      <c r="Y1331" s="299"/>
      <c r="Z1331" s="303"/>
      <c r="AA1331" s="305">
        <f>IF(Z1331=0,0,IF(Y1331="MXN",1/HLOOKUP(YEAR(X1331)+(MONTH(X1331)/100),TC!$5:$37,DAY(X1331)+2,FALSE),VLOOKUP(Y1331,Equivalencia!$1:$23,((MAX(Equivalencia!$3:$3)-YEAR(X1331))*14)+MONTH(X1331)+2,FALSE)))</f>
        <v>0</v>
      </c>
      <c r="AB1331" s="306">
        <f t="shared" si="348"/>
        <v>0</v>
      </c>
      <c r="AC1331" s="305">
        <f>+IF(X1331=0,0,HLOOKUP(YEAR(X1331)+(MONTH(X1331)/100),TC!$5:$37,DAY(X1331)+2,FALSE))</f>
        <v>0</v>
      </c>
      <c r="AD1331" s="307">
        <f t="shared" si="349"/>
        <v>0</v>
      </c>
      <c r="AE1331" s="314">
        <f t="shared" si="350"/>
        <v>0</v>
      </c>
      <c r="AF1331" s="315">
        <f t="shared" si="351"/>
        <v>0</v>
      </c>
      <c r="AG1331" s="316">
        <f t="shared" si="352"/>
        <v>0</v>
      </c>
      <c r="AH1331" s="314">
        <v>1</v>
      </c>
      <c r="AI1331" s="314">
        <f t="shared" si="353"/>
        <v>0</v>
      </c>
      <c r="AJ1331" s="314">
        <f t="shared" si="354"/>
        <v>0</v>
      </c>
      <c r="AK1331" s="317"/>
      <c r="AL1331" s="315">
        <f t="shared" si="355"/>
        <v>0</v>
      </c>
      <c r="AN1331" s="554">
        <f t="shared" si="356"/>
        <v>0</v>
      </c>
      <c r="AO1331" s="314"/>
      <c r="AP1331" s="318"/>
    </row>
    <row r="1332" spans="2:42">
      <c r="B1332" s="296"/>
      <c r="C1332" s="299"/>
      <c r="D1332" s="298"/>
      <c r="E1332" s="299"/>
      <c r="F1332" s="299"/>
      <c r="G1332" s="300"/>
      <c r="H1332" s="303"/>
      <c r="I1332" s="301">
        <f t="shared" si="340"/>
        <v>0</v>
      </c>
      <c r="J1332" s="302">
        <f t="shared" si="341"/>
        <v>0</v>
      </c>
      <c r="K1332" s="304">
        <f t="shared" si="342"/>
        <v>0</v>
      </c>
      <c r="L1332" s="305">
        <f>IF(H1332=0,0,IF(OR(E1332=$AT$5,E1332=$AT$6),AA1332,IF(F1332="MXN",1/HLOOKUP(YEAR(G1332)+(MONTH(G1332)/100),TC!$5:$37,DAY(G1332)+2,FALSE),VLOOKUP(F1332,Equivalencia!$5:$23,((MAX(Equivalencia!$3:$3)-YEAR(G1332))*14)+MONTH(G1332)+2,FALSE))))</f>
        <v>0</v>
      </c>
      <c r="M1332" s="306">
        <f t="shared" si="343"/>
        <v>0</v>
      </c>
      <c r="N1332" s="305">
        <f>IF(G1332=0,0,(IF(OR(E1332=$AT$5,E1332=$AT$6),AC1332,HLOOKUP(YEAR(G1332)+(MONTH(G1332)/100),TC!$5:$37,DAY(G1332)+2,FALSE))))</f>
        <v>0</v>
      </c>
      <c r="O1332" s="307">
        <f t="shared" si="344"/>
        <v>0</v>
      </c>
      <c r="P1332" s="560">
        <f>IF(G1332=0,0,VLOOKUP(YEAR(G1332),INPC!$B$4:$P$30,MONTH(G1332)+2))</f>
        <v>0</v>
      </c>
      <c r="Q1332" s="560">
        <f>IF(X1332=0,0,IF(OR(E1332=$AT$10,E1332=$AT$9),VLOOKUP(YEAR(X1332),INPC!$B$4:$P$30,MONTH(X1332)+1),VLOOKUP(YEAR(X1332),INPC!$B$4:$P$30,MONTH(X1332)+2,0)))</f>
        <v>0</v>
      </c>
      <c r="R1332" s="309">
        <f t="shared" si="345"/>
        <v>0</v>
      </c>
      <c r="S1332" s="310">
        <f t="shared" si="346"/>
        <v>0</v>
      </c>
      <c r="T1332" s="555">
        <f t="shared" si="347"/>
        <v>0</v>
      </c>
      <c r="U1332" s="311"/>
      <c r="V1332" s="312"/>
      <c r="W1332" s="299"/>
      <c r="X1332" s="300"/>
      <c r="Y1332" s="299"/>
      <c r="Z1332" s="303"/>
      <c r="AA1332" s="305">
        <f>IF(Z1332=0,0,IF(Y1332="MXN",1/HLOOKUP(YEAR(X1332)+(MONTH(X1332)/100),TC!$5:$37,DAY(X1332)+2,FALSE),VLOOKUP(Y1332,Equivalencia!$1:$23,((MAX(Equivalencia!$3:$3)-YEAR(X1332))*14)+MONTH(X1332)+2,FALSE)))</f>
        <v>0</v>
      </c>
      <c r="AB1332" s="306">
        <f t="shared" si="348"/>
        <v>0</v>
      </c>
      <c r="AC1332" s="305">
        <f>+IF(X1332=0,0,HLOOKUP(YEAR(X1332)+(MONTH(X1332)/100),TC!$5:$37,DAY(X1332)+2,FALSE))</f>
        <v>0</v>
      </c>
      <c r="AD1332" s="307">
        <f t="shared" si="349"/>
        <v>0</v>
      </c>
      <c r="AE1332" s="314">
        <f t="shared" si="350"/>
        <v>0</v>
      </c>
      <c r="AF1332" s="315">
        <f t="shared" si="351"/>
        <v>0</v>
      </c>
      <c r="AG1332" s="316">
        <f t="shared" si="352"/>
        <v>0</v>
      </c>
      <c r="AH1332" s="314">
        <v>1</v>
      </c>
      <c r="AI1332" s="314">
        <f t="shared" si="353"/>
        <v>0</v>
      </c>
      <c r="AJ1332" s="314">
        <f t="shared" si="354"/>
        <v>0</v>
      </c>
      <c r="AK1332" s="317"/>
      <c r="AL1332" s="315">
        <f t="shared" si="355"/>
        <v>0</v>
      </c>
      <c r="AN1332" s="554">
        <f t="shared" si="356"/>
        <v>0</v>
      </c>
      <c r="AO1332" s="314"/>
      <c r="AP1332" s="318"/>
    </row>
    <row r="1333" spans="2:42">
      <c r="B1333" s="296"/>
      <c r="C1333" s="299"/>
      <c r="D1333" s="298"/>
      <c r="E1333" s="299"/>
      <c r="F1333" s="299"/>
      <c r="G1333" s="300"/>
      <c r="H1333" s="303"/>
      <c r="I1333" s="301">
        <f t="shared" si="340"/>
        <v>0</v>
      </c>
      <c r="J1333" s="302">
        <f t="shared" si="341"/>
        <v>0</v>
      </c>
      <c r="K1333" s="304">
        <f t="shared" si="342"/>
        <v>0</v>
      </c>
      <c r="L1333" s="305">
        <f>IF(H1333=0,0,IF(OR(E1333=$AT$5,E1333=$AT$6),AA1333,IF(F1333="MXN",1/HLOOKUP(YEAR(G1333)+(MONTH(G1333)/100),TC!$5:$37,DAY(G1333)+2,FALSE),VLOOKUP(F1333,Equivalencia!$5:$23,((MAX(Equivalencia!$3:$3)-YEAR(G1333))*14)+MONTH(G1333)+2,FALSE))))</f>
        <v>0</v>
      </c>
      <c r="M1333" s="306">
        <f t="shared" si="343"/>
        <v>0</v>
      </c>
      <c r="N1333" s="305">
        <f>IF(G1333=0,0,(IF(OR(E1333=$AT$5,E1333=$AT$6),AC1333,HLOOKUP(YEAR(G1333)+(MONTH(G1333)/100),TC!$5:$37,DAY(G1333)+2,FALSE))))</f>
        <v>0</v>
      </c>
      <c r="O1333" s="307">
        <f t="shared" si="344"/>
        <v>0</v>
      </c>
      <c r="P1333" s="560">
        <f>IF(G1333=0,0,VLOOKUP(YEAR(G1333),INPC!$B$4:$P$30,MONTH(G1333)+2))</f>
        <v>0</v>
      </c>
      <c r="Q1333" s="560">
        <f>IF(X1333=0,0,IF(OR(E1333=$AT$10,E1333=$AT$9),VLOOKUP(YEAR(X1333),INPC!$B$4:$P$30,MONTH(X1333)+1),VLOOKUP(YEAR(X1333),INPC!$B$4:$P$30,MONTH(X1333)+2,0)))</f>
        <v>0</v>
      </c>
      <c r="R1333" s="309">
        <f t="shared" si="345"/>
        <v>0</v>
      </c>
      <c r="S1333" s="310">
        <f t="shared" si="346"/>
        <v>0</v>
      </c>
      <c r="T1333" s="555">
        <f t="shared" si="347"/>
        <v>0</v>
      </c>
      <c r="U1333" s="311"/>
      <c r="V1333" s="312"/>
      <c r="W1333" s="299"/>
      <c r="X1333" s="300"/>
      <c r="Y1333" s="299"/>
      <c r="Z1333" s="303"/>
      <c r="AA1333" s="305">
        <f>IF(Z1333=0,0,IF(Y1333="MXN",1/HLOOKUP(YEAR(X1333)+(MONTH(X1333)/100),TC!$5:$37,DAY(X1333)+2,FALSE),VLOOKUP(Y1333,Equivalencia!$1:$23,((MAX(Equivalencia!$3:$3)-YEAR(X1333))*14)+MONTH(X1333)+2,FALSE)))</f>
        <v>0</v>
      </c>
      <c r="AB1333" s="306">
        <f t="shared" si="348"/>
        <v>0</v>
      </c>
      <c r="AC1333" s="305">
        <f>+IF(X1333=0,0,HLOOKUP(YEAR(X1333)+(MONTH(X1333)/100),TC!$5:$37,DAY(X1333)+2,FALSE))</f>
        <v>0</v>
      </c>
      <c r="AD1333" s="307">
        <f t="shared" si="349"/>
        <v>0</v>
      </c>
      <c r="AE1333" s="314">
        <f t="shared" si="350"/>
        <v>0</v>
      </c>
      <c r="AF1333" s="315">
        <f t="shared" si="351"/>
        <v>0</v>
      </c>
      <c r="AG1333" s="316">
        <f t="shared" si="352"/>
        <v>0</v>
      </c>
      <c r="AH1333" s="314">
        <v>1</v>
      </c>
      <c r="AI1333" s="314">
        <f t="shared" si="353"/>
        <v>0</v>
      </c>
      <c r="AJ1333" s="314">
        <f t="shared" si="354"/>
        <v>0</v>
      </c>
      <c r="AK1333" s="317"/>
      <c r="AL1333" s="315">
        <f t="shared" si="355"/>
        <v>0</v>
      </c>
      <c r="AN1333" s="554">
        <f t="shared" si="356"/>
        <v>0</v>
      </c>
      <c r="AO1333" s="314"/>
      <c r="AP1333" s="318"/>
    </row>
    <row r="1334" spans="2:42">
      <c r="B1334" s="296"/>
      <c r="C1334" s="299"/>
      <c r="D1334" s="298"/>
      <c r="E1334" s="299"/>
      <c r="F1334" s="299"/>
      <c r="G1334" s="300"/>
      <c r="H1334" s="303"/>
      <c r="I1334" s="301">
        <f t="shared" si="340"/>
        <v>0</v>
      </c>
      <c r="J1334" s="302">
        <f t="shared" si="341"/>
        <v>0</v>
      </c>
      <c r="K1334" s="304">
        <f t="shared" si="342"/>
        <v>0</v>
      </c>
      <c r="L1334" s="305">
        <f>IF(H1334=0,0,IF(OR(E1334=$AT$5,E1334=$AT$6),AA1334,IF(F1334="MXN",1/HLOOKUP(YEAR(G1334)+(MONTH(G1334)/100),TC!$5:$37,DAY(G1334)+2,FALSE),VLOOKUP(F1334,Equivalencia!$5:$23,((MAX(Equivalencia!$3:$3)-YEAR(G1334))*14)+MONTH(G1334)+2,FALSE))))</f>
        <v>0</v>
      </c>
      <c r="M1334" s="306">
        <f t="shared" si="343"/>
        <v>0</v>
      </c>
      <c r="N1334" s="305">
        <f>IF(G1334=0,0,(IF(OR(E1334=$AT$5,E1334=$AT$6),AC1334,HLOOKUP(YEAR(G1334)+(MONTH(G1334)/100),TC!$5:$37,DAY(G1334)+2,FALSE))))</f>
        <v>0</v>
      </c>
      <c r="O1334" s="307">
        <f t="shared" si="344"/>
        <v>0</v>
      </c>
      <c r="P1334" s="560">
        <f>IF(G1334=0,0,VLOOKUP(YEAR(G1334),INPC!$B$4:$P$30,MONTH(G1334)+2))</f>
        <v>0</v>
      </c>
      <c r="Q1334" s="560">
        <f>IF(X1334=0,0,IF(OR(E1334=$AT$10,E1334=$AT$9),VLOOKUP(YEAR(X1334),INPC!$B$4:$P$30,MONTH(X1334)+1),VLOOKUP(YEAR(X1334),INPC!$B$4:$P$30,MONTH(X1334)+2,0)))</f>
        <v>0</v>
      </c>
      <c r="R1334" s="309">
        <f t="shared" si="345"/>
        <v>0</v>
      </c>
      <c r="S1334" s="310">
        <f t="shared" si="346"/>
        <v>0</v>
      </c>
      <c r="T1334" s="555">
        <f t="shared" si="347"/>
        <v>0</v>
      </c>
      <c r="U1334" s="311"/>
      <c r="V1334" s="312"/>
      <c r="W1334" s="299"/>
      <c r="X1334" s="300"/>
      <c r="Y1334" s="299"/>
      <c r="Z1334" s="303"/>
      <c r="AA1334" s="305">
        <f>IF(Z1334=0,0,IF(Y1334="MXN",1/HLOOKUP(YEAR(X1334)+(MONTH(X1334)/100),TC!$5:$37,DAY(X1334)+2,FALSE),VLOOKUP(Y1334,Equivalencia!$1:$23,((MAX(Equivalencia!$3:$3)-YEAR(X1334))*14)+MONTH(X1334)+2,FALSE)))</f>
        <v>0</v>
      </c>
      <c r="AB1334" s="306">
        <f t="shared" si="348"/>
        <v>0</v>
      </c>
      <c r="AC1334" s="305">
        <f>+IF(X1334=0,0,HLOOKUP(YEAR(X1334)+(MONTH(X1334)/100),TC!$5:$37,DAY(X1334)+2,FALSE))</f>
        <v>0</v>
      </c>
      <c r="AD1334" s="307">
        <f t="shared" si="349"/>
        <v>0</v>
      </c>
      <c r="AE1334" s="314">
        <f t="shared" si="350"/>
        <v>0</v>
      </c>
      <c r="AF1334" s="315">
        <f t="shared" si="351"/>
        <v>0</v>
      </c>
      <c r="AG1334" s="316">
        <f t="shared" si="352"/>
        <v>0</v>
      </c>
      <c r="AH1334" s="314">
        <v>1</v>
      </c>
      <c r="AI1334" s="314">
        <f t="shared" si="353"/>
        <v>0</v>
      </c>
      <c r="AJ1334" s="314">
        <f t="shared" si="354"/>
        <v>0</v>
      </c>
      <c r="AK1334" s="317"/>
      <c r="AL1334" s="315">
        <f t="shared" si="355"/>
        <v>0</v>
      </c>
      <c r="AN1334" s="554">
        <f t="shared" si="356"/>
        <v>0</v>
      </c>
      <c r="AO1334" s="314"/>
      <c r="AP1334" s="318"/>
    </row>
    <row r="1335" spans="2:42">
      <c r="B1335" s="296"/>
      <c r="C1335" s="299"/>
      <c r="D1335" s="298"/>
      <c r="E1335" s="299"/>
      <c r="F1335" s="299"/>
      <c r="G1335" s="300"/>
      <c r="H1335" s="303"/>
      <c r="I1335" s="301">
        <f t="shared" si="340"/>
        <v>0</v>
      </c>
      <c r="J1335" s="302">
        <f t="shared" si="341"/>
        <v>0</v>
      </c>
      <c r="K1335" s="304">
        <f t="shared" si="342"/>
        <v>0</v>
      </c>
      <c r="L1335" s="305">
        <f>IF(H1335=0,0,IF(OR(E1335=$AT$5,E1335=$AT$6),AA1335,IF(F1335="MXN",1/HLOOKUP(YEAR(G1335)+(MONTH(G1335)/100),TC!$5:$37,DAY(G1335)+2,FALSE),VLOOKUP(F1335,Equivalencia!$5:$23,((MAX(Equivalencia!$3:$3)-YEAR(G1335))*14)+MONTH(G1335)+2,FALSE))))</f>
        <v>0</v>
      </c>
      <c r="M1335" s="306">
        <f t="shared" si="343"/>
        <v>0</v>
      </c>
      <c r="N1335" s="305">
        <f>IF(G1335=0,0,(IF(OR(E1335=$AT$5,E1335=$AT$6),AC1335,HLOOKUP(YEAR(G1335)+(MONTH(G1335)/100),TC!$5:$37,DAY(G1335)+2,FALSE))))</f>
        <v>0</v>
      </c>
      <c r="O1335" s="307">
        <f t="shared" si="344"/>
        <v>0</v>
      </c>
      <c r="P1335" s="560">
        <f>IF(G1335=0,0,VLOOKUP(YEAR(G1335),INPC!$B$4:$P$30,MONTH(G1335)+2))</f>
        <v>0</v>
      </c>
      <c r="Q1335" s="560">
        <f>IF(X1335=0,0,IF(OR(E1335=$AT$10,E1335=$AT$9),VLOOKUP(YEAR(X1335),INPC!$B$4:$P$30,MONTH(X1335)+1),VLOOKUP(YEAR(X1335),INPC!$B$4:$P$30,MONTH(X1335)+2,0)))</f>
        <v>0</v>
      </c>
      <c r="R1335" s="309">
        <f t="shared" si="345"/>
        <v>0</v>
      </c>
      <c r="S1335" s="310">
        <f t="shared" si="346"/>
        <v>0</v>
      </c>
      <c r="T1335" s="555">
        <f t="shared" si="347"/>
        <v>0</v>
      </c>
      <c r="U1335" s="311"/>
      <c r="V1335" s="312"/>
      <c r="W1335" s="299"/>
      <c r="X1335" s="300"/>
      <c r="Y1335" s="299"/>
      <c r="Z1335" s="303"/>
      <c r="AA1335" s="305">
        <f>IF(Z1335=0,0,IF(Y1335="MXN",1/HLOOKUP(YEAR(X1335)+(MONTH(X1335)/100),TC!$5:$37,DAY(X1335)+2,FALSE),VLOOKUP(Y1335,Equivalencia!$1:$23,((MAX(Equivalencia!$3:$3)-YEAR(X1335))*14)+MONTH(X1335)+2,FALSE)))</f>
        <v>0</v>
      </c>
      <c r="AB1335" s="306">
        <f t="shared" si="348"/>
        <v>0</v>
      </c>
      <c r="AC1335" s="305">
        <f>+IF(X1335=0,0,HLOOKUP(YEAR(X1335)+(MONTH(X1335)/100),TC!$5:$37,DAY(X1335)+2,FALSE))</f>
        <v>0</v>
      </c>
      <c r="AD1335" s="307">
        <f t="shared" si="349"/>
        <v>0</v>
      </c>
      <c r="AE1335" s="314">
        <f t="shared" si="350"/>
        <v>0</v>
      </c>
      <c r="AF1335" s="315">
        <f t="shared" si="351"/>
        <v>0</v>
      </c>
      <c r="AG1335" s="316">
        <f t="shared" si="352"/>
        <v>0</v>
      </c>
      <c r="AH1335" s="314">
        <v>1</v>
      </c>
      <c r="AI1335" s="314">
        <f t="shared" si="353"/>
        <v>0</v>
      </c>
      <c r="AJ1335" s="314">
        <f t="shared" si="354"/>
        <v>0</v>
      </c>
      <c r="AK1335" s="317"/>
      <c r="AL1335" s="315">
        <f t="shared" si="355"/>
        <v>0</v>
      </c>
      <c r="AN1335" s="554">
        <f t="shared" si="356"/>
        <v>0</v>
      </c>
      <c r="AO1335" s="314"/>
      <c r="AP1335" s="318"/>
    </row>
    <row r="1336" spans="2:42">
      <c r="B1336" s="296"/>
      <c r="C1336" s="299"/>
      <c r="D1336" s="298"/>
      <c r="E1336" s="299"/>
      <c r="F1336" s="299"/>
      <c r="G1336" s="300"/>
      <c r="H1336" s="303"/>
      <c r="I1336" s="301">
        <f t="shared" si="340"/>
        <v>0</v>
      </c>
      <c r="J1336" s="302">
        <f t="shared" si="341"/>
        <v>0</v>
      </c>
      <c r="K1336" s="304">
        <f t="shared" si="342"/>
        <v>0</v>
      </c>
      <c r="L1336" s="305">
        <f>IF(H1336=0,0,IF(OR(E1336=$AT$5,E1336=$AT$6),AA1336,IF(F1336="MXN",1/HLOOKUP(YEAR(G1336)+(MONTH(G1336)/100),TC!$5:$37,DAY(G1336)+2,FALSE),VLOOKUP(F1336,Equivalencia!$5:$23,((MAX(Equivalencia!$3:$3)-YEAR(G1336))*14)+MONTH(G1336)+2,FALSE))))</f>
        <v>0</v>
      </c>
      <c r="M1336" s="306">
        <f t="shared" si="343"/>
        <v>0</v>
      </c>
      <c r="N1336" s="305">
        <f>IF(G1336=0,0,(IF(OR(E1336=$AT$5,E1336=$AT$6),AC1336,HLOOKUP(YEAR(G1336)+(MONTH(G1336)/100),TC!$5:$37,DAY(G1336)+2,FALSE))))</f>
        <v>0</v>
      </c>
      <c r="O1336" s="307">
        <f t="shared" si="344"/>
        <v>0</v>
      </c>
      <c r="P1336" s="560">
        <f>IF(G1336=0,0,VLOOKUP(YEAR(G1336),INPC!$B$4:$P$30,MONTH(G1336)+2))</f>
        <v>0</v>
      </c>
      <c r="Q1336" s="560">
        <f>IF(X1336=0,0,IF(OR(E1336=$AT$10,E1336=$AT$9),VLOOKUP(YEAR(X1336),INPC!$B$4:$P$30,MONTH(X1336)+1),VLOOKUP(YEAR(X1336),INPC!$B$4:$P$30,MONTH(X1336)+2,0)))</f>
        <v>0</v>
      </c>
      <c r="R1336" s="309">
        <f t="shared" si="345"/>
        <v>0</v>
      </c>
      <c r="S1336" s="310">
        <f t="shared" si="346"/>
        <v>0</v>
      </c>
      <c r="T1336" s="555">
        <f t="shared" si="347"/>
        <v>0</v>
      </c>
      <c r="U1336" s="311"/>
      <c r="V1336" s="312"/>
      <c r="W1336" s="299"/>
      <c r="X1336" s="300"/>
      <c r="Y1336" s="299"/>
      <c r="Z1336" s="303"/>
      <c r="AA1336" s="305">
        <f>IF(Z1336=0,0,IF(Y1336="MXN",1/HLOOKUP(YEAR(X1336)+(MONTH(X1336)/100),TC!$5:$37,DAY(X1336)+2,FALSE),VLOOKUP(Y1336,Equivalencia!$1:$23,((MAX(Equivalencia!$3:$3)-YEAR(X1336))*14)+MONTH(X1336)+2,FALSE)))</f>
        <v>0</v>
      </c>
      <c r="AB1336" s="306">
        <f t="shared" si="348"/>
        <v>0</v>
      </c>
      <c r="AC1336" s="305">
        <f>+IF(X1336=0,0,HLOOKUP(YEAR(X1336)+(MONTH(X1336)/100),TC!$5:$37,DAY(X1336)+2,FALSE))</f>
        <v>0</v>
      </c>
      <c r="AD1336" s="307">
        <f t="shared" si="349"/>
        <v>0</v>
      </c>
      <c r="AE1336" s="314">
        <f t="shared" si="350"/>
        <v>0</v>
      </c>
      <c r="AF1336" s="315">
        <f t="shared" si="351"/>
        <v>0</v>
      </c>
      <c r="AG1336" s="316">
        <f t="shared" si="352"/>
        <v>0</v>
      </c>
      <c r="AH1336" s="314">
        <v>1</v>
      </c>
      <c r="AI1336" s="314">
        <f t="shared" si="353"/>
        <v>0</v>
      </c>
      <c r="AJ1336" s="314">
        <f t="shared" si="354"/>
        <v>0</v>
      </c>
      <c r="AK1336" s="317"/>
      <c r="AL1336" s="315">
        <f t="shared" si="355"/>
        <v>0</v>
      </c>
      <c r="AN1336" s="554">
        <f t="shared" si="356"/>
        <v>0</v>
      </c>
      <c r="AO1336" s="314"/>
      <c r="AP1336" s="318"/>
    </row>
    <row r="1337" spans="2:42">
      <c r="B1337" s="296"/>
      <c r="C1337" s="299"/>
      <c r="D1337" s="298"/>
      <c r="E1337" s="299"/>
      <c r="F1337" s="299"/>
      <c r="G1337" s="300"/>
      <c r="H1337" s="303"/>
      <c r="I1337" s="301">
        <f t="shared" si="340"/>
        <v>0</v>
      </c>
      <c r="J1337" s="302">
        <f t="shared" si="341"/>
        <v>0</v>
      </c>
      <c r="K1337" s="304">
        <f t="shared" si="342"/>
        <v>0</v>
      </c>
      <c r="L1337" s="305">
        <f>IF(H1337=0,0,IF(OR(E1337=$AT$5,E1337=$AT$6),AA1337,IF(F1337="MXN",1/HLOOKUP(YEAR(G1337)+(MONTH(G1337)/100),TC!$5:$37,DAY(G1337)+2,FALSE),VLOOKUP(F1337,Equivalencia!$5:$23,((MAX(Equivalencia!$3:$3)-YEAR(G1337))*14)+MONTH(G1337)+2,FALSE))))</f>
        <v>0</v>
      </c>
      <c r="M1337" s="306">
        <f t="shared" si="343"/>
        <v>0</v>
      </c>
      <c r="N1337" s="305">
        <f>IF(G1337=0,0,(IF(OR(E1337=$AT$5,E1337=$AT$6),AC1337,HLOOKUP(YEAR(G1337)+(MONTH(G1337)/100),TC!$5:$37,DAY(G1337)+2,FALSE))))</f>
        <v>0</v>
      </c>
      <c r="O1337" s="307">
        <f t="shared" si="344"/>
        <v>0</v>
      </c>
      <c r="P1337" s="560">
        <f>IF(G1337=0,0,VLOOKUP(YEAR(G1337),INPC!$B$4:$P$30,MONTH(G1337)+2))</f>
        <v>0</v>
      </c>
      <c r="Q1337" s="560">
        <f>IF(X1337=0,0,IF(OR(E1337=$AT$10,E1337=$AT$9),VLOOKUP(YEAR(X1337),INPC!$B$4:$P$30,MONTH(X1337)+1),VLOOKUP(YEAR(X1337),INPC!$B$4:$P$30,MONTH(X1337)+2,0)))</f>
        <v>0</v>
      </c>
      <c r="R1337" s="309">
        <f t="shared" si="345"/>
        <v>0</v>
      </c>
      <c r="S1337" s="310">
        <f t="shared" si="346"/>
        <v>0</v>
      </c>
      <c r="T1337" s="555">
        <f t="shared" si="347"/>
        <v>0</v>
      </c>
      <c r="U1337" s="311"/>
      <c r="V1337" s="312"/>
      <c r="W1337" s="299"/>
      <c r="X1337" s="300"/>
      <c r="Y1337" s="299"/>
      <c r="Z1337" s="303"/>
      <c r="AA1337" s="305">
        <f>IF(Z1337=0,0,IF(Y1337="MXN",1/HLOOKUP(YEAR(X1337)+(MONTH(X1337)/100),TC!$5:$37,DAY(X1337)+2,FALSE),VLOOKUP(Y1337,Equivalencia!$1:$23,((MAX(Equivalencia!$3:$3)-YEAR(X1337))*14)+MONTH(X1337)+2,FALSE)))</f>
        <v>0</v>
      </c>
      <c r="AB1337" s="306">
        <f t="shared" si="348"/>
        <v>0</v>
      </c>
      <c r="AC1337" s="305">
        <f>+IF(X1337=0,0,HLOOKUP(YEAR(X1337)+(MONTH(X1337)/100),TC!$5:$37,DAY(X1337)+2,FALSE))</f>
        <v>0</v>
      </c>
      <c r="AD1337" s="307">
        <f t="shared" si="349"/>
        <v>0</v>
      </c>
      <c r="AE1337" s="314">
        <f t="shared" si="350"/>
        <v>0</v>
      </c>
      <c r="AF1337" s="315">
        <f t="shared" si="351"/>
        <v>0</v>
      </c>
      <c r="AG1337" s="316">
        <f t="shared" si="352"/>
        <v>0</v>
      </c>
      <c r="AH1337" s="314">
        <v>1</v>
      </c>
      <c r="AI1337" s="314">
        <f t="shared" si="353"/>
        <v>0</v>
      </c>
      <c r="AJ1337" s="314">
        <f t="shared" si="354"/>
        <v>0</v>
      </c>
      <c r="AK1337" s="317"/>
      <c r="AL1337" s="315">
        <f t="shared" si="355"/>
        <v>0</v>
      </c>
      <c r="AN1337" s="554">
        <f t="shared" si="356"/>
        <v>0</v>
      </c>
      <c r="AO1337" s="314"/>
      <c r="AP1337" s="318"/>
    </row>
    <row r="1338" spans="2:42">
      <c r="B1338" s="296"/>
      <c r="C1338" s="299"/>
      <c r="D1338" s="298"/>
      <c r="E1338" s="299"/>
      <c r="F1338" s="299"/>
      <c r="G1338" s="300"/>
      <c r="H1338" s="303"/>
      <c r="I1338" s="301">
        <f t="shared" si="340"/>
        <v>0</v>
      </c>
      <c r="J1338" s="302">
        <f t="shared" si="341"/>
        <v>0</v>
      </c>
      <c r="K1338" s="304">
        <f t="shared" si="342"/>
        <v>0</v>
      </c>
      <c r="L1338" s="305">
        <f>IF(H1338=0,0,IF(OR(E1338=$AT$5,E1338=$AT$6),AA1338,IF(F1338="MXN",1/HLOOKUP(YEAR(G1338)+(MONTH(G1338)/100),TC!$5:$37,DAY(G1338)+2,FALSE),VLOOKUP(F1338,Equivalencia!$5:$23,((MAX(Equivalencia!$3:$3)-YEAR(G1338))*14)+MONTH(G1338)+2,FALSE))))</f>
        <v>0</v>
      </c>
      <c r="M1338" s="306">
        <f t="shared" si="343"/>
        <v>0</v>
      </c>
      <c r="N1338" s="305">
        <f>IF(G1338=0,0,(IF(OR(E1338=$AT$5,E1338=$AT$6),AC1338,HLOOKUP(YEAR(G1338)+(MONTH(G1338)/100),TC!$5:$37,DAY(G1338)+2,FALSE))))</f>
        <v>0</v>
      </c>
      <c r="O1338" s="307">
        <f t="shared" si="344"/>
        <v>0</v>
      </c>
      <c r="P1338" s="560">
        <f>IF(G1338=0,0,VLOOKUP(YEAR(G1338),INPC!$B$4:$P$30,MONTH(G1338)+2))</f>
        <v>0</v>
      </c>
      <c r="Q1338" s="560">
        <f>IF(X1338=0,0,IF(OR(E1338=$AT$10,E1338=$AT$9),VLOOKUP(YEAR(X1338),INPC!$B$4:$P$30,MONTH(X1338)+1),VLOOKUP(YEAR(X1338),INPC!$B$4:$P$30,MONTH(X1338)+2,0)))</f>
        <v>0</v>
      </c>
      <c r="R1338" s="309">
        <f t="shared" si="345"/>
        <v>0</v>
      </c>
      <c r="S1338" s="310">
        <f t="shared" si="346"/>
        <v>0</v>
      </c>
      <c r="T1338" s="555">
        <f t="shared" si="347"/>
        <v>0</v>
      </c>
      <c r="U1338" s="311"/>
      <c r="V1338" s="312"/>
      <c r="W1338" s="299"/>
      <c r="X1338" s="300"/>
      <c r="Y1338" s="299"/>
      <c r="Z1338" s="303"/>
      <c r="AA1338" s="305">
        <f>IF(Z1338=0,0,IF(Y1338="MXN",1/HLOOKUP(YEAR(X1338)+(MONTH(X1338)/100),TC!$5:$37,DAY(X1338)+2,FALSE),VLOOKUP(Y1338,Equivalencia!$1:$23,((MAX(Equivalencia!$3:$3)-YEAR(X1338))*14)+MONTH(X1338)+2,FALSE)))</f>
        <v>0</v>
      </c>
      <c r="AB1338" s="306">
        <f t="shared" si="348"/>
        <v>0</v>
      </c>
      <c r="AC1338" s="305">
        <f>+IF(X1338=0,0,HLOOKUP(YEAR(X1338)+(MONTH(X1338)/100),TC!$5:$37,DAY(X1338)+2,FALSE))</f>
        <v>0</v>
      </c>
      <c r="AD1338" s="307">
        <f t="shared" si="349"/>
        <v>0</v>
      </c>
      <c r="AE1338" s="314">
        <f t="shared" si="350"/>
        <v>0</v>
      </c>
      <c r="AF1338" s="315">
        <f t="shared" si="351"/>
        <v>0</v>
      </c>
      <c r="AG1338" s="316">
        <f t="shared" si="352"/>
        <v>0</v>
      </c>
      <c r="AH1338" s="314">
        <v>1</v>
      </c>
      <c r="AI1338" s="314">
        <f t="shared" si="353"/>
        <v>0</v>
      </c>
      <c r="AJ1338" s="314">
        <f t="shared" si="354"/>
        <v>0</v>
      </c>
      <c r="AK1338" s="317"/>
      <c r="AL1338" s="315">
        <f t="shared" si="355"/>
        <v>0</v>
      </c>
      <c r="AN1338" s="554">
        <f t="shared" si="356"/>
        <v>0</v>
      </c>
      <c r="AO1338" s="314"/>
      <c r="AP1338" s="318"/>
    </row>
    <row r="1339" spans="2:42">
      <c r="B1339" s="296"/>
      <c r="C1339" s="299"/>
      <c r="D1339" s="298"/>
      <c r="E1339" s="299"/>
      <c r="F1339" s="299"/>
      <c r="G1339" s="300"/>
      <c r="H1339" s="303"/>
      <c r="I1339" s="301">
        <f t="shared" si="340"/>
        <v>0</v>
      </c>
      <c r="J1339" s="302">
        <f t="shared" si="341"/>
        <v>0</v>
      </c>
      <c r="K1339" s="304">
        <f t="shared" si="342"/>
        <v>0</v>
      </c>
      <c r="L1339" s="305">
        <f>IF(H1339=0,0,IF(OR(E1339=$AT$5,E1339=$AT$6),AA1339,IF(F1339="MXN",1/HLOOKUP(YEAR(G1339)+(MONTH(G1339)/100),TC!$5:$37,DAY(G1339)+2,FALSE),VLOOKUP(F1339,Equivalencia!$5:$23,((MAX(Equivalencia!$3:$3)-YEAR(G1339))*14)+MONTH(G1339)+2,FALSE))))</f>
        <v>0</v>
      </c>
      <c r="M1339" s="306">
        <f t="shared" si="343"/>
        <v>0</v>
      </c>
      <c r="N1339" s="305">
        <f>IF(G1339=0,0,(IF(OR(E1339=$AT$5,E1339=$AT$6),AC1339,HLOOKUP(YEAR(G1339)+(MONTH(G1339)/100),TC!$5:$37,DAY(G1339)+2,FALSE))))</f>
        <v>0</v>
      </c>
      <c r="O1339" s="307">
        <f t="shared" si="344"/>
        <v>0</v>
      </c>
      <c r="P1339" s="560">
        <f>IF(G1339=0,0,VLOOKUP(YEAR(G1339),INPC!$B$4:$P$30,MONTH(G1339)+2))</f>
        <v>0</v>
      </c>
      <c r="Q1339" s="560">
        <f>IF(X1339=0,0,IF(OR(E1339=$AT$10,E1339=$AT$9),VLOOKUP(YEAR(X1339),INPC!$B$4:$P$30,MONTH(X1339)+1),VLOOKUP(YEAR(X1339),INPC!$B$4:$P$30,MONTH(X1339)+2,0)))</f>
        <v>0</v>
      </c>
      <c r="R1339" s="309">
        <f t="shared" si="345"/>
        <v>0</v>
      </c>
      <c r="S1339" s="310">
        <f t="shared" si="346"/>
        <v>0</v>
      </c>
      <c r="T1339" s="555">
        <f t="shared" si="347"/>
        <v>0</v>
      </c>
      <c r="U1339" s="311"/>
      <c r="V1339" s="312"/>
      <c r="W1339" s="299"/>
      <c r="X1339" s="300"/>
      <c r="Y1339" s="299"/>
      <c r="Z1339" s="303"/>
      <c r="AA1339" s="305">
        <f>IF(Z1339=0,0,IF(Y1339="MXN",1/HLOOKUP(YEAR(X1339)+(MONTH(X1339)/100),TC!$5:$37,DAY(X1339)+2,FALSE),VLOOKUP(Y1339,Equivalencia!$1:$23,((MAX(Equivalencia!$3:$3)-YEAR(X1339))*14)+MONTH(X1339)+2,FALSE)))</f>
        <v>0</v>
      </c>
      <c r="AB1339" s="306">
        <f t="shared" si="348"/>
        <v>0</v>
      </c>
      <c r="AC1339" s="305">
        <f>+IF(X1339=0,0,HLOOKUP(YEAR(X1339)+(MONTH(X1339)/100),TC!$5:$37,DAY(X1339)+2,FALSE))</f>
        <v>0</v>
      </c>
      <c r="AD1339" s="307">
        <f t="shared" si="349"/>
        <v>0</v>
      </c>
      <c r="AE1339" s="314">
        <f t="shared" si="350"/>
        <v>0</v>
      </c>
      <c r="AF1339" s="315">
        <f t="shared" si="351"/>
        <v>0</v>
      </c>
      <c r="AG1339" s="316">
        <f t="shared" si="352"/>
        <v>0</v>
      </c>
      <c r="AH1339" s="314">
        <v>1</v>
      </c>
      <c r="AI1339" s="314">
        <f t="shared" si="353"/>
        <v>0</v>
      </c>
      <c r="AJ1339" s="314">
        <f t="shared" si="354"/>
        <v>0</v>
      </c>
      <c r="AK1339" s="317"/>
      <c r="AL1339" s="315">
        <f t="shared" si="355"/>
        <v>0</v>
      </c>
      <c r="AN1339" s="554">
        <f t="shared" si="356"/>
        <v>0</v>
      </c>
      <c r="AO1339" s="314"/>
      <c r="AP1339" s="318"/>
    </row>
    <row r="1340" spans="2:42">
      <c r="B1340" s="296"/>
      <c r="C1340" s="299"/>
      <c r="D1340" s="298"/>
      <c r="E1340" s="299"/>
      <c r="F1340" s="299"/>
      <c r="G1340" s="300"/>
      <c r="H1340" s="303"/>
      <c r="I1340" s="301">
        <f t="shared" ref="I1340:I1403" si="357">IF(D1340=0,0,IF(OR(E1340=$AT$9,E1340=$AT$10),"Ingresos Sección II LISR (SIC &amp; BMV)","Ingresos Sección I LISR"))</f>
        <v>0</v>
      </c>
      <c r="J1340" s="302">
        <f t="shared" ref="J1340:J1403" si="358">+V1340</f>
        <v>0</v>
      </c>
      <c r="K1340" s="304">
        <f t="shared" ref="K1340:K1403" si="359">IF(H1340=0,0,H1340/J1340)</f>
        <v>0</v>
      </c>
      <c r="L1340" s="305">
        <f>IF(H1340=0,0,IF(OR(E1340=$AT$5,E1340=$AT$6),AA1340,IF(F1340="MXN",1/HLOOKUP(YEAR(G1340)+(MONTH(G1340)/100),TC!$5:$37,DAY(G1340)+2,FALSE),VLOOKUP(F1340,Equivalencia!$5:$23,((MAX(Equivalencia!$3:$3)-YEAR(G1340))*14)+MONTH(G1340)+2,FALSE))))</f>
        <v>0</v>
      </c>
      <c r="M1340" s="306">
        <f t="shared" ref="M1340:M1403" si="360">+H1340*L1340</f>
        <v>0</v>
      </c>
      <c r="N1340" s="305">
        <f>IF(G1340=0,0,(IF(OR(E1340=$AT$5,E1340=$AT$6),AC1340,HLOOKUP(YEAR(G1340)+(MONTH(G1340)/100),TC!$5:$37,DAY(G1340)+2,FALSE))))</f>
        <v>0</v>
      </c>
      <c r="O1340" s="307">
        <f t="shared" ref="O1340:O1403" si="361">+M1340*N1340</f>
        <v>0</v>
      </c>
      <c r="P1340" s="560">
        <f>IF(G1340=0,0,VLOOKUP(YEAR(G1340),INPC!$B$4:$P$30,MONTH(G1340)+2))</f>
        <v>0</v>
      </c>
      <c r="Q1340" s="560">
        <f>IF(X1340=0,0,IF(OR(E1340=$AT$10,E1340=$AT$9),VLOOKUP(YEAR(X1340),INPC!$B$4:$P$30,MONTH(X1340)+1),VLOOKUP(YEAR(X1340),INPC!$B$4:$P$30,MONTH(X1340)+2,0)))</f>
        <v>0</v>
      </c>
      <c r="R1340" s="309">
        <f t="shared" ref="R1340:R1403" si="362">IF(H1340=0,0,IF(OR(E1340=$AT$5,E1340=$AT$6),1,IF(TRUNC(Q1340/P1340,4)&gt;=1,TRUNC(Q1340/P1340,4),1)))</f>
        <v>0</v>
      </c>
      <c r="S1340" s="310">
        <f t="shared" ref="S1340:S1403" si="363">+R1340*O1340</f>
        <v>0</v>
      </c>
      <c r="T1340" s="555">
        <f t="shared" ref="T1340:T1403" si="364">IF(V1340=0,0,S1340/V1340)</f>
        <v>0</v>
      </c>
      <c r="U1340" s="311"/>
      <c r="V1340" s="312"/>
      <c r="W1340" s="299"/>
      <c r="X1340" s="300"/>
      <c r="Y1340" s="299"/>
      <c r="Z1340" s="303"/>
      <c r="AA1340" s="305">
        <f>IF(Z1340=0,0,IF(Y1340="MXN",1/HLOOKUP(YEAR(X1340)+(MONTH(X1340)/100),TC!$5:$37,DAY(X1340)+2,FALSE),VLOOKUP(Y1340,Equivalencia!$1:$23,((MAX(Equivalencia!$3:$3)-YEAR(X1340))*14)+MONTH(X1340)+2,FALSE)))</f>
        <v>0</v>
      </c>
      <c r="AB1340" s="306">
        <f t="shared" ref="AB1340:AB1403" si="365">+AA1340*Z1340</f>
        <v>0</v>
      </c>
      <c r="AC1340" s="305">
        <f>+IF(X1340=0,0,HLOOKUP(YEAR(X1340)+(MONTH(X1340)/100),TC!$5:$37,DAY(X1340)+2,FALSE))</f>
        <v>0</v>
      </c>
      <c r="AD1340" s="307">
        <f t="shared" ref="AD1340:AD1403" si="366">+AC1340*AB1340</f>
        <v>0</v>
      </c>
      <c r="AE1340" s="314">
        <f t="shared" ref="AE1340:AE1403" si="367">+V1340*T1340</f>
        <v>0</v>
      </c>
      <c r="AF1340" s="315">
        <f t="shared" ref="AF1340:AF1403" si="368">IF(E1340=$AT$11,0,AD1340-AE1340)</f>
        <v>0</v>
      </c>
      <c r="AG1340" s="316">
        <f t="shared" ref="AG1340:AG1403" si="369">+IF(AND(AF1340&lt;0,OR(E1340=$AT$5,E1340=$AT$6)),1,((X1340-G1340)/365))</f>
        <v>0</v>
      </c>
      <c r="AH1340" s="314">
        <v>1</v>
      </c>
      <c r="AI1340" s="314">
        <f t="shared" ref="AI1340:AI1403" si="370">+IF(OR(E1340=$AT$9,E1340=$AT$10),AF1340,+AF1340/AH1340)</f>
        <v>0</v>
      </c>
      <c r="AJ1340" s="314">
        <f t="shared" ref="AJ1340:AJ1403" si="371">+AF1340-AI1340</f>
        <v>0</v>
      </c>
      <c r="AK1340" s="317"/>
      <c r="AL1340" s="315">
        <f t="shared" ref="AL1340:AL1403" si="372">+AB1340-M1340</f>
        <v>0</v>
      </c>
      <c r="AN1340" s="554">
        <f t="shared" ref="AN1340:AN1403" si="373">IF(AL1340=0,0,AL1340/H1340)</f>
        <v>0</v>
      </c>
      <c r="AO1340" s="314"/>
      <c r="AP1340" s="318"/>
    </row>
    <row r="1341" spans="2:42">
      <c r="B1341" s="296"/>
      <c r="C1341" s="299"/>
      <c r="D1341" s="298"/>
      <c r="E1341" s="299"/>
      <c r="F1341" s="299"/>
      <c r="G1341" s="300"/>
      <c r="H1341" s="303"/>
      <c r="I1341" s="301">
        <f t="shared" si="357"/>
        <v>0</v>
      </c>
      <c r="J1341" s="302">
        <f t="shared" si="358"/>
        <v>0</v>
      </c>
      <c r="K1341" s="304">
        <f t="shared" si="359"/>
        <v>0</v>
      </c>
      <c r="L1341" s="305">
        <f>IF(H1341=0,0,IF(OR(E1341=$AT$5,E1341=$AT$6),AA1341,IF(F1341="MXN",1/HLOOKUP(YEAR(G1341)+(MONTH(G1341)/100),TC!$5:$37,DAY(G1341)+2,FALSE),VLOOKUP(F1341,Equivalencia!$5:$23,((MAX(Equivalencia!$3:$3)-YEAR(G1341))*14)+MONTH(G1341)+2,FALSE))))</f>
        <v>0</v>
      </c>
      <c r="M1341" s="306">
        <f t="shared" si="360"/>
        <v>0</v>
      </c>
      <c r="N1341" s="305">
        <f>IF(G1341=0,0,(IF(OR(E1341=$AT$5,E1341=$AT$6),AC1341,HLOOKUP(YEAR(G1341)+(MONTH(G1341)/100),TC!$5:$37,DAY(G1341)+2,FALSE))))</f>
        <v>0</v>
      </c>
      <c r="O1341" s="307">
        <f t="shared" si="361"/>
        <v>0</v>
      </c>
      <c r="P1341" s="560">
        <f>IF(G1341=0,0,VLOOKUP(YEAR(G1341),INPC!$B$4:$P$30,MONTH(G1341)+2))</f>
        <v>0</v>
      </c>
      <c r="Q1341" s="560">
        <f>IF(X1341=0,0,IF(OR(E1341=$AT$10,E1341=$AT$9),VLOOKUP(YEAR(X1341),INPC!$B$4:$P$30,MONTH(X1341)+1),VLOOKUP(YEAR(X1341),INPC!$B$4:$P$30,MONTH(X1341)+2,0)))</f>
        <v>0</v>
      </c>
      <c r="R1341" s="309">
        <f t="shared" si="362"/>
        <v>0</v>
      </c>
      <c r="S1341" s="310">
        <f t="shared" si="363"/>
        <v>0</v>
      </c>
      <c r="T1341" s="555">
        <f t="shared" si="364"/>
        <v>0</v>
      </c>
      <c r="U1341" s="311"/>
      <c r="V1341" s="312"/>
      <c r="W1341" s="299"/>
      <c r="X1341" s="300"/>
      <c r="Y1341" s="299"/>
      <c r="Z1341" s="303"/>
      <c r="AA1341" s="305">
        <f>IF(Z1341=0,0,IF(Y1341="MXN",1/HLOOKUP(YEAR(X1341)+(MONTH(X1341)/100),TC!$5:$37,DAY(X1341)+2,FALSE),VLOOKUP(Y1341,Equivalencia!$1:$23,((MAX(Equivalencia!$3:$3)-YEAR(X1341))*14)+MONTH(X1341)+2,FALSE)))</f>
        <v>0</v>
      </c>
      <c r="AB1341" s="306">
        <f t="shared" si="365"/>
        <v>0</v>
      </c>
      <c r="AC1341" s="305">
        <f>+IF(X1341=0,0,HLOOKUP(YEAR(X1341)+(MONTH(X1341)/100),TC!$5:$37,DAY(X1341)+2,FALSE))</f>
        <v>0</v>
      </c>
      <c r="AD1341" s="307">
        <f t="shared" si="366"/>
        <v>0</v>
      </c>
      <c r="AE1341" s="314">
        <f t="shared" si="367"/>
        <v>0</v>
      </c>
      <c r="AF1341" s="315">
        <f t="shared" si="368"/>
        <v>0</v>
      </c>
      <c r="AG1341" s="316">
        <f t="shared" si="369"/>
        <v>0</v>
      </c>
      <c r="AH1341" s="314">
        <v>1</v>
      </c>
      <c r="AI1341" s="314">
        <f t="shared" si="370"/>
        <v>0</v>
      </c>
      <c r="AJ1341" s="314">
        <f t="shared" si="371"/>
        <v>0</v>
      </c>
      <c r="AK1341" s="317"/>
      <c r="AL1341" s="315">
        <f t="shared" si="372"/>
        <v>0</v>
      </c>
      <c r="AN1341" s="554">
        <f t="shared" si="373"/>
        <v>0</v>
      </c>
      <c r="AO1341" s="314"/>
      <c r="AP1341" s="318"/>
    </row>
    <row r="1342" spans="2:42">
      <c r="B1342" s="296"/>
      <c r="C1342" s="299"/>
      <c r="D1342" s="298"/>
      <c r="E1342" s="299"/>
      <c r="F1342" s="299"/>
      <c r="G1342" s="300"/>
      <c r="H1342" s="303"/>
      <c r="I1342" s="301">
        <f t="shared" si="357"/>
        <v>0</v>
      </c>
      <c r="J1342" s="302">
        <f t="shared" si="358"/>
        <v>0</v>
      </c>
      <c r="K1342" s="304">
        <f t="shared" si="359"/>
        <v>0</v>
      </c>
      <c r="L1342" s="305">
        <f>IF(H1342=0,0,IF(OR(E1342=$AT$5,E1342=$AT$6),AA1342,IF(F1342="MXN",1/HLOOKUP(YEAR(G1342)+(MONTH(G1342)/100),TC!$5:$37,DAY(G1342)+2,FALSE),VLOOKUP(F1342,Equivalencia!$5:$23,((MAX(Equivalencia!$3:$3)-YEAR(G1342))*14)+MONTH(G1342)+2,FALSE))))</f>
        <v>0</v>
      </c>
      <c r="M1342" s="306">
        <f t="shared" si="360"/>
        <v>0</v>
      </c>
      <c r="N1342" s="305">
        <f>IF(G1342=0,0,(IF(OR(E1342=$AT$5,E1342=$AT$6),AC1342,HLOOKUP(YEAR(G1342)+(MONTH(G1342)/100),TC!$5:$37,DAY(G1342)+2,FALSE))))</f>
        <v>0</v>
      </c>
      <c r="O1342" s="307">
        <f t="shared" si="361"/>
        <v>0</v>
      </c>
      <c r="P1342" s="560">
        <f>IF(G1342=0,0,VLOOKUP(YEAR(G1342),INPC!$B$4:$P$30,MONTH(G1342)+2))</f>
        <v>0</v>
      </c>
      <c r="Q1342" s="560">
        <f>IF(X1342=0,0,IF(OR(E1342=$AT$10,E1342=$AT$9),VLOOKUP(YEAR(X1342),INPC!$B$4:$P$30,MONTH(X1342)+1),VLOOKUP(YEAR(X1342),INPC!$B$4:$P$30,MONTH(X1342)+2,0)))</f>
        <v>0</v>
      </c>
      <c r="R1342" s="309">
        <f t="shared" si="362"/>
        <v>0</v>
      </c>
      <c r="S1342" s="310">
        <f t="shared" si="363"/>
        <v>0</v>
      </c>
      <c r="T1342" s="555">
        <f t="shared" si="364"/>
        <v>0</v>
      </c>
      <c r="U1342" s="311"/>
      <c r="V1342" s="312"/>
      <c r="W1342" s="299"/>
      <c r="X1342" s="300"/>
      <c r="Y1342" s="299"/>
      <c r="Z1342" s="303"/>
      <c r="AA1342" s="305">
        <f>IF(Z1342=0,0,IF(Y1342="MXN",1/HLOOKUP(YEAR(X1342)+(MONTH(X1342)/100),TC!$5:$37,DAY(X1342)+2,FALSE),VLOOKUP(Y1342,Equivalencia!$1:$23,((MAX(Equivalencia!$3:$3)-YEAR(X1342))*14)+MONTH(X1342)+2,FALSE)))</f>
        <v>0</v>
      </c>
      <c r="AB1342" s="306">
        <f t="shared" si="365"/>
        <v>0</v>
      </c>
      <c r="AC1342" s="305">
        <f>+IF(X1342=0,0,HLOOKUP(YEAR(X1342)+(MONTH(X1342)/100),TC!$5:$37,DAY(X1342)+2,FALSE))</f>
        <v>0</v>
      </c>
      <c r="AD1342" s="307">
        <f t="shared" si="366"/>
        <v>0</v>
      </c>
      <c r="AE1342" s="314">
        <f t="shared" si="367"/>
        <v>0</v>
      </c>
      <c r="AF1342" s="315">
        <f t="shared" si="368"/>
        <v>0</v>
      </c>
      <c r="AG1342" s="316">
        <f t="shared" si="369"/>
        <v>0</v>
      </c>
      <c r="AH1342" s="314">
        <v>1</v>
      </c>
      <c r="AI1342" s="314">
        <f t="shared" si="370"/>
        <v>0</v>
      </c>
      <c r="AJ1342" s="314">
        <f t="shared" si="371"/>
        <v>0</v>
      </c>
      <c r="AK1342" s="317"/>
      <c r="AL1342" s="315">
        <f t="shared" si="372"/>
        <v>0</v>
      </c>
      <c r="AN1342" s="554">
        <f t="shared" si="373"/>
        <v>0</v>
      </c>
      <c r="AO1342" s="314"/>
      <c r="AP1342" s="318"/>
    </row>
    <row r="1343" spans="2:42">
      <c r="B1343" s="296"/>
      <c r="C1343" s="299"/>
      <c r="D1343" s="298"/>
      <c r="E1343" s="299"/>
      <c r="F1343" s="299"/>
      <c r="G1343" s="300"/>
      <c r="H1343" s="303"/>
      <c r="I1343" s="301">
        <f t="shared" si="357"/>
        <v>0</v>
      </c>
      <c r="J1343" s="302">
        <f t="shared" si="358"/>
        <v>0</v>
      </c>
      <c r="K1343" s="304">
        <f t="shared" si="359"/>
        <v>0</v>
      </c>
      <c r="L1343" s="305">
        <f>IF(H1343=0,0,IF(OR(E1343=$AT$5,E1343=$AT$6),AA1343,IF(F1343="MXN",1/HLOOKUP(YEAR(G1343)+(MONTH(G1343)/100),TC!$5:$37,DAY(G1343)+2,FALSE),VLOOKUP(F1343,Equivalencia!$5:$23,((MAX(Equivalencia!$3:$3)-YEAR(G1343))*14)+MONTH(G1343)+2,FALSE))))</f>
        <v>0</v>
      </c>
      <c r="M1343" s="306">
        <f t="shared" si="360"/>
        <v>0</v>
      </c>
      <c r="N1343" s="305">
        <f>IF(G1343=0,0,(IF(OR(E1343=$AT$5,E1343=$AT$6),AC1343,HLOOKUP(YEAR(G1343)+(MONTH(G1343)/100),TC!$5:$37,DAY(G1343)+2,FALSE))))</f>
        <v>0</v>
      </c>
      <c r="O1343" s="307">
        <f t="shared" si="361"/>
        <v>0</v>
      </c>
      <c r="P1343" s="560">
        <f>IF(G1343=0,0,VLOOKUP(YEAR(G1343),INPC!$B$4:$P$30,MONTH(G1343)+2))</f>
        <v>0</v>
      </c>
      <c r="Q1343" s="560">
        <f>IF(X1343=0,0,IF(OR(E1343=$AT$10,E1343=$AT$9),VLOOKUP(YEAR(X1343),INPC!$B$4:$P$30,MONTH(X1343)+1),VLOOKUP(YEAR(X1343),INPC!$B$4:$P$30,MONTH(X1343)+2,0)))</f>
        <v>0</v>
      </c>
      <c r="R1343" s="309">
        <f t="shared" si="362"/>
        <v>0</v>
      </c>
      <c r="S1343" s="310">
        <f t="shared" si="363"/>
        <v>0</v>
      </c>
      <c r="T1343" s="555">
        <f t="shared" si="364"/>
        <v>0</v>
      </c>
      <c r="U1343" s="311"/>
      <c r="V1343" s="312"/>
      <c r="W1343" s="299"/>
      <c r="X1343" s="300"/>
      <c r="Y1343" s="299"/>
      <c r="Z1343" s="303"/>
      <c r="AA1343" s="305">
        <f>IF(Z1343=0,0,IF(Y1343="MXN",1/HLOOKUP(YEAR(X1343)+(MONTH(X1343)/100),TC!$5:$37,DAY(X1343)+2,FALSE),VLOOKUP(Y1343,Equivalencia!$1:$23,((MAX(Equivalencia!$3:$3)-YEAR(X1343))*14)+MONTH(X1343)+2,FALSE)))</f>
        <v>0</v>
      </c>
      <c r="AB1343" s="306">
        <f t="shared" si="365"/>
        <v>0</v>
      </c>
      <c r="AC1343" s="305">
        <f>+IF(X1343=0,0,HLOOKUP(YEAR(X1343)+(MONTH(X1343)/100),TC!$5:$37,DAY(X1343)+2,FALSE))</f>
        <v>0</v>
      </c>
      <c r="AD1343" s="307">
        <f t="shared" si="366"/>
        <v>0</v>
      </c>
      <c r="AE1343" s="314">
        <f t="shared" si="367"/>
        <v>0</v>
      </c>
      <c r="AF1343" s="315">
        <f t="shared" si="368"/>
        <v>0</v>
      </c>
      <c r="AG1343" s="316">
        <f t="shared" si="369"/>
        <v>0</v>
      </c>
      <c r="AH1343" s="314">
        <v>1</v>
      </c>
      <c r="AI1343" s="314">
        <f t="shared" si="370"/>
        <v>0</v>
      </c>
      <c r="AJ1343" s="314">
        <f t="shared" si="371"/>
        <v>0</v>
      </c>
      <c r="AK1343" s="317"/>
      <c r="AL1343" s="315">
        <f t="shared" si="372"/>
        <v>0</v>
      </c>
      <c r="AN1343" s="554">
        <f t="shared" si="373"/>
        <v>0</v>
      </c>
      <c r="AO1343" s="314"/>
      <c r="AP1343" s="318"/>
    </row>
    <row r="1344" spans="2:42">
      <c r="B1344" s="296"/>
      <c r="C1344" s="299"/>
      <c r="D1344" s="298"/>
      <c r="E1344" s="299"/>
      <c r="F1344" s="299"/>
      <c r="G1344" s="300"/>
      <c r="H1344" s="303"/>
      <c r="I1344" s="301">
        <f t="shared" si="357"/>
        <v>0</v>
      </c>
      <c r="J1344" s="302">
        <f t="shared" si="358"/>
        <v>0</v>
      </c>
      <c r="K1344" s="304">
        <f t="shared" si="359"/>
        <v>0</v>
      </c>
      <c r="L1344" s="305">
        <f>IF(H1344=0,0,IF(OR(E1344=$AT$5,E1344=$AT$6),AA1344,IF(F1344="MXN",1/HLOOKUP(YEAR(G1344)+(MONTH(G1344)/100),TC!$5:$37,DAY(G1344)+2,FALSE),VLOOKUP(F1344,Equivalencia!$5:$23,((MAX(Equivalencia!$3:$3)-YEAR(G1344))*14)+MONTH(G1344)+2,FALSE))))</f>
        <v>0</v>
      </c>
      <c r="M1344" s="306">
        <f t="shared" si="360"/>
        <v>0</v>
      </c>
      <c r="N1344" s="305">
        <f>IF(G1344=0,0,(IF(OR(E1344=$AT$5,E1344=$AT$6),AC1344,HLOOKUP(YEAR(G1344)+(MONTH(G1344)/100),TC!$5:$37,DAY(G1344)+2,FALSE))))</f>
        <v>0</v>
      </c>
      <c r="O1344" s="307">
        <f t="shared" si="361"/>
        <v>0</v>
      </c>
      <c r="P1344" s="560">
        <f>IF(G1344=0,0,VLOOKUP(YEAR(G1344),INPC!$B$4:$P$30,MONTH(G1344)+2))</f>
        <v>0</v>
      </c>
      <c r="Q1344" s="560">
        <f>IF(X1344=0,0,IF(OR(E1344=$AT$10,E1344=$AT$9),VLOOKUP(YEAR(X1344),INPC!$B$4:$P$30,MONTH(X1344)+1),VLOOKUP(YEAR(X1344),INPC!$B$4:$P$30,MONTH(X1344)+2,0)))</f>
        <v>0</v>
      </c>
      <c r="R1344" s="309">
        <f t="shared" si="362"/>
        <v>0</v>
      </c>
      <c r="S1344" s="310">
        <f t="shared" si="363"/>
        <v>0</v>
      </c>
      <c r="T1344" s="555">
        <f t="shared" si="364"/>
        <v>0</v>
      </c>
      <c r="U1344" s="311"/>
      <c r="V1344" s="312"/>
      <c r="W1344" s="299"/>
      <c r="X1344" s="300"/>
      <c r="Y1344" s="299"/>
      <c r="Z1344" s="303"/>
      <c r="AA1344" s="305">
        <f>IF(Z1344=0,0,IF(Y1344="MXN",1/HLOOKUP(YEAR(X1344)+(MONTH(X1344)/100),TC!$5:$37,DAY(X1344)+2,FALSE),VLOOKUP(Y1344,Equivalencia!$1:$23,((MAX(Equivalencia!$3:$3)-YEAR(X1344))*14)+MONTH(X1344)+2,FALSE)))</f>
        <v>0</v>
      </c>
      <c r="AB1344" s="306">
        <f t="shared" si="365"/>
        <v>0</v>
      </c>
      <c r="AC1344" s="305">
        <f>+IF(X1344=0,0,HLOOKUP(YEAR(X1344)+(MONTH(X1344)/100),TC!$5:$37,DAY(X1344)+2,FALSE))</f>
        <v>0</v>
      </c>
      <c r="AD1344" s="307">
        <f t="shared" si="366"/>
        <v>0</v>
      </c>
      <c r="AE1344" s="314">
        <f t="shared" si="367"/>
        <v>0</v>
      </c>
      <c r="AF1344" s="315">
        <f t="shared" si="368"/>
        <v>0</v>
      </c>
      <c r="AG1344" s="316">
        <f t="shared" si="369"/>
        <v>0</v>
      </c>
      <c r="AH1344" s="314">
        <v>1</v>
      </c>
      <c r="AI1344" s="314">
        <f t="shared" si="370"/>
        <v>0</v>
      </c>
      <c r="AJ1344" s="314">
        <f t="shared" si="371"/>
        <v>0</v>
      </c>
      <c r="AK1344" s="317"/>
      <c r="AL1344" s="315">
        <f t="shared" si="372"/>
        <v>0</v>
      </c>
      <c r="AN1344" s="554">
        <f t="shared" si="373"/>
        <v>0</v>
      </c>
      <c r="AO1344" s="314"/>
      <c r="AP1344" s="318"/>
    </row>
    <row r="1345" spans="2:42">
      <c r="B1345" s="296"/>
      <c r="C1345" s="299"/>
      <c r="D1345" s="298"/>
      <c r="E1345" s="299"/>
      <c r="F1345" s="299"/>
      <c r="G1345" s="300"/>
      <c r="H1345" s="303"/>
      <c r="I1345" s="301">
        <f t="shared" si="357"/>
        <v>0</v>
      </c>
      <c r="J1345" s="302">
        <f t="shared" si="358"/>
        <v>0</v>
      </c>
      <c r="K1345" s="304">
        <f t="shared" si="359"/>
        <v>0</v>
      </c>
      <c r="L1345" s="305">
        <f>IF(H1345=0,0,IF(OR(E1345=$AT$5,E1345=$AT$6),AA1345,IF(F1345="MXN",1/HLOOKUP(YEAR(G1345)+(MONTH(G1345)/100),TC!$5:$37,DAY(G1345)+2,FALSE),VLOOKUP(F1345,Equivalencia!$5:$23,((MAX(Equivalencia!$3:$3)-YEAR(G1345))*14)+MONTH(G1345)+2,FALSE))))</f>
        <v>0</v>
      </c>
      <c r="M1345" s="306">
        <f t="shared" si="360"/>
        <v>0</v>
      </c>
      <c r="N1345" s="305">
        <f>IF(G1345=0,0,(IF(OR(E1345=$AT$5,E1345=$AT$6),AC1345,HLOOKUP(YEAR(G1345)+(MONTH(G1345)/100),TC!$5:$37,DAY(G1345)+2,FALSE))))</f>
        <v>0</v>
      </c>
      <c r="O1345" s="307">
        <f t="shared" si="361"/>
        <v>0</v>
      </c>
      <c r="P1345" s="560">
        <f>IF(G1345=0,0,VLOOKUP(YEAR(G1345),INPC!$B$4:$P$30,MONTH(G1345)+2))</f>
        <v>0</v>
      </c>
      <c r="Q1345" s="560">
        <f>IF(X1345=0,0,IF(OR(E1345=$AT$10,E1345=$AT$9),VLOOKUP(YEAR(X1345),INPC!$B$4:$P$30,MONTH(X1345)+1),VLOOKUP(YEAR(X1345),INPC!$B$4:$P$30,MONTH(X1345)+2,0)))</f>
        <v>0</v>
      </c>
      <c r="R1345" s="309">
        <f t="shared" si="362"/>
        <v>0</v>
      </c>
      <c r="S1345" s="310">
        <f t="shared" si="363"/>
        <v>0</v>
      </c>
      <c r="T1345" s="555">
        <f t="shared" si="364"/>
        <v>0</v>
      </c>
      <c r="U1345" s="311"/>
      <c r="V1345" s="312"/>
      <c r="W1345" s="299"/>
      <c r="X1345" s="300"/>
      <c r="Y1345" s="299"/>
      <c r="Z1345" s="303"/>
      <c r="AA1345" s="305">
        <f>IF(Z1345=0,0,IF(Y1345="MXN",1/HLOOKUP(YEAR(X1345)+(MONTH(X1345)/100),TC!$5:$37,DAY(X1345)+2,FALSE),VLOOKUP(Y1345,Equivalencia!$1:$23,((MAX(Equivalencia!$3:$3)-YEAR(X1345))*14)+MONTH(X1345)+2,FALSE)))</f>
        <v>0</v>
      </c>
      <c r="AB1345" s="306">
        <f t="shared" si="365"/>
        <v>0</v>
      </c>
      <c r="AC1345" s="305">
        <f>+IF(X1345=0,0,HLOOKUP(YEAR(X1345)+(MONTH(X1345)/100),TC!$5:$37,DAY(X1345)+2,FALSE))</f>
        <v>0</v>
      </c>
      <c r="AD1345" s="307">
        <f t="shared" si="366"/>
        <v>0</v>
      </c>
      <c r="AE1345" s="314">
        <f t="shared" si="367"/>
        <v>0</v>
      </c>
      <c r="AF1345" s="315">
        <f t="shared" si="368"/>
        <v>0</v>
      </c>
      <c r="AG1345" s="316">
        <f t="shared" si="369"/>
        <v>0</v>
      </c>
      <c r="AH1345" s="314">
        <v>1</v>
      </c>
      <c r="AI1345" s="314">
        <f t="shared" si="370"/>
        <v>0</v>
      </c>
      <c r="AJ1345" s="314">
        <f t="shared" si="371"/>
        <v>0</v>
      </c>
      <c r="AK1345" s="317"/>
      <c r="AL1345" s="315">
        <f t="shared" si="372"/>
        <v>0</v>
      </c>
      <c r="AN1345" s="554">
        <f t="shared" si="373"/>
        <v>0</v>
      </c>
      <c r="AO1345" s="314"/>
      <c r="AP1345" s="318"/>
    </row>
    <row r="1346" spans="2:42">
      <c r="B1346" s="296"/>
      <c r="C1346" s="299"/>
      <c r="D1346" s="298"/>
      <c r="E1346" s="299"/>
      <c r="F1346" s="299"/>
      <c r="G1346" s="300"/>
      <c r="H1346" s="303"/>
      <c r="I1346" s="301">
        <f t="shared" si="357"/>
        <v>0</v>
      </c>
      <c r="J1346" s="302">
        <f t="shared" si="358"/>
        <v>0</v>
      </c>
      <c r="K1346" s="304">
        <f t="shared" si="359"/>
        <v>0</v>
      </c>
      <c r="L1346" s="305">
        <f>IF(H1346=0,0,IF(OR(E1346=$AT$5,E1346=$AT$6),AA1346,IF(F1346="MXN",1/HLOOKUP(YEAR(G1346)+(MONTH(G1346)/100),TC!$5:$37,DAY(G1346)+2,FALSE),VLOOKUP(F1346,Equivalencia!$5:$23,((MAX(Equivalencia!$3:$3)-YEAR(G1346))*14)+MONTH(G1346)+2,FALSE))))</f>
        <v>0</v>
      </c>
      <c r="M1346" s="306">
        <f t="shared" si="360"/>
        <v>0</v>
      </c>
      <c r="N1346" s="305">
        <f>IF(G1346=0,0,(IF(OR(E1346=$AT$5,E1346=$AT$6),AC1346,HLOOKUP(YEAR(G1346)+(MONTH(G1346)/100),TC!$5:$37,DAY(G1346)+2,FALSE))))</f>
        <v>0</v>
      </c>
      <c r="O1346" s="307">
        <f t="shared" si="361"/>
        <v>0</v>
      </c>
      <c r="P1346" s="560">
        <f>IF(G1346=0,0,VLOOKUP(YEAR(G1346),INPC!$B$4:$P$30,MONTH(G1346)+2))</f>
        <v>0</v>
      </c>
      <c r="Q1346" s="560">
        <f>IF(X1346=0,0,IF(OR(E1346=$AT$10,E1346=$AT$9),VLOOKUP(YEAR(X1346),INPC!$B$4:$P$30,MONTH(X1346)+1),VLOOKUP(YEAR(X1346),INPC!$B$4:$P$30,MONTH(X1346)+2,0)))</f>
        <v>0</v>
      </c>
      <c r="R1346" s="309">
        <f t="shared" si="362"/>
        <v>0</v>
      </c>
      <c r="S1346" s="310">
        <f t="shared" si="363"/>
        <v>0</v>
      </c>
      <c r="T1346" s="555">
        <f t="shared" si="364"/>
        <v>0</v>
      </c>
      <c r="U1346" s="311"/>
      <c r="V1346" s="312"/>
      <c r="W1346" s="299"/>
      <c r="X1346" s="300"/>
      <c r="Y1346" s="299"/>
      <c r="Z1346" s="303"/>
      <c r="AA1346" s="305">
        <f>IF(Z1346=0,0,IF(Y1346="MXN",1/HLOOKUP(YEAR(X1346)+(MONTH(X1346)/100),TC!$5:$37,DAY(X1346)+2,FALSE),VLOOKUP(Y1346,Equivalencia!$1:$23,((MAX(Equivalencia!$3:$3)-YEAR(X1346))*14)+MONTH(X1346)+2,FALSE)))</f>
        <v>0</v>
      </c>
      <c r="AB1346" s="306">
        <f t="shared" si="365"/>
        <v>0</v>
      </c>
      <c r="AC1346" s="305">
        <f>+IF(X1346=0,0,HLOOKUP(YEAR(X1346)+(MONTH(X1346)/100),TC!$5:$37,DAY(X1346)+2,FALSE))</f>
        <v>0</v>
      </c>
      <c r="AD1346" s="307">
        <f t="shared" si="366"/>
        <v>0</v>
      </c>
      <c r="AE1346" s="314">
        <f t="shared" si="367"/>
        <v>0</v>
      </c>
      <c r="AF1346" s="315">
        <f t="shared" si="368"/>
        <v>0</v>
      </c>
      <c r="AG1346" s="316">
        <f t="shared" si="369"/>
        <v>0</v>
      </c>
      <c r="AH1346" s="314">
        <v>1</v>
      </c>
      <c r="AI1346" s="314">
        <f t="shared" si="370"/>
        <v>0</v>
      </c>
      <c r="AJ1346" s="314">
        <f t="shared" si="371"/>
        <v>0</v>
      </c>
      <c r="AK1346" s="317"/>
      <c r="AL1346" s="315">
        <f t="shared" si="372"/>
        <v>0</v>
      </c>
      <c r="AN1346" s="554">
        <f t="shared" si="373"/>
        <v>0</v>
      </c>
      <c r="AO1346" s="314"/>
      <c r="AP1346" s="318"/>
    </row>
    <row r="1347" spans="2:42">
      <c r="B1347" s="296"/>
      <c r="C1347" s="299"/>
      <c r="D1347" s="298"/>
      <c r="E1347" s="299"/>
      <c r="F1347" s="299"/>
      <c r="G1347" s="300"/>
      <c r="H1347" s="303"/>
      <c r="I1347" s="301">
        <f t="shared" si="357"/>
        <v>0</v>
      </c>
      <c r="J1347" s="302">
        <f t="shared" si="358"/>
        <v>0</v>
      </c>
      <c r="K1347" s="304">
        <f t="shared" si="359"/>
        <v>0</v>
      </c>
      <c r="L1347" s="305">
        <f>IF(H1347=0,0,IF(OR(E1347=$AT$5,E1347=$AT$6),AA1347,IF(F1347="MXN",1/HLOOKUP(YEAR(G1347)+(MONTH(G1347)/100),TC!$5:$37,DAY(G1347)+2,FALSE),VLOOKUP(F1347,Equivalencia!$5:$23,((MAX(Equivalencia!$3:$3)-YEAR(G1347))*14)+MONTH(G1347)+2,FALSE))))</f>
        <v>0</v>
      </c>
      <c r="M1347" s="306">
        <f t="shared" si="360"/>
        <v>0</v>
      </c>
      <c r="N1347" s="305">
        <f>IF(G1347=0,0,(IF(OR(E1347=$AT$5,E1347=$AT$6),AC1347,HLOOKUP(YEAR(G1347)+(MONTH(G1347)/100),TC!$5:$37,DAY(G1347)+2,FALSE))))</f>
        <v>0</v>
      </c>
      <c r="O1347" s="307">
        <f t="shared" si="361"/>
        <v>0</v>
      </c>
      <c r="P1347" s="560">
        <f>IF(G1347=0,0,VLOOKUP(YEAR(G1347),INPC!$B$4:$P$30,MONTH(G1347)+2))</f>
        <v>0</v>
      </c>
      <c r="Q1347" s="560">
        <f>IF(X1347=0,0,IF(OR(E1347=$AT$10,E1347=$AT$9),VLOOKUP(YEAR(X1347),INPC!$B$4:$P$30,MONTH(X1347)+1),VLOOKUP(YEAR(X1347),INPC!$B$4:$P$30,MONTH(X1347)+2,0)))</f>
        <v>0</v>
      </c>
      <c r="R1347" s="309">
        <f t="shared" si="362"/>
        <v>0</v>
      </c>
      <c r="S1347" s="310">
        <f t="shared" si="363"/>
        <v>0</v>
      </c>
      <c r="T1347" s="555">
        <f t="shared" si="364"/>
        <v>0</v>
      </c>
      <c r="U1347" s="311"/>
      <c r="V1347" s="312"/>
      <c r="W1347" s="299"/>
      <c r="X1347" s="300"/>
      <c r="Y1347" s="299"/>
      <c r="Z1347" s="303"/>
      <c r="AA1347" s="305">
        <f>IF(Z1347=0,0,IF(Y1347="MXN",1/HLOOKUP(YEAR(X1347)+(MONTH(X1347)/100),TC!$5:$37,DAY(X1347)+2,FALSE),VLOOKUP(Y1347,Equivalencia!$1:$23,((MAX(Equivalencia!$3:$3)-YEAR(X1347))*14)+MONTH(X1347)+2,FALSE)))</f>
        <v>0</v>
      </c>
      <c r="AB1347" s="306">
        <f t="shared" si="365"/>
        <v>0</v>
      </c>
      <c r="AC1347" s="305">
        <f>+IF(X1347=0,0,HLOOKUP(YEAR(X1347)+(MONTH(X1347)/100),TC!$5:$37,DAY(X1347)+2,FALSE))</f>
        <v>0</v>
      </c>
      <c r="AD1347" s="307">
        <f t="shared" si="366"/>
        <v>0</v>
      </c>
      <c r="AE1347" s="314">
        <f t="shared" si="367"/>
        <v>0</v>
      </c>
      <c r="AF1347" s="315">
        <f t="shared" si="368"/>
        <v>0</v>
      </c>
      <c r="AG1347" s="316">
        <f t="shared" si="369"/>
        <v>0</v>
      </c>
      <c r="AH1347" s="314">
        <v>1</v>
      </c>
      <c r="AI1347" s="314">
        <f t="shared" si="370"/>
        <v>0</v>
      </c>
      <c r="AJ1347" s="314">
        <f t="shared" si="371"/>
        <v>0</v>
      </c>
      <c r="AK1347" s="317"/>
      <c r="AL1347" s="315">
        <f t="shared" si="372"/>
        <v>0</v>
      </c>
      <c r="AN1347" s="554">
        <f t="shared" si="373"/>
        <v>0</v>
      </c>
      <c r="AO1347" s="314"/>
      <c r="AP1347" s="318"/>
    </row>
    <row r="1348" spans="2:42">
      <c r="B1348" s="296"/>
      <c r="C1348" s="299"/>
      <c r="D1348" s="298"/>
      <c r="E1348" s="299"/>
      <c r="F1348" s="299"/>
      <c r="G1348" s="300"/>
      <c r="H1348" s="303"/>
      <c r="I1348" s="301">
        <f t="shared" si="357"/>
        <v>0</v>
      </c>
      <c r="J1348" s="302">
        <f t="shared" si="358"/>
        <v>0</v>
      </c>
      <c r="K1348" s="304">
        <f t="shared" si="359"/>
        <v>0</v>
      </c>
      <c r="L1348" s="305">
        <f>IF(H1348=0,0,IF(OR(E1348=$AT$5,E1348=$AT$6),AA1348,IF(F1348="MXN",1/HLOOKUP(YEAR(G1348)+(MONTH(G1348)/100),TC!$5:$37,DAY(G1348)+2,FALSE),VLOOKUP(F1348,Equivalencia!$5:$23,((MAX(Equivalencia!$3:$3)-YEAR(G1348))*14)+MONTH(G1348)+2,FALSE))))</f>
        <v>0</v>
      </c>
      <c r="M1348" s="306">
        <f t="shared" si="360"/>
        <v>0</v>
      </c>
      <c r="N1348" s="305">
        <f>IF(G1348=0,0,(IF(OR(E1348=$AT$5,E1348=$AT$6),AC1348,HLOOKUP(YEAR(G1348)+(MONTH(G1348)/100),TC!$5:$37,DAY(G1348)+2,FALSE))))</f>
        <v>0</v>
      </c>
      <c r="O1348" s="307">
        <f t="shared" si="361"/>
        <v>0</v>
      </c>
      <c r="P1348" s="560">
        <f>IF(G1348=0,0,VLOOKUP(YEAR(G1348),INPC!$B$4:$P$30,MONTH(G1348)+2))</f>
        <v>0</v>
      </c>
      <c r="Q1348" s="560">
        <f>IF(X1348=0,0,IF(OR(E1348=$AT$10,E1348=$AT$9),VLOOKUP(YEAR(X1348),INPC!$B$4:$P$30,MONTH(X1348)+1),VLOOKUP(YEAR(X1348),INPC!$B$4:$P$30,MONTH(X1348)+2,0)))</f>
        <v>0</v>
      </c>
      <c r="R1348" s="309">
        <f t="shared" si="362"/>
        <v>0</v>
      </c>
      <c r="S1348" s="310">
        <f t="shared" si="363"/>
        <v>0</v>
      </c>
      <c r="T1348" s="555">
        <f t="shared" si="364"/>
        <v>0</v>
      </c>
      <c r="U1348" s="311"/>
      <c r="V1348" s="312"/>
      <c r="W1348" s="299"/>
      <c r="X1348" s="300"/>
      <c r="Y1348" s="299"/>
      <c r="Z1348" s="303"/>
      <c r="AA1348" s="305">
        <f>IF(Z1348=0,0,IF(Y1348="MXN",1/HLOOKUP(YEAR(X1348)+(MONTH(X1348)/100),TC!$5:$37,DAY(X1348)+2,FALSE),VLOOKUP(Y1348,Equivalencia!$1:$23,((MAX(Equivalencia!$3:$3)-YEAR(X1348))*14)+MONTH(X1348)+2,FALSE)))</f>
        <v>0</v>
      </c>
      <c r="AB1348" s="306">
        <f t="shared" si="365"/>
        <v>0</v>
      </c>
      <c r="AC1348" s="305">
        <f>+IF(X1348=0,0,HLOOKUP(YEAR(X1348)+(MONTH(X1348)/100),TC!$5:$37,DAY(X1348)+2,FALSE))</f>
        <v>0</v>
      </c>
      <c r="AD1348" s="307">
        <f t="shared" si="366"/>
        <v>0</v>
      </c>
      <c r="AE1348" s="314">
        <f t="shared" si="367"/>
        <v>0</v>
      </c>
      <c r="AF1348" s="315">
        <f t="shared" si="368"/>
        <v>0</v>
      </c>
      <c r="AG1348" s="316">
        <f t="shared" si="369"/>
        <v>0</v>
      </c>
      <c r="AH1348" s="314">
        <v>1</v>
      </c>
      <c r="AI1348" s="314">
        <f t="shared" si="370"/>
        <v>0</v>
      </c>
      <c r="AJ1348" s="314">
        <f t="shared" si="371"/>
        <v>0</v>
      </c>
      <c r="AK1348" s="317"/>
      <c r="AL1348" s="315">
        <f t="shared" si="372"/>
        <v>0</v>
      </c>
      <c r="AN1348" s="554">
        <f t="shared" si="373"/>
        <v>0</v>
      </c>
      <c r="AO1348" s="314"/>
      <c r="AP1348" s="318"/>
    </row>
    <row r="1349" spans="2:42">
      <c r="B1349" s="296"/>
      <c r="C1349" s="299"/>
      <c r="D1349" s="298"/>
      <c r="E1349" s="299"/>
      <c r="F1349" s="299"/>
      <c r="G1349" s="300"/>
      <c r="H1349" s="303"/>
      <c r="I1349" s="301">
        <f t="shared" si="357"/>
        <v>0</v>
      </c>
      <c r="J1349" s="302">
        <f t="shared" si="358"/>
        <v>0</v>
      </c>
      <c r="K1349" s="304">
        <f t="shared" si="359"/>
        <v>0</v>
      </c>
      <c r="L1349" s="305">
        <f>IF(H1349=0,0,IF(OR(E1349=$AT$5,E1349=$AT$6),AA1349,IF(F1349="MXN",1/HLOOKUP(YEAR(G1349)+(MONTH(G1349)/100),TC!$5:$37,DAY(G1349)+2,FALSE),VLOOKUP(F1349,Equivalencia!$5:$23,((MAX(Equivalencia!$3:$3)-YEAR(G1349))*14)+MONTH(G1349)+2,FALSE))))</f>
        <v>0</v>
      </c>
      <c r="M1349" s="306">
        <f t="shared" si="360"/>
        <v>0</v>
      </c>
      <c r="N1349" s="305">
        <f>IF(G1349=0,0,(IF(OR(E1349=$AT$5,E1349=$AT$6),AC1349,HLOOKUP(YEAR(G1349)+(MONTH(G1349)/100),TC!$5:$37,DAY(G1349)+2,FALSE))))</f>
        <v>0</v>
      </c>
      <c r="O1349" s="307">
        <f t="shared" si="361"/>
        <v>0</v>
      </c>
      <c r="P1349" s="560">
        <f>IF(G1349=0,0,VLOOKUP(YEAR(G1349),INPC!$B$4:$P$30,MONTH(G1349)+2))</f>
        <v>0</v>
      </c>
      <c r="Q1349" s="560">
        <f>IF(X1349=0,0,IF(OR(E1349=$AT$10,E1349=$AT$9),VLOOKUP(YEAR(X1349),INPC!$B$4:$P$30,MONTH(X1349)+1),VLOOKUP(YEAR(X1349),INPC!$B$4:$P$30,MONTH(X1349)+2,0)))</f>
        <v>0</v>
      </c>
      <c r="R1349" s="309">
        <f t="shared" si="362"/>
        <v>0</v>
      </c>
      <c r="S1349" s="310">
        <f t="shared" si="363"/>
        <v>0</v>
      </c>
      <c r="T1349" s="555">
        <f t="shared" si="364"/>
        <v>0</v>
      </c>
      <c r="U1349" s="311"/>
      <c r="V1349" s="312"/>
      <c r="W1349" s="299"/>
      <c r="X1349" s="300"/>
      <c r="Y1349" s="299"/>
      <c r="Z1349" s="303"/>
      <c r="AA1349" s="305">
        <f>IF(Z1349=0,0,IF(Y1349="MXN",1/HLOOKUP(YEAR(X1349)+(MONTH(X1349)/100),TC!$5:$37,DAY(X1349)+2,FALSE),VLOOKUP(Y1349,Equivalencia!$1:$23,((MAX(Equivalencia!$3:$3)-YEAR(X1349))*14)+MONTH(X1349)+2,FALSE)))</f>
        <v>0</v>
      </c>
      <c r="AB1349" s="306">
        <f t="shared" si="365"/>
        <v>0</v>
      </c>
      <c r="AC1349" s="305">
        <f>+IF(X1349=0,0,HLOOKUP(YEAR(X1349)+(MONTH(X1349)/100),TC!$5:$37,DAY(X1349)+2,FALSE))</f>
        <v>0</v>
      </c>
      <c r="AD1349" s="307">
        <f t="shared" si="366"/>
        <v>0</v>
      </c>
      <c r="AE1349" s="314">
        <f t="shared" si="367"/>
        <v>0</v>
      </c>
      <c r="AF1349" s="315">
        <f t="shared" si="368"/>
        <v>0</v>
      </c>
      <c r="AG1349" s="316">
        <f t="shared" si="369"/>
        <v>0</v>
      </c>
      <c r="AH1349" s="314">
        <v>1</v>
      </c>
      <c r="AI1349" s="314">
        <f t="shared" si="370"/>
        <v>0</v>
      </c>
      <c r="AJ1349" s="314">
        <f t="shared" si="371"/>
        <v>0</v>
      </c>
      <c r="AK1349" s="317"/>
      <c r="AL1349" s="315">
        <f t="shared" si="372"/>
        <v>0</v>
      </c>
      <c r="AN1349" s="554">
        <f t="shared" si="373"/>
        <v>0</v>
      </c>
      <c r="AO1349" s="314"/>
      <c r="AP1349" s="318"/>
    </row>
    <row r="1350" spans="2:42">
      <c r="B1350" s="296"/>
      <c r="C1350" s="299"/>
      <c r="D1350" s="298"/>
      <c r="E1350" s="299"/>
      <c r="F1350" s="299"/>
      <c r="G1350" s="300"/>
      <c r="H1350" s="303"/>
      <c r="I1350" s="301">
        <f t="shared" si="357"/>
        <v>0</v>
      </c>
      <c r="J1350" s="302">
        <f t="shared" si="358"/>
        <v>0</v>
      </c>
      <c r="K1350" s="304">
        <f t="shared" si="359"/>
        <v>0</v>
      </c>
      <c r="L1350" s="305">
        <f>IF(H1350=0,0,IF(OR(E1350=$AT$5,E1350=$AT$6),AA1350,IF(F1350="MXN",1/HLOOKUP(YEAR(G1350)+(MONTH(G1350)/100),TC!$5:$37,DAY(G1350)+2,FALSE),VLOOKUP(F1350,Equivalencia!$5:$23,((MAX(Equivalencia!$3:$3)-YEAR(G1350))*14)+MONTH(G1350)+2,FALSE))))</f>
        <v>0</v>
      </c>
      <c r="M1350" s="306">
        <f t="shared" si="360"/>
        <v>0</v>
      </c>
      <c r="N1350" s="305">
        <f>IF(G1350=0,0,(IF(OR(E1350=$AT$5,E1350=$AT$6),AC1350,HLOOKUP(YEAR(G1350)+(MONTH(G1350)/100),TC!$5:$37,DAY(G1350)+2,FALSE))))</f>
        <v>0</v>
      </c>
      <c r="O1350" s="307">
        <f t="shared" si="361"/>
        <v>0</v>
      </c>
      <c r="P1350" s="560">
        <f>IF(G1350=0,0,VLOOKUP(YEAR(G1350),INPC!$B$4:$P$30,MONTH(G1350)+2))</f>
        <v>0</v>
      </c>
      <c r="Q1350" s="560">
        <f>IF(X1350=0,0,IF(OR(E1350=$AT$10,E1350=$AT$9),VLOOKUP(YEAR(X1350),INPC!$B$4:$P$30,MONTH(X1350)+1),VLOOKUP(YEAR(X1350),INPC!$B$4:$P$30,MONTH(X1350)+2,0)))</f>
        <v>0</v>
      </c>
      <c r="R1350" s="309">
        <f t="shared" si="362"/>
        <v>0</v>
      </c>
      <c r="S1350" s="310">
        <f t="shared" si="363"/>
        <v>0</v>
      </c>
      <c r="T1350" s="555">
        <f t="shared" si="364"/>
        <v>0</v>
      </c>
      <c r="U1350" s="311"/>
      <c r="V1350" s="312"/>
      <c r="W1350" s="299"/>
      <c r="X1350" s="300"/>
      <c r="Y1350" s="299"/>
      <c r="Z1350" s="303"/>
      <c r="AA1350" s="305">
        <f>IF(Z1350=0,0,IF(Y1350="MXN",1/HLOOKUP(YEAR(X1350)+(MONTH(X1350)/100),TC!$5:$37,DAY(X1350)+2,FALSE),VLOOKUP(Y1350,Equivalencia!$1:$23,((MAX(Equivalencia!$3:$3)-YEAR(X1350))*14)+MONTH(X1350)+2,FALSE)))</f>
        <v>0</v>
      </c>
      <c r="AB1350" s="306">
        <f t="shared" si="365"/>
        <v>0</v>
      </c>
      <c r="AC1350" s="305">
        <f>+IF(X1350=0,0,HLOOKUP(YEAR(X1350)+(MONTH(X1350)/100),TC!$5:$37,DAY(X1350)+2,FALSE))</f>
        <v>0</v>
      </c>
      <c r="AD1350" s="307">
        <f t="shared" si="366"/>
        <v>0</v>
      </c>
      <c r="AE1350" s="314">
        <f t="shared" si="367"/>
        <v>0</v>
      </c>
      <c r="AF1350" s="315">
        <f t="shared" si="368"/>
        <v>0</v>
      </c>
      <c r="AG1350" s="316">
        <f t="shared" si="369"/>
        <v>0</v>
      </c>
      <c r="AH1350" s="314">
        <v>1</v>
      </c>
      <c r="AI1350" s="314">
        <f t="shared" si="370"/>
        <v>0</v>
      </c>
      <c r="AJ1350" s="314">
        <f t="shared" si="371"/>
        <v>0</v>
      </c>
      <c r="AK1350" s="317"/>
      <c r="AL1350" s="315">
        <f t="shared" si="372"/>
        <v>0</v>
      </c>
      <c r="AN1350" s="554">
        <f t="shared" si="373"/>
        <v>0</v>
      </c>
      <c r="AO1350" s="314"/>
      <c r="AP1350" s="318"/>
    </row>
    <row r="1351" spans="2:42">
      <c r="B1351" s="296"/>
      <c r="C1351" s="299"/>
      <c r="D1351" s="298"/>
      <c r="E1351" s="299"/>
      <c r="F1351" s="299"/>
      <c r="G1351" s="300"/>
      <c r="H1351" s="303"/>
      <c r="I1351" s="301">
        <f t="shared" si="357"/>
        <v>0</v>
      </c>
      <c r="J1351" s="302">
        <f t="shared" si="358"/>
        <v>0</v>
      </c>
      <c r="K1351" s="304">
        <f t="shared" si="359"/>
        <v>0</v>
      </c>
      <c r="L1351" s="305">
        <f>IF(H1351=0,0,IF(OR(E1351=$AT$5,E1351=$AT$6),AA1351,IF(F1351="MXN",1/HLOOKUP(YEAR(G1351)+(MONTH(G1351)/100),TC!$5:$37,DAY(G1351)+2,FALSE),VLOOKUP(F1351,Equivalencia!$5:$23,((MAX(Equivalencia!$3:$3)-YEAR(G1351))*14)+MONTH(G1351)+2,FALSE))))</f>
        <v>0</v>
      </c>
      <c r="M1351" s="306">
        <f t="shared" si="360"/>
        <v>0</v>
      </c>
      <c r="N1351" s="305">
        <f>IF(G1351=0,0,(IF(OR(E1351=$AT$5,E1351=$AT$6),AC1351,HLOOKUP(YEAR(G1351)+(MONTH(G1351)/100),TC!$5:$37,DAY(G1351)+2,FALSE))))</f>
        <v>0</v>
      </c>
      <c r="O1351" s="307">
        <f t="shared" si="361"/>
        <v>0</v>
      </c>
      <c r="P1351" s="560">
        <f>IF(G1351=0,0,VLOOKUP(YEAR(G1351),INPC!$B$4:$P$30,MONTH(G1351)+2))</f>
        <v>0</v>
      </c>
      <c r="Q1351" s="560">
        <f>IF(X1351=0,0,IF(OR(E1351=$AT$10,E1351=$AT$9),VLOOKUP(YEAR(X1351),INPC!$B$4:$P$30,MONTH(X1351)+1),VLOOKUP(YEAR(X1351),INPC!$B$4:$P$30,MONTH(X1351)+2,0)))</f>
        <v>0</v>
      </c>
      <c r="R1351" s="309">
        <f t="shared" si="362"/>
        <v>0</v>
      </c>
      <c r="S1351" s="310">
        <f t="shared" si="363"/>
        <v>0</v>
      </c>
      <c r="T1351" s="555">
        <f t="shared" si="364"/>
        <v>0</v>
      </c>
      <c r="U1351" s="311"/>
      <c r="V1351" s="312"/>
      <c r="W1351" s="299"/>
      <c r="X1351" s="300"/>
      <c r="Y1351" s="299"/>
      <c r="Z1351" s="303"/>
      <c r="AA1351" s="305">
        <f>IF(Z1351=0,0,IF(Y1351="MXN",1/HLOOKUP(YEAR(X1351)+(MONTH(X1351)/100),TC!$5:$37,DAY(X1351)+2,FALSE),VLOOKUP(Y1351,Equivalencia!$1:$23,((MAX(Equivalencia!$3:$3)-YEAR(X1351))*14)+MONTH(X1351)+2,FALSE)))</f>
        <v>0</v>
      </c>
      <c r="AB1351" s="306">
        <f t="shared" si="365"/>
        <v>0</v>
      </c>
      <c r="AC1351" s="305">
        <f>+IF(X1351=0,0,HLOOKUP(YEAR(X1351)+(MONTH(X1351)/100),TC!$5:$37,DAY(X1351)+2,FALSE))</f>
        <v>0</v>
      </c>
      <c r="AD1351" s="307">
        <f t="shared" si="366"/>
        <v>0</v>
      </c>
      <c r="AE1351" s="314">
        <f t="shared" si="367"/>
        <v>0</v>
      </c>
      <c r="AF1351" s="315">
        <f t="shared" si="368"/>
        <v>0</v>
      </c>
      <c r="AG1351" s="316">
        <f t="shared" si="369"/>
        <v>0</v>
      </c>
      <c r="AH1351" s="314">
        <v>1</v>
      </c>
      <c r="AI1351" s="314">
        <f t="shared" si="370"/>
        <v>0</v>
      </c>
      <c r="AJ1351" s="314">
        <f t="shared" si="371"/>
        <v>0</v>
      </c>
      <c r="AK1351" s="317"/>
      <c r="AL1351" s="315">
        <f t="shared" si="372"/>
        <v>0</v>
      </c>
      <c r="AN1351" s="554">
        <f t="shared" si="373"/>
        <v>0</v>
      </c>
      <c r="AO1351" s="314"/>
      <c r="AP1351" s="318"/>
    </row>
    <row r="1352" spans="2:42">
      <c r="B1352" s="296"/>
      <c r="C1352" s="299"/>
      <c r="D1352" s="298"/>
      <c r="E1352" s="299"/>
      <c r="F1352" s="299"/>
      <c r="G1352" s="300"/>
      <c r="H1352" s="303"/>
      <c r="I1352" s="301">
        <f t="shared" si="357"/>
        <v>0</v>
      </c>
      <c r="J1352" s="302">
        <f t="shared" si="358"/>
        <v>0</v>
      </c>
      <c r="K1352" s="304">
        <f t="shared" si="359"/>
        <v>0</v>
      </c>
      <c r="L1352" s="305">
        <f>IF(H1352=0,0,IF(OR(E1352=$AT$5,E1352=$AT$6),AA1352,IF(F1352="MXN",1/HLOOKUP(YEAR(G1352)+(MONTH(G1352)/100),TC!$5:$37,DAY(G1352)+2,FALSE),VLOOKUP(F1352,Equivalencia!$5:$23,((MAX(Equivalencia!$3:$3)-YEAR(G1352))*14)+MONTH(G1352)+2,FALSE))))</f>
        <v>0</v>
      </c>
      <c r="M1352" s="306">
        <f t="shared" si="360"/>
        <v>0</v>
      </c>
      <c r="N1352" s="305">
        <f>IF(G1352=0,0,(IF(OR(E1352=$AT$5,E1352=$AT$6),AC1352,HLOOKUP(YEAR(G1352)+(MONTH(G1352)/100),TC!$5:$37,DAY(G1352)+2,FALSE))))</f>
        <v>0</v>
      </c>
      <c r="O1352" s="307">
        <f t="shared" si="361"/>
        <v>0</v>
      </c>
      <c r="P1352" s="560">
        <f>IF(G1352=0,0,VLOOKUP(YEAR(G1352),INPC!$B$4:$P$30,MONTH(G1352)+2))</f>
        <v>0</v>
      </c>
      <c r="Q1352" s="560">
        <f>IF(X1352=0,0,IF(OR(E1352=$AT$10,E1352=$AT$9),VLOOKUP(YEAR(X1352),INPC!$B$4:$P$30,MONTH(X1352)+1),VLOOKUP(YEAR(X1352),INPC!$B$4:$P$30,MONTH(X1352)+2,0)))</f>
        <v>0</v>
      </c>
      <c r="R1352" s="309">
        <f t="shared" si="362"/>
        <v>0</v>
      </c>
      <c r="S1352" s="310">
        <f t="shared" si="363"/>
        <v>0</v>
      </c>
      <c r="T1352" s="555">
        <f t="shared" si="364"/>
        <v>0</v>
      </c>
      <c r="U1352" s="311"/>
      <c r="V1352" s="312"/>
      <c r="W1352" s="299"/>
      <c r="X1352" s="300"/>
      <c r="Y1352" s="299"/>
      <c r="Z1352" s="303"/>
      <c r="AA1352" s="305">
        <f>IF(Z1352=0,0,IF(Y1352="MXN",1/HLOOKUP(YEAR(X1352)+(MONTH(X1352)/100),TC!$5:$37,DAY(X1352)+2,FALSE),VLOOKUP(Y1352,Equivalencia!$1:$23,((MAX(Equivalencia!$3:$3)-YEAR(X1352))*14)+MONTH(X1352)+2,FALSE)))</f>
        <v>0</v>
      </c>
      <c r="AB1352" s="306">
        <f t="shared" si="365"/>
        <v>0</v>
      </c>
      <c r="AC1352" s="305">
        <f>+IF(X1352=0,0,HLOOKUP(YEAR(X1352)+(MONTH(X1352)/100),TC!$5:$37,DAY(X1352)+2,FALSE))</f>
        <v>0</v>
      </c>
      <c r="AD1352" s="307">
        <f t="shared" si="366"/>
        <v>0</v>
      </c>
      <c r="AE1352" s="314">
        <f t="shared" si="367"/>
        <v>0</v>
      </c>
      <c r="AF1352" s="315">
        <f t="shared" si="368"/>
        <v>0</v>
      </c>
      <c r="AG1352" s="316">
        <f t="shared" si="369"/>
        <v>0</v>
      </c>
      <c r="AH1352" s="314">
        <v>1</v>
      </c>
      <c r="AI1352" s="314">
        <f t="shared" si="370"/>
        <v>0</v>
      </c>
      <c r="AJ1352" s="314">
        <f t="shared" si="371"/>
        <v>0</v>
      </c>
      <c r="AK1352" s="317"/>
      <c r="AL1352" s="315">
        <f t="shared" si="372"/>
        <v>0</v>
      </c>
      <c r="AN1352" s="554">
        <f t="shared" si="373"/>
        <v>0</v>
      </c>
      <c r="AO1352" s="314"/>
      <c r="AP1352" s="318"/>
    </row>
    <row r="1353" spans="2:42">
      <c r="B1353" s="296"/>
      <c r="C1353" s="299"/>
      <c r="D1353" s="298"/>
      <c r="E1353" s="299"/>
      <c r="F1353" s="299"/>
      <c r="G1353" s="300"/>
      <c r="H1353" s="303"/>
      <c r="I1353" s="301">
        <f t="shared" si="357"/>
        <v>0</v>
      </c>
      <c r="J1353" s="302">
        <f t="shared" si="358"/>
        <v>0</v>
      </c>
      <c r="K1353" s="304">
        <f t="shared" si="359"/>
        <v>0</v>
      </c>
      <c r="L1353" s="305">
        <f>IF(H1353=0,0,IF(OR(E1353=$AT$5,E1353=$AT$6),AA1353,IF(F1353="MXN",1/HLOOKUP(YEAR(G1353)+(MONTH(G1353)/100),TC!$5:$37,DAY(G1353)+2,FALSE),VLOOKUP(F1353,Equivalencia!$5:$23,((MAX(Equivalencia!$3:$3)-YEAR(G1353))*14)+MONTH(G1353)+2,FALSE))))</f>
        <v>0</v>
      </c>
      <c r="M1353" s="306">
        <f t="shared" si="360"/>
        <v>0</v>
      </c>
      <c r="N1353" s="305">
        <f>IF(G1353=0,0,(IF(OR(E1353=$AT$5,E1353=$AT$6),AC1353,HLOOKUP(YEAR(G1353)+(MONTH(G1353)/100),TC!$5:$37,DAY(G1353)+2,FALSE))))</f>
        <v>0</v>
      </c>
      <c r="O1353" s="307">
        <f t="shared" si="361"/>
        <v>0</v>
      </c>
      <c r="P1353" s="560">
        <f>IF(G1353=0,0,VLOOKUP(YEAR(G1353),INPC!$B$4:$P$30,MONTH(G1353)+2))</f>
        <v>0</v>
      </c>
      <c r="Q1353" s="560">
        <f>IF(X1353=0,0,IF(OR(E1353=$AT$10,E1353=$AT$9),VLOOKUP(YEAR(X1353),INPC!$B$4:$P$30,MONTH(X1353)+1),VLOOKUP(YEAR(X1353),INPC!$B$4:$P$30,MONTH(X1353)+2,0)))</f>
        <v>0</v>
      </c>
      <c r="R1353" s="309">
        <f t="shared" si="362"/>
        <v>0</v>
      </c>
      <c r="S1353" s="310">
        <f t="shared" si="363"/>
        <v>0</v>
      </c>
      <c r="T1353" s="555">
        <f t="shared" si="364"/>
        <v>0</v>
      </c>
      <c r="U1353" s="311"/>
      <c r="V1353" s="312"/>
      <c r="W1353" s="299"/>
      <c r="X1353" s="300"/>
      <c r="Y1353" s="299"/>
      <c r="Z1353" s="303"/>
      <c r="AA1353" s="305">
        <f>IF(Z1353=0,0,IF(Y1353="MXN",1/HLOOKUP(YEAR(X1353)+(MONTH(X1353)/100),TC!$5:$37,DAY(X1353)+2,FALSE),VLOOKUP(Y1353,Equivalencia!$1:$23,((MAX(Equivalencia!$3:$3)-YEAR(X1353))*14)+MONTH(X1353)+2,FALSE)))</f>
        <v>0</v>
      </c>
      <c r="AB1353" s="306">
        <f t="shared" si="365"/>
        <v>0</v>
      </c>
      <c r="AC1353" s="305">
        <f>+IF(X1353=0,0,HLOOKUP(YEAR(X1353)+(MONTH(X1353)/100),TC!$5:$37,DAY(X1353)+2,FALSE))</f>
        <v>0</v>
      </c>
      <c r="AD1353" s="307">
        <f t="shared" si="366"/>
        <v>0</v>
      </c>
      <c r="AE1353" s="314">
        <f t="shared" si="367"/>
        <v>0</v>
      </c>
      <c r="AF1353" s="315">
        <f t="shared" si="368"/>
        <v>0</v>
      </c>
      <c r="AG1353" s="316">
        <f t="shared" si="369"/>
        <v>0</v>
      </c>
      <c r="AH1353" s="314">
        <v>1</v>
      </c>
      <c r="AI1353" s="314">
        <f t="shared" si="370"/>
        <v>0</v>
      </c>
      <c r="AJ1353" s="314">
        <f t="shared" si="371"/>
        <v>0</v>
      </c>
      <c r="AK1353" s="317"/>
      <c r="AL1353" s="315">
        <f t="shared" si="372"/>
        <v>0</v>
      </c>
      <c r="AN1353" s="554">
        <f t="shared" si="373"/>
        <v>0</v>
      </c>
      <c r="AO1353" s="314"/>
      <c r="AP1353" s="318"/>
    </row>
    <row r="1354" spans="2:42">
      <c r="B1354" s="296"/>
      <c r="C1354" s="299"/>
      <c r="D1354" s="298"/>
      <c r="E1354" s="299"/>
      <c r="F1354" s="299"/>
      <c r="G1354" s="300"/>
      <c r="H1354" s="303"/>
      <c r="I1354" s="301">
        <f t="shared" si="357"/>
        <v>0</v>
      </c>
      <c r="J1354" s="302">
        <f t="shared" si="358"/>
        <v>0</v>
      </c>
      <c r="K1354" s="304">
        <f t="shared" si="359"/>
        <v>0</v>
      </c>
      <c r="L1354" s="305">
        <f>IF(H1354=0,0,IF(OR(E1354=$AT$5,E1354=$AT$6),AA1354,IF(F1354="MXN",1/HLOOKUP(YEAR(G1354)+(MONTH(G1354)/100),TC!$5:$37,DAY(G1354)+2,FALSE),VLOOKUP(F1354,Equivalencia!$5:$23,((MAX(Equivalencia!$3:$3)-YEAR(G1354))*14)+MONTH(G1354)+2,FALSE))))</f>
        <v>0</v>
      </c>
      <c r="M1354" s="306">
        <f t="shared" si="360"/>
        <v>0</v>
      </c>
      <c r="N1354" s="305">
        <f>IF(G1354=0,0,(IF(OR(E1354=$AT$5,E1354=$AT$6),AC1354,HLOOKUP(YEAR(G1354)+(MONTH(G1354)/100),TC!$5:$37,DAY(G1354)+2,FALSE))))</f>
        <v>0</v>
      </c>
      <c r="O1354" s="307">
        <f t="shared" si="361"/>
        <v>0</v>
      </c>
      <c r="P1354" s="560">
        <f>IF(G1354=0,0,VLOOKUP(YEAR(G1354),INPC!$B$4:$P$30,MONTH(G1354)+2))</f>
        <v>0</v>
      </c>
      <c r="Q1354" s="560">
        <f>IF(X1354=0,0,IF(OR(E1354=$AT$10,E1354=$AT$9),VLOOKUP(YEAR(X1354),INPC!$B$4:$P$30,MONTH(X1354)+1),VLOOKUP(YEAR(X1354),INPC!$B$4:$P$30,MONTH(X1354)+2,0)))</f>
        <v>0</v>
      </c>
      <c r="R1354" s="309">
        <f t="shared" si="362"/>
        <v>0</v>
      </c>
      <c r="S1354" s="310">
        <f t="shared" si="363"/>
        <v>0</v>
      </c>
      <c r="T1354" s="555">
        <f t="shared" si="364"/>
        <v>0</v>
      </c>
      <c r="U1354" s="311"/>
      <c r="V1354" s="312"/>
      <c r="W1354" s="299"/>
      <c r="X1354" s="300"/>
      <c r="Y1354" s="299"/>
      <c r="Z1354" s="303"/>
      <c r="AA1354" s="305">
        <f>IF(Z1354=0,0,IF(Y1354="MXN",1/HLOOKUP(YEAR(X1354)+(MONTH(X1354)/100),TC!$5:$37,DAY(X1354)+2,FALSE),VLOOKUP(Y1354,Equivalencia!$1:$23,((MAX(Equivalencia!$3:$3)-YEAR(X1354))*14)+MONTH(X1354)+2,FALSE)))</f>
        <v>0</v>
      </c>
      <c r="AB1354" s="306">
        <f t="shared" si="365"/>
        <v>0</v>
      </c>
      <c r="AC1354" s="305">
        <f>+IF(X1354=0,0,HLOOKUP(YEAR(X1354)+(MONTH(X1354)/100),TC!$5:$37,DAY(X1354)+2,FALSE))</f>
        <v>0</v>
      </c>
      <c r="AD1354" s="307">
        <f t="shared" si="366"/>
        <v>0</v>
      </c>
      <c r="AE1354" s="314">
        <f t="shared" si="367"/>
        <v>0</v>
      </c>
      <c r="AF1354" s="315">
        <f t="shared" si="368"/>
        <v>0</v>
      </c>
      <c r="AG1354" s="316">
        <f t="shared" si="369"/>
        <v>0</v>
      </c>
      <c r="AH1354" s="314">
        <v>1</v>
      </c>
      <c r="AI1354" s="314">
        <f t="shared" si="370"/>
        <v>0</v>
      </c>
      <c r="AJ1354" s="314">
        <f t="shared" si="371"/>
        <v>0</v>
      </c>
      <c r="AK1354" s="317"/>
      <c r="AL1354" s="315">
        <f t="shared" si="372"/>
        <v>0</v>
      </c>
      <c r="AN1354" s="554">
        <f t="shared" si="373"/>
        <v>0</v>
      </c>
      <c r="AO1354" s="314"/>
      <c r="AP1354" s="318"/>
    </row>
    <row r="1355" spans="2:42">
      <c r="B1355" s="296"/>
      <c r="C1355" s="299"/>
      <c r="D1355" s="298"/>
      <c r="E1355" s="299"/>
      <c r="F1355" s="299"/>
      <c r="G1355" s="300"/>
      <c r="H1355" s="303"/>
      <c r="I1355" s="301">
        <f t="shared" si="357"/>
        <v>0</v>
      </c>
      <c r="J1355" s="302">
        <f t="shared" si="358"/>
        <v>0</v>
      </c>
      <c r="K1355" s="304">
        <f t="shared" si="359"/>
        <v>0</v>
      </c>
      <c r="L1355" s="305">
        <f>IF(H1355=0,0,IF(OR(E1355=$AT$5,E1355=$AT$6),AA1355,IF(F1355="MXN",1/HLOOKUP(YEAR(G1355)+(MONTH(G1355)/100),TC!$5:$37,DAY(G1355)+2,FALSE),VLOOKUP(F1355,Equivalencia!$5:$23,((MAX(Equivalencia!$3:$3)-YEAR(G1355))*14)+MONTH(G1355)+2,FALSE))))</f>
        <v>0</v>
      </c>
      <c r="M1355" s="306">
        <f t="shared" si="360"/>
        <v>0</v>
      </c>
      <c r="N1355" s="305">
        <f>IF(G1355=0,0,(IF(OR(E1355=$AT$5,E1355=$AT$6),AC1355,HLOOKUP(YEAR(G1355)+(MONTH(G1355)/100),TC!$5:$37,DAY(G1355)+2,FALSE))))</f>
        <v>0</v>
      </c>
      <c r="O1355" s="307">
        <f t="shared" si="361"/>
        <v>0</v>
      </c>
      <c r="P1355" s="560">
        <f>IF(G1355=0,0,VLOOKUP(YEAR(G1355),INPC!$B$4:$P$30,MONTH(G1355)+2))</f>
        <v>0</v>
      </c>
      <c r="Q1355" s="560">
        <f>IF(X1355=0,0,IF(OR(E1355=$AT$10,E1355=$AT$9),VLOOKUP(YEAR(X1355),INPC!$B$4:$P$30,MONTH(X1355)+1),VLOOKUP(YEAR(X1355),INPC!$B$4:$P$30,MONTH(X1355)+2,0)))</f>
        <v>0</v>
      </c>
      <c r="R1355" s="309">
        <f t="shared" si="362"/>
        <v>0</v>
      </c>
      <c r="S1355" s="310">
        <f t="shared" si="363"/>
        <v>0</v>
      </c>
      <c r="T1355" s="555">
        <f t="shared" si="364"/>
        <v>0</v>
      </c>
      <c r="U1355" s="311"/>
      <c r="V1355" s="312"/>
      <c r="W1355" s="299"/>
      <c r="X1355" s="300"/>
      <c r="Y1355" s="299"/>
      <c r="Z1355" s="303"/>
      <c r="AA1355" s="305">
        <f>IF(Z1355=0,0,IF(Y1355="MXN",1/HLOOKUP(YEAR(X1355)+(MONTH(X1355)/100),TC!$5:$37,DAY(X1355)+2,FALSE),VLOOKUP(Y1355,Equivalencia!$1:$23,((MAX(Equivalencia!$3:$3)-YEAR(X1355))*14)+MONTH(X1355)+2,FALSE)))</f>
        <v>0</v>
      </c>
      <c r="AB1355" s="306">
        <f t="shared" si="365"/>
        <v>0</v>
      </c>
      <c r="AC1355" s="305">
        <f>+IF(X1355=0,0,HLOOKUP(YEAR(X1355)+(MONTH(X1355)/100),TC!$5:$37,DAY(X1355)+2,FALSE))</f>
        <v>0</v>
      </c>
      <c r="AD1355" s="307">
        <f t="shared" si="366"/>
        <v>0</v>
      </c>
      <c r="AE1355" s="314">
        <f t="shared" si="367"/>
        <v>0</v>
      </c>
      <c r="AF1355" s="315">
        <f t="shared" si="368"/>
        <v>0</v>
      </c>
      <c r="AG1355" s="316">
        <f t="shared" si="369"/>
        <v>0</v>
      </c>
      <c r="AH1355" s="314">
        <v>1</v>
      </c>
      <c r="AI1355" s="314">
        <f t="shared" si="370"/>
        <v>0</v>
      </c>
      <c r="AJ1355" s="314">
        <f t="shared" si="371"/>
        <v>0</v>
      </c>
      <c r="AK1355" s="317"/>
      <c r="AL1355" s="315">
        <f t="shared" si="372"/>
        <v>0</v>
      </c>
      <c r="AN1355" s="554">
        <f t="shared" si="373"/>
        <v>0</v>
      </c>
      <c r="AO1355" s="314"/>
      <c r="AP1355" s="318"/>
    </row>
    <row r="1356" spans="2:42">
      <c r="B1356" s="296"/>
      <c r="C1356" s="299"/>
      <c r="D1356" s="298"/>
      <c r="E1356" s="299"/>
      <c r="F1356" s="299"/>
      <c r="G1356" s="300"/>
      <c r="H1356" s="303"/>
      <c r="I1356" s="301">
        <f t="shared" si="357"/>
        <v>0</v>
      </c>
      <c r="J1356" s="302">
        <f t="shared" si="358"/>
        <v>0</v>
      </c>
      <c r="K1356" s="304">
        <f t="shared" si="359"/>
        <v>0</v>
      </c>
      <c r="L1356" s="305">
        <f>IF(H1356=0,0,IF(OR(E1356=$AT$5,E1356=$AT$6),AA1356,IF(F1356="MXN",1/HLOOKUP(YEAR(G1356)+(MONTH(G1356)/100),TC!$5:$37,DAY(G1356)+2,FALSE),VLOOKUP(F1356,Equivalencia!$5:$23,((MAX(Equivalencia!$3:$3)-YEAR(G1356))*14)+MONTH(G1356)+2,FALSE))))</f>
        <v>0</v>
      </c>
      <c r="M1356" s="306">
        <f t="shared" si="360"/>
        <v>0</v>
      </c>
      <c r="N1356" s="305">
        <f>IF(G1356=0,0,(IF(OR(E1356=$AT$5,E1356=$AT$6),AC1356,HLOOKUP(YEAR(G1356)+(MONTH(G1356)/100),TC!$5:$37,DAY(G1356)+2,FALSE))))</f>
        <v>0</v>
      </c>
      <c r="O1356" s="307">
        <f t="shared" si="361"/>
        <v>0</v>
      </c>
      <c r="P1356" s="560">
        <f>IF(G1356=0,0,VLOOKUP(YEAR(G1356),INPC!$B$4:$P$30,MONTH(G1356)+2))</f>
        <v>0</v>
      </c>
      <c r="Q1356" s="560">
        <f>IF(X1356=0,0,IF(OR(E1356=$AT$10,E1356=$AT$9),VLOOKUP(YEAR(X1356),INPC!$B$4:$P$30,MONTH(X1356)+1),VLOOKUP(YEAR(X1356),INPC!$B$4:$P$30,MONTH(X1356)+2,0)))</f>
        <v>0</v>
      </c>
      <c r="R1356" s="309">
        <f t="shared" si="362"/>
        <v>0</v>
      </c>
      <c r="S1356" s="310">
        <f t="shared" si="363"/>
        <v>0</v>
      </c>
      <c r="T1356" s="555">
        <f t="shared" si="364"/>
        <v>0</v>
      </c>
      <c r="U1356" s="311"/>
      <c r="V1356" s="312"/>
      <c r="W1356" s="299"/>
      <c r="X1356" s="300"/>
      <c r="Y1356" s="299"/>
      <c r="Z1356" s="303"/>
      <c r="AA1356" s="305">
        <f>IF(Z1356=0,0,IF(Y1356="MXN",1/HLOOKUP(YEAR(X1356)+(MONTH(X1356)/100),TC!$5:$37,DAY(X1356)+2,FALSE),VLOOKUP(Y1356,Equivalencia!$1:$23,((MAX(Equivalencia!$3:$3)-YEAR(X1356))*14)+MONTH(X1356)+2,FALSE)))</f>
        <v>0</v>
      </c>
      <c r="AB1356" s="306">
        <f t="shared" si="365"/>
        <v>0</v>
      </c>
      <c r="AC1356" s="305">
        <f>+IF(X1356=0,0,HLOOKUP(YEAR(X1356)+(MONTH(X1356)/100),TC!$5:$37,DAY(X1356)+2,FALSE))</f>
        <v>0</v>
      </c>
      <c r="AD1356" s="307">
        <f t="shared" si="366"/>
        <v>0</v>
      </c>
      <c r="AE1356" s="314">
        <f t="shared" si="367"/>
        <v>0</v>
      </c>
      <c r="AF1356" s="315">
        <f t="shared" si="368"/>
        <v>0</v>
      </c>
      <c r="AG1356" s="316">
        <f t="shared" si="369"/>
        <v>0</v>
      </c>
      <c r="AH1356" s="314">
        <v>1</v>
      </c>
      <c r="AI1356" s="314">
        <f t="shared" si="370"/>
        <v>0</v>
      </c>
      <c r="AJ1356" s="314">
        <f t="shared" si="371"/>
        <v>0</v>
      </c>
      <c r="AK1356" s="317"/>
      <c r="AL1356" s="315">
        <f t="shared" si="372"/>
        <v>0</v>
      </c>
      <c r="AN1356" s="554">
        <f t="shared" si="373"/>
        <v>0</v>
      </c>
      <c r="AO1356" s="314"/>
      <c r="AP1356" s="318"/>
    </row>
    <row r="1357" spans="2:42">
      <c r="B1357" s="296"/>
      <c r="C1357" s="299"/>
      <c r="D1357" s="298"/>
      <c r="E1357" s="299"/>
      <c r="F1357" s="299"/>
      <c r="G1357" s="300"/>
      <c r="H1357" s="303"/>
      <c r="I1357" s="301">
        <f t="shared" si="357"/>
        <v>0</v>
      </c>
      <c r="J1357" s="302">
        <f t="shared" si="358"/>
        <v>0</v>
      </c>
      <c r="K1357" s="304">
        <f t="shared" si="359"/>
        <v>0</v>
      </c>
      <c r="L1357" s="305">
        <f>IF(H1357=0,0,IF(OR(E1357=$AT$5,E1357=$AT$6),AA1357,IF(F1357="MXN",1/HLOOKUP(YEAR(G1357)+(MONTH(G1357)/100),TC!$5:$37,DAY(G1357)+2,FALSE),VLOOKUP(F1357,Equivalencia!$5:$23,((MAX(Equivalencia!$3:$3)-YEAR(G1357))*14)+MONTH(G1357)+2,FALSE))))</f>
        <v>0</v>
      </c>
      <c r="M1357" s="306">
        <f t="shared" si="360"/>
        <v>0</v>
      </c>
      <c r="N1357" s="305">
        <f>IF(G1357=0,0,(IF(OR(E1357=$AT$5,E1357=$AT$6),AC1357,HLOOKUP(YEAR(G1357)+(MONTH(G1357)/100),TC!$5:$37,DAY(G1357)+2,FALSE))))</f>
        <v>0</v>
      </c>
      <c r="O1357" s="307">
        <f t="shared" si="361"/>
        <v>0</v>
      </c>
      <c r="P1357" s="560">
        <f>IF(G1357=0,0,VLOOKUP(YEAR(G1357),INPC!$B$4:$P$30,MONTH(G1357)+2))</f>
        <v>0</v>
      </c>
      <c r="Q1357" s="560">
        <f>IF(X1357=0,0,IF(OR(E1357=$AT$10,E1357=$AT$9),VLOOKUP(YEAR(X1357),INPC!$B$4:$P$30,MONTH(X1357)+1),VLOOKUP(YEAR(X1357),INPC!$B$4:$P$30,MONTH(X1357)+2,0)))</f>
        <v>0</v>
      </c>
      <c r="R1357" s="309">
        <f t="shared" si="362"/>
        <v>0</v>
      </c>
      <c r="S1357" s="310">
        <f t="shared" si="363"/>
        <v>0</v>
      </c>
      <c r="T1357" s="555">
        <f t="shared" si="364"/>
        <v>0</v>
      </c>
      <c r="U1357" s="311"/>
      <c r="V1357" s="312"/>
      <c r="W1357" s="299"/>
      <c r="X1357" s="300"/>
      <c r="Y1357" s="299"/>
      <c r="Z1357" s="303"/>
      <c r="AA1357" s="305">
        <f>IF(Z1357=0,0,IF(Y1357="MXN",1/HLOOKUP(YEAR(X1357)+(MONTH(X1357)/100),TC!$5:$37,DAY(X1357)+2,FALSE),VLOOKUP(Y1357,Equivalencia!$1:$23,((MAX(Equivalencia!$3:$3)-YEAR(X1357))*14)+MONTH(X1357)+2,FALSE)))</f>
        <v>0</v>
      </c>
      <c r="AB1357" s="306">
        <f t="shared" si="365"/>
        <v>0</v>
      </c>
      <c r="AC1357" s="305">
        <f>+IF(X1357=0,0,HLOOKUP(YEAR(X1357)+(MONTH(X1357)/100),TC!$5:$37,DAY(X1357)+2,FALSE))</f>
        <v>0</v>
      </c>
      <c r="AD1357" s="307">
        <f t="shared" si="366"/>
        <v>0</v>
      </c>
      <c r="AE1357" s="314">
        <f t="shared" si="367"/>
        <v>0</v>
      </c>
      <c r="AF1357" s="315">
        <f t="shared" si="368"/>
        <v>0</v>
      </c>
      <c r="AG1357" s="316">
        <f t="shared" si="369"/>
        <v>0</v>
      </c>
      <c r="AH1357" s="314">
        <v>1</v>
      </c>
      <c r="AI1357" s="314">
        <f t="shared" si="370"/>
        <v>0</v>
      </c>
      <c r="AJ1357" s="314">
        <f t="shared" si="371"/>
        <v>0</v>
      </c>
      <c r="AK1357" s="317"/>
      <c r="AL1357" s="315">
        <f t="shared" si="372"/>
        <v>0</v>
      </c>
      <c r="AN1357" s="554">
        <f t="shared" si="373"/>
        <v>0</v>
      </c>
      <c r="AO1357" s="314"/>
      <c r="AP1357" s="318"/>
    </row>
    <row r="1358" spans="2:42">
      <c r="B1358" s="296"/>
      <c r="C1358" s="299"/>
      <c r="D1358" s="298"/>
      <c r="E1358" s="299"/>
      <c r="F1358" s="299"/>
      <c r="G1358" s="300"/>
      <c r="H1358" s="303"/>
      <c r="I1358" s="301">
        <f t="shared" si="357"/>
        <v>0</v>
      </c>
      <c r="J1358" s="302">
        <f t="shared" si="358"/>
        <v>0</v>
      </c>
      <c r="K1358" s="304">
        <f t="shared" si="359"/>
        <v>0</v>
      </c>
      <c r="L1358" s="305">
        <f>IF(H1358=0,0,IF(OR(E1358=$AT$5,E1358=$AT$6),AA1358,IF(F1358="MXN",1/HLOOKUP(YEAR(G1358)+(MONTH(G1358)/100),TC!$5:$37,DAY(G1358)+2,FALSE),VLOOKUP(F1358,Equivalencia!$5:$23,((MAX(Equivalencia!$3:$3)-YEAR(G1358))*14)+MONTH(G1358)+2,FALSE))))</f>
        <v>0</v>
      </c>
      <c r="M1358" s="306">
        <f t="shared" si="360"/>
        <v>0</v>
      </c>
      <c r="N1358" s="305">
        <f>IF(G1358=0,0,(IF(OR(E1358=$AT$5,E1358=$AT$6),AC1358,HLOOKUP(YEAR(G1358)+(MONTH(G1358)/100),TC!$5:$37,DAY(G1358)+2,FALSE))))</f>
        <v>0</v>
      </c>
      <c r="O1358" s="307">
        <f t="shared" si="361"/>
        <v>0</v>
      </c>
      <c r="P1358" s="560">
        <f>IF(G1358=0,0,VLOOKUP(YEAR(G1358),INPC!$B$4:$P$30,MONTH(G1358)+2))</f>
        <v>0</v>
      </c>
      <c r="Q1358" s="560">
        <f>IF(X1358=0,0,IF(OR(E1358=$AT$10,E1358=$AT$9),VLOOKUP(YEAR(X1358),INPC!$B$4:$P$30,MONTH(X1358)+1),VLOOKUP(YEAR(X1358),INPC!$B$4:$P$30,MONTH(X1358)+2,0)))</f>
        <v>0</v>
      </c>
      <c r="R1358" s="309">
        <f t="shared" si="362"/>
        <v>0</v>
      </c>
      <c r="S1358" s="310">
        <f t="shared" si="363"/>
        <v>0</v>
      </c>
      <c r="T1358" s="555">
        <f t="shared" si="364"/>
        <v>0</v>
      </c>
      <c r="U1358" s="311"/>
      <c r="V1358" s="312"/>
      <c r="W1358" s="299"/>
      <c r="X1358" s="300"/>
      <c r="Y1358" s="299"/>
      <c r="Z1358" s="303"/>
      <c r="AA1358" s="305">
        <f>IF(Z1358=0,0,IF(Y1358="MXN",1/HLOOKUP(YEAR(X1358)+(MONTH(X1358)/100),TC!$5:$37,DAY(X1358)+2,FALSE),VLOOKUP(Y1358,Equivalencia!$1:$23,((MAX(Equivalencia!$3:$3)-YEAR(X1358))*14)+MONTH(X1358)+2,FALSE)))</f>
        <v>0</v>
      </c>
      <c r="AB1358" s="306">
        <f t="shared" si="365"/>
        <v>0</v>
      </c>
      <c r="AC1358" s="305">
        <f>+IF(X1358=0,0,HLOOKUP(YEAR(X1358)+(MONTH(X1358)/100),TC!$5:$37,DAY(X1358)+2,FALSE))</f>
        <v>0</v>
      </c>
      <c r="AD1358" s="307">
        <f t="shared" si="366"/>
        <v>0</v>
      </c>
      <c r="AE1358" s="314">
        <f t="shared" si="367"/>
        <v>0</v>
      </c>
      <c r="AF1358" s="315">
        <f t="shared" si="368"/>
        <v>0</v>
      </c>
      <c r="AG1358" s="316">
        <f t="shared" si="369"/>
        <v>0</v>
      </c>
      <c r="AH1358" s="314">
        <v>1</v>
      </c>
      <c r="AI1358" s="314">
        <f t="shared" si="370"/>
        <v>0</v>
      </c>
      <c r="AJ1358" s="314">
        <f t="shared" si="371"/>
        <v>0</v>
      </c>
      <c r="AK1358" s="317"/>
      <c r="AL1358" s="315">
        <f t="shared" si="372"/>
        <v>0</v>
      </c>
      <c r="AN1358" s="554">
        <f t="shared" si="373"/>
        <v>0</v>
      </c>
      <c r="AO1358" s="314"/>
      <c r="AP1358" s="318"/>
    </row>
    <row r="1359" spans="2:42">
      <c r="B1359" s="296"/>
      <c r="C1359" s="299"/>
      <c r="D1359" s="298"/>
      <c r="E1359" s="299"/>
      <c r="F1359" s="299"/>
      <c r="G1359" s="300"/>
      <c r="H1359" s="303"/>
      <c r="I1359" s="301">
        <f t="shared" si="357"/>
        <v>0</v>
      </c>
      <c r="J1359" s="302">
        <f t="shared" si="358"/>
        <v>0</v>
      </c>
      <c r="K1359" s="304">
        <f t="shared" si="359"/>
        <v>0</v>
      </c>
      <c r="L1359" s="305">
        <f>IF(H1359=0,0,IF(OR(E1359=$AT$5,E1359=$AT$6),AA1359,IF(F1359="MXN",1/HLOOKUP(YEAR(G1359)+(MONTH(G1359)/100),TC!$5:$37,DAY(G1359)+2,FALSE),VLOOKUP(F1359,Equivalencia!$5:$23,((MAX(Equivalencia!$3:$3)-YEAR(G1359))*14)+MONTH(G1359)+2,FALSE))))</f>
        <v>0</v>
      </c>
      <c r="M1359" s="306">
        <f t="shared" si="360"/>
        <v>0</v>
      </c>
      <c r="N1359" s="305">
        <f>IF(G1359=0,0,(IF(OR(E1359=$AT$5,E1359=$AT$6),AC1359,HLOOKUP(YEAR(G1359)+(MONTH(G1359)/100),TC!$5:$37,DAY(G1359)+2,FALSE))))</f>
        <v>0</v>
      </c>
      <c r="O1359" s="307">
        <f t="shared" si="361"/>
        <v>0</v>
      </c>
      <c r="P1359" s="560">
        <f>IF(G1359=0,0,VLOOKUP(YEAR(G1359),INPC!$B$4:$P$30,MONTH(G1359)+2))</f>
        <v>0</v>
      </c>
      <c r="Q1359" s="560">
        <f>IF(X1359=0,0,IF(OR(E1359=$AT$10,E1359=$AT$9),VLOOKUP(YEAR(X1359),INPC!$B$4:$P$30,MONTH(X1359)+1),VLOOKUP(YEAR(X1359),INPC!$B$4:$P$30,MONTH(X1359)+2,0)))</f>
        <v>0</v>
      </c>
      <c r="R1359" s="309">
        <f t="shared" si="362"/>
        <v>0</v>
      </c>
      <c r="S1359" s="310">
        <f t="shared" si="363"/>
        <v>0</v>
      </c>
      <c r="T1359" s="555">
        <f t="shared" si="364"/>
        <v>0</v>
      </c>
      <c r="U1359" s="311"/>
      <c r="V1359" s="312"/>
      <c r="W1359" s="299"/>
      <c r="X1359" s="300"/>
      <c r="Y1359" s="299"/>
      <c r="Z1359" s="303"/>
      <c r="AA1359" s="305">
        <f>IF(Z1359=0,0,IF(Y1359="MXN",1/HLOOKUP(YEAR(X1359)+(MONTH(X1359)/100),TC!$5:$37,DAY(X1359)+2,FALSE),VLOOKUP(Y1359,Equivalencia!$1:$23,((MAX(Equivalencia!$3:$3)-YEAR(X1359))*14)+MONTH(X1359)+2,FALSE)))</f>
        <v>0</v>
      </c>
      <c r="AB1359" s="306">
        <f t="shared" si="365"/>
        <v>0</v>
      </c>
      <c r="AC1359" s="305">
        <f>+IF(X1359=0,0,HLOOKUP(YEAR(X1359)+(MONTH(X1359)/100),TC!$5:$37,DAY(X1359)+2,FALSE))</f>
        <v>0</v>
      </c>
      <c r="AD1359" s="307">
        <f t="shared" si="366"/>
        <v>0</v>
      </c>
      <c r="AE1359" s="314">
        <f t="shared" si="367"/>
        <v>0</v>
      </c>
      <c r="AF1359" s="315">
        <f t="shared" si="368"/>
        <v>0</v>
      </c>
      <c r="AG1359" s="316">
        <f t="shared" si="369"/>
        <v>0</v>
      </c>
      <c r="AH1359" s="314">
        <v>1</v>
      </c>
      <c r="AI1359" s="314">
        <f t="shared" si="370"/>
        <v>0</v>
      </c>
      <c r="AJ1359" s="314">
        <f t="shared" si="371"/>
        <v>0</v>
      </c>
      <c r="AK1359" s="317"/>
      <c r="AL1359" s="315">
        <f t="shared" si="372"/>
        <v>0</v>
      </c>
      <c r="AN1359" s="554">
        <f t="shared" si="373"/>
        <v>0</v>
      </c>
      <c r="AO1359" s="314"/>
      <c r="AP1359" s="318"/>
    </row>
    <row r="1360" spans="2:42">
      <c r="B1360" s="296"/>
      <c r="C1360" s="299"/>
      <c r="D1360" s="298"/>
      <c r="E1360" s="299"/>
      <c r="F1360" s="299"/>
      <c r="G1360" s="300"/>
      <c r="H1360" s="303"/>
      <c r="I1360" s="301">
        <f t="shared" si="357"/>
        <v>0</v>
      </c>
      <c r="J1360" s="302">
        <f t="shared" si="358"/>
        <v>0</v>
      </c>
      <c r="K1360" s="304">
        <f t="shared" si="359"/>
        <v>0</v>
      </c>
      <c r="L1360" s="305">
        <f>IF(H1360=0,0,IF(OR(E1360=$AT$5,E1360=$AT$6),AA1360,IF(F1360="MXN",1/HLOOKUP(YEAR(G1360)+(MONTH(G1360)/100),TC!$5:$37,DAY(G1360)+2,FALSE),VLOOKUP(F1360,Equivalencia!$5:$23,((MAX(Equivalencia!$3:$3)-YEAR(G1360))*14)+MONTH(G1360)+2,FALSE))))</f>
        <v>0</v>
      </c>
      <c r="M1360" s="306">
        <f t="shared" si="360"/>
        <v>0</v>
      </c>
      <c r="N1360" s="305">
        <f>IF(G1360=0,0,(IF(OR(E1360=$AT$5,E1360=$AT$6),AC1360,HLOOKUP(YEAR(G1360)+(MONTH(G1360)/100),TC!$5:$37,DAY(G1360)+2,FALSE))))</f>
        <v>0</v>
      </c>
      <c r="O1360" s="307">
        <f t="shared" si="361"/>
        <v>0</v>
      </c>
      <c r="P1360" s="560">
        <f>IF(G1360=0,0,VLOOKUP(YEAR(G1360),INPC!$B$4:$P$30,MONTH(G1360)+2))</f>
        <v>0</v>
      </c>
      <c r="Q1360" s="560">
        <f>IF(X1360=0,0,IF(OR(E1360=$AT$10,E1360=$AT$9),VLOOKUP(YEAR(X1360),INPC!$B$4:$P$30,MONTH(X1360)+1),VLOOKUP(YEAR(X1360),INPC!$B$4:$P$30,MONTH(X1360)+2,0)))</f>
        <v>0</v>
      </c>
      <c r="R1360" s="309">
        <f t="shared" si="362"/>
        <v>0</v>
      </c>
      <c r="S1360" s="310">
        <f t="shared" si="363"/>
        <v>0</v>
      </c>
      <c r="T1360" s="555">
        <f t="shared" si="364"/>
        <v>0</v>
      </c>
      <c r="U1360" s="311"/>
      <c r="V1360" s="312"/>
      <c r="W1360" s="299"/>
      <c r="X1360" s="300"/>
      <c r="Y1360" s="299"/>
      <c r="Z1360" s="303"/>
      <c r="AA1360" s="305">
        <f>IF(Z1360=0,0,IF(Y1360="MXN",1/HLOOKUP(YEAR(X1360)+(MONTH(X1360)/100),TC!$5:$37,DAY(X1360)+2,FALSE),VLOOKUP(Y1360,Equivalencia!$1:$23,((MAX(Equivalencia!$3:$3)-YEAR(X1360))*14)+MONTH(X1360)+2,FALSE)))</f>
        <v>0</v>
      </c>
      <c r="AB1360" s="306">
        <f t="shared" si="365"/>
        <v>0</v>
      </c>
      <c r="AC1360" s="305">
        <f>+IF(X1360=0,0,HLOOKUP(YEAR(X1360)+(MONTH(X1360)/100),TC!$5:$37,DAY(X1360)+2,FALSE))</f>
        <v>0</v>
      </c>
      <c r="AD1360" s="307">
        <f t="shared" si="366"/>
        <v>0</v>
      </c>
      <c r="AE1360" s="314">
        <f t="shared" si="367"/>
        <v>0</v>
      </c>
      <c r="AF1360" s="315">
        <f t="shared" si="368"/>
        <v>0</v>
      </c>
      <c r="AG1360" s="316">
        <f t="shared" si="369"/>
        <v>0</v>
      </c>
      <c r="AH1360" s="314">
        <v>1</v>
      </c>
      <c r="AI1360" s="314">
        <f t="shared" si="370"/>
        <v>0</v>
      </c>
      <c r="AJ1360" s="314">
        <f t="shared" si="371"/>
        <v>0</v>
      </c>
      <c r="AK1360" s="317"/>
      <c r="AL1360" s="315">
        <f t="shared" si="372"/>
        <v>0</v>
      </c>
      <c r="AN1360" s="554">
        <f t="shared" si="373"/>
        <v>0</v>
      </c>
      <c r="AO1360" s="314"/>
      <c r="AP1360" s="318"/>
    </row>
    <row r="1361" spans="2:42">
      <c r="B1361" s="296"/>
      <c r="C1361" s="299"/>
      <c r="D1361" s="298"/>
      <c r="E1361" s="299"/>
      <c r="F1361" s="299"/>
      <c r="G1361" s="300"/>
      <c r="H1361" s="303"/>
      <c r="I1361" s="301">
        <f t="shared" si="357"/>
        <v>0</v>
      </c>
      <c r="J1361" s="302">
        <f t="shared" si="358"/>
        <v>0</v>
      </c>
      <c r="K1361" s="304">
        <f t="shared" si="359"/>
        <v>0</v>
      </c>
      <c r="L1361" s="305">
        <f>IF(H1361=0,0,IF(OR(E1361=$AT$5,E1361=$AT$6),AA1361,IF(F1361="MXN",1/HLOOKUP(YEAR(G1361)+(MONTH(G1361)/100),TC!$5:$37,DAY(G1361)+2,FALSE),VLOOKUP(F1361,Equivalencia!$5:$23,((MAX(Equivalencia!$3:$3)-YEAR(G1361))*14)+MONTH(G1361)+2,FALSE))))</f>
        <v>0</v>
      </c>
      <c r="M1361" s="306">
        <f t="shared" si="360"/>
        <v>0</v>
      </c>
      <c r="N1361" s="305">
        <f>IF(G1361=0,0,(IF(OR(E1361=$AT$5,E1361=$AT$6),AC1361,HLOOKUP(YEAR(G1361)+(MONTH(G1361)/100),TC!$5:$37,DAY(G1361)+2,FALSE))))</f>
        <v>0</v>
      </c>
      <c r="O1361" s="307">
        <f t="shared" si="361"/>
        <v>0</v>
      </c>
      <c r="P1361" s="560">
        <f>IF(G1361=0,0,VLOOKUP(YEAR(G1361),INPC!$B$4:$P$30,MONTH(G1361)+2))</f>
        <v>0</v>
      </c>
      <c r="Q1361" s="560">
        <f>IF(X1361=0,0,IF(OR(E1361=$AT$10,E1361=$AT$9),VLOOKUP(YEAR(X1361),INPC!$B$4:$P$30,MONTH(X1361)+1),VLOOKUP(YEAR(X1361),INPC!$B$4:$P$30,MONTH(X1361)+2,0)))</f>
        <v>0</v>
      </c>
      <c r="R1361" s="309">
        <f t="shared" si="362"/>
        <v>0</v>
      </c>
      <c r="S1361" s="310">
        <f t="shared" si="363"/>
        <v>0</v>
      </c>
      <c r="T1361" s="555">
        <f t="shared" si="364"/>
        <v>0</v>
      </c>
      <c r="U1361" s="311"/>
      <c r="V1361" s="312"/>
      <c r="W1361" s="299"/>
      <c r="X1361" s="300"/>
      <c r="Y1361" s="299"/>
      <c r="Z1361" s="303"/>
      <c r="AA1361" s="305">
        <f>IF(Z1361=0,0,IF(Y1361="MXN",1/HLOOKUP(YEAR(X1361)+(MONTH(X1361)/100),TC!$5:$37,DAY(X1361)+2,FALSE),VLOOKUP(Y1361,Equivalencia!$1:$23,((MAX(Equivalencia!$3:$3)-YEAR(X1361))*14)+MONTH(X1361)+2,FALSE)))</f>
        <v>0</v>
      </c>
      <c r="AB1361" s="306">
        <f t="shared" si="365"/>
        <v>0</v>
      </c>
      <c r="AC1361" s="305">
        <f>+IF(X1361=0,0,HLOOKUP(YEAR(X1361)+(MONTH(X1361)/100),TC!$5:$37,DAY(X1361)+2,FALSE))</f>
        <v>0</v>
      </c>
      <c r="AD1361" s="307">
        <f t="shared" si="366"/>
        <v>0</v>
      </c>
      <c r="AE1361" s="314">
        <f t="shared" si="367"/>
        <v>0</v>
      </c>
      <c r="AF1361" s="315">
        <f t="shared" si="368"/>
        <v>0</v>
      </c>
      <c r="AG1361" s="316">
        <f t="shared" si="369"/>
        <v>0</v>
      </c>
      <c r="AH1361" s="314">
        <v>1</v>
      </c>
      <c r="AI1361" s="314">
        <f t="shared" si="370"/>
        <v>0</v>
      </c>
      <c r="AJ1361" s="314">
        <f t="shared" si="371"/>
        <v>0</v>
      </c>
      <c r="AK1361" s="317"/>
      <c r="AL1361" s="315">
        <f t="shared" si="372"/>
        <v>0</v>
      </c>
      <c r="AN1361" s="554">
        <f t="shared" si="373"/>
        <v>0</v>
      </c>
      <c r="AO1361" s="314"/>
      <c r="AP1361" s="318"/>
    </row>
    <row r="1362" spans="2:42">
      <c r="B1362" s="296"/>
      <c r="C1362" s="299"/>
      <c r="D1362" s="298"/>
      <c r="E1362" s="299"/>
      <c r="F1362" s="299"/>
      <c r="G1362" s="300"/>
      <c r="H1362" s="303"/>
      <c r="I1362" s="301">
        <f t="shared" si="357"/>
        <v>0</v>
      </c>
      <c r="J1362" s="302">
        <f t="shared" si="358"/>
        <v>0</v>
      </c>
      <c r="K1362" s="304">
        <f t="shared" si="359"/>
        <v>0</v>
      </c>
      <c r="L1362" s="305">
        <f>IF(H1362=0,0,IF(OR(E1362=$AT$5,E1362=$AT$6),AA1362,IF(F1362="MXN",1/HLOOKUP(YEAR(G1362)+(MONTH(G1362)/100),TC!$5:$37,DAY(G1362)+2,FALSE),VLOOKUP(F1362,Equivalencia!$5:$23,((MAX(Equivalencia!$3:$3)-YEAR(G1362))*14)+MONTH(G1362)+2,FALSE))))</f>
        <v>0</v>
      </c>
      <c r="M1362" s="306">
        <f t="shared" si="360"/>
        <v>0</v>
      </c>
      <c r="N1362" s="305">
        <f>IF(G1362=0,0,(IF(OR(E1362=$AT$5,E1362=$AT$6),AC1362,HLOOKUP(YEAR(G1362)+(MONTH(G1362)/100),TC!$5:$37,DAY(G1362)+2,FALSE))))</f>
        <v>0</v>
      </c>
      <c r="O1362" s="307">
        <f t="shared" si="361"/>
        <v>0</v>
      </c>
      <c r="P1362" s="560">
        <f>IF(G1362=0,0,VLOOKUP(YEAR(G1362),INPC!$B$4:$P$30,MONTH(G1362)+2))</f>
        <v>0</v>
      </c>
      <c r="Q1362" s="560">
        <f>IF(X1362=0,0,IF(OR(E1362=$AT$10,E1362=$AT$9),VLOOKUP(YEAR(X1362),INPC!$B$4:$P$30,MONTH(X1362)+1),VLOOKUP(YEAR(X1362),INPC!$B$4:$P$30,MONTH(X1362)+2,0)))</f>
        <v>0</v>
      </c>
      <c r="R1362" s="309">
        <f t="shared" si="362"/>
        <v>0</v>
      </c>
      <c r="S1362" s="310">
        <f t="shared" si="363"/>
        <v>0</v>
      </c>
      <c r="T1362" s="555">
        <f t="shared" si="364"/>
        <v>0</v>
      </c>
      <c r="U1362" s="311"/>
      <c r="V1362" s="312"/>
      <c r="W1362" s="299"/>
      <c r="X1362" s="300"/>
      <c r="Y1362" s="299"/>
      <c r="Z1362" s="303"/>
      <c r="AA1362" s="305">
        <f>IF(Z1362=0,0,IF(Y1362="MXN",1/HLOOKUP(YEAR(X1362)+(MONTH(X1362)/100),TC!$5:$37,DAY(X1362)+2,FALSE),VLOOKUP(Y1362,Equivalencia!$1:$23,((MAX(Equivalencia!$3:$3)-YEAR(X1362))*14)+MONTH(X1362)+2,FALSE)))</f>
        <v>0</v>
      </c>
      <c r="AB1362" s="306">
        <f t="shared" si="365"/>
        <v>0</v>
      </c>
      <c r="AC1362" s="305">
        <f>+IF(X1362=0,0,HLOOKUP(YEAR(X1362)+(MONTH(X1362)/100),TC!$5:$37,DAY(X1362)+2,FALSE))</f>
        <v>0</v>
      </c>
      <c r="AD1362" s="307">
        <f t="shared" si="366"/>
        <v>0</v>
      </c>
      <c r="AE1362" s="314">
        <f t="shared" si="367"/>
        <v>0</v>
      </c>
      <c r="AF1362" s="315">
        <f t="shared" si="368"/>
        <v>0</v>
      </c>
      <c r="AG1362" s="316">
        <f t="shared" si="369"/>
        <v>0</v>
      </c>
      <c r="AH1362" s="314">
        <v>1</v>
      </c>
      <c r="AI1362" s="314">
        <f t="shared" si="370"/>
        <v>0</v>
      </c>
      <c r="AJ1362" s="314">
        <f t="shared" si="371"/>
        <v>0</v>
      </c>
      <c r="AK1362" s="317"/>
      <c r="AL1362" s="315">
        <f t="shared" si="372"/>
        <v>0</v>
      </c>
      <c r="AN1362" s="554">
        <f t="shared" si="373"/>
        <v>0</v>
      </c>
      <c r="AO1362" s="314"/>
      <c r="AP1362" s="318"/>
    </row>
    <row r="1363" spans="2:42">
      <c r="B1363" s="296"/>
      <c r="C1363" s="299"/>
      <c r="D1363" s="298"/>
      <c r="E1363" s="299"/>
      <c r="F1363" s="299"/>
      <c r="G1363" s="300"/>
      <c r="H1363" s="303"/>
      <c r="I1363" s="301">
        <f t="shared" si="357"/>
        <v>0</v>
      </c>
      <c r="J1363" s="302">
        <f t="shared" si="358"/>
        <v>0</v>
      </c>
      <c r="K1363" s="304">
        <f t="shared" si="359"/>
        <v>0</v>
      </c>
      <c r="L1363" s="305">
        <f>IF(H1363=0,0,IF(OR(E1363=$AT$5,E1363=$AT$6),AA1363,IF(F1363="MXN",1/HLOOKUP(YEAR(G1363)+(MONTH(G1363)/100),TC!$5:$37,DAY(G1363)+2,FALSE),VLOOKUP(F1363,Equivalencia!$5:$23,((MAX(Equivalencia!$3:$3)-YEAR(G1363))*14)+MONTH(G1363)+2,FALSE))))</f>
        <v>0</v>
      </c>
      <c r="M1363" s="306">
        <f t="shared" si="360"/>
        <v>0</v>
      </c>
      <c r="N1363" s="305">
        <f>IF(G1363=0,0,(IF(OR(E1363=$AT$5,E1363=$AT$6),AC1363,HLOOKUP(YEAR(G1363)+(MONTH(G1363)/100),TC!$5:$37,DAY(G1363)+2,FALSE))))</f>
        <v>0</v>
      </c>
      <c r="O1363" s="307">
        <f t="shared" si="361"/>
        <v>0</v>
      </c>
      <c r="P1363" s="560">
        <f>IF(G1363=0,0,VLOOKUP(YEAR(G1363),INPC!$B$4:$P$30,MONTH(G1363)+2))</f>
        <v>0</v>
      </c>
      <c r="Q1363" s="560">
        <f>IF(X1363=0,0,IF(OR(E1363=$AT$10,E1363=$AT$9),VLOOKUP(YEAR(X1363),INPC!$B$4:$P$30,MONTH(X1363)+1),VLOOKUP(YEAR(X1363),INPC!$B$4:$P$30,MONTH(X1363)+2,0)))</f>
        <v>0</v>
      </c>
      <c r="R1363" s="309">
        <f t="shared" si="362"/>
        <v>0</v>
      </c>
      <c r="S1363" s="310">
        <f t="shared" si="363"/>
        <v>0</v>
      </c>
      <c r="T1363" s="555">
        <f t="shared" si="364"/>
        <v>0</v>
      </c>
      <c r="U1363" s="311"/>
      <c r="V1363" s="312"/>
      <c r="W1363" s="299"/>
      <c r="X1363" s="300"/>
      <c r="Y1363" s="299"/>
      <c r="Z1363" s="303"/>
      <c r="AA1363" s="305">
        <f>IF(Z1363=0,0,IF(Y1363="MXN",1/HLOOKUP(YEAR(X1363)+(MONTH(X1363)/100),TC!$5:$37,DAY(X1363)+2,FALSE),VLOOKUP(Y1363,Equivalencia!$1:$23,((MAX(Equivalencia!$3:$3)-YEAR(X1363))*14)+MONTH(X1363)+2,FALSE)))</f>
        <v>0</v>
      </c>
      <c r="AB1363" s="306">
        <f t="shared" si="365"/>
        <v>0</v>
      </c>
      <c r="AC1363" s="305">
        <f>+IF(X1363=0,0,HLOOKUP(YEAR(X1363)+(MONTH(X1363)/100),TC!$5:$37,DAY(X1363)+2,FALSE))</f>
        <v>0</v>
      </c>
      <c r="AD1363" s="307">
        <f t="shared" si="366"/>
        <v>0</v>
      </c>
      <c r="AE1363" s="314">
        <f t="shared" si="367"/>
        <v>0</v>
      </c>
      <c r="AF1363" s="315">
        <f t="shared" si="368"/>
        <v>0</v>
      </c>
      <c r="AG1363" s="316">
        <f t="shared" si="369"/>
        <v>0</v>
      </c>
      <c r="AH1363" s="314">
        <v>1</v>
      </c>
      <c r="AI1363" s="314">
        <f t="shared" si="370"/>
        <v>0</v>
      </c>
      <c r="AJ1363" s="314">
        <f t="shared" si="371"/>
        <v>0</v>
      </c>
      <c r="AK1363" s="317"/>
      <c r="AL1363" s="315">
        <f t="shared" si="372"/>
        <v>0</v>
      </c>
      <c r="AN1363" s="554">
        <f t="shared" si="373"/>
        <v>0</v>
      </c>
      <c r="AO1363" s="314"/>
      <c r="AP1363" s="318"/>
    </row>
    <row r="1364" spans="2:42">
      <c r="B1364" s="296"/>
      <c r="C1364" s="299"/>
      <c r="D1364" s="298"/>
      <c r="E1364" s="299"/>
      <c r="F1364" s="299"/>
      <c r="G1364" s="300"/>
      <c r="H1364" s="303"/>
      <c r="I1364" s="301">
        <f t="shared" si="357"/>
        <v>0</v>
      </c>
      <c r="J1364" s="302">
        <f t="shared" si="358"/>
        <v>0</v>
      </c>
      <c r="K1364" s="304">
        <f t="shared" si="359"/>
        <v>0</v>
      </c>
      <c r="L1364" s="305">
        <f>IF(H1364=0,0,IF(OR(E1364=$AT$5,E1364=$AT$6),AA1364,IF(F1364="MXN",1/HLOOKUP(YEAR(G1364)+(MONTH(G1364)/100),TC!$5:$37,DAY(G1364)+2,FALSE),VLOOKUP(F1364,Equivalencia!$5:$23,((MAX(Equivalencia!$3:$3)-YEAR(G1364))*14)+MONTH(G1364)+2,FALSE))))</f>
        <v>0</v>
      </c>
      <c r="M1364" s="306">
        <f t="shared" si="360"/>
        <v>0</v>
      </c>
      <c r="N1364" s="305">
        <f>IF(G1364=0,0,(IF(OR(E1364=$AT$5,E1364=$AT$6),AC1364,HLOOKUP(YEAR(G1364)+(MONTH(G1364)/100),TC!$5:$37,DAY(G1364)+2,FALSE))))</f>
        <v>0</v>
      </c>
      <c r="O1364" s="307">
        <f t="shared" si="361"/>
        <v>0</v>
      </c>
      <c r="P1364" s="560">
        <f>IF(G1364=0,0,VLOOKUP(YEAR(G1364),INPC!$B$4:$P$30,MONTH(G1364)+2))</f>
        <v>0</v>
      </c>
      <c r="Q1364" s="560">
        <f>IF(X1364=0,0,IF(OR(E1364=$AT$10,E1364=$AT$9),VLOOKUP(YEAR(X1364),INPC!$B$4:$P$30,MONTH(X1364)+1),VLOOKUP(YEAR(X1364),INPC!$B$4:$P$30,MONTH(X1364)+2,0)))</f>
        <v>0</v>
      </c>
      <c r="R1364" s="309">
        <f t="shared" si="362"/>
        <v>0</v>
      </c>
      <c r="S1364" s="310">
        <f t="shared" si="363"/>
        <v>0</v>
      </c>
      <c r="T1364" s="555">
        <f t="shared" si="364"/>
        <v>0</v>
      </c>
      <c r="U1364" s="311"/>
      <c r="V1364" s="312"/>
      <c r="W1364" s="299"/>
      <c r="X1364" s="300"/>
      <c r="Y1364" s="299"/>
      <c r="Z1364" s="303"/>
      <c r="AA1364" s="305">
        <f>IF(Z1364=0,0,IF(Y1364="MXN",1/HLOOKUP(YEAR(X1364)+(MONTH(X1364)/100),TC!$5:$37,DAY(X1364)+2,FALSE),VLOOKUP(Y1364,Equivalencia!$1:$23,((MAX(Equivalencia!$3:$3)-YEAR(X1364))*14)+MONTH(X1364)+2,FALSE)))</f>
        <v>0</v>
      </c>
      <c r="AB1364" s="306">
        <f t="shared" si="365"/>
        <v>0</v>
      </c>
      <c r="AC1364" s="305">
        <f>+IF(X1364=0,0,HLOOKUP(YEAR(X1364)+(MONTH(X1364)/100),TC!$5:$37,DAY(X1364)+2,FALSE))</f>
        <v>0</v>
      </c>
      <c r="AD1364" s="307">
        <f t="shared" si="366"/>
        <v>0</v>
      </c>
      <c r="AE1364" s="314">
        <f t="shared" si="367"/>
        <v>0</v>
      </c>
      <c r="AF1364" s="315">
        <f t="shared" si="368"/>
        <v>0</v>
      </c>
      <c r="AG1364" s="316">
        <f t="shared" si="369"/>
        <v>0</v>
      </c>
      <c r="AH1364" s="314">
        <v>1</v>
      </c>
      <c r="AI1364" s="314">
        <f t="shared" si="370"/>
        <v>0</v>
      </c>
      <c r="AJ1364" s="314">
        <f t="shared" si="371"/>
        <v>0</v>
      </c>
      <c r="AK1364" s="317"/>
      <c r="AL1364" s="315">
        <f t="shared" si="372"/>
        <v>0</v>
      </c>
      <c r="AN1364" s="554">
        <f t="shared" si="373"/>
        <v>0</v>
      </c>
      <c r="AO1364" s="314"/>
      <c r="AP1364" s="318"/>
    </row>
    <row r="1365" spans="2:42">
      <c r="B1365" s="296"/>
      <c r="C1365" s="299"/>
      <c r="D1365" s="298"/>
      <c r="E1365" s="299"/>
      <c r="F1365" s="299"/>
      <c r="G1365" s="300"/>
      <c r="H1365" s="303"/>
      <c r="I1365" s="301">
        <f t="shared" si="357"/>
        <v>0</v>
      </c>
      <c r="J1365" s="302">
        <f t="shared" si="358"/>
        <v>0</v>
      </c>
      <c r="K1365" s="304">
        <f t="shared" si="359"/>
        <v>0</v>
      </c>
      <c r="L1365" s="305">
        <f>IF(H1365=0,0,IF(OR(E1365=$AT$5,E1365=$AT$6),AA1365,IF(F1365="MXN",1/HLOOKUP(YEAR(G1365)+(MONTH(G1365)/100),TC!$5:$37,DAY(G1365)+2,FALSE),VLOOKUP(F1365,Equivalencia!$5:$23,((MAX(Equivalencia!$3:$3)-YEAR(G1365))*14)+MONTH(G1365)+2,FALSE))))</f>
        <v>0</v>
      </c>
      <c r="M1365" s="306">
        <f t="shared" si="360"/>
        <v>0</v>
      </c>
      <c r="N1365" s="305">
        <f>IF(G1365=0,0,(IF(OR(E1365=$AT$5,E1365=$AT$6),AC1365,HLOOKUP(YEAR(G1365)+(MONTH(G1365)/100),TC!$5:$37,DAY(G1365)+2,FALSE))))</f>
        <v>0</v>
      </c>
      <c r="O1365" s="307">
        <f t="shared" si="361"/>
        <v>0</v>
      </c>
      <c r="P1365" s="560">
        <f>IF(G1365=0,0,VLOOKUP(YEAR(G1365),INPC!$B$4:$P$30,MONTH(G1365)+2))</f>
        <v>0</v>
      </c>
      <c r="Q1365" s="560">
        <f>IF(X1365=0,0,IF(OR(E1365=$AT$10,E1365=$AT$9),VLOOKUP(YEAR(X1365),INPC!$B$4:$P$30,MONTH(X1365)+1),VLOOKUP(YEAR(X1365),INPC!$B$4:$P$30,MONTH(X1365)+2,0)))</f>
        <v>0</v>
      </c>
      <c r="R1365" s="309">
        <f t="shared" si="362"/>
        <v>0</v>
      </c>
      <c r="S1365" s="310">
        <f t="shared" si="363"/>
        <v>0</v>
      </c>
      <c r="T1365" s="555">
        <f t="shared" si="364"/>
        <v>0</v>
      </c>
      <c r="U1365" s="311"/>
      <c r="V1365" s="312"/>
      <c r="W1365" s="299"/>
      <c r="X1365" s="300"/>
      <c r="Y1365" s="299"/>
      <c r="Z1365" s="303"/>
      <c r="AA1365" s="305">
        <f>IF(Z1365=0,0,IF(Y1365="MXN",1/HLOOKUP(YEAR(X1365)+(MONTH(X1365)/100),TC!$5:$37,DAY(X1365)+2,FALSE),VLOOKUP(Y1365,Equivalencia!$1:$23,((MAX(Equivalencia!$3:$3)-YEAR(X1365))*14)+MONTH(X1365)+2,FALSE)))</f>
        <v>0</v>
      </c>
      <c r="AB1365" s="306">
        <f t="shared" si="365"/>
        <v>0</v>
      </c>
      <c r="AC1365" s="305">
        <f>+IF(X1365=0,0,HLOOKUP(YEAR(X1365)+(MONTH(X1365)/100),TC!$5:$37,DAY(X1365)+2,FALSE))</f>
        <v>0</v>
      </c>
      <c r="AD1365" s="307">
        <f t="shared" si="366"/>
        <v>0</v>
      </c>
      <c r="AE1365" s="314">
        <f t="shared" si="367"/>
        <v>0</v>
      </c>
      <c r="AF1365" s="315">
        <f t="shared" si="368"/>
        <v>0</v>
      </c>
      <c r="AG1365" s="316">
        <f t="shared" si="369"/>
        <v>0</v>
      </c>
      <c r="AH1365" s="314">
        <v>1</v>
      </c>
      <c r="AI1365" s="314">
        <f t="shared" si="370"/>
        <v>0</v>
      </c>
      <c r="AJ1365" s="314">
        <f t="shared" si="371"/>
        <v>0</v>
      </c>
      <c r="AK1365" s="317"/>
      <c r="AL1365" s="315">
        <f t="shared" si="372"/>
        <v>0</v>
      </c>
      <c r="AN1365" s="554">
        <f t="shared" si="373"/>
        <v>0</v>
      </c>
      <c r="AO1365" s="314"/>
      <c r="AP1365" s="318"/>
    </row>
    <row r="1366" spans="2:42">
      <c r="B1366" s="296"/>
      <c r="C1366" s="299"/>
      <c r="D1366" s="298"/>
      <c r="E1366" s="299"/>
      <c r="F1366" s="299"/>
      <c r="G1366" s="300"/>
      <c r="H1366" s="303"/>
      <c r="I1366" s="301">
        <f t="shared" si="357"/>
        <v>0</v>
      </c>
      <c r="J1366" s="302">
        <f t="shared" si="358"/>
        <v>0</v>
      </c>
      <c r="K1366" s="304">
        <f t="shared" si="359"/>
        <v>0</v>
      </c>
      <c r="L1366" s="305">
        <f>IF(H1366=0,0,IF(OR(E1366=$AT$5,E1366=$AT$6),AA1366,IF(F1366="MXN",1/HLOOKUP(YEAR(G1366)+(MONTH(G1366)/100),TC!$5:$37,DAY(G1366)+2,FALSE),VLOOKUP(F1366,Equivalencia!$5:$23,((MAX(Equivalencia!$3:$3)-YEAR(G1366))*14)+MONTH(G1366)+2,FALSE))))</f>
        <v>0</v>
      </c>
      <c r="M1366" s="306">
        <f t="shared" si="360"/>
        <v>0</v>
      </c>
      <c r="N1366" s="305">
        <f>IF(G1366=0,0,(IF(OR(E1366=$AT$5,E1366=$AT$6),AC1366,HLOOKUP(YEAR(G1366)+(MONTH(G1366)/100),TC!$5:$37,DAY(G1366)+2,FALSE))))</f>
        <v>0</v>
      </c>
      <c r="O1366" s="307">
        <f t="shared" si="361"/>
        <v>0</v>
      </c>
      <c r="P1366" s="560">
        <f>IF(G1366=0,0,VLOOKUP(YEAR(G1366),INPC!$B$4:$P$30,MONTH(G1366)+2))</f>
        <v>0</v>
      </c>
      <c r="Q1366" s="560">
        <f>IF(X1366=0,0,IF(OR(E1366=$AT$10,E1366=$AT$9),VLOOKUP(YEAR(X1366),INPC!$B$4:$P$30,MONTH(X1366)+1),VLOOKUP(YEAR(X1366),INPC!$B$4:$P$30,MONTH(X1366)+2,0)))</f>
        <v>0</v>
      </c>
      <c r="R1366" s="309">
        <f t="shared" si="362"/>
        <v>0</v>
      </c>
      <c r="S1366" s="310">
        <f t="shared" si="363"/>
        <v>0</v>
      </c>
      <c r="T1366" s="555">
        <f t="shared" si="364"/>
        <v>0</v>
      </c>
      <c r="U1366" s="311"/>
      <c r="V1366" s="312"/>
      <c r="W1366" s="299"/>
      <c r="X1366" s="300"/>
      <c r="Y1366" s="299"/>
      <c r="Z1366" s="303"/>
      <c r="AA1366" s="305">
        <f>IF(Z1366=0,0,IF(Y1366="MXN",1/HLOOKUP(YEAR(X1366)+(MONTH(X1366)/100),TC!$5:$37,DAY(X1366)+2,FALSE),VLOOKUP(Y1366,Equivalencia!$1:$23,((MAX(Equivalencia!$3:$3)-YEAR(X1366))*14)+MONTH(X1366)+2,FALSE)))</f>
        <v>0</v>
      </c>
      <c r="AB1366" s="306">
        <f t="shared" si="365"/>
        <v>0</v>
      </c>
      <c r="AC1366" s="305">
        <f>+IF(X1366=0,0,HLOOKUP(YEAR(X1366)+(MONTH(X1366)/100),TC!$5:$37,DAY(X1366)+2,FALSE))</f>
        <v>0</v>
      </c>
      <c r="AD1366" s="307">
        <f t="shared" si="366"/>
        <v>0</v>
      </c>
      <c r="AE1366" s="314">
        <f t="shared" si="367"/>
        <v>0</v>
      </c>
      <c r="AF1366" s="315">
        <f t="shared" si="368"/>
        <v>0</v>
      </c>
      <c r="AG1366" s="316">
        <f t="shared" si="369"/>
        <v>0</v>
      </c>
      <c r="AH1366" s="314">
        <v>1</v>
      </c>
      <c r="AI1366" s="314">
        <f t="shared" si="370"/>
        <v>0</v>
      </c>
      <c r="AJ1366" s="314">
        <f t="shared" si="371"/>
        <v>0</v>
      </c>
      <c r="AK1366" s="317"/>
      <c r="AL1366" s="315">
        <f t="shared" si="372"/>
        <v>0</v>
      </c>
      <c r="AN1366" s="554">
        <f t="shared" si="373"/>
        <v>0</v>
      </c>
      <c r="AO1366" s="314"/>
      <c r="AP1366" s="318"/>
    </row>
    <row r="1367" spans="2:42">
      <c r="B1367" s="296"/>
      <c r="C1367" s="299"/>
      <c r="D1367" s="298"/>
      <c r="E1367" s="299"/>
      <c r="F1367" s="299"/>
      <c r="G1367" s="300"/>
      <c r="H1367" s="303"/>
      <c r="I1367" s="301">
        <f t="shared" si="357"/>
        <v>0</v>
      </c>
      <c r="J1367" s="302">
        <f t="shared" si="358"/>
        <v>0</v>
      </c>
      <c r="K1367" s="304">
        <f t="shared" si="359"/>
        <v>0</v>
      </c>
      <c r="L1367" s="305">
        <f>IF(H1367=0,0,IF(OR(E1367=$AT$5,E1367=$AT$6),AA1367,IF(F1367="MXN",1/HLOOKUP(YEAR(G1367)+(MONTH(G1367)/100),TC!$5:$37,DAY(G1367)+2,FALSE),VLOOKUP(F1367,Equivalencia!$5:$23,((MAX(Equivalencia!$3:$3)-YEAR(G1367))*14)+MONTH(G1367)+2,FALSE))))</f>
        <v>0</v>
      </c>
      <c r="M1367" s="306">
        <f t="shared" si="360"/>
        <v>0</v>
      </c>
      <c r="N1367" s="305">
        <f>IF(G1367=0,0,(IF(OR(E1367=$AT$5,E1367=$AT$6),AC1367,HLOOKUP(YEAR(G1367)+(MONTH(G1367)/100),TC!$5:$37,DAY(G1367)+2,FALSE))))</f>
        <v>0</v>
      </c>
      <c r="O1367" s="307">
        <f t="shared" si="361"/>
        <v>0</v>
      </c>
      <c r="P1367" s="560">
        <f>IF(G1367=0,0,VLOOKUP(YEAR(G1367),INPC!$B$4:$P$30,MONTH(G1367)+2))</f>
        <v>0</v>
      </c>
      <c r="Q1367" s="560">
        <f>IF(X1367=0,0,IF(OR(E1367=$AT$10,E1367=$AT$9),VLOOKUP(YEAR(X1367),INPC!$B$4:$P$30,MONTH(X1367)+1),VLOOKUP(YEAR(X1367),INPC!$B$4:$P$30,MONTH(X1367)+2,0)))</f>
        <v>0</v>
      </c>
      <c r="R1367" s="309">
        <f t="shared" si="362"/>
        <v>0</v>
      </c>
      <c r="S1367" s="310">
        <f t="shared" si="363"/>
        <v>0</v>
      </c>
      <c r="T1367" s="555">
        <f t="shared" si="364"/>
        <v>0</v>
      </c>
      <c r="U1367" s="311"/>
      <c r="V1367" s="312"/>
      <c r="W1367" s="299"/>
      <c r="X1367" s="300"/>
      <c r="Y1367" s="299"/>
      <c r="Z1367" s="303"/>
      <c r="AA1367" s="305">
        <f>IF(Z1367=0,0,IF(Y1367="MXN",1/HLOOKUP(YEAR(X1367)+(MONTH(X1367)/100),TC!$5:$37,DAY(X1367)+2,FALSE),VLOOKUP(Y1367,Equivalencia!$1:$23,((MAX(Equivalencia!$3:$3)-YEAR(X1367))*14)+MONTH(X1367)+2,FALSE)))</f>
        <v>0</v>
      </c>
      <c r="AB1367" s="306">
        <f t="shared" si="365"/>
        <v>0</v>
      </c>
      <c r="AC1367" s="305">
        <f>+IF(X1367=0,0,HLOOKUP(YEAR(X1367)+(MONTH(X1367)/100),TC!$5:$37,DAY(X1367)+2,FALSE))</f>
        <v>0</v>
      </c>
      <c r="AD1367" s="307">
        <f t="shared" si="366"/>
        <v>0</v>
      </c>
      <c r="AE1367" s="314">
        <f t="shared" si="367"/>
        <v>0</v>
      </c>
      <c r="AF1367" s="315">
        <f t="shared" si="368"/>
        <v>0</v>
      </c>
      <c r="AG1367" s="316">
        <f t="shared" si="369"/>
        <v>0</v>
      </c>
      <c r="AH1367" s="314">
        <v>1</v>
      </c>
      <c r="AI1367" s="314">
        <f t="shared" si="370"/>
        <v>0</v>
      </c>
      <c r="AJ1367" s="314">
        <f t="shared" si="371"/>
        <v>0</v>
      </c>
      <c r="AK1367" s="317"/>
      <c r="AL1367" s="315">
        <f t="shared" si="372"/>
        <v>0</v>
      </c>
      <c r="AN1367" s="554">
        <f t="shared" si="373"/>
        <v>0</v>
      </c>
      <c r="AO1367" s="314"/>
      <c r="AP1367" s="318"/>
    </row>
    <row r="1368" spans="2:42">
      <c r="B1368" s="296"/>
      <c r="C1368" s="299"/>
      <c r="D1368" s="298"/>
      <c r="E1368" s="299"/>
      <c r="F1368" s="299"/>
      <c r="G1368" s="300"/>
      <c r="H1368" s="303"/>
      <c r="I1368" s="301">
        <f t="shared" si="357"/>
        <v>0</v>
      </c>
      <c r="J1368" s="302">
        <f t="shared" si="358"/>
        <v>0</v>
      </c>
      <c r="K1368" s="304">
        <f t="shared" si="359"/>
        <v>0</v>
      </c>
      <c r="L1368" s="305">
        <f>IF(H1368=0,0,IF(OR(E1368=$AT$5,E1368=$AT$6),AA1368,IF(F1368="MXN",1/HLOOKUP(YEAR(G1368)+(MONTH(G1368)/100),TC!$5:$37,DAY(G1368)+2,FALSE),VLOOKUP(F1368,Equivalencia!$5:$23,((MAX(Equivalencia!$3:$3)-YEAR(G1368))*14)+MONTH(G1368)+2,FALSE))))</f>
        <v>0</v>
      </c>
      <c r="M1368" s="306">
        <f t="shared" si="360"/>
        <v>0</v>
      </c>
      <c r="N1368" s="305">
        <f>IF(G1368=0,0,(IF(OR(E1368=$AT$5,E1368=$AT$6),AC1368,HLOOKUP(YEAR(G1368)+(MONTH(G1368)/100),TC!$5:$37,DAY(G1368)+2,FALSE))))</f>
        <v>0</v>
      </c>
      <c r="O1368" s="307">
        <f t="shared" si="361"/>
        <v>0</v>
      </c>
      <c r="P1368" s="560">
        <f>IF(G1368=0,0,VLOOKUP(YEAR(G1368),INPC!$B$4:$P$30,MONTH(G1368)+2))</f>
        <v>0</v>
      </c>
      <c r="Q1368" s="560">
        <f>IF(X1368=0,0,IF(OR(E1368=$AT$10,E1368=$AT$9),VLOOKUP(YEAR(X1368),INPC!$B$4:$P$30,MONTH(X1368)+1),VLOOKUP(YEAR(X1368),INPC!$B$4:$P$30,MONTH(X1368)+2,0)))</f>
        <v>0</v>
      </c>
      <c r="R1368" s="309">
        <f t="shared" si="362"/>
        <v>0</v>
      </c>
      <c r="S1368" s="310">
        <f t="shared" si="363"/>
        <v>0</v>
      </c>
      <c r="T1368" s="555">
        <f t="shared" si="364"/>
        <v>0</v>
      </c>
      <c r="U1368" s="311"/>
      <c r="V1368" s="312"/>
      <c r="W1368" s="299"/>
      <c r="X1368" s="300"/>
      <c r="Y1368" s="299"/>
      <c r="Z1368" s="303"/>
      <c r="AA1368" s="305">
        <f>IF(Z1368=0,0,IF(Y1368="MXN",1/HLOOKUP(YEAR(X1368)+(MONTH(X1368)/100),TC!$5:$37,DAY(X1368)+2,FALSE),VLOOKUP(Y1368,Equivalencia!$1:$23,((MAX(Equivalencia!$3:$3)-YEAR(X1368))*14)+MONTH(X1368)+2,FALSE)))</f>
        <v>0</v>
      </c>
      <c r="AB1368" s="306">
        <f t="shared" si="365"/>
        <v>0</v>
      </c>
      <c r="AC1368" s="305">
        <f>+IF(X1368=0,0,HLOOKUP(YEAR(X1368)+(MONTH(X1368)/100),TC!$5:$37,DAY(X1368)+2,FALSE))</f>
        <v>0</v>
      </c>
      <c r="AD1368" s="307">
        <f t="shared" si="366"/>
        <v>0</v>
      </c>
      <c r="AE1368" s="314">
        <f t="shared" si="367"/>
        <v>0</v>
      </c>
      <c r="AF1368" s="315">
        <f t="shared" si="368"/>
        <v>0</v>
      </c>
      <c r="AG1368" s="316">
        <f t="shared" si="369"/>
        <v>0</v>
      </c>
      <c r="AH1368" s="314">
        <v>1</v>
      </c>
      <c r="AI1368" s="314">
        <f t="shared" si="370"/>
        <v>0</v>
      </c>
      <c r="AJ1368" s="314">
        <f t="shared" si="371"/>
        <v>0</v>
      </c>
      <c r="AK1368" s="317"/>
      <c r="AL1368" s="315">
        <f t="shared" si="372"/>
        <v>0</v>
      </c>
      <c r="AN1368" s="554">
        <f t="shared" si="373"/>
        <v>0</v>
      </c>
      <c r="AO1368" s="314"/>
      <c r="AP1368" s="318"/>
    </row>
    <row r="1369" spans="2:42">
      <c r="B1369" s="296"/>
      <c r="C1369" s="299"/>
      <c r="D1369" s="298"/>
      <c r="E1369" s="299"/>
      <c r="F1369" s="299"/>
      <c r="G1369" s="300"/>
      <c r="H1369" s="303"/>
      <c r="I1369" s="301">
        <f t="shared" si="357"/>
        <v>0</v>
      </c>
      <c r="J1369" s="302">
        <f t="shared" si="358"/>
        <v>0</v>
      </c>
      <c r="K1369" s="304">
        <f t="shared" si="359"/>
        <v>0</v>
      </c>
      <c r="L1369" s="305">
        <f>IF(H1369=0,0,IF(OR(E1369=$AT$5,E1369=$AT$6),AA1369,IF(F1369="MXN",1/HLOOKUP(YEAR(G1369)+(MONTH(G1369)/100),TC!$5:$37,DAY(G1369)+2,FALSE),VLOOKUP(F1369,Equivalencia!$5:$23,((MAX(Equivalencia!$3:$3)-YEAR(G1369))*14)+MONTH(G1369)+2,FALSE))))</f>
        <v>0</v>
      </c>
      <c r="M1369" s="306">
        <f t="shared" si="360"/>
        <v>0</v>
      </c>
      <c r="N1369" s="305">
        <f>IF(G1369=0,0,(IF(OR(E1369=$AT$5,E1369=$AT$6),AC1369,HLOOKUP(YEAR(G1369)+(MONTH(G1369)/100),TC!$5:$37,DAY(G1369)+2,FALSE))))</f>
        <v>0</v>
      </c>
      <c r="O1369" s="307">
        <f t="shared" si="361"/>
        <v>0</v>
      </c>
      <c r="P1369" s="560">
        <f>IF(G1369=0,0,VLOOKUP(YEAR(G1369),INPC!$B$4:$P$30,MONTH(G1369)+2))</f>
        <v>0</v>
      </c>
      <c r="Q1369" s="560">
        <f>IF(X1369=0,0,IF(OR(E1369=$AT$10,E1369=$AT$9),VLOOKUP(YEAR(X1369),INPC!$B$4:$P$30,MONTH(X1369)+1),VLOOKUP(YEAR(X1369),INPC!$B$4:$P$30,MONTH(X1369)+2,0)))</f>
        <v>0</v>
      </c>
      <c r="R1369" s="309">
        <f t="shared" si="362"/>
        <v>0</v>
      </c>
      <c r="S1369" s="310">
        <f t="shared" si="363"/>
        <v>0</v>
      </c>
      <c r="T1369" s="555">
        <f t="shared" si="364"/>
        <v>0</v>
      </c>
      <c r="U1369" s="311"/>
      <c r="V1369" s="312"/>
      <c r="W1369" s="299"/>
      <c r="X1369" s="300"/>
      <c r="Y1369" s="299"/>
      <c r="Z1369" s="303"/>
      <c r="AA1369" s="305">
        <f>IF(Z1369=0,0,IF(Y1369="MXN",1/HLOOKUP(YEAR(X1369)+(MONTH(X1369)/100),TC!$5:$37,DAY(X1369)+2,FALSE),VLOOKUP(Y1369,Equivalencia!$1:$23,((MAX(Equivalencia!$3:$3)-YEAR(X1369))*14)+MONTH(X1369)+2,FALSE)))</f>
        <v>0</v>
      </c>
      <c r="AB1369" s="306">
        <f t="shared" si="365"/>
        <v>0</v>
      </c>
      <c r="AC1369" s="305">
        <f>+IF(X1369=0,0,HLOOKUP(YEAR(X1369)+(MONTH(X1369)/100),TC!$5:$37,DAY(X1369)+2,FALSE))</f>
        <v>0</v>
      </c>
      <c r="AD1369" s="307">
        <f t="shared" si="366"/>
        <v>0</v>
      </c>
      <c r="AE1369" s="314">
        <f t="shared" si="367"/>
        <v>0</v>
      </c>
      <c r="AF1369" s="315">
        <f t="shared" si="368"/>
        <v>0</v>
      </c>
      <c r="AG1369" s="316">
        <f t="shared" si="369"/>
        <v>0</v>
      </c>
      <c r="AH1369" s="314">
        <v>1</v>
      </c>
      <c r="AI1369" s="314">
        <f t="shared" si="370"/>
        <v>0</v>
      </c>
      <c r="AJ1369" s="314">
        <f t="shared" si="371"/>
        <v>0</v>
      </c>
      <c r="AK1369" s="317"/>
      <c r="AL1369" s="315">
        <f t="shared" si="372"/>
        <v>0</v>
      </c>
      <c r="AN1369" s="554">
        <f t="shared" si="373"/>
        <v>0</v>
      </c>
      <c r="AO1369" s="314"/>
      <c r="AP1369" s="318"/>
    </row>
    <row r="1370" spans="2:42">
      <c r="B1370" s="296"/>
      <c r="C1370" s="299"/>
      <c r="D1370" s="298"/>
      <c r="E1370" s="299"/>
      <c r="F1370" s="299"/>
      <c r="G1370" s="300"/>
      <c r="H1370" s="303"/>
      <c r="I1370" s="301">
        <f t="shared" si="357"/>
        <v>0</v>
      </c>
      <c r="J1370" s="302">
        <f t="shared" si="358"/>
        <v>0</v>
      </c>
      <c r="K1370" s="304">
        <f t="shared" si="359"/>
        <v>0</v>
      </c>
      <c r="L1370" s="305">
        <f>IF(H1370=0,0,IF(OR(E1370=$AT$5,E1370=$AT$6),AA1370,IF(F1370="MXN",1/HLOOKUP(YEAR(G1370)+(MONTH(G1370)/100),TC!$5:$37,DAY(G1370)+2,FALSE),VLOOKUP(F1370,Equivalencia!$5:$23,((MAX(Equivalencia!$3:$3)-YEAR(G1370))*14)+MONTH(G1370)+2,FALSE))))</f>
        <v>0</v>
      </c>
      <c r="M1370" s="306">
        <f t="shared" si="360"/>
        <v>0</v>
      </c>
      <c r="N1370" s="305">
        <f>IF(G1370=0,0,(IF(OR(E1370=$AT$5,E1370=$AT$6),AC1370,HLOOKUP(YEAR(G1370)+(MONTH(G1370)/100),TC!$5:$37,DAY(G1370)+2,FALSE))))</f>
        <v>0</v>
      </c>
      <c r="O1370" s="307">
        <f t="shared" si="361"/>
        <v>0</v>
      </c>
      <c r="P1370" s="560">
        <f>IF(G1370=0,0,VLOOKUP(YEAR(G1370),INPC!$B$4:$P$30,MONTH(G1370)+2))</f>
        <v>0</v>
      </c>
      <c r="Q1370" s="560">
        <f>IF(X1370=0,0,IF(OR(E1370=$AT$10,E1370=$AT$9),VLOOKUP(YEAR(X1370),INPC!$B$4:$P$30,MONTH(X1370)+1),VLOOKUP(YEAR(X1370),INPC!$B$4:$P$30,MONTH(X1370)+2,0)))</f>
        <v>0</v>
      </c>
      <c r="R1370" s="309">
        <f t="shared" si="362"/>
        <v>0</v>
      </c>
      <c r="S1370" s="310">
        <f t="shared" si="363"/>
        <v>0</v>
      </c>
      <c r="T1370" s="555">
        <f t="shared" si="364"/>
        <v>0</v>
      </c>
      <c r="U1370" s="311"/>
      <c r="V1370" s="312"/>
      <c r="W1370" s="299"/>
      <c r="X1370" s="300"/>
      <c r="Y1370" s="299"/>
      <c r="Z1370" s="303"/>
      <c r="AA1370" s="305">
        <f>IF(Z1370=0,0,IF(Y1370="MXN",1/HLOOKUP(YEAR(X1370)+(MONTH(X1370)/100),TC!$5:$37,DAY(X1370)+2,FALSE),VLOOKUP(Y1370,Equivalencia!$1:$23,((MAX(Equivalencia!$3:$3)-YEAR(X1370))*14)+MONTH(X1370)+2,FALSE)))</f>
        <v>0</v>
      </c>
      <c r="AB1370" s="306">
        <f t="shared" si="365"/>
        <v>0</v>
      </c>
      <c r="AC1370" s="305">
        <f>+IF(X1370=0,0,HLOOKUP(YEAR(X1370)+(MONTH(X1370)/100),TC!$5:$37,DAY(X1370)+2,FALSE))</f>
        <v>0</v>
      </c>
      <c r="AD1370" s="307">
        <f t="shared" si="366"/>
        <v>0</v>
      </c>
      <c r="AE1370" s="314">
        <f t="shared" si="367"/>
        <v>0</v>
      </c>
      <c r="AF1370" s="315">
        <f t="shared" si="368"/>
        <v>0</v>
      </c>
      <c r="AG1370" s="316">
        <f t="shared" si="369"/>
        <v>0</v>
      </c>
      <c r="AH1370" s="314">
        <v>1</v>
      </c>
      <c r="AI1370" s="314">
        <f t="shared" si="370"/>
        <v>0</v>
      </c>
      <c r="AJ1370" s="314">
        <f t="shared" si="371"/>
        <v>0</v>
      </c>
      <c r="AK1370" s="317"/>
      <c r="AL1370" s="315">
        <f t="shared" si="372"/>
        <v>0</v>
      </c>
      <c r="AN1370" s="554">
        <f t="shared" si="373"/>
        <v>0</v>
      </c>
      <c r="AO1370" s="314"/>
      <c r="AP1370" s="318"/>
    </row>
    <row r="1371" spans="2:42">
      <c r="B1371" s="296"/>
      <c r="C1371" s="299"/>
      <c r="D1371" s="298"/>
      <c r="E1371" s="299"/>
      <c r="F1371" s="299"/>
      <c r="G1371" s="300"/>
      <c r="H1371" s="303"/>
      <c r="I1371" s="301">
        <f t="shared" si="357"/>
        <v>0</v>
      </c>
      <c r="J1371" s="302">
        <f t="shared" si="358"/>
        <v>0</v>
      </c>
      <c r="K1371" s="304">
        <f t="shared" si="359"/>
        <v>0</v>
      </c>
      <c r="L1371" s="305">
        <f>IF(H1371=0,0,IF(OR(E1371=$AT$5,E1371=$AT$6),AA1371,IF(F1371="MXN",1/HLOOKUP(YEAR(G1371)+(MONTH(G1371)/100),TC!$5:$37,DAY(G1371)+2,FALSE),VLOOKUP(F1371,Equivalencia!$5:$23,((MAX(Equivalencia!$3:$3)-YEAR(G1371))*14)+MONTH(G1371)+2,FALSE))))</f>
        <v>0</v>
      </c>
      <c r="M1371" s="306">
        <f t="shared" si="360"/>
        <v>0</v>
      </c>
      <c r="N1371" s="305">
        <f>IF(G1371=0,0,(IF(OR(E1371=$AT$5,E1371=$AT$6),AC1371,HLOOKUP(YEAR(G1371)+(MONTH(G1371)/100),TC!$5:$37,DAY(G1371)+2,FALSE))))</f>
        <v>0</v>
      </c>
      <c r="O1371" s="307">
        <f t="shared" si="361"/>
        <v>0</v>
      </c>
      <c r="P1371" s="560">
        <f>IF(G1371=0,0,VLOOKUP(YEAR(G1371),INPC!$B$4:$P$30,MONTH(G1371)+2))</f>
        <v>0</v>
      </c>
      <c r="Q1371" s="560">
        <f>IF(X1371=0,0,IF(OR(E1371=$AT$10,E1371=$AT$9),VLOOKUP(YEAR(X1371),INPC!$B$4:$P$30,MONTH(X1371)+1),VLOOKUP(YEAR(X1371),INPC!$B$4:$P$30,MONTH(X1371)+2,0)))</f>
        <v>0</v>
      </c>
      <c r="R1371" s="309">
        <f t="shared" si="362"/>
        <v>0</v>
      </c>
      <c r="S1371" s="310">
        <f t="shared" si="363"/>
        <v>0</v>
      </c>
      <c r="T1371" s="555">
        <f t="shared" si="364"/>
        <v>0</v>
      </c>
      <c r="U1371" s="311"/>
      <c r="V1371" s="312"/>
      <c r="W1371" s="299"/>
      <c r="X1371" s="300"/>
      <c r="Y1371" s="299"/>
      <c r="Z1371" s="303"/>
      <c r="AA1371" s="305">
        <f>IF(Z1371=0,0,IF(Y1371="MXN",1/HLOOKUP(YEAR(X1371)+(MONTH(X1371)/100),TC!$5:$37,DAY(X1371)+2,FALSE),VLOOKUP(Y1371,Equivalencia!$1:$23,((MAX(Equivalencia!$3:$3)-YEAR(X1371))*14)+MONTH(X1371)+2,FALSE)))</f>
        <v>0</v>
      </c>
      <c r="AB1371" s="306">
        <f t="shared" si="365"/>
        <v>0</v>
      </c>
      <c r="AC1371" s="305">
        <f>+IF(X1371=0,0,HLOOKUP(YEAR(X1371)+(MONTH(X1371)/100),TC!$5:$37,DAY(X1371)+2,FALSE))</f>
        <v>0</v>
      </c>
      <c r="AD1371" s="307">
        <f t="shared" si="366"/>
        <v>0</v>
      </c>
      <c r="AE1371" s="314">
        <f t="shared" si="367"/>
        <v>0</v>
      </c>
      <c r="AF1371" s="315">
        <f t="shared" si="368"/>
        <v>0</v>
      </c>
      <c r="AG1371" s="316">
        <f t="shared" si="369"/>
        <v>0</v>
      </c>
      <c r="AH1371" s="314">
        <v>1</v>
      </c>
      <c r="AI1371" s="314">
        <f t="shared" si="370"/>
        <v>0</v>
      </c>
      <c r="AJ1371" s="314">
        <f t="shared" si="371"/>
        <v>0</v>
      </c>
      <c r="AK1371" s="317"/>
      <c r="AL1371" s="315">
        <f t="shared" si="372"/>
        <v>0</v>
      </c>
      <c r="AN1371" s="554">
        <f t="shared" si="373"/>
        <v>0</v>
      </c>
      <c r="AO1371" s="314"/>
      <c r="AP1371" s="318"/>
    </row>
    <row r="1372" spans="2:42">
      <c r="B1372" s="296"/>
      <c r="C1372" s="299"/>
      <c r="D1372" s="298"/>
      <c r="E1372" s="299"/>
      <c r="F1372" s="299"/>
      <c r="G1372" s="300"/>
      <c r="H1372" s="303"/>
      <c r="I1372" s="301">
        <f t="shared" si="357"/>
        <v>0</v>
      </c>
      <c r="J1372" s="302">
        <f t="shared" si="358"/>
        <v>0</v>
      </c>
      <c r="K1372" s="304">
        <f t="shared" si="359"/>
        <v>0</v>
      </c>
      <c r="L1372" s="305">
        <f>IF(H1372=0,0,IF(OR(E1372=$AT$5,E1372=$AT$6),AA1372,IF(F1372="MXN",1/HLOOKUP(YEAR(G1372)+(MONTH(G1372)/100),TC!$5:$37,DAY(G1372)+2,FALSE),VLOOKUP(F1372,Equivalencia!$5:$23,((MAX(Equivalencia!$3:$3)-YEAR(G1372))*14)+MONTH(G1372)+2,FALSE))))</f>
        <v>0</v>
      </c>
      <c r="M1372" s="306">
        <f t="shared" si="360"/>
        <v>0</v>
      </c>
      <c r="N1372" s="305">
        <f>IF(G1372=0,0,(IF(OR(E1372=$AT$5,E1372=$AT$6),AC1372,HLOOKUP(YEAR(G1372)+(MONTH(G1372)/100),TC!$5:$37,DAY(G1372)+2,FALSE))))</f>
        <v>0</v>
      </c>
      <c r="O1372" s="307">
        <f t="shared" si="361"/>
        <v>0</v>
      </c>
      <c r="P1372" s="560">
        <f>IF(G1372=0,0,VLOOKUP(YEAR(G1372),INPC!$B$4:$P$30,MONTH(G1372)+2))</f>
        <v>0</v>
      </c>
      <c r="Q1372" s="560">
        <f>IF(X1372=0,0,IF(OR(E1372=$AT$10,E1372=$AT$9),VLOOKUP(YEAR(X1372),INPC!$B$4:$P$30,MONTH(X1372)+1),VLOOKUP(YEAR(X1372),INPC!$B$4:$P$30,MONTH(X1372)+2,0)))</f>
        <v>0</v>
      </c>
      <c r="R1372" s="309">
        <f t="shared" si="362"/>
        <v>0</v>
      </c>
      <c r="S1372" s="310">
        <f t="shared" si="363"/>
        <v>0</v>
      </c>
      <c r="T1372" s="555">
        <f t="shared" si="364"/>
        <v>0</v>
      </c>
      <c r="U1372" s="311"/>
      <c r="V1372" s="312"/>
      <c r="W1372" s="299"/>
      <c r="X1372" s="300"/>
      <c r="Y1372" s="299"/>
      <c r="Z1372" s="303"/>
      <c r="AA1372" s="305">
        <f>IF(Z1372=0,0,IF(Y1372="MXN",1/HLOOKUP(YEAR(X1372)+(MONTH(X1372)/100),TC!$5:$37,DAY(X1372)+2,FALSE),VLOOKUP(Y1372,Equivalencia!$1:$23,((MAX(Equivalencia!$3:$3)-YEAR(X1372))*14)+MONTH(X1372)+2,FALSE)))</f>
        <v>0</v>
      </c>
      <c r="AB1372" s="306">
        <f t="shared" si="365"/>
        <v>0</v>
      </c>
      <c r="AC1372" s="305">
        <f>+IF(X1372=0,0,HLOOKUP(YEAR(X1372)+(MONTH(X1372)/100),TC!$5:$37,DAY(X1372)+2,FALSE))</f>
        <v>0</v>
      </c>
      <c r="AD1372" s="307">
        <f t="shared" si="366"/>
        <v>0</v>
      </c>
      <c r="AE1372" s="314">
        <f t="shared" si="367"/>
        <v>0</v>
      </c>
      <c r="AF1372" s="315">
        <f t="shared" si="368"/>
        <v>0</v>
      </c>
      <c r="AG1372" s="316">
        <f t="shared" si="369"/>
        <v>0</v>
      </c>
      <c r="AH1372" s="314">
        <v>1</v>
      </c>
      <c r="AI1372" s="314">
        <f t="shared" si="370"/>
        <v>0</v>
      </c>
      <c r="AJ1372" s="314">
        <f t="shared" si="371"/>
        <v>0</v>
      </c>
      <c r="AK1372" s="317"/>
      <c r="AL1372" s="315">
        <f t="shared" si="372"/>
        <v>0</v>
      </c>
      <c r="AN1372" s="554">
        <f t="shared" si="373"/>
        <v>0</v>
      </c>
      <c r="AO1372" s="314"/>
      <c r="AP1372" s="318"/>
    </row>
    <row r="1373" spans="2:42">
      <c r="B1373" s="296"/>
      <c r="C1373" s="299"/>
      <c r="D1373" s="298"/>
      <c r="E1373" s="299"/>
      <c r="F1373" s="299"/>
      <c r="G1373" s="300"/>
      <c r="H1373" s="303"/>
      <c r="I1373" s="301">
        <f t="shared" si="357"/>
        <v>0</v>
      </c>
      <c r="J1373" s="302">
        <f t="shared" si="358"/>
        <v>0</v>
      </c>
      <c r="K1373" s="304">
        <f t="shared" si="359"/>
        <v>0</v>
      </c>
      <c r="L1373" s="305">
        <f>IF(H1373=0,0,IF(OR(E1373=$AT$5,E1373=$AT$6),AA1373,IF(F1373="MXN",1/HLOOKUP(YEAR(G1373)+(MONTH(G1373)/100),TC!$5:$37,DAY(G1373)+2,FALSE),VLOOKUP(F1373,Equivalencia!$5:$23,((MAX(Equivalencia!$3:$3)-YEAR(G1373))*14)+MONTH(G1373)+2,FALSE))))</f>
        <v>0</v>
      </c>
      <c r="M1373" s="306">
        <f t="shared" si="360"/>
        <v>0</v>
      </c>
      <c r="N1373" s="305">
        <f>IF(G1373=0,0,(IF(OR(E1373=$AT$5,E1373=$AT$6),AC1373,HLOOKUP(YEAR(G1373)+(MONTH(G1373)/100),TC!$5:$37,DAY(G1373)+2,FALSE))))</f>
        <v>0</v>
      </c>
      <c r="O1373" s="307">
        <f t="shared" si="361"/>
        <v>0</v>
      </c>
      <c r="P1373" s="560">
        <f>IF(G1373=0,0,VLOOKUP(YEAR(G1373),INPC!$B$4:$P$30,MONTH(G1373)+2))</f>
        <v>0</v>
      </c>
      <c r="Q1373" s="560">
        <f>IF(X1373=0,0,IF(OR(E1373=$AT$10,E1373=$AT$9),VLOOKUP(YEAR(X1373),INPC!$B$4:$P$30,MONTH(X1373)+1),VLOOKUP(YEAR(X1373),INPC!$B$4:$P$30,MONTH(X1373)+2,0)))</f>
        <v>0</v>
      </c>
      <c r="R1373" s="309">
        <f t="shared" si="362"/>
        <v>0</v>
      </c>
      <c r="S1373" s="310">
        <f t="shared" si="363"/>
        <v>0</v>
      </c>
      <c r="T1373" s="555">
        <f t="shared" si="364"/>
        <v>0</v>
      </c>
      <c r="U1373" s="311"/>
      <c r="V1373" s="312"/>
      <c r="W1373" s="299"/>
      <c r="X1373" s="300"/>
      <c r="Y1373" s="299"/>
      <c r="Z1373" s="303"/>
      <c r="AA1373" s="305">
        <f>IF(Z1373=0,0,IF(Y1373="MXN",1/HLOOKUP(YEAR(X1373)+(MONTH(X1373)/100),TC!$5:$37,DAY(X1373)+2,FALSE),VLOOKUP(Y1373,Equivalencia!$1:$23,((MAX(Equivalencia!$3:$3)-YEAR(X1373))*14)+MONTH(X1373)+2,FALSE)))</f>
        <v>0</v>
      </c>
      <c r="AB1373" s="306">
        <f t="shared" si="365"/>
        <v>0</v>
      </c>
      <c r="AC1373" s="305">
        <f>+IF(X1373=0,0,HLOOKUP(YEAR(X1373)+(MONTH(X1373)/100),TC!$5:$37,DAY(X1373)+2,FALSE))</f>
        <v>0</v>
      </c>
      <c r="AD1373" s="307">
        <f t="shared" si="366"/>
        <v>0</v>
      </c>
      <c r="AE1373" s="314">
        <f t="shared" si="367"/>
        <v>0</v>
      </c>
      <c r="AF1373" s="315">
        <f t="shared" si="368"/>
        <v>0</v>
      </c>
      <c r="AG1373" s="316">
        <f t="shared" si="369"/>
        <v>0</v>
      </c>
      <c r="AH1373" s="314">
        <v>1</v>
      </c>
      <c r="AI1373" s="314">
        <f t="shared" si="370"/>
        <v>0</v>
      </c>
      <c r="AJ1373" s="314">
        <f t="shared" si="371"/>
        <v>0</v>
      </c>
      <c r="AK1373" s="317"/>
      <c r="AL1373" s="315">
        <f t="shared" si="372"/>
        <v>0</v>
      </c>
      <c r="AN1373" s="554">
        <f t="shared" si="373"/>
        <v>0</v>
      </c>
      <c r="AO1373" s="314"/>
      <c r="AP1373" s="318"/>
    </row>
    <row r="1374" spans="2:42">
      <c r="B1374" s="296"/>
      <c r="C1374" s="299"/>
      <c r="D1374" s="298"/>
      <c r="E1374" s="299"/>
      <c r="F1374" s="299"/>
      <c r="G1374" s="300"/>
      <c r="H1374" s="303"/>
      <c r="I1374" s="301">
        <f t="shared" si="357"/>
        <v>0</v>
      </c>
      <c r="J1374" s="302">
        <f t="shared" si="358"/>
        <v>0</v>
      </c>
      <c r="K1374" s="304">
        <f t="shared" si="359"/>
        <v>0</v>
      </c>
      <c r="L1374" s="305">
        <f>IF(H1374=0,0,IF(OR(E1374=$AT$5,E1374=$AT$6),AA1374,IF(F1374="MXN",1/HLOOKUP(YEAR(G1374)+(MONTH(G1374)/100),TC!$5:$37,DAY(G1374)+2,FALSE),VLOOKUP(F1374,Equivalencia!$5:$23,((MAX(Equivalencia!$3:$3)-YEAR(G1374))*14)+MONTH(G1374)+2,FALSE))))</f>
        <v>0</v>
      </c>
      <c r="M1374" s="306">
        <f t="shared" si="360"/>
        <v>0</v>
      </c>
      <c r="N1374" s="305">
        <f>IF(G1374=0,0,(IF(OR(E1374=$AT$5,E1374=$AT$6),AC1374,HLOOKUP(YEAR(G1374)+(MONTH(G1374)/100),TC!$5:$37,DAY(G1374)+2,FALSE))))</f>
        <v>0</v>
      </c>
      <c r="O1374" s="307">
        <f t="shared" si="361"/>
        <v>0</v>
      </c>
      <c r="P1374" s="560">
        <f>IF(G1374=0,0,VLOOKUP(YEAR(G1374),INPC!$B$4:$P$30,MONTH(G1374)+2))</f>
        <v>0</v>
      </c>
      <c r="Q1374" s="560">
        <f>IF(X1374=0,0,IF(OR(E1374=$AT$10,E1374=$AT$9),VLOOKUP(YEAR(X1374),INPC!$B$4:$P$30,MONTH(X1374)+1),VLOOKUP(YEAR(X1374),INPC!$B$4:$P$30,MONTH(X1374)+2,0)))</f>
        <v>0</v>
      </c>
      <c r="R1374" s="309">
        <f t="shared" si="362"/>
        <v>0</v>
      </c>
      <c r="S1374" s="310">
        <f t="shared" si="363"/>
        <v>0</v>
      </c>
      <c r="T1374" s="555">
        <f t="shared" si="364"/>
        <v>0</v>
      </c>
      <c r="U1374" s="311"/>
      <c r="V1374" s="312"/>
      <c r="W1374" s="299"/>
      <c r="X1374" s="300"/>
      <c r="Y1374" s="299"/>
      <c r="Z1374" s="303"/>
      <c r="AA1374" s="305">
        <f>IF(Z1374=0,0,IF(Y1374="MXN",1/HLOOKUP(YEAR(X1374)+(MONTH(X1374)/100),TC!$5:$37,DAY(X1374)+2,FALSE),VLOOKUP(Y1374,Equivalencia!$1:$23,((MAX(Equivalencia!$3:$3)-YEAR(X1374))*14)+MONTH(X1374)+2,FALSE)))</f>
        <v>0</v>
      </c>
      <c r="AB1374" s="306">
        <f t="shared" si="365"/>
        <v>0</v>
      </c>
      <c r="AC1374" s="305">
        <f>+IF(X1374=0,0,HLOOKUP(YEAR(X1374)+(MONTH(X1374)/100),TC!$5:$37,DAY(X1374)+2,FALSE))</f>
        <v>0</v>
      </c>
      <c r="AD1374" s="307">
        <f t="shared" si="366"/>
        <v>0</v>
      </c>
      <c r="AE1374" s="314">
        <f t="shared" si="367"/>
        <v>0</v>
      </c>
      <c r="AF1374" s="315">
        <f t="shared" si="368"/>
        <v>0</v>
      </c>
      <c r="AG1374" s="316">
        <f t="shared" si="369"/>
        <v>0</v>
      </c>
      <c r="AH1374" s="314">
        <v>1</v>
      </c>
      <c r="AI1374" s="314">
        <f t="shared" si="370"/>
        <v>0</v>
      </c>
      <c r="AJ1374" s="314">
        <f t="shared" si="371"/>
        <v>0</v>
      </c>
      <c r="AK1374" s="317"/>
      <c r="AL1374" s="315">
        <f t="shared" si="372"/>
        <v>0</v>
      </c>
      <c r="AN1374" s="554">
        <f t="shared" si="373"/>
        <v>0</v>
      </c>
      <c r="AO1374" s="314"/>
      <c r="AP1374" s="318"/>
    </row>
    <row r="1375" spans="2:42">
      <c r="B1375" s="296"/>
      <c r="C1375" s="299"/>
      <c r="D1375" s="298"/>
      <c r="E1375" s="299"/>
      <c r="F1375" s="299"/>
      <c r="G1375" s="300"/>
      <c r="H1375" s="303"/>
      <c r="I1375" s="301">
        <f t="shared" si="357"/>
        <v>0</v>
      </c>
      <c r="J1375" s="302">
        <f t="shared" si="358"/>
        <v>0</v>
      </c>
      <c r="K1375" s="304">
        <f t="shared" si="359"/>
        <v>0</v>
      </c>
      <c r="L1375" s="305">
        <f>IF(H1375=0,0,IF(OR(E1375=$AT$5,E1375=$AT$6),AA1375,IF(F1375="MXN",1/HLOOKUP(YEAR(G1375)+(MONTH(G1375)/100),TC!$5:$37,DAY(G1375)+2,FALSE),VLOOKUP(F1375,Equivalencia!$5:$23,((MAX(Equivalencia!$3:$3)-YEAR(G1375))*14)+MONTH(G1375)+2,FALSE))))</f>
        <v>0</v>
      </c>
      <c r="M1375" s="306">
        <f t="shared" si="360"/>
        <v>0</v>
      </c>
      <c r="N1375" s="305">
        <f>IF(G1375=0,0,(IF(OR(E1375=$AT$5,E1375=$AT$6),AC1375,HLOOKUP(YEAR(G1375)+(MONTH(G1375)/100),TC!$5:$37,DAY(G1375)+2,FALSE))))</f>
        <v>0</v>
      </c>
      <c r="O1375" s="307">
        <f t="shared" si="361"/>
        <v>0</v>
      </c>
      <c r="P1375" s="560">
        <f>IF(G1375=0,0,VLOOKUP(YEAR(G1375),INPC!$B$4:$P$30,MONTH(G1375)+2))</f>
        <v>0</v>
      </c>
      <c r="Q1375" s="560">
        <f>IF(X1375=0,0,IF(OR(E1375=$AT$10,E1375=$AT$9),VLOOKUP(YEAR(X1375),INPC!$B$4:$P$30,MONTH(X1375)+1),VLOOKUP(YEAR(X1375),INPC!$B$4:$P$30,MONTH(X1375)+2,0)))</f>
        <v>0</v>
      </c>
      <c r="R1375" s="309">
        <f t="shared" si="362"/>
        <v>0</v>
      </c>
      <c r="S1375" s="310">
        <f t="shared" si="363"/>
        <v>0</v>
      </c>
      <c r="T1375" s="555">
        <f t="shared" si="364"/>
        <v>0</v>
      </c>
      <c r="U1375" s="311"/>
      <c r="V1375" s="312"/>
      <c r="W1375" s="299"/>
      <c r="X1375" s="300"/>
      <c r="Y1375" s="299"/>
      <c r="Z1375" s="303"/>
      <c r="AA1375" s="305">
        <f>IF(Z1375=0,0,IF(Y1375="MXN",1/HLOOKUP(YEAR(X1375)+(MONTH(X1375)/100),TC!$5:$37,DAY(X1375)+2,FALSE),VLOOKUP(Y1375,Equivalencia!$1:$23,((MAX(Equivalencia!$3:$3)-YEAR(X1375))*14)+MONTH(X1375)+2,FALSE)))</f>
        <v>0</v>
      </c>
      <c r="AB1375" s="306">
        <f t="shared" si="365"/>
        <v>0</v>
      </c>
      <c r="AC1375" s="305">
        <f>+IF(X1375=0,0,HLOOKUP(YEAR(X1375)+(MONTH(X1375)/100),TC!$5:$37,DAY(X1375)+2,FALSE))</f>
        <v>0</v>
      </c>
      <c r="AD1375" s="307">
        <f t="shared" si="366"/>
        <v>0</v>
      </c>
      <c r="AE1375" s="314">
        <f t="shared" si="367"/>
        <v>0</v>
      </c>
      <c r="AF1375" s="315">
        <f t="shared" si="368"/>
        <v>0</v>
      </c>
      <c r="AG1375" s="316">
        <f t="shared" si="369"/>
        <v>0</v>
      </c>
      <c r="AH1375" s="314">
        <v>1</v>
      </c>
      <c r="AI1375" s="314">
        <f t="shared" si="370"/>
        <v>0</v>
      </c>
      <c r="AJ1375" s="314">
        <f t="shared" si="371"/>
        <v>0</v>
      </c>
      <c r="AK1375" s="317"/>
      <c r="AL1375" s="315">
        <f t="shared" si="372"/>
        <v>0</v>
      </c>
      <c r="AN1375" s="554">
        <f t="shared" si="373"/>
        <v>0</v>
      </c>
      <c r="AO1375" s="314"/>
      <c r="AP1375" s="318"/>
    </row>
    <row r="1376" spans="2:42">
      <c r="B1376" s="296"/>
      <c r="C1376" s="299"/>
      <c r="D1376" s="298"/>
      <c r="E1376" s="299"/>
      <c r="F1376" s="299"/>
      <c r="G1376" s="300"/>
      <c r="H1376" s="303"/>
      <c r="I1376" s="301">
        <f t="shared" si="357"/>
        <v>0</v>
      </c>
      <c r="J1376" s="302">
        <f t="shared" si="358"/>
        <v>0</v>
      </c>
      <c r="K1376" s="304">
        <f t="shared" si="359"/>
        <v>0</v>
      </c>
      <c r="L1376" s="305">
        <f>IF(H1376=0,0,IF(OR(E1376=$AT$5,E1376=$AT$6),AA1376,IF(F1376="MXN",1/HLOOKUP(YEAR(G1376)+(MONTH(G1376)/100),TC!$5:$37,DAY(G1376)+2,FALSE),VLOOKUP(F1376,Equivalencia!$5:$23,((MAX(Equivalencia!$3:$3)-YEAR(G1376))*14)+MONTH(G1376)+2,FALSE))))</f>
        <v>0</v>
      </c>
      <c r="M1376" s="306">
        <f t="shared" si="360"/>
        <v>0</v>
      </c>
      <c r="N1376" s="305">
        <f>IF(G1376=0,0,(IF(OR(E1376=$AT$5,E1376=$AT$6),AC1376,HLOOKUP(YEAR(G1376)+(MONTH(G1376)/100),TC!$5:$37,DAY(G1376)+2,FALSE))))</f>
        <v>0</v>
      </c>
      <c r="O1376" s="307">
        <f t="shared" si="361"/>
        <v>0</v>
      </c>
      <c r="P1376" s="560">
        <f>IF(G1376=0,0,VLOOKUP(YEAR(G1376),INPC!$B$4:$P$30,MONTH(G1376)+2))</f>
        <v>0</v>
      </c>
      <c r="Q1376" s="560">
        <f>IF(X1376=0,0,IF(OR(E1376=$AT$10,E1376=$AT$9),VLOOKUP(YEAR(X1376),INPC!$B$4:$P$30,MONTH(X1376)+1),VLOOKUP(YEAR(X1376),INPC!$B$4:$P$30,MONTH(X1376)+2,0)))</f>
        <v>0</v>
      </c>
      <c r="R1376" s="309">
        <f t="shared" si="362"/>
        <v>0</v>
      </c>
      <c r="S1376" s="310">
        <f t="shared" si="363"/>
        <v>0</v>
      </c>
      <c r="T1376" s="555">
        <f t="shared" si="364"/>
        <v>0</v>
      </c>
      <c r="U1376" s="311"/>
      <c r="V1376" s="312"/>
      <c r="W1376" s="299"/>
      <c r="X1376" s="300"/>
      <c r="Y1376" s="299"/>
      <c r="Z1376" s="303"/>
      <c r="AA1376" s="305">
        <f>IF(Z1376=0,0,IF(Y1376="MXN",1/HLOOKUP(YEAR(X1376)+(MONTH(X1376)/100),TC!$5:$37,DAY(X1376)+2,FALSE),VLOOKUP(Y1376,Equivalencia!$1:$23,((MAX(Equivalencia!$3:$3)-YEAR(X1376))*14)+MONTH(X1376)+2,FALSE)))</f>
        <v>0</v>
      </c>
      <c r="AB1376" s="306">
        <f t="shared" si="365"/>
        <v>0</v>
      </c>
      <c r="AC1376" s="305">
        <f>+IF(X1376=0,0,HLOOKUP(YEAR(X1376)+(MONTH(X1376)/100),TC!$5:$37,DAY(X1376)+2,FALSE))</f>
        <v>0</v>
      </c>
      <c r="AD1376" s="307">
        <f t="shared" si="366"/>
        <v>0</v>
      </c>
      <c r="AE1376" s="314">
        <f t="shared" si="367"/>
        <v>0</v>
      </c>
      <c r="AF1376" s="315">
        <f t="shared" si="368"/>
        <v>0</v>
      </c>
      <c r="AG1376" s="316">
        <f t="shared" si="369"/>
        <v>0</v>
      </c>
      <c r="AH1376" s="314">
        <v>1</v>
      </c>
      <c r="AI1376" s="314">
        <f t="shared" si="370"/>
        <v>0</v>
      </c>
      <c r="AJ1376" s="314">
        <f t="shared" si="371"/>
        <v>0</v>
      </c>
      <c r="AK1376" s="317"/>
      <c r="AL1376" s="315">
        <f t="shared" si="372"/>
        <v>0</v>
      </c>
      <c r="AN1376" s="554">
        <f t="shared" si="373"/>
        <v>0</v>
      </c>
      <c r="AO1376" s="314"/>
      <c r="AP1376" s="318"/>
    </row>
    <row r="1377" spans="2:42">
      <c r="B1377" s="296"/>
      <c r="C1377" s="299"/>
      <c r="D1377" s="298"/>
      <c r="E1377" s="299"/>
      <c r="F1377" s="299"/>
      <c r="G1377" s="300"/>
      <c r="H1377" s="303"/>
      <c r="I1377" s="301">
        <f t="shared" si="357"/>
        <v>0</v>
      </c>
      <c r="J1377" s="302">
        <f t="shared" si="358"/>
        <v>0</v>
      </c>
      <c r="K1377" s="304">
        <f t="shared" si="359"/>
        <v>0</v>
      </c>
      <c r="L1377" s="305">
        <f>IF(H1377=0,0,IF(OR(E1377=$AT$5,E1377=$AT$6),AA1377,IF(F1377="MXN",1/HLOOKUP(YEAR(G1377)+(MONTH(G1377)/100),TC!$5:$37,DAY(G1377)+2,FALSE),VLOOKUP(F1377,Equivalencia!$5:$23,((MAX(Equivalencia!$3:$3)-YEAR(G1377))*14)+MONTH(G1377)+2,FALSE))))</f>
        <v>0</v>
      </c>
      <c r="M1377" s="306">
        <f t="shared" si="360"/>
        <v>0</v>
      </c>
      <c r="N1377" s="305">
        <f>IF(G1377=0,0,(IF(OR(E1377=$AT$5,E1377=$AT$6),AC1377,HLOOKUP(YEAR(G1377)+(MONTH(G1377)/100),TC!$5:$37,DAY(G1377)+2,FALSE))))</f>
        <v>0</v>
      </c>
      <c r="O1377" s="307">
        <f t="shared" si="361"/>
        <v>0</v>
      </c>
      <c r="P1377" s="560">
        <f>IF(G1377=0,0,VLOOKUP(YEAR(G1377),INPC!$B$4:$P$30,MONTH(G1377)+2))</f>
        <v>0</v>
      </c>
      <c r="Q1377" s="560">
        <f>IF(X1377=0,0,IF(OR(E1377=$AT$10,E1377=$AT$9),VLOOKUP(YEAR(X1377),INPC!$B$4:$P$30,MONTH(X1377)+1),VLOOKUP(YEAR(X1377),INPC!$B$4:$P$30,MONTH(X1377)+2,0)))</f>
        <v>0</v>
      </c>
      <c r="R1377" s="309">
        <f t="shared" si="362"/>
        <v>0</v>
      </c>
      <c r="S1377" s="310">
        <f t="shared" si="363"/>
        <v>0</v>
      </c>
      <c r="T1377" s="555">
        <f t="shared" si="364"/>
        <v>0</v>
      </c>
      <c r="U1377" s="311"/>
      <c r="V1377" s="312"/>
      <c r="W1377" s="299"/>
      <c r="X1377" s="300"/>
      <c r="Y1377" s="299"/>
      <c r="Z1377" s="303"/>
      <c r="AA1377" s="305">
        <f>IF(Z1377=0,0,IF(Y1377="MXN",1/HLOOKUP(YEAR(X1377)+(MONTH(X1377)/100),TC!$5:$37,DAY(X1377)+2,FALSE),VLOOKUP(Y1377,Equivalencia!$1:$23,((MAX(Equivalencia!$3:$3)-YEAR(X1377))*14)+MONTH(X1377)+2,FALSE)))</f>
        <v>0</v>
      </c>
      <c r="AB1377" s="306">
        <f t="shared" si="365"/>
        <v>0</v>
      </c>
      <c r="AC1377" s="305">
        <f>+IF(X1377=0,0,HLOOKUP(YEAR(X1377)+(MONTH(X1377)/100),TC!$5:$37,DAY(X1377)+2,FALSE))</f>
        <v>0</v>
      </c>
      <c r="AD1377" s="307">
        <f t="shared" si="366"/>
        <v>0</v>
      </c>
      <c r="AE1377" s="314">
        <f t="shared" si="367"/>
        <v>0</v>
      </c>
      <c r="AF1377" s="315">
        <f t="shared" si="368"/>
        <v>0</v>
      </c>
      <c r="AG1377" s="316">
        <f t="shared" si="369"/>
        <v>0</v>
      </c>
      <c r="AH1377" s="314">
        <v>1</v>
      </c>
      <c r="AI1377" s="314">
        <f t="shared" si="370"/>
        <v>0</v>
      </c>
      <c r="AJ1377" s="314">
        <f t="shared" si="371"/>
        <v>0</v>
      </c>
      <c r="AK1377" s="317"/>
      <c r="AL1377" s="315">
        <f t="shared" si="372"/>
        <v>0</v>
      </c>
      <c r="AN1377" s="554">
        <f t="shared" si="373"/>
        <v>0</v>
      </c>
      <c r="AO1377" s="314"/>
      <c r="AP1377" s="318"/>
    </row>
    <row r="1378" spans="2:42">
      <c r="B1378" s="296"/>
      <c r="C1378" s="299"/>
      <c r="D1378" s="298"/>
      <c r="E1378" s="299"/>
      <c r="F1378" s="299"/>
      <c r="G1378" s="300"/>
      <c r="H1378" s="303"/>
      <c r="I1378" s="301">
        <f t="shared" si="357"/>
        <v>0</v>
      </c>
      <c r="J1378" s="302">
        <f t="shared" si="358"/>
        <v>0</v>
      </c>
      <c r="K1378" s="304">
        <f t="shared" si="359"/>
        <v>0</v>
      </c>
      <c r="L1378" s="305">
        <f>IF(H1378=0,0,IF(OR(E1378=$AT$5,E1378=$AT$6),AA1378,IF(F1378="MXN",1/HLOOKUP(YEAR(G1378)+(MONTH(G1378)/100),TC!$5:$37,DAY(G1378)+2,FALSE),VLOOKUP(F1378,Equivalencia!$5:$23,((MAX(Equivalencia!$3:$3)-YEAR(G1378))*14)+MONTH(G1378)+2,FALSE))))</f>
        <v>0</v>
      </c>
      <c r="M1378" s="306">
        <f t="shared" si="360"/>
        <v>0</v>
      </c>
      <c r="N1378" s="305">
        <f>IF(G1378=0,0,(IF(OR(E1378=$AT$5,E1378=$AT$6),AC1378,HLOOKUP(YEAR(G1378)+(MONTH(G1378)/100),TC!$5:$37,DAY(G1378)+2,FALSE))))</f>
        <v>0</v>
      </c>
      <c r="O1378" s="307">
        <f t="shared" si="361"/>
        <v>0</v>
      </c>
      <c r="P1378" s="560">
        <f>IF(G1378=0,0,VLOOKUP(YEAR(G1378),INPC!$B$4:$P$30,MONTH(G1378)+2))</f>
        <v>0</v>
      </c>
      <c r="Q1378" s="560">
        <f>IF(X1378=0,0,IF(OR(E1378=$AT$10,E1378=$AT$9),VLOOKUP(YEAR(X1378),INPC!$B$4:$P$30,MONTH(X1378)+1),VLOOKUP(YEAR(X1378),INPC!$B$4:$P$30,MONTH(X1378)+2,0)))</f>
        <v>0</v>
      </c>
      <c r="R1378" s="309">
        <f t="shared" si="362"/>
        <v>0</v>
      </c>
      <c r="S1378" s="310">
        <f t="shared" si="363"/>
        <v>0</v>
      </c>
      <c r="T1378" s="555">
        <f t="shared" si="364"/>
        <v>0</v>
      </c>
      <c r="U1378" s="311"/>
      <c r="V1378" s="312"/>
      <c r="W1378" s="299"/>
      <c r="X1378" s="300"/>
      <c r="Y1378" s="299"/>
      <c r="Z1378" s="303"/>
      <c r="AA1378" s="305">
        <f>IF(Z1378=0,0,IF(Y1378="MXN",1/HLOOKUP(YEAR(X1378)+(MONTH(X1378)/100),TC!$5:$37,DAY(X1378)+2,FALSE),VLOOKUP(Y1378,Equivalencia!$1:$23,((MAX(Equivalencia!$3:$3)-YEAR(X1378))*14)+MONTH(X1378)+2,FALSE)))</f>
        <v>0</v>
      </c>
      <c r="AB1378" s="306">
        <f t="shared" si="365"/>
        <v>0</v>
      </c>
      <c r="AC1378" s="305">
        <f>+IF(X1378=0,0,HLOOKUP(YEAR(X1378)+(MONTH(X1378)/100),TC!$5:$37,DAY(X1378)+2,FALSE))</f>
        <v>0</v>
      </c>
      <c r="AD1378" s="307">
        <f t="shared" si="366"/>
        <v>0</v>
      </c>
      <c r="AE1378" s="314">
        <f t="shared" si="367"/>
        <v>0</v>
      </c>
      <c r="AF1378" s="315">
        <f t="shared" si="368"/>
        <v>0</v>
      </c>
      <c r="AG1378" s="316">
        <f t="shared" si="369"/>
        <v>0</v>
      </c>
      <c r="AH1378" s="314">
        <v>1</v>
      </c>
      <c r="AI1378" s="314">
        <f t="shared" si="370"/>
        <v>0</v>
      </c>
      <c r="AJ1378" s="314">
        <f t="shared" si="371"/>
        <v>0</v>
      </c>
      <c r="AK1378" s="317"/>
      <c r="AL1378" s="315">
        <f t="shared" si="372"/>
        <v>0</v>
      </c>
      <c r="AN1378" s="554">
        <f t="shared" si="373"/>
        <v>0</v>
      </c>
      <c r="AO1378" s="314"/>
      <c r="AP1378" s="318"/>
    </row>
    <row r="1379" spans="2:42">
      <c r="B1379" s="296"/>
      <c r="C1379" s="299"/>
      <c r="D1379" s="298"/>
      <c r="E1379" s="299"/>
      <c r="F1379" s="299"/>
      <c r="G1379" s="300"/>
      <c r="H1379" s="303"/>
      <c r="I1379" s="301">
        <f t="shared" si="357"/>
        <v>0</v>
      </c>
      <c r="J1379" s="302">
        <f t="shared" si="358"/>
        <v>0</v>
      </c>
      <c r="K1379" s="304">
        <f t="shared" si="359"/>
        <v>0</v>
      </c>
      <c r="L1379" s="305">
        <f>IF(H1379=0,0,IF(OR(E1379=$AT$5,E1379=$AT$6),AA1379,IF(F1379="MXN",1/HLOOKUP(YEAR(G1379)+(MONTH(G1379)/100),TC!$5:$37,DAY(G1379)+2,FALSE),VLOOKUP(F1379,Equivalencia!$5:$23,((MAX(Equivalencia!$3:$3)-YEAR(G1379))*14)+MONTH(G1379)+2,FALSE))))</f>
        <v>0</v>
      </c>
      <c r="M1379" s="306">
        <f t="shared" si="360"/>
        <v>0</v>
      </c>
      <c r="N1379" s="305">
        <f>IF(G1379=0,0,(IF(OR(E1379=$AT$5,E1379=$AT$6),AC1379,HLOOKUP(YEAR(G1379)+(MONTH(G1379)/100),TC!$5:$37,DAY(G1379)+2,FALSE))))</f>
        <v>0</v>
      </c>
      <c r="O1379" s="307">
        <f t="shared" si="361"/>
        <v>0</v>
      </c>
      <c r="P1379" s="560">
        <f>IF(G1379=0,0,VLOOKUP(YEAR(G1379),INPC!$B$4:$P$30,MONTH(G1379)+2))</f>
        <v>0</v>
      </c>
      <c r="Q1379" s="560">
        <f>IF(X1379=0,0,IF(OR(E1379=$AT$10,E1379=$AT$9),VLOOKUP(YEAR(X1379),INPC!$B$4:$P$30,MONTH(X1379)+1),VLOOKUP(YEAR(X1379),INPC!$B$4:$P$30,MONTH(X1379)+2,0)))</f>
        <v>0</v>
      </c>
      <c r="R1379" s="309">
        <f t="shared" si="362"/>
        <v>0</v>
      </c>
      <c r="S1379" s="310">
        <f t="shared" si="363"/>
        <v>0</v>
      </c>
      <c r="T1379" s="555">
        <f t="shared" si="364"/>
        <v>0</v>
      </c>
      <c r="U1379" s="311"/>
      <c r="V1379" s="312"/>
      <c r="W1379" s="299"/>
      <c r="X1379" s="300"/>
      <c r="Y1379" s="299"/>
      <c r="Z1379" s="303"/>
      <c r="AA1379" s="305">
        <f>IF(Z1379=0,0,IF(Y1379="MXN",1/HLOOKUP(YEAR(X1379)+(MONTH(X1379)/100),TC!$5:$37,DAY(X1379)+2,FALSE),VLOOKUP(Y1379,Equivalencia!$1:$23,((MAX(Equivalencia!$3:$3)-YEAR(X1379))*14)+MONTH(X1379)+2,FALSE)))</f>
        <v>0</v>
      </c>
      <c r="AB1379" s="306">
        <f t="shared" si="365"/>
        <v>0</v>
      </c>
      <c r="AC1379" s="305">
        <f>+IF(X1379=0,0,HLOOKUP(YEAR(X1379)+(MONTH(X1379)/100),TC!$5:$37,DAY(X1379)+2,FALSE))</f>
        <v>0</v>
      </c>
      <c r="AD1379" s="307">
        <f t="shared" si="366"/>
        <v>0</v>
      </c>
      <c r="AE1379" s="314">
        <f t="shared" si="367"/>
        <v>0</v>
      </c>
      <c r="AF1379" s="315">
        <f t="shared" si="368"/>
        <v>0</v>
      </c>
      <c r="AG1379" s="316">
        <f t="shared" si="369"/>
        <v>0</v>
      </c>
      <c r="AH1379" s="314">
        <v>1</v>
      </c>
      <c r="AI1379" s="314">
        <f t="shared" si="370"/>
        <v>0</v>
      </c>
      <c r="AJ1379" s="314">
        <f t="shared" si="371"/>
        <v>0</v>
      </c>
      <c r="AK1379" s="317"/>
      <c r="AL1379" s="315">
        <f t="shared" si="372"/>
        <v>0</v>
      </c>
      <c r="AN1379" s="554">
        <f t="shared" si="373"/>
        <v>0</v>
      </c>
      <c r="AO1379" s="314"/>
      <c r="AP1379" s="318"/>
    </row>
    <row r="1380" spans="2:42">
      <c r="B1380" s="296"/>
      <c r="C1380" s="299"/>
      <c r="D1380" s="298"/>
      <c r="E1380" s="299"/>
      <c r="F1380" s="299"/>
      <c r="G1380" s="300"/>
      <c r="H1380" s="303"/>
      <c r="I1380" s="301">
        <f t="shared" si="357"/>
        <v>0</v>
      </c>
      <c r="J1380" s="302">
        <f t="shared" si="358"/>
        <v>0</v>
      </c>
      <c r="K1380" s="304">
        <f t="shared" si="359"/>
        <v>0</v>
      </c>
      <c r="L1380" s="305">
        <f>IF(H1380=0,0,IF(OR(E1380=$AT$5,E1380=$AT$6),AA1380,IF(F1380="MXN",1/HLOOKUP(YEAR(G1380)+(MONTH(G1380)/100),TC!$5:$37,DAY(G1380)+2,FALSE),VLOOKUP(F1380,Equivalencia!$5:$23,((MAX(Equivalencia!$3:$3)-YEAR(G1380))*14)+MONTH(G1380)+2,FALSE))))</f>
        <v>0</v>
      </c>
      <c r="M1380" s="306">
        <f t="shared" si="360"/>
        <v>0</v>
      </c>
      <c r="N1380" s="305">
        <f>IF(G1380=0,0,(IF(OR(E1380=$AT$5,E1380=$AT$6),AC1380,HLOOKUP(YEAR(G1380)+(MONTH(G1380)/100),TC!$5:$37,DAY(G1380)+2,FALSE))))</f>
        <v>0</v>
      </c>
      <c r="O1380" s="307">
        <f t="shared" si="361"/>
        <v>0</v>
      </c>
      <c r="P1380" s="560">
        <f>IF(G1380=0,0,VLOOKUP(YEAR(G1380),INPC!$B$4:$P$30,MONTH(G1380)+2))</f>
        <v>0</v>
      </c>
      <c r="Q1380" s="560">
        <f>IF(X1380=0,0,IF(OR(E1380=$AT$10,E1380=$AT$9),VLOOKUP(YEAR(X1380),INPC!$B$4:$P$30,MONTH(X1380)+1),VLOOKUP(YEAR(X1380),INPC!$B$4:$P$30,MONTH(X1380)+2,0)))</f>
        <v>0</v>
      </c>
      <c r="R1380" s="309">
        <f t="shared" si="362"/>
        <v>0</v>
      </c>
      <c r="S1380" s="310">
        <f t="shared" si="363"/>
        <v>0</v>
      </c>
      <c r="T1380" s="555">
        <f t="shared" si="364"/>
        <v>0</v>
      </c>
      <c r="U1380" s="311"/>
      <c r="V1380" s="312"/>
      <c r="W1380" s="299"/>
      <c r="X1380" s="300"/>
      <c r="Y1380" s="299"/>
      <c r="Z1380" s="303"/>
      <c r="AA1380" s="305">
        <f>IF(Z1380=0,0,IF(Y1380="MXN",1/HLOOKUP(YEAR(X1380)+(MONTH(X1380)/100),TC!$5:$37,DAY(X1380)+2,FALSE),VLOOKUP(Y1380,Equivalencia!$1:$23,((MAX(Equivalencia!$3:$3)-YEAR(X1380))*14)+MONTH(X1380)+2,FALSE)))</f>
        <v>0</v>
      </c>
      <c r="AB1380" s="306">
        <f t="shared" si="365"/>
        <v>0</v>
      </c>
      <c r="AC1380" s="305">
        <f>+IF(X1380=0,0,HLOOKUP(YEAR(X1380)+(MONTH(X1380)/100),TC!$5:$37,DAY(X1380)+2,FALSE))</f>
        <v>0</v>
      </c>
      <c r="AD1380" s="307">
        <f t="shared" si="366"/>
        <v>0</v>
      </c>
      <c r="AE1380" s="314">
        <f t="shared" si="367"/>
        <v>0</v>
      </c>
      <c r="AF1380" s="315">
        <f t="shared" si="368"/>
        <v>0</v>
      </c>
      <c r="AG1380" s="316">
        <f t="shared" si="369"/>
        <v>0</v>
      </c>
      <c r="AH1380" s="314">
        <v>1</v>
      </c>
      <c r="AI1380" s="314">
        <f t="shared" si="370"/>
        <v>0</v>
      </c>
      <c r="AJ1380" s="314">
        <f t="shared" si="371"/>
        <v>0</v>
      </c>
      <c r="AK1380" s="317"/>
      <c r="AL1380" s="315">
        <f t="shared" si="372"/>
        <v>0</v>
      </c>
      <c r="AN1380" s="554">
        <f t="shared" si="373"/>
        <v>0</v>
      </c>
      <c r="AO1380" s="314"/>
      <c r="AP1380" s="318"/>
    </row>
    <row r="1381" spans="2:42">
      <c r="B1381" s="296"/>
      <c r="C1381" s="299"/>
      <c r="D1381" s="298"/>
      <c r="E1381" s="299"/>
      <c r="F1381" s="299"/>
      <c r="G1381" s="300"/>
      <c r="H1381" s="303"/>
      <c r="I1381" s="301">
        <f t="shared" si="357"/>
        <v>0</v>
      </c>
      <c r="J1381" s="302">
        <f t="shared" si="358"/>
        <v>0</v>
      </c>
      <c r="K1381" s="304">
        <f t="shared" si="359"/>
        <v>0</v>
      </c>
      <c r="L1381" s="305">
        <f>IF(H1381=0,0,IF(OR(E1381=$AT$5,E1381=$AT$6),AA1381,IF(F1381="MXN",1/HLOOKUP(YEAR(G1381)+(MONTH(G1381)/100),TC!$5:$37,DAY(G1381)+2,FALSE),VLOOKUP(F1381,Equivalencia!$5:$23,((MAX(Equivalencia!$3:$3)-YEAR(G1381))*14)+MONTH(G1381)+2,FALSE))))</f>
        <v>0</v>
      </c>
      <c r="M1381" s="306">
        <f t="shared" si="360"/>
        <v>0</v>
      </c>
      <c r="N1381" s="305">
        <f>IF(G1381=0,0,(IF(OR(E1381=$AT$5,E1381=$AT$6),AC1381,HLOOKUP(YEAR(G1381)+(MONTH(G1381)/100),TC!$5:$37,DAY(G1381)+2,FALSE))))</f>
        <v>0</v>
      </c>
      <c r="O1381" s="307">
        <f t="shared" si="361"/>
        <v>0</v>
      </c>
      <c r="P1381" s="560">
        <f>IF(G1381=0,0,VLOOKUP(YEAR(G1381),INPC!$B$4:$P$30,MONTH(G1381)+2))</f>
        <v>0</v>
      </c>
      <c r="Q1381" s="560">
        <f>IF(X1381=0,0,IF(OR(E1381=$AT$10,E1381=$AT$9),VLOOKUP(YEAR(X1381),INPC!$B$4:$P$30,MONTH(X1381)+1),VLOOKUP(YEAR(X1381),INPC!$B$4:$P$30,MONTH(X1381)+2,0)))</f>
        <v>0</v>
      </c>
      <c r="R1381" s="309">
        <f t="shared" si="362"/>
        <v>0</v>
      </c>
      <c r="S1381" s="310">
        <f t="shared" si="363"/>
        <v>0</v>
      </c>
      <c r="T1381" s="555">
        <f t="shared" si="364"/>
        <v>0</v>
      </c>
      <c r="U1381" s="311"/>
      <c r="V1381" s="312"/>
      <c r="W1381" s="299"/>
      <c r="X1381" s="300"/>
      <c r="Y1381" s="299"/>
      <c r="Z1381" s="303"/>
      <c r="AA1381" s="305">
        <f>IF(Z1381=0,0,IF(Y1381="MXN",1/HLOOKUP(YEAR(X1381)+(MONTH(X1381)/100),TC!$5:$37,DAY(X1381)+2,FALSE),VLOOKUP(Y1381,Equivalencia!$1:$23,((MAX(Equivalencia!$3:$3)-YEAR(X1381))*14)+MONTH(X1381)+2,FALSE)))</f>
        <v>0</v>
      </c>
      <c r="AB1381" s="306">
        <f t="shared" si="365"/>
        <v>0</v>
      </c>
      <c r="AC1381" s="305">
        <f>+IF(X1381=0,0,HLOOKUP(YEAR(X1381)+(MONTH(X1381)/100),TC!$5:$37,DAY(X1381)+2,FALSE))</f>
        <v>0</v>
      </c>
      <c r="AD1381" s="307">
        <f t="shared" si="366"/>
        <v>0</v>
      </c>
      <c r="AE1381" s="314">
        <f t="shared" si="367"/>
        <v>0</v>
      </c>
      <c r="AF1381" s="315">
        <f t="shared" si="368"/>
        <v>0</v>
      </c>
      <c r="AG1381" s="316">
        <f t="shared" si="369"/>
        <v>0</v>
      </c>
      <c r="AH1381" s="314">
        <v>1</v>
      </c>
      <c r="AI1381" s="314">
        <f t="shared" si="370"/>
        <v>0</v>
      </c>
      <c r="AJ1381" s="314">
        <f t="shared" si="371"/>
        <v>0</v>
      </c>
      <c r="AK1381" s="317"/>
      <c r="AL1381" s="315">
        <f t="shared" si="372"/>
        <v>0</v>
      </c>
      <c r="AN1381" s="554">
        <f t="shared" si="373"/>
        <v>0</v>
      </c>
      <c r="AO1381" s="314"/>
      <c r="AP1381" s="318"/>
    </row>
    <row r="1382" spans="2:42">
      <c r="B1382" s="296"/>
      <c r="C1382" s="299"/>
      <c r="D1382" s="298"/>
      <c r="E1382" s="299"/>
      <c r="F1382" s="299"/>
      <c r="G1382" s="300"/>
      <c r="H1382" s="303"/>
      <c r="I1382" s="301">
        <f t="shared" si="357"/>
        <v>0</v>
      </c>
      <c r="J1382" s="302">
        <f t="shared" si="358"/>
        <v>0</v>
      </c>
      <c r="K1382" s="304">
        <f t="shared" si="359"/>
        <v>0</v>
      </c>
      <c r="L1382" s="305">
        <f>IF(H1382=0,0,IF(OR(E1382=$AT$5,E1382=$AT$6),AA1382,IF(F1382="MXN",1/HLOOKUP(YEAR(G1382)+(MONTH(G1382)/100),TC!$5:$37,DAY(G1382)+2,FALSE),VLOOKUP(F1382,Equivalencia!$5:$23,((MAX(Equivalencia!$3:$3)-YEAR(G1382))*14)+MONTH(G1382)+2,FALSE))))</f>
        <v>0</v>
      </c>
      <c r="M1382" s="306">
        <f t="shared" si="360"/>
        <v>0</v>
      </c>
      <c r="N1382" s="305">
        <f>IF(G1382=0,0,(IF(OR(E1382=$AT$5,E1382=$AT$6),AC1382,HLOOKUP(YEAR(G1382)+(MONTH(G1382)/100),TC!$5:$37,DAY(G1382)+2,FALSE))))</f>
        <v>0</v>
      </c>
      <c r="O1382" s="307">
        <f t="shared" si="361"/>
        <v>0</v>
      </c>
      <c r="P1382" s="560">
        <f>IF(G1382=0,0,VLOOKUP(YEAR(G1382),INPC!$B$4:$P$30,MONTH(G1382)+2))</f>
        <v>0</v>
      </c>
      <c r="Q1382" s="560">
        <f>IF(X1382=0,0,IF(OR(E1382=$AT$10,E1382=$AT$9),VLOOKUP(YEAR(X1382),INPC!$B$4:$P$30,MONTH(X1382)+1),VLOOKUP(YEAR(X1382),INPC!$B$4:$P$30,MONTH(X1382)+2,0)))</f>
        <v>0</v>
      </c>
      <c r="R1382" s="309">
        <f t="shared" si="362"/>
        <v>0</v>
      </c>
      <c r="S1382" s="310">
        <f t="shared" si="363"/>
        <v>0</v>
      </c>
      <c r="T1382" s="555">
        <f t="shared" si="364"/>
        <v>0</v>
      </c>
      <c r="U1382" s="311"/>
      <c r="V1382" s="312"/>
      <c r="W1382" s="299"/>
      <c r="X1382" s="300"/>
      <c r="Y1382" s="299"/>
      <c r="Z1382" s="303"/>
      <c r="AA1382" s="305">
        <f>IF(Z1382=0,0,IF(Y1382="MXN",1/HLOOKUP(YEAR(X1382)+(MONTH(X1382)/100),TC!$5:$37,DAY(X1382)+2,FALSE),VLOOKUP(Y1382,Equivalencia!$1:$23,((MAX(Equivalencia!$3:$3)-YEAR(X1382))*14)+MONTH(X1382)+2,FALSE)))</f>
        <v>0</v>
      </c>
      <c r="AB1382" s="306">
        <f t="shared" si="365"/>
        <v>0</v>
      </c>
      <c r="AC1382" s="305">
        <f>+IF(X1382=0,0,HLOOKUP(YEAR(X1382)+(MONTH(X1382)/100),TC!$5:$37,DAY(X1382)+2,FALSE))</f>
        <v>0</v>
      </c>
      <c r="AD1382" s="307">
        <f t="shared" si="366"/>
        <v>0</v>
      </c>
      <c r="AE1382" s="314">
        <f t="shared" si="367"/>
        <v>0</v>
      </c>
      <c r="AF1382" s="315">
        <f t="shared" si="368"/>
        <v>0</v>
      </c>
      <c r="AG1382" s="316">
        <f t="shared" si="369"/>
        <v>0</v>
      </c>
      <c r="AH1382" s="314">
        <v>1</v>
      </c>
      <c r="AI1382" s="314">
        <f t="shared" si="370"/>
        <v>0</v>
      </c>
      <c r="AJ1382" s="314">
        <f t="shared" si="371"/>
        <v>0</v>
      </c>
      <c r="AK1382" s="317"/>
      <c r="AL1382" s="315">
        <f t="shared" si="372"/>
        <v>0</v>
      </c>
      <c r="AN1382" s="554">
        <f t="shared" si="373"/>
        <v>0</v>
      </c>
      <c r="AO1382" s="314"/>
      <c r="AP1382" s="318"/>
    </row>
    <row r="1383" spans="2:42">
      <c r="B1383" s="296"/>
      <c r="C1383" s="299"/>
      <c r="D1383" s="298"/>
      <c r="E1383" s="299"/>
      <c r="F1383" s="299"/>
      <c r="G1383" s="300"/>
      <c r="H1383" s="303"/>
      <c r="I1383" s="301">
        <f t="shared" si="357"/>
        <v>0</v>
      </c>
      <c r="J1383" s="302">
        <f t="shared" si="358"/>
        <v>0</v>
      </c>
      <c r="K1383" s="304">
        <f t="shared" si="359"/>
        <v>0</v>
      </c>
      <c r="L1383" s="305">
        <f>IF(H1383=0,0,IF(OR(E1383=$AT$5,E1383=$AT$6),AA1383,IF(F1383="MXN",1/HLOOKUP(YEAR(G1383)+(MONTH(G1383)/100),TC!$5:$37,DAY(G1383)+2,FALSE),VLOOKUP(F1383,Equivalencia!$5:$23,((MAX(Equivalencia!$3:$3)-YEAR(G1383))*14)+MONTH(G1383)+2,FALSE))))</f>
        <v>0</v>
      </c>
      <c r="M1383" s="306">
        <f t="shared" si="360"/>
        <v>0</v>
      </c>
      <c r="N1383" s="305">
        <f>IF(G1383=0,0,(IF(OR(E1383=$AT$5,E1383=$AT$6),AC1383,HLOOKUP(YEAR(G1383)+(MONTH(G1383)/100),TC!$5:$37,DAY(G1383)+2,FALSE))))</f>
        <v>0</v>
      </c>
      <c r="O1383" s="307">
        <f t="shared" si="361"/>
        <v>0</v>
      </c>
      <c r="P1383" s="560">
        <f>IF(G1383=0,0,VLOOKUP(YEAR(G1383),INPC!$B$4:$P$30,MONTH(G1383)+2))</f>
        <v>0</v>
      </c>
      <c r="Q1383" s="560">
        <f>IF(X1383=0,0,IF(OR(E1383=$AT$10,E1383=$AT$9),VLOOKUP(YEAR(X1383),INPC!$B$4:$P$30,MONTH(X1383)+1),VLOOKUP(YEAR(X1383),INPC!$B$4:$P$30,MONTH(X1383)+2,0)))</f>
        <v>0</v>
      </c>
      <c r="R1383" s="309">
        <f t="shared" si="362"/>
        <v>0</v>
      </c>
      <c r="S1383" s="310">
        <f t="shared" si="363"/>
        <v>0</v>
      </c>
      <c r="T1383" s="555">
        <f t="shared" si="364"/>
        <v>0</v>
      </c>
      <c r="U1383" s="311"/>
      <c r="V1383" s="312"/>
      <c r="W1383" s="299"/>
      <c r="X1383" s="300"/>
      <c r="Y1383" s="299"/>
      <c r="Z1383" s="303"/>
      <c r="AA1383" s="305">
        <f>IF(Z1383=0,0,IF(Y1383="MXN",1/HLOOKUP(YEAR(X1383)+(MONTH(X1383)/100),TC!$5:$37,DAY(X1383)+2,FALSE),VLOOKUP(Y1383,Equivalencia!$1:$23,((MAX(Equivalencia!$3:$3)-YEAR(X1383))*14)+MONTH(X1383)+2,FALSE)))</f>
        <v>0</v>
      </c>
      <c r="AB1383" s="306">
        <f t="shared" si="365"/>
        <v>0</v>
      </c>
      <c r="AC1383" s="305">
        <f>+IF(X1383=0,0,HLOOKUP(YEAR(X1383)+(MONTH(X1383)/100),TC!$5:$37,DAY(X1383)+2,FALSE))</f>
        <v>0</v>
      </c>
      <c r="AD1383" s="307">
        <f t="shared" si="366"/>
        <v>0</v>
      </c>
      <c r="AE1383" s="314">
        <f t="shared" si="367"/>
        <v>0</v>
      </c>
      <c r="AF1383" s="315">
        <f t="shared" si="368"/>
        <v>0</v>
      </c>
      <c r="AG1383" s="316">
        <f t="shared" si="369"/>
        <v>0</v>
      </c>
      <c r="AH1383" s="314">
        <v>1</v>
      </c>
      <c r="AI1383" s="314">
        <f t="shared" si="370"/>
        <v>0</v>
      </c>
      <c r="AJ1383" s="314">
        <f t="shared" si="371"/>
        <v>0</v>
      </c>
      <c r="AK1383" s="317"/>
      <c r="AL1383" s="315">
        <f t="shared" si="372"/>
        <v>0</v>
      </c>
      <c r="AN1383" s="554">
        <f t="shared" si="373"/>
        <v>0</v>
      </c>
      <c r="AO1383" s="314"/>
      <c r="AP1383" s="318"/>
    </row>
    <row r="1384" spans="2:42">
      <c r="B1384" s="296"/>
      <c r="C1384" s="299"/>
      <c r="D1384" s="298"/>
      <c r="E1384" s="299"/>
      <c r="F1384" s="299"/>
      <c r="G1384" s="300"/>
      <c r="H1384" s="303"/>
      <c r="I1384" s="301">
        <f t="shared" si="357"/>
        <v>0</v>
      </c>
      <c r="J1384" s="302">
        <f t="shared" si="358"/>
        <v>0</v>
      </c>
      <c r="K1384" s="304">
        <f t="shared" si="359"/>
        <v>0</v>
      </c>
      <c r="L1384" s="305">
        <f>IF(H1384=0,0,IF(OR(E1384=$AT$5,E1384=$AT$6),AA1384,IF(F1384="MXN",1/HLOOKUP(YEAR(G1384)+(MONTH(G1384)/100),TC!$5:$37,DAY(G1384)+2,FALSE),VLOOKUP(F1384,Equivalencia!$5:$23,((MAX(Equivalencia!$3:$3)-YEAR(G1384))*14)+MONTH(G1384)+2,FALSE))))</f>
        <v>0</v>
      </c>
      <c r="M1384" s="306">
        <f t="shared" si="360"/>
        <v>0</v>
      </c>
      <c r="N1384" s="305">
        <f>IF(G1384=0,0,(IF(OR(E1384=$AT$5,E1384=$AT$6),AC1384,HLOOKUP(YEAR(G1384)+(MONTH(G1384)/100),TC!$5:$37,DAY(G1384)+2,FALSE))))</f>
        <v>0</v>
      </c>
      <c r="O1384" s="307">
        <f t="shared" si="361"/>
        <v>0</v>
      </c>
      <c r="P1384" s="560">
        <f>IF(G1384=0,0,VLOOKUP(YEAR(G1384),INPC!$B$4:$P$30,MONTH(G1384)+2))</f>
        <v>0</v>
      </c>
      <c r="Q1384" s="560">
        <f>IF(X1384=0,0,IF(OR(E1384=$AT$10,E1384=$AT$9),VLOOKUP(YEAR(X1384),INPC!$B$4:$P$30,MONTH(X1384)+1),VLOOKUP(YEAR(X1384),INPC!$B$4:$P$30,MONTH(X1384)+2,0)))</f>
        <v>0</v>
      </c>
      <c r="R1384" s="309">
        <f t="shared" si="362"/>
        <v>0</v>
      </c>
      <c r="S1384" s="310">
        <f t="shared" si="363"/>
        <v>0</v>
      </c>
      <c r="T1384" s="555">
        <f t="shared" si="364"/>
        <v>0</v>
      </c>
      <c r="U1384" s="311"/>
      <c r="V1384" s="312"/>
      <c r="W1384" s="299"/>
      <c r="X1384" s="300"/>
      <c r="Y1384" s="299"/>
      <c r="Z1384" s="303"/>
      <c r="AA1384" s="305">
        <f>IF(Z1384=0,0,IF(Y1384="MXN",1/HLOOKUP(YEAR(X1384)+(MONTH(X1384)/100),TC!$5:$37,DAY(X1384)+2,FALSE),VLOOKUP(Y1384,Equivalencia!$1:$23,((MAX(Equivalencia!$3:$3)-YEAR(X1384))*14)+MONTH(X1384)+2,FALSE)))</f>
        <v>0</v>
      </c>
      <c r="AB1384" s="306">
        <f t="shared" si="365"/>
        <v>0</v>
      </c>
      <c r="AC1384" s="305">
        <f>+IF(X1384=0,0,HLOOKUP(YEAR(X1384)+(MONTH(X1384)/100),TC!$5:$37,DAY(X1384)+2,FALSE))</f>
        <v>0</v>
      </c>
      <c r="AD1384" s="307">
        <f t="shared" si="366"/>
        <v>0</v>
      </c>
      <c r="AE1384" s="314">
        <f t="shared" si="367"/>
        <v>0</v>
      </c>
      <c r="AF1384" s="315">
        <f t="shared" si="368"/>
        <v>0</v>
      </c>
      <c r="AG1384" s="316">
        <f t="shared" si="369"/>
        <v>0</v>
      </c>
      <c r="AH1384" s="314">
        <v>1</v>
      </c>
      <c r="AI1384" s="314">
        <f t="shared" si="370"/>
        <v>0</v>
      </c>
      <c r="AJ1384" s="314">
        <f t="shared" si="371"/>
        <v>0</v>
      </c>
      <c r="AK1384" s="317"/>
      <c r="AL1384" s="315">
        <f t="shared" si="372"/>
        <v>0</v>
      </c>
      <c r="AN1384" s="554">
        <f t="shared" si="373"/>
        <v>0</v>
      </c>
      <c r="AO1384" s="314"/>
      <c r="AP1384" s="318"/>
    </row>
    <row r="1385" spans="2:42">
      <c r="B1385" s="296"/>
      <c r="C1385" s="299"/>
      <c r="D1385" s="298"/>
      <c r="E1385" s="299"/>
      <c r="F1385" s="299"/>
      <c r="G1385" s="300"/>
      <c r="H1385" s="303"/>
      <c r="I1385" s="301">
        <f t="shared" si="357"/>
        <v>0</v>
      </c>
      <c r="J1385" s="302">
        <f t="shared" si="358"/>
        <v>0</v>
      </c>
      <c r="K1385" s="304">
        <f t="shared" si="359"/>
        <v>0</v>
      </c>
      <c r="L1385" s="305">
        <f>IF(H1385=0,0,IF(OR(E1385=$AT$5,E1385=$AT$6),AA1385,IF(F1385="MXN",1/HLOOKUP(YEAR(G1385)+(MONTH(G1385)/100),TC!$5:$37,DAY(G1385)+2,FALSE),VLOOKUP(F1385,Equivalencia!$5:$23,((MAX(Equivalencia!$3:$3)-YEAR(G1385))*14)+MONTH(G1385)+2,FALSE))))</f>
        <v>0</v>
      </c>
      <c r="M1385" s="306">
        <f t="shared" si="360"/>
        <v>0</v>
      </c>
      <c r="N1385" s="305">
        <f>IF(G1385=0,0,(IF(OR(E1385=$AT$5,E1385=$AT$6),AC1385,HLOOKUP(YEAR(G1385)+(MONTH(G1385)/100),TC!$5:$37,DAY(G1385)+2,FALSE))))</f>
        <v>0</v>
      </c>
      <c r="O1385" s="307">
        <f t="shared" si="361"/>
        <v>0</v>
      </c>
      <c r="P1385" s="560">
        <f>IF(G1385=0,0,VLOOKUP(YEAR(G1385),INPC!$B$4:$P$30,MONTH(G1385)+2))</f>
        <v>0</v>
      </c>
      <c r="Q1385" s="560">
        <f>IF(X1385=0,0,IF(OR(E1385=$AT$10,E1385=$AT$9),VLOOKUP(YEAR(X1385),INPC!$B$4:$P$30,MONTH(X1385)+1),VLOOKUP(YEAR(X1385),INPC!$B$4:$P$30,MONTH(X1385)+2,0)))</f>
        <v>0</v>
      </c>
      <c r="R1385" s="309">
        <f t="shared" si="362"/>
        <v>0</v>
      </c>
      <c r="S1385" s="310">
        <f t="shared" si="363"/>
        <v>0</v>
      </c>
      <c r="T1385" s="555">
        <f t="shared" si="364"/>
        <v>0</v>
      </c>
      <c r="U1385" s="311"/>
      <c r="V1385" s="312"/>
      <c r="W1385" s="299"/>
      <c r="X1385" s="300"/>
      <c r="Y1385" s="299"/>
      <c r="Z1385" s="303"/>
      <c r="AA1385" s="305">
        <f>IF(Z1385=0,0,IF(Y1385="MXN",1/HLOOKUP(YEAR(X1385)+(MONTH(X1385)/100),TC!$5:$37,DAY(X1385)+2,FALSE),VLOOKUP(Y1385,Equivalencia!$1:$23,((MAX(Equivalencia!$3:$3)-YEAR(X1385))*14)+MONTH(X1385)+2,FALSE)))</f>
        <v>0</v>
      </c>
      <c r="AB1385" s="306">
        <f t="shared" si="365"/>
        <v>0</v>
      </c>
      <c r="AC1385" s="305">
        <f>+IF(X1385=0,0,HLOOKUP(YEAR(X1385)+(MONTH(X1385)/100),TC!$5:$37,DAY(X1385)+2,FALSE))</f>
        <v>0</v>
      </c>
      <c r="AD1385" s="307">
        <f t="shared" si="366"/>
        <v>0</v>
      </c>
      <c r="AE1385" s="314">
        <f t="shared" si="367"/>
        <v>0</v>
      </c>
      <c r="AF1385" s="315">
        <f t="shared" si="368"/>
        <v>0</v>
      </c>
      <c r="AG1385" s="316">
        <f t="shared" si="369"/>
        <v>0</v>
      </c>
      <c r="AH1385" s="314">
        <v>1</v>
      </c>
      <c r="AI1385" s="314">
        <f t="shared" si="370"/>
        <v>0</v>
      </c>
      <c r="AJ1385" s="314">
        <f t="shared" si="371"/>
        <v>0</v>
      </c>
      <c r="AK1385" s="317"/>
      <c r="AL1385" s="315">
        <f t="shared" si="372"/>
        <v>0</v>
      </c>
      <c r="AN1385" s="554">
        <f t="shared" si="373"/>
        <v>0</v>
      </c>
      <c r="AO1385" s="314"/>
      <c r="AP1385" s="318"/>
    </row>
    <row r="1386" spans="2:42">
      <c r="B1386" s="296"/>
      <c r="C1386" s="299"/>
      <c r="D1386" s="298"/>
      <c r="E1386" s="299"/>
      <c r="F1386" s="299"/>
      <c r="G1386" s="300"/>
      <c r="H1386" s="303"/>
      <c r="I1386" s="301">
        <f t="shared" si="357"/>
        <v>0</v>
      </c>
      <c r="J1386" s="302">
        <f t="shared" si="358"/>
        <v>0</v>
      </c>
      <c r="K1386" s="304">
        <f t="shared" si="359"/>
        <v>0</v>
      </c>
      <c r="L1386" s="305">
        <f>IF(H1386=0,0,IF(OR(E1386=$AT$5,E1386=$AT$6),AA1386,IF(F1386="MXN",1/HLOOKUP(YEAR(G1386)+(MONTH(G1386)/100),TC!$5:$37,DAY(G1386)+2,FALSE),VLOOKUP(F1386,Equivalencia!$5:$23,((MAX(Equivalencia!$3:$3)-YEAR(G1386))*14)+MONTH(G1386)+2,FALSE))))</f>
        <v>0</v>
      </c>
      <c r="M1386" s="306">
        <f t="shared" si="360"/>
        <v>0</v>
      </c>
      <c r="N1386" s="305">
        <f>IF(G1386=0,0,(IF(OR(E1386=$AT$5,E1386=$AT$6),AC1386,HLOOKUP(YEAR(G1386)+(MONTH(G1386)/100),TC!$5:$37,DAY(G1386)+2,FALSE))))</f>
        <v>0</v>
      </c>
      <c r="O1386" s="307">
        <f t="shared" si="361"/>
        <v>0</v>
      </c>
      <c r="P1386" s="560">
        <f>IF(G1386=0,0,VLOOKUP(YEAR(G1386),INPC!$B$4:$P$30,MONTH(G1386)+2))</f>
        <v>0</v>
      </c>
      <c r="Q1386" s="560">
        <f>IF(X1386=0,0,IF(OR(E1386=$AT$10,E1386=$AT$9),VLOOKUP(YEAR(X1386),INPC!$B$4:$P$30,MONTH(X1386)+1),VLOOKUP(YEAR(X1386),INPC!$B$4:$P$30,MONTH(X1386)+2,0)))</f>
        <v>0</v>
      </c>
      <c r="R1386" s="309">
        <f t="shared" si="362"/>
        <v>0</v>
      </c>
      <c r="S1386" s="310">
        <f t="shared" si="363"/>
        <v>0</v>
      </c>
      <c r="T1386" s="555">
        <f t="shared" si="364"/>
        <v>0</v>
      </c>
      <c r="U1386" s="311"/>
      <c r="V1386" s="312"/>
      <c r="W1386" s="299"/>
      <c r="X1386" s="300"/>
      <c r="Y1386" s="299"/>
      <c r="Z1386" s="303"/>
      <c r="AA1386" s="305">
        <f>IF(Z1386=0,0,IF(Y1386="MXN",1/HLOOKUP(YEAR(X1386)+(MONTH(X1386)/100),TC!$5:$37,DAY(X1386)+2,FALSE),VLOOKUP(Y1386,Equivalencia!$1:$23,((MAX(Equivalencia!$3:$3)-YEAR(X1386))*14)+MONTH(X1386)+2,FALSE)))</f>
        <v>0</v>
      </c>
      <c r="AB1386" s="306">
        <f t="shared" si="365"/>
        <v>0</v>
      </c>
      <c r="AC1386" s="305">
        <f>+IF(X1386=0,0,HLOOKUP(YEAR(X1386)+(MONTH(X1386)/100),TC!$5:$37,DAY(X1386)+2,FALSE))</f>
        <v>0</v>
      </c>
      <c r="AD1386" s="307">
        <f t="shared" si="366"/>
        <v>0</v>
      </c>
      <c r="AE1386" s="314">
        <f t="shared" si="367"/>
        <v>0</v>
      </c>
      <c r="AF1386" s="315">
        <f t="shared" si="368"/>
        <v>0</v>
      </c>
      <c r="AG1386" s="316">
        <f t="shared" si="369"/>
        <v>0</v>
      </c>
      <c r="AH1386" s="314">
        <v>1</v>
      </c>
      <c r="AI1386" s="314">
        <f t="shared" si="370"/>
        <v>0</v>
      </c>
      <c r="AJ1386" s="314">
        <f t="shared" si="371"/>
        <v>0</v>
      </c>
      <c r="AK1386" s="317"/>
      <c r="AL1386" s="315">
        <f t="shared" si="372"/>
        <v>0</v>
      </c>
      <c r="AN1386" s="554">
        <f t="shared" si="373"/>
        <v>0</v>
      </c>
      <c r="AO1386" s="314"/>
      <c r="AP1386" s="318"/>
    </row>
    <row r="1387" spans="2:42">
      <c r="B1387" s="296"/>
      <c r="C1387" s="299"/>
      <c r="D1387" s="298"/>
      <c r="E1387" s="299"/>
      <c r="F1387" s="299"/>
      <c r="G1387" s="300"/>
      <c r="H1387" s="303"/>
      <c r="I1387" s="301">
        <f t="shared" si="357"/>
        <v>0</v>
      </c>
      <c r="J1387" s="302">
        <f t="shared" si="358"/>
        <v>0</v>
      </c>
      <c r="K1387" s="304">
        <f t="shared" si="359"/>
        <v>0</v>
      </c>
      <c r="L1387" s="305">
        <f>IF(H1387=0,0,IF(OR(E1387=$AT$5,E1387=$AT$6),AA1387,IF(F1387="MXN",1/HLOOKUP(YEAR(G1387)+(MONTH(G1387)/100),TC!$5:$37,DAY(G1387)+2,FALSE),VLOOKUP(F1387,Equivalencia!$5:$23,((MAX(Equivalencia!$3:$3)-YEAR(G1387))*14)+MONTH(G1387)+2,FALSE))))</f>
        <v>0</v>
      </c>
      <c r="M1387" s="306">
        <f t="shared" si="360"/>
        <v>0</v>
      </c>
      <c r="N1387" s="305">
        <f>IF(G1387=0,0,(IF(OR(E1387=$AT$5,E1387=$AT$6),AC1387,HLOOKUP(YEAR(G1387)+(MONTH(G1387)/100),TC!$5:$37,DAY(G1387)+2,FALSE))))</f>
        <v>0</v>
      </c>
      <c r="O1387" s="307">
        <f t="shared" si="361"/>
        <v>0</v>
      </c>
      <c r="P1387" s="560">
        <f>IF(G1387=0,0,VLOOKUP(YEAR(G1387),INPC!$B$4:$P$30,MONTH(G1387)+2))</f>
        <v>0</v>
      </c>
      <c r="Q1387" s="560">
        <f>IF(X1387=0,0,IF(OR(E1387=$AT$10,E1387=$AT$9),VLOOKUP(YEAR(X1387),INPC!$B$4:$P$30,MONTH(X1387)+1),VLOOKUP(YEAR(X1387),INPC!$B$4:$P$30,MONTH(X1387)+2,0)))</f>
        <v>0</v>
      </c>
      <c r="R1387" s="309">
        <f t="shared" si="362"/>
        <v>0</v>
      </c>
      <c r="S1387" s="310">
        <f t="shared" si="363"/>
        <v>0</v>
      </c>
      <c r="T1387" s="555">
        <f t="shared" si="364"/>
        <v>0</v>
      </c>
      <c r="U1387" s="311"/>
      <c r="V1387" s="312"/>
      <c r="W1387" s="299"/>
      <c r="X1387" s="300"/>
      <c r="Y1387" s="299"/>
      <c r="Z1387" s="303"/>
      <c r="AA1387" s="305">
        <f>IF(Z1387=0,0,IF(Y1387="MXN",1/HLOOKUP(YEAR(X1387)+(MONTH(X1387)/100),TC!$5:$37,DAY(X1387)+2,FALSE),VLOOKUP(Y1387,Equivalencia!$1:$23,((MAX(Equivalencia!$3:$3)-YEAR(X1387))*14)+MONTH(X1387)+2,FALSE)))</f>
        <v>0</v>
      </c>
      <c r="AB1387" s="306">
        <f t="shared" si="365"/>
        <v>0</v>
      </c>
      <c r="AC1387" s="305">
        <f>+IF(X1387=0,0,HLOOKUP(YEAR(X1387)+(MONTH(X1387)/100),TC!$5:$37,DAY(X1387)+2,FALSE))</f>
        <v>0</v>
      </c>
      <c r="AD1387" s="307">
        <f t="shared" si="366"/>
        <v>0</v>
      </c>
      <c r="AE1387" s="314">
        <f t="shared" si="367"/>
        <v>0</v>
      </c>
      <c r="AF1387" s="315">
        <f t="shared" si="368"/>
        <v>0</v>
      </c>
      <c r="AG1387" s="316">
        <f t="shared" si="369"/>
        <v>0</v>
      </c>
      <c r="AH1387" s="314">
        <v>1</v>
      </c>
      <c r="AI1387" s="314">
        <f t="shared" si="370"/>
        <v>0</v>
      </c>
      <c r="AJ1387" s="314">
        <f t="shared" si="371"/>
        <v>0</v>
      </c>
      <c r="AK1387" s="317"/>
      <c r="AL1387" s="315">
        <f t="shared" si="372"/>
        <v>0</v>
      </c>
      <c r="AN1387" s="554">
        <f t="shared" si="373"/>
        <v>0</v>
      </c>
      <c r="AO1387" s="314"/>
      <c r="AP1387" s="318"/>
    </row>
    <row r="1388" spans="2:42">
      <c r="B1388" s="296"/>
      <c r="C1388" s="299"/>
      <c r="D1388" s="298"/>
      <c r="E1388" s="299"/>
      <c r="F1388" s="299"/>
      <c r="G1388" s="300"/>
      <c r="H1388" s="303"/>
      <c r="I1388" s="301">
        <f t="shared" si="357"/>
        <v>0</v>
      </c>
      <c r="J1388" s="302">
        <f t="shared" si="358"/>
        <v>0</v>
      </c>
      <c r="K1388" s="304">
        <f t="shared" si="359"/>
        <v>0</v>
      </c>
      <c r="L1388" s="305">
        <f>IF(H1388=0,0,IF(OR(E1388=$AT$5,E1388=$AT$6),AA1388,IF(F1388="MXN",1/HLOOKUP(YEAR(G1388)+(MONTH(G1388)/100),TC!$5:$37,DAY(G1388)+2,FALSE),VLOOKUP(F1388,Equivalencia!$5:$23,((MAX(Equivalencia!$3:$3)-YEAR(G1388))*14)+MONTH(G1388)+2,FALSE))))</f>
        <v>0</v>
      </c>
      <c r="M1388" s="306">
        <f t="shared" si="360"/>
        <v>0</v>
      </c>
      <c r="N1388" s="305">
        <f>IF(G1388=0,0,(IF(OR(E1388=$AT$5,E1388=$AT$6),AC1388,HLOOKUP(YEAR(G1388)+(MONTH(G1388)/100),TC!$5:$37,DAY(G1388)+2,FALSE))))</f>
        <v>0</v>
      </c>
      <c r="O1388" s="307">
        <f t="shared" si="361"/>
        <v>0</v>
      </c>
      <c r="P1388" s="560">
        <f>IF(G1388=0,0,VLOOKUP(YEAR(G1388),INPC!$B$4:$P$30,MONTH(G1388)+2))</f>
        <v>0</v>
      </c>
      <c r="Q1388" s="560">
        <f>IF(X1388=0,0,IF(OR(E1388=$AT$10,E1388=$AT$9),VLOOKUP(YEAR(X1388),INPC!$B$4:$P$30,MONTH(X1388)+1),VLOOKUP(YEAR(X1388),INPC!$B$4:$P$30,MONTH(X1388)+2,0)))</f>
        <v>0</v>
      </c>
      <c r="R1388" s="309">
        <f t="shared" si="362"/>
        <v>0</v>
      </c>
      <c r="S1388" s="310">
        <f t="shared" si="363"/>
        <v>0</v>
      </c>
      <c r="T1388" s="555">
        <f t="shared" si="364"/>
        <v>0</v>
      </c>
      <c r="U1388" s="311"/>
      <c r="V1388" s="312"/>
      <c r="W1388" s="299"/>
      <c r="X1388" s="300"/>
      <c r="Y1388" s="299"/>
      <c r="Z1388" s="303"/>
      <c r="AA1388" s="305">
        <f>IF(Z1388=0,0,IF(Y1388="MXN",1/HLOOKUP(YEAR(X1388)+(MONTH(X1388)/100),TC!$5:$37,DAY(X1388)+2,FALSE),VLOOKUP(Y1388,Equivalencia!$1:$23,((MAX(Equivalencia!$3:$3)-YEAR(X1388))*14)+MONTH(X1388)+2,FALSE)))</f>
        <v>0</v>
      </c>
      <c r="AB1388" s="306">
        <f t="shared" si="365"/>
        <v>0</v>
      </c>
      <c r="AC1388" s="305">
        <f>+IF(X1388=0,0,HLOOKUP(YEAR(X1388)+(MONTH(X1388)/100),TC!$5:$37,DAY(X1388)+2,FALSE))</f>
        <v>0</v>
      </c>
      <c r="AD1388" s="307">
        <f t="shared" si="366"/>
        <v>0</v>
      </c>
      <c r="AE1388" s="314">
        <f t="shared" si="367"/>
        <v>0</v>
      </c>
      <c r="AF1388" s="315">
        <f t="shared" si="368"/>
        <v>0</v>
      </c>
      <c r="AG1388" s="316">
        <f t="shared" si="369"/>
        <v>0</v>
      </c>
      <c r="AH1388" s="314">
        <v>1</v>
      </c>
      <c r="AI1388" s="314">
        <f t="shared" si="370"/>
        <v>0</v>
      </c>
      <c r="AJ1388" s="314">
        <f t="shared" si="371"/>
        <v>0</v>
      </c>
      <c r="AK1388" s="317"/>
      <c r="AL1388" s="315">
        <f t="shared" si="372"/>
        <v>0</v>
      </c>
      <c r="AN1388" s="554">
        <f t="shared" si="373"/>
        <v>0</v>
      </c>
      <c r="AO1388" s="314"/>
      <c r="AP1388" s="318"/>
    </row>
    <row r="1389" spans="2:42">
      <c r="B1389" s="296"/>
      <c r="C1389" s="299"/>
      <c r="D1389" s="298"/>
      <c r="E1389" s="299"/>
      <c r="F1389" s="299"/>
      <c r="G1389" s="300"/>
      <c r="H1389" s="303"/>
      <c r="I1389" s="301">
        <f t="shared" si="357"/>
        <v>0</v>
      </c>
      <c r="J1389" s="302">
        <f t="shared" si="358"/>
        <v>0</v>
      </c>
      <c r="K1389" s="304">
        <f t="shared" si="359"/>
        <v>0</v>
      </c>
      <c r="L1389" s="305">
        <f>IF(H1389=0,0,IF(OR(E1389=$AT$5,E1389=$AT$6),AA1389,IF(F1389="MXN",1/HLOOKUP(YEAR(G1389)+(MONTH(G1389)/100),TC!$5:$37,DAY(G1389)+2,FALSE),VLOOKUP(F1389,Equivalencia!$5:$23,((MAX(Equivalencia!$3:$3)-YEAR(G1389))*14)+MONTH(G1389)+2,FALSE))))</f>
        <v>0</v>
      </c>
      <c r="M1389" s="306">
        <f t="shared" si="360"/>
        <v>0</v>
      </c>
      <c r="N1389" s="305">
        <f>IF(G1389=0,0,(IF(OR(E1389=$AT$5,E1389=$AT$6),AC1389,HLOOKUP(YEAR(G1389)+(MONTH(G1389)/100),TC!$5:$37,DAY(G1389)+2,FALSE))))</f>
        <v>0</v>
      </c>
      <c r="O1389" s="307">
        <f t="shared" si="361"/>
        <v>0</v>
      </c>
      <c r="P1389" s="560">
        <f>IF(G1389=0,0,VLOOKUP(YEAR(G1389),INPC!$B$4:$P$30,MONTH(G1389)+2))</f>
        <v>0</v>
      </c>
      <c r="Q1389" s="560">
        <f>IF(X1389=0,0,IF(OR(E1389=$AT$10,E1389=$AT$9),VLOOKUP(YEAR(X1389),INPC!$B$4:$P$30,MONTH(X1389)+1),VLOOKUP(YEAR(X1389),INPC!$B$4:$P$30,MONTH(X1389)+2,0)))</f>
        <v>0</v>
      </c>
      <c r="R1389" s="309">
        <f t="shared" si="362"/>
        <v>0</v>
      </c>
      <c r="S1389" s="310">
        <f t="shared" si="363"/>
        <v>0</v>
      </c>
      <c r="T1389" s="555">
        <f t="shared" si="364"/>
        <v>0</v>
      </c>
      <c r="U1389" s="311"/>
      <c r="V1389" s="312"/>
      <c r="W1389" s="299"/>
      <c r="X1389" s="300"/>
      <c r="Y1389" s="299"/>
      <c r="Z1389" s="303"/>
      <c r="AA1389" s="305">
        <f>IF(Z1389=0,0,IF(Y1389="MXN",1/HLOOKUP(YEAR(X1389)+(MONTH(X1389)/100),TC!$5:$37,DAY(X1389)+2,FALSE),VLOOKUP(Y1389,Equivalencia!$1:$23,((MAX(Equivalencia!$3:$3)-YEAR(X1389))*14)+MONTH(X1389)+2,FALSE)))</f>
        <v>0</v>
      </c>
      <c r="AB1389" s="306">
        <f t="shared" si="365"/>
        <v>0</v>
      </c>
      <c r="AC1389" s="305">
        <f>+IF(X1389=0,0,HLOOKUP(YEAR(X1389)+(MONTH(X1389)/100),TC!$5:$37,DAY(X1389)+2,FALSE))</f>
        <v>0</v>
      </c>
      <c r="AD1389" s="307">
        <f t="shared" si="366"/>
        <v>0</v>
      </c>
      <c r="AE1389" s="314">
        <f t="shared" si="367"/>
        <v>0</v>
      </c>
      <c r="AF1389" s="315">
        <f t="shared" si="368"/>
        <v>0</v>
      </c>
      <c r="AG1389" s="316">
        <f t="shared" si="369"/>
        <v>0</v>
      </c>
      <c r="AH1389" s="314">
        <v>1</v>
      </c>
      <c r="AI1389" s="314">
        <f t="shared" si="370"/>
        <v>0</v>
      </c>
      <c r="AJ1389" s="314">
        <f t="shared" si="371"/>
        <v>0</v>
      </c>
      <c r="AK1389" s="317"/>
      <c r="AL1389" s="315">
        <f t="shared" si="372"/>
        <v>0</v>
      </c>
      <c r="AN1389" s="554">
        <f t="shared" si="373"/>
        <v>0</v>
      </c>
      <c r="AO1389" s="314"/>
      <c r="AP1389" s="318"/>
    </row>
    <row r="1390" spans="2:42">
      <c r="B1390" s="296"/>
      <c r="C1390" s="299"/>
      <c r="D1390" s="298"/>
      <c r="E1390" s="299"/>
      <c r="F1390" s="299"/>
      <c r="G1390" s="300"/>
      <c r="H1390" s="303"/>
      <c r="I1390" s="301">
        <f t="shared" si="357"/>
        <v>0</v>
      </c>
      <c r="J1390" s="302">
        <f t="shared" si="358"/>
        <v>0</v>
      </c>
      <c r="K1390" s="304">
        <f t="shared" si="359"/>
        <v>0</v>
      </c>
      <c r="L1390" s="305">
        <f>IF(H1390=0,0,IF(OR(E1390=$AT$5,E1390=$AT$6),AA1390,IF(F1390="MXN",1/HLOOKUP(YEAR(G1390)+(MONTH(G1390)/100),TC!$5:$37,DAY(G1390)+2,FALSE),VLOOKUP(F1390,Equivalencia!$5:$23,((MAX(Equivalencia!$3:$3)-YEAR(G1390))*14)+MONTH(G1390)+2,FALSE))))</f>
        <v>0</v>
      </c>
      <c r="M1390" s="306">
        <f t="shared" si="360"/>
        <v>0</v>
      </c>
      <c r="N1390" s="305">
        <f>IF(G1390=0,0,(IF(OR(E1390=$AT$5,E1390=$AT$6),AC1390,HLOOKUP(YEAR(G1390)+(MONTH(G1390)/100),TC!$5:$37,DAY(G1390)+2,FALSE))))</f>
        <v>0</v>
      </c>
      <c r="O1390" s="307">
        <f t="shared" si="361"/>
        <v>0</v>
      </c>
      <c r="P1390" s="560">
        <f>IF(G1390=0,0,VLOOKUP(YEAR(G1390),INPC!$B$4:$P$30,MONTH(G1390)+2))</f>
        <v>0</v>
      </c>
      <c r="Q1390" s="560">
        <f>IF(X1390=0,0,IF(OR(E1390=$AT$10,E1390=$AT$9),VLOOKUP(YEAR(X1390),INPC!$B$4:$P$30,MONTH(X1390)+1),VLOOKUP(YEAR(X1390),INPC!$B$4:$P$30,MONTH(X1390)+2,0)))</f>
        <v>0</v>
      </c>
      <c r="R1390" s="309">
        <f t="shared" si="362"/>
        <v>0</v>
      </c>
      <c r="S1390" s="310">
        <f t="shared" si="363"/>
        <v>0</v>
      </c>
      <c r="T1390" s="555">
        <f t="shared" si="364"/>
        <v>0</v>
      </c>
      <c r="U1390" s="311"/>
      <c r="V1390" s="312"/>
      <c r="W1390" s="299"/>
      <c r="X1390" s="300"/>
      <c r="Y1390" s="299"/>
      <c r="Z1390" s="303"/>
      <c r="AA1390" s="305">
        <f>IF(Z1390=0,0,IF(Y1390="MXN",1/HLOOKUP(YEAR(X1390)+(MONTH(X1390)/100),TC!$5:$37,DAY(X1390)+2,FALSE),VLOOKUP(Y1390,Equivalencia!$1:$23,((MAX(Equivalencia!$3:$3)-YEAR(X1390))*14)+MONTH(X1390)+2,FALSE)))</f>
        <v>0</v>
      </c>
      <c r="AB1390" s="306">
        <f t="shared" si="365"/>
        <v>0</v>
      </c>
      <c r="AC1390" s="305">
        <f>+IF(X1390=0,0,HLOOKUP(YEAR(X1390)+(MONTH(X1390)/100),TC!$5:$37,DAY(X1390)+2,FALSE))</f>
        <v>0</v>
      </c>
      <c r="AD1390" s="307">
        <f t="shared" si="366"/>
        <v>0</v>
      </c>
      <c r="AE1390" s="314">
        <f t="shared" si="367"/>
        <v>0</v>
      </c>
      <c r="AF1390" s="315">
        <f t="shared" si="368"/>
        <v>0</v>
      </c>
      <c r="AG1390" s="316">
        <f t="shared" si="369"/>
        <v>0</v>
      </c>
      <c r="AH1390" s="314">
        <v>1</v>
      </c>
      <c r="AI1390" s="314">
        <f t="shared" si="370"/>
        <v>0</v>
      </c>
      <c r="AJ1390" s="314">
        <f t="shared" si="371"/>
        <v>0</v>
      </c>
      <c r="AK1390" s="317"/>
      <c r="AL1390" s="315">
        <f t="shared" si="372"/>
        <v>0</v>
      </c>
      <c r="AN1390" s="554">
        <f t="shared" si="373"/>
        <v>0</v>
      </c>
      <c r="AO1390" s="314"/>
      <c r="AP1390" s="318"/>
    </row>
    <row r="1391" spans="2:42">
      <c r="B1391" s="296"/>
      <c r="C1391" s="299"/>
      <c r="D1391" s="298"/>
      <c r="E1391" s="299"/>
      <c r="F1391" s="299"/>
      <c r="G1391" s="300"/>
      <c r="H1391" s="303"/>
      <c r="I1391" s="301">
        <f t="shared" si="357"/>
        <v>0</v>
      </c>
      <c r="J1391" s="302">
        <f t="shared" si="358"/>
        <v>0</v>
      </c>
      <c r="K1391" s="304">
        <f t="shared" si="359"/>
        <v>0</v>
      </c>
      <c r="L1391" s="305">
        <f>IF(H1391=0,0,IF(OR(E1391=$AT$5,E1391=$AT$6),AA1391,IF(F1391="MXN",1/HLOOKUP(YEAR(G1391)+(MONTH(G1391)/100),TC!$5:$37,DAY(G1391)+2,FALSE),VLOOKUP(F1391,Equivalencia!$5:$23,((MAX(Equivalencia!$3:$3)-YEAR(G1391))*14)+MONTH(G1391)+2,FALSE))))</f>
        <v>0</v>
      </c>
      <c r="M1391" s="306">
        <f t="shared" si="360"/>
        <v>0</v>
      </c>
      <c r="N1391" s="305">
        <f>IF(G1391=0,0,(IF(OR(E1391=$AT$5,E1391=$AT$6),AC1391,HLOOKUP(YEAR(G1391)+(MONTH(G1391)/100),TC!$5:$37,DAY(G1391)+2,FALSE))))</f>
        <v>0</v>
      </c>
      <c r="O1391" s="307">
        <f t="shared" si="361"/>
        <v>0</v>
      </c>
      <c r="P1391" s="560">
        <f>IF(G1391=0,0,VLOOKUP(YEAR(G1391),INPC!$B$4:$P$30,MONTH(G1391)+2))</f>
        <v>0</v>
      </c>
      <c r="Q1391" s="560">
        <f>IF(X1391=0,0,IF(OR(E1391=$AT$10,E1391=$AT$9),VLOOKUP(YEAR(X1391),INPC!$B$4:$P$30,MONTH(X1391)+1),VLOOKUP(YEAR(X1391),INPC!$B$4:$P$30,MONTH(X1391)+2,0)))</f>
        <v>0</v>
      </c>
      <c r="R1391" s="309">
        <f t="shared" si="362"/>
        <v>0</v>
      </c>
      <c r="S1391" s="310">
        <f t="shared" si="363"/>
        <v>0</v>
      </c>
      <c r="T1391" s="555">
        <f t="shared" si="364"/>
        <v>0</v>
      </c>
      <c r="U1391" s="311"/>
      <c r="V1391" s="312"/>
      <c r="W1391" s="299"/>
      <c r="X1391" s="300"/>
      <c r="Y1391" s="299"/>
      <c r="Z1391" s="303"/>
      <c r="AA1391" s="305">
        <f>IF(Z1391=0,0,IF(Y1391="MXN",1/HLOOKUP(YEAR(X1391)+(MONTH(X1391)/100),TC!$5:$37,DAY(X1391)+2,FALSE),VLOOKUP(Y1391,Equivalencia!$1:$23,((MAX(Equivalencia!$3:$3)-YEAR(X1391))*14)+MONTH(X1391)+2,FALSE)))</f>
        <v>0</v>
      </c>
      <c r="AB1391" s="306">
        <f t="shared" si="365"/>
        <v>0</v>
      </c>
      <c r="AC1391" s="305">
        <f>+IF(X1391=0,0,HLOOKUP(YEAR(X1391)+(MONTH(X1391)/100),TC!$5:$37,DAY(X1391)+2,FALSE))</f>
        <v>0</v>
      </c>
      <c r="AD1391" s="307">
        <f t="shared" si="366"/>
        <v>0</v>
      </c>
      <c r="AE1391" s="314">
        <f t="shared" si="367"/>
        <v>0</v>
      </c>
      <c r="AF1391" s="315">
        <f t="shared" si="368"/>
        <v>0</v>
      </c>
      <c r="AG1391" s="316">
        <f t="shared" si="369"/>
        <v>0</v>
      </c>
      <c r="AH1391" s="314">
        <v>1</v>
      </c>
      <c r="AI1391" s="314">
        <f t="shared" si="370"/>
        <v>0</v>
      </c>
      <c r="AJ1391" s="314">
        <f t="shared" si="371"/>
        <v>0</v>
      </c>
      <c r="AK1391" s="317"/>
      <c r="AL1391" s="315">
        <f t="shared" si="372"/>
        <v>0</v>
      </c>
      <c r="AN1391" s="554">
        <f t="shared" si="373"/>
        <v>0</v>
      </c>
      <c r="AO1391" s="314"/>
      <c r="AP1391" s="318"/>
    </row>
    <row r="1392" spans="2:42">
      <c r="B1392" s="296"/>
      <c r="C1392" s="299"/>
      <c r="D1392" s="298"/>
      <c r="E1392" s="299"/>
      <c r="F1392" s="299"/>
      <c r="G1392" s="300"/>
      <c r="H1392" s="303"/>
      <c r="I1392" s="301">
        <f t="shared" si="357"/>
        <v>0</v>
      </c>
      <c r="J1392" s="302">
        <f t="shared" si="358"/>
        <v>0</v>
      </c>
      <c r="K1392" s="304">
        <f t="shared" si="359"/>
        <v>0</v>
      </c>
      <c r="L1392" s="305">
        <f>IF(H1392=0,0,IF(OR(E1392=$AT$5,E1392=$AT$6),AA1392,IF(F1392="MXN",1/HLOOKUP(YEAR(G1392)+(MONTH(G1392)/100),TC!$5:$37,DAY(G1392)+2,FALSE),VLOOKUP(F1392,Equivalencia!$5:$23,((MAX(Equivalencia!$3:$3)-YEAR(G1392))*14)+MONTH(G1392)+2,FALSE))))</f>
        <v>0</v>
      </c>
      <c r="M1392" s="306">
        <f t="shared" si="360"/>
        <v>0</v>
      </c>
      <c r="N1392" s="305">
        <f>IF(G1392=0,0,(IF(OR(E1392=$AT$5,E1392=$AT$6),AC1392,HLOOKUP(YEAR(G1392)+(MONTH(G1392)/100),TC!$5:$37,DAY(G1392)+2,FALSE))))</f>
        <v>0</v>
      </c>
      <c r="O1392" s="307">
        <f t="shared" si="361"/>
        <v>0</v>
      </c>
      <c r="P1392" s="560">
        <f>IF(G1392=0,0,VLOOKUP(YEAR(G1392),INPC!$B$4:$P$30,MONTH(G1392)+2))</f>
        <v>0</v>
      </c>
      <c r="Q1392" s="560">
        <f>IF(X1392=0,0,IF(OR(E1392=$AT$10,E1392=$AT$9),VLOOKUP(YEAR(X1392),INPC!$B$4:$P$30,MONTH(X1392)+1),VLOOKUP(YEAR(X1392),INPC!$B$4:$P$30,MONTH(X1392)+2,0)))</f>
        <v>0</v>
      </c>
      <c r="R1392" s="309">
        <f t="shared" si="362"/>
        <v>0</v>
      </c>
      <c r="S1392" s="310">
        <f t="shared" si="363"/>
        <v>0</v>
      </c>
      <c r="T1392" s="555">
        <f t="shared" si="364"/>
        <v>0</v>
      </c>
      <c r="U1392" s="311"/>
      <c r="V1392" s="312"/>
      <c r="W1392" s="299"/>
      <c r="X1392" s="300"/>
      <c r="Y1392" s="299"/>
      <c r="Z1392" s="303"/>
      <c r="AA1392" s="305">
        <f>IF(Z1392=0,0,IF(Y1392="MXN",1/HLOOKUP(YEAR(X1392)+(MONTH(X1392)/100),TC!$5:$37,DAY(X1392)+2,FALSE),VLOOKUP(Y1392,Equivalencia!$1:$23,((MAX(Equivalencia!$3:$3)-YEAR(X1392))*14)+MONTH(X1392)+2,FALSE)))</f>
        <v>0</v>
      </c>
      <c r="AB1392" s="306">
        <f t="shared" si="365"/>
        <v>0</v>
      </c>
      <c r="AC1392" s="305">
        <f>+IF(X1392=0,0,HLOOKUP(YEAR(X1392)+(MONTH(X1392)/100),TC!$5:$37,DAY(X1392)+2,FALSE))</f>
        <v>0</v>
      </c>
      <c r="AD1392" s="307">
        <f t="shared" si="366"/>
        <v>0</v>
      </c>
      <c r="AE1392" s="314">
        <f t="shared" si="367"/>
        <v>0</v>
      </c>
      <c r="AF1392" s="315">
        <f t="shared" si="368"/>
        <v>0</v>
      </c>
      <c r="AG1392" s="316">
        <f t="shared" si="369"/>
        <v>0</v>
      </c>
      <c r="AH1392" s="314">
        <v>1</v>
      </c>
      <c r="AI1392" s="314">
        <f t="shared" si="370"/>
        <v>0</v>
      </c>
      <c r="AJ1392" s="314">
        <f t="shared" si="371"/>
        <v>0</v>
      </c>
      <c r="AK1392" s="317"/>
      <c r="AL1392" s="315">
        <f t="shared" si="372"/>
        <v>0</v>
      </c>
      <c r="AN1392" s="554">
        <f t="shared" si="373"/>
        <v>0</v>
      </c>
      <c r="AO1392" s="314"/>
      <c r="AP1392" s="318"/>
    </row>
    <row r="1393" spans="2:42">
      <c r="B1393" s="296"/>
      <c r="C1393" s="299"/>
      <c r="D1393" s="298"/>
      <c r="E1393" s="299"/>
      <c r="F1393" s="299"/>
      <c r="G1393" s="300"/>
      <c r="H1393" s="303"/>
      <c r="I1393" s="301">
        <f t="shared" si="357"/>
        <v>0</v>
      </c>
      <c r="J1393" s="302">
        <f t="shared" si="358"/>
        <v>0</v>
      </c>
      <c r="K1393" s="304">
        <f t="shared" si="359"/>
        <v>0</v>
      </c>
      <c r="L1393" s="305">
        <f>IF(H1393=0,0,IF(OR(E1393=$AT$5,E1393=$AT$6),AA1393,IF(F1393="MXN",1/HLOOKUP(YEAR(G1393)+(MONTH(G1393)/100),TC!$5:$37,DAY(G1393)+2,FALSE),VLOOKUP(F1393,Equivalencia!$5:$23,((MAX(Equivalencia!$3:$3)-YEAR(G1393))*14)+MONTH(G1393)+2,FALSE))))</f>
        <v>0</v>
      </c>
      <c r="M1393" s="306">
        <f t="shared" si="360"/>
        <v>0</v>
      </c>
      <c r="N1393" s="305">
        <f>IF(G1393=0,0,(IF(OR(E1393=$AT$5,E1393=$AT$6),AC1393,HLOOKUP(YEAR(G1393)+(MONTH(G1393)/100),TC!$5:$37,DAY(G1393)+2,FALSE))))</f>
        <v>0</v>
      </c>
      <c r="O1393" s="307">
        <f t="shared" si="361"/>
        <v>0</v>
      </c>
      <c r="P1393" s="560">
        <f>IF(G1393=0,0,VLOOKUP(YEAR(G1393),INPC!$B$4:$P$30,MONTH(G1393)+2))</f>
        <v>0</v>
      </c>
      <c r="Q1393" s="560">
        <f>IF(X1393=0,0,IF(OR(E1393=$AT$10,E1393=$AT$9),VLOOKUP(YEAR(X1393),INPC!$B$4:$P$30,MONTH(X1393)+1),VLOOKUP(YEAR(X1393),INPC!$B$4:$P$30,MONTH(X1393)+2,0)))</f>
        <v>0</v>
      </c>
      <c r="R1393" s="309">
        <f t="shared" si="362"/>
        <v>0</v>
      </c>
      <c r="S1393" s="310">
        <f t="shared" si="363"/>
        <v>0</v>
      </c>
      <c r="T1393" s="555">
        <f t="shared" si="364"/>
        <v>0</v>
      </c>
      <c r="U1393" s="311"/>
      <c r="V1393" s="312"/>
      <c r="W1393" s="299"/>
      <c r="X1393" s="300"/>
      <c r="Y1393" s="299"/>
      <c r="Z1393" s="303"/>
      <c r="AA1393" s="305">
        <f>IF(Z1393=0,0,IF(Y1393="MXN",1/HLOOKUP(YEAR(X1393)+(MONTH(X1393)/100),TC!$5:$37,DAY(X1393)+2,FALSE),VLOOKUP(Y1393,Equivalencia!$1:$23,((MAX(Equivalencia!$3:$3)-YEAR(X1393))*14)+MONTH(X1393)+2,FALSE)))</f>
        <v>0</v>
      </c>
      <c r="AB1393" s="306">
        <f t="shared" si="365"/>
        <v>0</v>
      </c>
      <c r="AC1393" s="305">
        <f>+IF(X1393=0,0,HLOOKUP(YEAR(X1393)+(MONTH(X1393)/100),TC!$5:$37,DAY(X1393)+2,FALSE))</f>
        <v>0</v>
      </c>
      <c r="AD1393" s="307">
        <f t="shared" si="366"/>
        <v>0</v>
      </c>
      <c r="AE1393" s="314">
        <f t="shared" si="367"/>
        <v>0</v>
      </c>
      <c r="AF1393" s="315">
        <f t="shared" si="368"/>
        <v>0</v>
      </c>
      <c r="AG1393" s="316">
        <f t="shared" si="369"/>
        <v>0</v>
      </c>
      <c r="AH1393" s="314">
        <v>1</v>
      </c>
      <c r="AI1393" s="314">
        <f t="shared" si="370"/>
        <v>0</v>
      </c>
      <c r="AJ1393" s="314">
        <f t="shared" si="371"/>
        <v>0</v>
      </c>
      <c r="AK1393" s="317"/>
      <c r="AL1393" s="315">
        <f t="shared" si="372"/>
        <v>0</v>
      </c>
      <c r="AN1393" s="554">
        <f t="shared" si="373"/>
        <v>0</v>
      </c>
      <c r="AO1393" s="314"/>
      <c r="AP1393" s="318"/>
    </row>
    <row r="1394" spans="2:42">
      <c r="B1394" s="296"/>
      <c r="C1394" s="299"/>
      <c r="D1394" s="298"/>
      <c r="E1394" s="299"/>
      <c r="F1394" s="299"/>
      <c r="G1394" s="300"/>
      <c r="H1394" s="303"/>
      <c r="I1394" s="301">
        <f t="shared" si="357"/>
        <v>0</v>
      </c>
      <c r="J1394" s="302">
        <f t="shared" si="358"/>
        <v>0</v>
      </c>
      <c r="K1394" s="304">
        <f t="shared" si="359"/>
        <v>0</v>
      </c>
      <c r="L1394" s="305">
        <f>IF(H1394=0,0,IF(OR(E1394=$AT$5,E1394=$AT$6),AA1394,IF(F1394="MXN",1/HLOOKUP(YEAR(G1394)+(MONTH(G1394)/100),TC!$5:$37,DAY(G1394)+2,FALSE),VLOOKUP(F1394,Equivalencia!$5:$23,((MAX(Equivalencia!$3:$3)-YEAR(G1394))*14)+MONTH(G1394)+2,FALSE))))</f>
        <v>0</v>
      </c>
      <c r="M1394" s="306">
        <f t="shared" si="360"/>
        <v>0</v>
      </c>
      <c r="N1394" s="305">
        <f>IF(G1394=0,0,(IF(OR(E1394=$AT$5,E1394=$AT$6),AC1394,HLOOKUP(YEAR(G1394)+(MONTH(G1394)/100),TC!$5:$37,DAY(G1394)+2,FALSE))))</f>
        <v>0</v>
      </c>
      <c r="O1394" s="307">
        <f t="shared" si="361"/>
        <v>0</v>
      </c>
      <c r="P1394" s="560">
        <f>IF(G1394=0,0,VLOOKUP(YEAR(G1394),INPC!$B$4:$P$30,MONTH(G1394)+2))</f>
        <v>0</v>
      </c>
      <c r="Q1394" s="560">
        <f>IF(X1394=0,0,IF(OR(E1394=$AT$10,E1394=$AT$9),VLOOKUP(YEAR(X1394),INPC!$B$4:$P$30,MONTH(X1394)+1),VLOOKUP(YEAR(X1394),INPC!$B$4:$P$30,MONTH(X1394)+2,0)))</f>
        <v>0</v>
      </c>
      <c r="R1394" s="309">
        <f t="shared" si="362"/>
        <v>0</v>
      </c>
      <c r="S1394" s="310">
        <f t="shared" si="363"/>
        <v>0</v>
      </c>
      <c r="T1394" s="555">
        <f t="shared" si="364"/>
        <v>0</v>
      </c>
      <c r="U1394" s="311"/>
      <c r="V1394" s="312"/>
      <c r="W1394" s="299"/>
      <c r="X1394" s="300"/>
      <c r="Y1394" s="299"/>
      <c r="Z1394" s="303"/>
      <c r="AA1394" s="305">
        <f>IF(Z1394=0,0,IF(Y1394="MXN",1/HLOOKUP(YEAR(X1394)+(MONTH(X1394)/100),TC!$5:$37,DAY(X1394)+2,FALSE),VLOOKUP(Y1394,Equivalencia!$1:$23,((MAX(Equivalencia!$3:$3)-YEAR(X1394))*14)+MONTH(X1394)+2,FALSE)))</f>
        <v>0</v>
      </c>
      <c r="AB1394" s="306">
        <f t="shared" si="365"/>
        <v>0</v>
      </c>
      <c r="AC1394" s="305">
        <f>+IF(X1394=0,0,HLOOKUP(YEAR(X1394)+(MONTH(X1394)/100),TC!$5:$37,DAY(X1394)+2,FALSE))</f>
        <v>0</v>
      </c>
      <c r="AD1394" s="307">
        <f t="shared" si="366"/>
        <v>0</v>
      </c>
      <c r="AE1394" s="314">
        <f t="shared" si="367"/>
        <v>0</v>
      </c>
      <c r="AF1394" s="315">
        <f t="shared" si="368"/>
        <v>0</v>
      </c>
      <c r="AG1394" s="316">
        <f t="shared" si="369"/>
        <v>0</v>
      </c>
      <c r="AH1394" s="314">
        <v>1</v>
      </c>
      <c r="AI1394" s="314">
        <f t="shared" si="370"/>
        <v>0</v>
      </c>
      <c r="AJ1394" s="314">
        <f t="shared" si="371"/>
        <v>0</v>
      </c>
      <c r="AK1394" s="317"/>
      <c r="AL1394" s="315">
        <f t="shared" si="372"/>
        <v>0</v>
      </c>
      <c r="AN1394" s="554">
        <f t="shared" si="373"/>
        <v>0</v>
      </c>
      <c r="AO1394" s="314"/>
      <c r="AP1394" s="318"/>
    </row>
    <row r="1395" spans="2:42">
      <c r="B1395" s="296"/>
      <c r="C1395" s="299"/>
      <c r="D1395" s="298"/>
      <c r="E1395" s="299"/>
      <c r="F1395" s="299"/>
      <c r="G1395" s="300"/>
      <c r="H1395" s="303"/>
      <c r="I1395" s="301">
        <f t="shared" si="357"/>
        <v>0</v>
      </c>
      <c r="J1395" s="302">
        <f t="shared" si="358"/>
        <v>0</v>
      </c>
      <c r="K1395" s="304">
        <f t="shared" si="359"/>
        <v>0</v>
      </c>
      <c r="L1395" s="305">
        <f>IF(H1395=0,0,IF(OR(E1395=$AT$5,E1395=$AT$6),AA1395,IF(F1395="MXN",1/HLOOKUP(YEAR(G1395)+(MONTH(G1395)/100),TC!$5:$37,DAY(G1395)+2,FALSE),VLOOKUP(F1395,Equivalencia!$5:$23,((MAX(Equivalencia!$3:$3)-YEAR(G1395))*14)+MONTH(G1395)+2,FALSE))))</f>
        <v>0</v>
      </c>
      <c r="M1395" s="306">
        <f t="shared" si="360"/>
        <v>0</v>
      </c>
      <c r="N1395" s="305">
        <f>IF(G1395=0,0,(IF(OR(E1395=$AT$5,E1395=$AT$6),AC1395,HLOOKUP(YEAR(G1395)+(MONTH(G1395)/100),TC!$5:$37,DAY(G1395)+2,FALSE))))</f>
        <v>0</v>
      </c>
      <c r="O1395" s="307">
        <f t="shared" si="361"/>
        <v>0</v>
      </c>
      <c r="P1395" s="560">
        <f>IF(G1395=0,0,VLOOKUP(YEAR(G1395),INPC!$B$4:$P$30,MONTH(G1395)+2))</f>
        <v>0</v>
      </c>
      <c r="Q1395" s="560">
        <f>IF(X1395=0,0,IF(OR(E1395=$AT$10,E1395=$AT$9),VLOOKUP(YEAR(X1395),INPC!$B$4:$P$30,MONTH(X1395)+1),VLOOKUP(YEAR(X1395),INPC!$B$4:$P$30,MONTH(X1395)+2,0)))</f>
        <v>0</v>
      </c>
      <c r="R1395" s="309">
        <f t="shared" si="362"/>
        <v>0</v>
      </c>
      <c r="S1395" s="310">
        <f t="shared" si="363"/>
        <v>0</v>
      </c>
      <c r="T1395" s="555">
        <f t="shared" si="364"/>
        <v>0</v>
      </c>
      <c r="U1395" s="311"/>
      <c r="V1395" s="312"/>
      <c r="W1395" s="299"/>
      <c r="X1395" s="300"/>
      <c r="Y1395" s="299"/>
      <c r="Z1395" s="303"/>
      <c r="AA1395" s="305">
        <f>IF(Z1395=0,0,IF(Y1395="MXN",1/HLOOKUP(YEAR(X1395)+(MONTH(X1395)/100),TC!$5:$37,DAY(X1395)+2,FALSE),VLOOKUP(Y1395,Equivalencia!$1:$23,((MAX(Equivalencia!$3:$3)-YEAR(X1395))*14)+MONTH(X1395)+2,FALSE)))</f>
        <v>0</v>
      </c>
      <c r="AB1395" s="306">
        <f t="shared" si="365"/>
        <v>0</v>
      </c>
      <c r="AC1395" s="305">
        <f>+IF(X1395=0,0,HLOOKUP(YEAR(X1395)+(MONTH(X1395)/100),TC!$5:$37,DAY(X1395)+2,FALSE))</f>
        <v>0</v>
      </c>
      <c r="AD1395" s="307">
        <f t="shared" si="366"/>
        <v>0</v>
      </c>
      <c r="AE1395" s="314">
        <f t="shared" si="367"/>
        <v>0</v>
      </c>
      <c r="AF1395" s="315">
        <f t="shared" si="368"/>
        <v>0</v>
      </c>
      <c r="AG1395" s="316">
        <f t="shared" si="369"/>
        <v>0</v>
      </c>
      <c r="AH1395" s="314">
        <v>1</v>
      </c>
      <c r="AI1395" s="314">
        <f t="shared" si="370"/>
        <v>0</v>
      </c>
      <c r="AJ1395" s="314">
        <f t="shared" si="371"/>
        <v>0</v>
      </c>
      <c r="AK1395" s="317"/>
      <c r="AL1395" s="315">
        <f t="shared" si="372"/>
        <v>0</v>
      </c>
      <c r="AN1395" s="554">
        <f t="shared" si="373"/>
        <v>0</v>
      </c>
      <c r="AO1395" s="314"/>
      <c r="AP1395" s="318"/>
    </row>
    <row r="1396" spans="2:42">
      <c r="B1396" s="296"/>
      <c r="C1396" s="299"/>
      <c r="D1396" s="298"/>
      <c r="E1396" s="299"/>
      <c r="F1396" s="299"/>
      <c r="G1396" s="300"/>
      <c r="H1396" s="303"/>
      <c r="I1396" s="301">
        <f t="shared" si="357"/>
        <v>0</v>
      </c>
      <c r="J1396" s="302">
        <f t="shared" si="358"/>
        <v>0</v>
      </c>
      <c r="K1396" s="304">
        <f t="shared" si="359"/>
        <v>0</v>
      </c>
      <c r="L1396" s="305">
        <f>IF(H1396=0,0,IF(OR(E1396=$AT$5,E1396=$AT$6),AA1396,IF(F1396="MXN",1/HLOOKUP(YEAR(G1396)+(MONTH(G1396)/100),TC!$5:$37,DAY(G1396)+2,FALSE),VLOOKUP(F1396,Equivalencia!$5:$23,((MAX(Equivalencia!$3:$3)-YEAR(G1396))*14)+MONTH(G1396)+2,FALSE))))</f>
        <v>0</v>
      </c>
      <c r="M1396" s="306">
        <f t="shared" si="360"/>
        <v>0</v>
      </c>
      <c r="N1396" s="305">
        <f>IF(G1396=0,0,(IF(OR(E1396=$AT$5,E1396=$AT$6),AC1396,HLOOKUP(YEAR(G1396)+(MONTH(G1396)/100),TC!$5:$37,DAY(G1396)+2,FALSE))))</f>
        <v>0</v>
      </c>
      <c r="O1396" s="307">
        <f t="shared" si="361"/>
        <v>0</v>
      </c>
      <c r="P1396" s="560">
        <f>IF(G1396=0,0,VLOOKUP(YEAR(G1396),INPC!$B$4:$P$30,MONTH(G1396)+2))</f>
        <v>0</v>
      </c>
      <c r="Q1396" s="560">
        <f>IF(X1396=0,0,IF(OR(E1396=$AT$10,E1396=$AT$9),VLOOKUP(YEAR(X1396),INPC!$B$4:$P$30,MONTH(X1396)+1),VLOOKUP(YEAR(X1396),INPC!$B$4:$P$30,MONTH(X1396)+2,0)))</f>
        <v>0</v>
      </c>
      <c r="R1396" s="309">
        <f t="shared" si="362"/>
        <v>0</v>
      </c>
      <c r="S1396" s="310">
        <f t="shared" si="363"/>
        <v>0</v>
      </c>
      <c r="T1396" s="555">
        <f t="shared" si="364"/>
        <v>0</v>
      </c>
      <c r="U1396" s="311"/>
      <c r="V1396" s="312"/>
      <c r="W1396" s="299"/>
      <c r="X1396" s="300"/>
      <c r="Y1396" s="299"/>
      <c r="Z1396" s="303"/>
      <c r="AA1396" s="305">
        <f>IF(Z1396=0,0,IF(Y1396="MXN",1/HLOOKUP(YEAR(X1396)+(MONTH(X1396)/100),TC!$5:$37,DAY(X1396)+2,FALSE),VLOOKUP(Y1396,Equivalencia!$1:$23,((MAX(Equivalencia!$3:$3)-YEAR(X1396))*14)+MONTH(X1396)+2,FALSE)))</f>
        <v>0</v>
      </c>
      <c r="AB1396" s="306">
        <f t="shared" si="365"/>
        <v>0</v>
      </c>
      <c r="AC1396" s="305">
        <f>+IF(X1396=0,0,HLOOKUP(YEAR(X1396)+(MONTH(X1396)/100),TC!$5:$37,DAY(X1396)+2,FALSE))</f>
        <v>0</v>
      </c>
      <c r="AD1396" s="307">
        <f t="shared" si="366"/>
        <v>0</v>
      </c>
      <c r="AE1396" s="314">
        <f t="shared" si="367"/>
        <v>0</v>
      </c>
      <c r="AF1396" s="315">
        <f t="shared" si="368"/>
        <v>0</v>
      </c>
      <c r="AG1396" s="316">
        <f t="shared" si="369"/>
        <v>0</v>
      </c>
      <c r="AH1396" s="314">
        <v>1</v>
      </c>
      <c r="AI1396" s="314">
        <f t="shared" si="370"/>
        <v>0</v>
      </c>
      <c r="AJ1396" s="314">
        <f t="shared" si="371"/>
        <v>0</v>
      </c>
      <c r="AK1396" s="317"/>
      <c r="AL1396" s="315">
        <f t="shared" si="372"/>
        <v>0</v>
      </c>
      <c r="AN1396" s="554">
        <f t="shared" si="373"/>
        <v>0</v>
      </c>
      <c r="AO1396" s="314"/>
      <c r="AP1396" s="318"/>
    </row>
    <row r="1397" spans="2:42">
      <c r="B1397" s="296"/>
      <c r="C1397" s="299"/>
      <c r="D1397" s="298"/>
      <c r="E1397" s="299"/>
      <c r="F1397" s="299"/>
      <c r="G1397" s="300"/>
      <c r="H1397" s="303"/>
      <c r="I1397" s="301">
        <f t="shared" si="357"/>
        <v>0</v>
      </c>
      <c r="J1397" s="302">
        <f t="shared" si="358"/>
        <v>0</v>
      </c>
      <c r="K1397" s="304">
        <f t="shared" si="359"/>
        <v>0</v>
      </c>
      <c r="L1397" s="305">
        <f>IF(H1397=0,0,IF(OR(E1397=$AT$5,E1397=$AT$6),AA1397,IF(F1397="MXN",1/HLOOKUP(YEAR(G1397)+(MONTH(G1397)/100),TC!$5:$37,DAY(G1397)+2,FALSE),VLOOKUP(F1397,Equivalencia!$5:$23,((MAX(Equivalencia!$3:$3)-YEAR(G1397))*14)+MONTH(G1397)+2,FALSE))))</f>
        <v>0</v>
      </c>
      <c r="M1397" s="306">
        <f t="shared" si="360"/>
        <v>0</v>
      </c>
      <c r="N1397" s="305">
        <f>IF(G1397=0,0,(IF(OR(E1397=$AT$5,E1397=$AT$6),AC1397,HLOOKUP(YEAR(G1397)+(MONTH(G1397)/100),TC!$5:$37,DAY(G1397)+2,FALSE))))</f>
        <v>0</v>
      </c>
      <c r="O1397" s="307">
        <f t="shared" si="361"/>
        <v>0</v>
      </c>
      <c r="P1397" s="560">
        <f>IF(G1397=0,0,VLOOKUP(YEAR(G1397),INPC!$B$4:$P$30,MONTH(G1397)+2))</f>
        <v>0</v>
      </c>
      <c r="Q1397" s="560">
        <f>IF(X1397=0,0,IF(OR(E1397=$AT$10,E1397=$AT$9),VLOOKUP(YEAR(X1397),INPC!$B$4:$P$30,MONTH(X1397)+1),VLOOKUP(YEAR(X1397),INPC!$B$4:$P$30,MONTH(X1397)+2,0)))</f>
        <v>0</v>
      </c>
      <c r="R1397" s="309">
        <f t="shared" si="362"/>
        <v>0</v>
      </c>
      <c r="S1397" s="310">
        <f t="shared" si="363"/>
        <v>0</v>
      </c>
      <c r="T1397" s="555">
        <f t="shared" si="364"/>
        <v>0</v>
      </c>
      <c r="U1397" s="311"/>
      <c r="V1397" s="312"/>
      <c r="W1397" s="299"/>
      <c r="X1397" s="300"/>
      <c r="Y1397" s="299"/>
      <c r="Z1397" s="303"/>
      <c r="AA1397" s="305">
        <f>IF(Z1397=0,0,IF(Y1397="MXN",1/HLOOKUP(YEAR(X1397)+(MONTH(X1397)/100),TC!$5:$37,DAY(X1397)+2,FALSE),VLOOKUP(Y1397,Equivalencia!$1:$23,((MAX(Equivalencia!$3:$3)-YEAR(X1397))*14)+MONTH(X1397)+2,FALSE)))</f>
        <v>0</v>
      </c>
      <c r="AB1397" s="306">
        <f t="shared" si="365"/>
        <v>0</v>
      </c>
      <c r="AC1397" s="305">
        <f>+IF(X1397=0,0,HLOOKUP(YEAR(X1397)+(MONTH(X1397)/100),TC!$5:$37,DAY(X1397)+2,FALSE))</f>
        <v>0</v>
      </c>
      <c r="AD1397" s="307">
        <f t="shared" si="366"/>
        <v>0</v>
      </c>
      <c r="AE1397" s="314">
        <f t="shared" si="367"/>
        <v>0</v>
      </c>
      <c r="AF1397" s="315">
        <f t="shared" si="368"/>
        <v>0</v>
      </c>
      <c r="AG1397" s="316">
        <f t="shared" si="369"/>
        <v>0</v>
      </c>
      <c r="AH1397" s="314">
        <v>1</v>
      </c>
      <c r="AI1397" s="314">
        <f t="shared" si="370"/>
        <v>0</v>
      </c>
      <c r="AJ1397" s="314">
        <f t="shared" si="371"/>
        <v>0</v>
      </c>
      <c r="AK1397" s="317"/>
      <c r="AL1397" s="315">
        <f t="shared" si="372"/>
        <v>0</v>
      </c>
      <c r="AN1397" s="554">
        <f t="shared" si="373"/>
        <v>0</v>
      </c>
      <c r="AO1397" s="314"/>
      <c r="AP1397" s="318"/>
    </row>
    <row r="1398" spans="2:42">
      <c r="B1398" s="296"/>
      <c r="C1398" s="299"/>
      <c r="D1398" s="298"/>
      <c r="E1398" s="299"/>
      <c r="F1398" s="299"/>
      <c r="G1398" s="300"/>
      <c r="H1398" s="303"/>
      <c r="I1398" s="301">
        <f t="shared" si="357"/>
        <v>0</v>
      </c>
      <c r="J1398" s="302">
        <f t="shared" si="358"/>
        <v>0</v>
      </c>
      <c r="K1398" s="304">
        <f t="shared" si="359"/>
        <v>0</v>
      </c>
      <c r="L1398" s="305">
        <f>IF(H1398=0,0,IF(OR(E1398=$AT$5,E1398=$AT$6),AA1398,IF(F1398="MXN",1/HLOOKUP(YEAR(G1398)+(MONTH(G1398)/100),TC!$5:$37,DAY(G1398)+2,FALSE),VLOOKUP(F1398,Equivalencia!$5:$23,((MAX(Equivalencia!$3:$3)-YEAR(G1398))*14)+MONTH(G1398)+2,FALSE))))</f>
        <v>0</v>
      </c>
      <c r="M1398" s="306">
        <f t="shared" si="360"/>
        <v>0</v>
      </c>
      <c r="N1398" s="305">
        <f>IF(G1398=0,0,(IF(OR(E1398=$AT$5,E1398=$AT$6),AC1398,HLOOKUP(YEAR(G1398)+(MONTH(G1398)/100),TC!$5:$37,DAY(G1398)+2,FALSE))))</f>
        <v>0</v>
      </c>
      <c r="O1398" s="307">
        <f t="shared" si="361"/>
        <v>0</v>
      </c>
      <c r="P1398" s="560">
        <f>IF(G1398=0,0,VLOOKUP(YEAR(G1398),INPC!$B$4:$P$30,MONTH(G1398)+2))</f>
        <v>0</v>
      </c>
      <c r="Q1398" s="560">
        <f>IF(X1398=0,0,IF(OR(E1398=$AT$10,E1398=$AT$9),VLOOKUP(YEAR(X1398),INPC!$B$4:$P$30,MONTH(X1398)+1),VLOOKUP(YEAR(X1398),INPC!$B$4:$P$30,MONTH(X1398)+2,0)))</f>
        <v>0</v>
      </c>
      <c r="R1398" s="309">
        <f t="shared" si="362"/>
        <v>0</v>
      </c>
      <c r="S1398" s="310">
        <f t="shared" si="363"/>
        <v>0</v>
      </c>
      <c r="T1398" s="555">
        <f t="shared" si="364"/>
        <v>0</v>
      </c>
      <c r="U1398" s="311"/>
      <c r="V1398" s="312"/>
      <c r="W1398" s="299"/>
      <c r="X1398" s="300"/>
      <c r="Y1398" s="299"/>
      <c r="Z1398" s="303"/>
      <c r="AA1398" s="305">
        <f>IF(Z1398=0,0,IF(Y1398="MXN",1/HLOOKUP(YEAR(X1398)+(MONTH(X1398)/100),TC!$5:$37,DAY(X1398)+2,FALSE),VLOOKUP(Y1398,Equivalencia!$1:$23,((MAX(Equivalencia!$3:$3)-YEAR(X1398))*14)+MONTH(X1398)+2,FALSE)))</f>
        <v>0</v>
      </c>
      <c r="AB1398" s="306">
        <f t="shared" si="365"/>
        <v>0</v>
      </c>
      <c r="AC1398" s="305">
        <f>+IF(X1398=0,0,HLOOKUP(YEAR(X1398)+(MONTH(X1398)/100),TC!$5:$37,DAY(X1398)+2,FALSE))</f>
        <v>0</v>
      </c>
      <c r="AD1398" s="307">
        <f t="shared" si="366"/>
        <v>0</v>
      </c>
      <c r="AE1398" s="314">
        <f t="shared" si="367"/>
        <v>0</v>
      </c>
      <c r="AF1398" s="315">
        <f t="shared" si="368"/>
        <v>0</v>
      </c>
      <c r="AG1398" s="316">
        <f t="shared" si="369"/>
        <v>0</v>
      </c>
      <c r="AH1398" s="314">
        <v>1</v>
      </c>
      <c r="AI1398" s="314">
        <f t="shared" si="370"/>
        <v>0</v>
      </c>
      <c r="AJ1398" s="314">
        <f t="shared" si="371"/>
        <v>0</v>
      </c>
      <c r="AK1398" s="317"/>
      <c r="AL1398" s="315">
        <f t="shared" si="372"/>
        <v>0</v>
      </c>
      <c r="AN1398" s="554">
        <f t="shared" si="373"/>
        <v>0</v>
      </c>
      <c r="AO1398" s="314"/>
      <c r="AP1398" s="318"/>
    </row>
    <row r="1399" spans="2:42">
      <c r="B1399" s="296"/>
      <c r="C1399" s="299"/>
      <c r="D1399" s="298"/>
      <c r="E1399" s="299"/>
      <c r="F1399" s="299"/>
      <c r="G1399" s="300"/>
      <c r="H1399" s="303"/>
      <c r="I1399" s="301">
        <f t="shared" si="357"/>
        <v>0</v>
      </c>
      <c r="J1399" s="302">
        <f t="shared" si="358"/>
        <v>0</v>
      </c>
      <c r="K1399" s="304">
        <f t="shared" si="359"/>
        <v>0</v>
      </c>
      <c r="L1399" s="305">
        <f>IF(H1399=0,0,IF(OR(E1399=$AT$5,E1399=$AT$6),AA1399,IF(F1399="MXN",1/HLOOKUP(YEAR(G1399)+(MONTH(G1399)/100),TC!$5:$37,DAY(G1399)+2,FALSE),VLOOKUP(F1399,Equivalencia!$5:$23,((MAX(Equivalencia!$3:$3)-YEAR(G1399))*14)+MONTH(G1399)+2,FALSE))))</f>
        <v>0</v>
      </c>
      <c r="M1399" s="306">
        <f t="shared" si="360"/>
        <v>0</v>
      </c>
      <c r="N1399" s="305">
        <f>IF(G1399=0,0,(IF(OR(E1399=$AT$5,E1399=$AT$6),AC1399,HLOOKUP(YEAR(G1399)+(MONTH(G1399)/100),TC!$5:$37,DAY(G1399)+2,FALSE))))</f>
        <v>0</v>
      </c>
      <c r="O1399" s="307">
        <f t="shared" si="361"/>
        <v>0</v>
      </c>
      <c r="P1399" s="560">
        <f>IF(G1399=0,0,VLOOKUP(YEAR(G1399),INPC!$B$4:$P$30,MONTH(G1399)+2))</f>
        <v>0</v>
      </c>
      <c r="Q1399" s="560">
        <f>IF(X1399=0,0,IF(OR(E1399=$AT$10,E1399=$AT$9),VLOOKUP(YEAR(X1399),INPC!$B$4:$P$30,MONTH(X1399)+1),VLOOKUP(YEAR(X1399),INPC!$B$4:$P$30,MONTH(X1399)+2,0)))</f>
        <v>0</v>
      </c>
      <c r="R1399" s="309">
        <f t="shared" si="362"/>
        <v>0</v>
      </c>
      <c r="S1399" s="310">
        <f t="shared" si="363"/>
        <v>0</v>
      </c>
      <c r="T1399" s="555">
        <f t="shared" si="364"/>
        <v>0</v>
      </c>
      <c r="U1399" s="311"/>
      <c r="V1399" s="312"/>
      <c r="W1399" s="299"/>
      <c r="X1399" s="300"/>
      <c r="Y1399" s="299"/>
      <c r="Z1399" s="303"/>
      <c r="AA1399" s="305">
        <f>IF(Z1399=0,0,IF(Y1399="MXN",1/HLOOKUP(YEAR(X1399)+(MONTH(X1399)/100),TC!$5:$37,DAY(X1399)+2,FALSE),VLOOKUP(Y1399,Equivalencia!$1:$23,((MAX(Equivalencia!$3:$3)-YEAR(X1399))*14)+MONTH(X1399)+2,FALSE)))</f>
        <v>0</v>
      </c>
      <c r="AB1399" s="306">
        <f t="shared" si="365"/>
        <v>0</v>
      </c>
      <c r="AC1399" s="305">
        <f>+IF(X1399=0,0,HLOOKUP(YEAR(X1399)+(MONTH(X1399)/100),TC!$5:$37,DAY(X1399)+2,FALSE))</f>
        <v>0</v>
      </c>
      <c r="AD1399" s="307">
        <f t="shared" si="366"/>
        <v>0</v>
      </c>
      <c r="AE1399" s="314">
        <f t="shared" si="367"/>
        <v>0</v>
      </c>
      <c r="AF1399" s="315">
        <f t="shared" si="368"/>
        <v>0</v>
      </c>
      <c r="AG1399" s="316">
        <f t="shared" si="369"/>
        <v>0</v>
      </c>
      <c r="AH1399" s="314">
        <v>1</v>
      </c>
      <c r="AI1399" s="314">
        <f t="shared" si="370"/>
        <v>0</v>
      </c>
      <c r="AJ1399" s="314">
        <f t="shared" si="371"/>
        <v>0</v>
      </c>
      <c r="AK1399" s="317"/>
      <c r="AL1399" s="315">
        <f t="shared" si="372"/>
        <v>0</v>
      </c>
      <c r="AN1399" s="554">
        <f t="shared" si="373"/>
        <v>0</v>
      </c>
      <c r="AO1399" s="314"/>
      <c r="AP1399" s="318"/>
    </row>
    <row r="1400" spans="2:42">
      <c r="B1400" s="296"/>
      <c r="C1400" s="299"/>
      <c r="D1400" s="298"/>
      <c r="E1400" s="299"/>
      <c r="F1400" s="299"/>
      <c r="G1400" s="300"/>
      <c r="H1400" s="303"/>
      <c r="I1400" s="301">
        <f t="shared" si="357"/>
        <v>0</v>
      </c>
      <c r="J1400" s="302">
        <f t="shared" si="358"/>
        <v>0</v>
      </c>
      <c r="K1400" s="304">
        <f t="shared" si="359"/>
        <v>0</v>
      </c>
      <c r="L1400" s="305">
        <f>IF(H1400=0,0,IF(OR(E1400=$AT$5,E1400=$AT$6),AA1400,IF(F1400="MXN",1/HLOOKUP(YEAR(G1400)+(MONTH(G1400)/100),TC!$5:$37,DAY(G1400)+2,FALSE),VLOOKUP(F1400,Equivalencia!$5:$23,((MAX(Equivalencia!$3:$3)-YEAR(G1400))*14)+MONTH(G1400)+2,FALSE))))</f>
        <v>0</v>
      </c>
      <c r="M1400" s="306">
        <f t="shared" si="360"/>
        <v>0</v>
      </c>
      <c r="N1400" s="305">
        <f>IF(G1400=0,0,(IF(OR(E1400=$AT$5,E1400=$AT$6),AC1400,HLOOKUP(YEAR(G1400)+(MONTH(G1400)/100),TC!$5:$37,DAY(G1400)+2,FALSE))))</f>
        <v>0</v>
      </c>
      <c r="O1400" s="307">
        <f t="shared" si="361"/>
        <v>0</v>
      </c>
      <c r="P1400" s="560">
        <f>IF(G1400=0,0,VLOOKUP(YEAR(G1400),INPC!$B$4:$P$30,MONTH(G1400)+2))</f>
        <v>0</v>
      </c>
      <c r="Q1400" s="560">
        <f>IF(X1400=0,0,IF(OR(E1400=$AT$10,E1400=$AT$9),VLOOKUP(YEAR(X1400),INPC!$B$4:$P$30,MONTH(X1400)+1),VLOOKUP(YEAR(X1400),INPC!$B$4:$P$30,MONTH(X1400)+2,0)))</f>
        <v>0</v>
      </c>
      <c r="R1400" s="309">
        <f t="shared" si="362"/>
        <v>0</v>
      </c>
      <c r="S1400" s="310">
        <f t="shared" si="363"/>
        <v>0</v>
      </c>
      <c r="T1400" s="555">
        <f t="shared" si="364"/>
        <v>0</v>
      </c>
      <c r="U1400" s="311"/>
      <c r="V1400" s="312"/>
      <c r="W1400" s="299"/>
      <c r="X1400" s="300"/>
      <c r="Y1400" s="299"/>
      <c r="Z1400" s="303"/>
      <c r="AA1400" s="305">
        <f>IF(Z1400=0,0,IF(Y1400="MXN",1/HLOOKUP(YEAR(X1400)+(MONTH(X1400)/100),TC!$5:$37,DAY(X1400)+2,FALSE),VLOOKUP(Y1400,Equivalencia!$1:$23,((MAX(Equivalencia!$3:$3)-YEAR(X1400))*14)+MONTH(X1400)+2,FALSE)))</f>
        <v>0</v>
      </c>
      <c r="AB1400" s="306">
        <f t="shared" si="365"/>
        <v>0</v>
      </c>
      <c r="AC1400" s="305">
        <f>+IF(X1400=0,0,HLOOKUP(YEAR(X1400)+(MONTH(X1400)/100),TC!$5:$37,DAY(X1400)+2,FALSE))</f>
        <v>0</v>
      </c>
      <c r="AD1400" s="307">
        <f t="shared" si="366"/>
        <v>0</v>
      </c>
      <c r="AE1400" s="314">
        <f t="shared" si="367"/>
        <v>0</v>
      </c>
      <c r="AF1400" s="315">
        <f t="shared" si="368"/>
        <v>0</v>
      </c>
      <c r="AG1400" s="316">
        <f t="shared" si="369"/>
        <v>0</v>
      </c>
      <c r="AH1400" s="314">
        <v>1</v>
      </c>
      <c r="AI1400" s="314">
        <f t="shared" si="370"/>
        <v>0</v>
      </c>
      <c r="AJ1400" s="314">
        <f t="shared" si="371"/>
        <v>0</v>
      </c>
      <c r="AK1400" s="317"/>
      <c r="AL1400" s="315">
        <f t="shared" si="372"/>
        <v>0</v>
      </c>
      <c r="AN1400" s="554">
        <f t="shared" si="373"/>
        <v>0</v>
      </c>
      <c r="AO1400" s="314"/>
      <c r="AP1400" s="318"/>
    </row>
    <row r="1401" spans="2:42">
      <c r="B1401" s="296"/>
      <c r="C1401" s="299"/>
      <c r="D1401" s="298"/>
      <c r="E1401" s="299"/>
      <c r="F1401" s="299"/>
      <c r="G1401" s="300"/>
      <c r="H1401" s="303"/>
      <c r="I1401" s="301">
        <f t="shared" si="357"/>
        <v>0</v>
      </c>
      <c r="J1401" s="302">
        <f t="shared" si="358"/>
        <v>0</v>
      </c>
      <c r="K1401" s="304">
        <f t="shared" si="359"/>
        <v>0</v>
      </c>
      <c r="L1401" s="305">
        <f>IF(H1401=0,0,IF(OR(E1401=$AT$5,E1401=$AT$6),AA1401,IF(F1401="MXN",1/HLOOKUP(YEAR(G1401)+(MONTH(G1401)/100),TC!$5:$37,DAY(G1401)+2,FALSE),VLOOKUP(F1401,Equivalencia!$5:$23,((MAX(Equivalencia!$3:$3)-YEAR(G1401))*14)+MONTH(G1401)+2,FALSE))))</f>
        <v>0</v>
      </c>
      <c r="M1401" s="306">
        <f t="shared" si="360"/>
        <v>0</v>
      </c>
      <c r="N1401" s="305">
        <f>IF(G1401=0,0,(IF(OR(E1401=$AT$5,E1401=$AT$6),AC1401,HLOOKUP(YEAR(G1401)+(MONTH(G1401)/100),TC!$5:$37,DAY(G1401)+2,FALSE))))</f>
        <v>0</v>
      </c>
      <c r="O1401" s="307">
        <f t="shared" si="361"/>
        <v>0</v>
      </c>
      <c r="P1401" s="560">
        <f>IF(G1401=0,0,VLOOKUP(YEAR(G1401),INPC!$B$4:$P$30,MONTH(G1401)+2))</f>
        <v>0</v>
      </c>
      <c r="Q1401" s="560">
        <f>IF(X1401=0,0,IF(OR(E1401=$AT$10,E1401=$AT$9),VLOOKUP(YEAR(X1401),INPC!$B$4:$P$30,MONTH(X1401)+1),VLOOKUP(YEAR(X1401),INPC!$B$4:$P$30,MONTH(X1401)+2,0)))</f>
        <v>0</v>
      </c>
      <c r="R1401" s="309">
        <f t="shared" si="362"/>
        <v>0</v>
      </c>
      <c r="S1401" s="310">
        <f t="shared" si="363"/>
        <v>0</v>
      </c>
      <c r="T1401" s="555">
        <f t="shared" si="364"/>
        <v>0</v>
      </c>
      <c r="U1401" s="311"/>
      <c r="V1401" s="312"/>
      <c r="W1401" s="299"/>
      <c r="X1401" s="300"/>
      <c r="Y1401" s="299"/>
      <c r="Z1401" s="303"/>
      <c r="AA1401" s="305">
        <f>IF(Z1401=0,0,IF(Y1401="MXN",1/HLOOKUP(YEAR(X1401)+(MONTH(X1401)/100),TC!$5:$37,DAY(X1401)+2,FALSE),VLOOKUP(Y1401,Equivalencia!$1:$23,((MAX(Equivalencia!$3:$3)-YEAR(X1401))*14)+MONTH(X1401)+2,FALSE)))</f>
        <v>0</v>
      </c>
      <c r="AB1401" s="306">
        <f t="shared" si="365"/>
        <v>0</v>
      </c>
      <c r="AC1401" s="305">
        <f>+IF(X1401=0,0,HLOOKUP(YEAR(X1401)+(MONTH(X1401)/100),TC!$5:$37,DAY(X1401)+2,FALSE))</f>
        <v>0</v>
      </c>
      <c r="AD1401" s="307">
        <f t="shared" si="366"/>
        <v>0</v>
      </c>
      <c r="AE1401" s="314">
        <f t="shared" si="367"/>
        <v>0</v>
      </c>
      <c r="AF1401" s="315">
        <f t="shared" si="368"/>
        <v>0</v>
      </c>
      <c r="AG1401" s="316">
        <f t="shared" si="369"/>
        <v>0</v>
      </c>
      <c r="AH1401" s="314">
        <v>1</v>
      </c>
      <c r="AI1401" s="314">
        <f t="shared" si="370"/>
        <v>0</v>
      </c>
      <c r="AJ1401" s="314">
        <f t="shared" si="371"/>
        <v>0</v>
      </c>
      <c r="AK1401" s="317"/>
      <c r="AL1401" s="315">
        <f t="shared" si="372"/>
        <v>0</v>
      </c>
      <c r="AN1401" s="554">
        <f t="shared" si="373"/>
        <v>0</v>
      </c>
      <c r="AO1401" s="314"/>
      <c r="AP1401" s="318"/>
    </row>
    <row r="1402" spans="2:42">
      <c r="B1402" s="296"/>
      <c r="C1402" s="299"/>
      <c r="D1402" s="298"/>
      <c r="E1402" s="299"/>
      <c r="F1402" s="299"/>
      <c r="G1402" s="300"/>
      <c r="H1402" s="303"/>
      <c r="I1402" s="301">
        <f t="shared" si="357"/>
        <v>0</v>
      </c>
      <c r="J1402" s="302">
        <f t="shared" si="358"/>
        <v>0</v>
      </c>
      <c r="K1402" s="304">
        <f t="shared" si="359"/>
        <v>0</v>
      </c>
      <c r="L1402" s="305">
        <f>IF(H1402=0,0,IF(OR(E1402=$AT$5,E1402=$AT$6),AA1402,IF(F1402="MXN",1/HLOOKUP(YEAR(G1402)+(MONTH(G1402)/100),TC!$5:$37,DAY(G1402)+2,FALSE),VLOOKUP(F1402,Equivalencia!$5:$23,((MAX(Equivalencia!$3:$3)-YEAR(G1402))*14)+MONTH(G1402)+2,FALSE))))</f>
        <v>0</v>
      </c>
      <c r="M1402" s="306">
        <f t="shared" si="360"/>
        <v>0</v>
      </c>
      <c r="N1402" s="305">
        <f>IF(G1402=0,0,(IF(OR(E1402=$AT$5,E1402=$AT$6),AC1402,HLOOKUP(YEAR(G1402)+(MONTH(G1402)/100),TC!$5:$37,DAY(G1402)+2,FALSE))))</f>
        <v>0</v>
      </c>
      <c r="O1402" s="307">
        <f t="shared" si="361"/>
        <v>0</v>
      </c>
      <c r="P1402" s="560">
        <f>IF(G1402=0,0,VLOOKUP(YEAR(G1402),INPC!$B$4:$P$30,MONTH(G1402)+2))</f>
        <v>0</v>
      </c>
      <c r="Q1402" s="560">
        <f>IF(X1402=0,0,IF(OR(E1402=$AT$10,E1402=$AT$9),VLOOKUP(YEAR(X1402),INPC!$B$4:$P$30,MONTH(X1402)+1),VLOOKUP(YEAR(X1402),INPC!$B$4:$P$30,MONTH(X1402)+2,0)))</f>
        <v>0</v>
      </c>
      <c r="R1402" s="309">
        <f t="shared" si="362"/>
        <v>0</v>
      </c>
      <c r="S1402" s="310">
        <f t="shared" si="363"/>
        <v>0</v>
      </c>
      <c r="T1402" s="555">
        <f t="shared" si="364"/>
        <v>0</v>
      </c>
      <c r="U1402" s="311"/>
      <c r="V1402" s="312"/>
      <c r="W1402" s="299"/>
      <c r="X1402" s="300"/>
      <c r="Y1402" s="299"/>
      <c r="Z1402" s="303"/>
      <c r="AA1402" s="305">
        <f>IF(Z1402=0,0,IF(Y1402="MXN",1/HLOOKUP(YEAR(X1402)+(MONTH(X1402)/100),TC!$5:$37,DAY(X1402)+2,FALSE),VLOOKUP(Y1402,Equivalencia!$1:$23,((MAX(Equivalencia!$3:$3)-YEAR(X1402))*14)+MONTH(X1402)+2,FALSE)))</f>
        <v>0</v>
      </c>
      <c r="AB1402" s="306">
        <f t="shared" si="365"/>
        <v>0</v>
      </c>
      <c r="AC1402" s="305">
        <f>+IF(X1402=0,0,HLOOKUP(YEAR(X1402)+(MONTH(X1402)/100),TC!$5:$37,DAY(X1402)+2,FALSE))</f>
        <v>0</v>
      </c>
      <c r="AD1402" s="307">
        <f t="shared" si="366"/>
        <v>0</v>
      </c>
      <c r="AE1402" s="314">
        <f t="shared" si="367"/>
        <v>0</v>
      </c>
      <c r="AF1402" s="315">
        <f t="shared" si="368"/>
        <v>0</v>
      </c>
      <c r="AG1402" s="316">
        <f t="shared" si="369"/>
        <v>0</v>
      </c>
      <c r="AH1402" s="314">
        <v>1</v>
      </c>
      <c r="AI1402" s="314">
        <f t="shared" si="370"/>
        <v>0</v>
      </c>
      <c r="AJ1402" s="314">
        <f t="shared" si="371"/>
        <v>0</v>
      </c>
      <c r="AK1402" s="317"/>
      <c r="AL1402" s="315">
        <f t="shared" si="372"/>
        <v>0</v>
      </c>
      <c r="AN1402" s="554">
        <f t="shared" si="373"/>
        <v>0</v>
      </c>
      <c r="AO1402" s="314"/>
      <c r="AP1402" s="318"/>
    </row>
    <row r="1403" spans="2:42">
      <c r="B1403" s="296"/>
      <c r="C1403" s="299"/>
      <c r="D1403" s="298"/>
      <c r="E1403" s="299"/>
      <c r="F1403" s="299"/>
      <c r="G1403" s="300"/>
      <c r="H1403" s="303"/>
      <c r="I1403" s="301">
        <f t="shared" si="357"/>
        <v>0</v>
      </c>
      <c r="J1403" s="302">
        <f t="shared" si="358"/>
        <v>0</v>
      </c>
      <c r="K1403" s="304">
        <f t="shared" si="359"/>
        <v>0</v>
      </c>
      <c r="L1403" s="305">
        <f>IF(H1403=0,0,IF(OR(E1403=$AT$5,E1403=$AT$6),AA1403,IF(F1403="MXN",1/HLOOKUP(YEAR(G1403)+(MONTH(G1403)/100),TC!$5:$37,DAY(G1403)+2,FALSE),VLOOKUP(F1403,Equivalencia!$5:$23,((MAX(Equivalencia!$3:$3)-YEAR(G1403))*14)+MONTH(G1403)+2,FALSE))))</f>
        <v>0</v>
      </c>
      <c r="M1403" s="306">
        <f t="shared" si="360"/>
        <v>0</v>
      </c>
      <c r="N1403" s="305">
        <f>IF(G1403=0,0,(IF(OR(E1403=$AT$5,E1403=$AT$6),AC1403,HLOOKUP(YEAR(G1403)+(MONTH(G1403)/100),TC!$5:$37,DAY(G1403)+2,FALSE))))</f>
        <v>0</v>
      </c>
      <c r="O1403" s="307">
        <f t="shared" si="361"/>
        <v>0</v>
      </c>
      <c r="P1403" s="560">
        <f>IF(G1403=0,0,VLOOKUP(YEAR(G1403),INPC!$B$4:$P$30,MONTH(G1403)+2))</f>
        <v>0</v>
      </c>
      <c r="Q1403" s="560">
        <f>IF(X1403=0,0,IF(OR(E1403=$AT$10,E1403=$AT$9),VLOOKUP(YEAR(X1403),INPC!$B$4:$P$30,MONTH(X1403)+1),VLOOKUP(YEAR(X1403),INPC!$B$4:$P$30,MONTH(X1403)+2,0)))</f>
        <v>0</v>
      </c>
      <c r="R1403" s="309">
        <f t="shared" si="362"/>
        <v>0</v>
      </c>
      <c r="S1403" s="310">
        <f t="shared" si="363"/>
        <v>0</v>
      </c>
      <c r="T1403" s="555">
        <f t="shared" si="364"/>
        <v>0</v>
      </c>
      <c r="U1403" s="311"/>
      <c r="V1403" s="312"/>
      <c r="W1403" s="299"/>
      <c r="X1403" s="300"/>
      <c r="Y1403" s="299"/>
      <c r="Z1403" s="303"/>
      <c r="AA1403" s="305">
        <f>IF(Z1403=0,0,IF(Y1403="MXN",1/HLOOKUP(YEAR(X1403)+(MONTH(X1403)/100),TC!$5:$37,DAY(X1403)+2,FALSE),VLOOKUP(Y1403,Equivalencia!$1:$23,((MAX(Equivalencia!$3:$3)-YEAR(X1403))*14)+MONTH(X1403)+2,FALSE)))</f>
        <v>0</v>
      </c>
      <c r="AB1403" s="306">
        <f t="shared" si="365"/>
        <v>0</v>
      </c>
      <c r="AC1403" s="305">
        <f>+IF(X1403=0,0,HLOOKUP(YEAR(X1403)+(MONTH(X1403)/100),TC!$5:$37,DAY(X1403)+2,FALSE))</f>
        <v>0</v>
      </c>
      <c r="AD1403" s="307">
        <f t="shared" si="366"/>
        <v>0</v>
      </c>
      <c r="AE1403" s="314">
        <f t="shared" si="367"/>
        <v>0</v>
      </c>
      <c r="AF1403" s="315">
        <f t="shared" si="368"/>
        <v>0</v>
      </c>
      <c r="AG1403" s="316">
        <f t="shared" si="369"/>
        <v>0</v>
      </c>
      <c r="AH1403" s="314">
        <v>1</v>
      </c>
      <c r="AI1403" s="314">
        <f t="shared" si="370"/>
        <v>0</v>
      </c>
      <c r="AJ1403" s="314">
        <f t="shared" si="371"/>
        <v>0</v>
      </c>
      <c r="AK1403" s="317"/>
      <c r="AL1403" s="315">
        <f t="shared" si="372"/>
        <v>0</v>
      </c>
      <c r="AN1403" s="554">
        <f t="shared" si="373"/>
        <v>0</v>
      </c>
      <c r="AO1403" s="314"/>
      <c r="AP1403" s="318"/>
    </row>
    <row r="1404" spans="2:42">
      <c r="B1404" s="296"/>
      <c r="C1404" s="299"/>
      <c r="D1404" s="298"/>
      <c r="E1404" s="299"/>
      <c r="F1404" s="299"/>
      <c r="G1404" s="300"/>
      <c r="H1404" s="303"/>
      <c r="I1404" s="301">
        <f t="shared" ref="I1404:I1467" si="374">IF(D1404=0,0,IF(OR(E1404=$AT$9,E1404=$AT$10),"Ingresos Sección II LISR (SIC &amp; BMV)","Ingresos Sección I LISR"))</f>
        <v>0</v>
      </c>
      <c r="J1404" s="302">
        <f t="shared" ref="J1404:J1467" si="375">+V1404</f>
        <v>0</v>
      </c>
      <c r="K1404" s="304">
        <f t="shared" ref="K1404:K1467" si="376">IF(H1404=0,0,H1404/J1404)</f>
        <v>0</v>
      </c>
      <c r="L1404" s="305">
        <f>IF(H1404=0,0,IF(OR(E1404=$AT$5,E1404=$AT$6),AA1404,IF(F1404="MXN",1/HLOOKUP(YEAR(G1404)+(MONTH(G1404)/100),TC!$5:$37,DAY(G1404)+2,FALSE),VLOOKUP(F1404,Equivalencia!$5:$23,((MAX(Equivalencia!$3:$3)-YEAR(G1404))*14)+MONTH(G1404)+2,FALSE))))</f>
        <v>0</v>
      </c>
      <c r="M1404" s="306">
        <f t="shared" ref="M1404:M1467" si="377">+H1404*L1404</f>
        <v>0</v>
      </c>
      <c r="N1404" s="305">
        <f>IF(G1404=0,0,(IF(OR(E1404=$AT$5,E1404=$AT$6),AC1404,HLOOKUP(YEAR(G1404)+(MONTH(G1404)/100),TC!$5:$37,DAY(G1404)+2,FALSE))))</f>
        <v>0</v>
      </c>
      <c r="O1404" s="307">
        <f t="shared" ref="O1404:O1467" si="378">+M1404*N1404</f>
        <v>0</v>
      </c>
      <c r="P1404" s="560">
        <f>IF(G1404=0,0,VLOOKUP(YEAR(G1404),INPC!$B$4:$P$30,MONTH(G1404)+2))</f>
        <v>0</v>
      </c>
      <c r="Q1404" s="560">
        <f>IF(X1404=0,0,IF(OR(E1404=$AT$10,E1404=$AT$9),VLOOKUP(YEAR(X1404),INPC!$B$4:$P$30,MONTH(X1404)+1),VLOOKUP(YEAR(X1404),INPC!$B$4:$P$30,MONTH(X1404)+2,0)))</f>
        <v>0</v>
      </c>
      <c r="R1404" s="309">
        <f t="shared" ref="R1404:R1467" si="379">IF(H1404=0,0,IF(OR(E1404=$AT$5,E1404=$AT$6),1,IF(TRUNC(Q1404/P1404,4)&gt;=1,TRUNC(Q1404/P1404,4),1)))</f>
        <v>0</v>
      </c>
      <c r="S1404" s="310">
        <f t="shared" ref="S1404:S1467" si="380">+R1404*O1404</f>
        <v>0</v>
      </c>
      <c r="T1404" s="555">
        <f t="shared" ref="T1404:T1467" si="381">IF(V1404=0,0,S1404/V1404)</f>
        <v>0</v>
      </c>
      <c r="U1404" s="311"/>
      <c r="V1404" s="312"/>
      <c r="W1404" s="299"/>
      <c r="X1404" s="300"/>
      <c r="Y1404" s="299"/>
      <c r="Z1404" s="303"/>
      <c r="AA1404" s="305">
        <f>IF(Z1404=0,0,IF(Y1404="MXN",1/HLOOKUP(YEAR(X1404)+(MONTH(X1404)/100),TC!$5:$37,DAY(X1404)+2,FALSE),VLOOKUP(Y1404,Equivalencia!$1:$23,((MAX(Equivalencia!$3:$3)-YEAR(X1404))*14)+MONTH(X1404)+2,FALSE)))</f>
        <v>0</v>
      </c>
      <c r="AB1404" s="306">
        <f t="shared" ref="AB1404:AB1467" si="382">+AA1404*Z1404</f>
        <v>0</v>
      </c>
      <c r="AC1404" s="305">
        <f>+IF(X1404=0,0,HLOOKUP(YEAR(X1404)+(MONTH(X1404)/100),TC!$5:$37,DAY(X1404)+2,FALSE))</f>
        <v>0</v>
      </c>
      <c r="AD1404" s="307">
        <f t="shared" ref="AD1404:AD1467" si="383">+AC1404*AB1404</f>
        <v>0</v>
      </c>
      <c r="AE1404" s="314">
        <f t="shared" ref="AE1404:AE1467" si="384">+V1404*T1404</f>
        <v>0</v>
      </c>
      <c r="AF1404" s="315">
        <f t="shared" ref="AF1404:AF1467" si="385">IF(E1404=$AT$11,0,AD1404-AE1404)</f>
        <v>0</v>
      </c>
      <c r="AG1404" s="316">
        <f t="shared" ref="AG1404:AG1467" si="386">+IF(AND(AF1404&lt;0,OR(E1404=$AT$5,E1404=$AT$6)),1,((X1404-G1404)/365))</f>
        <v>0</v>
      </c>
      <c r="AH1404" s="314">
        <v>1</v>
      </c>
      <c r="AI1404" s="314">
        <f t="shared" ref="AI1404:AI1467" si="387">+IF(OR(E1404=$AT$9,E1404=$AT$10),AF1404,+AF1404/AH1404)</f>
        <v>0</v>
      </c>
      <c r="AJ1404" s="314">
        <f t="shared" ref="AJ1404:AJ1467" si="388">+AF1404-AI1404</f>
        <v>0</v>
      </c>
      <c r="AK1404" s="317"/>
      <c r="AL1404" s="315">
        <f t="shared" ref="AL1404:AL1467" si="389">+AB1404-M1404</f>
        <v>0</v>
      </c>
      <c r="AN1404" s="554">
        <f t="shared" ref="AN1404:AN1467" si="390">IF(AL1404=0,0,AL1404/H1404)</f>
        <v>0</v>
      </c>
      <c r="AO1404" s="314"/>
      <c r="AP1404" s="318"/>
    </row>
    <row r="1405" spans="2:42">
      <c r="B1405" s="296"/>
      <c r="C1405" s="299"/>
      <c r="D1405" s="298"/>
      <c r="E1405" s="299"/>
      <c r="F1405" s="299"/>
      <c r="G1405" s="300"/>
      <c r="H1405" s="303"/>
      <c r="I1405" s="301">
        <f t="shared" si="374"/>
        <v>0</v>
      </c>
      <c r="J1405" s="302">
        <f t="shared" si="375"/>
        <v>0</v>
      </c>
      <c r="K1405" s="304">
        <f t="shared" si="376"/>
        <v>0</v>
      </c>
      <c r="L1405" s="305">
        <f>IF(H1405=0,0,IF(OR(E1405=$AT$5,E1405=$AT$6),AA1405,IF(F1405="MXN",1/HLOOKUP(YEAR(G1405)+(MONTH(G1405)/100),TC!$5:$37,DAY(G1405)+2,FALSE),VLOOKUP(F1405,Equivalencia!$5:$23,((MAX(Equivalencia!$3:$3)-YEAR(G1405))*14)+MONTH(G1405)+2,FALSE))))</f>
        <v>0</v>
      </c>
      <c r="M1405" s="306">
        <f t="shared" si="377"/>
        <v>0</v>
      </c>
      <c r="N1405" s="305">
        <f>IF(G1405=0,0,(IF(OR(E1405=$AT$5,E1405=$AT$6),AC1405,HLOOKUP(YEAR(G1405)+(MONTH(G1405)/100),TC!$5:$37,DAY(G1405)+2,FALSE))))</f>
        <v>0</v>
      </c>
      <c r="O1405" s="307">
        <f t="shared" si="378"/>
        <v>0</v>
      </c>
      <c r="P1405" s="560">
        <f>IF(G1405=0,0,VLOOKUP(YEAR(G1405),INPC!$B$4:$P$30,MONTH(G1405)+2))</f>
        <v>0</v>
      </c>
      <c r="Q1405" s="560">
        <f>IF(X1405=0,0,IF(OR(E1405=$AT$10,E1405=$AT$9),VLOOKUP(YEAR(X1405),INPC!$B$4:$P$30,MONTH(X1405)+1),VLOOKUP(YEAR(X1405),INPC!$B$4:$P$30,MONTH(X1405)+2,0)))</f>
        <v>0</v>
      </c>
      <c r="R1405" s="309">
        <f t="shared" si="379"/>
        <v>0</v>
      </c>
      <c r="S1405" s="310">
        <f t="shared" si="380"/>
        <v>0</v>
      </c>
      <c r="T1405" s="555">
        <f t="shared" si="381"/>
        <v>0</v>
      </c>
      <c r="U1405" s="311"/>
      <c r="V1405" s="312"/>
      <c r="W1405" s="299"/>
      <c r="X1405" s="300"/>
      <c r="Y1405" s="299"/>
      <c r="Z1405" s="303"/>
      <c r="AA1405" s="305">
        <f>IF(Z1405=0,0,IF(Y1405="MXN",1/HLOOKUP(YEAR(X1405)+(MONTH(X1405)/100),TC!$5:$37,DAY(X1405)+2,FALSE),VLOOKUP(Y1405,Equivalencia!$1:$23,((MAX(Equivalencia!$3:$3)-YEAR(X1405))*14)+MONTH(X1405)+2,FALSE)))</f>
        <v>0</v>
      </c>
      <c r="AB1405" s="306">
        <f t="shared" si="382"/>
        <v>0</v>
      </c>
      <c r="AC1405" s="305">
        <f>+IF(X1405=0,0,HLOOKUP(YEAR(X1405)+(MONTH(X1405)/100),TC!$5:$37,DAY(X1405)+2,FALSE))</f>
        <v>0</v>
      </c>
      <c r="AD1405" s="307">
        <f t="shared" si="383"/>
        <v>0</v>
      </c>
      <c r="AE1405" s="314">
        <f t="shared" si="384"/>
        <v>0</v>
      </c>
      <c r="AF1405" s="315">
        <f t="shared" si="385"/>
        <v>0</v>
      </c>
      <c r="AG1405" s="316">
        <f t="shared" si="386"/>
        <v>0</v>
      </c>
      <c r="AH1405" s="314">
        <v>1</v>
      </c>
      <c r="AI1405" s="314">
        <f t="shared" si="387"/>
        <v>0</v>
      </c>
      <c r="AJ1405" s="314">
        <f t="shared" si="388"/>
        <v>0</v>
      </c>
      <c r="AK1405" s="317"/>
      <c r="AL1405" s="315">
        <f t="shared" si="389"/>
        <v>0</v>
      </c>
      <c r="AN1405" s="554">
        <f t="shared" si="390"/>
        <v>0</v>
      </c>
      <c r="AO1405" s="314"/>
      <c r="AP1405" s="318"/>
    </row>
    <row r="1406" spans="2:42">
      <c r="B1406" s="296"/>
      <c r="C1406" s="299"/>
      <c r="D1406" s="298"/>
      <c r="E1406" s="299"/>
      <c r="F1406" s="299"/>
      <c r="G1406" s="300"/>
      <c r="H1406" s="303"/>
      <c r="I1406" s="301">
        <f t="shared" si="374"/>
        <v>0</v>
      </c>
      <c r="J1406" s="302">
        <f t="shared" si="375"/>
        <v>0</v>
      </c>
      <c r="K1406" s="304">
        <f t="shared" si="376"/>
        <v>0</v>
      </c>
      <c r="L1406" s="305">
        <f>IF(H1406=0,0,IF(OR(E1406=$AT$5,E1406=$AT$6),AA1406,IF(F1406="MXN",1/HLOOKUP(YEAR(G1406)+(MONTH(G1406)/100),TC!$5:$37,DAY(G1406)+2,FALSE),VLOOKUP(F1406,Equivalencia!$5:$23,((MAX(Equivalencia!$3:$3)-YEAR(G1406))*14)+MONTH(G1406)+2,FALSE))))</f>
        <v>0</v>
      </c>
      <c r="M1406" s="306">
        <f t="shared" si="377"/>
        <v>0</v>
      </c>
      <c r="N1406" s="305">
        <f>IF(G1406=0,0,(IF(OR(E1406=$AT$5,E1406=$AT$6),AC1406,HLOOKUP(YEAR(G1406)+(MONTH(G1406)/100),TC!$5:$37,DAY(G1406)+2,FALSE))))</f>
        <v>0</v>
      </c>
      <c r="O1406" s="307">
        <f t="shared" si="378"/>
        <v>0</v>
      </c>
      <c r="P1406" s="560">
        <f>IF(G1406=0,0,VLOOKUP(YEAR(G1406),INPC!$B$4:$P$30,MONTH(G1406)+2))</f>
        <v>0</v>
      </c>
      <c r="Q1406" s="560">
        <f>IF(X1406=0,0,IF(OR(E1406=$AT$10,E1406=$AT$9),VLOOKUP(YEAR(X1406),INPC!$B$4:$P$30,MONTH(X1406)+1),VLOOKUP(YEAR(X1406),INPC!$B$4:$P$30,MONTH(X1406)+2,0)))</f>
        <v>0</v>
      </c>
      <c r="R1406" s="309">
        <f t="shared" si="379"/>
        <v>0</v>
      </c>
      <c r="S1406" s="310">
        <f t="shared" si="380"/>
        <v>0</v>
      </c>
      <c r="T1406" s="555">
        <f t="shared" si="381"/>
        <v>0</v>
      </c>
      <c r="U1406" s="311"/>
      <c r="V1406" s="312"/>
      <c r="W1406" s="299"/>
      <c r="X1406" s="300"/>
      <c r="Y1406" s="299"/>
      <c r="Z1406" s="303"/>
      <c r="AA1406" s="305">
        <f>IF(Z1406=0,0,IF(Y1406="MXN",1/HLOOKUP(YEAR(X1406)+(MONTH(X1406)/100),TC!$5:$37,DAY(X1406)+2,FALSE),VLOOKUP(Y1406,Equivalencia!$1:$23,((MAX(Equivalencia!$3:$3)-YEAR(X1406))*14)+MONTH(X1406)+2,FALSE)))</f>
        <v>0</v>
      </c>
      <c r="AB1406" s="306">
        <f t="shared" si="382"/>
        <v>0</v>
      </c>
      <c r="AC1406" s="305">
        <f>+IF(X1406=0,0,HLOOKUP(YEAR(X1406)+(MONTH(X1406)/100),TC!$5:$37,DAY(X1406)+2,FALSE))</f>
        <v>0</v>
      </c>
      <c r="AD1406" s="307">
        <f t="shared" si="383"/>
        <v>0</v>
      </c>
      <c r="AE1406" s="314">
        <f t="shared" si="384"/>
        <v>0</v>
      </c>
      <c r="AF1406" s="315">
        <f t="shared" si="385"/>
        <v>0</v>
      </c>
      <c r="AG1406" s="316">
        <f t="shared" si="386"/>
        <v>0</v>
      </c>
      <c r="AH1406" s="314">
        <v>1</v>
      </c>
      <c r="AI1406" s="314">
        <f t="shared" si="387"/>
        <v>0</v>
      </c>
      <c r="AJ1406" s="314">
        <f t="shared" si="388"/>
        <v>0</v>
      </c>
      <c r="AK1406" s="317"/>
      <c r="AL1406" s="315">
        <f t="shared" si="389"/>
        <v>0</v>
      </c>
      <c r="AN1406" s="554">
        <f t="shared" si="390"/>
        <v>0</v>
      </c>
      <c r="AO1406" s="314"/>
      <c r="AP1406" s="318"/>
    </row>
    <row r="1407" spans="2:42">
      <c r="B1407" s="296"/>
      <c r="C1407" s="299"/>
      <c r="D1407" s="298"/>
      <c r="E1407" s="299"/>
      <c r="F1407" s="299"/>
      <c r="G1407" s="300"/>
      <c r="H1407" s="303"/>
      <c r="I1407" s="301">
        <f t="shared" si="374"/>
        <v>0</v>
      </c>
      <c r="J1407" s="302">
        <f t="shared" si="375"/>
        <v>0</v>
      </c>
      <c r="K1407" s="304">
        <f t="shared" si="376"/>
        <v>0</v>
      </c>
      <c r="L1407" s="305">
        <f>IF(H1407=0,0,IF(OR(E1407=$AT$5,E1407=$AT$6),AA1407,IF(F1407="MXN",1/HLOOKUP(YEAR(G1407)+(MONTH(G1407)/100),TC!$5:$37,DAY(G1407)+2,FALSE),VLOOKUP(F1407,Equivalencia!$5:$23,((MAX(Equivalencia!$3:$3)-YEAR(G1407))*14)+MONTH(G1407)+2,FALSE))))</f>
        <v>0</v>
      </c>
      <c r="M1407" s="306">
        <f t="shared" si="377"/>
        <v>0</v>
      </c>
      <c r="N1407" s="305">
        <f>IF(G1407=0,0,(IF(OR(E1407=$AT$5,E1407=$AT$6),AC1407,HLOOKUP(YEAR(G1407)+(MONTH(G1407)/100),TC!$5:$37,DAY(G1407)+2,FALSE))))</f>
        <v>0</v>
      </c>
      <c r="O1407" s="307">
        <f t="shared" si="378"/>
        <v>0</v>
      </c>
      <c r="P1407" s="560">
        <f>IF(G1407=0,0,VLOOKUP(YEAR(G1407),INPC!$B$4:$P$30,MONTH(G1407)+2))</f>
        <v>0</v>
      </c>
      <c r="Q1407" s="560">
        <f>IF(X1407=0,0,IF(OR(E1407=$AT$10,E1407=$AT$9),VLOOKUP(YEAR(X1407),INPC!$B$4:$P$30,MONTH(X1407)+1),VLOOKUP(YEAR(X1407),INPC!$B$4:$P$30,MONTH(X1407)+2,0)))</f>
        <v>0</v>
      </c>
      <c r="R1407" s="309">
        <f t="shared" si="379"/>
        <v>0</v>
      </c>
      <c r="S1407" s="310">
        <f t="shared" si="380"/>
        <v>0</v>
      </c>
      <c r="T1407" s="555">
        <f t="shared" si="381"/>
        <v>0</v>
      </c>
      <c r="U1407" s="311"/>
      <c r="V1407" s="312"/>
      <c r="W1407" s="299"/>
      <c r="X1407" s="300"/>
      <c r="Y1407" s="299"/>
      <c r="Z1407" s="303"/>
      <c r="AA1407" s="305">
        <f>IF(Z1407=0,0,IF(Y1407="MXN",1/HLOOKUP(YEAR(X1407)+(MONTH(X1407)/100),TC!$5:$37,DAY(X1407)+2,FALSE),VLOOKUP(Y1407,Equivalencia!$1:$23,((MAX(Equivalencia!$3:$3)-YEAR(X1407))*14)+MONTH(X1407)+2,FALSE)))</f>
        <v>0</v>
      </c>
      <c r="AB1407" s="306">
        <f t="shared" si="382"/>
        <v>0</v>
      </c>
      <c r="AC1407" s="305">
        <f>+IF(X1407=0,0,HLOOKUP(YEAR(X1407)+(MONTH(X1407)/100),TC!$5:$37,DAY(X1407)+2,FALSE))</f>
        <v>0</v>
      </c>
      <c r="AD1407" s="307">
        <f t="shared" si="383"/>
        <v>0</v>
      </c>
      <c r="AE1407" s="314">
        <f t="shared" si="384"/>
        <v>0</v>
      </c>
      <c r="AF1407" s="315">
        <f t="shared" si="385"/>
        <v>0</v>
      </c>
      <c r="AG1407" s="316">
        <f t="shared" si="386"/>
        <v>0</v>
      </c>
      <c r="AH1407" s="314">
        <v>1</v>
      </c>
      <c r="AI1407" s="314">
        <f t="shared" si="387"/>
        <v>0</v>
      </c>
      <c r="AJ1407" s="314">
        <f t="shared" si="388"/>
        <v>0</v>
      </c>
      <c r="AK1407" s="317"/>
      <c r="AL1407" s="315">
        <f t="shared" si="389"/>
        <v>0</v>
      </c>
      <c r="AN1407" s="554">
        <f t="shared" si="390"/>
        <v>0</v>
      </c>
      <c r="AO1407" s="314"/>
      <c r="AP1407" s="318"/>
    </row>
    <row r="1408" spans="2:42">
      <c r="B1408" s="296"/>
      <c r="C1408" s="299"/>
      <c r="D1408" s="298"/>
      <c r="E1408" s="299"/>
      <c r="F1408" s="299"/>
      <c r="G1408" s="300"/>
      <c r="H1408" s="303"/>
      <c r="I1408" s="301">
        <f t="shared" si="374"/>
        <v>0</v>
      </c>
      <c r="J1408" s="302">
        <f t="shared" si="375"/>
        <v>0</v>
      </c>
      <c r="K1408" s="304">
        <f t="shared" si="376"/>
        <v>0</v>
      </c>
      <c r="L1408" s="305">
        <f>IF(H1408=0,0,IF(OR(E1408=$AT$5,E1408=$AT$6),AA1408,IF(F1408="MXN",1/HLOOKUP(YEAR(G1408)+(MONTH(G1408)/100),TC!$5:$37,DAY(G1408)+2,FALSE),VLOOKUP(F1408,Equivalencia!$5:$23,((MAX(Equivalencia!$3:$3)-YEAR(G1408))*14)+MONTH(G1408)+2,FALSE))))</f>
        <v>0</v>
      </c>
      <c r="M1408" s="306">
        <f t="shared" si="377"/>
        <v>0</v>
      </c>
      <c r="N1408" s="305">
        <f>IF(G1408=0,0,(IF(OR(E1408=$AT$5,E1408=$AT$6),AC1408,HLOOKUP(YEAR(G1408)+(MONTH(G1408)/100),TC!$5:$37,DAY(G1408)+2,FALSE))))</f>
        <v>0</v>
      </c>
      <c r="O1408" s="307">
        <f t="shared" si="378"/>
        <v>0</v>
      </c>
      <c r="P1408" s="560">
        <f>IF(G1408=0,0,VLOOKUP(YEAR(G1408),INPC!$B$4:$P$30,MONTH(G1408)+2))</f>
        <v>0</v>
      </c>
      <c r="Q1408" s="560">
        <f>IF(X1408=0,0,IF(OR(E1408=$AT$10,E1408=$AT$9),VLOOKUP(YEAR(X1408),INPC!$B$4:$P$30,MONTH(X1408)+1),VLOOKUP(YEAR(X1408),INPC!$B$4:$P$30,MONTH(X1408)+2,0)))</f>
        <v>0</v>
      </c>
      <c r="R1408" s="309">
        <f t="shared" si="379"/>
        <v>0</v>
      </c>
      <c r="S1408" s="310">
        <f t="shared" si="380"/>
        <v>0</v>
      </c>
      <c r="T1408" s="555">
        <f t="shared" si="381"/>
        <v>0</v>
      </c>
      <c r="U1408" s="311"/>
      <c r="V1408" s="312"/>
      <c r="W1408" s="299"/>
      <c r="X1408" s="300"/>
      <c r="Y1408" s="299"/>
      <c r="Z1408" s="303"/>
      <c r="AA1408" s="305">
        <f>IF(Z1408=0,0,IF(Y1408="MXN",1/HLOOKUP(YEAR(X1408)+(MONTH(X1408)/100),TC!$5:$37,DAY(X1408)+2,FALSE),VLOOKUP(Y1408,Equivalencia!$1:$23,((MAX(Equivalencia!$3:$3)-YEAR(X1408))*14)+MONTH(X1408)+2,FALSE)))</f>
        <v>0</v>
      </c>
      <c r="AB1408" s="306">
        <f t="shared" si="382"/>
        <v>0</v>
      </c>
      <c r="AC1408" s="305">
        <f>+IF(X1408=0,0,HLOOKUP(YEAR(X1408)+(MONTH(X1408)/100),TC!$5:$37,DAY(X1408)+2,FALSE))</f>
        <v>0</v>
      </c>
      <c r="AD1408" s="307">
        <f t="shared" si="383"/>
        <v>0</v>
      </c>
      <c r="AE1408" s="314">
        <f t="shared" si="384"/>
        <v>0</v>
      </c>
      <c r="AF1408" s="315">
        <f t="shared" si="385"/>
        <v>0</v>
      </c>
      <c r="AG1408" s="316">
        <f t="shared" si="386"/>
        <v>0</v>
      </c>
      <c r="AH1408" s="314">
        <v>1</v>
      </c>
      <c r="AI1408" s="314">
        <f t="shared" si="387"/>
        <v>0</v>
      </c>
      <c r="AJ1408" s="314">
        <f t="shared" si="388"/>
        <v>0</v>
      </c>
      <c r="AK1408" s="317"/>
      <c r="AL1408" s="315">
        <f t="shared" si="389"/>
        <v>0</v>
      </c>
      <c r="AN1408" s="554">
        <f t="shared" si="390"/>
        <v>0</v>
      </c>
      <c r="AO1408" s="314"/>
      <c r="AP1408" s="318"/>
    </row>
    <row r="1409" spans="2:42">
      <c r="B1409" s="296"/>
      <c r="C1409" s="299"/>
      <c r="D1409" s="298"/>
      <c r="E1409" s="299"/>
      <c r="F1409" s="299"/>
      <c r="G1409" s="300"/>
      <c r="H1409" s="303"/>
      <c r="I1409" s="301">
        <f t="shared" si="374"/>
        <v>0</v>
      </c>
      <c r="J1409" s="302">
        <f t="shared" si="375"/>
        <v>0</v>
      </c>
      <c r="K1409" s="304">
        <f t="shared" si="376"/>
        <v>0</v>
      </c>
      <c r="L1409" s="305">
        <f>IF(H1409=0,0,IF(OR(E1409=$AT$5,E1409=$AT$6),AA1409,IF(F1409="MXN",1/HLOOKUP(YEAR(G1409)+(MONTH(G1409)/100),TC!$5:$37,DAY(G1409)+2,FALSE),VLOOKUP(F1409,Equivalencia!$5:$23,((MAX(Equivalencia!$3:$3)-YEAR(G1409))*14)+MONTH(G1409)+2,FALSE))))</f>
        <v>0</v>
      </c>
      <c r="M1409" s="306">
        <f t="shared" si="377"/>
        <v>0</v>
      </c>
      <c r="N1409" s="305">
        <f>IF(G1409=0,0,(IF(OR(E1409=$AT$5,E1409=$AT$6),AC1409,HLOOKUP(YEAR(G1409)+(MONTH(G1409)/100),TC!$5:$37,DAY(G1409)+2,FALSE))))</f>
        <v>0</v>
      </c>
      <c r="O1409" s="307">
        <f t="shared" si="378"/>
        <v>0</v>
      </c>
      <c r="P1409" s="560">
        <f>IF(G1409=0,0,VLOOKUP(YEAR(G1409),INPC!$B$4:$P$30,MONTH(G1409)+2))</f>
        <v>0</v>
      </c>
      <c r="Q1409" s="560">
        <f>IF(X1409=0,0,IF(OR(E1409=$AT$10,E1409=$AT$9),VLOOKUP(YEAR(X1409),INPC!$B$4:$P$30,MONTH(X1409)+1),VLOOKUP(YEAR(X1409),INPC!$B$4:$P$30,MONTH(X1409)+2,0)))</f>
        <v>0</v>
      </c>
      <c r="R1409" s="309">
        <f t="shared" si="379"/>
        <v>0</v>
      </c>
      <c r="S1409" s="310">
        <f t="shared" si="380"/>
        <v>0</v>
      </c>
      <c r="T1409" s="555">
        <f t="shared" si="381"/>
        <v>0</v>
      </c>
      <c r="U1409" s="311"/>
      <c r="V1409" s="312"/>
      <c r="W1409" s="299"/>
      <c r="X1409" s="300"/>
      <c r="Y1409" s="299"/>
      <c r="Z1409" s="303"/>
      <c r="AA1409" s="305">
        <f>IF(Z1409=0,0,IF(Y1409="MXN",1/HLOOKUP(YEAR(X1409)+(MONTH(X1409)/100),TC!$5:$37,DAY(X1409)+2,FALSE),VLOOKUP(Y1409,Equivalencia!$1:$23,((MAX(Equivalencia!$3:$3)-YEAR(X1409))*14)+MONTH(X1409)+2,FALSE)))</f>
        <v>0</v>
      </c>
      <c r="AB1409" s="306">
        <f t="shared" si="382"/>
        <v>0</v>
      </c>
      <c r="AC1409" s="305">
        <f>+IF(X1409=0,0,HLOOKUP(YEAR(X1409)+(MONTH(X1409)/100),TC!$5:$37,DAY(X1409)+2,FALSE))</f>
        <v>0</v>
      </c>
      <c r="AD1409" s="307">
        <f t="shared" si="383"/>
        <v>0</v>
      </c>
      <c r="AE1409" s="314">
        <f t="shared" si="384"/>
        <v>0</v>
      </c>
      <c r="AF1409" s="315">
        <f t="shared" si="385"/>
        <v>0</v>
      </c>
      <c r="AG1409" s="316">
        <f t="shared" si="386"/>
        <v>0</v>
      </c>
      <c r="AH1409" s="314">
        <v>1</v>
      </c>
      <c r="AI1409" s="314">
        <f t="shared" si="387"/>
        <v>0</v>
      </c>
      <c r="AJ1409" s="314">
        <f t="shared" si="388"/>
        <v>0</v>
      </c>
      <c r="AK1409" s="317"/>
      <c r="AL1409" s="315">
        <f t="shared" si="389"/>
        <v>0</v>
      </c>
      <c r="AN1409" s="554">
        <f t="shared" si="390"/>
        <v>0</v>
      </c>
      <c r="AO1409" s="314"/>
      <c r="AP1409" s="318"/>
    </row>
    <row r="1410" spans="2:42">
      <c r="B1410" s="296"/>
      <c r="C1410" s="299"/>
      <c r="D1410" s="298"/>
      <c r="E1410" s="299"/>
      <c r="F1410" s="299"/>
      <c r="G1410" s="300"/>
      <c r="H1410" s="303"/>
      <c r="I1410" s="301">
        <f t="shared" si="374"/>
        <v>0</v>
      </c>
      <c r="J1410" s="302">
        <f t="shared" si="375"/>
        <v>0</v>
      </c>
      <c r="K1410" s="304">
        <f t="shared" si="376"/>
        <v>0</v>
      </c>
      <c r="L1410" s="305">
        <f>IF(H1410=0,0,IF(OR(E1410=$AT$5,E1410=$AT$6),AA1410,IF(F1410="MXN",1/HLOOKUP(YEAR(G1410)+(MONTH(G1410)/100),TC!$5:$37,DAY(G1410)+2,FALSE),VLOOKUP(F1410,Equivalencia!$5:$23,((MAX(Equivalencia!$3:$3)-YEAR(G1410))*14)+MONTH(G1410)+2,FALSE))))</f>
        <v>0</v>
      </c>
      <c r="M1410" s="306">
        <f t="shared" si="377"/>
        <v>0</v>
      </c>
      <c r="N1410" s="305">
        <f>IF(G1410=0,0,(IF(OR(E1410=$AT$5,E1410=$AT$6),AC1410,HLOOKUP(YEAR(G1410)+(MONTH(G1410)/100),TC!$5:$37,DAY(G1410)+2,FALSE))))</f>
        <v>0</v>
      </c>
      <c r="O1410" s="307">
        <f t="shared" si="378"/>
        <v>0</v>
      </c>
      <c r="P1410" s="560">
        <f>IF(G1410=0,0,VLOOKUP(YEAR(G1410),INPC!$B$4:$P$30,MONTH(G1410)+2))</f>
        <v>0</v>
      </c>
      <c r="Q1410" s="560">
        <f>IF(X1410=0,0,IF(OR(E1410=$AT$10,E1410=$AT$9),VLOOKUP(YEAR(X1410),INPC!$B$4:$P$30,MONTH(X1410)+1),VLOOKUP(YEAR(X1410),INPC!$B$4:$P$30,MONTH(X1410)+2,0)))</f>
        <v>0</v>
      </c>
      <c r="R1410" s="309">
        <f t="shared" si="379"/>
        <v>0</v>
      </c>
      <c r="S1410" s="310">
        <f t="shared" si="380"/>
        <v>0</v>
      </c>
      <c r="T1410" s="555">
        <f t="shared" si="381"/>
        <v>0</v>
      </c>
      <c r="U1410" s="311"/>
      <c r="V1410" s="312"/>
      <c r="W1410" s="299"/>
      <c r="X1410" s="300"/>
      <c r="Y1410" s="299"/>
      <c r="Z1410" s="303"/>
      <c r="AA1410" s="305">
        <f>IF(Z1410=0,0,IF(Y1410="MXN",1/HLOOKUP(YEAR(X1410)+(MONTH(X1410)/100),TC!$5:$37,DAY(X1410)+2,FALSE),VLOOKUP(Y1410,Equivalencia!$1:$23,((MAX(Equivalencia!$3:$3)-YEAR(X1410))*14)+MONTH(X1410)+2,FALSE)))</f>
        <v>0</v>
      </c>
      <c r="AB1410" s="306">
        <f t="shared" si="382"/>
        <v>0</v>
      </c>
      <c r="AC1410" s="305">
        <f>+IF(X1410=0,0,HLOOKUP(YEAR(X1410)+(MONTH(X1410)/100),TC!$5:$37,DAY(X1410)+2,FALSE))</f>
        <v>0</v>
      </c>
      <c r="AD1410" s="307">
        <f t="shared" si="383"/>
        <v>0</v>
      </c>
      <c r="AE1410" s="314">
        <f t="shared" si="384"/>
        <v>0</v>
      </c>
      <c r="AF1410" s="315">
        <f t="shared" si="385"/>
        <v>0</v>
      </c>
      <c r="AG1410" s="316">
        <f t="shared" si="386"/>
        <v>0</v>
      </c>
      <c r="AH1410" s="314">
        <v>1</v>
      </c>
      <c r="AI1410" s="314">
        <f t="shared" si="387"/>
        <v>0</v>
      </c>
      <c r="AJ1410" s="314">
        <f t="shared" si="388"/>
        <v>0</v>
      </c>
      <c r="AK1410" s="317"/>
      <c r="AL1410" s="315">
        <f t="shared" si="389"/>
        <v>0</v>
      </c>
      <c r="AN1410" s="554">
        <f t="shared" si="390"/>
        <v>0</v>
      </c>
      <c r="AO1410" s="314"/>
      <c r="AP1410" s="318"/>
    </row>
    <row r="1411" spans="2:42">
      <c r="B1411" s="296"/>
      <c r="C1411" s="299"/>
      <c r="D1411" s="298"/>
      <c r="E1411" s="299"/>
      <c r="F1411" s="299"/>
      <c r="G1411" s="300"/>
      <c r="H1411" s="303"/>
      <c r="I1411" s="301">
        <f t="shared" si="374"/>
        <v>0</v>
      </c>
      <c r="J1411" s="302">
        <f t="shared" si="375"/>
        <v>0</v>
      </c>
      <c r="K1411" s="304">
        <f t="shared" si="376"/>
        <v>0</v>
      </c>
      <c r="L1411" s="305">
        <f>IF(H1411=0,0,IF(OR(E1411=$AT$5,E1411=$AT$6),AA1411,IF(F1411="MXN",1/HLOOKUP(YEAR(G1411)+(MONTH(G1411)/100),TC!$5:$37,DAY(G1411)+2,FALSE),VLOOKUP(F1411,Equivalencia!$5:$23,((MAX(Equivalencia!$3:$3)-YEAR(G1411))*14)+MONTH(G1411)+2,FALSE))))</f>
        <v>0</v>
      </c>
      <c r="M1411" s="306">
        <f t="shared" si="377"/>
        <v>0</v>
      </c>
      <c r="N1411" s="305">
        <f>IF(G1411=0,0,(IF(OR(E1411=$AT$5,E1411=$AT$6),AC1411,HLOOKUP(YEAR(G1411)+(MONTH(G1411)/100),TC!$5:$37,DAY(G1411)+2,FALSE))))</f>
        <v>0</v>
      </c>
      <c r="O1411" s="307">
        <f t="shared" si="378"/>
        <v>0</v>
      </c>
      <c r="P1411" s="560">
        <f>IF(G1411=0,0,VLOOKUP(YEAR(G1411),INPC!$B$4:$P$30,MONTH(G1411)+2))</f>
        <v>0</v>
      </c>
      <c r="Q1411" s="560">
        <f>IF(X1411=0,0,IF(OR(E1411=$AT$10,E1411=$AT$9),VLOOKUP(YEAR(X1411),INPC!$B$4:$P$30,MONTH(X1411)+1),VLOOKUP(YEAR(X1411),INPC!$B$4:$P$30,MONTH(X1411)+2,0)))</f>
        <v>0</v>
      </c>
      <c r="R1411" s="309">
        <f t="shared" si="379"/>
        <v>0</v>
      </c>
      <c r="S1411" s="310">
        <f t="shared" si="380"/>
        <v>0</v>
      </c>
      <c r="T1411" s="555">
        <f t="shared" si="381"/>
        <v>0</v>
      </c>
      <c r="U1411" s="311"/>
      <c r="V1411" s="312"/>
      <c r="W1411" s="299"/>
      <c r="X1411" s="300"/>
      <c r="Y1411" s="299"/>
      <c r="Z1411" s="303"/>
      <c r="AA1411" s="305">
        <f>IF(Z1411=0,0,IF(Y1411="MXN",1/HLOOKUP(YEAR(X1411)+(MONTH(X1411)/100),TC!$5:$37,DAY(X1411)+2,FALSE),VLOOKUP(Y1411,Equivalencia!$1:$23,((MAX(Equivalencia!$3:$3)-YEAR(X1411))*14)+MONTH(X1411)+2,FALSE)))</f>
        <v>0</v>
      </c>
      <c r="AB1411" s="306">
        <f t="shared" si="382"/>
        <v>0</v>
      </c>
      <c r="AC1411" s="305">
        <f>+IF(X1411=0,0,HLOOKUP(YEAR(X1411)+(MONTH(X1411)/100),TC!$5:$37,DAY(X1411)+2,FALSE))</f>
        <v>0</v>
      </c>
      <c r="AD1411" s="307">
        <f t="shared" si="383"/>
        <v>0</v>
      </c>
      <c r="AE1411" s="314">
        <f t="shared" si="384"/>
        <v>0</v>
      </c>
      <c r="AF1411" s="315">
        <f t="shared" si="385"/>
        <v>0</v>
      </c>
      <c r="AG1411" s="316">
        <f t="shared" si="386"/>
        <v>0</v>
      </c>
      <c r="AH1411" s="314">
        <v>1</v>
      </c>
      <c r="AI1411" s="314">
        <f t="shared" si="387"/>
        <v>0</v>
      </c>
      <c r="AJ1411" s="314">
        <f t="shared" si="388"/>
        <v>0</v>
      </c>
      <c r="AK1411" s="317"/>
      <c r="AL1411" s="315">
        <f t="shared" si="389"/>
        <v>0</v>
      </c>
      <c r="AN1411" s="554">
        <f t="shared" si="390"/>
        <v>0</v>
      </c>
      <c r="AO1411" s="314"/>
      <c r="AP1411" s="318"/>
    </row>
    <row r="1412" spans="2:42">
      <c r="B1412" s="296"/>
      <c r="C1412" s="299"/>
      <c r="D1412" s="298"/>
      <c r="E1412" s="299"/>
      <c r="F1412" s="299"/>
      <c r="G1412" s="300"/>
      <c r="H1412" s="303"/>
      <c r="I1412" s="301">
        <f t="shared" si="374"/>
        <v>0</v>
      </c>
      <c r="J1412" s="302">
        <f t="shared" si="375"/>
        <v>0</v>
      </c>
      <c r="K1412" s="304">
        <f t="shared" si="376"/>
        <v>0</v>
      </c>
      <c r="L1412" s="305">
        <f>IF(H1412=0,0,IF(OR(E1412=$AT$5,E1412=$AT$6),AA1412,IF(F1412="MXN",1/HLOOKUP(YEAR(G1412)+(MONTH(G1412)/100),TC!$5:$37,DAY(G1412)+2,FALSE),VLOOKUP(F1412,Equivalencia!$5:$23,((MAX(Equivalencia!$3:$3)-YEAR(G1412))*14)+MONTH(G1412)+2,FALSE))))</f>
        <v>0</v>
      </c>
      <c r="M1412" s="306">
        <f t="shared" si="377"/>
        <v>0</v>
      </c>
      <c r="N1412" s="305">
        <f>IF(G1412=0,0,(IF(OR(E1412=$AT$5,E1412=$AT$6),AC1412,HLOOKUP(YEAR(G1412)+(MONTH(G1412)/100),TC!$5:$37,DAY(G1412)+2,FALSE))))</f>
        <v>0</v>
      </c>
      <c r="O1412" s="307">
        <f t="shared" si="378"/>
        <v>0</v>
      </c>
      <c r="P1412" s="560">
        <f>IF(G1412=0,0,VLOOKUP(YEAR(G1412),INPC!$B$4:$P$30,MONTH(G1412)+2))</f>
        <v>0</v>
      </c>
      <c r="Q1412" s="560">
        <f>IF(X1412=0,0,IF(OR(E1412=$AT$10,E1412=$AT$9),VLOOKUP(YEAR(X1412),INPC!$B$4:$P$30,MONTH(X1412)+1),VLOOKUP(YEAR(X1412),INPC!$B$4:$P$30,MONTH(X1412)+2,0)))</f>
        <v>0</v>
      </c>
      <c r="R1412" s="309">
        <f t="shared" si="379"/>
        <v>0</v>
      </c>
      <c r="S1412" s="310">
        <f t="shared" si="380"/>
        <v>0</v>
      </c>
      <c r="T1412" s="555">
        <f t="shared" si="381"/>
        <v>0</v>
      </c>
      <c r="U1412" s="311"/>
      <c r="V1412" s="312"/>
      <c r="W1412" s="299"/>
      <c r="X1412" s="300"/>
      <c r="Y1412" s="299"/>
      <c r="Z1412" s="303"/>
      <c r="AA1412" s="305">
        <f>IF(Z1412=0,0,IF(Y1412="MXN",1/HLOOKUP(YEAR(X1412)+(MONTH(X1412)/100),TC!$5:$37,DAY(X1412)+2,FALSE),VLOOKUP(Y1412,Equivalencia!$1:$23,((MAX(Equivalencia!$3:$3)-YEAR(X1412))*14)+MONTH(X1412)+2,FALSE)))</f>
        <v>0</v>
      </c>
      <c r="AB1412" s="306">
        <f t="shared" si="382"/>
        <v>0</v>
      </c>
      <c r="AC1412" s="305">
        <f>+IF(X1412=0,0,HLOOKUP(YEAR(X1412)+(MONTH(X1412)/100),TC!$5:$37,DAY(X1412)+2,FALSE))</f>
        <v>0</v>
      </c>
      <c r="AD1412" s="307">
        <f t="shared" si="383"/>
        <v>0</v>
      </c>
      <c r="AE1412" s="314">
        <f t="shared" si="384"/>
        <v>0</v>
      </c>
      <c r="AF1412" s="315">
        <f t="shared" si="385"/>
        <v>0</v>
      </c>
      <c r="AG1412" s="316">
        <f t="shared" si="386"/>
        <v>0</v>
      </c>
      <c r="AH1412" s="314">
        <v>1</v>
      </c>
      <c r="AI1412" s="314">
        <f t="shared" si="387"/>
        <v>0</v>
      </c>
      <c r="AJ1412" s="314">
        <f t="shared" si="388"/>
        <v>0</v>
      </c>
      <c r="AK1412" s="317"/>
      <c r="AL1412" s="315">
        <f t="shared" si="389"/>
        <v>0</v>
      </c>
      <c r="AN1412" s="554">
        <f t="shared" si="390"/>
        <v>0</v>
      </c>
      <c r="AO1412" s="314"/>
      <c r="AP1412" s="318"/>
    </row>
    <row r="1413" spans="2:42">
      <c r="B1413" s="296"/>
      <c r="C1413" s="299"/>
      <c r="D1413" s="298"/>
      <c r="E1413" s="299"/>
      <c r="F1413" s="299"/>
      <c r="G1413" s="300"/>
      <c r="H1413" s="303"/>
      <c r="I1413" s="301">
        <f t="shared" si="374"/>
        <v>0</v>
      </c>
      <c r="J1413" s="302">
        <f t="shared" si="375"/>
        <v>0</v>
      </c>
      <c r="K1413" s="304">
        <f t="shared" si="376"/>
        <v>0</v>
      </c>
      <c r="L1413" s="305">
        <f>IF(H1413=0,0,IF(OR(E1413=$AT$5,E1413=$AT$6),AA1413,IF(F1413="MXN",1/HLOOKUP(YEAR(G1413)+(MONTH(G1413)/100),TC!$5:$37,DAY(G1413)+2,FALSE),VLOOKUP(F1413,Equivalencia!$5:$23,((MAX(Equivalencia!$3:$3)-YEAR(G1413))*14)+MONTH(G1413)+2,FALSE))))</f>
        <v>0</v>
      </c>
      <c r="M1413" s="306">
        <f t="shared" si="377"/>
        <v>0</v>
      </c>
      <c r="N1413" s="305">
        <f>IF(G1413=0,0,(IF(OR(E1413=$AT$5,E1413=$AT$6),AC1413,HLOOKUP(YEAR(G1413)+(MONTH(G1413)/100),TC!$5:$37,DAY(G1413)+2,FALSE))))</f>
        <v>0</v>
      </c>
      <c r="O1413" s="307">
        <f t="shared" si="378"/>
        <v>0</v>
      </c>
      <c r="P1413" s="560">
        <f>IF(G1413=0,0,VLOOKUP(YEAR(G1413),INPC!$B$4:$P$30,MONTH(G1413)+2))</f>
        <v>0</v>
      </c>
      <c r="Q1413" s="560">
        <f>IF(X1413=0,0,IF(OR(E1413=$AT$10,E1413=$AT$9),VLOOKUP(YEAR(X1413),INPC!$B$4:$P$30,MONTH(X1413)+1),VLOOKUP(YEAR(X1413),INPC!$B$4:$P$30,MONTH(X1413)+2,0)))</f>
        <v>0</v>
      </c>
      <c r="R1413" s="309">
        <f t="shared" si="379"/>
        <v>0</v>
      </c>
      <c r="S1413" s="310">
        <f t="shared" si="380"/>
        <v>0</v>
      </c>
      <c r="T1413" s="555">
        <f t="shared" si="381"/>
        <v>0</v>
      </c>
      <c r="U1413" s="311"/>
      <c r="V1413" s="312"/>
      <c r="W1413" s="299"/>
      <c r="X1413" s="300"/>
      <c r="Y1413" s="299"/>
      <c r="Z1413" s="303"/>
      <c r="AA1413" s="305">
        <f>IF(Z1413=0,0,IF(Y1413="MXN",1/HLOOKUP(YEAR(X1413)+(MONTH(X1413)/100),TC!$5:$37,DAY(X1413)+2,FALSE),VLOOKUP(Y1413,Equivalencia!$1:$23,((MAX(Equivalencia!$3:$3)-YEAR(X1413))*14)+MONTH(X1413)+2,FALSE)))</f>
        <v>0</v>
      </c>
      <c r="AB1413" s="306">
        <f t="shared" si="382"/>
        <v>0</v>
      </c>
      <c r="AC1413" s="305">
        <f>+IF(X1413=0,0,HLOOKUP(YEAR(X1413)+(MONTH(X1413)/100),TC!$5:$37,DAY(X1413)+2,FALSE))</f>
        <v>0</v>
      </c>
      <c r="AD1413" s="307">
        <f t="shared" si="383"/>
        <v>0</v>
      </c>
      <c r="AE1413" s="314">
        <f t="shared" si="384"/>
        <v>0</v>
      </c>
      <c r="AF1413" s="315">
        <f t="shared" si="385"/>
        <v>0</v>
      </c>
      <c r="AG1413" s="316">
        <f t="shared" si="386"/>
        <v>0</v>
      </c>
      <c r="AH1413" s="314">
        <v>1</v>
      </c>
      <c r="AI1413" s="314">
        <f t="shared" si="387"/>
        <v>0</v>
      </c>
      <c r="AJ1413" s="314">
        <f t="shared" si="388"/>
        <v>0</v>
      </c>
      <c r="AK1413" s="317"/>
      <c r="AL1413" s="315">
        <f t="shared" si="389"/>
        <v>0</v>
      </c>
      <c r="AN1413" s="554">
        <f t="shared" si="390"/>
        <v>0</v>
      </c>
      <c r="AO1413" s="314"/>
      <c r="AP1413" s="318"/>
    </row>
    <row r="1414" spans="2:42">
      <c r="B1414" s="296"/>
      <c r="C1414" s="299"/>
      <c r="D1414" s="298"/>
      <c r="E1414" s="299"/>
      <c r="F1414" s="299"/>
      <c r="G1414" s="300"/>
      <c r="H1414" s="303"/>
      <c r="I1414" s="301">
        <f t="shared" si="374"/>
        <v>0</v>
      </c>
      <c r="J1414" s="302">
        <f t="shared" si="375"/>
        <v>0</v>
      </c>
      <c r="K1414" s="304">
        <f t="shared" si="376"/>
        <v>0</v>
      </c>
      <c r="L1414" s="305">
        <f>IF(H1414=0,0,IF(OR(E1414=$AT$5,E1414=$AT$6),AA1414,IF(F1414="MXN",1/HLOOKUP(YEAR(G1414)+(MONTH(G1414)/100),TC!$5:$37,DAY(G1414)+2,FALSE),VLOOKUP(F1414,Equivalencia!$5:$23,((MAX(Equivalencia!$3:$3)-YEAR(G1414))*14)+MONTH(G1414)+2,FALSE))))</f>
        <v>0</v>
      </c>
      <c r="M1414" s="306">
        <f t="shared" si="377"/>
        <v>0</v>
      </c>
      <c r="N1414" s="305">
        <f>IF(G1414=0,0,(IF(OR(E1414=$AT$5,E1414=$AT$6),AC1414,HLOOKUP(YEAR(G1414)+(MONTH(G1414)/100),TC!$5:$37,DAY(G1414)+2,FALSE))))</f>
        <v>0</v>
      </c>
      <c r="O1414" s="307">
        <f t="shared" si="378"/>
        <v>0</v>
      </c>
      <c r="P1414" s="560">
        <f>IF(G1414=0,0,VLOOKUP(YEAR(G1414),INPC!$B$4:$P$30,MONTH(G1414)+2))</f>
        <v>0</v>
      </c>
      <c r="Q1414" s="560">
        <f>IF(X1414=0,0,IF(OR(E1414=$AT$10,E1414=$AT$9),VLOOKUP(YEAR(X1414),INPC!$B$4:$P$30,MONTH(X1414)+1),VLOOKUP(YEAR(X1414),INPC!$B$4:$P$30,MONTH(X1414)+2,0)))</f>
        <v>0</v>
      </c>
      <c r="R1414" s="309">
        <f t="shared" si="379"/>
        <v>0</v>
      </c>
      <c r="S1414" s="310">
        <f t="shared" si="380"/>
        <v>0</v>
      </c>
      <c r="T1414" s="555">
        <f t="shared" si="381"/>
        <v>0</v>
      </c>
      <c r="U1414" s="311"/>
      <c r="V1414" s="312"/>
      <c r="W1414" s="299"/>
      <c r="X1414" s="300"/>
      <c r="Y1414" s="299"/>
      <c r="Z1414" s="303"/>
      <c r="AA1414" s="305">
        <f>IF(Z1414=0,0,IF(Y1414="MXN",1/HLOOKUP(YEAR(X1414)+(MONTH(X1414)/100),TC!$5:$37,DAY(X1414)+2,FALSE),VLOOKUP(Y1414,Equivalencia!$1:$23,((MAX(Equivalencia!$3:$3)-YEAR(X1414))*14)+MONTH(X1414)+2,FALSE)))</f>
        <v>0</v>
      </c>
      <c r="AB1414" s="306">
        <f t="shared" si="382"/>
        <v>0</v>
      </c>
      <c r="AC1414" s="305">
        <f>+IF(X1414=0,0,HLOOKUP(YEAR(X1414)+(MONTH(X1414)/100),TC!$5:$37,DAY(X1414)+2,FALSE))</f>
        <v>0</v>
      </c>
      <c r="AD1414" s="307">
        <f t="shared" si="383"/>
        <v>0</v>
      </c>
      <c r="AE1414" s="314">
        <f t="shared" si="384"/>
        <v>0</v>
      </c>
      <c r="AF1414" s="315">
        <f t="shared" si="385"/>
        <v>0</v>
      </c>
      <c r="AG1414" s="316">
        <f t="shared" si="386"/>
        <v>0</v>
      </c>
      <c r="AH1414" s="314">
        <v>1</v>
      </c>
      <c r="AI1414" s="314">
        <f t="shared" si="387"/>
        <v>0</v>
      </c>
      <c r="AJ1414" s="314">
        <f t="shared" si="388"/>
        <v>0</v>
      </c>
      <c r="AK1414" s="317"/>
      <c r="AL1414" s="315">
        <f t="shared" si="389"/>
        <v>0</v>
      </c>
      <c r="AN1414" s="554">
        <f t="shared" si="390"/>
        <v>0</v>
      </c>
      <c r="AO1414" s="314"/>
      <c r="AP1414" s="318"/>
    </row>
    <row r="1415" spans="2:42">
      <c r="B1415" s="296"/>
      <c r="C1415" s="299"/>
      <c r="D1415" s="298"/>
      <c r="E1415" s="299"/>
      <c r="F1415" s="299"/>
      <c r="G1415" s="300"/>
      <c r="H1415" s="303"/>
      <c r="I1415" s="301">
        <f t="shared" si="374"/>
        <v>0</v>
      </c>
      <c r="J1415" s="302">
        <f t="shared" si="375"/>
        <v>0</v>
      </c>
      <c r="K1415" s="304">
        <f t="shared" si="376"/>
        <v>0</v>
      </c>
      <c r="L1415" s="305">
        <f>IF(H1415=0,0,IF(OR(E1415=$AT$5,E1415=$AT$6),AA1415,IF(F1415="MXN",1/HLOOKUP(YEAR(G1415)+(MONTH(G1415)/100),TC!$5:$37,DAY(G1415)+2,FALSE),VLOOKUP(F1415,Equivalencia!$5:$23,((MAX(Equivalencia!$3:$3)-YEAR(G1415))*14)+MONTH(G1415)+2,FALSE))))</f>
        <v>0</v>
      </c>
      <c r="M1415" s="306">
        <f t="shared" si="377"/>
        <v>0</v>
      </c>
      <c r="N1415" s="305">
        <f>IF(G1415=0,0,(IF(OR(E1415=$AT$5,E1415=$AT$6),AC1415,HLOOKUP(YEAR(G1415)+(MONTH(G1415)/100),TC!$5:$37,DAY(G1415)+2,FALSE))))</f>
        <v>0</v>
      </c>
      <c r="O1415" s="307">
        <f t="shared" si="378"/>
        <v>0</v>
      </c>
      <c r="P1415" s="560">
        <f>IF(G1415=0,0,VLOOKUP(YEAR(G1415),INPC!$B$4:$P$30,MONTH(G1415)+2))</f>
        <v>0</v>
      </c>
      <c r="Q1415" s="560">
        <f>IF(X1415=0,0,IF(OR(E1415=$AT$10,E1415=$AT$9),VLOOKUP(YEAR(X1415),INPC!$B$4:$P$30,MONTH(X1415)+1),VLOOKUP(YEAR(X1415),INPC!$B$4:$P$30,MONTH(X1415)+2,0)))</f>
        <v>0</v>
      </c>
      <c r="R1415" s="309">
        <f t="shared" si="379"/>
        <v>0</v>
      </c>
      <c r="S1415" s="310">
        <f t="shared" si="380"/>
        <v>0</v>
      </c>
      <c r="T1415" s="555">
        <f t="shared" si="381"/>
        <v>0</v>
      </c>
      <c r="U1415" s="311"/>
      <c r="V1415" s="312"/>
      <c r="W1415" s="299"/>
      <c r="X1415" s="300"/>
      <c r="Y1415" s="299"/>
      <c r="Z1415" s="303"/>
      <c r="AA1415" s="305">
        <f>IF(Z1415=0,0,IF(Y1415="MXN",1/HLOOKUP(YEAR(X1415)+(MONTH(X1415)/100),TC!$5:$37,DAY(X1415)+2,FALSE),VLOOKUP(Y1415,Equivalencia!$1:$23,((MAX(Equivalencia!$3:$3)-YEAR(X1415))*14)+MONTH(X1415)+2,FALSE)))</f>
        <v>0</v>
      </c>
      <c r="AB1415" s="306">
        <f t="shared" si="382"/>
        <v>0</v>
      </c>
      <c r="AC1415" s="305">
        <f>+IF(X1415=0,0,HLOOKUP(YEAR(X1415)+(MONTH(X1415)/100),TC!$5:$37,DAY(X1415)+2,FALSE))</f>
        <v>0</v>
      </c>
      <c r="AD1415" s="307">
        <f t="shared" si="383"/>
        <v>0</v>
      </c>
      <c r="AE1415" s="314">
        <f t="shared" si="384"/>
        <v>0</v>
      </c>
      <c r="AF1415" s="315">
        <f t="shared" si="385"/>
        <v>0</v>
      </c>
      <c r="AG1415" s="316">
        <f t="shared" si="386"/>
        <v>0</v>
      </c>
      <c r="AH1415" s="314">
        <v>1</v>
      </c>
      <c r="AI1415" s="314">
        <f t="shared" si="387"/>
        <v>0</v>
      </c>
      <c r="AJ1415" s="314">
        <f t="shared" si="388"/>
        <v>0</v>
      </c>
      <c r="AK1415" s="317"/>
      <c r="AL1415" s="315">
        <f t="shared" si="389"/>
        <v>0</v>
      </c>
      <c r="AN1415" s="554">
        <f t="shared" si="390"/>
        <v>0</v>
      </c>
      <c r="AO1415" s="314"/>
      <c r="AP1415" s="318"/>
    </row>
    <row r="1416" spans="2:42">
      <c r="B1416" s="296"/>
      <c r="C1416" s="299"/>
      <c r="D1416" s="298"/>
      <c r="E1416" s="299"/>
      <c r="F1416" s="299"/>
      <c r="G1416" s="300"/>
      <c r="H1416" s="303"/>
      <c r="I1416" s="301">
        <f t="shared" si="374"/>
        <v>0</v>
      </c>
      <c r="J1416" s="302">
        <f t="shared" si="375"/>
        <v>0</v>
      </c>
      <c r="K1416" s="304">
        <f t="shared" si="376"/>
        <v>0</v>
      </c>
      <c r="L1416" s="305">
        <f>IF(H1416=0,0,IF(OR(E1416=$AT$5,E1416=$AT$6),AA1416,IF(F1416="MXN",1/HLOOKUP(YEAR(G1416)+(MONTH(G1416)/100),TC!$5:$37,DAY(G1416)+2,FALSE),VLOOKUP(F1416,Equivalencia!$5:$23,((MAX(Equivalencia!$3:$3)-YEAR(G1416))*14)+MONTH(G1416)+2,FALSE))))</f>
        <v>0</v>
      </c>
      <c r="M1416" s="306">
        <f t="shared" si="377"/>
        <v>0</v>
      </c>
      <c r="N1416" s="305">
        <f>IF(G1416=0,0,(IF(OR(E1416=$AT$5,E1416=$AT$6),AC1416,HLOOKUP(YEAR(G1416)+(MONTH(G1416)/100),TC!$5:$37,DAY(G1416)+2,FALSE))))</f>
        <v>0</v>
      </c>
      <c r="O1416" s="307">
        <f t="shared" si="378"/>
        <v>0</v>
      </c>
      <c r="P1416" s="560">
        <f>IF(G1416=0,0,VLOOKUP(YEAR(G1416),INPC!$B$4:$P$30,MONTH(G1416)+2))</f>
        <v>0</v>
      </c>
      <c r="Q1416" s="560">
        <f>IF(X1416=0,0,IF(OR(E1416=$AT$10,E1416=$AT$9),VLOOKUP(YEAR(X1416),INPC!$B$4:$P$30,MONTH(X1416)+1),VLOOKUP(YEAR(X1416),INPC!$B$4:$P$30,MONTH(X1416)+2,0)))</f>
        <v>0</v>
      </c>
      <c r="R1416" s="309">
        <f t="shared" si="379"/>
        <v>0</v>
      </c>
      <c r="S1416" s="310">
        <f t="shared" si="380"/>
        <v>0</v>
      </c>
      <c r="T1416" s="555">
        <f t="shared" si="381"/>
        <v>0</v>
      </c>
      <c r="U1416" s="311"/>
      <c r="V1416" s="312"/>
      <c r="W1416" s="299"/>
      <c r="X1416" s="300"/>
      <c r="Y1416" s="299"/>
      <c r="Z1416" s="303"/>
      <c r="AA1416" s="305">
        <f>IF(Z1416=0,0,IF(Y1416="MXN",1/HLOOKUP(YEAR(X1416)+(MONTH(X1416)/100),TC!$5:$37,DAY(X1416)+2,FALSE),VLOOKUP(Y1416,Equivalencia!$1:$23,((MAX(Equivalencia!$3:$3)-YEAR(X1416))*14)+MONTH(X1416)+2,FALSE)))</f>
        <v>0</v>
      </c>
      <c r="AB1416" s="306">
        <f t="shared" si="382"/>
        <v>0</v>
      </c>
      <c r="AC1416" s="305">
        <f>+IF(X1416=0,0,HLOOKUP(YEAR(X1416)+(MONTH(X1416)/100),TC!$5:$37,DAY(X1416)+2,FALSE))</f>
        <v>0</v>
      </c>
      <c r="AD1416" s="307">
        <f t="shared" si="383"/>
        <v>0</v>
      </c>
      <c r="AE1416" s="314">
        <f t="shared" si="384"/>
        <v>0</v>
      </c>
      <c r="AF1416" s="315">
        <f t="shared" si="385"/>
        <v>0</v>
      </c>
      <c r="AG1416" s="316">
        <f t="shared" si="386"/>
        <v>0</v>
      </c>
      <c r="AH1416" s="314">
        <v>1</v>
      </c>
      <c r="AI1416" s="314">
        <f t="shared" si="387"/>
        <v>0</v>
      </c>
      <c r="AJ1416" s="314">
        <f t="shared" si="388"/>
        <v>0</v>
      </c>
      <c r="AK1416" s="317"/>
      <c r="AL1416" s="315">
        <f t="shared" si="389"/>
        <v>0</v>
      </c>
      <c r="AN1416" s="554">
        <f t="shared" si="390"/>
        <v>0</v>
      </c>
      <c r="AO1416" s="314"/>
      <c r="AP1416" s="318"/>
    </row>
    <row r="1417" spans="2:42">
      <c r="B1417" s="296"/>
      <c r="C1417" s="299"/>
      <c r="D1417" s="298"/>
      <c r="E1417" s="299"/>
      <c r="F1417" s="299"/>
      <c r="G1417" s="300"/>
      <c r="H1417" s="303"/>
      <c r="I1417" s="301">
        <f t="shared" si="374"/>
        <v>0</v>
      </c>
      <c r="J1417" s="302">
        <f t="shared" si="375"/>
        <v>0</v>
      </c>
      <c r="K1417" s="304">
        <f t="shared" si="376"/>
        <v>0</v>
      </c>
      <c r="L1417" s="305">
        <f>IF(H1417=0,0,IF(OR(E1417=$AT$5,E1417=$AT$6),AA1417,IF(F1417="MXN",1/HLOOKUP(YEAR(G1417)+(MONTH(G1417)/100),TC!$5:$37,DAY(G1417)+2,FALSE),VLOOKUP(F1417,Equivalencia!$5:$23,((MAX(Equivalencia!$3:$3)-YEAR(G1417))*14)+MONTH(G1417)+2,FALSE))))</f>
        <v>0</v>
      </c>
      <c r="M1417" s="306">
        <f t="shared" si="377"/>
        <v>0</v>
      </c>
      <c r="N1417" s="305">
        <f>IF(G1417=0,0,(IF(OR(E1417=$AT$5,E1417=$AT$6),AC1417,HLOOKUP(YEAR(G1417)+(MONTH(G1417)/100),TC!$5:$37,DAY(G1417)+2,FALSE))))</f>
        <v>0</v>
      </c>
      <c r="O1417" s="307">
        <f t="shared" si="378"/>
        <v>0</v>
      </c>
      <c r="P1417" s="560">
        <f>IF(G1417=0,0,VLOOKUP(YEAR(G1417),INPC!$B$4:$P$30,MONTH(G1417)+2))</f>
        <v>0</v>
      </c>
      <c r="Q1417" s="560">
        <f>IF(X1417=0,0,IF(OR(E1417=$AT$10,E1417=$AT$9),VLOOKUP(YEAR(X1417),INPC!$B$4:$P$30,MONTH(X1417)+1),VLOOKUP(YEAR(X1417),INPC!$B$4:$P$30,MONTH(X1417)+2,0)))</f>
        <v>0</v>
      </c>
      <c r="R1417" s="309">
        <f t="shared" si="379"/>
        <v>0</v>
      </c>
      <c r="S1417" s="310">
        <f t="shared" si="380"/>
        <v>0</v>
      </c>
      <c r="T1417" s="555">
        <f t="shared" si="381"/>
        <v>0</v>
      </c>
      <c r="U1417" s="311"/>
      <c r="V1417" s="312"/>
      <c r="W1417" s="299"/>
      <c r="X1417" s="300"/>
      <c r="Y1417" s="299"/>
      <c r="Z1417" s="303"/>
      <c r="AA1417" s="305">
        <f>IF(Z1417=0,0,IF(Y1417="MXN",1/HLOOKUP(YEAR(X1417)+(MONTH(X1417)/100),TC!$5:$37,DAY(X1417)+2,FALSE),VLOOKUP(Y1417,Equivalencia!$1:$23,((MAX(Equivalencia!$3:$3)-YEAR(X1417))*14)+MONTH(X1417)+2,FALSE)))</f>
        <v>0</v>
      </c>
      <c r="AB1417" s="306">
        <f t="shared" si="382"/>
        <v>0</v>
      </c>
      <c r="AC1417" s="305">
        <f>+IF(X1417=0,0,HLOOKUP(YEAR(X1417)+(MONTH(X1417)/100),TC!$5:$37,DAY(X1417)+2,FALSE))</f>
        <v>0</v>
      </c>
      <c r="AD1417" s="307">
        <f t="shared" si="383"/>
        <v>0</v>
      </c>
      <c r="AE1417" s="314">
        <f t="shared" si="384"/>
        <v>0</v>
      </c>
      <c r="AF1417" s="315">
        <f t="shared" si="385"/>
        <v>0</v>
      </c>
      <c r="AG1417" s="316">
        <f t="shared" si="386"/>
        <v>0</v>
      </c>
      <c r="AH1417" s="314">
        <v>1</v>
      </c>
      <c r="AI1417" s="314">
        <f t="shared" si="387"/>
        <v>0</v>
      </c>
      <c r="AJ1417" s="314">
        <f t="shared" si="388"/>
        <v>0</v>
      </c>
      <c r="AK1417" s="317"/>
      <c r="AL1417" s="315">
        <f t="shared" si="389"/>
        <v>0</v>
      </c>
      <c r="AN1417" s="554">
        <f t="shared" si="390"/>
        <v>0</v>
      </c>
      <c r="AO1417" s="314"/>
      <c r="AP1417" s="318"/>
    </row>
    <row r="1418" spans="2:42">
      <c r="B1418" s="296"/>
      <c r="C1418" s="299"/>
      <c r="D1418" s="298"/>
      <c r="E1418" s="299"/>
      <c r="F1418" s="299"/>
      <c r="G1418" s="300"/>
      <c r="H1418" s="303"/>
      <c r="I1418" s="301">
        <f t="shared" si="374"/>
        <v>0</v>
      </c>
      <c r="J1418" s="302">
        <f t="shared" si="375"/>
        <v>0</v>
      </c>
      <c r="K1418" s="304">
        <f t="shared" si="376"/>
        <v>0</v>
      </c>
      <c r="L1418" s="305">
        <f>IF(H1418=0,0,IF(OR(E1418=$AT$5,E1418=$AT$6),AA1418,IF(F1418="MXN",1/HLOOKUP(YEAR(G1418)+(MONTH(G1418)/100),TC!$5:$37,DAY(G1418)+2,FALSE),VLOOKUP(F1418,Equivalencia!$5:$23,((MAX(Equivalencia!$3:$3)-YEAR(G1418))*14)+MONTH(G1418)+2,FALSE))))</f>
        <v>0</v>
      </c>
      <c r="M1418" s="306">
        <f t="shared" si="377"/>
        <v>0</v>
      </c>
      <c r="N1418" s="305">
        <f>IF(G1418=0,0,(IF(OR(E1418=$AT$5,E1418=$AT$6),AC1418,HLOOKUP(YEAR(G1418)+(MONTH(G1418)/100),TC!$5:$37,DAY(G1418)+2,FALSE))))</f>
        <v>0</v>
      </c>
      <c r="O1418" s="307">
        <f t="shared" si="378"/>
        <v>0</v>
      </c>
      <c r="P1418" s="560">
        <f>IF(G1418=0,0,VLOOKUP(YEAR(G1418),INPC!$B$4:$P$30,MONTH(G1418)+2))</f>
        <v>0</v>
      </c>
      <c r="Q1418" s="560">
        <f>IF(X1418=0,0,IF(OR(E1418=$AT$10,E1418=$AT$9),VLOOKUP(YEAR(X1418),INPC!$B$4:$P$30,MONTH(X1418)+1),VLOOKUP(YEAR(X1418),INPC!$B$4:$P$30,MONTH(X1418)+2,0)))</f>
        <v>0</v>
      </c>
      <c r="R1418" s="309">
        <f t="shared" si="379"/>
        <v>0</v>
      </c>
      <c r="S1418" s="310">
        <f t="shared" si="380"/>
        <v>0</v>
      </c>
      <c r="T1418" s="555">
        <f t="shared" si="381"/>
        <v>0</v>
      </c>
      <c r="U1418" s="311"/>
      <c r="V1418" s="312"/>
      <c r="W1418" s="299"/>
      <c r="X1418" s="300"/>
      <c r="Y1418" s="299"/>
      <c r="Z1418" s="303"/>
      <c r="AA1418" s="305">
        <f>IF(Z1418=0,0,IF(Y1418="MXN",1/HLOOKUP(YEAR(X1418)+(MONTH(X1418)/100),TC!$5:$37,DAY(X1418)+2,FALSE),VLOOKUP(Y1418,Equivalencia!$1:$23,((MAX(Equivalencia!$3:$3)-YEAR(X1418))*14)+MONTH(X1418)+2,FALSE)))</f>
        <v>0</v>
      </c>
      <c r="AB1418" s="306">
        <f t="shared" si="382"/>
        <v>0</v>
      </c>
      <c r="AC1418" s="305">
        <f>+IF(X1418=0,0,HLOOKUP(YEAR(X1418)+(MONTH(X1418)/100),TC!$5:$37,DAY(X1418)+2,FALSE))</f>
        <v>0</v>
      </c>
      <c r="AD1418" s="307">
        <f t="shared" si="383"/>
        <v>0</v>
      </c>
      <c r="AE1418" s="314">
        <f t="shared" si="384"/>
        <v>0</v>
      </c>
      <c r="AF1418" s="315">
        <f t="shared" si="385"/>
        <v>0</v>
      </c>
      <c r="AG1418" s="316">
        <f t="shared" si="386"/>
        <v>0</v>
      </c>
      <c r="AH1418" s="314">
        <v>1</v>
      </c>
      <c r="AI1418" s="314">
        <f t="shared" si="387"/>
        <v>0</v>
      </c>
      <c r="AJ1418" s="314">
        <f t="shared" si="388"/>
        <v>0</v>
      </c>
      <c r="AK1418" s="317"/>
      <c r="AL1418" s="315">
        <f t="shared" si="389"/>
        <v>0</v>
      </c>
      <c r="AN1418" s="554">
        <f t="shared" si="390"/>
        <v>0</v>
      </c>
      <c r="AO1418" s="314"/>
      <c r="AP1418" s="318"/>
    </row>
    <row r="1419" spans="2:42">
      <c r="B1419" s="296"/>
      <c r="C1419" s="299"/>
      <c r="D1419" s="298"/>
      <c r="E1419" s="299"/>
      <c r="F1419" s="299"/>
      <c r="G1419" s="300"/>
      <c r="H1419" s="303"/>
      <c r="I1419" s="301">
        <f t="shared" si="374"/>
        <v>0</v>
      </c>
      <c r="J1419" s="302">
        <f t="shared" si="375"/>
        <v>0</v>
      </c>
      <c r="K1419" s="304">
        <f t="shared" si="376"/>
        <v>0</v>
      </c>
      <c r="L1419" s="305">
        <f>IF(H1419=0,0,IF(OR(E1419=$AT$5,E1419=$AT$6),AA1419,IF(F1419="MXN",1/HLOOKUP(YEAR(G1419)+(MONTH(G1419)/100),TC!$5:$37,DAY(G1419)+2,FALSE),VLOOKUP(F1419,Equivalencia!$5:$23,((MAX(Equivalencia!$3:$3)-YEAR(G1419))*14)+MONTH(G1419)+2,FALSE))))</f>
        <v>0</v>
      </c>
      <c r="M1419" s="306">
        <f t="shared" si="377"/>
        <v>0</v>
      </c>
      <c r="N1419" s="305">
        <f>IF(G1419=0,0,(IF(OR(E1419=$AT$5,E1419=$AT$6),AC1419,HLOOKUP(YEAR(G1419)+(MONTH(G1419)/100),TC!$5:$37,DAY(G1419)+2,FALSE))))</f>
        <v>0</v>
      </c>
      <c r="O1419" s="307">
        <f t="shared" si="378"/>
        <v>0</v>
      </c>
      <c r="P1419" s="560">
        <f>IF(G1419=0,0,VLOOKUP(YEAR(G1419),INPC!$B$4:$P$30,MONTH(G1419)+2))</f>
        <v>0</v>
      </c>
      <c r="Q1419" s="560">
        <f>IF(X1419=0,0,IF(OR(E1419=$AT$10,E1419=$AT$9),VLOOKUP(YEAR(X1419),INPC!$B$4:$P$30,MONTH(X1419)+1),VLOOKUP(YEAR(X1419),INPC!$B$4:$P$30,MONTH(X1419)+2,0)))</f>
        <v>0</v>
      </c>
      <c r="R1419" s="309">
        <f t="shared" si="379"/>
        <v>0</v>
      </c>
      <c r="S1419" s="310">
        <f t="shared" si="380"/>
        <v>0</v>
      </c>
      <c r="T1419" s="555">
        <f t="shared" si="381"/>
        <v>0</v>
      </c>
      <c r="U1419" s="311"/>
      <c r="V1419" s="312"/>
      <c r="W1419" s="299"/>
      <c r="X1419" s="300"/>
      <c r="Y1419" s="299"/>
      <c r="Z1419" s="303"/>
      <c r="AA1419" s="305">
        <f>IF(Z1419=0,0,IF(Y1419="MXN",1/HLOOKUP(YEAR(X1419)+(MONTH(X1419)/100),TC!$5:$37,DAY(X1419)+2,FALSE),VLOOKUP(Y1419,Equivalencia!$1:$23,((MAX(Equivalencia!$3:$3)-YEAR(X1419))*14)+MONTH(X1419)+2,FALSE)))</f>
        <v>0</v>
      </c>
      <c r="AB1419" s="306">
        <f t="shared" si="382"/>
        <v>0</v>
      </c>
      <c r="AC1419" s="305">
        <f>+IF(X1419=0,0,HLOOKUP(YEAR(X1419)+(MONTH(X1419)/100),TC!$5:$37,DAY(X1419)+2,FALSE))</f>
        <v>0</v>
      </c>
      <c r="AD1419" s="307">
        <f t="shared" si="383"/>
        <v>0</v>
      </c>
      <c r="AE1419" s="314">
        <f t="shared" si="384"/>
        <v>0</v>
      </c>
      <c r="AF1419" s="315">
        <f t="shared" si="385"/>
        <v>0</v>
      </c>
      <c r="AG1419" s="316">
        <f t="shared" si="386"/>
        <v>0</v>
      </c>
      <c r="AH1419" s="314">
        <v>1</v>
      </c>
      <c r="AI1419" s="314">
        <f t="shared" si="387"/>
        <v>0</v>
      </c>
      <c r="AJ1419" s="314">
        <f t="shared" si="388"/>
        <v>0</v>
      </c>
      <c r="AK1419" s="317"/>
      <c r="AL1419" s="315">
        <f t="shared" si="389"/>
        <v>0</v>
      </c>
      <c r="AN1419" s="554">
        <f t="shared" si="390"/>
        <v>0</v>
      </c>
      <c r="AO1419" s="314"/>
      <c r="AP1419" s="318"/>
    </row>
    <row r="1420" spans="2:42">
      <c r="B1420" s="296"/>
      <c r="C1420" s="299"/>
      <c r="D1420" s="298"/>
      <c r="E1420" s="299"/>
      <c r="F1420" s="299"/>
      <c r="G1420" s="300"/>
      <c r="H1420" s="303"/>
      <c r="I1420" s="301">
        <f t="shared" si="374"/>
        <v>0</v>
      </c>
      <c r="J1420" s="302">
        <f t="shared" si="375"/>
        <v>0</v>
      </c>
      <c r="K1420" s="304">
        <f t="shared" si="376"/>
        <v>0</v>
      </c>
      <c r="L1420" s="305">
        <f>IF(H1420=0,0,IF(OR(E1420=$AT$5,E1420=$AT$6),AA1420,IF(F1420="MXN",1/HLOOKUP(YEAR(G1420)+(MONTH(G1420)/100),TC!$5:$37,DAY(G1420)+2,FALSE),VLOOKUP(F1420,Equivalencia!$5:$23,((MAX(Equivalencia!$3:$3)-YEAR(G1420))*14)+MONTH(G1420)+2,FALSE))))</f>
        <v>0</v>
      </c>
      <c r="M1420" s="306">
        <f t="shared" si="377"/>
        <v>0</v>
      </c>
      <c r="N1420" s="305">
        <f>IF(G1420=0,0,(IF(OR(E1420=$AT$5,E1420=$AT$6),AC1420,HLOOKUP(YEAR(G1420)+(MONTH(G1420)/100),TC!$5:$37,DAY(G1420)+2,FALSE))))</f>
        <v>0</v>
      </c>
      <c r="O1420" s="307">
        <f t="shared" si="378"/>
        <v>0</v>
      </c>
      <c r="P1420" s="560">
        <f>IF(G1420=0,0,VLOOKUP(YEAR(G1420),INPC!$B$4:$P$30,MONTH(G1420)+2))</f>
        <v>0</v>
      </c>
      <c r="Q1420" s="560">
        <f>IF(X1420=0,0,IF(OR(E1420=$AT$10,E1420=$AT$9),VLOOKUP(YEAR(X1420),INPC!$B$4:$P$30,MONTH(X1420)+1),VLOOKUP(YEAR(X1420),INPC!$B$4:$P$30,MONTH(X1420)+2,0)))</f>
        <v>0</v>
      </c>
      <c r="R1420" s="309">
        <f t="shared" si="379"/>
        <v>0</v>
      </c>
      <c r="S1420" s="310">
        <f t="shared" si="380"/>
        <v>0</v>
      </c>
      <c r="T1420" s="555">
        <f t="shared" si="381"/>
        <v>0</v>
      </c>
      <c r="U1420" s="311"/>
      <c r="V1420" s="312"/>
      <c r="W1420" s="299"/>
      <c r="X1420" s="300"/>
      <c r="Y1420" s="299"/>
      <c r="Z1420" s="303"/>
      <c r="AA1420" s="305">
        <f>IF(Z1420=0,0,IF(Y1420="MXN",1/HLOOKUP(YEAR(X1420)+(MONTH(X1420)/100),TC!$5:$37,DAY(X1420)+2,FALSE),VLOOKUP(Y1420,Equivalencia!$1:$23,((MAX(Equivalencia!$3:$3)-YEAR(X1420))*14)+MONTH(X1420)+2,FALSE)))</f>
        <v>0</v>
      </c>
      <c r="AB1420" s="306">
        <f t="shared" si="382"/>
        <v>0</v>
      </c>
      <c r="AC1420" s="305">
        <f>+IF(X1420=0,0,HLOOKUP(YEAR(X1420)+(MONTH(X1420)/100),TC!$5:$37,DAY(X1420)+2,FALSE))</f>
        <v>0</v>
      </c>
      <c r="AD1420" s="307">
        <f t="shared" si="383"/>
        <v>0</v>
      </c>
      <c r="AE1420" s="314">
        <f t="shared" si="384"/>
        <v>0</v>
      </c>
      <c r="AF1420" s="315">
        <f t="shared" si="385"/>
        <v>0</v>
      </c>
      <c r="AG1420" s="316">
        <f t="shared" si="386"/>
        <v>0</v>
      </c>
      <c r="AH1420" s="314">
        <v>1</v>
      </c>
      <c r="AI1420" s="314">
        <f t="shared" si="387"/>
        <v>0</v>
      </c>
      <c r="AJ1420" s="314">
        <f t="shared" si="388"/>
        <v>0</v>
      </c>
      <c r="AK1420" s="317"/>
      <c r="AL1420" s="315">
        <f t="shared" si="389"/>
        <v>0</v>
      </c>
      <c r="AN1420" s="554">
        <f t="shared" si="390"/>
        <v>0</v>
      </c>
      <c r="AO1420" s="314"/>
      <c r="AP1420" s="318"/>
    </row>
    <row r="1421" spans="2:42">
      <c r="B1421" s="296"/>
      <c r="C1421" s="299"/>
      <c r="D1421" s="298"/>
      <c r="E1421" s="299"/>
      <c r="F1421" s="299"/>
      <c r="G1421" s="300"/>
      <c r="H1421" s="303"/>
      <c r="I1421" s="301">
        <f t="shared" si="374"/>
        <v>0</v>
      </c>
      <c r="J1421" s="302">
        <f t="shared" si="375"/>
        <v>0</v>
      </c>
      <c r="K1421" s="304">
        <f t="shared" si="376"/>
        <v>0</v>
      </c>
      <c r="L1421" s="305">
        <f>IF(H1421=0,0,IF(OR(E1421=$AT$5,E1421=$AT$6),AA1421,IF(F1421="MXN",1/HLOOKUP(YEAR(G1421)+(MONTH(G1421)/100),TC!$5:$37,DAY(G1421)+2,FALSE),VLOOKUP(F1421,Equivalencia!$5:$23,((MAX(Equivalencia!$3:$3)-YEAR(G1421))*14)+MONTH(G1421)+2,FALSE))))</f>
        <v>0</v>
      </c>
      <c r="M1421" s="306">
        <f t="shared" si="377"/>
        <v>0</v>
      </c>
      <c r="N1421" s="305">
        <f>IF(G1421=0,0,(IF(OR(E1421=$AT$5,E1421=$AT$6),AC1421,HLOOKUP(YEAR(G1421)+(MONTH(G1421)/100),TC!$5:$37,DAY(G1421)+2,FALSE))))</f>
        <v>0</v>
      </c>
      <c r="O1421" s="307">
        <f t="shared" si="378"/>
        <v>0</v>
      </c>
      <c r="P1421" s="560">
        <f>IF(G1421=0,0,VLOOKUP(YEAR(G1421),INPC!$B$4:$P$30,MONTH(G1421)+2))</f>
        <v>0</v>
      </c>
      <c r="Q1421" s="560">
        <f>IF(X1421=0,0,IF(OR(E1421=$AT$10,E1421=$AT$9),VLOOKUP(YEAR(X1421),INPC!$B$4:$P$30,MONTH(X1421)+1),VLOOKUP(YEAR(X1421),INPC!$B$4:$P$30,MONTH(X1421)+2,0)))</f>
        <v>0</v>
      </c>
      <c r="R1421" s="309">
        <f t="shared" si="379"/>
        <v>0</v>
      </c>
      <c r="S1421" s="310">
        <f t="shared" si="380"/>
        <v>0</v>
      </c>
      <c r="T1421" s="555">
        <f t="shared" si="381"/>
        <v>0</v>
      </c>
      <c r="U1421" s="311"/>
      <c r="V1421" s="312"/>
      <c r="W1421" s="299"/>
      <c r="X1421" s="300"/>
      <c r="Y1421" s="299"/>
      <c r="Z1421" s="303"/>
      <c r="AA1421" s="305">
        <f>IF(Z1421=0,0,IF(Y1421="MXN",1/HLOOKUP(YEAR(X1421)+(MONTH(X1421)/100),TC!$5:$37,DAY(X1421)+2,FALSE),VLOOKUP(Y1421,Equivalencia!$1:$23,((MAX(Equivalencia!$3:$3)-YEAR(X1421))*14)+MONTH(X1421)+2,FALSE)))</f>
        <v>0</v>
      </c>
      <c r="AB1421" s="306">
        <f t="shared" si="382"/>
        <v>0</v>
      </c>
      <c r="AC1421" s="305">
        <f>+IF(X1421=0,0,HLOOKUP(YEAR(X1421)+(MONTH(X1421)/100),TC!$5:$37,DAY(X1421)+2,FALSE))</f>
        <v>0</v>
      </c>
      <c r="AD1421" s="307">
        <f t="shared" si="383"/>
        <v>0</v>
      </c>
      <c r="AE1421" s="314">
        <f t="shared" si="384"/>
        <v>0</v>
      </c>
      <c r="AF1421" s="315">
        <f t="shared" si="385"/>
        <v>0</v>
      </c>
      <c r="AG1421" s="316">
        <f t="shared" si="386"/>
        <v>0</v>
      </c>
      <c r="AH1421" s="314">
        <v>1</v>
      </c>
      <c r="AI1421" s="314">
        <f t="shared" si="387"/>
        <v>0</v>
      </c>
      <c r="AJ1421" s="314">
        <f t="shared" si="388"/>
        <v>0</v>
      </c>
      <c r="AK1421" s="317"/>
      <c r="AL1421" s="315">
        <f t="shared" si="389"/>
        <v>0</v>
      </c>
      <c r="AN1421" s="554">
        <f t="shared" si="390"/>
        <v>0</v>
      </c>
      <c r="AO1421" s="314"/>
      <c r="AP1421" s="318"/>
    </row>
    <row r="1422" spans="2:42">
      <c r="B1422" s="296"/>
      <c r="C1422" s="299"/>
      <c r="D1422" s="298"/>
      <c r="E1422" s="299"/>
      <c r="F1422" s="299"/>
      <c r="G1422" s="300"/>
      <c r="H1422" s="303"/>
      <c r="I1422" s="301">
        <f t="shared" si="374"/>
        <v>0</v>
      </c>
      <c r="J1422" s="302">
        <f t="shared" si="375"/>
        <v>0</v>
      </c>
      <c r="K1422" s="304">
        <f t="shared" si="376"/>
        <v>0</v>
      </c>
      <c r="L1422" s="305">
        <f>IF(H1422=0,0,IF(OR(E1422=$AT$5,E1422=$AT$6),AA1422,IF(F1422="MXN",1/HLOOKUP(YEAR(G1422)+(MONTH(G1422)/100),TC!$5:$37,DAY(G1422)+2,FALSE),VLOOKUP(F1422,Equivalencia!$5:$23,((MAX(Equivalencia!$3:$3)-YEAR(G1422))*14)+MONTH(G1422)+2,FALSE))))</f>
        <v>0</v>
      </c>
      <c r="M1422" s="306">
        <f t="shared" si="377"/>
        <v>0</v>
      </c>
      <c r="N1422" s="305">
        <f>IF(G1422=0,0,(IF(OR(E1422=$AT$5,E1422=$AT$6),AC1422,HLOOKUP(YEAR(G1422)+(MONTH(G1422)/100),TC!$5:$37,DAY(G1422)+2,FALSE))))</f>
        <v>0</v>
      </c>
      <c r="O1422" s="307">
        <f t="shared" si="378"/>
        <v>0</v>
      </c>
      <c r="P1422" s="560">
        <f>IF(G1422=0,0,VLOOKUP(YEAR(G1422),INPC!$B$4:$P$30,MONTH(G1422)+2))</f>
        <v>0</v>
      </c>
      <c r="Q1422" s="560">
        <f>IF(X1422=0,0,IF(OR(E1422=$AT$10,E1422=$AT$9),VLOOKUP(YEAR(X1422),INPC!$B$4:$P$30,MONTH(X1422)+1),VLOOKUP(YEAR(X1422),INPC!$B$4:$P$30,MONTH(X1422)+2,0)))</f>
        <v>0</v>
      </c>
      <c r="R1422" s="309">
        <f t="shared" si="379"/>
        <v>0</v>
      </c>
      <c r="S1422" s="310">
        <f t="shared" si="380"/>
        <v>0</v>
      </c>
      <c r="T1422" s="555">
        <f t="shared" si="381"/>
        <v>0</v>
      </c>
      <c r="U1422" s="311"/>
      <c r="V1422" s="312"/>
      <c r="W1422" s="299"/>
      <c r="X1422" s="300"/>
      <c r="Y1422" s="299"/>
      <c r="Z1422" s="303"/>
      <c r="AA1422" s="305">
        <f>IF(Z1422=0,0,IF(Y1422="MXN",1/HLOOKUP(YEAR(X1422)+(MONTH(X1422)/100),TC!$5:$37,DAY(X1422)+2,FALSE),VLOOKUP(Y1422,Equivalencia!$1:$23,((MAX(Equivalencia!$3:$3)-YEAR(X1422))*14)+MONTH(X1422)+2,FALSE)))</f>
        <v>0</v>
      </c>
      <c r="AB1422" s="306">
        <f t="shared" si="382"/>
        <v>0</v>
      </c>
      <c r="AC1422" s="305">
        <f>+IF(X1422=0,0,HLOOKUP(YEAR(X1422)+(MONTH(X1422)/100),TC!$5:$37,DAY(X1422)+2,FALSE))</f>
        <v>0</v>
      </c>
      <c r="AD1422" s="307">
        <f t="shared" si="383"/>
        <v>0</v>
      </c>
      <c r="AE1422" s="314">
        <f t="shared" si="384"/>
        <v>0</v>
      </c>
      <c r="AF1422" s="315">
        <f t="shared" si="385"/>
        <v>0</v>
      </c>
      <c r="AG1422" s="316">
        <f t="shared" si="386"/>
        <v>0</v>
      </c>
      <c r="AH1422" s="314">
        <v>1</v>
      </c>
      <c r="AI1422" s="314">
        <f t="shared" si="387"/>
        <v>0</v>
      </c>
      <c r="AJ1422" s="314">
        <f t="shared" si="388"/>
        <v>0</v>
      </c>
      <c r="AK1422" s="317"/>
      <c r="AL1422" s="315">
        <f t="shared" si="389"/>
        <v>0</v>
      </c>
      <c r="AN1422" s="554">
        <f t="shared" si="390"/>
        <v>0</v>
      </c>
      <c r="AO1422" s="314"/>
      <c r="AP1422" s="318"/>
    </row>
    <row r="1423" spans="2:42">
      <c r="B1423" s="296"/>
      <c r="C1423" s="299"/>
      <c r="D1423" s="298"/>
      <c r="E1423" s="299"/>
      <c r="F1423" s="299"/>
      <c r="G1423" s="300"/>
      <c r="H1423" s="303"/>
      <c r="I1423" s="301">
        <f t="shared" si="374"/>
        <v>0</v>
      </c>
      <c r="J1423" s="302">
        <f t="shared" si="375"/>
        <v>0</v>
      </c>
      <c r="K1423" s="304">
        <f t="shared" si="376"/>
        <v>0</v>
      </c>
      <c r="L1423" s="305">
        <f>IF(H1423=0,0,IF(OR(E1423=$AT$5,E1423=$AT$6),AA1423,IF(F1423="MXN",1/HLOOKUP(YEAR(G1423)+(MONTH(G1423)/100),TC!$5:$37,DAY(G1423)+2,FALSE),VLOOKUP(F1423,Equivalencia!$5:$23,((MAX(Equivalencia!$3:$3)-YEAR(G1423))*14)+MONTH(G1423)+2,FALSE))))</f>
        <v>0</v>
      </c>
      <c r="M1423" s="306">
        <f t="shared" si="377"/>
        <v>0</v>
      </c>
      <c r="N1423" s="305">
        <f>IF(G1423=0,0,(IF(OR(E1423=$AT$5,E1423=$AT$6),AC1423,HLOOKUP(YEAR(G1423)+(MONTH(G1423)/100),TC!$5:$37,DAY(G1423)+2,FALSE))))</f>
        <v>0</v>
      </c>
      <c r="O1423" s="307">
        <f t="shared" si="378"/>
        <v>0</v>
      </c>
      <c r="P1423" s="560">
        <f>IF(G1423=0,0,VLOOKUP(YEAR(G1423),INPC!$B$4:$P$30,MONTH(G1423)+2))</f>
        <v>0</v>
      </c>
      <c r="Q1423" s="560">
        <f>IF(X1423=0,0,IF(OR(E1423=$AT$10,E1423=$AT$9),VLOOKUP(YEAR(X1423),INPC!$B$4:$P$30,MONTH(X1423)+1),VLOOKUP(YEAR(X1423),INPC!$B$4:$P$30,MONTH(X1423)+2,0)))</f>
        <v>0</v>
      </c>
      <c r="R1423" s="309">
        <f t="shared" si="379"/>
        <v>0</v>
      </c>
      <c r="S1423" s="310">
        <f t="shared" si="380"/>
        <v>0</v>
      </c>
      <c r="T1423" s="555">
        <f t="shared" si="381"/>
        <v>0</v>
      </c>
      <c r="U1423" s="311"/>
      <c r="V1423" s="312"/>
      <c r="W1423" s="299"/>
      <c r="X1423" s="300"/>
      <c r="Y1423" s="299"/>
      <c r="Z1423" s="303"/>
      <c r="AA1423" s="305">
        <f>IF(Z1423=0,0,IF(Y1423="MXN",1/HLOOKUP(YEAR(X1423)+(MONTH(X1423)/100),TC!$5:$37,DAY(X1423)+2,FALSE),VLOOKUP(Y1423,Equivalencia!$1:$23,((MAX(Equivalencia!$3:$3)-YEAR(X1423))*14)+MONTH(X1423)+2,FALSE)))</f>
        <v>0</v>
      </c>
      <c r="AB1423" s="306">
        <f t="shared" si="382"/>
        <v>0</v>
      </c>
      <c r="AC1423" s="305">
        <f>+IF(X1423=0,0,HLOOKUP(YEAR(X1423)+(MONTH(X1423)/100),TC!$5:$37,DAY(X1423)+2,FALSE))</f>
        <v>0</v>
      </c>
      <c r="AD1423" s="307">
        <f t="shared" si="383"/>
        <v>0</v>
      </c>
      <c r="AE1423" s="314">
        <f t="shared" si="384"/>
        <v>0</v>
      </c>
      <c r="AF1423" s="315">
        <f t="shared" si="385"/>
        <v>0</v>
      </c>
      <c r="AG1423" s="316">
        <f t="shared" si="386"/>
        <v>0</v>
      </c>
      <c r="AH1423" s="314">
        <v>1</v>
      </c>
      <c r="AI1423" s="314">
        <f t="shared" si="387"/>
        <v>0</v>
      </c>
      <c r="AJ1423" s="314">
        <f t="shared" si="388"/>
        <v>0</v>
      </c>
      <c r="AK1423" s="317"/>
      <c r="AL1423" s="315">
        <f t="shared" si="389"/>
        <v>0</v>
      </c>
      <c r="AN1423" s="554">
        <f t="shared" si="390"/>
        <v>0</v>
      </c>
      <c r="AO1423" s="314"/>
      <c r="AP1423" s="318"/>
    </row>
    <row r="1424" spans="2:42">
      <c r="B1424" s="296"/>
      <c r="C1424" s="299"/>
      <c r="D1424" s="298"/>
      <c r="E1424" s="299"/>
      <c r="F1424" s="299"/>
      <c r="G1424" s="300"/>
      <c r="H1424" s="303"/>
      <c r="I1424" s="301">
        <f t="shared" si="374"/>
        <v>0</v>
      </c>
      <c r="J1424" s="302">
        <f t="shared" si="375"/>
        <v>0</v>
      </c>
      <c r="K1424" s="304">
        <f t="shared" si="376"/>
        <v>0</v>
      </c>
      <c r="L1424" s="305">
        <f>IF(H1424=0,0,IF(OR(E1424=$AT$5,E1424=$AT$6),AA1424,IF(F1424="MXN",1/HLOOKUP(YEAR(G1424)+(MONTH(G1424)/100),TC!$5:$37,DAY(G1424)+2,FALSE),VLOOKUP(F1424,Equivalencia!$5:$23,((MAX(Equivalencia!$3:$3)-YEAR(G1424))*14)+MONTH(G1424)+2,FALSE))))</f>
        <v>0</v>
      </c>
      <c r="M1424" s="306">
        <f t="shared" si="377"/>
        <v>0</v>
      </c>
      <c r="N1424" s="305">
        <f>IF(G1424=0,0,(IF(OR(E1424=$AT$5,E1424=$AT$6),AC1424,HLOOKUP(YEAR(G1424)+(MONTH(G1424)/100),TC!$5:$37,DAY(G1424)+2,FALSE))))</f>
        <v>0</v>
      </c>
      <c r="O1424" s="307">
        <f t="shared" si="378"/>
        <v>0</v>
      </c>
      <c r="P1424" s="560">
        <f>IF(G1424=0,0,VLOOKUP(YEAR(G1424),INPC!$B$4:$P$30,MONTH(G1424)+2))</f>
        <v>0</v>
      </c>
      <c r="Q1424" s="560">
        <f>IF(X1424=0,0,IF(OR(E1424=$AT$10,E1424=$AT$9),VLOOKUP(YEAR(X1424),INPC!$B$4:$P$30,MONTH(X1424)+1),VLOOKUP(YEAR(X1424),INPC!$B$4:$P$30,MONTH(X1424)+2,0)))</f>
        <v>0</v>
      </c>
      <c r="R1424" s="309">
        <f t="shared" si="379"/>
        <v>0</v>
      </c>
      <c r="S1424" s="310">
        <f t="shared" si="380"/>
        <v>0</v>
      </c>
      <c r="T1424" s="555">
        <f t="shared" si="381"/>
        <v>0</v>
      </c>
      <c r="U1424" s="311"/>
      <c r="V1424" s="312"/>
      <c r="W1424" s="299"/>
      <c r="X1424" s="300"/>
      <c r="Y1424" s="299"/>
      <c r="Z1424" s="303"/>
      <c r="AA1424" s="305">
        <f>IF(Z1424=0,0,IF(Y1424="MXN",1/HLOOKUP(YEAR(X1424)+(MONTH(X1424)/100),TC!$5:$37,DAY(X1424)+2,FALSE),VLOOKUP(Y1424,Equivalencia!$1:$23,((MAX(Equivalencia!$3:$3)-YEAR(X1424))*14)+MONTH(X1424)+2,FALSE)))</f>
        <v>0</v>
      </c>
      <c r="AB1424" s="306">
        <f t="shared" si="382"/>
        <v>0</v>
      </c>
      <c r="AC1424" s="305">
        <f>+IF(X1424=0,0,HLOOKUP(YEAR(X1424)+(MONTH(X1424)/100),TC!$5:$37,DAY(X1424)+2,FALSE))</f>
        <v>0</v>
      </c>
      <c r="AD1424" s="307">
        <f t="shared" si="383"/>
        <v>0</v>
      </c>
      <c r="AE1424" s="314">
        <f t="shared" si="384"/>
        <v>0</v>
      </c>
      <c r="AF1424" s="315">
        <f t="shared" si="385"/>
        <v>0</v>
      </c>
      <c r="AG1424" s="316">
        <f t="shared" si="386"/>
        <v>0</v>
      </c>
      <c r="AH1424" s="314">
        <v>1</v>
      </c>
      <c r="AI1424" s="314">
        <f t="shared" si="387"/>
        <v>0</v>
      </c>
      <c r="AJ1424" s="314">
        <f t="shared" si="388"/>
        <v>0</v>
      </c>
      <c r="AK1424" s="317"/>
      <c r="AL1424" s="315">
        <f t="shared" si="389"/>
        <v>0</v>
      </c>
      <c r="AN1424" s="554">
        <f t="shared" si="390"/>
        <v>0</v>
      </c>
      <c r="AO1424" s="314"/>
      <c r="AP1424" s="318"/>
    </row>
    <row r="1425" spans="2:42">
      <c r="B1425" s="296"/>
      <c r="C1425" s="299"/>
      <c r="D1425" s="298"/>
      <c r="E1425" s="299"/>
      <c r="F1425" s="299"/>
      <c r="G1425" s="300"/>
      <c r="H1425" s="303"/>
      <c r="I1425" s="301">
        <f t="shared" si="374"/>
        <v>0</v>
      </c>
      <c r="J1425" s="302">
        <f t="shared" si="375"/>
        <v>0</v>
      </c>
      <c r="K1425" s="304">
        <f t="shared" si="376"/>
        <v>0</v>
      </c>
      <c r="L1425" s="305">
        <f>IF(H1425=0,0,IF(OR(E1425=$AT$5,E1425=$AT$6),AA1425,IF(F1425="MXN",1/HLOOKUP(YEAR(G1425)+(MONTH(G1425)/100),TC!$5:$37,DAY(G1425)+2,FALSE),VLOOKUP(F1425,Equivalencia!$5:$23,((MAX(Equivalencia!$3:$3)-YEAR(G1425))*14)+MONTH(G1425)+2,FALSE))))</f>
        <v>0</v>
      </c>
      <c r="M1425" s="306">
        <f t="shared" si="377"/>
        <v>0</v>
      </c>
      <c r="N1425" s="305">
        <f>IF(G1425=0,0,(IF(OR(E1425=$AT$5,E1425=$AT$6),AC1425,HLOOKUP(YEAR(G1425)+(MONTH(G1425)/100),TC!$5:$37,DAY(G1425)+2,FALSE))))</f>
        <v>0</v>
      </c>
      <c r="O1425" s="307">
        <f t="shared" si="378"/>
        <v>0</v>
      </c>
      <c r="P1425" s="560">
        <f>IF(G1425=0,0,VLOOKUP(YEAR(G1425),INPC!$B$4:$P$30,MONTH(G1425)+2))</f>
        <v>0</v>
      </c>
      <c r="Q1425" s="560">
        <f>IF(X1425=0,0,IF(OR(E1425=$AT$10,E1425=$AT$9),VLOOKUP(YEAR(X1425),INPC!$B$4:$P$30,MONTH(X1425)+1),VLOOKUP(YEAR(X1425),INPC!$B$4:$P$30,MONTH(X1425)+2,0)))</f>
        <v>0</v>
      </c>
      <c r="R1425" s="309">
        <f t="shared" si="379"/>
        <v>0</v>
      </c>
      <c r="S1425" s="310">
        <f t="shared" si="380"/>
        <v>0</v>
      </c>
      <c r="T1425" s="555">
        <f t="shared" si="381"/>
        <v>0</v>
      </c>
      <c r="U1425" s="311"/>
      <c r="V1425" s="312"/>
      <c r="W1425" s="299"/>
      <c r="X1425" s="300"/>
      <c r="Y1425" s="299"/>
      <c r="Z1425" s="303"/>
      <c r="AA1425" s="305">
        <f>IF(Z1425=0,0,IF(Y1425="MXN",1/HLOOKUP(YEAR(X1425)+(MONTH(X1425)/100),TC!$5:$37,DAY(X1425)+2,FALSE),VLOOKUP(Y1425,Equivalencia!$1:$23,((MAX(Equivalencia!$3:$3)-YEAR(X1425))*14)+MONTH(X1425)+2,FALSE)))</f>
        <v>0</v>
      </c>
      <c r="AB1425" s="306">
        <f t="shared" si="382"/>
        <v>0</v>
      </c>
      <c r="AC1425" s="305">
        <f>+IF(X1425=0,0,HLOOKUP(YEAR(X1425)+(MONTH(X1425)/100),TC!$5:$37,DAY(X1425)+2,FALSE))</f>
        <v>0</v>
      </c>
      <c r="AD1425" s="307">
        <f t="shared" si="383"/>
        <v>0</v>
      </c>
      <c r="AE1425" s="314">
        <f t="shared" si="384"/>
        <v>0</v>
      </c>
      <c r="AF1425" s="315">
        <f t="shared" si="385"/>
        <v>0</v>
      </c>
      <c r="AG1425" s="316">
        <f t="shared" si="386"/>
        <v>0</v>
      </c>
      <c r="AH1425" s="314">
        <v>1</v>
      </c>
      <c r="AI1425" s="314">
        <f t="shared" si="387"/>
        <v>0</v>
      </c>
      <c r="AJ1425" s="314">
        <f t="shared" si="388"/>
        <v>0</v>
      </c>
      <c r="AK1425" s="317"/>
      <c r="AL1425" s="315">
        <f t="shared" si="389"/>
        <v>0</v>
      </c>
      <c r="AN1425" s="554">
        <f t="shared" si="390"/>
        <v>0</v>
      </c>
      <c r="AO1425" s="314"/>
      <c r="AP1425" s="318"/>
    </row>
    <row r="1426" spans="2:42">
      <c r="B1426" s="296"/>
      <c r="C1426" s="299"/>
      <c r="D1426" s="298"/>
      <c r="E1426" s="299"/>
      <c r="F1426" s="299"/>
      <c r="G1426" s="300"/>
      <c r="H1426" s="303"/>
      <c r="I1426" s="301">
        <f t="shared" si="374"/>
        <v>0</v>
      </c>
      <c r="J1426" s="302">
        <f t="shared" si="375"/>
        <v>0</v>
      </c>
      <c r="K1426" s="304">
        <f t="shared" si="376"/>
        <v>0</v>
      </c>
      <c r="L1426" s="305">
        <f>IF(H1426=0,0,IF(OR(E1426=$AT$5,E1426=$AT$6),AA1426,IF(F1426="MXN",1/HLOOKUP(YEAR(G1426)+(MONTH(G1426)/100),TC!$5:$37,DAY(G1426)+2,FALSE),VLOOKUP(F1426,Equivalencia!$5:$23,((MAX(Equivalencia!$3:$3)-YEAR(G1426))*14)+MONTH(G1426)+2,FALSE))))</f>
        <v>0</v>
      </c>
      <c r="M1426" s="306">
        <f t="shared" si="377"/>
        <v>0</v>
      </c>
      <c r="N1426" s="305">
        <f>IF(G1426=0,0,(IF(OR(E1426=$AT$5,E1426=$AT$6),AC1426,HLOOKUP(YEAR(G1426)+(MONTH(G1426)/100),TC!$5:$37,DAY(G1426)+2,FALSE))))</f>
        <v>0</v>
      </c>
      <c r="O1426" s="307">
        <f t="shared" si="378"/>
        <v>0</v>
      </c>
      <c r="P1426" s="560">
        <f>IF(G1426=0,0,VLOOKUP(YEAR(G1426),INPC!$B$4:$P$30,MONTH(G1426)+2))</f>
        <v>0</v>
      </c>
      <c r="Q1426" s="560">
        <f>IF(X1426=0,0,IF(OR(E1426=$AT$10,E1426=$AT$9),VLOOKUP(YEAR(X1426),INPC!$B$4:$P$30,MONTH(X1426)+1),VLOOKUP(YEAR(X1426),INPC!$B$4:$P$30,MONTH(X1426)+2,0)))</f>
        <v>0</v>
      </c>
      <c r="R1426" s="309">
        <f t="shared" si="379"/>
        <v>0</v>
      </c>
      <c r="S1426" s="310">
        <f t="shared" si="380"/>
        <v>0</v>
      </c>
      <c r="T1426" s="555">
        <f t="shared" si="381"/>
        <v>0</v>
      </c>
      <c r="U1426" s="311"/>
      <c r="V1426" s="312"/>
      <c r="W1426" s="299"/>
      <c r="X1426" s="300"/>
      <c r="Y1426" s="299"/>
      <c r="Z1426" s="303"/>
      <c r="AA1426" s="305">
        <f>IF(Z1426=0,0,IF(Y1426="MXN",1/HLOOKUP(YEAR(X1426)+(MONTH(X1426)/100),TC!$5:$37,DAY(X1426)+2,FALSE),VLOOKUP(Y1426,Equivalencia!$1:$23,((MAX(Equivalencia!$3:$3)-YEAR(X1426))*14)+MONTH(X1426)+2,FALSE)))</f>
        <v>0</v>
      </c>
      <c r="AB1426" s="306">
        <f t="shared" si="382"/>
        <v>0</v>
      </c>
      <c r="AC1426" s="305">
        <f>+IF(X1426=0,0,HLOOKUP(YEAR(X1426)+(MONTH(X1426)/100),TC!$5:$37,DAY(X1426)+2,FALSE))</f>
        <v>0</v>
      </c>
      <c r="AD1426" s="307">
        <f t="shared" si="383"/>
        <v>0</v>
      </c>
      <c r="AE1426" s="314">
        <f t="shared" si="384"/>
        <v>0</v>
      </c>
      <c r="AF1426" s="315">
        <f t="shared" si="385"/>
        <v>0</v>
      </c>
      <c r="AG1426" s="316">
        <f t="shared" si="386"/>
        <v>0</v>
      </c>
      <c r="AH1426" s="314">
        <v>1</v>
      </c>
      <c r="AI1426" s="314">
        <f t="shared" si="387"/>
        <v>0</v>
      </c>
      <c r="AJ1426" s="314">
        <f t="shared" si="388"/>
        <v>0</v>
      </c>
      <c r="AK1426" s="317"/>
      <c r="AL1426" s="315">
        <f t="shared" si="389"/>
        <v>0</v>
      </c>
      <c r="AN1426" s="554">
        <f t="shared" si="390"/>
        <v>0</v>
      </c>
      <c r="AO1426" s="314"/>
      <c r="AP1426" s="318"/>
    </row>
    <row r="1427" spans="2:42">
      <c r="B1427" s="296"/>
      <c r="C1427" s="299"/>
      <c r="D1427" s="298"/>
      <c r="E1427" s="299"/>
      <c r="F1427" s="299"/>
      <c r="G1427" s="300"/>
      <c r="H1427" s="303"/>
      <c r="I1427" s="301">
        <f t="shared" si="374"/>
        <v>0</v>
      </c>
      <c r="J1427" s="302">
        <f t="shared" si="375"/>
        <v>0</v>
      </c>
      <c r="K1427" s="304">
        <f t="shared" si="376"/>
        <v>0</v>
      </c>
      <c r="L1427" s="305">
        <f>IF(H1427=0,0,IF(OR(E1427=$AT$5,E1427=$AT$6),AA1427,IF(F1427="MXN",1/HLOOKUP(YEAR(G1427)+(MONTH(G1427)/100),TC!$5:$37,DAY(G1427)+2,FALSE),VLOOKUP(F1427,Equivalencia!$5:$23,((MAX(Equivalencia!$3:$3)-YEAR(G1427))*14)+MONTH(G1427)+2,FALSE))))</f>
        <v>0</v>
      </c>
      <c r="M1427" s="306">
        <f t="shared" si="377"/>
        <v>0</v>
      </c>
      <c r="N1427" s="305">
        <f>IF(G1427=0,0,(IF(OR(E1427=$AT$5,E1427=$AT$6),AC1427,HLOOKUP(YEAR(G1427)+(MONTH(G1427)/100),TC!$5:$37,DAY(G1427)+2,FALSE))))</f>
        <v>0</v>
      </c>
      <c r="O1427" s="307">
        <f t="shared" si="378"/>
        <v>0</v>
      </c>
      <c r="P1427" s="560">
        <f>IF(G1427=0,0,VLOOKUP(YEAR(G1427),INPC!$B$4:$P$30,MONTH(G1427)+2))</f>
        <v>0</v>
      </c>
      <c r="Q1427" s="560">
        <f>IF(X1427=0,0,IF(OR(E1427=$AT$10,E1427=$AT$9),VLOOKUP(YEAR(X1427),INPC!$B$4:$P$30,MONTH(X1427)+1),VLOOKUP(YEAR(X1427),INPC!$B$4:$P$30,MONTH(X1427)+2,0)))</f>
        <v>0</v>
      </c>
      <c r="R1427" s="309">
        <f t="shared" si="379"/>
        <v>0</v>
      </c>
      <c r="S1427" s="310">
        <f t="shared" si="380"/>
        <v>0</v>
      </c>
      <c r="T1427" s="555">
        <f t="shared" si="381"/>
        <v>0</v>
      </c>
      <c r="U1427" s="311"/>
      <c r="V1427" s="312"/>
      <c r="W1427" s="299"/>
      <c r="X1427" s="300"/>
      <c r="Y1427" s="299"/>
      <c r="Z1427" s="303"/>
      <c r="AA1427" s="305">
        <f>IF(Z1427=0,0,IF(Y1427="MXN",1/HLOOKUP(YEAR(X1427)+(MONTH(X1427)/100),TC!$5:$37,DAY(X1427)+2,FALSE),VLOOKUP(Y1427,Equivalencia!$1:$23,((MAX(Equivalencia!$3:$3)-YEAR(X1427))*14)+MONTH(X1427)+2,FALSE)))</f>
        <v>0</v>
      </c>
      <c r="AB1427" s="306">
        <f t="shared" si="382"/>
        <v>0</v>
      </c>
      <c r="AC1427" s="305">
        <f>+IF(X1427=0,0,HLOOKUP(YEAR(X1427)+(MONTH(X1427)/100),TC!$5:$37,DAY(X1427)+2,FALSE))</f>
        <v>0</v>
      </c>
      <c r="AD1427" s="307">
        <f t="shared" si="383"/>
        <v>0</v>
      </c>
      <c r="AE1427" s="314">
        <f t="shared" si="384"/>
        <v>0</v>
      </c>
      <c r="AF1427" s="315">
        <f t="shared" si="385"/>
        <v>0</v>
      </c>
      <c r="AG1427" s="316">
        <f t="shared" si="386"/>
        <v>0</v>
      </c>
      <c r="AH1427" s="314">
        <v>1</v>
      </c>
      <c r="AI1427" s="314">
        <f t="shared" si="387"/>
        <v>0</v>
      </c>
      <c r="AJ1427" s="314">
        <f t="shared" si="388"/>
        <v>0</v>
      </c>
      <c r="AK1427" s="317"/>
      <c r="AL1427" s="315">
        <f t="shared" si="389"/>
        <v>0</v>
      </c>
      <c r="AN1427" s="554">
        <f t="shared" si="390"/>
        <v>0</v>
      </c>
      <c r="AO1427" s="314"/>
      <c r="AP1427" s="318"/>
    </row>
    <row r="1428" spans="2:42">
      <c r="B1428" s="296"/>
      <c r="C1428" s="299"/>
      <c r="D1428" s="298"/>
      <c r="E1428" s="299"/>
      <c r="F1428" s="299"/>
      <c r="G1428" s="300"/>
      <c r="H1428" s="303"/>
      <c r="I1428" s="301">
        <f t="shared" si="374"/>
        <v>0</v>
      </c>
      <c r="J1428" s="302">
        <f t="shared" si="375"/>
        <v>0</v>
      </c>
      <c r="K1428" s="304">
        <f t="shared" si="376"/>
        <v>0</v>
      </c>
      <c r="L1428" s="305">
        <f>IF(H1428=0,0,IF(OR(E1428=$AT$5,E1428=$AT$6),AA1428,IF(F1428="MXN",1/HLOOKUP(YEAR(G1428)+(MONTH(G1428)/100),TC!$5:$37,DAY(G1428)+2,FALSE),VLOOKUP(F1428,Equivalencia!$5:$23,((MAX(Equivalencia!$3:$3)-YEAR(G1428))*14)+MONTH(G1428)+2,FALSE))))</f>
        <v>0</v>
      </c>
      <c r="M1428" s="306">
        <f t="shared" si="377"/>
        <v>0</v>
      </c>
      <c r="N1428" s="305">
        <f>IF(G1428=0,0,(IF(OR(E1428=$AT$5,E1428=$AT$6),AC1428,HLOOKUP(YEAR(G1428)+(MONTH(G1428)/100),TC!$5:$37,DAY(G1428)+2,FALSE))))</f>
        <v>0</v>
      </c>
      <c r="O1428" s="307">
        <f t="shared" si="378"/>
        <v>0</v>
      </c>
      <c r="P1428" s="560">
        <f>IF(G1428=0,0,VLOOKUP(YEAR(G1428),INPC!$B$4:$P$30,MONTH(G1428)+2))</f>
        <v>0</v>
      </c>
      <c r="Q1428" s="560">
        <f>IF(X1428=0,0,IF(OR(E1428=$AT$10,E1428=$AT$9),VLOOKUP(YEAR(X1428),INPC!$B$4:$P$30,MONTH(X1428)+1),VLOOKUP(YEAR(X1428),INPC!$B$4:$P$30,MONTH(X1428)+2,0)))</f>
        <v>0</v>
      </c>
      <c r="R1428" s="309">
        <f t="shared" si="379"/>
        <v>0</v>
      </c>
      <c r="S1428" s="310">
        <f t="shared" si="380"/>
        <v>0</v>
      </c>
      <c r="T1428" s="555">
        <f t="shared" si="381"/>
        <v>0</v>
      </c>
      <c r="U1428" s="311"/>
      <c r="V1428" s="312"/>
      <c r="W1428" s="299"/>
      <c r="X1428" s="300"/>
      <c r="Y1428" s="299"/>
      <c r="Z1428" s="303"/>
      <c r="AA1428" s="305">
        <f>IF(Z1428=0,0,IF(Y1428="MXN",1/HLOOKUP(YEAR(X1428)+(MONTH(X1428)/100),TC!$5:$37,DAY(X1428)+2,FALSE),VLOOKUP(Y1428,Equivalencia!$1:$23,((MAX(Equivalencia!$3:$3)-YEAR(X1428))*14)+MONTH(X1428)+2,FALSE)))</f>
        <v>0</v>
      </c>
      <c r="AB1428" s="306">
        <f t="shared" si="382"/>
        <v>0</v>
      </c>
      <c r="AC1428" s="305">
        <f>+IF(X1428=0,0,HLOOKUP(YEAR(X1428)+(MONTH(X1428)/100),TC!$5:$37,DAY(X1428)+2,FALSE))</f>
        <v>0</v>
      </c>
      <c r="AD1428" s="307">
        <f t="shared" si="383"/>
        <v>0</v>
      </c>
      <c r="AE1428" s="314">
        <f t="shared" si="384"/>
        <v>0</v>
      </c>
      <c r="AF1428" s="315">
        <f t="shared" si="385"/>
        <v>0</v>
      </c>
      <c r="AG1428" s="316">
        <f t="shared" si="386"/>
        <v>0</v>
      </c>
      <c r="AH1428" s="314">
        <v>1</v>
      </c>
      <c r="AI1428" s="314">
        <f t="shared" si="387"/>
        <v>0</v>
      </c>
      <c r="AJ1428" s="314">
        <f t="shared" si="388"/>
        <v>0</v>
      </c>
      <c r="AK1428" s="317"/>
      <c r="AL1428" s="315">
        <f t="shared" si="389"/>
        <v>0</v>
      </c>
      <c r="AN1428" s="554">
        <f t="shared" si="390"/>
        <v>0</v>
      </c>
      <c r="AO1428" s="314"/>
      <c r="AP1428" s="318"/>
    </row>
    <row r="1429" spans="2:42">
      <c r="B1429" s="296"/>
      <c r="C1429" s="299"/>
      <c r="D1429" s="298"/>
      <c r="E1429" s="299"/>
      <c r="F1429" s="299"/>
      <c r="G1429" s="300"/>
      <c r="H1429" s="303"/>
      <c r="I1429" s="301">
        <f t="shared" si="374"/>
        <v>0</v>
      </c>
      <c r="J1429" s="302">
        <f t="shared" si="375"/>
        <v>0</v>
      </c>
      <c r="K1429" s="304">
        <f t="shared" si="376"/>
        <v>0</v>
      </c>
      <c r="L1429" s="305">
        <f>IF(H1429=0,0,IF(OR(E1429=$AT$5,E1429=$AT$6),AA1429,IF(F1429="MXN",1/HLOOKUP(YEAR(G1429)+(MONTH(G1429)/100),TC!$5:$37,DAY(G1429)+2,FALSE),VLOOKUP(F1429,Equivalencia!$5:$23,((MAX(Equivalencia!$3:$3)-YEAR(G1429))*14)+MONTH(G1429)+2,FALSE))))</f>
        <v>0</v>
      </c>
      <c r="M1429" s="306">
        <f t="shared" si="377"/>
        <v>0</v>
      </c>
      <c r="N1429" s="305">
        <f>IF(G1429=0,0,(IF(OR(E1429=$AT$5,E1429=$AT$6),AC1429,HLOOKUP(YEAR(G1429)+(MONTH(G1429)/100),TC!$5:$37,DAY(G1429)+2,FALSE))))</f>
        <v>0</v>
      </c>
      <c r="O1429" s="307">
        <f t="shared" si="378"/>
        <v>0</v>
      </c>
      <c r="P1429" s="560">
        <f>IF(G1429=0,0,VLOOKUP(YEAR(G1429),INPC!$B$4:$P$30,MONTH(G1429)+2))</f>
        <v>0</v>
      </c>
      <c r="Q1429" s="560">
        <f>IF(X1429=0,0,IF(OR(E1429=$AT$10,E1429=$AT$9),VLOOKUP(YEAR(X1429),INPC!$B$4:$P$30,MONTH(X1429)+1),VLOOKUP(YEAR(X1429),INPC!$B$4:$P$30,MONTH(X1429)+2,0)))</f>
        <v>0</v>
      </c>
      <c r="R1429" s="309">
        <f t="shared" si="379"/>
        <v>0</v>
      </c>
      <c r="S1429" s="310">
        <f t="shared" si="380"/>
        <v>0</v>
      </c>
      <c r="T1429" s="555">
        <f t="shared" si="381"/>
        <v>0</v>
      </c>
      <c r="U1429" s="311"/>
      <c r="V1429" s="312"/>
      <c r="W1429" s="299"/>
      <c r="X1429" s="300"/>
      <c r="Y1429" s="299"/>
      <c r="Z1429" s="303"/>
      <c r="AA1429" s="305">
        <f>IF(Z1429=0,0,IF(Y1429="MXN",1/HLOOKUP(YEAR(X1429)+(MONTH(X1429)/100),TC!$5:$37,DAY(X1429)+2,FALSE),VLOOKUP(Y1429,Equivalencia!$1:$23,((MAX(Equivalencia!$3:$3)-YEAR(X1429))*14)+MONTH(X1429)+2,FALSE)))</f>
        <v>0</v>
      </c>
      <c r="AB1429" s="306">
        <f t="shared" si="382"/>
        <v>0</v>
      </c>
      <c r="AC1429" s="305">
        <f>+IF(X1429=0,0,HLOOKUP(YEAR(X1429)+(MONTH(X1429)/100),TC!$5:$37,DAY(X1429)+2,FALSE))</f>
        <v>0</v>
      </c>
      <c r="AD1429" s="307">
        <f t="shared" si="383"/>
        <v>0</v>
      </c>
      <c r="AE1429" s="314">
        <f t="shared" si="384"/>
        <v>0</v>
      </c>
      <c r="AF1429" s="315">
        <f t="shared" si="385"/>
        <v>0</v>
      </c>
      <c r="AG1429" s="316">
        <f t="shared" si="386"/>
        <v>0</v>
      </c>
      <c r="AH1429" s="314">
        <v>1</v>
      </c>
      <c r="AI1429" s="314">
        <f t="shared" si="387"/>
        <v>0</v>
      </c>
      <c r="AJ1429" s="314">
        <f t="shared" si="388"/>
        <v>0</v>
      </c>
      <c r="AK1429" s="317"/>
      <c r="AL1429" s="315">
        <f t="shared" si="389"/>
        <v>0</v>
      </c>
      <c r="AN1429" s="554">
        <f t="shared" si="390"/>
        <v>0</v>
      </c>
      <c r="AO1429" s="314"/>
      <c r="AP1429" s="318"/>
    </row>
    <row r="1430" spans="2:42">
      <c r="B1430" s="296"/>
      <c r="C1430" s="299"/>
      <c r="D1430" s="298"/>
      <c r="E1430" s="299"/>
      <c r="F1430" s="299"/>
      <c r="G1430" s="300"/>
      <c r="H1430" s="303"/>
      <c r="I1430" s="301">
        <f t="shared" si="374"/>
        <v>0</v>
      </c>
      <c r="J1430" s="302">
        <f t="shared" si="375"/>
        <v>0</v>
      </c>
      <c r="K1430" s="304">
        <f t="shared" si="376"/>
        <v>0</v>
      </c>
      <c r="L1430" s="305">
        <f>IF(H1430=0,0,IF(OR(E1430=$AT$5,E1430=$AT$6),AA1430,IF(F1430="MXN",1/HLOOKUP(YEAR(G1430)+(MONTH(G1430)/100),TC!$5:$37,DAY(G1430)+2,FALSE),VLOOKUP(F1430,Equivalencia!$5:$23,((MAX(Equivalencia!$3:$3)-YEAR(G1430))*14)+MONTH(G1430)+2,FALSE))))</f>
        <v>0</v>
      </c>
      <c r="M1430" s="306">
        <f t="shared" si="377"/>
        <v>0</v>
      </c>
      <c r="N1430" s="305">
        <f>IF(G1430=0,0,(IF(OR(E1430=$AT$5,E1430=$AT$6),AC1430,HLOOKUP(YEAR(G1430)+(MONTH(G1430)/100),TC!$5:$37,DAY(G1430)+2,FALSE))))</f>
        <v>0</v>
      </c>
      <c r="O1430" s="307">
        <f t="shared" si="378"/>
        <v>0</v>
      </c>
      <c r="P1430" s="560">
        <f>IF(G1430=0,0,VLOOKUP(YEAR(G1430),INPC!$B$4:$P$30,MONTH(G1430)+2))</f>
        <v>0</v>
      </c>
      <c r="Q1430" s="560">
        <f>IF(X1430=0,0,IF(OR(E1430=$AT$10,E1430=$AT$9),VLOOKUP(YEAR(X1430),INPC!$B$4:$P$30,MONTH(X1430)+1),VLOOKUP(YEAR(X1430),INPC!$B$4:$P$30,MONTH(X1430)+2,0)))</f>
        <v>0</v>
      </c>
      <c r="R1430" s="309">
        <f t="shared" si="379"/>
        <v>0</v>
      </c>
      <c r="S1430" s="310">
        <f t="shared" si="380"/>
        <v>0</v>
      </c>
      <c r="T1430" s="555">
        <f t="shared" si="381"/>
        <v>0</v>
      </c>
      <c r="U1430" s="311"/>
      <c r="V1430" s="312"/>
      <c r="W1430" s="299"/>
      <c r="X1430" s="300"/>
      <c r="Y1430" s="299"/>
      <c r="Z1430" s="303"/>
      <c r="AA1430" s="305">
        <f>IF(Z1430=0,0,IF(Y1430="MXN",1/HLOOKUP(YEAR(X1430)+(MONTH(X1430)/100),TC!$5:$37,DAY(X1430)+2,FALSE),VLOOKUP(Y1430,Equivalencia!$1:$23,((MAX(Equivalencia!$3:$3)-YEAR(X1430))*14)+MONTH(X1430)+2,FALSE)))</f>
        <v>0</v>
      </c>
      <c r="AB1430" s="306">
        <f t="shared" si="382"/>
        <v>0</v>
      </c>
      <c r="AC1430" s="305">
        <f>+IF(X1430=0,0,HLOOKUP(YEAR(X1430)+(MONTH(X1430)/100),TC!$5:$37,DAY(X1430)+2,FALSE))</f>
        <v>0</v>
      </c>
      <c r="AD1430" s="307">
        <f t="shared" si="383"/>
        <v>0</v>
      </c>
      <c r="AE1430" s="314">
        <f t="shared" si="384"/>
        <v>0</v>
      </c>
      <c r="AF1430" s="315">
        <f t="shared" si="385"/>
        <v>0</v>
      </c>
      <c r="AG1430" s="316">
        <f t="shared" si="386"/>
        <v>0</v>
      </c>
      <c r="AH1430" s="314">
        <v>1</v>
      </c>
      <c r="AI1430" s="314">
        <f t="shared" si="387"/>
        <v>0</v>
      </c>
      <c r="AJ1430" s="314">
        <f t="shared" si="388"/>
        <v>0</v>
      </c>
      <c r="AK1430" s="317"/>
      <c r="AL1430" s="315">
        <f t="shared" si="389"/>
        <v>0</v>
      </c>
      <c r="AN1430" s="554">
        <f t="shared" si="390"/>
        <v>0</v>
      </c>
      <c r="AO1430" s="314"/>
      <c r="AP1430" s="318"/>
    </row>
    <row r="1431" spans="2:42">
      <c r="B1431" s="296"/>
      <c r="C1431" s="299"/>
      <c r="D1431" s="298"/>
      <c r="E1431" s="299"/>
      <c r="F1431" s="299"/>
      <c r="G1431" s="300"/>
      <c r="H1431" s="303"/>
      <c r="I1431" s="301">
        <f t="shared" si="374"/>
        <v>0</v>
      </c>
      <c r="J1431" s="302">
        <f t="shared" si="375"/>
        <v>0</v>
      </c>
      <c r="K1431" s="304">
        <f t="shared" si="376"/>
        <v>0</v>
      </c>
      <c r="L1431" s="305">
        <f>IF(H1431=0,0,IF(OR(E1431=$AT$5,E1431=$AT$6),AA1431,IF(F1431="MXN",1/HLOOKUP(YEAR(G1431)+(MONTH(G1431)/100),TC!$5:$37,DAY(G1431)+2,FALSE),VLOOKUP(F1431,Equivalencia!$5:$23,((MAX(Equivalencia!$3:$3)-YEAR(G1431))*14)+MONTH(G1431)+2,FALSE))))</f>
        <v>0</v>
      </c>
      <c r="M1431" s="306">
        <f t="shared" si="377"/>
        <v>0</v>
      </c>
      <c r="N1431" s="305">
        <f>IF(G1431=0,0,(IF(OR(E1431=$AT$5,E1431=$AT$6),AC1431,HLOOKUP(YEAR(G1431)+(MONTH(G1431)/100),TC!$5:$37,DAY(G1431)+2,FALSE))))</f>
        <v>0</v>
      </c>
      <c r="O1431" s="307">
        <f t="shared" si="378"/>
        <v>0</v>
      </c>
      <c r="P1431" s="560">
        <f>IF(G1431=0,0,VLOOKUP(YEAR(G1431),INPC!$B$4:$P$30,MONTH(G1431)+2))</f>
        <v>0</v>
      </c>
      <c r="Q1431" s="560">
        <f>IF(X1431=0,0,IF(OR(E1431=$AT$10,E1431=$AT$9),VLOOKUP(YEAR(X1431),INPC!$B$4:$P$30,MONTH(X1431)+1),VLOOKUP(YEAR(X1431),INPC!$B$4:$P$30,MONTH(X1431)+2,0)))</f>
        <v>0</v>
      </c>
      <c r="R1431" s="309">
        <f t="shared" si="379"/>
        <v>0</v>
      </c>
      <c r="S1431" s="310">
        <f t="shared" si="380"/>
        <v>0</v>
      </c>
      <c r="T1431" s="555">
        <f t="shared" si="381"/>
        <v>0</v>
      </c>
      <c r="U1431" s="311"/>
      <c r="V1431" s="312"/>
      <c r="W1431" s="299"/>
      <c r="X1431" s="300"/>
      <c r="Y1431" s="299"/>
      <c r="Z1431" s="303"/>
      <c r="AA1431" s="305">
        <f>IF(Z1431=0,0,IF(Y1431="MXN",1/HLOOKUP(YEAR(X1431)+(MONTH(X1431)/100),TC!$5:$37,DAY(X1431)+2,FALSE),VLOOKUP(Y1431,Equivalencia!$1:$23,((MAX(Equivalencia!$3:$3)-YEAR(X1431))*14)+MONTH(X1431)+2,FALSE)))</f>
        <v>0</v>
      </c>
      <c r="AB1431" s="306">
        <f t="shared" si="382"/>
        <v>0</v>
      </c>
      <c r="AC1431" s="305">
        <f>+IF(X1431=0,0,HLOOKUP(YEAR(X1431)+(MONTH(X1431)/100),TC!$5:$37,DAY(X1431)+2,FALSE))</f>
        <v>0</v>
      </c>
      <c r="AD1431" s="307">
        <f t="shared" si="383"/>
        <v>0</v>
      </c>
      <c r="AE1431" s="314">
        <f t="shared" si="384"/>
        <v>0</v>
      </c>
      <c r="AF1431" s="315">
        <f t="shared" si="385"/>
        <v>0</v>
      </c>
      <c r="AG1431" s="316">
        <f t="shared" si="386"/>
        <v>0</v>
      </c>
      <c r="AH1431" s="314">
        <v>1</v>
      </c>
      <c r="AI1431" s="314">
        <f t="shared" si="387"/>
        <v>0</v>
      </c>
      <c r="AJ1431" s="314">
        <f t="shared" si="388"/>
        <v>0</v>
      </c>
      <c r="AK1431" s="317"/>
      <c r="AL1431" s="315">
        <f t="shared" si="389"/>
        <v>0</v>
      </c>
      <c r="AN1431" s="554">
        <f t="shared" si="390"/>
        <v>0</v>
      </c>
      <c r="AO1431" s="314"/>
      <c r="AP1431" s="318"/>
    </row>
    <row r="1432" spans="2:42">
      <c r="B1432" s="296"/>
      <c r="C1432" s="299"/>
      <c r="D1432" s="298"/>
      <c r="E1432" s="299"/>
      <c r="F1432" s="299"/>
      <c r="G1432" s="300"/>
      <c r="H1432" s="303"/>
      <c r="I1432" s="301">
        <f t="shared" si="374"/>
        <v>0</v>
      </c>
      <c r="J1432" s="302">
        <f t="shared" si="375"/>
        <v>0</v>
      </c>
      <c r="K1432" s="304">
        <f t="shared" si="376"/>
        <v>0</v>
      </c>
      <c r="L1432" s="305">
        <f>IF(H1432=0,0,IF(OR(E1432=$AT$5,E1432=$AT$6),AA1432,IF(F1432="MXN",1/HLOOKUP(YEAR(G1432)+(MONTH(G1432)/100),TC!$5:$37,DAY(G1432)+2,FALSE),VLOOKUP(F1432,Equivalencia!$5:$23,((MAX(Equivalencia!$3:$3)-YEAR(G1432))*14)+MONTH(G1432)+2,FALSE))))</f>
        <v>0</v>
      </c>
      <c r="M1432" s="306">
        <f t="shared" si="377"/>
        <v>0</v>
      </c>
      <c r="N1432" s="305">
        <f>IF(G1432=0,0,(IF(OR(E1432=$AT$5,E1432=$AT$6),AC1432,HLOOKUP(YEAR(G1432)+(MONTH(G1432)/100),TC!$5:$37,DAY(G1432)+2,FALSE))))</f>
        <v>0</v>
      </c>
      <c r="O1432" s="307">
        <f t="shared" si="378"/>
        <v>0</v>
      </c>
      <c r="P1432" s="560">
        <f>IF(G1432=0,0,VLOOKUP(YEAR(G1432),INPC!$B$4:$P$30,MONTH(G1432)+2))</f>
        <v>0</v>
      </c>
      <c r="Q1432" s="560">
        <f>IF(X1432=0,0,IF(OR(E1432=$AT$10,E1432=$AT$9),VLOOKUP(YEAR(X1432),INPC!$B$4:$P$30,MONTH(X1432)+1),VLOOKUP(YEAR(X1432),INPC!$B$4:$P$30,MONTH(X1432)+2,0)))</f>
        <v>0</v>
      </c>
      <c r="R1432" s="309">
        <f t="shared" si="379"/>
        <v>0</v>
      </c>
      <c r="S1432" s="310">
        <f t="shared" si="380"/>
        <v>0</v>
      </c>
      <c r="T1432" s="555">
        <f t="shared" si="381"/>
        <v>0</v>
      </c>
      <c r="U1432" s="311"/>
      <c r="V1432" s="312"/>
      <c r="W1432" s="299"/>
      <c r="X1432" s="300"/>
      <c r="Y1432" s="299"/>
      <c r="Z1432" s="303"/>
      <c r="AA1432" s="305">
        <f>IF(Z1432=0,0,IF(Y1432="MXN",1/HLOOKUP(YEAR(X1432)+(MONTH(X1432)/100),TC!$5:$37,DAY(X1432)+2,FALSE),VLOOKUP(Y1432,Equivalencia!$1:$23,((MAX(Equivalencia!$3:$3)-YEAR(X1432))*14)+MONTH(X1432)+2,FALSE)))</f>
        <v>0</v>
      </c>
      <c r="AB1432" s="306">
        <f t="shared" si="382"/>
        <v>0</v>
      </c>
      <c r="AC1432" s="305">
        <f>+IF(X1432=0,0,HLOOKUP(YEAR(X1432)+(MONTH(X1432)/100),TC!$5:$37,DAY(X1432)+2,FALSE))</f>
        <v>0</v>
      </c>
      <c r="AD1432" s="307">
        <f t="shared" si="383"/>
        <v>0</v>
      </c>
      <c r="AE1432" s="314">
        <f t="shared" si="384"/>
        <v>0</v>
      </c>
      <c r="AF1432" s="315">
        <f t="shared" si="385"/>
        <v>0</v>
      </c>
      <c r="AG1432" s="316">
        <f t="shared" si="386"/>
        <v>0</v>
      </c>
      <c r="AH1432" s="314">
        <v>1</v>
      </c>
      <c r="AI1432" s="314">
        <f t="shared" si="387"/>
        <v>0</v>
      </c>
      <c r="AJ1432" s="314">
        <f t="shared" si="388"/>
        <v>0</v>
      </c>
      <c r="AK1432" s="317"/>
      <c r="AL1432" s="315">
        <f t="shared" si="389"/>
        <v>0</v>
      </c>
      <c r="AN1432" s="554">
        <f t="shared" si="390"/>
        <v>0</v>
      </c>
      <c r="AO1432" s="314"/>
      <c r="AP1432" s="318"/>
    </row>
    <row r="1433" spans="2:42">
      <c r="B1433" s="296"/>
      <c r="C1433" s="299"/>
      <c r="D1433" s="298"/>
      <c r="E1433" s="299"/>
      <c r="F1433" s="299"/>
      <c r="G1433" s="300"/>
      <c r="H1433" s="303"/>
      <c r="I1433" s="301">
        <f t="shared" si="374"/>
        <v>0</v>
      </c>
      <c r="J1433" s="302">
        <f t="shared" si="375"/>
        <v>0</v>
      </c>
      <c r="K1433" s="304">
        <f t="shared" si="376"/>
        <v>0</v>
      </c>
      <c r="L1433" s="305">
        <f>IF(H1433=0,0,IF(OR(E1433=$AT$5,E1433=$AT$6),AA1433,IF(F1433="MXN",1/HLOOKUP(YEAR(G1433)+(MONTH(G1433)/100),TC!$5:$37,DAY(G1433)+2,FALSE),VLOOKUP(F1433,Equivalencia!$5:$23,((MAX(Equivalencia!$3:$3)-YEAR(G1433))*14)+MONTH(G1433)+2,FALSE))))</f>
        <v>0</v>
      </c>
      <c r="M1433" s="306">
        <f t="shared" si="377"/>
        <v>0</v>
      </c>
      <c r="N1433" s="305">
        <f>IF(G1433=0,0,(IF(OR(E1433=$AT$5,E1433=$AT$6),AC1433,HLOOKUP(YEAR(G1433)+(MONTH(G1433)/100),TC!$5:$37,DAY(G1433)+2,FALSE))))</f>
        <v>0</v>
      </c>
      <c r="O1433" s="307">
        <f t="shared" si="378"/>
        <v>0</v>
      </c>
      <c r="P1433" s="560">
        <f>IF(G1433=0,0,VLOOKUP(YEAR(G1433),INPC!$B$4:$P$30,MONTH(G1433)+2))</f>
        <v>0</v>
      </c>
      <c r="Q1433" s="560">
        <f>IF(X1433=0,0,IF(OR(E1433=$AT$10,E1433=$AT$9),VLOOKUP(YEAR(X1433),INPC!$B$4:$P$30,MONTH(X1433)+1),VLOOKUP(YEAR(X1433),INPC!$B$4:$P$30,MONTH(X1433)+2,0)))</f>
        <v>0</v>
      </c>
      <c r="R1433" s="309">
        <f t="shared" si="379"/>
        <v>0</v>
      </c>
      <c r="S1433" s="310">
        <f t="shared" si="380"/>
        <v>0</v>
      </c>
      <c r="T1433" s="555">
        <f t="shared" si="381"/>
        <v>0</v>
      </c>
      <c r="U1433" s="311"/>
      <c r="V1433" s="312"/>
      <c r="W1433" s="299"/>
      <c r="X1433" s="300"/>
      <c r="Y1433" s="299"/>
      <c r="Z1433" s="303"/>
      <c r="AA1433" s="305">
        <f>IF(Z1433=0,0,IF(Y1433="MXN",1/HLOOKUP(YEAR(X1433)+(MONTH(X1433)/100),TC!$5:$37,DAY(X1433)+2,FALSE),VLOOKUP(Y1433,Equivalencia!$1:$23,((MAX(Equivalencia!$3:$3)-YEAR(X1433))*14)+MONTH(X1433)+2,FALSE)))</f>
        <v>0</v>
      </c>
      <c r="AB1433" s="306">
        <f t="shared" si="382"/>
        <v>0</v>
      </c>
      <c r="AC1433" s="305">
        <f>+IF(X1433=0,0,HLOOKUP(YEAR(X1433)+(MONTH(X1433)/100),TC!$5:$37,DAY(X1433)+2,FALSE))</f>
        <v>0</v>
      </c>
      <c r="AD1433" s="307">
        <f t="shared" si="383"/>
        <v>0</v>
      </c>
      <c r="AE1433" s="314">
        <f t="shared" si="384"/>
        <v>0</v>
      </c>
      <c r="AF1433" s="315">
        <f t="shared" si="385"/>
        <v>0</v>
      </c>
      <c r="AG1433" s="316">
        <f t="shared" si="386"/>
        <v>0</v>
      </c>
      <c r="AH1433" s="314">
        <v>1</v>
      </c>
      <c r="AI1433" s="314">
        <f t="shared" si="387"/>
        <v>0</v>
      </c>
      <c r="AJ1433" s="314">
        <f t="shared" si="388"/>
        <v>0</v>
      </c>
      <c r="AK1433" s="317"/>
      <c r="AL1433" s="315">
        <f t="shared" si="389"/>
        <v>0</v>
      </c>
      <c r="AN1433" s="554">
        <f t="shared" si="390"/>
        <v>0</v>
      </c>
      <c r="AO1433" s="314"/>
      <c r="AP1433" s="318"/>
    </row>
    <row r="1434" spans="2:42">
      <c r="B1434" s="296"/>
      <c r="C1434" s="299"/>
      <c r="D1434" s="298"/>
      <c r="E1434" s="299"/>
      <c r="F1434" s="299"/>
      <c r="G1434" s="300"/>
      <c r="H1434" s="303"/>
      <c r="I1434" s="301">
        <f t="shared" si="374"/>
        <v>0</v>
      </c>
      <c r="J1434" s="302">
        <f t="shared" si="375"/>
        <v>0</v>
      </c>
      <c r="K1434" s="304">
        <f t="shared" si="376"/>
        <v>0</v>
      </c>
      <c r="L1434" s="305">
        <f>IF(H1434=0,0,IF(OR(E1434=$AT$5,E1434=$AT$6),AA1434,IF(F1434="MXN",1/HLOOKUP(YEAR(G1434)+(MONTH(G1434)/100),TC!$5:$37,DAY(G1434)+2,FALSE),VLOOKUP(F1434,Equivalencia!$5:$23,((MAX(Equivalencia!$3:$3)-YEAR(G1434))*14)+MONTH(G1434)+2,FALSE))))</f>
        <v>0</v>
      </c>
      <c r="M1434" s="306">
        <f t="shared" si="377"/>
        <v>0</v>
      </c>
      <c r="N1434" s="305">
        <f>IF(G1434=0,0,(IF(OR(E1434=$AT$5,E1434=$AT$6),AC1434,HLOOKUP(YEAR(G1434)+(MONTH(G1434)/100),TC!$5:$37,DAY(G1434)+2,FALSE))))</f>
        <v>0</v>
      </c>
      <c r="O1434" s="307">
        <f t="shared" si="378"/>
        <v>0</v>
      </c>
      <c r="P1434" s="560">
        <f>IF(G1434=0,0,VLOOKUP(YEAR(G1434),INPC!$B$4:$P$30,MONTH(G1434)+2))</f>
        <v>0</v>
      </c>
      <c r="Q1434" s="560">
        <f>IF(X1434=0,0,IF(OR(E1434=$AT$10,E1434=$AT$9),VLOOKUP(YEAR(X1434),INPC!$B$4:$P$30,MONTH(X1434)+1),VLOOKUP(YEAR(X1434),INPC!$B$4:$P$30,MONTH(X1434)+2,0)))</f>
        <v>0</v>
      </c>
      <c r="R1434" s="309">
        <f t="shared" si="379"/>
        <v>0</v>
      </c>
      <c r="S1434" s="310">
        <f t="shared" si="380"/>
        <v>0</v>
      </c>
      <c r="T1434" s="555">
        <f t="shared" si="381"/>
        <v>0</v>
      </c>
      <c r="U1434" s="311"/>
      <c r="V1434" s="312"/>
      <c r="W1434" s="299"/>
      <c r="X1434" s="300"/>
      <c r="Y1434" s="299"/>
      <c r="Z1434" s="303"/>
      <c r="AA1434" s="305">
        <f>IF(Z1434=0,0,IF(Y1434="MXN",1/HLOOKUP(YEAR(X1434)+(MONTH(X1434)/100),TC!$5:$37,DAY(X1434)+2,FALSE),VLOOKUP(Y1434,Equivalencia!$1:$23,((MAX(Equivalencia!$3:$3)-YEAR(X1434))*14)+MONTH(X1434)+2,FALSE)))</f>
        <v>0</v>
      </c>
      <c r="AB1434" s="306">
        <f t="shared" si="382"/>
        <v>0</v>
      </c>
      <c r="AC1434" s="305">
        <f>+IF(X1434=0,0,HLOOKUP(YEAR(X1434)+(MONTH(X1434)/100),TC!$5:$37,DAY(X1434)+2,FALSE))</f>
        <v>0</v>
      </c>
      <c r="AD1434" s="307">
        <f t="shared" si="383"/>
        <v>0</v>
      </c>
      <c r="AE1434" s="314">
        <f t="shared" si="384"/>
        <v>0</v>
      </c>
      <c r="AF1434" s="315">
        <f t="shared" si="385"/>
        <v>0</v>
      </c>
      <c r="AG1434" s="316">
        <f t="shared" si="386"/>
        <v>0</v>
      </c>
      <c r="AH1434" s="314">
        <v>1</v>
      </c>
      <c r="AI1434" s="314">
        <f t="shared" si="387"/>
        <v>0</v>
      </c>
      <c r="AJ1434" s="314">
        <f t="shared" si="388"/>
        <v>0</v>
      </c>
      <c r="AK1434" s="317"/>
      <c r="AL1434" s="315">
        <f t="shared" si="389"/>
        <v>0</v>
      </c>
      <c r="AN1434" s="554">
        <f t="shared" si="390"/>
        <v>0</v>
      </c>
      <c r="AO1434" s="314"/>
      <c r="AP1434" s="318"/>
    </row>
    <row r="1435" spans="2:42">
      <c r="B1435" s="296"/>
      <c r="C1435" s="299"/>
      <c r="D1435" s="298"/>
      <c r="E1435" s="299"/>
      <c r="F1435" s="299"/>
      <c r="G1435" s="300"/>
      <c r="H1435" s="303"/>
      <c r="I1435" s="301">
        <f t="shared" si="374"/>
        <v>0</v>
      </c>
      <c r="J1435" s="302">
        <f t="shared" si="375"/>
        <v>0</v>
      </c>
      <c r="K1435" s="304">
        <f t="shared" si="376"/>
        <v>0</v>
      </c>
      <c r="L1435" s="305">
        <f>IF(H1435=0,0,IF(OR(E1435=$AT$5,E1435=$AT$6),AA1435,IF(F1435="MXN",1/HLOOKUP(YEAR(G1435)+(MONTH(G1435)/100),TC!$5:$37,DAY(G1435)+2,FALSE),VLOOKUP(F1435,Equivalencia!$5:$23,((MAX(Equivalencia!$3:$3)-YEAR(G1435))*14)+MONTH(G1435)+2,FALSE))))</f>
        <v>0</v>
      </c>
      <c r="M1435" s="306">
        <f t="shared" si="377"/>
        <v>0</v>
      </c>
      <c r="N1435" s="305">
        <f>IF(G1435=0,0,(IF(OR(E1435=$AT$5,E1435=$AT$6),AC1435,HLOOKUP(YEAR(G1435)+(MONTH(G1435)/100),TC!$5:$37,DAY(G1435)+2,FALSE))))</f>
        <v>0</v>
      </c>
      <c r="O1435" s="307">
        <f t="shared" si="378"/>
        <v>0</v>
      </c>
      <c r="P1435" s="560">
        <f>IF(G1435=0,0,VLOOKUP(YEAR(G1435),INPC!$B$4:$P$30,MONTH(G1435)+2))</f>
        <v>0</v>
      </c>
      <c r="Q1435" s="560">
        <f>IF(X1435=0,0,IF(OR(E1435=$AT$10,E1435=$AT$9),VLOOKUP(YEAR(X1435),INPC!$B$4:$P$30,MONTH(X1435)+1),VLOOKUP(YEAR(X1435),INPC!$B$4:$P$30,MONTH(X1435)+2,0)))</f>
        <v>0</v>
      </c>
      <c r="R1435" s="309">
        <f t="shared" si="379"/>
        <v>0</v>
      </c>
      <c r="S1435" s="310">
        <f t="shared" si="380"/>
        <v>0</v>
      </c>
      <c r="T1435" s="555">
        <f t="shared" si="381"/>
        <v>0</v>
      </c>
      <c r="U1435" s="311"/>
      <c r="V1435" s="312"/>
      <c r="W1435" s="299"/>
      <c r="X1435" s="300"/>
      <c r="Y1435" s="299"/>
      <c r="Z1435" s="303"/>
      <c r="AA1435" s="305">
        <f>IF(Z1435=0,0,IF(Y1435="MXN",1/HLOOKUP(YEAR(X1435)+(MONTH(X1435)/100),TC!$5:$37,DAY(X1435)+2,FALSE),VLOOKUP(Y1435,Equivalencia!$1:$23,((MAX(Equivalencia!$3:$3)-YEAR(X1435))*14)+MONTH(X1435)+2,FALSE)))</f>
        <v>0</v>
      </c>
      <c r="AB1435" s="306">
        <f t="shared" si="382"/>
        <v>0</v>
      </c>
      <c r="AC1435" s="305">
        <f>+IF(X1435=0,0,HLOOKUP(YEAR(X1435)+(MONTH(X1435)/100),TC!$5:$37,DAY(X1435)+2,FALSE))</f>
        <v>0</v>
      </c>
      <c r="AD1435" s="307">
        <f t="shared" si="383"/>
        <v>0</v>
      </c>
      <c r="AE1435" s="314">
        <f t="shared" si="384"/>
        <v>0</v>
      </c>
      <c r="AF1435" s="315">
        <f t="shared" si="385"/>
        <v>0</v>
      </c>
      <c r="AG1435" s="316">
        <f t="shared" si="386"/>
        <v>0</v>
      </c>
      <c r="AH1435" s="314">
        <v>1</v>
      </c>
      <c r="AI1435" s="314">
        <f t="shared" si="387"/>
        <v>0</v>
      </c>
      <c r="AJ1435" s="314">
        <f t="shared" si="388"/>
        <v>0</v>
      </c>
      <c r="AK1435" s="317"/>
      <c r="AL1435" s="315">
        <f t="shared" si="389"/>
        <v>0</v>
      </c>
      <c r="AN1435" s="554">
        <f t="shared" si="390"/>
        <v>0</v>
      </c>
      <c r="AO1435" s="314"/>
      <c r="AP1435" s="318"/>
    </row>
    <row r="1436" spans="2:42">
      <c r="B1436" s="296"/>
      <c r="C1436" s="299"/>
      <c r="D1436" s="298"/>
      <c r="E1436" s="299"/>
      <c r="F1436" s="299"/>
      <c r="G1436" s="300"/>
      <c r="H1436" s="303"/>
      <c r="I1436" s="301">
        <f t="shared" si="374"/>
        <v>0</v>
      </c>
      <c r="J1436" s="302">
        <f t="shared" si="375"/>
        <v>0</v>
      </c>
      <c r="K1436" s="304">
        <f t="shared" si="376"/>
        <v>0</v>
      </c>
      <c r="L1436" s="305">
        <f>IF(H1436=0,0,IF(OR(E1436=$AT$5,E1436=$AT$6),AA1436,IF(F1436="MXN",1/HLOOKUP(YEAR(G1436)+(MONTH(G1436)/100),TC!$5:$37,DAY(G1436)+2,FALSE),VLOOKUP(F1436,Equivalencia!$5:$23,((MAX(Equivalencia!$3:$3)-YEAR(G1436))*14)+MONTH(G1436)+2,FALSE))))</f>
        <v>0</v>
      </c>
      <c r="M1436" s="306">
        <f t="shared" si="377"/>
        <v>0</v>
      </c>
      <c r="N1436" s="305">
        <f>IF(G1436=0,0,(IF(OR(E1436=$AT$5,E1436=$AT$6),AC1436,HLOOKUP(YEAR(G1436)+(MONTH(G1436)/100),TC!$5:$37,DAY(G1436)+2,FALSE))))</f>
        <v>0</v>
      </c>
      <c r="O1436" s="307">
        <f t="shared" si="378"/>
        <v>0</v>
      </c>
      <c r="P1436" s="560">
        <f>IF(G1436=0,0,VLOOKUP(YEAR(G1436),INPC!$B$4:$P$30,MONTH(G1436)+2))</f>
        <v>0</v>
      </c>
      <c r="Q1436" s="560">
        <f>IF(X1436=0,0,IF(OR(E1436=$AT$10,E1436=$AT$9),VLOOKUP(YEAR(X1436),INPC!$B$4:$P$30,MONTH(X1436)+1),VLOOKUP(YEAR(X1436),INPC!$B$4:$P$30,MONTH(X1436)+2,0)))</f>
        <v>0</v>
      </c>
      <c r="R1436" s="309">
        <f t="shared" si="379"/>
        <v>0</v>
      </c>
      <c r="S1436" s="310">
        <f t="shared" si="380"/>
        <v>0</v>
      </c>
      <c r="T1436" s="555">
        <f t="shared" si="381"/>
        <v>0</v>
      </c>
      <c r="U1436" s="311"/>
      <c r="V1436" s="312"/>
      <c r="W1436" s="299"/>
      <c r="X1436" s="300"/>
      <c r="Y1436" s="299"/>
      <c r="Z1436" s="303"/>
      <c r="AA1436" s="305">
        <f>IF(Z1436=0,0,IF(Y1436="MXN",1/HLOOKUP(YEAR(X1436)+(MONTH(X1436)/100),TC!$5:$37,DAY(X1436)+2,FALSE),VLOOKUP(Y1436,Equivalencia!$1:$23,((MAX(Equivalencia!$3:$3)-YEAR(X1436))*14)+MONTH(X1436)+2,FALSE)))</f>
        <v>0</v>
      </c>
      <c r="AB1436" s="306">
        <f t="shared" si="382"/>
        <v>0</v>
      </c>
      <c r="AC1436" s="305">
        <f>+IF(X1436=0,0,HLOOKUP(YEAR(X1436)+(MONTH(X1436)/100),TC!$5:$37,DAY(X1436)+2,FALSE))</f>
        <v>0</v>
      </c>
      <c r="AD1436" s="307">
        <f t="shared" si="383"/>
        <v>0</v>
      </c>
      <c r="AE1436" s="314">
        <f t="shared" si="384"/>
        <v>0</v>
      </c>
      <c r="AF1436" s="315">
        <f t="shared" si="385"/>
        <v>0</v>
      </c>
      <c r="AG1436" s="316">
        <f t="shared" si="386"/>
        <v>0</v>
      </c>
      <c r="AH1436" s="314">
        <v>1</v>
      </c>
      <c r="AI1436" s="314">
        <f t="shared" si="387"/>
        <v>0</v>
      </c>
      <c r="AJ1436" s="314">
        <f t="shared" si="388"/>
        <v>0</v>
      </c>
      <c r="AK1436" s="317"/>
      <c r="AL1436" s="315">
        <f t="shared" si="389"/>
        <v>0</v>
      </c>
      <c r="AN1436" s="554">
        <f t="shared" si="390"/>
        <v>0</v>
      </c>
      <c r="AO1436" s="314"/>
      <c r="AP1436" s="318"/>
    </row>
    <row r="1437" spans="2:42">
      <c r="B1437" s="296"/>
      <c r="C1437" s="299"/>
      <c r="D1437" s="298"/>
      <c r="E1437" s="299"/>
      <c r="F1437" s="299"/>
      <c r="G1437" s="300"/>
      <c r="H1437" s="303"/>
      <c r="I1437" s="301">
        <f t="shared" si="374"/>
        <v>0</v>
      </c>
      <c r="J1437" s="302">
        <f t="shared" si="375"/>
        <v>0</v>
      </c>
      <c r="K1437" s="304">
        <f t="shared" si="376"/>
        <v>0</v>
      </c>
      <c r="L1437" s="305">
        <f>IF(H1437=0,0,IF(OR(E1437=$AT$5,E1437=$AT$6),AA1437,IF(F1437="MXN",1/HLOOKUP(YEAR(G1437)+(MONTH(G1437)/100),TC!$5:$37,DAY(G1437)+2,FALSE),VLOOKUP(F1437,Equivalencia!$5:$23,((MAX(Equivalencia!$3:$3)-YEAR(G1437))*14)+MONTH(G1437)+2,FALSE))))</f>
        <v>0</v>
      </c>
      <c r="M1437" s="306">
        <f t="shared" si="377"/>
        <v>0</v>
      </c>
      <c r="N1437" s="305">
        <f>IF(G1437=0,0,(IF(OR(E1437=$AT$5,E1437=$AT$6),AC1437,HLOOKUP(YEAR(G1437)+(MONTH(G1437)/100),TC!$5:$37,DAY(G1437)+2,FALSE))))</f>
        <v>0</v>
      </c>
      <c r="O1437" s="307">
        <f t="shared" si="378"/>
        <v>0</v>
      </c>
      <c r="P1437" s="560">
        <f>IF(G1437=0,0,VLOOKUP(YEAR(G1437),INPC!$B$4:$P$30,MONTH(G1437)+2))</f>
        <v>0</v>
      </c>
      <c r="Q1437" s="560">
        <f>IF(X1437=0,0,IF(OR(E1437=$AT$10,E1437=$AT$9),VLOOKUP(YEAR(X1437),INPC!$B$4:$P$30,MONTH(X1437)+1),VLOOKUP(YEAR(X1437),INPC!$B$4:$P$30,MONTH(X1437)+2,0)))</f>
        <v>0</v>
      </c>
      <c r="R1437" s="309">
        <f t="shared" si="379"/>
        <v>0</v>
      </c>
      <c r="S1437" s="310">
        <f t="shared" si="380"/>
        <v>0</v>
      </c>
      <c r="T1437" s="555">
        <f t="shared" si="381"/>
        <v>0</v>
      </c>
      <c r="U1437" s="311"/>
      <c r="V1437" s="312"/>
      <c r="W1437" s="299"/>
      <c r="X1437" s="300"/>
      <c r="Y1437" s="299"/>
      <c r="Z1437" s="303"/>
      <c r="AA1437" s="305">
        <f>IF(Z1437=0,0,IF(Y1437="MXN",1/HLOOKUP(YEAR(X1437)+(MONTH(X1437)/100),TC!$5:$37,DAY(X1437)+2,FALSE),VLOOKUP(Y1437,Equivalencia!$1:$23,((MAX(Equivalencia!$3:$3)-YEAR(X1437))*14)+MONTH(X1437)+2,FALSE)))</f>
        <v>0</v>
      </c>
      <c r="AB1437" s="306">
        <f t="shared" si="382"/>
        <v>0</v>
      </c>
      <c r="AC1437" s="305">
        <f>+IF(X1437=0,0,HLOOKUP(YEAR(X1437)+(MONTH(X1437)/100),TC!$5:$37,DAY(X1437)+2,FALSE))</f>
        <v>0</v>
      </c>
      <c r="AD1437" s="307">
        <f t="shared" si="383"/>
        <v>0</v>
      </c>
      <c r="AE1437" s="314">
        <f t="shared" si="384"/>
        <v>0</v>
      </c>
      <c r="AF1437" s="315">
        <f t="shared" si="385"/>
        <v>0</v>
      </c>
      <c r="AG1437" s="316">
        <f t="shared" si="386"/>
        <v>0</v>
      </c>
      <c r="AH1437" s="314">
        <v>1</v>
      </c>
      <c r="AI1437" s="314">
        <f t="shared" si="387"/>
        <v>0</v>
      </c>
      <c r="AJ1437" s="314">
        <f t="shared" si="388"/>
        <v>0</v>
      </c>
      <c r="AK1437" s="317"/>
      <c r="AL1437" s="315">
        <f t="shared" si="389"/>
        <v>0</v>
      </c>
      <c r="AN1437" s="554">
        <f t="shared" si="390"/>
        <v>0</v>
      </c>
      <c r="AO1437" s="314"/>
      <c r="AP1437" s="318"/>
    </row>
    <row r="1438" spans="2:42">
      <c r="B1438" s="296"/>
      <c r="C1438" s="299"/>
      <c r="D1438" s="298"/>
      <c r="E1438" s="299"/>
      <c r="F1438" s="299"/>
      <c r="G1438" s="300"/>
      <c r="H1438" s="303"/>
      <c r="I1438" s="301">
        <f t="shared" si="374"/>
        <v>0</v>
      </c>
      <c r="J1438" s="302">
        <f t="shared" si="375"/>
        <v>0</v>
      </c>
      <c r="K1438" s="304">
        <f t="shared" si="376"/>
        <v>0</v>
      </c>
      <c r="L1438" s="305">
        <f>IF(H1438=0,0,IF(OR(E1438=$AT$5,E1438=$AT$6),AA1438,IF(F1438="MXN",1/HLOOKUP(YEAR(G1438)+(MONTH(G1438)/100),TC!$5:$37,DAY(G1438)+2,FALSE),VLOOKUP(F1438,Equivalencia!$5:$23,((MAX(Equivalencia!$3:$3)-YEAR(G1438))*14)+MONTH(G1438)+2,FALSE))))</f>
        <v>0</v>
      </c>
      <c r="M1438" s="306">
        <f t="shared" si="377"/>
        <v>0</v>
      </c>
      <c r="N1438" s="305">
        <f>IF(G1438=0,0,(IF(OR(E1438=$AT$5,E1438=$AT$6),AC1438,HLOOKUP(YEAR(G1438)+(MONTH(G1438)/100),TC!$5:$37,DAY(G1438)+2,FALSE))))</f>
        <v>0</v>
      </c>
      <c r="O1438" s="307">
        <f t="shared" si="378"/>
        <v>0</v>
      </c>
      <c r="P1438" s="560">
        <f>IF(G1438=0,0,VLOOKUP(YEAR(G1438),INPC!$B$4:$P$30,MONTH(G1438)+2))</f>
        <v>0</v>
      </c>
      <c r="Q1438" s="560">
        <f>IF(X1438=0,0,IF(OR(E1438=$AT$10,E1438=$AT$9),VLOOKUP(YEAR(X1438),INPC!$B$4:$P$30,MONTH(X1438)+1),VLOOKUP(YEAR(X1438),INPC!$B$4:$P$30,MONTH(X1438)+2,0)))</f>
        <v>0</v>
      </c>
      <c r="R1438" s="309">
        <f t="shared" si="379"/>
        <v>0</v>
      </c>
      <c r="S1438" s="310">
        <f t="shared" si="380"/>
        <v>0</v>
      </c>
      <c r="T1438" s="555">
        <f t="shared" si="381"/>
        <v>0</v>
      </c>
      <c r="U1438" s="311"/>
      <c r="V1438" s="312"/>
      <c r="W1438" s="299"/>
      <c r="X1438" s="300"/>
      <c r="Y1438" s="299"/>
      <c r="Z1438" s="303"/>
      <c r="AA1438" s="305">
        <f>IF(Z1438=0,0,IF(Y1438="MXN",1/HLOOKUP(YEAR(X1438)+(MONTH(X1438)/100),TC!$5:$37,DAY(X1438)+2,FALSE),VLOOKUP(Y1438,Equivalencia!$1:$23,((MAX(Equivalencia!$3:$3)-YEAR(X1438))*14)+MONTH(X1438)+2,FALSE)))</f>
        <v>0</v>
      </c>
      <c r="AB1438" s="306">
        <f t="shared" si="382"/>
        <v>0</v>
      </c>
      <c r="AC1438" s="305">
        <f>+IF(X1438=0,0,HLOOKUP(YEAR(X1438)+(MONTH(X1438)/100),TC!$5:$37,DAY(X1438)+2,FALSE))</f>
        <v>0</v>
      </c>
      <c r="AD1438" s="307">
        <f t="shared" si="383"/>
        <v>0</v>
      </c>
      <c r="AE1438" s="314">
        <f t="shared" si="384"/>
        <v>0</v>
      </c>
      <c r="AF1438" s="315">
        <f t="shared" si="385"/>
        <v>0</v>
      </c>
      <c r="AG1438" s="316">
        <f t="shared" si="386"/>
        <v>0</v>
      </c>
      <c r="AH1438" s="314">
        <v>1</v>
      </c>
      <c r="AI1438" s="314">
        <f t="shared" si="387"/>
        <v>0</v>
      </c>
      <c r="AJ1438" s="314">
        <f t="shared" si="388"/>
        <v>0</v>
      </c>
      <c r="AK1438" s="317"/>
      <c r="AL1438" s="315">
        <f t="shared" si="389"/>
        <v>0</v>
      </c>
      <c r="AN1438" s="554">
        <f t="shared" si="390"/>
        <v>0</v>
      </c>
      <c r="AO1438" s="314"/>
      <c r="AP1438" s="318"/>
    </row>
    <row r="1439" spans="2:42">
      <c r="B1439" s="296"/>
      <c r="C1439" s="299"/>
      <c r="D1439" s="298"/>
      <c r="E1439" s="299"/>
      <c r="F1439" s="299"/>
      <c r="G1439" s="300"/>
      <c r="H1439" s="303"/>
      <c r="I1439" s="301">
        <f t="shared" si="374"/>
        <v>0</v>
      </c>
      <c r="J1439" s="302">
        <f t="shared" si="375"/>
        <v>0</v>
      </c>
      <c r="K1439" s="304">
        <f t="shared" si="376"/>
        <v>0</v>
      </c>
      <c r="L1439" s="305">
        <f>IF(H1439=0,0,IF(OR(E1439=$AT$5,E1439=$AT$6),AA1439,IF(F1439="MXN",1/HLOOKUP(YEAR(G1439)+(MONTH(G1439)/100),TC!$5:$37,DAY(G1439)+2,FALSE),VLOOKUP(F1439,Equivalencia!$5:$23,((MAX(Equivalencia!$3:$3)-YEAR(G1439))*14)+MONTH(G1439)+2,FALSE))))</f>
        <v>0</v>
      </c>
      <c r="M1439" s="306">
        <f t="shared" si="377"/>
        <v>0</v>
      </c>
      <c r="N1439" s="305">
        <f>IF(G1439=0,0,(IF(OR(E1439=$AT$5,E1439=$AT$6),AC1439,HLOOKUP(YEAR(G1439)+(MONTH(G1439)/100),TC!$5:$37,DAY(G1439)+2,FALSE))))</f>
        <v>0</v>
      </c>
      <c r="O1439" s="307">
        <f t="shared" si="378"/>
        <v>0</v>
      </c>
      <c r="P1439" s="560">
        <f>IF(G1439=0,0,VLOOKUP(YEAR(G1439),INPC!$B$4:$P$30,MONTH(G1439)+2))</f>
        <v>0</v>
      </c>
      <c r="Q1439" s="560">
        <f>IF(X1439=0,0,IF(OR(E1439=$AT$10,E1439=$AT$9),VLOOKUP(YEAR(X1439),INPC!$B$4:$P$30,MONTH(X1439)+1),VLOOKUP(YEAR(X1439),INPC!$B$4:$P$30,MONTH(X1439)+2,0)))</f>
        <v>0</v>
      </c>
      <c r="R1439" s="309">
        <f t="shared" si="379"/>
        <v>0</v>
      </c>
      <c r="S1439" s="310">
        <f t="shared" si="380"/>
        <v>0</v>
      </c>
      <c r="T1439" s="555">
        <f t="shared" si="381"/>
        <v>0</v>
      </c>
      <c r="U1439" s="311"/>
      <c r="V1439" s="312"/>
      <c r="W1439" s="299"/>
      <c r="X1439" s="300"/>
      <c r="Y1439" s="299"/>
      <c r="Z1439" s="303"/>
      <c r="AA1439" s="305">
        <f>IF(Z1439=0,0,IF(Y1439="MXN",1/HLOOKUP(YEAR(X1439)+(MONTH(X1439)/100),TC!$5:$37,DAY(X1439)+2,FALSE),VLOOKUP(Y1439,Equivalencia!$1:$23,((MAX(Equivalencia!$3:$3)-YEAR(X1439))*14)+MONTH(X1439)+2,FALSE)))</f>
        <v>0</v>
      </c>
      <c r="AB1439" s="306">
        <f t="shared" si="382"/>
        <v>0</v>
      </c>
      <c r="AC1439" s="305">
        <f>+IF(X1439=0,0,HLOOKUP(YEAR(X1439)+(MONTH(X1439)/100),TC!$5:$37,DAY(X1439)+2,FALSE))</f>
        <v>0</v>
      </c>
      <c r="AD1439" s="307">
        <f t="shared" si="383"/>
        <v>0</v>
      </c>
      <c r="AE1439" s="314">
        <f t="shared" si="384"/>
        <v>0</v>
      </c>
      <c r="AF1439" s="315">
        <f t="shared" si="385"/>
        <v>0</v>
      </c>
      <c r="AG1439" s="316">
        <f t="shared" si="386"/>
        <v>0</v>
      </c>
      <c r="AH1439" s="314">
        <v>1</v>
      </c>
      <c r="AI1439" s="314">
        <f t="shared" si="387"/>
        <v>0</v>
      </c>
      <c r="AJ1439" s="314">
        <f t="shared" si="388"/>
        <v>0</v>
      </c>
      <c r="AK1439" s="317"/>
      <c r="AL1439" s="315">
        <f t="shared" si="389"/>
        <v>0</v>
      </c>
      <c r="AN1439" s="554">
        <f t="shared" si="390"/>
        <v>0</v>
      </c>
      <c r="AO1439" s="314"/>
      <c r="AP1439" s="318"/>
    </row>
    <row r="1440" spans="2:42">
      <c r="B1440" s="296"/>
      <c r="C1440" s="299"/>
      <c r="D1440" s="298"/>
      <c r="E1440" s="299"/>
      <c r="F1440" s="299"/>
      <c r="G1440" s="300"/>
      <c r="H1440" s="303"/>
      <c r="I1440" s="301">
        <f t="shared" si="374"/>
        <v>0</v>
      </c>
      <c r="J1440" s="302">
        <f t="shared" si="375"/>
        <v>0</v>
      </c>
      <c r="K1440" s="304">
        <f t="shared" si="376"/>
        <v>0</v>
      </c>
      <c r="L1440" s="305">
        <f>IF(H1440=0,0,IF(OR(E1440=$AT$5,E1440=$AT$6),AA1440,IF(F1440="MXN",1/HLOOKUP(YEAR(G1440)+(MONTH(G1440)/100),TC!$5:$37,DAY(G1440)+2,FALSE),VLOOKUP(F1440,Equivalencia!$5:$23,((MAX(Equivalencia!$3:$3)-YEAR(G1440))*14)+MONTH(G1440)+2,FALSE))))</f>
        <v>0</v>
      </c>
      <c r="M1440" s="306">
        <f t="shared" si="377"/>
        <v>0</v>
      </c>
      <c r="N1440" s="305">
        <f>IF(G1440=0,0,(IF(OR(E1440=$AT$5,E1440=$AT$6),AC1440,HLOOKUP(YEAR(G1440)+(MONTH(G1440)/100),TC!$5:$37,DAY(G1440)+2,FALSE))))</f>
        <v>0</v>
      </c>
      <c r="O1440" s="307">
        <f t="shared" si="378"/>
        <v>0</v>
      </c>
      <c r="P1440" s="560">
        <f>IF(G1440=0,0,VLOOKUP(YEAR(G1440),INPC!$B$4:$P$30,MONTH(G1440)+2))</f>
        <v>0</v>
      </c>
      <c r="Q1440" s="560">
        <f>IF(X1440=0,0,IF(OR(E1440=$AT$10,E1440=$AT$9),VLOOKUP(YEAR(X1440),INPC!$B$4:$P$30,MONTH(X1440)+1),VLOOKUP(YEAR(X1440),INPC!$B$4:$P$30,MONTH(X1440)+2,0)))</f>
        <v>0</v>
      </c>
      <c r="R1440" s="309">
        <f t="shared" si="379"/>
        <v>0</v>
      </c>
      <c r="S1440" s="310">
        <f t="shared" si="380"/>
        <v>0</v>
      </c>
      <c r="T1440" s="555">
        <f t="shared" si="381"/>
        <v>0</v>
      </c>
      <c r="U1440" s="311"/>
      <c r="V1440" s="312"/>
      <c r="W1440" s="299"/>
      <c r="X1440" s="300"/>
      <c r="Y1440" s="299"/>
      <c r="Z1440" s="303"/>
      <c r="AA1440" s="305">
        <f>IF(Z1440=0,0,IF(Y1440="MXN",1/HLOOKUP(YEAR(X1440)+(MONTH(X1440)/100),TC!$5:$37,DAY(X1440)+2,FALSE),VLOOKUP(Y1440,Equivalencia!$1:$23,((MAX(Equivalencia!$3:$3)-YEAR(X1440))*14)+MONTH(X1440)+2,FALSE)))</f>
        <v>0</v>
      </c>
      <c r="AB1440" s="306">
        <f t="shared" si="382"/>
        <v>0</v>
      </c>
      <c r="AC1440" s="305">
        <f>+IF(X1440=0,0,HLOOKUP(YEAR(X1440)+(MONTH(X1440)/100),TC!$5:$37,DAY(X1440)+2,FALSE))</f>
        <v>0</v>
      </c>
      <c r="AD1440" s="307">
        <f t="shared" si="383"/>
        <v>0</v>
      </c>
      <c r="AE1440" s="314">
        <f t="shared" si="384"/>
        <v>0</v>
      </c>
      <c r="AF1440" s="315">
        <f t="shared" si="385"/>
        <v>0</v>
      </c>
      <c r="AG1440" s="316">
        <f t="shared" si="386"/>
        <v>0</v>
      </c>
      <c r="AH1440" s="314">
        <v>1</v>
      </c>
      <c r="AI1440" s="314">
        <f t="shared" si="387"/>
        <v>0</v>
      </c>
      <c r="AJ1440" s="314">
        <f t="shared" si="388"/>
        <v>0</v>
      </c>
      <c r="AK1440" s="317"/>
      <c r="AL1440" s="315">
        <f t="shared" si="389"/>
        <v>0</v>
      </c>
      <c r="AN1440" s="554">
        <f t="shared" si="390"/>
        <v>0</v>
      </c>
      <c r="AO1440" s="314"/>
      <c r="AP1440" s="318"/>
    </row>
    <row r="1441" spans="2:42">
      <c r="B1441" s="296"/>
      <c r="C1441" s="299"/>
      <c r="D1441" s="298"/>
      <c r="E1441" s="299"/>
      <c r="F1441" s="299"/>
      <c r="G1441" s="300"/>
      <c r="H1441" s="303"/>
      <c r="I1441" s="301">
        <f t="shared" si="374"/>
        <v>0</v>
      </c>
      <c r="J1441" s="302">
        <f t="shared" si="375"/>
        <v>0</v>
      </c>
      <c r="K1441" s="304">
        <f t="shared" si="376"/>
        <v>0</v>
      </c>
      <c r="L1441" s="305">
        <f>IF(H1441=0,0,IF(OR(E1441=$AT$5,E1441=$AT$6),AA1441,IF(F1441="MXN",1/HLOOKUP(YEAR(G1441)+(MONTH(G1441)/100),TC!$5:$37,DAY(G1441)+2,FALSE),VLOOKUP(F1441,Equivalencia!$5:$23,((MAX(Equivalencia!$3:$3)-YEAR(G1441))*14)+MONTH(G1441)+2,FALSE))))</f>
        <v>0</v>
      </c>
      <c r="M1441" s="306">
        <f t="shared" si="377"/>
        <v>0</v>
      </c>
      <c r="N1441" s="305">
        <f>IF(G1441=0,0,(IF(OR(E1441=$AT$5,E1441=$AT$6),AC1441,HLOOKUP(YEAR(G1441)+(MONTH(G1441)/100),TC!$5:$37,DAY(G1441)+2,FALSE))))</f>
        <v>0</v>
      </c>
      <c r="O1441" s="307">
        <f t="shared" si="378"/>
        <v>0</v>
      </c>
      <c r="P1441" s="560">
        <f>IF(G1441=0,0,VLOOKUP(YEAR(G1441),INPC!$B$4:$P$30,MONTH(G1441)+2))</f>
        <v>0</v>
      </c>
      <c r="Q1441" s="560">
        <f>IF(X1441=0,0,IF(OR(E1441=$AT$10,E1441=$AT$9),VLOOKUP(YEAR(X1441),INPC!$B$4:$P$30,MONTH(X1441)+1),VLOOKUP(YEAR(X1441),INPC!$B$4:$P$30,MONTH(X1441)+2,0)))</f>
        <v>0</v>
      </c>
      <c r="R1441" s="309">
        <f t="shared" si="379"/>
        <v>0</v>
      </c>
      <c r="S1441" s="310">
        <f t="shared" si="380"/>
        <v>0</v>
      </c>
      <c r="T1441" s="555">
        <f t="shared" si="381"/>
        <v>0</v>
      </c>
      <c r="U1441" s="311"/>
      <c r="V1441" s="312"/>
      <c r="W1441" s="299"/>
      <c r="X1441" s="300"/>
      <c r="Y1441" s="299"/>
      <c r="Z1441" s="303"/>
      <c r="AA1441" s="305">
        <f>IF(Z1441=0,0,IF(Y1441="MXN",1/HLOOKUP(YEAR(X1441)+(MONTH(X1441)/100),TC!$5:$37,DAY(X1441)+2,FALSE),VLOOKUP(Y1441,Equivalencia!$1:$23,((MAX(Equivalencia!$3:$3)-YEAR(X1441))*14)+MONTH(X1441)+2,FALSE)))</f>
        <v>0</v>
      </c>
      <c r="AB1441" s="306">
        <f t="shared" si="382"/>
        <v>0</v>
      </c>
      <c r="AC1441" s="305">
        <f>+IF(X1441=0,0,HLOOKUP(YEAR(X1441)+(MONTH(X1441)/100),TC!$5:$37,DAY(X1441)+2,FALSE))</f>
        <v>0</v>
      </c>
      <c r="AD1441" s="307">
        <f t="shared" si="383"/>
        <v>0</v>
      </c>
      <c r="AE1441" s="314">
        <f t="shared" si="384"/>
        <v>0</v>
      </c>
      <c r="AF1441" s="315">
        <f t="shared" si="385"/>
        <v>0</v>
      </c>
      <c r="AG1441" s="316">
        <f t="shared" si="386"/>
        <v>0</v>
      </c>
      <c r="AH1441" s="314">
        <v>1</v>
      </c>
      <c r="AI1441" s="314">
        <f t="shared" si="387"/>
        <v>0</v>
      </c>
      <c r="AJ1441" s="314">
        <f t="shared" si="388"/>
        <v>0</v>
      </c>
      <c r="AK1441" s="317"/>
      <c r="AL1441" s="315">
        <f t="shared" si="389"/>
        <v>0</v>
      </c>
      <c r="AN1441" s="554">
        <f t="shared" si="390"/>
        <v>0</v>
      </c>
      <c r="AO1441" s="314"/>
      <c r="AP1441" s="318"/>
    </row>
    <row r="1442" spans="2:42">
      <c r="B1442" s="296"/>
      <c r="C1442" s="299"/>
      <c r="D1442" s="298"/>
      <c r="E1442" s="299"/>
      <c r="F1442" s="299"/>
      <c r="G1442" s="300"/>
      <c r="H1442" s="303"/>
      <c r="I1442" s="301">
        <f t="shared" si="374"/>
        <v>0</v>
      </c>
      <c r="J1442" s="302">
        <f t="shared" si="375"/>
        <v>0</v>
      </c>
      <c r="K1442" s="304">
        <f t="shared" si="376"/>
        <v>0</v>
      </c>
      <c r="L1442" s="305">
        <f>IF(H1442=0,0,IF(OR(E1442=$AT$5,E1442=$AT$6),AA1442,IF(F1442="MXN",1/HLOOKUP(YEAR(G1442)+(MONTH(G1442)/100),TC!$5:$37,DAY(G1442)+2,FALSE),VLOOKUP(F1442,Equivalencia!$5:$23,((MAX(Equivalencia!$3:$3)-YEAR(G1442))*14)+MONTH(G1442)+2,FALSE))))</f>
        <v>0</v>
      </c>
      <c r="M1442" s="306">
        <f t="shared" si="377"/>
        <v>0</v>
      </c>
      <c r="N1442" s="305">
        <f>IF(G1442=0,0,(IF(OR(E1442=$AT$5,E1442=$AT$6),AC1442,HLOOKUP(YEAR(G1442)+(MONTH(G1442)/100),TC!$5:$37,DAY(G1442)+2,FALSE))))</f>
        <v>0</v>
      </c>
      <c r="O1442" s="307">
        <f t="shared" si="378"/>
        <v>0</v>
      </c>
      <c r="P1442" s="560">
        <f>IF(G1442=0,0,VLOOKUP(YEAR(G1442),INPC!$B$4:$P$30,MONTH(G1442)+2))</f>
        <v>0</v>
      </c>
      <c r="Q1442" s="560">
        <f>IF(X1442=0,0,IF(OR(E1442=$AT$10,E1442=$AT$9),VLOOKUP(YEAR(X1442),INPC!$B$4:$P$30,MONTH(X1442)+1),VLOOKUP(YEAR(X1442),INPC!$B$4:$P$30,MONTH(X1442)+2,0)))</f>
        <v>0</v>
      </c>
      <c r="R1442" s="309">
        <f t="shared" si="379"/>
        <v>0</v>
      </c>
      <c r="S1442" s="310">
        <f t="shared" si="380"/>
        <v>0</v>
      </c>
      <c r="T1442" s="555">
        <f t="shared" si="381"/>
        <v>0</v>
      </c>
      <c r="U1442" s="311"/>
      <c r="V1442" s="312"/>
      <c r="W1442" s="299"/>
      <c r="X1442" s="300"/>
      <c r="Y1442" s="299"/>
      <c r="Z1442" s="303"/>
      <c r="AA1442" s="305">
        <f>IF(Z1442=0,0,IF(Y1442="MXN",1/HLOOKUP(YEAR(X1442)+(MONTH(X1442)/100),TC!$5:$37,DAY(X1442)+2,FALSE),VLOOKUP(Y1442,Equivalencia!$1:$23,((MAX(Equivalencia!$3:$3)-YEAR(X1442))*14)+MONTH(X1442)+2,FALSE)))</f>
        <v>0</v>
      </c>
      <c r="AB1442" s="306">
        <f t="shared" si="382"/>
        <v>0</v>
      </c>
      <c r="AC1442" s="305">
        <f>+IF(X1442=0,0,HLOOKUP(YEAR(X1442)+(MONTH(X1442)/100),TC!$5:$37,DAY(X1442)+2,FALSE))</f>
        <v>0</v>
      </c>
      <c r="AD1442" s="307">
        <f t="shared" si="383"/>
        <v>0</v>
      </c>
      <c r="AE1442" s="314">
        <f t="shared" si="384"/>
        <v>0</v>
      </c>
      <c r="AF1442" s="315">
        <f t="shared" si="385"/>
        <v>0</v>
      </c>
      <c r="AG1442" s="316">
        <f t="shared" si="386"/>
        <v>0</v>
      </c>
      <c r="AH1442" s="314">
        <v>1</v>
      </c>
      <c r="AI1442" s="314">
        <f t="shared" si="387"/>
        <v>0</v>
      </c>
      <c r="AJ1442" s="314">
        <f t="shared" si="388"/>
        <v>0</v>
      </c>
      <c r="AK1442" s="317"/>
      <c r="AL1442" s="315">
        <f t="shared" si="389"/>
        <v>0</v>
      </c>
      <c r="AN1442" s="554">
        <f t="shared" si="390"/>
        <v>0</v>
      </c>
      <c r="AO1442" s="314"/>
      <c r="AP1442" s="318"/>
    </row>
    <row r="1443" spans="2:42">
      <c r="B1443" s="296"/>
      <c r="C1443" s="299"/>
      <c r="D1443" s="298"/>
      <c r="E1443" s="299"/>
      <c r="F1443" s="299"/>
      <c r="G1443" s="300"/>
      <c r="H1443" s="303"/>
      <c r="I1443" s="301">
        <f t="shared" si="374"/>
        <v>0</v>
      </c>
      <c r="J1443" s="302">
        <f t="shared" si="375"/>
        <v>0</v>
      </c>
      <c r="K1443" s="304">
        <f t="shared" si="376"/>
        <v>0</v>
      </c>
      <c r="L1443" s="305">
        <f>IF(H1443=0,0,IF(OR(E1443=$AT$5,E1443=$AT$6),AA1443,IF(F1443="MXN",1/HLOOKUP(YEAR(G1443)+(MONTH(G1443)/100),TC!$5:$37,DAY(G1443)+2,FALSE),VLOOKUP(F1443,Equivalencia!$5:$23,((MAX(Equivalencia!$3:$3)-YEAR(G1443))*14)+MONTH(G1443)+2,FALSE))))</f>
        <v>0</v>
      </c>
      <c r="M1443" s="306">
        <f t="shared" si="377"/>
        <v>0</v>
      </c>
      <c r="N1443" s="305">
        <f>IF(G1443=0,0,(IF(OR(E1443=$AT$5,E1443=$AT$6),AC1443,HLOOKUP(YEAR(G1443)+(MONTH(G1443)/100),TC!$5:$37,DAY(G1443)+2,FALSE))))</f>
        <v>0</v>
      </c>
      <c r="O1443" s="307">
        <f t="shared" si="378"/>
        <v>0</v>
      </c>
      <c r="P1443" s="560">
        <f>IF(G1443=0,0,VLOOKUP(YEAR(G1443),INPC!$B$4:$P$30,MONTH(G1443)+2))</f>
        <v>0</v>
      </c>
      <c r="Q1443" s="560">
        <f>IF(X1443=0,0,IF(OR(E1443=$AT$10,E1443=$AT$9),VLOOKUP(YEAR(X1443),INPC!$B$4:$P$30,MONTH(X1443)+1),VLOOKUP(YEAR(X1443),INPC!$B$4:$P$30,MONTH(X1443)+2,0)))</f>
        <v>0</v>
      </c>
      <c r="R1443" s="309">
        <f t="shared" si="379"/>
        <v>0</v>
      </c>
      <c r="S1443" s="310">
        <f t="shared" si="380"/>
        <v>0</v>
      </c>
      <c r="T1443" s="555">
        <f t="shared" si="381"/>
        <v>0</v>
      </c>
      <c r="U1443" s="311"/>
      <c r="V1443" s="312"/>
      <c r="W1443" s="299"/>
      <c r="X1443" s="300"/>
      <c r="Y1443" s="299"/>
      <c r="Z1443" s="303"/>
      <c r="AA1443" s="305">
        <f>IF(Z1443=0,0,IF(Y1443="MXN",1/HLOOKUP(YEAR(X1443)+(MONTH(X1443)/100),TC!$5:$37,DAY(X1443)+2,FALSE),VLOOKUP(Y1443,Equivalencia!$1:$23,((MAX(Equivalencia!$3:$3)-YEAR(X1443))*14)+MONTH(X1443)+2,FALSE)))</f>
        <v>0</v>
      </c>
      <c r="AB1443" s="306">
        <f t="shared" si="382"/>
        <v>0</v>
      </c>
      <c r="AC1443" s="305">
        <f>+IF(X1443=0,0,HLOOKUP(YEAR(X1443)+(MONTH(X1443)/100),TC!$5:$37,DAY(X1443)+2,FALSE))</f>
        <v>0</v>
      </c>
      <c r="AD1443" s="307">
        <f t="shared" si="383"/>
        <v>0</v>
      </c>
      <c r="AE1443" s="314">
        <f t="shared" si="384"/>
        <v>0</v>
      </c>
      <c r="AF1443" s="315">
        <f t="shared" si="385"/>
        <v>0</v>
      </c>
      <c r="AG1443" s="316">
        <f t="shared" si="386"/>
        <v>0</v>
      </c>
      <c r="AH1443" s="314">
        <v>1</v>
      </c>
      <c r="AI1443" s="314">
        <f t="shared" si="387"/>
        <v>0</v>
      </c>
      <c r="AJ1443" s="314">
        <f t="shared" si="388"/>
        <v>0</v>
      </c>
      <c r="AK1443" s="317"/>
      <c r="AL1443" s="315">
        <f t="shared" si="389"/>
        <v>0</v>
      </c>
      <c r="AN1443" s="554">
        <f t="shared" si="390"/>
        <v>0</v>
      </c>
      <c r="AO1443" s="314"/>
      <c r="AP1443" s="318"/>
    </row>
    <row r="1444" spans="2:42">
      <c r="B1444" s="296"/>
      <c r="C1444" s="299"/>
      <c r="D1444" s="298"/>
      <c r="E1444" s="299"/>
      <c r="F1444" s="299"/>
      <c r="G1444" s="300"/>
      <c r="H1444" s="303"/>
      <c r="I1444" s="301">
        <f t="shared" si="374"/>
        <v>0</v>
      </c>
      <c r="J1444" s="302">
        <f t="shared" si="375"/>
        <v>0</v>
      </c>
      <c r="K1444" s="304">
        <f t="shared" si="376"/>
        <v>0</v>
      </c>
      <c r="L1444" s="305">
        <f>IF(H1444=0,0,IF(OR(E1444=$AT$5,E1444=$AT$6),AA1444,IF(F1444="MXN",1/HLOOKUP(YEAR(G1444)+(MONTH(G1444)/100),TC!$5:$37,DAY(G1444)+2,FALSE),VLOOKUP(F1444,Equivalencia!$5:$23,((MAX(Equivalencia!$3:$3)-YEAR(G1444))*14)+MONTH(G1444)+2,FALSE))))</f>
        <v>0</v>
      </c>
      <c r="M1444" s="306">
        <f t="shared" si="377"/>
        <v>0</v>
      </c>
      <c r="N1444" s="305">
        <f>IF(G1444=0,0,(IF(OR(E1444=$AT$5,E1444=$AT$6),AC1444,HLOOKUP(YEAR(G1444)+(MONTH(G1444)/100),TC!$5:$37,DAY(G1444)+2,FALSE))))</f>
        <v>0</v>
      </c>
      <c r="O1444" s="307">
        <f t="shared" si="378"/>
        <v>0</v>
      </c>
      <c r="P1444" s="560">
        <f>IF(G1444=0,0,VLOOKUP(YEAR(G1444),INPC!$B$4:$P$30,MONTH(G1444)+2))</f>
        <v>0</v>
      </c>
      <c r="Q1444" s="560">
        <f>IF(X1444=0,0,IF(OR(E1444=$AT$10,E1444=$AT$9),VLOOKUP(YEAR(X1444),INPC!$B$4:$P$30,MONTH(X1444)+1),VLOOKUP(YEAR(X1444),INPC!$B$4:$P$30,MONTH(X1444)+2,0)))</f>
        <v>0</v>
      </c>
      <c r="R1444" s="309">
        <f t="shared" si="379"/>
        <v>0</v>
      </c>
      <c r="S1444" s="310">
        <f t="shared" si="380"/>
        <v>0</v>
      </c>
      <c r="T1444" s="555">
        <f t="shared" si="381"/>
        <v>0</v>
      </c>
      <c r="U1444" s="311"/>
      <c r="V1444" s="312"/>
      <c r="W1444" s="299"/>
      <c r="X1444" s="300"/>
      <c r="Y1444" s="299"/>
      <c r="Z1444" s="303"/>
      <c r="AA1444" s="305">
        <f>IF(Z1444=0,0,IF(Y1444="MXN",1/HLOOKUP(YEAR(X1444)+(MONTH(X1444)/100),TC!$5:$37,DAY(X1444)+2,FALSE),VLOOKUP(Y1444,Equivalencia!$1:$23,((MAX(Equivalencia!$3:$3)-YEAR(X1444))*14)+MONTH(X1444)+2,FALSE)))</f>
        <v>0</v>
      </c>
      <c r="AB1444" s="306">
        <f t="shared" si="382"/>
        <v>0</v>
      </c>
      <c r="AC1444" s="305">
        <f>+IF(X1444=0,0,HLOOKUP(YEAR(X1444)+(MONTH(X1444)/100),TC!$5:$37,DAY(X1444)+2,FALSE))</f>
        <v>0</v>
      </c>
      <c r="AD1444" s="307">
        <f t="shared" si="383"/>
        <v>0</v>
      </c>
      <c r="AE1444" s="314">
        <f t="shared" si="384"/>
        <v>0</v>
      </c>
      <c r="AF1444" s="315">
        <f t="shared" si="385"/>
        <v>0</v>
      </c>
      <c r="AG1444" s="316">
        <f t="shared" si="386"/>
        <v>0</v>
      </c>
      <c r="AH1444" s="314">
        <v>1</v>
      </c>
      <c r="AI1444" s="314">
        <f t="shared" si="387"/>
        <v>0</v>
      </c>
      <c r="AJ1444" s="314">
        <f t="shared" si="388"/>
        <v>0</v>
      </c>
      <c r="AK1444" s="317"/>
      <c r="AL1444" s="315">
        <f t="shared" si="389"/>
        <v>0</v>
      </c>
      <c r="AN1444" s="554">
        <f t="shared" si="390"/>
        <v>0</v>
      </c>
      <c r="AO1444" s="314"/>
      <c r="AP1444" s="318"/>
    </row>
    <row r="1445" spans="2:42">
      <c r="B1445" s="296"/>
      <c r="C1445" s="299"/>
      <c r="D1445" s="298"/>
      <c r="E1445" s="299"/>
      <c r="F1445" s="299"/>
      <c r="G1445" s="300"/>
      <c r="H1445" s="303"/>
      <c r="I1445" s="301">
        <f t="shared" si="374"/>
        <v>0</v>
      </c>
      <c r="J1445" s="302">
        <f t="shared" si="375"/>
        <v>0</v>
      </c>
      <c r="K1445" s="304">
        <f t="shared" si="376"/>
        <v>0</v>
      </c>
      <c r="L1445" s="305">
        <f>IF(H1445=0,0,IF(OR(E1445=$AT$5,E1445=$AT$6),AA1445,IF(F1445="MXN",1/HLOOKUP(YEAR(G1445)+(MONTH(G1445)/100),TC!$5:$37,DAY(G1445)+2,FALSE),VLOOKUP(F1445,Equivalencia!$5:$23,((MAX(Equivalencia!$3:$3)-YEAR(G1445))*14)+MONTH(G1445)+2,FALSE))))</f>
        <v>0</v>
      </c>
      <c r="M1445" s="306">
        <f t="shared" si="377"/>
        <v>0</v>
      </c>
      <c r="N1445" s="305">
        <f>IF(G1445=0,0,(IF(OR(E1445=$AT$5,E1445=$AT$6),AC1445,HLOOKUP(YEAR(G1445)+(MONTH(G1445)/100),TC!$5:$37,DAY(G1445)+2,FALSE))))</f>
        <v>0</v>
      </c>
      <c r="O1445" s="307">
        <f t="shared" si="378"/>
        <v>0</v>
      </c>
      <c r="P1445" s="560">
        <f>IF(G1445=0,0,VLOOKUP(YEAR(G1445),INPC!$B$4:$P$30,MONTH(G1445)+2))</f>
        <v>0</v>
      </c>
      <c r="Q1445" s="560">
        <f>IF(X1445=0,0,IF(OR(E1445=$AT$10,E1445=$AT$9),VLOOKUP(YEAR(X1445),INPC!$B$4:$P$30,MONTH(X1445)+1),VLOOKUP(YEAR(X1445),INPC!$B$4:$P$30,MONTH(X1445)+2,0)))</f>
        <v>0</v>
      </c>
      <c r="R1445" s="309">
        <f t="shared" si="379"/>
        <v>0</v>
      </c>
      <c r="S1445" s="310">
        <f t="shared" si="380"/>
        <v>0</v>
      </c>
      <c r="T1445" s="555">
        <f t="shared" si="381"/>
        <v>0</v>
      </c>
      <c r="U1445" s="311"/>
      <c r="V1445" s="312"/>
      <c r="W1445" s="299"/>
      <c r="X1445" s="300"/>
      <c r="Y1445" s="299"/>
      <c r="Z1445" s="303"/>
      <c r="AA1445" s="305">
        <f>IF(Z1445=0,0,IF(Y1445="MXN",1/HLOOKUP(YEAR(X1445)+(MONTH(X1445)/100),TC!$5:$37,DAY(X1445)+2,FALSE),VLOOKUP(Y1445,Equivalencia!$1:$23,((MAX(Equivalencia!$3:$3)-YEAR(X1445))*14)+MONTH(X1445)+2,FALSE)))</f>
        <v>0</v>
      </c>
      <c r="AB1445" s="306">
        <f t="shared" si="382"/>
        <v>0</v>
      </c>
      <c r="AC1445" s="305">
        <f>+IF(X1445=0,0,HLOOKUP(YEAR(X1445)+(MONTH(X1445)/100),TC!$5:$37,DAY(X1445)+2,FALSE))</f>
        <v>0</v>
      </c>
      <c r="AD1445" s="307">
        <f t="shared" si="383"/>
        <v>0</v>
      </c>
      <c r="AE1445" s="314">
        <f t="shared" si="384"/>
        <v>0</v>
      </c>
      <c r="AF1445" s="315">
        <f t="shared" si="385"/>
        <v>0</v>
      </c>
      <c r="AG1445" s="316">
        <f t="shared" si="386"/>
        <v>0</v>
      </c>
      <c r="AH1445" s="314">
        <v>1</v>
      </c>
      <c r="AI1445" s="314">
        <f t="shared" si="387"/>
        <v>0</v>
      </c>
      <c r="AJ1445" s="314">
        <f t="shared" si="388"/>
        <v>0</v>
      </c>
      <c r="AK1445" s="317"/>
      <c r="AL1445" s="315">
        <f t="shared" si="389"/>
        <v>0</v>
      </c>
      <c r="AN1445" s="554">
        <f t="shared" si="390"/>
        <v>0</v>
      </c>
      <c r="AO1445" s="314"/>
      <c r="AP1445" s="318"/>
    </row>
    <row r="1446" spans="2:42">
      <c r="B1446" s="296"/>
      <c r="C1446" s="299"/>
      <c r="D1446" s="298"/>
      <c r="E1446" s="299"/>
      <c r="F1446" s="299"/>
      <c r="G1446" s="300"/>
      <c r="H1446" s="303"/>
      <c r="I1446" s="301">
        <f t="shared" si="374"/>
        <v>0</v>
      </c>
      <c r="J1446" s="302">
        <f t="shared" si="375"/>
        <v>0</v>
      </c>
      <c r="K1446" s="304">
        <f t="shared" si="376"/>
        <v>0</v>
      </c>
      <c r="L1446" s="305">
        <f>IF(H1446=0,0,IF(OR(E1446=$AT$5,E1446=$AT$6),AA1446,IF(F1446="MXN",1/HLOOKUP(YEAR(G1446)+(MONTH(G1446)/100),TC!$5:$37,DAY(G1446)+2,FALSE),VLOOKUP(F1446,Equivalencia!$5:$23,((MAX(Equivalencia!$3:$3)-YEAR(G1446))*14)+MONTH(G1446)+2,FALSE))))</f>
        <v>0</v>
      </c>
      <c r="M1446" s="306">
        <f t="shared" si="377"/>
        <v>0</v>
      </c>
      <c r="N1446" s="305">
        <f>IF(G1446=0,0,(IF(OR(E1446=$AT$5,E1446=$AT$6),AC1446,HLOOKUP(YEAR(G1446)+(MONTH(G1446)/100),TC!$5:$37,DAY(G1446)+2,FALSE))))</f>
        <v>0</v>
      </c>
      <c r="O1446" s="307">
        <f t="shared" si="378"/>
        <v>0</v>
      </c>
      <c r="P1446" s="560">
        <f>IF(G1446=0,0,VLOOKUP(YEAR(G1446),INPC!$B$4:$P$30,MONTH(G1446)+2))</f>
        <v>0</v>
      </c>
      <c r="Q1446" s="560">
        <f>IF(X1446=0,0,IF(OR(E1446=$AT$10,E1446=$AT$9),VLOOKUP(YEAR(X1446),INPC!$B$4:$P$30,MONTH(X1446)+1),VLOOKUP(YEAR(X1446),INPC!$B$4:$P$30,MONTH(X1446)+2,0)))</f>
        <v>0</v>
      </c>
      <c r="R1446" s="309">
        <f t="shared" si="379"/>
        <v>0</v>
      </c>
      <c r="S1446" s="310">
        <f t="shared" si="380"/>
        <v>0</v>
      </c>
      <c r="T1446" s="555">
        <f t="shared" si="381"/>
        <v>0</v>
      </c>
      <c r="U1446" s="311"/>
      <c r="V1446" s="312"/>
      <c r="W1446" s="299"/>
      <c r="X1446" s="300"/>
      <c r="Y1446" s="299"/>
      <c r="Z1446" s="303"/>
      <c r="AA1446" s="305">
        <f>IF(Z1446=0,0,IF(Y1446="MXN",1/HLOOKUP(YEAR(X1446)+(MONTH(X1446)/100),TC!$5:$37,DAY(X1446)+2,FALSE),VLOOKUP(Y1446,Equivalencia!$1:$23,((MAX(Equivalencia!$3:$3)-YEAR(X1446))*14)+MONTH(X1446)+2,FALSE)))</f>
        <v>0</v>
      </c>
      <c r="AB1446" s="306">
        <f t="shared" si="382"/>
        <v>0</v>
      </c>
      <c r="AC1446" s="305">
        <f>+IF(X1446=0,0,HLOOKUP(YEAR(X1446)+(MONTH(X1446)/100),TC!$5:$37,DAY(X1446)+2,FALSE))</f>
        <v>0</v>
      </c>
      <c r="AD1446" s="307">
        <f t="shared" si="383"/>
        <v>0</v>
      </c>
      <c r="AE1446" s="314">
        <f t="shared" si="384"/>
        <v>0</v>
      </c>
      <c r="AF1446" s="315">
        <f t="shared" si="385"/>
        <v>0</v>
      </c>
      <c r="AG1446" s="316">
        <f t="shared" si="386"/>
        <v>0</v>
      </c>
      <c r="AH1446" s="314">
        <v>1</v>
      </c>
      <c r="AI1446" s="314">
        <f t="shared" si="387"/>
        <v>0</v>
      </c>
      <c r="AJ1446" s="314">
        <f t="shared" si="388"/>
        <v>0</v>
      </c>
      <c r="AK1446" s="317"/>
      <c r="AL1446" s="315">
        <f t="shared" si="389"/>
        <v>0</v>
      </c>
      <c r="AN1446" s="554">
        <f t="shared" si="390"/>
        <v>0</v>
      </c>
      <c r="AO1446" s="314"/>
      <c r="AP1446" s="318"/>
    </row>
    <row r="1447" spans="2:42">
      <c r="B1447" s="296"/>
      <c r="C1447" s="299"/>
      <c r="D1447" s="298"/>
      <c r="E1447" s="299"/>
      <c r="F1447" s="299"/>
      <c r="G1447" s="300"/>
      <c r="H1447" s="303"/>
      <c r="I1447" s="301">
        <f t="shared" si="374"/>
        <v>0</v>
      </c>
      <c r="J1447" s="302">
        <f t="shared" si="375"/>
        <v>0</v>
      </c>
      <c r="K1447" s="304">
        <f t="shared" si="376"/>
        <v>0</v>
      </c>
      <c r="L1447" s="305">
        <f>IF(H1447=0,0,IF(OR(E1447=$AT$5,E1447=$AT$6),AA1447,IF(F1447="MXN",1/HLOOKUP(YEAR(G1447)+(MONTH(G1447)/100),TC!$5:$37,DAY(G1447)+2,FALSE),VLOOKUP(F1447,Equivalencia!$5:$23,((MAX(Equivalencia!$3:$3)-YEAR(G1447))*14)+MONTH(G1447)+2,FALSE))))</f>
        <v>0</v>
      </c>
      <c r="M1447" s="306">
        <f t="shared" si="377"/>
        <v>0</v>
      </c>
      <c r="N1447" s="305">
        <f>IF(G1447=0,0,(IF(OR(E1447=$AT$5,E1447=$AT$6),AC1447,HLOOKUP(YEAR(G1447)+(MONTH(G1447)/100),TC!$5:$37,DAY(G1447)+2,FALSE))))</f>
        <v>0</v>
      </c>
      <c r="O1447" s="307">
        <f t="shared" si="378"/>
        <v>0</v>
      </c>
      <c r="P1447" s="560">
        <f>IF(G1447=0,0,VLOOKUP(YEAR(G1447),INPC!$B$4:$P$30,MONTH(G1447)+2))</f>
        <v>0</v>
      </c>
      <c r="Q1447" s="560">
        <f>IF(X1447=0,0,IF(OR(E1447=$AT$10,E1447=$AT$9),VLOOKUP(YEAR(X1447),INPC!$B$4:$P$30,MONTH(X1447)+1),VLOOKUP(YEAR(X1447),INPC!$B$4:$P$30,MONTH(X1447)+2,0)))</f>
        <v>0</v>
      </c>
      <c r="R1447" s="309">
        <f t="shared" si="379"/>
        <v>0</v>
      </c>
      <c r="S1447" s="310">
        <f t="shared" si="380"/>
        <v>0</v>
      </c>
      <c r="T1447" s="555">
        <f t="shared" si="381"/>
        <v>0</v>
      </c>
      <c r="U1447" s="311"/>
      <c r="V1447" s="312"/>
      <c r="W1447" s="299"/>
      <c r="X1447" s="300"/>
      <c r="Y1447" s="299"/>
      <c r="Z1447" s="303"/>
      <c r="AA1447" s="305">
        <f>IF(Z1447=0,0,IF(Y1447="MXN",1/HLOOKUP(YEAR(X1447)+(MONTH(X1447)/100),TC!$5:$37,DAY(X1447)+2,FALSE),VLOOKUP(Y1447,Equivalencia!$1:$23,((MAX(Equivalencia!$3:$3)-YEAR(X1447))*14)+MONTH(X1447)+2,FALSE)))</f>
        <v>0</v>
      </c>
      <c r="AB1447" s="306">
        <f t="shared" si="382"/>
        <v>0</v>
      </c>
      <c r="AC1447" s="305">
        <f>+IF(X1447=0,0,HLOOKUP(YEAR(X1447)+(MONTH(X1447)/100),TC!$5:$37,DAY(X1447)+2,FALSE))</f>
        <v>0</v>
      </c>
      <c r="AD1447" s="307">
        <f t="shared" si="383"/>
        <v>0</v>
      </c>
      <c r="AE1447" s="314">
        <f t="shared" si="384"/>
        <v>0</v>
      </c>
      <c r="AF1447" s="315">
        <f t="shared" si="385"/>
        <v>0</v>
      </c>
      <c r="AG1447" s="316">
        <f t="shared" si="386"/>
        <v>0</v>
      </c>
      <c r="AH1447" s="314">
        <v>1</v>
      </c>
      <c r="AI1447" s="314">
        <f t="shared" si="387"/>
        <v>0</v>
      </c>
      <c r="AJ1447" s="314">
        <f t="shared" si="388"/>
        <v>0</v>
      </c>
      <c r="AK1447" s="317"/>
      <c r="AL1447" s="315">
        <f t="shared" si="389"/>
        <v>0</v>
      </c>
      <c r="AN1447" s="554">
        <f t="shared" si="390"/>
        <v>0</v>
      </c>
      <c r="AO1447" s="314"/>
      <c r="AP1447" s="318"/>
    </row>
    <row r="1448" spans="2:42">
      <c r="B1448" s="296"/>
      <c r="C1448" s="299"/>
      <c r="D1448" s="298"/>
      <c r="E1448" s="299"/>
      <c r="F1448" s="299"/>
      <c r="G1448" s="300"/>
      <c r="H1448" s="303"/>
      <c r="I1448" s="301">
        <f t="shared" si="374"/>
        <v>0</v>
      </c>
      <c r="J1448" s="302">
        <f t="shared" si="375"/>
        <v>0</v>
      </c>
      <c r="K1448" s="304">
        <f t="shared" si="376"/>
        <v>0</v>
      </c>
      <c r="L1448" s="305">
        <f>IF(H1448=0,0,IF(OR(E1448=$AT$5,E1448=$AT$6),AA1448,IF(F1448="MXN",1/HLOOKUP(YEAR(G1448)+(MONTH(G1448)/100),TC!$5:$37,DAY(G1448)+2,FALSE),VLOOKUP(F1448,Equivalencia!$5:$23,((MAX(Equivalencia!$3:$3)-YEAR(G1448))*14)+MONTH(G1448)+2,FALSE))))</f>
        <v>0</v>
      </c>
      <c r="M1448" s="306">
        <f t="shared" si="377"/>
        <v>0</v>
      </c>
      <c r="N1448" s="305">
        <f>IF(G1448=0,0,(IF(OR(E1448=$AT$5,E1448=$AT$6),AC1448,HLOOKUP(YEAR(G1448)+(MONTH(G1448)/100),TC!$5:$37,DAY(G1448)+2,FALSE))))</f>
        <v>0</v>
      </c>
      <c r="O1448" s="307">
        <f t="shared" si="378"/>
        <v>0</v>
      </c>
      <c r="P1448" s="560">
        <f>IF(G1448=0,0,VLOOKUP(YEAR(G1448),INPC!$B$4:$P$30,MONTH(G1448)+2))</f>
        <v>0</v>
      </c>
      <c r="Q1448" s="560">
        <f>IF(X1448=0,0,IF(OR(E1448=$AT$10,E1448=$AT$9),VLOOKUP(YEAR(X1448),INPC!$B$4:$P$30,MONTH(X1448)+1),VLOOKUP(YEAR(X1448),INPC!$B$4:$P$30,MONTH(X1448)+2,0)))</f>
        <v>0</v>
      </c>
      <c r="R1448" s="309">
        <f t="shared" si="379"/>
        <v>0</v>
      </c>
      <c r="S1448" s="310">
        <f t="shared" si="380"/>
        <v>0</v>
      </c>
      <c r="T1448" s="555">
        <f t="shared" si="381"/>
        <v>0</v>
      </c>
      <c r="U1448" s="311"/>
      <c r="V1448" s="312"/>
      <c r="W1448" s="299"/>
      <c r="X1448" s="300"/>
      <c r="Y1448" s="299"/>
      <c r="Z1448" s="303"/>
      <c r="AA1448" s="305">
        <f>IF(Z1448=0,0,IF(Y1448="MXN",1/HLOOKUP(YEAR(X1448)+(MONTH(X1448)/100),TC!$5:$37,DAY(X1448)+2,FALSE),VLOOKUP(Y1448,Equivalencia!$1:$23,((MAX(Equivalencia!$3:$3)-YEAR(X1448))*14)+MONTH(X1448)+2,FALSE)))</f>
        <v>0</v>
      </c>
      <c r="AB1448" s="306">
        <f t="shared" si="382"/>
        <v>0</v>
      </c>
      <c r="AC1448" s="305">
        <f>+IF(X1448=0,0,HLOOKUP(YEAR(X1448)+(MONTH(X1448)/100),TC!$5:$37,DAY(X1448)+2,FALSE))</f>
        <v>0</v>
      </c>
      <c r="AD1448" s="307">
        <f t="shared" si="383"/>
        <v>0</v>
      </c>
      <c r="AE1448" s="314">
        <f t="shared" si="384"/>
        <v>0</v>
      </c>
      <c r="AF1448" s="315">
        <f t="shared" si="385"/>
        <v>0</v>
      </c>
      <c r="AG1448" s="316">
        <f t="shared" si="386"/>
        <v>0</v>
      </c>
      <c r="AH1448" s="314">
        <v>1</v>
      </c>
      <c r="AI1448" s="314">
        <f t="shared" si="387"/>
        <v>0</v>
      </c>
      <c r="AJ1448" s="314">
        <f t="shared" si="388"/>
        <v>0</v>
      </c>
      <c r="AK1448" s="317"/>
      <c r="AL1448" s="315">
        <f t="shared" si="389"/>
        <v>0</v>
      </c>
      <c r="AN1448" s="554">
        <f t="shared" si="390"/>
        <v>0</v>
      </c>
      <c r="AO1448" s="314"/>
      <c r="AP1448" s="318"/>
    </row>
    <row r="1449" spans="2:42">
      <c r="B1449" s="296"/>
      <c r="C1449" s="299"/>
      <c r="D1449" s="298"/>
      <c r="E1449" s="299"/>
      <c r="F1449" s="299"/>
      <c r="G1449" s="300"/>
      <c r="H1449" s="303"/>
      <c r="I1449" s="301">
        <f t="shared" si="374"/>
        <v>0</v>
      </c>
      <c r="J1449" s="302">
        <f t="shared" si="375"/>
        <v>0</v>
      </c>
      <c r="K1449" s="304">
        <f t="shared" si="376"/>
        <v>0</v>
      </c>
      <c r="L1449" s="305">
        <f>IF(H1449=0,0,IF(OR(E1449=$AT$5,E1449=$AT$6),AA1449,IF(F1449="MXN",1/HLOOKUP(YEAR(G1449)+(MONTH(G1449)/100),TC!$5:$37,DAY(G1449)+2,FALSE),VLOOKUP(F1449,Equivalencia!$5:$23,((MAX(Equivalencia!$3:$3)-YEAR(G1449))*14)+MONTH(G1449)+2,FALSE))))</f>
        <v>0</v>
      </c>
      <c r="M1449" s="306">
        <f t="shared" si="377"/>
        <v>0</v>
      </c>
      <c r="N1449" s="305">
        <f>IF(G1449=0,0,(IF(OR(E1449=$AT$5,E1449=$AT$6),AC1449,HLOOKUP(YEAR(G1449)+(MONTH(G1449)/100),TC!$5:$37,DAY(G1449)+2,FALSE))))</f>
        <v>0</v>
      </c>
      <c r="O1449" s="307">
        <f t="shared" si="378"/>
        <v>0</v>
      </c>
      <c r="P1449" s="560">
        <f>IF(G1449=0,0,VLOOKUP(YEAR(G1449),INPC!$B$4:$P$30,MONTH(G1449)+2))</f>
        <v>0</v>
      </c>
      <c r="Q1449" s="560">
        <f>IF(X1449=0,0,IF(OR(E1449=$AT$10,E1449=$AT$9),VLOOKUP(YEAR(X1449),INPC!$B$4:$P$30,MONTH(X1449)+1),VLOOKUP(YEAR(X1449),INPC!$B$4:$P$30,MONTH(X1449)+2,0)))</f>
        <v>0</v>
      </c>
      <c r="R1449" s="309">
        <f t="shared" si="379"/>
        <v>0</v>
      </c>
      <c r="S1449" s="310">
        <f t="shared" si="380"/>
        <v>0</v>
      </c>
      <c r="T1449" s="555">
        <f t="shared" si="381"/>
        <v>0</v>
      </c>
      <c r="U1449" s="311"/>
      <c r="V1449" s="312"/>
      <c r="W1449" s="299"/>
      <c r="X1449" s="300"/>
      <c r="Y1449" s="299"/>
      <c r="Z1449" s="303"/>
      <c r="AA1449" s="305">
        <f>IF(Z1449=0,0,IF(Y1449="MXN",1/HLOOKUP(YEAR(X1449)+(MONTH(X1449)/100),TC!$5:$37,DAY(X1449)+2,FALSE),VLOOKUP(Y1449,Equivalencia!$1:$23,((MAX(Equivalencia!$3:$3)-YEAR(X1449))*14)+MONTH(X1449)+2,FALSE)))</f>
        <v>0</v>
      </c>
      <c r="AB1449" s="306">
        <f t="shared" si="382"/>
        <v>0</v>
      </c>
      <c r="AC1449" s="305">
        <f>+IF(X1449=0,0,HLOOKUP(YEAR(X1449)+(MONTH(X1449)/100),TC!$5:$37,DAY(X1449)+2,FALSE))</f>
        <v>0</v>
      </c>
      <c r="AD1449" s="307">
        <f t="shared" si="383"/>
        <v>0</v>
      </c>
      <c r="AE1449" s="314">
        <f t="shared" si="384"/>
        <v>0</v>
      </c>
      <c r="AF1449" s="315">
        <f t="shared" si="385"/>
        <v>0</v>
      </c>
      <c r="AG1449" s="316">
        <f t="shared" si="386"/>
        <v>0</v>
      </c>
      <c r="AH1449" s="314">
        <v>1</v>
      </c>
      <c r="AI1449" s="314">
        <f t="shared" si="387"/>
        <v>0</v>
      </c>
      <c r="AJ1449" s="314">
        <f t="shared" si="388"/>
        <v>0</v>
      </c>
      <c r="AK1449" s="317"/>
      <c r="AL1449" s="315">
        <f t="shared" si="389"/>
        <v>0</v>
      </c>
      <c r="AN1449" s="554">
        <f t="shared" si="390"/>
        <v>0</v>
      </c>
      <c r="AO1449" s="314"/>
      <c r="AP1449" s="318"/>
    </row>
    <row r="1450" spans="2:42">
      <c r="B1450" s="296"/>
      <c r="C1450" s="299"/>
      <c r="D1450" s="298"/>
      <c r="E1450" s="299"/>
      <c r="F1450" s="299"/>
      <c r="G1450" s="300"/>
      <c r="H1450" s="303"/>
      <c r="I1450" s="301">
        <f t="shared" si="374"/>
        <v>0</v>
      </c>
      <c r="J1450" s="302">
        <f t="shared" si="375"/>
        <v>0</v>
      </c>
      <c r="K1450" s="304">
        <f t="shared" si="376"/>
        <v>0</v>
      </c>
      <c r="L1450" s="305">
        <f>IF(H1450=0,0,IF(OR(E1450=$AT$5,E1450=$AT$6),AA1450,IF(F1450="MXN",1/HLOOKUP(YEAR(G1450)+(MONTH(G1450)/100),TC!$5:$37,DAY(G1450)+2,FALSE),VLOOKUP(F1450,Equivalencia!$5:$23,((MAX(Equivalencia!$3:$3)-YEAR(G1450))*14)+MONTH(G1450)+2,FALSE))))</f>
        <v>0</v>
      </c>
      <c r="M1450" s="306">
        <f t="shared" si="377"/>
        <v>0</v>
      </c>
      <c r="N1450" s="305">
        <f>IF(G1450=0,0,(IF(OR(E1450=$AT$5,E1450=$AT$6),AC1450,HLOOKUP(YEAR(G1450)+(MONTH(G1450)/100),TC!$5:$37,DAY(G1450)+2,FALSE))))</f>
        <v>0</v>
      </c>
      <c r="O1450" s="307">
        <f t="shared" si="378"/>
        <v>0</v>
      </c>
      <c r="P1450" s="560">
        <f>IF(G1450=0,0,VLOOKUP(YEAR(G1450),INPC!$B$4:$P$30,MONTH(G1450)+2))</f>
        <v>0</v>
      </c>
      <c r="Q1450" s="560">
        <f>IF(X1450=0,0,IF(OR(E1450=$AT$10,E1450=$AT$9),VLOOKUP(YEAR(X1450),INPC!$B$4:$P$30,MONTH(X1450)+1),VLOOKUP(YEAR(X1450),INPC!$B$4:$P$30,MONTH(X1450)+2,0)))</f>
        <v>0</v>
      </c>
      <c r="R1450" s="309">
        <f t="shared" si="379"/>
        <v>0</v>
      </c>
      <c r="S1450" s="310">
        <f t="shared" si="380"/>
        <v>0</v>
      </c>
      <c r="T1450" s="555">
        <f t="shared" si="381"/>
        <v>0</v>
      </c>
      <c r="U1450" s="311"/>
      <c r="V1450" s="312"/>
      <c r="W1450" s="299"/>
      <c r="X1450" s="300"/>
      <c r="Y1450" s="299"/>
      <c r="Z1450" s="303"/>
      <c r="AA1450" s="305">
        <f>IF(Z1450=0,0,IF(Y1450="MXN",1/HLOOKUP(YEAR(X1450)+(MONTH(X1450)/100),TC!$5:$37,DAY(X1450)+2,FALSE),VLOOKUP(Y1450,Equivalencia!$1:$23,((MAX(Equivalencia!$3:$3)-YEAR(X1450))*14)+MONTH(X1450)+2,FALSE)))</f>
        <v>0</v>
      </c>
      <c r="AB1450" s="306">
        <f t="shared" si="382"/>
        <v>0</v>
      </c>
      <c r="AC1450" s="305">
        <f>+IF(X1450=0,0,HLOOKUP(YEAR(X1450)+(MONTH(X1450)/100),TC!$5:$37,DAY(X1450)+2,FALSE))</f>
        <v>0</v>
      </c>
      <c r="AD1450" s="307">
        <f t="shared" si="383"/>
        <v>0</v>
      </c>
      <c r="AE1450" s="314">
        <f t="shared" si="384"/>
        <v>0</v>
      </c>
      <c r="AF1450" s="315">
        <f t="shared" si="385"/>
        <v>0</v>
      </c>
      <c r="AG1450" s="316">
        <f t="shared" si="386"/>
        <v>0</v>
      </c>
      <c r="AH1450" s="314">
        <v>1</v>
      </c>
      <c r="AI1450" s="314">
        <f t="shared" si="387"/>
        <v>0</v>
      </c>
      <c r="AJ1450" s="314">
        <f t="shared" si="388"/>
        <v>0</v>
      </c>
      <c r="AK1450" s="317"/>
      <c r="AL1450" s="315">
        <f t="shared" si="389"/>
        <v>0</v>
      </c>
      <c r="AN1450" s="554">
        <f t="shared" si="390"/>
        <v>0</v>
      </c>
      <c r="AO1450" s="314"/>
      <c r="AP1450" s="318"/>
    </row>
    <row r="1451" spans="2:42">
      <c r="B1451" s="296"/>
      <c r="C1451" s="299"/>
      <c r="D1451" s="298"/>
      <c r="E1451" s="299"/>
      <c r="F1451" s="299"/>
      <c r="G1451" s="300"/>
      <c r="H1451" s="303"/>
      <c r="I1451" s="301">
        <f t="shared" si="374"/>
        <v>0</v>
      </c>
      <c r="J1451" s="302">
        <f t="shared" si="375"/>
        <v>0</v>
      </c>
      <c r="K1451" s="304">
        <f t="shared" si="376"/>
        <v>0</v>
      </c>
      <c r="L1451" s="305">
        <f>IF(H1451=0,0,IF(OR(E1451=$AT$5,E1451=$AT$6),AA1451,IF(F1451="MXN",1/HLOOKUP(YEAR(G1451)+(MONTH(G1451)/100),TC!$5:$37,DAY(G1451)+2,FALSE),VLOOKUP(F1451,Equivalencia!$5:$23,((MAX(Equivalencia!$3:$3)-YEAR(G1451))*14)+MONTH(G1451)+2,FALSE))))</f>
        <v>0</v>
      </c>
      <c r="M1451" s="306">
        <f t="shared" si="377"/>
        <v>0</v>
      </c>
      <c r="N1451" s="305">
        <f>IF(G1451=0,0,(IF(OR(E1451=$AT$5,E1451=$AT$6),AC1451,HLOOKUP(YEAR(G1451)+(MONTH(G1451)/100),TC!$5:$37,DAY(G1451)+2,FALSE))))</f>
        <v>0</v>
      </c>
      <c r="O1451" s="307">
        <f t="shared" si="378"/>
        <v>0</v>
      </c>
      <c r="P1451" s="560">
        <f>IF(G1451=0,0,VLOOKUP(YEAR(G1451),INPC!$B$4:$P$30,MONTH(G1451)+2))</f>
        <v>0</v>
      </c>
      <c r="Q1451" s="560">
        <f>IF(X1451=0,0,IF(OR(E1451=$AT$10,E1451=$AT$9),VLOOKUP(YEAR(X1451),INPC!$B$4:$P$30,MONTH(X1451)+1),VLOOKUP(YEAR(X1451),INPC!$B$4:$P$30,MONTH(X1451)+2,0)))</f>
        <v>0</v>
      </c>
      <c r="R1451" s="309">
        <f t="shared" si="379"/>
        <v>0</v>
      </c>
      <c r="S1451" s="310">
        <f t="shared" si="380"/>
        <v>0</v>
      </c>
      <c r="T1451" s="555">
        <f t="shared" si="381"/>
        <v>0</v>
      </c>
      <c r="U1451" s="311"/>
      <c r="V1451" s="312"/>
      <c r="W1451" s="299"/>
      <c r="X1451" s="300"/>
      <c r="Y1451" s="299"/>
      <c r="Z1451" s="303"/>
      <c r="AA1451" s="305">
        <f>IF(Z1451=0,0,IF(Y1451="MXN",1/HLOOKUP(YEAR(X1451)+(MONTH(X1451)/100),TC!$5:$37,DAY(X1451)+2,FALSE),VLOOKUP(Y1451,Equivalencia!$1:$23,((MAX(Equivalencia!$3:$3)-YEAR(X1451))*14)+MONTH(X1451)+2,FALSE)))</f>
        <v>0</v>
      </c>
      <c r="AB1451" s="306">
        <f t="shared" si="382"/>
        <v>0</v>
      </c>
      <c r="AC1451" s="305">
        <f>+IF(X1451=0,0,HLOOKUP(YEAR(X1451)+(MONTH(X1451)/100),TC!$5:$37,DAY(X1451)+2,FALSE))</f>
        <v>0</v>
      </c>
      <c r="AD1451" s="307">
        <f t="shared" si="383"/>
        <v>0</v>
      </c>
      <c r="AE1451" s="314">
        <f t="shared" si="384"/>
        <v>0</v>
      </c>
      <c r="AF1451" s="315">
        <f t="shared" si="385"/>
        <v>0</v>
      </c>
      <c r="AG1451" s="316">
        <f t="shared" si="386"/>
        <v>0</v>
      </c>
      <c r="AH1451" s="314">
        <v>1</v>
      </c>
      <c r="AI1451" s="314">
        <f t="shared" si="387"/>
        <v>0</v>
      </c>
      <c r="AJ1451" s="314">
        <f t="shared" si="388"/>
        <v>0</v>
      </c>
      <c r="AK1451" s="317"/>
      <c r="AL1451" s="315">
        <f t="shared" si="389"/>
        <v>0</v>
      </c>
      <c r="AN1451" s="554">
        <f t="shared" si="390"/>
        <v>0</v>
      </c>
      <c r="AO1451" s="314"/>
      <c r="AP1451" s="318"/>
    </row>
    <row r="1452" spans="2:42">
      <c r="B1452" s="296"/>
      <c r="C1452" s="299"/>
      <c r="D1452" s="298"/>
      <c r="E1452" s="299"/>
      <c r="F1452" s="299"/>
      <c r="G1452" s="300"/>
      <c r="H1452" s="303"/>
      <c r="I1452" s="301">
        <f t="shared" si="374"/>
        <v>0</v>
      </c>
      <c r="J1452" s="302">
        <f t="shared" si="375"/>
        <v>0</v>
      </c>
      <c r="K1452" s="304">
        <f t="shared" si="376"/>
        <v>0</v>
      </c>
      <c r="L1452" s="305">
        <f>IF(H1452=0,0,IF(OR(E1452=$AT$5,E1452=$AT$6),AA1452,IF(F1452="MXN",1/HLOOKUP(YEAR(G1452)+(MONTH(G1452)/100),TC!$5:$37,DAY(G1452)+2,FALSE),VLOOKUP(F1452,Equivalencia!$5:$23,((MAX(Equivalencia!$3:$3)-YEAR(G1452))*14)+MONTH(G1452)+2,FALSE))))</f>
        <v>0</v>
      </c>
      <c r="M1452" s="306">
        <f t="shared" si="377"/>
        <v>0</v>
      </c>
      <c r="N1452" s="305">
        <f>IF(G1452=0,0,(IF(OR(E1452=$AT$5,E1452=$AT$6),AC1452,HLOOKUP(YEAR(G1452)+(MONTH(G1452)/100),TC!$5:$37,DAY(G1452)+2,FALSE))))</f>
        <v>0</v>
      </c>
      <c r="O1452" s="307">
        <f t="shared" si="378"/>
        <v>0</v>
      </c>
      <c r="P1452" s="560">
        <f>IF(G1452=0,0,VLOOKUP(YEAR(G1452),INPC!$B$4:$P$30,MONTH(G1452)+2))</f>
        <v>0</v>
      </c>
      <c r="Q1452" s="560">
        <f>IF(X1452=0,0,IF(OR(E1452=$AT$10,E1452=$AT$9),VLOOKUP(YEAR(X1452),INPC!$B$4:$P$30,MONTH(X1452)+1),VLOOKUP(YEAR(X1452),INPC!$B$4:$P$30,MONTH(X1452)+2,0)))</f>
        <v>0</v>
      </c>
      <c r="R1452" s="309">
        <f t="shared" si="379"/>
        <v>0</v>
      </c>
      <c r="S1452" s="310">
        <f t="shared" si="380"/>
        <v>0</v>
      </c>
      <c r="T1452" s="555">
        <f t="shared" si="381"/>
        <v>0</v>
      </c>
      <c r="U1452" s="311"/>
      <c r="V1452" s="312"/>
      <c r="W1452" s="299"/>
      <c r="X1452" s="300"/>
      <c r="Y1452" s="299"/>
      <c r="Z1452" s="303"/>
      <c r="AA1452" s="305">
        <f>IF(Z1452=0,0,IF(Y1452="MXN",1/HLOOKUP(YEAR(X1452)+(MONTH(X1452)/100),TC!$5:$37,DAY(X1452)+2,FALSE),VLOOKUP(Y1452,Equivalencia!$1:$23,((MAX(Equivalencia!$3:$3)-YEAR(X1452))*14)+MONTH(X1452)+2,FALSE)))</f>
        <v>0</v>
      </c>
      <c r="AB1452" s="306">
        <f t="shared" si="382"/>
        <v>0</v>
      </c>
      <c r="AC1452" s="305">
        <f>+IF(X1452=0,0,HLOOKUP(YEAR(X1452)+(MONTH(X1452)/100),TC!$5:$37,DAY(X1452)+2,FALSE))</f>
        <v>0</v>
      </c>
      <c r="AD1452" s="307">
        <f t="shared" si="383"/>
        <v>0</v>
      </c>
      <c r="AE1452" s="314">
        <f t="shared" si="384"/>
        <v>0</v>
      </c>
      <c r="AF1452" s="315">
        <f t="shared" si="385"/>
        <v>0</v>
      </c>
      <c r="AG1452" s="316">
        <f t="shared" si="386"/>
        <v>0</v>
      </c>
      <c r="AH1452" s="314">
        <v>1</v>
      </c>
      <c r="AI1452" s="314">
        <f t="shared" si="387"/>
        <v>0</v>
      </c>
      <c r="AJ1452" s="314">
        <f t="shared" si="388"/>
        <v>0</v>
      </c>
      <c r="AK1452" s="317"/>
      <c r="AL1452" s="315">
        <f t="shared" si="389"/>
        <v>0</v>
      </c>
      <c r="AN1452" s="554">
        <f t="shared" si="390"/>
        <v>0</v>
      </c>
      <c r="AO1452" s="314"/>
      <c r="AP1452" s="318"/>
    </row>
    <row r="1453" spans="2:42">
      <c r="B1453" s="296"/>
      <c r="C1453" s="299"/>
      <c r="D1453" s="298"/>
      <c r="E1453" s="299"/>
      <c r="F1453" s="299"/>
      <c r="G1453" s="300"/>
      <c r="H1453" s="303"/>
      <c r="I1453" s="301">
        <f t="shared" si="374"/>
        <v>0</v>
      </c>
      <c r="J1453" s="302">
        <f t="shared" si="375"/>
        <v>0</v>
      </c>
      <c r="K1453" s="304">
        <f t="shared" si="376"/>
        <v>0</v>
      </c>
      <c r="L1453" s="305">
        <f>IF(H1453=0,0,IF(OR(E1453=$AT$5,E1453=$AT$6),AA1453,IF(F1453="MXN",1/HLOOKUP(YEAR(G1453)+(MONTH(G1453)/100),TC!$5:$37,DAY(G1453)+2,FALSE),VLOOKUP(F1453,Equivalencia!$5:$23,((MAX(Equivalencia!$3:$3)-YEAR(G1453))*14)+MONTH(G1453)+2,FALSE))))</f>
        <v>0</v>
      </c>
      <c r="M1453" s="306">
        <f t="shared" si="377"/>
        <v>0</v>
      </c>
      <c r="N1453" s="305">
        <f>IF(G1453=0,0,(IF(OR(E1453=$AT$5,E1453=$AT$6),AC1453,HLOOKUP(YEAR(G1453)+(MONTH(G1453)/100),TC!$5:$37,DAY(G1453)+2,FALSE))))</f>
        <v>0</v>
      </c>
      <c r="O1453" s="307">
        <f t="shared" si="378"/>
        <v>0</v>
      </c>
      <c r="P1453" s="560">
        <f>IF(G1453=0,0,VLOOKUP(YEAR(G1453),INPC!$B$4:$P$30,MONTH(G1453)+2))</f>
        <v>0</v>
      </c>
      <c r="Q1453" s="560">
        <f>IF(X1453=0,0,IF(OR(E1453=$AT$10,E1453=$AT$9),VLOOKUP(YEAR(X1453),INPC!$B$4:$P$30,MONTH(X1453)+1),VLOOKUP(YEAR(X1453),INPC!$B$4:$P$30,MONTH(X1453)+2,0)))</f>
        <v>0</v>
      </c>
      <c r="R1453" s="309">
        <f t="shared" si="379"/>
        <v>0</v>
      </c>
      <c r="S1453" s="310">
        <f t="shared" si="380"/>
        <v>0</v>
      </c>
      <c r="T1453" s="555">
        <f t="shared" si="381"/>
        <v>0</v>
      </c>
      <c r="U1453" s="311"/>
      <c r="V1453" s="312"/>
      <c r="W1453" s="299"/>
      <c r="X1453" s="300"/>
      <c r="Y1453" s="299"/>
      <c r="Z1453" s="303"/>
      <c r="AA1453" s="305">
        <f>IF(Z1453=0,0,IF(Y1453="MXN",1/HLOOKUP(YEAR(X1453)+(MONTH(X1453)/100),TC!$5:$37,DAY(X1453)+2,FALSE),VLOOKUP(Y1453,Equivalencia!$1:$23,((MAX(Equivalencia!$3:$3)-YEAR(X1453))*14)+MONTH(X1453)+2,FALSE)))</f>
        <v>0</v>
      </c>
      <c r="AB1453" s="306">
        <f t="shared" si="382"/>
        <v>0</v>
      </c>
      <c r="AC1453" s="305">
        <f>+IF(X1453=0,0,HLOOKUP(YEAR(X1453)+(MONTH(X1453)/100),TC!$5:$37,DAY(X1453)+2,FALSE))</f>
        <v>0</v>
      </c>
      <c r="AD1453" s="307">
        <f t="shared" si="383"/>
        <v>0</v>
      </c>
      <c r="AE1453" s="314">
        <f t="shared" si="384"/>
        <v>0</v>
      </c>
      <c r="AF1453" s="315">
        <f t="shared" si="385"/>
        <v>0</v>
      </c>
      <c r="AG1453" s="316">
        <f t="shared" si="386"/>
        <v>0</v>
      </c>
      <c r="AH1453" s="314">
        <v>1</v>
      </c>
      <c r="AI1453" s="314">
        <f t="shared" si="387"/>
        <v>0</v>
      </c>
      <c r="AJ1453" s="314">
        <f t="shared" si="388"/>
        <v>0</v>
      </c>
      <c r="AK1453" s="317"/>
      <c r="AL1453" s="315">
        <f t="shared" si="389"/>
        <v>0</v>
      </c>
      <c r="AN1453" s="554">
        <f t="shared" si="390"/>
        <v>0</v>
      </c>
      <c r="AO1453" s="314"/>
      <c r="AP1453" s="318"/>
    </row>
    <row r="1454" spans="2:42">
      <c r="B1454" s="296"/>
      <c r="C1454" s="299"/>
      <c r="D1454" s="298"/>
      <c r="E1454" s="299"/>
      <c r="F1454" s="299"/>
      <c r="G1454" s="300"/>
      <c r="H1454" s="303"/>
      <c r="I1454" s="301">
        <f t="shared" si="374"/>
        <v>0</v>
      </c>
      <c r="J1454" s="302">
        <f t="shared" si="375"/>
        <v>0</v>
      </c>
      <c r="K1454" s="304">
        <f t="shared" si="376"/>
        <v>0</v>
      </c>
      <c r="L1454" s="305">
        <f>IF(H1454=0,0,IF(OR(E1454=$AT$5,E1454=$AT$6),AA1454,IF(F1454="MXN",1/HLOOKUP(YEAR(G1454)+(MONTH(G1454)/100),TC!$5:$37,DAY(G1454)+2,FALSE),VLOOKUP(F1454,Equivalencia!$5:$23,((MAX(Equivalencia!$3:$3)-YEAR(G1454))*14)+MONTH(G1454)+2,FALSE))))</f>
        <v>0</v>
      </c>
      <c r="M1454" s="306">
        <f t="shared" si="377"/>
        <v>0</v>
      </c>
      <c r="N1454" s="305">
        <f>IF(G1454=0,0,(IF(OR(E1454=$AT$5,E1454=$AT$6),AC1454,HLOOKUP(YEAR(G1454)+(MONTH(G1454)/100),TC!$5:$37,DAY(G1454)+2,FALSE))))</f>
        <v>0</v>
      </c>
      <c r="O1454" s="307">
        <f t="shared" si="378"/>
        <v>0</v>
      </c>
      <c r="P1454" s="560">
        <f>IF(G1454=0,0,VLOOKUP(YEAR(G1454),INPC!$B$4:$P$30,MONTH(G1454)+2))</f>
        <v>0</v>
      </c>
      <c r="Q1454" s="560">
        <f>IF(X1454=0,0,IF(OR(E1454=$AT$10,E1454=$AT$9),VLOOKUP(YEAR(X1454),INPC!$B$4:$P$30,MONTH(X1454)+1),VLOOKUP(YEAR(X1454),INPC!$B$4:$P$30,MONTH(X1454)+2,0)))</f>
        <v>0</v>
      </c>
      <c r="R1454" s="309">
        <f t="shared" si="379"/>
        <v>0</v>
      </c>
      <c r="S1454" s="310">
        <f t="shared" si="380"/>
        <v>0</v>
      </c>
      <c r="T1454" s="555">
        <f t="shared" si="381"/>
        <v>0</v>
      </c>
      <c r="U1454" s="311"/>
      <c r="V1454" s="312"/>
      <c r="W1454" s="299"/>
      <c r="X1454" s="300"/>
      <c r="Y1454" s="299"/>
      <c r="Z1454" s="303"/>
      <c r="AA1454" s="305">
        <f>IF(Z1454=0,0,IF(Y1454="MXN",1/HLOOKUP(YEAR(X1454)+(MONTH(X1454)/100),TC!$5:$37,DAY(X1454)+2,FALSE),VLOOKUP(Y1454,Equivalencia!$1:$23,((MAX(Equivalencia!$3:$3)-YEAR(X1454))*14)+MONTH(X1454)+2,FALSE)))</f>
        <v>0</v>
      </c>
      <c r="AB1454" s="306">
        <f t="shared" si="382"/>
        <v>0</v>
      </c>
      <c r="AC1454" s="305">
        <f>+IF(X1454=0,0,HLOOKUP(YEAR(X1454)+(MONTH(X1454)/100),TC!$5:$37,DAY(X1454)+2,FALSE))</f>
        <v>0</v>
      </c>
      <c r="AD1454" s="307">
        <f t="shared" si="383"/>
        <v>0</v>
      </c>
      <c r="AE1454" s="314">
        <f t="shared" si="384"/>
        <v>0</v>
      </c>
      <c r="AF1454" s="315">
        <f t="shared" si="385"/>
        <v>0</v>
      </c>
      <c r="AG1454" s="316">
        <f t="shared" si="386"/>
        <v>0</v>
      </c>
      <c r="AH1454" s="314">
        <v>1</v>
      </c>
      <c r="AI1454" s="314">
        <f t="shared" si="387"/>
        <v>0</v>
      </c>
      <c r="AJ1454" s="314">
        <f t="shared" si="388"/>
        <v>0</v>
      </c>
      <c r="AK1454" s="317"/>
      <c r="AL1454" s="315">
        <f t="shared" si="389"/>
        <v>0</v>
      </c>
      <c r="AN1454" s="554">
        <f t="shared" si="390"/>
        <v>0</v>
      </c>
      <c r="AO1454" s="314"/>
      <c r="AP1454" s="318"/>
    </row>
    <row r="1455" spans="2:42">
      <c r="B1455" s="296"/>
      <c r="C1455" s="299"/>
      <c r="D1455" s="298"/>
      <c r="E1455" s="299"/>
      <c r="F1455" s="299"/>
      <c r="G1455" s="300"/>
      <c r="H1455" s="303"/>
      <c r="I1455" s="301">
        <f t="shared" si="374"/>
        <v>0</v>
      </c>
      <c r="J1455" s="302">
        <f t="shared" si="375"/>
        <v>0</v>
      </c>
      <c r="K1455" s="304">
        <f t="shared" si="376"/>
        <v>0</v>
      </c>
      <c r="L1455" s="305">
        <f>IF(H1455=0,0,IF(OR(E1455=$AT$5,E1455=$AT$6),AA1455,IF(F1455="MXN",1/HLOOKUP(YEAR(G1455)+(MONTH(G1455)/100),TC!$5:$37,DAY(G1455)+2,FALSE),VLOOKUP(F1455,Equivalencia!$5:$23,((MAX(Equivalencia!$3:$3)-YEAR(G1455))*14)+MONTH(G1455)+2,FALSE))))</f>
        <v>0</v>
      </c>
      <c r="M1455" s="306">
        <f t="shared" si="377"/>
        <v>0</v>
      </c>
      <c r="N1455" s="305">
        <f>IF(G1455=0,0,(IF(OR(E1455=$AT$5,E1455=$AT$6),AC1455,HLOOKUP(YEAR(G1455)+(MONTH(G1455)/100),TC!$5:$37,DAY(G1455)+2,FALSE))))</f>
        <v>0</v>
      </c>
      <c r="O1455" s="307">
        <f t="shared" si="378"/>
        <v>0</v>
      </c>
      <c r="P1455" s="560">
        <f>IF(G1455=0,0,VLOOKUP(YEAR(G1455),INPC!$B$4:$P$30,MONTH(G1455)+2))</f>
        <v>0</v>
      </c>
      <c r="Q1455" s="560">
        <f>IF(X1455=0,0,IF(OR(E1455=$AT$10,E1455=$AT$9),VLOOKUP(YEAR(X1455),INPC!$B$4:$P$30,MONTH(X1455)+1),VLOOKUP(YEAR(X1455),INPC!$B$4:$P$30,MONTH(X1455)+2,0)))</f>
        <v>0</v>
      </c>
      <c r="R1455" s="309">
        <f t="shared" si="379"/>
        <v>0</v>
      </c>
      <c r="S1455" s="310">
        <f t="shared" si="380"/>
        <v>0</v>
      </c>
      <c r="T1455" s="555">
        <f t="shared" si="381"/>
        <v>0</v>
      </c>
      <c r="U1455" s="311"/>
      <c r="V1455" s="312"/>
      <c r="W1455" s="299"/>
      <c r="X1455" s="300"/>
      <c r="Y1455" s="299"/>
      <c r="Z1455" s="303"/>
      <c r="AA1455" s="305">
        <f>IF(Z1455=0,0,IF(Y1455="MXN",1/HLOOKUP(YEAR(X1455)+(MONTH(X1455)/100),TC!$5:$37,DAY(X1455)+2,FALSE),VLOOKUP(Y1455,Equivalencia!$1:$23,((MAX(Equivalencia!$3:$3)-YEAR(X1455))*14)+MONTH(X1455)+2,FALSE)))</f>
        <v>0</v>
      </c>
      <c r="AB1455" s="306">
        <f t="shared" si="382"/>
        <v>0</v>
      </c>
      <c r="AC1455" s="305">
        <f>+IF(X1455=0,0,HLOOKUP(YEAR(X1455)+(MONTH(X1455)/100),TC!$5:$37,DAY(X1455)+2,FALSE))</f>
        <v>0</v>
      </c>
      <c r="AD1455" s="307">
        <f t="shared" si="383"/>
        <v>0</v>
      </c>
      <c r="AE1455" s="314">
        <f t="shared" si="384"/>
        <v>0</v>
      </c>
      <c r="AF1455" s="315">
        <f t="shared" si="385"/>
        <v>0</v>
      </c>
      <c r="AG1455" s="316">
        <f t="shared" si="386"/>
        <v>0</v>
      </c>
      <c r="AH1455" s="314">
        <v>1</v>
      </c>
      <c r="AI1455" s="314">
        <f t="shared" si="387"/>
        <v>0</v>
      </c>
      <c r="AJ1455" s="314">
        <f t="shared" si="388"/>
        <v>0</v>
      </c>
      <c r="AK1455" s="317"/>
      <c r="AL1455" s="315">
        <f t="shared" si="389"/>
        <v>0</v>
      </c>
      <c r="AN1455" s="554">
        <f t="shared" si="390"/>
        <v>0</v>
      </c>
      <c r="AO1455" s="314"/>
      <c r="AP1455" s="318"/>
    </row>
    <row r="1456" spans="2:42">
      <c r="B1456" s="296"/>
      <c r="C1456" s="299"/>
      <c r="D1456" s="298"/>
      <c r="E1456" s="299"/>
      <c r="F1456" s="299"/>
      <c r="G1456" s="300"/>
      <c r="H1456" s="303"/>
      <c r="I1456" s="301">
        <f t="shared" si="374"/>
        <v>0</v>
      </c>
      <c r="J1456" s="302">
        <f t="shared" si="375"/>
        <v>0</v>
      </c>
      <c r="K1456" s="304">
        <f t="shared" si="376"/>
        <v>0</v>
      </c>
      <c r="L1456" s="305">
        <f>IF(H1456=0,0,IF(OR(E1456=$AT$5,E1456=$AT$6),AA1456,IF(F1456="MXN",1/HLOOKUP(YEAR(G1456)+(MONTH(G1456)/100),TC!$5:$37,DAY(G1456)+2,FALSE),VLOOKUP(F1456,Equivalencia!$5:$23,((MAX(Equivalencia!$3:$3)-YEAR(G1456))*14)+MONTH(G1456)+2,FALSE))))</f>
        <v>0</v>
      </c>
      <c r="M1456" s="306">
        <f t="shared" si="377"/>
        <v>0</v>
      </c>
      <c r="N1456" s="305">
        <f>IF(G1456=0,0,(IF(OR(E1456=$AT$5,E1456=$AT$6),AC1456,HLOOKUP(YEAR(G1456)+(MONTH(G1456)/100),TC!$5:$37,DAY(G1456)+2,FALSE))))</f>
        <v>0</v>
      </c>
      <c r="O1456" s="307">
        <f t="shared" si="378"/>
        <v>0</v>
      </c>
      <c r="P1456" s="560">
        <f>IF(G1456=0,0,VLOOKUP(YEAR(G1456),INPC!$B$4:$P$30,MONTH(G1456)+2))</f>
        <v>0</v>
      </c>
      <c r="Q1456" s="560">
        <f>IF(X1456=0,0,IF(OR(E1456=$AT$10,E1456=$AT$9),VLOOKUP(YEAR(X1456),INPC!$B$4:$P$30,MONTH(X1456)+1),VLOOKUP(YEAR(X1456),INPC!$B$4:$P$30,MONTH(X1456)+2,0)))</f>
        <v>0</v>
      </c>
      <c r="R1456" s="309">
        <f t="shared" si="379"/>
        <v>0</v>
      </c>
      <c r="S1456" s="310">
        <f t="shared" si="380"/>
        <v>0</v>
      </c>
      <c r="T1456" s="555">
        <f t="shared" si="381"/>
        <v>0</v>
      </c>
      <c r="U1456" s="311"/>
      <c r="V1456" s="312"/>
      <c r="W1456" s="299"/>
      <c r="X1456" s="300"/>
      <c r="Y1456" s="299"/>
      <c r="Z1456" s="303"/>
      <c r="AA1456" s="305">
        <f>IF(Z1456=0,0,IF(Y1456="MXN",1/HLOOKUP(YEAR(X1456)+(MONTH(X1456)/100),TC!$5:$37,DAY(X1456)+2,FALSE),VLOOKUP(Y1456,Equivalencia!$1:$23,((MAX(Equivalencia!$3:$3)-YEAR(X1456))*14)+MONTH(X1456)+2,FALSE)))</f>
        <v>0</v>
      </c>
      <c r="AB1456" s="306">
        <f t="shared" si="382"/>
        <v>0</v>
      </c>
      <c r="AC1456" s="305">
        <f>+IF(X1456=0,0,HLOOKUP(YEAR(X1456)+(MONTH(X1456)/100),TC!$5:$37,DAY(X1456)+2,FALSE))</f>
        <v>0</v>
      </c>
      <c r="AD1456" s="307">
        <f t="shared" si="383"/>
        <v>0</v>
      </c>
      <c r="AE1456" s="314">
        <f t="shared" si="384"/>
        <v>0</v>
      </c>
      <c r="AF1456" s="315">
        <f t="shared" si="385"/>
        <v>0</v>
      </c>
      <c r="AG1456" s="316">
        <f t="shared" si="386"/>
        <v>0</v>
      </c>
      <c r="AH1456" s="314">
        <v>1</v>
      </c>
      <c r="AI1456" s="314">
        <f t="shared" si="387"/>
        <v>0</v>
      </c>
      <c r="AJ1456" s="314">
        <f t="shared" si="388"/>
        <v>0</v>
      </c>
      <c r="AK1456" s="317"/>
      <c r="AL1456" s="315">
        <f t="shared" si="389"/>
        <v>0</v>
      </c>
      <c r="AN1456" s="554">
        <f t="shared" si="390"/>
        <v>0</v>
      </c>
      <c r="AO1456" s="314"/>
      <c r="AP1456" s="318"/>
    </row>
    <row r="1457" spans="2:42">
      <c r="B1457" s="296"/>
      <c r="C1457" s="299"/>
      <c r="D1457" s="298"/>
      <c r="E1457" s="299"/>
      <c r="F1457" s="299"/>
      <c r="G1457" s="300"/>
      <c r="H1457" s="303"/>
      <c r="I1457" s="301">
        <f t="shared" si="374"/>
        <v>0</v>
      </c>
      <c r="J1457" s="302">
        <f t="shared" si="375"/>
        <v>0</v>
      </c>
      <c r="K1457" s="304">
        <f t="shared" si="376"/>
        <v>0</v>
      </c>
      <c r="L1457" s="305">
        <f>IF(H1457=0,0,IF(OR(E1457=$AT$5,E1457=$AT$6),AA1457,IF(F1457="MXN",1/HLOOKUP(YEAR(G1457)+(MONTH(G1457)/100),TC!$5:$37,DAY(G1457)+2,FALSE),VLOOKUP(F1457,Equivalencia!$5:$23,((MAX(Equivalencia!$3:$3)-YEAR(G1457))*14)+MONTH(G1457)+2,FALSE))))</f>
        <v>0</v>
      </c>
      <c r="M1457" s="306">
        <f t="shared" si="377"/>
        <v>0</v>
      </c>
      <c r="N1457" s="305">
        <f>IF(G1457=0,0,(IF(OR(E1457=$AT$5,E1457=$AT$6),AC1457,HLOOKUP(YEAR(G1457)+(MONTH(G1457)/100),TC!$5:$37,DAY(G1457)+2,FALSE))))</f>
        <v>0</v>
      </c>
      <c r="O1457" s="307">
        <f t="shared" si="378"/>
        <v>0</v>
      </c>
      <c r="P1457" s="560">
        <f>IF(G1457=0,0,VLOOKUP(YEAR(G1457),INPC!$B$4:$P$30,MONTH(G1457)+2))</f>
        <v>0</v>
      </c>
      <c r="Q1457" s="560">
        <f>IF(X1457=0,0,IF(OR(E1457=$AT$10,E1457=$AT$9),VLOOKUP(YEAR(X1457),INPC!$B$4:$P$30,MONTH(X1457)+1),VLOOKUP(YEAR(X1457),INPC!$B$4:$P$30,MONTH(X1457)+2,0)))</f>
        <v>0</v>
      </c>
      <c r="R1457" s="309">
        <f t="shared" si="379"/>
        <v>0</v>
      </c>
      <c r="S1457" s="310">
        <f t="shared" si="380"/>
        <v>0</v>
      </c>
      <c r="T1457" s="555">
        <f t="shared" si="381"/>
        <v>0</v>
      </c>
      <c r="U1457" s="311"/>
      <c r="V1457" s="312"/>
      <c r="W1457" s="299"/>
      <c r="X1457" s="300"/>
      <c r="Y1457" s="299"/>
      <c r="Z1457" s="303"/>
      <c r="AA1457" s="305">
        <f>IF(Z1457=0,0,IF(Y1457="MXN",1/HLOOKUP(YEAR(X1457)+(MONTH(X1457)/100),TC!$5:$37,DAY(X1457)+2,FALSE),VLOOKUP(Y1457,Equivalencia!$1:$23,((MAX(Equivalencia!$3:$3)-YEAR(X1457))*14)+MONTH(X1457)+2,FALSE)))</f>
        <v>0</v>
      </c>
      <c r="AB1457" s="306">
        <f t="shared" si="382"/>
        <v>0</v>
      </c>
      <c r="AC1457" s="305">
        <f>+IF(X1457=0,0,HLOOKUP(YEAR(X1457)+(MONTH(X1457)/100),TC!$5:$37,DAY(X1457)+2,FALSE))</f>
        <v>0</v>
      </c>
      <c r="AD1457" s="307">
        <f t="shared" si="383"/>
        <v>0</v>
      </c>
      <c r="AE1457" s="314">
        <f t="shared" si="384"/>
        <v>0</v>
      </c>
      <c r="AF1457" s="315">
        <f t="shared" si="385"/>
        <v>0</v>
      </c>
      <c r="AG1457" s="316">
        <f t="shared" si="386"/>
        <v>0</v>
      </c>
      <c r="AH1457" s="314">
        <v>1</v>
      </c>
      <c r="AI1457" s="314">
        <f t="shared" si="387"/>
        <v>0</v>
      </c>
      <c r="AJ1457" s="314">
        <f t="shared" si="388"/>
        <v>0</v>
      </c>
      <c r="AK1457" s="317"/>
      <c r="AL1457" s="315">
        <f t="shared" si="389"/>
        <v>0</v>
      </c>
      <c r="AN1457" s="554">
        <f t="shared" si="390"/>
        <v>0</v>
      </c>
      <c r="AO1457" s="314"/>
      <c r="AP1457" s="318"/>
    </row>
    <row r="1458" spans="2:42">
      <c r="B1458" s="296"/>
      <c r="C1458" s="299"/>
      <c r="D1458" s="298"/>
      <c r="E1458" s="299"/>
      <c r="F1458" s="299"/>
      <c r="G1458" s="300"/>
      <c r="H1458" s="303"/>
      <c r="I1458" s="301">
        <f t="shared" si="374"/>
        <v>0</v>
      </c>
      <c r="J1458" s="302">
        <f t="shared" si="375"/>
        <v>0</v>
      </c>
      <c r="K1458" s="304">
        <f t="shared" si="376"/>
        <v>0</v>
      </c>
      <c r="L1458" s="305">
        <f>IF(H1458=0,0,IF(OR(E1458=$AT$5,E1458=$AT$6),AA1458,IF(F1458="MXN",1/HLOOKUP(YEAR(G1458)+(MONTH(G1458)/100),TC!$5:$37,DAY(G1458)+2,FALSE),VLOOKUP(F1458,Equivalencia!$5:$23,((MAX(Equivalencia!$3:$3)-YEAR(G1458))*14)+MONTH(G1458)+2,FALSE))))</f>
        <v>0</v>
      </c>
      <c r="M1458" s="306">
        <f t="shared" si="377"/>
        <v>0</v>
      </c>
      <c r="N1458" s="305">
        <f>IF(G1458=0,0,(IF(OR(E1458=$AT$5,E1458=$AT$6),AC1458,HLOOKUP(YEAR(G1458)+(MONTH(G1458)/100),TC!$5:$37,DAY(G1458)+2,FALSE))))</f>
        <v>0</v>
      </c>
      <c r="O1458" s="307">
        <f t="shared" si="378"/>
        <v>0</v>
      </c>
      <c r="P1458" s="560">
        <f>IF(G1458=0,0,VLOOKUP(YEAR(G1458),INPC!$B$4:$P$30,MONTH(G1458)+2))</f>
        <v>0</v>
      </c>
      <c r="Q1458" s="560">
        <f>IF(X1458=0,0,IF(OR(E1458=$AT$10,E1458=$AT$9),VLOOKUP(YEAR(X1458),INPC!$B$4:$P$30,MONTH(X1458)+1),VLOOKUP(YEAR(X1458),INPC!$B$4:$P$30,MONTH(X1458)+2,0)))</f>
        <v>0</v>
      </c>
      <c r="R1458" s="309">
        <f t="shared" si="379"/>
        <v>0</v>
      </c>
      <c r="S1458" s="310">
        <f t="shared" si="380"/>
        <v>0</v>
      </c>
      <c r="T1458" s="555">
        <f t="shared" si="381"/>
        <v>0</v>
      </c>
      <c r="U1458" s="311"/>
      <c r="V1458" s="312"/>
      <c r="W1458" s="299"/>
      <c r="X1458" s="300"/>
      <c r="Y1458" s="299"/>
      <c r="Z1458" s="303"/>
      <c r="AA1458" s="305">
        <f>IF(Z1458=0,0,IF(Y1458="MXN",1/HLOOKUP(YEAR(X1458)+(MONTH(X1458)/100),TC!$5:$37,DAY(X1458)+2,FALSE),VLOOKUP(Y1458,Equivalencia!$1:$23,((MAX(Equivalencia!$3:$3)-YEAR(X1458))*14)+MONTH(X1458)+2,FALSE)))</f>
        <v>0</v>
      </c>
      <c r="AB1458" s="306">
        <f t="shared" si="382"/>
        <v>0</v>
      </c>
      <c r="AC1458" s="305">
        <f>+IF(X1458=0,0,HLOOKUP(YEAR(X1458)+(MONTH(X1458)/100),TC!$5:$37,DAY(X1458)+2,FALSE))</f>
        <v>0</v>
      </c>
      <c r="AD1458" s="307">
        <f t="shared" si="383"/>
        <v>0</v>
      </c>
      <c r="AE1458" s="314">
        <f t="shared" si="384"/>
        <v>0</v>
      </c>
      <c r="AF1458" s="315">
        <f t="shared" si="385"/>
        <v>0</v>
      </c>
      <c r="AG1458" s="316">
        <f t="shared" si="386"/>
        <v>0</v>
      </c>
      <c r="AH1458" s="314">
        <v>1</v>
      </c>
      <c r="AI1458" s="314">
        <f t="shared" si="387"/>
        <v>0</v>
      </c>
      <c r="AJ1458" s="314">
        <f t="shared" si="388"/>
        <v>0</v>
      </c>
      <c r="AK1458" s="317"/>
      <c r="AL1458" s="315">
        <f t="shared" si="389"/>
        <v>0</v>
      </c>
      <c r="AN1458" s="554">
        <f t="shared" si="390"/>
        <v>0</v>
      </c>
      <c r="AO1458" s="314"/>
      <c r="AP1458" s="318"/>
    </row>
    <row r="1459" spans="2:42">
      <c r="B1459" s="296"/>
      <c r="C1459" s="299"/>
      <c r="D1459" s="298"/>
      <c r="E1459" s="299"/>
      <c r="F1459" s="299"/>
      <c r="G1459" s="300"/>
      <c r="H1459" s="303"/>
      <c r="I1459" s="301">
        <f t="shared" si="374"/>
        <v>0</v>
      </c>
      <c r="J1459" s="302">
        <f t="shared" si="375"/>
        <v>0</v>
      </c>
      <c r="K1459" s="304">
        <f t="shared" si="376"/>
        <v>0</v>
      </c>
      <c r="L1459" s="305">
        <f>IF(H1459=0,0,IF(OR(E1459=$AT$5,E1459=$AT$6),AA1459,IF(F1459="MXN",1/HLOOKUP(YEAR(G1459)+(MONTH(G1459)/100),TC!$5:$37,DAY(G1459)+2,FALSE),VLOOKUP(F1459,Equivalencia!$5:$23,((MAX(Equivalencia!$3:$3)-YEAR(G1459))*14)+MONTH(G1459)+2,FALSE))))</f>
        <v>0</v>
      </c>
      <c r="M1459" s="306">
        <f t="shared" si="377"/>
        <v>0</v>
      </c>
      <c r="N1459" s="305">
        <f>IF(G1459=0,0,(IF(OR(E1459=$AT$5,E1459=$AT$6),AC1459,HLOOKUP(YEAR(G1459)+(MONTH(G1459)/100),TC!$5:$37,DAY(G1459)+2,FALSE))))</f>
        <v>0</v>
      </c>
      <c r="O1459" s="307">
        <f t="shared" si="378"/>
        <v>0</v>
      </c>
      <c r="P1459" s="560">
        <f>IF(G1459=0,0,VLOOKUP(YEAR(G1459),INPC!$B$4:$P$30,MONTH(G1459)+2))</f>
        <v>0</v>
      </c>
      <c r="Q1459" s="560">
        <f>IF(X1459=0,0,IF(OR(E1459=$AT$10,E1459=$AT$9),VLOOKUP(YEAR(X1459),INPC!$B$4:$P$30,MONTH(X1459)+1),VLOOKUP(YEAR(X1459),INPC!$B$4:$P$30,MONTH(X1459)+2,0)))</f>
        <v>0</v>
      </c>
      <c r="R1459" s="309">
        <f t="shared" si="379"/>
        <v>0</v>
      </c>
      <c r="S1459" s="310">
        <f t="shared" si="380"/>
        <v>0</v>
      </c>
      <c r="T1459" s="555">
        <f t="shared" si="381"/>
        <v>0</v>
      </c>
      <c r="U1459" s="311"/>
      <c r="V1459" s="312"/>
      <c r="W1459" s="299"/>
      <c r="X1459" s="300"/>
      <c r="Y1459" s="299"/>
      <c r="Z1459" s="303"/>
      <c r="AA1459" s="305">
        <f>IF(Z1459=0,0,IF(Y1459="MXN",1/HLOOKUP(YEAR(X1459)+(MONTH(X1459)/100),TC!$5:$37,DAY(X1459)+2,FALSE),VLOOKUP(Y1459,Equivalencia!$1:$23,((MAX(Equivalencia!$3:$3)-YEAR(X1459))*14)+MONTH(X1459)+2,FALSE)))</f>
        <v>0</v>
      </c>
      <c r="AB1459" s="306">
        <f t="shared" si="382"/>
        <v>0</v>
      </c>
      <c r="AC1459" s="305">
        <f>+IF(X1459=0,0,HLOOKUP(YEAR(X1459)+(MONTH(X1459)/100),TC!$5:$37,DAY(X1459)+2,FALSE))</f>
        <v>0</v>
      </c>
      <c r="AD1459" s="307">
        <f t="shared" si="383"/>
        <v>0</v>
      </c>
      <c r="AE1459" s="314">
        <f t="shared" si="384"/>
        <v>0</v>
      </c>
      <c r="AF1459" s="315">
        <f t="shared" si="385"/>
        <v>0</v>
      </c>
      <c r="AG1459" s="316">
        <f t="shared" si="386"/>
        <v>0</v>
      </c>
      <c r="AH1459" s="314">
        <v>1</v>
      </c>
      <c r="AI1459" s="314">
        <f t="shared" si="387"/>
        <v>0</v>
      </c>
      <c r="AJ1459" s="314">
        <f t="shared" si="388"/>
        <v>0</v>
      </c>
      <c r="AK1459" s="317"/>
      <c r="AL1459" s="315">
        <f t="shared" si="389"/>
        <v>0</v>
      </c>
      <c r="AN1459" s="554">
        <f t="shared" si="390"/>
        <v>0</v>
      </c>
      <c r="AO1459" s="314"/>
      <c r="AP1459" s="318"/>
    </row>
    <row r="1460" spans="2:42">
      <c r="B1460" s="296"/>
      <c r="C1460" s="299"/>
      <c r="D1460" s="298"/>
      <c r="E1460" s="299"/>
      <c r="F1460" s="299"/>
      <c r="G1460" s="300"/>
      <c r="H1460" s="303"/>
      <c r="I1460" s="301">
        <f t="shared" si="374"/>
        <v>0</v>
      </c>
      <c r="J1460" s="302">
        <f t="shared" si="375"/>
        <v>0</v>
      </c>
      <c r="K1460" s="304">
        <f t="shared" si="376"/>
        <v>0</v>
      </c>
      <c r="L1460" s="305">
        <f>IF(H1460=0,0,IF(OR(E1460=$AT$5,E1460=$AT$6),AA1460,IF(F1460="MXN",1/HLOOKUP(YEAR(G1460)+(MONTH(G1460)/100),TC!$5:$37,DAY(G1460)+2,FALSE),VLOOKUP(F1460,Equivalencia!$5:$23,((MAX(Equivalencia!$3:$3)-YEAR(G1460))*14)+MONTH(G1460)+2,FALSE))))</f>
        <v>0</v>
      </c>
      <c r="M1460" s="306">
        <f t="shared" si="377"/>
        <v>0</v>
      </c>
      <c r="N1460" s="305">
        <f>IF(G1460=0,0,(IF(OR(E1460=$AT$5,E1460=$AT$6),AC1460,HLOOKUP(YEAR(G1460)+(MONTH(G1460)/100),TC!$5:$37,DAY(G1460)+2,FALSE))))</f>
        <v>0</v>
      </c>
      <c r="O1460" s="307">
        <f t="shared" si="378"/>
        <v>0</v>
      </c>
      <c r="P1460" s="560">
        <f>IF(G1460=0,0,VLOOKUP(YEAR(G1460),INPC!$B$4:$P$30,MONTH(G1460)+2))</f>
        <v>0</v>
      </c>
      <c r="Q1460" s="560">
        <f>IF(X1460=0,0,IF(OR(E1460=$AT$10,E1460=$AT$9),VLOOKUP(YEAR(X1460),INPC!$B$4:$P$30,MONTH(X1460)+1),VLOOKUP(YEAR(X1460),INPC!$B$4:$P$30,MONTH(X1460)+2,0)))</f>
        <v>0</v>
      </c>
      <c r="R1460" s="309">
        <f t="shared" si="379"/>
        <v>0</v>
      </c>
      <c r="S1460" s="310">
        <f t="shared" si="380"/>
        <v>0</v>
      </c>
      <c r="T1460" s="555">
        <f t="shared" si="381"/>
        <v>0</v>
      </c>
      <c r="U1460" s="311"/>
      <c r="V1460" s="312"/>
      <c r="W1460" s="299"/>
      <c r="X1460" s="300"/>
      <c r="Y1460" s="299"/>
      <c r="Z1460" s="303"/>
      <c r="AA1460" s="305">
        <f>IF(Z1460=0,0,IF(Y1460="MXN",1/HLOOKUP(YEAR(X1460)+(MONTH(X1460)/100),TC!$5:$37,DAY(X1460)+2,FALSE),VLOOKUP(Y1460,Equivalencia!$1:$23,((MAX(Equivalencia!$3:$3)-YEAR(X1460))*14)+MONTH(X1460)+2,FALSE)))</f>
        <v>0</v>
      </c>
      <c r="AB1460" s="306">
        <f t="shared" si="382"/>
        <v>0</v>
      </c>
      <c r="AC1460" s="305">
        <f>+IF(X1460=0,0,HLOOKUP(YEAR(X1460)+(MONTH(X1460)/100),TC!$5:$37,DAY(X1460)+2,FALSE))</f>
        <v>0</v>
      </c>
      <c r="AD1460" s="307">
        <f t="shared" si="383"/>
        <v>0</v>
      </c>
      <c r="AE1460" s="314">
        <f t="shared" si="384"/>
        <v>0</v>
      </c>
      <c r="AF1460" s="315">
        <f t="shared" si="385"/>
        <v>0</v>
      </c>
      <c r="AG1460" s="316">
        <f t="shared" si="386"/>
        <v>0</v>
      </c>
      <c r="AH1460" s="314">
        <v>1</v>
      </c>
      <c r="AI1460" s="314">
        <f t="shared" si="387"/>
        <v>0</v>
      </c>
      <c r="AJ1460" s="314">
        <f t="shared" si="388"/>
        <v>0</v>
      </c>
      <c r="AK1460" s="317"/>
      <c r="AL1460" s="315">
        <f t="shared" si="389"/>
        <v>0</v>
      </c>
      <c r="AN1460" s="554">
        <f t="shared" si="390"/>
        <v>0</v>
      </c>
      <c r="AO1460" s="314"/>
      <c r="AP1460" s="318"/>
    </row>
    <row r="1461" spans="2:42">
      <c r="B1461" s="296"/>
      <c r="C1461" s="299"/>
      <c r="D1461" s="298"/>
      <c r="E1461" s="299"/>
      <c r="F1461" s="299"/>
      <c r="G1461" s="300"/>
      <c r="H1461" s="303"/>
      <c r="I1461" s="301">
        <f t="shared" si="374"/>
        <v>0</v>
      </c>
      <c r="J1461" s="302">
        <f t="shared" si="375"/>
        <v>0</v>
      </c>
      <c r="K1461" s="304">
        <f t="shared" si="376"/>
        <v>0</v>
      </c>
      <c r="L1461" s="305">
        <f>IF(H1461=0,0,IF(OR(E1461=$AT$5,E1461=$AT$6),AA1461,IF(F1461="MXN",1/HLOOKUP(YEAR(G1461)+(MONTH(G1461)/100),TC!$5:$37,DAY(G1461)+2,FALSE),VLOOKUP(F1461,Equivalencia!$5:$23,((MAX(Equivalencia!$3:$3)-YEAR(G1461))*14)+MONTH(G1461)+2,FALSE))))</f>
        <v>0</v>
      </c>
      <c r="M1461" s="306">
        <f t="shared" si="377"/>
        <v>0</v>
      </c>
      <c r="N1461" s="305">
        <f>IF(G1461=0,0,(IF(OR(E1461=$AT$5,E1461=$AT$6),AC1461,HLOOKUP(YEAR(G1461)+(MONTH(G1461)/100),TC!$5:$37,DAY(G1461)+2,FALSE))))</f>
        <v>0</v>
      </c>
      <c r="O1461" s="307">
        <f t="shared" si="378"/>
        <v>0</v>
      </c>
      <c r="P1461" s="560">
        <f>IF(G1461=0,0,VLOOKUP(YEAR(G1461),INPC!$B$4:$P$30,MONTH(G1461)+2))</f>
        <v>0</v>
      </c>
      <c r="Q1461" s="560">
        <f>IF(X1461=0,0,IF(OR(E1461=$AT$10,E1461=$AT$9),VLOOKUP(YEAR(X1461),INPC!$B$4:$P$30,MONTH(X1461)+1),VLOOKUP(YEAR(X1461),INPC!$B$4:$P$30,MONTH(X1461)+2,0)))</f>
        <v>0</v>
      </c>
      <c r="R1461" s="309">
        <f t="shared" si="379"/>
        <v>0</v>
      </c>
      <c r="S1461" s="310">
        <f t="shared" si="380"/>
        <v>0</v>
      </c>
      <c r="T1461" s="555">
        <f t="shared" si="381"/>
        <v>0</v>
      </c>
      <c r="U1461" s="311"/>
      <c r="V1461" s="312"/>
      <c r="W1461" s="299"/>
      <c r="X1461" s="300"/>
      <c r="Y1461" s="299"/>
      <c r="Z1461" s="303"/>
      <c r="AA1461" s="305">
        <f>IF(Z1461=0,0,IF(Y1461="MXN",1/HLOOKUP(YEAR(X1461)+(MONTH(X1461)/100),TC!$5:$37,DAY(X1461)+2,FALSE),VLOOKUP(Y1461,Equivalencia!$1:$23,((MAX(Equivalencia!$3:$3)-YEAR(X1461))*14)+MONTH(X1461)+2,FALSE)))</f>
        <v>0</v>
      </c>
      <c r="AB1461" s="306">
        <f t="shared" si="382"/>
        <v>0</v>
      </c>
      <c r="AC1461" s="305">
        <f>+IF(X1461=0,0,HLOOKUP(YEAR(X1461)+(MONTH(X1461)/100),TC!$5:$37,DAY(X1461)+2,FALSE))</f>
        <v>0</v>
      </c>
      <c r="AD1461" s="307">
        <f t="shared" si="383"/>
        <v>0</v>
      </c>
      <c r="AE1461" s="314">
        <f t="shared" si="384"/>
        <v>0</v>
      </c>
      <c r="AF1461" s="315">
        <f t="shared" si="385"/>
        <v>0</v>
      </c>
      <c r="AG1461" s="316">
        <f t="shared" si="386"/>
        <v>0</v>
      </c>
      <c r="AH1461" s="314">
        <v>1</v>
      </c>
      <c r="AI1461" s="314">
        <f t="shared" si="387"/>
        <v>0</v>
      </c>
      <c r="AJ1461" s="314">
        <f t="shared" si="388"/>
        <v>0</v>
      </c>
      <c r="AK1461" s="317"/>
      <c r="AL1461" s="315">
        <f t="shared" si="389"/>
        <v>0</v>
      </c>
      <c r="AN1461" s="554">
        <f t="shared" si="390"/>
        <v>0</v>
      </c>
      <c r="AO1461" s="314"/>
      <c r="AP1461" s="318"/>
    </row>
    <row r="1462" spans="2:42">
      <c r="B1462" s="296"/>
      <c r="C1462" s="299"/>
      <c r="D1462" s="298"/>
      <c r="E1462" s="299"/>
      <c r="F1462" s="299"/>
      <c r="G1462" s="300"/>
      <c r="H1462" s="303"/>
      <c r="I1462" s="301">
        <f t="shared" si="374"/>
        <v>0</v>
      </c>
      <c r="J1462" s="302">
        <f t="shared" si="375"/>
        <v>0</v>
      </c>
      <c r="K1462" s="304">
        <f t="shared" si="376"/>
        <v>0</v>
      </c>
      <c r="L1462" s="305">
        <f>IF(H1462=0,0,IF(OR(E1462=$AT$5,E1462=$AT$6),AA1462,IF(F1462="MXN",1/HLOOKUP(YEAR(G1462)+(MONTH(G1462)/100),TC!$5:$37,DAY(G1462)+2,FALSE),VLOOKUP(F1462,Equivalencia!$5:$23,((MAX(Equivalencia!$3:$3)-YEAR(G1462))*14)+MONTH(G1462)+2,FALSE))))</f>
        <v>0</v>
      </c>
      <c r="M1462" s="306">
        <f t="shared" si="377"/>
        <v>0</v>
      </c>
      <c r="N1462" s="305">
        <f>IF(G1462=0,0,(IF(OR(E1462=$AT$5,E1462=$AT$6),AC1462,HLOOKUP(YEAR(G1462)+(MONTH(G1462)/100),TC!$5:$37,DAY(G1462)+2,FALSE))))</f>
        <v>0</v>
      </c>
      <c r="O1462" s="307">
        <f t="shared" si="378"/>
        <v>0</v>
      </c>
      <c r="P1462" s="560">
        <f>IF(G1462=0,0,VLOOKUP(YEAR(G1462),INPC!$B$4:$P$30,MONTH(G1462)+2))</f>
        <v>0</v>
      </c>
      <c r="Q1462" s="560">
        <f>IF(X1462=0,0,IF(OR(E1462=$AT$10,E1462=$AT$9),VLOOKUP(YEAR(X1462),INPC!$B$4:$P$30,MONTH(X1462)+1),VLOOKUP(YEAR(X1462),INPC!$B$4:$P$30,MONTH(X1462)+2,0)))</f>
        <v>0</v>
      </c>
      <c r="R1462" s="309">
        <f t="shared" si="379"/>
        <v>0</v>
      </c>
      <c r="S1462" s="310">
        <f t="shared" si="380"/>
        <v>0</v>
      </c>
      <c r="T1462" s="555">
        <f t="shared" si="381"/>
        <v>0</v>
      </c>
      <c r="U1462" s="311"/>
      <c r="V1462" s="312"/>
      <c r="W1462" s="299"/>
      <c r="X1462" s="300"/>
      <c r="Y1462" s="299"/>
      <c r="Z1462" s="303"/>
      <c r="AA1462" s="305">
        <f>IF(Z1462=0,0,IF(Y1462="MXN",1/HLOOKUP(YEAR(X1462)+(MONTH(X1462)/100),TC!$5:$37,DAY(X1462)+2,FALSE),VLOOKUP(Y1462,Equivalencia!$1:$23,((MAX(Equivalencia!$3:$3)-YEAR(X1462))*14)+MONTH(X1462)+2,FALSE)))</f>
        <v>0</v>
      </c>
      <c r="AB1462" s="306">
        <f t="shared" si="382"/>
        <v>0</v>
      </c>
      <c r="AC1462" s="305">
        <f>+IF(X1462=0,0,HLOOKUP(YEAR(X1462)+(MONTH(X1462)/100),TC!$5:$37,DAY(X1462)+2,FALSE))</f>
        <v>0</v>
      </c>
      <c r="AD1462" s="307">
        <f t="shared" si="383"/>
        <v>0</v>
      </c>
      <c r="AE1462" s="314">
        <f t="shared" si="384"/>
        <v>0</v>
      </c>
      <c r="AF1462" s="315">
        <f t="shared" si="385"/>
        <v>0</v>
      </c>
      <c r="AG1462" s="316">
        <f t="shared" si="386"/>
        <v>0</v>
      </c>
      <c r="AH1462" s="314">
        <v>1</v>
      </c>
      <c r="AI1462" s="314">
        <f t="shared" si="387"/>
        <v>0</v>
      </c>
      <c r="AJ1462" s="314">
        <f t="shared" si="388"/>
        <v>0</v>
      </c>
      <c r="AK1462" s="317"/>
      <c r="AL1462" s="315">
        <f t="shared" si="389"/>
        <v>0</v>
      </c>
      <c r="AN1462" s="554">
        <f t="shared" si="390"/>
        <v>0</v>
      </c>
      <c r="AO1462" s="314"/>
      <c r="AP1462" s="318"/>
    </row>
    <row r="1463" spans="2:42">
      <c r="B1463" s="296"/>
      <c r="C1463" s="299"/>
      <c r="D1463" s="298"/>
      <c r="E1463" s="299"/>
      <c r="F1463" s="299"/>
      <c r="G1463" s="300"/>
      <c r="H1463" s="303"/>
      <c r="I1463" s="301">
        <f t="shared" si="374"/>
        <v>0</v>
      </c>
      <c r="J1463" s="302">
        <f t="shared" si="375"/>
        <v>0</v>
      </c>
      <c r="K1463" s="304">
        <f t="shared" si="376"/>
        <v>0</v>
      </c>
      <c r="L1463" s="305">
        <f>IF(H1463=0,0,IF(OR(E1463=$AT$5,E1463=$AT$6),AA1463,IF(F1463="MXN",1/HLOOKUP(YEAR(G1463)+(MONTH(G1463)/100),TC!$5:$37,DAY(G1463)+2,FALSE),VLOOKUP(F1463,Equivalencia!$5:$23,((MAX(Equivalencia!$3:$3)-YEAR(G1463))*14)+MONTH(G1463)+2,FALSE))))</f>
        <v>0</v>
      </c>
      <c r="M1463" s="306">
        <f t="shared" si="377"/>
        <v>0</v>
      </c>
      <c r="N1463" s="305">
        <f>IF(G1463=0,0,(IF(OR(E1463=$AT$5,E1463=$AT$6),AC1463,HLOOKUP(YEAR(G1463)+(MONTH(G1463)/100),TC!$5:$37,DAY(G1463)+2,FALSE))))</f>
        <v>0</v>
      </c>
      <c r="O1463" s="307">
        <f t="shared" si="378"/>
        <v>0</v>
      </c>
      <c r="P1463" s="560">
        <f>IF(G1463=0,0,VLOOKUP(YEAR(G1463),INPC!$B$4:$P$30,MONTH(G1463)+2))</f>
        <v>0</v>
      </c>
      <c r="Q1463" s="560">
        <f>IF(X1463=0,0,IF(OR(E1463=$AT$10,E1463=$AT$9),VLOOKUP(YEAR(X1463),INPC!$B$4:$P$30,MONTH(X1463)+1),VLOOKUP(YEAR(X1463),INPC!$B$4:$P$30,MONTH(X1463)+2,0)))</f>
        <v>0</v>
      </c>
      <c r="R1463" s="309">
        <f t="shared" si="379"/>
        <v>0</v>
      </c>
      <c r="S1463" s="310">
        <f t="shared" si="380"/>
        <v>0</v>
      </c>
      <c r="T1463" s="555">
        <f t="shared" si="381"/>
        <v>0</v>
      </c>
      <c r="U1463" s="311"/>
      <c r="V1463" s="312"/>
      <c r="W1463" s="299"/>
      <c r="X1463" s="300"/>
      <c r="Y1463" s="299"/>
      <c r="Z1463" s="303"/>
      <c r="AA1463" s="305">
        <f>IF(Z1463=0,0,IF(Y1463="MXN",1/HLOOKUP(YEAR(X1463)+(MONTH(X1463)/100),TC!$5:$37,DAY(X1463)+2,FALSE),VLOOKUP(Y1463,Equivalencia!$1:$23,((MAX(Equivalencia!$3:$3)-YEAR(X1463))*14)+MONTH(X1463)+2,FALSE)))</f>
        <v>0</v>
      </c>
      <c r="AB1463" s="306">
        <f t="shared" si="382"/>
        <v>0</v>
      </c>
      <c r="AC1463" s="305">
        <f>+IF(X1463=0,0,HLOOKUP(YEAR(X1463)+(MONTH(X1463)/100),TC!$5:$37,DAY(X1463)+2,FALSE))</f>
        <v>0</v>
      </c>
      <c r="AD1463" s="307">
        <f t="shared" si="383"/>
        <v>0</v>
      </c>
      <c r="AE1463" s="314">
        <f t="shared" si="384"/>
        <v>0</v>
      </c>
      <c r="AF1463" s="315">
        <f t="shared" si="385"/>
        <v>0</v>
      </c>
      <c r="AG1463" s="316">
        <f t="shared" si="386"/>
        <v>0</v>
      </c>
      <c r="AH1463" s="314">
        <v>1</v>
      </c>
      <c r="AI1463" s="314">
        <f t="shared" si="387"/>
        <v>0</v>
      </c>
      <c r="AJ1463" s="314">
        <f t="shared" si="388"/>
        <v>0</v>
      </c>
      <c r="AK1463" s="317"/>
      <c r="AL1463" s="315">
        <f t="shared" si="389"/>
        <v>0</v>
      </c>
      <c r="AN1463" s="554">
        <f t="shared" si="390"/>
        <v>0</v>
      </c>
      <c r="AO1463" s="314"/>
      <c r="AP1463" s="318"/>
    </row>
    <row r="1464" spans="2:42">
      <c r="B1464" s="296"/>
      <c r="C1464" s="299"/>
      <c r="D1464" s="298"/>
      <c r="E1464" s="299"/>
      <c r="F1464" s="299"/>
      <c r="G1464" s="300"/>
      <c r="H1464" s="303"/>
      <c r="I1464" s="301">
        <f t="shared" si="374"/>
        <v>0</v>
      </c>
      <c r="J1464" s="302">
        <f t="shared" si="375"/>
        <v>0</v>
      </c>
      <c r="K1464" s="304">
        <f t="shared" si="376"/>
        <v>0</v>
      </c>
      <c r="L1464" s="305">
        <f>IF(H1464=0,0,IF(OR(E1464=$AT$5,E1464=$AT$6),AA1464,IF(F1464="MXN",1/HLOOKUP(YEAR(G1464)+(MONTH(G1464)/100),TC!$5:$37,DAY(G1464)+2,FALSE),VLOOKUP(F1464,Equivalencia!$5:$23,((MAX(Equivalencia!$3:$3)-YEAR(G1464))*14)+MONTH(G1464)+2,FALSE))))</f>
        <v>0</v>
      </c>
      <c r="M1464" s="306">
        <f t="shared" si="377"/>
        <v>0</v>
      </c>
      <c r="N1464" s="305">
        <f>IF(G1464=0,0,(IF(OR(E1464=$AT$5,E1464=$AT$6),AC1464,HLOOKUP(YEAR(G1464)+(MONTH(G1464)/100),TC!$5:$37,DAY(G1464)+2,FALSE))))</f>
        <v>0</v>
      </c>
      <c r="O1464" s="307">
        <f t="shared" si="378"/>
        <v>0</v>
      </c>
      <c r="P1464" s="560">
        <f>IF(G1464=0,0,VLOOKUP(YEAR(G1464),INPC!$B$4:$P$30,MONTH(G1464)+2))</f>
        <v>0</v>
      </c>
      <c r="Q1464" s="560">
        <f>IF(X1464=0,0,IF(OR(E1464=$AT$10,E1464=$AT$9),VLOOKUP(YEAR(X1464),INPC!$B$4:$P$30,MONTH(X1464)+1),VLOOKUP(YEAR(X1464),INPC!$B$4:$P$30,MONTH(X1464)+2,0)))</f>
        <v>0</v>
      </c>
      <c r="R1464" s="309">
        <f t="shared" si="379"/>
        <v>0</v>
      </c>
      <c r="S1464" s="310">
        <f t="shared" si="380"/>
        <v>0</v>
      </c>
      <c r="T1464" s="555">
        <f t="shared" si="381"/>
        <v>0</v>
      </c>
      <c r="U1464" s="311"/>
      <c r="V1464" s="312"/>
      <c r="W1464" s="299"/>
      <c r="X1464" s="300"/>
      <c r="Y1464" s="299"/>
      <c r="Z1464" s="303"/>
      <c r="AA1464" s="305">
        <f>IF(Z1464=0,0,IF(Y1464="MXN",1/HLOOKUP(YEAR(X1464)+(MONTH(X1464)/100),TC!$5:$37,DAY(X1464)+2,FALSE),VLOOKUP(Y1464,Equivalencia!$1:$23,((MAX(Equivalencia!$3:$3)-YEAR(X1464))*14)+MONTH(X1464)+2,FALSE)))</f>
        <v>0</v>
      </c>
      <c r="AB1464" s="306">
        <f t="shared" si="382"/>
        <v>0</v>
      </c>
      <c r="AC1464" s="305">
        <f>+IF(X1464=0,0,HLOOKUP(YEAR(X1464)+(MONTH(X1464)/100),TC!$5:$37,DAY(X1464)+2,FALSE))</f>
        <v>0</v>
      </c>
      <c r="AD1464" s="307">
        <f t="shared" si="383"/>
        <v>0</v>
      </c>
      <c r="AE1464" s="314">
        <f t="shared" si="384"/>
        <v>0</v>
      </c>
      <c r="AF1464" s="315">
        <f t="shared" si="385"/>
        <v>0</v>
      </c>
      <c r="AG1464" s="316">
        <f t="shared" si="386"/>
        <v>0</v>
      </c>
      <c r="AH1464" s="314">
        <v>1</v>
      </c>
      <c r="AI1464" s="314">
        <f t="shared" si="387"/>
        <v>0</v>
      </c>
      <c r="AJ1464" s="314">
        <f t="shared" si="388"/>
        <v>0</v>
      </c>
      <c r="AK1464" s="317"/>
      <c r="AL1464" s="315">
        <f t="shared" si="389"/>
        <v>0</v>
      </c>
      <c r="AN1464" s="554">
        <f t="shared" si="390"/>
        <v>0</v>
      </c>
      <c r="AO1464" s="314"/>
      <c r="AP1464" s="318"/>
    </row>
    <row r="1465" spans="2:42">
      <c r="B1465" s="296"/>
      <c r="C1465" s="299"/>
      <c r="D1465" s="298"/>
      <c r="E1465" s="299"/>
      <c r="F1465" s="299"/>
      <c r="G1465" s="300"/>
      <c r="H1465" s="303"/>
      <c r="I1465" s="301">
        <f t="shared" si="374"/>
        <v>0</v>
      </c>
      <c r="J1465" s="302">
        <f t="shared" si="375"/>
        <v>0</v>
      </c>
      <c r="K1465" s="304">
        <f t="shared" si="376"/>
        <v>0</v>
      </c>
      <c r="L1465" s="305">
        <f>IF(H1465=0,0,IF(OR(E1465=$AT$5,E1465=$AT$6),AA1465,IF(F1465="MXN",1/HLOOKUP(YEAR(G1465)+(MONTH(G1465)/100),TC!$5:$37,DAY(G1465)+2,FALSE),VLOOKUP(F1465,Equivalencia!$5:$23,((MAX(Equivalencia!$3:$3)-YEAR(G1465))*14)+MONTH(G1465)+2,FALSE))))</f>
        <v>0</v>
      </c>
      <c r="M1465" s="306">
        <f t="shared" si="377"/>
        <v>0</v>
      </c>
      <c r="N1465" s="305">
        <f>IF(G1465=0,0,(IF(OR(E1465=$AT$5,E1465=$AT$6),AC1465,HLOOKUP(YEAR(G1465)+(MONTH(G1465)/100),TC!$5:$37,DAY(G1465)+2,FALSE))))</f>
        <v>0</v>
      </c>
      <c r="O1465" s="307">
        <f t="shared" si="378"/>
        <v>0</v>
      </c>
      <c r="P1465" s="560">
        <f>IF(G1465=0,0,VLOOKUP(YEAR(G1465),INPC!$B$4:$P$30,MONTH(G1465)+2))</f>
        <v>0</v>
      </c>
      <c r="Q1465" s="560">
        <f>IF(X1465=0,0,IF(OR(E1465=$AT$10,E1465=$AT$9),VLOOKUP(YEAR(X1465),INPC!$B$4:$P$30,MONTH(X1465)+1),VLOOKUP(YEAR(X1465),INPC!$B$4:$P$30,MONTH(X1465)+2,0)))</f>
        <v>0</v>
      </c>
      <c r="R1465" s="309">
        <f t="shared" si="379"/>
        <v>0</v>
      </c>
      <c r="S1465" s="310">
        <f t="shared" si="380"/>
        <v>0</v>
      </c>
      <c r="T1465" s="555">
        <f t="shared" si="381"/>
        <v>0</v>
      </c>
      <c r="U1465" s="311"/>
      <c r="V1465" s="312"/>
      <c r="W1465" s="299"/>
      <c r="X1465" s="300"/>
      <c r="Y1465" s="299"/>
      <c r="Z1465" s="303"/>
      <c r="AA1465" s="305">
        <f>IF(Z1465=0,0,IF(Y1465="MXN",1/HLOOKUP(YEAR(X1465)+(MONTH(X1465)/100),TC!$5:$37,DAY(X1465)+2,FALSE),VLOOKUP(Y1465,Equivalencia!$1:$23,((MAX(Equivalencia!$3:$3)-YEAR(X1465))*14)+MONTH(X1465)+2,FALSE)))</f>
        <v>0</v>
      </c>
      <c r="AB1465" s="306">
        <f t="shared" si="382"/>
        <v>0</v>
      </c>
      <c r="AC1465" s="305">
        <f>+IF(X1465=0,0,HLOOKUP(YEAR(X1465)+(MONTH(X1465)/100),TC!$5:$37,DAY(X1465)+2,FALSE))</f>
        <v>0</v>
      </c>
      <c r="AD1465" s="307">
        <f t="shared" si="383"/>
        <v>0</v>
      </c>
      <c r="AE1465" s="314">
        <f t="shared" si="384"/>
        <v>0</v>
      </c>
      <c r="AF1465" s="315">
        <f t="shared" si="385"/>
        <v>0</v>
      </c>
      <c r="AG1465" s="316">
        <f t="shared" si="386"/>
        <v>0</v>
      </c>
      <c r="AH1465" s="314">
        <v>1</v>
      </c>
      <c r="AI1465" s="314">
        <f t="shared" si="387"/>
        <v>0</v>
      </c>
      <c r="AJ1465" s="314">
        <f t="shared" si="388"/>
        <v>0</v>
      </c>
      <c r="AK1465" s="317"/>
      <c r="AL1465" s="315">
        <f t="shared" si="389"/>
        <v>0</v>
      </c>
      <c r="AN1465" s="554">
        <f t="shared" si="390"/>
        <v>0</v>
      </c>
      <c r="AO1465" s="314"/>
      <c r="AP1465" s="318"/>
    </row>
    <row r="1466" spans="2:42">
      <c r="B1466" s="296"/>
      <c r="C1466" s="299"/>
      <c r="D1466" s="298"/>
      <c r="E1466" s="299"/>
      <c r="F1466" s="299"/>
      <c r="G1466" s="300"/>
      <c r="H1466" s="303"/>
      <c r="I1466" s="301">
        <f t="shared" si="374"/>
        <v>0</v>
      </c>
      <c r="J1466" s="302">
        <f t="shared" si="375"/>
        <v>0</v>
      </c>
      <c r="K1466" s="304">
        <f t="shared" si="376"/>
        <v>0</v>
      </c>
      <c r="L1466" s="305">
        <f>IF(H1466=0,0,IF(OR(E1466=$AT$5,E1466=$AT$6),AA1466,IF(F1466="MXN",1/HLOOKUP(YEAR(G1466)+(MONTH(G1466)/100),TC!$5:$37,DAY(G1466)+2,FALSE),VLOOKUP(F1466,Equivalencia!$5:$23,((MAX(Equivalencia!$3:$3)-YEAR(G1466))*14)+MONTH(G1466)+2,FALSE))))</f>
        <v>0</v>
      </c>
      <c r="M1466" s="306">
        <f t="shared" si="377"/>
        <v>0</v>
      </c>
      <c r="N1466" s="305">
        <f>IF(G1466=0,0,(IF(OR(E1466=$AT$5,E1466=$AT$6),AC1466,HLOOKUP(YEAR(G1466)+(MONTH(G1466)/100),TC!$5:$37,DAY(G1466)+2,FALSE))))</f>
        <v>0</v>
      </c>
      <c r="O1466" s="307">
        <f t="shared" si="378"/>
        <v>0</v>
      </c>
      <c r="P1466" s="560">
        <f>IF(G1466=0,0,VLOOKUP(YEAR(G1466),INPC!$B$4:$P$30,MONTH(G1466)+2))</f>
        <v>0</v>
      </c>
      <c r="Q1466" s="560">
        <f>IF(X1466=0,0,IF(OR(E1466=$AT$10,E1466=$AT$9),VLOOKUP(YEAR(X1466),INPC!$B$4:$P$30,MONTH(X1466)+1),VLOOKUP(YEAR(X1466),INPC!$B$4:$P$30,MONTH(X1466)+2,0)))</f>
        <v>0</v>
      </c>
      <c r="R1466" s="309">
        <f t="shared" si="379"/>
        <v>0</v>
      </c>
      <c r="S1466" s="310">
        <f t="shared" si="380"/>
        <v>0</v>
      </c>
      <c r="T1466" s="555">
        <f t="shared" si="381"/>
        <v>0</v>
      </c>
      <c r="U1466" s="311"/>
      <c r="V1466" s="312"/>
      <c r="W1466" s="299"/>
      <c r="X1466" s="300"/>
      <c r="Y1466" s="299"/>
      <c r="Z1466" s="303"/>
      <c r="AA1466" s="305">
        <f>IF(Z1466=0,0,IF(Y1466="MXN",1/HLOOKUP(YEAR(X1466)+(MONTH(X1466)/100),TC!$5:$37,DAY(X1466)+2,FALSE),VLOOKUP(Y1466,Equivalencia!$1:$23,((MAX(Equivalencia!$3:$3)-YEAR(X1466))*14)+MONTH(X1466)+2,FALSE)))</f>
        <v>0</v>
      </c>
      <c r="AB1466" s="306">
        <f t="shared" si="382"/>
        <v>0</v>
      </c>
      <c r="AC1466" s="305">
        <f>+IF(X1466=0,0,HLOOKUP(YEAR(X1466)+(MONTH(X1466)/100),TC!$5:$37,DAY(X1466)+2,FALSE))</f>
        <v>0</v>
      </c>
      <c r="AD1466" s="307">
        <f t="shared" si="383"/>
        <v>0</v>
      </c>
      <c r="AE1466" s="314">
        <f t="shared" si="384"/>
        <v>0</v>
      </c>
      <c r="AF1466" s="315">
        <f t="shared" si="385"/>
        <v>0</v>
      </c>
      <c r="AG1466" s="316">
        <f t="shared" si="386"/>
        <v>0</v>
      </c>
      <c r="AH1466" s="314">
        <v>1</v>
      </c>
      <c r="AI1466" s="314">
        <f t="shared" si="387"/>
        <v>0</v>
      </c>
      <c r="AJ1466" s="314">
        <f t="shared" si="388"/>
        <v>0</v>
      </c>
      <c r="AK1466" s="317"/>
      <c r="AL1466" s="315">
        <f t="shared" si="389"/>
        <v>0</v>
      </c>
      <c r="AN1466" s="554">
        <f t="shared" si="390"/>
        <v>0</v>
      </c>
      <c r="AO1466" s="314"/>
      <c r="AP1466" s="318"/>
    </row>
    <row r="1467" spans="2:42">
      <c r="B1467" s="296"/>
      <c r="C1467" s="299"/>
      <c r="D1467" s="298"/>
      <c r="E1467" s="299"/>
      <c r="F1467" s="299"/>
      <c r="G1467" s="300"/>
      <c r="H1467" s="303"/>
      <c r="I1467" s="301">
        <f t="shared" si="374"/>
        <v>0</v>
      </c>
      <c r="J1467" s="302">
        <f t="shared" si="375"/>
        <v>0</v>
      </c>
      <c r="K1467" s="304">
        <f t="shared" si="376"/>
        <v>0</v>
      </c>
      <c r="L1467" s="305">
        <f>IF(H1467=0,0,IF(OR(E1467=$AT$5,E1467=$AT$6),AA1467,IF(F1467="MXN",1/HLOOKUP(YEAR(G1467)+(MONTH(G1467)/100),TC!$5:$37,DAY(G1467)+2,FALSE),VLOOKUP(F1467,Equivalencia!$5:$23,((MAX(Equivalencia!$3:$3)-YEAR(G1467))*14)+MONTH(G1467)+2,FALSE))))</f>
        <v>0</v>
      </c>
      <c r="M1467" s="306">
        <f t="shared" si="377"/>
        <v>0</v>
      </c>
      <c r="N1467" s="305">
        <f>IF(G1467=0,0,(IF(OR(E1467=$AT$5,E1467=$AT$6),AC1467,HLOOKUP(YEAR(G1467)+(MONTH(G1467)/100),TC!$5:$37,DAY(G1467)+2,FALSE))))</f>
        <v>0</v>
      </c>
      <c r="O1467" s="307">
        <f t="shared" si="378"/>
        <v>0</v>
      </c>
      <c r="P1467" s="560">
        <f>IF(G1467=0,0,VLOOKUP(YEAR(G1467),INPC!$B$4:$P$30,MONTH(G1467)+2))</f>
        <v>0</v>
      </c>
      <c r="Q1467" s="560">
        <f>IF(X1467=0,0,IF(OR(E1467=$AT$10,E1467=$AT$9),VLOOKUP(YEAR(X1467),INPC!$B$4:$P$30,MONTH(X1467)+1),VLOOKUP(YEAR(X1467),INPC!$B$4:$P$30,MONTH(X1467)+2,0)))</f>
        <v>0</v>
      </c>
      <c r="R1467" s="309">
        <f t="shared" si="379"/>
        <v>0</v>
      </c>
      <c r="S1467" s="310">
        <f t="shared" si="380"/>
        <v>0</v>
      </c>
      <c r="T1467" s="555">
        <f t="shared" si="381"/>
        <v>0</v>
      </c>
      <c r="U1467" s="311"/>
      <c r="V1467" s="312"/>
      <c r="W1467" s="299"/>
      <c r="X1467" s="300"/>
      <c r="Y1467" s="299"/>
      <c r="Z1467" s="303"/>
      <c r="AA1467" s="305">
        <f>IF(Z1467=0,0,IF(Y1467="MXN",1/HLOOKUP(YEAR(X1467)+(MONTH(X1467)/100),TC!$5:$37,DAY(X1467)+2,FALSE),VLOOKUP(Y1467,Equivalencia!$1:$23,((MAX(Equivalencia!$3:$3)-YEAR(X1467))*14)+MONTH(X1467)+2,FALSE)))</f>
        <v>0</v>
      </c>
      <c r="AB1467" s="306">
        <f t="shared" si="382"/>
        <v>0</v>
      </c>
      <c r="AC1467" s="305">
        <f>+IF(X1467=0,0,HLOOKUP(YEAR(X1467)+(MONTH(X1467)/100),TC!$5:$37,DAY(X1467)+2,FALSE))</f>
        <v>0</v>
      </c>
      <c r="AD1467" s="307">
        <f t="shared" si="383"/>
        <v>0</v>
      </c>
      <c r="AE1467" s="314">
        <f t="shared" si="384"/>
        <v>0</v>
      </c>
      <c r="AF1467" s="315">
        <f t="shared" si="385"/>
        <v>0</v>
      </c>
      <c r="AG1467" s="316">
        <f t="shared" si="386"/>
        <v>0</v>
      </c>
      <c r="AH1467" s="314">
        <v>1</v>
      </c>
      <c r="AI1467" s="314">
        <f t="shared" si="387"/>
        <v>0</v>
      </c>
      <c r="AJ1467" s="314">
        <f t="shared" si="388"/>
        <v>0</v>
      </c>
      <c r="AK1467" s="317"/>
      <c r="AL1467" s="315">
        <f t="shared" si="389"/>
        <v>0</v>
      </c>
      <c r="AN1467" s="554">
        <f t="shared" si="390"/>
        <v>0</v>
      </c>
      <c r="AO1467" s="314"/>
      <c r="AP1467" s="318"/>
    </row>
    <row r="1468" spans="2:42">
      <c r="B1468" s="296"/>
      <c r="C1468" s="299"/>
      <c r="D1468" s="298"/>
      <c r="E1468" s="299"/>
      <c r="F1468" s="299"/>
      <c r="G1468" s="300"/>
      <c r="H1468" s="303"/>
      <c r="I1468" s="301">
        <f t="shared" ref="I1468:I1531" si="391">IF(D1468=0,0,IF(OR(E1468=$AT$9,E1468=$AT$10),"Ingresos Sección II LISR (SIC &amp; BMV)","Ingresos Sección I LISR"))</f>
        <v>0</v>
      </c>
      <c r="J1468" s="302">
        <f t="shared" ref="J1468:J1531" si="392">+V1468</f>
        <v>0</v>
      </c>
      <c r="K1468" s="304">
        <f t="shared" ref="K1468:K1531" si="393">IF(H1468=0,0,H1468/J1468)</f>
        <v>0</v>
      </c>
      <c r="L1468" s="305">
        <f>IF(H1468=0,0,IF(OR(E1468=$AT$5,E1468=$AT$6),AA1468,IF(F1468="MXN",1/HLOOKUP(YEAR(G1468)+(MONTH(G1468)/100),TC!$5:$37,DAY(G1468)+2,FALSE),VLOOKUP(F1468,Equivalencia!$5:$23,((MAX(Equivalencia!$3:$3)-YEAR(G1468))*14)+MONTH(G1468)+2,FALSE))))</f>
        <v>0</v>
      </c>
      <c r="M1468" s="306">
        <f t="shared" ref="M1468:M1531" si="394">+H1468*L1468</f>
        <v>0</v>
      </c>
      <c r="N1468" s="305">
        <f>IF(G1468=0,0,(IF(OR(E1468=$AT$5,E1468=$AT$6),AC1468,HLOOKUP(YEAR(G1468)+(MONTH(G1468)/100),TC!$5:$37,DAY(G1468)+2,FALSE))))</f>
        <v>0</v>
      </c>
      <c r="O1468" s="307">
        <f t="shared" ref="O1468:O1531" si="395">+M1468*N1468</f>
        <v>0</v>
      </c>
      <c r="P1468" s="560">
        <f>IF(G1468=0,0,VLOOKUP(YEAR(G1468),INPC!$B$4:$P$30,MONTH(G1468)+2))</f>
        <v>0</v>
      </c>
      <c r="Q1468" s="560">
        <f>IF(X1468=0,0,IF(OR(E1468=$AT$10,E1468=$AT$9),VLOOKUP(YEAR(X1468),INPC!$B$4:$P$30,MONTH(X1468)+1),VLOOKUP(YEAR(X1468),INPC!$B$4:$P$30,MONTH(X1468)+2,0)))</f>
        <v>0</v>
      </c>
      <c r="R1468" s="309">
        <f t="shared" ref="R1468:R1531" si="396">IF(H1468=0,0,IF(OR(E1468=$AT$5,E1468=$AT$6),1,IF(TRUNC(Q1468/P1468,4)&gt;=1,TRUNC(Q1468/P1468,4),1)))</f>
        <v>0</v>
      </c>
      <c r="S1468" s="310">
        <f t="shared" ref="S1468:S1531" si="397">+R1468*O1468</f>
        <v>0</v>
      </c>
      <c r="T1468" s="555">
        <f t="shared" ref="T1468:T1531" si="398">IF(V1468=0,0,S1468/V1468)</f>
        <v>0</v>
      </c>
      <c r="U1468" s="311"/>
      <c r="V1468" s="312"/>
      <c r="W1468" s="299"/>
      <c r="X1468" s="300"/>
      <c r="Y1468" s="299"/>
      <c r="Z1468" s="303"/>
      <c r="AA1468" s="305">
        <f>IF(Z1468=0,0,IF(Y1468="MXN",1/HLOOKUP(YEAR(X1468)+(MONTH(X1468)/100),TC!$5:$37,DAY(X1468)+2,FALSE),VLOOKUP(Y1468,Equivalencia!$1:$23,((MAX(Equivalencia!$3:$3)-YEAR(X1468))*14)+MONTH(X1468)+2,FALSE)))</f>
        <v>0</v>
      </c>
      <c r="AB1468" s="306">
        <f t="shared" ref="AB1468:AB1531" si="399">+AA1468*Z1468</f>
        <v>0</v>
      </c>
      <c r="AC1468" s="305">
        <f>+IF(X1468=0,0,HLOOKUP(YEAR(X1468)+(MONTH(X1468)/100),TC!$5:$37,DAY(X1468)+2,FALSE))</f>
        <v>0</v>
      </c>
      <c r="AD1468" s="307">
        <f t="shared" ref="AD1468:AD1531" si="400">+AC1468*AB1468</f>
        <v>0</v>
      </c>
      <c r="AE1468" s="314">
        <f t="shared" ref="AE1468:AE1531" si="401">+V1468*T1468</f>
        <v>0</v>
      </c>
      <c r="AF1468" s="315">
        <f t="shared" ref="AF1468:AF1531" si="402">IF(E1468=$AT$11,0,AD1468-AE1468)</f>
        <v>0</v>
      </c>
      <c r="AG1468" s="316">
        <f t="shared" ref="AG1468:AG1531" si="403">+IF(AND(AF1468&lt;0,OR(E1468=$AT$5,E1468=$AT$6)),1,((X1468-G1468)/365))</f>
        <v>0</v>
      </c>
      <c r="AH1468" s="314">
        <v>1</v>
      </c>
      <c r="AI1468" s="314">
        <f t="shared" ref="AI1468:AI1531" si="404">+IF(OR(E1468=$AT$9,E1468=$AT$10),AF1468,+AF1468/AH1468)</f>
        <v>0</v>
      </c>
      <c r="AJ1468" s="314">
        <f t="shared" ref="AJ1468:AJ1531" si="405">+AF1468-AI1468</f>
        <v>0</v>
      </c>
      <c r="AK1468" s="317"/>
      <c r="AL1468" s="315">
        <f t="shared" ref="AL1468:AL1531" si="406">+AB1468-M1468</f>
        <v>0</v>
      </c>
      <c r="AN1468" s="554">
        <f t="shared" ref="AN1468:AN1531" si="407">IF(AL1468=0,0,AL1468/H1468)</f>
        <v>0</v>
      </c>
      <c r="AO1468" s="314"/>
      <c r="AP1468" s="318"/>
    </row>
    <row r="1469" spans="2:42">
      <c r="B1469" s="296"/>
      <c r="C1469" s="299"/>
      <c r="D1469" s="298"/>
      <c r="E1469" s="299"/>
      <c r="F1469" s="299"/>
      <c r="G1469" s="300"/>
      <c r="H1469" s="303"/>
      <c r="I1469" s="301">
        <f t="shared" si="391"/>
        <v>0</v>
      </c>
      <c r="J1469" s="302">
        <f t="shared" si="392"/>
        <v>0</v>
      </c>
      <c r="K1469" s="304">
        <f t="shared" si="393"/>
        <v>0</v>
      </c>
      <c r="L1469" s="305">
        <f>IF(H1469=0,0,IF(OR(E1469=$AT$5,E1469=$AT$6),AA1469,IF(F1469="MXN",1/HLOOKUP(YEAR(G1469)+(MONTH(G1469)/100),TC!$5:$37,DAY(G1469)+2,FALSE),VLOOKUP(F1469,Equivalencia!$5:$23,((MAX(Equivalencia!$3:$3)-YEAR(G1469))*14)+MONTH(G1469)+2,FALSE))))</f>
        <v>0</v>
      </c>
      <c r="M1469" s="306">
        <f t="shared" si="394"/>
        <v>0</v>
      </c>
      <c r="N1469" s="305">
        <f>IF(G1469=0,0,(IF(OR(E1469=$AT$5,E1469=$AT$6),AC1469,HLOOKUP(YEAR(G1469)+(MONTH(G1469)/100),TC!$5:$37,DAY(G1469)+2,FALSE))))</f>
        <v>0</v>
      </c>
      <c r="O1469" s="307">
        <f t="shared" si="395"/>
        <v>0</v>
      </c>
      <c r="P1469" s="560">
        <f>IF(G1469=0,0,VLOOKUP(YEAR(G1469),INPC!$B$4:$P$30,MONTH(G1469)+2))</f>
        <v>0</v>
      </c>
      <c r="Q1469" s="560">
        <f>IF(X1469=0,0,IF(OR(E1469=$AT$10,E1469=$AT$9),VLOOKUP(YEAR(X1469),INPC!$B$4:$P$30,MONTH(X1469)+1),VLOOKUP(YEAR(X1469),INPC!$B$4:$P$30,MONTH(X1469)+2,0)))</f>
        <v>0</v>
      </c>
      <c r="R1469" s="309">
        <f t="shared" si="396"/>
        <v>0</v>
      </c>
      <c r="S1469" s="310">
        <f t="shared" si="397"/>
        <v>0</v>
      </c>
      <c r="T1469" s="555">
        <f t="shared" si="398"/>
        <v>0</v>
      </c>
      <c r="U1469" s="311"/>
      <c r="V1469" s="312"/>
      <c r="W1469" s="299"/>
      <c r="X1469" s="300"/>
      <c r="Y1469" s="299"/>
      <c r="Z1469" s="303"/>
      <c r="AA1469" s="305">
        <f>IF(Z1469=0,0,IF(Y1469="MXN",1/HLOOKUP(YEAR(X1469)+(MONTH(X1469)/100),TC!$5:$37,DAY(X1469)+2,FALSE),VLOOKUP(Y1469,Equivalencia!$1:$23,((MAX(Equivalencia!$3:$3)-YEAR(X1469))*14)+MONTH(X1469)+2,FALSE)))</f>
        <v>0</v>
      </c>
      <c r="AB1469" s="306">
        <f t="shared" si="399"/>
        <v>0</v>
      </c>
      <c r="AC1469" s="305">
        <f>+IF(X1469=0,0,HLOOKUP(YEAR(X1469)+(MONTH(X1469)/100),TC!$5:$37,DAY(X1469)+2,FALSE))</f>
        <v>0</v>
      </c>
      <c r="AD1469" s="307">
        <f t="shared" si="400"/>
        <v>0</v>
      </c>
      <c r="AE1469" s="314">
        <f t="shared" si="401"/>
        <v>0</v>
      </c>
      <c r="AF1469" s="315">
        <f t="shared" si="402"/>
        <v>0</v>
      </c>
      <c r="AG1469" s="316">
        <f t="shared" si="403"/>
        <v>0</v>
      </c>
      <c r="AH1469" s="314">
        <v>1</v>
      </c>
      <c r="AI1469" s="314">
        <f t="shared" si="404"/>
        <v>0</v>
      </c>
      <c r="AJ1469" s="314">
        <f t="shared" si="405"/>
        <v>0</v>
      </c>
      <c r="AK1469" s="317"/>
      <c r="AL1469" s="315">
        <f t="shared" si="406"/>
        <v>0</v>
      </c>
      <c r="AN1469" s="554">
        <f t="shared" si="407"/>
        <v>0</v>
      </c>
      <c r="AO1469" s="314"/>
      <c r="AP1469" s="318"/>
    </row>
    <row r="1470" spans="2:42">
      <c r="B1470" s="296"/>
      <c r="C1470" s="299"/>
      <c r="D1470" s="298"/>
      <c r="E1470" s="299"/>
      <c r="F1470" s="299"/>
      <c r="G1470" s="300"/>
      <c r="H1470" s="303"/>
      <c r="I1470" s="301">
        <f t="shared" si="391"/>
        <v>0</v>
      </c>
      <c r="J1470" s="302">
        <f t="shared" si="392"/>
        <v>0</v>
      </c>
      <c r="K1470" s="304">
        <f t="shared" si="393"/>
        <v>0</v>
      </c>
      <c r="L1470" s="305">
        <f>IF(H1470=0,0,IF(OR(E1470=$AT$5,E1470=$AT$6),AA1470,IF(F1470="MXN",1/HLOOKUP(YEAR(G1470)+(MONTH(G1470)/100),TC!$5:$37,DAY(G1470)+2,FALSE),VLOOKUP(F1470,Equivalencia!$5:$23,((MAX(Equivalencia!$3:$3)-YEAR(G1470))*14)+MONTH(G1470)+2,FALSE))))</f>
        <v>0</v>
      </c>
      <c r="M1470" s="306">
        <f t="shared" si="394"/>
        <v>0</v>
      </c>
      <c r="N1470" s="305">
        <f>IF(G1470=0,0,(IF(OR(E1470=$AT$5,E1470=$AT$6),AC1470,HLOOKUP(YEAR(G1470)+(MONTH(G1470)/100),TC!$5:$37,DAY(G1470)+2,FALSE))))</f>
        <v>0</v>
      </c>
      <c r="O1470" s="307">
        <f t="shared" si="395"/>
        <v>0</v>
      </c>
      <c r="P1470" s="560">
        <f>IF(G1470=0,0,VLOOKUP(YEAR(G1470),INPC!$B$4:$P$30,MONTH(G1470)+2))</f>
        <v>0</v>
      </c>
      <c r="Q1470" s="560">
        <f>IF(X1470=0,0,IF(OR(E1470=$AT$10,E1470=$AT$9),VLOOKUP(YEAR(X1470),INPC!$B$4:$P$30,MONTH(X1470)+1),VLOOKUP(YEAR(X1470),INPC!$B$4:$P$30,MONTH(X1470)+2,0)))</f>
        <v>0</v>
      </c>
      <c r="R1470" s="309">
        <f t="shared" si="396"/>
        <v>0</v>
      </c>
      <c r="S1470" s="310">
        <f t="shared" si="397"/>
        <v>0</v>
      </c>
      <c r="T1470" s="555">
        <f t="shared" si="398"/>
        <v>0</v>
      </c>
      <c r="U1470" s="311"/>
      <c r="V1470" s="312"/>
      <c r="W1470" s="299"/>
      <c r="X1470" s="300"/>
      <c r="Y1470" s="299"/>
      <c r="Z1470" s="303"/>
      <c r="AA1470" s="305">
        <f>IF(Z1470=0,0,IF(Y1470="MXN",1/HLOOKUP(YEAR(X1470)+(MONTH(X1470)/100),TC!$5:$37,DAY(X1470)+2,FALSE),VLOOKUP(Y1470,Equivalencia!$1:$23,((MAX(Equivalencia!$3:$3)-YEAR(X1470))*14)+MONTH(X1470)+2,FALSE)))</f>
        <v>0</v>
      </c>
      <c r="AB1470" s="306">
        <f t="shared" si="399"/>
        <v>0</v>
      </c>
      <c r="AC1470" s="305">
        <f>+IF(X1470=0,0,HLOOKUP(YEAR(X1470)+(MONTH(X1470)/100),TC!$5:$37,DAY(X1470)+2,FALSE))</f>
        <v>0</v>
      </c>
      <c r="AD1470" s="307">
        <f t="shared" si="400"/>
        <v>0</v>
      </c>
      <c r="AE1470" s="314">
        <f t="shared" si="401"/>
        <v>0</v>
      </c>
      <c r="AF1470" s="315">
        <f t="shared" si="402"/>
        <v>0</v>
      </c>
      <c r="AG1470" s="316">
        <f t="shared" si="403"/>
        <v>0</v>
      </c>
      <c r="AH1470" s="314">
        <v>1</v>
      </c>
      <c r="AI1470" s="314">
        <f t="shared" si="404"/>
        <v>0</v>
      </c>
      <c r="AJ1470" s="314">
        <f t="shared" si="405"/>
        <v>0</v>
      </c>
      <c r="AK1470" s="317"/>
      <c r="AL1470" s="315">
        <f t="shared" si="406"/>
        <v>0</v>
      </c>
      <c r="AN1470" s="554">
        <f t="shared" si="407"/>
        <v>0</v>
      </c>
      <c r="AO1470" s="314"/>
      <c r="AP1470" s="318"/>
    </row>
    <row r="1471" spans="2:42">
      <c r="B1471" s="296"/>
      <c r="C1471" s="299"/>
      <c r="D1471" s="298"/>
      <c r="E1471" s="299"/>
      <c r="F1471" s="299"/>
      <c r="G1471" s="300"/>
      <c r="H1471" s="303"/>
      <c r="I1471" s="301">
        <f t="shared" si="391"/>
        <v>0</v>
      </c>
      <c r="J1471" s="302">
        <f t="shared" si="392"/>
        <v>0</v>
      </c>
      <c r="K1471" s="304">
        <f t="shared" si="393"/>
        <v>0</v>
      </c>
      <c r="L1471" s="305">
        <f>IF(H1471=0,0,IF(OR(E1471=$AT$5,E1471=$AT$6),AA1471,IF(F1471="MXN",1/HLOOKUP(YEAR(G1471)+(MONTH(G1471)/100),TC!$5:$37,DAY(G1471)+2,FALSE),VLOOKUP(F1471,Equivalencia!$5:$23,((MAX(Equivalencia!$3:$3)-YEAR(G1471))*14)+MONTH(G1471)+2,FALSE))))</f>
        <v>0</v>
      </c>
      <c r="M1471" s="306">
        <f t="shared" si="394"/>
        <v>0</v>
      </c>
      <c r="N1471" s="305">
        <f>IF(G1471=0,0,(IF(OR(E1471=$AT$5,E1471=$AT$6),AC1471,HLOOKUP(YEAR(G1471)+(MONTH(G1471)/100),TC!$5:$37,DAY(G1471)+2,FALSE))))</f>
        <v>0</v>
      </c>
      <c r="O1471" s="307">
        <f t="shared" si="395"/>
        <v>0</v>
      </c>
      <c r="P1471" s="560">
        <f>IF(G1471=0,0,VLOOKUP(YEAR(G1471),INPC!$B$4:$P$30,MONTH(G1471)+2))</f>
        <v>0</v>
      </c>
      <c r="Q1471" s="560">
        <f>IF(X1471=0,0,IF(OR(E1471=$AT$10,E1471=$AT$9),VLOOKUP(YEAR(X1471),INPC!$B$4:$P$30,MONTH(X1471)+1),VLOOKUP(YEAR(X1471),INPC!$B$4:$P$30,MONTH(X1471)+2,0)))</f>
        <v>0</v>
      </c>
      <c r="R1471" s="309">
        <f t="shared" si="396"/>
        <v>0</v>
      </c>
      <c r="S1471" s="310">
        <f t="shared" si="397"/>
        <v>0</v>
      </c>
      <c r="T1471" s="555">
        <f t="shared" si="398"/>
        <v>0</v>
      </c>
      <c r="U1471" s="311"/>
      <c r="V1471" s="312"/>
      <c r="W1471" s="299"/>
      <c r="X1471" s="300"/>
      <c r="Y1471" s="299"/>
      <c r="Z1471" s="303"/>
      <c r="AA1471" s="305">
        <f>IF(Z1471=0,0,IF(Y1471="MXN",1/HLOOKUP(YEAR(X1471)+(MONTH(X1471)/100),TC!$5:$37,DAY(X1471)+2,FALSE),VLOOKUP(Y1471,Equivalencia!$1:$23,((MAX(Equivalencia!$3:$3)-YEAR(X1471))*14)+MONTH(X1471)+2,FALSE)))</f>
        <v>0</v>
      </c>
      <c r="AB1471" s="306">
        <f t="shared" si="399"/>
        <v>0</v>
      </c>
      <c r="AC1471" s="305">
        <f>+IF(X1471=0,0,HLOOKUP(YEAR(X1471)+(MONTH(X1471)/100),TC!$5:$37,DAY(X1471)+2,FALSE))</f>
        <v>0</v>
      </c>
      <c r="AD1471" s="307">
        <f t="shared" si="400"/>
        <v>0</v>
      </c>
      <c r="AE1471" s="314">
        <f t="shared" si="401"/>
        <v>0</v>
      </c>
      <c r="AF1471" s="315">
        <f t="shared" si="402"/>
        <v>0</v>
      </c>
      <c r="AG1471" s="316">
        <f t="shared" si="403"/>
        <v>0</v>
      </c>
      <c r="AH1471" s="314">
        <v>1</v>
      </c>
      <c r="AI1471" s="314">
        <f t="shared" si="404"/>
        <v>0</v>
      </c>
      <c r="AJ1471" s="314">
        <f t="shared" si="405"/>
        <v>0</v>
      </c>
      <c r="AK1471" s="317"/>
      <c r="AL1471" s="315">
        <f t="shared" si="406"/>
        <v>0</v>
      </c>
      <c r="AN1471" s="554">
        <f t="shared" si="407"/>
        <v>0</v>
      </c>
      <c r="AO1471" s="314"/>
      <c r="AP1471" s="318"/>
    </row>
    <row r="1472" spans="2:42">
      <c r="B1472" s="296"/>
      <c r="C1472" s="299"/>
      <c r="D1472" s="298"/>
      <c r="E1472" s="299"/>
      <c r="F1472" s="299"/>
      <c r="G1472" s="300"/>
      <c r="H1472" s="303"/>
      <c r="I1472" s="301">
        <f t="shared" si="391"/>
        <v>0</v>
      </c>
      <c r="J1472" s="302">
        <f t="shared" si="392"/>
        <v>0</v>
      </c>
      <c r="K1472" s="304">
        <f t="shared" si="393"/>
        <v>0</v>
      </c>
      <c r="L1472" s="305">
        <f>IF(H1472=0,0,IF(OR(E1472=$AT$5,E1472=$AT$6),AA1472,IF(F1472="MXN",1/HLOOKUP(YEAR(G1472)+(MONTH(G1472)/100),TC!$5:$37,DAY(G1472)+2,FALSE),VLOOKUP(F1472,Equivalencia!$5:$23,((MAX(Equivalencia!$3:$3)-YEAR(G1472))*14)+MONTH(G1472)+2,FALSE))))</f>
        <v>0</v>
      </c>
      <c r="M1472" s="306">
        <f t="shared" si="394"/>
        <v>0</v>
      </c>
      <c r="N1472" s="305">
        <f>IF(G1472=0,0,(IF(OR(E1472=$AT$5,E1472=$AT$6),AC1472,HLOOKUP(YEAR(G1472)+(MONTH(G1472)/100),TC!$5:$37,DAY(G1472)+2,FALSE))))</f>
        <v>0</v>
      </c>
      <c r="O1472" s="307">
        <f t="shared" si="395"/>
        <v>0</v>
      </c>
      <c r="P1472" s="560">
        <f>IF(G1472=0,0,VLOOKUP(YEAR(G1472),INPC!$B$4:$P$30,MONTH(G1472)+2))</f>
        <v>0</v>
      </c>
      <c r="Q1472" s="560">
        <f>IF(X1472=0,0,IF(OR(E1472=$AT$10,E1472=$AT$9),VLOOKUP(YEAR(X1472),INPC!$B$4:$P$30,MONTH(X1472)+1),VLOOKUP(YEAR(X1472),INPC!$B$4:$P$30,MONTH(X1472)+2,0)))</f>
        <v>0</v>
      </c>
      <c r="R1472" s="309">
        <f t="shared" si="396"/>
        <v>0</v>
      </c>
      <c r="S1472" s="310">
        <f t="shared" si="397"/>
        <v>0</v>
      </c>
      <c r="T1472" s="555">
        <f t="shared" si="398"/>
        <v>0</v>
      </c>
      <c r="U1472" s="311"/>
      <c r="V1472" s="312"/>
      <c r="W1472" s="299"/>
      <c r="X1472" s="300"/>
      <c r="Y1472" s="299"/>
      <c r="Z1472" s="303"/>
      <c r="AA1472" s="305">
        <f>IF(Z1472=0,0,IF(Y1472="MXN",1/HLOOKUP(YEAR(X1472)+(MONTH(X1472)/100),TC!$5:$37,DAY(X1472)+2,FALSE),VLOOKUP(Y1472,Equivalencia!$1:$23,((MAX(Equivalencia!$3:$3)-YEAR(X1472))*14)+MONTH(X1472)+2,FALSE)))</f>
        <v>0</v>
      </c>
      <c r="AB1472" s="306">
        <f t="shared" si="399"/>
        <v>0</v>
      </c>
      <c r="AC1472" s="305">
        <f>+IF(X1472=0,0,HLOOKUP(YEAR(X1472)+(MONTH(X1472)/100),TC!$5:$37,DAY(X1472)+2,FALSE))</f>
        <v>0</v>
      </c>
      <c r="AD1472" s="307">
        <f t="shared" si="400"/>
        <v>0</v>
      </c>
      <c r="AE1472" s="314">
        <f t="shared" si="401"/>
        <v>0</v>
      </c>
      <c r="AF1472" s="315">
        <f t="shared" si="402"/>
        <v>0</v>
      </c>
      <c r="AG1472" s="316">
        <f t="shared" si="403"/>
        <v>0</v>
      </c>
      <c r="AH1472" s="314">
        <v>1</v>
      </c>
      <c r="AI1472" s="314">
        <f t="shared" si="404"/>
        <v>0</v>
      </c>
      <c r="AJ1472" s="314">
        <f t="shared" si="405"/>
        <v>0</v>
      </c>
      <c r="AK1472" s="317"/>
      <c r="AL1472" s="315">
        <f t="shared" si="406"/>
        <v>0</v>
      </c>
      <c r="AN1472" s="554">
        <f t="shared" si="407"/>
        <v>0</v>
      </c>
      <c r="AO1472" s="314"/>
      <c r="AP1472" s="318"/>
    </row>
    <row r="1473" spans="2:42">
      <c r="B1473" s="296"/>
      <c r="C1473" s="299"/>
      <c r="D1473" s="298"/>
      <c r="E1473" s="299"/>
      <c r="F1473" s="299"/>
      <c r="G1473" s="300"/>
      <c r="H1473" s="303"/>
      <c r="I1473" s="301">
        <f t="shared" si="391"/>
        <v>0</v>
      </c>
      <c r="J1473" s="302">
        <f t="shared" si="392"/>
        <v>0</v>
      </c>
      <c r="K1473" s="304">
        <f t="shared" si="393"/>
        <v>0</v>
      </c>
      <c r="L1473" s="305">
        <f>IF(H1473=0,0,IF(OR(E1473=$AT$5,E1473=$AT$6),AA1473,IF(F1473="MXN",1/HLOOKUP(YEAR(G1473)+(MONTH(G1473)/100),TC!$5:$37,DAY(G1473)+2,FALSE),VLOOKUP(F1473,Equivalencia!$5:$23,((MAX(Equivalencia!$3:$3)-YEAR(G1473))*14)+MONTH(G1473)+2,FALSE))))</f>
        <v>0</v>
      </c>
      <c r="M1473" s="306">
        <f t="shared" si="394"/>
        <v>0</v>
      </c>
      <c r="N1473" s="305">
        <f>IF(G1473=0,0,(IF(OR(E1473=$AT$5,E1473=$AT$6),AC1473,HLOOKUP(YEAR(G1473)+(MONTH(G1473)/100),TC!$5:$37,DAY(G1473)+2,FALSE))))</f>
        <v>0</v>
      </c>
      <c r="O1473" s="307">
        <f t="shared" si="395"/>
        <v>0</v>
      </c>
      <c r="P1473" s="560">
        <f>IF(G1473=0,0,VLOOKUP(YEAR(G1473),INPC!$B$4:$P$30,MONTH(G1473)+2))</f>
        <v>0</v>
      </c>
      <c r="Q1473" s="560">
        <f>IF(X1473=0,0,IF(OR(E1473=$AT$10,E1473=$AT$9),VLOOKUP(YEAR(X1473),INPC!$B$4:$P$30,MONTH(X1473)+1),VLOOKUP(YEAR(X1473),INPC!$B$4:$P$30,MONTH(X1473)+2,0)))</f>
        <v>0</v>
      </c>
      <c r="R1473" s="309">
        <f t="shared" si="396"/>
        <v>0</v>
      </c>
      <c r="S1473" s="310">
        <f t="shared" si="397"/>
        <v>0</v>
      </c>
      <c r="T1473" s="555">
        <f t="shared" si="398"/>
        <v>0</v>
      </c>
      <c r="U1473" s="311"/>
      <c r="V1473" s="312"/>
      <c r="W1473" s="299"/>
      <c r="X1473" s="300"/>
      <c r="Y1473" s="299"/>
      <c r="Z1473" s="303"/>
      <c r="AA1473" s="305">
        <f>IF(Z1473=0,0,IF(Y1473="MXN",1/HLOOKUP(YEAR(X1473)+(MONTH(X1473)/100),TC!$5:$37,DAY(X1473)+2,FALSE),VLOOKUP(Y1473,Equivalencia!$1:$23,((MAX(Equivalencia!$3:$3)-YEAR(X1473))*14)+MONTH(X1473)+2,FALSE)))</f>
        <v>0</v>
      </c>
      <c r="AB1473" s="306">
        <f t="shared" si="399"/>
        <v>0</v>
      </c>
      <c r="AC1473" s="305">
        <f>+IF(X1473=0,0,HLOOKUP(YEAR(X1473)+(MONTH(X1473)/100),TC!$5:$37,DAY(X1473)+2,FALSE))</f>
        <v>0</v>
      </c>
      <c r="AD1473" s="307">
        <f t="shared" si="400"/>
        <v>0</v>
      </c>
      <c r="AE1473" s="314">
        <f t="shared" si="401"/>
        <v>0</v>
      </c>
      <c r="AF1473" s="315">
        <f t="shared" si="402"/>
        <v>0</v>
      </c>
      <c r="AG1473" s="316">
        <f t="shared" si="403"/>
        <v>0</v>
      </c>
      <c r="AH1473" s="314">
        <v>1</v>
      </c>
      <c r="AI1473" s="314">
        <f t="shared" si="404"/>
        <v>0</v>
      </c>
      <c r="AJ1473" s="314">
        <f t="shared" si="405"/>
        <v>0</v>
      </c>
      <c r="AK1473" s="317"/>
      <c r="AL1473" s="315">
        <f t="shared" si="406"/>
        <v>0</v>
      </c>
      <c r="AN1473" s="554">
        <f t="shared" si="407"/>
        <v>0</v>
      </c>
      <c r="AO1473" s="314"/>
      <c r="AP1473" s="318"/>
    </row>
    <row r="1474" spans="2:42">
      <c r="B1474" s="296"/>
      <c r="C1474" s="299"/>
      <c r="D1474" s="298"/>
      <c r="E1474" s="299"/>
      <c r="F1474" s="299"/>
      <c r="G1474" s="300"/>
      <c r="H1474" s="303"/>
      <c r="I1474" s="301">
        <f t="shared" si="391"/>
        <v>0</v>
      </c>
      <c r="J1474" s="302">
        <f t="shared" si="392"/>
        <v>0</v>
      </c>
      <c r="K1474" s="304">
        <f t="shared" si="393"/>
        <v>0</v>
      </c>
      <c r="L1474" s="305">
        <f>IF(H1474=0,0,IF(OR(E1474=$AT$5,E1474=$AT$6),AA1474,IF(F1474="MXN",1/HLOOKUP(YEAR(G1474)+(MONTH(G1474)/100),TC!$5:$37,DAY(G1474)+2,FALSE),VLOOKUP(F1474,Equivalencia!$5:$23,((MAX(Equivalencia!$3:$3)-YEAR(G1474))*14)+MONTH(G1474)+2,FALSE))))</f>
        <v>0</v>
      </c>
      <c r="M1474" s="306">
        <f t="shared" si="394"/>
        <v>0</v>
      </c>
      <c r="N1474" s="305">
        <f>IF(G1474=0,0,(IF(OR(E1474=$AT$5,E1474=$AT$6),AC1474,HLOOKUP(YEAR(G1474)+(MONTH(G1474)/100),TC!$5:$37,DAY(G1474)+2,FALSE))))</f>
        <v>0</v>
      </c>
      <c r="O1474" s="307">
        <f t="shared" si="395"/>
        <v>0</v>
      </c>
      <c r="P1474" s="560">
        <f>IF(G1474=0,0,VLOOKUP(YEAR(G1474),INPC!$B$4:$P$30,MONTH(G1474)+2))</f>
        <v>0</v>
      </c>
      <c r="Q1474" s="560">
        <f>IF(X1474=0,0,IF(OR(E1474=$AT$10,E1474=$AT$9),VLOOKUP(YEAR(X1474),INPC!$B$4:$P$30,MONTH(X1474)+1),VLOOKUP(YEAR(X1474),INPC!$B$4:$P$30,MONTH(X1474)+2,0)))</f>
        <v>0</v>
      </c>
      <c r="R1474" s="309">
        <f t="shared" si="396"/>
        <v>0</v>
      </c>
      <c r="S1474" s="310">
        <f t="shared" si="397"/>
        <v>0</v>
      </c>
      <c r="T1474" s="555">
        <f t="shared" si="398"/>
        <v>0</v>
      </c>
      <c r="U1474" s="311"/>
      <c r="V1474" s="312"/>
      <c r="W1474" s="299"/>
      <c r="X1474" s="300"/>
      <c r="Y1474" s="299"/>
      <c r="Z1474" s="303"/>
      <c r="AA1474" s="305">
        <f>IF(Z1474=0,0,IF(Y1474="MXN",1/HLOOKUP(YEAR(X1474)+(MONTH(X1474)/100),TC!$5:$37,DAY(X1474)+2,FALSE),VLOOKUP(Y1474,Equivalencia!$1:$23,((MAX(Equivalencia!$3:$3)-YEAR(X1474))*14)+MONTH(X1474)+2,FALSE)))</f>
        <v>0</v>
      </c>
      <c r="AB1474" s="306">
        <f t="shared" si="399"/>
        <v>0</v>
      </c>
      <c r="AC1474" s="305">
        <f>+IF(X1474=0,0,HLOOKUP(YEAR(X1474)+(MONTH(X1474)/100),TC!$5:$37,DAY(X1474)+2,FALSE))</f>
        <v>0</v>
      </c>
      <c r="AD1474" s="307">
        <f t="shared" si="400"/>
        <v>0</v>
      </c>
      <c r="AE1474" s="314">
        <f t="shared" si="401"/>
        <v>0</v>
      </c>
      <c r="AF1474" s="315">
        <f t="shared" si="402"/>
        <v>0</v>
      </c>
      <c r="AG1474" s="316">
        <f t="shared" si="403"/>
        <v>0</v>
      </c>
      <c r="AH1474" s="314">
        <v>1</v>
      </c>
      <c r="AI1474" s="314">
        <f t="shared" si="404"/>
        <v>0</v>
      </c>
      <c r="AJ1474" s="314">
        <f t="shared" si="405"/>
        <v>0</v>
      </c>
      <c r="AK1474" s="317"/>
      <c r="AL1474" s="315">
        <f t="shared" si="406"/>
        <v>0</v>
      </c>
      <c r="AN1474" s="554">
        <f t="shared" si="407"/>
        <v>0</v>
      </c>
      <c r="AO1474" s="314"/>
      <c r="AP1474" s="318"/>
    </row>
    <row r="1475" spans="2:42">
      <c r="B1475" s="296"/>
      <c r="C1475" s="299"/>
      <c r="D1475" s="298"/>
      <c r="E1475" s="299"/>
      <c r="F1475" s="299"/>
      <c r="G1475" s="300"/>
      <c r="H1475" s="303"/>
      <c r="I1475" s="301">
        <f t="shared" si="391"/>
        <v>0</v>
      </c>
      <c r="J1475" s="302">
        <f t="shared" si="392"/>
        <v>0</v>
      </c>
      <c r="K1475" s="304">
        <f t="shared" si="393"/>
        <v>0</v>
      </c>
      <c r="L1475" s="305">
        <f>IF(H1475=0,0,IF(OR(E1475=$AT$5,E1475=$AT$6),AA1475,IF(F1475="MXN",1/HLOOKUP(YEAR(G1475)+(MONTH(G1475)/100),TC!$5:$37,DAY(G1475)+2,FALSE),VLOOKUP(F1475,Equivalencia!$5:$23,((MAX(Equivalencia!$3:$3)-YEAR(G1475))*14)+MONTH(G1475)+2,FALSE))))</f>
        <v>0</v>
      </c>
      <c r="M1475" s="306">
        <f t="shared" si="394"/>
        <v>0</v>
      </c>
      <c r="N1475" s="305">
        <f>IF(G1475=0,0,(IF(OR(E1475=$AT$5,E1475=$AT$6),AC1475,HLOOKUP(YEAR(G1475)+(MONTH(G1475)/100),TC!$5:$37,DAY(G1475)+2,FALSE))))</f>
        <v>0</v>
      </c>
      <c r="O1475" s="307">
        <f t="shared" si="395"/>
        <v>0</v>
      </c>
      <c r="P1475" s="560">
        <f>IF(G1475=0,0,VLOOKUP(YEAR(G1475),INPC!$B$4:$P$30,MONTH(G1475)+2))</f>
        <v>0</v>
      </c>
      <c r="Q1475" s="560">
        <f>IF(X1475=0,0,IF(OR(E1475=$AT$10,E1475=$AT$9),VLOOKUP(YEAR(X1475),INPC!$B$4:$P$30,MONTH(X1475)+1),VLOOKUP(YEAR(X1475),INPC!$B$4:$P$30,MONTH(X1475)+2,0)))</f>
        <v>0</v>
      </c>
      <c r="R1475" s="309">
        <f t="shared" si="396"/>
        <v>0</v>
      </c>
      <c r="S1475" s="310">
        <f t="shared" si="397"/>
        <v>0</v>
      </c>
      <c r="T1475" s="555">
        <f t="shared" si="398"/>
        <v>0</v>
      </c>
      <c r="U1475" s="311"/>
      <c r="V1475" s="312"/>
      <c r="W1475" s="299"/>
      <c r="X1475" s="300"/>
      <c r="Y1475" s="299"/>
      <c r="Z1475" s="303"/>
      <c r="AA1475" s="305">
        <f>IF(Z1475=0,0,IF(Y1475="MXN",1/HLOOKUP(YEAR(X1475)+(MONTH(X1475)/100),TC!$5:$37,DAY(X1475)+2,FALSE),VLOOKUP(Y1475,Equivalencia!$1:$23,((MAX(Equivalencia!$3:$3)-YEAR(X1475))*14)+MONTH(X1475)+2,FALSE)))</f>
        <v>0</v>
      </c>
      <c r="AB1475" s="306">
        <f t="shared" si="399"/>
        <v>0</v>
      </c>
      <c r="AC1475" s="305">
        <f>+IF(X1475=0,0,HLOOKUP(YEAR(X1475)+(MONTH(X1475)/100),TC!$5:$37,DAY(X1475)+2,FALSE))</f>
        <v>0</v>
      </c>
      <c r="AD1475" s="307">
        <f t="shared" si="400"/>
        <v>0</v>
      </c>
      <c r="AE1475" s="314">
        <f t="shared" si="401"/>
        <v>0</v>
      </c>
      <c r="AF1475" s="315">
        <f t="shared" si="402"/>
        <v>0</v>
      </c>
      <c r="AG1475" s="316">
        <f t="shared" si="403"/>
        <v>0</v>
      </c>
      <c r="AH1475" s="314">
        <v>1</v>
      </c>
      <c r="AI1475" s="314">
        <f t="shared" si="404"/>
        <v>0</v>
      </c>
      <c r="AJ1475" s="314">
        <f t="shared" si="405"/>
        <v>0</v>
      </c>
      <c r="AK1475" s="317"/>
      <c r="AL1475" s="315">
        <f t="shared" si="406"/>
        <v>0</v>
      </c>
      <c r="AN1475" s="554">
        <f t="shared" si="407"/>
        <v>0</v>
      </c>
      <c r="AO1475" s="314"/>
      <c r="AP1475" s="318"/>
    </row>
    <row r="1476" spans="2:42">
      <c r="B1476" s="296"/>
      <c r="C1476" s="299"/>
      <c r="D1476" s="298"/>
      <c r="E1476" s="299"/>
      <c r="F1476" s="299"/>
      <c r="G1476" s="300"/>
      <c r="H1476" s="303"/>
      <c r="I1476" s="301">
        <f t="shared" si="391"/>
        <v>0</v>
      </c>
      <c r="J1476" s="302">
        <f t="shared" si="392"/>
        <v>0</v>
      </c>
      <c r="K1476" s="304">
        <f t="shared" si="393"/>
        <v>0</v>
      </c>
      <c r="L1476" s="305">
        <f>IF(H1476=0,0,IF(OR(E1476=$AT$5,E1476=$AT$6),AA1476,IF(F1476="MXN",1/HLOOKUP(YEAR(G1476)+(MONTH(G1476)/100),TC!$5:$37,DAY(G1476)+2,FALSE),VLOOKUP(F1476,Equivalencia!$5:$23,((MAX(Equivalencia!$3:$3)-YEAR(G1476))*14)+MONTH(G1476)+2,FALSE))))</f>
        <v>0</v>
      </c>
      <c r="M1476" s="306">
        <f t="shared" si="394"/>
        <v>0</v>
      </c>
      <c r="N1476" s="305">
        <f>IF(G1476=0,0,(IF(OR(E1476=$AT$5,E1476=$AT$6),AC1476,HLOOKUP(YEAR(G1476)+(MONTH(G1476)/100),TC!$5:$37,DAY(G1476)+2,FALSE))))</f>
        <v>0</v>
      </c>
      <c r="O1476" s="307">
        <f t="shared" si="395"/>
        <v>0</v>
      </c>
      <c r="P1476" s="560">
        <f>IF(G1476=0,0,VLOOKUP(YEAR(G1476),INPC!$B$4:$P$30,MONTH(G1476)+2))</f>
        <v>0</v>
      </c>
      <c r="Q1476" s="560">
        <f>IF(X1476=0,0,IF(OR(E1476=$AT$10,E1476=$AT$9),VLOOKUP(YEAR(X1476),INPC!$B$4:$P$30,MONTH(X1476)+1),VLOOKUP(YEAR(X1476),INPC!$B$4:$P$30,MONTH(X1476)+2,0)))</f>
        <v>0</v>
      </c>
      <c r="R1476" s="309">
        <f t="shared" si="396"/>
        <v>0</v>
      </c>
      <c r="S1476" s="310">
        <f t="shared" si="397"/>
        <v>0</v>
      </c>
      <c r="T1476" s="555">
        <f t="shared" si="398"/>
        <v>0</v>
      </c>
      <c r="U1476" s="311"/>
      <c r="V1476" s="312"/>
      <c r="W1476" s="299"/>
      <c r="X1476" s="300"/>
      <c r="Y1476" s="299"/>
      <c r="Z1476" s="303"/>
      <c r="AA1476" s="305">
        <f>IF(Z1476=0,0,IF(Y1476="MXN",1/HLOOKUP(YEAR(X1476)+(MONTH(X1476)/100),TC!$5:$37,DAY(X1476)+2,FALSE),VLOOKUP(Y1476,Equivalencia!$1:$23,((MAX(Equivalencia!$3:$3)-YEAR(X1476))*14)+MONTH(X1476)+2,FALSE)))</f>
        <v>0</v>
      </c>
      <c r="AB1476" s="306">
        <f t="shared" si="399"/>
        <v>0</v>
      </c>
      <c r="AC1476" s="305">
        <f>+IF(X1476=0,0,HLOOKUP(YEAR(X1476)+(MONTH(X1476)/100),TC!$5:$37,DAY(X1476)+2,FALSE))</f>
        <v>0</v>
      </c>
      <c r="AD1476" s="307">
        <f t="shared" si="400"/>
        <v>0</v>
      </c>
      <c r="AE1476" s="314">
        <f t="shared" si="401"/>
        <v>0</v>
      </c>
      <c r="AF1476" s="315">
        <f t="shared" si="402"/>
        <v>0</v>
      </c>
      <c r="AG1476" s="316">
        <f t="shared" si="403"/>
        <v>0</v>
      </c>
      <c r="AH1476" s="314">
        <v>1</v>
      </c>
      <c r="AI1476" s="314">
        <f t="shared" si="404"/>
        <v>0</v>
      </c>
      <c r="AJ1476" s="314">
        <f t="shared" si="405"/>
        <v>0</v>
      </c>
      <c r="AK1476" s="317"/>
      <c r="AL1476" s="315">
        <f t="shared" si="406"/>
        <v>0</v>
      </c>
      <c r="AN1476" s="554">
        <f t="shared" si="407"/>
        <v>0</v>
      </c>
      <c r="AO1476" s="314"/>
      <c r="AP1476" s="318"/>
    </row>
    <row r="1477" spans="2:42">
      <c r="B1477" s="296"/>
      <c r="C1477" s="299"/>
      <c r="D1477" s="298"/>
      <c r="E1477" s="299"/>
      <c r="F1477" s="299"/>
      <c r="G1477" s="300"/>
      <c r="H1477" s="303"/>
      <c r="I1477" s="301">
        <f t="shared" si="391"/>
        <v>0</v>
      </c>
      <c r="J1477" s="302">
        <f t="shared" si="392"/>
        <v>0</v>
      </c>
      <c r="K1477" s="304">
        <f t="shared" si="393"/>
        <v>0</v>
      </c>
      <c r="L1477" s="305">
        <f>IF(H1477=0,0,IF(OR(E1477=$AT$5,E1477=$AT$6),AA1477,IF(F1477="MXN",1/HLOOKUP(YEAR(G1477)+(MONTH(G1477)/100),TC!$5:$37,DAY(G1477)+2,FALSE),VLOOKUP(F1477,Equivalencia!$5:$23,((MAX(Equivalencia!$3:$3)-YEAR(G1477))*14)+MONTH(G1477)+2,FALSE))))</f>
        <v>0</v>
      </c>
      <c r="M1477" s="306">
        <f t="shared" si="394"/>
        <v>0</v>
      </c>
      <c r="N1477" s="305">
        <f>IF(G1477=0,0,(IF(OR(E1477=$AT$5,E1477=$AT$6),AC1477,HLOOKUP(YEAR(G1477)+(MONTH(G1477)/100),TC!$5:$37,DAY(G1477)+2,FALSE))))</f>
        <v>0</v>
      </c>
      <c r="O1477" s="307">
        <f t="shared" si="395"/>
        <v>0</v>
      </c>
      <c r="P1477" s="560">
        <f>IF(G1477=0,0,VLOOKUP(YEAR(G1477),INPC!$B$4:$P$30,MONTH(G1477)+2))</f>
        <v>0</v>
      </c>
      <c r="Q1477" s="560">
        <f>IF(X1477=0,0,IF(OR(E1477=$AT$10,E1477=$AT$9),VLOOKUP(YEAR(X1477),INPC!$B$4:$P$30,MONTH(X1477)+1),VLOOKUP(YEAR(X1477),INPC!$B$4:$P$30,MONTH(X1477)+2,0)))</f>
        <v>0</v>
      </c>
      <c r="R1477" s="309">
        <f t="shared" si="396"/>
        <v>0</v>
      </c>
      <c r="S1477" s="310">
        <f t="shared" si="397"/>
        <v>0</v>
      </c>
      <c r="T1477" s="555">
        <f t="shared" si="398"/>
        <v>0</v>
      </c>
      <c r="U1477" s="311"/>
      <c r="V1477" s="312"/>
      <c r="W1477" s="299"/>
      <c r="X1477" s="300"/>
      <c r="Y1477" s="299"/>
      <c r="Z1477" s="303"/>
      <c r="AA1477" s="305">
        <f>IF(Z1477=0,0,IF(Y1477="MXN",1/HLOOKUP(YEAR(X1477)+(MONTH(X1477)/100),TC!$5:$37,DAY(X1477)+2,FALSE),VLOOKUP(Y1477,Equivalencia!$1:$23,((MAX(Equivalencia!$3:$3)-YEAR(X1477))*14)+MONTH(X1477)+2,FALSE)))</f>
        <v>0</v>
      </c>
      <c r="AB1477" s="306">
        <f t="shared" si="399"/>
        <v>0</v>
      </c>
      <c r="AC1477" s="305">
        <f>+IF(X1477=0,0,HLOOKUP(YEAR(X1477)+(MONTH(X1477)/100),TC!$5:$37,DAY(X1477)+2,FALSE))</f>
        <v>0</v>
      </c>
      <c r="AD1477" s="307">
        <f t="shared" si="400"/>
        <v>0</v>
      </c>
      <c r="AE1477" s="314">
        <f t="shared" si="401"/>
        <v>0</v>
      </c>
      <c r="AF1477" s="315">
        <f t="shared" si="402"/>
        <v>0</v>
      </c>
      <c r="AG1477" s="316">
        <f t="shared" si="403"/>
        <v>0</v>
      </c>
      <c r="AH1477" s="314">
        <v>1</v>
      </c>
      <c r="AI1477" s="314">
        <f t="shared" si="404"/>
        <v>0</v>
      </c>
      <c r="AJ1477" s="314">
        <f t="shared" si="405"/>
        <v>0</v>
      </c>
      <c r="AK1477" s="317"/>
      <c r="AL1477" s="315">
        <f t="shared" si="406"/>
        <v>0</v>
      </c>
      <c r="AN1477" s="554">
        <f t="shared" si="407"/>
        <v>0</v>
      </c>
      <c r="AO1477" s="314"/>
      <c r="AP1477" s="318"/>
    </row>
    <row r="1478" spans="2:42">
      <c r="B1478" s="296"/>
      <c r="C1478" s="299"/>
      <c r="D1478" s="298"/>
      <c r="E1478" s="299"/>
      <c r="F1478" s="299"/>
      <c r="G1478" s="300"/>
      <c r="H1478" s="303"/>
      <c r="I1478" s="301">
        <f t="shared" si="391"/>
        <v>0</v>
      </c>
      <c r="J1478" s="302">
        <f t="shared" si="392"/>
        <v>0</v>
      </c>
      <c r="K1478" s="304">
        <f t="shared" si="393"/>
        <v>0</v>
      </c>
      <c r="L1478" s="305">
        <f>IF(H1478=0,0,IF(OR(E1478=$AT$5,E1478=$AT$6),AA1478,IF(F1478="MXN",1/HLOOKUP(YEAR(G1478)+(MONTH(G1478)/100),TC!$5:$37,DAY(G1478)+2,FALSE),VLOOKUP(F1478,Equivalencia!$5:$23,((MAX(Equivalencia!$3:$3)-YEAR(G1478))*14)+MONTH(G1478)+2,FALSE))))</f>
        <v>0</v>
      </c>
      <c r="M1478" s="306">
        <f t="shared" si="394"/>
        <v>0</v>
      </c>
      <c r="N1478" s="305">
        <f>IF(G1478=0,0,(IF(OR(E1478=$AT$5,E1478=$AT$6),AC1478,HLOOKUP(YEAR(G1478)+(MONTH(G1478)/100),TC!$5:$37,DAY(G1478)+2,FALSE))))</f>
        <v>0</v>
      </c>
      <c r="O1478" s="307">
        <f t="shared" si="395"/>
        <v>0</v>
      </c>
      <c r="P1478" s="560">
        <f>IF(G1478=0,0,VLOOKUP(YEAR(G1478),INPC!$B$4:$P$30,MONTH(G1478)+2))</f>
        <v>0</v>
      </c>
      <c r="Q1478" s="560">
        <f>IF(X1478=0,0,IF(OR(E1478=$AT$10,E1478=$AT$9),VLOOKUP(YEAR(X1478),INPC!$B$4:$P$30,MONTH(X1478)+1),VLOOKUP(YEAR(X1478),INPC!$B$4:$P$30,MONTH(X1478)+2,0)))</f>
        <v>0</v>
      </c>
      <c r="R1478" s="309">
        <f t="shared" si="396"/>
        <v>0</v>
      </c>
      <c r="S1478" s="310">
        <f t="shared" si="397"/>
        <v>0</v>
      </c>
      <c r="T1478" s="555">
        <f t="shared" si="398"/>
        <v>0</v>
      </c>
      <c r="U1478" s="311"/>
      <c r="V1478" s="312"/>
      <c r="W1478" s="299"/>
      <c r="X1478" s="300"/>
      <c r="Y1478" s="299"/>
      <c r="Z1478" s="303"/>
      <c r="AA1478" s="305">
        <f>IF(Z1478=0,0,IF(Y1478="MXN",1/HLOOKUP(YEAR(X1478)+(MONTH(X1478)/100),TC!$5:$37,DAY(X1478)+2,FALSE),VLOOKUP(Y1478,Equivalencia!$1:$23,((MAX(Equivalencia!$3:$3)-YEAR(X1478))*14)+MONTH(X1478)+2,FALSE)))</f>
        <v>0</v>
      </c>
      <c r="AB1478" s="306">
        <f t="shared" si="399"/>
        <v>0</v>
      </c>
      <c r="AC1478" s="305">
        <f>+IF(X1478=0,0,HLOOKUP(YEAR(X1478)+(MONTH(X1478)/100),TC!$5:$37,DAY(X1478)+2,FALSE))</f>
        <v>0</v>
      </c>
      <c r="AD1478" s="307">
        <f t="shared" si="400"/>
        <v>0</v>
      </c>
      <c r="AE1478" s="314">
        <f t="shared" si="401"/>
        <v>0</v>
      </c>
      <c r="AF1478" s="315">
        <f t="shared" si="402"/>
        <v>0</v>
      </c>
      <c r="AG1478" s="316">
        <f t="shared" si="403"/>
        <v>0</v>
      </c>
      <c r="AH1478" s="314">
        <v>1</v>
      </c>
      <c r="AI1478" s="314">
        <f t="shared" si="404"/>
        <v>0</v>
      </c>
      <c r="AJ1478" s="314">
        <f t="shared" si="405"/>
        <v>0</v>
      </c>
      <c r="AK1478" s="317"/>
      <c r="AL1478" s="315">
        <f t="shared" si="406"/>
        <v>0</v>
      </c>
      <c r="AN1478" s="554">
        <f t="shared" si="407"/>
        <v>0</v>
      </c>
      <c r="AO1478" s="314"/>
      <c r="AP1478" s="318"/>
    </row>
    <row r="1479" spans="2:42">
      <c r="B1479" s="296"/>
      <c r="C1479" s="299"/>
      <c r="D1479" s="298"/>
      <c r="E1479" s="299"/>
      <c r="F1479" s="299"/>
      <c r="G1479" s="300"/>
      <c r="H1479" s="303"/>
      <c r="I1479" s="301">
        <f t="shared" si="391"/>
        <v>0</v>
      </c>
      <c r="J1479" s="302">
        <f t="shared" si="392"/>
        <v>0</v>
      </c>
      <c r="K1479" s="304">
        <f t="shared" si="393"/>
        <v>0</v>
      </c>
      <c r="L1479" s="305">
        <f>IF(H1479=0,0,IF(OR(E1479=$AT$5,E1479=$AT$6),AA1479,IF(F1479="MXN",1/HLOOKUP(YEAR(G1479)+(MONTH(G1479)/100),TC!$5:$37,DAY(G1479)+2,FALSE),VLOOKUP(F1479,Equivalencia!$5:$23,((MAX(Equivalencia!$3:$3)-YEAR(G1479))*14)+MONTH(G1479)+2,FALSE))))</f>
        <v>0</v>
      </c>
      <c r="M1479" s="306">
        <f t="shared" si="394"/>
        <v>0</v>
      </c>
      <c r="N1479" s="305">
        <f>IF(G1479=0,0,(IF(OR(E1479=$AT$5,E1479=$AT$6),AC1479,HLOOKUP(YEAR(G1479)+(MONTH(G1479)/100),TC!$5:$37,DAY(G1479)+2,FALSE))))</f>
        <v>0</v>
      </c>
      <c r="O1479" s="307">
        <f t="shared" si="395"/>
        <v>0</v>
      </c>
      <c r="P1479" s="560">
        <f>IF(G1479=0,0,VLOOKUP(YEAR(G1479),INPC!$B$4:$P$30,MONTH(G1479)+2))</f>
        <v>0</v>
      </c>
      <c r="Q1479" s="560">
        <f>IF(X1479=0,0,IF(OR(E1479=$AT$10,E1479=$AT$9),VLOOKUP(YEAR(X1479),INPC!$B$4:$P$30,MONTH(X1479)+1),VLOOKUP(YEAR(X1479),INPC!$B$4:$P$30,MONTH(X1479)+2,0)))</f>
        <v>0</v>
      </c>
      <c r="R1479" s="309">
        <f t="shared" si="396"/>
        <v>0</v>
      </c>
      <c r="S1479" s="310">
        <f t="shared" si="397"/>
        <v>0</v>
      </c>
      <c r="T1479" s="555">
        <f t="shared" si="398"/>
        <v>0</v>
      </c>
      <c r="U1479" s="311"/>
      <c r="V1479" s="312"/>
      <c r="W1479" s="299"/>
      <c r="X1479" s="300"/>
      <c r="Y1479" s="299"/>
      <c r="Z1479" s="303"/>
      <c r="AA1479" s="305">
        <f>IF(Z1479=0,0,IF(Y1479="MXN",1/HLOOKUP(YEAR(X1479)+(MONTH(X1479)/100),TC!$5:$37,DAY(X1479)+2,FALSE),VLOOKUP(Y1479,Equivalencia!$1:$23,((MAX(Equivalencia!$3:$3)-YEAR(X1479))*14)+MONTH(X1479)+2,FALSE)))</f>
        <v>0</v>
      </c>
      <c r="AB1479" s="306">
        <f t="shared" si="399"/>
        <v>0</v>
      </c>
      <c r="AC1479" s="305">
        <f>+IF(X1479=0,0,HLOOKUP(YEAR(X1479)+(MONTH(X1479)/100),TC!$5:$37,DAY(X1479)+2,FALSE))</f>
        <v>0</v>
      </c>
      <c r="AD1479" s="307">
        <f t="shared" si="400"/>
        <v>0</v>
      </c>
      <c r="AE1479" s="314">
        <f t="shared" si="401"/>
        <v>0</v>
      </c>
      <c r="AF1479" s="315">
        <f t="shared" si="402"/>
        <v>0</v>
      </c>
      <c r="AG1479" s="316">
        <f t="shared" si="403"/>
        <v>0</v>
      </c>
      <c r="AH1479" s="314">
        <v>1</v>
      </c>
      <c r="AI1479" s="314">
        <f t="shared" si="404"/>
        <v>0</v>
      </c>
      <c r="AJ1479" s="314">
        <f t="shared" si="405"/>
        <v>0</v>
      </c>
      <c r="AK1479" s="317"/>
      <c r="AL1479" s="315">
        <f t="shared" si="406"/>
        <v>0</v>
      </c>
      <c r="AN1479" s="554">
        <f t="shared" si="407"/>
        <v>0</v>
      </c>
      <c r="AO1479" s="314"/>
      <c r="AP1479" s="318"/>
    </row>
    <row r="1480" spans="2:42">
      <c r="B1480" s="296"/>
      <c r="C1480" s="299"/>
      <c r="D1480" s="298"/>
      <c r="E1480" s="299"/>
      <c r="F1480" s="299"/>
      <c r="G1480" s="300"/>
      <c r="H1480" s="303"/>
      <c r="I1480" s="301">
        <f t="shared" si="391"/>
        <v>0</v>
      </c>
      <c r="J1480" s="302">
        <f t="shared" si="392"/>
        <v>0</v>
      </c>
      <c r="K1480" s="304">
        <f t="shared" si="393"/>
        <v>0</v>
      </c>
      <c r="L1480" s="305">
        <f>IF(H1480=0,0,IF(OR(E1480=$AT$5,E1480=$AT$6),AA1480,IF(F1480="MXN",1/HLOOKUP(YEAR(G1480)+(MONTH(G1480)/100),TC!$5:$37,DAY(G1480)+2,FALSE),VLOOKUP(F1480,Equivalencia!$5:$23,((MAX(Equivalencia!$3:$3)-YEAR(G1480))*14)+MONTH(G1480)+2,FALSE))))</f>
        <v>0</v>
      </c>
      <c r="M1480" s="306">
        <f t="shared" si="394"/>
        <v>0</v>
      </c>
      <c r="N1480" s="305">
        <f>IF(G1480=0,0,(IF(OR(E1480=$AT$5,E1480=$AT$6),AC1480,HLOOKUP(YEAR(G1480)+(MONTH(G1480)/100),TC!$5:$37,DAY(G1480)+2,FALSE))))</f>
        <v>0</v>
      </c>
      <c r="O1480" s="307">
        <f t="shared" si="395"/>
        <v>0</v>
      </c>
      <c r="P1480" s="560">
        <f>IF(G1480=0,0,VLOOKUP(YEAR(G1480),INPC!$B$4:$P$30,MONTH(G1480)+2))</f>
        <v>0</v>
      </c>
      <c r="Q1480" s="560">
        <f>IF(X1480=0,0,IF(OR(E1480=$AT$10,E1480=$AT$9),VLOOKUP(YEAR(X1480),INPC!$B$4:$P$30,MONTH(X1480)+1),VLOOKUP(YEAR(X1480),INPC!$B$4:$P$30,MONTH(X1480)+2,0)))</f>
        <v>0</v>
      </c>
      <c r="R1480" s="309">
        <f t="shared" si="396"/>
        <v>0</v>
      </c>
      <c r="S1480" s="310">
        <f t="shared" si="397"/>
        <v>0</v>
      </c>
      <c r="T1480" s="555">
        <f t="shared" si="398"/>
        <v>0</v>
      </c>
      <c r="U1480" s="311"/>
      <c r="V1480" s="312"/>
      <c r="W1480" s="299"/>
      <c r="X1480" s="300"/>
      <c r="Y1480" s="299"/>
      <c r="Z1480" s="303"/>
      <c r="AA1480" s="305">
        <f>IF(Z1480=0,0,IF(Y1480="MXN",1/HLOOKUP(YEAR(X1480)+(MONTH(X1480)/100),TC!$5:$37,DAY(X1480)+2,FALSE),VLOOKUP(Y1480,Equivalencia!$1:$23,((MAX(Equivalencia!$3:$3)-YEAR(X1480))*14)+MONTH(X1480)+2,FALSE)))</f>
        <v>0</v>
      </c>
      <c r="AB1480" s="306">
        <f t="shared" si="399"/>
        <v>0</v>
      </c>
      <c r="AC1480" s="305">
        <f>+IF(X1480=0,0,HLOOKUP(YEAR(X1480)+(MONTH(X1480)/100),TC!$5:$37,DAY(X1480)+2,FALSE))</f>
        <v>0</v>
      </c>
      <c r="AD1480" s="307">
        <f t="shared" si="400"/>
        <v>0</v>
      </c>
      <c r="AE1480" s="314">
        <f t="shared" si="401"/>
        <v>0</v>
      </c>
      <c r="AF1480" s="315">
        <f t="shared" si="402"/>
        <v>0</v>
      </c>
      <c r="AG1480" s="316">
        <f t="shared" si="403"/>
        <v>0</v>
      </c>
      <c r="AH1480" s="314">
        <v>1</v>
      </c>
      <c r="AI1480" s="314">
        <f t="shared" si="404"/>
        <v>0</v>
      </c>
      <c r="AJ1480" s="314">
        <f t="shared" si="405"/>
        <v>0</v>
      </c>
      <c r="AK1480" s="317"/>
      <c r="AL1480" s="315">
        <f t="shared" si="406"/>
        <v>0</v>
      </c>
      <c r="AN1480" s="554">
        <f t="shared" si="407"/>
        <v>0</v>
      </c>
      <c r="AO1480" s="314"/>
      <c r="AP1480" s="318"/>
    </row>
    <row r="1481" spans="2:42">
      <c r="B1481" s="296"/>
      <c r="C1481" s="299"/>
      <c r="D1481" s="298"/>
      <c r="E1481" s="299"/>
      <c r="F1481" s="299"/>
      <c r="G1481" s="300"/>
      <c r="H1481" s="303"/>
      <c r="I1481" s="301">
        <f t="shared" si="391"/>
        <v>0</v>
      </c>
      <c r="J1481" s="302">
        <f t="shared" si="392"/>
        <v>0</v>
      </c>
      <c r="K1481" s="304">
        <f t="shared" si="393"/>
        <v>0</v>
      </c>
      <c r="L1481" s="305">
        <f>IF(H1481=0,0,IF(OR(E1481=$AT$5,E1481=$AT$6),AA1481,IF(F1481="MXN",1/HLOOKUP(YEAR(G1481)+(MONTH(G1481)/100),TC!$5:$37,DAY(G1481)+2,FALSE),VLOOKUP(F1481,Equivalencia!$5:$23,((MAX(Equivalencia!$3:$3)-YEAR(G1481))*14)+MONTH(G1481)+2,FALSE))))</f>
        <v>0</v>
      </c>
      <c r="M1481" s="306">
        <f t="shared" si="394"/>
        <v>0</v>
      </c>
      <c r="N1481" s="305">
        <f>IF(G1481=0,0,(IF(OR(E1481=$AT$5,E1481=$AT$6),AC1481,HLOOKUP(YEAR(G1481)+(MONTH(G1481)/100),TC!$5:$37,DAY(G1481)+2,FALSE))))</f>
        <v>0</v>
      </c>
      <c r="O1481" s="307">
        <f t="shared" si="395"/>
        <v>0</v>
      </c>
      <c r="P1481" s="560">
        <f>IF(G1481=0,0,VLOOKUP(YEAR(G1481),INPC!$B$4:$P$30,MONTH(G1481)+2))</f>
        <v>0</v>
      </c>
      <c r="Q1481" s="560">
        <f>IF(X1481=0,0,IF(OR(E1481=$AT$10,E1481=$AT$9),VLOOKUP(YEAR(X1481),INPC!$B$4:$P$30,MONTH(X1481)+1),VLOOKUP(YEAR(X1481),INPC!$B$4:$P$30,MONTH(X1481)+2,0)))</f>
        <v>0</v>
      </c>
      <c r="R1481" s="309">
        <f t="shared" si="396"/>
        <v>0</v>
      </c>
      <c r="S1481" s="310">
        <f t="shared" si="397"/>
        <v>0</v>
      </c>
      <c r="T1481" s="555">
        <f t="shared" si="398"/>
        <v>0</v>
      </c>
      <c r="U1481" s="311"/>
      <c r="V1481" s="312"/>
      <c r="W1481" s="299"/>
      <c r="X1481" s="300"/>
      <c r="Y1481" s="299"/>
      <c r="Z1481" s="303"/>
      <c r="AA1481" s="305">
        <f>IF(Z1481=0,0,IF(Y1481="MXN",1/HLOOKUP(YEAR(X1481)+(MONTH(X1481)/100),TC!$5:$37,DAY(X1481)+2,FALSE),VLOOKUP(Y1481,Equivalencia!$1:$23,((MAX(Equivalencia!$3:$3)-YEAR(X1481))*14)+MONTH(X1481)+2,FALSE)))</f>
        <v>0</v>
      </c>
      <c r="AB1481" s="306">
        <f t="shared" si="399"/>
        <v>0</v>
      </c>
      <c r="AC1481" s="305">
        <f>+IF(X1481=0,0,HLOOKUP(YEAR(X1481)+(MONTH(X1481)/100),TC!$5:$37,DAY(X1481)+2,FALSE))</f>
        <v>0</v>
      </c>
      <c r="AD1481" s="307">
        <f t="shared" si="400"/>
        <v>0</v>
      </c>
      <c r="AE1481" s="314">
        <f t="shared" si="401"/>
        <v>0</v>
      </c>
      <c r="AF1481" s="315">
        <f t="shared" si="402"/>
        <v>0</v>
      </c>
      <c r="AG1481" s="316">
        <f t="shared" si="403"/>
        <v>0</v>
      </c>
      <c r="AH1481" s="314">
        <v>1</v>
      </c>
      <c r="AI1481" s="314">
        <f t="shared" si="404"/>
        <v>0</v>
      </c>
      <c r="AJ1481" s="314">
        <f t="shared" si="405"/>
        <v>0</v>
      </c>
      <c r="AK1481" s="317"/>
      <c r="AL1481" s="315">
        <f t="shared" si="406"/>
        <v>0</v>
      </c>
      <c r="AN1481" s="554">
        <f t="shared" si="407"/>
        <v>0</v>
      </c>
      <c r="AO1481" s="314"/>
      <c r="AP1481" s="318"/>
    </row>
    <row r="1482" spans="2:42">
      <c r="B1482" s="296"/>
      <c r="C1482" s="299"/>
      <c r="D1482" s="298"/>
      <c r="E1482" s="299"/>
      <c r="F1482" s="299"/>
      <c r="G1482" s="300"/>
      <c r="H1482" s="303"/>
      <c r="I1482" s="301">
        <f t="shared" si="391"/>
        <v>0</v>
      </c>
      <c r="J1482" s="302">
        <f t="shared" si="392"/>
        <v>0</v>
      </c>
      <c r="K1482" s="304">
        <f t="shared" si="393"/>
        <v>0</v>
      </c>
      <c r="L1482" s="305">
        <f>IF(H1482=0,0,IF(OR(E1482=$AT$5,E1482=$AT$6),AA1482,IF(F1482="MXN",1/HLOOKUP(YEAR(G1482)+(MONTH(G1482)/100),TC!$5:$37,DAY(G1482)+2,FALSE),VLOOKUP(F1482,Equivalencia!$5:$23,((MAX(Equivalencia!$3:$3)-YEAR(G1482))*14)+MONTH(G1482)+2,FALSE))))</f>
        <v>0</v>
      </c>
      <c r="M1482" s="306">
        <f t="shared" si="394"/>
        <v>0</v>
      </c>
      <c r="N1482" s="305">
        <f>IF(G1482=0,0,(IF(OR(E1482=$AT$5,E1482=$AT$6),AC1482,HLOOKUP(YEAR(G1482)+(MONTH(G1482)/100),TC!$5:$37,DAY(G1482)+2,FALSE))))</f>
        <v>0</v>
      </c>
      <c r="O1482" s="307">
        <f t="shared" si="395"/>
        <v>0</v>
      </c>
      <c r="P1482" s="560">
        <f>IF(G1482=0,0,VLOOKUP(YEAR(G1482),INPC!$B$4:$P$30,MONTH(G1482)+2))</f>
        <v>0</v>
      </c>
      <c r="Q1482" s="560">
        <f>IF(X1482=0,0,IF(OR(E1482=$AT$10,E1482=$AT$9),VLOOKUP(YEAR(X1482),INPC!$B$4:$P$30,MONTH(X1482)+1),VLOOKUP(YEAR(X1482),INPC!$B$4:$P$30,MONTH(X1482)+2,0)))</f>
        <v>0</v>
      </c>
      <c r="R1482" s="309">
        <f t="shared" si="396"/>
        <v>0</v>
      </c>
      <c r="S1482" s="310">
        <f t="shared" si="397"/>
        <v>0</v>
      </c>
      <c r="T1482" s="555">
        <f t="shared" si="398"/>
        <v>0</v>
      </c>
      <c r="U1482" s="311"/>
      <c r="V1482" s="312"/>
      <c r="W1482" s="299"/>
      <c r="X1482" s="300"/>
      <c r="Y1482" s="299"/>
      <c r="Z1482" s="303"/>
      <c r="AA1482" s="305">
        <f>IF(Z1482=0,0,IF(Y1482="MXN",1/HLOOKUP(YEAR(X1482)+(MONTH(X1482)/100),TC!$5:$37,DAY(X1482)+2,FALSE),VLOOKUP(Y1482,Equivalencia!$1:$23,((MAX(Equivalencia!$3:$3)-YEAR(X1482))*14)+MONTH(X1482)+2,FALSE)))</f>
        <v>0</v>
      </c>
      <c r="AB1482" s="306">
        <f t="shared" si="399"/>
        <v>0</v>
      </c>
      <c r="AC1482" s="305">
        <f>+IF(X1482=0,0,HLOOKUP(YEAR(X1482)+(MONTH(X1482)/100),TC!$5:$37,DAY(X1482)+2,FALSE))</f>
        <v>0</v>
      </c>
      <c r="AD1482" s="307">
        <f t="shared" si="400"/>
        <v>0</v>
      </c>
      <c r="AE1482" s="314">
        <f t="shared" si="401"/>
        <v>0</v>
      </c>
      <c r="AF1482" s="315">
        <f t="shared" si="402"/>
        <v>0</v>
      </c>
      <c r="AG1482" s="316">
        <f t="shared" si="403"/>
        <v>0</v>
      </c>
      <c r="AH1482" s="314">
        <v>1</v>
      </c>
      <c r="AI1482" s="314">
        <f t="shared" si="404"/>
        <v>0</v>
      </c>
      <c r="AJ1482" s="314">
        <f t="shared" si="405"/>
        <v>0</v>
      </c>
      <c r="AK1482" s="317"/>
      <c r="AL1482" s="315">
        <f t="shared" si="406"/>
        <v>0</v>
      </c>
      <c r="AN1482" s="554">
        <f t="shared" si="407"/>
        <v>0</v>
      </c>
      <c r="AO1482" s="314"/>
      <c r="AP1482" s="318"/>
    </row>
    <row r="1483" spans="2:42">
      <c r="B1483" s="296"/>
      <c r="C1483" s="299"/>
      <c r="D1483" s="298"/>
      <c r="E1483" s="299"/>
      <c r="F1483" s="299"/>
      <c r="G1483" s="300"/>
      <c r="H1483" s="303"/>
      <c r="I1483" s="301">
        <f t="shared" si="391"/>
        <v>0</v>
      </c>
      <c r="J1483" s="302">
        <f t="shared" si="392"/>
        <v>0</v>
      </c>
      <c r="K1483" s="304">
        <f t="shared" si="393"/>
        <v>0</v>
      </c>
      <c r="L1483" s="305">
        <f>IF(H1483=0,0,IF(OR(E1483=$AT$5,E1483=$AT$6),AA1483,IF(F1483="MXN",1/HLOOKUP(YEAR(G1483)+(MONTH(G1483)/100),TC!$5:$37,DAY(G1483)+2,FALSE),VLOOKUP(F1483,Equivalencia!$5:$23,((MAX(Equivalencia!$3:$3)-YEAR(G1483))*14)+MONTH(G1483)+2,FALSE))))</f>
        <v>0</v>
      </c>
      <c r="M1483" s="306">
        <f t="shared" si="394"/>
        <v>0</v>
      </c>
      <c r="N1483" s="305">
        <f>IF(G1483=0,0,(IF(OR(E1483=$AT$5,E1483=$AT$6),AC1483,HLOOKUP(YEAR(G1483)+(MONTH(G1483)/100),TC!$5:$37,DAY(G1483)+2,FALSE))))</f>
        <v>0</v>
      </c>
      <c r="O1483" s="307">
        <f t="shared" si="395"/>
        <v>0</v>
      </c>
      <c r="P1483" s="560">
        <f>IF(G1483=0,0,VLOOKUP(YEAR(G1483),INPC!$B$4:$P$30,MONTH(G1483)+2))</f>
        <v>0</v>
      </c>
      <c r="Q1483" s="560">
        <f>IF(X1483=0,0,IF(OR(E1483=$AT$10,E1483=$AT$9),VLOOKUP(YEAR(X1483),INPC!$B$4:$P$30,MONTH(X1483)+1),VLOOKUP(YEAR(X1483),INPC!$B$4:$P$30,MONTH(X1483)+2,0)))</f>
        <v>0</v>
      </c>
      <c r="R1483" s="309">
        <f t="shared" si="396"/>
        <v>0</v>
      </c>
      <c r="S1483" s="310">
        <f t="shared" si="397"/>
        <v>0</v>
      </c>
      <c r="T1483" s="555">
        <f t="shared" si="398"/>
        <v>0</v>
      </c>
      <c r="U1483" s="311"/>
      <c r="V1483" s="312"/>
      <c r="W1483" s="299"/>
      <c r="X1483" s="300"/>
      <c r="Y1483" s="299"/>
      <c r="Z1483" s="303"/>
      <c r="AA1483" s="305">
        <f>IF(Z1483=0,0,IF(Y1483="MXN",1/HLOOKUP(YEAR(X1483)+(MONTH(X1483)/100),TC!$5:$37,DAY(X1483)+2,FALSE),VLOOKUP(Y1483,Equivalencia!$1:$23,((MAX(Equivalencia!$3:$3)-YEAR(X1483))*14)+MONTH(X1483)+2,FALSE)))</f>
        <v>0</v>
      </c>
      <c r="AB1483" s="306">
        <f t="shared" si="399"/>
        <v>0</v>
      </c>
      <c r="AC1483" s="305">
        <f>+IF(X1483=0,0,HLOOKUP(YEAR(X1483)+(MONTH(X1483)/100),TC!$5:$37,DAY(X1483)+2,FALSE))</f>
        <v>0</v>
      </c>
      <c r="AD1483" s="307">
        <f t="shared" si="400"/>
        <v>0</v>
      </c>
      <c r="AE1483" s="314">
        <f t="shared" si="401"/>
        <v>0</v>
      </c>
      <c r="AF1483" s="315">
        <f t="shared" si="402"/>
        <v>0</v>
      </c>
      <c r="AG1483" s="316">
        <f t="shared" si="403"/>
        <v>0</v>
      </c>
      <c r="AH1483" s="314">
        <v>1</v>
      </c>
      <c r="AI1483" s="314">
        <f t="shared" si="404"/>
        <v>0</v>
      </c>
      <c r="AJ1483" s="314">
        <f t="shared" si="405"/>
        <v>0</v>
      </c>
      <c r="AK1483" s="317"/>
      <c r="AL1483" s="315">
        <f t="shared" si="406"/>
        <v>0</v>
      </c>
      <c r="AN1483" s="554">
        <f t="shared" si="407"/>
        <v>0</v>
      </c>
      <c r="AO1483" s="314"/>
      <c r="AP1483" s="318"/>
    </row>
    <row r="1484" spans="2:42">
      <c r="B1484" s="296"/>
      <c r="C1484" s="299"/>
      <c r="D1484" s="298"/>
      <c r="E1484" s="299"/>
      <c r="F1484" s="299"/>
      <c r="G1484" s="300"/>
      <c r="H1484" s="303"/>
      <c r="I1484" s="301">
        <f t="shared" si="391"/>
        <v>0</v>
      </c>
      <c r="J1484" s="302">
        <f t="shared" si="392"/>
        <v>0</v>
      </c>
      <c r="K1484" s="304">
        <f t="shared" si="393"/>
        <v>0</v>
      </c>
      <c r="L1484" s="305">
        <f>IF(H1484=0,0,IF(OR(E1484=$AT$5,E1484=$AT$6),AA1484,IF(F1484="MXN",1/HLOOKUP(YEAR(G1484)+(MONTH(G1484)/100),TC!$5:$37,DAY(G1484)+2,FALSE),VLOOKUP(F1484,Equivalencia!$5:$23,((MAX(Equivalencia!$3:$3)-YEAR(G1484))*14)+MONTH(G1484)+2,FALSE))))</f>
        <v>0</v>
      </c>
      <c r="M1484" s="306">
        <f t="shared" si="394"/>
        <v>0</v>
      </c>
      <c r="N1484" s="305">
        <f>IF(G1484=0,0,(IF(OR(E1484=$AT$5,E1484=$AT$6),AC1484,HLOOKUP(YEAR(G1484)+(MONTH(G1484)/100),TC!$5:$37,DAY(G1484)+2,FALSE))))</f>
        <v>0</v>
      </c>
      <c r="O1484" s="307">
        <f t="shared" si="395"/>
        <v>0</v>
      </c>
      <c r="P1484" s="560">
        <f>IF(G1484=0,0,VLOOKUP(YEAR(G1484),INPC!$B$4:$P$30,MONTH(G1484)+2))</f>
        <v>0</v>
      </c>
      <c r="Q1484" s="560">
        <f>IF(X1484=0,0,IF(OR(E1484=$AT$10,E1484=$AT$9),VLOOKUP(YEAR(X1484),INPC!$B$4:$P$30,MONTH(X1484)+1),VLOOKUP(YEAR(X1484),INPC!$B$4:$P$30,MONTH(X1484)+2,0)))</f>
        <v>0</v>
      </c>
      <c r="R1484" s="309">
        <f t="shared" si="396"/>
        <v>0</v>
      </c>
      <c r="S1484" s="310">
        <f t="shared" si="397"/>
        <v>0</v>
      </c>
      <c r="T1484" s="555">
        <f t="shared" si="398"/>
        <v>0</v>
      </c>
      <c r="U1484" s="311"/>
      <c r="V1484" s="312"/>
      <c r="W1484" s="299"/>
      <c r="X1484" s="300"/>
      <c r="Y1484" s="299"/>
      <c r="Z1484" s="303"/>
      <c r="AA1484" s="305">
        <f>IF(Z1484=0,0,IF(Y1484="MXN",1/HLOOKUP(YEAR(X1484)+(MONTH(X1484)/100),TC!$5:$37,DAY(X1484)+2,FALSE),VLOOKUP(Y1484,Equivalencia!$1:$23,((MAX(Equivalencia!$3:$3)-YEAR(X1484))*14)+MONTH(X1484)+2,FALSE)))</f>
        <v>0</v>
      </c>
      <c r="AB1484" s="306">
        <f t="shared" si="399"/>
        <v>0</v>
      </c>
      <c r="AC1484" s="305">
        <f>+IF(X1484=0,0,HLOOKUP(YEAR(X1484)+(MONTH(X1484)/100),TC!$5:$37,DAY(X1484)+2,FALSE))</f>
        <v>0</v>
      </c>
      <c r="AD1484" s="307">
        <f t="shared" si="400"/>
        <v>0</v>
      </c>
      <c r="AE1484" s="314">
        <f t="shared" si="401"/>
        <v>0</v>
      </c>
      <c r="AF1484" s="315">
        <f t="shared" si="402"/>
        <v>0</v>
      </c>
      <c r="AG1484" s="316">
        <f t="shared" si="403"/>
        <v>0</v>
      </c>
      <c r="AH1484" s="314">
        <v>1</v>
      </c>
      <c r="AI1484" s="314">
        <f t="shared" si="404"/>
        <v>0</v>
      </c>
      <c r="AJ1484" s="314">
        <f t="shared" si="405"/>
        <v>0</v>
      </c>
      <c r="AK1484" s="317"/>
      <c r="AL1484" s="315">
        <f t="shared" si="406"/>
        <v>0</v>
      </c>
      <c r="AN1484" s="554">
        <f t="shared" si="407"/>
        <v>0</v>
      </c>
      <c r="AO1484" s="314"/>
      <c r="AP1484" s="318"/>
    </row>
    <row r="1485" spans="2:42">
      <c r="B1485" s="296"/>
      <c r="C1485" s="299"/>
      <c r="D1485" s="298"/>
      <c r="E1485" s="299"/>
      <c r="F1485" s="299"/>
      <c r="G1485" s="300"/>
      <c r="H1485" s="303"/>
      <c r="I1485" s="301">
        <f t="shared" si="391"/>
        <v>0</v>
      </c>
      <c r="J1485" s="302">
        <f t="shared" si="392"/>
        <v>0</v>
      </c>
      <c r="K1485" s="304">
        <f t="shared" si="393"/>
        <v>0</v>
      </c>
      <c r="L1485" s="305">
        <f>IF(H1485=0,0,IF(OR(E1485=$AT$5,E1485=$AT$6),AA1485,IF(F1485="MXN",1/HLOOKUP(YEAR(G1485)+(MONTH(G1485)/100),TC!$5:$37,DAY(G1485)+2,FALSE),VLOOKUP(F1485,Equivalencia!$5:$23,((MAX(Equivalencia!$3:$3)-YEAR(G1485))*14)+MONTH(G1485)+2,FALSE))))</f>
        <v>0</v>
      </c>
      <c r="M1485" s="306">
        <f t="shared" si="394"/>
        <v>0</v>
      </c>
      <c r="N1485" s="305">
        <f>IF(G1485=0,0,(IF(OR(E1485=$AT$5,E1485=$AT$6),AC1485,HLOOKUP(YEAR(G1485)+(MONTH(G1485)/100),TC!$5:$37,DAY(G1485)+2,FALSE))))</f>
        <v>0</v>
      </c>
      <c r="O1485" s="307">
        <f t="shared" si="395"/>
        <v>0</v>
      </c>
      <c r="P1485" s="560">
        <f>IF(G1485=0,0,VLOOKUP(YEAR(G1485),INPC!$B$4:$P$30,MONTH(G1485)+2))</f>
        <v>0</v>
      </c>
      <c r="Q1485" s="560">
        <f>IF(X1485=0,0,IF(OR(E1485=$AT$10,E1485=$AT$9),VLOOKUP(YEAR(X1485),INPC!$B$4:$P$30,MONTH(X1485)+1),VLOOKUP(YEAR(X1485),INPC!$B$4:$P$30,MONTH(X1485)+2,0)))</f>
        <v>0</v>
      </c>
      <c r="R1485" s="309">
        <f t="shared" si="396"/>
        <v>0</v>
      </c>
      <c r="S1485" s="310">
        <f t="shared" si="397"/>
        <v>0</v>
      </c>
      <c r="T1485" s="555">
        <f t="shared" si="398"/>
        <v>0</v>
      </c>
      <c r="U1485" s="311"/>
      <c r="V1485" s="312"/>
      <c r="W1485" s="299"/>
      <c r="X1485" s="300"/>
      <c r="Y1485" s="299"/>
      <c r="Z1485" s="303"/>
      <c r="AA1485" s="305">
        <f>IF(Z1485=0,0,IF(Y1485="MXN",1/HLOOKUP(YEAR(X1485)+(MONTH(X1485)/100),TC!$5:$37,DAY(X1485)+2,FALSE),VLOOKUP(Y1485,Equivalencia!$1:$23,((MAX(Equivalencia!$3:$3)-YEAR(X1485))*14)+MONTH(X1485)+2,FALSE)))</f>
        <v>0</v>
      </c>
      <c r="AB1485" s="306">
        <f t="shared" si="399"/>
        <v>0</v>
      </c>
      <c r="AC1485" s="305">
        <f>+IF(X1485=0,0,HLOOKUP(YEAR(X1485)+(MONTH(X1485)/100),TC!$5:$37,DAY(X1485)+2,FALSE))</f>
        <v>0</v>
      </c>
      <c r="AD1485" s="307">
        <f t="shared" si="400"/>
        <v>0</v>
      </c>
      <c r="AE1485" s="314">
        <f t="shared" si="401"/>
        <v>0</v>
      </c>
      <c r="AF1485" s="315">
        <f t="shared" si="402"/>
        <v>0</v>
      </c>
      <c r="AG1485" s="316">
        <f t="shared" si="403"/>
        <v>0</v>
      </c>
      <c r="AH1485" s="314">
        <v>1</v>
      </c>
      <c r="AI1485" s="314">
        <f t="shared" si="404"/>
        <v>0</v>
      </c>
      <c r="AJ1485" s="314">
        <f t="shared" si="405"/>
        <v>0</v>
      </c>
      <c r="AK1485" s="317"/>
      <c r="AL1485" s="315">
        <f t="shared" si="406"/>
        <v>0</v>
      </c>
      <c r="AN1485" s="554">
        <f t="shared" si="407"/>
        <v>0</v>
      </c>
      <c r="AO1485" s="314"/>
      <c r="AP1485" s="318"/>
    </row>
    <row r="1486" spans="2:42">
      <c r="B1486" s="296"/>
      <c r="C1486" s="299"/>
      <c r="D1486" s="298"/>
      <c r="E1486" s="299"/>
      <c r="F1486" s="299"/>
      <c r="G1486" s="300"/>
      <c r="H1486" s="303"/>
      <c r="I1486" s="301">
        <f t="shared" si="391"/>
        <v>0</v>
      </c>
      <c r="J1486" s="302">
        <f t="shared" si="392"/>
        <v>0</v>
      </c>
      <c r="K1486" s="304">
        <f t="shared" si="393"/>
        <v>0</v>
      </c>
      <c r="L1486" s="305">
        <f>IF(H1486=0,0,IF(OR(E1486=$AT$5,E1486=$AT$6),AA1486,IF(F1486="MXN",1/HLOOKUP(YEAR(G1486)+(MONTH(G1486)/100),TC!$5:$37,DAY(G1486)+2,FALSE),VLOOKUP(F1486,Equivalencia!$5:$23,((MAX(Equivalencia!$3:$3)-YEAR(G1486))*14)+MONTH(G1486)+2,FALSE))))</f>
        <v>0</v>
      </c>
      <c r="M1486" s="306">
        <f t="shared" si="394"/>
        <v>0</v>
      </c>
      <c r="N1486" s="305">
        <f>IF(G1486=0,0,(IF(OR(E1486=$AT$5,E1486=$AT$6),AC1486,HLOOKUP(YEAR(G1486)+(MONTH(G1486)/100),TC!$5:$37,DAY(G1486)+2,FALSE))))</f>
        <v>0</v>
      </c>
      <c r="O1486" s="307">
        <f t="shared" si="395"/>
        <v>0</v>
      </c>
      <c r="P1486" s="560">
        <f>IF(G1486=0,0,VLOOKUP(YEAR(G1486),INPC!$B$4:$P$30,MONTH(G1486)+2))</f>
        <v>0</v>
      </c>
      <c r="Q1486" s="560">
        <f>IF(X1486=0,0,IF(OR(E1486=$AT$10,E1486=$AT$9),VLOOKUP(YEAR(X1486),INPC!$B$4:$P$30,MONTH(X1486)+1),VLOOKUP(YEAR(X1486),INPC!$B$4:$P$30,MONTH(X1486)+2,0)))</f>
        <v>0</v>
      </c>
      <c r="R1486" s="309">
        <f t="shared" si="396"/>
        <v>0</v>
      </c>
      <c r="S1486" s="310">
        <f t="shared" si="397"/>
        <v>0</v>
      </c>
      <c r="T1486" s="555">
        <f t="shared" si="398"/>
        <v>0</v>
      </c>
      <c r="U1486" s="311"/>
      <c r="V1486" s="312"/>
      <c r="W1486" s="299"/>
      <c r="X1486" s="300"/>
      <c r="Y1486" s="299"/>
      <c r="Z1486" s="303"/>
      <c r="AA1486" s="305">
        <f>IF(Z1486=0,0,IF(Y1486="MXN",1/HLOOKUP(YEAR(X1486)+(MONTH(X1486)/100),TC!$5:$37,DAY(X1486)+2,FALSE),VLOOKUP(Y1486,Equivalencia!$1:$23,((MAX(Equivalencia!$3:$3)-YEAR(X1486))*14)+MONTH(X1486)+2,FALSE)))</f>
        <v>0</v>
      </c>
      <c r="AB1486" s="306">
        <f t="shared" si="399"/>
        <v>0</v>
      </c>
      <c r="AC1486" s="305">
        <f>+IF(X1486=0,0,HLOOKUP(YEAR(X1486)+(MONTH(X1486)/100),TC!$5:$37,DAY(X1486)+2,FALSE))</f>
        <v>0</v>
      </c>
      <c r="AD1486" s="307">
        <f t="shared" si="400"/>
        <v>0</v>
      </c>
      <c r="AE1486" s="314">
        <f t="shared" si="401"/>
        <v>0</v>
      </c>
      <c r="AF1486" s="315">
        <f t="shared" si="402"/>
        <v>0</v>
      </c>
      <c r="AG1486" s="316">
        <f t="shared" si="403"/>
        <v>0</v>
      </c>
      <c r="AH1486" s="314">
        <v>1</v>
      </c>
      <c r="AI1486" s="314">
        <f t="shared" si="404"/>
        <v>0</v>
      </c>
      <c r="AJ1486" s="314">
        <f t="shared" si="405"/>
        <v>0</v>
      </c>
      <c r="AK1486" s="317"/>
      <c r="AL1486" s="315">
        <f t="shared" si="406"/>
        <v>0</v>
      </c>
      <c r="AN1486" s="554">
        <f t="shared" si="407"/>
        <v>0</v>
      </c>
      <c r="AO1486" s="314"/>
      <c r="AP1486" s="318"/>
    </row>
    <row r="1487" spans="2:42">
      <c r="B1487" s="296"/>
      <c r="C1487" s="299"/>
      <c r="D1487" s="298"/>
      <c r="E1487" s="299"/>
      <c r="F1487" s="299"/>
      <c r="G1487" s="300"/>
      <c r="H1487" s="303"/>
      <c r="I1487" s="301">
        <f t="shared" si="391"/>
        <v>0</v>
      </c>
      <c r="J1487" s="302">
        <f t="shared" si="392"/>
        <v>0</v>
      </c>
      <c r="K1487" s="304">
        <f t="shared" si="393"/>
        <v>0</v>
      </c>
      <c r="L1487" s="305">
        <f>IF(H1487=0,0,IF(OR(E1487=$AT$5,E1487=$AT$6),AA1487,IF(F1487="MXN",1/HLOOKUP(YEAR(G1487)+(MONTH(G1487)/100),TC!$5:$37,DAY(G1487)+2,FALSE),VLOOKUP(F1487,Equivalencia!$5:$23,((MAX(Equivalencia!$3:$3)-YEAR(G1487))*14)+MONTH(G1487)+2,FALSE))))</f>
        <v>0</v>
      </c>
      <c r="M1487" s="306">
        <f t="shared" si="394"/>
        <v>0</v>
      </c>
      <c r="N1487" s="305">
        <f>IF(G1487=0,0,(IF(OR(E1487=$AT$5,E1487=$AT$6),AC1487,HLOOKUP(YEAR(G1487)+(MONTH(G1487)/100),TC!$5:$37,DAY(G1487)+2,FALSE))))</f>
        <v>0</v>
      </c>
      <c r="O1487" s="307">
        <f t="shared" si="395"/>
        <v>0</v>
      </c>
      <c r="P1487" s="560">
        <f>IF(G1487=0,0,VLOOKUP(YEAR(G1487),INPC!$B$4:$P$30,MONTH(G1487)+2))</f>
        <v>0</v>
      </c>
      <c r="Q1487" s="560">
        <f>IF(X1487=0,0,IF(OR(E1487=$AT$10,E1487=$AT$9),VLOOKUP(YEAR(X1487),INPC!$B$4:$P$30,MONTH(X1487)+1),VLOOKUP(YEAR(X1487),INPC!$B$4:$P$30,MONTH(X1487)+2,0)))</f>
        <v>0</v>
      </c>
      <c r="R1487" s="309">
        <f t="shared" si="396"/>
        <v>0</v>
      </c>
      <c r="S1487" s="310">
        <f t="shared" si="397"/>
        <v>0</v>
      </c>
      <c r="T1487" s="555">
        <f t="shared" si="398"/>
        <v>0</v>
      </c>
      <c r="U1487" s="311"/>
      <c r="V1487" s="312"/>
      <c r="W1487" s="299"/>
      <c r="X1487" s="300"/>
      <c r="Y1487" s="299"/>
      <c r="Z1487" s="303"/>
      <c r="AA1487" s="305">
        <f>IF(Z1487=0,0,IF(Y1487="MXN",1/HLOOKUP(YEAR(X1487)+(MONTH(X1487)/100),TC!$5:$37,DAY(X1487)+2,FALSE),VLOOKUP(Y1487,Equivalencia!$1:$23,((MAX(Equivalencia!$3:$3)-YEAR(X1487))*14)+MONTH(X1487)+2,FALSE)))</f>
        <v>0</v>
      </c>
      <c r="AB1487" s="306">
        <f t="shared" si="399"/>
        <v>0</v>
      </c>
      <c r="AC1487" s="305">
        <f>+IF(X1487=0,0,HLOOKUP(YEAR(X1487)+(MONTH(X1487)/100),TC!$5:$37,DAY(X1487)+2,FALSE))</f>
        <v>0</v>
      </c>
      <c r="AD1487" s="307">
        <f t="shared" si="400"/>
        <v>0</v>
      </c>
      <c r="AE1487" s="314">
        <f t="shared" si="401"/>
        <v>0</v>
      </c>
      <c r="AF1487" s="315">
        <f t="shared" si="402"/>
        <v>0</v>
      </c>
      <c r="AG1487" s="316">
        <f t="shared" si="403"/>
        <v>0</v>
      </c>
      <c r="AH1487" s="314">
        <v>1</v>
      </c>
      <c r="AI1487" s="314">
        <f t="shared" si="404"/>
        <v>0</v>
      </c>
      <c r="AJ1487" s="314">
        <f t="shared" si="405"/>
        <v>0</v>
      </c>
      <c r="AK1487" s="317"/>
      <c r="AL1487" s="315">
        <f t="shared" si="406"/>
        <v>0</v>
      </c>
      <c r="AN1487" s="554">
        <f t="shared" si="407"/>
        <v>0</v>
      </c>
      <c r="AO1487" s="314"/>
      <c r="AP1487" s="318"/>
    </row>
    <row r="1488" spans="2:42">
      <c r="B1488" s="296"/>
      <c r="C1488" s="299"/>
      <c r="D1488" s="298"/>
      <c r="E1488" s="299"/>
      <c r="F1488" s="299"/>
      <c r="G1488" s="300"/>
      <c r="H1488" s="303"/>
      <c r="I1488" s="301">
        <f t="shared" si="391"/>
        <v>0</v>
      </c>
      <c r="J1488" s="302">
        <f t="shared" si="392"/>
        <v>0</v>
      </c>
      <c r="K1488" s="304">
        <f t="shared" si="393"/>
        <v>0</v>
      </c>
      <c r="L1488" s="305">
        <f>IF(H1488=0,0,IF(OR(E1488=$AT$5,E1488=$AT$6),AA1488,IF(F1488="MXN",1/HLOOKUP(YEAR(G1488)+(MONTH(G1488)/100),TC!$5:$37,DAY(G1488)+2,FALSE),VLOOKUP(F1488,Equivalencia!$5:$23,((MAX(Equivalencia!$3:$3)-YEAR(G1488))*14)+MONTH(G1488)+2,FALSE))))</f>
        <v>0</v>
      </c>
      <c r="M1488" s="306">
        <f t="shared" si="394"/>
        <v>0</v>
      </c>
      <c r="N1488" s="305">
        <f>IF(G1488=0,0,(IF(OR(E1488=$AT$5,E1488=$AT$6),AC1488,HLOOKUP(YEAR(G1488)+(MONTH(G1488)/100),TC!$5:$37,DAY(G1488)+2,FALSE))))</f>
        <v>0</v>
      </c>
      <c r="O1488" s="307">
        <f t="shared" si="395"/>
        <v>0</v>
      </c>
      <c r="P1488" s="560">
        <f>IF(G1488=0,0,VLOOKUP(YEAR(G1488),INPC!$B$4:$P$30,MONTH(G1488)+2))</f>
        <v>0</v>
      </c>
      <c r="Q1488" s="560">
        <f>IF(X1488=0,0,IF(OR(E1488=$AT$10,E1488=$AT$9),VLOOKUP(YEAR(X1488),INPC!$B$4:$P$30,MONTH(X1488)+1),VLOOKUP(YEAR(X1488),INPC!$B$4:$P$30,MONTH(X1488)+2,0)))</f>
        <v>0</v>
      </c>
      <c r="R1488" s="309">
        <f t="shared" si="396"/>
        <v>0</v>
      </c>
      <c r="S1488" s="310">
        <f t="shared" si="397"/>
        <v>0</v>
      </c>
      <c r="T1488" s="555">
        <f t="shared" si="398"/>
        <v>0</v>
      </c>
      <c r="U1488" s="311"/>
      <c r="V1488" s="312"/>
      <c r="W1488" s="299"/>
      <c r="X1488" s="300"/>
      <c r="Y1488" s="299"/>
      <c r="Z1488" s="303"/>
      <c r="AA1488" s="305">
        <f>IF(Z1488=0,0,IF(Y1488="MXN",1/HLOOKUP(YEAR(X1488)+(MONTH(X1488)/100),TC!$5:$37,DAY(X1488)+2,FALSE),VLOOKUP(Y1488,Equivalencia!$1:$23,((MAX(Equivalencia!$3:$3)-YEAR(X1488))*14)+MONTH(X1488)+2,FALSE)))</f>
        <v>0</v>
      </c>
      <c r="AB1488" s="306">
        <f t="shared" si="399"/>
        <v>0</v>
      </c>
      <c r="AC1488" s="305">
        <f>+IF(X1488=0,0,HLOOKUP(YEAR(X1488)+(MONTH(X1488)/100),TC!$5:$37,DAY(X1488)+2,FALSE))</f>
        <v>0</v>
      </c>
      <c r="AD1488" s="307">
        <f t="shared" si="400"/>
        <v>0</v>
      </c>
      <c r="AE1488" s="314">
        <f t="shared" si="401"/>
        <v>0</v>
      </c>
      <c r="AF1488" s="315">
        <f t="shared" si="402"/>
        <v>0</v>
      </c>
      <c r="AG1488" s="316">
        <f t="shared" si="403"/>
        <v>0</v>
      </c>
      <c r="AH1488" s="314">
        <v>1</v>
      </c>
      <c r="AI1488" s="314">
        <f t="shared" si="404"/>
        <v>0</v>
      </c>
      <c r="AJ1488" s="314">
        <f t="shared" si="405"/>
        <v>0</v>
      </c>
      <c r="AK1488" s="317"/>
      <c r="AL1488" s="315">
        <f t="shared" si="406"/>
        <v>0</v>
      </c>
      <c r="AN1488" s="554">
        <f t="shared" si="407"/>
        <v>0</v>
      </c>
      <c r="AO1488" s="314"/>
      <c r="AP1488" s="318"/>
    </row>
    <row r="1489" spans="2:42">
      <c r="B1489" s="296"/>
      <c r="C1489" s="299"/>
      <c r="D1489" s="298"/>
      <c r="E1489" s="299"/>
      <c r="F1489" s="299"/>
      <c r="G1489" s="300"/>
      <c r="H1489" s="303"/>
      <c r="I1489" s="301">
        <f t="shared" si="391"/>
        <v>0</v>
      </c>
      <c r="J1489" s="302">
        <f t="shared" si="392"/>
        <v>0</v>
      </c>
      <c r="K1489" s="304">
        <f t="shared" si="393"/>
        <v>0</v>
      </c>
      <c r="L1489" s="305">
        <f>IF(H1489=0,0,IF(OR(E1489=$AT$5,E1489=$AT$6),AA1489,IF(F1489="MXN",1/HLOOKUP(YEAR(G1489)+(MONTH(G1489)/100),TC!$5:$37,DAY(G1489)+2,FALSE),VLOOKUP(F1489,Equivalencia!$5:$23,((MAX(Equivalencia!$3:$3)-YEAR(G1489))*14)+MONTH(G1489)+2,FALSE))))</f>
        <v>0</v>
      </c>
      <c r="M1489" s="306">
        <f t="shared" si="394"/>
        <v>0</v>
      </c>
      <c r="N1489" s="305">
        <f>IF(G1489=0,0,(IF(OR(E1489=$AT$5,E1489=$AT$6),AC1489,HLOOKUP(YEAR(G1489)+(MONTH(G1489)/100),TC!$5:$37,DAY(G1489)+2,FALSE))))</f>
        <v>0</v>
      </c>
      <c r="O1489" s="307">
        <f t="shared" si="395"/>
        <v>0</v>
      </c>
      <c r="P1489" s="560">
        <f>IF(G1489=0,0,VLOOKUP(YEAR(G1489),INPC!$B$4:$P$30,MONTH(G1489)+2))</f>
        <v>0</v>
      </c>
      <c r="Q1489" s="560">
        <f>IF(X1489=0,0,IF(OR(E1489=$AT$10,E1489=$AT$9),VLOOKUP(YEAR(X1489),INPC!$B$4:$P$30,MONTH(X1489)+1),VLOOKUP(YEAR(X1489),INPC!$B$4:$P$30,MONTH(X1489)+2,0)))</f>
        <v>0</v>
      </c>
      <c r="R1489" s="309">
        <f t="shared" si="396"/>
        <v>0</v>
      </c>
      <c r="S1489" s="310">
        <f t="shared" si="397"/>
        <v>0</v>
      </c>
      <c r="T1489" s="555">
        <f t="shared" si="398"/>
        <v>0</v>
      </c>
      <c r="U1489" s="311"/>
      <c r="V1489" s="312"/>
      <c r="W1489" s="299"/>
      <c r="X1489" s="300"/>
      <c r="Y1489" s="299"/>
      <c r="Z1489" s="303"/>
      <c r="AA1489" s="305">
        <f>IF(Z1489=0,0,IF(Y1489="MXN",1/HLOOKUP(YEAR(X1489)+(MONTH(X1489)/100),TC!$5:$37,DAY(X1489)+2,FALSE),VLOOKUP(Y1489,Equivalencia!$1:$23,((MAX(Equivalencia!$3:$3)-YEAR(X1489))*14)+MONTH(X1489)+2,FALSE)))</f>
        <v>0</v>
      </c>
      <c r="AB1489" s="306">
        <f t="shared" si="399"/>
        <v>0</v>
      </c>
      <c r="AC1489" s="305">
        <f>+IF(X1489=0,0,HLOOKUP(YEAR(X1489)+(MONTH(X1489)/100),TC!$5:$37,DAY(X1489)+2,FALSE))</f>
        <v>0</v>
      </c>
      <c r="AD1489" s="307">
        <f t="shared" si="400"/>
        <v>0</v>
      </c>
      <c r="AE1489" s="314">
        <f t="shared" si="401"/>
        <v>0</v>
      </c>
      <c r="AF1489" s="315">
        <f t="shared" si="402"/>
        <v>0</v>
      </c>
      <c r="AG1489" s="316">
        <f t="shared" si="403"/>
        <v>0</v>
      </c>
      <c r="AH1489" s="314">
        <v>1</v>
      </c>
      <c r="AI1489" s="314">
        <f t="shared" si="404"/>
        <v>0</v>
      </c>
      <c r="AJ1489" s="314">
        <f t="shared" si="405"/>
        <v>0</v>
      </c>
      <c r="AK1489" s="317"/>
      <c r="AL1489" s="315">
        <f t="shared" si="406"/>
        <v>0</v>
      </c>
      <c r="AN1489" s="554">
        <f t="shared" si="407"/>
        <v>0</v>
      </c>
      <c r="AO1489" s="314"/>
      <c r="AP1489" s="318"/>
    </row>
    <row r="1490" spans="2:42">
      <c r="B1490" s="296"/>
      <c r="C1490" s="299"/>
      <c r="D1490" s="298"/>
      <c r="E1490" s="299"/>
      <c r="F1490" s="299"/>
      <c r="G1490" s="300"/>
      <c r="H1490" s="303"/>
      <c r="I1490" s="301">
        <f t="shared" si="391"/>
        <v>0</v>
      </c>
      <c r="J1490" s="302">
        <f t="shared" si="392"/>
        <v>0</v>
      </c>
      <c r="K1490" s="304">
        <f t="shared" si="393"/>
        <v>0</v>
      </c>
      <c r="L1490" s="305">
        <f>IF(H1490=0,0,IF(OR(E1490=$AT$5,E1490=$AT$6),AA1490,IF(F1490="MXN",1/HLOOKUP(YEAR(G1490)+(MONTH(G1490)/100),TC!$5:$37,DAY(G1490)+2,FALSE),VLOOKUP(F1490,Equivalencia!$5:$23,((MAX(Equivalencia!$3:$3)-YEAR(G1490))*14)+MONTH(G1490)+2,FALSE))))</f>
        <v>0</v>
      </c>
      <c r="M1490" s="306">
        <f t="shared" si="394"/>
        <v>0</v>
      </c>
      <c r="N1490" s="305">
        <f>IF(G1490=0,0,(IF(OR(E1490=$AT$5,E1490=$AT$6),AC1490,HLOOKUP(YEAR(G1490)+(MONTH(G1490)/100),TC!$5:$37,DAY(G1490)+2,FALSE))))</f>
        <v>0</v>
      </c>
      <c r="O1490" s="307">
        <f t="shared" si="395"/>
        <v>0</v>
      </c>
      <c r="P1490" s="560">
        <f>IF(G1490=0,0,VLOOKUP(YEAR(G1490),INPC!$B$4:$P$30,MONTH(G1490)+2))</f>
        <v>0</v>
      </c>
      <c r="Q1490" s="560">
        <f>IF(X1490=0,0,IF(OR(E1490=$AT$10,E1490=$AT$9),VLOOKUP(YEAR(X1490),INPC!$B$4:$P$30,MONTH(X1490)+1),VLOOKUP(YEAR(X1490),INPC!$B$4:$P$30,MONTH(X1490)+2,0)))</f>
        <v>0</v>
      </c>
      <c r="R1490" s="309">
        <f t="shared" si="396"/>
        <v>0</v>
      </c>
      <c r="S1490" s="310">
        <f t="shared" si="397"/>
        <v>0</v>
      </c>
      <c r="T1490" s="555">
        <f t="shared" si="398"/>
        <v>0</v>
      </c>
      <c r="U1490" s="311"/>
      <c r="V1490" s="312"/>
      <c r="W1490" s="299"/>
      <c r="X1490" s="300"/>
      <c r="Y1490" s="299"/>
      <c r="Z1490" s="303"/>
      <c r="AA1490" s="305">
        <f>IF(Z1490=0,0,IF(Y1490="MXN",1/HLOOKUP(YEAR(X1490)+(MONTH(X1490)/100),TC!$5:$37,DAY(X1490)+2,FALSE),VLOOKUP(Y1490,Equivalencia!$1:$23,((MAX(Equivalencia!$3:$3)-YEAR(X1490))*14)+MONTH(X1490)+2,FALSE)))</f>
        <v>0</v>
      </c>
      <c r="AB1490" s="306">
        <f t="shared" si="399"/>
        <v>0</v>
      </c>
      <c r="AC1490" s="305">
        <f>+IF(X1490=0,0,HLOOKUP(YEAR(X1490)+(MONTH(X1490)/100),TC!$5:$37,DAY(X1490)+2,FALSE))</f>
        <v>0</v>
      </c>
      <c r="AD1490" s="307">
        <f t="shared" si="400"/>
        <v>0</v>
      </c>
      <c r="AE1490" s="314">
        <f t="shared" si="401"/>
        <v>0</v>
      </c>
      <c r="AF1490" s="315">
        <f t="shared" si="402"/>
        <v>0</v>
      </c>
      <c r="AG1490" s="316">
        <f t="shared" si="403"/>
        <v>0</v>
      </c>
      <c r="AH1490" s="314">
        <v>1</v>
      </c>
      <c r="AI1490" s="314">
        <f t="shared" si="404"/>
        <v>0</v>
      </c>
      <c r="AJ1490" s="314">
        <f t="shared" si="405"/>
        <v>0</v>
      </c>
      <c r="AK1490" s="317"/>
      <c r="AL1490" s="315">
        <f t="shared" si="406"/>
        <v>0</v>
      </c>
      <c r="AN1490" s="554">
        <f t="shared" si="407"/>
        <v>0</v>
      </c>
      <c r="AO1490" s="314"/>
      <c r="AP1490" s="318"/>
    </row>
    <row r="1491" spans="2:42">
      <c r="B1491" s="296"/>
      <c r="C1491" s="299"/>
      <c r="D1491" s="298"/>
      <c r="E1491" s="299"/>
      <c r="F1491" s="299"/>
      <c r="G1491" s="300"/>
      <c r="H1491" s="303"/>
      <c r="I1491" s="301">
        <f t="shared" si="391"/>
        <v>0</v>
      </c>
      <c r="J1491" s="302">
        <f t="shared" si="392"/>
        <v>0</v>
      </c>
      <c r="K1491" s="304">
        <f t="shared" si="393"/>
        <v>0</v>
      </c>
      <c r="L1491" s="305">
        <f>IF(H1491=0,0,IF(OR(E1491=$AT$5,E1491=$AT$6),AA1491,IF(F1491="MXN",1/HLOOKUP(YEAR(G1491)+(MONTH(G1491)/100),TC!$5:$37,DAY(G1491)+2,FALSE),VLOOKUP(F1491,Equivalencia!$5:$23,((MAX(Equivalencia!$3:$3)-YEAR(G1491))*14)+MONTH(G1491)+2,FALSE))))</f>
        <v>0</v>
      </c>
      <c r="M1491" s="306">
        <f t="shared" si="394"/>
        <v>0</v>
      </c>
      <c r="N1491" s="305">
        <f>IF(G1491=0,0,(IF(OR(E1491=$AT$5,E1491=$AT$6),AC1491,HLOOKUP(YEAR(G1491)+(MONTH(G1491)/100),TC!$5:$37,DAY(G1491)+2,FALSE))))</f>
        <v>0</v>
      </c>
      <c r="O1491" s="307">
        <f t="shared" si="395"/>
        <v>0</v>
      </c>
      <c r="P1491" s="560">
        <f>IF(G1491=0,0,VLOOKUP(YEAR(G1491),INPC!$B$4:$P$30,MONTH(G1491)+2))</f>
        <v>0</v>
      </c>
      <c r="Q1491" s="560">
        <f>IF(X1491=0,0,IF(OR(E1491=$AT$10,E1491=$AT$9),VLOOKUP(YEAR(X1491),INPC!$B$4:$P$30,MONTH(X1491)+1),VLOOKUP(YEAR(X1491),INPC!$B$4:$P$30,MONTH(X1491)+2,0)))</f>
        <v>0</v>
      </c>
      <c r="R1491" s="309">
        <f t="shared" si="396"/>
        <v>0</v>
      </c>
      <c r="S1491" s="310">
        <f t="shared" si="397"/>
        <v>0</v>
      </c>
      <c r="T1491" s="555">
        <f t="shared" si="398"/>
        <v>0</v>
      </c>
      <c r="U1491" s="311"/>
      <c r="V1491" s="312"/>
      <c r="W1491" s="299"/>
      <c r="X1491" s="300"/>
      <c r="Y1491" s="299"/>
      <c r="Z1491" s="303"/>
      <c r="AA1491" s="305">
        <f>IF(Z1491=0,0,IF(Y1491="MXN",1/HLOOKUP(YEAR(X1491)+(MONTH(X1491)/100),TC!$5:$37,DAY(X1491)+2,FALSE),VLOOKUP(Y1491,Equivalencia!$1:$23,((MAX(Equivalencia!$3:$3)-YEAR(X1491))*14)+MONTH(X1491)+2,FALSE)))</f>
        <v>0</v>
      </c>
      <c r="AB1491" s="306">
        <f t="shared" si="399"/>
        <v>0</v>
      </c>
      <c r="AC1491" s="305">
        <f>+IF(X1491=0,0,HLOOKUP(YEAR(X1491)+(MONTH(X1491)/100),TC!$5:$37,DAY(X1491)+2,FALSE))</f>
        <v>0</v>
      </c>
      <c r="AD1491" s="307">
        <f t="shared" si="400"/>
        <v>0</v>
      </c>
      <c r="AE1491" s="314">
        <f t="shared" si="401"/>
        <v>0</v>
      </c>
      <c r="AF1491" s="315">
        <f t="shared" si="402"/>
        <v>0</v>
      </c>
      <c r="AG1491" s="316">
        <f t="shared" si="403"/>
        <v>0</v>
      </c>
      <c r="AH1491" s="314">
        <v>1</v>
      </c>
      <c r="AI1491" s="314">
        <f t="shared" si="404"/>
        <v>0</v>
      </c>
      <c r="AJ1491" s="314">
        <f t="shared" si="405"/>
        <v>0</v>
      </c>
      <c r="AK1491" s="317"/>
      <c r="AL1491" s="315">
        <f t="shared" si="406"/>
        <v>0</v>
      </c>
      <c r="AN1491" s="554">
        <f t="shared" si="407"/>
        <v>0</v>
      </c>
      <c r="AO1491" s="314"/>
      <c r="AP1491" s="318"/>
    </row>
    <row r="1492" spans="2:42">
      <c r="B1492" s="296"/>
      <c r="C1492" s="299"/>
      <c r="D1492" s="298"/>
      <c r="E1492" s="299"/>
      <c r="F1492" s="299"/>
      <c r="G1492" s="300"/>
      <c r="H1492" s="303"/>
      <c r="I1492" s="301">
        <f t="shared" si="391"/>
        <v>0</v>
      </c>
      <c r="J1492" s="302">
        <f t="shared" si="392"/>
        <v>0</v>
      </c>
      <c r="K1492" s="304">
        <f t="shared" si="393"/>
        <v>0</v>
      </c>
      <c r="L1492" s="305">
        <f>IF(H1492=0,0,IF(OR(E1492=$AT$5,E1492=$AT$6),AA1492,IF(F1492="MXN",1/HLOOKUP(YEAR(G1492)+(MONTH(G1492)/100),TC!$5:$37,DAY(G1492)+2,FALSE),VLOOKUP(F1492,Equivalencia!$5:$23,((MAX(Equivalencia!$3:$3)-YEAR(G1492))*14)+MONTH(G1492)+2,FALSE))))</f>
        <v>0</v>
      </c>
      <c r="M1492" s="306">
        <f t="shared" si="394"/>
        <v>0</v>
      </c>
      <c r="N1492" s="305">
        <f>IF(G1492=0,0,(IF(OR(E1492=$AT$5,E1492=$AT$6),AC1492,HLOOKUP(YEAR(G1492)+(MONTH(G1492)/100),TC!$5:$37,DAY(G1492)+2,FALSE))))</f>
        <v>0</v>
      </c>
      <c r="O1492" s="307">
        <f t="shared" si="395"/>
        <v>0</v>
      </c>
      <c r="P1492" s="560">
        <f>IF(G1492=0,0,VLOOKUP(YEAR(G1492),INPC!$B$4:$P$30,MONTH(G1492)+2))</f>
        <v>0</v>
      </c>
      <c r="Q1492" s="560">
        <f>IF(X1492=0,0,IF(OR(E1492=$AT$10,E1492=$AT$9),VLOOKUP(YEAR(X1492),INPC!$B$4:$P$30,MONTH(X1492)+1),VLOOKUP(YEAR(X1492),INPC!$B$4:$P$30,MONTH(X1492)+2,0)))</f>
        <v>0</v>
      </c>
      <c r="R1492" s="309">
        <f t="shared" si="396"/>
        <v>0</v>
      </c>
      <c r="S1492" s="310">
        <f t="shared" si="397"/>
        <v>0</v>
      </c>
      <c r="T1492" s="555">
        <f t="shared" si="398"/>
        <v>0</v>
      </c>
      <c r="U1492" s="311"/>
      <c r="V1492" s="312"/>
      <c r="W1492" s="299"/>
      <c r="X1492" s="300"/>
      <c r="Y1492" s="299"/>
      <c r="Z1492" s="303"/>
      <c r="AA1492" s="305">
        <f>IF(Z1492=0,0,IF(Y1492="MXN",1/HLOOKUP(YEAR(X1492)+(MONTH(X1492)/100),TC!$5:$37,DAY(X1492)+2,FALSE),VLOOKUP(Y1492,Equivalencia!$1:$23,((MAX(Equivalencia!$3:$3)-YEAR(X1492))*14)+MONTH(X1492)+2,FALSE)))</f>
        <v>0</v>
      </c>
      <c r="AB1492" s="306">
        <f t="shared" si="399"/>
        <v>0</v>
      </c>
      <c r="AC1492" s="305">
        <f>+IF(X1492=0,0,HLOOKUP(YEAR(X1492)+(MONTH(X1492)/100),TC!$5:$37,DAY(X1492)+2,FALSE))</f>
        <v>0</v>
      </c>
      <c r="AD1492" s="307">
        <f t="shared" si="400"/>
        <v>0</v>
      </c>
      <c r="AE1492" s="314">
        <f t="shared" si="401"/>
        <v>0</v>
      </c>
      <c r="AF1492" s="315">
        <f t="shared" si="402"/>
        <v>0</v>
      </c>
      <c r="AG1492" s="316">
        <f t="shared" si="403"/>
        <v>0</v>
      </c>
      <c r="AH1492" s="314">
        <v>1</v>
      </c>
      <c r="AI1492" s="314">
        <f t="shared" si="404"/>
        <v>0</v>
      </c>
      <c r="AJ1492" s="314">
        <f t="shared" si="405"/>
        <v>0</v>
      </c>
      <c r="AK1492" s="317"/>
      <c r="AL1492" s="315">
        <f t="shared" si="406"/>
        <v>0</v>
      </c>
      <c r="AN1492" s="554">
        <f t="shared" si="407"/>
        <v>0</v>
      </c>
      <c r="AO1492" s="314"/>
      <c r="AP1492" s="318"/>
    </row>
    <row r="1493" spans="2:42">
      <c r="B1493" s="296"/>
      <c r="C1493" s="299"/>
      <c r="D1493" s="298"/>
      <c r="E1493" s="299"/>
      <c r="F1493" s="299"/>
      <c r="G1493" s="300"/>
      <c r="H1493" s="303"/>
      <c r="I1493" s="301">
        <f t="shared" si="391"/>
        <v>0</v>
      </c>
      <c r="J1493" s="302">
        <f t="shared" si="392"/>
        <v>0</v>
      </c>
      <c r="K1493" s="304">
        <f t="shared" si="393"/>
        <v>0</v>
      </c>
      <c r="L1493" s="305">
        <f>IF(H1493=0,0,IF(OR(E1493=$AT$5,E1493=$AT$6),AA1493,IF(F1493="MXN",1/HLOOKUP(YEAR(G1493)+(MONTH(G1493)/100),TC!$5:$37,DAY(G1493)+2,FALSE),VLOOKUP(F1493,Equivalencia!$5:$23,((MAX(Equivalencia!$3:$3)-YEAR(G1493))*14)+MONTH(G1493)+2,FALSE))))</f>
        <v>0</v>
      </c>
      <c r="M1493" s="306">
        <f t="shared" si="394"/>
        <v>0</v>
      </c>
      <c r="N1493" s="305">
        <f>IF(G1493=0,0,(IF(OR(E1493=$AT$5,E1493=$AT$6),AC1493,HLOOKUP(YEAR(G1493)+(MONTH(G1493)/100),TC!$5:$37,DAY(G1493)+2,FALSE))))</f>
        <v>0</v>
      </c>
      <c r="O1493" s="307">
        <f t="shared" si="395"/>
        <v>0</v>
      </c>
      <c r="P1493" s="560">
        <f>IF(G1493=0,0,VLOOKUP(YEAR(G1493),INPC!$B$4:$P$30,MONTH(G1493)+2))</f>
        <v>0</v>
      </c>
      <c r="Q1493" s="560">
        <f>IF(X1493=0,0,IF(OR(E1493=$AT$10,E1493=$AT$9),VLOOKUP(YEAR(X1493),INPC!$B$4:$P$30,MONTH(X1493)+1),VLOOKUP(YEAR(X1493),INPC!$B$4:$P$30,MONTH(X1493)+2,0)))</f>
        <v>0</v>
      </c>
      <c r="R1493" s="309">
        <f t="shared" si="396"/>
        <v>0</v>
      </c>
      <c r="S1493" s="310">
        <f t="shared" si="397"/>
        <v>0</v>
      </c>
      <c r="T1493" s="555">
        <f t="shared" si="398"/>
        <v>0</v>
      </c>
      <c r="U1493" s="311"/>
      <c r="V1493" s="312"/>
      <c r="W1493" s="299"/>
      <c r="X1493" s="300"/>
      <c r="Y1493" s="299"/>
      <c r="Z1493" s="303"/>
      <c r="AA1493" s="305">
        <f>IF(Z1493=0,0,IF(Y1493="MXN",1/HLOOKUP(YEAR(X1493)+(MONTH(X1493)/100),TC!$5:$37,DAY(X1493)+2,FALSE),VLOOKUP(Y1493,Equivalencia!$1:$23,((MAX(Equivalencia!$3:$3)-YEAR(X1493))*14)+MONTH(X1493)+2,FALSE)))</f>
        <v>0</v>
      </c>
      <c r="AB1493" s="306">
        <f t="shared" si="399"/>
        <v>0</v>
      </c>
      <c r="AC1493" s="305">
        <f>+IF(X1493=0,0,HLOOKUP(YEAR(X1493)+(MONTH(X1493)/100),TC!$5:$37,DAY(X1493)+2,FALSE))</f>
        <v>0</v>
      </c>
      <c r="AD1493" s="307">
        <f t="shared" si="400"/>
        <v>0</v>
      </c>
      <c r="AE1493" s="314">
        <f t="shared" si="401"/>
        <v>0</v>
      </c>
      <c r="AF1493" s="315">
        <f t="shared" si="402"/>
        <v>0</v>
      </c>
      <c r="AG1493" s="316">
        <f t="shared" si="403"/>
        <v>0</v>
      </c>
      <c r="AH1493" s="314">
        <v>1</v>
      </c>
      <c r="AI1493" s="314">
        <f t="shared" si="404"/>
        <v>0</v>
      </c>
      <c r="AJ1493" s="314">
        <f t="shared" si="405"/>
        <v>0</v>
      </c>
      <c r="AK1493" s="317"/>
      <c r="AL1493" s="315">
        <f t="shared" si="406"/>
        <v>0</v>
      </c>
      <c r="AN1493" s="554">
        <f t="shared" si="407"/>
        <v>0</v>
      </c>
      <c r="AO1493" s="314"/>
      <c r="AP1493" s="318"/>
    </row>
    <row r="1494" spans="2:42">
      <c r="B1494" s="296"/>
      <c r="C1494" s="299"/>
      <c r="D1494" s="298"/>
      <c r="E1494" s="299"/>
      <c r="F1494" s="299"/>
      <c r="G1494" s="300"/>
      <c r="H1494" s="303"/>
      <c r="I1494" s="301">
        <f t="shared" si="391"/>
        <v>0</v>
      </c>
      <c r="J1494" s="302">
        <f t="shared" si="392"/>
        <v>0</v>
      </c>
      <c r="K1494" s="304">
        <f t="shared" si="393"/>
        <v>0</v>
      </c>
      <c r="L1494" s="305">
        <f>IF(H1494=0,0,IF(OR(E1494=$AT$5,E1494=$AT$6),AA1494,IF(F1494="MXN",1/HLOOKUP(YEAR(G1494)+(MONTH(G1494)/100),TC!$5:$37,DAY(G1494)+2,FALSE),VLOOKUP(F1494,Equivalencia!$5:$23,((MAX(Equivalencia!$3:$3)-YEAR(G1494))*14)+MONTH(G1494)+2,FALSE))))</f>
        <v>0</v>
      </c>
      <c r="M1494" s="306">
        <f t="shared" si="394"/>
        <v>0</v>
      </c>
      <c r="N1494" s="305">
        <f>IF(G1494=0,0,(IF(OR(E1494=$AT$5,E1494=$AT$6),AC1494,HLOOKUP(YEAR(G1494)+(MONTH(G1494)/100),TC!$5:$37,DAY(G1494)+2,FALSE))))</f>
        <v>0</v>
      </c>
      <c r="O1494" s="307">
        <f t="shared" si="395"/>
        <v>0</v>
      </c>
      <c r="P1494" s="560">
        <f>IF(G1494=0,0,VLOOKUP(YEAR(G1494),INPC!$B$4:$P$30,MONTH(G1494)+2))</f>
        <v>0</v>
      </c>
      <c r="Q1494" s="560">
        <f>IF(X1494=0,0,IF(OR(E1494=$AT$10,E1494=$AT$9),VLOOKUP(YEAR(X1494),INPC!$B$4:$P$30,MONTH(X1494)+1),VLOOKUP(YEAR(X1494),INPC!$B$4:$P$30,MONTH(X1494)+2,0)))</f>
        <v>0</v>
      </c>
      <c r="R1494" s="309">
        <f t="shared" si="396"/>
        <v>0</v>
      </c>
      <c r="S1494" s="310">
        <f t="shared" si="397"/>
        <v>0</v>
      </c>
      <c r="T1494" s="555">
        <f t="shared" si="398"/>
        <v>0</v>
      </c>
      <c r="U1494" s="311"/>
      <c r="V1494" s="312"/>
      <c r="W1494" s="299"/>
      <c r="X1494" s="300"/>
      <c r="Y1494" s="299"/>
      <c r="Z1494" s="303"/>
      <c r="AA1494" s="305">
        <f>IF(Z1494=0,0,IF(Y1494="MXN",1/HLOOKUP(YEAR(X1494)+(MONTH(X1494)/100),TC!$5:$37,DAY(X1494)+2,FALSE),VLOOKUP(Y1494,Equivalencia!$1:$23,((MAX(Equivalencia!$3:$3)-YEAR(X1494))*14)+MONTH(X1494)+2,FALSE)))</f>
        <v>0</v>
      </c>
      <c r="AB1494" s="306">
        <f t="shared" si="399"/>
        <v>0</v>
      </c>
      <c r="AC1494" s="305">
        <f>+IF(X1494=0,0,HLOOKUP(YEAR(X1494)+(MONTH(X1494)/100),TC!$5:$37,DAY(X1494)+2,FALSE))</f>
        <v>0</v>
      </c>
      <c r="AD1494" s="307">
        <f t="shared" si="400"/>
        <v>0</v>
      </c>
      <c r="AE1494" s="314">
        <f t="shared" si="401"/>
        <v>0</v>
      </c>
      <c r="AF1494" s="315">
        <f t="shared" si="402"/>
        <v>0</v>
      </c>
      <c r="AG1494" s="316">
        <f t="shared" si="403"/>
        <v>0</v>
      </c>
      <c r="AH1494" s="314">
        <v>1</v>
      </c>
      <c r="AI1494" s="314">
        <f t="shared" si="404"/>
        <v>0</v>
      </c>
      <c r="AJ1494" s="314">
        <f t="shared" si="405"/>
        <v>0</v>
      </c>
      <c r="AK1494" s="317"/>
      <c r="AL1494" s="315">
        <f t="shared" si="406"/>
        <v>0</v>
      </c>
      <c r="AN1494" s="554">
        <f t="shared" si="407"/>
        <v>0</v>
      </c>
      <c r="AO1494" s="314"/>
      <c r="AP1494" s="318"/>
    </row>
    <row r="1495" spans="2:42">
      <c r="B1495" s="296"/>
      <c r="C1495" s="299"/>
      <c r="D1495" s="298"/>
      <c r="E1495" s="299"/>
      <c r="F1495" s="299"/>
      <c r="G1495" s="300"/>
      <c r="H1495" s="303"/>
      <c r="I1495" s="301">
        <f t="shared" si="391"/>
        <v>0</v>
      </c>
      <c r="J1495" s="302">
        <f t="shared" si="392"/>
        <v>0</v>
      </c>
      <c r="K1495" s="304">
        <f t="shared" si="393"/>
        <v>0</v>
      </c>
      <c r="L1495" s="305">
        <f>IF(H1495=0,0,IF(OR(E1495=$AT$5,E1495=$AT$6),AA1495,IF(F1495="MXN",1/HLOOKUP(YEAR(G1495)+(MONTH(G1495)/100),TC!$5:$37,DAY(G1495)+2,FALSE),VLOOKUP(F1495,Equivalencia!$5:$23,((MAX(Equivalencia!$3:$3)-YEAR(G1495))*14)+MONTH(G1495)+2,FALSE))))</f>
        <v>0</v>
      </c>
      <c r="M1495" s="306">
        <f t="shared" si="394"/>
        <v>0</v>
      </c>
      <c r="N1495" s="305">
        <f>IF(G1495=0,0,(IF(OR(E1495=$AT$5,E1495=$AT$6),AC1495,HLOOKUP(YEAR(G1495)+(MONTH(G1495)/100),TC!$5:$37,DAY(G1495)+2,FALSE))))</f>
        <v>0</v>
      </c>
      <c r="O1495" s="307">
        <f t="shared" si="395"/>
        <v>0</v>
      </c>
      <c r="P1495" s="560">
        <f>IF(G1495=0,0,VLOOKUP(YEAR(G1495),INPC!$B$4:$P$30,MONTH(G1495)+2))</f>
        <v>0</v>
      </c>
      <c r="Q1495" s="560">
        <f>IF(X1495=0,0,IF(OR(E1495=$AT$10,E1495=$AT$9),VLOOKUP(YEAR(X1495),INPC!$B$4:$P$30,MONTH(X1495)+1),VLOOKUP(YEAR(X1495),INPC!$B$4:$P$30,MONTH(X1495)+2,0)))</f>
        <v>0</v>
      </c>
      <c r="R1495" s="309">
        <f t="shared" si="396"/>
        <v>0</v>
      </c>
      <c r="S1495" s="310">
        <f t="shared" si="397"/>
        <v>0</v>
      </c>
      <c r="T1495" s="555">
        <f t="shared" si="398"/>
        <v>0</v>
      </c>
      <c r="U1495" s="311"/>
      <c r="V1495" s="312"/>
      <c r="W1495" s="299"/>
      <c r="X1495" s="300"/>
      <c r="Y1495" s="299"/>
      <c r="Z1495" s="303"/>
      <c r="AA1495" s="305">
        <f>IF(Z1495=0,0,IF(Y1495="MXN",1/HLOOKUP(YEAR(X1495)+(MONTH(X1495)/100),TC!$5:$37,DAY(X1495)+2,FALSE),VLOOKUP(Y1495,Equivalencia!$1:$23,((MAX(Equivalencia!$3:$3)-YEAR(X1495))*14)+MONTH(X1495)+2,FALSE)))</f>
        <v>0</v>
      </c>
      <c r="AB1495" s="306">
        <f t="shared" si="399"/>
        <v>0</v>
      </c>
      <c r="AC1495" s="305">
        <f>+IF(X1495=0,0,HLOOKUP(YEAR(X1495)+(MONTH(X1495)/100),TC!$5:$37,DAY(X1495)+2,FALSE))</f>
        <v>0</v>
      </c>
      <c r="AD1495" s="307">
        <f t="shared" si="400"/>
        <v>0</v>
      </c>
      <c r="AE1495" s="314">
        <f t="shared" si="401"/>
        <v>0</v>
      </c>
      <c r="AF1495" s="315">
        <f t="shared" si="402"/>
        <v>0</v>
      </c>
      <c r="AG1495" s="316">
        <f t="shared" si="403"/>
        <v>0</v>
      </c>
      <c r="AH1495" s="314">
        <v>1</v>
      </c>
      <c r="AI1495" s="314">
        <f t="shared" si="404"/>
        <v>0</v>
      </c>
      <c r="AJ1495" s="314">
        <f t="shared" si="405"/>
        <v>0</v>
      </c>
      <c r="AK1495" s="317"/>
      <c r="AL1495" s="315">
        <f t="shared" si="406"/>
        <v>0</v>
      </c>
      <c r="AN1495" s="554">
        <f t="shared" si="407"/>
        <v>0</v>
      </c>
      <c r="AO1495" s="314"/>
      <c r="AP1495" s="318"/>
    </row>
    <row r="1496" spans="2:42">
      <c r="B1496" s="296"/>
      <c r="C1496" s="299"/>
      <c r="D1496" s="298"/>
      <c r="E1496" s="299"/>
      <c r="F1496" s="299"/>
      <c r="G1496" s="300"/>
      <c r="H1496" s="303"/>
      <c r="I1496" s="301">
        <f t="shared" si="391"/>
        <v>0</v>
      </c>
      <c r="J1496" s="302">
        <f t="shared" si="392"/>
        <v>0</v>
      </c>
      <c r="K1496" s="304">
        <f t="shared" si="393"/>
        <v>0</v>
      </c>
      <c r="L1496" s="305">
        <f>IF(H1496=0,0,IF(OR(E1496=$AT$5,E1496=$AT$6),AA1496,IF(F1496="MXN",1/HLOOKUP(YEAR(G1496)+(MONTH(G1496)/100),TC!$5:$37,DAY(G1496)+2,FALSE),VLOOKUP(F1496,Equivalencia!$5:$23,((MAX(Equivalencia!$3:$3)-YEAR(G1496))*14)+MONTH(G1496)+2,FALSE))))</f>
        <v>0</v>
      </c>
      <c r="M1496" s="306">
        <f t="shared" si="394"/>
        <v>0</v>
      </c>
      <c r="N1496" s="305">
        <f>IF(G1496=0,0,(IF(OR(E1496=$AT$5,E1496=$AT$6),AC1496,HLOOKUP(YEAR(G1496)+(MONTH(G1496)/100),TC!$5:$37,DAY(G1496)+2,FALSE))))</f>
        <v>0</v>
      </c>
      <c r="O1496" s="307">
        <f t="shared" si="395"/>
        <v>0</v>
      </c>
      <c r="P1496" s="560">
        <f>IF(G1496=0,0,VLOOKUP(YEAR(G1496),INPC!$B$4:$P$30,MONTH(G1496)+2))</f>
        <v>0</v>
      </c>
      <c r="Q1496" s="560">
        <f>IF(X1496=0,0,IF(OR(E1496=$AT$10,E1496=$AT$9),VLOOKUP(YEAR(X1496),INPC!$B$4:$P$30,MONTH(X1496)+1),VLOOKUP(YEAR(X1496),INPC!$B$4:$P$30,MONTH(X1496)+2,0)))</f>
        <v>0</v>
      </c>
      <c r="R1496" s="309">
        <f t="shared" si="396"/>
        <v>0</v>
      </c>
      <c r="S1496" s="310">
        <f t="shared" si="397"/>
        <v>0</v>
      </c>
      <c r="T1496" s="555">
        <f t="shared" si="398"/>
        <v>0</v>
      </c>
      <c r="U1496" s="311"/>
      <c r="V1496" s="312"/>
      <c r="W1496" s="299"/>
      <c r="X1496" s="300"/>
      <c r="Y1496" s="299"/>
      <c r="Z1496" s="303"/>
      <c r="AA1496" s="305">
        <f>IF(Z1496=0,0,IF(Y1496="MXN",1/HLOOKUP(YEAR(X1496)+(MONTH(X1496)/100),TC!$5:$37,DAY(X1496)+2,FALSE),VLOOKUP(Y1496,Equivalencia!$1:$23,((MAX(Equivalencia!$3:$3)-YEAR(X1496))*14)+MONTH(X1496)+2,FALSE)))</f>
        <v>0</v>
      </c>
      <c r="AB1496" s="306">
        <f t="shared" si="399"/>
        <v>0</v>
      </c>
      <c r="AC1496" s="305">
        <f>+IF(X1496=0,0,HLOOKUP(YEAR(X1496)+(MONTH(X1496)/100),TC!$5:$37,DAY(X1496)+2,FALSE))</f>
        <v>0</v>
      </c>
      <c r="AD1496" s="307">
        <f t="shared" si="400"/>
        <v>0</v>
      </c>
      <c r="AE1496" s="314">
        <f t="shared" si="401"/>
        <v>0</v>
      </c>
      <c r="AF1496" s="315">
        <f t="shared" si="402"/>
        <v>0</v>
      </c>
      <c r="AG1496" s="316">
        <f t="shared" si="403"/>
        <v>0</v>
      </c>
      <c r="AH1496" s="314">
        <v>1</v>
      </c>
      <c r="AI1496" s="314">
        <f t="shared" si="404"/>
        <v>0</v>
      </c>
      <c r="AJ1496" s="314">
        <f t="shared" si="405"/>
        <v>0</v>
      </c>
      <c r="AK1496" s="317"/>
      <c r="AL1496" s="315">
        <f t="shared" si="406"/>
        <v>0</v>
      </c>
      <c r="AN1496" s="554">
        <f t="shared" si="407"/>
        <v>0</v>
      </c>
      <c r="AO1496" s="314"/>
      <c r="AP1496" s="318"/>
    </row>
    <row r="1497" spans="2:42">
      <c r="B1497" s="296"/>
      <c r="C1497" s="299"/>
      <c r="D1497" s="298"/>
      <c r="E1497" s="299"/>
      <c r="F1497" s="299"/>
      <c r="G1497" s="300"/>
      <c r="H1497" s="303"/>
      <c r="I1497" s="301">
        <f t="shared" si="391"/>
        <v>0</v>
      </c>
      <c r="J1497" s="302">
        <f t="shared" si="392"/>
        <v>0</v>
      </c>
      <c r="K1497" s="304">
        <f t="shared" si="393"/>
        <v>0</v>
      </c>
      <c r="L1497" s="305">
        <f>IF(H1497=0,0,IF(OR(E1497=$AT$5,E1497=$AT$6),AA1497,IF(F1497="MXN",1/HLOOKUP(YEAR(G1497)+(MONTH(G1497)/100),TC!$5:$37,DAY(G1497)+2,FALSE),VLOOKUP(F1497,Equivalencia!$5:$23,((MAX(Equivalencia!$3:$3)-YEAR(G1497))*14)+MONTH(G1497)+2,FALSE))))</f>
        <v>0</v>
      </c>
      <c r="M1497" s="306">
        <f t="shared" si="394"/>
        <v>0</v>
      </c>
      <c r="N1497" s="305">
        <f>IF(G1497=0,0,(IF(OR(E1497=$AT$5,E1497=$AT$6),AC1497,HLOOKUP(YEAR(G1497)+(MONTH(G1497)/100),TC!$5:$37,DAY(G1497)+2,FALSE))))</f>
        <v>0</v>
      </c>
      <c r="O1497" s="307">
        <f t="shared" si="395"/>
        <v>0</v>
      </c>
      <c r="P1497" s="560">
        <f>IF(G1497=0,0,VLOOKUP(YEAR(G1497),INPC!$B$4:$P$30,MONTH(G1497)+2))</f>
        <v>0</v>
      </c>
      <c r="Q1497" s="560">
        <f>IF(X1497=0,0,IF(OR(E1497=$AT$10,E1497=$AT$9),VLOOKUP(YEAR(X1497),INPC!$B$4:$P$30,MONTH(X1497)+1),VLOOKUP(YEAR(X1497),INPC!$B$4:$P$30,MONTH(X1497)+2,0)))</f>
        <v>0</v>
      </c>
      <c r="R1497" s="309">
        <f t="shared" si="396"/>
        <v>0</v>
      </c>
      <c r="S1497" s="310">
        <f t="shared" si="397"/>
        <v>0</v>
      </c>
      <c r="T1497" s="555">
        <f t="shared" si="398"/>
        <v>0</v>
      </c>
      <c r="U1497" s="311"/>
      <c r="V1497" s="312"/>
      <c r="W1497" s="299"/>
      <c r="X1497" s="300"/>
      <c r="Y1497" s="299"/>
      <c r="Z1497" s="303"/>
      <c r="AA1497" s="305">
        <f>IF(Z1497=0,0,IF(Y1497="MXN",1/HLOOKUP(YEAR(X1497)+(MONTH(X1497)/100),TC!$5:$37,DAY(X1497)+2,FALSE),VLOOKUP(Y1497,Equivalencia!$1:$23,((MAX(Equivalencia!$3:$3)-YEAR(X1497))*14)+MONTH(X1497)+2,FALSE)))</f>
        <v>0</v>
      </c>
      <c r="AB1497" s="306">
        <f t="shared" si="399"/>
        <v>0</v>
      </c>
      <c r="AC1497" s="305">
        <f>+IF(X1497=0,0,HLOOKUP(YEAR(X1497)+(MONTH(X1497)/100),TC!$5:$37,DAY(X1497)+2,FALSE))</f>
        <v>0</v>
      </c>
      <c r="AD1497" s="307">
        <f t="shared" si="400"/>
        <v>0</v>
      </c>
      <c r="AE1497" s="314">
        <f t="shared" si="401"/>
        <v>0</v>
      </c>
      <c r="AF1497" s="315">
        <f t="shared" si="402"/>
        <v>0</v>
      </c>
      <c r="AG1497" s="316">
        <f t="shared" si="403"/>
        <v>0</v>
      </c>
      <c r="AH1497" s="314">
        <v>1</v>
      </c>
      <c r="AI1497" s="314">
        <f t="shared" si="404"/>
        <v>0</v>
      </c>
      <c r="AJ1497" s="314">
        <f t="shared" si="405"/>
        <v>0</v>
      </c>
      <c r="AK1497" s="317"/>
      <c r="AL1497" s="315">
        <f t="shared" si="406"/>
        <v>0</v>
      </c>
      <c r="AN1497" s="554">
        <f t="shared" si="407"/>
        <v>0</v>
      </c>
      <c r="AO1497" s="314"/>
      <c r="AP1497" s="318"/>
    </row>
    <row r="1498" spans="2:42">
      <c r="B1498" s="296"/>
      <c r="C1498" s="299"/>
      <c r="D1498" s="298"/>
      <c r="E1498" s="299"/>
      <c r="F1498" s="299"/>
      <c r="G1498" s="300"/>
      <c r="H1498" s="303"/>
      <c r="I1498" s="301">
        <f t="shared" si="391"/>
        <v>0</v>
      </c>
      <c r="J1498" s="302">
        <f t="shared" si="392"/>
        <v>0</v>
      </c>
      <c r="K1498" s="304">
        <f t="shared" si="393"/>
        <v>0</v>
      </c>
      <c r="L1498" s="305">
        <f>IF(H1498=0,0,IF(OR(E1498=$AT$5,E1498=$AT$6),AA1498,IF(F1498="MXN",1/HLOOKUP(YEAR(G1498)+(MONTH(G1498)/100),TC!$5:$37,DAY(G1498)+2,FALSE),VLOOKUP(F1498,Equivalencia!$5:$23,((MAX(Equivalencia!$3:$3)-YEAR(G1498))*14)+MONTH(G1498)+2,FALSE))))</f>
        <v>0</v>
      </c>
      <c r="M1498" s="306">
        <f t="shared" si="394"/>
        <v>0</v>
      </c>
      <c r="N1498" s="305">
        <f>IF(G1498=0,0,(IF(OR(E1498=$AT$5,E1498=$AT$6),AC1498,HLOOKUP(YEAR(G1498)+(MONTH(G1498)/100),TC!$5:$37,DAY(G1498)+2,FALSE))))</f>
        <v>0</v>
      </c>
      <c r="O1498" s="307">
        <f t="shared" si="395"/>
        <v>0</v>
      </c>
      <c r="P1498" s="560">
        <f>IF(G1498=0,0,VLOOKUP(YEAR(G1498),INPC!$B$4:$P$30,MONTH(G1498)+2))</f>
        <v>0</v>
      </c>
      <c r="Q1498" s="560">
        <f>IF(X1498=0,0,IF(OR(E1498=$AT$10,E1498=$AT$9),VLOOKUP(YEAR(X1498),INPC!$B$4:$P$30,MONTH(X1498)+1),VLOOKUP(YEAR(X1498),INPC!$B$4:$P$30,MONTH(X1498)+2,0)))</f>
        <v>0</v>
      </c>
      <c r="R1498" s="309">
        <f t="shared" si="396"/>
        <v>0</v>
      </c>
      <c r="S1498" s="310">
        <f t="shared" si="397"/>
        <v>0</v>
      </c>
      <c r="T1498" s="555">
        <f t="shared" si="398"/>
        <v>0</v>
      </c>
      <c r="U1498" s="311"/>
      <c r="V1498" s="312"/>
      <c r="W1498" s="299"/>
      <c r="X1498" s="300"/>
      <c r="Y1498" s="299"/>
      <c r="Z1498" s="303"/>
      <c r="AA1498" s="305">
        <f>IF(Z1498=0,0,IF(Y1498="MXN",1/HLOOKUP(YEAR(X1498)+(MONTH(X1498)/100),TC!$5:$37,DAY(X1498)+2,FALSE),VLOOKUP(Y1498,Equivalencia!$1:$23,((MAX(Equivalencia!$3:$3)-YEAR(X1498))*14)+MONTH(X1498)+2,FALSE)))</f>
        <v>0</v>
      </c>
      <c r="AB1498" s="306">
        <f t="shared" si="399"/>
        <v>0</v>
      </c>
      <c r="AC1498" s="305">
        <f>+IF(X1498=0,0,HLOOKUP(YEAR(X1498)+(MONTH(X1498)/100),TC!$5:$37,DAY(X1498)+2,FALSE))</f>
        <v>0</v>
      </c>
      <c r="AD1498" s="307">
        <f t="shared" si="400"/>
        <v>0</v>
      </c>
      <c r="AE1498" s="314">
        <f t="shared" si="401"/>
        <v>0</v>
      </c>
      <c r="AF1498" s="315">
        <f t="shared" si="402"/>
        <v>0</v>
      </c>
      <c r="AG1498" s="316">
        <f t="shared" si="403"/>
        <v>0</v>
      </c>
      <c r="AH1498" s="314">
        <v>1</v>
      </c>
      <c r="AI1498" s="314">
        <f t="shared" si="404"/>
        <v>0</v>
      </c>
      <c r="AJ1498" s="314">
        <f t="shared" si="405"/>
        <v>0</v>
      </c>
      <c r="AK1498" s="317"/>
      <c r="AL1498" s="315">
        <f t="shared" si="406"/>
        <v>0</v>
      </c>
      <c r="AN1498" s="554">
        <f t="shared" si="407"/>
        <v>0</v>
      </c>
      <c r="AO1498" s="314"/>
      <c r="AP1498" s="318"/>
    </row>
    <row r="1499" spans="2:42">
      <c r="B1499" s="296"/>
      <c r="C1499" s="299"/>
      <c r="D1499" s="298"/>
      <c r="E1499" s="299"/>
      <c r="F1499" s="299"/>
      <c r="G1499" s="300"/>
      <c r="H1499" s="303"/>
      <c r="I1499" s="301">
        <f t="shared" si="391"/>
        <v>0</v>
      </c>
      <c r="J1499" s="302">
        <f t="shared" si="392"/>
        <v>0</v>
      </c>
      <c r="K1499" s="304">
        <f t="shared" si="393"/>
        <v>0</v>
      </c>
      <c r="L1499" s="305">
        <f>IF(H1499=0,0,IF(OR(E1499=$AT$5,E1499=$AT$6),AA1499,IF(F1499="MXN",1/HLOOKUP(YEAR(G1499)+(MONTH(G1499)/100),TC!$5:$37,DAY(G1499)+2,FALSE),VLOOKUP(F1499,Equivalencia!$5:$23,((MAX(Equivalencia!$3:$3)-YEAR(G1499))*14)+MONTH(G1499)+2,FALSE))))</f>
        <v>0</v>
      </c>
      <c r="M1499" s="306">
        <f t="shared" si="394"/>
        <v>0</v>
      </c>
      <c r="N1499" s="305">
        <f>IF(G1499=0,0,(IF(OR(E1499=$AT$5,E1499=$AT$6),AC1499,HLOOKUP(YEAR(G1499)+(MONTH(G1499)/100),TC!$5:$37,DAY(G1499)+2,FALSE))))</f>
        <v>0</v>
      </c>
      <c r="O1499" s="307">
        <f t="shared" si="395"/>
        <v>0</v>
      </c>
      <c r="P1499" s="560">
        <f>IF(G1499=0,0,VLOOKUP(YEAR(G1499),INPC!$B$4:$P$30,MONTH(G1499)+2))</f>
        <v>0</v>
      </c>
      <c r="Q1499" s="560">
        <f>IF(X1499=0,0,IF(OR(E1499=$AT$10,E1499=$AT$9),VLOOKUP(YEAR(X1499),INPC!$B$4:$P$30,MONTH(X1499)+1),VLOOKUP(YEAR(X1499),INPC!$B$4:$P$30,MONTH(X1499)+2,0)))</f>
        <v>0</v>
      </c>
      <c r="R1499" s="309">
        <f t="shared" si="396"/>
        <v>0</v>
      </c>
      <c r="S1499" s="310">
        <f t="shared" si="397"/>
        <v>0</v>
      </c>
      <c r="T1499" s="555">
        <f t="shared" si="398"/>
        <v>0</v>
      </c>
      <c r="U1499" s="311"/>
      <c r="V1499" s="312"/>
      <c r="W1499" s="299"/>
      <c r="X1499" s="300"/>
      <c r="Y1499" s="299"/>
      <c r="Z1499" s="303"/>
      <c r="AA1499" s="305">
        <f>IF(Z1499=0,0,IF(Y1499="MXN",1/HLOOKUP(YEAR(X1499)+(MONTH(X1499)/100),TC!$5:$37,DAY(X1499)+2,FALSE),VLOOKUP(Y1499,Equivalencia!$1:$23,((MAX(Equivalencia!$3:$3)-YEAR(X1499))*14)+MONTH(X1499)+2,FALSE)))</f>
        <v>0</v>
      </c>
      <c r="AB1499" s="306">
        <f t="shared" si="399"/>
        <v>0</v>
      </c>
      <c r="AC1499" s="305">
        <f>+IF(X1499=0,0,HLOOKUP(YEAR(X1499)+(MONTH(X1499)/100),TC!$5:$37,DAY(X1499)+2,FALSE))</f>
        <v>0</v>
      </c>
      <c r="AD1499" s="307">
        <f t="shared" si="400"/>
        <v>0</v>
      </c>
      <c r="AE1499" s="314">
        <f t="shared" si="401"/>
        <v>0</v>
      </c>
      <c r="AF1499" s="315">
        <f t="shared" si="402"/>
        <v>0</v>
      </c>
      <c r="AG1499" s="316">
        <f t="shared" si="403"/>
        <v>0</v>
      </c>
      <c r="AH1499" s="314">
        <v>1</v>
      </c>
      <c r="AI1499" s="314">
        <f t="shared" si="404"/>
        <v>0</v>
      </c>
      <c r="AJ1499" s="314">
        <f t="shared" si="405"/>
        <v>0</v>
      </c>
      <c r="AK1499" s="317"/>
      <c r="AL1499" s="315">
        <f t="shared" si="406"/>
        <v>0</v>
      </c>
      <c r="AN1499" s="554">
        <f t="shared" si="407"/>
        <v>0</v>
      </c>
      <c r="AO1499" s="314"/>
      <c r="AP1499" s="318"/>
    </row>
    <row r="1500" spans="2:42">
      <c r="B1500" s="296"/>
      <c r="C1500" s="299"/>
      <c r="D1500" s="298"/>
      <c r="E1500" s="299"/>
      <c r="F1500" s="299"/>
      <c r="G1500" s="300"/>
      <c r="H1500" s="303"/>
      <c r="I1500" s="301">
        <f t="shared" si="391"/>
        <v>0</v>
      </c>
      <c r="J1500" s="302">
        <f t="shared" si="392"/>
        <v>0</v>
      </c>
      <c r="K1500" s="304">
        <f t="shared" si="393"/>
        <v>0</v>
      </c>
      <c r="L1500" s="305">
        <f>IF(H1500=0,0,IF(OR(E1500=$AT$5,E1500=$AT$6),AA1500,IF(F1500="MXN",1/HLOOKUP(YEAR(G1500)+(MONTH(G1500)/100),TC!$5:$37,DAY(G1500)+2,FALSE),VLOOKUP(F1500,Equivalencia!$5:$23,((MAX(Equivalencia!$3:$3)-YEAR(G1500))*14)+MONTH(G1500)+2,FALSE))))</f>
        <v>0</v>
      </c>
      <c r="M1500" s="306">
        <f t="shared" si="394"/>
        <v>0</v>
      </c>
      <c r="N1500" s="305">
        <f>IF(G1500=0,0,(IF(OR(E1500=$AT$5,E1500=$AT$6),AC1500,HLOOKUP(YEAR(G1500)+(MONTH(G1500)/100),TC!$5:$37,DAY(G1500)+2,FALSE))))</f>
        <v>0</v>
      </c>
      <c r="O1500" s="307">
        <f t="shared" si="395"/>
        <v>0</v>
      </c>
      <c r="P1500" s="560">
        <f>IF(G1500=0,0,VLOOKUP(YEAR(G1500),INPC!$B$4:$P$30,MONTH(G1500)+2))</f>
        <v>0</v>
      </c>
      <c r="Q1500" s="560">
        <f>IF(X1500=0,0,IF(OR(E1500=$AT$10,E1500=$AT$9),VLOOKUP(YEAR(X1500),INPC!$B$4:$P$30,MONTH(X1500)+1),VLOOKUP(YEAR(X1500),INPC!$B$4:$P$30,MONTH(X1500)+2,0)))</f>
        <v>0</v>
      </c>
      <c r="R1500" s="309">
        <f t="shared" si="396"/>
        <v>0</v>
      </c>
      <c r="S1500" s="310">
        <f t="shared" si="397"/>
        <v>0</v>
      </c>
      <c r="T1500" s="555">
        <f t="shared" si="398"/>
        <v>0</v>
      </c>
      <c r="U1500" s="311"/>
      <c r="V1500" s="312"/>
      <c r="W1500" s="299"/>
      <c r="X1500" s="300"/>
      <c r="Y1500" s="299"/>
      <c r="Z1500" s="303"/>
      <c r="AA1500" s="305">
        <f>IF(Z1500=0,0,IF(Y1500="MXN",1/HLOOKUP(YEAR(X1500)+(MONTH(X1500)/100),TC!$5:$37,DAY(X1500)+2,FALSE),VLOOKUP(Y1500,Equivalencia!$1:$23,((MAX(Equivalencia!$3:$3)-YEAR(X1500))*14)+MONTH(X1500)+2,FALSE)))</f>
        <v>0</v>
      </c>
      <c r="AB1500" s="306">
        <f t="shared" si="399"/>
        <v>0</v>
      </c>
      <c r="AC1500" s="305">
        <f>+IF(X1500=0,0,HLOOKUP(YEAR(X1500)+(MONTH(X1500)/100),TC!$5:$37,DAY(X1500)+2,FALSE))</f>
        <v>0</v>
      </c>
      <c r="AD1500" s="307">
        <f t="shared" si="400"/>
        <v>0</v>
      </c>
      <c r="AE1500" s="314">
        <f t="shared" si="401"/>
        <v>0</v>
      </c>
      <c r="AF1500" s="315">
        <f t="shared" si="402"/>
        <v>0</v>
      </c>
      <c r="AG1500" s="316">
        <f t="shared" si="403"/>
        <v>0</v>
      </c>
      <c r="AH1500" s="314">
        <v>1</v>
      </c>
      <c r="AI1500" s="314">
        <f t="shared" si="404"/>
        <v>0</v>
      </c>
      <c r="AJ1500" s="314">
        <f t="shared" si="405"/>
        <v>0</v>
      </c>
      <c r="AK1500" s="317"/>
      <c r="AL1500" s="315">
        <f t="shared" si="406"/>
        <v>0</v>
      </c>
      <c r="AN1500" s="554">
        <f t="shared" si="407"/>
        <v>0</v>
      </c>
      <c r="AO1500" s="314"/>
      <c r="AP1500" s="318"/>
    </row>
    <row r="1501" spans="2:42">
      <c r="B1501" s="296"/>
      <c r="C1501" s="299"/>
      <c r="D1501" s="298"/>
      <c r="E1501" s="299"/>
      <c r="F1501" s="299"/>
      <c r="G1501" s="300"/>
      <c r="H1501" s="303"/>
      <c r="I1501" s="301">
        <f t="shared" si="391"/>
        <v>0</v>
      </c>
      <c r="J1501" s="302">
        <f t="shared" si="392"/>
        <v>0</v>
      </c>
      <c r="K1501" s="304">
        <f t="shared" si="393"/>
        <v>0</v>
      </c>
      <c r="L1501" s="305">
        <f>IF(H1501=0,0,IF(OR(E1501=$AT$5,E1501=$AT$6),AA1501,IF(F1501="MXN",1/HLOOKUP(YEAR(G1501)+(MONTH(G1501)/100),TC!$5:$37,DAY(G1501)+2,FALSE),VLOOKUP(F1501,Equivalencia!$5:$23,((MAX(Equivalencia!$3:$3)-YEAR(G1501))*14)+MONTH(G1501)+2,FALSE))))</f>
        <v>0</v>
      </c>
      <c r="M1501" s="306">
        <f t="shared" si="394"/>
        <v>0</v>
      </c>
      <c r="N1501" s="305">
        <f>IF(G1501=0,0,(IF(OR(E1501=$AT$5,E1501=$AT$6),AC1501,HLOOKUP(YEAR(G1501)+(MONTH(G1501)/100),TC!$5:$37,DAY(G1501)+2,FALSE))))</f>
        <v>0</v>
      </c>
      <c r="O1501" s="307">
        <f t="shared" si="395"/>
        <v>0</v>
      </c>
      <c r="P1501" s="560">
        <f>IF(G1501=0,0,VLOOKUP(YEAR(G1501),INPC!$B$4:$P$30,MONTH(G1501)+2))</f>
        <v>0</v>
      </c>
      <c r="Q1501" s="560">
        <f>IF(X1501=0,0,IF(OR(E1501=$AT$10,E1501=$AT$9),VLOOKUP(YEAR(X1501),INPC!$B$4:$P$30,MONTH(X1501)+1),VLOOKUP(YEAR(X1501),INPC!$B$4:$P$30,MONTH(X1501)+2,0)))</f>
        <v>0</v>
      </c>
      <c r="R1501" s="309">
        <f t="shared" si="396"/>
        <v>0</v>
      </c>
      <c r="S1501" s="310">
        <f t="shared" si="397"/>
        <v>0</v>
      </c>
      <c r="T1501" s="555">
        <f t="shared" si="398"/>
        <v>0</v>
      </c>
      <c r="U1501" s="311"/>
      <c r="V1501" s="312"/>
      <c r="W1501" s="299"/>
      <c r="X1501" s="300"/>
      <c r="Y1501" s="299"/>
      <c r="Z1501" s="303"/>
      <c r="AA1501" s="305">
        <f>IF(Z1501=0,0,IF(Y1501="MXN",1/HLOOKUP(YEAR(X1501)+(MONTH(X1501)/100),TC!$5:$37,DAY(X1501)+2,FALSE),VLOOKUP(Y1501,Equivalencia!$1:$23,((MAX(Equivalencia!$3:$3)-YEAR(X1501))*14)+MONTH(X1501)+2,FALSE)))</f>
        <v>0</v>
      </c>
      <c r="AB1501" s="306">
        <f t="shared" si="399"/>
        <v>0</v>
      </c>
      <c r="AC1501" s="305">
        <f>+IF(X1501=0,0,HLOOKUP(YEAR(X1501)+(MONTH(X1501)/100),TC!$5:$37,DAY(X1501)+2,FALSE))</f>
        <v>0</v>
      </c>
      <c r="AD1501" s="307">
        <f t="shared" si="400"/>
        <v>0</v>
      </c>
      <c r="AE1501" s="314">
        <f t="shared" si="401"/>
        <v>0</v>
      </c>
      <c r="AF1501" s="315">
        <f t="shared" si="402"/>
        <v>0</v>
      </c>
      <c r="AG1501" s="316">
        <f t="shared" si="403"/>
        <v>0</v>
      </c>
      <c r="AH1501" s="314">
        <v>1</v>
      </c>
      <c r="AI1501" s="314">
        <f t="shared" si="404"/>
        <v>0</v>
      </c>
      <c r="AJ1501" s="314">
        <f t="shared" si="405"/>
        <v>0</v>
      </c>
      <c r="AK1501" s="317"/>
      <c r="AL1501" s="315">
        <f t="shared" si="406"/>
        <v>0</v>
      </c>
      <c r="AN1501" s="554">
        <f t="shared" si="407"/>
        <v>0</v>
      </c>
      <c r="AO1501" s="314"/>
      <c r="AP1501" s="318"/>
    </row>
    <row r="1502" spans="2:42">
      <c r="B1502" s="296"/>
      <c r="C1502" s="299"/>
      <c r="D1502" s="298"/>
      <c r="E1502" s="299"/>
      <c r="F1502" s="299"/>
      <c r="G1502" s="300"/>
      <c r="H1502" s="303"/>
      <c r="I1502" s="301">
        <f t="shared" si="391"/>
        <v>0</v>
      </c>
      <c r="J1502" s="302">
        <f t="shared" si="392"/>
        <v>0</v>
      </c>
      <c r="K1502" s="304">
        <f t="shared" si="393"/>
        <v>0</v>
      </c>
      <c r="L1502" s="305">
        <f>IF(H1502=0,0,IF(OR(E1502=$AT$5,E1502=$AT$6),AA1502,IF(F1502="MXN",1/HLOOKUP(YEAR(G1502)+(MONTH(G1502)/100),TC!$5:$37,DAY(G1502)+2,FALSE),VLOOKUP(F1502,Equivalencia!$5:$23,((MAX(Equivalencia!$3:$3)-YEAR(G1502))*14)+MONTH(G1502)+2,FALSE))))</f>
        <v>0</v>
      </c>
      <c r="M1502" s="306">
        <f t="shared" si="394"/>
        <v>0</v>
      </c>
      <c r="N1502" s="305">
        <f>IF(G1502=0,0,(IF(OR(E1502=$AT$5,E1502=$AT$6),AC1502,HLOOKUP(YEAR(G1502)+(MONTH(G1502)/100),TC!$5:$37,DAY(G1502)+2,FALSE))))</f>
        <v>0</v>
      </c>
      <c r="O1502" s="307">
        <f t="shared" si="395"/>
        <v>0</v>
      </c>
      <c r="P1502" s="560">
        <f>IF(G1502=0,0,VLOOKUP(YEAR(G1502),INPC!$B$4:$P$30,MONTH(G1502)+2))</f>
        <v>0</v>
      </c>
      <c r="Q1502" s="560">
        <f>IF(X1502=0,0,IF(OR(E1502=$AT$10,E1502=$AT$9),VLOOKUP(YEAR(X1502),INPC!$B$4:$P$30,MONTH(X1502)+1),VLOOKUP(YEAR(X1502),INPC!$B$4:$P$30,MONTH(X1502)+2,0)))</f>
        <v>0</v>
      </c>
      <c r="R1502" s="309">
        <f t="shared" si="396"/>
        <v>0</v>
      </c>
      <c r="S1502" s="310">
        <f t="shared" si="397"/>
        <v>0</v>
      </c>
      <c r="T1502" s="555">
        <f t="shared" si="398"/>
        <v>0</v>
      </c>
      <c r="U1502" s="311"/>
      <c r="V1502" s="312"/>
      <c r="W1502" s="299"/>
      <c r="X1502" s="300"/>
      <c r="Y1502" s="299"/>
      <c r="Z1502" s="303"/>
      <c r="AA1502" s="305">
        <f>IF(Z1502=0,0,IF(Y1502="MXN",1/HLOOKUP(YEAR(X1502)+(MONTH(X1502)/100),TC!$5:$37,DAY(X1502)+2,FALSE),VLOOKUP(Y1502,Equivalencia!$1:$23,((MAX(Equivalencia!$3:$3)-YEAR(X1502))*14)+MONTH(X1502)+2,FALSE)))</f>
        <v>0</v>
      </c>
      <c r="AB1502" s="306">
        <f t="shared" si="399"/>
        <v>0</v>
      </c>
      <c r="AC1502" s="305">
        <f>+IF(X1502=0,0,HLOOKUP(YEAR(X1502)+(MONTH(X1502)/100),TC!$5:$37,DAY(X1502)+2,FALSE))</f>
        <v>0</v>
      </c>
      <c r="AD1502" s="307">
        <f t="shared" si="400"/>
        <v>0</v>
      </c>
      <c r="AE1502" s="314">
        <f t="shared" si="401"/>
        <v>0</v>
      </c>
      <c r="AF1502" s="315">
        <f t="shared" si="402"/>
        <v>0</v>
      </c>
      <c r="AG1502" s="316">
        <f t="shared" si="403"/>
        <v>0</v>
      </c>
      <c r="AH1502" s="314">
        <v>1</v>
      </c>
      <c r="AI1502" s="314">
        <f t="shared" si="404"/>
        <v>0</v>
      </c>
      <c r="AJ1502" s="314">
        <f t="shared" si="405"/>
        <v>0</v>
      </c>
      <c r="AK1502" s="317"/>
      <c r="AL1502" s="315">
        <f t="shared" si="406"/>
        <v>0</v>
      </c>
      <c r="AN1502" s="554">
        <f t="shared" si="407"/>
        <v>0</v>
      </c>
      <c r="AO1502" s="314"/>
      <c r="AP1502" s="318"/>
    </row>
    <row r="1503" spans="2:42">
      <c r="B1503" s="296"/>
      <c r="C1503" s="299"/>
      <c r="D1503" s="298"/>
      <c r="E1503" s="299"/>
      <c r="F1503" s="299"/>
      <c r="G1503" s="300"/>
      <c r="H1503" s="303"/>
      <c r="I1503" s="301">
        <f t="shared" si="391"/>
        <v>0</v>
      </c>
      <c r="J1503" s="302">
        <f t="shared" si="392"/>
        <v>0</v>
      </c>
      <c r="K1503" s="304">
        <f t="shared" si="393"/>
        <v>0</v>
      </c>
      <c r="L1503" s="305">
        <f>IF(H1503=0,0,IF(OR(E1503=$AT$5,E1503=$AT$6),AA1503,IF(F1503="MXN",1/HLOOKUP(YEAR(G1503)+(MONTH(G1503)/100),TC!$5:$37,DAY(G1503)+2,FALSE),VLOOKUP(F1503,Equivalencia!$5:$23,((MAX(Equivalencia!$3:$3)-YEAR(G1503))*14)+MONTH(G1503)+2,FALSE))))</f>
        <v>0</v>
      </c>
      <c r="M1503" s="306">
        <f t="shared" si="394"/>
        <v>0</v>
      </c>
      <c r="N1503" s="305">
        <f>IF(G1503=0,0,(IF(OR(E1503=$AT$5,E1503=$AT$6),AC1503,HLOOKUP(YEAR(G1503)+(MONTH(G1503)/100),TC!$5:$37,DAY(G1503)+2,FALSE))))</f>
        <v>0</v>
      </c>
      <c r="O1503" s="307">
        <f t="shared" si="395"/>
        <v>0</v>
      </c>
      <c r="P1503" s="560">
        <f>IF(G1503=0,0,VLOOKUP(YEAR(G1503),INPC!$B$4:$P$30,MONTH(G1503)+2))</f>
        <v>0</v>
      </c>
      <c r="Q1503" s="560">
        <f>IF(X1503=0,0,IF(OR(E1503=$AT$10,E1503=$AT$9),VLOOKUP(YEAR(X1503),INPC!$B$4:$P$30,MONTH(X1503)+1),VLOOKUP(YEAR(X1503),INPC!$B$4:$P$30,MONTH(X1503)+2,0)))</f>
        <v>0</v>
      </c>
      <c r="R1503" s="309">
        <f t="shared" si="396"/>
        <v>0</v>
      </c>
      <c r="S1503" s="310">
        <f t="shared" si="397"/>
        <v>0</v>
      </c>
      <c r="T1503" s="555">
        <f t="shared" si="398"/>
        <v>0</v>
      </c>
      <c r="U1503" s="311"/>
      <c r="V1503" s="312"/>
      <c r="W1503" s="299"/>
      <c r="X1503" s="300"/>
      <c r="Y1503" s="299"/>
      <c r="Z1503" s="303"/>
      <c r="AA1503" s="305">
        <f>IF(Z1503=0,0,IF(Y1503="MXN",1/HLOOKUP(YEAR(X1503)+(MONTH(X1503)/100),TC!$5:$37,DAY(X1503)+2,FALSE),VLOOKUP(Y1503,Equivalencia!$1:$23,((MAX(Equivalencia!$3:$3)-YEAR(X1503))*14)+MONTH(X1503)+2,FALSE)))</f>
        <v>0</v>
      </c>
      <c r="AB1503" s="306">
        <f t="shared" si="399"/>
        <v>0</v>
      </c>
      <c r="AC1503" s="305">
        <f>+IF(X1503=0,0,HLOOKUP(YEAR(X1503)+(MONTH(X1503)/100),TC!$5:$37,DAY(X1503)+2,FALSE))</f>
        <v>0</v>
      </c>
      <c r="AD1503" s="307">
        <f t="shared" si="400"/>
        <v>0</v>
      </c>
      <c r="AE1503" s="314">
        <f t="shared" si="401"/>
        <v>0</v>
      </c>
      <c r="AF1503" s="315">
        <f t="shared" si="402"/>
        <v>0</v>
      </c>
      <c r="AG1503" s="316">
        <f t="shared" si="403"/>
        <v>0</v>
      </c>
      <c r="AH1503" s="314">
        <v>1</v>
      </c>
      <c r="AI1503" s="314">
        <f t="shared" si="404"/>
        <v>0</v>
      </c>
      <c r="AJ1503" s="314">
        <f t="shared" si="405"/>
        <v>0</v>
      </c>
      <c r="AK1503" s="317"/>
      <c r="AL1503" s="315">
        <f t="shared" si="406"/>
        <v>0</v>
      </c>
      <c r="AN1503" s="554">
        <f t="shared" si="407"/>
        <v>0</v>
      </c>
      <c r="AO1503" s="314"/>
      <c r="AP1503" s="318"/>
    </row>
    <row r="1504" spans="2:42">
      <c r="B1504" s="296"/>
      <c r="C1504" s="299"/>
      <c r="D1504" s="298"/>
      <c r="E1504" s="299"/>
      <c r="F1504" s="299"/>
      <c r="G1504" s="300"/>
      <c r="H1504" s="303"/>
      <c r="I1504" s="301">
        <f t="shared" si="391"/>
        <v>0</v>
      </c>
      <c r="J1504" s="302">
        <f t="shared" si="392"/>
        <v>0</v>
      </c>
      <c r="K1504" s="304">
        <f t="shared" si="393"/>
        <v>0</v>
      </c>
      <c r="L1504" s="305">
        <f>IF(H1504=0,0,IF(OR(E1504=$AT$5,E1504=$AT$6),AA1504,IF(F1504="MXN",1/HLOOKUP(YEAR(G1504)+(MONTH(G1504)/100),TC!$5:$37,DAY(G1504)+2,FALSE),VLOOKUP(F1504,Equivalencia!$5:$23,((MAX(Equivalencia!$3:$3)-YEAR(G1504))*14)+MONTH(G1504)+2,FALSE))))</f>
        <v>0</v>
      </c>
      <c r="M1504" s="306">
        <f t="shared" si="394"/>
        <v>0</v>
      </c>
      <c r="N1504" s="305">
        <f>IF(G1504=0,0,(IF(OR(E1504=$AT$5,E1504=$AT$6),AC1504,HLOOKUP(YEAR(G1504)+(MONTH(G1504)/100),TC!$5:$37,DAY(G1504)+2,FALSE))))</f>
        <v>0</v>
      </c>
      <c r="O1504" s="307">
        <f t="shared" si="395"/>
        <v>0</v>
      </c>
      <c r="P1504" s="560">
        <f>IF(G1504=0,0,VLOOKUP(YEAR(G1504),INPC!$B$4:$P$30,MONTH(G1504)+2))</f>
        <v>0</v>
      </c>
      <c r="Q1504" s="560">
        <f>IF(X1504=0,0,IF(OR(E1504=$AT$10,E1504=$AT$9),VLOOKUP(YEAR(X1504),INPC!$B$4:$P$30,MONTH(X1504)+1),VLOOKUP(YEAR(X1504),INPC!$B$4:$P$30,MONTH(X1504)+2,0)))</f>
        <v>0</v>
      </c>
      <c r="R1504" s="309">
        <f t="shared" si="396"/>
        <v>0</v>
      </c>
      <c r="S1504" s="310">
        <f t="shared" si="397"/>
        <v>0</v>
      </c>
      <c r="T1504" s="555">
        <f t="shared" si="398"/>
        <v>0</v>
      </c>
      <c r="U1504" s="311"/>
      <c r="V1504" s="312"/>
      <c r="W1504" s="299"/>
      <c r="X1504" s="300"/>
      <c r="Y1504" s="299"/>
      <c r="Z1504" s="303"/>
      <c r="AA1504" s="305">
        <f>IF(Z1504=0,0,IF(Y1504="MXN",1/HLOOKUP(YEAR(X1504)+(MONTH(X1504)/100),TC!$5:$37,DAY(X1504)+2,FALSE),VLOOKUP(Y1504,Equivalencia!$1:$23,((MAX(Equivalencia!$3:$3)-YEAR(X1504))*14)+MONTH(X1504)+2,FALSE)))</f>
        <v>0</v>
      </c>
      <c r="AB1504" s="306">
        <f t="shared" si="399"/>
        <v>0</v>
      </c>
      <c r="AC1504" s="305">
        <f>+IF(X1504=0,0,HLOOKUP(YEAR(X1504)+(MONTH(X1504)/100),TC!$5:$37,DAY(X1504)+2,FALSE))</f>
        <v>0</v>
      </c>
      <c r="AD1504" s="307">
        <f t="shared" si="400"/>
        <v>0</v>
      </c>
      <c r="AE1504" s="314">
        <f t="shared" si="401"/>
        <v>0</v>
      </c>
      <c r="AF1504" s="315">
        <f t="shared" si="402"/>
        <v>0</v>
      </c>
      <c r="AG1504" s="316">
        <f t="shared" si="403"/>
        <v>0</v>
      </c>
      <c r="AH1504" s="314">
        <v>1</v>
      </c>
      <c r="AI1504" s="314">
        <f t="shared" si="404"/>
        <v>0</v>
      </c>
      <c r="AJ1504" s="314">
        <f t="shared" si="405"/>
        <v>0</v>
      </c>
      <c r="AK1504" s="317"/>
      <c r="AL1504" s="315">
        <f t="shared" si="406"/>
        <v>0</v>
      </c>
      <c r="AN1504" s="554">
        <f t="shared" si="407"/>
        <v>0</v>
      </c>
      <c r="AO1504" s="314"/>
      <c r="AP1504" s="318"/>
    </row>
    <row r="1505" spans="2:42">
      <c r="B1505" s="296"/>
      <c r="C1505" s="299"/>
      <c r="D1505" s="298"/>
      <c r="E1505" s="299"/>
      <c r="F1505" s="299"/>
      <c r="G1505" s="300"/>
      <c r="H1505" s="303"/>
      <c r="I1505" s="301">
        <f t="shared" si="391"/>
        <v>0</v>
      </c>
      <c r="J1505" s="302">
        <f t="shared" si="392"/>
        <v>0</v>
      </c>
      <c r="K1505" s="304">
        <f t="shared" si="393"/>
        <v>0</v>
      </c>
      <c r="L1505" s="305">
        <f>IF(H1505=0,0,IF(OR(E1505=$AT$5,E1505=$AT$6),AA1505,IF(F1505="MXN",1/HLOOKUP(YEAR(G1505)+(MONTH(G1505)/100),TC!$5:$37,DAY(G1505)+2,FALSE),VLOOKUP(F1505,Equivalencia!$5:$23,((MAX(Equivalencia!$3:$3)-YEAR(G1505))*14)+MONTH(G1505)+2,FALSE))))</f>
        <v>0</v>
      </c>
      <c r="M1505" s="306">
        <f t="shared" si="394"/>
        <v>0</v>
      </c>
      <c r="N1505" s="305">
        <f>IF(G1505=0,0,(IF(OR(E1505=$AT$5,E1505=$AT$6),AC1505,HLOOKUP(YEAR(G1505)+(MONTH(G1505)/100),TC!$5:$37,DAY(G1505)+2,FALSE))))</f>
        <v>0</v>
      </c>
      <c r="O1505" s="307">
        <f t="shared" si="395"/>
        <v>0</v>
      </c>
      <c r="P1505" s="560">
        <f>IF(G1505=0,0,VLOOKUP(YEAR(G1505),INPC!$B$4:$P$30,MONTH(G1505)+2))</f>
        <v>0</v>
      </c>
      <c r="Q1505" s="560">
        <f>IF(X1505=0,0,IF(OR(E1505=$AT$10,E1505=$AT$9),VLOOKUP(YEAR(X1505),INPC!$B$4:$P$30,MONTH(X1505)+1),VLOOKUP(YEAR(X1505),INPC!$B$4:$P$30,MONTH(X1505)+2,0)))</f>
        <v>0</v>
      </c>
      <c r="R1505" s="309">
        <f t="shared" si="396"/>
        <v>0</v>
      </c>
      <c r="S1505" s="310">
        <f t="shared" si="397"/>
        <v>0</v>
      </c>
      <c r="T1505" s="555">
        <f t="shared" si="398"/>
        <v>0</v>
      </c>
      <c r="U1505" s="311"/>
      <c r="V1505" s="312"/>
      <c r="W1505" s="299"/>
      <c r="X1505" s="300"/>
      <c r="Y1505" s="299"/>
      <c r="Z1505" s="303"/>
      <c r="AA1505" s="305">
        <f>IF(Z1505=0,0,IF(Y1505="MXN",1/HLOOKUP(YEAR(X1505)+(MONTH(X1505)/100),TC!$5:$37,DAY(X1505)+2,FALSE),VLOOKUP(Y1505,Equivalencia!$1:$23,((MAX(Equivalencia!$3:$3)-YEAR(X1505))*14)+MONTH(X1505)+2,FALSE)))</f>
        <v>0</v>
      </c>
      <c r="AB1505" s="306">
        <f t="shared" si="399"/>
        <v>0</v>
      </c>
      <c r="AC1505" s="305">
        <f>+IF(X1505=0,0,HLOOKUP(YEAR(X1505)+(MONTH(X1505)/100),TC!$5:$37,DAY(X1505)+2,FALSE))</f>
        <v>0</v>
      </c>
      <c r="AD1505" s="307">
        <f t="shared" si="400"/>
        <v>0</v>
      </c>
      <c r="AE1505" s="314">
        <f t="shared" si="401"/>
        <v>0</v>
      </c>
      <c r="AF1505" s="315">
        <f t="shared" si="402"/>
        <v>0</v>
      </c>
      <c r="AG1505" s="316">
        <f t="shared" si="403"/>
        <v>0</v>
      </c>
      <c r="AH1505" s="314">
        <v>1</v>
      </c>
      <c r="AI1505" s="314">
        <f t="shared" si="404"/>
        <v>0</v>
      </c>
      <c r="AJ1505" s="314">
        <f t="shared" si="405"/>
        <v>0</v>
      </c>
      <c r="AK1505" s="317"/>
      <c r="AL1505" s="315">
        <f t="shared" si="406"/>
        <v>0</v>
      </c>
      <c r="AN1505" s="554">
        <f t="shared" si="407"/>
        <v>0</v>
      </c>
      <c r="AO1505" s="314"/>
      <c r="AP1505" s="318"/>
    </row>
    <row r="1506" spans="2:42">
      <c r="B1506" s="296"/>
      <c r="C1506" s="299"/>
      <c r="D1506" s="298"/>
      <c r="E1506" s="299"/>
      <c r="F1506" s="299"/>
      <c r="G1506" s="300"/>
      <c r="H1506" s="303"/>
      <c r="I1506" s="301">
        <f t="shared" si="391"/>
        <v>0</v>
      </c>
      <c r="J1506" s="302">
        <f t="shared" si="392"/>
        <v>0</v>
      </c>
      <c r="K1506" s="304">
        <f t="shared" si="393"/>
        <v>0</v>
      </c>
      <c r="L1506" s="305">
        <f>IF(H1506=0,0,IF(OR(E1506=$AT$5,E1506=$AT$6),AA1506,IF(F1506="MXN",1/HLOOKUP(YEAR(G1506)+(MONTH(G1506)/100),TC!$5:$37,DAY(G1506)+2,FALSE),VLOOKUP(F1506,Equivalencia!$5:$23,((MAX(Equivalencia!$3:$3)-YEAR(G1506))*14)+MONTH(G1506)+2,FALSE))))</f>
        <v>0</v>
      </c>
      <c r="M1506" s="306">
        <f t="shared" si="394"/>
        <v>0</v>
      </c>
      <c r="N1506" s="305">
        <f>IF(G1506=0,0,(IF(OR(E1506=$AT$5,E1506=$AT$6),AC1506,HLOOKUP(YEAR(G1506)+(MONTH(G1506)/100),TC!$5:$37,DAY(G1506)+2,FALSE))))</f>
        <v>0</v>
      </c>
      <c r="O1506" s="307">
        <f t="shared" si="395"/>
        <v>0</v>
      </c>
      <c r="P1506" s="560">
        <f>IF(G1506=0,0,VLOOKUP(YEAR(G1506),INPC!$B$4:$P$30,MONTH(G1506)+2))</f>
        <v>0</v>
      </c>
      <c r="Q1506" s="560">
        <f>IF(X1506=0,0,IF(OR(E1506=$AT$10,E1506=$AT$9),VLOOKUP(YEAR(X1506),INPC!$B$4:$P$30,MONTH(X1506)+1),VLOOKUP(YEAR(X1506),INPC!$B$4:$P$30,MONTH(X1506)+2,0)))</f>
        <v>0</v>
      </c>
      <c r="R1506" s="309">
        <f t="shared" si="396"/>
        <v>0</v>
      </c>
      <c r="S1506" s="310">
        <f t="shared" si="397"/>
        <v>0</v>
      </c>
      <c r="T1506" s="555">
        <f t="shared" si="398"/>
        <v>0</v>
      </c>
      <c r="U1506" s="311"/>
      <c r="V1506" s="312"/>
      <c r="W1506" s="299"/>
      <c r="X1506" s="300"/>
      <c r="Y1506" s="299"/>
      <c r="Z1506" s="303"/>
      <c r="AA1506" s="305">
        <f>IF(Z1506=0,0,IF(Y1506="MXN",1/HLOOKUP(YEAR(X1506)+(MONTH(X1506)/100),TC!$5:$37,DAY(X1506)+2,FALSE),VLOOKUP(Y1506,Equivalencia!$1:$23,((MAX(Equivalencia!$3:$3)-YEAR(X1506))*14)+MONTH(X1506)+2,FALSE)))</f>
        <v>0</v>
      </c>
      <c r="AB1506" s="306">
        <f t="shared" si="399"/>
        <v>0</v>
      </c>
      <c r="AC1506" s="305">
        <f>+IF(X1506=0,0,HLOOKUP(YEAR(X1506)+(MONTH(X1506)/100),TC!$5:$37,DAY(X1506)+2,FALSE))</f>
        <v>0</v>
      </c>
      <c r="AD1506" s="307">
        <f t="shared" si="400"/>
        <v>0</v>
      </c>
      <c r="AE1506" s="314">
        <f t="shared" si="401"/>
        <v>0</v>
      </c>
      <c r="AF1506" s="315">
        <f t="shared" si="402"/>
        <v>0</v>
      </c>
      <c r="AG1506" s="316">
        <f t="shared" si="403"/>
        <v>0</v>
      </c>
      <c r="AH1506" s="314">
        <v>1</v>
      </c>
      <c r="AI1506" s="314">
        <f t="shared" si="404"/>
        <v>0</v>
      </c>
      <c r="AJ1506" s="314">
        <f t="shared" si="405"/>
        <v>0</v>
      </c>
      <c r="AK1506" s="317"/>
      <c r="AL1506" s="315">
        <f t="shared" si="406"/>
        <v>0</v>
      </c>
      <c r="AN1506" s="554">
        <f t="shared" si="407"/>
        <v>0</v>
      </c>
      <c r="AO1506" s="314"/>
      <c r="AP1506" s="318"/>
    </row>
    <row r="1507" spans="2:42">
      <c r="B1507" s="296"/>
      <c r="C1507" s="299"/>
      <c r="D1507" s="298"/>
      <c r="E1507" s="299"/>
      <c r="F1507" s="299"/>
      <c r="G1507" s="300"/>
      <c r="H1507" s="303"/>
      <c r="I1507" s="301">
        <f t="shared" si="391"/>
        <v>0</v>
      </c>
      <c r="J1507" s="302">
        <f t="shared" si="392"/>
        <v>0</v>
      </c>
      <c r="K1507" s="304">
        <f t="shared" si="393"/>
        <v>0</v>
      </c>
      <c r="L1507" s="305">
        <f>IF(H1507=0,0,IF(OR(E1507=$AT$5,E1507=$AT$6),AA1507,IF(F1507="MXN",1/HLOOKUP(YEAR(G1507)+(MONTH(G1507)/100),TC!$5:$37,DAY(G1507)+2,FALSE),VLOOKUP(F1507,Equivalencia!$5:$23,((MAX(Equivalencia!$3:$3)-YEAR(G1507))*14)+MONTH(G1507)+2,FALSE))))</f>
        <v>0</v>
      </c>
      <c r="M1507" s="306">
        <f t="shared" si="394"/>
        <v>0</v>
      </c>
      <c r="N1507" s="305">
        <f>IF(G1507=0,0,(IF(OR(E1507=$AT$5,E1507=$AT$6),AC1507,HLOOKUP(YEAR(G1507)+(MONTH(G1507)/100),TC!$5:$37,DAY(G1507)+2,FALSE))))</f>
        <v>0</v>
      </c>
      <c r="O1507" s="307">
        <f t="shared" si="395"/>
        <v>0</v>
      </c>
      <c r="P1507" s="560">
        <f>IF(G1507=0,0,VLOOKUP(YEAR(G1507),INPC!$B$4:$P$30,MONTH(G1507)+2))</f>
        <v>0</v>
      </c>
      <c r="Q1507" s="560">
        <f>IF(X1507=0,0,IF(OR(E1507=$AT$10,E1507=$AT$9),VLOOKUP(YEAR(X1507),INPC!$B$4:$P$30,MONTH(X1507)+1),VLOOKUP(YEAR(X1507),INPC!$B$4:$P$30,MONTH(X1507)+2,0)))</f>
        <v>0</v>
      </c>
      <c r="R1507" s="309">
        <f t="shared" si="396"/>
        <v>0</v>
      </c>
      <c r="S1507" s="310">
        <f t="shared" si="397"/>
        <v>0</v>
      </c>
      <c r="T1507" s="555">
        <f t="shared" si="398"/>
        <v>0</v>
      </c>
      <c r="U1507" s="311"/>
      <c r="V1507" s="312"/>
      <c r="W1507" s="299"/>
      <c r="X1507" s="300"/>
      <c r="Y1507" s="299"/>
      <c r="Z1507" s="303"/>
      <c r="AA1507" s="305">
        <f>IF(Z1507=0,0,IF(Y1507="MXN",1/HLOOKUP(YEAR(X1507)+(MONTH(X1507)/100),TC!$5:$37,DAY(X1507)+2,FALSE),VLOOKUP(Y1507,Equivalencia!$1:$23,((MAX(Equivalencia!$3:$3)-YEAR(X1507))*14)+MONTH(X1507)+2,FALSE)))</f>
        <v>0</v>
      </c>
      <c r="AB1507" s="306">
        <f t="shared" si="399"/>
        <v>0</v>
      </c>
      <c r="AC1507" s="305">
        <f>+IF(X1507=0,0,HLOOKUP(YEAR(X1507)+(MONTH(X1507)/100),TC!$5:$37,DAY(X1507)+2,FALSE))</f>
        <v>0</v>
      </c>
      <c r="AD1507" s="307">
        <f t="shared" si="400"/>
        <v>0</v>
      </c>
      <c r="AE1507" s="314">
        <f t="shared" si="401"/>
        <v>0</v>
      </c>
      <c r="AF1507" s="315">
        <f t="shared" si="402"/>
        <v>0</v>
      </c>
      <c r="AG1507" s="316">
        <f t="shared" si="403"/>
        <v>0</v>
      </c>
      <c r="AH1507" s="314">
        <v>1</v>
      </c>
      <c r="AI1507" s="314">
        <f t="shared" si="404"/>
        <v>0</v>
      </c>
      <c r="AJ1507" s="314">
        <f t="shared" si="405"/>
        <v>0</v>
      </c>
      <c r="AK1507" s="317"/>
      <c r="AL1507" s="315">
        <f t="shared" si="406"/>
        <v>0</v>
      </c>
      <c r="AN1507" s="554">
        <f t="shared" si="407"/>
        <v>0</v>
      </c>
      <c r="AO1507" s="314"/>
      <c r="AP1507" s="318"/>
    </row>
    <row r="1508" spans="2:42">
      <c r="B1508" s="296"/>
      <c r="C1508" s="299"/>
      <c r="D1508" s="298"/>
      <c r="E1508" s="299"/>
      <c r="F1508" s="299"/>
      <c r="G1508" s="300"/>
      <c r="H1508" s="303"/>
      <c r="I1508" s="301">
        <f t="shared" si="391"/>
        <v>0</v>
      </c>
      <c r="J1508" s="302">
        <f t="shared" si="392"/>
        <v>0</v>
      </c>
      <c r="K1508" s="304">
        <f t="shared" si="393"/>
        <v>0</v>
      </c>
      <c r="L1508" s="305">
        <f>IF(H1508=0,0,IF(OR(E1508=$AT$5,E1508=$AT$6),AA1508,IF(F1508="MXN",1/HLOOKUP(YEAR(G1508)+(MONTH(G1508)/100),TC!$5:$37,DAY(G1508)+2,FALSE),VLOOKUP(F1508,Equivalencia!$5:$23,((MAX(Equivalencia!$3:$3)-YEAR(G1508))*14)+MONTH(G1508)+2,FALSE))))</f>
        <v>0</v>
      </c>
      <c r="M1508" s="306">
        <f t="shared" si="394"/>
        <v>0</v>
      </c>
      <c r="N1508" s="305">
        <f>IF(G1508=0,0,(IF(OR(E1508=$AT$5,E1508=$AT$6),AC1508,HLOOKUP(YEAR(G1508)+(MONTH(G1508)/100),TC!$5:$37,DAY(G1508)+2,FALSE))))</f>
        <v>0</v>
      </c>
      <c r="O1508" s="307">
        <f t="shared" si="395"/>
        <v>0</v>
      </c>
      <c r="P1508" s="560">
        <f>IF(G1508=0,0,VLOOKUP(YEAR(G1508),INPC!$B$4:$P$30,MONTH(G1508)+2))</f>
        <v>0</v>
      </c>
      <c r="Q1508" s="560">
        <f>IF(X1508=0,0,IF(OR(E1508=$AT$10,E1508=$AT$9),VLOOKUP(YEAR(X1508),INPC!$B$4:$P$30,MONTH(X1508)+1),VLOOKUP(YEAR(X1508),INPC!$B$4:$P$30,MONTH(X1508)+2,0)))</f>
        <v>0</v>
      </c>
      <c r="R1508" s="309">
        <f t="shared" si="396"/>
        <v>0</v>
      </c>
      <c r="S1508" s="310">
        <f t="shared" si="397"/>
        <v>0</v>
      </c>
      <c r="T1508" s="555">
        <f t="shared" si="398"/>
        <v>0</v>
      </c>
      <c r="U1508" s="311"/>
      <c r="V1508" s="312"/>
      <c r="W1508" s="299"/>
      <c r="X1508" s="300"/>
      <c r="Y1508" s="299"/>
      <c r="Z1508" s="303"/>
      <c r="AA1508" s="305">
        <f>IF(Z1508=0,0,IF(Y1508="MXN",1/HLOOKUP(YEAR(X1508)+(MONTH(X1508)/100),TC!$5:$37,DAY(X1508)+2,FALSE),VLOOKUP(Y1508,Equivalencia!$1:$23,((MAX(Equivalencia!$3:$3)-YEAR(X1508))*14)+MONTH(X1508)+2,FALSE)))</f>
        <v>0</v>
      </c>
      <c r="AB1508" s="306">
        <f t="shared" si="399"/>
        <v>0</v>
      </c>
      <c r="AC1508" s="305">
        <f>+IF(X1508=0,0,HLOOKUP(YEAR(X1508)+(MONTH(X1508)/100),TC!$5:$37,DAY(X1508)+2,FALSE))</f>
        <v>0</v>
      </c>
      <c r="AD1508" s="307">
        <f t="shared" si="400"/>
        <v>0</v>
      </c>
      <c r="AE1508" s="314">
        <f t="shared" si="401"/>
        <v>0</v>
      </c>
      <c r="AF1508" s="315">
        <f t="shared" si="402"/>
        <v>0</v>
      </c>
      <c r="AG1508" s="316">
        <f t="shared" si="403"/>
        <v>0</v>
      </c>
      <c r="AH1508" s="314">
        <v>1</v>
      </c>
      <c r="AI1508" s="314">
        <f t="shared" si="404"/>
        <v>0</v>
      </c>
      <c r="AJ1508" s="314">
        <f t="shared" si="405"/>
        <v>0</v>
      </c>
      <c r="AK1508" s="317"/>
      <c r="AL1508" s="315">
        <f t="shared" si="406"/>
        <v>0</v>
      </c>
      <c r="AN1508" s="554">
        <f t="shared" si="407"/>
        <v>0</v>
      </c>
      <c r="AO1508" s="314"/>
      <c r="AP1508" s="318"/>
    </row>
    <row r="1509" spans="2:42">
      <c r="B1509" s="296"/>
      <c r="C1509" s="299"/>
      <c r="D1509" s="298"/>
      <c r="E1509" s="299"/>
      <c r="F1509" s="299"/>
      <c r="G1509" s="300"/>
      <c r="H1509" s="303"/>
      <c r="I1509" s="301">
        <f t="shared" si="391"/>
        <v>0</v>
      </c>
      <c r="J1509" s="302">
        <f t="shared" si="392"/>
        <v>0</v>
      </c>
      <c r="K1509" s="304">
        <f t="shared" si="393"/>
        <v>0</v>
      </c>
      <c r="L1509" s="305">
        <f>IF(H1509=0,0,IF(OR(E1509=$AT$5,E1509=$AT$6),AA1509,IF(F1509="MXN",1/HLOOKUP(YEAR(G1509)+(MONTH(G1509)/100),TC!$5:$37,DAY(G1509)+2,FALSE),VLOOKUP(F1509,Equivalencia!$5:$23,((MAX(Equivalencia!$3:$3)-YEAR(G1509))*14)+MONTH(G1509)+2,FALSE))))</f>
        <v>0</v>
      </c>
      <c r="M1509" s="306">
        <f t="shared" si="394"/>
        <v>0</v>
      </c>
      <c r="N1509" s="305">
        <f>IF(G1509=0,0,(IF(OR(E1509=$AT$5,E1509=$AT$6),AC1509,HLOOKUP(YEAR(G1509)+(MONTH(G1509)/100),TC!$5:$37,DAY(G1509)+2,FALSE))))</f>
        <v>0</v>
      </c>
      <c r="O1509" s="307">
        <f t="shared" si="395"/>
        <v>0</v>
      </c>
      <c r="P1509" s="560">
        <f>IF(G1509=0,0,VLOOKUP(YEAR(G1509),INPC!$B$4:$P$30,MONTH(G1509)+2))</f>
        <v>0</v>
      </c>
      <c r="Q1509" s="560">
        <f>IF(X1509=0,0,IF(OR(E1509=$AT$10,E1509=$AT$9),VLOOKUP(YEAR(X1509),INPC!$B$4:$P$30,MONTH(X1509)+1),VLOOKUP(YEAR(X1509),INPC!$B$4:$P$30,MONTH(X1509)+2,0)))</f>
        <v>0</v>
      </c>
      <c r="R1509" s="309">
        <f t="shared" si="396"/>
        <v>0</v>
      </c>
      <c r="S1509" s="310">
        <f t="shared" si="397"/>
        <v>0</v>
      </c>
      <c r="T1509" s="555">
        <f t="shared" si="398"/>
        <v>0</v>
      </c>
      <c r="U1509" s="311"/>
      <c r="V1509" s="312"/>
      <c r="W1509" s="299"/>
      <c r="X1509" s="300"/>
      <c r="Y1509" s="299"/>
      <c r="Z1509" s="303"/>
      <c r="AA1509" s="305">
        <f>IF(Z1509=0,0,IF(Y1509="MXN",1/HLOOKUP(YEAR(X1509)+(MONTH(X1509)/100),TC!$5:$37,DAY(X1509)+2,FALSE),VLOOKUP(Y1509,Equivalencia!$1:$23,((MAX(Equivalencia!$3:$3)-YEAR(X1509))*14)+MONTH(X1509)+2,FALSE)))</f>
        <v>0</v>
      </c>
      <c r="AB1509" s="306">
        <f t="shared" si="399"/>
        <v>0</v>
      </c>
      <c r="AC1509" s="305">
        <f>+IF(X1509=0,0,HLOOKUP(YEAR(X1509)+(MONTH(X1509)/100),TC!$5:$37,DAY(X1509)+2,FALSE))</f>
        <v>0</v>
      </c>
      <c r="AD1509" s="307">
        <f t="shared" si="400"/>
        <v>0</v>
      </c>
      <c r="AE1509" s="314">
        <f t="shared" si="401"/>
        <v>0</v>
      </c>
      <c r="AF1509" s="315">
        <f t="shared" si="402"/>
        <v>0</v>
      </c>
      <c r="AG1509" s="316">
        <f t="shared" si="403"/>
        <v>0</v>
      </c>
      <c r="AH1509" s="314">
        <v>1</v>
      </c>
      <c r="AI1509" s="314">
        <f t="shared" si="404"/>
        <v>0</v>
      </c>
      <c r="AJ1509" s="314">
        <f t="shared" si="405"/>
        <v>0</v>
      </c>
      <c r="AK1509" s="317"/>
      <c r="AL1509" s="315">
        <f t="shared" si="406"/>
        <v>0</v>
      </c>
      <c r="AN1509" s="554">
        <f t="shared" si="407"/>
        <v>0</v>
      </c>
      <c r="AO1509" s="314"/>
      <c r="AP1509" s="318"/>
    </row>
    <row r="1510" spans="2:42">
      <c r="B1510" s="296"/>
      <c r="C1510" s="299"/>
      <c r="D1510" s="298"/>
      <c r="E1510" s="299"/>
      <c r="F1510" s="299"/>
      <c r="G1510" s="300"/>
      <c r="H1510" s="303"/>
      <c r="I1510" s="301">
        <f t="shared" si="391"/>
        <v>0</v>
      </c>
      <c r="J1510" s="302">
        <f t="shared" si="392"/>
        <v>0</v>
      </c>
      <c r="K1510" s="304">
        <f t="shared" si="393"/>
        <v>0</v>
      </c>
      <c r="L1510" s="305">
        <f>IF(H1510=0,0,IF(OR(E1510=$AT$5,E1510=$AT$6),AA1510,IF(F1510="MXN",1/HLOOKUP(YEAR(G1510)+(MONTH(G1510)/100),TC!$5:$37,DAY(G1510)+2,FALSE),VLOOKUP(F1510,Equivalencia!$5:$23,((MAX(Equivalencia!$3:$3)-YEAR(G1510))*14)+MONTH(G1510)+2,FALSE))))</f>
        <v>0</v>
      </c>
      <c r="M1510" s="306">
        <f t="shared" si="394"/>
        <v>0</v>
      </c>
      <c r="N1510" s="305">
        <f>IF(G1510=0,0,(IF(OR(E1510=$AT$5,E1510=$AT$6),AC1510,HLOOKUP(YEAR(G1510)+(MONTH(G1510)/100),TC!$5:$37,DAY(G1510)+2,FALSE))))</f>
        <v>0</v>
      </c>
      <c r="O1510" s="307">
        <f t="shared" si="395"/>
        <v>0</v>
      </c>
      <c r="P1510" s="560">
        <f>IF(G1510=0,0,VLOOKUP(YEAR(G1510),INPC!$B$4:$P$30,MONTH(G1510)+2))</f>
        <v>0</v>
      </c>
      <c r="Q1510" s="560">
        <f>IF(X1510=0,0,IF(OR(E1510=$AT$10,E1510=$AT$9),VLOOKUP(YEAR(X1510),INPC!$B$4:$P$30,MONTH(X1510)+1),VLOOKUP(YEAR(X1510),INPC!$B$4:$P$30,MONTH(X1510)+2,0)))</f>
        <v>0</v>
      </c>
      <c r="R1510" s="309">
        <f t="shared" si="396"/>
        <v>0</v>
      </c>
      <c r="S1510" s="310">
        <f t="shared" si="397"/>
        <v>0</v>
      </c>
      <c r="T1510" s="555">
        <f t="shared" si="398"/>
        <v>0</v>
      </c>
      <c r="U1510" s="311"/>
      <c r="V1510" s="312"/>
      <c r="W1510" s="299"/>
      <c r="X1510" s="300"/>
      <c r="Y1510" s="299"/>
      <c r="Z1510" s="303"/>
      <c r="AA1510" s="305">
        <f>IF(Z1510=0,0,IF(Y1510="MXN",1/HLOOKUP(YEAR(X1510)+(MONTH(X1510)/100),TC!$5:$37,DAY(X1510)+2,FALSE),VLOOKUP(Y1510,Equivalencia!$1:$23,((MAX(Equivalencia!$3:$3)-YEAR(X1510))*14)+MONTH(X1510)+2,FALSE)))</f>
        <v>0</v>
      </c>
      <c r="AB1510" s="306">
        <f t="shared" si="399"/>
        <v>0</v>
      </c>
      <c r="AC1510" s="305">
        <f>+IF(X1510=0,0,HLOOKUP(YEAR(X1510)+(MONTH(X1510)/100),TC!$5:$37,DAY(X1510)+2,FALSE))</f>
        <v>0</v>
      </c>
      <c r="AD1510" s="307">
        <f t="shared" si="400"/>
        <v>0</v>
      </c>
      <c r="AE1510" s="314">
        <f t="shared" si="401"/>
        <v>0</v>
      </c>
      <c r="AF1510" s="315">
        <f t="shared" si="402"/>
        <v>0</v>
      </c>
      <c r="AG1510" s="316">
        <f t="shared" si="403"/>
        <v>0</v>
      </c>
      <c r="AH1510" s="314">
        <v>1</v>
      </c>
      <c r="AI1510" s="314">
        <f t="shared" si="404"/>
        <v>0</v>
      </c>
      <c r="AJ1510" s="314">
        <f t="shared" si="405"/>
        <v>0</v>
      </c>
      <c r="AK1510" s="317"/>
      <c r="AL1510" s="315">
        <f t="shared" si="406"/>
        <v>0</v>
      </c>
      <c r="AN1510" s="554">
        <f t="shared" si="407"/>
        <v>0</v>
      </c>
      <c r="AO1510" s="314"/>
      <c r="AP1510" s="318"/>
    </row>
    <row r="1511" spans="2:42">
      <c r="B1511" s="296"/>
      <c r="C1511" s="299"/>
      <c r="D1511" s="298"/>
      <c r="E1511" s="299"/>
      <c r="F1511" s="299"/>
      <c r="G1511" s="300"/>
      <c r="H1511" s="303"/>
      <c r="I1511" s="301">
        <f t="shared" si="391"/>
        <v>0</v>
      </c>
      <c r="J1511" s="302">
        <f t="shared" si="392"/>
        <v>0</v>
      </c>
      <c r="K1511" s="304">
        <f t="shared" si="393"/>
        <v>0</v>
      </c>
      <c r="L1511" s="305">
        <f>IF(H1511=0,0,IF(OR(E1511=$AT$5,E1511=$AT$6),AA1511,IF(F1511="MXN",1/HLOOKUP(YEAR(G1511)+(MONTH(G1511)/100),TC!$5:$37,DAY(G1511)+2,FALSE),VLOOKUP(F1511,Equivalencia!$5:$23,((MAX(Equivalencia!$3:$3)-YEAR(G1511))*14)+MONTH(G1511)+2,FALSE))))</f>
        <v>0</v>
      </c>
      <c r="M1511" s="306">
        <f t="shared" si="394"/>
        <v>0</v>
      </c>
      <c r="N1511" s="305">
        <f>IF(G1511=0,0,(IF(OR(E1511=$AT$5,E1511=$AT$6),AC1511,HLOOKUP(YEAR(G1511)+(MONTH(G1511)/100),TC!$5:$37,DAY(G1511)+2,FALSE))))</f>
        <v>0</v>
      </c>
      <c r="O1511" s="307">
        <f t="shared" si="395"/>
        <v>0</v>
      </c>
      <c r="P1511" s="560">
        <f>IF(G1511=0,0,VLOOKUP(YEAR(G1511),INPC!$B$4:$P$30,MONTH(G1511)+2))</f>
        <v>0</v>
      </c>
      <c r="Q1511" s="560">
        <f>IF(X1511=0,0,IF(OR(E1511=$AT$10,E1511=$AT$9),VLOOKUP(YEAR(X1511),INPC!$B$4:$P$30,MONTH(X1511)+1),VLOOKUP(YEAR(X1511),INPC!$B$4:$P$30,MONTH(X1511)+2,0)))</f>
        <v>0</v>
      </c>
      <c r="R1511" s="309">
        <f t="shared" si="396"/>
        <v>0</v>
      </c>
      <c r="S1511" s="310">
        <f t="shared" si="397"/>
        <v>0</v>
      </c>
      <c r="T1511" s="555">
        <f t="shared" si="398"/>
        <v>0</v>
      </c>
      <c r="U1511" s="311"/>
      <c r="V1511" s="312"/>
      <c r="W1511" s="299"/>
      <c r="X1511" s="300"/>
      <c r="Y1511" s="299"/>
      <c r="Z1511" s="303"/>
      <c r="AA1511" s="305">
        <f>IF(Z1511=0,0,IF(Y1511="MXN",1/HLOOKUP(YEAR(X1511)+(MONTH(X1511)/100),TC!$5:$37,DAY(X1511)+2,FALSE),VLOOKUP(Y1511,Equivalencia!$1:$23,((MAX(Equivalencia!$3:$3)-YEAR(X1511))*14)+MONTH(X1511)+2,FALSE)))</f>
        <v>0</v>
      </c>
      <c r="AB1511" s="306">
        <f t="shared" si="399"/>
        <v>0</v>
      </c>
      <c r="AC1511" s="305">
        <f>+IF(X1511=0,0,HLOOKUP(YEAR(X1511)+(MONTH(X1511)/100),TC!$5:$37,DAY(X1511)+2,FALSE))</f>
        <v>0</v>
      </c>
      <c r="AD1511" s="307">
        <f t="shared" si="400"/>
        <v>0</v>
      </c>
      <c r="AE1511" s="314">
        <f t="shared" si="401"/>
        <v>0</v>
      </c>
      <c r="AF1511" s="315">
        <f t="shared" si="402"/>
        <v>0</v>
      </c>
      <c r="AG1511" s="316">
        <f t="shared" si="403"/>
        <v>0</v>
      </c>
      <c r="AH1511" s="314">
        <v>1</v>
      </c>
      <c r="AI1511" s="314">
        <f t="shared" si="404"/>
        <v>0</v>
      </c>
      <c r="AJ1511" s="314">
        <f t="shared" si="405"/>
        <v>0</v>
      </c>
      <c r="AK1511" s="317"/>
      <c r="AL1511" s="315">
        <f t="shared" si="406"/>
        <v>0</v>
      </c>
      <c r="AN1511" s="554">
        <f t="shared" si="407"/>
        <v>0</v>
      </c>
      <c r="AO1511" s="314"/>
      <c r="AP1511" s="318"/>
    </row>
    <row r="1512" spans="2:42">
      <c r="B1512" s="296"/>
      <c r="C1512" s="299"/>
      <c r="D1512" s="298"/>
      <c r="E1512" s="299"/>
      <c r="F1512" s="299"/>
      <c r="G1512" s="300"/>
      <c r="H1512" s="303"/>
      <c r="I1512" s="301">
        <f t="shared" si="391"/>
        <v>0</v>
      </c>
      <c r="J1512" s="302">
        <f t="shared" si="392"/>
        <v>0</v>
      </c>
      <c r="K1512" s="304">
        <f t="shared" si="393"/>
        <v>0</v>
      </c>
      <c r="L1512" s="305">
        <f>IF(H1512=0,0,IF(OR(E1512=$AT$5,E1512=$AT$6),AA1512,IF(F1512="MXN",1/HLOOKUP(YEAR(G1512)+(MONTH(G1512)/100),TC!$5:$37,DAY(G1512)+2,FALSE),VLOOKUP(F1512,Equivalencia!$5:$23,((MAX(Equivalencia!$3:$3)-YEAR(G1512))*14)+MONTH(G1512)+2,FALSE))))</f>
        <v>0</v>
      </c>
      <c r="M1512" s="306">
        <f t="shared" si="394"/>
        <v>0</v>
      </c>
      <c r="N1512" s="305">
        <f>IF(G1512=0,0,(IF(OR(E1512=$AT$5,E1512=$AT$6),AC1512,HLOOKUP(YEAR(G1512)+(MONTH(G1512)/100),TC!$5:$37,DAY(G1512)+2,FALSE))))</f>
        <v>0</v>
      </c>
      <c r="O1512" s="307">
        <f t="shared" si="395"/>
        <v>0</v>
      </c>
      <c r="P1512" s="560">
        <f>IF(G1512=0,0,VLOOKUP(YEAR(G1512),INPC!$B$4:$P$30,MONTH(G1512)+2))</f>
        <v>0</v>
      </c>
      <c r="Q1512" s="560">
        <f>IF(X1512=0,0,IF(OR(E1512=$AT$10,E1512=$AT$9),VLOOKUP(YEAR(X1512),INPC!$B$4:$P$30,MONTH(X1512)+1),VLOOKUP(YEAR(X1512),INPC!$B$4:$P$30,MONTH(X1512)+2,0)))</f>
        <v>0</v>
      </c>
      <c r="R1512" s="309">
        <f t="shared" si="396"/>
        <v>0</v>
      </c>
      <c r="S1512" s="310">
        <f t="shared" si="397"/>
        <v>0</v>
      </c>
      <c r="T1512" s="555">
        <f t="shared" si="398"/>
        <v>0</v>
      </c>
      <c r="U1512" s="311"/>
      <c r="V1512" s="312"/>
      <c r="W1512" s="299"/>
      <c r="X1512" s="300"/>
      <c r="Y1512" s="299"/>
      <c r="Z1512" s="303"/>
      <c r="AA1512" s="305">
        <f>IF(Z1512=0,0,IF(Y1512="MXN",1/HLOOKUP(YEAR(X1512)+(MONTH(X1512)/100),TC!$5:$37,DAY(X1512)+2,FALSE),VLOOKUP(Y1512,Equivalencia!$1:$23,((MAX(Equivalencia!$3:$3)-YEAR(X1512))*14)+MONTH(X1512)+2,FALSE)))</f>
        <v>0</v>
      </c>
      <c r="AB1512" s="306">
        <f t="shared" si="399"/>
        <v>0</v>
      </c>
      <c r="AC1512" s="305">
        <f>+IF(X1512=0,0,HLOOKUP(YEAR(X1512)+(MONTH(X1512)/100),TC!$5:$37,DAY(X1512)+2,FALSE))</f>
        <v>0</v>
      </c>
      <c r="AD1512" s="307">
        <f t="shared" si="400"/>
        <v>0</v>
      </c>
      <c r="AE1512" s="314">
        <f t="shared" si="401"/>
        <v>0</v>
      </c>
      <c r="AF1512" s="315">
        <f t="shared" si="402"/>
        <v>0</v>
      </c>
      <c r="AG1512" s="316">
        <f t="shared" si="403"/>
        <v>0</v>
      </c>
      <c r="AH1512" s="314">
        <v>1</v>
      </c>
      <c r="AI1512" s="314">
        <f t="shared" si="404"/>
        <v>0</v>
      </c>
      <c r="AJ1512" s="314">
        <f t="shared" si="405"/>
        <v>0</v>
      </c>
      <c r="AK1512" s="317"/>
      <c r="AL1512" s="315">
        <f t="shared" si="406"/>
        <v>0</v>
      </c>
      <c r="AN1512" s="554">
        <f t="shared" si="407"/>
        <v>0</v>
      </c>
      <c r="AO1512" s="314"/>
      <c r="AP1512" s="318"/>
    </row>
    <row r="1513" spans="2:42">
      <c r="B1513" s="296"/>
      <c r="C1513" s="299"/>
      <c r="D1513" s="298"/>
      <c r="E1513" s="299"/>
      <c r="F1513" s="299"/>
      <c r="G1513" s="300"/>
      <c r="H1513" s="303"/>
      <c r="I1513" s="301">
        <f t="shared" si="391"/>
        <v>0</v>
      </c>
      <c r="J1513" s="302">
        <f t="shared" si="392"/>
        <v>0</v>
      </c>
      <c r="K1513" s="304">
        <f t="shared" si="393"/>
        <v>0</v>
      </c>
      <c r="L1513" s="305">
        <f>IF(H1513=0,0,IF(OR(E1513=$AT$5,E1513=$AT$6),AA1513,IF(F1513="MXN",1/HLOOKUP(YEAR(G1513)+(MONTH(G1513)/100),TC!$5:$37,DAY(G1513)+2,FALSE),VLOOKUP(F1513,Equivalencia!$5:$23,((MAX(Equivalencia!$3:$3)-YEAR(G1513))*14)+MONTH(G1513)+2,FALSE))))</f>
        <v>0</v>
      </c>
      <c r="M1513" s="306">
        <f t="shared" si="394"/>
        <v>0</v>
      </c>
      <c r="N1513" s="305">
        <f>IF(G1513=0,0,(IF(OR(E1513=$AT$5,E1513=$AT$6),AC1513,HLOOKUP(YEAR(G1513)+(MONTH(G1513)/100),TC!$5:$37,DAY(G1513)+2,FALSE))))</f>
        <v>0</v>
      </c>
      <c r="O1513" s="307">
        <f t="shared" si="395"/>
        <v>0</v>
      </c>
      <c r="P1513" s="560">
        <f>IF(G1513=0,0,VLOOKUP(YEAR(G1513),INPC!$B$4:$P$30,MONTH(G1513)+2))</f>
        <v>0</v>
      </c>
      <c r="Q1513" s="560">
        <f>IF(X1513=0,0,IF(OR(E1513=$AT$10,E1513=$AT$9),VLOOKUP(YEAR(X1513),INPC!$B$4:$P$30,MONTH(X1513)+1),VLOOKUP(YEAR(X1513),INPC!$B$4:$P$30,MONTH(X1513)+2,0)))</f>
        <v>0</v>
      </c>
      <c r="R1513" s="309">
        <f t="shared" si="396"/>
        <v>0</v>
      </c>
      <c r="S1513" s="310">
        <f t="shared" si="397"/>
        <v>0</v>
      </c>
      <c r="T1513" s="555">
        <f t="shared" si="398"/>
        <v>0</v>
      </c>
      <c r="U1513" s="311"/>
      <c r="V1513" s="312"/>
      <c r="W1513" s="299"/>
      <c r="X1513" s="300"/>
      <c r="Y1513" s="299"/>
      <c r="Z1513" s="303"/>
      <c r="AA1513" s="305">
        <f>IF(Z1513=0,0,IF(Y1513="MXN",1/HLOOKUP(YEAR(X1513)+(MONTH(X1513)/100),TC!$5:$37,DAY(X1513)+2,FALSE),VLOOKUP(Y1513,Equivalencia!$1:$23,((MAX(Equivalencia!$3:$3)-YEAR(X1513))*14)+MONTH(X1513)+2,FALSE)))</f>
        <v>0</v>
      </c>
      <c r="AB1513" s="306">
        <f t="shared" si="399"/>
        <v>0</v>
      </c>
      <c r="AC1513" s="305">
        <f>+IF(X1513=0,0,HLOOKUP(YEAR(X1513)+(MONTH(X1513)/100),TC!$5:$37,DAY(X1513)+2,FALSE))</f>
        <v>0</v>
      </c>
      <c r="AD1513" s="307">
        <f t="shared" si="400"/>
        <v>0</v>
      </c>
      <c r="AE1513" s="314">
        <f t="shared" si="401"/>
        <v>0</v>
      </c>
      <c r="AF1513" s="315">
        <f t="shared" si="402"/>
        <v>0</v>
      </c>
      <c r="AG1513" s="316">
        <f t="shared" si="403"/>
        <v>0</v>
      </c>
      <c r="AH1513" s="314">
        <v>1</v>
      </c>
      <c r="AI1513" s="314">
        <f t="shared" si="404"/>
        <v>0</v>
      </c>
      <c r="AJ1513" s="314">
        <f t="shared" si="405"/>
        <v>0</v>
      </c>
      <c r="AK1513" s="317"/>
      <c r="AL1513" s="315">
        <f t="shared" si="406"/>
        <v>0</v>
      </c>
      <c r="AN1513" s="554">
        <f t="shared" si="407"/>
        <v>0</v>
      </c>
      <c r="AO1513" s="314"/>
      <c r="AP1513" s="318"/>
    </row>
    <row r="1514" spans="2:42">
      <c r="B1514" s="296"/>
      <c r="C1514" s="299"/>
      <c r="D1514" s="298"/>
      <c r="E1514" s="299"/>
      <c r="F1514" s="299"/>
      <c r="G1514" s="300"/>
      <c r="H1514" s="303"/>
      <c r="I1514" s="301">
        <f t="shared" si="391"/>
        <v>0</v>
      </c>
      <c r="J1514" s="302">
        <f t="shared" si="392"/>
        <v>0</v>
      </c>
      <c r="K1514" s="304">
        <f t="shared" si="393"/>
        <v>0</v>
      </c>
      <c r="L1514" s="305">
        <f>IF(H1514=0,0,IF(OR(E1514=$AT$5,E1514=$AT$6),AA1514,IF(F1514="MXN",1/HLOOKUP(YEAR(G1514)+(MONTH(G1514)/100),TC!$5:$37,DAY(G1514)+2,FALSE),VLOOKUP(F1514,Equivalencia!$5:$23,((MAX(Equivalencia!$3:$3)-YEAR(G1514))*14)+MONTH(G1514)+2,FALSE))))</f>
        <v>0</v>
      </c>
      <c r="M1514" s="306">
        <f t="shared" si="394"/>
        <v>0</v>
      </c>
      <c r="N1514" s="305">
        <f>IF(G1514=0,0,(IF(OR(E1514=$AT$5,E1514=$AT$6),AC1514,HLOOKUP(YEAR(G1514)+(MONTH(G1514)/100),TC!$5:$37,DAY(G1514)+2,FALSE))))</f>
        <v>0</v>
      </c>
      <c r="O1514" s="307">
        <f t="shared" si="395"/>
        <v>0</v>
      </c>
      <c r="P1514" s="560">
        <f>IF(G1514=0,0,VLOOKUP(YEAR(G1514),INPC!$B$4:$P$30,MONTH(G1514)+2))</f>
        <v>0</v>
      </c>
      <c r="Q1514" s="560">
        <f>IF(X1514=0,0,IF(OR(E1514=$AT$10,E1514=$AT$9),VLOOKUP(YEAR(X1514),INPC!$B$4:$P$30,MONTH(X1514)+1),VLOOKUP(YEAR(X1514),INPC!$B$4:$P$30,MONTH(X1514)+2,0)))</f>
        <v>0</v>
      </c>
      <c r="R1514" s="309">
        <f t="shared" si="396"/>
        <v>0</v>
      </c>
      <c r="S1514" s="310">
        <f t="shared" si="397"/>
        <v>0</v>
      </c>
      <c r="T1514" s="555">
        <f t="shared" si="398"/>
        <v>0</v>
      </c>
      <c r="U1514" s="311"/>
      <c r="V1514" s="312"/>
      <c r="W1514" s="299"/>
      <c r="X1514" s="300"/>
      <c r="Y1514" s="299"/>
      <c r="Z1514" s="303"/>
      <c r="AA1514" s="305">
        <f>IF(Z1514=0,0,IF(Y1514="MXN",1/HLOOKUP(YEAR(X1514)+(MONTH(X1514)/100),TC!$5:$37,DAY(X1514)+2,FALSE),VLOOKUP(Y1514,Equivalencia!$1:$23,((MAX(Equivalencia!$3:$3)-YEAR(X1514))*14)+MONTH(X1514)+2,FALSE)))</f>
        <v>0</v>
      </c>
      <c r="AB1514" s="306">
        <f t="shared" si="399"/>
        <v>0</v>
      </c>
      <c r="AC1514" s="305">
        <f>+IF(X1514=0,0,HLOOKUP(YEAR(X1514)+(MONTH(X1514)/100),TC!$5:$37,DAY(X1514)+2,FALSE))</f>
        <v>0</v>
      </c>
      <c r="AD1514" s="307">
        <f t="shared" si="400"/>
        <v>0</v>
      </c>
      <c r="AE1514" s="314">
        <f t="shared" si="401"/>
        <v>0</v>
      </c>
      <c r="AF1514" s="315">
        <f t="shared" si="402"/>
        <v>0</v>
      </c>
      <c r="AG1514" s="316">
        <f t="shared" si="403"/>
        <v>0</v>
      </c>
      <c r="AH1514" s="314">
        <v>1</v>
      </c>
      <c r="AI1514" s="314">
        <f t="shared" si="404"/>
        <v>0</v>
      </c>
      <c r="AJ1514" s="314">
        <f t="shared" si="405"/>
        <v>0</v>
      </c>
      <c r="AK1514" s="317"/>
      <c r="AL1514" s="315">
        <f t="shared" si="406"/>
        <v>0</v>
      </c>
      <c r="AN1514" s="554">
        <f t="shared" si="407"/>
        <v>0</v>
      </c>
      <c r="AO1514" s="314"/>
      <c r="AP1514" s="318"/>
    </row>
    <row r="1515" spans="2:42">
      <c r="B1515" s="296"/>
      <c r="C1515" s="299"/>
      <c r="D1515" s="298"/>
      <c r="E1515" s="299"/>
      <c r="F1515" s="299"/>
      <c r="G1515" s="300"/>
      <c r="H1515" s="303"/>
      <c r="I1515" s="301">
        <f t="shared" si="391"/>
        <v>0</v>
      </c>
      <c r="J1515" s="302">
        <f t="shared" si="392"/>
        <v>0</v>
      </c>
      <c r="K1515" s="304">
        <f t="shared" si="393"/>
        <v>0</v>
      </c>
      <c r="L1515" s="305">
        <f>IF(H1515=0,0,IF(OR(E1515=$AT$5,E1515=$AT$6),AA1515,IF(F1515="MXN",1/HLOOKUP(YEAR(G1515)+(MONTH(G1515)/100),TC!$5:$37,DAY(G1515)+2,FALSE),VLOOKUP(F1515,Equivalencia!$5:$23,((MAX(Equivalencia!$3:$3)-YEAR(G1515))*14)+MONTH(G1515)+2,FALSE))))</f>
        <v>0</v>
      </c>
      <c r="M1515" s="306">
        <f t="shared" si="394"/>
        <v>0</v>
      </c>
      <c r="N1515" s="305">
        <f>IF(G1515=0,0,(IF(OR(E1515=$AT$5,E1515=$AT$6),AC1515,HLOOKUP(YEAR(G1515)+(MONTH(G1515)/100),TC!$5:$37,DAY(G1515)+2,FALSE))))</f>
        <v>0</v>
      </c>
      <c r="O1515" s="307">
        <f t="shared" si="395"/>
        <v>0</v>
      </c>
      <c r="P1515" s="560">
        <f>IF(G1515=0,0,VLOOKUP(YEAR(G1515),INPC!$B$4:$P$30,MONTH(G1515)+2))</f>
        <v>0</v>
      </c>
      <c r="Q1515" s="560">
        <f>IF(X1515=0,0,IF(OR(E1515=$AT$10,E1515=$AT$9),VLOOKUP(YEAR(X1515),INPC!$B$4:$P$30,MONTH(X1515)+1),VLOOKUP(YEAR(X1515),INPC!$B$4:$P$30,MONTH(X1515)+2,0)))</f>
        <v>0</v>
      </c>
      <c r="R1515" s="309">
        <f t="shared" si="396"/>
        <v>0</v>
      </c>
      <c r="S1515" s="310">
        <f t="shared" si="397"/>
        <v>0</v>
      </c>
      <c r="T1515" s="555">
        <f t="shared" si="398"/>
        <v>0</v>
      </c>
      <c r="U1515" s="311"/>
      <c r="V1515" s="312"/>
      <c r="W1515" s="299"/>
      <c r="X1515" s="300"/>
      <c r="Y1515" s="299"/>
      <c r="Z1515" s="303"/>
      <c r="AA1515" s="305">
        <f>IF(Z1515=0,0,IF(Y1515="MXN",1/HLOOKUP(YEAR(X1515)+(MONTH(X1515)/100),TC!$5:$37,DAY(X1515)+2,FALSE),VLOOKUP(Y1515,Equivalencia!$1:$23,((MAX(Equivalencia!$3:$3)-YEAR(X1515))*14)+MONTH(X1515)+2,FALSE)))</f>
        <v>0</v>
      </c>
      <c r="AB1515" s="306">
        <f t="shared" si="399"/>
        <v>0</v>
      </c>
      <c r="AC1515" s="305">
        <f>+IF(X1515=0,0,HLOOKUP(YEAR(X1515)+(MONTH(X1515)/100),TC!$5:$37,DAY(X1515)+2,FALSE))</f>
        <v>0</v>
      </c>
      <c r="AD1515" s="307">
        <f t="shared" si="400"/>
        <v>0</v>
      </c>
      <c r="AE1515" s="314">
        <f t="shared" si="401"/>
        <v>0</v>
      </c>
      <c r="AF1515" s="315">
        <f t="shared" si="402"/>
        <v>0</v>
      </c>
      <c r="AG1515" s="316">
        <f t="shared" si="403"/>
        <v>0</v>
      </c>
      <c r="AH1515" s="314">
        <v>1</v>
      </c>
      <c r="AI1515" s="314">
        <f t="shared" si="404"/>
        <v>0</v>
      </c>
      <c r="AJ1515" s="314">
        <f t="shared" si="405"/>
        <v>0</v>
      </c>
      <c r="AK1515" s="317"/>
      <c r="AL1515" s="315">
        <f t="shared" si="406"/>
        <v>0</v>
      </c>
      <c r="AN1515" s="554">
        <f t="shared" si="407"/>
        <v>0</v>
      </c>
      <c r="AO1515" s="314"/>
      <c r="AP1515" s="318"/>
    </row>
    <row r="1516" spans="2:42">
      <c r="B1516" s="296"/>
      <c r="C1516" s="299"/>
      <c r="D1516" s="298"/>
      <c r="E1516" s="299"/>
      <c r="F1516" s="299"/>
      <c r="G1516" s="300"/>
      <c r="H1516" s="303"/>
      <c r="I1516" s="301">
        <f t="shared" si="391"/>
        <v>0</v>
      </c>
      <c r="J1516" s="302">
        <f t="shared" si="392"/>
        <v>0</v>
      </c>
      <c r="K1516" s="304">
        <f t="shared" si="393"/>
        <v>0</v>
      </c>
      <c r="L1516" s="305">
        <f>IF(H1516=0,0,IF(OR(E1516=$AT$5,E1516=$AT$6),AA1516,IF(F1516="MXN",1/HLOOKUP(YEAR(G1516)+(MONTH(G1516)/100),TC!$5:$37,DAY(G1516)+2,FALSE),VLOOKUP(F1516,Equivalencia!$5:$23,((MAX(Equivalencia!$3:$3)-YEAR(G1516))*14)+MONTH(G1516)+2,FALSE))))</f>
        <v>0</v>
      </c>
      <c r="M1516" s="306">
        <f t="shared" si="394"/>
        <v>0</v>
      </c>
      <c r="N1516" s="305">
        <f>IF(G1516=0,0,(IF(OR(E1516=$AT$5,E1516=$AT$6),AC1516,HLOOKUP(YEAR(G1516)+(MONTH(G1516)/100),TC!$5:$37,DAY(G1516)+2,FALSE))))</f>
        <v>0</v>
      </c>
      <c r="O1516" s="307">
        <f t="shared" si="395"/>
        <v>0</v>
      </c>
      <c r="P1516" s="560">
        <f>IF(G1516=0,0,VLOOKUP(YEAR(G1516),INPC!$B$4:$P$30,MONTH(G1516)+2))</f>
        <v>0</v>
      </c>
      <c r="Q1516" s="560">
        <f>IF(X1516=0,0,IF(OR(E1516=$AT$10,E1516=$AT$9),VLOOKUP(YEAR(X1516),INPC!$B$4:$P$30,MONTH(X1516)+1),VLOOKUP(YEAR(X1516),INPC!$B$4:$P$30,MONTH(X1516)+2,0)))</f>
        <v>0</v>
      </c>
      <c r="R1516" s="309">
        <f t="shared" si="396"/>
        <v>0</v>
      </c>
      <c r="S1516" s="310">
        <f t="shared" si="397"/>
        <v>0</v>
      </c>
      <c r="T1516" s="555">
        <f t="shared" si="398"/>
        <v>0</v>
      </c>
      <c r="U1516" s="311"/>
      <c r="V1516" s="312"/>
      <c r="W1516" s="299"/>
      <c r="X1516" s="300"/>
      <c r="Y1516" s="299"/>
      <c r="Z1516" s="303"/>
      <c r="AA1516" s="305">
        <f>IF(Z1516=0,0,IF(Y1516="MXN",1/HLOOKUP(YEAR(X1516)+(MONTH(X1516)/100),TC!$5:$37,DAY(X1516)+2,FALSE),VLOOKUP(Y1516,Equivalencia!$1:$23,((MAX(Equivalencia!$3:$3)-YEAR(X1516))*14)+MONTH(X1516)+2,FALSE)))</f>
        <v>0</v>
      </c>
      <c r="AB1516" s="306">
        <f t="shared" si="399"/>
        <v>0</v>
      </c>
      <c r="AC1516" s="305">
        <f>+IF(X1516=0,0,HLOOKUP(YEAR(X1516)+(MONTH(X1516)/100),TC!$5:$37,DAY(X1516)+2,FALSE))</f>
        <v>0</v>
      </c>
      <c r="AD1516" s="307">
        <f t="shared" si="400"/>
        <v>0</v>
      </c>
      <c r="AE1516" s="314">
        <f t="shared" si="401"/>
        <v>0</v>
      </c>
      <c r="AF1516" s="315">
        <f t="shared" si="402"/>
        <v>0</v>
      </c>
      <c r="AG1516" s="316">
        <f t="shared" si="403"/>
        <v>0</v>
      </c>
      <c r="AH1516" s="314">
        <v>1</v>
      </c>
      <c r="AI1516" s="314">
        <f t="shared" si="404"/>
        <v>0</v>
      </c>
      <c r="AJ1516" s="314">
        <f t="shared" si="405"/>
        <v>0</v>
      </c>
      <c r="AK1516" s="317"/>
      <c r="AL1516" s="315">
        <f t="shared" si="406"/>
        <v>0</v>
      </c>
      <c r="AN1516" s="554">
        <f t="shared" si="407"/>
        <v>0</v>
      </c>
      <c r="AO1516" s="314"/>
      <c r="AP1516" s="318"/>
    </row>
    <row r="1517" spans="2:42">
      <c r="B1517" s="296"/>
      <c r="C1517" s="299"/>
      <c r="D1517" s="298"/>
      <c r="E1517" s="299"/>
      <c r="F1517" s="299"/>
      <c r="G1517" s="300"/>
      <c r="H1517" s="303"/>
      <c r="I1517" s="301">
        <f t="shared" si="391"/>
        <v>0</v>
      </c>
      <c r="J1517" s="302">
        <f t="shared" si="392"/>
        <v>0</v>
      </c>
      <c r="K1517" s="304">
        <f t="shared" si="393"/>
        <v>0</v>
      </c>
      <c r="L1517" s="305">
        <f>IF(H1517=0,0,IF(OR(E1517=$AT$5,E1517=$AT$6),AA1517,IF(F1517="MXN",1/HLOOKUP(YEAR(G1517)+(MONTH(G1517)/100),TC!$5:$37,DAY(G1517)+2,FALSE),VLOOKUP(F1517,Equivalencia!$5:$23,((MAX(Equivalencia!$3:$3)-YEAR(G1517))*14)+MONTH(G1517)+2,FALSE))))</f>
        <v>0</v>
      </c>
      <c r="M1517" s="306">
        <f t="shared" si="394"/>
        <v>0</v>
      </c>
      <c r="N1517" s="305">
        <f>IF(G1517=0,0,(IF(OR(E1517=$AT$5,E1517=$AT$6),AC1517,HLOOKUP(YEAR(G1517)+(MONTH(G1517)/100),TC!$5:$37,DAY(G1517)+2,FALSE))))</f>
        <v>0</v>
      </c>
      <c r="O1517" s="307">
        <f t="shared" si="395"/>
        <v>0</v>
      </c>
      <c r="P1517" s="560">
        <f>IF(G1517=0,0,VLOOKUP(YEAR(G1517),INPC!$B$4:$P$30,MONTH(G1517)+2))</f>
        <v>0</v>
      </c>
      <c r="Q1517" s="560">
        <f>IF(X1517=0,0,IF(OR(E1517=$AT$10,E1517=$AT$9),VLOOKUP(YEAR(X1517),INPC!$B$4:$P$30,MONTH(X1517)+1),VLOOKUP(YEAR(X1517),INPC!$B$4:$P$30,MONTH(X1517)+2,0)))</f>
        <v>0</v>
      </c>
      <c r="R1517" s="309">
        <f t="shared" si="396"/>
        <v>0</v>
      </c>
      <c r="S1517" s="310">
        <f t="shared" si="397"/>
        <v>0</v>
      </c>
      <c r="T1517" s="555">
        <f t="shared" si="398"/>
        <v>0</v>
      </c>
      <c r="U1517" s="311"/>
      <c r="V1517" s="312"/>
      <c r="W1517" s="299"/>
      <c r="X1517" s="300"/>
      <c r="Y1517" s="299"/>
      <c r="Z1517" s="303"/>
      <c r="AA1517" s="305">
        <f>IF(Z1517=0,0,IF(Y1517="MXN",1/HLOOKUP(YEAR(X1517)+(MONTH(X1517)/100),TC!$5:$37,DAY(X1517)+2,FALSE),VLOOKUP(Y1517,Equivalencia!$1:$23,((MAX(Equivalencia!$3:$3)-YEAR(X1517))*14)+MONTH(X1517)+2,FALSE)))</f>
        <v>0</v>
      </c>
      <c r="AB1517" s="306">
        <f t="shared" si="399"/>
        <v>0</v>
      </c>
      <c r="AC1517" s="305">
        <f>+IF(X1517=0,0,HLOOKUP(YEAR(X1517)+(MONTH(X1517)/100),TC!$5:$37,DAY(X1517)+2,FALSE))</f>
        <v>0</v>
      </c>
      <c r="AD1517" s="307">
        <f t="shared" si="400"/>
        <v>0</v>
      </c>
      <c r="AE1517" s="314">
        <f t="shared" si="401"/>
        <v>0</v>
      </c>
      <c r="AF1517" s="315">
        <f t="shared" si="402"/>
        <v>0</v>
      </c>
      <c r="AG1517" s="316">
        <f t="shared" si="403"/>
        <v>0</v>
      </c>
      <c r="AH1517" s="314">
        <v>1</v>
      </c>
      <c r="AI1517" s="314">
        <f t="shared" si="404"/>
        <v>0</v>
      </c>
      <c r="AJ1517" s="314">
        <f t="shared" si="405"/>
        <v>0</v>
      </c>
      <c r="AK1517" s="317"/>
      <c r="AL1517" s="315">
        <f t="shared" si="406"/>
        <v>0</v>
      </c>
      <c r="AN1517" s="554">
        <f t="shared" si="407"/>
        <v>0</v>
      </c>
      <c r="AO1517" s="314"/>
      <c r="AP1517" s="318"/>
    </row>
    <row r="1518" spans="2:42">
      <c r="B1518" s="296"/>
      <c r="C1518" s="299"/>
      <c r="D1518" s="298"/>
      <c r="E1518" s="299"/>
      <c r="F1518" s="299"/>
      <c r="G1518" s="300"/>
      <c r="H1518" s="303"/>
      <c r="I1518" s="301">
        <f t="shared" si="391"/>
        <v>0</v>
      </c>
      <c r="J1518" s="302">
        <f t="shared" si="392"/>
        <v>0</v>
      </c>
      <c r="K1518" s="304">
        <f t="shared" si="393"/>
        <v>0</v>
      </c>
      <c r="L1518" s="305">
        <f>IF(H1518=0,0,IF(OR(E1518=$AT$5,E1518=$AT$6),AA1518,IF(F1518="MXN",1/HLOOKUP(YEAR(G1518)+(MONTH(G1518)/100),TC!$5:$37,DAY(G1518)+2,FALSE),VLOOKUP(F1518,Equivalencia!$5:$23,((MAX(Equivalencia!$3:$3)-YEAR(G1518))*14)+MONTH(G1518)+2,FALSE))))</f>
        <v>0</v>
      </c>
      <c r="M1518" s="306">
        <f t="shared" si="394"/>
        <v>0</v>
      </c>
      <c r="N1518" s="305">
        <f>IF(G1518=0,0,(IF(OR(E1518=$AT$5,E1518=$AT$6),AC1518,HLOOKUP(YEAR(G1518)+(MONTH(G1518)/100),TC!$5:$37,DAY(G1518)+2,FALSE))))</f>
        <v>0</v>
      </c>
      <c r="O1518" s="307">
        <f t="shared" si="395"/>
        <v>0</v>
      </c>
      <c r="P1518" s="560">
        <f>IF(G1518=0,0,VLOOKUP(YEAR(G1518),INPC!$B$4:$P$30,MONTH(G1518)+2))</f>
        <v>0</v>
      </c>
      <c r="Q1518" s="560">
        <f>IF(X1518=0,0,IF(OR(E1518=$AT$10,E1518=$AT$9),VLOOKUP(YEAR(X1518),INPC!$B$4:$P$30,MONTH(X1518)+1),VLOOKUP(YEAR(X1518),INPC!$B$4:$P$30,MONTH(X1518)+2,0)))</f>
        <v>0</v>
      </c>
      <c r="R1518" s="309">
        <f t="shared" si="396"/>
        <v>0</v>
      </c>
      <c r="S1518" s="310">
        <f t="shared" si="397"/>
        <v>0</v>
      </c>
      <c r="T1518" s="555">
        <f t="shared" si="398"/>
        <v>0</v>
      </c>
      <c r="U1518" s="311"/>
      <c r="V1518" s="312"/>
      <c r="W1518" s="299"/>
      <c r="X1518" s="300"/>
      <c r="Y1518" s="299"/>
      <c r="Z1518" s="303"/>
      <c r="AA1518" s="305">
        <f>IF(Z1518=0,0,IF(Y1518="MXN",1/HLOOKUP(YEAR(X1518)+(MONTH(X1518)/100),TC!$5:$37,DAY(X1518)+2,FALSE),VLOOKUP(Y1518,Equivalencia!$1:$23,((MAX(Equivalencia!$3:$3)-YEAR(X1518))*14)+MONTH(X1518)+2,FALSE)))</f>
        <v>0</v>
      </c>
      <c r="AB1518" s="306">
        <f t="shared" si="399"/>
        <v>0</v>
      </c>
      <c r="AC1518" s="305">
        <f>+IF(X1518=0,0,HLOOKUP(YEAR(X1518)+(MONTH(X1518)/100),TC!$5:$37,DAY(X1518)+2,FALSE))</f>
        <v>0</v>
      </c>
      <c r="AD1518" s="307">
        <f t="shared" si="400"/>
        <v>0</v>
      </c>
      <c r="AE1518" s="314">
        <f t="shared" si="401"/>
        <v>0</v>
      </c>
      <c r="AF1518" s="315">
        <f t="shared" si="402"/>
        <v>0</v>
      </c>
      <c r="AG1518" s="316">
        <f t="shared" si="403"/>
        <v>0</v>
      </c>
      <c r="AH1518" s="314">
        <v>1</v>
      </c>
      <c r="AI1518" s="314">
        <f t="shared" si="404"/>
        <v>0</v>
      </c>
      <c r="AJ1518" s="314">
        <f t="shared" si="405"/>
        <v>0</v>
      </c>
      <c r="AK1518" s="317"/>
      <c r="AL1518" s="315">
        <f t="shared" si="406"/>
        <v>0</v>
      </c>
      <c r="AN1518" s="554">
        <f t="shared" si="407"/>
        <v>0</v>
      </c>
      <c r="AO1518" s="314"/>
      <c r="AP1518" s="318"/>
    </row>
    <row r="1519" spans="2:42">
      <c r="B1519" s="296"/>
      <c r="C1519" s="299"/>
      <c r="D1519" s="298"/>
      <c r="E1519" s="299"/>
      <c r="F1519" s="299"/>
      <c r="G1519" s="300"/>
      <c r="H1519" s="303"/>
      <c r="I1519" s="301">
        <f t="shared" si="391"/>
        <v>0</v>
      </c>
      <c r="J1519" s="302">
        <f t="shared" si="392"/>
        <v>0</v>
      </c>
      <c r="K1519" s="304">
        <f t="shared" si="393"/>
        <v>0</v>
      </c>
      <c r="L1519" s="305">
        <f>IF(H1519=0,0,IF(OR(E1519=$AT$5,E1519=$AT$6),AA1519,IF(F1519="MXN",1/HLOOKUP(YEAR(G1519)+(MONTH(G1519)/100),TC!$5:$37,DAY(G1519)+2,FALSE),VLOOKUP(F1519,Equivalencia!$5:$23,((MAX(Equivalencia!$3:$3)-YEAR(G1519))*14)+MONTH(G1519)+2,FALSE))))</f>
        <v>0</v>
      </c>
      <c r="M1519" s="306">
        <f t="shared" si="394"/>
        <v>0</v>
      </c>
      <c r="N1519" s="305">
        <f>IF(G1519=0,0,(IF(OR(E1519=$AT$5,E1519=$AT$6),AC1519,HLOOKUP(YEAR(G1519)+(MONTH(G1519)/100),TC!$5:$37,DAY(G1519)+2,FALSE))))</f>
        <v>0</v>
      </c>
      <c r="O1519" s="307">
        <f t="shared" si="395"/>
        <v>0</v>
      </c>
      <c r="P1519" s="560">
        <f>IF(G1519=0,0,VLOOKUP(YEAR(G1519),INPC!$B$4:$P$30,MONTH(G1519)+2))</f>
        <v>0</v>
      </c>
      <c r="Q1519" s="560">
        <f>IF(X1519=0,0,IF(OR(E1519=$AT$10,E1519=$AT$9),VLOOKUP(YEAR(X1519),INPC!$B$4:$P$30,MONTH(X1519)+1),VLOOKUP(YEAR(X1519),INPC!$B$4:$P$30,MONTH(X1519)+2,0)))</f>
        <v>0</v>
      </c>
      <c r="R1519" s="309">
        <f t="shared" si="396"/>
        <v>0</v>
      </c>
      <c r="S1519" s="310">
        <f t="shared" si="397"/>
        <v>0</v>
      </c>
      <c r="T1519" s="555">
        <f t="shared" si="398"/>
        <v>0</v>
      </c>
      <c r="U1519" s="311"/>
      <c r="V1519" s="312"/>
      <c r="W1519" s="299"/>
      <c r="X1519" s="300"/>
      <c r="Y1519" s="299"/>
      <c r="Z1519" s="303"/>
      <c r="AA1519" s="305">
        <f>IF(Z1519=0,0,IF(Y1519="MXN",1/HLOOKUP(YEAR(X1519)+(MONTH(X1519)/100),TC!$5:$37,DAY(X1519)+2,FALSE),VLOOKUP(Y1519,Equivalencia!$1:$23,((MAX(Equivalencia!$3:$3)-YEAR(X1519))*14)+MONTH(X1519)+2,FALSE)))</f>
        <v>0</v>
      </c>
      <c r="AB1519" s="306">
        <f t="shared" si="399"/>
        <v>0</v>
      </c>
      <c r="AC1519" s="305">
        <f>+IF(X1519=0,0,HLOOKUP(YEAR(X1519)+(MONTH(X1519)/100),TC!$5:$37,DAY(X1519)+2,FALSE))</f>
        <v>0</v>
      </c>
      <c r="AD1519" s="307">
        <f t="shared" si="400"/>
        <v>0</v>
      </c>
      <c r="AE1519" s="314">
        <f t="shared" si="401"/>
        <v>0</v>
      </c>
      <c r="AF1519" s="315">
        <f t="shared" si="402"/>
        <v>0</v>
      </c>
      <c r="AG1519" s="316">
        <f t="shared" si="403"/>
        <v>0</v>
      </c>
      <c r="AH1519" s="314">
        <v>1</v>
      </c>
      <c r="AI1519" s="314">
        <f t="shared" si="404"/>
        <v>0</v>
      </c>
      <c r="AJ1519" s="314">
        <f t="shared" si="405"/>
        <v>0</v>
      </c>
      <c r="AK1519" s="317"/>
      <c r="AL1519" s="315">
        <f t="shared" si="406"/>
        <v>0</v>
      </c>
      <c r="AN1519" s="554">
        <f t="shared" si="407"/>
        <v>0</v>
      </c>
      <c r="AO1519" s="314"/>
      <c r="AP1519" s="318"/>
    </row>
    <row r="1520" spans="2:42">
      <c r="B1520" s="296"/>
      <c r="C1520" s="299"/>
      <c r="D1520" s="298"/>
      <c r="E1520" s="299"/>
      <c r="F1520" s="299"/>
      <c r="G1520" s="300"/>
      <c r="H1520" s="303"/>
      <c r="I1520" s="301">
        <f t="shared" si="391"/>
        <v>0</v>
      </c>
      <c r="J1520" s="302">
        <f t="shared" si="392"/>
        <v>0</v>
      </c>
      <c r="K1520" s="304">
        <f t="shared" si="393"/>
        <v>0</v>
      </c>
      <c r="L1520" s="305">
        <f>IF(H1520=0,0,IF(OR(E1520=$AT$5,E1520=$AT$6),AA1520,IF(F1520="MXN",1/HLOOKUP(YEAR(G1520)+(MONTH(G1520)/100),TC!$5:$37,DAY(G1520)+2,FALSE),VLOOKUP(F1520,Equivalencia!$5:$23,((MAX(Equivalencia!$3:$3)-YEAR(G1520))*14)+MONTH(G1520)+2,FALSE))))</f>
        <v>0</v>
      </c>
      <c r="M1520" s="306">
        <f t="shared" si="394"/>
        <v>0</v>
      </c>
      <c r="N1520" s="305">
        <f>IF(G1520=0,0,(IF(OR(E1520=$AT$5,E1520=$AT$6),AC1520,HLOOKUP(YEAR(G1520)+(MONTH(G1520)/100),TC!$5:$37,DAY(G1520)+2,FALSE))))</f>
        <v>0</v>
      </c>
      <c r="O1520" s="307">
        <f t="shared" si="395"/>
        <v>0</v>
      </c>
      <c r="P1520" s="560">
        <f>IF(G1520=0,0,VLOOKUP(YEAR(G1520),INPC!$B$4:$P$30,MONTH(G1520)+2))</f>
        <v>0</v>
      </c>
      <c r="Q1520" s="560">
        <f>IF(X1520=0,0,IF(OR(E1520=$AT$10,E1520=$AT$9),VLOOKUP(YEAR(X1520),INPC!$B$4:$P$30,MONTH(X1520)+1),VLOOKUP(YEAR(X1520),INPC!$B$4:$P$30,MONTH(X1520)+2,0)))</f>
        <v>0</v>
      </c>
      <c r="R1520" s="309">
        <f t="shared" si="396"/>
        <v>0</v>
      </c>
      <c r="S1520" s="310">
        <f t="shared" si="397"/>
        <v>0</v>
      </c>
      <c r="T1520" s="555">
        <f t="shared" si="398"/>
        <v>0</v>
      </c>
      <c r="U1520" s="311"/>
      <c r="V1520" s="312"/>
      <c r="W1520" s="299"/>
      <c r="X1520" s="300"/>
      <c r="Y1520" s="299"/>
      <c r="Z1520" s="303"/>
      <c r="AA1520" s="305">
        <f>IF(Z1520=0,0,IF(Y1520="MXN",1/HLOOKUP(YEAR(X1520)+(MONTH(X1520)/100),TC!$5:$37,DAY(X1520)+2,FALSE),VLOOKUP(Y1520,Equivalencia!$1:$23,((MAX(Equivalencia!$3:$3)-YEAR(X1520))*14)+MONTH(X1520)+2,FALSE)))</f>
        <v>0</v>
      </c>
      <c r="AB1520" s="306">
        <f t="shared" si="399"/>
        <v>0</v>
      </c>
      <c r="AC1520" s="305">
        <f>+IF(X1520=0,0,HLOOKUP(YEAR(X1520)+(MONTH(X1520)/100),TC!$5:$37,DAY(X1520)+2,FALSE))</f>
        <v>0</v>
      </c>
      <c r="AD1520" s="307">
        <f t="shared" si="400"/>
        <v>0</v>
      </c>
      <c r="AE1520" s="314">
        <f t="shared" si="401"/>
        <v>0</v>
      </c>
      <c r="AF1520" s="315">
        <f t="shared" si="402"/>
        <v>0</v>
      </c>
      <c r="AG1520" s="316">
        <f t="shared" si="403"/>
        <v>0</v>
      </c>
      <c r="AH1520" s="314">
        <v>1</v>
      </c>
      <c r="AI1520" s="314">
        <f t="shared" si="404"/>
        <v>0</v>
      </c>
      <c r="AJ1520" s="314">
        <f t="shared" si="405"/>
        <v>0</v>
      </c>
      <c r="AK1520" s="317"/>
      <c r="AL1520" s="315">
        <f t="shared" si="406"/>
        <v>0</v>
      </c>
      <c r="AN1520" s="554">
        <f t="shared" si="407"/>
        <v>0</v>
      </c>
      <c r="AO1520" s="314"/>
      <c r="AP1520" s="318"/>
    </row>
    <row r="1521" spans="2:42">
      <c r="B1521" s="296"/>
      <c r="C1521" s="299"/>
      <c r="D1521" s="298"/>
      <c r="E1521" s="299"/>
      <c r="F1521" s="299"/>
      <c r="G1521" s="300"/>
      <c r="H1521" s="303"/>
      <c r="I1521" s="301">
        <f t="shared" si="391"/>
        <v>0</v>
      </c>
      <c r="J1521" s="302">
        <f t="shared" si="392"/>
        <v>0</v>
      </c>
      <c r="K1521" s="304">
        <f t="shared" si="393"/>
        <v>0</v>
      </c>
      <c r="L1521" s="305">
        <f>IF(H1521=0,0,IF(OR(E1521=$AT$5,E1521=$AT$6),AA1521,IF(F1521="MXN",1/HLOOKUP(YEAR(G1521)+(MONTH(G1521)/100),TC!$5:$37,DAY(G1521)+2,FALSE),VLOOKUP(F1521,Equivalencia!$5:$23,((MAX(Equivalencia!$3:$3)-YEAR(G1521))*14)+MONTH(G1521)+2,FALSE))))</f>
        <v>0</v>
      </c>
      <c r="M1521" s="306">
        <f t="shared" si="394"/>
        <v>0</v>
      </c>
      <c r="N1521" s="305">
        <f>IF(G1521=0,0,(IF(OR(E1521=$AT$5,E1521=$AT$6),AC1521,HLOOKUP(YEAR(G1521)+(MONTH(G1521)/100),TC!$5:$37,DAY(G1521)+2,FALSE))))</f>
        <v>0</v>
      </c>
      <c r="O1521" s="307">
        <f t="shared" si="395"/>
        <v>0</v>
      </c>
      <c r="P1521" s="560">
        <f>IF(G1521=0,0,VLOOKUP(YEAR(G1521),INPC!$B$4:$P$30,MONTH(G1521)+2))</f>
        <v>0</v>
      </c>
      <c r="Q1521" s="560">
        <f>IF(X1521=0,0,IF(OR(E1521=$AT$10,E1521=$AT$9),VLOOKUP(YEAR(X1521),INPC!$B$4:$P$30,MONTH(X1521)+1),VLOOKUP(YEAR(X1521),INPC!$B$4:$P$30,MONTH(X1521)+2,0)))</f>
        <v>0</v>
      </c>
      <c r="R1521" s="309">
        <f t="shared" si="396"/>
        <v>0</v>
      </c>
      <c r="S1521" s="310">
        <f t="shared" si="397"/>
        <v>0</v>
      </c>
      <c r="T1521" s="555">
        <f t="shared" si="398"/>
        <v>0</v>
      </c>
      <c r="U1521" s="311"/>
      <c r="V1521" s="312"/>
      <c r="W1521" s="299"/>
      <c r="X1521" s="300"/>
      <c r="Y1521" s="299"/>
      <c r="Z1521" s="303"/>
      <c r="AA1521" s="305">
        <f>IF(Z1521=0,0,IF(Y1521="MXN",1/HLOOKUP(YEAR(X1521)+(MONTH(X1521)/100),TC!$5:$37,DAY(X1521)+2,FALSE),VLOOKUP(Y1521,Equivalencia!$1:$23,((MAX(Equivalencia!$3:$3)-YEAR(X1521))*14)+MONTH(X1521)+2,FALSE)))</f>
        <v>0</v>
      </c>
      <c r="AB1521" s="306">
        <f t="shared" si="399"/>
        <v>0</v>
      </c>
      <c r="AC1521" s="305">
        <f>+IF(X1521=0,0,HLOOKUP(YEAR(X1521)+(MONTH(X1521)/100),TC!$5:$37,DAY(X1521)+2,FALSE))</f>
        <v>0</v>
      </c>
      <c r="AD1521" s="307">
        <f t="shared" si="400"/>
        <v>0</v>
      </c>
      <c r="AE1521" s="314">
        <f t="shared" si="401"/>
        <v>0</v>
      </c>
      <c r="AF1521" s="315">
        <f t="shared" si="402"/>
        <v>0</v>
      </c>
      <c r="AG1521" s="316">
        <f t="shared" si="403"/>
        <v>0</v>
      </c>
      <c r="AH1521" s="314">
        <v>1</v>
      </c>
      <c r="AI1521" s="314">
        <f t="shared" si="404"/>
        <v>0</v>
      </c>
      <c r="AJ1521" s="314">
        <f t="shared" si="405"/>
        <v>0</v>
      </c>
      <c r="AK1521" s="317"/>
      <c r="AL1521" s="315">
        <f t="shared" si="406"/>
        <v>0</v>
      </c>
      <c r="AN1521" s="554">
        <f t="shared" si="407"/>
        <v>0</v>
      </c>
      <c r="AO1521" s="314"/>
      <c r="AP1521" s="318"/>
    </row>
    <row r="1522" spans="2:42">
      <c r="B1522" s="296"/>
      <c r="C1522" s="299"/>
      <c r="D1522" s="298"/>
      <c r="E1522" s="299"/>
      <c r="F1522" s="299"/>
      <c r="G1522" s="300"/>
      <c r="H1522" s="303"/>
      <c r="I1522" s="301">
        <f t="shared" si="391"/>
        <v>0</v>
      </c>
      <c r="J1522" s="302">
        <f t="shared" si="392"/>
        <v>0</v>
      </c>
      <c r="K1522" s="304">
        <f t="shared" si="393"/>
        <v>0</v>
      </c>
      <c r="L1522" s="305">
        <f>IF(H1522=0,0,IF(OR(E1522=$AT$5,E1522=$AT$6),AA1522,IF(F1522="MXN",1/HLOOKUP(YEAR(G1522)+(MONTH(G1522)/100),TC!$5:$37,DAY(G1522)+2,FALSE),VLOOKUP(F1522,Equivalencia!$5:$23,((MAX(Equivalencia!$3:$3)-YEAR(G1522))*14)+MONTH(G1522)+2,FALSE))))</f>
        <v>0</v>
      </c>
      <c r="M1522" s="306">
        <f t="shared" si="394"/>
        <v>0</v>
      </c>
      <c r="N1522" s="305">
        <f>IF(G1522=0,0,(IF(OR(E1522=$AT$5,E1522=$AT$6),AC1522,HLOOKUP(YEAR(G1522)+(MONTH(G1522)/100),TC!$5:$37,DAY(G1522)+2,FALSE))))</f>
        <v>0</v>
      </c>
      <c r="O1522" s="307">
        <f t="shared" si="395"/>
        <v>0</v>
      </c>
      <c r="P1522" s="560">
        <f>IF(G1522=0,0,VLOOKUP(YEAR(G1522),INPC!$B$4:$P$30,MONTH(G1522)+2))</f>
        <v>0</v>
      </c>
      <c r="Q1522" s="560">
        <f>IF(X1522=0,0,IF(OR(E1522=$AT$10,E1522=$AT$9),VLOOKUP(YEAR(X1522),INPC!$B$4:$P$30,MONTH(X1522)+1),VLOOKUP(YEAR(X1522),INPC!$B$4:$P$30,MONTH(X1522)+2,0)))</f>
        <v>0</v>
      </c>
      <c r="R1522" s="309">
        <f t="shared" si="396"/>
        <v>0</v>
      </c>
      <c r="S1522" s="310">
        <f t="shared" si="397"/>
        <v>0</v>
      </c>
      <c r="T1522" s="555">
        <f t="shared" si="398"/>
        <v>0</v>
      </c>
      <c r="U1522" s="311"/>
      <c r="V1522" s="312"/>
      <c r="W1522" s="299"/>
      <c r="X1522" s="300"/>
      <c r="Y1522" s="299"/>
      <c r="Z1522" s="303"/>
      <c r="AA1522" s="305">
        <f>IF(Z1522=0,0,IF(Y1522="MXN",1/HLOOKUP(YEAR(X1522)+(MONTH(X1522)/100),TC!$5:$37,DAY(X1522)+2,FALSE),VLOOKUP(Y1522,Equivalencia!$1:$23,((MAX(Equivalencia!$3:$3)-YEAR(X1522))*14)+MONTH(X1522)+2,FALSE)))</f>
        <v>0</v>
      </c>
      <c r="AB1522" s="306">
        <f t="shared" si="399"/>
        <v>0</v>
      </c>
      <c r="AC1522" s="305">
        <f>+IF(X1522=0,0,HLOOKUP(YEAR(X1522)+(MONTH(X1522)/100),TC!$5:$37,DAY(X1522)+2,FALSE))</f>
        <v>0</v>
      </c>
      <c r="AD1522" s="307">
        <f t="shared" si="400"/>
        <v>0</v>
      </c>
      <c r="AE1522" s="314">
        <f t="shared" si="401"/>
        <v>0</v>
      </c>
      <c r="AF1522" s="315">
        <f t="shared" si="402"/>
        <v>0</v>
      </c>
      <c r="AG1522" s="316">
        <f t="shared" si="403"/>
        <v>0</v>
      </c>
      <c r="AH1522" s="314">
        <v>1</v>
      </c>
      <c r="AI1522" s="314">
        <f t="shared" si="404"/>
        <v>0</v>
      </c>
      <c r="AJ1522" s="314">
        <f t="shared" si="405"/>
        <v>0</v>
      </c>
      <c r="AK1522" s="317"/>
      <c r="AL1522" s="315">
        <f t="shared" si="406"/>
        <v>0</v>
      </c>
      <c r="AN1522" s="554">
        <f t="shared" si="407"/>
        <v>0</v>
      </c>
      <c r="AO1522" s="314"/>
      <c r="AP1522" s="318"/>
    </row>
    <row r="1523" spans="2:42">
      <c r="B1523" s="296"/>
      <c r="C1523" s="299"/>
      <c r="D1523" s="298"/>
      <c r="E1523" s="299"/>
      <c r="F1523" s="299"/>
      <c r="G1523" s="300"/>
      <c r="H1523" s="303"/>
      <c r="I1523" s="301">
        <f t="shared" si="391"/>
        <v>0</v>
      </c>
      <c r="J1523" s="302">
        <f t="shared" si="392"/>
        <v>0</v>
      </c>
      <c r="K1523" s="304">
        <f t="shared" si="393"/>
        <v>0</v>
      </c>
      <c r="L1523" s="305">
        <f>IF(H1523=0,0,IF(OR(E1523=$AT$5,E1523=$AT$6),AA1523,IF(F1523="MXN",1/HLOOKUP(YEAR(G1523)+(MONTH(G1523)/100),TC!$5:$37,DAY(G1523)+2,FALSE),VLOOKUP(F1523,Equivalencia!$5:$23,((MAX(Equivalencia!$3:$3)-YEAR(G1523))*14)+MONTH(G1523)+2,FALSE))))</f>
        <v>0</v>
      </c>
      <c r="M1523" s="306">
        <f t="shared" si="394"/>
        <v>0</v>
      </c>
      <c r="N1523" s="305">
        <f>IF(G1523=0,0,(IF(OR(E1523=$AT$5,E1523=$AT$6),AC1523,HLOOKUP(YEAR(G1523)+(MONTH(G1523)/100),TC!$5:$37,DAY(G1523)+2,FALSE))))</f>
        <v>0</v>
      </c>
      <c r="O1523" s="307">
        <f t="shared" si="395"/>
        <v>0</v>
      </c>
      <c r="P1523" s="560">
        <f>IF(G1523=0,0,VLOOKUP(YEAR(G1523),INPC!$B$4:$P$30,MONTH(G1523)+2))</f>
        <v>0</v>
      </c>
      <c r="Q1523" s="560">
        <f>IF(X1523=0,0,IF(OR(E1523=$AT$10,E1523=$AT$9),VLOOKUP(YEAR(X1523),INPC!$B$4:$P$30,MONTH(X1523)+1),VLOOKUP(YEAR(X1523),INPC!$B$4:$P$30,MONTH(X1523)+2,0)))</f>
        <v>0</v>
      </c>
      <c r="R1523" s="309">
        <f t="shared" si="396"/>
        <v>0</v>
      </c>
      <c r="S1523" s="310">
        <f t="shared" si="397"/>
        <v>0</v>
      </c>
      <c r="T1523" s="555">
        <f t="shared" si="398"/>
        <v>0</v>
      </c>
      <c r="U1523" s="311"/>
      <c r="V1523" s="312"/>
      <c r="W1523" s="299"/>
      <c r="X1523" s="300"/>
      <c r="Y1523" s="299"/>
      <c r="Z1523" s="303"/>
      <c r="AA1523" s="305">
        <f>IF(Z1523=0,0,IF(Y1523="MXN",1/HLOOKUP(YEAR(X1523)+(MONTH(X1523)/100),TC!$5:$37,DAY(X1523)+2,FALSE),VLOOKUP(Y1523,Equivalencia!$1:$23,((MAX(Equivalencia!$3:$3)-YEAR(X1523))*14)+MONTH(X1523)+2,FALSE)))</f>
        <v>0</v>
      </c>
      <c r="AB1523" s="306">
        <f t="shared" si="399"/>
        <v>0</v>
      </c>
      <c r="AC1523" s="305">
        <f>+IF(X1523=0,0,HLOOKUP(YEAR(X1523)+(MONTH(X1523)/100),TC!$5:$37,DAY(X1523)+2,FALSE))</f>
        <v>0</v>
      </c>
      <c r="AD1523" s="307">
        <f t="shared" si="400"/>
        <v>0</v>
      </c>
      <c r="AE1523" s="314">
        <f t="shared" si="401"/>
        <v>0</v>
      </c>
      <c r="AF1523" s="315">
        <f t="shared" si="402"/>
        <v>0</v>
      </c>
      <c r="AG1523" s="316">
        <f t="shared" si="403"/>
        <v>0</v>
      </c>
      <c r="AH1523" s="314">
        <v>1</v>
      </c>
      <c r="AI1523" s="314">
        <f t="shared" si="404"/>
        <v>0</v>
      </c>
      <c r="AJ1523" s="314">
        <f t="shared" si="405"/>
        <v>0</v>
      </c>
      <c r="AK1523" s="317"/>
      <c r="AL1523" s="315">
        <f t="shared" si="406"/>
        <v>0</v>
      </c>
      <c r="AN1523" s="554">
        <f t="shared" si="407"/>
        <v>0</v>
      </c>
      <c r="AO1523" s="314"/>
      <c r="AP1523" s="318"/>
    </row>
    <row r="1524" spans="2:42">
      <c r="B1524" s="296"/>
      <c r="C1524" s="299"/>
      <c r="D1524" s="298"/>
      <c r="E1524" s="299"/>
      <c r="F1524" s="299"/>
      <c r="G1524" s="300"/>
      <c r="H1524" s="303"/>
      <c r="I1524" s="301">
        <f t="shared" si="391"/>
        <v>0</v>
      </c>
      <c r="J1524" s="302">
        <f t="shared" si="392"/>
        <v>0</v>
      </c>
      <c r="K1524" s="304">
        <f t="shared" si="393"/>
        <v>0</v>
      </c>
      <c r="L1524" s="305">
        <f>IF(H1524=0,0,IF(OR(E1524=$AT$5,E1524=$AT$6),AA1524,IF(F1524="MXN",1/HLOOKUP(YEAR(G1524)+(MONTH(G1524)/100),TC!$5:$37,DAY(G1524)+2,FALSE),VLOOKUP(F1524,Equivalencia!$5:$23,((MAX(Equivalencia!$3:$3)-YEAR(G1524))*14)+MONTH(G1524)+2,FALSE))))</f>
        <v>0</v>
      </c>
      <c r="M1524" s="306">
        <f t="shared" si="394"/>
        <v>0</v>
      </c>
      <c r="N1524" s="305">
        <f>IF(G1524=0,0,(IF(OR(E1524=$AT$5,E1524=$AT$6),AC1524,HLOOKUP(YEAR(G1524)+(MONTH(G1524)/100),TC!$5:$37,DAY(G1524)+2,FALSE))))</f>
        <v>0</v>
      </c>
      <c r="O1524" s="307">
        <f t="shared" si="395"/>
        <v>0</v>
      </c>
      <c r="P1524" s="560">
        <f>IF(G1524=0,0,VLOOKUP(YEAR(G1524),INPC!$B$4:$P$30,MONTH(G1524)+2))</f>
        <v>0</v>
      </c>
      <c r="Q1524" s="560">
        <f>IF(X1524=0,0,IF(OR(E1524=$AT$10,E1524=$AT$9),VLOOKUP(YEAR(X1524),INPC!$B$4:$P$30,MONTH(X1524)+1),VLOOKUP(YEAR(X1524),INPC!$B$4:$P$30,MONTH(X1524)+2,0)))</f>
        <v>0</v>
      </c>
      <c r="R1524" s="309">
        <f t="shared" si="396"/>
        <v>0</v>
      </c>
      <c r="S1524" s="310">
        <f t="shared" si="397"/>
        <v>0</v>
      </c>
      <c r="T1524" s="555">
        <f t="shared" si="398"/>
        <v>0</v>
      </c>
      <c r="U1524" s="311"/>
      <c r="V1524" s="312"/>
      <c r="W1524" s="299"/>
      <c r="X1524" s="300"/>
      <c r="Y1524" s="299"/>
      <c r="Z1524" s="303"/>
      <c r="AA1524" s="305">
        <f>IF(Z1524=0,0,IF(Y1524="MXN",1/HLOOKUP(YEAR(X1524)+(MONTH(X1524)/100),TC!$5:$37,DAY(X1524)+2,FALSE),VLOOKUP(Y1524,Equivalencia!$1:$23,((MAX(Equivalencia!$3:$3)-YEAR(X1524))*14)+MONTH(X1524)+2,FALSE)))</f>
        <v>0</v>
      </c>
      <c r="AB1524" s="306">
        <f t="shared" si="399"/>
        <v>0</v>
      </c>
      <c r="AC1524" s="305">
        <f>+IF(X1524=0,0,HLOOKUP(YEAR(X1524)+(MONTH(X1524)/100),TC!$5:$37,DAY(X1524)+2,FALSE))</f>
        <v>0</v>
      </c>
      <c r="AD1524" s="307">
        <f t="shared" si="400"/>
        <v>0</v>
      </c>
      <c r="AE1524" s="314">
        <f t="shared" si="401"/>
        <v>0</v>
      </c>
      <c r="AF1524" s="315">
        <f t="shared" si="402"/>
        <v>0</v>
      </c>
      <c r="AG1524" s="316">
        <f t="shared" si="403"/>
        <v>0</v>
      </c>
      <c r="AH1524" s="314">
        <v>1</v>
      </c>
      <c r="AI1524" s="314">
        <f t="shared" si="404"/>
        <v>0</v>
      </c>
      <c r="AJ1524" s="314">
        <f t="shared" si="405"/>
        <v>0</v>
      </c>
      <c r="AK1524" s="317"/>
      <c r="AL1524" s="315">
        <f t="shared" si="406"/>
        <v>0</v>
      </c>
      <c r="AN1524" s="554">
        <f t="shared" si="407"/>
        <v>0</v>
      </c>
      <c r="AO1524" s="314"/>
      <c r="AP1524" s="318"/>
    </row>
    <row r="1525" spans="2:42">
      <c r="B1525" s="296"/>
      <c r="C1525" s="299"/>
      <c r="D1525" s="298"/>
      <c r="E1525" s="299"/>
      <c r="F1525" s="299"/>
      <c r="G1525" s="300"/>
      <c r="H1525" s="303"/>
      <c r="I1525" s="301">
        <f t="shared" si="391"/>
        <v>0</v>
      </c>
      <c r="J1525" s="302">
        <f t="shared" si="392"/>
        <v>0</v>
      </c>
      <c r="K1525" s="304">
        <f t="shared" si="393"/>
        <v>0</v>
      </c>
      <c r="L1525" s="305">
        <f>IF(H1525=0,0,IF(OR(E1525=$AT$5,E1525=$AT$6),AA1525,IF(F1525="MXN",1/HLOOKUP(YEAR(G1525)+(MONTH(G1525)/100),TC!$5:$37,DAY(G1525)+2,FALSE),VLOOKUP(F1525,Equivalencia!$5:$23,((MAX(Equivalencia!$3:$3)-YEAR(G1525))*14)+MONTH(G1525)+2,FALSE))))</f>
        <v>0</v>
      </c>
      <c r="M1525" s="306">
        <f t="shared" si="394"/>
        <v>0</v>
      </c>
      <c r="N1525" s="305">
        <f>IF(G1525=0,0,(IF(OR(E1525=$AT$5,E1525=$AT$6),AC1525,HLOOKUP(YEAR(G1525)+(MONTH(G1525)/100),TC!$5:$37,DAY(G1525)+2,FALSE))))</f>
        <v>0</v>
      </c>
      <c r="O1525" s="307">
        <f t="shared" si="395"/>
        <v>0</v>
      </c>
      <c r="P1525" s="560">
        <f>IF(G1525=0,0,VLOOKUP(YEAR(G1525),INPC!$B$4:$P$30,MONTH(G1525)+2))</f>
        <v>0</v>
      </c>
      <c r="Q1525" s="560">
        <f>IF(X1525=0,0,IF(OR(E1525=$AT$10,E1525=$AT$9),VLOOKUP(YEAR(X1525),INPC!$B$4:$P$30,MONTH(X1525)+1),VLOOKUP(YEAR(X1525),INPC!$B$4:$P$30,MONTH(X1525)+2,0)))</f>
        <v>0</v>
      </c>
      <c r="R1525" s="309">
        <f t="shared" si="396"/>
        <v>0</v>
      </c>
      <c r="S1525" s="310">
        <f t="shared" si="397"/>
        <v>0</v>
      </c>
      <c r="T1525" s="555">
        <f t="shared" si="398"/>
        <v>0</v>
      </c>
      <c r="U1525" s="311"/>
      <c r="V1525" s="312"/>
      <c r="W1525" s="299"/>
      <c r="X1525" s="300"/>
      <c r="Y1525" s="299"/>
      <c r="Z1525" s="303"/>
      <c r="AA1525" s="305">
        <f>IF(Z1525=0,0,IF(Y1525="MXN",1/HLOOKUP(YEAR(X1525)+(MONTH(X1525)/100),TC!$5:$37,DAY(X1525)+2,FALSE),VLOOKUP(Y1525,Equivalencia!$1:$23,((MAX(Equivalencia!$3:$3)-YEAR(X1525))*14)+MONTH(X1525)+2,FALSE)))</f>
        <v>0</v>
      </c>
      <c r="AB1525" s="306">
        <f t="shared" si="399"/>
        <v>0</v>
      </c>
      <c r="AC1525" s="305">
        <f>+IF(X1525=0,0,HLOOKUP(YEAR(X1525)+(MONTH(X1525)/100),TC!$5:$37,DAY(X1525)+2,FALSE))</f>
        <v>0</v>
      </c>
      <c r="AD1525" s="307">
        <f t="shared" si="400"/>
        <v>0</v>
      </c>
      <c r="AE1525" s="314">
        <f t="shared" si="401"/>
        <v>0</v>
      </c>
      <c r="AF1525" s="315">
        <f t="shared" si="402"/>
        <v>0</v>
      </c>
      <c r="AG1525" s="316">
        <f t="shared" si="403"/>
        <v>0</v>
      </c>
      <c r="AH1525" s="314">
        <v>1</v>
      </c>
      <c r="AI1525" s="314">
        <f t="shared" si="404"/>
        <v>0</v>
      </c>
      <c r="AJ1525" s="314">
        <f t="shared" si="405"/>
        <v>0</v>
      </c>
      <c r="AK1525" s="317"/>
      <c r="AL1525" s="315">
        <f t="shared" si="406"/>
        <v>0</v>
      </c>
      <c r="AN1525" s="554">
        <f t="shared" si="407"/>
        <v>0</v>
      </c>
      <c r="AO1525" s="314"/>
      <c r="AP1525" s="318"/>
    </row>
    <row r="1526" spans="2:42">
      <c r="B1526" s="296"/>
      <c r="C1526" s="299"/>
      <c r="D1526" s="298"/>
      <c r="E1526" s="299"/>
      <c r="F1526" s="299"/>
      <c r="G1526" s="300"/>
      <c r="H1526" s="303"/>
      <c r="I1526" s="301">
        <f t="shared" si="391"/>
        <v>0</v>
      </c>
      <c r="J1526" s="302">
        <f t="shared" si="392"/>
        <v>0</v>
      </c>
      <c r="K1526" s="304">
        <f t="shared" si="393"/>
        <v>0</v>
      </c>
      <c r="L1526" s="305">
        <f>IF(H1526=0,0,IF(OR(E1526=$AT$5,E1526=$AT$6),AA1526,IF(F1526="MXN",1/HLOOKUP(YEAR(G1526)+(MONTH(G1526)/100),TC!$5:$37,DAY(G1526)+2,FALSE),VLOOKUP(F1526,Equivalencia!$5:$23,((MAX(Equivalencia!$3:$3)-YEAR(G1526))*14)+MONTH(G1526)+2,FALSE))))</f>
        <v>0</v>
      </c>
      <c r="M1526" s="306">
        <f t="shared" si="394"/>
        <v>0</v>
      </c>
      <c r="N1526" s="305">
        <f>IF(G1526=0,0,(IF(OR(E1526=$AT$5,E1526=$AT$6),AC1526,HLOOKUP(YEAR(G1526)+(MONTH(G1526)/100),TC!$5:$37,DAY(G1526)+2,FALSE))))</f>
        <v>0</v>
      </c>
      <c r="O1526" s="307">
        <f t="shared" si="395"/>
        <v>0</v>
      </c>
      <c r="P1526" s="560">
        <f>IF(G1526=0,0,VLOOKUP(YEAR(G1526),INPC!$B$4:$P$30,MONTH(G1526)+2))</f>
        <v>0</v>
      </c>
      <c r="Q1526" s="560">
        <f>IF(X1526=0,0,IF(OR(E1526=$AT$10,E1526=$AT$9),VLOOKUP(YEAR(X1526),INPC!$B$4:$P$30,MONTH(X1526)+1),VLOOKUP(YEAR(X1526),INPC!$B$4:$P$30,MONTH(X1526)+2,0)))</f>
        <v>0</v>
      </c>
      <c r="R1526" s="309">
        <f t="shared" si="396"/>
        <v>0</v>
      </c>
      <c r="S1526" s="310">
        <f t="shared" si="397"/>
        <v>0</v>
      </c>
      <c r="T1526" s="555">
        <f t="shared" si="398"/>
        <v>0</v>
      </c>
      <c r="U1526" s="311"/>
      <c r="V1526" s="312"/>
      <c r="W1526" s="299"/>
      <c r="X1526" s="300"/>
      <c r="Y1526" s="299"/>
      <c r="Z1526" s="303"/>
      <c r="AA1526" s="305">
        <f>IF(Z1526=0,0,IF(Y1526="MXN",1/HLOOKUP(YEAR(X1526)+(MONTH(X1526)/100),TC!$5:$37,DAY(X1526)+2,FALSE),VLOOKUP(Y1526,Equivalencia!$1:$23,((MAX(Equivalencia!$3:$3)-YEAR(X1526))*14)+MONTH(X1526)+2,FALSE)))</f>
        <v>0</v>
      </c>
      <c r="AB1526" s="306">
        <f t="shared" si="399"/>
        <v>0</v>
      </c>
      <c r="AC1526" s="305">
        <f>+IF(X1526=0,0,HLOOKUP(YEAR(X1526)+(MONTH(X1526)/100),TC!$5:$37,DAY(X1526)+2,FALSE))</f>
        <v>0</v>
      </c>
      <c r="AD1526" s="307">
        <f t="shared" si="400"/>
        <v>0</v>
      </c>
      <c r="AE1526" s="314">
        <f t="shared" si="401"/>
        <v>0</v>
      </c>
      <c r="AF1526" s="315">
        <f t="shared" si="402"/>
        <v>0</v>
      </c>
      <c r="AG1526" s="316">
        <f t="shared" si="403"/>
        <v>0</v>
      </c>
      <c r="AH1526" s="314">
        <v>1</v>
      </c>
      <c r="AI1526" s="314">
        <f t="shared" si="404"/>
        <v>0</v>
      </c>
      <c r="AJ1526" s="314">
        <f t="shared" si="405"/>
        <v>0</v>
      </c>
      <c r="AK1526" s="317"/>
      <c r="AL1526" s="315">
        <f t="shared" si="406"/>
        <v>0</v>
      </c>
      <c r="AN1526" s="554">
        <f t="shared" si="407"/>
        <v>0</v>
      </c>
      <c r="AO1526" s="314"/>
      <c r="AP1526" s="318"/>
    </row>
    <row r="1527" spans="2:42">
      <c r="B1527" s="296"/>
      <c r="C1527" s="299"/>
      <c r="D1527" s="298"/>
      <c r="E1527" s="299"/>
      <c r="F1527" s="299"/>
      <c r="G1527" s="300"/>
      <c r="H1527" s="303"/>
      <c r="I1527" s="301">
        <f t="shared" si="391"/>
        <v>0</v>
      </c>
      <c r="J1527" s="302">
        <f t="shared" si="392"/>
        <v>0</v>
      </c>
      <c r="K1527" s="304">
        <f t="shared" si="393"/>
        <v>0</v>
      </c>
      <c r="L1527" s="305">
        <f>IF(H1527=0,0,IF(OR(E1527=$AT$5,E1527=$AT$6),AA1527,IF(F1527="MXN",1/HLOOKUP(YEAR(G1527)+(MONTH(G1527)/100),TC!$5:$37,DAY(G1527)+2,FALSE),VLOOKUP(F1527,Equivalencia!$5:$23,((MAX(Equivalencia!$3:$3)-YEAR(G1527))*14)+MONTH(G1527)+2,FALSE))))</f>
        <v>0</v>
      </c>
      <c r="M1527" s="306">
        <f t="shared" si="394"/>
        <v>0</v>
      </c>
      <c r="N1527" s="305">
        <f>IF(G1527=0,0,(IF(OR(E1527=$AT$5,E1527=$AT$6),AC1527,HLOOKUP(YEAR(G1527)+(MONTH(G1527)/100),TC!$5:$37,DAY(G1527)+2,FALSE))))</f>
        <v>0</v>
      </c>
      <c r="O1527" s="307">
        <f t="shared" si="395"/>
        <v>0</v>
      </c>
      <c r="P1527" s="560">
        <f>IF(G1527=0,0,VLOOKUP(YEAR(G1527),INPC!$B$4:$P$30,MONTH(G1527)+2))</f>
        <v>0</v>
      </c>
      <c r="Q1527" s="560">
        <f>IF(X1527=0,0,IF(OR(E1527=$AT$10,E1527=$AT$9),VLOOKUP(YEAR(X1527),INPC!$B$4:$P$30,MONTH(X1527)+1),VLOOKUP(YEAR(X1527),INPC!$B$4:$P$30,MONTH(X1527)+2,0)))</f>
        <v>0</v>
      </c>
      <c r="R1527" s="309">
        <f t="shared" si="396"/>
        <v>0</v>
      </c>
      <c r="S1527" s="310">
        <f t="shared" si="397"/>
        <v>0</v>
      </c>
      <c r="T1527" s="555">
        <f t="shared" si="398"/>
        <v>0</v>
      </c>
      <c r="U1527" s="311"/>
      <c r="V1527" s="312"/>
      <c r="W1527" s="299"/>
      <c r="X1527" s="300"/>
      <c r="Y1527" s="299"/>
      <c r="Z1527" s="303"/>
      <c r="AA1527" s="305">
        <f>IF(Z1527=0,0,IF(Y1527="MXN",1/HLOOKUP(YEAR(X1527)+(MONTH(X1527)/100),TC!$5:$37,DAY(X1527)+2,FALSE),VLOOKUP(Y1527,Equivalencia!$1:$23,((MAX(Equivalencia!$3:$3)-YEAR(X1527))*14)+MONTH(X1527)+2,FALSE)))</f>
        <v>0</v>
      </c>
      <c r="AB1527" s="306">
        <f t="shared" si="399"/>
        <v>0</v>
      </c>
      <c r="AC1527" s="305">
        <f>+IF(X1527=0,0,HLOOKUP(YEAR(X1527)+(MONTH(X1527)/100),TC!$5:$37,DAY(X1527)+2,FALSE))</f>
        <v>0</v>
      </c>
      <c r="AD1527" s="307">
        <f t="shared" si="400"/>
        <v>0</v>
      </c>
      <c r="AE1527" s="314">
        <f t="shared" si="401"/>
        <v>0</v>
      </c>
      <c r="AF1527" s="315">
        <f t="shared" si="402"/>
        <v>0</v>
      </c>
      <c r="AG1527" s="316">
        <f t="shared" si="403"/>
        <v>0</v>
      </c>
      <c r="AH1527" s="314">
        <v>1</v>
      </c>
      <c r="AI1527" s="314">
        <f t="shared" si="404"/>
        <v>0</v>
      </c>
      <c r="AJ1527" s="314">
        <f t="shared" si="405"/>
        <v>0</v>
      </c>
      <c r="AK1527" s="317"/>
      <c r="AL1527" s="315">
        <f t="shared" si="406"/>
        <v>0</v>
      </c>
      <c r="AN1527" s="554">
        <f t="shared" si="407"/>
        <v>0</v>
      </c>
      <c r="AO1527" s="314"/>
      <c r="AP1527" s="318"/>
    </row>
    <row r="1528" spans="2:42">
      <c r="B1528" s="296"/>
      <c r="C1528" s="299"/>
      <c r="D1528" s="298"/>
      <c r="E1528" s="299"/>
      <c r="F1528" s="299"/>
      <c r="G1528" s="300"/>
      <c r="H1528" s="303"/>
      <c r="I1528" s="301">
        <f t="shared" si="391"/>
        <v>0</v>
      </c>
      <c r="J1528" s="302">
        <f t="shared" si="392"/>
        <v>0</v>
      </c>
      <c r="K1528" s="304">
        <f t="shared" si="393"/>
        <v>0</v>
      </c>
      <c r="L1528" s="305">
        <f>IF(H1528=0,0,IF(OR(E1528=$AT$5,E1528=$AT$6),AA1528,IF(F1528="MXN",1/HLOOKUP(YEAR(G1528)+(MONTH(G1528)/100),TC!$5:$37,DAY(G1528)+2,FALSE),VLOOKUP(F1528,Equivalencia!$5:$23,((MAX(Equivalencia!$3:$3)-YEAR(G1528))*14)+MONTH(G1528)+2,FALSE))))</f>
        <v>0</v>
      </c>
      <c r="M1528" s="306">
        <f t="shared" si="394"/>
        <v>0</v>
      </c>
      <c r="N1528" s="305">
        <f>IF(G1528=0,0,(IF(OR(E1528=$AT$5,E1528=$AT$6),AC1528,HLOOKUP(YEAR(G1528)+(MONTH(G1528)/100),TC!$5:$37,DAY(G1528)+2,FALSE))))</f>
        <v>0</v>
      </c>
      <c r="O1528" s="307">
        <f t="shared" si="395"/>
        <v>0</v>
      </c>
      <c r="P1528" s="560">
        <f>IF(G1528=0,0,VLOOKUP(YEAR(G1528),INPC!$B$4:$P$30,MONTH(G1528)+2))</f>
        <v>0</v>
      </c>
      <c r="Q1528" s="560">
        <f>IF(X1528=0,0,IF(OR(E1528=$AT$10,E1528=$AT$9),VLOOKUP(YEAR(X1528),INPC!$B$4:$P$30,MONTH(X1528)+1),VLOOKUP(YEAR(X1528),INPC!$B$4:$P$30,MONTH(X1528)+2,0)))</f>
        <v>0</v>
      </c>
      <c r="R1528" s="309">
        <f t="shared" si="396"/>
        <v>0</v>
      </c>
      <c r="S1528" s="310">
        <f t="shared" si="397"/>
        <v>0</v>
      </c>
      <c r="T1528" s="555">
        <f t="shared" si="398"/>
        <v>0</v>
      </c>
      <c r="U1528" s="311"/>
      <c r="V1528" s="312"/>
      <c r="W1528" s="299"/>
      <c r="X1528" s="300"/>
      <c r="Y1528" s="299"/>
      <c r="Z1528" s="303"/>
      <c r="AA1528" s="305">
        <f>IF(Z1528=0,0,IF(Y1528="MXN",1/HLOOKUP(YEAR(X1528)+(MONTH(X1528)/100),TC!$5:$37,DAY(X1528)+2,FALSE),VLOOKUP(Y1528,Equivalencia!$1:$23,((MAX(Equivalencia!$3:$3)-YEAR(X1528))*14)+MONTH(X1528)+2,FALSE)))</f>
        <v>0</v>
      </c>
      <c r="AB1528" s="306">
        <f t="shared" si="399"/>
        <v>0</v>
      </c>
      <c r="AC1528" s="305">
        <f>+IF(X1528=0,0,HLOOKUP(YEAR(X1528)+(MONTH(X1528)/100),TC!$5:$37,DAY(X1528)+2,FALSE))</f>
        <v>0</v>
      </c>
      <c r="AD1528" s="307">
        <f t="shared" si="400"/>
        <v>0</v>
      </c>
      <c r="AE1528" s="314">
        <f t="shared" si="401"/>
        <v>0</v>
      </c>
      <c r="AF1528" s="315">
        <f t="shared" si="402"/>
        <v>0</v>
      </c>
      <c r="AG1528" s="316">
        <f t="shared" si="403"/>
        <v>0</v>
      </c>
      <c r="AH1528" s="314">
        <v>1</v>
      </c>
      <c r="AI1528" s="314">
        <f t="shared" si="404"/>
        <v>0</v>
      </c>
      <c r="AJ1528" s="314">
        <f t="shared" si="405"/>
        <v>0</v>
      </c>
      <c r="AK1528" s="317"/>
      <c r="AL1528" s="315">
        <f t="shared" si="406"/>
        <v>0</v>
      </c>
      <c r="AN1528" s="554">
        <f t="shared" si="407"/>
        <v>0</v>
      </c>
      <c r="AO1528" s="314"/>
      <c r="AP1528" s="318"/>
    </row>
    <row r="1529" spans="2:42">
      <c r="B1529" s="296"/>
      <c r="C1529" s="299"/>
      <c r="D1529" s="298"/>
      <c r="E1529" s="299"/>
      <c r="F1529" s="299"/>
      <c r="G1529" s="300"/>
      <c r="H1529" s="303"/>
      <c r="I1529" s="301">
        <f t="shared" si="391"/>
        <v>0</v>
      </c>
      <c r="J1529" s="302">
        <f t="shared" si="392"/>
        <v>0</v>
      </c>
      <c r="K1529" s="304">
        <f t="shared" si="393"/>
        <v>0</v>
      </c>
      <c r="L1529" s="305">
        <f>IF(H1529=0,0,IF(OR(E1529=$AT$5,E1529=$AT$6),AA1529,IF(F1529="MXN",1/HLOOKUP(YEAR(G1529)+(MONTH(G1529)/100),TC!$5:$37,DAY(G1529)+2,FALSE),VLOOKUP(F1529,Equivalencia!$5:$23,((MAX(Equivalencia!$3:$3)-YEAR(G1529))*14)+MONTH(G1529)+2,FALSE))))</f>
        <v>0</v>
      </c>
      <c r="M1529" s="306">
        <f t="shared" si="394"/>
        <v>0</v>
      </c>
      <c r="N1529" s="305">
        <f>IF(G1529=0,0,(IF(OR(E1529=$AT$5,E1529=$AT$6),AC1529,HLOOKUP(YEAR(G1529)+(MONTH(G1529)/100),TC!$5:$37,DAY(G1529)+2,FALSE))))</f>
        <v>0</v>
      </c>
      <c r="O1529" s="307">
        <f t="shared" si="395"/>
        <v>0</v>
      </c>
      <c r="P1529" s="560">
        <f>IF(G1529=0,0,VLOOKUP(YEAR(G1529),INPC!$B$4:$P$30,MONTH(G1529)+2))</f>
        <v>0</v>
      </c>
      <c r="Q1529" s="560">
        <f>IF(X1529=0,0,IF(OR(E1529=$AT$10,E1529=$AT$9),VLOOKUP(YEAR(X1529),INPC!$B$4:$P$30,MONTH(X1529)+1),VLOOKUP(YEAR(X1529),INPC!$B$4:$P$30,MONTH(X1529)+2,0)))</f>
        <v>0</v>
      </c>
      <c r="R1529" s="309">
        <f t="shared" si="396"/>
        <v>0</v>
      </c>
      <c r="S1529" s="310">
        <f t="shared" si="397"/>
        <v>0</v>
      </c>
      <c r="T1529" s="555">
        <f t="shared" si="398"/>
        <v>0</v>
      </c>
      <c r="U1529" s="311"/>
      <c r="V1529" s="312"/>
      <c r="W1529" s="299"/>
      <c r="X1529" s="300"/>
      <c r="Y1529" s="299"/>
      <c r="Z1529" s="303"/>
      <c r="AA1529" s="305">
        <f>IF(Z1529=0,0,IF(Y1529="MXN",1/HLOOKUP(YEAR(X1529)+(MONTH(X1529)/100),TC!$5:$37,DAY(X1529)+2,FALSE),VLOOKUP(Y1529,Equivalencia!$1:$23,((MAX(Equivalencia!$3:$3)-YEAR(X1529))*14)+MONTH(X1529)+2,FALSE)))</f>
        <v>0</v>
      </c>
      <c r="AB1529" s="306">
        <f t="shared" si="399"/>
        <v>0</v>
      </c>
      <c r="AC1529" s="305">
        <f>+IF(X1529=0,0,HLOOKUP(YEAR(X1529)+(MONTH(X1529)/100),TC!$5:$37,DAY(X1529)+2,FALSE))</f>
        <v>0</v>
      </c>
      <c r="AD1529" s="307">
        <f t="shared" si="400"/>
        <v>0</v>
      </c>
      <c r="AE1529" s="314">
        <f t="shared" si="401"/>
        <v>0</v>
      </c>
      <c r="AF1529" s="315">
        <f t="shared" si="402"/>
        <v>0</v>
      </c>
      <c r="AG1529" s="316">
        <f t="shared" si="403"/>
        <v>0</v>
      </c>
      <c r="AH1529" s="314">
        <v>1</v>
      </c>
      <c r="AI1529" s="314">
        <f t="shared" si="404"/>
        <v>0</v>
      </c>
      <c r="AJ1529" s="314">
        <f t="shared" si="405"/>
        <v>0</v>
      </c>
      <c r="AK1529" s="317"/>
      <c r="AL1529" s="315">
        <f t="shared" si="406"/>
        <v>0</v>
      </c>
      <c r="AN1529" s="554">
        <f t="shared" si="407"/>
        <v>0</v>
      </c>
      <c r="AO1529" s="314"/>
      <c r="AP1529" s="318"/>
    </row>
    <row r="1530" spans="2:42">
      <c r="B1530" s="296"/>
      <c r="C1530" s="299"/>
      <c r="D1530" s="298"/>
      <c r="E1530" s="299"/>
      <c r="F1530" s="299"/>
      <c r="G1530" s="300"/>
      <c r="H1530" s="303"/>
      <c r="I1530" s="301">
        <f t="shared" si="391"/>
        <v>0</v>
      </c>
      <c r="J1530" s="302">
        <f t="shared" si="392"/>
        <v>0</v>
      </c>
      <c r="K1530" s="304">
        <f t="shared" si="393"/>
        <v>0</v>
      </c>
      <c r="L1530" s="305">
        <f>IF(H1530=0,0,IF(OR(E1530=$AT$5,E1530=$AT$6),AA1530,IF(F1530="MXN",1/HLOOKUP(YEAR(G1530)+(MONTH(G1530)/100),TC!$5:$37,DAY(G1530)+2,FALSE),VLOOKUP(F1530,Equivalencia!$5:$23,((MAX(Equivalencia!$3:$3)-YEAR(G1530))*14)+MONTH(G1530)+2,FALSE))))</f>
        <v>0</v>
      </c>
      <c r="M1530" s="306">
        <f t="shared" si="394"/>
        <v>0</v>
      </c>
      <c r="N1530" s="305">
        <f>IF(G1530=0,0,(IF(OR(E1530=$AT$5,E1530=$AT$6),AC1530,HLOOKUP(YEAR(G1530)+(MONTH(G1530)/100),TC!$5:$37,DAY(G1530)+2,FALSE))))</f>
        <v>0</v>
      </c>
      <c r="O1530" s="307">
        <f t="shared" si="395"/>
        <v>0</v>
      </c>
      <c r="P1530" s="560">
        <f>IF(G1530=0,0,VLOOKUP(YEAR(G1530),INPC!$B$4:$P$30,MONTH(G1530)+2))</f>
        <v>0</v>
      </c>
      <c r="Q1530" s="560">
        <f>IF(X1530=0,0,IF(OR(E1530=$AT$10,E1530=$AT$9),VLOOKUP(YEAR(X1530),INPC!$B$4:$P$30,MONTH(X1530)+1),VLOOKUP(YEAR(X1530),INPC!$B$4:$P$30,MONTH(X1530)+2,0)))</f>
        <v>0</v>
      </c>
      <c r="R1530" s="309">
        <f t="shared" si="396"/>
        <v>0</v>
      </c>
      <c r="S1530" s="310">
        <f t="shared" si="397"/>
        <v>0</v>
      </c>
      <c r="T1530" s="555">
        <f t="shared" si="398"/>
        <v>0</v>
      </c>
      <c r="U1530" s="311"/>
      <c r="V1530" s="312"/>
      <c r="W1530" s="299"/>
      <c r="X1530" s="300"/>
      <c r="Y1530" s="299"/>
      <c r="Z1530" s="303"/>
      <c r="AA1530" s="305">
        <f>IF(Z1530=0,0,IF(Y1530="MXN",1/HLOOKUP(YEAR(X1530)+(MONTH(X1530)/100),TC!$5:$37,DAY(X1530)+2,FALSE),VLOOKUP(Y1530,Equivalencia!$1:$23,((MAX(Equivalencia!$3:$3)-YEAR(X1530))*14)+MONTH(X1530)+2,FALSE)))</f>
        <v>0</v>
      </c>
      <c r="AB1530" s="306">
        <f t="shared" si="399"/>
        <v>0</v>
      </c>
      <c r="AC1530" s="305">
        <f>+IF(X1530=0,0,HLOOKUP(YEAR(X1530)+(MONTH(X1530)/100),TC!$5:$37,DAY(X1530)+2,FALSE))</f>
        <v>0</v>
      </c>
      <c r="AD1530" s="307">
        <f t="shared" si="400"/>
        <v>0</v>
      </c>
      <c r="AE1530" s="314">
        <f t="shared" si="401"/>
        <v>0</v>
      </c>
      <c r="AF1530" s="315">
        <f t="shared" si="402"/>
        <v>0</v>
      </c>
      <c r="AG1530" s="316">
        <f t="shared" si="403"/>
        <v>0</v>
      </c>
      <c r="AH1530" s="314">
        <v>1</v>
      </c>
      <c r="AI1530" s="314">
        <f t="shared" si="404"/>
        <v>0</v>
      </c>
      <c r="AJ1530" s="314">
        <f t="shared" si="405"/>
        <v>0</v>
      </c>
      <c r="AK1530" s="317"/>
      <c r="AL1530" s="315">
        <f t="shared" si="406"/>
        <v>0</v>
      </c>
      <c r="AN1530" s="554">
        <f t="shared" si="407"/>
        <v>0</v>
      </c>
      <c r="AO1530" s="314"/>
      <c r="AP1530" s="318"/>
    </row>
    <row r="1531" spans="2:42">
      <c r="B1531" s="296"/>
      <c r="C1531" s="299"/>
      <c r="D1531" s="298"/>
      <c r="E1531" s="299"/>
      <c r="F1531" s="299"/>
      <c r="G1531" s="300"/>
      <c r="H1531" s="303"/>
      <c r="I1531" s="301">
        <f t="shared" si="391"/>
        <v>0</v>
      </c>
      <c r="J1531" s="302">
        <f t="shared" si="392"/>
        <v>0</v>
      </c>
      <c r="K1531" s="304">
        <f t="shared" si="393"/>
        <v>0</v>
      </c>
      <c r="L1531" s="305">
        <f>IF(H1531=0,0,IF(OR(E1531=$AT$5,E1531=$AT$6),AA1531,IF(F1531="MXN",1/HLOOKUP(YEAR(G1531)+(MONTH(G1531)/100),TC!$5:$37,DAY(G1531)+2,FALSE),VLOOKUP(F1531,Equivalencia!$5:$23,((MAX(Equivalencia!$3:$3)-YEAR(G1531))*14)+MONTH(G1531)+2,FALSE))))</f>
        <v>0</v>
      </c>
      <c r="M1531" s="306">
        <f t="shared" si="394"/>
        <v>0</v>
      </c>
      <c r="N1531" s="305">
        <f>IF(G1531=0,0,(IF(OR(E1531=$AT$5,E1531=$AT$6),AC1531,HLOOKUP(YEAR(G1531)+(MONTH(G1531)/100),TC!$5:$37,DAY(G1531)+2,FALSE))))</f>
        <v>0</v>
      </c>
      <c r="O1531" s="307">
        <f t="shared" si="395"/>
        <v>0</v>
      </c>
      <c r="P1531" s="560">
        <f>IF(G1531=0,0,VLOOKUP(YEAR(G1531),INPC!$B$4:$P$30,MONTH(G1531)+2))</f>
        <v>0</v>
      </c>
      <c r="Q1531" s="560">
        <f>IF(X1531=0,0,IF(OR(E1531=$AT$10,E1531=$AT$9),VLOOKUP(YEAR(X1531),INPC!$B$4:$P$30,MONTH(X1531)+1),VLOOKUP(YEAR(X1531),INPC!$B$4:$P$30,MONTH(X1531)+2,0)))</f>
        <v>0</v>
      </c>
      <c r="R1531" s="309">
        <f t="shared" si="396"/>
        <v>0</v>
      </c>
      <c r="S1531" s="310">
        <f t="shared" si="397"/>
        <v>0</v>
      </c>
      <c r="T1531" s="555">
        <f t="shared" si="398"/>
        <v>0</v>
      </c>
      <c r="U1531" s="311"/>
      <c r="V1531" s="312"/>
      <c r="W1531" s="299"/>
      <c r="X1531" s="300"/>
      <c r="Y1531" s="299"/>
      <c r="Z1531" s="303"/>
      <c r="AA1531" s="305">
        <f>IF(Z1531=0,0,IF(Y1531="MXN",1/HLOOKUP(YEAR(X1531)+(MONTH(X1531)/100),TC!$5:$37,DAY(X1531)+2,FALSE),VLOOKUP(Y1531,Equivalencia!$1:$23,((MAX(Equivalencia!$3:$3)-YEAR(X1531))*14)+MONTH(X1531)+2,FALSE)))</f>
        <v>0</v>
      </c>
      <c r="AB1531" s="306">
        <f t="shared" si="399"/>
        <v>0</v>
      </c>
      <c r="AC1531" s="305">
        <f>+IF(X1531=0,0,HLOOKUP(YEAR(X1531)+(MONTH(X1531)/100),TC!$5:$37,DAY(X1531)+2,FALSE))</f>
        <v>0</v>
      </c>
      <c r="AD1531" s="307">
        <f t="shared" si="400"/>
        <v>0</v>
      </c>
      <c r="AE1531" s="314">
        <f t="shared" si="401"/>
        <v>0</v>
      </c>
      <c r="AF1531" s="315">
        <f t="shared" si="402"/>
        <v>0</v>
      </c>
      <c r="AG1531" s="316">
        <f t="shared" si="403"/>
        <v>0</v>
      </c>
      <c r="AH1531" s="314">
        <v>1</v>
      </c>
      <c r="AI1531" s="314">
        <f t="shared" si="404"/>
        <v>0</v>
      </c>
      <c r="AJ1531" s="314">
        <f t="shared" si="405"/>
        <v>0</v>
      </c>
      <c r="AK1531" s="317"/>
      <c r="AL1531" s="315">
        <f t="shared" si="406"/>
        <v>0</v>
      </c>
      <c r="AN1531" s="554">
        <f t="shared" si="407"/>
        <v>0</v>
      </c>
      <c r="AO1531" s="314"/>
      <c r="AP1531" s="318"/>
    </row>
    <row r="1532" spans="2:42">
      <c r="B1532" s="296"/>
      <c r="C1532" s="299"/>
      <c r="D1532" s="298"/>
      <c r="E1532" s="299"/>
      <c r="F1532" s="299"/>
      <c r="G1532" s="300"/>
      <c r="H1532" s="303"/>
      <c r="I1532" s="301">
        <f t="shared" ref="I1532:I1595" si="408">IF(D1532=0,0,IF(OR(E1532=$AT$9,E1532=$AT$10),"Ingresos Sección II LISR (SIC &amp; BMV)","Ingresos Sección I LISR"))</f>
        <v>0</v>
      </c>
      <c r="J1532" s="302">
        <f t="shared" ref="J1532:J1595" si="409">+V1532</f>
        <v>0</v>
      </c>
      <c r="K1532" s="304">
        <f t="shared" ref="K1532:K1595" si="410">IF(H1532=0,0,H1532/J1532)</f>
        <v>0</v>
      </c>
      <c r="L1532" s="305">
        <f>IF(H1532=0,0,IF(OR(E1532=$AT$5,E1532=$AT$6),AA1532,IF(F1532="MXN",1/HLOOKUP(YEAR(G1532)+(MONTH(G1532)/100),TC!$5:$37,DAY(G1532)+2,FALSE),VLOOKUP(F1532,Equivalencia!$5:$23,((MAX(Equivalencia!$3:$3)-YEAR(G1532))*14)+MONTH(G1532)+2,FALSE))))</f>
        <v>0</v>
      </c>
      <c r="M1532" s="306">
        <f t="shared" ref="M1532:M1595" si="411">+H1532*L1532</f>
        <v>0</v>
      </c>
      <c r="N1532" s="305">
        <f>IF(G1532=0,0,(IF(OR(E1532=$AT$5,E1532=$AT$6),AC1532,HLOOKUP(YEAR(G1532)+(MONTH(G1532)/100),TC!$5:$37,DAY(G1532)+2,FALSE))))</f>
        <v>0</v>
      </c>
      <c r="O1532" s="307">
        <f t="shared" ref="O1532:O1595" si="412">+M1532*N1532</f>
        <v>0</v>
      </c>
      <c r="P1532" s="560">
        <f>IF(G1532=0,0,VLOOKUP(YEAR(G1532),INPC!$B$4:$P$30,MONTH(G1532)+2))</f>
        <v>0</v>
      </c>
      <c r="Q1532" s="560">
        <f>IF(X1532=0,0,IF(OR(E1532=$AT$10,E1532=$AT$9),VLOOKUP(YEAR(X1532),INPC!$B$4:$P$30,MONTH(X1532)+1),VLOOKUP(YEAR(X1532),INPC!$B$4:$P$30,MONTH(X1532)+2,0)))</f>
        <v>0</v>
      </c>
      <c r="R1532" s="309">
        <f t="shared" ref="R1532:R1595" si="413">IF(H1532=0,0,IF(OR(E1532=$AT$5,E1532=$AT$6),1,IF(TRUNC(Q1532/P1532,4)&gt;=1,TRUNC(Q1532/P1532,4),1)))</f>
        <v>0</v>
      </c>
      <c r="S1532" s="310">
        <f t="shared" ref="S1532:S1595" si="414">+R1532*O1532</f>
        <v>0</v>
      </c>
      <c r="T1532" s="555">
        <f t="shared" ref="T1532:T1595" si="415">IF(V1532=0,0,S1532/V1532)</f>
        <v>0</v>
      </c>
      <c r="U1532" s="311"/>
      <c r="V1532" s="312"/>
      <c r="W1532" s="299"/>
      <c r="X1532" s="300"/>
      <c r="Y1532" s="299"/>
      <c r="Z1532" s="303"/>
      <c r="AA1532" s="305">
        <f>IF(Z1532=0,0,IF(Y1532="MXN",1/HLOOKUP(YEAR(X1532)+(MONTH(X1532)/100),TC!$5:$37,DAY(X1532)+2,FALSE),VLOOKUP(Y1532,Equivalencia!$1:$23,((MAX(Equivalencia!$3:$3)-YEAR(X1532))*14)+MONTH(X1532)+2,FALSE)))</f>
        <v>0</v>
      </c>
      <c r="AB1532" s="306">
        <f t="shared" ref="AB1532:AB1595" si="416">+AA1532*Z1532</f>
        <v>0</v>
      </c>
      <c r="AC1532" s="305">
        <f>+IF(X1532=0,0,HLOOKUP(YEAR(X1532)+(MONTH(X1532)/100),TC!$5:$37,DAY(X1532)+2,FALSE))</f>
        <v>0</v>
      </c>
      <c r="AD1532" s="307">
        <f t="shared" ref="AD1532:AD1595" si="417">+AC1532*AB1532</f>
        <v>0</v>
      </c>
      <c r="AE1532" s="314">
        <f t="shared" ref="AE1532:AE1595" si="418">+V1532*T1532</f>
        <v>0</v>
      </c>
      <c r="AF1532" s="315">
        <f t="shared" ref="AF1532:AF1595" si="419">IF(E1532=$AT$11,0,AD1532-AE1532)</f>
        <v>0</v>
      </c>
      <c r="AG1532" s="316">
        <f t="shared" ref="AG1532:AG1595" si="420">+IF(AND(AF1532&lt;0,OR(E1532=$AT$5,E1532=$AT$6)),1,((X1532-G1532)/365))</f>
        <v>0</v>
      </c>
      <c r="AH1532" s="314">
        <v>1</v>
      </c>
      <c r="AI1532" s="314">
        <f t="shared" ref="AI1532:AI1595" si="421">+IF(OR(E1532=$AT$9,E1532=$AT$10),AF1532,+AF1532/AH1532)</f>
        <v>0</v>
      </c>
      <c r="AJ1532" s="314">
        <f t="shared" ref="AJ1532:AJ1595" si="422">+AF1532-AI1532</f>
        <v>0</v>
      </c>
      <c r="AK1532" s="317"/>
      <c r="AL1532" s="315">
        <f t="shared" ref="AL1532:AL1595" si="423">+AB1532-M1532</f>
        <v>0</v>
      </c>
      <c r="AN1532" s="554">
        <f t="shared" ref="AN1532:AN1595" si="424">IF(AL1532=0,0,AL1532/H1532)</f>
        <v>0</v>
      </c>
      <c r="AO1532" s="314"/>
      <c r="AP1532" s="318"/>
    </row>
    <row r="1533" spans="2:42">
      <c r="B1533" s="296"/>
      <c r="C1533" s="299"/>
      <c r="D1533" s="298"/>
      <c r="E1533" s="299"/>
      <c r="F1533" s="299"/>
      <c r="G1533" s="300"/>
      <c r="H1533" s="303"/>
      <c r="I1533" s="301">
        <f t="shared" si="408"/>
        <v>0</v>
      </c>
      <c r="J1533" s="302">
        <f t="shared" si="409"/>
        <v>0</v>
      </c>
      <c r="K1533" s="304">
        <f t="shared" si="410"/>
        <v>0</v>
      </c>
      <c r="L1533" s="305">
        <f>IF(H1533=0,0,IF(OR(E1533=$AT$5,E1533=$AT$6),AA1533,IF(F1533="MXN",1/HLOOKUP(YEAR(G1533)+(MONTH(G1533)/100),TC!$5:$37,DAY(G1533)+2,FALSE),VLOOKUP(F1533,Equivalencia!$5:$23,((MAX(Equivalencia!$3:$3)-YEAR(G1533))*14)+MONTH(G1533)+2,FALSE))))</f>
        <v>0</v>
      </c>
      <c r="M1533" s="306">
        <f t="shared" si="411"/>
        <v>0</v>
      </c>
      <c r="N1533" s="305">
        <f>IF(G1533=0,0,(IF(OR(E1533=$AT$5,E1533=$AT$6),AC1533,HLOOKUP(YEAR(G1533)+(MONTH(G1533)/100),TC!$5:$37,DAY(G1533)+2,FALSE))))</f>
        <v>0</v>
      </c>
      <c r="O1533" s="307">
        <f t="shared" si="412"/>
        <v>0</v>
      </c>
      <c r="P1533" s="560">
        <f>IF(G1533=0,0,VLOOKUP(YEAR(G1533),INPC!$B$4:$P$30,MONTH(G1533)+2))</f>
        <v>0</v>
      </c>
      <c r="Q1533" s="560">
        <f>IF(X1533=0,0,IF(OR(E1533=$AT$10,E1533=$AT$9),VLOOKUP(YEAR(X1533),INPC!$B$4:$P$30,MONTH(X1533)+1),VLOOKUP(YEAR(X1533),INPC!$B$4:$P$30,MONTH(X1533)+2,0)))</f>
        <v>0</v>
      </c>
      <c r="R1533" s="309">
        <f t="shared" si="413"/>
        <v>0</v>
      </c>
      <c r="S1533" s="310">
        <f t="shared" si="414"/>
        <v>0</v>
      </c>
      <c r="T1533" s="555">
        <f t="shared" si="415"/>
        <v>0</v>
      </c>
      <c r="U1533" s="311"/>
      <c r="V1533" s="312"/>
      <c r="W1533" s="299"/>
      <c r="X1533" s="300"/>
      <c r="Y1533" s="299"/>
      <c r="Z1533" s="303"/>
      <c r="AA1533" s="305">
        <f>IF(Z1533=0,0,IF(Y1533="MXN",1/HLOOKUP(YEAR(X1533)+(MONTH(X1533)/100),TC!$5:$37,DAY(X1533)+2,FALSE),VLOOKUP(Y1533,Equivalencia!$1:$23,((MAX(Equivalencia!$3:$3)-YEAR(X1533))*14)+MONTH(X1533)+2,FALSE)))</f>
        <v>0</v>
      </c>
      <c r="AB1533" s="306">
        <f t="shared" si="416"/>
        <v>0</v>
      </c>
      <c r="AC1533" s="305">
        <f>+IF(X1533=0,0,HLOOKUP(YEAR(X1533)+(MONTH(X1533)/100),TC!$5:$37,DAY(X1533)+2,FALSE))</f>
        <v>0</v>
      </c>
      <c r="AD1533" s="307">
        <f t="shared" si="417"/>
        <v>0</v>
      </c>
      <c r="AE1533" s="314">
        <f t="shared" si="418"/>
        <v>0</v>
      </c>
      <c r="AF1533" s="315">
        <f t="shared" si="419"/>
        <v>0</v>
      </c>
      <c r="AG1533" s="316">
        <f t="shared" si="420"/>
        <v>0</v>
      </c>
      <c r="AH1533" s="314">
        <v>1</v>
      </c>
      <c r="AI1533" s="314">
        <f t="shared" si="421"/>
        <v>0</v>
      </c>
      <c r="AJ1533" s="314">
        <f t="shared" si="422"/>
        <v>0</v>
      </c>
      <c r="AK1533" s="317"/>
      <c r="AL1533" s="315">
        <f t="shared" si="423"/>
        <v>0</v>
      </c>
      <c r="AN1533" s="554">
        <f t="shared" si="424"/>
        <v>0</v>
      </c>
      <c r="AO1533" s="314"/>
      <c r="AP1533" s="318"/>
    </row>
    <row r="1534" spans="2:42">
      <c r="B1534" s="296"/>
      <c r="C1534" s="299"/>
      <c r="D1534" s="298"/>
      <c r="E1534" s="299"/>
      <c r="F1534" s="299"/>
      <c r="G1534" s="300"/>
      <c r="H1534" s="303"/>
      <c r="I1534" s="301">
        <f t="shared" si="408"/>
        <v>0</v>
      </c>
      <c r="J1534" s="302">
        <f t="shared" si="409"/>
        <v>0</v>
      </c>
      <c r="K1534" s="304">
        <f t="shared" si="410"/>
        <v>0</v>
      </c>
      <c r="L1534" s="305">
        <f>IF(H1534=0,0,IF(OR(E1534=$AT$5,E1534=$AT$6),AA1534,IF(F1534="MXN",1/HLOOKUP(YEAR(G1534)+(MONTH(G1534)/100),TC!$5:$37,DAY(G1534)+2,FALSE),VLOOKUP(F1534,Equivalencia!$5:$23,((MAX(Equivalencia!$3:$3)-YEAR(G1534))*14)+MONTH(G1534)+2,FALSE))))</f>
        <v>0</v>
      </c>
      <c r="M1534" s="306">
        <f t="shared" si="411"/>
        <v>0</v>
      </c>
      <c r="N1534" s="305">
        <f>IF(G1534=0,0,(IF(OR(E1534=$AT$5,E1534=$AT$6),AC1534,HLOOKUP(YEAR(G1534)+(MONTH(G1534)/100),TC!$5:$37,DAY(G1534)+2,FALSE))))</f>
        <v>0</v>
      </c>
      <c r="O1534" s="307">
        <f t="shared" si="412"/>
        <v>0</v>
      </c>
      <c r="P1534" s="560">
        <f>IF(G1534=0,0,VLOOKUP(YEAR(G1534),INPC!$B$4:$P$30,MONTH(G1534)+2))</f>
        <v>0</v>
      </c>
      <c r="Q1534" s="560">
        <f>IF(X1534=0,0,IF(OR(E1534=$AT$10,E1534=$AT$9),VLOOKUP(YEAR(X1534),INPC!$B$4:$P$30,MONTH(X1534)+1),VLOOKUP(YEAR(X1534),INPC!$B$4:$P$30,MONTH(X1534)+2,0)))</f>
        <v>0</v>
      </c>
      <c r="R1534" s="309">
        <f t="shared" si="413"/>
        <v>0</v>
      </c>
      <c r="S1534" s="310">
        <f t="shared" si="414"/>
        <v>0</v>
      </c>
      <c r="T1534" s="555">
        <f t="shared" si="415"/>
        <v>0</v>
      </c>
      <c r="U1534" s="311"/>
      <c r="V1534" s="312"/>
      <c r="W1534" s="299"/>
      <c r="X1534" s="300"/>
      <c r="Y1534" s="299"/>
      <c r="Z1534" s="303"/>
      <c r="AA1534" s="305">
        <f>IF(Z1534=0,0,IF(Y1534="MXN",1/HLOOKUP(YEAR(X1534)+(MONTH(X1534)/100),TC!$5:$37,DAY(X1534)+2,FALSE),VLOOKUP(Y1534,Equivalencia!$1:$23,((MAX(Equivalencia!$3:$3)-YEAR(X1534))*14)+MONTH(X1534)+2,FALSE)))</f>
        <v>0</v>
      </c>
      <c r="AB1534" s="306">
        <f t="shared" si="416"/>
        <v>0</v>
      </c>
      <c r="AC1534" s="305">
        <f>+IF(X1534=0,0,HLOOKUP(YEAR(X1534)+(MONTH(X1534)/100),TC!$5:$37,DAY(X1534)+2,FALSE))</f>
        <v>0</v>
      </c>
      <c r="AD1534" s="307">
        <f t="shared" si="417"/>
        <v>0</v>
      </c>
      <c r="AE1534" s="314">
        <f t="shared" si="418"/>
        <v>0</v>
      </c>
      <c r="AF1534" s="315">
        <f t="shared" si="419"/>
        <v>0</v>
      </c>
      <c r="AG1534" s="316">
        <f t="shared" si="420"/>
        <v>0</v>
      </c>
      <c r="AH1534" s="314">
        <v>1</v>
      </c>
      <c r="AI1534" s="314">
        <f t="shared" si="421"/>
        <v>0</v>
      </c>
      <c r="AJ1534" s="314">
        <f t="shared" si="422"/>
        <v>0</v>
      </c>
      <c r="AK1534" s="317"/>
      <c r="AL1534" s="315">
        <f t="shared" si="423"/>
        <v>0</v>
      </c>
      <c r="AN1534" s="554">
        <f t="shared" si="424"/>
        <v>0</v>
      </c>
      <c r="AO1534" s="314"/>
      <c r="AP1534" s="318"/>
    </row>
    <row r="1535" spans="2:42">
      <c r="B1535" s="296"/>
      <c r="C1535" s="299"/>
      <c r="D1535" s="298"/>
      <c r="E1535" s="299"/>
      <c r="F1535" s="299"/>
      <c r="G1535" s="300"/>
      <c r="H1535" s="303"/>
      <c r="I1535" s="301">
        <f t="shared" si="408"/>
        <v>0</v>
      </c>
      <c r="J1535" s="302">
        <f t="shared" si="409"/>
        <v>0</v>
      </c>
      <c r="K1535" s="304">
        <f t="shared" si="410"/>
        <v>0</v>
      </c>
      <c r="L1535" s="305">
        <f>IF(H1535=0,0,IF(OR(E1535=$AT$5,E1535=$AT$6),AA1535,IF(F1535="MXN",1/HLOOKUP(YEAR(G1535)+(MONTH(G1535)/100),TC!$5:$37,DAY(G1535)+2,FALSE),VLOOKUP(F1535,Equivalencia!$5:$23,((MAX(Equivalencia!$3:$3)-YEAR(G1535))*14)+MONTH(G1535)+2,FALSE))))</f>
        <v>0</v>
      </c>
      <c r="M1535" s="306">
        <f t="shared" si="411"/>
        <v>0</v>
      </c>
      <c r="N1535" s="305">
        <f>IF(G1535=0,0,(IF(OR(E1535=$AT$5,E1535=$AT$6),AC1535,HLOOKUP(YEAR(G1535)+(MONTH(G1535)/100),TC!$5:$37,DAY(G1535)+2,FALSE))))</f>
        <v>0</v>
      </c>
      <c r="O1535" s="307">
        <f t="shared" si="412"/>
        <v>0</v>
      </c>
      <c r="P1535" s="560">
        <f>IF(G1535=0,0,VLOOKUP(YEAR(G1535),INPC!$B$4:$P$30,MONTH(G1535)+2))</f>
        <v>0</v>
      </c>
      <c r="Q1535" s="560">
        <f>IF(X1535=0,0,IF(OR(E1535=$AT$10,E1535=$AT$9),VLOOKUP(YEAR(X1535),INPC!$B$4:$P$30,MONTH(X1535)+1),VLOOKUP(YEAR(X1535),INPC!$B$4:$P$30,MONTH(X1535)+2,0)))</f>
        <v>0</v>
      </c>
      <c r="R1535" s="309">
        <f t="shared" si="413"/>
        <v>0</v>
      </c>
      <c r="S1535" s="310">
        <f t="shared" si="414"/>
        <v>0</v>
      </c>
      <c r="T1535" s="555">
        <f t="shared" si="415"/>
        <v>0</v>
      </c>
      <c r="U1535" s="311"/>
      <c r="V1535" s="312"/>
      <c r="W1535" s="299"/>
      <c r="X1535" s="300"/>
      <c r="Y1535" s="299"/>
      <c r="Z1535" s="303"/>
      <c r="AA1535" s="305">
        <f>IF(Z1535=0,0,IF(Y1535="MXN",1/HLOOKUP(YEAR(X1535)+(MONTH(X1535)/100),TC!$5:$37,DAY(X1535)+2,FALSE),VLOOKUP(Y1535,Equivalencia!$1:$23,((MAX(Equivalencia!$3:$3)-YEAR(X1535))*14)+MONTH(X1535)+2,FALSE)))</f>
        <v>0</v>
      </c>
      <c r="AB1535" s="306">
        <f t="shared" si="416"/>
        <v>0</v>
      </c>
      <c r="AC1535" s="305">
        <f>+IF(X1535=0,0,HLOOKUP(YEAR(X1535)+(MONTH(X1535)/100),TC!$5:$37,DAY(X1535)+2,FALSE))</f>
        <v>0</v>
      </c>
      <c r="AD1535" s="307">
        <f t="shared" si="417"/>
        <v>0</v>
      </c>
      <c r="AE1535" s="314">
        <f t="shared" si="418"/>
        <v>0</v>
      </c>
      <c r="AF1535" s="315">
        <f t="shared" si="419"/>
        <v>0</v>
      </c>
      <c r="AG1535" s="316">
        <f t="shared" si="420"/>
        <v>0</v>
      </c>
      <c r="AH1535" s="314">
        <v>1</v>
      </c>
      <c r="AI1535" s="314">
        <f t="shared" si="421"/>
        <v>0</v>
      </c>
      <c r="AJ1535" s="314">
        <f t="shared" si="422"/>
        <v>0</v>
      </c>
      <c r="AK1535" s="317"/>
      <c r="AL1535" s="315">
        <f t="shared" si="423"/>
        <v>0</v>
      </c>
      <c r="AN1535" s="554">
        <f t="shared" si="424"/>
        <v>0</v>
      </c>
      <c r="AO1535" s="314"/>
      <c r="AP1535" s="318"/>
    </row>
    <row r="1536" spans="2:42">
      <c r="B1536" s="296"/>
      <c r="C1536" s="299"/>
      <c r="D1536" s="298"/>
      <c r="E1536" s="299"/>
      <c r="F1536" s="299"/>
      <c r="G1536" s="300"/>
      <c r="H1536" s="303"/>
      <c r="I1536" s="301">
        <f t="shared" si="408"/>
        <v>0</v>
      </c>
      <c r="J1536" s="302">
        <f t="shared" si="409"/>
        <v>0</v>
      </c>
      <c r="K1536" s="304">
        <f t="shared" si="410"/>
        <v>0</v>
      </c>
      <c r="L1536" s="305">
        <f>IF(H1536=0,0,IF(OR(E1536=$AT$5,E1536=$AT$6),AA1536,IF(F1536="MXN",1/HLOOKUP(YEAR(G1536)+(MONTH(G1536)/100),TC!$5:$37,DAY(G1536)+2,FALSE),VLOOKUP(F1536,Equivalencia!$5:$23,((MAX(Equivalencia!$3:$3)-YEAR(G1536))*14)+MONTH(G1536)+2,FALSE))))</f>
        <v>0</v>
      </c>
      <c r="M1536" s="306">
        <f t="shared" si="411"/>
        <v>0</v>
      </c>
      <c r="N1536" s="305">
        <f>IF(G1536=0,0,(IF(OR(E1536=$AT$5,E1536=$AT$6),AC1536,HLOOKUP(YEAR(G1536)+(MONTH(G1536)/100),TC!$5:$37,DAY(G1536)+2,FALSE))))</f>
        <v>0</v>
      </c>
      <c r="O1536" s="307">
        <f t="shared" si="412"/>
        <v>0</v>
      </c>
      <c r="P1536" s="560">
        <f>IF(G1536=0,0,VLOOKUP(YEAR(G1536),INPC!$B$4:$P$30,MONTH(G1536)+2))</f>
        <v>0</v>
      </c>
      <c r="Q1536" s="560">
        <f>IF(X1536=0,0,IF(OR(E1536=$AT$10,E1536=$AT$9),VLOOKUP(YEAR(X1536),INPC!$B$4:$P$30,MONTH(X1536)+1),VLOOKUP(YEAR(X1536),INPC!$B$4:$P$30,MONTH(X1536)+2,0)))</f>
        <v>0</v>
      </c>
      <c r="R1536" s="309">
        <f t="shared" si="413"/>
        <v>0</v>
      </c>
      <c r="S1536" s="310">
        <f t="shared" si="414"/>
        <v>0</v>
      </c>
      <c r="T1536" s="555">
        <f t="shared" si="415"/>
        <v>0</v>
      </c>
      <c r="U1536" s="311"/>
      <c r="V1536" s="312"/>
      <c r="W1536" s="299"/>
      <c r="X1536" s="300"/>
      <c r="Y1536" s="299"/>
      <c r="Z1536" s="303"/>
      <c r="AA1536" s="305">
        <f>IF(Z1536=0,0,IF(Y1536="MXN",1/HLOOKUP(YEAR(X1536)+(MONTH(X1536)/100),TC!$5:$37,DAY(X1536)+2,FALSE),VLOOKUP(Y1536,Equivalencia!$1:$23,((MAX(Equivalencia!$3:$3)-YEAR(X1536))*14)+MONTH(X1536)+2,FALSE)))</f>
        <v>0</v>
      </c>
      <c r="AB1536" s="306">
        <f t="shared" si="416"/>
        <v>0</v>
      </c>
      <c r="AC1536" s="305">
        <f>+IF(X1536=0,0,HLOOKUP(YEAR(X1536)+(MONTH(X1536)/100),TC!$5:$37,DAY(X1536)+2,FALSE))</f>
        <v>0</v>
      </c>
      <c r="AD1536" s="307">
        <f t="shared" si="417"/>
        <v>0</v>
      </c>
      <c r="AE1536" s="314">
        <f t="shared" si="418"/>
        <v>0</v>
      </c>
      <c r="AF1536" s="315">
        <f t="shared" si="419"/>
        <v>0</v>
      </c>
      <c r="AG1536" s="316">
        <f t="shared" si="420"/>
        <v>0</v>
      </c>
      <c r="AH1536" s="314">
        <v>1</v>
      </c>
      <c r="AI1536" s="314">
        <f t="shared" si="421"/>
        <v>0</v>
      </c>
      <c r="AJ1536" s="314">
        <f t="shared" si="422"/>
        <v>0</v>
      </c>
      <c r="AK1536" s="317"/>
      <c r="AL1536" s="315">
        <f t="shared" si="423"/>
        <v>0</v>
      </c>
      <c r="AN1536" s="554">
        <f t="shared" si="424"/>
        <v>0</v>
      </c>
      <c r="AO1536" s="314"/>
      <c r="AP1536" s="318"/>
    </row>
    <row r="1537" spans="2:42">
      <c r="B1537" s="296"/>
      <c r="C1537" s="299"/>
      <c r="D1537" s="298"/>
      <c r="E1537" s="299"/>
      <c r="F1537" s="299"/>
      <c r="G1537" s="300"/>
      <c r="H1537" s="303"/>
      <c r="I1537" s="301">
        <f t="shared" si="408"/>
        <v>0</v>
      </c>
      <c r="J1537" s="302">
        <f t="shared" si="409"/>
        <v>0</v>
      </c>
      <c r="K1537" s="304">
        <f t="shared" si="410"/>
        <v>0</v>
      </c>
      <c r="L1537" s="305">
        <f>IF(H1537=0,0,IF(OR(E1537=$AT$5,E1537=$AT$6),AA1537,IF(F1537="MXN",1/HLOOKUP(YEAR(G1537)+(MONTH(G1537)/100),TC!$5:$37,DAY(G1537)+2,FALSE),VLOOKUP(F1537,Equivalencia!$5:$23,((MAX(Equivalencia!$3:$3)-YEAR(G1537))*14)+MONTH(G1537)+2,FALSE))))</f>
        <v>0</v>
      </c>
      <c r="M1537" s="306">
        <f t="shared" si="411"/>
        <v>0</v>
      </c>
      <c r="N1537" s="305">
        <f>IF(G1537=0,0,(IF(OR(E1537=$AT$5,E1537=$AT$6),AC1537,HLOOKUP(YEAR(G1537)+(MONTH(G1537)/100),TC!$5:$37,DAY(G1537)+2,FALSE))))</f>
        <v>0</v>
      </c>
      <c r="O1537" s="307">
        <f t="shared" si="412"/>
        <v>0</v>
      </c>
      <c r="P1537" s="560">
        <f>IF(G1537=0,0,VLOOKUP(YEAR(G1537),INPC!$B$4:$P$30,MONTH(G1537)+2))</f>
        <v>0</v>
      </c>
      <c r="Q1537" s="560">
        <f>IF(X1537=0,0,IF(OR(E1537=$AT$10,E1537=$AT$9),VLOOKUP(YEAR(X1537),INPC!$B$4:$P$30,MONTH(X1537)+1),VLOOKUP(YEAR(X1537),INPC!$B$4:$P$30,MONTH(X1537)+2,0)))</f>
        <v>0</v>
      </c>
      <c r="R1537" s="309">
        <f t="shared" si="413"/>
        <v>0</v>
      </c>
      <c r="S1537" s="310">
        <f t="shared" si="414"/>
        <v>0</v>
      </c>
      <c r="T1537" s="555">
        <f t="shared" si="415"/>
        <v>0</v>
      </c>
      <c r="U1537" s="311"/>
      <c r="V1537" s="312"/>
      <c r="W1537" s="299"/>
      <c r="X1537" s="300"/>
      <c r="Y1537" s="299"/>
      <c r="Z1537" s="303"/>
      <c r="AA1537" s="305">
        <f>IF(Z1537=0,0,IF(Y1537="MXN",1/HLOOKUP(YEAR(X1537)+(MONTH(X1537)/100),TC!$5:$37,DAY(X1537)+2,FALSE),VLOOKUP(Y1537,Equivalencia!$1:$23,((MAX(Equivalencia!$3:$3)-YEAR(X1537))*14)+MONTH(X1537)+2,FALSE)))</f>
        <v>0</v>
      </c>
      <c r="AB1537" s="306">
        <f t="shared" si="416"/>
        <v>0</v>
      </c>
      <c r="AC1537" s="305">
        <f>+IF(X1537=0,0,HLOOKUP(YEAR(X1537)+(MONTH(X1537)/100),TC!$5:$37,DAY(X1537)+2,FALSE))</f>
        <v>0</v>
      </c>
      <c r="AD1537" s="307">
        <f t="shared" si="417"/>
        <v>0</v>
      </c>
      <c r="AE1537" s="314">
        <f t="shared" si="418"/>
        <v>0</v>
      </c>
      <c r="AF1537" s="315">
        <f t="shared" si="419"/>
        <v>0</v>
      </c>
      <c r="AG1537" s="316">
        <f t="shared" si="420"/>
        <v>0</v>
      </c>
      <c r="AH1537" s="314">
        <v>1</v>
      </c>
      <c r="AI1537" s="314">
        <f t="shared" si="421"/>
        <v>0</v>
      </c>
      <c r="AJ1537" s="314">
        <f t="shared" si="422"/>
        <v>0</v>
      </c>
      <c r="AK1537" s="317"/>
      <c r="AL1537" s="315">
        <f t="shared" si="423"/>
        <v>0</v>
      </c>
      <c r="AN1537" s="554">
        <f t="shared" si="424"/>
        <v>0</v>
      </c>
      <c r="AO1537" s="314"/>
      <c r="AP1537" s="318"/>
    </row>
    <row r="1538" spans="2:42">
      <c r="B1538" s="296"/>
      <c r="C1538" s="299"/>
      <c r="D1538" s="298"/>
      <c r="E1538" s="299"/>
      <c r="F1538" s="299"/>
      <c r="G1538" s="300"/>
      <c r="H1538" s="303"/>
      <c r="I1538" s="301">
        <f t="shared" si="408"/>
        <v>0</v>
      </c>
      <c r="J1538" s="302">
        <f t="shared" si="409"/>
        <v>0</v>
      </c>
      <c r="K1538" s="304">
        <f t="shared" si="410"/>
        <v>0</v>
      </c>
      <c r="L1538" s="305">
        <f>IF(H1538=0,0,IF(OR(E1538=$AT$5,E1538=$AT$6),AA1538,IF(F1538="MXN",1/HLOOKUP(YEAR(G1538)+(MONTH(G1538)/100),TC!$5:$37,DAY(G1538)+2,FALSE),VLOOKUP(F1538,Equivalencia!$5:$23,((MAX(Equivalencia!$3:$3)-YEAR(G1538))*14)+MONTH(G1538)+2,FALSE))))</f>
        <v>0</v>
      </c>
      <c r="M1538" s="306">
        <f t="shared" si="411"/>
        <v>0</v>
      </c>
      <c r="N1538" s="305">
        <f>IF(G1538=0,0,(IF(OR(E1538=$AT$5,E1538=$AT$6),AC1538,HLOOKUP(YEAR(G1538)+(MONTH(G1538)/100),TC!$5:$37,DAY(G1538)+2,FALSE))))</f>
        <v>0</v>
      </c>
      <c r="O1538" s="307">
        <f t="shared" si="412"/>
        <v>0</v>
      </c>
      <c r="P1538" s="560">
        <f>IF(G1538=0,0,VLOOKUP(YEAR(G1538),INPC!$B$4:$P$30,MONTH(G1538)+2))</f>
        <v>0</v>
      </c>
      <c r="Q1538" s="560">
        <f>IF(X1538=0,0,IF(OR(E1538=$AT$10,E1538=$AT$9),VLOOKUP(YEAR(X1538),INPC!$B$4:$P$30,MONTH(X1538)+1),VLOOKUP(YEAR(X1538),INPC!$B$4:$P$30,MONTH(X1538)+2,0)))</f>
        <v>0</v>
      </c>
      <c r="R1538" s="309">
        <f t="shared" si="413"/>
        <v>0</v>
      </c>
      <c r="S1538" s="310">
        <f t="shared" si="414"/>
        <v>0</v>
      </c>
      <c r="T1538" s="555">
        <f t="shared" si="415"/>
        <v>0</v>
      </c>
      <c r="U1538" s="311"/>
      <c r="V1538" s="312"/>
      <c r="W1538" s="299"/>
      <c r="X1538" s="300"/>
      <c r="Y1538" s="299"/>
      <c r="Z1538" s="303"/>
      <c r="AA1538" s="305">
        <f>IF(Z1538=0,0,IF(Y1538="MXN",1/HLOOKUP(YEAR(X1538)+(MONTH(X1538)/100),TC!$5:$37,DAY(X1538)+2,FALSE),VLOOKUP(Y1538,Equivalencia!$1:$23,((MAX(Equivalencia!$3:$3)-YEAR(X1538))*14)+MONTH(X1538)+2,FALSE)))</f>
        <v>0</v>
      </c>
      <c r="AB1538" s="306">
        <f t="shared" si="416"/>
        <v>0</v>
      </c>
      <c r="AC1538" s="305">
        <f>+IF(X1538=0,0,HLOOKUP(YEAR(X1538)+(MONTH(X1538)/100),TC!$5:$37,DAY(X1538)+2,FALSE))</f>
        <v>0</v>
      </c>
      <c r="AD1538" s="307">
        <f t="shared" si="417"/>
        <v>0</v>
      </c>
      <c r="AE1538" s="314">
        <f t="shared" si="418"/>
        <v>0</v>
      </c>
      <c r="AF1538" s="315">
        <f t="shared" si="419"/>
        <v>0</v>
      </c>
      <c r="AG1538" s="316">
        <f t="shared" si="420"/>
        <v>0</v>
      </c>
      <c r="AH1538" s="314">
        <v>1</v>
      </c>
      <c r="AI1538" s="314">
        <f t="shared" si="421"/>
        <v>0</v>
      </c>
      <c r="AJ1538" s="314">
        <f t="shared" si="422"/>
        <v>0</v>
      </c>
      <c r="AK1538" s="317"/>
      <c r="AL1538" s="315">
        <f t="shared" si="423"/>
        <v>0</v>
      </c>
      <c r="AN1538" s="554">
        <f t="shared" si="424"/>
        <v>0</v>
      </c>
      <c r="AO1538" s="314"/>
      <c r="AP1538" s="318"/>
    </row>
    <row r="1539" spans="2:42">
      <c r="B1539" s="296"/>
      <c r="C1539" s="299"/>
      <c r="D1539" s="298"/>
      <c r="E1539" s="299"/>
      <c r="F1539" s="299"/>
      <c r="G1539" s="300"/>
      <c r="H1539" s="303"/>
      <c r="I1539" s="301">
        <f t="shared" si="408"/>
        <v>0</v>
      </c>
      <c r="J1539" s="302">
        <f t="shared" si="409"/>
        <v>0</v>
      </c>
      <c r="K1539" s="304">
        <f t="shared" si="410"/>
        <v>0</v>
      </c>
      <c r="L1539" s="305">
        <f>IF(H1539=0,0,IF(OR(E1539=$AT$5,E1539=$AT$6),AA1539,IF(F1539="MXN",1/HLOOKUP(YEAR(G1539)+(MONTH(G1539)/100),TC!$5:$37,DAY(G1539)+2,FALSE),VLOOKUP(F1539,Equivalencia!$5:$23,((MAX(Equivalencia!$3:$3)-YEAR(G1539))*14)+MONTH(G1539)+2,FALSE))))</f>
        <v>0</v>
      </c>
      <c r="M1539" s="306">
        <f t="shared" si="411"/>
        <v>0</v>
      </c>
      <c r="N1539" s="305">
        <f>IF(G1539=0,0,(IF(OR(E1539=$AT$5,E1539=$AT$6),AC1539,HLOOKUP(YEAR(G1539)+(MONTH(G1539)/100),TC!$5:$37,DAY(G1539)+2,FALSE))))</f>
        <v>0</v>
      </c>
      <c r="O1539" s="307">
        <f t="shared" si="412"/>
        <v>0</v>
      </c>
      <c r="P1539" s="560">
        <f>IF(G1539=0,0,VLOOKUP(YEAR(G1539),INPC!$B$4:$P$30,MONTH(G1539)+2))</f>
        <v>0</v>
      </c>
      <c r="Q1539" s="560">
        <f>IF(X1539=0,0,IF(OR(E1539=$AT$10,E1539=$AT$9),VLOOKUP(YEAR(X1539),INPC!$B$4:$P$30,MONTH(X1539)+1),VLOOKUP(YEAR(X1539),INPC!$B$4:$P$30,MONTH(X1539)+2,0)))</f>
        <v>0</v>
      </c>
      <c r="R1539" s="309">
        <f t="shared" si="413"/>
        <v>0</v>
      </c>
      <c r="S1539" s="310">
        <f t="shared" si="414"/>
        <v>0</v>
      </c>
      <c r="T1539" s="555">
        <f t="shared" si="415"/>
        <v>0</v>
      </c>
      <c r="U1539" s="311"/>
      <c r="V1539" s="312"/>
      <c r="W1539" s="299"/>
      <c r="X1539" s="300"/>
      <c r="Y1539" s="299"/>
      <c r="Z1539" s="303"/>
      <c r="AA1539" s="305">
        <f>IF(Z1539=0,0,IF(Y1539="MXN",1/HLOOKUP(YEAR(X1539)+(MONTH(X1539)/100),TC!$5:$37,DAY(X1539)+2,FALSE),VLOOKUP(Y1539,Equivalencia!$1:$23,((MAX(Equivalencia!$3:$3)-YEAR(X1539))*14)+MONTH(X1539)+2,FALSE)))</f>
        <v>0</v>
      </c>
      <c r="AB1539" s="306">
        <f t="shared" si="416"/>
        <v>0</v>
      </c>
      <c r="AC1539" s="305">
        <f>+IF(X1539=0,0,HLOOKUP(YEAR(X1539)+(MONTH(X1539)/100),TC!$5:$37,DAY(X1539)+2,FALSE))</f>
        <v>0</v>
      </c>
      <c r="AD1539" s="307">
        <f t="shared" si="417"/>
        <v>0</v>
      </c>
      <c r="AE1539" s="314">
        <f t="shared" si="418"/>
        <v>0</v>
      </c>
      <c r="AF1539" s="315">
        <f t="shared" si="419"/>
        <v>0</v>
      </c>
      <c r="AG1539" s="316">
        <f t="shared" si="420"/>
        <v>0</v>
      </c>
      <c r="AH1539" s="314">
        <v>1</v>
      </c>
      <c r="AI1539" s="314">
        <f t="shared" si="421"/>
        <v>0</v>
      </c>
      <c r="AJ1539" s="314">
        <f t="shared" si="422"/>
        <v>0</v>
      </c>
      <c r="AK1539" s="317"/>
      <c r="AL1539" s="315">
        <f t="shared" si="423"/>
        <v>0</v>
      </c>
      <c r="AN1539" s="554">
        <f t="shared" si="424"/>
        <v>0</v>
      </c>
      <c r="AO1539" s="314"/>
      <c r="AP1539" s="318"/>
    </row>
    <row r="1540" spans="2:42">
      <c r="B1540" s="296"/>
      <c r="C1540" s="299"/>
      <c r="D1540" s="298"/>
      <c r="E1540" s="299"/>
      <c r="F1540" s="299"/>
      <c r="G1540" s="300"/>
      <c r="H1540" s="303"/>
      <c r="I1540" s="301">
        <f t="shared" si="408"/>
        <v>0</v>
      </c>
      <c r="J1540" s="302">
        <f t="shared" si="409"/>
        <v>0</v>
      </c>
      <c r="K1540" s="304">
        <f t="shared" si="410"/>
        <v>0</v>
      </c>
      <c r="L1540" s="305">
        <f>IF(H1540=0,0,IF(OR(E1540=$AT$5,E1540=$AT$6),AA1540,IF(F1540="MXN",1/HLOOKUP(YEAR(G1540)+(MONTH(G1540)/100),TC!$5:$37,DAY(G1540)+2,FALSE),VLOOKUP(F1540,Equivalencia!$5:$23,((MAX(Equivalencia!$3:$3)-YEAR(G1540))*14)+MONTH(G1540)+2,FALSE))))</f>
        <v>0</v>
      </c>
      <c r="M1540" s="306">
        <f t="shared" si="411"/>
        <v>0</v>
      </c>
      <c r="N1540" s="305">
        <f>IF(G1540=0,0,(IF(OR(E1540=$AT$5,E1540=$AT$6),AC1540,HLOOKUP(YEAR(G1540)+(MONTH(G1540)/100),TC!$5:$37,DAY(G1540)+2,FALSE))))</f>
        <v>0</v>
      </c>
      <c r="O1540" s="307">
        <f t="shared" si="412"/>
        <v>0</v>
      </c>
      <c r="P1540" s="560">
        <f>IF(G1540=0,0,VLOOKUP(YEAR(G1540),INPC!$B$4:$P$30,MONTH(G1540)+2))</f>
        <v>0</v>
      </c>
      <c r="Q1540" s="560">
        <f>IF(X1540=0,0,IF(OR(E1540=$AT$10,E1540=$AT$9),VLOOKUP(YEAR(X1540),INPC!$B$4:$P$30,MONTH(X1540)+1),VLOOKUP(YEAR(X1540),INPC!$B$4:$P$30,MONTH(X1540)+2,0)))</f>
        <v>0</v>
      </c>
      <c r="R1540" s="309">
        <f t="shared" si="413"/>
        <v>0</v>
      </c>
      <c r="S1540" s="310">
        <f t="shared" si="414"/>
        <v>0</v>
      </c>
      <c r="T1540" s="555">
        <f t="shared" si="415"/>
        <v>0</v>
      </c>
      <c r="U1540" s="311"/>
      <c r="V1540" s="312"/>
      <c r="W1540" s="299"/>
      <c r="X1540" s="300"/>
      <c r="Y1540" s="299"/>
      <c r="Z1540" s="303"/>
      <c r="AA1540" s="305">
        <f>IF(Z1540=0,0,IF(Y1540="MXN",1/HLOOKUP(YEAR(X1540)+(MONTH(X1540)/100),TC!$5:$37,DAY(X1540)+2,FALSE),VLOOKUP(Y1540,Equivalencia!$1:$23,((MAX(Equivalencia!$3:$3)-YEAR(X1540))*14)+MONTH(X1540)+2,FALSE)))</f>
        <v>0</v>
      </c>
      <c r="AB1540" s="306">
        <f t="shared" si="416"/>
        <v>0</v>
      </c>
      <c r="AC1540" s="305">
        <f>+IF(X1540=0,0,HLOOKUP(YEAR(X1540)+(MONTH(X1540)/100),TC!$5:$37,DAY(X1540)+2,FALSE))</f>
        <v>0</v>
      </c>
      <c r="AD1540" s="307">
        <f t="shared" si="417"/>
        <v>0</v>
      </c>
      <c r="AE1540" s="314">
        <f t="shared" si="418"/>
        <v>0</v>
      </c>
      <c r="AF1540" s="315">
        <f t="shared" si="419"/>
        <v>0</v>
      </c>
      <c r="AG1540" s="316">
        <f t="shared" si="420"/>
        <v>0</v>
      </c>
      <c r="AH1540" s="314">
        <v>1</v>
      </c>
      <c r="AI1540" s="314">
        <f t="shared" si="421"/>
        <v>0</v>
      </c>
      <c r="AJ1540" s="314">
        <f t="shared" si="422"/>
        <v>0</v>
      </c>
      <c r="AK1540" s="317"/>
      <c r="AL1540" s="315">
        <f t="shared" si="423"/>
        <v>0</v>
      </c>
      <c r="AN1540" s="554">
        <f t="shared" si="424"/>
        <v>0</v>
      </c>
      <c r="AO1540" s="314"/>
      <c r="AP1540" s="318"/>
    </row>
    <row r="1541" spans="2:42">
      <c r="B1541" s="296"/>
      <c r="C1541" s="299"/>
      <c r="D1541" s="298"/>
      <c r="E1541" s="299"/>
      <c r="F1541" s="299"/>
      <c r="G1541" s="300"/>
      <c r="H1541" s="303"/>
      <c r="I1541" s="301">
        <f t="shared" si="408"/>
        <v>0</v>
      </c>
      <c r="J1541" s="302">
        <f t="shared" si="409"/>
        <v>0</v>
      </c>
      <c r="K1541" s="304">
        <f t="shared" si="410"/>
        <v>0</v>
      </c>
      <c r="L1541" s="305">
        <f>IF(H1541=0,0,IF(OR(E1541=$AT$5,E1541=$AT$6),AA1541,IF(F1541="MXN",1/HLOOKUP(YEAR(G1541)+(MONTH(G1541)/100),TC!$5:$37,DAY(G1541)+2,FALSE),VLOOKUP(F1541,Equivalencia!$5:$23,((MAX(Equivalencia!$3:$3)-YEAR(G1541))*14)+MONTH(G1541)+2,FALSE))))</f>
        <v>0</v>
      </c>
      <c r="M1541" s="306">
        <f t="shared" si="411"/>
        <v>0</v>
      </c>
      <c r="N1541" s="305">
        <f>IF(G1541=0,0,(IF(OR(E1541=$AT$5,E1541=$AT$6),AC1541,HLOOKUP(YEAR(G1541)+(MONTH(G1541)/100),TC!$5:$37,DAY(G1541)+2,FALSE))))</f>
        <v>0</v>
      </c>
      <c r="O1541" s="307">
        <f t="shared" si="412"/>
        <v>0</v>
      </c>
      <c r="P1541" s="560">
        <f>IF(G1541=0,0,VLOOKUP(YEAR(G1541),INPC!$B$4:$P$30,MONTH(G1541)+2))</f>
        <v>0</v>
      </c>
      <c r="Q1541" s="560">
        <f>IF(X1541=0,0,IF(OR(E1541=$AT$10,E1541=$AT$9),VLOOKUP(YEAR(X1541),INPC!$B$4:$P$30,MONTH(X1541)+1),VLOOKUP(YEAR(X1541),INPC!$B$4:$P$30,MONTH(X1541)+2,0)))</f>
        <v>0</v>
      </c>
      <c r="R1541" s="309">
        <f t="shared" si="413"/>
        <v>0</v>
      </c>
      <c r="S1541" s="310">
        <f t="shared" si="414"/>
        <v>0</v>
      </c>
      <c r="T1541" s="555">
        <f t="shared" si="415"/>
        <v>0</v>
      </c>
      <c r="U1541" s="311"/>
      <c r="V1541" s="312"/>
      <c r="W1541" s="299"/>
      <c r="X1541" s="300"/>
      <c r="Y1541" s="299"/>
      <c r="Z1541" s="303"/>
      <c r="AA1541" s="305">
        <f>IF(Z1541=0,0,IF(Y1541="MXN",1/HLOOKUP(YEAR(X1541)+(MONTH(X1541)/100),TC!$5:$37,DAY(X1541)+2,FALSE),VLOOKUP(Y1541,Equivalencia!$1:$23,((MAX(Equivalencia!$3:$3)-YEAR(X1541))*14)+MONTH(X1541)+2,FALSE)))</f>
        <v>0</v>
      </c>
      <c r="AB1541" s="306">
        <f t="shared" si="416"/>
        <v>0</v>
      </c>
      <c r="AC1541" s="305">
        <f>+IF(X1541=0,0,HLOOKUP(YEAR(X1541)+(MONTH(X1541)/100),TC!$5:$37,DAY(X1541)+2,FALSE))</f>
        <v>0</v>
      </c>
      <c r="AD1541" s="307">
        <f t="shared" si="417"/>
        <v>0</v>
      </c>
      <c r="AE1541" s="314">
        <f t="shared" si="418"/>
        <v>0</v>
      </c>
      <c r="AF1541" s="315">
        <f t="shared" si="419"/>
        <v>0</v>
      </c>
      <c r="AG1541" s="316">
        <f t="shared" si="420"/>
        <v>0</v>
      </c>
      <c r="AH1541" s="314">
        <v>1</v>
      </c>
      <c r="AI1541" s="314">
        <f t="shared" si="421"/>
        <v>0</v>
      </c>
      <c r="AJ1541" s="314">
        <f t="shared" si="422"/>
        <v>0</v>
      </c>
      <c r="AK1541" s="317"/>
      <c r="AL1541" s="315">
        <f t="shared" si="423"/>
        <v>0</v>
      </c>
      <c r="AN1541" s="554">
        <f t="shared" si="424"/>
        <v>0</v>
      </c>
      <c r="AO1541" s="314"/>
      <c r="AP1541" s="318"/>
    </row>
    <row r="1542" spans="2:42">
      <c r="B1542" s="296"/>
      <c r="C1542" s="299"/>
      <c r="D1542" s="298"/>
      <c r="E1542" s="299"/>
      <c r="F1542" s="299"/>
      <c r="G1542" s="300"/>
      <c r="H1542" s="303"/>
      <c r="I1542" s="301">
        <f t="shared" si="408"/>
        <v>0</v>
      </c>
      <c r="J1542" s="302">
        <f t="shared" si="409"/>
        <v>0</v>
      </c>
      <c r="K1542" s="304">
        <f t="shared" si="410"/>
        <v>0</v>
      </c>
      <c r="L1542" s="305">
        <f>IF(H1542=0,0,IF(OR(E1542=$AT$5,E1542=$AT$6),AA1542,IF(F1542="MXN",1/HLOOKUP(YEAR(G1542)+(MONTH(G1542)/100),TC!$5:$37,DAY(G1542)+2,FALSE),VLOOKUP(F1542,Equivalencia!$5:$23,((MAX(Equivalencia!$3:$3)-YEAR(G1542))*14)+MONTH(G1542)+2,FALSE))))</f>
        <v>0</v>
      </c>
      <c r="M1542" s="306">
        <f t="shared" si="411"/>
        <v>0</v>
      </c>
      <c r="N1542" s="305">
        <f>IF(G1542=0,0,(IF(OR(E1542=$AT$5,E1542=$AT$6),AC1542,HLOOKUP(YEAR(G1542)+(MONTH(G1542)/100),TC!$5:$37,DAY(G1542)+2,FALSE))))</f>
        <v>0</v>
      </c>
      <c r="O1542" s="307">
        <f t="shared" si="412"/>
        <v>0</v>
      </c>
      <c r="P1542" s="560">
        <f>IF(G1542=0,0,VLOOKUP(YEAR(G1542),INPC!$B$4:$P$30,MONTH(G1542)+2))</f>
        <v>0</v>
      </c>
      <c r="Q1542" s="560">
        <f>IF(X1542=0,0,IF(OR(E1542=$AT$10,E1542=$AT$9),VLOOKUP(YEAR(X1542),INPC!$B$4:$P$30,MONTH(X1542)+1),VLOOKUP(YEAR(X1542),INPC!$B$4:$P$30,MONTH(X1542)+2,0)))</f>
        <v>0</v>
      </c>
      <c r="R1542" s="309">
        <f t="shared" si="413"/>
        <v>0</v>
      </c>
      <c r="S1542" s="310">
        <f t="shared" si="414"/>
        <v>0</v>
      </c>
      <c r="T1542" s="555">
        <f t="shared" si="415"/>
        <v>0</v>
      </c>
      <c r="U1542" s="311"/>
      <c r="V1542" s="312"/>
      <c r="W1542" s="299"/>
      <c r="X1542" s="300"/>
      <c r="Y1542" s="299"/>
      <c r="Z1542" s="303"/>
      <c r="AA1542" s="305">
        <f>IF(Z1542=0,0,IF(Y1542="MXN",1/HLOOKUP(YEAR(X1542)+(MONTH(X1542)/100),TC!$5:$37,DAY(X1542)+2,FALSE),VLOOKUP(Y1542,Equivalencia!$1:$23,((MAX(Equivalencia!$3:$3)-YEAR(X1542))*14)+MONTH(X1542)+2,FALSE)))</f>
        <v>0</v>
      </c>
      <c r="AB1542" s="306">
        <f t="shared" si="416"/>
        <v>0</v>
      </c>
      <c r="AC1542" s="305">
        <f>+IF(X1542=0,0,HLOOKUP(YEAR(X1542)+(MONTH(X1542)/100),TC!$5:$37,DAY(X1542)+2,FALSE))</f>
        <v>0</v>
      </c>
      <c r="AD1542" s="307">
        <f t="shared" si="417"/>
        <v>0</v>
      </c>
      <c r="AE1542" s="314">
        <f t="shared" si="418"/>
        <v>0</v>
      </c>
      <c r="AF1542" s="315">
        <f t="shared" si="419"/>
        <v>0</v>
      </c>
      <c r="AG1542" s="316">
        <f t="shared" si="420"/>
        <v>0</v>
      </c>
      <c r="AH1542" s="314">
        <v>1</v>
      </c>
      <c r="AI1542" s="314">
        <f t="shared" si="421"/>
        <v>0</v>
      </c>
      <c r="AJ1542" s="314">
        <f t="shared" si="422"/>
        <v>0</v>
      </c>
      <c r="AK1542" s="317"/>
      <c r="AL1542" s="315">
        <f t="shared" si="423"/>
        <v>0</v>
      </c>
      <c r="AN1542" s="554">
        <f t="shared" si="424"/>
        <v>0</v>
      </c>
      <c r="AO1542" s="314"/>
      <c r="AP1542" s="318"/>
    </row>
    <row r="1543" spans="2:42">
      <c r="B1543" s="296"/>
      <c r="C1543" s="299"/>
      <c r="D1543" s="298"/>
      <c r="E1543" s="299"/>
      <c r="F1543" s="299"/>
      <c r="G1543" s="300"/>
      <c r="H1543" s="303"/>
      <c r="I1543" s="301">
        <f t="shared" si="408"/>
        <v>0</v>
      </c>
      <c r="J1543" s="302">
        <f t="shared" si="409"/>
        <v>0</v>
      </c>
      <c r="K1543" s="304">
        <f t="shared" si="410"/>
        <v>0</v>
      </c>
      <c r="L1543" s="305">
        <f>IF(H1543=0,0,IF(OR(E1543=$AT$5,E1543=$AT$6),AA1543,IF(F1543="MXN",1/HLOOKUP(YEAR(G1543)+(MONTH(G1543)/100),TC!$5:$37,DAY(G1543)+2,FALSE),VLOOKUP(F1543,Equivalencia!$5:$23,((MAX(Equivalencia!$3:$3)-YEAR(G1543))*14)+MONTH(G1543)+2,FALSE))))</f>
        <v>0</v>
      </c>
      <c r="M1543" s="306">
        <f t="shared" si="411"/>
        <v>0</v>
      </c>
      <c r="N1543" s="305">
        <f>IF(G1543=0,0,(IF(OR(E1543=$AT$5,E1543=$AT$6),AC1543,HLOOKUP(YEAR(G1543)+(MONTH(G1543)/100),TC!$5:$37,DAY(G1543)+2,FALSE))))</f>
        <v>0</v>
      </c>
      <c r="O1543" s="307">
        <f t="shared" si="412"/>
        <v>0</v>
      </c>
      <c r="P1543" s="560">
        <f>IF(G1543=0,0,VLOOKUP(YEAR(G1543),INPC!$B$4:$P$30,MONTH(G1543)+2))</f>
        <v>0</v>
      </c>
      <c r="Q1543" s="560">
        <f>IF(X1543=0,0,IF(OR(E1543=$AT$10,E1543=$AT$9),VLOOKUP(YEAR(X1543),INPC!$B$4:$P$30,MONTH(X1543)+1),VLOOKUP(YEAR(X1543),INPC!$B$4:$P$30,MONTH(X1543)+2,0)))</f>
        <v>0</v>
      </c>
      <c r="R1543" s="309">
        <f t="shared" si="413"/>
        <v>0</v>
      </c>
      <c r="S1543" s="310">
        <f t="shared" si="414"/>
        <v>0</v>
      </c>
      <c r="T1543" s="555">
        <f t="shared" si="415"/>
        <v>0</v>
      </c>
      <c r="U1543" s="311"/>
      <c r="V1543" s="312"/>
      <c r="W1543" s="299"/>
      <c r="X1543" s="300"/>
      <c r="Y1543" s="299"/>
      <c r="Z1543" s="303"/>
      <c r="AA1543" s="305">
        <f>IF(Z1543=0,0,IF(Y1543="MXN",1/HLOOKUP(YEAR(X1543)+(MONTH(X1543)/100),TC!$5:$37,DAY(X1543)+2,FALSE),VLOOKUP(Y1543,Equivalencia!$1:$23,((MAX(Equivalencia!$3:$3)-YEAR(X1543))*14)+MONTH(X1543)+2,FALSE)))</f>
        <v>0</v>
      </c>
      <c r="AB1543" s="306">
        <f t="shared" si="416"/>
        <v>0</v>
      </c>
      <c r="AC1543" s="305">
        <f>+IF(X1543=0,0,HLOOKUP(YEAR(X1543)+(MONTH(X1543)/100),TC!$5:$37,DAY(X1543)+2,FALSE))</f>
        <v>0</v>
      </c>
      <c r="AD1543" s="307">
        <f t="shared" si="417"/>
        <v>0</v>
      </c>
      <c r="AE1543" s="314">
        <f t="shared" si="418"/>
        <v>0</v>
      </c>
      <c r="AF1543" s="315">
        <f t="shared" si="419"/>
        <v>0</v>
      </c>
      <c r="AG1543" s="316">
        <f t="shared" si="420"/>
        <v>0</v>
      </c>
      <c r="AH1543" s="314">
        <v>1</v>
      </c>
      <c r="AI1543" s="314">
        <f t="shared" si="421"/>
        <v>0</v>
      </c>
      <c r="AJ1543" s="314">
        <f t="shared" si="422"/>
        <v>0</v>
      </c>
      <c r="AK1543" s="317"/>
      <c r="AL1543" s="315">
        <f t="shared" si="423"/>
        <v>0</v>
      </c>
      <c r="AN1543" s="554">
        <f t="shared" si="424"/>
        <v>0</v>
      </c>
      <c r="AO1543" s="314"/>
      <c r="AP1543" s="318"/>
    </row>
    <row r="1544" spans="2:42">
      <c r="B1544" s="296"/>
      <c r="C1544" s="299"/>
      <c r="D1544" s="298"/>
      <c r="E1544" s="299"/>
      <c r="F1544" s="299"/>
      <c r="G1544" s="300"/>
      <c r="H1544" s="303"/>
      <c r="I1544" s="301">
        <f t="shared" si="408"/>
        <v>0</v>
      </c>
      <c r="J1544" s="302">
        <f t="shared" si="409"/>
        <v>0</v>
      </c>
      <c r="K1544" s="304">
        <f t="shared" si="410"/>
        <v>0</v>
      </c>
      <c r="L1544" s="305">
        <f>IF(H1544=0,0,IF(OR(E1544=$AT$5,E1544=$AT$6),AA1544,IF(F1544="MXN",1/HLOOKUP(YEAR(G1544)+(MONTH(G1544)/100),TC!$5:$37,DAY(G1544)+2,FALSE),VLOOKUP(F1544,Equivalencia!$5:$23,((MAX(Equivalencia!$3:$3)-YEAR(G1544))*14)+MONTH(G1544)+2,FALSE))))</f>
        <v>0</v>
      </c>
      <c r="M1544" s="306">
        <f t="shared" si="411"/>
        <v>0</v>
      </c>
      <c r="N1544" s="305">
        <f>IF(G1544=0,0,(IF(OR(E1544=$AT$5,E1544=$AT$6),AC1544,HLOOKUP(YEAR(G1544)+(MONTH(G1544)/100),TC!$5:$37,DAY(G1544)+2,FALSE))))</f>
        <v>0</v>
      </c>
      <c r="O1544" s="307">
        <f t="shared" si="412"/>
        <v>0</v>
      </c>
      <c r="P1544" s="560">
        <f>IF(G1544=0,0,VLOOKUP(YEAR(G1544),INPC!$B$4:$P$30,MONTH(G1544)+2))</f>
        <v>0</v>
      </c>
      <c r="Q1544" s="560">
        <f>IF(X1544=0,0,IF(OR(E1544=$AT$10,E1544=$AT$9),VLOOKUP(YEAR(X1544),INPC!$B$4:$P$30,MONTH(X1544)+1),VLOOKUP(YEAR(X1544),INPC!$B$4:$P$30,MONTH(X1544)+2,0)))</f>
        <v>0</v>
      </c>
      <c r="R1544" s="309">
        <f t="shared" si="413"/>
        <v>0</v>
      </c>
      <c r="S1544" s="310">
        <f t="shared" si="414"/>
        <v>0</v>
      </c>
      <c r="T1544" s="555">
        <f t="shared" si="415"/>
        <v>0</v>
      </c>
      <c r="U1544" s="311"/>
      <c r="V1544" s="312"/>
      <c r="W1544" s="299"/>
      <c r="X1544" s="300"/>
      <c r="Y1544" s="299"/>
      <c r="Z1544" s="303"/>
      <c r="AA1544" s="305">
        <f>IF(Z1544=0,0,IF(Y1544="MXN",1/HLOOKUP(YEAR(X1544)+(MONTH(X1544)/100),TC!$5:$37,DAY(X1544)+2,FALSE),VLOOKUP(Y1544,Equivalencia!$1:$23,((MAX(Equivalencia!$3:$3)-YEAR(X1544))*14)+MONTH(X1544)+2,FALSE)))</f>
        <v>0</v>
      </c>
      <c r="AB1544" s="306">
        <f t="shared" si="416"/>
        <v>0</v>
      </c>
      <c r="AC1544" s="305">
        <f>+IF(X1544=0,0,HLOOKUP(YEAR(X1544)+(MONTH(X1544)/100),TC!$5:$37,DAY(X1544)+2,FALSE))</f>
        <v>0</v>
      </c>
      <c r="AD1544" s="307">
        <f t="shared" si="417"/>
        <v>0</v>
      </c>
      <c r="AE1544" s="314">
        <f t="shared" si="418"/>
        <v>0</v>
      </c>
      <c r="AF1544" s="315">
        <f t="shared" si="419"/>
        <v>0</v>
      </c>
      <c r="AG1544" s="316">
        <f t="shared" si="420"/>
        <v>0</v>
      </c>
      <c r="AH1544" s="314">
        <v>1</v>
      </c>
      <c r="AI1544" s="314">
        <f t="shared" si="421"/>
        <v>0</v>
      </c>
      <c r="AJ1544" s="314">
        <f t="shared" si="422"/>
        <v>0</v>
      </c>
      <c r="AK1544" s="317"/>
      <c r="AL1544" s="315">
        <f t="shared" si="423"/>
        <v>0</v>
      </c>
      <c r="AN1544" s="554">
        <f t="shared" si="424"/>
        <v>0</v>
      </c>
      <c r="AO1544" s="314"/>
      <c r="AP1544" s="318"/>
    </row>
    <row r="1545" spans="2:42">
      <c r="B1545" s="296"/>
      <c r="C1545" s="299"/>
      <c r="D1545" s="298"/>
      <c r="E1545" s="299"/>
      <c r="F1545" s="299"/>
      <c r="G1545" s="300"/>
      <c r="H1545" s="303"/>
      <c r="I1545" s="301">
        <f t="shared" si="408"/>
        <v>0</v>
      </c>
      <c r="J1545" s="302">
        <f t="shared" si="409"/>
        <v>0</v>
      </c>
      <c r="K1545" s="304">
        <f t="shared" si="410"/>
        <v>0</v>
      </c>
      <c r="L1545" s="305">
        <f>IF(H1545=0,0,IF(OR(E1545=$AT$5,E1545=$AT$6),AA1545,IF(F1545="MXN",1/HLOOKUP(YEAR(G1545)+(MONTH(G1545)/100),TC!$5:$37,DAY(G1545)+2,FALSE),VLOOKUP(F1545,Equivalencia!$5:$23,((MAX(Equivalencia!$3:$3)-YEAR(G1545))*14)+MONTH(G1545)+2,FALSE))))</f>
        <v>0</v>
      </c>
      <c r="M1545" s="306">
        <f t="shared" si="411"/>
        <v>0</v>
      </c>
      <c r="N1545" s="305">
        <f>IF(G1545=0,0,(IF(OR(E1545=$AT$5,E1545=$AT$6),AC1545,HLOOKUP(YEAR(G1545)+(MONTH(G1545)/100),TC!$5:$37,DAY(G1545)+2,FALSE))))</f>
        <v>0</v>
      </c>
      <c r="O1545" s="307">
        <f t="shared" si="412"/>
        <v>0</v>
      </c>
      <c r="P1545" s="560">
        <f>IF(G1545=0,0,VLOOKUP(YEAR(G1545),INPC!$B$4:$P$30,MONTH(G1545)+2))</f>
        <v>0</v>
      </c>
      <c r="Q1545" s="560">
        <f>IF(X1545=0,0,IF(OR(E1545=$AT$10,E1545=$AT$9),VLOOKUP(YEAR(X1545),INPC!$B$4:$P$30,MONTH(X1545)+1),VLOOKUP(YEAR(X1545),INPC!$B$4:$P$30,MONTH(X1545)+2,0)))</f>
        <v>0</v>
      </c>
      <c r="R1545" s="309">
        <f t="shared" si="413"/>
        <v>0</v>
      </c>
      <c r="S1545" s="310">
        <f t="shared" si="414"/>
        <v>0</v>
      </c>
      <c r="T1545" s="555">
        <f t="shared" si="415"/>
        <v>0</v>
      </c>
      <c r="U1545" s="311"/>
      <c r="V1545" s="312"/>
      <c r="W1545" s="299"/>
      <c r="X1545" s="300"/>
      <c r="Y1545" s="299"/>
      <c r="Z1545" s="303"/>
      <c r="AA1545" s="305">
        <f>IF(Z1545=0,0,IF(Y1545="MXN",1/HLOOKUP(YEAR(X1545)+(MONTH(X1545)/100),TC!$5:$37,DAY(X1545)+2,FALSE),VLOOKUP(Y1545,Equivalencia!$1:$23,((MAX(Equivalencia!$3:$3)-YEAR(X1545))*14)+MONTH(X1545)+2,FALSE)))</f>
        <v>0</v>
      </c>
      <c r="AB1545" s="306">
        <f t="shared" si="416"/>
        <v>0</v>
      </c>
      <c r="AC1545" s="305">
        <f>+IF(X1545=0,0,HLOOKUP(YEAR(X1545)+(MONTH(X1545)/100),TC!$5:$37,DAY(X1545)+2,FALSE))</f>
        <v>0</v>
      </c>
      <c r="AD1545" s="307">
        <f t="shared" si="417"/>
        <v>0</v>
      </c>
      <c r="AE1545" s="314">
        <f t="shared" si="418"/>
        <v>0</v>
      </c>
      <c r="AF1545" s="315">
        <f t="shared" si="419"/>
        <v>0</v>
      </c>
      <c r="AG1545" s="316">
        <f t="shared" si="420"/>
        <v>0</v>
      </c>
      <c r="AH1545" s="314">
        <v>1</v>
      </c>
      <c r="AI1545" s="314">
        <f t="shared" si="421"/>
        <v>0</v>
      </c>
      <c r="AJ1545" s="314">
        <f t="shared" si="422"/>
        <v>0</v>
      </c>
      <c r="AK1545" s="317"/>
      <c r="AL1545" s="315">
        <f t="shared" si="423"/>
        <v>0</v>
      </c>
      <c r="AN1545" s="554">
        <f t="shared" si="424"/>
        <v>0</v>
      </c>
      <c r="AO1545" s="314"/>
      <c r="AP1545" s="318"/>
    </row>
    <row r="1546" spans="2:42">
      <c r="B1546" s="296"/>
      <c r="C1546" s="299"/>
      <c r="D1546" s="298"/>
      <c r="E1546" s="299"/>
      <c r="F1546" s="299"/>
      <c r="G1546" s="300"/>
      <c r="H1546" s="303"/>
      <c r="I1546" s="301">
        <f t="shared" si="408"/>
        <v>0</v>
      </c>
      <c r="J1546" s="302">
        <f t="shared" si="409"/>
        <v>0</v>
      </c>
      <c r="K1546" s="304">
        <f t="shared" si="410"/>
        <v>0</v>
      </c>
      <c r="L1546" s="305">
        <f>IF(H1546=0,0,IF(OR(E1546=$AT$5,E1546=$AT$6),AA1546,IF(F1546="MXN",1/HLOOKUP(YEAR(G1546)+(MONTH(G1546)/100),TC!$5:$37,DAY(G1546)+2,FALSE),VLOOKUP(F1546,Equivalencia!$5:$23,((MAX(Equivalencia!$3:$3)-YEAR(G1546))*14)+MONTH(G1546)+2,FALSE))))</f>
        <v>0</v>
      </c>
      <c r="M1546" s="306">
        <f t="shared" si="411"/>
        <v>0</v>
      </c>
      <c r="N1546" s="305">
        <f>IF(G1546=0,0,(IF(OR(E1546=$AT$5,E1546=$AT$6),AC1546,HLOOKUP(YEAR(G1546)+(MONTH(G1546)/100),TC!$5:$37,DAY(G1546)+2,FALSE))))</f>
        <v>0</v>
      </c>
      <c r="O1546" s="307">
        <f t="shared" si="412"/>
        <v>0</v>
      </c>
      <c r="P1546" s="560">
        <f>IF(G1546=0,0,VLOOKUP(YEAR(G1546),INPC!$B$4:$P$30,MONTH(G1546)+2))</f>
        <v>0</v>
      </c>
      <c r="Q1546" s="560">
        <f>IF(X1546=0,0,IF(OR(E1546=$AT$10,E1546=$AT$9),VLOOKUP(YEAR(X1546),INPC!$B$4:$P$30,MONTH(X1546)+1),VLOOKUP(YEAR(X1546),INPC!$B$4:$P$30,MONTH(X1546)+2,0)))</f>
        <v>0</v>
      </c>
      <c r="R1546" s="309">
        <f t="shared" si="413"/>
        <v>0</v>
      </c>
      <c r="S1546" s="310">
        <f t="shared" si="414"/>
        <v>0</v>
      </c>
      <c r="T1546" s="555">
        <f t="shared" si="415"/>
        <v>0</v>
      </c>
      <c r="U1546" s="311"/>
      <c r="V1546" s="312"/>
      <c r="W1546" s="299"/>
      <c r="X1546" s="300"/>
      <c r="Y1546" s="299"/>
      <c r="Z1546" s="303"/>
      <c r="AA1546" s="305">
        <f>IF(Z1546=0,0,IF(Y1546="MXN",1/HLOOKUP(YEAR(X1546)+(MONTH(X1546)/100),TC!$5:$37,DAY(X1546)+2,FALSE),VLOOKUP(Y1546,Equivalencia!$1:$23,((MAX(Equivalencia!$3:$3)-YEAR(X1546))*14)+MONTH(X1546)+2,FALSE)))</f>
        <v>0</v>
      </c>
      <c r="AB1546" s="306">
        <f t="shared" si="416"/>
        <v>0</v>
      </c>
      <c r="AC1546" s="305">
        <f>+IF(X1546=0,0,HLOOKUP(YEAR(X1546)+(MONTH(X1546)/100),TC!$5:$37,DAY(X1546)+2,FALSE))</f>
        <v>0</v>
      </c>
      <c r="AD1546" s="307">
        <f t="shared" si="417"/>
        <v>0</v>
      </c>
      <c r="AE1546" s="314">
        <f t="shared" si="418"/>
        <v>0</v>
      </c>
      <c r="AF1546" s="315">
        <f t="shared" si="419"/>
        <v>0</v>
      </c>
      <c r="AG1546" s="316">
        <f t="shared" si="420"/>
        <v>0</v>
      </c>
      <c r="AH1546" s="314">
        <v>1</v>
      </c>
      <c r="AI1546" s="314">
        <f t="shared" si="421"/>
        <v>0</v>
      </c>
      <c r="AJ1546" s="314">
        <f t="shared" si="422"/>
        <v>0</v>
      </c>
      <c r="AK1546" s="317"/>
      <c r="AL1546" s="315">
        <f t="shared" si="423"/>
        <v>0</v>
      </c>
      <c r="AN1546" s="554">
        <f t="shared" si="424"/>
        <v>0</v>
      </c>
      <c r="AO1546" s="314"/>
      <c r="AP1546" s="318"/>
    </row>
    <row r="1547" spans="2:42">
      <c r="B1547" s="296"/>
      <c r="C1547" s="299"/>
      <c r="D1547" s="298"/>
      <c r="E1547" s="299"/>
      <c r="F1547" s="299"/>
      <c r="G1547" s="300"/>
      <c r="H1547" s="303"/>
      <c r="I1547" s="301">
        <f t="shared" si="408"/>
        <v>0</v>
      </c>
      <c r="J1547" s="302">
        <f t="shared" si="409"/>
        <v>0</v>
      </c>
      <c r="K1547" s="304">
        <f t="shared" si="410"/>
        <v>0</v>
      </c>
      <c r="L1547" s="305">
        <f>IF(H1547=0,0,IF(OR(E1547=$AT$5,E1547=$AT$6),AA1547,IF(F1547="MXN",1/HLOOKUP(YEAR(G1547)+(MONTH(G1547)/100),TC!$5:$37,DAY(G1547)+2,FALSE),VLOOKUP(F1547,Equivalencia!$5:$23,((MAX(Equivalencia!$3:$3)-YEAR(G1547))*14)+MONTH(G1547)+2,FALSE))))</f>
        <v>0</v>
      </c>
      <c r="M1547" s="306">
        <f t="shared" si="411"/>
        <v>0</v>
      </c>
      <c r="N1547" s="305">
        <f>IF(G1547=0,0,(IF(OR(E1547=$AT$5,E1547=$AT$6),AC1547,HLOOKUP(YEAR(G1547)+(MONTH(G1547)/100),TC!$5:$37,DAY(G1547)+2,FALSE))))</f>
        <v>0</v>
      </c>
      <c r="O1547" s="307">
        <f t="shared" si="412"/>
        <v>0</v>
      </c>
      <c r="P1547" s="560">
        <f>IF(G1547=0,0,VLOOKUP(YEAR(G1547),INPC!$B$4:$P$30,MONTH(G1547)+2))</f>
        <v>0</v>
      </c>
      <c r="Q1547" s="560">
        <f>IF(X1547=0,0,IF(OR(E1547=$AT$10,E1547=$AT$9),VLOOKUP(YEAR(X1547),INPC!$B$4:$P$30,MONTH(X1547)+1),VLOOKUP(YEAR(X1547),INPC!$B$4:$P$30,MONTH(X1547)+2,0)))</f>
        <v>0</v>
      </c>
      <c r="R1547" s="309">
        <f t="shared" si="413"/>
        <v>0</v>
      </c>
      <c r="S1547" s="310">
        <f t="shared" si="414"/>
        <v>0</v>
      </c>
      <c r="T1547" s="555">
        <f t="shared" si="415"/>
        <v>0</v>
      </c>
      <c r="U1547" s="311"/>
      <c r="V1547" s="312"/>
      <c r="W1547" s="299"/>
      <c r="X1547" s="300"/>
      <c r="Y1547" s="299"/>
      <c r="Z1547" s="303"/>
      <c r="AA1547" s="305">
        <f>IF(Z1547=0,0,IF(Y1547="MXN",1/HLOOKUP(YEAR(X1547)+(MONTH(X1547)/100),TC!$5:$37,DAY(X1547)+2,FALSE),VLOOKUP(Y1547,Equivalencia!$1:$23,((MAX(Equivalencia!$3:$3)-YEAR(X1547))*14)+MONTH(X1547)+2,FALSE)))</f>
        <v>0</v>
      </c>
      <c r="AB1547" s="306">
        <f t="shared" si="416"/>
        <v>0</v>
      </c>
      <c r="AC1547" s="305">
        <f>+IF(X1547=0,0,HLOOKUP(YEAR(X1547)+(MONTH(X1547)/100),TC!$5:$37,DAY(X1547)+2,FALSE))</f>
        <v>0</v>
      </c>
      <c r="AD1547" s="307">
        <f t="shared" si="417"/>
        <v>0</v>
      </c>
      <c r="AE1547" s="314">
        <f t="shared" si="418"/>
        <v>0</v>
      </c>
      <c r="AF1547" s="315">
        <f t="shared" si="419"/>
        <v>0</v>
      </c>
      <c r="AG1547" s="316">
        <f t="shared" si="420"/>
        <v>0</v>
      </c>
      <c r="AH1547" s="314">
        <v>1</v>
      </c>
      <c r="AI1547" s="314">
        <f t="shared" si="421"/>
        <v>0</v>
      </c>
      <c r="AJ1547" s="314">
        <f t="shared" si="422"/>
        <v>0</v>
      </c>
      <c r="AK1547" s="317"/>
      <c r="AL1547" s="315">
        <f t="shared" si="423"/>
        <v>0</v>
      </c>
      <c r="AN1547" s="554">
        <f t="shared" si="424"/>
        <v>0</v>
      </c>
      <c r="AO1547" s="314"/>
      <c r="AP1547" s="318"/>
    </row>
    <row r="1548" spans="2:42">
      <c r="B1548" s="296"/>
      <c r="C1548" s="299"/>
      <c r="D1548" s="298"/>
      <c r="E1548" s="299"/>
      <c r="F1548" s="299"/>
      <c r="G1548" s="300"/>
      <c r="H1548" s="303"/>
      <c r="I1548" s="301">
        <f t="shared" si="408"/>
        <v>0</v>
      </c>
      <c r="J1548" s="302">
        <f t="shared" si="409"/>
        <v>0</v>
      </c>
      <c r="K1548" s="304">
        <f t="shared" si="410"/>
        <v>0</v>
      </c>
      <c r="L1548" s="305">
        <f>IF(H1548=0,0,IF(OR(E1548=$AT$5,E1548=$AT$6),AA1548,IF(F1548="MXN",1/HLOOKUP(YEAR(G1548)+(MONTH(G1548)/100),TC!$5:$37,DAY(G1548)+2,FALSE),VLOOKUP(F1548,Equivalencia!$5:$23,((MAX(Equivalencia!$3:$3)-YEAR(G1548))*14)+MONTH(G1548)+2,FALSE))))</f>
        <v>0</v>
      </c>
      <c r="M1548" s="306">
        <f t="shared" si="411"/>
        <v>0</v>
      </c>
      <c r="N1548" s="305">
        <f>IF(G1548=0,0,(IF(OR(E1548=$AT$5,E1548=$AT$6),AC1548,HLOOKUP(YEAR(G1548)+(MONTH(G1548)/100),TC!$5:$37,DAY(G1548)+2,FALSE))))</f>
        <v>0</v>
      </c>
      <c r="O1548" s="307">
        <f t="shared" si="412"/>
        <v>0</v>
      </c>
      <c r="P1548" s="560">
        <f>IF(G1548=0,0,VLOOKUP(YEAR(G1548),INPC!$B$4:$P$30,MONTH(G1548)+2))</f>
        <v>0</v>
      </c>
      <c r="Q1548" s="560">
        <f>IF(X1548=0,0,IF(OR(E1548=$AT$10,E1548=$AT$9),VLOOKUP(YEAR(X1548),INPC!$B$4:$P$30,MONTH(X1548)+1),VLOOKUP(YEAR(X1548),INPC!$B$4:$P$30,MONTH(X1548)+2,0)))</f>
        <v>0</v>
      </c>
      <c r="R1548" s="309">
        <f t="shared" si="413"/>
        <v>0</v>
      </c>
      <c r="S1548" s="310">
        <f t="shared" si="414"/>
        <v>0</v>
      </c>
      <c r="T1548" s="555">
        <f t="shared" si="415"/>
        <v>0</v>
      </c>
      <c r="U1548" s="311"/>
      <c r="V1548" s="312"/>
      <c r="W1548" s="299"/>
      <c r="X1548" s="300"/>
      <c r="Y1548" s="299"/>
      <c r="Z1548" s="303"/>
      <c r="AA1548" s="305">
        <f>IF(Z1548=0,0,IF(Y1548="MXN",1/HLOOKUP(YEAR(X1548)+(MONTH(X1548)/100),TC!$5:$37,DAY(X1548)+2,FALSE),VLOOKUP(Y1548,Equivalencia!$1:$23,((MAX(Equivalencia!$3:$3)-YEAR(X1548))*14)+MONTH(X1548)+2,FALSE)))</f>
        <v>0</v>
      </c>
      <c r="AB1548" s="306">
        <f t="shared" si="416"/>
        <v>0</v>
      </c>
      <c r="AC1548" s="305">
        <f>+IF(X1548=0,0,HLOOKUP(YEAR(X1548)+(MONTH(X1548)/100),TC!$5:$37,DAY(X1548)+2,FALSE))</f>
        <v>0</v>
      </c>
      <c r="AD1548" s="307">
        <f t="shared" si="417"/>
        <v>0</v>
      </c>
      <c r="AE1548" s="314">
        <f t="shared" si="418"/>
        <v>0</v>
      </c>
      <c r="AF1548" s="315">
        <f t="shared" si="419"/>
        <v>0</v>
      </c>
      <c r="AG1548" s="316">
        <f t="shared" si="420"/>
        <v>0</v>
      </c>
      <c r="AH1548" s="314">
        <v>1</v>
      </c>
      <c r="AI1548" s="314">
        <f t="shared" si="421"/>
        <v>0</v>
      </c>
      <c r="AJ1548" s="314">
        <f t="shared" si="422"/>
        <v>0</v>
      </c>
      <c r="AK1548" s="317"/>
      <c r="AL1548" s="315">
        <f t="shared" si="423"/>
        <v>0</v>
      </c>
      <c r="AN1548" s="554">
        <f t="shared" si="424"/>
        <v>0</v>
      </c>
      <c r="AO1548" s="314"/>
      <c r="AP1548" s="318"/>
    </row>
    <row r="1549" spans="2:42">
      <c r="B1549" s="296"/>
      <c r="C1549" s="299"/>
      <c r="D1549" s="298"/>
      <c r="E1549" s="299"/>
      <c r="F1549" s="299"/>
      <c r="G1549" s="300"/>
      <c r="H1549" s="303"/>
      <c r="I1549" s="301">
        <f t="shared" si="408"/>
        <v>0</v>
      </c>
      <c r="J1549" s="302">
        <f t="shared" si="409"/>
        <v>0</v>
      </c>
      <c r="K1549" s="304">
        <f t="shared" si="410"/>
        <v>0</v>
      </c>
      <c r="L1549" s="305">
        <f>IF(H1549=0,0,IF(OR(E1549=$AT$5,E1549=$AT$6),AA1549,IF(F1549="MXN",1/HLOOKUP(YEAR(G1549)+(MONTH(G1549)/100),TC!$5:$37,DAY(G1549)+2,FALSE),VLOOKUP(F1549,Equivalencia!$5:$23,((MAX(Equivalencia!$3:$3)-YEAR(G1549))*14)+MONTH(G1549)+2,FALSE))))</f>
        <v>0</v>
      </c>
      <c r="M1549" s="306">
        <f t="shared" si="411"/>
        <v>0</v>
      </c>
      <c r="N1549" s="305">
        <f>IF(G1549=0,0,(IF(OR(E1549=$AT$5,E1549=$AT$6),AC1549,HLOOKUP(YEAR(G1549)+(MONTH(G1549)/100),TC!$5:$37,DAY(G1549)+2,FALSE))))</f>
        <v>0</v>
      </c>
      <c r="O1549" s="307">
        <f t="shared" si="412"/>
        <v>0</v>
      </c>
      <c r="P1549" s="560">
        <f>IF(G1549=0,0,VLOOKUP(YEAR(G1549),INPC!$B$4:$P$30,MONTH(G1549)+2))</f>
        <v>0</v>
      </c>
      <c r="Q1549" s="560">
        <f>IF(X1549=0,0,IF(OR(E1549=$AT$10,E1549=$AT$9),VLOOKUP(YEAR(X1549),INPC!$B$4:$P$30,MONTH(X1549)+1),VLOOKUP(YEAR(X1549),INPC!$B$4:$P$30,MONTH(X1549)+2,0)))</f>
        <v>0</v>
      </c>
      <c r="R1549" s="309">
        <f t="shared" si="413"/>
        <v>0</v>
      </c>
      <c r="S1549" s="310">
        <f t="shared" si="414"/>
        <v>0</v>
      </c>
      <c r="T1549" s="555">
        <f t="shared" si="415"/>
        <v>0</v>
      </c>
      <c r="U1549" s="311"/>
      <c r="V1549" s="312"/>
      <c r="W1549" s="299"/>
      <c r="X1549" s="300"/>
      <c r="Y1549" s="299"/>
      <c r="Z1549" s="303"/>
      <c r="AA1549" s="305">
        <f>IF(Z1549=0,0,IF(Y1549="MXN",1/HLOOKUP(YEAR(X1549)+(MONTH(X1549)/100),TC!$5:$37,DAY(X1549)+2,FALSE),VLOOKUP(Y1549,Equivalencia!$1:$23,((MAX(Equivalencia!$3:$3)-YEAR(X1549))*14)+MONTH(X1549)+2,FALSE)))</f>
        <v>0</v>
      </c>
      <c r="AB1549" s="306">
        <f t="shared" si="416"/>
        <v>0</v>
      </c>
      <c r="AC1549" s="305">
        <f>+IF(X1549=0,0,HLOOKUP(YEAR(X1549)+(MONTH(X1549)/100),TC!$5:$37,DAY(X1549)+2,FALSE))</f>
        <v>0</v>
      </c>
      <c r="AD1549" s="307">
        <f t="shared" si="417"/>
        <v>0</v>
      </c>
      <c r="AE1549" s="314">
        <f t="shared" si="418"/>
        <v>0</v>
      </c>
      <c r="AF1549" s="315">
        <f t="shared" si="419"/>
        <v>0</v>
      </c>
      <c r="AG1549" s="316">
        <f t="shared" si="420"/>
        <v>0</v>
      </c>
      <c r="AH1549" s="314">
        <v>1</v>
      </c>
      <c r="AI1549" s="314">
        <f t="shared" si="421"/>
        <v>0</v>
      </c>
      <c r="AJ1549" s="314">
        <f t="shared" si="422"/>
        <v>0</v>
      </c>
      <c r="AK1549" s="317"/>
      <c r="AL1549" s="315">
        <f t="shared" si="423"/>
        <v>0</v>
      </c>
      <c r="AN1549" s="554">
        <f t="shared" si="424"/>
        <v>0</v>
      </c>
      <c r="AO1549" s="314"/>
      <c r="AP1549" s="318"/>
    </row>
    <row r="1550" spans="2:42">
      <c r="B1550" s="296"/>
      <c r="C1550" s="299"/>
      <c r="D1550" s="298"/>
      <c r="E1550" s="299"/>
      <c r="F1550" s="299"/>
      <c r="G1550" s="300"/>
      <c r="H1550" s="303"/>
      <c r="I1550" s="301">
        <f t="shared" si="408"/>
        <v>0</v>
      </c>
      <c r="J1550" s="302">
        <f t="shared" si="409"/>
        <v>0</v>
      </c>
      <c r="K1550" s="304">
        <f t="shared" si="410"/>
        <v>0</v>
      </c>
      <c r="L1550" s="305">
        <f>IF(H1550=0,0,IF(OR(E1550=$AT$5,E1550=$AT$6),AA1550,IF(F1550="MXN",1/HLOOKUP(YEAR(G1550)+(MONTH(G1550)/100),TC!$5:$37,DAY(G1550)+2,FALSE),VLOOKUP(F1550,Equivalencia!$5:$23,((MAX(Equivalencia!$3:$3)-YEAR(G1550))*14)+MONTH(G1550)+2,FALSE))))</f>
        <v>0</v>
      </c>
      <c r="M1550" s="306">
        <f t="shared" si="411"/>
        <v>0</v>
      </c>
      <c r="N1550" s="305">
        <f>IF(G1550=0,0,(IF(OR(E1550=$AT$5,E1550=$AT$6),AC1550,HLOOKUP(YEAR(G1550)+(MONTH(G1550)/100),TC!$5:$37,DAY(G1550)+2,FALSE))))</f>
        <v>0</v>
      </c>
      <c r="O1550" s="307">
        <f t="shared" si="412"/>
        <v>0</v>
      </c>
      <c r="P1550" s="560">
        <f>IF(G1550=0,0,VLOOKUP(YEAR(G1550),INPC!$B$4:$P$30,MONTH(G1550)+2))</f>
        <v>0</v>
      </c>
      <c r="Q1550" s="560">
        <f>IF(X1550=0,0,IF(OR(E1550=$AT$10,E1550=$AT$9),VLOOKUP(YEAR(X1550),INPC!$B$4:$P$30,MONTH(X1550)+1),VLOOKUP(YEAR(X1550),INPC!$B$4:$P$30,MONTH(X1550)+2,0)))</f>
        <v>0</v>
      </c>
      <c r="R1550" s="309">
        <f t="shared" si="413"/>
        <v>0</v>
      </c>
      <c r="S1550" s="310">
        <f t="shared" si="414"/>
        <v>0</v>
      </c>
      <c r="T1550" s="555">
        <f t="shared" si="415"/>
        <v>0</v>
      </c>
      <c r="U1550" s="311"/>
      <c r="V1550" s="312"/>
      <c r="W1550" s="299"/>
      <c r="X1550" s="300"/>
      <c r="Y1550" s="299"/>
      <c r="Z1550" s="303"/>
      <c r="AA1550" s="305">
        <f>IF(Z1550=0,0,IF(Y1550="MXN",1/HLOOKUP(YEAR(X1550)+(MONTH(X1550)/100),TC!$5:$37,DAY(X1550)+2,FALSE),VLOOKUP(Y1550,Equivalencia!$1:$23,((MAX(Equivalencia!$3:$3)-YEAR(X1550))*14)+MONTH(X1550)+2,FALSE)))</f>
        <v>0</v>
      </c>
      <c r="AB1550" s="306">
        <f t="shared" si="416"/>
        <v>0</v>
      </c>
      <c r="AC1550" s="305">
        <f>+IF(X1550=0,0,HLOOKUP(YEAR(X1550)+(MONTH(X1550)/100),TC!$5:$37,DAY(X1550)+2,FALSE))</f>
        <v>0</v>
      </c>
      <c r="AD1550" s="307">
        <f t="shared" si="417"/>
        <v>0</v>
      </c>
      <c r="AE1550" s="314">
        <f t="shared" si="418"/>
        <v>0</v>
      </c>
      <c r="AF1550" s="315">
        <f t="shared" si="419"/>
        <v>0</v>
      </c>
      <c r="AG1550" s="316">
        <f t="shared" si="420"/>
        <v>0</v>
      </c>
      <c r="AH1550" s="314">
        <v>1</v>
      </c>
      <c r="AI1550" s="314">
        <f t="shared" si="421"/>
        <v>0</v>
      </c>
      <c r="AJ1550" s="314">
        <f t="shared" si="422"/>
        <v>0</v>
      </c>
      <c r="AK1550" s="317"/>
      <c r="AL1550" s="315">
        <f t="shared" si="423"/>
        <v>0</v>
      </c>
      <c r="AN1550" s="554">
        <f t="shared" si="424"/>
        <v>0</v>
      </c>
      <c r="AO1550" s="314"/>
      <c r="AP1550" s="318"/>
    </row>
    <row r="1551" spans="2:42">
      <c r="B1551" s="296"/>
      <c r="C1551" s="299"/>
      <c r="D1551" s="298"/>
      <c r="E1551" s="299"/>
      <c r="F1551" s="299"/>
      <c r="G1551" s="300"/>
      <c r="H1551" s="303"/>
      <c r="I1551" s="301">
        <f t="shared" si="408"/>
        <v>0</v>
      </c>
      <c r="J1551" s="302">
        <f t="shared" si="409"/>
        <v>0</v>
      </c>
      <c r="K1551" s="304">
        <f t="shared" si="410"/>
        <v>0</v>
      </c>
      <c r="L1551" s="305">
        <f>IF(H1551=0,0,IF(OR(E1551=$AT$5,E1551=$AT$6),AA1551,IF(F1551="MXN",1/HLOOKUP(YEAR(G1551)+(MONTH(G1551)/100),TC!$5:$37,DAY(G1551)+2,FALSE),VLOOKUP(F1551,Equivalencia!$5:$23,((MAX(Equivalencia!$3:$3)-YEAR(G1551))*14)+MONTH(G1551)+2,FALSE))))</f>
        <v>0</v>
      </c>
      <c r="M1551" s="306">
        <f t="shared" si="411"/>
        <v>0</v>
      </c>
      <c r="N1551" s="305">
        <f>IF(G1551=0,0,(IF(OR(E1551=$AT$5,E1551=$AT$6),AC1551,HLOOKUP(YEAR(G1551)+(MONTH(G1551)/100),TC!$5:$37,DAY(G1551)+2,FALSE))))</f>
        <v>0</v>
      </c>
      <c r="O1551" s="307">
        <f t="shared" si="412"/>
        <v>0</v>
      </c>
      <c r="P1551" s="560">
        <f>IF(G1551=0,0,VLOOKUP(YEAR(G1551),INPC!$B$4:$P$30,MONTH(G1551)+2))</f>
        <v>0</v>
      </c>
      <c r="Q1551" s="560">
        <f>IF(X1551=0,0,IF(OR(E1551=$AT$10,E1551=$AT$9),VLOOKUP(YEAR(X1551),INPC!$B$4:$P$30,MONTH(X1551)+1),VLOOKUP(YEAR(X1551),INPC!$B$4:$P$30,MONTH(X1551)+2,0)))</f>
        <v>0</v>
      </c>
      <c r="R1551" s="309">
        <f t="shared" si="413"/>
        <v>0</v>
      </c>
      <c r="S1551" s="310">
        <f t="shared" si="414"/>
        <v>0</v>
      </c>
      <c r="T1551" s="555">
        <f t="shared" si="415"/>
        <v>0</v>
      </c>
      <c r="U1551" s="311"/>
      <c r="V1551" s="312"/>
      <c r="W1551" s="299"/>
      <c r="X1551" s="300"/>
      <c r="Y1551" s="299"/>
      <c r="Z1551" s="303"/>
      <c r="AA1551" s="305">
        <f>IF(Z1551=0,0,IF(Y1551="MXN",1/HLOOKUP(YEAR(X1551)+(MONTH(X1551)/100),TC!$5:$37,DAY(X1551)+2,FALSE),VLOOKUP(Y1551,Equivalencia!$1:$23,((MAX(Equivalencia!$3:$3)-YEAR(X1551))*14)+MONTH(X1551)+2,FALSE)))</f>
        <v>0</v>
      </c>
      <c r="AB1551" s="306">
        <f t="shared" si="416"/>
        <v>0</v>
      </c>
      <c r="AC1551" s="305">
        <f>+IF(X1551=0,0,HLOOKUP(YEAR(X1551)+(MONTH(X1551)/100),TC!$5:$37,DAY(X1551)+2,FALSE))</f>
        <v>0</v>
      </c>
      <c r="AD1551" s="307">
        <f t="shared" si="417"/>
        <v>0</v>
      </c>
      <c r="AE1551" s="314">
        <f t="shared" si="418"/>
        <v>0</v>
      </c>
      <c r="AF1551" s="315">
        <f t="shared" si="419"/>
        <v>0</v>
      </c>
      <c r="AG1551" s="316">
        <f t="shared" si="420"/>
        <v>0</v>
      </c>
      <c r="AH1551" s="314">
        <v>1</v>
      </c>
      <c r="AI1551" s="314">
        <f t="shared" si="421"/>
        <v>0</v>
      </c>
      <c r="AJ1551" s="314">
        <f t="shared" si="422"/>
        <v>0</v>
      </c>
      <c r="AK1551" s="317"/>
      <c r="AL1551" s="315">
        <f t="shared" si="423"/>
        <v>0</v>
      </c>
      <c r="AN1551" s="554">
        <f t="shared" si="424"/>
        <v>0</v>
      </c>
      <c r="AO1551" s="314"/>
      <c r="AP1551" s="318"/>
    </row>
    <row r="1552" spans="2:42">
      <c r="B1552" s="296"/>
      <c r="C1552" s="299"/>
      <c r="D1552" s="298"/>
      <c r="E1552" s="299"/>
      <c r="F1552" s="299"/>
      <c r="G1552" s="300"/>
      <c r="H1552" s="303"/>
      <c r="I1552" s="301">
        <f t="shared" si="408"/>
        <v>0</v>
      </c>
      <c r="J1552" s="302">
        <f t="shared" si="409"/>
        <v>0</v>
      </c>
      <c r="K1552" s="304">
        <f t="shared" si="410"/>
        <v>0</v>
      </c>
      <c r="L1552" s="305">
        <f>IF(H1552=0,0,IF(OR(E1552=$AT$5,E1552=$AT$6),AA1552,IF(F1552="MXN",1/HLOOKUP(YEAR(G1552)+(MONTH(G1552)/100),TC!$5:$37,DAY(G1552)+2,FALSE),VLOOKUP(F1552,Equivalencia!$5:$23,((MAX(Equivalencia!$3:$3)-YEAR(G1552))*14)+MONTH(G1552)+2,FALSE))))</f>
        <v>0</v>
      </c>
      <c r="M1552" s="306">
        <f t="shared" si="411"/>
        <v>0</v>
      </c>
      <c r="N1552" s="305">
        <f>IF(G1552=0,0,(IF(OR(E1552=$AT$5,E1552=$AT$6),AC1552,HLOOKUP(YEAR(G1552)+(MONTH(G1552)/100),TC!$5:$37,DAY(G1552)+2,FALSE))))</f>
        <v>0</v>
      </c>
      <c r="O1552" s="307">
        <f t="shared" si="412"/>
        <v>0</v>
      </c>
      <c r="P1552" s="560">
        <f>IF(G1552=0,0,VLOOKUP(YEAR(G1552),INPC!$B$4:$P$30,MONTH(G1552)+2))</f>
        <v>0</v>
      </c>
      <c r="Q1552" s="560">
        <f>IF(X1552=0,0,IF(OR(E1552=$AT$10,E1552=$AT$9),VLOOKUP(YEAR(X1552),INPC!$B$4:$P$30,MONTH(X1552)+1),VLOOKUP(YEAR(X1552),INPC!$B$4:$P$30,MONTH(X1552)+2,0)))</f>
        <v>0</v>
      </c>
      <c r="R1552" s="309">
        <f t="shared" si="413"/>
        <v>0</v>
      </c>
      <c r="S1552" s="310">
        <f t="shared" si="414"/>
        <v>0</v>
      </c>
      <c r="T1552" s="555">
        <f t="shared" si="415"/>
        <v>0</v>
      </c>
      <c r="U1552" s="311"/>
      <c r="V1552" s="312"/>
      <c r="W1552" s="299"/>
      <c r="X1552" s="300"/>
      <c r="Y1552" s="299"/>
      <c r="Z1552" s="303"/>
      <c r="AA1552" s="305">
        <f>IF(Z1552=0,0,IF(Y1552="MXN",1/HLOOKUP(YEAR(X1552)+(MONTH(X1552)/100),TC!$5:$37,DAY(X1552)+2,FALSE),VLOOKUP(Y1552,Equivalencia!$1:$23,((MAX(Equivalencia!$3:$3)-YEAR(X1552))*14)+MONTH(X1552)+2,FALSE)))</f>
        <v>0</v>
      </c>
      <c r="AB1552" s="306">
        <f t="shared" si="416"/>
        <v>0</v>
      </c>
      <c r="AC1552" s="305">
        <f>+IF(X1552=0,0,HLOOKUP(YEAR(X1552)+(MONTH(X1552)/100),TC!$5:$37,DAY(X1552)+2,FALSE))</f>
        <v>0</v>
      </c>
      <c r="AD1552" s="307">
        <f t="shared" si="417"/>
        <v>0</v>
      </c>
      <c r="AE1552" s="314">
        <f t="shared" si="418"/>
        <v>0</v>
      </c>
      <c r="AF1552" s="315">
        <f t="shared" si="419"/>
        <v>0</v>
      </c>
      <c r="AG1552" s="316">
        <f t="shared" si="420"/>
        <v>0</v>
      </c>
      <c r="AH1552" s="314">
        <v>1</v>
      </c>
      <c r="AI1552" s="314">
        <f t="shared" si="421"/>
        <v>0</v>
      </c>
      <c r="AJ1552" s="314">
        <f t="shared" si="422"/>
        <v>0</v>
      </c>
      <c r="AK1552" s="317"/>
      <c r="AL1552" s="315">
        <f t="shared" si="423"/>
        <v>0</v>
      </c>
      <c r="AN1552" s="554">
        <f t="shared" si="424"/>
        <v>0</v>
      </c>
      <c r="AO1552" s="314"/>
      <c r="AP1552" s="318"/>
    </row>
    <row r="1553" spans="2:42">
      <c r="B1553" s="296"/>
      <c r="C1553" s="299"/>
      <c r="D1553" s="298"/>
      <c r="E1553" s="299"/>
      <c r="F1553" s="299"/>
      <c r="G1553" s="300"/>
      <c r="H1553" s="303"/>
      <c r="I1553" s="301">
        <f t="shared" si="408"/>
        <v>0</v>
      </c>
      <c r="J1553" s="302">
        <f t="shared" si="409"/>
        <v>0</v>
      </c>
      <c r="K1553" s="304">
        <f t="shared" si="410"/>
        <v>0</v>
      </c>
      <c r="L1553" s="305">
        <f>IF(H1553=0,0,IF(OR(E1553=$AT$5,E1553=$AT$6),AA1553,IF(F1553="MXN",1/HLOOKUP(YEAR(G1553)+(MONTH(G1553)/100),TC!$5:$37,DAY(G1553)+2,FALSE),VLOOKUP(F1553,Equivalencia!$5:$23,((MAX(Equivalencia!$3:$3)-YEAR(G1553))*14)+MONTH(G1553)+2,FALSE))))</f>
        <v>0</v>
      </c>
      <c r="M1553" s="306">
        <f t="shared" si="411"/>
        <v>0</v>
      </c>
      <c r="N1553" s="305">
        <f>IF(G1553=0,0,(IF(OR(E1553=$AT$5,E1553=$AT$6),AC1553,HLOOKUP(YEAR(G1553)+(MONTH(G1553)/100),TC!$5:$37,DAY(G1553)+2,FALSE))))</f>
        <v>0</v>
      </c>
      <c r="O1553" s="307">
        <f t="shared" si="412"/>
        <v>0</v>
      </c>
      <c r="P1553" s="560">
        <f>IF(G1553=0,0,VLOOKUP(YEAR(G1553),INPC!$B$4:$P$30,MONTH(G1553)+2))</f>
        <v>0</v>
      </c>
      <c r="Q1553" s="560">
        <f>IF(X1553=0,0,IF(OR(E1553=$AT$10,E1553=$AT$9),VLOOKUP(YEAR(X1553),INPC!$B$4:$P$30,MONTH(X1553)+1),VLOOKUP(YEAR(X1553),INPC!$B$4:$P$30,MONTH(X1553)+2,0)))</f>
        <v>0</v>
      </c>
      <c r="R1553" s="309">
        <f t="shared" si="413"/>
        <v>0</v>
      </c>
      <c r="S1553" s="310">
        <f t="shared" si="414"/>
        <v>0</v>
      </c>
      <c r="T1553" s="555">
        <f t="shared" si="415"/>
        <v>0</v>
      </c>
      <c r="U1553" s="311"/>
      <c r="V1553" s="312"/>
      <c r="W1553" s="299"/>
      <c r="X1553" s="300"/>
      <c r="Y1553" s="299"/>
      <c r="Z1553" s="303"/>
      <c r="AA1553" s="305">
        <f>IF(Z1553=0,0,IF(Y1553="MXN",1/HLOOKUP(YEAR(X1553)+(MONTH(X1553)/100),TC!$5:$37,DAY(X1553)+2,FALSE),VLOOKUP(Y1553,Equivalencia!$1:$23,((MAX(Equivalencia!$3:$3)-YEAR(X1553))*14)+MONTH(X1553)+2,FALSE)))</f>
        <v>0</v>
      </c>
      <c r="AB1553" s="306">
        <f t="shared" si="416"/>
        <v>0</v>
      </c>
      <c r="AC1553" s="305">
        <f>+IF(X1553=0,0,HLOOKUP(YEAR(X1553)+(MONTH(X1553)/100),TC!$5:$37,DAY(X1553)+2,FALSE))</f>
        <v>0</v>
      </c>
      <c r="AD1553" s="307">
        <f t="shared" si="417"/>
        <v>0</v>
      </c>
      <c r="AE1553" s="314">
        <f t="shared" si="418"/>
        <v>0</v>
      </c>
      <c r="AF1553" s="315">
        <f t="shared" si="419"/>
        <v>0</v>
      </c>
      <c r="AG1553" s="316">
        <f t="shared" si="420"/>
        <v>0</v>
      </c>
      <c r="AH1553" s="314">
        <v>1</v>
      </c>
      <c r="AI1553" s="314">
        <f t="shared" si="421"/>
        <v>0</v>
      </c>
      <c r="AJ1553" s="314">
        <f t="shared" si="422"/>
        <v>0</v>
      </c>
      <c r="AK1553" s="317"/>
      <c r="AL1553" s="315">
        <f t="shared" si="423"/>
        <v>0</v>
      </c>
      <c r="AN1553" s="554">
        <f t="shared" si="424"/>
        <v>0</v>
      </c>
      <c r="AO1553" s="314"/>
      <c r="AP1553" s="318"/>
    </row>
    <row r="1554" spans="2:42">
      <c r="B1554" s="296"/>
      <c r="C1554" s="299"/>
      <c r="D1554" s="298"/>
      <c r="E1554" s="299"/>
      <c r="F1554" s="299"/>
      <c r="G1554" s="300"/>
      <c r="H1554" s="303"/>
      <c r="I1554" s="301">
        <f t="shared" si="408"/>
        <v>0</v>
      </c>
      <c r="J1554" s="302">
        <f t="shared" si="409"/>
        <v>0</v>
      </c>
      <c r="K1554" s="304">
        <f t="shared" si="410"/>
        <v>0</v>
      </c>
      <c r="L1554" s="305">
        <f>IF(H1554=0,0,IF(OR(E1554=$AT$5,E1554=$AT$6),AA1554,IF(F1554="MXN",1/HLOOKUP(YEAR(G1554)+(MONTH(G1554)/100),TC!$5:$37,DAY(G1554)+2,FALSE),VLOOKUP(F1554,Equivalencia!$5:$23,((MAX(Equivalencia!$3:$3)-YEAR(G1554))*14)+MONTH(G1554)+2,FALSE))))</f>
        <v>0</v>
      </c>
      <c r="M1554" s="306">
        <f t="shared" si="411"/>
        <v>0</v>
      </c>
      <c r="N1554" s="305">
        <f>IF(G1554=0,0,(IF(OR(E1554=$AT$5,E1554=$AT$6),AC1554,HLOOKUP(YEAR(G1554)+(MONTH(G1554)/100),TC!$5:$37,DAY(G1554)+2,FALSE))))</f>
        <v>0</v>
      </c>
      <c r="O1554" s="307">
        <f t="shared" si="412"/>
        <v>0</v>
      </c>
      <c r="P1554" s="560">
        <f>IF(G1554=0,0,VLOOKUP(YEAR(G1554),INPC!$B$4:$P$30,MONTH(G1554)+2))</f>
        <v>0</v>
      </c>
      <c r="Q1554" s="560">
        <f>IF(X1554=0,0,IF(OR(E1554=$AT$10,E1554=$AT$9),VLOOKUP(YEAR(X1554),INPC!$B$4:$P$30,MONTH(X1554)+1),VLOOKUP(YEAR(X1554),INPC!$B$4:$P$30,MONTH(X1554)+2,0)))</f>
        <v>0</v>
      </c>
      <c r="R1554" s="309">
        <f t="shared" si="413"/>
        <v>0</v>
      </c>
      <c r="S1554" s="310">
        <f t="shared" si="414"/>
        <v>0</v>
      </c>
      <c r="T1554" s="555">
        <f t="shared" si="415"/>
        <v>0</v>
      </c>
      <c r="U1554" s="311"/>
      <c r="V1554" s="312"/>
      <c r="W1554" s="299"/>
      <c r="X1554" s="300"/>
      <c r="Y1554" s="299"/>
      <c r="Z1554" s="303"/>
      <c r="AA1554" s="305">
        <f>IF(Z1554=0,0,IF(Y1554="MXN",1/HLOOKUP(YEAR(X1554)+(MONTH(X1554)/100),TC!$5:$37,DAY(X1554)+2,FALSE),VLOOKUP(Y1554,Equivalencia!$1:$23,((MAX(Equivalencia!$3:$3)-YEAR(X1554))*14)+MONTH(X1554)+2,FALSE)))</f>
        <v>0</v>
      </c>
      <c r="AB1554" s="306">
        <f t="shared" si="416"/>
        <v>0</v>
      </c>
      <c r="AC1554" s="305">
        <f>+IF(X1554=0,0,HLOOKUP(YEAR(X1554)+(MONTH(X1554)/100),TC!$5:$37,DAY(X1554)+2,FALSE))</f>
        <v>0</v>
      </c>
      <c r="AD1554" s="307">
        <f t="shared" si="417"/>
        <v>0</v>
      </c>
      <c r="AE1554" s="314">
        <f t="shared" si="418"/>
        <v>0</v>
      </c>
      <c r="AF1554" s="315">
        <f t="shared" si="419"/>
        <v>0</v>
      </c>
      <c r="AG1554" s="316">
        <f t="shared" si="420"/>
        <v>0</v>
      </c>
      <c r="AH1554" s="314">
        <v>1</v>
      </c>
      <c r="AI1554" s="314">
        <f t="shared" si="421"/>
        <v>0</v>
      </c>
      <c r="AJ1554" s="314">
        <f t="shared" si="422"/>
        <v>0</v>
      </c>
      <c r="AK1554" s="317"/>
      <c r="AL1554" s="315">
        <f t="shared" si="423"/>
        <v>0</v>
      </c>
      <c r="AN1554" s="554">
        <f t="shared" si="424"/>
        <v>0</v>
      </c>
      <c r="AO1554" s="314"/>
      <c r="AP1554" s="318"/>
    </row>
    <row r="1555" spans="2:42">
      <c r="B1555" s="296"/>
      <c r="C1555" s="299"/>
      <c r="D1555" s="298"/>
      <c r="E1555" s="299"/>
      <c r="F1555" s="299"/>
      <c r="G1555" s="300"/>
      <c r="H1555" s="303"/>
      <c r="I1555" s="301">
        <f t="shared" si="408"/>
        <v>0</v>
      </c>
      <c r="J1555" s="302">
        <f t="shared" si="409"/>
        <v>0</v>
      </c>
      <c r="K1555" s="304">
        <f t="shared" si="410"/>
        <v>0</v>
      </c>
      <c r="L1555" s="305">
        <f>IF(H1555=0,0,IF(OR(E1555=$AT$5,E1555=$AT$6),AA1555,IF(F1555="MXN",1/HLOOKUP(YEAR(G1555)+(MONTH(G1555)/100),TC!$5:$37,DAY(G1555)+2,FALSE),VLOOKUP(F1555,Equivalencia!$5:$23,((MAX(Equivalencia!$3:$3)-YEAR(G1555))*14)+MONTH(G1555)+2,FALSE))))</f>
        <v>0</v>
      </c>
      <c r="M1555" s="306">
        <f t="shared" si="411"/>
        <v>0</v>
      </c>
      <c r="N1555" s="305">
        <f>IF(G1555=0,0,(IF(OR(E1555=$AT$5,E1555=$AT$6),AC1555,HLOOKUP(YEAR(G1555)+(MONTH(G1555)/100),TC!$5:$37,DAY(G1555)+2,FALSE))))</f>
        <v>0</v>
      </c>
      <c r="O1555" s="307">
        <f t="shared" si="412"/>
        <v>0</v>
      </c>
      <c r="P1555" s="560">
        <f>IF(G1555=0,0,VLOOKUP(YEAR(G1555),INPC!$B$4:$P$30,MONTH(G1555)+2))</f>
        <v>0</v>
      </c>
      <c r="Q1555" s="560">
        <f>IF(X1555=0,0,IF(OR(E1555=$AT$10,E1555=$AT$9),VLOOKUP(YEAR(X1555),INPC!$B$4:$P$30,MONTH(X1555)+1),VLOOKUP(YEAR(X1555),INPC!$B$4:$P$30,MONTH(X1555)+2,0)))</f>
        <v>0</v>
      </c>
      <c r="R1555" s="309">
        <f t="shared" si="413"/>
        <v>0</v>
      </c>
      <c r="S1555" s="310">
        <f t="shared" si="414"/>
        <v>0</v>
      </c>
      <c r="T1555" s="555">
        <f t="shared" si="415"/>
        <v>0</v>
      </c>
      <c r="U1555" s="311"/>
      <c r="V1555" s="312"/>
      <c r="W1555" s="299"/>
      <c r="X1555" s="300"/>
      <c r="Y1555" s="299"/>
      <c r="Z1555" s="303"/>
      <c r="AA1555" s="305">
        <f>IF(Z1555=0,0,IF(Y1555="MXN",1/HLOOKUP(YEAR(X1555)+(MONTH(X1555)/100),TC!$5:$37,DAY(X1555)+2,FALSE),VLOOKUP(Y1555,Equivalencia!$1:$23,((MAX(Equivalencia!$3:$3)-YEAR(X1555))*14)+MONTH(X1555)+2,FALSE)))</f>
        <v>0</v>
      </c>
      <c r="AB1555" s="306">
        <f t="shared" si="416"/>
        <v>0</v>
      </c>
      <c r="AC1555" s="305">
        <f>+IF(X1555=0,0,HLOOKUP(YEAR(X1555)+(MONTH(X1555)/100),TC!$5:$37,DAY(X1555)+2,FALSE))</f>
        <v>0</v>
      </c>
      <c r="AD1555" s="307">
        <f t="shared" si="417"/>
        <v>0</v>
      </c>
      <c r="AE1555" s="314">
        <f t="shared" si="418"/>
        <v>0</v>
      </c>
      <c r="AF1555" s="315">
        <f t="shared" si="419"/>
        <v>0</v>
      </c>
      <c r="AG1555" s="316">
        <f t="shared" si="420"/>
        <v>0</v>
      </c>
      <c r="AH1555" s="314">
        <v>1</v>
      </c>
      <c r="AI1555" s="314">
        <f t="shared" si="421"/>
        <v>0</v>
      </c>
      <c r="AJ1555" s="314">
        <f t="shared" si="422"/>
        <v>0</v>
      </c>
      <c r="AK1555" s="317"/>
      <c r="AL1555" s="315">
        <f t="shared" si="423"/>
        <v>0</v>
      </c>
      <c r="AN1555" s="554">
        <f t="shared" si="424"/>
        <v>0</v>
      </c>
      <c r="AO1555" s="314"/>
      <c r="AP1555" s="318"/>
    </row>
    <row r="1556" spans="2:42">
      <c r="B1556" s="296"/>
      <c r="C1556" s="299"/>
      <c r="D1556" s="298"/>
      <c r="E1556" s="299"/>
      <c r="F1556" s="299"/>
      <c r="G1556" s="300"/>
      <c r="H1556" s="303"/>
      <c r="I1556" s="301">
        <f t="shared" si="408"/>
        <v>0</v>
      </c>
      <c r="J1556" s="302">
        <f t="shared" si="409"/>
        <v>0</v>
      </c>
      <c r="K1556" s="304">
        <f t="shared" si="410"/>
        <v>0</v>
      </c>
      <c r="L1556" s="305">
        <f>IF(H1556=0,0,IF(OR(E1556=$AT$5,E1556=$AT$6),AA1556,IF(F1556="MXN",1/HLOOKUP(YEAR(G1556)+(MONTH(G1556)/100),TC!$5:$37,DAY(G1556)+2,FALSE),VLOOKUP(F1556,Equivalencia!$5:$23,((MAX(Equivalencia!$3:$3)-YEAR(G1556))*14)+MONTH(G1556)+2,FALSE))))</f>
        <v>0</v>
      </c>
      <c r="M1556" s="306">
        <f t="shared" si="411"/>
        <v>0</v>
      </c>
      <c r="N1556" s="305">
        <f>IF(G1556=0,0,(IF(OR(E1556=$AT$5,E1556=$AT$6),AC1556,HLOOKUP(YEAR(G1556)+(MONTH(G1556)/100),TC!$5:$37,DAY(G1556)+2,FALSE))))</f>
        <v>0</v>
      </c>
      <c r="O1556" s="307">
        <f t="shared" si="412"/>
        <v>0</v>
      </c>
      <c r="P1556" s="560">
        <f>IF(G1556=0,0,VLOOKUP(YEAR(G1556),INPC!$B$4:$P$30,MONTH(G1556)+2))</f>
        <v>0</v>
      </c>
      <c r="Q1556" s="560">
        <f>IF(X1556=0,0,IF(OR(E1556=$AT$10,E1556=$AT$9),VLOOKUP(YEAR(X1556),INPC!$B$4:$P$30,MONTH(X1556)+1),VLOOKUP(YEAR(X1556),INPC!$B$4:$P$30,MONTH(X1556)+2,0)))</f>
        <v>0</v>
      </c>
      <c r="R1556" s="309">
        <f t="shared" si="413"/>
        <v>0</v>
      </c>
      <c r="S1556" s="310">
        <f t="shared" si="414"/>
        <v>0</v>
      </c>
      <c r="T1556" s="555">
        <f t="shared" si="415"/>
        <v>0</v>
      </c>
      <c r="U1556" s="311"/>
      <c r="V1556" s="312"/>
      <c r="W1556" s="299"/>
      <c r="X1556" s="300"/>
      <c r="Y1556" s="299"/>
      <c r="Z1556" s="303"/>
      <c r="AA1556" s="305">
        <f>IF(Z1556=0,0,IF(Y1556="MXN",1/HLOOKUP(YEAR(X1556)+(MONTH(X1556)/100),TC!$5:$37,DAY(X1556)+2,FALSE),VLOOKUP(Y1556,Equivalencia!$1:$23,((MAX(Equivalencia!$3:$3)-YEAR(X1556))*14)+MONTH(X1556)+2,FALSE)))</f>
        <v>0</v>
      </c>
      <c r="AB1556" s="306">
        <f t="shared" si="416"/>
        <v>0</v>
      </c>
      <c r="AC1556" s="305">
        <f>+IF(X1556=0,0,HLOOKUP(YEAR(X1556)+(MONTH(X1556)/100),TC!$5:$37,DAY(X1556)+2,FALSE))</f>
        <v>0</v>
      </c>
      <c r="AD1556" s="307">
        <f t="shared" si="417"/>
        <v>0</v>
      </c>
      <c r="AE1556" s="314">
        <f t="shared" si="418"/>
        <v>0</v>
      </c>
      <c r="AF1556" s="315">
        <f t="shared" si="419"/>
        <v>0</v>
      </c>
      <c r="AG1556" s="316">
        <f t="shared" si="420"/>
        <v>0</v>
      </c>
      <c r="AH1556" s="314">
        <v>1</v>
      </c>
      <c r="AI1556" s="314">
        <f t="shared" si="421"/>
        <v>0</v>
      </c>
      <c r="AJ1556" s="314">
        <f t="shared" si="422"/>
        <v>0</v>
      </c>
      <c r="AK1556" s="317"/>
      <c r="AL1556" s="315">
        <f t="shared" si="423"/>
        <v>0</v>
      </c>
      <c r="AN1556" s="554">
        <f t="shared" si="424"/>
        <v>0</v>
      </c>
      <c r="AO1556" s="314"/>
      <c r="AP1556" s="318"/>
    </row>
    <row r="1557" spans="2:42">
      <c r="B1557" s="296"/>
      <c r="C1557" s="299"/>
      <c r="D1557" s="298"/>
      <c r="E1557" s="299"/>
      <c r="F1557" s="299"/>
      <c r="G1557" s="300"/>
      <c r="H1557" s="303"/>
      <c r="I1557" s="301">
        <f t="shared" si="408"/>
        <v>0</v>
      </c>
      <c r="J1557" s="302">
        <f t="shared" si="409"/>
        <v>0</v>
      </c>
      <c r="K1557" s="304">
        <f t="shared" si="410"/>
        <v>0</v>
      </c>
      <c r="L1557" s="305">
        <f>IF(H1557=0,0,IF(OR(E1557=$AT$5,E1557=$AT$6),AA1557,IF(F1557="MXN",1/HLOOKUP(YEAR(G1557)+(MONTH(G1557)/100),TC!$5:$37,DAY(G1557)+2,FALSE),VLOOKUP(F1557,Equivalencia!$5:$23,((MAX(Equivalencia!$3:$3)-YEAR(G1557))*14)+MONTH(G1557)+2,FALSE))))</f>
        <v>0</v>
      </c>
      <c r="M1557" s="306">
        <f t="shared" si="411"/>
        <v>0</v>
      </c>
      <c r="N1557" s="305">
        <f>IF(G1557=0,0,(IF(OR(E1557=$AT$5,E1557=$AT$6),AC1557,HLOOKUP(YEAR(G1557)+(MONTH(G1557)/100),TC!$5:$37,DAY(G1557)+2,FALSE))))</f>
        <v>0</v>
      </c>
      <c r="O1557" s="307">
        <f t="shared" si="412"/>
        <v>0</v>
      </c>
      <c r="P1557" s="560">
        <f>IF(G1557=0,0,VLOOKUP(YEAR(G1557),INPC!$B$4:$P$30,MONTH(G1557)+2))</f>
        <v>0</v>
      </c>
      <c r="Q1557" s="560">
        <f>IF(X1557=0,0,IF(OR(E1557=$AT$10,E1557=$AT$9),VLOOKUP(YEAR(X1557),INPC!$B$4:$P$30,MONTH(X1557)+1),VLOOKUP(YEAR(X1557),INPC!$B$4:$P$30,MONTH(X1557)+2,0)))</f>
        <v>0</v>
      </c>
      <c r="R1557" s="309">
        <f t="shared" si="413"/>
        <v>0</v>
      </c>
      <c r="S1557" s="310">
        <f t="shared" si="414"/>
        <v>0</v>
      </c>
      <c r="T1557" s="555">
        <f t="shared" si="415"/>
        <v>0</v>
      </c>
      <c r="U1557" s="311"/>
      <c r="V1557" s="312"/>
      <c r="W1557" s="299"/>
      <c r="X1557" s="300"/>
      <c r="Y1557" s="299"/>
      <c r="Z1557" s="303"/>
      <c r="AA1557" s="305">
        <f>IF(Z1557=0,0,IF(Y1557="MXN",1/HLOOKUP(YEAR(X1557)+(MONTH(X1557)/100),TC!$5:$37,DAY(X1557)+2,FALSE),VLOOKUP(Y1557,Equivalencia!$1:$23,((MAX(Equivalencia!$3:$3)-YEAR(X1557))*14)+MONTH(X1557)+2,FALSE)))</f>
        <v>0</v>
      </c>
      <c r="AB1557" s="306">
        <f t="shared" si="416"/>
        <v>0</v>
      </c>
      <c r="AC1557" s="305">
        <f>+IF(X1557=0,0,HLOOKUP(YEAR(X1557)+(MONTH(X1557)/100),TC!$5:$37,DAY(X1557)+2,FALSE))</f>
        <v>0</v>
      </c>
      <c r="AD1557" s="307">
        <f t="shared" si="417"/>
        <v>0</v>
      </c>
      <c r="AE1557" s="314">
        <f t="shared" si="418"/>
        <v>0</v>
      </c>
      <c r="AF1557" s="315">
        <f t="shared" si="419"/>
        <v>0</v>
      </c>
      <c r="AG1557" s="316">
        <f t="shared" si="420"/>
        <v>0</v>
      </c>
      <c r="AH1557" s="314">
        <v>1</v>
      </c>
      <c r="AI1557" s="314">
        <f t="shared" si="421"/>
        <v>0</v>
      </c>
      <c r="AJ1557" s="314">
        <f t="shared" si="422"/>
        <v>0</v>
      </c>
      <c r="AK1557" s="317"/>
      <c r="AL1557" s="315">
        <f t="shared" si="423"/>
        <v>0</v>
      </c>
      <c r="AN1557" s="554">
        <f t="shared" si="424"/>
        <v>0</v>
      </c>
      <c r="AO1557" s="314"/>
      <c r="AP1557" s="318"/>
    </row>
    <row r="1558" spans="2:42">
      <c r="B1558" s="296"/>
      <c r="C1558" s="299"/>
      <c r="D1558" s="298"/>
      <c r="E1558" s="299"/>
      <c r="F1558" s="299"/>
      <c r="G1558" s="300"/>
      <c r="H1558" s="303"/>
      <c r="I1558" s="301">
        <f t="shared" si="408"/>
        <v>0</v>
      </c>
      <c r="J1558" s="302">
        <f t="shared" si="409"/>
        <v>0</v>
      </c>
      <c r="K1558" s="304">
        <f t="shared" si="410"/>
        <v>0</v>
      </c>
      <c r="L1558" s="305">
        <f>IF(H1558=0,0,IF(OR(E1558=$AT$5,E1558=$AT$6),AA1558,IF(F1558="MXN",1/HLOOKUP(YEAR(G1558)+(MONTH(G1558)/100),TC!$5:$37,DAY(G1558)+2,FALSE),VLOOKUP(F1558,Equivalencia!$5:$23,((MAX(Equivalencia!$3:$3)-YEAR(G1558))*14)+MONTH(G1558)+2,FALSE))))</f>
        <v>0</v>
      </c>
      <c r="M1558" s="306">
        <f t="shared" si="411"/>
        <v>0</v>
      </c>
      <c r="N1558" s="305">
        <f>IF(G1558=0,0,(IF(OR(E1558=$AT$5,E1558=$AT$6),AC1558,HLOOKUP(YEAR(G1558)+(MONTH(G1558)/100),TC!$5:$37,DAY(G1558)+2,FALSE))))</f>
        <v>0</v>
      </c>
      <c r="O1558" s="307">
        <f t="shared" si="412"/>
        <v>0</v>
      </c>
      <c r="P1558" s="560">
        <f>IF(G1558=0,0,VLOOKUP(YEAR(G1558),INPC!$B$4:$P$30,MONTH(G1558)+2))</f>
        <v>0</v>
      </c>
      <c r="Q1558" s="560">
        <f>IF(X1558=0,0,IF(OR(E1558=$AT$10,E1558=$AT$9),VLOOKUP(YEAR(X1558),INPC!$B$4:$P$30,MONTH(X1558)+1),VLOOKUP(YEAR(X1558),INPC!$B$4:$P$30,MONTH(X1558)+2,0)))</f>
        <v>0</v>
      </c>
      <c r="R1558" s="309">
        <f t="shared" si="413"/>
        <v>0</v>
      </c>
      <c r="S1558" s="310">
        <f t="shared" si="414"/>
        <v>0</v>
      </c>
      <c r="T1558" s="555">
        <f t="shared" si="415"/>
        <v>0</v>
      </c>
      <c r="U1558" s="311"/>
      <c r="V1558" s="312"/>
      <c r="W1558" s="299"/>
      <c r="X1558" s="300"/>
      <c r="Y1558" s="299"/>
      <c r="Z1558" s="303"/>
      <c r="AA1558" s="305">
        <f>IF(Z1558=0,0,IF(Y1558="MXN",1/HLOOKUP(YEAR(X1558)+(MONTH(X1558)/100),TC!$5:$37,DAY(X1558)+2,FALSE),VLOOKUP(Y1558,Equivalencia!$1:$23,((MAX(Equivalencia!$3:$3)-YEAR(X1558))*14)+MONTH(X1558)+2,FALSE)))</f>
        <v>0</v>
      </c>
      <c r="AB1558" s="306">
        <f t="shared" si="416"/>
        <v>0</v>
      </c>
      <c r="AC1558" s="305">
        <f>+IF(X1558=0,0,HLOOKUP(YEAR(X1558)+(MONTH(X1558)/100),TC!$5:$37,DAY(X1558)+2,FALSE))</f>
        <v>0</v>
      </c>
      <c r="AD1558" s="307">
        <f t="shared" si="417"/>
        <v>0</v>
      </c>
      <c r="AE1558" s="314">
        <f t="shared" si="418"/>
        <v>0</v>
      </c>
      <c r="AF1558" s="315">
        <f t="shared" si="419"/>
        <v>0</v>
      </c>
      <c r="AG1558" s="316">
        <f t="shared" si="420"/>
        <v>0</v>
      </c>
      <c r="AH1558" s="314">
        <v>1</v>
      </c>
      <c r="AI1558" s="314">
        <f t="shared" si="421"/>
        <v>0</v>
      </c>
      <c r="AJ1558" s="314">
        <f t="shared" si="422"/>
        <v>0</v>
      </c>
      <c r="AK1558" s="317"/>
      <c r="AL1558" s="315">
        <f t="shared" si="423"/>
        <v>0</v>
      </c>
      <c r="AN1558" s="554">
        <f t="shared" si="424"/>
        <v>0</v>
      </c>
      <c r="AO1558" s="314"/>
      <c r="AP1558" s="318"/>
    </row>
    <row r="1559" spans="2:42">
      <c r="B1559" s="296"/>
      <c r="C1559" s="299"/>
      <c r="D1559" s="298"/>
      <c r="E1559" s="299"/>
      <c r="F1559" s="299"/>
      <c r="G1559" s="300"/>
      <c r="H1559" s="303"/>
      <c r="I1559" s="301">
        <f t="shared" si="408"/>
        <v>0</v>
      </c>
      <c r="J1559" s="302">
        <f t="shared" si="409"/>
        <v>0</v>
      </c>
      <c r="K1559" s="304">
        <f t="shared" si="410"/>
        <v>0</v>
      </c>
      <c r="L1559" s="305">
        <f>IF(H1559=0,0,IF(OR(E1559=$AT$5,E1559=$AT$6),AA1559,IF(F1559="MXN",1/HLOOKUP(YEAR(G1559)+(MONTH(G1559)/100),TC!$5:$37,DAY(G1559)+2,FALSE),VLOOKUP(F1559,Equivalencia!$5:$23,((MAX(Equivalencia!$3:$3)-YEAR(G1559))*14)+MONTH(G1559)+2,FALSE))))</f>
        <v>0</v>
      </c>
      <c r="M1559" s="306">
        <f t="shared" si="411"/>
        <v>0</v>
      </c>
      <c r="N1559" s="305">
        <f>IF(G1559=0,0,(IF(OR(E1559=$AT$5,E1559=$AT$6),AC1559,HLOOKUP(YEAR(G1559)+(MONTH(G1559)/100),TC!$5:$37,DAY(G1559)+2,FALSE))))</f>
        <v>0</v>
      </c>
      <c r="O1559" s="307">
        <f t="shared" si="412"/>
        <v>0</v>
      </c>
      <c r="P1559" s="560">
        <f>IF(G1559=0,0,VLOOKUP(YEAR(G1559),INPC!$B$4:$P$30,MONTH(G1559)+2))</f>
        <v>0</v>
      </c>
      <c r="Q1559" s="560">
        <f>IF(X1559=0,0,IF(OR(E1559=$AT$10,E1559=$AT$9),VLOOKUP(YEAR(X1559),INPC!$B$4:$P$30,MONTH(X1559)+1),VLOOKUP(YEAR(X1559),INPC!$B$4:$P$30,MONTH(X1559)+2,0)))</f>
        <v>0</v>
      </c>
      <c r="R1559" s="309">
        <f t="shared" si="413"/>
        <v>0</v>
      </c>
      <c r="S1559" s="310">
        <f t="shared" si="414"/>
        <v>0</v>
      </c>
      <c r="T1559" s="555">
        <f t="shared" si="415"/>
        <v>0</v>
      </c>
      <c r="U1559" s="311"/>
      <c r="V1559" s="312"/>
      <c r="W1559" s="299"/>
      <c r="X1559" s="300"/>
      <c r="Y1559" s="299"/>
      <c r="Z1559" s="303"/>
      <c r="AA1559" s="305">
        <f>IF(Z1559=0,0,IF(Y1559="MXN",1/HLOOKUP(YEAR(X1559)+(MONTH(X1559)/100),TC!$5:$37,DAY(X1559)+2,FALSE),VLOOKUP(Y1559,Equivalencia!$1:$23,((MAX(Equivalencia!$3:$3)-YEAR(X1559))*14)+MONTH(X1559)+2,FALSE)))</f>
        <v>0</v>
      </c>
      <c r="AB1559" s="306">
        <f t="shared" si="416"/>
        <v>0</v>
      </c>
      <c r="AC1559" s="305">
        <f>+IF(X1559=0,0,HLOOKUP(YEAR(X1559)+(MONTH(X1559)/100),TC!$5:$37,DAY(X1559)+2,FALSE))</f>
        <v>0</v>
      </c>
      <c r="AD1559" s="307">
        <f t="shared" si="417"/>
        <v>0</v>
      </c>
      <c r="AE1559" s="314">
        <f t="shared" si="418"/>
        <v>0</v>
      </c>
      <c r="AF1559" s="315">
        <f t="shared" si="419"/>
        <v>0</v>
      </c>
      <c r="AG1559" s="316">
        <f t="shared" si="420"/>
        <v>0</v>
      </c>
      <c r="AH1559" s="314">
        <v>1</v>
      </c>
      <c r="AI1559" s="314">
        <f t="shared" si="421"/>
        <v>0</v>
      </c>
      <c r="AJ1559" s="314">
        <f t="shared" si="422"/>
        <v>0</v>
      </c>
      <c r="AK1559" s="317"/>
      <c r="AL1559" s="315">
        <f t="shared" si="423"/>
        <v>0</v>
      </c>
      <c r="AN1559" s="554">
        <f t="shared" si="424"/>
        <v>0</v>
      </c>
      <c r="AO1559" s="314"/>
      <c r="AP1559" s="318"/>
    </row>
    <row r="1560" spans="2:42">
      <c r="B1560" s="296"/>
      <c r="C1560" s="299"/>
      <c r="D1560" s="298"/>
      <c r="E1560" s="299"/>
      <c r="F1560" s="299"/>
      <c r="G1560" s="300"/>
      <c r="H1560" s="303"/>
      <c r="I1560" s="301">
        <f t="shared" si="408"/>
        <v>0</v>
      </c>
      <c r="J1560" s="302">
        <f t="shared" si="409"/>
        <v>0</v>
      </c>
      <c r="K1560" s="304">
        <f t="shared" si="410"/>
        <v>0</v>
      </c>
      <c r="L1560" s="305">
        <f>IF(H1560=0,0,IF(OR(E1560=$AT$5,E1560=$AT$6),AA1560,IF(F1560="MXN",1/HLOOKUP(YEAR(G1560)+(MONTH(G1560)/100),TC!$5:$37,DAY(G1560)+2,FALSE),VLOOKUP(F1560,Equivalencia!$5:$23,((MAX(Equivalencia!$3:$3)-YEAR(G1560))*14)+MONTH(G1560)+2,FALSE))))</f>
        <v>0</v>
      </c>
      <c r="M1560" s="306">
        <f t="shared" si="411"/>
        <v>0</v>
      </c>
      <c r="N1560" s="305">
        <f>IF(G1560=0,0,(IF(OR(E1560=$AT$5,E1560=$AT$6),AC1560,HLOOKUP(YEAR(G1560)+(MONTH(G1560)/100),TC!$5:$37,DAY(G1560)+2,FALSE))))</f>
        <v>0</v>
      </c>
      <c r="O1560" s="307">
        <f t="shared" si="412"/>
        <v>0</v>
      </c>
      <c r="P1560" s="560">
        <f>IF(G1560=0,0,VLOOKUP(YEAR(G1560),INPC!$B$4:$P$30,MONTH(G1560)+2))</f>
        <v>0</v>
      </c>
      <c r="Q1560" s="560">
        <f>IF(X1560=0,0,IF(OR(E1560=$AT$10,E1560=$AT$9),VLOOKUP(YEAR(X1560),INPC!$B$4:$P$30,MONTH(X1560)+1),VLOOKUP(YEAR(X1560),INPC!$B$4:$P$30,MONTH(X1560)+2,0)))</f>
        <v>0</v>
      </c>
      <c r="R1560" s="309">
        <f t="shared" si="413"/>
        <v>0</v>
      </c>
      <c r="S1560" s="310">
        <f t="shared" si="414"/>
        <v>0</v>
      </c>
      <c r="T1560" s="555">
        <f t="shared" si="415"/>
        <v>0</v>
      </c>
      <c r="U1560" s="311"/>
      <c r="V1560" s="312"/>
      <c r="W1560" s="299"/>
      <c r="X1560" s="300"/>
      <c r="Y1560" s="299"/>
      <c r="Z1560" s="303"/>
      <c r="AA1560" s="305">
        <f>IF(Z1560=0,0,IF(Y1560="MXN",1/HLOOKUP(YEAR(X1560)+(MONTH(X1560)/100),TC!$5:$37,DAY(X1560)+2,FALSE),VLOOKUP(Y1560,Equivalencia!$1:$23,((MAX(Equivalencia!$3:$3)-YEAR(X1560))*14)+MONTH(X1560)+2,FALSE)))</f>
        <v>0</v>
      </c>
      <c r="AB1560" s="306">
        <f t="shared" si="416"/>
        <v>0</v>
      </c>
      <c r="AC1560" s="305">
        <f>+IF(X1560=0,0,HLOOKUP(YEAR(X1560)+(MONTH(X1560)/100),TC!$5:$37,DAY(X1560)+2,FALSE))</f>
        <v>0</v>
      </c>
      <c r="AD1560" s="307">
        <f t="shared" si="417"/>
        <v>0</v>
      </c>
      <c r="AE1560" s="314">
        <f t="shared" si="418"/>
        <v>0</v>
      </c>
      <c r="AF1560" s="315">
        <f t="shared" si="419"/>
        <v>0</v>
      </c>
      <c r="AG1560" s="316">
        <f t="shared" si="420"/>
        <v>0</v>
      </c>
      <c r="AH1560" s="314">
        <v>1</v>
      </c>
      <c r="AI1560" s="314">
        <f t="shared" si="421"/>
        <v>0</v>
      </c>
      <c r="AJ1560" s="314">
        <f t="shared" si="422"/>
        <v>0</v>
      </c>
      <c r="AK1560" s="317"/>
      <c r="AL1560" s="315">
        <f t="shared" si="423"/>
        <v>0</v>
      </c>
      <c r="AN1560" s="554">
        <f t="shared" si="424"/>
        <v>0</v>
      </c>
      <c r="AO1560" s="314"/>
      <c r="AP1560" s="318"/>
    </row>
    <row r="1561" spans="2:42">
      <c r="B1561" s="296"/>
      <c r="C1561" s="299"/>
      <c r="D1561" s="298"/>
      <c r="E1561" s="299"/>
      <c r="F1561" s="299"/>
      <c r="G1561" s="300"/>
      <c r="H1561" s="303"/>
      <c r="I1561" s="301">
        <f t="shared" si="408"/>
        <v>0</v>
      </c>
      <c r="J1561" s="302">
        <f t="shared" si="409"/>
        <v>0</v>
      </c>
      <c r="K1561" s="304">
        <f t="shared" si="410"/>
        <v>0</v>
      </c>
      <c r="L1561" s="305">
        <f>IF(H1561=0,0,IF(OR(E1561=$AT$5,E1561=$AT$6),AA1561,IF(F1561="MXN",1/HLOOKUP(YEAR(G1561)+(MONTH(G1561)/100),TC!$5:$37,DAY(G1561)+2,FALSE),VLOOKUP(F1561,Equivalencia!$5:$23,((MAX(Equivalencia!$3:$3)-YEAR(G1561))*14)+MONTH(G1561)+2,FALSE))))</f>
        <v>0</v>
      </c>
      <c r="M1561" s="306">
        <f t="shared" si="411"/>
        <v>0</v>
      </c>
      <c r="N1561" s="305">
        <f>IF(G1561=0,0,(IF(OR(E1561=$AT$5,E1561=$AT$6),AC1561,HLOOKUP(YEAR(G1561)+(MONTH(G1561)/100),TC!$5:$37,DAY(G1561)+2,FALSE))))</f>
        <v>0</v>
      </c>
      <c r="O1561" s="307">
        <f t="shared" si="412"/>
        <v>0</v>
      </c>
      <c r="P1561" s="560">
        <f>IF(G1561=0,0,VLOOKUP(YEAR(G1561),INPC!$B$4:$P$30,MONTH(G1561)+2))</f>
        <v>0</v>
      </c>
      <c r="Q1561" s="560">
        <f>IF(X1561=0,0,IF(OR(E1561=$AT$10,E1561=$AT$9),VLOOKUP(YEAR(X1561),INPC!$B$4:$P$30,MONTH(X1561)+1),VLOOKUP(YEAR(X1561),INPC!$B$4:$P$30,MONTH(X1561)+2,0)))</f>
        <v>0</v>
      </c>
      <c r="R1561" s="309">
        <f t="shared" si="413"/>
        <v>0</v>
      </c>
      <c r="S1561" s="310">
        <f t="shared" si="414"/>
        <v>0</v>
      </c>
      <c r="T1561" s="555">
        <f t="shared" si="415"/>
        <v>0</v>
      </c>
      <c r="U1561" s="311"/>
      <c r="V1561" s="312"/>
      <c r="W1561" s="299"/>
      <c r="X1561" s="300"/>
      <c r="Y1561" s="299"/>
      <c r="Z1561" s="303"/>
      <c r="AA1561" s="305">
        <f>IF(Z1561=0,0,IF(Y1561="MXN",1/HLOOKUP(YEAR(X1561)+(MONTH(X1561)/100),TC!$5:$37,DAY(X1561)+2,FALSE),VLOOKUP(Y1561,Equivalencia!$1:$23,((MAX(Equivalencia!$3:$3)-YEAR(X1561))*14)+MONTH(X1561)+2,FALSE)))</f>
        <v>0</v>
      </c>
      <c r="AB1561" s="306">
        <f t="shared" si="416"/>
        <v>0</v>
      </c>
      <c r="AC1561" s="305">
        <f>+IF(X1561=0,0,HLOOKUP(YEAR(X1561)+(MONTH(X1561)/100),TC!$5:$37,DAY(X1561)+2,FALSE))</f>
        <v>0</v>
      </c>
      <c r="AD1561" s="307">
        <f t="shared" si="417"/>
        <v>0</v>
      </c>
      <c r="AE1561" s="314">
        <f t="shared" si="418"/>
        <v>0</v>
      </c>
      <c r="AF1561" s="315">
        <f t="shared" si="419"/>
        <v>0</v>
      </c>
      <c r="AG1561" s="316">
        <f t="shared" si="420"/>
        <v>0</v>
      </c>
      <c r="AH1561" s="314">
        <v>1</v>
      </c>
      <c r="AI1561" s="314">
        <f t="shared" si="421"/>
        <v>0</v>
      </c>
      <c r="AJ1561" s="314">
        <f t="shared" si="422"/>
        <v>0</v>
      </c>
      <c r="AK1561" s="317"/>
      <c r="AL1561" s="315">
        <f t="shared" si="423"/>
        <v>0</v>
      </c>
      <c r="AN1561" s="554">
        <f t="shared" si="424"/>
        <v>0</v>
      </c>
      <c r="AO1561" s="314"/>
      <c r="AP1561" s="318"/>
    </row>
    <row r="1562" spans="2:42">
      <c r="B1562" s="296"/>
      <c r="C1562" s="299"/>
      <c r="D1562" s="298"/>
      <c r="E1562" s="299"/>
      <c r="F1562" s="299"/>
      <c r="G1562" s="300"/>
      <c r="H1562" s="303"/>
      <c r="I1562" s="301">
        <f t="shared" si="408"/>
        <v>0</v>
      </c>
      <c r="J1562" s="302">
        <f t="shared" si="409"/>
        <v>0</v>
      </c>
      <c r="K1562" s="304">
        <f t="shared" si="410"/>
        <v>0</v>
      </c>
      <c r="L1562" s="305">
        <f>IF(H1562=0,0,IF(OR(E1562=$AT$5,E1562=$AT$6),AA1562,IF(F1562="MXN",1/HLOOKUP(YEAR(G1562)+(MONTH(G1562)/100),TC!$5:$37,DAY(G1562)+2,FALSE),VLOOKUP(F1562,Equivalencia!$5:$23,((MAX(Equivalencia!$3:$3)-YEAR(G1562))*14)+MONTH(G1562)+2,FALSE))))</f>
        <v>0</v>
      </c>
      <c r="M1562" s="306">
        <f t="shared" si="411"/>
        <v>0</v>
      </c>
      <c r="N1562" s="305">
        <f>IF(G1562=0,0,(IF(OR(E1562=$AT$5,E1562=$AT$6),AC1562,HLOOKUP(YEAR(G1562)+(MONTH(G1562)/100),TC!$5:$37,DAY(G1562)+2,FALSE))))</f>
        <v>0</v>
      </c>
      <c r="O1562" s="307">
        <f t="shared" si="412"/>
        <v>0</v>
      </c>
      <c r="P1562" s="560">
        <f>IF(G1562=0,0,VLOOKUP(YEAR(G1562),INPC!$B$4:$P$30,MONTH(G1562)+2))</f>
        <v>0</v>
      </c>
      <c r="Q1562" s="560">
        <f>IF(X1562=0,0,IF(OR(E1562=$AT$10,E1562=$AT$9),VLOOKUP(YEAR(X1562),INPC!$B$4:$P$30,MONTH(X1562)+1),VLOOKUP(YEAR(X1562),INPC!$B$4:$P$30,MONTH(X1562)+2,0)))</f>
        <v>0</v>
      </c>
      <c r="R1562" s="309">
        <f t="shared" si="413"/>
        <v>0</v>
      </c>
      <c r="S1562" s="310">
        <f t="shared" si="414"/>
        <v>0</v>
      </c>
      <c r="T1562" s="555">
        <f t="shared" si="415"/>
        <v>0</v>
      </c>
      <c r="U1562" s="311"/>
      <c r="V1562" s="312"/>
      <c r="W1562" s="299"/>
      <c r="X1562" s="300"/>
      <c r="Y1562" s="299"/>
      <c r="Z1562" s="303"/>
      <c r="AA1562" s="305">
        <f>IF(Z1562=0,0,IF(Y1562="MXN",1/HLOOKUP(YEAR(X1562)+(MONTH(X1562)/100),TC!$5:$37,DAY(X1562)+2,FALSE),VLOOKUP(Y1562,Equivalencia!$1:$23,((MAX(Equivalencia!$3:$3)-YEAR(X1562))*14)+MONTH(X1562)+2,FALSE)))</f>
        <v>0</v>
      </c>
      <c r="AB1562" s="306">
        <f t="shared" si="416"/>
        <v>0</v>
      </c>
      <c r="AC1562" s="305">
        <f>+IF(X1562=0,0,HLOOKUP(YEAR(X1562)+(MONTH(X1562)/100),TC!$5:$37,DAY(X1562)+2,FALSE))</f>
        <v>0</v>
      </c>
      <c r="AD1562" s="307">
        <f t="shared" si="417"/>
        <v>0</v>
      </c>
      <c r="AE1562" s="314">
        <f t="shared" si="418"/>
        <v>0</v>
      </c>
      <c r="AF1562" s="315">
        <f t="shared" si="419"/>
        <v>0</v>
      </c>
      <c r="AG1562" s="316">
        <f t="shared" si="420"/>
        <v>0</v>
      </c>
      <c r="AH1562" s="314">
        <v>1</v>
      </c>
      <c r="AI1562" s="314">
        <f t="shared" si="421"/>
        <v>0</v>
      </c>
      <c r="AJ1562" s="314">
        <f t="shared" si="422"/>
        <v>0</v>
      </c>
      <c r="AK1562" s="317"/>
      <c r="AL1562" s="315">
        <f t="shared" si="423"/>
        <v>0</v>
      </c>
      <c r="AN1562" s="554">
        <f t="shared" si="424"/>
        <v>0</v>
      </c>
      <c r="AO1562" s="314"/>
      <c r="AP1562" s="318"/>
    </row>
    <row r="1563" spans="2:42">
      <c r="B1563" s="296"/>
      <c r="C1563" s="299"/>
      <c r="D1563" s="298"/>
      <c r="E1563" s="299"/>
      <c r="F1563" s="299"/>
      <c r="G1563" s="300"/>
      <c r="H1563" s="303"/>
      <c r="I1563" s="301">
        <f t="shared" si="408"/>
        <v>0</v>
      </c>
      <c r="J1563" s="302">
        <f t="shared" si="409"/>
        <v>0</v>
      </c>
      <c r="K1563" s="304">
        <f t="shared" si="410"/>
        <v>0</v>
      </c>
      <c r="L1563" s="305">
        <f>IF(H1563=0,0,IF(OR(E1563=$AT$5,E1563=$AT$6),AA1563,IF(F1563="MXN",1/HLOOKUP(YEAR(G1563)+(MONTH(G1563)/100),TC!$5:$37,DAY(G1563)+2,FALSE),VLOOKUP(F1563,Equivalencia!$5:$23,((MAX(Equivalencia!$3:$3)-YEAR(G1563))*14)+MONTH(G1563)+2,FALSE))))</f>
        <v>0</v>
      </c>
      <c r="M1563" s="306">
        <f t="shared" si="411"/>
        <v>0</v>
      </c>
      <c r="N1563" s="305">
        <f>IF(G1563=0,0,(IF(OR(E1563=$AT$5,E1563=$AT$6),AC1563,HLOOKUP(YEAR(G1563)+(MONTH(G1563)/100),TC!$5:$37,DAY(G1563)+2,FALSE))))</f>
        <v>0</v>
      </c>
      <c r="O1563" s="307">
        <f t="shared" si="412"/>
        <v>0</v>
      </c>
      <c r="P1563" s="560">
        <f>IF(G1563=0,0,VLOOKUP(YEAR(G1563),INPC!$B$4:$P$30,MONTH(G1563)+2))</f>
        <v>0</v>
      </c>
      <c r="Q1563" s="560">
        <f>IF(X1563=0,0,IF(OR(E1563=$AT$10,E1563=$AT$9),VLOOKUP(YEAR(X1563),INPC!$B$4:$P$30,MONTH(X1563)+1),VLOOKUP(YEAR(X1563),INPC!$B$4:$P$30,MONTH(X1563)+2,0)))</f>
        <v>0</v>
      </c>
      <c r="R1563" s="309">
        <f t="shared" si="413"/>
        <v>0</v>
      </c>
      <c r="S1563" s="310">
        <f t="shared" si="414"/>
        <v>0</v>
      </c>
      <c r="T1563" s="555">
        <f t="shared" si="415"/>
        <v>0</v>
      </c>
      <c r="U1563" s="311"/>
      <c r="V1563" s="312"/>
      <c r="W1563" s="299"/>
      <c r="X1563" s="300"/>
      <c r="Y1563" s="299"/>
      <c r="Z1563" s="303"/>
      <c r="AA1563" s="305">
        <f>IF(Z1563=0,0,IF(Y1563="MXN",1/HLOOKUP(YEAR(X1563)+(MONTH(X1563)/100),TC!$5:$37,DAY(X1563)+2,FALSE),VLOOKUP(Y1563,Equivalencia!$1:$23,((MAX(Equivalencia!$3:$3)-YEAR(X1563))*14)+MONTH(X1563)+2,FALSE)))</f>
        <v>0</v>
      </c>
      <c r="AB1563" s="306">
        <f t="shared" si="416"/>
        <v>0</v>
      </c>
      <c r="AC1563" s="305">
        <f>+IF(X1563=0,0,HLOOKUP(YEAR(X1563)+(MONTH(X1563)/100),TC!$5:$37,DAY(X1563)+2,FALSE))</f>
        <v>0</v>
      </c>
      <c r="AD1563" s="307">
        <f t="shared" si="417"/>
        <v>0</v>
      </c>
      <c r="AE1563" s="314">
        <f t="shared" si="418"/>
        <v>0</v>
      </c>
      <c r="AF1563" s="315">
        <f t="shared" si="419"/>
        <v>0</v>
      </c>
      <c r="AG1563" s="316">
        <f t="shared" si="420"/>
        <v>0</v>
      </c>
      <c r="AH1563" s="314">
        <v>1</v>
      </c>
      <c r="AI1563" s="314">
        <f t="shared" si="421"/>
        <v>0</v>
      </c>
      <c r="AJ1563" s="314">
        <f t="shared" si="422"/>
        <v>0</v>
      </c>
      <c r="AK1563" s="317"/>
      <c r="AL1563" s="315">
        <f t="shared" si="423"/>
        <v>0</v>
      </c>
      <c r="AN1563" s="554">
        <f t="shared" si="424"/>
        <v>0</v>
      </c>
      <c r="AO1563" s="314"/>
      <c r="AP1563" s="318"/>
    </row>
    <row r="1564" spans="2:42">
      <c r="B1564" s="296"/>
      <c r="C1564" s="299"/>
      <c r="D1564" s="298"/>
      <c r="E1564" s="299"/>
      <c r="F1564" s="299"/>
      <c r="G1564" s="300"/>
      <c r="H1564" s="303"/>
      <c r="I1564" s="301">
        <f t="shared" si="408"/>
        <v>0</v>
      </c>
      <c r="J1564" s="302">
        <f t="shared" si="409"/>
        <v>0</v>
      </c>
      <c r="K1564" s="304">
        <f t="shared" si="410"/>
        <v>0</v>
      </c>
      <c r="L1564" s="305">
        <f>IF(H1564=0,0,IF(OR(E1564=$AT$5,E1564=$AT$6),AA1564,IF(F1564="MXN",1/HLOOKUP(YEAR(G1564)+(MONTH(G1564)/100),TC!$5:$37,DAY(G1564)+2,FALSE),VLOOKUP(F1564,Equivalencia!$5:$23,((MAX(Equivalencia!$3:$3)-YEAR(G1564))*14)+MONTH(G1564)+2,FALSE))))</f>
        <v>0</v>
      </c>
      <c r="M1564" s="306">
        <f t="shared" si="411"/>
        <v>0</v>
      </c>
      <c r="N1564" s="305">
        <f>IF(G1564=0,0,(IF(OR(E1564=$AT$5,E1564=$AT$6),AC1564,HLOOKUP(YEAR(G1564)+(MONTH(G1564)/100),TC!$5:$37,DAY(G1564)+2,FALSE))))</f>
        <v>0</v>
      </c>
      <c r="O1564" s="307">
        <f t="shared" si="412"/>
        <v>0</v>
      </c>
      <c r="P1564" s="560">
        <f>IF(G1564=0,0,VLOOKUP(YEAR(G1564),INPC!$B$4:$P$30,MONTH(G1564)+2))</f>
        <v>0</v>
      </c>
      <c r="Q1564" s="560">
        <f>IF(X1564=0,0,IF(OR(E1564=$AT$10,E1564=$AT$9),VLOOKUP(YEAR(X1564),INPC!$B$4:$P$30,MONTH(X1564)+1),VLOOKUP(YEAR(X1564),INPC!$B$4:$P$30,MONTH(X1564)+2,0)))</f>
        <v>0</v>
      </c>
      <c r="R1564" s="309">
        <f t="shared" si="413"/>
        <v>0</v>
      </c>
      <c r="S1564" s="310">
        <f t="shared" si="414"/>
        <v>0</v>
      </c>
      <c r="T1564" s="555">
        <f t="shared" si="415"/>
        <v>0</v>
      </c>
      <c r="U1564" s="311"/>
      <c r="V1564" s="312"/>
      <c r="W1564" s="299"/>
      <c r="X1564" s="300"/>
      <c r="Y1564" s="299"/>
      <c r="Z1564" s="303"/>
      <c r="AA1564" s="305">
        <f>IF(Z1564=0,0,IF(Y1564="MXN",1/HLOOKUP(YEAR(X1564)+(MONTH(X1564)/100),TC!$5:$37,DAY(X1564)+2,FALSE),VLOOKUP(Y1564,Equivalencia!$1:$23,((MAX(Equivalencia!$3:$3)-YEAR(X1564))*14)+MONTH(X1564)+2,FALSE)))</f>
        <v>0</v>
      </c>
      <c r="AB1564" s="306">
        <f t="shared" si="416"/>
        <v>0</v>
      </c>
      <c r="AC1564" s="305">
        <f>+IF(X1564=0,0,HLOOKUP(YEAR(X1564)+(MONTH(X1564)/100),TC!$5:$37,DAY(X1564)+2,FALSE))</f>
        <v>0</v>
      </c>
      <c r="AD1564" s="307">
        <f t="shared" si="417"/>
        <v>0</v>
      </c>
      <c r="AE1564" s="314">
        <f t="shared" si="418"/>
        <v>0</v>
      </c>
      <c r="AF1564" s="315">
        <f t="shared" si="419"/>
        <v>0</v>
      </c>
      <c r="AG1564" s="316">
        <f t="shared" si="420"/>
        <v>0</v>
      </c>
      <c r="AH1564" s="314">
        <v>1</v>
      </c>
      <c r="AI1564" s="314">
        <f t="shared" si="421"/>
        <v>0</v>
      </c>
      <c r="AJ1564" s="314">
        <f t="shared" si="422"/>
        <v>0</v>
      </c>
      <c r="AK1564" s="317"/>
      <c r="AL1564" s="315">
        <f t="shared" si="423"/>
        <v>0</v>
      </c>
      <c r="AN1564" s="554">
        <f t="shared" si="424"/>
        <v>0</v>
      </c>
      <c r="AO1564" s="314"/>
      <c r="AP1564" s="318"/>
    </row>
    <row r="1565" spans="2:42">
      <c r="B1565" s="296"/>
      <c r="C1565" s="299"/>
      <c r="D1565" s="298"/>
      <c r="E1565" s="299"/>
      <c r="F1565" s="299"/>
      <c r="G1565" s="300"/>
      <c r="H1565" s="303"/>
      <c r="I1565" s="301">
        <f t="shared" si="408"/>
        <v>0</v>
      </c>
      <c r="J1565" s="302">
        <f t="shared" si="409"/>
        <v>0</v>
      </c>
      <c r="K1565" s="304">
        <f t="shared" si="410"/>
        <v>0</v>
      </c>
      <c r="L1565" s="305">
        <f>IF(H1565=0,0,IF(OR(E1565=$AT$5,E1565=$AT$6),AA1565,IF(F1565="MXN",1/HLOOKUP(YEAR(G1565)+(MONTH(G1565)/100),TC!$5:$37,DAY(G1565)+2,FALSE),VLOOKUP(F1565,Equivalencia!$5:$23,((MAX(Equivalencia!$3:$3)-YEAR(G1565))*14)+MONTH(G1565)+2,FALSE))))</f>
        <v>0</v>
      </c>
      <c r="M1565" s="306">
        <f t="shared" si="411"/>
        <v>0</v>
      </c>
      <c r="N1565" s="305">
        <f>IF(G1565=0,0,(IF(OR(E1565=$AT$5,E1565=$AT$6),AC1565,HLOOKUP(YEAR(G1565)+(MONTH(G1565)/100),TC!$5:$37,DAY(G1565)+2,FALSE))))</f>
        <v>0</v>
      </c>
      <c r="O1565" s="307">
        <f t="shared" si="412"/>
        <v>0</v>
      </c>
      <c r="P1565" s="560">
        <f>IF(G1565=0,0,VLOOKUP(YEAR(G1565),INPC!$B$4:$P$30,MONTH(G1565)+2))</f>
        <v>0</v>
      </c>
      <c r="Q1565" s="560">
        <f>IF(X1565=0,0,IF(OR(E1565=$AT$10,E1565=$AT$9),VLOOKUP(YEAR(X1565),INPC!$B$4:$P$30,MONTH(X1565)+1),VLOOKUP(YEAR(X1565),INPC!$B$4:$P$30,MONTH(X1565)+2,0)))</f>
        <v>0</v>
      </c>
      <c r="R1565" s="309">
        <f t="shared" si="413"/>
        <v>0</v>
      </c>
      <c r="S1565" s="310">
        <f t="shared" si="414"/>
        <v>0</v>
      </c>
      <c r="T1565" s="555">
        <f t="shared" si="415"/>
        <v>0</v>
      </c>
      <c r="U1565" s="311"/>
      <c r="V1565" s="312"/>
      <c r="W1565" s="299"/>
      <c r="X1565" s="300"/>
      <c r="Y1565" s="299"/>
      <c r="Z1565" s="303"/>
      <c r="AA1565" s="305">
        <f>IF(Z1565=0,0,IF(Y1565="MXN",1/HLOOKUP(YEAR(X1565)+(MONTH(X1565)/100),TC!$5:$37,DAY(X1565)+2,FALSE),VLOOKUP(Y1565,Equivalencia!$1:$23,((MAX(Equivalencia!$3:$3)-YEAR(X1565))*14)+MONTH(X1565)+2,FALSE)))</f>
        <v>0</v>
      </c>
      <c r="AB1565" s="306">
        <f t="shared" si="416"/>
        <v>0</v>
      </c>
      <c r="AC1565" s="305">
        <f>+IF(X1565=0,0,HLOOKUP(YEAR(X1565)+(MONTH(X1565)/100),TC!$5:$37,DAY(X1565)+2,FALSE))</f>
        <v>0</v>
      </c>
      <c r="AD1565" s="307">
        <f t="shared" si="417"/>
        <v>0</v>
      </c>
      <c r="AE1565" s="314">
        <f t="shared" si="418"/>
        <v>0</v>
      </c>
      <c r="AF1565" s="315">
        <f t="shared" si="419"/>
        <v>0</v>
      </c>
      <c r="AG1565" s="316">
        <f t="shared" si="420"/>
        <v>0</v>
      </c>
      <c r="AH1565" s="314">
        <v>1</v>
      </c>
      <c r="AI1565" s="314">
        <f t="shared" si="421"/>
        <v>0</v>
      </c>
      <c r="AJ1565" s="314">
        <f t="shared" si="422"/>
        <v>0</v>
      </c>
      <c r="AK1565" s="317"/>
      <c r="AL1565" s="315">
        <f t="shared" si="423"/>
        <v>0</v>
      </c>
      <c r="AN1565" s="554">
        <f t="shared" si="424"/>
        <v>0</v>
      </c>
      <c r="AO1565" s="314"/>
      <c r="AP1565" s="318"/>
    </row>
    <row r="1566" spans="2:42">
      <c r="B1566" s="296"/>
      <c r="C1566" s="299"/>
      <c r="D1566" s="298"/>
      <c r="E1566" s="299"/>
      <c r="F1566" s="299"/>
      <c r="G1566" s="300"/>
      <c r="H1566" s="303"/>
      <c r="I1566" s="301">
        <f t="shared" si="408"/>
        <v>0</v>
      </c>
      <c r="J1566" s="302">
        <f t="shared" si="409"/>
        <v>0</v>
      </c>
      <c r="K1566" s="304">
        <f t="shared" si="410"/>
        <v>0</v>
      </c>
      <c r="L1566" s="305">
        <f>IF(H1566=0,0,IF(OR(E1566=$AT$5,E1566=$AT$6),AA1566,IF(F1566="MXN",1/HLOOKUP(YEAR(G1566)+(MONTH(G1566)/100),TC!$5:$37,DAY(G1566)+2,FALSE),VLOOKUP(F1566,Equivalencia!$5:$23,((MAX(Equivalencia!$3:$3)-YEAR(G1566))*14)+MONTH(G1566)+2,FALSE))))</f>
        <v>0</v>
      </c>
      <c r="M1566" s="306">
        <f t="shared" si="411"/>
        <v>0</v>
      </c>
      <c r="N1566" s="305">
        <f>IF(G1566=0,0,(IF(OR(E1566=$AT$5,E1566=$AT$6),AC1566,HLOOKUP(YEAR(G1566)+(MONTH(G1566)/100),TC!$5:$37,DAY(G1566)+2,FALSE))))</f>
        <v>0</v>
      </c>
      <c r="O1566" s="307">
        <f t="shared" si="412"/>
        <v>0</v>
      </c>
      <c r="P1566" s="560">
        <f>IF(G1566=0,0,VLOOKUP(YEAR(G1566),INPC!$B$4:$P$30,MONTH(G1566)+2))</f>
        <v>0</v>
      </c>
      <c r="Q1566" s="560">
        <f>IF(X1566=0,0,IF(OR(E1566=$AT$10,E1566=$AT$9),VLOOKUP(YEAR(X1566),INPC!$B$4:$P$30,MONTH(X1566)+1),VLOOKUP(YEAR(X1566),INPC!$B$4:$P$30,MONTH(X1566)+2,0)))</f>
        <v>0</v>
      </c>
      <c r="R1566" s="309">
        <f t="shared" si="413"/>
        <v>0</v>
      </c>
      <c r="S1566" s="310">
        <f t="shared" si="414"/>
        <v>0</v>
      </c>
      <c r="T1566" s="555">
        <f t="shared" si="415"/>
        <v>0</v>
      </c>
      <c r="U1566" s="311"/>
      <c r="V1566" s="312"/>
      <c r="W1566" s="299"/>
      <c r="X1566" s="300"/>
      <c r="Y1566" s="299"/>
      <c r="Z1566" s="303"/>
      <c r="AA1566" s="305">
        <f>IF(Z1566=0,0,IF(Y1566="MXN",1/HLOOKUP(YEAR(X1566)+(MONTH(X1566)/100),TC!$5:$37,DAY(X1566)+2,FALSE),VLOOKUP(Y1566,Equivalencia!$1:$23,((MAX(Equivalencia!$3:$3)-YEAR(X1566))*14)+MONTH(X1566)+2,FALSE)))</f>
        <v>0</v>
      </c>
      <c r="AB1566" s="306">
        <f t="shared" si="416"/>
        <v>0</v>
      </c>
      <c r="AC1566" s="305">
        <f>+IF(X1566=0,0,HLOOKUP(YEAR(X1566)+(MONTH(X1566)/100),TC!$5:$37,DAY(X1566)+2,FALSE))</f>
        <v>0</v>
      </c>
      <c r="AD1566" s="307">
        <f t="shared" si="417"/>
        <v>0</v>
      </c>
      <c r="AE1566" s="314">
        <f t="shared" si="418"/>
        <v>0</v>
      </c>
      <c r="AF1566" s="315">
        <f t="shared" si="419"/>
        <v>0</v>
      </c>
      <c r="AG1566" s="316">
        <f t="shared" si="420"/>
        <v>0</v>
      </c>
      <c r="AH1566" s="314">
        <v>1</v>
      </c>
      <c r="AI1566" s="314">
        <f t="shared" si="421"/>
        <v>0</v>
      </c>
      <c r="AJ1566" s="314">
        <f t="shared" si="422"/>
        <v>0</v>
      </c>
      <c r="AK1566" s="317"/>
      <c r="AL1566" s="315">
        <f t="shared" si="423"/>
        <v>0</v>
      </c>
      <c r="AN1566" s="554">
        <f t="shared" si="424"/>
        <v>0</v>
      </c>
      <c r="AO1566" s="314"/>
      <c r="AP1566" s="318"/>
    </row>
    <row r="1567" spans="2:42">
      <c r="B1567" s="296"/>
      <c r="C1567" s="299"/>
      <c r="D1567" s="298"/>
      <c r="E1567" s="299"/>
      <c r="F1567" s="299"/>
      <c r="G1567" s="300"/>
      <c r="H1567" s="303"/>
      <c r="I1567" s="301">
        <f t="shared" si="408"/>
        <v>0</v>
      </c>
      <c r="J1567" s="302">
        <f t="shared" si="409"/>
        <v>0</v>
      </c>
      <c r="K1567" s="304">
        <f t="shared" si="410"/>
        <v>0</v>
      </c>
      <c r="L1567" s="305">
        <f>IF(H1567=0,0,IF(OR(E1567=$AT$5,E1567=$AT$6),AA1567,IF(F1567="MXN",1/HLOOKUP(YEAR(G1567)+(MONTH(G1567)/100),TC!$5:$37,DAY(G1567)+2,FALSE),VLOOKUP(F1567,Equivalencia!$5:$23,((MAX(Equivalencia!$3:$3)-YEAR(G1567))*14)+MONTH(G1567)+2,FALSE))))</f>
        <v>0</v>
      </c>
      <c r="M1567" s="306">
        <f t="shared" si="411"/>
        <v>0</v>
      </c>
      <c r="N1567" s="305">
        <f>IF(G1567=0,0,(IF(OR(E1567=$AT$5,E1567=$AT$6),AC1567,HLOOKUP(YEAR(G1567)+(MONTH(G1567)/100),TC!$5:$37,DAY(G1567)+2,FALSE))))</f>
        <v>0</v>
      </c>
      <c r="O1567" s="307">
        <f t="shared" si="412"/>
        <v>0</v>
      </c>
      <c r="P1567" s="560">
        <f>IF(G1567=0,0,VLOOKUP(YEAR(G1567),INPC!$B$4:$P$30,MONTH(G1567)+2))</f>
        <v>0</v>
      </c>
      <c r="Q1567" s="560">
        <f>IF(X1567=0,0,IF(OR(E1567=$AT$10,E1567=$AT$9),VLOOKUP(YEAR(X1567),INPC!$B$4:$P$30,MONTH(X1567)+1),VLOOKUP(YEAR(X1567),INPC!$B$4:$P$30,MONTH(X1567)+2,0)))</f>
        <v>0</v>
      </c>
      <c r="R1567" s="309">
        <f t="shared" si="413"/>
        <v>0</v>
      </c>
      <c r="S1567" s="310">
        <f t="shared" si="414"/>
        <v>0</v>
      </c>
      <c r="T1567" s="555">
        <f t="shared" si="415"/>
        <v>0</v>
      </c>
      <c r="U1567" s="311"/>
      <c r="V1567" s="312"/>
      <c r="W1567" s="299"/>
      <c r="X1567" s="300"/>
      <c r="Y1567" s="299"/>
      <c r="Z1567" s="303"/>
      <c r="AA1567" s="305">
        <f>IF(Z1567=0,0,IF(Y1567="MXN",1/HLOOKUP(YEAR(X1567)+(MONTH(X1567)/100),TC!$5:$37,DAY(X1567)+2,FALSE),VLOOKUP(Y1567,Equivalencia!$1:$23,((MAX(Equivalencia!$3:$3)-YEAR(X1567))*14)+MONTH(X1567)+2,FALSE)))</f>
        <v>0</v>
      </c>
      <c r="AB1567" s="306">
        <f t="shared" si="416"/>
        <v>0</v>
      </c>
      <c r="AC1567" s="305">
        <f>+IF(X1567=0,0,HLOOKUP(YEAR(X1567)+(MONTH(X1567)/100),TC!$5:$37,DAY(X1567)+2,FALSE))</f>
        <v>0</v>
      </c>
      <c r="AD1567" s="307">
        <f t="shared" si="417"/>
        <v>0</v>
      </c>
      <c r="AE1567" s="314">
        <f t="shared" si="418"/>
        <v>0</v>
      </c>
      <c r="AF1567" s="315">
        <f t="shared" si="419"/>
        <v>0</v>
      </c>
      <c r="AG1567" s="316">
        <f t="shared" si="420"/>
        <v>0</v>
      </c>
      <c r="AH1567" s="314">
        <v>1</v>
      </c>
      <c r="AI1567" s="314">
        <f t="shared" si="421"/>
        <v>0</v>
      </c>
      <c r="AJ1567" s="314">
        <f t="shared" si="422"/>
        <v>0</v>
      </c>
      <c r="AK1567" s="317"/>
      <c r="AL1567" s="315">
        <f t="shared" si="423"/>
        <v>0</v>
      </c>
      <c r="AN1567" s="554">
        <f t="shared" si="424"/>
        <v>0</v>
      </c>
      <c r="AO1567" s="314"/>
      <c r="AP1567" s="318"/>
    </row>
    <row r="1568" spans="2:42">
      <c r="B1568" s="296"/>
      <c r="C1568" s="299"/>
      <c r="D1568" s="298"/>
      <c r="E1568" s="299"/>
      <c r="F1568" s="299"/>
      <c r="G1568" s="300"/>
      <c r="H1568" s="303"/>
      <c r="I1568" s="301">
        <f t="shared" si="408"/>
        <v>0</v>
      </c>
      <c r="J1568" s="302">
        <f t="shared" si="409"/>
        <v>0</v>
      </c>
      <c r="K1568" s="304">
        <f t="shared" si="410"/>
        <v>0</v>
      </c>
      <c r="L1568" s="305">
        <f>IF(H1568=0,0,IF(OR(E1568=$AT$5,E1568=$AT$6),AA1568,IF(F1568="MXN",1/HLOOKUP(YEAR(G1568)+(MONTH(G1568)/100),TC!$5:$37,DAY(G1568)+2,FALSE),VLOOKUP(F1568,Equivalencia!$5:$23,((MAX(Equivalencia!$3:$3)-YEAR(G1568))*14)+MONTH(G1568)+2,FALSE))))</f>
        <v>0</v>
      </c>
      <c r="M1568" s="306">
        <f t="shared" si="411"/>
        <v>0</v>
      </c>
      <c r="N1568" s="305">
        <f>IF(G1568=0,0,(IF(OR(E1568=$AT$5,E1568=$AT$6),AC1568,HLOOKUP(YEAR(G1568)+(MONTH(G1568)/100),TC!$5:$37,DAY(G1568)+2,FALSE))))</f>
        <v>0</v>
      </c>
      <c r="O1568" s="307">
        <f t="shared" si="412"/>
        <v>0</v>
      </c>
      <c r="P1568" s="560">
        <f>IF(G1568=0,0,VLOOKUP(YEAR(G1568),INPC!$B$4:$P$30,MONTH(G1568)+2))</f>
        <v>0</v>
      </c>
      <c r="Q1568" s="560">
        <f>IF(X1568=0,0,IF(OR(E1568=$AT$10,E1568=$AT$9),VLOOKUP(YEAR(X1568),INPC!$B$4:$P$30,MONTH(X1568)+1),VLOOKUP(YEAR(X1568),INPC!$B$4:$P$30,MONTH(X1568)+2,0)))</f>
        <v>0</v>
      </c>
      <c r="R1568" s="309">
        <f t="shared" si="413"/>
        <v>0</v>
      </c>
      <c r="S1568" s="310">
        <f t="shared" si="414"/>
        <v>0</v>
      </c>
      <c r="T1568" s="555">
        <f t="shared" si="415"/>
        <v>0</v>
      </c>
      <c r="U1568" s="311"/>
      <c r="V1568" s="312"/>
      <c r="W1568" s="299"/>
      <c r="X1568" s="300"/>
      <c r="Y1568" s="299"/>
      <c r="Z1568" s="303"/>
      <c r="AA1568" s="305">
        <f>IF(Z1568=0,0,IF(Y1568="MXN",1/HLOOKUP(YEAR(X1568)+(MONTH(X1568)/100),TC!$5:$37,DAY(X1568)+2,FALSE),VLOOKUP(Y1568,Equivalencia!$1:$23,((MAX(Equivalencia!$3:$3)-YEAR(X1568))*14)+MONTH(X1568)+2,FALSE)))</f>
        <v>0</v>
      </c>
      <c r="AB1568" s="306">
        <f t="shared" si="416"/>
        <v>0</v>
      </c>
      <c r="AC1568" s="305">
        <f>+IF(X1568=0,0,HLOOKUP(YEAR(X1568)+(MONTH(X1568)/100),TC!$5:$37,DAY(X1568)+2,FALSE))</f>
        <v>0</v>
      </c>
      <c r="AD1568" s="307">
        <f t="shared" si="417"/>
        <v>0</v>
      </c>
      <c r="AE1568" s="314">
        <f t="shared" si="418"/>
        <v>0</v>
      </c>
      <c r="AF1568" s="315">
        <f t="shared" si="419"/>
        <v>0</v>
      </c>
      <c r="AG1568" s="316">
        <f t="shared" si="420"/>
        <v>0</v>
      </c>
      <c r="AH1568" s="314">
        <v>1</v>
      </c>
      <c r="AI1568" s="314">
        <f t="shared" si="421"/>
        <v>0</v>
      </c>
      <c r="AJ1568" s="314">
        <f t="shared" si="422"/>
        <v>0</v>
      </c>
      <c r="AK1568" s="317"/>
      <c r="AL1568" s="315">
        <f t="shared" si="423"/>
        <v>0</v>
      </c>
      <c r="AN1568" s="554">
        <f t="shared" si="424"/>
        <v>0</v>
      </c>
      <c r="AO1568" s="314"/>
      <c r="AP1568" s="318"/>
    </row>
    <row r="1569" spans="2:42">
      <c r="B1569" s="296"/>
      <c r="C1569" s="299"/>
      <c r="D1569" s="298"/>
      <c r="E1569" s="299"/>
      <c r="F1569" s="299"/>
      <c r="G1569" s="300"/>
      <c r="H1569" s="303"/>
      <c r="I1569" s="301">
        <f t="shared" si="408"/>
        <v>0</v>
      </c>
      <c r="J1569" s="302">
        <f t="shared" si="409"/>
        <v>0</v>
      </c>
      <c r="K1569" s="304">
        <f t="shared" si="410"/>
        <v>0</v>
      </c>
      <c r="L1569" s="305">
        <f>IF(H1569=0,0,IF(OR(E1569=$AT$5,E1569=$AT$6),AA1569,IF(F1569="MXN",1/HLOOKUP(YEAR(G1569)+(MONTH(G1569)/100),TC!$5:$37,DAY(G1569)+2,FALSE),VLOOKUP(F1569,Equivalencia!$5:$23,((MAX(Equivalencia!$3:$3)-YEAR(G1569))*14)+MONTH(G1569)+2,FALSE))))</f>
        <v>0</v>
      </c>
      <c r="M1569" s="306">
        <f t="shared" si="411"/>
        <v>0</v>
      </c>
      <c r="N1569" s="305">
        <f>IF(G1569=0,0,(IF(OR(E1569=$AT$5,E1569=$AT$6),AC1569,HLOOKUP(YEAR(G1569)+(MONTH(G1569)/100),TC!$5:$37,DAY(G1569)+2,FALSE))))</f>
        <v>0</v>
      </c>
      <c r="O1569" s="307">
        <f t="shared" si="412"/>
        <v>0</v>
      </c>
      <c r="P1569" s="560">
        <f>IF(G1569=0,0,VLOOKUP(YEAR(G1569),INPC!$B$4:$P$30,MONTH(G1569)+2))</f>
        <v>0</v>
      </c>
      <c r="Q1569" s="560">
        <f>IF(X1569=0,0,IF(OR(E1569=$AT$10,E1569=$AT$9),VLOOKUP(YEAR(X1569),INPC!$B$4:$P$30,MONTH(X1569)+1),VLOOKUP(YEAR(X1569),INPC!$B$4:$P$30,MONTH(X1569)+2,0)))</f>
        <v>0</v>
      </c>
      <c r="R1569" s="309">
        <f t="shared" si="413"/>
        <v>0</v>
      </c>
      <c r="S1569" s="310">
        <f t="shared" si="414"/>
        <v>0</v>
      </c>
      <c r="T1569" s="555">
        <f t="shared" si="415"/>
        <v>0</v>
      </c>
      <c r="U1569" s="311"/>
      <c r="V1569" s="312"/>
      <c r="W1569" s="299"/>
      <c r="X1569" s="300"/>
      <c r="Y1569" s="299"/>
      <c r="Z1569" s="303"/>
      <c r="AA1569" s="305">
        <f>IF(Z1569=0,0,IF(Y1569="MXN",1/HLOOKUP(YEAR(X1569)+(MONTH(X1569)/100),TC!$5:$37,DAY(X1569)+2,FALSE),VLOOKUP(Y1569,Equivalencia!$1:$23,((MAX(Equivalencia!$3:$3)-YEAR(X1569))*14)+MONTH(X1569)+2,FALSE)))</f>
        <v>0</v>
      </c>
      <c r="AB1569" s="306">
        <f t="shared" si="416"/>
        <v>0</v>
      </c>
      <c r="AC1569" s="305">
        <f>+IF(X1569=0,0,HLOOKUP(YEAR(X1569)+(MONTH(X1569)/100),TC!$5:$37,DAY(X1569)+2,FALSE))</f>
        <v>0</v>
      </c>
      <c r="AD1569" s="307">
        <f t="shared" si="417"/>
        <v>0</v>
      </c>
      <c r="AE1569" s="314">
        <f t="shared" si="418"/>
        <v>0</v>
      </c>
      <c r="AF1569" s="315">
        <f t="shared" si="419"/>
        <v>0</v>
      </c>
      <c r="AG1569" s="316">
        <f t="shared" si="420"/>
        <v>0</v>
      </c>
      <c r="AH1569" s="314">
        <v>1</v>
      </c>
      <c r="AI1569" s="314">
        <f t="shared" si="421"/>
        <v>0</v>
      </c>
      <c r="AJ1569" s="314">
        <f t="shared" si="422"/>
        <v>0</v>
      </c>
      <c r="AK1569" s="317"/>
      <c r="AL1569" s="315">
        <f t="shared" si="423"/>
        <v>0</v>
      </c>
      <c r="AN1569" s="554">
        <f t="shared" si="424"/>
        <v>0</v>
      </c>
      <c r="AO1569" s="314"/>
      <c r="AP1569" s="318"/>
    </row>
    <row r="1570" spans="2:42">
      <c r="B1570" s="296"/>
      <c r="C1570" s="299"/>
      <c r="D1570" s="298"/>
      <c r="E1570" s="299"/>
      <c r="F1570" s="299"/>
      <c r="G1570" s="300"/>
      <c r="H1570" s="303"/>
      <c r="I1570" s="301">
        <f t="shared" si="408"/>
        <v>0</v>
      </c>
      <c r="J1570" s="302">
        <f t="shared" si="409"/>
        <v>0</v>
      </c>
      <c r="K1570" s="304">
        <f t="shared" si="410"/>
        <v>0</v>
      </c>
      <c r="L1570" s="305">
        <f>IF(H1570=0,0,IF(OR(E1570=$AT$5,E1570=$AT$6),AA1570,IF(F1570="MXN",1/HLOOKUP(YEAR(G1570)+(MONTH(G1570)/100),TC!$5:$37,DAY(G1570)+2,FALSE),VLOOKUP(F1570,Equivalencia!$5:$23,((MAX(Equivalencia!$3:$3)-YEAR(G1570))*14)+MONTH(G1570)+2,FALSE))))</f>
        <v>0</v>
      </c>
      <c r="M1570" s="306">
        <f t="shared" si="411"/>
        <v>0</v>
      </c>
      <c r="N1570" s="305">
        <f>IF(G1570=0,0,(IF(OR(E1570=$AT$5,E1570=$AT$6),AC1570,HLOOKUP(YEAR(G1570)+(MONTH(G1570)/100),TC!$5:$37,DAY(G1570)+2,FALSE))))</f>
        <v>0</v>
      </c>
      <c r="O1570" s="307">
        <f t="shared" si="412"/>
        <v>0</v>
      </c>
      <c r="P1570" s="560">
        <f>IF(G1570=0,0,VLOOKUP(YEAR(G1570),INPC!$B$4:$P$30,MONTH(G1570)+2))</f>
        <v>0</v>
      </c>
      <c r="Q1570" s="560">
        <f>IF(X1570=0,0,IF(OR(E1570=$AT$10,E1570=$AT$9),VLOOKUP(YEAR(X1570),INPC!$B$4:$P$30,MONTH(X1570)+1),VLOOKUP(YEAR(X1570),INPC!$B$4:$P$30,MONTH(X1570)+2,0)))</f>
        <v>0</v>
      </c>
      <c r="R1570" s="309">
        <f t="shared" si="413"/>
        <v>0</v>
      </c>
      <c r="S1570" s="310">
        <f t="shared" si="414"/>
        <v>0</v>
      </c>
      <c r="T1570" s="555">
        <f t="shared" si="415"/>
        <v>0</v>
      </c>
      <c r="U1570" s="311"/>
      <c r="V1570" s="312"/>
      <c r="W1570" s="299"/>
      <c r="X1570" s="300"/>
      <c r="Y1570" s="299"/>
      <c r="Z1570" s="303"/>
      <c r="AA1570" s="305">
        <f>IF(Z1570=0,0,IF(Y1570="MXN",1/HLOOKUP(YEAR(X1570)+(MONTH(X1570)/100),TC!$5:$37,DAY(X1570)+2,FALSE),VLOOKUP(Y1570,Equivalencia!$1:$23,((MAX(Equivalencia!$3:$3)-YEAR(X1570))*14)+MONTH(X1570)+2,FALSE)))</f>
        <v>0</v>
      </c>
      <c r="AB1570" s="306">
        <f t="shared" si="416"/>
        <v>0</v>
      </c>
      <c r="AC1570" s="305">
        <f>+IF(X1570=0,0,HLOOKUP(YEAR(X1570)+(MONTH(X1570)/100),TC!$5:$37,DAY(X1570)+2,FALSE))</f>
        <v>0</v>
      </c>
      <c r="AD1570" s="307">
        <f t="shared" si="417"/>
        <v>0</v>
      </c>
      <c r="AE1570" s="314">
        <f t="shared" si="418"/>
        <v>0</v>
      </c>
      <c r="AF1570" s="315">
        <f t="shared" si="419"/>
        <v>0</v>
      </c>
      <c r="AG1570" s="316">
        <f t="shared" si="420"/>
        <v>0</v>
      </c>
      <c r="AH1570" s="314">
        <v>1</v>
      </c>
      <c r="AI1570" s="314">
        <f t="shared" si="421"/>
        <v>0</v>
      </c>
      <c r="AJ1570" s="314">
        <f t="shared" si="422"/>
        <v>0</v>
      </c>
      <c r="AK1570" s="317"/>
      <c r="AL1570" s="315">
        <f t="shared" si="423"/>
        <v>0</v>
      </c>
      <c r="AN1570" s="554">
        <f t="shared" si="424"/>
        <v>0</v>
      </c>
      <c r="AO1570" s="314"/>
      <c r="AP1570" s="318"/>
    </row>
    <row r="1571" spans="2:42">
      <c r="B1571" s="296"/>
      <c r="C1571" s="299"/>
      <c r="D1571" s="298"/>
      <c r="E1571" s="299"/>
      <c r="F1571" s="299"/>
      <c r="G1571" s="300"/>
      <c r="H1571" s="303"/>
      <c r="I1571" s="301">
        <f t="shared" si="408"/>
        <v>0</v>
      </c>
      <c r="J1571" s="302">
        <f t="shared" si="409"/>
        <v>0</v>
      </c>
      <c r="K1571" s="304">
        <f t="shared" si="410"/>
        <v>0</v>
      </c>
      <c r="L1571" s="305">
        <f>IF(H1571=0,0,IF(OR(E1571=$AT$5,E1571=$AT$6),AA1571,IF(F1571="MXN",1/HLOOKUP(YEAR(G1571)+(MONTH(G1571)/100),TC!$5:$37,DAY(G1571)+2,FALSE),VLOOKUP(F1571,Equivalencia!$5:$23,((MAX(Equivalencia!$3:$3)-YEAR(G1571))*14)+MONTH(G1571)+2,FALSE))))</f>
        <v>0</v>
      </c>
      <c r="M1571" s="306">
        <f t="shared" si="411"/>
        <v>0</v>
      </c>
      <c r="N1571" s="305">
        <f>IF(G1571=0,0,(IF(OR(E1571=$AT$5,E1571=$AT$6),AC1571,HLOOKUP(YEAR(G1571)+(MONTH(G1571)/100),TC!$5:$37,DAY(G1571)+2,FALSE))))</f>
        <v>0</v>
      </c>
      <c r="O1571" s="307">
        <f t="shared" si="412"/>
        <v>0</v>
      </c>
      <c r="P1571" s="560">
        <f>IF(G1571=0,0,VLOOKUP(YEAR(G1571),INPC!$B$4:$P$30,MONTH(G1571)+2))</f>
        <v>0</v>
      </c>
      <c r="Q1571" s="560">
        <f>IF(X1571=0,0,IF(OR(E1571=$AT$10,E1571=$AT$9),VLOOKUP(YEAR(X1571),INPC!$B$4:$P$30,MONTH(X1571)+1),VLOOKUP(YEAR(X1571),INPC!$B$4:$P$30,MONTH(X1571)+2,0)))</f>
        <v>0</v>
      </c>
      <c r="R1571" s="309">
        <f t="shared" si="413"/>
        <v>0</v>
      </c>
      <c r="S1571" s="310">
        <f t="shared" si="414"/>
        <v>0</v>
      </c>
      <c r="T1571" s="555">
        <f t="shared" si="415"/>
        <v>0</v>
      </c>
      <c r="U1571" s="311"/>
      <c r="V1571" s="312"/>
      <c r="W1571" s="299"/>
      <c r="X1571" s="300"/>
      <c r="Y1571" s="299"/>
      <c r="Z1571" s="303"/>
      <c r="AA1571" s="305">
        <f>IF(Z1571=0,0,IF(Y1571="MXN",1/HLOOKUP(YEAR(X1571)+(MONTH(X1571)/100),TC!$5:$37,DAY(X1571)+2,FALSE),VLOOKUP(Y1571,Equivalencia!$1:$23,((MAX(Equivalencia!$3:$3)-YEAR(X1571))*14)+MONTH(X1571)+2,FALSE)))</f>
        <v>0</v>
      </c>
      <c r="AB1571" s="306">
        <f t="shared" si="416"/>
        <v>0</v>
      </c>
      <c r="AC1571" s="305">
        <f>+IF(X1571=0,0,HLOOKUP(YEAR(X1571)+(MONTH(X1571)/100),TC!$5:$37,DAY(X1571)+2,FALSE))</f>
        <v>0</v>
      </c>
      <c r="AD1571" s="307">
        <f t="shared" si="417"/>
        <v>0</v>
      </c>
      <c r="AE1571" s="314">
        <f t="shared" si="418"/>
        <v>0</v>
      </c>
      <c r="AF1571" s="315">
        <f t="shared" si="419"/>
        <v>0</v>
      </c>
      <c r="AG1571" s="316">
        <f t="shared" si="420"/>
        <v>0</v>
      </c>
      <c r="AH1571" s="314">
        <v>1</v>
      </c>
      <c r="AI1571" s="314">
        <f t="shared" si="421"/>
        <v>0</v>
      </c>
      <c r="AJ1571" s="314">
        <f t="shared" si="422"/>
        <v>0</v>
      </c>
      <c r="AK1571" s="317"/>
      <c r="AL1571" s="315">
        <f t="shared" si="423"/>
        <v>0</v>
      </c>
      <c r="AN1571" s="554">
        <f t="shared" si="424"/>
        <v>0</v>
      </c>
      <c r="AO1571" s="314"/>
      <c r="AP1571" s="318"/>
    </row>
    <row r="1572" spans="2:42">
      <c r="B1572" s="296"/>
      <c r="C1572" s="299"/>
      <c r="D1572" s="298"/>
      <c r="E1572" s="299"/>
      <c r="F1572" s="299"/>
      <c r="G1572" s="300"/>
      <c r="H1572" s="303"/>
      <c r="I1572" s="301">
        <f t="shared" si="408"/>
        <v>0</v>
      </c>
      <c r="J1572" s="302">
        <f t="shared" si="409"/>
        <v>0</v>
      </c>
      <c r="K1572" s="304">
        <f t="shared" si="410"/>
        <v>0</v>
      </c>
      <c r="L1572" s="305">
        <f>IF(H1572=0,0,IF(OR(E1572=$AT$5,E1572=$AT$6),AA1572,IF(F1572="MXN",1/HLOOKUP(YEAR(G1572)+(MONTH(G1572)/100),TC!$5:$37,DAY(G1572)+2,FALSE),VLOOKUP(F1572,Equivalencia!$5:$23,((MAX(Equivalencia!$3:$3)-YEAR(G1572))*14)+MONTH(G1572)+2,FALSE))))</f>
        <v>0</v>
      </c>
      <c r="M1572" s="306">
        <f t="shared" si="411"/>
        <v>0</v>
      </c>
      <c r="N1572" s="305">
        <f>IF(G1572=0,0,(IF(OR(E1572=$AT$5,E1572=$AT$6),AC1572,HLOOKUP(YEAR(G1572)+(MONTH(G1572)/100),TC!$5:$37,DAY(G1572)+2,FALSE))))</f>
        <v>0</v>
      </c>
      <c r="O1572" s="307">
        <f t="shared" si="412"/>
        <v>0</v>
      </c>
      <c r="P1572" s="560">
        <f>IF(G1572=0,0,VLOOKUP(YEAR(G1572),INPC!$B$4:$P$30,MONTH(G1572)+2))</f>
        <v>0</v>
      </c>
      <c r="Q1572" s="560">
        <f>IF(X1572=0,0,IF(OR(E1572=$AT$10,E1572=$AT$9),VLOOKUP(YEAR(X1572),INPC!$B$4:$P$30,MONTH(X1572)+1),VLOOKUP(YEAR(X1572),INPC!$B$4:$P$30,MONTH(X1572)+2,0)))</f>
        <v>0</v>
      </c>
      <c r="R1572" s="309">
        <f t="shared" si="413"/>
        <v>0</v>
      </c>
      <c r="S1572" s="310">
        <f t="shared" si="414"/>
        <v>0</v>
      </c>
      <c r="T1572" s="555">
        <f t="shared" si="415"/>
        <v>0</v>
      </c>
      <c r="U1572" s="311"/>
      <c r="V1572" s="312"/>
      <c r="W1572" s="299"/>
      <c r="X1572" s="300"/>
      <c r="Y1572" s="299"/>
      <c r="Z1572" s="303"/>
      <c r="AA1572" s="305">
        <f>IF(Z1572=0,0,IF(Y1572="MXN",1/HLOOKUP(YEAR(X1572)+(MONTH(X1572)/100),TC!$5:$37,DAY(X1572)+2,FALSE),VLOOKUP(Y1572,Equivalencia!$1:$23,((MAX(Equivalencia!$3:$3)-YEAR(X1572))*14)+MONTH(X1572)+2,FALSE)))</f>
        <v>0</v>
      </c>
      <c r="AB1572" s="306">
        <f t="shared" si="416"/>
        <v>0</v>
      </c>
      <c r="AC1572" s="305">
        <f>+IF(X1572=0,0,HLOOKUP(YEAR(X1572)+(MONTH(X1572)/100),TC!$5:$37,DAY(X1572)+2,FALSE))</f>
        <v>0</v>
      </c>
      <c r="AD1572" s="307">
        <f t="shared" si="417"/>
        <v>0</v>
      </c>
      <c r="AE1572" s="314">
        <f t="shared" si="418"/>
        <v>0</v>
      </c>
      <c r="AF1572" s="315">
        <f t="shared" si="419"/>
        <v>0</v>
      </c>
      <c r="AG1572" s="316">
        <f t="shared" si="420"/>
        <v>0</v>
      </c>
      <c r="AH1572" s="314">
        <v>1</v>
      </c>
      <c r="AI1572" s="314">
        <f t="shared" si="421"/>
        <v>0</v>
      </c>
      <c r="AJ1572" s="314">
        <f t="shared" si="422"/>
        <v>0</v>
      </c>
      <c r="AK1572" s="317"/>
      <c r="AL1572" s="315">
        <f t="shared" si="423"/>
        <v>0</v>
      </c>
      <c r="AN1572" s="554">
        <f t="shared" si="424"/>
        <v>0</v>
      </c>
      <c r="AO1572" s="314"/>
      <c r="AP1572" s="318"/>
    </row>
    <row r="1573" spans="2:42">
      <c r="B1573" s="296"/>
      <c r="C1573" s="299"/>
      <c r="D1573" s="298"/>
      <c r="E1573" s="299"/>
      <c r="F1573" s="299"/>
      <c r="G1573" s="300"/>
      <c r="H1573" s="303"/>
      <c r="I1573" s="301">
        <f t="shared" si="408"/>
        <v>0</v>
      </c>
      <c r="J1573" s="302">
        <f t="shared" si="409"/>
        <v>0</v>
      </c>
      <c r="K1573" s="304">
        <f t="shared" si="410"/>
        <v>0</v>
      </c>
      <c r="L1573" s="305">
        <f>IF(H1573=0,0,IF(OR(E1573=$AT$5,E1573=$AT$6),AA1573,IF(F1573="MXN",1/HLOOKUP(YEAR(G1573)+(MONTH(G1573)/100),TC!$5:$37,DAY(G1573)+2,FALSE),VLOOKUP(F1573,Equivalencia!$5:$23,((MAX(Equivalencia!$3:$3)-YEAR(G1573))*14)+MONTH(G1573)+2,FALSE))))</f>
        <v>0</v>
      </c>
      <c r="M1573" s="306">
        <f t="shared" si="411"/>
        <v>0</v>
      </c>
      <c r="N1573" s="305">
        <f>IF(G1573=0,0,(IF(OR(E1573=$AT$5,E1573=$AT$6),AC1573,HLOOKUP(YEAR(G1573)+(MONTH(G1573)/100),TC!$5:$37,DAY(G1573)+2,FALSE))))</f>
        <v>0</v>
      </c>
      <c r="O1573" s="307">
        <f t="shared" si="412"/>
        <v>0</v>
      </c>
      <c r="P1573" s="560">
        <f>IF(G1573=0,0,VLOOKUP(YEAR(G1573),INPC!$B$4:$P$30,MONTH(G1573)+2))</f>
        <v>0</v>
      </c>
      <c r="Q1573" s="560">
        <f>IF(X1573=0,0,IF(OR(E1573=$AT$10,E1573=$AT$9),VLOOKUP(YEAR(X1573),INPC!$B$4:$P$30,MONTH(X1573)+1),VLOOKUP(YEAR(X1573),INPC!$B$4:$P$30,MONTH(X1573)+2,0)))</f>
        <v>0</v>
      </c>
      <c r="R1573" s="309">
        <f t="shared" si="413"/>
        <v>0</v>
      </c>
      <c r="S1573" s="310">
        <f t="shared" si="414"/>
        <v>0</v>
      </c>
      <c r="T1573" s="555">
        <f t="shared" si="415"/>
        <v>0</v>
      </c>
      <c r="U1573" s="311"/>
      <c r="V1573" s="312"/>
      <c r="W1573" s="299"/>
      <c r="X1573" s="300"/>
      <c r="Y1573" s="299"/>
      <c r="Z1573" s="303"/>
      <c r="AA1573" s="305">
        <f>IF(Z1573=0,0,IF(Y1573="MXN",1/HLOOKUP(YEAR(X1573)+(MONTH(X1573)/100),TC!$5:$37,DAY(X1573)+2,FALSE),VLOOKUP(Y1573,Equivalencia!$1:$23,((MAX(Equivalencia!$3:$3)-YEAR(X1573))*14)+MONTH(X1573)+2,FALSE)))</f>
        <v>0</v>
      </c>
      <c r="AB1573" s="306">
        <f t="shared" si="416"/>
        <v>0</v>
      </c>
      <c r="AC1573" s="305">
        <f>+IF(X1573=0,0,HLOOKUP(YEAR(X1573)+(MONTH(X1573)/100),TC!$5:$37,DAY(X1573)+2,FALSE))</f>
        <v>0</v>
      </c>
      <c r="AD1573" s="307">
        <f t="shared" si="417"/>
        <v>0</v>
      </c>
      <c r="AE1573" s="314">
        <f t="shared" si="418"/>
        <v>0</v>
      </c>
      <c r="AF1573" s="315">
        <f t="shared" si="419"/>
        <v>0</v>
      </c>
      <c r="AG1573" s="316">
        <f t="shared" si="420"/>
        <v>0</v>
      </c>
      <c r="AH1573" s="314">
        <v>1</v>
      </c>
      <c r="AI1573" s="314">
        <f t="shared" si="421"/>
        <v>0</v>
      </c>
      <c r="AJ1573" s="314">
        <f t="shared" si="422"/>
        <v>0</v>
      </c>
      <c r="AK1573" s="317"/>
      <c r="AL1573" s="315">
        <f t="shared" si="423"/>
        <v>0</v>
      </c>
      <c r="AN1573" s="554">
        <f t="shared" si="424"/>
        <v>0</v>
      </c>
      <c r="AO1573" s="314"/>
      <c r="AP1573" s="318"/>
    </row>
    <row r="1574" spans="2:42">
      <c r="B1574" s="296"/>
      <c r="C1574" s="299"/>
      <c r="D1574" s="298"/>
      <c r="E1574" s="299"/>
      <c r="F1574" s="299"/>
      <c r="G1574" s="300"/>
      <c r="H1574" s="303"/>
      <c r="I1574" s="301">
        <f t="shared" si="408"/>
        <v>0</v>
      </c>
      <c r="J1574" s="302">
        <f t="shared" si="409"/>
        <v>0</v>
      </c>
      <c r="K1574" s="304">
        <f t="shared" si="410"/>
        <v>0</v>
      </c>
      <c r="L1574" s="305">
        <f>IF(H1574=0,0,IF(OR(E1574=$AT$5,E1574=$AT$6),AA1574,IF(F1574="MXN",1/HLOOKUP(YEAR(G1574)+(MONTH(G1574)/100),TC!$5:$37,DAY(G1574)+2,FALSE),VLOOKUP(F1574,Equivalencia!$5:$23,((MAX(Equivalencia!$3:$3)-YEAR(G1574))*14)+MONTH(G1574)+2,FALSE))))</f>
        <v>0</v>
      </c>
      <c r="M1574" s="306">
        <f t="shared" si="411"/>
        <v>0</v>
      </c>
      <c r="N1574" s="305">
        <f>IF(G1574=0,0,(IF(OR(E1574=$AT$5,E1574=$AT$6),AC1574,HLOOKUP(YEAR(G1574)+(MONTH(G1574)/100),TC!$5:$37,DAY(G1574)+2,FALSE))))</f>
        <v>0</v>
      </c>
      <c r="O1574" s="307">
        <f t="shared" si="412"/>
        <v>0</v>
      </c>
      <c r="P1574" s="560">
        <f>IF(G1574=0,0,VLOOKUP(YEAR(G1574),INPC!$B$4:$P$30,MONTH(G1574)+2))</f>
        <v>0</v>
      </c>
      <c r="Q1574" s="560">
        <f>IF(X1574=0,0,IF(OR(E1574=$AT$10,E1574=$AT$9),VLOOKUP(YEAR(X1574),INPC!$B$4:$P$30,MONTH(X1574)+1),VLOOKUP(YEAR(X1574),INPC!$B$4:$P$30,MONTH(X1574)+2,0)))</f>
        <v>0</v>
      </c>
      <c r="R1574" s="309">
        <f t="shared" si="413"/>
        <v>0</v>
      </c>
      <c r="S1574" s="310">
        <f t="shared" si="414"/>
        <v>0</v>
      </c>
      <c r="T1574" s="555">
        <f t="shared" si="415"/>
        <v>0</v>
      </c>
      <c r="U1574" s="311"/>
      <c r="V1574" s="312"/>
      <c r="W1574" s="299"/>
      <c r="X1574" s="300"/>
      <c r="Y1574" s="299"/>
      <c r="Z1574" s="303"/>
      <c r="AA1574" s="305">
        <f>IF(Z1574=0,0,IF(Y1574="MXN",1/HLOOKUP(YEAR(X1574)+(MONTH(X1574)/100),TC!$5:$37,DAY(X1574)+2,FALSE),VLOOKUP(Y1574,Equivalencia!$1:$23,((MAX(Equivalencia!$3:$3)-YEAR(X1574))*14)+MONTH(X1574)+2,FALSE)))</f>
        <v>0</v>
      </c>
      <c r="AB1574" s="306">
        <f t="shared" si="416"/>
        <v>0</v>
      </c>
      <c r="AC1574" s="305">
        <f>+IF(X1574=0,0,HLOOKUP(YEAR(X1574)+(MONTH(X1574)/100),TC!$5:$37,DAY(X1574)+2,FALSE))</f>
        <v>0</v>
      </c>
      <c r="AD1574" s="307">
        <f t="shared" si="417"/>
        <v>0</v>
      </c>
      <c r="AE1574" s="314">
        <f t="shared" si="418"/>
        <v>0</v>
      </c>
      <c r="AF1574" s="315">
        <f t="shared" si="419"/>
        <v>0</v>
      </c>
      <c r="AG1574" s="316">
        <f t="shared" si="420"/>
        <v>0</v>
      </c>
      <c r="AH1574" s="314">
        <v>1</v>
      </c>
      <c r="AI1574" s="314">
        <f t="shared" si="421"/>
        <v>0</v>
      </c>
      <c r="AJ1574" s="314">
        <f t="shared" si="422"/>
        <v>0</v>
      </c>
      <c r="AK1574" s="317"/>
      <c r="AL1574" s="315">
        <f t="shared" si="423"/>
        <v>0</v>
      </c>
      <c r="AN1574" s="554">
        <f t="shared" si="424"/>
        <v>0</v>
      </c>
      <c r="AO1574" s="314"/>
      <c r="AP1574" s="318"/>
    </row>
    <row r="1575" spans="2:42">
      <c r="B1575" s="296"/>
      <c r="C1575" s="299"/>
      <c r="D1575" s="298"/>
      <c r="E1575" s="299"/>
      <c r="F1575" s="299"/>
      <c r="G1575" s="300"/>
      <c r="H1575" s="303"/>
      <c r="I1575" s="301">
        <f t="shared" si="408"/>
        <v>0</v>
      </c>
      <c r="J1575" s="302">
        <f t="shared" si="409"/>
        <v>0</v>
      </c>
      <c r="K1575" s="304">
        <f t="shared" si="410"/>
        <v>0</v>
      </c>
      <c r="L1575" s="305">
        <f>IF(H1575=0,0,IF(OR(E1575=$AT$5,E1575=$AT$6),AA1575,IF(F1575="MXN",1/HLOOKUP(YEAR(G1575)+(MONTH(G1575)/100),TC!$5:$37,DAY(G1575)+2,FALSE),VLOOKUP(F1575,Equivalencia!$5:$23,((MAX(Equivalencia!$3:$3)-YEAR(G1575))*14)+MONTH(G1575)+2,FALSE))))</f>
        <v>0</v>
      </c>
      <c r="M1575" s="306">
        <f t="shared" si="411"/>
        <v>0</v>
      </c>
      <c r="N1575" s="305">
        <f>IF(G1575=0,0,(IF(OR(E1575=$AT$5,E1575=$AT$6),AC1575,HLOOKUP(YEAR(G1575)+(MONTH(G1575)/100),TC!$5:$37,DAY(G1575)+2,FALSE))))</f>
        <v>0</v>
      </c>
      <c r="O1575" s="307">
        <f t="shared" si="412"/>
        <v>0</v>
      </c>
      <c r="P1575" s="560">
        <f>IF(G1575=0,0,VLOOKUP(YEAR(G1575),INPC!$B$4:$P$30,MONTH(G1575)+2))</f>
        <v>0</v>
      </c>
      <c r="Q1575" s="560">
        <f>IF(X1575=0,0,IF(OR(E1575=$AT$10,E1575=$AT$9),VLOOKUP(YEAR(X1575),INPC!$B$4:$P$30,MONTH(X1575)+1),VLOOKUP(YEAR(X1575),INPC!$B$4:$P$30,MONTH(X1575)+2,0)))</f>
        <v>0</v>
      </c>
      <c r="R1575" s="309">
        <f t="shared" si="413"/>
        <v>0</v>
      </c>
      <c r="S1575" s="310">
        <f t="shared" si="414"/>
        <v>0</v>
      </c>
      <c r="T1575" s="555">
        <f t="shared" si="415"/>
        <v>0</v>
      </c>
      <c r="U1575" s="311"/>
      <c r="V1575" s="312"/>
      <c r="W1575" s="299"/>
      <c r="X1575" s="300"/>
      <c r="Y1575" s="299"/>
      <c r="Z1575" s="303"/>
      <c r="AA1575" s="305">
        <f>IF(Z1575=0,0,IF(Y1575="MXN",1/HLOOKUP(YEAR(X1575)+(MONTH(X1575)/100),TC!$5:$37,DAY(X1575)+2,FALSE),VLOOKUP(Y1575,Equivalencia!$1:$23,((MAX(Equivalencia!$3:$3)-YEAR(X1575))*14)+MONTH(X1575)+2,FALSE)))</f>
        <v>0</v>
      </c>
      <c r="AB1575" s="306">
        <f t="shared" si="416"/>
        <v>0</v>
      </c>
      <c r="AC1575" s="305">
        <f>+IF(X1575=0,0,HLOOKUP(YEAR(X1575)+(MONTH(X1575)/100),TC!$5:$37,DAY(X1575)+2,FALSE))</f>
        <v>0</v>
      </c>
      <c r="AD1575" s="307">
        <f t="shared" si="417"/>
        <v>0</v>
      </c>
      <c r="AE1575" s="314">
        <f t="shared" si="418"/>
        <v>0</v>
      </c>
      <c r="AF1575" s="315">
        <f t="shared" si="419"/>
        <v>0</v>
      </c>
      <c r="AG1575" s="316">
        <f t="shared" si="420"/>
        <v>0</v>
      </c>
      <c r="AH1575" s="314">
        <v>1</v>
      </c>
      <c r="AI1575" s="314">
        <f t="shared" si="421"/>
        <v>0</v>
      </c>
      <c r="AJ1575" s="314">
        <f t="shared" si="422"/>
        <v>0</v>
      </c>
      <c r="AK1575" s="317"/>
      <c r="AL1575" s="315">
        <f t="shared" si="423"/>
        <v>0</v>
      </c>
      <c r="AN1575" s="554">
        <f t="shared" si="424"/>
        <v>0</v>
      </c>
      <c r="AO1575" s="314"/>
      <c r="AP1575" s="318"/>
    </row>
    <row r="1576" spans="2:42">
      <c r="B1576" s="296"/>
      <c r="C1576" s="299"/>
      <c r="D1576" s="298"/>
      <c r="E1576" s="299"/>
      <c r="F1576" s="299"/>
      <c r="G1576" s="300"/>
      <c r="H1576" s="303"/>
      <c r="I1576" s="301">
        <f t="shared" si="408"/>
        <v>0</v>
      </c>
      <c r="J1576" s="302">
        <f t="shared" si="409"/>
        <v>0</v>
      </c>
      <c r="K1576" s="304">
        <f t="shared" si="410"/>
        <v>0</v>
      </c>
      <c r="L1576" s="305">
        <f>IF(H1576=0,0,IF(OR(E1576=$AT$5,E1576=$AT$6),AA1576,IF(F1576="MXN",1/HLOOKUP(YEAR(G1576)+(MONTH(G1576)/100),TC!$5:$37,DAY(G1576)+2,FALSE),VLOOKUP(F1576,Equivalencia!$5:$23,((MAX(Equivalencia!$3:$3)-YEAR(G1576))*14)+MONTH(G1576)+2,FALSE))))</f>
        <v>0</v>
      </c>
      <c r="M1576" s="306">
        <f t="shared" si="411"/>
        <v>0</v>
      </c>
      <c r="N1576" s="305">
        <f>IF(G1576=0,0,(IF(OR(E1576=$AT$5,E1576=$AT$6),AC1576,HLOOKUP(YEAR(G1576)+(MONTH(G1576)/100),TC!$5:$37,DAY(G1576)+2,FALSE))))</f>
        <v>0</v>
      </c>
      <c r="O1576" s="307">
        <f t="shared" si="412"/>
        <v>0</v>
      </c>
      <c r="P1576" s="560">
        <f>IF(G1576=0,0,VLOOKUP(YEAR(G1576),INPC!$B$4:$P$30,MONTH(G1576)+2))</f>
        <v>0</v>
      </c>
      <c r="Q1576" s="560">
        <f>IF(X1576=0,0,IF(OR(E1576=$AT$10,E1576=$AT$9),VLOOKUP(YEAR(X1576),INPC!$B$4:$P$30,MONTH(X1576)+1),VLOOKUP(YEAR(X1576),INPC!$B$4:$P$30,MONTH(X1576)+2,0)))</f>
        <v>0</v>
      </c>
      <c r="R1576" s="309">
        <f t="shared" si="413"/>
        <v>0</v>
      </c>
      <c r="S1576" s="310">
        <f t="shared" si="414"/>
        <v>0</v>
      </c>
      <c r="T1576" s="555">
        <f t="shared" si="415"/>
        <v>0</v>
      </c>
      <c r="U1576" s="311"/>
      <c r="V1576" s="312"/>
      <c r="W1576" s="299"/>
      <c r="X1576" s="300"/>
      <c r="Y1576" s="299"/>
      <c r="Z1576" s="303"/>
      <c r="AA1576" s="305">
        <f>IF(Z1576=0,0,IF(Y1576="MXN",1/HLOOKUP(YEAR(X1576)+(MONTH(X1576)/100),TC!$5:$37,DAY(X1576)+2,FALSE),VLOOKUP(Y1576,Equivalencia!$1:$23,((MAX(Equivalencia!$3:$3)-YEAR(X1576))*14)+MONTH(X1576)+2,FALSE)))</f>
        <v>0</v>
      </c>
      <c r="AB1576" s="306">
        <f t="shared" si="416"/>
        <v>0</v>
      </c>
      <c r="AC1576" s="305">
        <f>+IF(X1576=0,0,HLOOKUP(YEAR(X1576)+(MONTH(X1576)/100),TC!$5:$37,DAY(X1576)+2,FALSE))</f>
        <v>0</v>
      </c>
      <c r="AD1576" s="307">
        <f t="shared" si="417"/>
        <v>0</v>
      </c>
      <c r="AE1576" s="314">
        <f t="shared" si="418"/>
        <v>0</v>
      </c>
      <c r="AF1576" s="315">
        <f t="shared" si="419"/>
        <v>0</v>
      </c>
      <c r="AG1576" s="316">
        <f t="shared" si="420"/>
        <v>0</v>
      </c>
      <c r="AH1576" s="314">
        <v>1</v>
      </c>
      <c r="AI1576" s="314">
        <f t="shared" si="421"/>
        <v>0</v>
      </c>
      <c r="AJ1576" s="314">
        <f t="shared" si="422"/>
        <v>0</v>
      </c>
      <c r="AK1576" s="317"/>
      <c r="AL1576" s="315">
        <f t="shared" si="423"/>
        <v>0</v>
      </c>
      <c r="AN1576" s="554">
        <f t="shared" si="424"/>
        <v>0</v>
      </c>
      <c r="AO1576" s="314"/>
      <c r="AP1576" s="318"/>
    </row>
    <row r="1577" spans="2:42">
      <c r="B1577" s="296"/>
      <c r="C1577" s="299"/>
      <c r="D1577" s="298"/>
      <c r="E1577" s="299"/>
      <c r="F1577" s="299"/>
      <c r="G1577" s="300"/>
      <c r="H1577" s="303"/>
      <c r="I1577" s="301">
        <f t="shared" si="408"/>
        <v>0</v>
      </c>
      <c r="J1577" s="302">
        <f t="shared" si="409"/>
        <v>0</v>
      </c>
      <c r="K1577" s="304">
        <f t="shared" si="410"/>
        <v>0</v>
      </c>
      <c r="L1577" s="305">
        <f>IF(H1577=0,0,IF(OR(E1577=$AT$5,E1577=$AT$6),AA1577,IF(F1577="MXN",1/HLOOKUP(YEAR(G1577)+(MONTH(G1577)/100),TC!$5:$37,DAY(G1577)+2,FALSE),VLOOKUP(F1577,Equivalencia!$5:$23,((MAX(Equivalencia!$3:$3)-YEAR(G1577))*14)+MONTH(G1577)+2,FALSE))))</f>
        <v>0</v>
      </c>
      <c r="M1577" s="306">
        <f t="shared" si="411"/>
        <v>0</v>
      </c>
      <c r="N1577" s="305">
        <f>IF(G1577=0,0,(IF(OR(E1577=$AT$5,E1577=$AT$6),AC1577,HLOOKUP(YEAR(G1577)+(MONTH(G1577)/100),TC!$5:$37,DAY(G1577)+2,FALSE))))</f>
        <v>0</v>
      </c>
      <c r="O1577" s="307">
        <f t="shared" si="412"/>
        <v>0</v>
      </c>
      <c r="P1577" s="560">
        <f>IF(G1577=0,0,VLOOKUP(YEAR(G1577),INPC!$B$4:$P$30,MONTH(G1577)+2))</f>
        <v>0</v>
      </c>
      <c r="Q1577" s="560">
        <f>IF(X1577=0,0,IF(OR(E1577=$AT$10,E1577=$AT$9),VLOOKUP(YEAR(X1577),INPC!$B$4:$P$30,MONTH(X1577)+1),VLOOKUP(YEAR(X1577),INPC!$B$4:$P$30,MONTH(X1577)+2,0)))</f>
        <v>0</v>
      </c>
      <c r="R1577" s="309">
        <f t="shared" si="413"/>
        <v>0</v>
      </c>
      <c r="S1577" s="310">
        <f t="shared" si="414"/>
        <v>0</v>
      </c>
      <c r="T1577" s="555">
        <f t="shared" si="415"/>
        <v>0</v>
      </c>
      <c r="U1577" s="311"/>
      <c r="V1577" s="312"/>
      <c r="W1577" s="299"/>
      <c r="X1577" s="300"/>
      <c r="Y1577" s="299"/>
      <c r="Z1577" s="303"/>
      <c r="AA1577" s="305">
        <f>IF(Z1577=0,0,IF(Y1577="MXN",1/HLOOKUP(YEAR(X1577)+(MONTH(X1577)/100),TC!$5:$37,DAY(X1577)+2,FALSE),VLOOKUP(Y1577,Equivalencia!$1:$23,((MAX(Equivalencia!$3:$3)-YEAR(X1577))*14)+MONTH(X1577)+2,FALSE)))</f>
        <v>0</v>
      </c>
      <c r="AB1577" s="306">
        <f t="shared" si="416"/>
        <v>0</v>
      </c>
      <c r="AC1577" s="305">
        <f>+IF(X1577=0,0,HLOOKUP(YEAR(X1577)+(MONTH(X1577)/100),TC!$5:$37,DAY(X1577)+2,FALSE))</f>
        <v>0</v>
      </c>
      <c r="AD1577" s="307">
        <f t="shared" si="417"/>
        <v>0</v>
      </c>
      <c r="AE1577" s="314">
        <f t="shared" si="418"/>
        <v>0</v>
      </c>
      <c r="AF1577" s="315">
        <f t="shared" si="419"/>
        <v>0</v>
      </c>
      <c r="AG1577" s="316">
        <f t="shared" si="420"/>
        <v>0</v>
      </c>
      <c r="AH1577" s="314">
        <v>1</v>
      </c>
      <c r="AI1577" s="314">
        <f t="shared" si="421"/>
        <v>0</v>
      </c>
      <c r="AJ1577" s="314">
        <f t="shared" si="422"/>
        <v>0</v>
      </c>
      <c r="AK1577" s="317"/>
      <c r="AL1577" s="315">
        <f t="shared" si="423"/>
        <v>0</v>
      </c>
      <c r="AN1577" s="554">
        <f t="shared" si="424"/>
        <v>0</v>
      </c>
      <c r="AO1577" s="314"/>
      <c r="AP1577" s="318"/>
    </row>
    <row r="1578" spans="2:42">
      <c r="B1578" s="296"/>
      <c r="C1578" s="299"/>
      <c r="D1578" s="298"/>
      <c r="E1578" s="299"/>
      <c r="F1578" s="299"/>
      <c r="G1578" s="300"/>
      <c r="H1578" s="303"/>
      <c r="I1578" s="301">
        <f t="shared" si="408"/>
        <v>0</v>
      </c>
      <c r="J1578" s="302">
        <f t="shared" si="409"/>
        <v>0</v>
      </c>
      <c r="K1578" s="304">
        <f t="shared" si="410"/>
        <v>0</v>
      </c>
      <c r="L1578" s="305">
        <f>IF(H1578=0,0,IF(OR(E1578=$AT$5,E1578=$AT$6),AA1578,IF(F1578="MXN",1/HLOOKUP(YEAR(G1578)+(MONTH(G1578)/100),TC!$5:$37,DAY(G1578)+2,FALSE),VLOOKUP(F1578,Equivalencia!$5:$23,((MAX(Equivalencia!$3:$3)-YEAR(G1578))*14)+MONTH(G1578)+2,FALSE))))</f>
        <v>0</v>
      </c>
      <c r="M1578" s="306">
        <f t="shared" si="411"/>
        <v>0</v>
      </c>
      <c r="N1578" s="305">
        <f>IF(G1578=0,0,(IF(OR(E1578=$AT$5,E1578=$AT$6),AC1578,HLOOKUP(YEAR(G1578)+(MONTH(G1578)/100),TC!$5:$37,DAY(G1578)+2,FALSE))))</f>
        <v>0</v>
      </c>
      <c r="O1578" s="307">
        <f t="shared" si="412"/>
        <v>0</v>
      </c>
      <c r="P1578" s="560">
        <f>IF(G1578=0,0,VLOOKUP(YEAR(G1578),INPC!$B$4:$P$30,MONTH(G1578)+2))</f>
        <v>0</v>
      </c>
      <c r="Q1578" s="560">
        <f>IF(X1578=0,0,IF(OR(E1578=$AT$10,E1578=$AT$9),VLOOKUP(YEAR(X1578),INPC!$B$4:$P$30,MONTH(X1578)+1),VLOOKUP(YEAR(X1578),INPC!$B$4:$P$30,MONTH(X1578)+2,0)))</f>
        <v>0</v>
      </c>
      <c r="R1578" s="309">
        <f t="shared" si="413"/>
        <v>0</v>
      </c>
      <c r="S1578" s="310">
        <f t="shared" si="414"/>
        <v>0</v>
      </c>
      <c r="T1578" s="555">
        <f t="shared" si="415"/>
        <v>0</v>
      </c>
      <c r="U1578" s="311"/>
      <c r="V1578" s="312"/>
      <c r="W1578" s="299"/>
      <c r="X1578" s="300"/>
      <c r="Y1578" s="299"/>
      <c r="Z1578" s="303"/>
      <c r="AA1578" s="305">
        <f>IF(Z1578=0,0,IF(Y1578="MXN",1/HLOOKUP(YEAR(X1578)+(MONTH(X1578)/100),TC!$5:$37,DAY(X1578)+2,FALSE),VLOOKUP(Y1578,Equivalencia!$1:$23,((MAX(Equivalencia!$3:$3)-YEAR(X1578))*14)+MONTH(X1578)+2,FALSE)))</f>
        <v>0</v>
      </c>
      <c r="AB1578" s="306">
        <f t="shared" si="416"/>
        <v>0</v>
      </c>
      <c r="AC1578" s="305">
        <f>+IF(X1578=0,0,HLOOKUP(YEAR(X1578)+(MONTH(X1578)/100),TC!$5:$37,DAY(X1578)+2,FALSE))</f>
        <v>0</v>
      </c>
      <c r="AD1578" s="307">
        <f t="shared" si="417"/>
        <v>0</v>
      </c>
      <c r="AE1578" s="314">
        <f t="shared" si="418"/>
        <v>0</v>
      </c>
      <c r="AF1578" s="315">
        <f t="shared" si="419"/>
        <v>0</v>
      </c>
      <c r="AG1578" s="316">
        <f t="shared" si="420"/>
        <v>0</v>
      </c>
      <c r="AH1578" s="314">
        <v>1</v>
      </c>
      <c r="AI1578" s="314">
        <f t="shared" si="421"/>
        <v>0</v>
      </c>
      <c r="AJ1578" s="314">
        <f t="shared" si="422"/>
        <v>0</v>
      </c>
      <c r="AK1578" s="317"/>
      <c r="AL1578" s="315">
        <f t="shared" si="423"/>
        <v>0</v>
      </c>
      <c r="AN1578" s="554">
        <f t="shared" si="424"/>
        <v>0</v>
      </c>
      <c r="AO1578" s="314"/>
      <c r="AP1578" s="318"/>
    </row>
    <row r="1579" spans="2:42">
      <c r="B1579" s="296"/>
      <c r="C1579" s="299"/>
      <c r="D1579" s="298"/>
      <c r="E1579" s="299"/>
      <c r="F1579" s="299"/>
      <c r="G1579" s="300"/>
      <c r="H1579" s="303"/>
      <c r="I1579" s="301">
        <f t="shared" si="408"/>
        <v>0</v>
      </c>
      <c r="J1579" s="302">
        <f t="shared" si="409"/>
        <v>0</v>
      </c>
      <c r="K1579" s="304">
        <f t="shared" si="410"/>
        <v>0</v>
      </c>
      <c r="L1579" s="305">
        <f>IF(H1579=0,0,IF(OR(E1579=$AT$5,E1579=$AT$6),AA1579,IF(F1579="MXN",1/HLOOKUP(YEAR(G1579)+(MONTH(G1579)/100),TC!$5:$37,DAY(G1579)+2,FALSE),VLOOKUP(F1579,Equivalencia!$5:$23,((MAX(Equivalencia!$3:$3)-YEAR(G1579))*14)+MONTH(G1579)+2,FALSE))))</f>
        <v>0</v>
      </c>
      <c r="M1579" s="306">
        <f t="shared" si="411"/>
        <v>0</v>
      </c>
      <c r="N1579" s="305">
        <f>IF(G1579=0,0,(IF(OR(E1579=$AT$5,E1579=$AT$6),AC1579,HLOOKUP(YEAR(G1579)+(MONTH(G1579)/100),TC!$5:$37,DAY(G1579)+2,FALSE))))</f>
        <v>0</v>
      </c>
      <c r="O1579" s="307">
        <f t="shared" si="412"/>
        <v>0</v>
      </c>
      <c r="P1579" s="560">
        <f>IF(G1579=0,0,VLOOKUP(YEAR(G1579),INPC!$B$4:$P$30,MONTH(G1579)+2))</f>
        <v>0</v>
      </c>
      <c r="Q1579" s="560">
        <f>IF(X1579=0,0,IF(OR(E1579=$AT$10,E1579=$AT$9),VLOOKUP(YEAR(X1579),INPC!$B$4:$P$30,MONTH(X1579)+1),VLOOKUP(YEAR(X1579),INPC!$B$4:$P$30,MONTH(X1579)+2,0)))</f>
        <v>0</v>
      </c>
      <c r="R1579" s="309">
        <f t="shared" si="413"/>
        <v>0</v>
      </c>
      <c r="S1579" s="310">
        <f t="shared" si="414"/>
        <v>0</v>
      </c>
      <c r="T1579" s="555">
        <f t="shared" si="415"/>
        <v>0</v>
      </c>
      <c r="U1579" s="311"/>
      <c r="V1579" s="312"/>
      <c r="W1579" s="299"/>
      <c r="X1579" s="300"/>
      <c r="Y1579" s="299"/>
      <c r="Z1579" s="303"/>
      <c r="AA1579" s="305">
        <f>IF(Z1579=0,0,IF(Y1579="MXN",1/HLOOKUP(YEAR(X1579)+(MONTH(X1579)/100),TC!$5:$37,DAY(X1579)+2,FALSE),VLOOKUP(Y1579,Equivalencia!$1:$23,((MAX(Equivalencia!$3:$3)-YEAR(X1579))*14)+MONTH(X1579)+2,FALSE)))</f>
        <v>0</v>
      </c>
      <c r="AB1579" s="306">
        <f t="shared" si="416"/>
        <v>0</v>
      </c>
      <c r="AC1579" s="305">
        <f>+IF(X1579=0,0,HLOOKUP(YEAR(X1579)+(MONTH(X1579)/100),TC!$5:$37,DAY(X1579)+2,FALSE))</f>
        <v>0</v>
      </c>
      <c r="AD1579" s="307">
        <f t="shared" si="417"/>
        <v>0</v>
      </c>
      <c r="AE1579" s="314">
        <f t="shared" si="418"/>
        <v>0</v>
      </c>
      <c r="AF1579" s="315">
        <f t="shared" si="419"/>
        <v>0</v>
      </c>
      <c r="AG1579" s="316">
        <f t="shared" si="420"/>
        <v>0</v>
      </c>
      <c r="AH1579" s="314">
        <v>1</v>
      </c>
      <c r="AI1579" s="314">
        <f t="shared" si="421"/>
        <v>0</v>
      </c>
      <c r="AJ1579" s="314">
        <f t="shared" si="422"/>
        <v>0</v>
      </c>
      <c r="AK1579" s="317"/>
      <c r="AL1579" s="315">
        <f t="shared" si="423"/>
        <v>0</v>
      </c>
      <c r="AN1579" s="554">
        <f t="shared" si="424"/>
        <v>0</v>
      </c>
      <c r="AO1579" s="314"/>
      <c r="AP1579" s="318"/>
    </row>
    <row r="1580" spans="2:42">
      <c r="B1580" s="296"/>
      <c r="C1580" s="299"/>
      <c r="D1580" s="298"/>
      <c r="E1580" s="299"/>
      <c r="F1580" s="299"/>
      <c r="G1580" s="300"/>
      <c r="H1580" s="303"/>
      <c r="I1580" s="301">
        <f t="shared" si="408"/>
        <v>0</v>
      </c>
      <c r="J1580" s="302">
        <f t="shared" si="409"/>
        <v>0</v>
      </c>
      <c r="K1580" s="304">
        <f t="shared" si="410"/>
        <v>0</v>
      </c>
      <c r="L1580" s="305">
        <f>IF(H1580=0,0,IF(OR(E1580=$AT$5,E1580=$AT$6),AA1580,IF(F1580="MXN",1/HLOOKUP(YEAR(G1580)+(MONTH(G1580)/100),TC!$5:$37,DAY(G1580)+2,FALSE),VLOOKUP(F1580,Equivalencia!$5:$23,((MAX(Equivalencia!$3:$3)-YEAR(G1580))*14)+MONTH(G1580)+2,FALSE))))</f>
        <v>0</v>
      </c>
      <c r="M1580" s="306">
        <f t="shared" si="411"/>
        <v>0</v>
      </c>
      <c r="N1580" s="305">
        <f>IF(G1580=0,0,(IF(OR(E1580=$AT$5,E1580=$AT$6),AC1580,HLOOKUP(YEAR(G1580)+(MONTH(G1580)/100),TC!$5:$37,DAY(G1580)+2,FALSE))))</f>
        <v>0</v>
      </c>
      <c r="O1580" s="307">
        <f t="shared" si="412"/>
        <v>0</v>
      </c>
      <c r="P1580" s="560">
        <f>IF(G1580=0,0,VLOOKUP(YEAR(G1580),INPC!$B$4:$P$30,MONTH(G1580)+2))</f>
        <v>0</v>
      </c>
      <c r="Q1580" s="560">
        <f>IF(X1580=0,0,IF(OR(E1580=$AT$10,E1580=$AT$9),VLOOKUP(YEAR(X1580),INPC!$B$4:$P$30,MONTH(X1580)+1),VLOOKUP(YEAR(X1580),INPC!$B$4:$P$30,MONTH(X1580)+2,0)))</f>
        <v>0</v>
      </c>
      <c r="R1580" s="309">
        <f t="shared" si="413"/>
        <v>0</v>
      </c>
      <c r="S1580" s="310">
        <f t="shared" si="414"/>
        <v>0</v>
      </c>
      <c r="T1580" s="555">
        <f t="shared" si="415"/>
        <v>0</v>
      </c>
      <c r="U1580" s="311"/>
      <c r="V1580" s="312"/>
      <c r="W1580" s="299"/>
      <c r="X1580" s="300"/>
      <c r="Y1580" s="299"/>
      <c r="Z1580" s="303"/>
      <c r="AA1580" s="305">
        <f>IF(Z1580=0,0,IF(Y1580="MXN",1/HLOOKUP(YEAR(X1580)+(MONTH(X1580)/100),TC!$5:$37,DAY(X1580)+2,FALSE),VLOOKUP(Y1580,Equivalencia!$1:$23,((MAX(Equivalencia!$3:$3)-YEAR(X1580))*14)+MONTH(X1580)+2,FALSE)))</f>
        <v>0</v>
      </c>
      <c r="AB1580" s="306">
        <f t="shared" si="416"/>
        <v>0</v>
      </c>
      <c r="AC1580" s="305">
        <f>+IF(X1580=0,0,HLOOKUP(YEAR(X1580)+(MONTH(X1580)/100),TC!$5:$37,DAY(X1580)+2,FALSE))</f>
        <v>0</v>
      </c>
      <c r="AD1580" s="307">
        <f t="shared" si="417"/>
        <v>0</v>
      </c>
      <c r="AE1580" s="314">
        <f t="shared" si="418"/>
        <v>0</v>
      </c>
      <c r="AF1580" s="315">
        <f t="shared" si="419"/>
        <v>0</v>
      </c>
      <c r="AG1580" s="316">
        <f t="shared" si="420"/>
        <v>0</v>
      </c>
      <c r="AH1580" s="314">
        <v>1</v>
      </c>
      <c r="AI1580" s="314">
        <f t="shared" si="421"/>
        <v>0</v>
      </c>
      <c r="AJ1580" s="314">
        <f t="shared" si="422"/>
        <v>0</v>
      </c>
      <c r="AK1580" s="317"/>
      <c r="AL1580" s="315">
        <f t="shared" si="423"/>
        <v>0</v>
      </c>
      <c r="AN1580" s="554">
        <f t="shared" si="424"/>
        <v>0</v>
      </c>
      <c r="AO1580" s="314"/>
      <c r="AP1580" s="318"/>
    </row>
    <row r="1581" spans="2:42">
      <c r="B1581" s="296"/>
      <c r="C1581" s="299"/>
      <c r="D1581" s="298"/>
      <c r="E1581" s="299"/>
      <c r="F1581" s="299"/>
      <c r="G1581" s="300"/>
      <c r="H1581" s="303"/>
      <c r="I1581" s="301">
        <f t="shared" si="408"/>
        <v>0</v>
      </c>
      <c r="J1581" s="302">
        <f t="shared" si="409"/>
        <v>0</v>
      </c>
      <c r="K1581" s="304">
        <f t="shared" si="410"/>
        <v>0</v>
      </c>
      <c r="L1581" s="305">
        <f>IF(H1581=0,0,IF(OR(E1581=$AT$5,E1581=$AT$6),AA1581,IF(F1581="MXN",1/HLOOKUP(YEAR(G1581)+(MONTH(G1581)/100),TC!$5:$37,DAY(G1581)+2,FALSE),VLOOKUP(F1581,Equivalencia!$5:$23,((MAX(Equivalencia!$3:$3)-YEAR(G1581))*14)+MONTH(G1581)+2,FALSE))))</f>
        <v>0</v>
      </c>
      <c r="M1581" s="306">
        <f t="shared" si="411"/>
        <v>0</v>
      </c>
      <c r="N1581" s="305">
        <f>IF(G1581=0,0,(IF(OR(E1581=$AT$5,E1581=$AT$6),AC1581,HLOOKUP(YEAR(G1581)+(MONTH(G1581)/100),TC!$5:$37,DAY(G1581)+2,FALSE))))</f>
        <v>0</v>
      </c>
      <c r="O1581" s="307">
        <f t="shared" si="412"/>
        <v>0</v>
      </c>
      <c r="P1581" s="560">
        <f>IF(G1581=0,0,VLOOKUP(YEAR(G1581),INPC!$B$4:$P$30,MONTH(G1581)+2))</f>
        <v>0</v>
      </c>
      <c r="Q1581" s="560">
        <f>IF(X1581=0,0,IF(OR(E1581=$AT$10,E1581=$AT$9),VLOOKUP(YEAR(X1581),INPC!$B$4:$P$30,MONTH(X1581)+1),VLOOKUP(YEAR(X1581),INPC!$B$4:$P$30,MONTH(X1581)+2,0)))</f>
        <v>0</v>
      </c>
      <c r="R1581" s="309">
        <f t="shared" si="413"/>
        <v>0</v>
      </c>
      <c r="S1581" s="310">
        <f t="shared" si="414"/>
        <v>0</v>
      </c>
      <c r="T1581" s="555">
        <f t="shared" si="415"/>
        <v>0</v>
      </c>
      <c r="U1581" s="311"/>
      <c r="V1581" s="312"/>
      <c r="W1581" s="299"/>
      <c r="X1581" s="300"/>
      <c r="Y1581" s="299"/>
      <c r="Z1581" s="303"/>
      <c r="AA1581" s="305">
        <f>IF(Z1581=0,0,IF(Y1581="MXN",1/HLOOKUP(YEAR(X1581)+(MONTH(X1581)/100),TC!$5:$37,DAY(X1581)+2,FALSE),VLOOKUP(Y1581,Equivalencia!$1:$23,((MAX(Equivalencia!$3:$3)-YEAR(X1581))*14)+MONTH(X1581)+2,FALSE)))</f>
        <v>0</v>
      </c>
      <c r="AB1581" s="306">
        <f t="shared" si="416"/>
        <v>0</v>
      </c>
      <c r="AC1581" s="305">
        <f>+IF(X1581=0,0,HLOOKUP(YEAR(X1581)+(MONTH(X1581)/100),TC!$5:$37,DAY(X1581)+2,FALSE))</f>
        <v>0</v>
      </c>
      <c r="AD1581" s="307">
        <f t="shared" si="417"/>
        <v>0</v>
      </c>
      <c r="AE1581" s="314">
        <f t="shared" si="418"/>
        <v>0</v>
      </c>
      <c r="AF1581" s="315">
        <f t="shared" si="419"/>
        <v>0</v>
      </c>
      <c r="AG1581" s="316">
        <f t="shared" si="420"/>
        <v>0</v>
      </c>
      <c r="AH1581" s="314">
        <v>1</v>
      </c>
      <c r="AI1581" s="314">
        <f t="shared" si="421"/>
        <v>0</v>
      </c>
      <c r="AJ1581" s="314">
        <f t="shared" si="422"/>
        <v>0</v>
      </c>
      <c r="AK1581" s="317"/>
      <c r="AL1581" s="315">
        <f t="shared" si="423"/>
        <v>0</v>
      </c>
      <c r="AN1581" s="554">
        <f t="shared" si="424"/>
        <v>0</v>
      </c>
      <c r="AO1581" s="314"/>
      <c r="AP1581" s="318"/>
    </row>
    <row r="1582" spans="2:42">
      <c r="B1582" s="296"/>
      <c r="C1582" s="299"/>
      <c r="D1582" s="298"/>
      <c r="E1582" s="299"/>
      <c r="F1582" s="299"/>
      <c r="G1582" s="300"/>
      <c r="H1582" s="303"/>
      <c r="I1582" s="301">
        <f t="shared" si="408"/>
        <v>0</v>
      </c>
      <c r="J1582" s="302">
        <f t="shared" si="409"/>
        <v>0</v>
      </c>
      <c r="K1582" s="304">
        <f t="shared" si="410"/>
        <v>0</v>
      </c>
      <c r="L1582" s="305">
        <f>IF(H1582=0,0,IF(OR(E1582=$AT$5,E1582=$AT$6),AA1582,IF(F1582="MXN",1/HLOOKUP(YEAR(G1582)+(MONTH(G1582)/100),TC!$5:$37,DAY(G1582)+2,FALSE),VLOOKUP(F1582,Equivalencia!$5:$23,((MAX(Equivalencia!$3:$3)-YEAR(G1582))*14)+MONTH(G1582)+2,FALSE))))</f>
        <v>0</v>
      </c>
      <c r="M1582" s="306">
        <f t="shared" si="411"/>
        <v>0</v>
      </c>
      <c r="N1582" s="305">
        <f>IF(G1582=0,0,(IF(OR(E1582=$AT$5,E1582=$AT$6),AC1582,HLOOKUP(YEAR(G1582)+(MONTH(G1582)/100),TC!$5:$37,DAY(G1582)+2,FALSE))))</f>
        <v>0</v>
      </c>
      <c r="O1582" s="307">
        <f t="shared" si="412"/>
        <v>0</v>
      </c>
      <c r="P1582" s="560">
        <f>IF(G1582=0,0,VLOOKUP(YEAR(G1582),INPC!$B$4:$P$30,MONTH(G1582)+2))</f>
        <v>0</v>
      </c>
      <c r="Q1582" s="560">
        <f>IF(X1582=0,0,IF(OR(E1582=$AT$10,E1582=$AT$9),VLOOKUP(YEAR(X1582),INPC!$B$4:$P$30,MONTH(X1582)+1),VLOOKUP(YEAR(X1582),INPC!$B$4:$P$30,MONTH(X1582)+2,0)))</f>
        <v>0</v>
      </c>
      <c r="R1582" s="309">
        <f t="shared" si="413"/>
        <v>0</v>
      </c>
      <c r="S1582" s="310">
        <f t="shared" si="414"/>
        <v>0</v>
      </c>
      <c r="T1582" s="555">
        <f t="shared" si="415"/>
        <v>0</v>
      </c>
      <c r="U1582" s="311"/>
      <c r="V1582" s="312"/>
      <c r="W1582" s="299"/>
      <c r="X1582" s="300"/>
      <c r="Y1582" s="299"/>
      <c r="Z1582" s="303"/>
      <c r="AA1582" s="305">
        <f>IF(Z1582=0,0,IF(Y1582="MXN",1/HLOOKUP(YEAR(X1582)+(MONTH(X1582)/100),TC!$5:$37,DAY(X1582)+2,FALSE),VLOOKUP(Y1582,Equivalencia!$1:$23,((MAX(Equivalencia!$3:$3)-YEAR(X1582))*14)+MONTH(X1582)+2,FALSE)))</f>
        <v>0</v>
      </c>
      <c r="AB1582" s="306">
        <f t="shared" si="416"/>
        <v>0</v>
      </c>
      <c r="AC1582" s="305">
        <f>+IF(X1582=0,0,HLOOKUP(YEAR(X1582)+(MONTH(X1582)/100),TC!$5:$37,DAY(X1582)+2,FALSE))</f>
        <v>0</v>
      </c>
      <c r="AD1582" s="307">
        <f t="shared" si="417"/>
        <v>0</v>
      </c>
      <c r="AE1582" s="314">
        <f t="shared" si="418"/>
        <v>0</v>
      </c>
      <c r="AF1582" s="315">
        <f t="shared" si="419"/>
        <v>0</v>
      </c>
      <c r="AG1582" s="316">
        <f t="shared" si="420"/>
        <v>0</v>
      </c>
      <c r="AH1582" s="314">
        <v>1</v>
      </c>
      <c r="AI1582" s="314">
        <f t="shared" si="421"/>
        <v>0</v>
      </c>
      <c r="AJ1582" s="314">
        <f t="shared" si="422"/>
        <v>0</v>
      </c>
      <c r="AK1582" s="317"/>
      <c r="AL1582" s="315">
        <f t="shared" si="423"/>
        <v>0</v>
      </c>
      <c r="AN1582" s="554">
        <f t="shared" si="424"/>
        <v>0</v>
      </c>
      <c r="AO1582" s="314"/>
      <c r="AP1582" s="318"/>
    </row>
    <row r="1583" spans="2:42">
      <c r="B1583" s="296"/>
      <c r="C1583" s="299"/>
      <c r="D1583" s="298"/>
      <c r="E1583" s="299"/>
      <c r="F1583" s="299"/>
      <c r="G1583" s="300"/>
      <c r="H1583" s="303"/>
      <c r="I1583" s="301">
        <f t="shared" si="408"/>
        <v>0</v>
      </c>
      <c r="J1583" s="302">
        <f t="shared" si="409"/>
        <v>0</v>
      </c>
      <c r="K1583" s="304">
        <f t="shared" si="410"/>
        <v>0</v>
      </c>
      <c r="L1583" s="305">
        <f>IF(H1583=0,0,IF(OR(E1583=$AT$5,E1583=$AT$6),AA1583,IF(F1583="MXN",1/HLOOKUP(YEAR(G1583)+(MONTH(G1583)/100),TC!$5:$37,DAY(G1583)+2,FALSE),VLOOKUP(F1583,Equivalencia!$5:$23,((MAX(Equivalencia!$3:$3)-YEAR(G1583))*14)+MONTH(G1583)+2,FALSE))))</f>
        <v>0</v>
      </c>
      <c r="M1583" s="306">
        <f t="shared" si="411"/>
        <v>0</v>
      </c>
      <c r="N1583" s="305">
        <f>IF(G1583=0,0,(IF(OR(E1583=$AT$5,E1583=$AT$6),AC1583,HLOOKUP(YEAR(G1583)+(MONTH(G1583)/100),TC!$5:$37,DAY(G1583)+2,FALSE))))</f>
        <v>0</v>
      </c>
      <c r="O1583" s="307">
        <f t="shared" si="412"/>
        <v>0</v>
      </c>
      <c r="P1583" s="560">
        <f>IF(G1583=0,0,VLOOKUP(YEAR(G1583),INPC!$B$4:$P$30,MONTH(G1583)+2))</f>
        <v>0</v>
      </c>
      <c r="Q1583" s="560">
        <f>IF(X1583=0,0,IF(OR(E1583=$AT$10,E1583=$AT$9),VLOOKUP(YEAR(X1583),INPC!$B$4:$P$30,MONTH(X1583)+1),VLOOKUP(YEAR(X1583),INPC!$B$4:$P$30,MONTH(X1583)+2,0)))</f>
        <v>0</v>
      </c>
      <c r="R1583" s="309">
        <f t="shared" si="413"/>
        <v>0</v>
      </c>
      <c r="S1583" s="310">
        <f t="shared" si="414"/>
        <v>0</v>
      </c>
      <c r="T1583" s="555">
        <f t="shared" si="415"/>
        <v>0</v>
      </c>
      <c r="U1583" s="311"/>
      <c r="V1583" s="312"/>
      <c r="W1583" s="299"/>
      <c r="X1583" s="300"/>
      <c r="Y1583" s="299"/>
      <c r="Z1583" s="303"/>
      <c r="AA1583" s="305">
        <f>IF(Z1583=0,0,IF(Y1583="MXN",1/HLOOKUP(YEAR(X1583)+(MONTH(X1583)/100),TC!$5:$37,DAY(X1583)+2,FALSE),VLOOKUP(Y1583,Equivalencia!$1:$23,((MAX(Equivalencia!$3:$3)-YEAR(X1583))*14)+MONTH(X1583)+2,FALSE)))</f>
        <v>0</v>
      </c>
      <c r="AB1583" s="306">
        <f t="shared" si="416"/>
        <v>0</v>
      </c>
      <c r="AC1583" s="305">
        <f>+IF(X1583=0,0,HLOOKUP(YEAR(X1583)+(MONTH(X1583)/100),TC!$5:$37,DAY(X1583)+2,FALSE))</f>
        <v>0</v>
      </c>
      <c r="AD1583" s="307">
        <f t="shared" si="417"/>
        <v>0</v>
      </c>
      <c r="AE1583" s="314">
        <f t="shared" si="418"/>
        <v>0</v>
      </c>
      <c r="AF1583" s="315">
        <f t="shared" si="419"/>
        <v>0</v>
      </c>
      <c r="AG1583" s="316">
        <f t="shared" si="420"/>
        <v>0</v>
      </c>
      <c r="AH1583" s="314">
        <v>1</v>
      </c>
      <c r="AI1583" s="314">
        <f t="shared" si="421"/>
        <v>0</v>
      </c>
      <c r="AJ1583" s="314">
        <f t="shared" si="422"/>
        <v>0</v>
      </c>
      <c r="AK1583" s="317"/>
      <c r="AL1583" s="315">
        <f t="shared" si="423"/>
        <v>0</v>
      </c>
      <c r="AN1583" s="554">
        <f t="shared" si="424"/>
        <v>0</v>
      </c>
      <c r="AO1583" s="314"/>
      <c r="AP1583" s="318"/>
    </row>
    <row r="1584" spans="2:42">
      <c r="B1584" s="296"/>
      <c r="C1584" s="299"/>
      <c r="D1584" s="298"/>
      <c r="E1584" s="299"/>
      <c r="F1584" s="299"/>
      <c r="G1584" s="300"/>
      <c r="H1584" s="303"/>
      <c r="I1584" s="301">
        <f t="shared" si="408"/>
        <v>0</v>
      </c>
      <c r="J1584" s="302">
        <f t="shared" si="409"/>
        <v>0</v>
      </c>
      <c r="K1584" s="304">
        <f t="shared" si="410"/>
        <v>0</v>
      </c>
      <c r="L1584" s="305">
        <f>IF(H1584=0,0,IF(OR(E1584=$AT$5,E1584=$AT$6),AA1584,IF(F1584="MXN",1/HLOOKUP(YEAR(G1584)+(MONTH(G1584)/100),TC!$5:$37,DAY(G1584)+2,FALSE),VLOOKUP(F1584,Equivalencia!$5:$23,((MAX(Equivalencia!$3:$3)-YEAR(G1584))*14)+MONTH(G1584)+2,FALSE))))</f>
        <v>0</v>
      </c>
      <c r="M1584" s="306">
        <f t="shared" si="411"/>
        <v>0</v>
      </c>
      <c r="N1584" s="305">
        <f>IF(G1584=0,0,(IF(OR(E1584=$AT$5,E1584=$AT$6),AC1584,HLOOKUP(YEAR(G1584)+(MONTH(G1584)/100),TC!$5:$37,DAY(G1584)+2,FALSE))))</f>
        <v>0</v>
      </c>
      <c r="O1584" s="307">
        <f t="shared" si="412"/>
        <v>0</v>
      </c>
      <c r="P1584" s="560">
        <f>IF(G1584=0,0,VLOOKUP(YEAR(G1584),INPC!$B$4:$P$30,MONTH(G1584)+2))</f>
        <v>0</v>
      </c>
      <c r="Q1584" s="560">
        <f>IF(X1584=0,0,IF(OR(E1584=$AT$10,E1584=$AT$9),VLOOKUP(YEAR(X1584),INPC!$B$4:$P$30,MONTH(X1584)+1),VLOOKUP(YEAR(X1584),INPC!$B$4:$P$30,MONTH(X1584)+2,0)))</f>
        <v>0</v>
      </c>
      <c r="R1584" s="309">
        <f t="shared" si="413"/>
        <v>0</v>
      </c>
      <c r="S1584" s="310">
        <f t="shared" si="414"/>
        <v>0</v>
      </c>
      <c r="T1584" s="555">
        <f t="shared" si="415"/>
        <v>0</v>
      </c>
      <c r="U1584" s="311"/>
      <c r="V1584" s="312"/>
      <c r="W1584" s="299"/>
      <c r="X1584" s="300"/>
      <c r="Y1584" s="299"/>
      <c r="Z1584" s="303"/>
      <c r="AA1584" s="305">
        <f>IF(Z1584=0,0,IF(Y1584="MXN",1/HLOOKUP(YEAR(X1584)+(MONTH(X1584)/100),TC!$5:$37,DAY(X1584)+2,FALSE),VLOOKUP(Y1584,Equivalencia!$1:$23,((MAX(Equivalencia!$3:$3)-YEAR(X1584))*14)+MONTH(X1584)+2,FALSE)))</f>
        <v>0</v>
      </c>
      <c r="AB1584" s="306">
        <f t="shared" si="416"/>
        <v>0</v>
      </c>
      <c r="AC1584" s="305">
        <f>+IF(X1584=0,0,HLOOKUP(YEAR(X1584)+(MONTH(X1584)/100),TC!$5:$37,DAY(X1584)+2,FALSE))</f>
        <v>0</v>
      </c>
      <c r="AD1584" s="307">
        <f t="shared" si="417"/>
        <v>0</v>
      </c>
      <c r="AE1584" s="314">
        <f t="shared" si="418"/>
        <v>0</v>
      </c>
      <c r="AF1584" s="315">
        <f t="shared" si="419"/>
        <v>0</v>
      </c>
      <c r="AG1584" s="316">
        <f t="shared" si="420"/>
        <v>0</v>
      </c>
      <c r="AH1584" s="314">
        <v>1</v>
      </c>
      <c r="AI1584" s="314">
        <f t="shared" si="421"/>
        <v>0</v>
      </c>
      <c r="AJ1584" s="314">
        <f t="shared" si="422"/>
        <v>0</v>
      </c>
      <c r="AK1584" s="317"/>
      <c r="AL1584" s="315">
        <f t="shared" si="423"/>
        <v>0</v>
      </c>
      <c r="AN1584" s="554">
        <f t="shared" si="424"/>
        <v>0</v>
      </c>
      <c r="AO1584" s="314"/>
      <c r="AP1584" s="318"/>
    </row>
    <row r="1585" spans="2:42">
      <c r="B1585" s="296"/>
      <c r="C1585" s="299"/>
      <c r="D1585" s="298"/>
      <c r="E1585" s="299"/>
      <c r="F1585" s="299"/>
      <c r="G1585" s="300"/>
      <c r="H1585" s="303"/>
      <c r="I1585" s="301">
        <f t="shared" si="408"/>
        <v>0</v>
      </c>
      <c r="J1585" s="302">
        <f t="shared" si="409"/>
        <v>0</v>
      </c>
      <c r="K1585" s="304">
        <f t="shared" si="410"/>
        <v>0</v>
      </c>
      <c r="L1585" s="305">
        <f>IF(H1585=0,0,IF(OR(E1585=$AT$5,E1585=$AT$6),AA1585,IF(F1585="MXN",1/HLOOKUP(YEAR(G1585)+(MONTH(G1585)/100),TC!$5:$37,DAY(G1585)+2,FALSE),VLOOKUP(F1585,Equivalencia!$5:$23,((MAX(Equivalencia!$3:$3)-YEAR(G1585))*14)+MONTH(G1585)+2,FALSE))))</f>
        <v>0</v>
      </c>
      <c r="M1585" s="306">
        <f t="shared" si="411"/>
        <v>0</v>
      </c>
      <c r="N1585" s="305">
        <f>IF(G1585=0,0,(IF(OR(E1585=$AT$5,E1585=$AT$6),AC1585,HLOOKUP(YEAR(G1585)+(MONTH(G1585)/100),TC!$5:$37,DAY(G1585)+2,FALSE))))</f>
        <v>0</v>
      </c>
      <c r="O1585" s="307">
        <f t="shared" si="412"/>
        <v>0</v>
      </c>
      <c r="P1585" s="560">
        <f>IF(G1585=0,0,VLOOKUP(YEAR(G1585),INPC!$B$4:$P$30,MONTH(G1585)+2))</f>
        <v>0</v>
      </c>
      <c r="Q1585" s="560">
        <f>IF(X1585=0,0,IF(OR(E1585=$AT$10,E1585=$AT$9),VLOOKUP(YEAR(X1585),INPC!$B$4:$P$30,MONTH(X1585)+1),VLOOKUP(YEAR(X1585),INPC!$B$4:$P$30,MONTH(X1585)+2,0)))</f>
        <v>0</v>
      </c>
      <c r="R1585" s="309">
        <f t="shared" si="413"/>
        <v>0</v>
      </c>
      <c r="S1585" s="310">
        <f t="shared" si="414"/>
        <v>0</v>
      </c>
      <c r="T1585" s="555">
        <f t="shared" si="415"/>
        <v>0</v>
      </c>
      <c r="U1585" s="311"/>
      <c r="V1585" s="312"/>
      <c r="W1585" s="299"/>
      <c r="X1585" s="300"/>
      <c r="Y1585" s="299"/>
      <c r="Z1585" s="303"/>
      <c r="AA1585" s="305">
        <f>IF(Z1585=0,0,IF(Y1585="MXN",1/HLOOKUP(YEAR(X1585)+(MONTH(X1585)/100),TC!$5:$37,DAY(X1585)+2,FALSE),VLOOKUP(Y1585,Equivalencia!$1:$23,((MAX(Equivalencia!$3:$3)-YEAR(X1585))*14)+MONTH(X1585)+2,FALSE)))</f>
        <v>0</v>
      </c>
      <c r="AB1585" s="306">
        <f t="shared" si="416"/>
        <v>0</v>
      </c>
      <c r="AC1585" s="305">
        <f>+IF(X1585=0,0,HLOOKUP(YEAR(X1585)+(MONTH(X1585)/100),TC!$5:$37,DAY(X1585)+2,FALSE))</f>
        <v>0</v>
      </c>
      <c r="AD1585" s="307">
        <f t="shared" si="417"/>
        <v>0</v>
      </c>
      <c r="AE1585" s="314">
        <f t="shared" si="418"/>
        <v>0</v>
      </c>
      <c r="AF1585" s="315">
        <f t="shared" si="419"/>
        <v>0</v>
      </c>
      <c r="AG1585" s="316">
        <f t="shared" si="420"/>
        <v>0</v>
      </c>
      <c r="AH1585" s="314">
        <v>1</v>
      </c>
      <c r="AI1585" s="314">
        <f t="shared" si="421"/>
        <v>0</v>
      </c>
      <c r="AJ1585" s="314">
        <f t="shared" si="422"/>
        <v>0</v>
      </c>
      <c r="AK1585" s="317"/>
      <c r="AL1585" s="315">
        <f t="shared" si="423"/>
        <v>0</v>
      </c>
      <c r="AN1585" s="554">
        <f t="shared" si="424"/>
        <v>0</v>
      </c>
      <c r="AO1585" s="314"/>
      <c r="AP1585" s="318"/>
    </row>
    <row r="1586" spans="2:42">
      <c r="B1586" s="296"/>
      <c r="C1586" s="299"/>
      <c r="D1586" s="298"/>
      <c r="E1586" s="299"/>
      <c r="F1586" s="299"/>
      <c r="G1586" s="300"/>
      <c r="H1586" s="303"/>
      <c r="I1586" s="301">
        <f t="shared" si="408"/>
        <v>0</v>
      </c>
      <c r="J1586" s="302">
        <f t="shared" si="409"/>
        <v>0</v>
      </c>
      <c r="K1586" s="304">
        <f t="shared" si="410"/>
        <v>0</v>
      </c>
      <c r="L1586" s="305">
        <f>IF(H1586=0,0,IF(OR(E1586=$AT$5,E1586=$AT$6),AA1586,IF(F1586="MXN",1/HLOOKUP(YEAR(G1586)+(MONTH(G1586)/100),TC!$5:$37,DAY(G1586)+2,FALSE),VLOOKUP(F1586,Equivalencia!$5:$23,((MAX(Equivalencia!$3:$3)-YEAR(G1586))*14)+MONTH(G1586)+2,FALSE))))</f>
        <v>0</v>
      </c>
      <c r="M1586" s="306">
        <f t="shared" si="411"/>
        <v>0</v>
      </c>
      <c r="N1586" s="305">
        <f>IF(G1586=0,0,(IF(OR(E1586=$AT$5,E1586=$AT$6),AC1586,HLOOKUP(YEAR(G1586)+(MONTH(G1586)/100),TC!$5:$37,DAY(G1586)+2,FALSE))))</f>
        <v>0</v>
      </c>
      <c r="O1586" s="307">
        <f t="shared" si="412"/>
        <v>0</v>
      </c>
      <c r="P1586" s="560">
        <f>IF(G1586=0,0,VLOOKUP(YEAR(G1586),INPC!$B$4:$P$30,MONTH(G1586)+2))</f>
        <v>0</v>
      </c>
      <c r="Q1586" s="560">
        <f>IF(X1586=0,0,IF(OR(E1586=$AT$10,E1586=$AT$9),VLOOKUP(YEAR(X1586),INPC!$B$4:$P$30,MONTH(X1586)+1),VLOOKUP(YEAR(X1586),INPC!$B$4:$P$30,MONTH(X1586)+2,0)))</f>
        <v>0</v>
      </c>
      <c r="R1586" s="309">
        <f t="shared" si="413"/>
        <v>0</v>
      </c>
      <c r="S1586" s="310">
        <f t="shared" si="414"/>
        <v>0</v>
      </c>
      <c r="T1586" s="555">
        <f t="shared" si="415"/>
        <v>0</v>
      </c>
      <c r="U1586" s="311"/>
      <c r="V1586" s="312"/>
      <c r="W1586" s="299"/>
      <c r="X1586" s="300"/>
      <c r="Y1586" s="299"/>
      <c r="Z1586" s="303"/>
      <c r="AA1586" s="305">
        <f>IF(Z1586=0,0,IF(Y1586="MXN",1/HLOOKUP(YEAR(X1586)+(MONTH(X1586)/100),TC!$5:$37,DAY(X1586)+2,FALSE),VLOOKUP(Y1586,Equivalencia!$1:$23,((MAX(Equivalencia!$3:$3)-YEAR(X1586))*14)+MONTH(X1586)+2,FALSE)))</f>
        <v>0</v>
      </c>
      <c r="AB1586" s="306">
        <f t="shared" si="416"/>
        <v>0</v>
      </c>
      <c r="AC1586" s="305">
        <f>+IF(X1586=0,0,HLOOKUP(YEAR(X1586)+(MONTH(X1586)/100),TC!$5:$37,DAY(X1586)+2,FALSE))</f>
        <v>0</v>
      </c>
      <c r="AD1586" s="307">
        <f t="shared" si="417"/>
        <v>0</v>
      </c>
      <c r="AE1586" s="314">
        <f t="shared" si="418"/>
        <v>0</v>
      </c>
      <c r="AF1586" s="315">
        <f t="shared" si="419"/>
        <v>0</v>
      </c>
      <c r="AG1586" s="316">
        <f t="shared" si="420"/>
        <v>0</v>
      </c>
      <c r="AH1586" s="314">
        <v>1</v>
      </c>
      <c r="AI1586" s="314">
        <f t="shared" si="421"/>
        <v>0</v>
      </c>
      <c r="AJ1586" s="314">
        <f t="shared" si="422"/>
        <v>0</v>
      </c>
      <c r="AK1586" s="317"/>
      <c r="AL1586" s="315">
        <f t="shared" si="423"/>
        <v>0</v>
      </c>
      <c r="AN1586" s="554">
        <f t="shared" si="424"/>
        <v>0</v>
      </c>
      <c r="AO1586" s="314"/>
      <c r="AP1586" s="318"/>
    </row>
    <row r="1587" spans="2:42">
      <c r="B1587" s="296"/>
      <c r="C1587" s="299"/>
      <c r="D1587" s="298"/>
      <c r="E1587" s="299"/>
      <c r="F1587" s="299"/>
      <c r="G1587" s="300"/>
      <c r="H1587" s="303"/>
      <c r="I1587" s="301">
        <f t="shared" si="408"/>
        <v>0</v>
      </c>
      <c r="J1587" s="302">
        <f t="shared" si="409"/>
        <v>0</v>
      </c>
      <c r="K1587" s="304">
        <f t="shared" si="410"/>
        <v>0</v>
      </c>
      <c r="L1587" s="305">
        <f>IF(H1587=0,0,IF(OR(E1587=$AT$5,E1587=$AT$6),AA1587,IF(F1587="MXN",1/HLOOKUP(YEAR(G1587)+(MONTH(G1587)/100),TC!$5:$37,DAY(G1587)+2,FALSE),VLOOKUP(F1587,Equivalencia!$5:$23,((MAX(Equivalencia!$3:$3)-YEAR(G1587))*14)+MONTH(G1587)+2,FALSE))))</f>
        <v>0</v>
      </c>
      <c r="M1587" s="306">
        <f t="shared" si="411"/>
        <v>0</v>
      </c>
      <c r="N1587" s="305">
        <f>IF(G1587=0,0,(IF(OR(E1587=$AT$5,E1587=$AT$6),AC1587,HLOOKUP(YEAR(G1587)+(MONTH(G1587)/100),TC!$5:$37,DAY(G1587)+2,FALSE))))</f>
        <v>0</v>
      </c>
      <c r="O1587" s="307">
        <f t="shared" si="412"/>
        <v>0</v>
      </c>
      <c r="P1587" s="560">
        <f>IF(G1587=0,0,VLOOKUP(YEAR(G1587),INPC!$B$4:$P$30,MONTH(G1587)+2))</f>
        <v>0</v>
      </c>
      <c r="Q1587" s="560">
        <f>IF(X1587=0,0,IF(OR(E1587=$AT$10,E1587=$AT$9),VLOOKUP(YEAR(X1587),INPC!$B$4:$P$30,MONTH(X1587)+1),VLOOKUP(YEAR(X1587),INPC!$B$4:$P$30,MONTH(X1587)+2,0)))</f>
        <v>0</v>
      </c>
      <c r="R1587" s="309">
        <f t="shared" si="413"/>
        <v>0</v>
      </c>
      <c r="S1587" s="310">
        <f t="shared" si="414"/>
        <v>0</v>
      </c>
      <c r="T1587" s="555">
        <f t="shared" si="415"/>
        <v>0</v>
      </c>
      <c r="U1587" s="311"/>
      <c r="V1587" s="312"/>
      <c r="W1587" s="299"/>
      <c r="X1587" s="300"/>
      <c r="Y1587" s="299"/>
      <c r="Z1587" s="303"/>
      <c r="AA1587" s="305">
        <f>IF(Z1587=0,0,IF(Y1587="MXN",1/HLOOKUP(YEAR(X1587)+(MONTH(X1587)/100),TC!$5:$37,DAY(X1587)+2,FALSE),VLOOKUP(Y1587,Equivalencia!$1:$23,((MAX(Equivalencia!$3:$3)-YEAR(X1587))*14)+MONTH(X1587)+2,FALSE)))</f>
        <v>0</v>
      </c>
      <c r="AB1587" s="306">
        <f t="shared" si="416"/>
        <v>0</v>
      </c>
      <c r="AC1587" s="305">
        <f>+IF(X1587=0,0,HLOOKUP(YEAR(X1587)+(MONTH(X1587)/100),TC!$5:$37,DAY(X1587)+2,FALSE))</f>
        <v>0</v>
      </c>
      <c r="AD1587" s="307">
        <f t="shared" si="417"/>
        <v>0</v>
      </c>
      <c r="AE1587" s="314">
        <f t="shared" si="418"/>
        <v>0</v>
      </c>
      <c r="AF1587" s="315">
        <f t="shared" si="419"/>
        <v>0</v>
      </c>
      <c r="AG1587" s="316">
        <f t="shared" si="420"/>
        <v>0</v>
      </c>
      <c r="AH1587" s="314">
        <v>1</v>
      </c>
      <c r="AI1587" s="314">
        <f t="shared" si="421"/>
        <v>0</v>
      </c>
      <c r="AJ1587" s="314">
        <f t="shared" si="422"/>
        <v>0</v>
      </c>
      <c r="AK1587" s="317"/>
      <c r="AL1587" s="315">
        <f t="shared" si="423"/>
        <v>0</v>
      </c>
      <c r="AN1587" s="554">
        <f t="shared" si="424"/>
        <v>0</v>
      </c>
      <c r="AO1587" s="314"/>
      <c r="AP1587" s="318"/>
    </row>
    <row r="1588" spans="2:42">
      <c r="B1588" s="296"/>
      <c r="C1588" s="299"/>
      <c r="D1588" s="298"/>
      <c r="E1588" s="299"/>
      <c r="F1588" s="299"/>
      <c r="G1588" s="300"/>
      <c r="H1588" s="303"/>
      <c r="I1588" s="301">
        <f t="shared" si="408"/>
        <v>0</v>
      </c>
      <c r="J1588" s="302">
        <f t="shared" si="409"/>
        <v>0</v>
      </c>
      <c r="K1588" s="304">
        <f t="shared" si="410"/>
        <v>0</v>
      </c>
      <c r="L1588" s="305">
        <f>IF(H1588=0,0,IF(OR(E1588=$AT$5,E1588=$AT$6),AA1588,IF(F1588="MXN",1/HLOOKUP(YEAR(G1588)+(MONTH(G1588)/100),TC!$5:$37,DAY(G1588)+2,FALSE),VLOOKUP(F1588,Equivalencia!$5:$23,((MAX(Equivalencia!$3:$3)-YEAR(G1588))*14)+MONTH(G1588)+2,FALSE))))</f>
        <v>0</v>
      </c>
      <c r="M1588" s="306">
        <f t="shared" si="411"/>
        <v>0</v>
      </c>
      <c r="N1588" s="305">
        <f>IF(G1588=0,0,(IF(OR(E1588=$AT$5,E1588=$AT$6),AC1588,HLOOKUP(YEAR(G1588)+(MONTH(G1588)/100),TC!$5:$37,DAY(G1588)+2,FALSE))))</f>
        <v>0</v>
      </c>
      <c r="O1588" s="307">
        <f t="shared" si="412"/>
        <v>0</v>
      </c>
      <c r="P1588" s="560">
        <f>IF(G1588=0,0,VLOOKUP(YEAR(G1588),INPC!$B$4:$P$30,MONTH(G1588)+2))</f>
        <v>0</v>
      </c>
      <c r="Q1588" s="560">
        <f>IF(X1588=0,0,IF(OR(E1588=$AT$10,E1588=$AT$9),VLOOKUP(YEAR(X1588),INPC!$B$4:$P$30,MONTH(X1588)+1),VLOOKUP(YEAR(X1588),INPC!$B$4:$P$30,MONTH(X1588)+2,0)))</f>
        <v>0</v>
      </c>
      <c r="R1588" s="309">
        <f t="shared" si="413"/>
        <v>0</v>
      </c>
      <c r="S1588" s="310">
        <f t="shared" si="414"/>
        <v>0</v>
      </c>
      <c r="T1588" s="555">
        <f t="shared" si="415"/>
        <v>0</v>
      </c>
      <c r="U1588" s="311"/>
      <c r="V1588" s="312"/>
      <c r="W1588" s="299"/>
      <c r="X1588" s="300"/>
      <c r="Y1588" s="299"/>
      <c r="Z1588" s="303"/>
      <c r="AA1588" s="305">
        <f>IF(Z1588=0,0,IF(Y1588="MXN",1/HLOOKUP(YEAR(X1588)+(MONTH(X1588)/100),TC!$5:$37,DAY(X1588)+2,FALSE),VLOOKUP(Y1588,Equivalencia!$1:$23,((MAX(Equivalencia!$3:$3)-YEAR(X1588))*14)+MONTH(X1588)+2,FALSE)))</f>
        <v>0</v>
      </c>
      <c r="AB1588" s="306">
        <f t="shared" si="416"/>
        <v>0</v>
      </c>
      <c r="AC1588" s="305">
        <f>+IF(X1588=0,0,HLOOKUP(YEAR(X1588)+(MONTH(X1588)/100),TC!$5:$37,DAY(X1588)+2,FALSE))</f>
        <v>0</v>
      </c>
      <c r="AD1588" s="307">
        <f t="shared" si="417"/>
        <v>0</v>
      </c>
      <c r="AE1588" s="314">
        <f t="shared" si="418"/>
        <v>0</v>
      </c>
      <c r="AF1588" s="315">
        <f t="shared" si="419"/>
        <v>0</v>
      </c>
      <c r="AG1588" s="316">
        <f t="shared" si="420"/>
        <v>0</v>
      </c>
      <c r="AH1588" s="314">
        <v>1</v>
      </c>
      <c r="AI1588" s="314">
        <f t="shared" si="421"/>
        <v>0</v>
      </c>
      <c r="AJ1588" s="314">
        <f t="shared" si="422"/>
        <v>0</v>
      </c>
      <c r="AK1588" s="317"/>
      <c r="AL1588" s="315">
        <f t="shared" si="423"/>
        <v>0</v>
      </c>
      <c r="AN1588" s="554">
        <f t="shared" si="424"/>
        <v>0</v>
      </c>
      <c r="AO1588" s="314"/>
      <c r="AP1588" s="318"/>
    </row>
    <row r="1589" spans="2:42">
      <c r="B1589" s="296"/>
      <c r="C1589" s="299"/>
      <c r="D1589" s="298"/>
      <c r="E1589" s="299"/>
      <c r="F1589" s="299"/>
      <c r="G1589" s="300"/>
      <c r="H1589" s="303"/>
      <c r="I1589" s="301">
        <f t="shared" si="408"/>
        <v>0</v>
      </c>
      <c r="J1589" s="302">
        <f t="shared" si="409"/>
        <v>0</v>
      </c>
      <c r="K1589" s="304">
        <f t="shared" si="410"/>
        <v>0</v>
      </c>
      <c r="L1589" s="305">
        <f>IF(H1589=0,0,IF(OR(E1589=$AT$5,E1589=$AT$6),AA1589,IF(F1589="MXN",1/HLOOKUP(YEAR(G1589)+(MONTH(G1589)/100),TC!$5:$37,DAY(G1589)+2,FALSE),VLOOKUP(F1589,Equivalencia!$5:$23,((MAX(Equivalencia!$3:$3)-YEAR(G1589))*14)+MONTH(G1589)+2,FALSE))))</f>
        <v>0</v>
      </c>
      <c r="M1589" s="306">
        <f t="shared" si="411"/>
        <v>0</v>
      </c>
      <c r="N1589" s="305">
        <f>IF(G1589=0,0,(IF(OR(E1589=$AT$5,E1589=$AT$6),AC1589,HLOOKUP(YEAR(G1589)+(MONTH(G1589)/100),TC!$5:$37,DAY(G1589)+2,FALSE))))</f>
        <v>0</v>
      </c>
      <c r="O1589" s="307">
        <f t="shared" si="412"/>
        <v>0</v>
      </c>
      <c r="P1589" s="560">
        <f>IF(G1589=0,0,VLOOKUP(YEAR(G1589),INPC!$B$4:$P$30,MONTH(G1589)+2))</f>
        <v>0</v>
      </c>
      <c r="Q1589" s="560">
        <f>IF(X1589=0,0,IF(OR(E1589=$AT$10,E1589=$AT$9),VLOOKUP(YEAR(X1589),INPC!$B$4:$P$30,MONTH(X1589)+1),VLOOKUP(YEAR(X1589),INPC!$B$4:$P$30,MONTH(X1589)+2,0)))</f>
        <v>0</v>
      </c>
      <c r="R1589" s="309">
        <f t="shared" si="413"/>
        <v>0</v>
      </c>
      <c r="S1589" s="310">
        <f t="shared" si="414"/>
        <v>0</v>
      </c>
      <c r="T1589" s="555">
        <f t="shared" si="415"/>
        <v>0</v>
      </c>
      <c r="U1589" s="311"/>
      <c r="V1589" s="312"/>
      <c r="W1589" s="299"/>
      <c r="X1589" s="300"/>
      <c r="Y1589" s="299"/>
      <c r="Z1589" s="303"/>
      <c r="AA1589" s="305">
        <f>IF(Z1589=0,0,IF(Y1589="MXN",1/HLOOKUP(YEAR(X1589)+(MONTH(X1589)/100),TC!$5:$37,DAY(X1589)+2,FALSE),VLOOKUP(Y1589,Equivalencia!$1:$23,((MAX(Equivalencia!$3:$3)-YEAR(X1589))*14)+MONTH(X1589)+2,FALSE)))</f>
        <v>0</v>
      </c>
      <c r="AB1589" s="306">
        <f t="shared" si="416"/>
        <v>0</v>
      </c>
      <c r="AC1589" s="305">
        <f>+IF(X1589=0,0,HLOOKUP(YEAR(X1589)+(MONTH(X1589)/100),TC!$5:$37,DAY(X1589)+2,FALSE))</f>
        <v>0</v>
      </c>
      <c r="AD1589" s="307">
        <f t="shared" si="417"/>
        <v>0</v>
      </c>
      <c r="AE1589" s="314">
        <f t="shared" si="418"/>
        <v>0</v>
      </c>
      <c r="AF1589" s="315">
        <f t="shared" si="419"/>
        <v>0</v>
      </c>
      <c r="AG1589" s="316">
        <f t="shared" si="420"/>
        <v>0</v>
      </c>
      <c r="AH1589" s="314">
        <v>1</v>
      </c>
      <c r="AI1589" s="314">
        <f t="shared" si="421"/>
        <v>0</v>
      </c>
      <c r="AJ1589" s="314">
        <f t="shared" si="422"/>
        <v>0</v>
      </c>
      <c r="AK1589" s="317"/>
      <c r="AL1589" s="315">
        <f t="shared" si="423"/>
        <v>0</v>
      </c>
      <c r="AN1589" s="554">
        <f t="shared" si="424"/>
        <v>0</v>
      </c>
      <c r="AO1589" s="314"/>
      <c r="AP1589" s="318"/>
    </row>
    <row r="1590" spans="2:42">
      <c r="B1590" s="296"/>
      <c r="C1590" s="299"/>
      <c r="D1590" s="298"/>
      <c r="E1590" s="299"/>
      <c r="F1590" s="299"/>
      <c r="G1590" s="300"/>
      <c r="H1590" s="303"/>
      <c r="I1590" s="301">
        <f t="shared" si="408"/>
        <v>0</v>
      </c>
      <c r="J1590" s="302">
        <f t="shared" si="409"/>
        <v>0</v>
      </c>
      <c r="K1590" s="304">
        <f t="shared" si="410"/>
        <v>0</v>
      </c>
      <c r="L1590" s="305">
        <f>IF(H1590=0,0,IF(OR(E1590=$AT$5,E1590=$AT$6),AA1590,IF(F1590="MXN",1/HLOOKUP(YEAR(G1590)+(MONTH(G1590)/100),TC!$5:$37,DAY(G1590)+2,FALSE),VLOOKUP(F1590,Equivalencia!$5:$23,((MAX(Equivalencia!$3:$3)-YEAR(G1590))*14)+MONTH(G1590)+2,FALSE))))</f>
        <v>0</v>
      </c>
      <c r="M1590" s="306">
        <f t="shared" si="411"/>
        <v>0</v>
      </c>
      <c r="N1590" s="305">
        <f>IF(G1590=0,0,(IF(OR(E1590=$AT$5,E1590=$AT$6),AC1590,HLOOKUP(YEAR(G1590)+(MONTH(G1590)/100),TC!$5:$37,DAY(G1590)+2,FALSE))))</f>
        <v>0</v>
      </c>
      <c r="O1590" s="307">
        <f t="shared" si="412"/>
        <v>0</v>
      </c>
      <c r="P1590" s="560">
        <f>IF(G1590=0,0,VLOOKUP(YEAR(G1590),INPC!$B$4:$P$30,MONTH(G1590)+2))</f>
        <v>0</v>
      </c>
      <c r="Q1590" s="560">
        <f>IF(X1590=0,0,IF(OR(E1590=$AT$10,E1590=$AT$9),VLOOKUP(YEAR(X1590),INPC!$B$4:$P$30,MONTH(X1590)+1),VLOOKUP(YEAR(X1590),INPC!$B$4:$P$30,MONTH(X1590)+2,0)))</f>
        <v>0</v>
      </c>
      <c r="R1590" s="309">
        <f t="shared" si="413"/>
        <v>0</v>
      </c>
      <c r="S1590" s="310">
        <f t="shared" si="414"/>
        <v>0</v>
      </c>
      <c r="T1590" s="555">
        <f t="shared" si="415"/>
        <v>0</v>
      </c>
      <c r="U1590" s="311"/>
      <c r="V1590" s="312"/>
      <c r="W1590" s="299"/>
      <c r="X1590" s="300"/>
      <c r="Y1590" s="299"/>
      <c r="Z1590" s="303"/>
      <c r="AA1590" s="305">
        <f>IF(Z1590=0,0,IF(Y1590="MXN",1/HLOOKUP(YEAR(X1590)+(MONTH(X1590)/100),TC!$5:$37,DAY(X1590)+2,FALSE),VLOOKUP(Y1590,Equivalencia!$1:$23,((MAX(Equivalencia!$3:$3)-YEAR(X1590))*14)+MONTH(X1590)+2,FALSE)))</f>
        <v>0</v>
      </c>
      <c r="AB1590" s="306">
        <f t="shared" si="416"/>
        <v>0</v>
      </c>
      <c r="AC1590" s="305">
        <f>+IF(X1590=0,0,HLOOKUP(YEAR(X1590)+(MONTH(X1590)/100),TC!$5:$37,DAY(X1590)+2,FALSE))</f>
        <v>0</v>
      </c>
      <c r="AD1590" s="307">
        <f t="shared" si="417"/>
        <v>0</v>
      </c>
      <c r="AE1590" s="314">
        <f t="shared" si="418"/>
        <v>0</v>
      </c>
      <c r="AF1590" s="315">
        <f t="shared" si="419"/>
        <v>0</v>
      </c>
      <c r="AG1590" s="316">
        <f t="shared" si="420"/>
        <v>0</v>
      </c>
      <c r="AH1590" s="314">
        <v>1</v>
      </c>
      <c r="AI1590" s="314">
        <f t="shared" si="421"/>
        <v>0</v>
      </c>
      <c r="AJ1590" s="314">
        <f t="shared" si="422"/>
        <v>0</v>
      </c>
      <c r="AK1590" s="317"/>
      <c r="AL1590" s="315">
        <f t="shared" si="423"/>
        <v>0</v>
      </c>
      <c r="AN1590" s="554">
        <f t="shared" si="424"/>
        <v>0</v>
      </c>
      <c r="AO1590" s="314"/>
      <c r="AP1590" s="318"/>
    </row>
    <row r="1591" spans="2:42">
      <c r="B1591" s="296"/>
      <c r="C1591" s="299"/>
      <c r="D1591" s="298"/>
      <c r="E1591" s="299"/>
      <c r="F1591" s="299"/>
      <c r="G1591" s="300"/>
      <c r="H1591" s="303"/>
      <c r="I1591" s="301">
        <f t="shared" si="408"/>
        <v>0</v>
      </c>
      <c r="J1591" s="302">
        <f t="shared" si="409"/>
        <v>0</v>
      </c>
      <c r="K1591" s="304">
        <f t="shared" si="410"/>
        <v>0</v>
      </c>
      <c r="L1591" s="305">
        <f>IF(H1591=0,0,IF(OR(E1591=$AT$5,E1591=$AT$6),AA1591,IF(F1591="MXN",1/HLOOKUP(YEAR(G1591)+(MONTH(G1591)/100),TC!$5:$37,DAY(G1591)+2,FALSE),VLOOKUP(F1591,Equivalencia!$5:$23,((MAX(Equivalencia!$3:$3)-YEAR(G1591))*14)+MONTH(G1591)+2,FALSE))))</f>
        <v>0</v>
      </c>
      <c r="M1591" s="306">
        <f t="shared" si="411"/>
        <v>0</v>
      </c>
      <c r="N1591" s="305">
        <f>IF(G1591=0,0,(IF(OR(E1591=$AT$5,E1591=$AT$6),AC1591,HLOOKUP(YEAR(G1591)+(MONTH(G1591)/100),TC!$5:$37,DAY(G1591)+2,FALSE))))</f>
        <v>0</v>
      </c>
      <c r="O1591" s="307">
        <f t="shared" si="412"/>
        <v>0</v>
      </c>
      <c r="P1591" s="560">
        <f>IF(G1591=0,0,VLOOKUP(YEAR(G1591),INPC!$B$4:$P$30,MONTH(G1591)+2))</f>
        <v>0</v>
      </c>
      <c r="Q1591" s="560">
        <f>IF(X1591=0,0,IF(OR(E1591=$AT$10,E1591=$AT$9),VLOOKUP(YEAR(X1591),INPC!$B$4:$P$30,MONTH(X1591)+1),VLOOKUP(YEAR(X1591),INPC!$B$4:$P$30,MONTH(X1591)+2,0)))</f>
        <v>0</v>
      </c>
      <c r="R1591" s="309">
        <f t="shared" si="413"/>
        <v>0</v>
      </c>
      <c r="S1591" s="310">
        <f t="shared" si="414"/>
        <v>0</v>
      </c>
      <c r="T1591" s="555">
        <f t="shared" si="415"/>
        <v>0</v>
      </c>
      <c r="U1591" s="311"/>
      <c r="V1591" s="312"/>
      <c r="W1591" s="299"/>
      <c r="X1591" s="300"/>
      <c r="Y1591" s="299"/>
      <c r="Z1591" s="303"/>
      <c r="AA1591" s="305">
        <f>IF(Z1591=0,0,IF(Y1591="MXN",1/HLOOKUP(YEAR(X1591)+(MONTH(X1591)/100),TC!$5:$37,DAY(X1591)+2,FALSE),VLOOKUP(Y1591,Equivalencia!$1:$23,((MAX(Equivalencia!$3:$3)-YEAR(X1591))*14)+MONTH(X1591)+2,FALSE)))</f>
        <v>0</v>
      </c>
      <c r="AB1591" s="306">
        <f t="shared" si="416"/>
        <v>0</v>
      </c>
      <c r="AC1591" s="305">
        <f>+IF(X1591=0,0,HLOOKUP(YEAR(X1591)+(MONTH(X1591)/100),TC!$5:$37,DAY(X1591)+2,FALSE))</f>
        <v>0</v>
      </c>
      <c r="AD1591" s="307">
        <f t="shared" si="417"/>
        <v>0</v>
      </c>
      <c r="AE1591" s="314">
        <f t="shared" si="418"/>
        <v>0</v>
      </c>
      <c r="AF1591" s="315">
        <f t="shared" si="419"/>
        <v>0</v>
      </c>
      <c r="AG1591" s="316">
        <f t="shared" si="420"/>
        <v>0</v>
      </c>
      <c r="AH1591" s="314">
        <v>1</v>
      </c>
      <c r="AI1591" s="314">
        <f t="shared" si="421"/>
        <v>0</v>
      </c>
      <c r="AJ1591" s="314">
        <f t="shared" si="422"/>
        <v>0</v>
      </c>
      <c r="AK1591" s="317"/>
      <c r="AL1591" s="315">
        <f t="shared" si="423"/>
        <v>0</v>
      </c>
      <c r="AN1591" s="554">
        <f t="shared" si="424"/>
        <v>0</v>
      </c>
      <c r="AO1591" s="314"/>
      <c r="AP1591" s="318"/>
    </row>
    <row r="1592" spans="2:42">
      <c r="B1592" s="296"/>
      <c r="C1592" s="299"/>
      <c r="D1592" s="298"/>
      <c r="E1592" s="299"/>
      <c r="F1592" s="299"/>
      <c r="G1592" s="300"/>
      <c r="H1592" s="303"/>
      <c r="I1592" s="301">
        <f t="shared" si="408"/>
        <v>0</v>
      </c>
      <c r="J1592" s="302">
        <f t="shared" si="409"/>
        <v>0</v>
      </c>
      <c r="K1592" s="304">
        <f t="shared" si="410"/>
        <v>0</v>
      </c>
      <c r="L1592" s="305">
        <f>IF(H1592=0,0,IF(OR(E1592=$AT$5,E1592=$AT$6),AA1592,IF(F1592="MXN",1/HLOOKUP(YEAR(G1592)+(MONTH(G1592)/100),TC!$5:$37,DAY(G1592)+2,FALSE),VLOOKUP(F1592,Equivalencia!$5:$23,((MAX(Equivalencia!$3:$3)-YEAR(G1592))*14)+MONTH(G1592)+2,FALSE))))</f>
        <v>0</v>
      </c>
      <c r="M1592" s="306">
        <f t="shared" si="411"/>
        <v>0</v>
      </c>
      <c r="N1592" s="305">
        <f>IF(G1592=0,0,(IF(OR(E1592=$AT$5,E1592=$AT$6),AC1592,HLOOKUP(YEAR(G1592)+(MONTH(G1592)/100),TC!$5:$37,DAY(G1592)+2,FALSE))))</f>
        <v>0</v>
      </c>
      <c r="O1592" s="307">
        <f t="shared" si="412"/>
        <v>0</v>
      </c>
      <c r="P1592" s="560">
        <f>IF(G1592=0,0,VLOOKUP(YEAR(G1592),INPC!$B$4:$P$30,MONTH(G1592)+2))</f>
        <v>0</v>
      </c>
      <c r="Q1592" s="560">
        <f>IF(X1592=0,0,IF(OR(E1592=$AT$10,E1592=$AT$9),VLOOKUP(YEAR(X1592),INPC!$B$4:$P$30,MONTH(X1592)+1),VLOOKUP(YEAR(X1592),INPC!$B$4:$P$30,MONTH(X1592)+2,0)))</f>
        <v>0</v>
      </c>
      <c r="R1592" s="309">
        <f t="shared" si="413"/>
        <v>0</v>
      </c>
      <c r="S1592" s="310">
        <f t="shared" si="414"/>
        <v>0</v>
      </c>
      <c r="T1592" s="555">
        <f t="shared" si="415"/>
        <v>0</v>
      </c>
      <c r="U1592" s="311"/>
      <c r="V1592" s="312"/>
      <c r="W1592" s="299"/>
      <c r="X1592" s="300"/>
      <c r="Y1592" s="299"/>
      <c r="Z1592" s="303"/>
      <c r="AA1592" s="305">
        <f>IF(Z1592=0,0,IF(Y1592="MXN",1/HLOOKUP(YEAR(X1592)+(MONTH(X1592)/100),TC!$5:$37,DAY(X1592)+2,FALSE),VLOOKUP(Y1592,Equivalencia!$1:$23,((MAX(Equivalencia!$3:$3)-YEAR(X1592))*14)+MONTH(X1592)+2,FALSE)))</f>
        <v>0</v>
      </c>
      <c r="AB1592" s="306">
        <f t="shared" si="416"/>
        <v>0</v>
      </c>
      <c r="AC1592" s="305">
        <f>+IF(X1592=0,0,HLOOKUP(YEAR(X1592)+(MONTH(X1592)/100),TC!$5:$37,DAY(X1592)+2,FALSE))</f>
        <v>0</v>
      </c>
      <c r="AD1592" s="307">
        <f t="shared" si="417"/>
        <v>0</v>
      </c>
      <c r="AE1592" s="314">
        <f t="shared" si="418"/>
        <v>0</v>
      </c>
      <c r="AF1592" s="315">
        <f t="shared" si="419"/>
        <v>0</v>
      </c>
      <c r="AG1592" s="316">
        <f t="shared" si="420"/>
        <v>0</v>
      </c>
      <c r="AH1592" s="314">
        <v>1</v>
      </c>
      <c r="AI1592" s="314">
        <f t="shared" si="421"/>
        <v>0</v>
      </c>
      <c r="AJ1592" s="314">
        <f t="shared" si="422"/>
        <v>0</v>
      </c>
      <c r="AK1592" s="317"/>
      <c r="AL1592" s="315">
        <f t="shared" si="423"/>
        <v>0</v>
      </c>
      <c r="AN1592" s="554">
        <f t="shared" si="424"/>
        <v>0</v>
      </c>
      <c r="AO1592" s="314"/>
      <c r="AP1592" s="318"/>
    </row>
    <row r="1593" spans="2:42">
      <c r="B1593" s="296"/>
      <c r="C1593" s="299"/>
      <c r="D1593" s="298"/>
      <c r="E1593" s="299"/>
      <c r="F1593" s="299"/>
      <c r="G1593" s="300"/>
      <c r="H1593" s="303"/>
      <c r="I1593" s="301">
        <f t="shared" si="408"/>
        <v>0</v>
      </c>
      <c r="J1593" s="302">
        <f t="shared" si="409"/>
        <v>0</v>
      </c>
      <c r="K1593" s="304">
        <f t="shared" si="410"/>
        <v>0</v>
      </c>
      <c r="L1593" s="305">
        <f>IF(H1593=0,0,IF(OR(E1593=$AT$5,E1593=$AT$6),AA1593,IF(F1593="MXN",1/HLOOKUP(YEAR(G1593)+(MONTH(G1593)/100),TC!$5:$37,DAY(G1593)+2,FALSE),VLOOKUP(F1593,Equivalencia!$5:$23,((MAX(Equivalencia!$3:$3)-YEAR(G1593))*14)+MONTH(G1593)+2,FALSE))))</f>
        <v>0</v>
      </c>
      <c r="M1593" s="306">
        <f t="shared" si="411"/>
        <v>0</v>
      </c>
      <c r="N1593" s="305">
        <f>IF(G1593=0,0,(IF(OR(E1593=$AT$5,E1593=$AT$6),AC1593,HLOOKUP(YEAR(G1593)+(MONTH(G1593)/100),TC!$5:$37,DAY(G1593)+2,FALSE))))</f>
        <v>0</v>
      </c>
      <c r="O1593" s="307">
        <f t="shared" si="412"/>
        <v>0</v>
      </c>
      <c r="P1593" s="560">
        <f>IF(G1593=0,0,VLOOKUP(YEAR(G1593),INPC!$B$4:$P$30,MONTH(G1593)+2))</f>
        <v>0</v>
      </c>
      <c r="Q1593" s="560">
        <f>IF(X1593=0,0,IF(OR(E1593=$AT$10,E1593=$AT$9),VLOOKUP(YEAR(X1593),INPC!$B$4:$P$30,MONTH(X1593)+1),VLOOKUP(YEAR(X1593),INPC!$B$4:$P$30,MONTH(X1593)+2,0)))</f>
        <v>0</v>
      </c>
      <c r="R1593" s="309">
        <f t="shared" si="413"/>
        <v>0</v>
      </c>
      <c r="S1593" s="310">
        <f t="shared" si="414"/>
        <v>0</v>
      </c>
      <c r="T1593" s="555">
        <f t="shared" si="415"/>
        <v>0</v>
      </c>
      <c r="U1593" s="311"/>
      <c r="V1593" s="312"/>
      <c r="W1593" s="299"/>
      <c r="X1593" s="300"/>
      <c r="Y1593" s="299"/>
      <c r="Z1593" s="303"/>
      <c r="AA1593" s="305">
        <f>IF(Z1593=0,0,IF(Y1593="MXN",1/HLOOKUP(YEAR(X1593)+(MONTH(X1593)/100),TC!$5:$37,DAY(X1593)+2,FALSE),VLOOKUP(Y1593,Equivalencia!$1:$23,((MAX(Equivalencia!$3:$3)-YEAR(X1593))*14)+MONTH(X1593)+2,FALSE)))</f>
        <v>0</v>
      </c>
      <c r="AB1593" s="306">
        <f t="shared" si="416"/>
        <v>0</v>
      </c>
      <c r="AC1593" s="305">
        <f>+IF(X1593=0,0,HLOOKUP(YEAR(X1593)+(MONTH(X1593)/100),TC!$5:$37,DAY(X1593)+2,FALSE))</f>
        <v>0</v>
      </c>
      <c r="AD1593" s="307">
        <f t="shared" si="417"/>
        <v>0</v>
      </c>
      <c r="AE1593" s="314">
        <f t="shared" si="418"/>
        <v>0</v>
      </c>
      <c r="AF1593" s="315">
        <f t="shared" si="419"/>
        <v>0</v>
      </c>
      <c r="AG1593" s="316">
        <f t="shared" si="420"/>
        <v>0</v>
      </c>
      <c r="AH1593" s="314">
        <v>1</v>
      </c>
      <c r="AI1593" s="314">
        <f t="shared" si="421"/>
        <v>0</v>
      </c>
      <c r="AJ1593" s="314">
        <f t="shared" si="422"/>
        <v>0</v>
      </c>
      <c r="AK1593" s="317"/>
      <c r="AL1593" s="315">
        <f t="shared" si="423"/>
        <v>0</v>
      </c>
      <c r="AN1593" s="554">
        <f t="shared" si="424"/>
        <v>0</v>
      </c>
      <c r="AO1593" s="314"/>
      <c r="AP1593" s="318"/>
    </row>
    <row r="1594" spans="2:42">
      <c r="B1594" s="296"/>
      <c r="C1594" s="299"/>
      <c r="D1594" s="298"/>
      <c r="E1594" s="299"/>
      <c r="F1594" s="299"/>
      <c r="G1594" s="300"/>
      <c r="H1594" s="303"/>
      <c r="I1594" s="301">
        <f t="shared" si="408"/>
        <v>0</v>
      </c>
      <c r="J1594" s="302">
        <f t="shared" si="409"/>
        <v>0</v>
      </c>
      <c r="K1594" s="304">
        <f t="shared" si="410"/>
        <v>0</v>
      </c>
      <c r="L1594" s="305">
        <f>IF(H1594=0,0,IF(OR(E1594=$AT$5,E1594=$AT$6),AA1594,IF(F1594="MXN",1/HLOOKUP(YEAR(G1594)+(MONTH(G1594)/100),TC!$5:$37,DAY(G1594)+2,FALSE),VLOOKUP(F1594,Equivalencia!$5:$23,((MAX(Equivalencia!$3:$3)-YEAR(G1594))*14)+MONTH(G1594)+2,FALSE))))</f>
        <v>0</v>
      </c>
      <c r="M1594" s="306">
        <f t="shared" si="411"/>
        <v>0</v>
      </c>
      <c r="N1594" s="305">
        <f>IF(G1594=0,0,(IF(OR(E1594=$AT$5,E1594=$AT$6),AC1594,HLOOKUP(YEAR(G1594)+(MONTH(G1594)/100),TC!$5:$37,DAY(G1594)+2,FALSE))))</f>
        <v>0</v>
      </c>
      <c r="O1594" s="307">
        <f t="shared" si="412"/>
        <v>0</v>
      </c>
      <c r="P1594" s="560">
        <f>IF(G1594=0,0,VLOOKUP(YEAR(G1594),INPC!$B$4:$P$30,MONTH(G1594)+2))</f>
        <v>0</v>
      </c>
      <c r="Q1594" s="560">
        <f>IF(X1594=0,0,IF(OR(E1594=$AT$10,E1594=$AT$9),VLOOKUP(YEAR(X1594),INPC!$B$4:$P$30,MONTH(X1594)+1),VLOOKUP(YEAR(X1594),INPC!$B$4:$P$30,MONTH(X1594)+2,0)))</f>
        <v>0</v>
      </c>
      <c r="R1594" s="309">
        <f t="shared" si="413"/>
        <v>0</v>
      </c>
      <c r="S1594" s="310">
        <f t="shared" si="414"/>
        <v>0</v>
      </c>
      <c r="T1594" s="555">
        <f t="shared" si="415"/>
        <v>0</v>
      </c>
      <c r="U1594" s="311"/>
      <c r="V1594" s="312"/>
      <c r="W1594" s="299"/>
      <c r="X1594" s="300"/>
      <c r="Y1594" s="299"/>
      <c r="Z1594" s="303"/>
      <c r="AA1594" s="305">
        <f>IF(Z1594=0,0,IF(Y1594="MXN",1/HLOOKUP(YEAR(X1594)+(MONTH(X1594)/100),TC!$5:$37,DAY(X1594)+2,FALSE),VLOOKUP(Y1594,Equivalencia!$1:$23,((MAX(Equivalencia!$3:$3)-YEAR(X1594))*14)+MONTH(X1594)+2,FALSE)))</f>
        <v>0</v>
      </c>
      <c r="AB1594" s="306">
        <f t="shared" si="416"/>
        <v>0</v>
      </c>
      <c r="AC1594" s="305">
        <f>+IF(X1594=0,0,HLOOKUP(YEAR(X1594)+(MONTH(X1594)/100),TC!$5:$37,DAY(X1594)+2,FALSE))</f>
        <v>0</v>
      </c>
      <c r="AD1594" s="307">
        <f t="shared" si="417"/>
        <v>0</v>
      </c>
      <c r="AE1594" s="314">
        <f t="shared" si="418"/>
        <v>0</v>
      </c>
      <c r="AF1594" s="315">
        <f t="shared" si="419"/>
        <v>0</v>
      </c>
      <c r="AG1594" s="316">
        <f t="shared" si="420"/>
        <v>0</v>
      </c>
      <c r="AH1594" s="314">
        <v>1</v>
      </c>
      <c r="AI1594" s="314">
        <f t="shared" si="421"/>
        <v>0</v>
      </c>
      <c r="AJ1594" s="314">
        <f t="shared" si="422"/>
        <v>0</v>
      </c>
      <c r="AK1594" s="317"/>
      <c r="AL1594" s="315">
        <f t="shared" si="423"/>
        <v>0</v>
      </c>
      <c r="AN1594" s="554">
        <f t="shared" si="424"/>
        <v>0</v>
      </c>
      <c r="AO1594" s="314"/>
      <c r="AP1594" s="318"/>
    </row>
    <row r="1595" spans="2:42">
      <c r="B1595" s="296"/>
      <c r="C1595" s="299"/>
      <c r="D1595" s="298"/>
      <c r="E1595" s="299"/>
      <c r="F1595" s="299"/>
      <c r="G1595" s="300"/>
      <c r="H1595" s="303"/>
      <c r="I1595" s="301">
        <f t="shared" si="408"/>
        <v>0</v>
      </c>
      <c r="J1595" s="302">
        <f t="shared" si="409"/>
        <v>0</v>
      </c>
      <c r="K1595" s="304">
        <f t="shared" si="410"/>
        <v>0</v>
      </c>
      <c r="L1595" s="305">
        <f>IF(H1595=0,0,IF(OR(E1595=$AT$5,E1595=$AT$6),AA1595,IF(F1595="MXN",1/HLOOKUP(YEAR(G1595)+(MONTH(G1595)/100),TC!$5:$37,DAY(G1595)+2,FALSE),VLOOKUP(F1595,Equivalencia!$5:$23,((MAX(Equivalencia!$3:$3)-YEAR(G1595))*14)+MONTH(G1595)+2,FALSE))))</f>
        <v>0</v>
      </c>
      <c r="M1595" s="306">
        <f t="shared" si="411"/>
        <v>0</v>
      </c>
      <c r="N1595" s="305">
        <f>IF(G1595=0,0,(IF(OR(E1595=$AT$5,E1595=$AT$6),AC1595,HLOOKUP(YEAR(G1595)+(MONTH(G1595)/100),TC!$5:$37,DAY(G1595)+2,FALSE))))</f>
        <v>0</v>
      </c>
      <c r="O1595" s="307">
        <f t="shared" si="412"/>
        <v>0</v>
      </c>
      <c r="P1595" s="560">
        <f>IF(G1595=0,0,VLOOKUP(YEAR(G1595),INPC!$B$4:$P$30,MONTH(G1595)+2))</f>
        <v>0</v>
      </c>
      <c r="Q1595" s="560">
        <f>IF(X1595=0,0,IF(OR(E1595=$AT$10,E1595=$AT$9),VLOOKUP(YEAR(X1595),INPC!$B$4:$P$30,MONTH(X1595)+1),VLOOKUP(YEAR(X1595),INPC!$B$4:$P$30,MONTH(X1595)+2,0)))</f>
        <v>0</v>
      </c>
      <c r="R1595" s="309">
        <f t="shared" si="413"/>
        <v>0</v>
      </c>
      <c r="S1595" s="310">
        <f t="shared" si="414"/>
        <v>0</v>
      </c>
      <c r="T1595" s="555">
        <f t="shared" si="415"/>
        <v>0</v>
      </c>
      <c r="U1595" s="311"/>
      <c r="V1595" s="312"/>
      <c r="W1595" s="299"/>
      <c r="X1595" s="300"/>
      <c r="Y1595" s="299"/>
      <c r="Z1595" s="303"/>
      <c r="AA1595" s="305">
        <f>IF(Z1595=0,0,IF(Y1595="MXN",1/HLOOKUP(YEAR(X1595)+(MONTH(X1595)/100),TC!$5:$37,DAY(X1595)+2,FALSE),VLOOKUP(Y1595,Equivalencia!$1:$23,((MAX(Equivalencia!$3:$3)-YEAR(X1595))*14)+MONTH(X1595)+2,FALSE)))</f>
        <v>0</v>
      </c>
      <c r="AB1595" s="306">
        <f t="shared" si="416"/>
        <v>0</v>
      </c>
      <c r="AC1595" s="305">
        <f>+IF(X1595=0,0,HLOOKUP(YEAR(X1595)+(MONTH(X1595)/100),TC!$5:$37,DAY(X1595)+2,FALSE))</f>
        <v>0</v>
      </c>
      <c r="AD1595" s="307">
        <f t="shared" si="417"/>
        <v>0</v>
      </c>
      <c r="AE1595" s="314">
        <f t="shared" si="418"/>
        <v>0</v>
      </c>
      <c r="AF1595" s="315">
        <f t="shared" si="419"/>
        <v>0</v>
      </c>
      <c r="AG1595" s="316">
        <f t="shared" si="420"/>
        <v>0</v>
      </c>
      <c r="AH1595" s="314">
        <v>1</v>
      </c>
      <c r="AI1595" s="314">
        <f t="shared" si="421"/>
        <v>0</v>
      </c>
      <c r="AJ1595" s="314">
        <f t="shared" si="422"/>
        <v>0</v>
      </c>
      <c r="AK1595" s="317"/>
      <c r="AL1595" s="315">
        <f t="shared" si="423"/>
        <v>0</v>
      </c>
      <c r="AN1595" s="554">
        <f t="shared" si="424"/>
        <v>0</v>
      </c>
      <c r="AO1595" s="314"/>
      <c r="AP1595" s="318"/>
    </row>
    <row r="1596" spans="2:42">
      <c r="B1596" s="296"/>
      <c r="C1596" s="299"/>
      <c r="D1596" s="298"/>
      <c r="E1596" s="299"/>
      <c r="F1596" s="299"/>
      <c r="G1596" s="300"/>
      <c r="H1596" s="303"/>
      <c r="I1596" s="301">
        <f t="shared" ref="I1596:I1659" si="425">IF(D1596=0,0,IF(OR(E1596=$AT$9,E1596=$AT$10),"Ingresos Sección II LISR (SIC &amp; BMV)","Ingresos Sección I LISR"))</f>
        <v>0</v>
      </c>
      <c r="J1596" s="302">
        <f t="shared" ref="J1596:J1659" si="426">+V1596</f>
        <v>0</v>
      </c>
      <c r="K1596" s="304">
        <f t="shared" ref="K1596:K1659" si="427">IF(H1596=0,0,H1596/J1596)</f>
        <v>0</v>
      </c>
      <c r="L1596" s="305">
        <f>IF(H1596=0,0,IF(OR(E1596=$AT$5,E1596=$AT$6),AA1596,IF(F1596="MXN",1/HLOOKUP(YEAR(G1596)+(MONTH(G1596)/100),TC!$5:$37,DAY(G1596)+2,FALSE),VLOOKUP(F1596,Equivalencia!$5:$23,((MAX(Equivalencia!$3:$3)-YEAR(G1596))*14)+MONTH(G1596)+2,FALSE))))</f>
        <v>0</v>
      </c>
      <c r="M1596" s="306">
        <f t="shared" ref="M1596:M1659" si="428">+H1596*L1596</f>
        <v>0</v>
      </c>
      <c r="N1596" s="305">
        <f>IF(G1596=0,0,(IF(OR(E1596=$AT$5,E1596=$AT$6),AC1596,HLOOKUP(YEAR(G1596)+(MONTH(G1596)/100),TC!$5:$37,DAY(G1596)+2,FALSE))))</f>
        <v>0</v>
      </c>
      <c r="O1596" s="307">
        <f t="shared" ref="O1596:O1659" si="429">+M1596*N1596</f>
        <v>0</v>
      </c>
      <c r="P1596" s="560">
        <f>IF(G1596=0,0,VLOOKUP(YEAR(G1596),INPC!$B$4:$P$30,MONTH(G1596)+2))</f>
        <v>0</v>
      </c>
      <c r="Q1596" s="560">
        <f>IF(X1596=0,0,IF(OR(E1596=$AT$10,E1596=$AT$9),VLOOKUP(YEAR(X1596),INPC!$B$4:$P$30,MONTH(X1596)+1),VLOOKUP(YEAR(X1596),INPC!$B$4:$P$30,MONTH(X1596)+2,0)))</f>
        <v>0</v>
      </c>
      <c r="R1596" s="309">
        <f t="shared" ref="R1596:R1659" si="430">IF(H1596=0,0,IF(OR(E1596=$AT$5,E1596=$AT$6),1,IF(TRUNC(Q1596/P1596,4)&gt;=1,TRUNC(Q1596/P1596,4),1)))</f>
        <v>0</v>
      </c>
      <c r="S1596" s="310">
        <f t="shared" ref="S1596:S1659" si="431">+R1596*O1596</f>
        <v>0</v>
      </c>
      <c r="T1596" s="555">
        <f t="shared" ref="T1596:T1659" si="432">IF(V1596=0,0,S1596/V1596)</f>
        <v>0</v>
      </c>
      <c r="U1596" s="311"/>
      <c r="V1596" s="312"/>
      <c r="W1596" s="299"/>
      <c r="X1596" s="300"/>
      <c r="Y1596" s="299"/>
      <c r="Z1596" s="303"/>
      <c r="AA1596" s="305">
        <f>IF(Z1596=0,0,IF(Y1596="MXN",1/HLOOKUP(YEAR(X1596)+(MONTH(X1596)/100),TC!$5:$37,DAY(X1596)+2,FALSE),VLOOKUP(Y1596,Equivalencia!$1:$23,((MAX(Equivalencia!$3:$3)-YEAR(X1596))*14)+MONTH(X1596)+2,FALSE)))</f>
        <v>0</v>
      </c>
      <c r="AB1596" s="306">
        <f t="shared" ref="AB1596:AB1659" si="433">+AA1596*Z1596</f>
        <v>0</v>
      </c>
      <c r="AC1596" s="305">
        <f>+IF(X1596=0,0,HLOOKUP(YEAR(X1596)+(MONTH(X1596)/100),TC!$5:$37,DAY(X1596)+2,FALSE))</f>
        <v>0</v>
      </c>
      <c r="AD1596" s="307">
        <f t="shared" ref="AD1596:AD1659" si="434">+AC1596*AB1596</f>
        <v>0</v>
      </c>
      <c r="AE1596" s="314">
        <f t="shared" ref="AE1596:AE1659" si="435">+V1596*T1596</f>
        <v>0</v>
      </c>
      <c r="AF1596" s="315">
        <f t="shared" ref="AF1596:AF1659" si="436">IF(E1596=$AT$11,0,AD1596-AE1596)</f>
        <v>0</v>
      </c>
      <c r="AG1596" s="316">
        <f t="shared" ref="AG1596:AG1659" si="437">+IF(AND(AF1596&lt;0,OR(E1596=$AT$5,E1596=$AT$6)),1,((X1596-G1596)/365))</f>
        <v>0</v>
      </c>
      <c r="AH1596" s="314">
        <v>1</v>
      </c>
      <c r="AI1596" s="314">
        <f t="shared" ref="AI1596:AI1659" si="438">+IF(OR(E1596=$AT$9,E1596=$AT$10),AF1596,+AF1596/AH1596)</f>
        <v>0</v>
      </c>
      <c r="AJ1596" s="314">
        <f t="shared" ref="AJ1596:AJ1659" si="439">+AF1596-AI1596</f>
        <v>0</v>
      </c>
      <c r="AK1596" s="317"/>
      <c r="AL1596" s="315">
        <f t="shared" ref="AL1596:AL1659" si="440">+AB1596-M1596</f>
        <v>0</v>
      </c>
      <c r="AN1596" s="554">
        <f t="shared" ref="AN1596:AN1659" si="441">IF(AL1596=0,0,AL1596/H1596)</f>
        <v>0</v>
      </c>
      <c r="AO1596" s="314"/>
      <c r="AP1596" s="318"/>
    </row>
    <row r="1597" spans="2:42">
      <c r="B1597" s="296"/>
      <c r="C1597" s="299"/>
      <c r="D1597" s="298"/>
      <c r="E1597" s="299"/>
      <c r="F1597" s="299"/>
      <c r="G1597" s="300"/>
      <c r="H1597" s="303"/>
      <c r="I1597" s="301">
        <f t="shared" si="425"/>
        <v>0</v>
      </c>
      <c r="J1597" s="302">
        <f t="shared" si="426"/>
        <v>0</v>
      </c>
      <c r="K1597" s="304">
        <f t="shared" si="427"/>
        <v>0</v>
      </c>
      <c r="L1597" s="305">
        <f>IF(H1597=0,0,IF(OR(E1597=$AT$5,E1597=$AT$6),AA1597,IF(F1597="MXN",1/HLOOKUP(YEAR(G1597)+(MONTH(G1597)/100),TC!$5:$37,DAY(G1597)+2,FALSE),VLOOKUP(F1597,Equivalencia!$5:$23,((MAX(Equivalencia!$3:$3)-YEAR(G1597))*14)+MONTH(G1597)+2,FALSE))))</f>
        <v>0</v>
      </c>
      <c r="M1597" s="306">
        <f t="shared" si="428"/>
        <v>0</v>
      </c>
      <c r="N1597" s="305">
        <f>IF(G1597=0,0,(IF(OR(E1597=$AT$5,E1597=$AT$6),AC1597,HLOOKUP(YEAR(G1597)+(MONTH(G1597)/100),TC!$5:$37,DAY(G1597)+2,FALSE))))</f>
        <v>0</v>
      </c>
      <c r="O1597" s="307">
        <f t="shared" si="429"/>
        <v>0</v>
      </c>
      <c r="P1597" s="560">
        <f>IF(G1597=0,0,VLOOKUP(YEAR(G1597),INPC!$B$4:$P$30,MONTH(G1597)+2))</f>
        <v>0</v>
      </c>
      <c r="Q1597" s="560">
        <f>IF(X1597=0,0,IF(OR(E1597=$AT$10,E1597=$AT$9),VLOOKUP(YEAR(X1597),INPC!$B$4:$P$30,MONTH(X1597)+1),VLOOKUP(YEAR(X1597),INPC!$B$4:$P$30,MONTH(X1597)+2,0)))</f>
        <v>0</v>
      </c>
      <c r="R1597" s="309">
        <f t="shared" si="430"/>
        <v>0</v>
      </c>
      <c r="S1597" s="310">
        <f t="shared" si="431"/>
        <v>0</v>
      </c>
      <c r="T1597" s="555">
        <f t="shared" si="432"/>
        <v>0</v>
      </c>
      <c r="U1597" s="311"/>
      <c r="V1597" s="312"/>
      <c r="W1597" s="299"/>
      <c r="X1597" s="300"/>
      <c r="Y1597" s="299"/>
      <c r="Z1597" s="303"/>
      <c r="AA1597" s="305">
        <f>IF(Z1597=0,0,IF(Y1597="MXN",1/HLOOKUP(YEAR(X1597)+(MONTH(X1597)/100),TC!$5:$37,DAY(X1597)+2,FALSE),VLOOKUP(Y1597,Equivalencia!$1:$23,((MAX(Equivalencia!$3:$3)-YEAR(X1597))*14)+MONTH(X1597)+2,FALSE)))</f>
        <v>0</v>
      </c>
      <c r="AB1597" s="306">
        <f t="shared" si="433"/>
        <v>0</v>
      </c>
      <c r="AC1597" s="305">
        <f>+IF(X1597=0,0,HLOOKUP(YEAR(X1597)+(MONTH(X1597)/100),TC!$5:$37,DAY(X1597)+2,FALSE))</f>
        <v>0</v>
      </c>
      <c r="AD1597" s="307">
        <f t="shared" si="434"/>
        <v>0</v>
      </c>
      <c r="AE1597" s="314">
        <f t="shared" si="435"/>
        <v>0</v>
      </c>
      <c r="AF1597" s="315">
        <f t="shared" si="436"/>
        <v>0</v>
      </c>
      <c r="AG1597" s="316">
        <f t="shared" si="437"/>
        <v>0</v>
      </c>
      <c r="AH1597" s="314">
        <v>1</v>
      </c>
      <c r="AI1597" s="314">
        <f t="shared" si="438"/>
        <v>0</v>
      </c>
      <c r="AJ1597" s="314">
        <f t="shared" si="439"/>
        <v>0</v>
      </c>
      <c r="AK1597" s="317"/>
      <c r="AL1597" s="315">
        <f t="shared" si="440"/>
        <v>0</v>
      </c>
      <c r="AN1597" s="554">
        <f t="shared" si="441"/>
        <v>0</v>
      </c>
      <c r="AO1597" s="314"/>
      <c r="AP1597" s="318"/>
    </row>
    <row r="1598" spans="2:42">
      <c r="B1598" s="296"/>
      <c r="C1598" s="299"/>
      <c r="D1598" s="298"/>
      <c r="E1598" s="299"/>
      <c r="F1598" s="299"/>
      <c r="G1598" s="300"/>
      <c r="H1598" s="303"/>
      <c r="I1598" s="301">
        <f t="shared" si="425"/>
        <v>0</v>
      </c>
      <c r="J1598" s="302">
        <f t="shared" si="426"/>
        <v>0</v>
      </c>
      <c r="K1598" s="304">
        <f t="shared" si="427"/>
        <v>0</v>
      </c>
      <c r="L1598" s="305">
        <f>IF(H1598=0,0,IF(OR(E1598=$AT$5,E1598=$AT$6),AA1598,IF(F1598="MXN",1/HLOOKUP(YEAR(G1598)+(MONTH(G1598)/100),TC!$5:$37,DAY(G1598)+2,FALSE),VLOOKUP(F1598,Equivalencia!$5:$23,((MAX(Equivalencia!$3:$3)-YEAR(G1598))*14)+MONTH(G1598)+2,FALSE))))</f>
        <v>0</v>
      </c>
      <c r="M1598" s="306">
        <f t="shared" si="428"/>
        <v>0</v>
      </c>
      <c r="N1598" s="305">
        <f>IF(G1598=0,0,(IF(OR(E1598=$AT$5,E1598=$AT$6),AC1598,HLOOKUP(YEAR(G1598)+(MONTH(G1598)/100),TC!$5:$37,DAY(G1598)+2,FALSE))))</f>
        <v>0</v>
      </c>
      <c r="O1598" s="307">
        <f t="shared" si="429"/>
        <v>0</v>
      </c>
      <c r="P1598" s="560">
        <f>IF(G1598=0,0,VLOOKUP(YEAR(G1598),INPC!$B$4:$P$30,MONTH(G1598)+2))</f>
        <v>0</v>
      </c>
      <c r="Q1598" s="560">
        <f>IF(X1598=0,0,IF(OR(E1598=$AT$10,E1598=$AT$9),VLOOKUP(YEAR(X1598),INPC!$B$4:$P$30,MONTH(X1598)+1),VLOOKUP(YEAR(X1598),INPC!$B$4:$P$30,MONTH(X1598)+2,0)))</f>
        <v>0</v>
      </c>
      <c r="R1598" s="309">
        <f t="shared" si="430"/>
        <v>0</v>
      </c>
      <c r="S1598" s="310">
        <f t="shared" si="431"/>
        <v>0</v>
      </c>
      <c r="T1598" s="555">
        <f t="shared" si="432"/>
        <v>0</v>
      </c>
      <c r="U1598" s="311"/>
      <c r="V1598" s="312"/>
      <c r="W1598" s="299"/>
      <c r="X1598" s="300"/>
      <c r="Y1598" s="299"/>
      <c r="Z1598" s="303"/>
      <c r="AA1598" s="305">
        <f>IF(Z1598=0,0,IF(Y1598="MXN",1/HLOOKUP(YEAR(X1598)+(MONTH(X1598)/100),TC!$5:$37,DAY(X1598)+2,FALSE),VLOOKUP(Y1598,Equivalencia!$1:$23,((MAX(Equivalencia!$3:$3)-YEAR(X1598))*14)+MONTH(X1598)+2,FALSE)))</f>
        <v>0</v>
      </c>
      <c r="AB1598" s="306">
        <f t="shared" si="433"/>
        <v>0</v>
      </c>
      <c r="AC1598" s="305">
        <f>+IF(X1598=0,0,HLOOKUP(YEAR(X1598)+(MONTH(X1598)/100),TC!$5:$37,DAY(X1598)+2,FALSE))</f>
        <v>0</v>
      </c>
      <c r="AD1598" s="307">
        <f t="shared" si="434"/>
        <v>0</v>
      </c>
      <c r="AE1598" s="314">
        <f t="shared" si="435"/>
        <v>0</v>
      </c>
      <c r="AF1598" s="315">
        <f t="shared" si="436"/>
        <v>0</v>
      </c>
      <c r="AG1598" s="316">
        <f t="shared" si="437"/>
        <v>0</v>
      </c>
      <c r="AH1598" s="314">
        <v>1</v>
      </c>
      <c r="AI1598" s="314">
        <f t="shared" si="438"/>
        <v>0</v>
      </c>
      <c r="AJ1598" s="314">
        <f t="shared" si="439"/>
        <v>0</v>
      </c>
      <c r="AK1598" s="317"/>
      <c r="AL1598" s="315">
        <f t="shared" si="440"/>
        <v>0</v>
      </c>
      <c r="AN1598" s="554">
        <f t="shared" si="441"/>
        <v>0</v>
      </c>
      <c r="AO1598" s="314"/>
      <c r="AP1598" s="318"/>
    </row>
    <row r="1599" spans="2:42">
      <c r="B1599" s="296"/>
      <c r="C1599" s="299"/>
      <c r="D1599" s="298"/>
      <c r="E1599" s="299"/>
      <c r="F1599" s="299"/>
      <c r="G1599" s="300"/>
      <c r="H1599" s="303"/>
      <c r="I1599" s="301">
        <f t="shared" si="425"/>
        <v>0</v>
      </c>
      <c r="J1599" s="302">
        <f t="shared" si="426"/>
        <v>0</v>
      </c>
      <c r="K1599" s="304">
        <f t="shared" si="427"/>
        <v>0</v>
      </c>
      <c r="L1599" s="305">
        <f>IF(H1599=0,0,IF(OR(E1599=$AT$5,E1599=$AT$6),AA1599,IF(F1599="MXN",1/HLOOKUP(YEAR(G1599)+(MONTH(G1599)/100),TC!$5:$37,DAY(G1599)+2,FALSE),VLOOKUP(F1599,Equivalencia!$5:$23,((MAX(Equivalencia!$3:$3)-YEAR(G1599))*14)+MONTH(G1599)+2,FALSE))))</f>
        <v>0</v>
      </c>
      <c r="M1599" s="306">
        <f t="shared" si="428"/>
        <v>0</v>
      </c>
      <c r="N1599" s="305">
        <f>IF(G1599=0,0,(IF(OR(E1599=$AT$5,E1599=$AT$6),AC1599,HLOOKUP(YEAR(G1599)+(MONTH(G1599)/100),TC!$5:$37,DAY(G1599)+2,FALSE))))</f>
        <v>0</v>
      </c>
      <c r="O1599" s="307">
        <f t="shared" si="429"/>
        <v>0</v>
      </c>
      <c r="P1599" s="560">
        <f>IF(G1599=0,0,VLOOKUP(YEAR(G1599),INPC!$B$4:$P$30,MONTH(G1599)+2))</f>
        <v>0</v>
      </c>
      <c r="Q1599" s="560">
        <f>IF(X1599=0,0,IF(OR(E1599=$AT$10,E1599=$AT$9),VLOOKUP(YEAR(X1599),INPC!$B$4:$P$30,MONTH(X1599)+1),VLOOKUP(YEAR(X1599),INPC!$B$4:$P$30,MONTH(X1599)+2,0)))</f>
        <v>0</v>
      </c>
      <c r="R1599" s="309">
        <f t="shared" si="430"/>
        <v>0</v>
      </c>
      <c r="S1599" s="310">
        <f t="shared" si="431"/>
        <v>0</v>
      </c>
      <c r="T1599" s="555">
        <f t="shared" si="432"/>
        <v>0</v>
      </c>
      <c r="U1599" s="311"/>
      <c r="V1599" s="312"/>
      <c r="W1599" s="299"/>
      <c r="X1599" s="300"/>
      <c r="Y1599" s="299"/>
      <c r="Z1599" s="303"/>
      <c r="AA1599" s="305">
        <f>IF(Z1599=0,0,IF(Y1599="MXN",1/HLOOKUP(YEAR(X1599)+(MONTH(X1599)/100),TC!$5:$37,DAY(X1599)+2,FALSE),VLOOKUP(Y1599,Equivalencia!$1:$23,((MAX(Equivalencia!$3:$3)-YEAR(X1599))*14)+MONTH(X1599)+2,FALSE)))</f>
        <v>0</v>
      </c>
      <c r="AB1599" s="306">
        <f t="shared" si="433"/>
        <v>0</v>
      </c>
      <c r="AC1599" s="305">
        <f>+IF(X1599=0,0,HLOOKUP(YEAR(X1599)+(MONTH(X1599)/100),TC!$5:$37,DAY(X1599)+2,FALSE))</f>
        <v>0</v>
      </c>
      <c r="AD1599" s="307">
        <f t="shared" si="434"/>
        <v>0</v>
      </c>
      <c r="AE1599" s="314">
        <f t="shared" si="435"/>
        <v>0</v>
      </c>
      <c r="AF1599" s="315">
        <f t="shared" si="436"/>
        <v>0</v>
      </c>
      <c r="AG1599" s="316">
        <f t="shared" si="437"/>
        <v>0</v>
      </c>
      <c r="AH1599" s="314">
        <v>1</v>
      </c>
      <c r="AI1599" s="314">
        <f t="shared" si="438"/>
        <v>0</v>
      </c>
      <c r="AJ1599" s="314">
        <f t="shared" si="439"/>
        <v>0</v>
      </c>
      <c r="AK1599" s="317"/>
      <c r="AL1599" s="315">
        <f t="shared" si="440"/>
        <v>0</v>
      </c>
      <c r="AN1599" s="554">
        <f t="shared" si="441"/>
        <v>0</v>
      </c>
      <c r="AO1599" s="314"/>
      <c r="AP1599" s="318"/>
    </row>
    <row r="1600" spans="2:42">
      <c r="B1600" s="296"/>
      <c r="C1600" s="299"/>
      <c r="D1600" s="298"/>
      <c r="E1600" s="299"/>
      <c r="F1600" s="299"/>
      <c r="G1600" s="300"/>
      <c r="H1600" s="303"/>
      <c r="I1600" s="301">
        <f t="shared" si="425"/>
        <v>0</v>
      </c>
      <c r="J1600" s="302">
        <f t="shared" si="426"/>
        <v>0</v>
      </c>
      <c r="K1600" s="304">
        <f t="shared" si="427"/>
        <v>0</v>
      </c>
      <c r="L1600" s="305">
        <f>IF(H1600=0,0,IF(OR(E1600=$AT$5,E1600=$AT$6),AA1600,IF(F1600="MXN",1/HLOOKUP(YEAR(G1600)+(MONTH(G1600)/100),TC!$5:$37,DAY(G1600)+2,FALSE),VLOOKUP(F1600,Equivalencia!$5:$23,((MAX(Equivalencia!$3:$3)-YEAR(G1600))*14)+MONTH(G1600)+2,FALSE))))</f>
        <v>0</v>
      </c>
      <c r="M1600" s="306">
        <f t="shared" si="428"/>
        <v>0</v>
      </c>
      <c r="N1600" s="305">
        <f>IF(G1600=0,0,(IF(OR(E1600=$AT$5,E1600=$AT$6),AC1600,HLOOKUP(YEAR(G1600)+(MONTH(G1600)/100),TC!$5:$37,DAY(G1600)+2,FALSE))))</f>
        <v>0</v>
      </c>
      <c r="O1600" s="307">
        <f t="shared" si="429"/>
        <v>0</v>
      </c>
      <c r="P1600" s="560">
        <f>IF(G1600=0,0,VLOOKUP(YEAR(G1600),INPC!$B$4:$P$30,MONTH(G1600)+2))</f>
        <v>0</v>
      </c>
      <c r="Q1600" s="560">
        <f>IF(X1600=0,0,IF(OR(E1600=$AT$10,E1600=$AT$9),VLOOKUP(YEAR(X1600),INPC!$B$4:$P$30,MONTH(X1600)+1),VLOOKUP(YEAR(X1600),INPC!$B$4:$P$30,MONTH(X1600)+2,0)))</f>
        <v>0</v>
      </c>
      <c r="R1600" s="309">
        <f t="shared" si="430"/>
        <v>0</v>
      </c>
      <c r="S1600" s="310">
        <f t="shared" si="431"/>
        <v>0</v>
      </c>
      <c r="T1600" s="555">
        <f t="shared" si="432"/>
        <v>0</v>
      </c>
      <c r="U1600" s="311"/>
      <c r="V1600" s="312"/>
      <c r="W1600" s="299"/>
      <c r="X1600" s="300"/>
      <c r="Y1600" s="299"/>
      <c r="Z1600" s="303"/>
      <c r="AA1600" s="305">
        <f>IF(Z1600=0,0,IF(Y1600="MXN",1/HLOOKUP(YEAR(X1600)+(MONTH(X1600)/100),TC!$5:$37,DAY(X1600)+2,FALSE),VLOOKUP(Y1600,Equivalencia!$1:$23,((MAX(Equivalencia!$3:$3)-YEAR(X1600))*14)+MONTH(X1600)+2,FALSE)))</f>
        <v>0</v>
      </c>
      <c r="AB1600" s="306">
        <f t="shared" si="433"/>
        <v>0</v>
      </c>
      <c r="AC1600" s="305">
        <f>+IF(X1600=0,0,HLOOKUP(YEAR(X1600)+(MONTH(X1600)/100),TC!$5:$37,DAY(X1600)+2,FALSE))</f>
        <v>0</v>
      </c>
      <c r="AD1600" s="307">
        <f t="shared" si="434"/>
        <v>0</v>
      </c>
      <c r="AE1600" s="314">
        <f t="shared" si="435"/>
        <v>0</v>
      </c>
      <c r="AF1600" s="315">
        <f t="shared" si="436"/>
        <v>0</v>
      </c>
      <c r="AG1600" s="316">
        <f t="shared" si="437"/>
        <v>0</v>
      </c>
      <c r="AH1600" s="314">
        <v>1</v>
      </c>
      <c r="AI1600" s="314">
        <f t="shared" si="438"/>
        <v>0</v>
      </c>
      <c r="AJ1600" s="314">
        <f t="shared" si="439"/>
        <v>0</v>
      </c>
      <c r="AK1600" s="317"/>
      <c r="AL1600" s="315">
        <f t="shared" si="440"/>
        <v>0</v>
      </c>
      <c r="AN1600" s="554">
        <f t="shared" si="441"/>
        <v>0</v>
      </c>
      <c r="AO1600" s="314"/>
      <c r="AP1600" s="318"/>
    </row>
    <row r="1601" spans="2:42">
      <c r="B1601" s="296"/>
      <c r="C1601" s="299"/>
      <c r="D1601" s="298"/>
      <c r="E1601" s="299"/>
      <c r="F1601" s="299"/>
      <c r="G1601" s="300"/>
      <c r="H1601" s="303"/>
      <c r="I1601" s="301">
        <f t="shared" si="425"/>
        <v>0</v>
      </c>
      <c r="J1601" s="302">
        <f t="shared" si="426"/>
        <v>0</v>
      </c>
      <c r="K1601" s="304">
        <f t="shared" si="427"/>
        <v>0</v>
      </c>
      <c r="L1601" s="305">
        <f>IF(H1601=0,0,IF(OR(E1601=$AT$5,E1601=$AT$6),AA1601,IF(F1601="MXN",1/HLOOKUP(YEAR(G1601)+(MONTH(G1601)/100),TC!$5:$37,DAY(G1601)+2,FALSE),VLOOKUP(F1601,Equivalencia!$5:$23,((MAX(Equivalencia!$3:$3)-YEAR(G1601))*14)+MONTH(G1601)+2,FALSE))))</f>
        <v>0</v>
      </c>
      <c r="M1601" s="306">
        <f t="shared" si="428"/>
        <v>0</v>
      </c>
      <c r="N1601" s="305">
        <f>IF(G1601=0,0,(IF(OR(E1601=$AT$5,E1601=$AT$6),AC1601,HLOOKUP(YEAR(G1601)+(MONTH(G1601)/100),TC!$5:$37,DAY(G1601)+2,FALSE))))</f>
        <v>0</v>
      </c>
      <c r="O1601" s="307">
        <f t="shared" si="429"/>
        <v>0</v>
      </c>
      <c r="P1601" s="560">
        <f>IF(G1601=0,0,VLOOKUP(YEAR(G1601),INPC!$B$4:$P$30,MONTH(G1601)+2))</f>
        <v>0</v>
      </c>
      <c r="Q1601" s="560">
        <f>IF(X1601=0,0,IF(OR(E1601=$AT$10,E1601=$AT$9),VLOOKUP(YEAR(X1601),INPC!$B$4:$P$30,MONTH(X1601)+1),VLOOKUP(YEAR(X1601),INPC!$B$4:$P$30,MONTH(X1601)+2,0)))</f>
        <v>0</v>
      </c>
      <c r="R1601" s="309">
        <f t="shared" si="430"/>
        <v>0</v>
      </c>
      <c r="S1601" s="310">
        <f t="shared" si="431"/>
        <v>0</v>
      </c>
      <c r="T1601" s="555">
        <f t="shared" si="432"/>
        <v>0</v>
      </c>
      <c r="U1601" s="311"/>
      <c r="V1601" s="312"/>
      <c r="W1601" s="299"/>
      <c r="X1601" s="300"/>
      <c r="Y1601" s="299"/>
      <c r="Z1601" s="303"/>
      <c r="AA1601" s="305">
        <f>IF(Z1601=0,0,IF(Y1601="MXN",1/HLOOKUP(YEAR(X1601)+(MONTH(X1601)/100),TC!$5:$37,DAY(X1601)+2,FALSE),VLOOKUP(Y1601,Equivalencia!$1:$23,((MAX(Equivalencia!$3:$3)-YEAR(X1601))*14)+MONTH(X1601)+2,FALSE)))</f>
        <v>0</v>
      </c>
      <c r="AB1601" s="306">
        <f t="shared" si="433"/>
        <v>0</v>
      </c>
      <c r="AC1601" s="305">
        <f>+IF(X1601=0,0,HLOOKUP(YEAR(X1601)+(MONTH(X1601)/100),TC!$5:$37,DAY(X1601)+2,FALSE))</f>
        <v>0</v>
      </c>
      <c r="AD1601" s="307">
        <f t="shared" si="434"/>
        <v>0</v>
      </c>
      <c r="AE1601" s="314">
        <f t="shared" si="435"/>
        <v>0</v>
      </c>
      <c r="AF1601" s="315">
        <f t="shared" si="436"/>
        <v>0</v>
      </c>
      <c r="AG1601" s="316">
        <f t="shared" si="437"/>
        <v>0</v>
      </c>
      <c r="AH1601" s="314">
        <v>1</v>
      </c>
      <c r="AI1601" s="314">
        <f t="shared" si="438"/>
        <v>0</v>
      </c>
      <c r="AJ1601" s="314">
        <f t="shared" si="439"/>
        <v>0</v>
      </c>
      <c r="AK1601" s="317"/>
      <c r="AL1601" s="315">
        <f t="shared" si="440"/>
        <v>0</v>
      </c>
      <c r="AN1601" s="554">
        <f t="shared" si="441"/>
        <v>0</v>
      </c>
      <c r="AO1601" s="314"/>
      <c r="AP1601" s="318"/>
    </row>
    <row r="1602" spans="2:42">
      <c r="B1602" s="296"/>
      <c r="C1602" s="299"/>
      <c r="D1602" s="298"/>
      <c r="E1602" s="299"/>
      <c r="F1602" s="299"/>
      <c r="G1602" s="300"/>
      <c r="H1602" s="303"/>
      <c r="I1602" s="301">
        <f t="shared" si="425"/>
        <v>0</v>
      </c>
      <c r="J1602" s="302">
        <f t="shared" si="426"/>
        <v>0</v>
      </c>
      <c r="K1602" s="304">
        <f t="shared" si="427"/>
        <v>0</v>
      </c>
      <c r="L1602" s="305">
        <f>IF(H1602=0,0,IF(OR(E1602=$AT$5,E1602=$AT$6),AA1602,IF(F1602="MXN",1/HLOOKUP(YEAR(G1602)+(MONTH(G1602)/100),TC!$5:$37,DAY(G1602)+2,FALSE),VLOOKUP(F1602,Equivalencia!$5:$23,((MAX(Equivalencia!$3:$3)-YEAR(G1602))*14)+MONTH(G1602)+2,FALSE))))</f>
        <v>0</v>
      </c>
      <c r="M1602" s="306">
        <f t="shared" si="428"/>
        <v>0</v>
      </c>
      <c r="N1602" s="305">
        <f>IF(G1602=0,0,(IF(OR(E1602=$AT$5,E1602=$AT$6),AC1602,HLOOKUP(YEAR(G1602)+(MONTH(G1602)/100),TC!$5:$37,DAY(G1602)+2,FALSE))))</f>
        <v>0</v>
      </c>
      <c r="O1602" s="307">
        <f t="shared" si="429"/>
        <v>0</v>
      </c>
      <c r="P1602" s="560">
        <f>IF(G1602=0,0,VLOOKUP(YEAR(G1602),INPC!$B$4:$P$30,MONTH(G1602)+2))</f>
        <v>0</v>
      </c>
      <c r="Q1602" s="560">
        <f>IF(X1602=0,0,IF(OR(E1602=$AT$10,E1602=$AT$9),VLOOKUP(YEAR(X1602),INPC!$B$4:$P$30,MONTH(X1602)+1),VLOOKUP(YEAR(X1602),INPC!$B$4:$P$30,MONTH(X1602)+2,0)))</f>
        <v>0</v>
      </c>
      <c r="R1602" s="309">
        <f t="shared" si="430"/>
        <v>0</v>
      </c>
      <c r="S1602" s="310">
        <f t="shared" si="431"/>
        <v>0</v>
      </c>
      <c r="T1602" s="555">
        <f t="shared" si="432"/>
        <v>0</v>
      </c>
      <c r="U1602" s="311"/>
      <c r="V1602" s="312"/>
      <c r="W1602" s="299"/>
      <c r="X1602" s="300"/>
      <c r="Y1602" s="299"/>
      <c r="Z1602" s="303"/>
      <c r="AA1602" s="305">
        <f>IF(Z1602=0,0,IF(Y1602="MXN",1/HLOOKUP(YEAR(X1602)+(MONTH(X1602)/100),TC!$5:$37,DAY(X1602)+2,FALSE),VLOOKUP(Y1602,Equivalencia!$1:$23,((MAX(Equivalencia!$3:$3)-YEAR(X1602))*14)+MONTH(X1602)+2,FALSE)))</f>
        <v>0</v>
      </c>
      <c r="AB1602" s="306">
        <f t="shared" si="433"/>
        <v>0</v>
      </c>
      <c r="AC1602" s="305">
        <f>+IF(X1602=0,0,HLOOKUP(YEAR(X1602)+(MONTH(X1602)/100),TC!$5:$37,DAY(X1602)+2,FALSE))</f>
        <v>0</v>
      </c>
      <c r="AD1602" s="307">
        <f t="shared" si="434"/>
        <v>0</v>
      </c>
      <c r="AE1602" s="314">
        <f t="shared" si="435"/>
        <v>0</v>
      </c>
      <c r="AF1602" s="315">
        <f t="shared" si="436"/>
        <v>0</v>
      </c>
      <c r="AG1602" s="316">
        <f t="shared" si="437"/>
        <v>0</v>
      </c>
      <c r="AH1602" s="314">
        <v>1</v>
      </c>
      <c r="AI1602" s="314">
        <f t="shared" si="438"/>
        <v>0</v>
      </c>
      <c r="AJ1602" s="314">
        <f t="shared" si="439"/>
        <v>0</v>
      </c>
      <c r="AK1602" s="317"/>
      <c r="AL1602" s="315">
        <f t="shared" si="440"/>
        <v>0</v>
      </c>
      <c r="AN1602" s="554">
        <f t="shared" si="441"/>
        <v>0</v>
      </c>
      <c r="AO1602" s="314"/>
      <c r="AP1602" s="318"/>
    </row>
    <row r="1603" spans="2:42">
      <c r="B1603" s="296"/>
      <c r="C1603" s="299"/>
      <c r="D1603" s="298"/>
      <c r="E1603" s="299"/>
      <c r="F1603" s="299"/>
      <c r="G1603" s="300"/>
      <c r="H1603" s="303"/>
      <c r="I1603" s="301">
        <f t="shared" si="425"/>
        <v>0</v>
      </c>
      <c r="J1603" s="302">
        <f t="shared" si="426"/>
        <v>0</v>
      </c>
      <c r="K1603" s="304">
        <f t="shared" si="427"/>
        <v>0</v>
      </c>
      <c r="L1603" s="305">
        <f>IF(H1603=0,0,IF(OR(E1603=$AT$5,E1603=$AT$6),AA1603,IF(F1603="MXN",1/HLOOKUP(YEAR(G1603)+(MONTH(G1603)/100),TC!$5:$37,DAY(G1603)+2,FALSE),VLOOKUP(F1603,Equivalencia!$5:$23,((MAX(Equivalencia!$3:$3)-YEAR(G1603))*14)+MONTH(G1603)+2,FALSE))))</f>
        <v>0</v>
      </c>
      <c r="M1603" s="306">
        <f t="shared" si="428"/>
        <v>0</v>
      </c>
      <c r="N1603" s="305">
        <f>IF(G1603=0,0,(IF(OR(E1603=$AT$5,E1603=$AT$6),AC1603,HLOOKUP(YEAR(G1603)+(MONTH(G1603)/100),TC!$5:$37,DAY(G1603)+2,FALSE))))</f>
        <v>0</v>
      </c>
      <c r="O1603" s="307">
        <f t="shared" si="429"/>
        <v>0</v>
      </c>
      <c r="P1603" s="560">
        <f>IF(G1603=0,0,VLOOKUP(YEAR(G1603),INPC!$B$4:$P$30,MONTH(G1603)+2))</f>
        <v>0</v>
      </c>
      <c r="Q1603" s="560">
        <f>IF(X1603=0,0,IF(OR(E1603=$AT$10,E1603=$AT$9),VLOOKUP(YEAR(X1603),INPC!$B$4:$P$30,MONTH(X1603)+1),VLOOKUP(YEAR(X1603),INPC!$B$4:$P$30,MONTH(X1603)+2,0)))</f>
        <v>0</v>
      </c>
      <c r="R1603" s="309">
        <f t="shared" si="430"/>
        <v>0</v>
      </c>
      <c r="S1603" s="310">
        <f t="shared" si="431"/>
        <v>0</v>
      </c>
      <c r="T1603" s="555">
        <f t="shared" si="432"/>
        <v>0</v>
      </c>
      <c r="U1603" s="311"/>
      <c r="V1603" s="312"/>
      <c r="W1603" s="299"/>
      <c r="X1603" s="300"/>
      <c r="Y1603" s="299"/>
      <c r="Z1603" s="303"/>
      <c r="AA1603" s="305">
        <f>IF(Z1603=0,0,IF(Y1603="MXN",1/HLOOKUP(YEAR(X1603)+(MONTH(X1603)/100),TC!$5:$37,DAY(X1603)+2,FALSE),VLOOKUP(Y1603,Equivalencia!$1:$23,((MAX(Equivalencia!$3:$3)-YEAR(X1603))*14)+MONTH(X1603)+2,FALSE)))</f>
        <v>0</v>
      </c>
      <c r="AB1603" s="306">
        <f t="shared" si="433"/>
        <v>0</v>
      </c>
      <c r="AC1603" s="305">
        <f>+IF(X1603=0,0,HLOOKUP(YEAR(X1603)+(MONTH(X1603)/100),TC!$5:$37,DAY(X1603)+2,FALSE))</f>
        <v>0</v>
      </c>
      <c r="AD1603" s="307">
        <f t="shared" si="434"/>
        <v>0</v>
      </c>
      <c r="AE1603" s="314">
        <f t="shared" si="435"/>
        <v>0</v>
      </c>
      <c r="AF1603" s="315">
        <f t="shared" si="436"/>
        <v>0</v>
      </c>
      <c r="AG1603" s="316">
        <f t="shared" si="437"/>
        <v>0</v>
      </c>
      <c r="AH1603" s="314">
        <v>1</v>
      </c>
      <c r="AI1603" s="314">
        <f t="shared" si="438"/>
        <v>0</v>
      </c>
      <c r="AJ1603" s="314">
        <f t="shared" si="439"/>
        <v>0</v>
      </c>
      <c r="AK1603" s="317"/>
      <c r="AL1603" s="315">
        <f t="shared" si="440"/>
        <v>0</v>
      </c>
      <c r="AN1603" s="554">
        <f t="shared" si="441"/>
        <v>0</v>
      </c>
      <c r="AO1603" s="314"/>
      <c r="AP1603" s="318"/>
    </row>
    <row r="1604" spans="2:42">
      <c r="B1604" s="296"/>
      <c r="C1604" s="299"/>
      <c r="D1604" s="298"/>
      <c r="E1604" s="299"/>
      <c r="F1604" s="299"/>
      <c r="G1604" s="300"/>
      <c r="H1604" s="303"/>
      <c r="I1604" s="301">
        <f t="shared" si="425"/>
        <v>0</v>
      </c>
      <c r="J1604" s="302">
        <f t="shared" si="426"/>
        <v>0</v>
      </c>
      <c r="K1604" s="304">
        <f t="shared" si="427"/>
        <v>0</v>
      </c>
      <c r="L1604" s="305">
        <f>IF(H1604=0,0,IF(OR(E1604=$AT$5,E1604=$AT$6),AA1604,IF(F1604="MXN",1/HLOOKUP(YEAR(G1604)+(MONTH(G1604)/100),TC!$5:$37,DAY(G1604)+2,FALSE),VLOOKUP(F1604,Equivalencia!$5:$23,((MAX(Equivalencia!$3:$3)-YEAR(G1604))*14)+MONTH(G1604)+2,FALSE))))</f>
        <v>0</v>
      </c>
      <c r="M1604" s="306">
        <f t="shared" si="428"/>
        <v>0</v>
      </c>
      <c r="N1604" s="305">
        <f>IF(G1604=0,0,(IF(OR(E1604=$AT$5,E1604=$AT$6),AC1604,HLOOKUP(YEAR(G1604)+(MONTH(G1604)/100),TC!$5:$37,DAY(G1604)+2,FALSE))))</f>
        <v>0</v>
      </c>
      <c r="O1604" s="307">
        <f t="shared" si="429"/>
        <v>0</v>
      </c>
      <c r="P1604" s="560">
        <f>IF(G1604=0,0,VLOOKUP(YEAR(G1604),INPC!$B$4:$P$30,MONTH(G1604)+2))</f>
        <v>0</v>
      </c>
      <c r="Q1604" s="560">
        <f>IF(X1604=0,0,IF(OR(E1604=$AT$10,E1604=$AT$9),VLOOKUP(YEAR(X1604),INPC!$B$4:$P$30,MONTH(X1604)+1),VLOOKUP(YEAR(X1604),INPC!$B$4:$P$30,MONTH(X1604)+2,0)))</f>
        <v>0</v>
      </c>
      <c r="R1604" s="309">
        <f t="shared" si="430"/>
        <v>0</v>
      </c>
      <c r="S1604" s="310">
        <f t="shared" si="431"/>
        <v>0</v>
      </c>
      <c r="T1604" s="555">
        <f t="shared" si="432"/>
        <v>0</v>
      </c>
      <c r="U1604" s="311"/>
      <c r="V1604" s="312"/>
      <c r="W1604" s="299"/>
      <c r="X1604" s="300"/>
      <c r="Y1604" s="299"/>
      <c r="Z1604" s="303"/>
      <c r="AA1604" s="305">
        <f>IF(Z1604=0,0,IF(Y1604="MXN",1/HLOOKUP(YEAR(X1604)+(MONTH(X1604)/100),TC!$5:$37,DAY(X1604)+2,FALSE),VLOOKUP(Y1604,Equivalencia!$1:$23,((MAX(Equivalencia!$3:$3)-YEAR(X1604))*14)+MONTH(X1604)+2,FALSE)))</f>
        <v>0</v>
      </c>
      <c r="AB1604" s="306">
        <f t="shared" si="433"/>
        <v>0</v>
      </c>
      <c r="AC1604" s="305">
        <f>+IF(X1604=0,0,HLOOKUP(YEAR(X1604)+(MONTH(X1604)/100),TC!$5:$37,DAY(X1604)+2,FALSE))</f>
        <v>0</v>
      </c>
      <c r="AD1604" s="307">
        <f t="shared" si="434"/>
        <v>0</v>
      </c>
      <c r="AE1604" s="314">
        <f t="shared" si="435"/>
        <v>0</v>
      </c>
      <c r="AF1604" s="315">
        <f t="shared" si="436"/>
        <v>0</v>
      </c>
      <c r="AG1604" s="316">
        <f t="shared" si="437"/>
        <v>0</v>
      </c>
      <c r="AH1604" s="314">
        <v>1</v>
      </c>
      <c r="AI1604" s="314">
        <f t="shared" si="438"/>
        <v>0</v>
      </c>
      <c r="AJ1604" s="314">
        <f t="shared" si="439"/>
        <v>0</v>
      </c>
      <c r="AK1604" s="317"/>
      <c r="AL1604" s="315">
        <f t="shared" si="440"/>
        <v>0</v>
      </c>
      <c r="AN1604" s="554">
        <f t="shared" si="441"/>
        <v>0</v>
      </c>
      <c r="AO1604" s="314"/>
      <c r="AP1604" s="318"/>
    </row>
    <row r="1605" spans="2:42">
      <c r="B1605" s="296"/>
      <c r="C1605" s="299"/>
      <c r="D1605" s="298"/>
      <c r="E1605" s="299"/>
      <c r="F1605" s="299"/>
      <c r="G1605" s="300"/>
      <c r="H1605" s="303"/>
      <c r="I1605" s="301">
        <f t="shared" si="425"/>
        <v>0</v>
      </c>
      <c r="J1605" s="302">
        <f t="shared" si="426"/>
        <v>0</v>
      </c>
      <c r="K1605" s="304">
        <f t="shared" si="427"/>
        <v>0</v>
      </c>
      <c r="L1605" s="305">
        <f>IF(H1605=0,0,IF(OR(E1605=$AT$5,E1605=$AT$6),AA1605,IF(F1605="MXN",1/HLOOKUP(YEAR(G1605)+(MONTH(G1605)/100),TC!$5:$37,DAY(G1605)+2,FALSE),VLOOKUP(F1605,Equivalencia!$5:$23,((MAX(Equivalencia!$3:$3)-YEAR(G1605))*14)+MONTH(G1605)+2,FALSE))))</f>
        <v>0</v>
      </c>
      <c r="M1605" s="306">
        <f t="shared" si="428"/>
        <v>0</v>
      </c>
      <c r="N1605" s="305">
        <f>IF(G1605=0,0,(IF(OR(E1605=$AT$5,E1605=$AT$6),AC1605,HLOOKUP(YEAR(G1605)+(MONTH(G1605)/100),TC!$5:$37,DAY(G1605)+2,FALSE))))</f>
        <v>0</v>
      </c>
      <c r="O1605" s="307">
        <f t="shared" si="429"/>
        <v>0</v>
      </c>
      <c r="P1605" s="560">
        <f>IF(G1605=0,0,VLOOKUP(YEAR(G1605),INPC!$B$4:$P$30,MONTH(G1605)+2))</f>
        <v>0</v>
      </c>
      <c r="Q1605" s="560">
        <f>IF(X1605=0,0,IF(OR(E1605=$AT$10,E1605=$AT$9),VLOOKUP(YEAR(X1605),INPC!$B$4:$P$30,MONTH(X1605)+1),VLOOKUP(YEAR(X1605),INPC!$B$4:$P$30,MONTH(X1605)+2,0)))</f>
        <v>0</v>
      </c>
      <c r="R1605" s="309">
        <f t="shared" si="430"/>
        <v>0</v>
      </c>
      <c r="S1605" s="310">
        <f t="shared" si="431"/>
        <v>0</v>
      </c>
      <c r="T1605" s="555">
        <f t="shared" si="432"/>
        <v>0</v>
      </c>
      <c r="U1605" s="311"/>
      <c r="V1605" s="312"/>
      <c r="W1605" s="299"/>
      <c r="X1605" s="300"/>
      <c r="Y1605" s="299"/>
      <c r="Z1605" s="303"/>
      <c r="AA1605" s="305">
        <f>IF(Z1605=0,0,IF(Y1605="MXN",1/HLOOKUP(YEAR(X1605)+(MONTH(X1605)/100),TC!$5:$37,DAY(X1605)+2,FALSE),VLOOKUP(Y1605,Equivalencia!$1:$23,((MAX(Equivalencia!$3:$3)-YEAR(X1605))*14)+MONTH(X1605)+2,FALSE)))</f>
        <v>0</v>
      </c>
      <c r="AB1605" s="306">
        <f t="shared" si="433"/>
        <v>0</v>
      </c>
      <c r="AC1605" s="305">
        <f>+IF(X1605=0,0,HLOOKUP(YEAR(X1605)+(MONTH(X1605)/100),TC!$5:$37,DAY(X1605)+2,FALSE))</f>
        <v>0</v>
      </c>
      <c r="AD1605" s="307">
        <f t="shared" si="434"/>
        <v>0</v>
      </c>
      <c r="AE1605" s="314">
        <f t="shared" si="435"/>
        <v>0</v>
      </c>
      <c r="AF1605" s="315">
        <f t="shared" si="436"/>
        <v>0</v>
      </c>
      <c r="AG1605" s="316">
        <f t="shared" si="437"/>
        <v>0</v>
      </c>
      <c r="AH1605" s="314">
        <v>1</v>
      </c>
      <c r="AI1605" s="314">
        <f t="shared" si="438"/>
        <v>0</v>
      </c>
      <c r="AJ1605" s="314">
        <f t="shared" si="439"/>
        <v>0</v>
      </c>
      <c r="AK1605" s="317"/>
      <c r="AL1605" s="315">
        <f t="shared" si="440"/>
        <v>0</v>
      </c>
      <c r="AN1605" s="554">
        <f t="shared" si="441"/>
        <v>0</v>
      </c>
      <c r="AO1605" s="314"/>
      <c r="AP1605" s="318"/>
    </row>
    <row r="1606" spans="2:42">
      <c r="B1606" s="296"/>
      <c r="C1606" s="299"/>
      <c r="D1606" s="298"/>
      <c r="E1606" s="299"/>
      <c r="F1606" s="299"/>
      <c r="G1606" s="300"/>
      <c r="H1606" s="303"/>
      <c r="I1606" s="301">
        <f t="shared" si="425"/>
        <v>0</v>
      </c>
      <c r="J1606" s="302">
        <f t="shared" si="426"/>
        <v>0</v>
      </c>
      <c r="K1606" s="304">
        <f t="shared" si="427"/>
        <v>0</v>
      </c>
      <c r="L1606" s="305">
        <f>IF(H1606=0,0,IF(OR(E1606=$AT$5,E1606=$AT$6),AA1606,IF(F1606="MXN",1/HLOOKUP(YEAR(G1606)+(MONTH(G1606)/100),TC!$5:$37,DAY(G1606)+2,FALSE),VLOOKUP(F1606,Equivalencia!$5:$23,((MAX(Equivalencia!$3:$3)-YEAR(G1606))*14)+MONTH(G1606)+2,FALSE))))</f>
        <v>0</v>
      </c>
      <c r="M1606" s="306">
        <f t="shared" si="428"/>
        <v>0</v>
      </c>
      <c r="N1606" s="305">
        <f>IF(G1606=0,0,(IF(OR(E1606=$AT$5,E1606=$AT$6),AC1606,HLOOKUP(YEAR(G1606)+(MONTH(G1606)/100),TC!$5:$37,DAY(G1606)+2,FALSE))))</f>
        <v>0</v>
      </c>
      <c r="O1606" s="307">
        <f t="shared" si="429"/>
        <v>0</v>
      </c>
      <c r="P1606" s="560">
        <f>IF(G1606=0,0,VLOOKUP(YEAR(G1606),INPC!$B$4:$P$30,MONTH(G1606)+2))</f>
        <v>0</v>
      </c>
      <c r="Q1606" s="560">
        <f>IF(X1606=0,0,IF(OR(E1606=$AT$10,E1606=$AT$9),VLOOKUP(YEAR(X1606),INPC!$B$4:$P$30,MONTH(X1606)+1),VLOOKUP(YEAR(X1606),INPC!$B$4:$P$30,MONTH(X1606)+2,0)))</f>
        <v>0</v>
      </c>
      <c r="R1606" s="309">
        <f t="shared" si="430"/>
        <v>0</v>
      </c>
      <c r="S1606" s="310">
        <f t="shared" si="431"/>
        <v>0</v>
      </c>
      <c r="T1606" s="555">
        <f t="shared" si="432"/>
        <v>0</v>
      </c>
      <c r="U1606" s="311"/>
      <c r="V1606" s="312"/>
      <c r="W1606" s="299"/>
      <c r="X1606" s="300"/>
      <c r="Y1606" s="299"/>
      <c r="Z1606" s="303"/>
      <c r="AA1606" s="305">
        <f>IF(Z1606=0,0,IF(Y1606="MXN",1/HLOOKUP(YEAR(X1606)+(MONTH(X1606)/100),TC!$5:$37,DAY(X1606)+2,FALSE),VLOOKUP(Y1606,Equivalencia!$1:$23,((MAX(Equivalencia!$3:$3)-YEAR(X1606))*14)+MONTH(X1606)+2,FALSE)))</f>
        <v>0</v>
      </c>
      <c r="AB1606" s="306">
        <f t="shared" si="433"/>
        <v>0</v>
      </c>
      <c r="AC1606" s="305">
        <f>+IF(X1606=0,0,HLOOKUP(YEAR(X1606)+(MONTH(X1606)/100),TC!$5:$37,DAY(X1606)+2,FALSE))</f>
        <v>0</v>
      </c>
      <c r="AD1606" s="307">
        <f t="shared" si="434"/>
        <v>0</v>
      </c>
      <c r="AE1606" s="314">
        <f t="shared" si="435"/>
        <v>0</v>
      </c>
      <c r="AF1606" s="315">
        <f t="shared" si="436"/>
        <v>0</v>
      </c>
      <c r="AG1606" s="316">
        <f t="shared" si="437"/>
        <v>0</v>
      </c>
      <c r="AH1606" s="314">
        <v>1</v>
      </c>
      <c r="AI1606" s="314">
        <f t="shared" si="438"/>
        <v>0</v>
      </c>
      <c r="AJ1606" s="314">
        <f t="shared" si="439"/>
        <v>0</v>
      </c>
      <c r="AK1606" s="317"/>
      <c r="AL1606" s="315">
        <f t="shared" si="440"/>
        <v>0</v>
      </c>
      <c r="AN1606" s="554">
        <f t="shared" si="441"/>
        <v>0</v>
      </c>
      <c r="AO1606" s="314"/>
      <c r="AP1606" s="318"/>
    </row>
    <row r="1607" spans="2:42">
      <c r="B1607" s="296"/>
      <c r="C1607" s="299"/>
      <c r="D1607" s="298"/>
      <c r="E1607" s="299"/>
      <c r="F1607" s="299"/>
      <c r="G1607" s="300"/>
      <c r="H1607" s="303"/>
      <c r="I1607" s="301">
        <f t="shared" si="425"/>
        <v>0</v>
      </c>
      <c r="J1607" s="302">
        <f t="shared" si="426"/>
        <v>0</v>
      </c>
      <c r="K1607" s="304">
        <f t="shared" si="427"/>
        <v>0</v>
      </c>
      <c r="L1607" s="305">
        <f>IF(H1607=0,0,IF(OR(E1607=$AT$5,E1607=$AT$6),AA1607,IF(F1607="MXN",1/HLOOKUP(YEAR(G1607)+(MONTH(G1607)/100),TC!$5:$37,DAY(G1607)+2,FALSE),VLOOKUP(F1607,Equivalencia!$5:$23,((MAX(Equivalencia!$3:$3)-YEAR(G1607))*14)+MONTH(G1607)+2,FALSE))))</f>
        <v>0</v>
      </c>
      <c r="M1607" s="306">
        <f t="shared" si="428"/>
        <v>0</v>
      </c>
      <c r="N1607" s="305">
        <f>IF(G1607=0,0,(IF(OR(E1607=$AT$5,E1607=$AT$6),AC1607,HLOOKUP(YEAR(G1607)+(MONTH(G1607)/100),TC!$5:$37,DAY(G1607)+2,FALSE))))</f>
        <v>0</v>
      </c>
      <c r="O1607" s="307">
        <f t="shared" si="429"/>
        <v>0</v>
      </c>
      <c r="P1607" s="560">
        <f>IF(G1607=0,0,VLOOKUP(YEAR(G1607),INPC!$B$4:$P$30,MONTH(G1607)+2))</f>
        <v>0</v>
      </c>
      <c r="Q1607" s="560">
        <f>IF(X1607=0,0,IF(OR(E1607=$AT$10,E1607=$AT$9),VLOOKUP(YEAR(X1607),INPC!$B$4:$P$30,MONTH(X1607)+1),VLOOKUP(YEAR(X1607),INPC!$B$4:$P$30,MONTH(X1607)+2,0)))</f>
        <v>0</v>
      </c>
      <c r="R1607" s="309">
        <f t="shared" si="430"/>
        <v>0</v>
      </c>
      <c r="S1607" s="310">
        <f t="shared" si="431"/>
        <v>0</v>
      </c>
      <c r="T1607" s="555">
        <f t="shared" si="432"/>
        <v>0</v>
      </c>
      <c r="U1607" s="311"/>
      <c r="V1607" s="312"/>
      <c r="W1607" s="299"/>
      <c r="X1607" s="300"/>
      <c r="Y1607" s="299"/>
      <c r="Z1607" s="303"/>
      <c r="AA1607" s="305">
        <f>IF(Z1607=0,0,IF(Y1607="MXN",1/HLOOKUP(YEAR(X1607)+(MONTH(X1607)/100),TC!$5:$37,DAY(X1607)+2,FALSE),VLOOKUP(Y1607,Equivalencia!$1:$23,((MAX(Equivalencia!$3:$3)-YEAR(X1607))*14)+MONTH(X1607)+2,FALSE)))</f>
        <v>0</v>
      </c>
      <c r="AB1607" s="306">
        <f t="shared" si="433"/>
        <v>0</v>
      </c>
      <c r="AC1607" s="305">
        <f>+IF(X1607=0,0,HLOOKUP(YEAR(X1607)+(MONTH(X1607)/100),TC!$5:$37,DAY(X1607)+2,FALSE))</f>
        <v>0</v>
      </c>
      <c r="AD1607" s="307">
        <f t="shared" si="434"/>
        <v>0</v>
      </c>
      <c r="AE1607" s="314">
        <f t="shared" si="435"/>
        <v>0</v>
      </c>
      <c r="AF1607" s="315">
        <f t="shared" si="436"/>
        <v>0</v>
      </c>
      <c r="AG1607" s="316">
        <f t="shared" si="437"/>
        <v>0</v>
      </c>
      <c r="AH1607" s="314">
        <v>1</v>
      </c>
      <c r="AI1607" s="314">
        <f t="shared" si="438"/>
        <v>0</v>
      </c>
      <c r="AJ1607" s="314">
        <f t="shared" si="439"/>
        <v>0</v>
      </c>
      <c r="AK1607" s="317"/>
      <c r="AL1607" s="315">
        <f t="shared" si="440"/>
        <v>0</v>
      </c>
      <c r="AN1607" s="554">
        <f t="shared" si="441"/>
        <v>0</v>
      </c>
      <c r="AO1607" s="314"/>
      <c r="AP1607" s="318"/>
    </row>
    <row r="1608" spans="2:42">
      <c r="B1608" s="296"/>
      <c r="C1608" s="299"/>
      <c r="D1608" s="298"/>
      <c r="E1608" s="299"/>
      <c r="F1608" s="299"/>
      <c r="G1608" s="300"/>
      <c r="H1608" s="303"/>
      <c r="I1608" s="301">
        <f t="shared" si="425"/>
        <v>0</v>
      </c>
      <c r="J1608" s="302">
        <f t="shared" si="426"/>
        <v>0</v>
      </c>
      <c r="K1608" s="304">
        <f t="shared" si="427"/>
        <v>0</v>
      </c>
      <c r="L1608" s="305">
        <f>IF(H1608=0,0,IF(OR(E1608=$AT$5,E1608=$AT$6),AA1608,IF(F1608="MXN",1/HLOOKUP(YEAR(G1608)+(MONTH(G1608)/100),TC!$5:$37,DAY(G1608)+2,FALSE),VLOOKUP(F1608,Equivalencia!$5:$23,((MAX(Equivalencia!$3:$3)-YEAR(G1608))*14)+MONTH(G1608)+2,FALSE))))</f>
        <v>0</v>
      </c>
      <c r="M1608" s="306">
        <f t="shared" si="428"/>
        <v>0</v>
      </c>
      <c r="N1608" s="305">
        <f>IF(G1608=0,0,(IF(OR(E1608=$AT$5,E1608=$AT$6),AC1608,HLOOKUP(YEAR(G1608)+(MONTH(G1608)/100),TC!$5:$37,DAY(G1608)+2,FALSE))))</f>
        <v>0</v>
      </c>
      <c r="O1608" s="307">
        <f t="shared" si="429"/>
        <v>0</v>
      </c>
      <c r="P1608" s="560">
        <f>IF(G1608=0,0,VLOOKUP(YEAR(G1608),INPC!$B$4:$P$30,MONTH(G1608)+2))</f>
        <v>0</v>
      </c>
      <c r="Q1608" s="560">
        <f>IF(X1608=0,0,IF(OR(E1608=$AT$10,E1608=$AT$9),VLOOKUP(YEAR(X1608),INPC!$B$4:$P$30,MONTH(X1608)+1),VLOOKUP(YEAR(X1608),INPC!$B$4:$P$30,MONTH(X1608)+2,0)))</f>
        <v>0</v>
      </c>
      <c r="R1608" s="309">
        <f t="shared" si="430"/>
        <v>0</v>
      </c>
      <c r="S1608" s="310">
        <f t="shared" si="431"/>
        <v>0</v>
      </c>
      <c r="T1608" s="555">
        <f t="shared" si="432"/>
        <v>0</v>
      </c>
      <c r="U1608" s="311"/>
      <c r="V1608" s="312"/>
      <c r="W1608" s="299"/>
      <c r="X1608" s="300"/>
      <c r="Y1608" s="299"/>
      <c r="Z1608" s="303"/>
      <c r="AA1608" s="305">
        <f>IF(Z1608=0,0,IF(Y1608="MXN",1/HLOOKUP(YEAR(X1608)+(MONTH(X1608)/100),TC!$5:$37,DAY(X1608)+2,FALSE),VLOOKUP(Y1608,Equivalencia!$1:$23,((MAX(Equivalencia!$3:$3)-YEAR(X1608))*14)+MONTH(X1608)+2,FALSE)))</f>
        <v>0</v>
      </c>
      <c r="AB1608" s="306">
        <f t="shared" si="433"/>
        <v>0</v>
      </c>
      <c r="AC1608" s="305">
        <f>+IF(X1608=0,0,HLOOKUP(YEAR(X1608)+(MONTH(X1608)/100),TC!$5:$37,DAY(X1608)+2,FALSE))</f>
        <v>0</v>
      </c>
      <c r="AD1608" s="307">
        <f t="shared" si="434"/>
        <v>0</v>
      </c>
      <c r="AE1608" s="314">
        <f t="shared" si="435"/>
        <v>0</v>
      </c>
      <c r="AF1608" s="315">
        <f t="shared" si="436"/>
        <v>0</v>
      </c>
      <c r="AG1608" s="316">
        <f t="shared" si="437"/>
        <v>0</v>
      </c>
      <c r="AH1608" s="314">
        <v>1</v>
      </c>
      <c r="AI1608" s="314">
        <f t="shared" si="438"/>
        <v>0</v>
      </c>
      <c r="AJ1608" s="314">
        <f t="shared" si="439"/>
        <v>0</v>
      </c>
      <c r="AK1608" s="317"/>
      <c r="AL1608" s="315">
        <f t="shared" si="440"/>
        <v>0</v>
      </c>
      <c r="AN1608" s="554">
        <f t="shared" si="441"/>
        <v>0</v>
      </c>
      <c r="AO1608" s="314"/>
      <c r="AP1608" s="318"/>
    </row>
    <row r="1609" spans="2:42">
      <c r="B1609" s="296"/>
      <c r="C1609" s="299"/>
      <c r="D1609" s="298"/>
      <c r="E1609" s="299"/>
      <c r="F1609" s="299"/>
      <c r="G1609" s="300"/>
      <c r="H1609" s="303"/>
      <c r="I1609" s="301">
        <f t="shared" si="425"/>
        <v>0</v>
      </c>
      <c r="J1609" s="302">
        <f t="shared" si="426"/>
        <v>0</v>
      </c>
      <c r="K1609" s="304">
        <f t="shared" si="427"/>
        <v>0</v>
      </c>
      <c r="L1609" s="305">
        <f>IF(H1609=0,0,IF(OR(E1609=$AT$5,E1609=$AT$6),AA1609,IF(F1609="MXN",1/HLOOKUP(YEAR(G1609)+(MONTH(G1609)/100),TC!$5:$37,DAY(G1609)+2,FALSE),VLOOKUP(F1609,Equivalencia!$5:$23,((MAX(Equivalencia!$3:$3)-YEAR(G1609))*14)+MONTH(G1609)+2,FALSE))))</f>
        <v>0</v>
      </c>
      <c r="M1609" s="306">
        <f t="shared" si="428"/>
        <v>0</v>
      </c>
      <c r="N1609" s="305">
        <f>IF(G1609=0,0,(IF(OR(E1609=$AT$5,E1609=$AT$6),AC1609,HLOOKUP(YEAR(G1609)+(MONTH(G1609)/100),TC!$5:$37,DAY(G1609)+2,FALSE))))</f>
        <v>0</v>
      </c>
      <c r="O1609" s="307">
        <f t="shared" si="429"/>
        <v>0</v>
      </c>
      <c r="P1609" s="560">
        <f>IF(G1609=0,0,VLOOKUP(YEAR(G1609),INPC!$B$4:$P$30,MONTH(G1609)+2))</f>
        <v>0</v>
      </c>
      <c r="Q1609" s="560">
        <f>IF(X1609=0,0,IF(OR(E1609=$AT$10,E1609=$AT$9),VLOOKUP(YEAR(X1609),INPC!$B$4:$P$30,MONTH(X1609)+1),VLOOKUP(YEAR(X1609),INPC!$B$4:$P$30,MONTH(X1609)+2,0)))</f>
        <v>0</v>
      </c>
      <c r="R1609" s="309">
        <f t="shared" si="430"/>
        <v>0</v>
      </c>
      <c r="S1609" s="310">
        <f t="shared" si="431"/>
        <v>0</v>
      </c>
      <c r="T1609" s="555">
        <f t="shared" si="432"/>
        <v>0</v>
      </c>
      <c r="U1609" s="311"/>
      <c r="V1609" s="312"/>
      <c r="W1609" s="299"/>
      <c r="X1609" s="300"/>
      <c r="Y1609" s="299"/>
      <c r="Z1609" s="303"/>
      <c r="AA1609" s="305">
        <f>IF(Z1609=0,0,IF(Y1609="MXN",1/HLOOKUP(YEAR(X1609)+(MONTH(X1609)/100),TC!$5:$37,DAY(X1609)+2,FALSE),VLOOKUP(Y1609,Equivalencia!$1:$23,((MAX(Equivalencia!$3:$3)-YEAR(X1609))*14)+MONTH(X1609)+2,FALSE)))</f>
        <v>0</v>
      </c>
      <c r="AB1609" s="306">
        <f t="shared" si="433"/>
        <v>0</v>
      </c>
      <c r="AC1609" s="305">
        <f>+IF(X1609=0,0,HLOOKUP(YEAR(X1609)+(MONTH(X1609)/100),TC!$5:$37,DAY(X1609)+2,FALSE))</f>
        <v>0</v>
      </c>
      <c r="AD1609" s="307">
        <f t="shared" si="434"/>
        <v>0</v>
      </c>
      <c r="AE1609" s="314">
        <f t="shared" si="435"/>
        <v>0</v>
      </c>
      <c r="AF1609" s="315">
        <f t="shared" si="436"/>
        <v>0</v>
      </c>
      <c r="AG1609" s="316">
        <f t="shared" si="437"/>
        <v>0</v>
      </c>
      <c r="AH1609" s="314">
        <v>1</v>
      </c>
      <c r="AI1609" s="314">
        <f t="shared" si="438"/>
        <v>0</v>
      </c>
      <c r="AJ1609" s="314">
        <f t="shared" si="439"/>
        <v>0</v>
      </c>
      <c r="AK1609" s="317"/>
      <c r="AL1609" s="315">
        <f t="shared" si="440"/>
        <v>0</v>
      </c>
      <c r="AN1609" s="554">
        <f t="shared" si="441"/>
        <v>0</v>
      </c>
      <c r="AO1609" s="314"/>
      <c r="AP1609" s="318"/>
    </row>
    <row r="1610" spans="2:42">
      <c r="B1610" s="296"/>
      <c r="C1610" s="299"/>
      <c r="D1610" s="298"/>
      <c r="E1610" s="299"/>
      <c r="F1610" s="299"/>
      <c r="G1610" s="300"/>
      <c r="H1610" s="303"/>
      <c r="I1610" s="301">
        <f t="shared" si="425"/>
        <v>0</v>
      </c>
      <c r="J1610" s="302">
        <f t="shared" si="426"/>
        <v>0</v>
      </c>
      <c r="K1610" s="304">
        <f t="shared" si="427"/>
        <v>0</v>
      </c>
      <c r="L1610" s="305">
        <f>IF(H1610=0,0,IF(OR(E1610=$AT$5,E1610=$AT$6),AA1610,IF(F1610="MXN",1/HLOOKUP(YEAR(G1610)+(MONTH(G1610)/100),TC!$5:$37,DAY(G1610)+2,FALSE),VLOOKUP(F1610,Equivalencia!$5:$23,((MAX(Equivalencia!$3:$3)-YEAR(G1610))*14)+MONTH(G1610)+2,FALSE))))</f>
        <v>0</v>
      </c>
      <c r="M1610" s="306">
        <f t="shared" si="428"/>
        <v>0</v>
      </c>
      <c r="N1610" s="305">
        <f>IF(G1610=0,0,(IF(OR(E1610=$AT$5,E1610=$AT$6),AC1610,HLOOKUP(YEAR(G1610)+(MONTH(G1610)/100),TC!$5:$37,DAY(G1610)+2,FALSE))))</f>
        <v>0</v>
      </c>
      <c r="O1610" s="307">
        <f t="shared" si="429"/>
        <v>0</v>
      </c>
      <c r="P1610" s="560">
        <f>IF(G1610=0,0,VLOOKUP(YEAR(G1610),INPC!$B$4:$P$30,MONTH(G1610)+2))</f>
        <v>0</v>
      </c>
      <c r="Q1610" s="560">
        <f>IF(X1610=0,0,IF(OR(E1610=$AT$10,E1610=$AT$9),VLOOKUP(YEAR(X1610),INPC!$B$4:$P$30,MONTH(X1610)+1),VLOOKUP(YEAR(X1610),INPC!$B$4:$P$30,MONTH(X1610)+2,0)))</f>
        <v>0</v>
      </c>
      <c r="R1610" s="309">
        <f t="shared" si="430"/>
        <v>0</v>
      </c>
      <c r="S1610" s="310">
        <f t="shared" si="431"/>
        <v>0</v>
      </c>
      <c r="T1610" s="555">
        <f t="shared" si="432"/>
        <v>0</v>
      </c>
      <c r="U1610" s="311"/>
      <c r="V1610" s="312"/>
      <c r="W1610" s="299"/>
      <c r="X1610" s="300"/>
      <c r="Y1610" s="299"/>
      <c r="Z1610" s="303"/>
      <c r="AA1610" s="305">
        <f>IF(Z1610=0,0,IF(Y1610="MXN",1/HLOOKUP(YEAR(X1610)+(MONTH(X1610)/100),TC!$5:$37,DAY(X1610)+2,FALSE),VLOOKUP(Y1610,Equivalencia!$1:$23,((MAX(Equivalencia!$3:$3)-YEAR(X1610))*14)+MONTH(X1610)+2,FALSE)))</f>
        <v>0</v>
      </c>
      <c r="AB1610" s="306">
        <f t="shared" si="433"/>
        <v>0</v>
      </c>
      <c r="AC1610" s="305">
        <f>+IF(X1610=0,0,HLOOKUP(YEAR(X1610)+(MONTH(X1610)/100),TC!$5:$37,DAY(X1610)+2,FALSE))</f>
        <v>0</v>
      </c>
      <c r="AD1610" s="307">
        <f t="shared" si="434"/>
        <v>0</v>
      </c>
      <c r="AE1610" s="314">
        <f t="shared" si="435"/>
        <v>0</v>
      </c>
      <c r="AF1610" s="315">
        <f t="shared" si="436"/>
        <v>0</v>
      </c>
      <c r="AG1610" s="316">
        <f t="shared" si="437"/>
        <v>0</v>
      </c>
      <c r="AH1610" s="314">
        <v>1</v>
      </c>
      <c r="AI1610" s="314">
        <f t="shared" si="438"/>
        <v>0</v>
      </c>
      <c r="AJ1610" s="314">
        <f t="shared" si="439"/>
        <v>0</v>
      </c>
      <c r="AK1610" s="317"/>
      <c r="AL1610" s="315">
        <f t="shared" si="440"/>
        <v>0</v>
      </c>
      <c r="AN1610" s="554">
        <f t="shared" si="441"/>
        <v>0</v>
      </c>
      <c r="AO1610" s="314"/>
      <c r="AP1610" s="318"/>
    </row>
    <row r="1611" spans="2:42">
      <c r="B1611" s="296"/>
      <c r="C1611" s="299"/>
      <c r="D1611" s="298"/>
      <c r="E1611" s="299"/>
      <c r="F1611" s="299"/>
      <c r="G1611" s="300"/>
      <c r="H1611" s="303"/>
      <c r="I1611" s="301">
        <f t="shared" si="425"/>
        <v>0</v>
      </c>
      <c r="J1611" s="302">
        <f t="shared" si="426"/>
        <v>0</v>
      </c>
      <c r="K1611" s="304">
        <f t="shared" si="427"/>
        <v>0</v>
      </c>
      <c r="L1611" s="305">
        <f>IF(H1611=0,0,IF(OR(E1611=$AT$5,E1611=$AT$6),AA1611,IF(F1611="MXN",1/HLOOKUP(YEAR(G1611)+(MONTH(G1611)/100),TC!$5:$37,DAY(G1611)+2,FALSE),VLOOKUP(F1611,Equivalencia!$5:$23,((MAX(Equivalencia!$3:$3)-YEAR(G1611))*14)+MONTH(G1611)+2,FALSE))))</f>
        <v>0</v>
      </c>
      <c r="M1611" s="306">
        <f t="shared" si="428"/>
        <v>0</v>
      </c>
      <c r="N1611" s="305">
        <f>IF(G1611=0,0,(IF(OR(E1611=$AT$5,E1611=$AT$6),AC1611,HLOOKUP(YEAR(G1611)+(MONTH(G1611)/100),TC!$5:$37,DAY(G1611)+2,FALSE))))</f>
        <v>0</v>
      </c>
      <c r="O1611" s="307">
        <f t="shared" si="429"/>
        <v>0</v>
      </c>
      <c r="P1611" s="560">
        <f>IF(G1611=0,0,VLOOKUP(YEAR(G1611),INPC!$B$4:$P$30,MONTH(G1611)+2))</f>
        <v>0</v>
      </c>
      <c r="Q1611" s="560">
        <f>IF(X1611=0,0,IF(OR(E1611=$AT$10,E1611=$AT$9),VLOOKUP(YEAR(X1611),INPC!$B$4:$P$30,MONTH(X1611)+1),VLOOKUP(YEAR(X1611),INPC!$B$4:$P$30,MONTH(X1611)+2,0)))</f>
        <v>0</v>
      </c>
      <c r="R1611" s="309">
        <f t="shared" si="430"/>
        <v>0</v>
      </c>
      <c r="S1611" s="310">
        <f t="shared" si="431"/>
        <v>0</v>
      </c>
      <c r="T1611" s="555">
        <f t="shared" si="432"/>
        <v>0</v>
      </c>
      <c r="U1611" s="311"/>
      <c r="V1611" s="312"/>
      <c r="W1611" s="299"/>
      <c r="X1611" s="300"/>
      <c r="Y1611" s="299"/>
      <c r="Z1611" s="303"/>
      <c r="AA1611" s="305">
        <f>IF(Z1611=0,0,IF(Y1611="MXN",1/HLOOKUP(YEAR(X1611)+(MONTH(X1611)/100),TC!$5:$37,DAY(X1611)+2,FALSE),VLOOKUP(Y1611,Equivalencia!$1:$23,((MAX(Equivalencia!$3:$3)-YEAR(X1611))*14)+MONTH(X1611)+2,FALSE)))</f>
        <v>0</v>
      </c>
      <c r="AB1611" s="306">
        <f t="shared" si="433"/>
        <v>0</v>
      </c>
      <c r="AC1611" s="305">
        <f>+IF(X1611=0,0,HLOOKUP(YEAR(X1611)+(MONTH(X1611)/100),TC!$5:$37,DAY(X1611)+2,FALSE))</f>
        <v>0</v>
      </c>
      <c r="AD1611" s="307">
        <f t="shared" si="434"/>
        <v>0</v>
      </c>
      <c r="AE1611" s="314">
        <f t="shared" si="435"/>
        <v>0</v>
      </c>
      <c r="AF1611" s="315">
        <f t="shared" si="436"/>
        <v>0</v>
      </c>
      <c r="AG1611" s="316">
        <f t="shared" si="437"/>
        <v>0</v>
      </c>
      <c r="AH1611" s="314">
        <v>1</v>
      </c>
      <c r="AI1611" s="314">
        <f t="shared" si="438"/>
        <v>0</v>
      </c>
      <c r="AJ1611" s="314">
        <f t="shared" si="439"/>
        <v>0</v>
      </c>
      <c r="AK1611" s="317"/>
      <c r="AL1611" s="315">
        <f t="shared" si="440"/>
        <v>0</v>
      </c>
      <c r="AN1611" s="554">
        <f t="shared" si="441"/>
        <v>0</v>
      </c>
      <c r="AO1611" s="314"/>
      <c r="AP1611" s="318"/>
    </row>
    <row r="1612" spans="2:42">
      <c r="B1612" s="296"/>
      <c r="C1612" s="299"/>
      <c r="D1612" s="298"/>
      <c r="E1612" s="299"/>
      <c r="F1612" s="299"/>
      <c r="G1612" s="300"/>
      <c r="H1612" s="303"/>
      <c r="I1612" s="301">
        <f t="shared" si="425"/>
        <v>0</v>
      </c>
      <c r="J1612" s="302">
        <f t="shared" si="426"/>
        <v>0</v>
      </c>
      <c r="K1612" s="304">
        <f t="shared" si="427"/>
        <v>0</v>
      </c>
      <c r="L1612" s="305">
        <f>IF(H1612=0,0,IF(OR(E1612=$AT$5,E1612=$AT$6),AA1612,IF(F1612="MXN",1/HLOOKUP(YEAR(G1612)+(MONTH(G1612)/100),TC!$5:$37,DAY(G1612)+2,FALSE),VLOOKUP(F1612,Equivalencia!$5:$23,((MAX(Equivalencia!$3:$3)-YEAR(G1612))*14)+MONTH(G1612)+2,FALSE))))</f>
        <v>0</v>
      </c>
      <c r="M1612" s="306">
        <f t="shared" si="428"/>
        <v>0</v>
      </c>
      <c r="N1612" s="305">
        <f>IF(G1612=0,0,(IF(OR(E1612=$AT$5,E1612=$AT$6),AC1612,HLOOKUP(YEAR(G1612)+(MONTH(G1612)/100),TC!$5:$37,DAY(G1612)+2,FALSE))))</f>
        <v>0</v>
      </c>
      <c r="O1612" s="307">
        <f t="shared" si="429"/>
        <v>0</v>
      </c>
      <c r="P1612" s="560">
        <f>IF(G1612=0,0,VLOOKUP(YEAR(G1612),INPC!$B$4:$P$30,MONTH(G1612)+2))</f>
        <v>0</v>
      </c>
      <c r="Q1612" s="560">
        <f>IF(X1612=0,0,IF(OR(E1612=$AT$10,E1612=$AT$9),VLOOKUP(YEAR(X1612),INPC!$B$4:$P$30,MONTH(X1612)+1),VLOOKUP(YEAR(X1612),INPC!$B$4:$P$30,MONTH(X1612)+2,0)))</f>
        <v>0</v>
      </c>
      <c r="R1612" s="309">
        <f t="shared" si="430"/>
        <v>0</v>
      </c>
      <c r="S1612" s="310">
        <f t="shared" si="431"/>
        <v>0</v>
      </c>
      <c r="T1612" s="555">
        <f t="shared" si="432"/>
        <v>0</v>
      </c>
      <c r="U1612" s="311"/>
      <c r="V1612" s="312"/>
      <c r="W1612" s="299"/>
      <c r="X1612" s="300"/>
      <c r="Y1612" s="299"/>
      <c r="Z1612" s="303"/>
      <c r="AA1612" s="305">
        <f>IF(Z1612=0,0,IF(Y1612="MXN",1/HLOOKUP(YEAR(X1612)+(MONTH(X1612)/100),TC!$5:$37,DAY(X1612)+2,FALSE),VLOOKUP(Y1612,Equivalencia!$1:$23,((MAX(Equivalencia!$3:$3)-YEAR(X1612))*14)+MONTH(X1612)+2,FALSE)))</f>
        <v>0</v>
      </c>
      <c r="AB1612" s="306">
        <f t="shared" si="433"/>
        <v>0</v>
      </c>
      <c r="AC1612" s="305">
        <f>+IF(X1612=0,0,HLOOKUP(YEAR(X1612)+(MONTH(X1612)/100),TC!$5:$37,DAY(X1612)+2,FALSE))</f>
        <v>0</v>
      </c>
      <c r="AD1612" s="307">
        <f t="shared" si="434"/>
        <v>0</v>
      </c>
      <c r="AE1612" s="314">
        <f t="shared" si="435"/>
        <v>0</v>
      </c>
      <c r="AF1612" s="315">
        <f t="shared" si="436"/>
        <v>0</v>
      </c>
      <c r="AG1612" s="316">
        <f t="shared" si="437"/>
        <v>0</v>
      </c>
      <c r="AH1612" s="314">
        <v>1</v>
      </c>
      <c r="AI1612" s="314">
        <f t="shared" si="438"/>
        <v>0</v>
      </c>
      <c r="AJ1612" s="314">
        <f t="shared" si="439"/>
        <v>0</v>
      </c>
      <c r="AK1612" s="317"/>
      <c r="AL1612" s="315">
        <f t="shared" si="440"/>
        <v>0</v>
      </c>
      <c r="AN1612" s="554">
        <f t="shared" si="441"/>
        <v>0</v>
      </c>
      <c r="AO1612" s="314"/>
      <c r="AP1612" s="318"/>
    </row>
    <row r="1613" spans="2:42">
      <c r="B1613" s="296"/>
      <c r="C1613" s="299"/>
      <c r="D1613" s="298"/>
      <c r="E1613" s="299"/>
      <c r="F1613" s="299"/>
      <c r="G1613" s="300"/>
      <c r="H1613" s="303"/>
      <c r="I1613" s="301">
        <f t="shared" si="425"/>
        <v>0</v>
      </c>
      <c r="J1613" s="302">
        <f t="shared" si="426"/>
        <v>0</v>
      </c>
      <c r="K1613" s="304">
        <f t="shared" si="427"/>
        <v>0</v>
      </c>
      <c r="L1613" s="305">
        <f>IF(H1613=0,0,IF(OR(E1613=$AT$5,E1613=$AT$6),AA1613,IF(F1613="MXN",1/HLOOKUP(YEAR(G1613)+(MONTH(G1613)/100),TC!$5:$37,DAY(G1613)+2,FALSE),VLOOKUP(F1613,Equivalencia!$5:$23,((MAX(Equivalencia!$3:$3)-YEAR(G1613))*14)+MONTH(G1613)+2,FALSE))))</f>
        <v>0</v>
      </c>
      <c r="M1613" s="306">
        <f t="shared" si="428"/>
        <v>0</v>
      </c>
      <c r="N1613" s="305">
        <f>IF(G1613=0,0,(IF(OR(E1613=$AT$5,E1613=$AT$6),AC1613,HLOOKUP(YEAR(G1613)+(MONTH(G1613)/100),TC!$5:$37,DAY(G1613)+2,FALSE))))</f>
        <v>0</v>
      </c>
      <c r="O1613" s="307">
        <f t="shared" si="429"/>
        <v>0</v>
      </c>
      <c r="P1613" s="560">
        <f>IF(G1613=0,0,VLOOKUP(YEAR(G1613),INPC!$B$4:$P$30,MONTH(G1613)+2))</f>
        <v>0</v>
      </c>
      <c r="Q1613" s="560">
        <f>IF(X1613=0,0,IF(OR(E1613=$AT$10,E1613=$AT$9),VLOOKUP(YEAR(X1613),INPC!$B$4:$P$30,MONTH(X1613)+1),VLOOKUP(YEAR(X1613),INPC!$B$4:$P$30,MONTH(X1613)+2,0)))</f>
        <v>0</v>
      </c>
      <c r="R1613" s="309">
        <f t="shared" si="430"/>
        <v>0</v>
      </c>
      <c r="S1613" s="310">
        <f t="shared" si="431"/>
        <v>0</v>
      </c>
      <c r="T1613" s="555">
        <f t="shared" si="432"/>
        <v>0</v>
      </c>
      <c r="U1613" s="311"/>
      <c r="V1613" s="312"/>
      <c r="W1613" s="299"/>
      <c r="X1613" s="300"/>
      <c r="Y1613" s="299"/>
      <c r="Z1613" s="303"/>
      <c r="AA1613" s="305">
        <f>IF(Z1613=0,0,IF(Y1613="MXN",1/HLOOKUP(YEAR(X1613)+(MONTH(X1613)/100),TC!$5:$37,DAY(X1613)+2,FALSE),VLOOKUP(Y1613,Equivalencia!$1:$23,((MAX(Equivalencia!$3:$3)-YEAR(X1613))*14)+MONTH(X1613)+2,FALSE)))</f>
        <v>0</v>
      </c>
      <c r="AB1613" s="306">
        <f t="shared" si="433"/>
        <v>0</v>
      </c>
      <c r="AC1613" s="305">
        <f>+IF(X1613=0,0,HLOOKUP(YEAR(X1613)+(MONTH(X1613)/100),TC!$5:$37,DAY(X1613)+2,FALSE))</f>
        <v>0</v>
      </c>
      <c r="AD1613" s="307">
        <f t="shared" si="434"/>
        <v>0</v>
      </c>
      <c r="AE1613" s="314">
        <f t="shared" si="435"/>
        <v>0</v>
      </c>
      <c r="AF1613" s="315">
        <f t="shared" si="436"/>
        <v>0</v>
      </c>
      <c r="AG1613" s="316">
        <f t="shared" si="437"/>
        <v>0</v>
      </c>
      <c r="AH1613" s="314">
        <v>1</v>
      </c>
      <c r="AI1613" s="314">
        <f t="shared" si="438"/>
        <v>0</v>
      </c>
      <c r="AJ1613" s="314">
        <f t="shared" si="439"/>
        <v>0</v>
      </c>
      <c r="AK1613" s="317"/>
      <c r="AL1613" s="315">
        <f t="shared" si="440"/>
        <v>0</v>
      </c>
      <c r="AN1613" s="554">
        <f t="shared" si="441"/>
        <v>0</v>
      </c>
      <c r="AO1613" s="314"/>
      <c r="AP1613" s="318"/>
    </row>
    <row r="1614" spans="2:42">
      <c r="B1614" s="296"/>
      <c r="C1614" s="299"/>
      <c r="D1614" s="298"/>
      <c r="E1614" s="299"/>
      <c r="F1614" s="299"/>
      <c r="G1614" s="300"/>
      <c r="H1614" s="303"/>
      <c r="I1614" s="301">
        <f t="shared" si="425"/>
        <v>0</v>
      </c>
      <c r="J1614" s="302">
        <f t="shared" si="426"/>
        <v>0</v>
      </c>
      <c r="K1614" s="304">
        <f t="shared" si="427"/>
        <v>0</v>
      </c>
      <c r="L1614" s="305">
        <f>IF(H1614=0,0,IF(OR(E1614=$AT$5,E1614=$AT$6),AA1614,IF(F1614="MXN",1/HLOOKUP(YEAR(G1614)+(MONTH(G1614)/100),TC!$5:$37,DAY(G1614)+2,FALSE),VLOOKUP(F1614,Equivalencia!$5:$23,((MAX(Equivalencia!$3:$3)-YEAR(G1614))*14)+MONTH(G1614)+2,FALSE))))</f>
        <v>0</v>
      </c>
      <c r="M1614" s="306">
        <f t="shared" si="428"/>
        <v>0</v>
      </c>
      <c r="N1614" s="305">
        <f>IF(G1614=0,0,(IF(OR(E1614=$AT$5,E1614=$AT$6),AC1614,HLOOKUP(YEAR(G1614)+(MONTH(G1614)/100),TC!$5:$37,DAY(G1614)+2,FALSE))))</f>
        <v>0</v>
      </c>
      <c r="O1614" s="307">
        <f t="shared" si="429"/>
        <v>0</v>
      </c>
      <c r="P1614" s="560">
        <f>IF(G1614=0,0,VLOOKUP(YEAR(G1614),INPC!$B$4:$P$30,MONTH(G1614)+2))</f>
        <v>0</v>
      </c>
      <c r="Q1614" s="560">
        <f>IF(X1614=0,0,IF(OR(E1614=$AT$10,E1614=$AT$9),VLOOKUP(YEAR(X1614),INPC!$B$4:$P$30,MONTH(X1614)+1),VLOOKUP(YEAR(X1614),INPC!$B$4:$P$30,MONTH(X1614)+2,0)))</f>
        <v>0</v>
      </c>
      <c r="R1614" s="309">
        <f t="shared" si="430"/>
        <v>0</v>
      </c>
      <c r="S1614" s="310">
        <f t="shared" si="431"/>
        <v>0</v>
      </c>
      <c r="T1614" s="555">
        <f t="shared" si="432"/>
        <v>0</v>
      </c>
      <c r="U1614" s="311"/>
      <c r="V1614" s="312"/>
      <c r="W1614" s="299"/>
      <c r="X1614" s="300"/>
      <c r="Y1614" s="299"/>
      <c r="Z1614" s="303"/>
      <c r="AA1614" s="305">
        <f>IF(Z1614=0,0,IF(Y1614="MXN",1/HLOOKUP(YEAR(X1614)+(MONTH(X1614)/100),TC!$5:$37,DAY(X1614)+2,FALSE),VLOOKUP(Y1614,Equivalencia!$1:$23,((MAX(Equivalencia!$3:$3)-YEAR(X1614))*14)+MONTH(X1614)+2,FALSE)))</f>
        <v>0</v>
      </c>
      <c r="AB1614" s="306">
        <f t="shared" si="433"/>
        <v>0</v>
      </c>
      <c r="AC1614" s="305">
        <f>+IF(X1614=0,0,HLOOKUP(YEAR(X1614)+(MONTH(X1614)/100),TC!$5:$37,DAY(X1614)+2,FALSE))</f>
        <v>0</v>
      </c>
      <c r="AD1614" s="307">
        <f t="shared" si="434"/>
        <v>0</v>
      </c>
      <c r="AE1614" s="314">
        <f t="shared" si="435"/>
        <v>0</v>
      </c>
      <c r="AF1614" s="315">
        <f t="shared" si="436"/>
        <v>0</v>
      </c>
      <c r="AG1614" s="316">
        <f t="shared" si="437"/>
        <v>0</v>
      </c>
      <c r="AH1614" s="314">
        <v>1</v>
      </c>
      <c r="AI1614" s="314">
        <f t="shared" si="438"/>
        <v>0</v>
      </c>
      <c r="AJ1614" s="314">
        <f t="shared" si="439"/>
        <v>0</v>
      </c>
      <c r="AK1614" s="317"/>
      <c r="AL1614" s="315">
        <f t="shared" si="440"/>
        <v>0</v>
      </c>
      <c r="AN1614" s="554">
        <f t="shared" si="441"/>
        <v>0</v>
      </c>
      <c r="AO1614" s="314"/>
      <c r="AP1614" s="318"/>
    </row>
    <row r="1615" spans="2:42">
      <c r="B1615" s="296"/>
      <c r="C1615" s="299"/>
      <c r="D1615" s="298"/>
      <c r="E1615" s="299"/>
      <c r="F1615" s="299"/>
      <c r="G1615" s="300"/>
      <c r="H1615" s="303"/>
      <c r="I1615" s="301">
        <f t="shared" si="425"/>
        <v>0</v>
      </c>
      <c r="J1615" s="302">
        <f t="shared" si="426"/>
        <v>0</v>
      </c>
      <c r="K1615" s="304">
        <f t="shared" si="427"/>
        <v>0</v>
      </c>
      <c r="L1615" s="305">
        <f>IF(H1615=0,0,IF(OR(E1615=$AT$5,E1615=$AT$6),AA1615,IF(F1615="MXN",1/HLOOKUP(YEAR(G1615)+(MONTH(G1615)/100),TC!$5:$37,DAY(G1615)+2,FALSE),VLOOKUP(F1615,Equivalencia!$5:$23,((MAX(Equivalencia!$3:$3)-YEAR(G1615))*14)+MONTH(G1615)+2,FALSE))))</f>
        <v>0</v>
      </c>
      <c r="M1615" s="306">
        <f t="shared" si="428"/>
        <v>0</v>
      </c>
      <c r="N1615" s="305">
        <f>IF(G1615=0,0,(IF(OR(E1615=$AT$5,E1615=$AT$6),AC1615,HLOOKUP(YEAR(G1615)+(MONTH(G1615)/100),TC!$5:$37,DAY(G1615)+2,FALSE))))</f>
        <v>0</v>
      </c>
      <c r="O1615" s="307">
        <f t="shared" si="429"/>
        <v>0</v>
      </c>
      <c r="P1615" s="560">
        <f>IF(G1615=0,0,VLOOKUP(YEAR(G1615),INPC!$B$4:$P$30,MONTH(G1615)+2))</f>
        <v>0</v>
      </c>
      <c r="Q1615" s="560">
        <f>IF(X1615=0,0,IF(OR(E1615=$AT$10,E1615=$AT$9),VLOOKUP(YEAR(X1615),INPC!$B$4:$P$30,MONTH(X1615)+1),VLOOKUP(YEAR(X1615),INPC!$B$4:$P$30,MONTH(X1615)+2,0)))</f>
        <v>0</v>
      </c>
      <c r="R1615" s="309">
        <f t="shared" si="430"/>
        <v>0</v>
      </c>
      <c r="S1615" s="310">
        <f t="shared" si="431"/>
        <v>0</v>
      </c>
      <c r="T1615" s="555">
        <f t="shared" si="432"/>
        <v>0</v>
      </c>
      <c r="U1615" s="311"/>
      <c r="V1615" s="312"/>
      <c r="W1615" s="299"/>
      <c r="X1615" s="300"/>
      <c r="Y1615" s="299"/>
      <c r="Z1615" s="303"/>
      <c r="AA1615" s="305">
        <f>IF(Z1615=0,0,IF(Y1615="MXN",1/HLOOKUP(YEAR(X1615)+(MONTH(X1615)/100),TC!$5:$37,DAY(X1615)+2,FALSE),VLOOKUP(Y1615,Equivalencia!$1:$23,((MAX(Equivalencia!$3:$3)-YEAR(X1615))*14)+MONTH(X1615)+2,FALSE)))</f>
        <v>0</v>
      </c>
      <c r="AB1615" s="306">
        <f t="shared" si="433"/>
        <v>0</v>
      </c>
      <c r="AC1615" s="305">
        <f>+IF(X1615=0,0,HLOOKUP(YEAR(X1615)+(MONTH(X1615)/100),TC!$5:$37,DAY(X1615)+2,FALSE))</f>
        <v>0</v>
      </c>
      <c r="AD1615" s="307">
        <f t="shared" si="434"/>
        <v>0</v>
      </c>
      <c r="AE1615" s="314">
        <f t="shared" si="435"/>
        <v>0</v>
      </c>
      <c r="AF1615" s="315">
        <f t="shared" si="436"/>
        <v>0</v>
      </c>
      <c r="AG1615" s="316">
        <f t="shared" si="437"/>
        <v>0</v>
      </c>
      <c r="AH1615" s="314">
        <v>1</v>
      </c>
      <c r="AI1615" s="314">
        <f t="shared" si="438"/>
        <v>0</v>
      </c>
      <c r="AJ1615" s="314">
        <f t="shared" si="439"/>
        <v>0</v>
      </c>
      <c r="AK1615" s="317"/>
      <c r="AL1615" s="315">
        <f t="shared" si="440"/>
        <v>0</v>
      </c>
      <c r="AN1615" s="554">
        <f t="shared" si="441"/>
        <v>0</v>
      </c>
      <c r="AO1615" s="314"/>
      <c r="AP1615" s="318"/>
    </row>
    <row r="1616" spans="2:42">
      <c r="B1616" s="296"/>
      <c r="C1616" s="299"/>
      <c r="D1616" s="298"/>
      <c r="E1616" s="299"/>
      <c r="F1616" s="299"/>
      <c r="G1616" s="300"/>
      <c r="H1616" s="303"/>
      <c r="I1616" s="301">
        <f t="shared" si="425"/>
        <v>0</v>
      </c>
      <c r="J1616" s="302">
        <f t="shared" si="426"/>
        <v>0</v>
      </c>
      <c r="K1616" s="304">
        <f t="shared" si="427"/>
        <v>0</v>
      </c>
      <c r="L1616" s="305">
        <f>IF(H1616=0,0,IF(OR(E1616=$AT$5,E1616=$AT$6),AA1616,IF(F1616="MXN",1/HLOOKUP(YEAR(G1616)+(MONTH(G1616)/100),TC!$5:$37,DAY(G1616)+2,FALSE),VLOOKUP(F1616,Equivalencia!$5:$23,((MAX(Equivalencia!$3:$3)-YEAR(G1616))*14)+MONTH(G1616)+2,FALSE))))</f>
        <v>0</v>
      </c>
      <c r="M1616" s="306">
        <f t="shared" si="428"/>
        <v>0</v>
      </c>
      <c r="N1616" s="305">
        <f>IF(G1616=0,0,(IF(OR(E1616=$AT$5,E1616=$AT$6),AC1616,HLOOKUP(YEAR(G1616)+(MONTH(G1616)/100),TC!$5:$37,DAY(G1616)+2,FALSE))))</f>
        <v>0</v>
      </c>
      <c r="O1616" s="307">
        <f t="shared" si="429"/>
        <v>0</v>
      </c>
      <c r="P1616" s="560">
        <f>IF(G1616=0,0,VLOOKUP(YEAR(G1616),INPC!$B$4:$P$30,MONTH(G1616)+2))</f>
        <v>0</v>
      </c>
      <c r="Q1616" s="560">
        <f>IF(X1616=0,0,IF(OR(E1616=$AT$10,E1616=$AT$9),VLOOKUP(YEAR(X1616),INPC!$B$4:$P$30,MONTH(X1616)+1),VLOOKUP(YEAR(X1616),INPC!$B$4:$P$30,MONTH(X1616)+2,0)))</f>
        <v>0</v>
      </c>
      <c r="R1616" s="309">
        <f t="shared" si="430"/>
        <v>0</v>
      </c>
      <c r="S1616" s="310">
        <f t="shared" si="431"/>
        <v>0</v>
      </c>
      <c r="T1616" s="555">
        <f t="shared" si="432"/>
        <v>0</v>
      </c>
      <c r="U1616" s="311"/>
      <c r="V1616" s="312"/>
      <c r="W1616" s="299"/>
      <c r="X1616" s="300"/>
      <c r="Y1616" s="299"/>
      <c r="Z1616" s="303"/>
      <c r="AA1616" s="305">
        <f>IF(Z1616=0,0,IF(Y1616="MXN",1/HLOOKUP(YEAR(X1616)+(MONTH(X1616)/100),TC!$5:$37,DAY(X1616)+2,FALSE),VLOOKUP(Y1616,Equivalencia!$1:$23,((MAX(Equivalencia!$3:$3)-YEAR(X1616))*14)+MONTH(X1616)+2,FALSE)))</f>
        <v>0</v>
      </c>
      <c r="AB1616" s="306">
        <f t="shared" si="433"/>
        <v>0</v>
      </c>
      <c r="AC1616" s="305">
        <f>+IF(X1616=0,0,HLOOKUP(YEAR(X1616)+(MONTH(X1616)/100),TC!$5:$37,DAY(X1616)+2,FALSE))</f>
        <v>0</v>
      </c>
      <c r="AD1616" s="307">
        <f t="shared" si="434"/>
        <v>0</v>
      </c>
      <c r="AE1616" s="314">
        <f t="shared" si="435"/>
        <v>0</v>
      </c>
      <c r="AF1616" s="315">
        <f t="shared" si="436"/>
        <v>0</v>
      </c>
      <c r="AG1616" s="316">
        <f t="shared" si="437"/>
        <v>0</v>
      </c>
      <c r="AH1616" s="314">
        <v>1</v>
      </c>
      <c r="AI1616" s="314">
        <f t="shared" si="438"/>
        <v>0</v>
      </c>
      <c r="AJ1616" s="314">
        <f t="shared" si="439"/>
        <v>0</v>
      </c>
      <c r="AK1616" s="317"/>
      <c r="AL1616" s="315">
        <f t="shared" si="440"/>
        <v>0</v>
      </c>
      <c r="AN1616" s="554">
        <f t="shared" si="441"/>
        <v>0</v>
      </c>
      <c r="AO1616" s="314"/>
      <c r="AP1616" s="318"/>
    </row>
    <row r="1617" spans="2:42">
      <c r="B1617" s="296"/>
      <c r="C1617" s="299"/>
      <c r="D1617" s="298"/>
      <c r="E1617" s="299"/>
      <c r="F1617" s="299"/>
      <c r="G1617" s="300"/>
      <c r="H1617" s="303"/>
      <c r="I1617" s="301">
        <f t="shared" si="425"/>
        <v>0</v>
      </c>
      <c r="J1617" s="302">
        <f t="shared" si="426"/>
        <v>0</v>
      </c>
      <c r="K1617" s="304">
        <f t="shared" si="427"/>
        <v>0</v>
      </c>
      <c r="L1617" s="305">
        <f>IF(H1617=0,0,IF(OR(E1617=$AT$5,E1617=$AT$6),AA1617,IF(F1617="MXN",1/HLOOKUP(YEAR(G1617)+(MONTH(G1617)/100),TC!$5:$37,DAY(G1617)+2,FALSE),VLOOKUP(F1617,Equivalencia!$5:$23,((MAX(Equivalencia!$3:$3)-YEAR(G1617))*14)+MONTH(G1617)+2,FALSE))))</f>
        <v>0</v>
      </c>
      <c r="M1617" s="306">
        <f t="shared" si="428"/>
        <v>0</v>
      </c>
      <c r="N1617" s="305">
        <f>IF(G1617=0,0,(IF(OR(E1617=$AT$5,E1617=$AT$6),AC1617,HLOOKUP(YEAR(G1617)+(MONTH(G1617)/100),TC!$5:$37,DAY(G1617)+2,FALSE))))</f>
        <v>0</v>
      </c>
      <c r="O1617" s="307">
        <f t="shared" si="429"/>
        <v>0</v>
      </c>
      <c r="P1617" s="560">
        <f>IF(G1617=0,0,VLOOKUP(YEAR(G1617),INPC!$B$4:$P$30,MONTH(G1617)+2))</f>
        <v>0</v>
      </c>
      <c r="Q1617" s="560">
        <f>IF(X1617=0,0,IF(OR(E1617=$AT$10,E1617=$AT$9),VLOOKUP(YEAR(X1617),INPC!$B$4:$P$30,MONTH(X1617)+1),VLOOKUP(YEAR(X1617),INPC!$B$4:$P$30,MONTH(X1617)+2,0)))</f>
        <v>0</v>
      </c>
      <c r="R1617" s="309">
        <f t="shared" si="430"/>
        <v>0</v>
      </c>
      <c r="S1617" s="310">
        <f t="shared" si="431"/>
        <v>0</v>
      </c>
      <c r="T1617" s="555">
        <f t="shared" si="432"/>
        <v>0</v>
      </c>
      <c r="U1617" s="311"/>
      <c r="V1617" s="312"/>
      <c r="W1617" s="299"/>
      <c r="X1617" s="300"/>
      <c r="Y1617" s="299"/>
      <c r="Z1617" s="303"/>
      <c r="AA1617" s="305">
        <f>IF(Z1617=0,0,IF(Y1617="MXN",1/HLOOKUP(YEAR(X1617)+(MONTH(X1617)/100),TC!$5:$37,DAY(X1617)+2,FALSE),VLOOKUP(Y1617,Equivalencia!$1:$23,((MAX(Equivalencia!$3:$3)-YEAR(X1617))*14)+MONTH(X1617)+2,FALSE)))</f>
        <v>0</v>
      </c>
      <c r="AB1617" s="306">
        <f t="shared" si="433"/>
        <v>0</v>
      </c>
      <c r="AC1617" s="305">
        <f>+IF(X1617=0,0,HLOOKUP(YEAR(X1617)+(MONTH(X1617)/100),TC!$5:$37,DAY(X1617)+2,FALSE))</f>
        <v>0</v>
      </c>
      <c r="AD1617" s="307">
        <f t="shared" si="434"/>
        <v>0</v>
      </c>
      <c r="AE1617" s="314">
        <f t="shared" si="435"/>
        <v>0</v>
      </c>
      <c r="AF1617" s="315">
        <f t="shared" si="436"/>
        <v>0</v>
      </c>
      <c r="AG1617" s="316">
        <f t="shared" si="437"/>
        <v>0</v>
      </c>
      <c r="AH1617" s="314">
        <v>1</v>
      </c>
      <c r="AI1617" s="314">
        <f t="shared" si="438"/>
        <v>0</v>
      </c>
      <c r="AJ1617" s="314">
        <f t="shared" si="439"/>
        <v>0</v>
      </c>
      <c r="AK1617" s="317"/>
      <c r="AL1617" s="315">
        <f t="shared" si="440"/>
        <v>0</v>
      </c>
      <c r="AN1617" s="554">
        <f t="shared" si="441"/>
        <v>0</v>
      </c>
      <c r="AO1617" s="314"/>
      <c r="AP1617" s="318"/>
    </row>
    <row r="1618" spans="2:42">
      <c r="B1618" s="296"/>
      <c r="C1618" s="299"/>
      <c r="D1618" s="298"/>
      <c r="E1618" s="299"/>
      <c r="F1618" s="299"/>
      <c r="G1618" s="300"/>
      <c r="H1618" s="303"/>
      <c r="I1618" s="301">
        <f t="shared" si="425"/>
        <v>0</v>
      </c>
      <c r="J1618" s="302">
        <f t="shared" si="426"/>
        <v>0</v>
      </c>
      <c r="K1618" s="304">
        <f t="shared" si="427"/>
        <v>0</v>
      </c>
      <c r="L1618" s="305">
        <f>IF(H1618=0,0,IF(OR(E1618=$AT$5,E1618=$AT$6),AA1618,IF(F1618="MXN",1/HLOOKUP(YEAR(G1618)+(MONTH(G1618)/100),TC!$5:$37,DAY(G1618)+2,FALSE),VLOOKUP(F1618,Equivalencia!$5:$23,((MAX(Equivalencia!$3:$3)-YEAR(G1618))*14)+MONTH(G1618)+2,FALSE))))</f>
        <v>0</v>
      </c>
      <c r="M1618" s="306">
        <f t="shared" si="428"/>
        <v>0</v>
      </c>
      <c r="N1618" s="305">
        <f>IF(G1618=0,0,(IF(OR(E1618=$AT$5,E1618=$AT$6),AC1618,HLOOKUP(YEAR(G1618)+(MONTH(G1618)/100),TC!$5:$37,DAY(G1618)+2,FALSE))))</f>
        <v>0</v>
      </c>
      <c r="O1618" s="307">
        <f t="shared" si="429"/>
        <v>0</v>
      </c>
      <c r="P1618" s="560">
        <f>IF(G1618=0,0,VLOOKUP(YEAR(G1618),INPC!$B$4:$P$30,MONTH(G1618)+2))</f>
        <v>0</v>
      </c>
      <c r="Q1618" s="560">
        <f>IF(X1618=0,0,IF(OR(E1618=$AT$10,E1618=$AT$9),VLOOKUP(YEAR(X1618),INPC!$B$4:$P$30,MONTH(X1618)+1),VLOOKUP(YEAR(X1618),INPC!$B$4:$P$30,MONTH(X1618)+2,0)))</f>
        <v>0</v>
      </c>
      <c r="R1618" s="309">
        <f t="shared" si="430"/>
        <v>0</v>
      </c>
      <c r="S1618" s="310">
        <f t="shared" si="431"/>
        <v>0</v>
      </c>
      <c r="T1618" s="555">
        <f t="shared" si="432"/>
        <v>0</v>
      </c>
      <c r="U1618" s="311"/>
      <c r="V1618" s="312"/>
      <c r="W1618" s="299"/>
      <c r="X1618" s="300"/>
      <c r="Y1618" s="299"/>
      <c r="Z1618" s="303"/>
      <c r="AA1618" s="305">
        <f>IF(Z1618=0,0,IF(Y1618="MXN",1/HLOOKUP(YEAR(X1618)+(MONTH(X1618)/100),TC!$5:$37,DAY(X1618)+2,FALSE),VLOOKUP(Y1618,Equivalencia!$1:$23,((MAX(Equivalencia!$3:$3)-YEAR(X1618))*14)+MONTH(X1618)+2,FALSE)))</f>
        <v>0</v>
      </c>
      <c r="AB1618" s="306">
        <f t="shared" si="433"/>
        <v>0</v>
      </c>
      <c r="AC1618" s="305">
        <f>+IF(X1618=0,0,HLOOKUP(YEAR(X1618)+(MONTH(X1618)/100),TC!$5:$37,DAY(X1618)+2,FALSE))</f>
        <v>0</v>
      </c>
      <c r="AD1618" s="307">
        <f t="shared" si="434"/>
        <v>0</v>
      </c>
      <c r="AE1618" s="314">
        <f t="shared" si="435"/>
        <v>0</v>
      </c>
      <c r="AF1618" s="315">
        <f t="shared" si="436"/>
        <v>0</v>
      </c>
      <c r="AG1618" s="316">
        <f t="shared" si="437"/>
        <v>0</v>
      </c>
      <c r="AH1618" s="314">
        <v>1</v>
      </c>
      <c r="AI1618" s="314">
        <f t="shared" si="438"/>
        <v>0</v>
      </c>
      <c r="AJ1618" s="314">
        <f t="shared" si="439"/>
        <v>0</v>
      </c>
      <c r="AK1618" s="317"/>
      <c r="AL1618" s="315">
        <f t="shared" si="440"/>
        <v>0</v>
      </c>
      <c r="AN1618" s="554">
        <f t="shared" si="441"/>
        <v>0</v>
      </c>
      <c r="AO1618" s="314"/>
      <c r="AP1618" s="318"/>
    </row>
    <row r="1619" spans="2:42">
      <c r="B1619" s="296"/>
      <c r="C1619" s="299"/>
      <c r="D1619" s="298"/>
      <c r="E1619" s="299"/>
      <c r="F1619" s="299"/>
      <c r="G1619" s="300"/>
      <c r="H1619" s="303"/>
      <c r="I1619" s="301">
        <f t="shared" si="425"/>
        <v>0</v>
      </c>
      <c r="J1619" s="302">
        <f t="shared" si="426"/>
        <v>0</v>
      </c>
      <c r="K1619" s="304">
        <f t="shared" si="427"/>
        <v>0</v>
      </c>
      <c r="L1619" s="305">
        <f>IF(H1619=0,0,IF(OR(E1619=$AT$5,E1619=$AT$6),AA1619,IF(F1619="MXN",1/HLOOKUP(YEAR(G1619)+(MONTH(G1619)/100),TC!$5:$37,DAY(G1619)+2,FALSE),VLOOKUP(F1619,Equivalencia!$5:$23,((MAX(Equivalencia!$3:$3)-YEAR(G1619))*14)+MONTH(G1619)+2,FALSE))))</f>
        <v>0</v>
      </c>
      <c r="M1619" s="306">
        <f t="shared" si="428"/>
        <v>0</v>
      </c>
      <c r="N1619" s="305">
        <f>IF(G1619=0,0,(IF(OR(E1619=$AT$5,E1619=$AT$6),AC1619,HLOOKUP(YEAR(G1619)+(MONTH(G1619)/100),TC!$5:$37,DAY(G1619)+2,FALSE))))</f>
        <v>0</v>
      </c>
      <c r="O1619" s="307">
        <f t="shared" si="429"/>
        <v>0</v>
      </c>
      <c r="P1619" s="560">
        <f>IF(G1619=0,0,VLOOKUP(YEAR(G1619),INPC!$B$4:$P$30,MONTH(G1619)+2))</f>
        <v>0</v>
      </c>
      <c r="Q1619" s="560">
        <f>IF(X1619=0,0,IF(OR(E1619=$AT$10,E1619=$AT$9),VLOOKUP(YEAR(X1619),INPC!$B$4:$P$30,MONTH(X1619)+1),VLOOKUP(YEAR(X1619),INPC!$B$4:$P$30,MONTH(X1619)+2,0)))</f>
        <v>0</v>
      </c>
      <c r="R1619" s="309">
        <f t="shared" si="430"/>
        <v>0</v>
      </c>
      <c r="S1619" s="310">
        <f t="shared" si="431"/>
        <v>0</v>
      </c>
      <c r="T1619" s="555">
        <f t="shared" si="432"/>
        <v>0</v>
      </c>
      <c r="U1619" s="311"/>
      <c r="V1619" s="312"/>
      <c r="W1619" s="299"/>
      <c r="X1619" s="300"/>
      <c r="Y1619" s="299"/>
      <c r="Z1619" s="303"/>
      <c r="AA1619" s="305">
        <f>IF(Z1619=0,0,IF(Y1619="MXN",1/HLOOKUP(YEAR(X1619)+(MONTH(X1619)/100),TC!$5:$37,DAY(X1619)+2,FALSE),VLOOKUP(Y1619,Equivalencia!$1:$23,((MAX(Equivalencia!$3:$3)-YEAR(X1619))*14)+MONTH(X1619)+2,FALSE)))</f>
        <v>0</v>
      </c>
      <c r="AB1619" s="306">
        <f t="shared" si="433"/>
        <v>0</v>
      </c>
      <c r="AC1619" s="305">
        <f>+IF(X1619=0,0,HLOOKUP(YEAR(X1619)+(MONTH(X1619)/100),TC!$5:$37,DAY(X1619)+2,FALSE))</f>
        <v>0</v>
      </c>
      <c r="AD1619" s="307">
        <f t="shared" si="434"/>
        <v>0</v>
      </c>
      <c r="AE1619" s="314">
        <f t="shared" si="435"/>
        <v>0</v>
      </c>
      <c r="AF1619" s="315">
        <f t="shared" si="436"/>
        <v>0</v>
      </c>
      <c r="AG1619" s="316">
        <f t="shared" si="437"/>
        <v>0</v>
      </c>
      <c r="AH1619" s="314">
        <v>1</v>
      </c>
      <c r="AI1619" s="314">
        <f t="shared" si="438"/>
        <v>0</v>
      </c>
      <c r="AJ1619" s="314">
        <f t="shared" si="439"/>
        <v>0</v>
      </c>
      <c r="AK1619" s="317"/>
      <c r="AL1619" s="315">
        <f t="shared" si="440"/>
        <v>0</v>
      </c>
      <c r="AN1619" s="554">
        <f t="shared" si="441"/>
        <v>0</v>
      </c>
      <c r="AO1619" s="314"/>
      <c r="AP1619" s="318"/>
    </row>
    <row r="1620" spans="2:42">
      <c r="B1620" s="296"/>
      <c r="C1620" s="299"/>
      <c r="D1620" s="298"/>
      <c r="E1620" s="299"/>
      <c r="F1620" s="299"/>
      <c r="G1620" s="300"/>
      <c r="H1620" s="303"/>
      <c r="I1620" s="301">
        <f t="shared" si="425"/>
        <v>0</v>
      </c>
      <c r="J1620" s="302">
        <f t="shared" si="426"/>
        <v>0</v>
      </c>
      <c r="K1620" s="304">
        <f t="shared" si="427"/>
        <v>0</v>
      </c>
      <c r="L1620" s="305">
        <f>IF(H1620=0,0,IF(OR(E1620=$AT$5,E1620=$AT$6),AA1620,IF(F1620="MXN",1/HLOOKUP(YEAR(G1620)+(MONTH(G1620)/100),TC!$5:$37,DAY(G1620)+2,FALSE),VLOOKUP(F1620,Equivalencia!$5:$23,((MAX(Equivalencia!$3:$3)-YEAR(G1620))*14)+MONTH(G1620)+2,FALSE))))</f>
        <v>0</v>
      </c>
      <c r="M1620" s="306">
        <f t="shared" si="428"/>
        <v>0</v>
      </c>
      <c r="N1620" s="305">
        <f>IF(G1620=0,0,(IF(OR(E1620=$AT$5,E1620=$AT$6),AC1620,HLOOKUP(YEAR(G1620)+(MONTH(G1620)/100),TC!$5:$37,DAY(G1620)+2,FALSE))))</f>
        <v>0</v>
      </c>
      <c r="O1620" s="307">
        <f t="shared" si="429"/>
        <v>0</v>
      </c>
      <c r="P1620" s="560">
        <f>IF(G1620=0,0,VLOOKUP(YEAR(G1620),INPC!$B$4:$P$30,MONTH(G1620)+2))</f>
        <v>0</v>
      </c>
      <c r="Q1620" s="560">
        <f>IF(X1620=0,0,IF(OR(E1620=$AT$10,E1620=$AT$9),VLOOKUP(YEAR(X1620),INPC!$B$4:$P$30,MONTH(X1620)+1),VLOOKUP(YEAR(X1620),INPC!$B$4:$P$30,MONTH(X1620)+2,0)))</f>
        <v>0</v>
      </c>
      <c r="R1620" s="309">
        <f t="shared" si="430"/>
        <v>0</v>
      </c>
      <c r="S1620" s="310">
        <f t="shared" si="431"/>
        <v>0</v>
      </c>
      <c r="T1620" s="555">
        <f t="shared" si="432"/>
        <v>0</v>
      </c>
      <c r="U1620" s="311"/>
      <c r="V1620" s="312"/>
      <c r="W1620" s="299"/>
      <c r="X1620" s="300"/>
      <c r="Y1620" s="299"/>
      <c r="Z1620" s="303"/>
      <c r="AA1620" s="305">
        <f>IF(Z1620=0,0,IF(Y1620="MXN",1/HLOOKUP(YEAR(X1620)+(MONTH(X1620)/100),TC!$5:$37,DAY(X1620)+2,FALSE),VLOOKUP(Y1620,Equivalencia!$1:$23,((MAX(Equivalencia!$3:$3)-YEAR(X1620))*14)+MONTH(X1620)+2,FALSE)))</f>
        <v>0</v>
      </c>
      <c r="AB1620" s="306">
        <f t="shared" si="433"/>
        <v>0</v>
      </c>
      <c r="AC1620" s="305">
        <f>+IF(X1620=0,0,HLOOKUP(YEAR(X1620)+(MONTH(X1620)/100),TC!$5:$37,DAY(X1620)+2,FALSE))</f>
        <v>0</v>
      </c>
      <c r="AD1620" s="307">
        <f t="shared" si="434"/>
        <v>0</v>
      </c>
      <c r="AE1620" s="314">
        <f t="shared" si="435"/>
        <v>0</v>
      </c>
      <c r="AF1620" s="315">
        <f t="shared" si="436"/>
        <v>0</v>
      </c>
      <c r="AG1620" s="316">
        <f t="shared" si="437"/>
        <v>0</v>
      </c>
      <c r="AH1620" s="314">
        <v>1</v>
      </c>
      <c r="AI1620" s="314">
        <f t="shared" si="438"/>
        <v>0</v>
      </c>
      <c r="AJ1620" s="314">
        <f t="shared" si="439"/>
        <v>0</v>
      </c>
      <c r="AK1620" s="317"/>
      <c r="AL1620" s="315">
        <f t="shared" si="440"/>
        <v>0</v>
      </c>
      <c r="AN1620" s="554">
        <f t="shared" si="441"/>
        <v>0</v>
      </c>
      <c r="AO1620" s="314"/>
      <c r="AP1620" s="318"/>
    </row>
    <row r="1621" spans="2:42">
      <c r="B1621" s="296"/>
      <c r="C1621" s="299"/>
      <c r="D1621" s="298"/>
      <c r="E1621" s="299"/>
      <c r="F1621" s="299"/>
      <c r="G1621" s="300"/>
      <c r="H1621" s="303"/>
      <c r="I1621" s="301">
        <f t="shared" si="425"/>
        <v>0</v>
      </c>
      <c r="J1621" s="302">
        <f t="shared" si="426"/>
        <v>0</v>
      </c>
      <c r="K1621" s="304">
        <f t="shared" si="427"/>
        <v>0</v>
      </c>
      <c r="L1621" s="305">
        <f>IF(H1621=0,0,IF(OR(E1621=$AT$5,E1621=$AT$6),AA1621,IF(F1621="MXN",1/HLOOKUP(YEAR(G1621)+(MONTH(G1621)/100),TC!$5:$37,DAY(G1621)+2,FALSE),VLOOKUP(F1621,Equivalencia!$5:$23,((MAX(Equivalencia!$3:$3)-YEAR(G1621))*14)+MONTH(G1621)+2,FALSE))))</f>
        <v>0</v>
      </c>
      <c r="M1621" s="306">
        <f t="shared" si="428"/>
        <v>0</v>
      </c>
      <c r="N1621" s="305">
        <f>IF(G1621=0,0,(IF(OR(E1621=$AT$5,E1621=$AT$6),AC1621,HLOOKUP(YEAR(G1621)+(MONTH(G1621)/100),TC!$5:$37,DAY(G1621)+2,FALSE))))</f>
        <v>0</v>
      </c>
      <c r="O1621" s="307">
        <f t="shared" si="429"/>
        <v>0</v>
      </c>
      <c r="P1621" s="560">
        <f>IF(G1621=0,0,VLOOKUP(YEAR(G1621),INPC!$B$4:$P$30,MONTH(G1621)+2))</f>
        <v>0</v>
      </c>
      <c r="Q1621" s="560">
        <f>IF(X1621=0,0,IF(OR(E1621=$AT$10,E1621=$AT$9),VLOOKUP(YEAR(X1621),INPC!$B$4:$P$30,MONTH(X1621)+1),VLOOKUP(YEAR(X1621),INPC!$B$4:$P$30,MONTH(X1621)+2,0)))</f>
        <v>0</v>
      </c>
      <c r="R1621" s="309">
        <f t="shared" si="430"/>
        <v>0</v>
      </c>
      <c r="S1621" s="310">
        <f t="shared" si="431"/>
        <v>0</v>
      </c>
      <c r="T1621" s="555">
        <f t="shared" si="432"/>
        <v>0</v>
      </c>
      <c r="U1621" s="311"/>
      <c r="V1621" s="312"/>
      <c r="W1621" s="299"/>
      <c r="X1621" s="300"/>
      <c r="Y1621" s="299"/>
      <c r="Z1621" s="303"/>
      <c r="AA1621" s="305">
        <f>IF(Z1621=0,0,IF(Y1621="MXN",1/HLOOKUP(YEAR(X1621)+(MONTH(X1621)/100),TC!$5:$37,DAY(X1621)+2,FALSE),VLOOKUP(Y1621,Equivalencia!$1:$23,((MAX(Equivalencia!$3:$3)-YEAR(X1621))*14)+MONTH(X1621)+2,FALSE)))</f>
        <v>0</v>
      </c>
      <c r="AB1621" s="306">
        <f t="shared" si="433"/>
        <v>0</v>
      </c>
      <c r="AC1621" s="305">
        <f>+IF(X1621=0,0,HLOOKUP(YEAR(X1621)+(MONTH(X1621)/100),TC!$5:$37,DAY(X1621)+2,FALSE))</f>
        <v>0</v>
      </c>
      <c r="AD1621" s="307">
        <f t="shared" si="434"/>
        <v>0</v>
      </c>
      <c r="AE1621" s="314">
        <f t="shared" si="435"/>
        <v>0</v>
      </c>
      <c r="AF1621" s="315">
        <f t="shared" si="436"/>
        <v>0</v>
      </c>
      <c r="AG1621" s="316">
        <f t="shared" si="437"/>
        <v>0</v>
      </c>
      <c r="AH1621" s="314">
        <v>1</v>
      </c>
      <c r="AI1621" s="314">
        <f t="shared" si="438"/>
        <v>0</v>
      </c>
      <c r="AJ1621" s="314">
        <f t="shared" si="439"/>
        <v>0</v>
      </c>
      <c r="AK1621" s="317"/>
      <c r="AL1621" s="315">
        <f t="shared" si="440"/>
        <v>0</v>
      </c>
      <c r="AN1621" s="554">
        <f t="shared" si="441"/>
        <v>0</v>
      </c>
      <c r="AO1621" s="314"/>
      <c r="AP1621" s="318"/>
    </row>
    <row r="1622" spans="2:42">
      <c r="B1622" s="296"/>
      <c r="C1622" s="299"/>
      <c r="D1622" s="298"/>
      <c r="E1622" s="299"/>
      <c r="F1622" s="299"/>
      <c r="G1622" s="300"/>
      <c r="H1622" s="303"/>
      <c r="I1622" s="301">
        <f t="shared" si="425"/>
        <v>0</v>
      </c>
      <c r="J1622" s="302">
        <f t="shared" si="426"/>
        <v>0</v>
      </c>
      <c r="K1622" s="304">
        <f t="shared" si="427"/>
        <v>0</v>
      </c>
      <c r="L1622" s="305">
        <f>IF(H1622=0,0,IF(OR(E1622=$AT$5,E1622=$AT$6),AA1622,IF(F1622="MXN",1/HLOOKUP(YEAR(G1622)+(MONTH(G1622)/100),TC!$5:$37,DAY(G1622)+2,FALSE),VLOOKUP(F1622,Equivalencia!$5:$23,((MAX(Equivalencia!$3:$3)-YEAR(G1622))*14)+MONTH(G1622)+2,FALSE))))</f>
        <v>0</v>
      </c>
      <c r="M1622" s="306">
        <f t="shared" si="428"/>
        <v>0</v>
      </c>
      <c r="N1622" s="305">
        <f>IF(G1622=0,0,(IF(OR(E1622=$AT$5,E1622=$AT$6),AC1622,HLOOKUP(YEAR(G1622)+(MONTH(G1622)/100),TC!$5:$37,DAY(G1622)+2,FALSE))))</f>
        <v>0</v>
      </c>
      <c r="O1622" s="307">
        <f t="shared" si="429"/>
        <v>0</v>
      </c>
      <c r="P1622" s="560">
        <f>IF(G1622=0,0,VLOOKUP(YEAR(G1622),INPC!$B$4:$P$30,MONTH(G1622)+2))</f>
        <v>0</v>
      </c>
      <c r="Q1622" s="560">
        <f>IF(X1622=0,0,IF(OR(E1622=$AT$10,E1622=$AT$9),VLOOKUP(YEAR(X1622),INPC!$B$4:$P$30,MONTH(X1622)+1),VLOOKUP(YEAR(X1622),INPC!$B$4:$P$30,MONTH(X1622)+2,0)))</f>
        <v>0</v>
      </c>
      <c r="R1622" s="309">
        <f t="shared" si="430"/>
        <v>0</v>
      </c>
      <c r="S1622" s="310">
        <f t="shared" si="431"/>
        <v>0</v>
      </c>
      <c r="T1622" s="555">
        <f t="shared" si="432"/>
        <v>0</v>
      </c>
      <c r="U1622" s="311"/>
      <c r="V1622" s="312"/>
      <c r="W1622" s="299"/>
      <c r="X1622" s="300"/>
      <c r="Y1622" s="299"/>
      <c r="Z1622" s="303"/>
      <c r="AA1622" s="305">
        <f>IF(Z1622=0,0,IF(Y1622="MXN",1/HLOOKUP(YEAR(X1622)+(MONTH(X1622)/100),TC!$5:$37,DAY(X1622)+2,FALSE),VLOOKUP(Y1622,Equivalencia!$1:$23,((MAX(Equivalencia!$3:$3)-YEAR(X1622))*14)+MONTH(X1622)+2,FALSE)))</f>
        <v>0</v>
      </c>
      <c r="AB1622" s="306">
        <f t="shared" si="433"/>
        <v>0</v>
      </c>
      <c r="AC1622" s="305">
        <f>+IF(X1622=0,0,HLOOKUP(YEAR(X1622)+(MONTH(X1622)/100),TC!$5:$37,DAY(X1622)+2,FALSE))</f>
        <v>0</v>
      </c>
      <c r="AD1622" s="307">
        <f t="shared" si="434"/>
        <v>0</v>
      </c>
      <c r="AE1622" s="314">
        <f t="shared" si="435"/>
        <v>0</v>
      </c>
      <c r="AF1622" s="315">
        <f t="shared" si="436"/>
        <v>0</v>
      </c>
      <c r="AG1622" s="316">
        <f t="shared" si="437"/>
        <v>0</v>
      </c>
      <c r="AH1622" s="314">
        <v>1</v>
      </c>
      <c r="AI1622" s="314">
        <f t="shared" si="438"/>
        <v>0</v>
      </c>
      <c r="AJ1622" s="314">
        <f t="shared" si="439"/>
        <v>0</v>
      </c>
      <c r="AK1622" s="317"/>
      <c r="AL1622" s="315">
        <f t="shared" si="440"/>
        <v>0</v>
      </c>
      <c r="AN1622" s="554">
        <f t="shared" si="441"/>
        <v>0</v>
      </c>
      <c r="AO1622" s="314"/>
      <c r="AP1622" s="318"/>
    </row>
    <row r="1623" spans="2:42">
      <c r="B1623" s="296"/>
      <c r="C1623" s="299"/>
      <c r="D1623" s="298"/>
      <c r="E1623" s="299"/>
      <c r="F1623" s="299"/>
      <c r="G1623" s="300"/>
      <c r="H1623" s="303"/>
      <c r="I1623" s="301">
        <f t="shared" si="425"/>
        <v>0</v>
      </c>
      <c r="J1623" s="302">
        <f t="shared" si="426"/>
        <v>0</v>
      </c>
      <c r="K1623" s="304">
        <f t="shared" si="427"/>
        <v>0</v>
      </c>
      <c r="L1623" s="305">
        <f>IF(H1623=0,0,IF(OR(E1623=$AT$5,E1623=$AT$6),AA1623,IF(F1623="MXN",1/HLOOKUP(YEAR(G1623)+(MONTH(G1623)/100),TC!$5:$37,DAY(G1623)+2,FALSE),VLOOKUP(F1623,Equivalencia!$5:$23,((MAX(Equivalencia!$3:$3)-YEAR(G1623))*14)+MONTH(G1623)+2,FALSE))))</f>
        <v>0</v>
      </c>
      <c r="M1623" s="306">
        <f t="shared" si="428"/>
        <v>0</v>
      </c>
      <c r="N1623" s="305">
        <f>IF(G1623=0,0,(IF(OR(E1623=$AT$5,E1623=$AT$6),AC1623,HLOOKUP(YEAR(G1623)+(MONTH(G1623)/100),TC!$5:$37,DAY(G1623)+2,FALSE))))</f>
        <v>0</v>
      </c>
      <c r="O1623" s="307">
        <f t="shared" si="429"/>
        <v>0</v>
      </c>
      <c r="P1623" s="560">
        <f>IF(G1623=0,0,VLOOKUP(YEAR(G1623),INPC!$B$4:$P$30,MONTH(G1623)+2))</f>
        <v>0</v>
      </c>
      <c r="Q1623" s="560">
        <f>IF(X1623=0,0,IF(OR(E1623=$AT$10,E1623=$AT$9),VLOOKUP(YEAR(X1623),INPC!$B$4:$P$30,MONTH(X1623)+1),VLOOKUP(YEAR(X1623),INPC!$B$4:$P$30,MONTH(X1623)+2,0)))</f>
        <v>0</v>
      </c>
      <c r="R1623" s="309">
        <f t="shared" si="430"/>
        <v>0</v>
      </c>
      <c r="S1623" s="310">
        <f t="shared" si="431"/>
        <v>0</v>
      </c>
      <c r="T1623" s="555">
        <f t="shared" si="432"/>
        <v>0</v>
      </c>
      <c r="U1623" s="311"/>
      <c r="V1623" s="312"/>
      <c r="W1623" s="299"/>
      <c r="X1623" s="300"/>
      <c r="Y1623" s="299"/>
      <c r="Z1623" s="303"/>
      <c r="AA1623" s="305">
        <f>IF(Z1623=0,0,IF(Y1623="MXN",1/HLOOKUP(YEAR(X1623)+(MONTH(X1623)/100),TC!$5:$37,DAY(X1623)+2,FALSE),VLOOKUP(Y1623,Equivalencia!$1:$23,((MAX(Equivalencia!$3:$3)-YEAR(X1623))*14)+MONTH(X1623)+2,FALSE)))</f>
        <v>0</v>
      </c>
      <c r="AB1623" s="306">
        <f t="shared" si="433"/>
        <v>0</v>
      </c>
      <c r="AC1623" s="305">
        <f>+IF(X1623=0,0,HLOOKUP(YEAR(X1623)+(MONTH(X1623)/100),TC!$5:$37,DAY(X1623)+2,FALSE))</f>
        <v>0</v>
      </c>
      <c r="AD1623" s="307">
        <f t="shared" si="434"/>
        <v>0</v>
      </c>
      <c r="AE1623" s="314">
        <f t="shared" si="435"/>
        <v>0</v>
      </c>
      <c r="AF1623" s="315">
        <f t="shared" si="436"/>
        <v>0</v>
      </c>
      <c r="AG1623" s="316">
        <f t="shared" si="437"/>
        <v>0</v>
      </c>
      <c r="AH1623" s="314">
        <v>1</v>
      </c>
      <c r="AI1623" s="314">
        <f t="shared" si="438"/>
        <v>0</v>
      </c>
      <c r="AJ1623" s="314">
        <f t="shared" si="439"/>
        <v>0</v>
      </c>
      <c r="AK1623" s="317"/>
      <c r="AL1623" s="315">
        <f t="shared" si="440"/>
        <v>0</v>
      </c>
      <c r="AN1623" s="554">
        <f t="shared" si="441"/>
        <v>0</v>
      </c>
      <c r="AO1623" s="314"/>
      <c r="AP1623" s="318"/>
    </row>
    <row r="1624" spans="2:42">
      <c r="B1624" s="296"/>
      <c r="C1624" s="299"/>
      <c r="D1624" s="298"/>
      <c r="E1624" s="299"/>
      <c r="F1624" s="299"/>
      <c r="G1624" s="300"/>
      <c r="H1624" s="303"/>
      <c r="I1624" s="301">
        <f t="shared" si="425"/>
        <v>0</v>
      </c>
      <c r="J1624" s="302">
        <f t="shared" si="426"/>
        <v>0</v>
      </c>
      <c r="K1624" s="304">
        <f t="shared" si="427"/>
        <v>0</v>
      </c>
      <c r="L1624" s="305">
        <f>IF(H1624=0,0,IF(OR(E1624=$AT$5,E1624=$AT$6),AA1624,IF(F1624="MXN",1/HLOOKUP(YEAR(G1624)+(MONTH(G1624)/100),TC!$5:$37,DAY(G1624)+2,FALSE),VLOOKUP(F1624,Equivalencia!$5:$23,((MAX(Equivalencia!$3:$3)-YEAR(G1624))*14)+MONTH(G1624)+2,FALSE))))</f>
        <v>0</v>
      </c>
      <c r="M1624" s="306">
        <f t="shared" si="428"/>
        <v>0</v>
      </c>
      <c r="N1624" s="305">
        <f>IF(G1624=0,0,(IF(OR(E1624=$AT$5,E1624=$AT$6),AC1624,HLOOKUP(YEAR(G1624)+(MONTH(G1624)/100),TC!$5:$37,DAY(G1624)+2,FALSE))))</f>
        <v>0</v>
      </c>
      <c r="O1624" s="307">
        <f t="shared" si="429"/>
        <v>0</v>
      </c>
      <c r="P1624" s="560">
        <f>IF(G1624=0,0,VLOOKUP(YEAR(G1624),INPC!$B$4:$P$30,MONTH(G1624)+2))</f>
        <v>0</v>
      </c>
      <c r="Q1624" s="560">
        <f>IF(X1624=0,0,IF(OR(E1624=$AT$10,E1624=$AT$9),VLOOKUP(YEAR(X1624),INPC!$B$4:$P$30,MONTH(X1624)+1),VLOOKUP(YEAR(X1624),INPC!$B$4:$P$30,MONTH(X1624)+2,0)))</f>
        <v>0</v>
      </c>
      <c r="R1624" s="309">
        <f t="shared" si="430"/>
        <v>0</v>
      </c>
      <c r="S1624" s="310">
        <f t="shared" si="431"/>
        <v>0</v>
      </c>
      <c r="T1624" s="555">
        <f t="shared" si="432"/>
        <v>0</v>
      </c>
      <c r="U1624" s="311"/>
      <c r="V1624" s="312"/>
      <c r="W1624" s="299"/>
      <c r="X1624" s="300"/>
      <c r="Y1624" s="299"/>
      <c r="Z1624" s="303"/>
      <c r="AA1624" s="305">
        <f>IF(Z1624=0,0,IF(Y1624="MXN",1/HLOOKUP(YEAR(X1624)+(MONTH(X1624)/100),TC!$5:$37,DAY(X1624)+2,FALSE),VLOOKUP(Y1624,Equivalencia!$1:$23,((MAX(Equivalencia!$3:$3)-YEAR(X1624))*14)+MONTH(X1624)+2,FALSE)))</f>
        <v>0</v>
      </c>
      <c r="AB1624" s="306">
        <f t="shared" si="433"/>
        <v>0</v>
      </c>
      <c r="AC1624" s="305">
        <f>+IF(X1624=0,0,HLOOKUP(YEAR(X1624)+(MONTH(X1624)/100),TC!$5:$37,DAY(X1624)+2,FALSE))</f>
        <v>0</v>
      </c>
      <c r="AD1624" s="307">
        <f t="shared" si="434"/>
        <v>0</v>
      </c>
      <c r="AE1624" s="314">
        <f t="shared" si="435"/>
        <v>0</v>
      </c>
      <c r="AF1624" s="315">
        <f t="shared" si="436"/>
        <v>0</v>
      </c>
      <c r="AG1624" s="316">
        <f t="shared" si="437"/>
        <v>0</v>
      </c>
      <c r="AH1624" s="314">
        <v>1</v>
      </c>
      <c r="AI1624" s="314">
        <f t="shared" si="438"/>
        <v>0</v>
      </c>
      <c r="AJ1624" s="314">
        <f t="shared" si="439"/>
        <v>0</v>
      </c>
      <c r="AK1624" s="317"/>
      <c r="AL1624" s="315">
        <f t="shared" si="440"/>
        <v>0</v>
      </c>
      <c r="AN1624" s="554">
        <f t="shared" si="441"/>
        <v>0</v>
      </c>
      <c r="AO1624" s="314"/>
      <c r="AP1624" s="318"/>
    </row>
    <row r="1625" spans="2:42">
      <c r="B1625" s="296"/>
      <c r="C1625" s="299"/>
      <c r="D1625" s="298"/>
      <c r="E1625" s="299"/>
      <c r="F1625" s="299"/>
      <c r="G1625" s="300"/>
      <c r="H1625" s="303"/>
      <c r="I1625" s="301">
        <f t="shared" si="425"/>
        <v>0</v>
      </c>
      <c r="J1625" s="302">
        <f t="shared" si="426"/>
        <v>0</v>
      </c>
      <c r="K1625" s="304">
        <f t="shared" si="427"/>
        <v>0</v>
      </c>
      <c r="L1625" s="305">
        <f>IF(H1625=0,0,IF(OR(E1625=$AT$5,E1625=$AT$6),AA1625,IF(F1625="MXN",1/HLOOKUP(YEAR(G1625)+(MONTH(G1625)/100),TC!$5:$37,DAY(G1625)+2,FALSE),VLOOKUP(F1625,Equivalencia!$5:$23,((MAX(Equivalencia!$3:$3)-YEAR(G1625))*14)+MONTH(G1625)+2,FALSE))))</f>
        <v>0</v>
      </c>
      <c r="M1625" s="306">
        <f t="shared" si="428"/>
        <v>0</v>
      </c>
      <c r="N1625" s="305">
        <f>IF(G1625=0,0,(IF(OR(E1625=$AT$5,E1625=$AT$6),AC1625,HLOOKUP(YEAR(G1625)+(MONTH(G1625)/100),TC!$5:$37,DAY(G1625)+2,FALSE))))</f>
        <v>0</v>
      </c>
      <c r="O1625" s="307">
        <f t="shared" si="429"/>
        <v>0</v>
      </c>
      <c r="P1625" s="560">
        <f>IF(G1625=0,0,VLOOKUP(YEAR(G1625),INPC!$B$4:$P$30,MONTH(G1625)+2))</f>
        <v>0</v>
      </c>
      <c r="Q1625" s="560">
        <f>IF(X1625=0,0,IF(OR(E1625=$AT$10,E1625=$AT$9),VLOOKUP(YEAR(X1625),INPC!$B$4:$P$30,MONTH(X1625)+1),VLOOKUP(YEAR(X1625),INPC!$B$4:$P$30,MONTH(X1625)+2,0)))</f>
        <v>0</v>
      </c>
      <c r="R1625" s="309">
        <f t="shared" si="430"/>
        <v>0</v>
      </c>
      <c r="S1625" s="310">
        <f t="shared" si="431"/>
        <v>0</v>
      </c>
      <c r="T1625" s="555">
        <f t="shared" si="432"/>
        <v>0</v>
      </c>
      <c r="U1625" s="311"/>
      <c r="V1625" s="312"/>
      <c r="W1625" s="299"/>
      <c r="X1625" s="300"/>
      <c r="Y1625" s="299"/>
      <c r="Z1625" s="303"/>
      <c r="AA1625" s="305">
        <f>IF(Z1625=0,0,IF(Y1625="MXN",1/HLOOKUP(YEAR(X1625)+(MONTH(X1625)/100),TC!$5:$37,DAY(X1625)+2,FALSE),VLOOKUP(Y1625,Equivalencia!$1:$23,((MAX(Equivalencia!$3:$3)-YEAR(X1625))*14)+MONTH(X1625)+2,FALSE)))</f>
        <v>0</v>
      </c>
      <c r="AB1625" s="306">
        <f t="shared" si="433"/>
        <v>0</v>
      </c>
      <c r="AC1625" s="305">
        <f>+IF(X1625=0,0,HLOOKUP(YEAR(X1625)+(MONTH(X1625)/100),TC!$5:$37,DAY(X1625)+2,FALSE))</f>
        <v>0</v>
      </c>
      <c r="AD1625" s="307">
        <f t="shared" si="434"/>
        <v>0</v>
      </c>
      <c r="AE1625" s="314">
        <f t="shared" si="435"/>
        <v>0</v>
      </c>
      <c r="AF1625" s="315">
        <f t="shared" si="436"/>
        <v>0</v>
      </c>
      <c r="AG1625" s="316">
        <f t="shared" si="437"/>
        <v>0</v>
      </c>
      <c r="AH1625" s="314">
        <v>1</v>
      </c>
      <c r="AI1625" s="314">
        <f t="shared" si="438"/>
        <v>0</v>
      </c>
      <c r="AJ1625" s="314">
        <f t="shared" si="439"/>
        <v>0</v>
      </c>
      <c r="AK1625" s="317"/>
      <c r="AL1625" s="315">
        <f t="shared" si="440"/>
        <v>0</v>
      </c>
      <c r="AN1625" s="554">
        <f t="shared" si="441"/>
        <v>0</v>
      </c>
      <c r="AO1625" s="314"/>
      <c r="AP1625" s="318"/>
    </row>
    <row r="1626" spans="2:42">
      <c r="B1626" s="296"/>
      <c r="C1626" s="299"/>
      <c r="D1626" s="298"/>
      <c r="E1626" s="299"/>
      <c r="F1626" s="299"/>
      <c r="G1626" s="300"/>
      <c r="H1626" s="303"/>
      <c r="I1626" s="301">
        <f t="shared" si="425"/>
        <v>0</v>
      </c>
      <c r="J1626" s="302">
        <f t="shared" si="426"/>
        <v>0</v>
      </c>
      <c r="K1626" s="304">
        <f t="shared" si="427"/>
        <v>0</v>
      </c>
      <c r="L1626" s="305">
        <f>IF(H1626=0,0,IF(OR(E1626=$AT$5,E1626=$AT$6),AA1626,IF(F1626="MXN",1/HLOOKUP(YEAR(G1626)+(MONTH(G1626)/100),TC!$5:$37,DAY(G1626)+2,FALSE),VLOOKUP(F1626,Equivalencia!$5:$23,((MAX(Equivalencia!$3:$3)-YEAR(G1626))*14)+MONTH(G1626)+2,FALSE))))</f>
        <v>0</v>
      </c>
      <c r="M1626" s="306">
        <f t="shared" si="428"/>
        <v>0</v>
      </c>
      <c r="N1626" s="305">
        <f>IF(G1626=0,0,(IF(OR(E1626=$AT$5,E1626=$AT$6),AC1626,HLOOKUP(YEAR(G1626)+(MONTH(G1626)/100),TC!$5:$37,DAY(G1626)+2,FALSE))))</f>
        <v>0</v>
      </c>
      <c r="O1626" s="307">
        <f t="shared" si="429"/>
        <v>0</v>
      </c>
      <c r="P1626" s="560">
        <f>IF(G1626=0,0,VLOOKUP(YEAR(G1626),INPC!$B$4:$P$30,MONTH(G1626)+2))</f>
        <v>0</v>
      </c>
      <c r="Q1626" s="560">
        <f>IF(X1626=0,0,IF(OR(E1626=$AT$10,E1626=$AT$9),VLOOKUP(YEAR(X1626),INPC!$B$4:$P$30,MONTH(X1626)+1),VLOOKUP(YEAR(X1626),INPC!$B$4:$P$30,MONTH(X1626)+2,0)))</f>
        <v>0</v>
      </c>
      <c r="R1626" s="309">
        <f t="shared" si="430"/>
        <v>0</v>
      </c>
      <c r="S1626" s="310">
        <f t="shared" si="431"/>
        <v>0</v>
      </c>
      <c r="T1626" s="555">
        <f t="shared" si="432"/>
        <v>0</v>
      </c>
      <c r="U1626" s="311"/>
      <c r="V1626" s="312"/>
      <c r="W1626" s="299"/>
      <c r="X1626" s="300"/>
      <c r="Y1626" s="299"/>
      <c r="Z1626" s="303"/>
      <c r="AA1626" s="305">
        <f>IF(Z1626=0,0,IF(Y1626="MXN",1/HLOOKUP(YEAR(X1626)+(MONTH(X1626)/100),TC!$5:$37,DAY(X1626)+2,FALSE),VLOOKUP(Y1626,Equivalencia!$1:$23,((MAX(Equivalencia!$3:$3)-YEAR(X1626))*14)+MONTH(X1626)+2,FALSE)))</f>
        <v>0</v>
      </c>
      <c r="AB1626" s="306">
        <f t="shared" si="433"/>
        <v>0</v>
      </c>
      <c r="AC1626" s="305">
        <f>+IF(X1626=0,0,HLOOKUP(YEAR(X1626)+(MONTH(X1626)/100),TC!$5:$37,DAY(X1626)+2,FALSE))</f>
        <v>0</v>
      </c>
      <c r="AD1626" s="307">
        <f t="shared" si="434"/>
        <v>0</v>
      </c>
      <c r="AE1626" s="314">
        <f t="shared" si="435"/>
        <v>0</v>
      </c>
      <c r="AF1626" s="315">
        <f t="shared" si="436"/>
        <v>0</v>
      </c>
      <c r="AG1626" s="316">
        <f t="shared" si="437"/>
        <v>0</v>
      </c>
      <c r="AH1626" s="314">
        <v>1</v>
      </c>
      <c r="AI1626" s="314">
        <f t="shared" si="438"/>
        <v>0</v>
      </c>
      <c r="AJ1626" s="314">
        <f t="shared" si="439"/>
        <v>0</v>
      </c>
      <c r="AK1626" s="317"/>
      <c r="AL1626" s="315">
        <f t="shared" si="440"/>
        <v>0</v>
      </c>
      <c r="AN1626" s="554">
        <f t="shared" si="441"/>
        <v>0</v>
      </c>
      <c r="AO1626" s="314"/>
      <c r="AP1626" s="318"/>
    </row>
    <row r="1627" spans="2:42">
      <c r="B1627" s="296"/>
      <c r="C1627" s="299"/>
      <c r="D1627" s="298"/>
      <c r="E1627" s="299"/>
      <c r="F1627" s="299"/>
      <c r="G1627" s="300"/>
      <c r="H1627" s="303"/>
      <c r="I1627" s="301">
        <f t="shared" si="425"/>
        <v>0</v>
      </c>
      <c r="J1627" s="302">
        <f t="shared" si="426"/>
        <v>0</v>
      </c>
      <c r="K1627" s="304">
        <f t="shared" si="427"/>
        <v>0</v>
      </c>
      <c r="L1627" s="305">
        <f>IF(H1627=0,0,IF(OR(E1627=$AT$5,E1627=$AT$6),AA1627,IF(F1627="MXN",1/HLOOKUP(YEAR(G1627)+(MONTH(G1627)/100),TC!$5:$37,DAY(G1627)+2,FALSE),VLOOKUP(F1627,Equivalencia!$5:$23,((MAX(Equivalencia!$3:$3)-YEAR(G1627))*14)+MONTH(G1627)+2,FALSE))))</f>
        <v>0</v>
      </c>
      <c r="M1627" s="306">
        <f t="shared" si="428"/>
        <v>0</v>
      </c>
      <c r="N1627" s="305">
        <f>IF(G1627=0,0,(IF(OR(E1627=$AT$5,E1627=$AT$6),AC1627,HLOOKUP(YEAR(G1627)+(MONTH(G1627)/100),TC!$5:$37,DAY(G1627)+2,FALSE))))</f>
        <v>0</v>
      </c>
      <c r="O1627" s="307">
        <f t="shared" si="429"/>
        <v>0</v>
      </c>
      <c r="P1627" s="560">
        <f>IF(G1627=0,0,VLOOKUP(YEAR(G1627),INPC!$B$4:$P$30,MONTH(G1627)+2))</f>
        <v>0</v>
      </c>
      <c r="Q1627" s="560">
        <f>IF(X1627=0,0,IF(OR(E1627=$AT$10,E1627=$AT$9),VLOOKUP(YEAR(X1627),INPC!$B$4:$P$30,MONTH(X1627)+1),VLOOKUP(YEAR(X1627),INPC!$B$4:$P$30,MONTH(X1627)+2,0)))</f>
        <v>0</v>
      </c>
      <c r="R1627" s="309">
        <f t="shared" si="430"/>
        <v>0</v>
      </c>
      <c r="S1627" s="310">
        <f t="shared" si="431"/>
        <v>0</v>
      </c>
      <c r="T1627" s="555">
        <f t="shared" si="432"/>
        <v>0</v>
      </c>
      <c r="U1627" s="311"/>
      <c r="V1627" s="312"/>
      <c r="W1627" s="299"/>
      <c r="X1627" s="300"/>
      <c r="Y1627" s="299"/>
      <c r="Z1627" s="303"/>
      <c r="AA1627" s="305">
        <f>IF(Z1627=0,0,IF(Y1627="MXN",1/HLOOKUP(YEAR(X1627)+(MONTH(X1627)/100),TC!$5:$37,DAY(X1627)+2,FALSE),VLOOKUP(Y1627,Equivalencia!$1:$23,((MAX(Equivalencia!$3:$3)-YEAR(X1627))*14)+MONTH(X1627)+2,FALSE)))</f>
        <v>0</v>
      </c>
      <c r="AB1627" s="306">
        <f t="shared" si="433"/>
        <v>0</v>
      </c>
      <c r="AC1627" s="305">
        <f>+IF(X1627=0,0,HLOOKUP(YEAR(X1627)+(MONTH(X1627)/100),TC!$5:$37,DAY(X1627)+2,FALSE))</f>
        <v>0</v>
      </c>
      <c r="AD1627" s="307">
        <f t="shared" si="434"/>
        <v>0</v>
      </c>
      <c r="AE1627" s="314">
        <f t="shared" si="435"/>
        <v>0</v>
      </c>
      <c r="AF1627" s="315">
        <f t="shared" si="436"/>
        <v>0</v>
      </c>
      <c r="AG1627" s="316">
        <f t="shared" si="437"/>
        <v>0</v>
      </c>
      <c r="AH1627" s="314">
        <v>1</v>
      </c>
      <c r="AI1627" s="314">
        <f t="shared" si="438"/>
        <v>0</v>
      </c>
      <c r="AJ1627" s="314">
        <f t="shared" si="439"/>
        <v>0</v>
      </c>
      <c r="AK1627" s="317"/>
      <c r="AL1627" s="315">
        <f t="shared" si="440"/>
        <v>0</v>
      </c>
      <c r="AN1627" s="554">
        <f t="shared" si="441"/>
        <v>0</v>
      </c>
      <c r="AO1627" s="314"/>
      <c r="AP1627" s="318"/>
    </row>
    <row r="1628" spans="2:42">
      <c r="B1628" s="296"/>
      <c r="C1628" s="299"/>
      <c r="D1628" s="298"/>
      <c r="E1628" s="299"/>
      <c r="F1628" s="299"/>
      <c r="G1628" s="300"/>
      <c r="H1628" s="303"/>
      <c r="I1628" s="301">
        <f t="shared" si="425"/>
        <v>0</v>
      </c>
      <c r="J1628" s="302">
        <f t="shared" si="426"/>
        <v>0</v>
      </c>
      <c r="K1628" s="304">
        <f t="shared" si="427"/>
        <v>0</v>
      </c>
      <c r="L1628" s="305">
        <f>IF(H1628=0,0,IF(OR(E1628=$AT$5,E1628=$AT$6),AA1628,IF(F1628="MXN",1/HLOOKUP(YEAR(G1628)+(MONTH(G1628)/100),TC!$5:$37,DAY(G1628)+2,FALSE),VLOOKUP(F1628,Equivalencia!$5:$23,((MAX(Equivalencia!$3:$3)-YEAR(G1628))*14)+MONTH(G1628)+2,FALSE))))</f>
        <v>0</v>
      </c>
      <c r="M1628" s="306">
        <f t="shared" si="428"/>
        <v>0</v>
      </c>
      <c r="N1628" s="305">
        <f>IF(G1628=0,0,(IF(OR(E1628=$AT$5,E1628=$AT$6),AC1628,HLOOKUP(YEAR(G1628)+(MONTH(G1628)/100),TC!$5:$37,DAY(G1628)+2,FALSE))))</f>
        <v>0</v>
      </c>
      <c r="O1628" s="307">
        <f t="shared" si="429"/>
        <v>0</v>
      </c>
      <c r="P1628" s="560">
        <f>IF(G1628=0,0,VLOOKUP(YEAR(G1628),INPC!$B$4:$P$30,MONTH(G1628)+2))</f>
        <v>0</v>
      </c>
      <c r="Q1628" s="560">
        <f>IF(X1628=0,0,IF(OR(E1628=$AT$10,E1628=$AT$9),VLOOKUP(YEAR(X1628),INPC!$B$4:$P$30,MONTH(X1628)+1),VLOOKUP(YEAR(X1628),INPC!$B$4:$P$30,MONTH(X1628)+2,0)))</f>
        <v>0</v>
      </c>
      <c r="R1628" s="309">
        <f t="shared" si="430"/>
        <v>0</v>
      </c>
      <c r="S1628" s="310">
        <f t="shared" si="431"/>
        <v>0</v>
      </c>
      <c r="T1628" s="555">
        <f t="shared" si="432"/>
        <v>0</v>
      </c>
      <c r="U1628" s="311"/>
      <c r="V1628" s="312"/>
      <c r="W1628" s="299"/>
      <c r="X1628" s="300"/>
      <c r="Y1628" s="299"/>
      <c r="Z1628" s="303"/>
      <c r="AA1628" s="305">
        <f>IF(Z1628=0,0,IF(Y1628="MXN",1/HLOOKUP(YEAR(X1628)+(MONTH(X1628)/100),TC!$5:$37,DAY(X1628)+2,FALSE),VLOOKUP(Y1628,Equivalencia!$1:$23,((MAX(Equivalencia!$3:$3)-YEAR(X1628))*14)+MONTH(X1628)+2,FALSE)))</f>
        <v>0</v>
      </c>
      <c r="AB1628" s="306">
        <f t="shared" si="433"/>
        <v>0</v>
      </c>
      <c r="AC1628" s="305">
        <f>+IF(X1628=0,0,HLOOKUP(YEAR(X1628)+(MONTH(X1628)/100),TC!$5:$37,DAY(X1628)+2,FALSE))</f>
        <v>0</v>
      </c>
      <c r="AD1628" s="307">
        <f t="shared" si="434"/>
        <v>0</v>
      </c>
      <c r="AE1628" s="314">
        <f t="shared" si="435"/>
        <v>0</v>
      </c>
      <c r="AF1628" s="315">
        <f t="shared" si="436"/>
        <v>0</v>
      </c>
      <c r="AG1628" s="316">
        <f t="shared" si="437"/>
        <v>0</v>
      </c>
      <c r="AH1628" s="314">
        <v>1</v>
      </c>
      <c r="AI1628" s="314">
        <f t="shared" si="438"/>
        <v>0</v>
      </c>
      <c r="AJ1628" s="314">
        <f t="shared" si="439"/>
        <v>0</v>
      </c>
      <c r="AK1628" s="317"/>
      <c r="AL1628" s="315">
        <f t="shared" si="440"/>
        <v>0</v>
      </c>
      <c r="AN1628" s="554">
        <f t="shared" si="441"/>
        <v>0</v>
      </c>
      <c r="AO1628" s="314"/>
      <c r="AP1628" s="318"/>
    </row>
    <row r="1629" spans="2:42">
      <c r="B1629" s="296"/>
      <c r="C1629" s="299"/>
      <c r="D1629" s="298"/>
      <c r="E1629" s="299"/>
      <c r="F1629" s="299"/>
      <c r="G1629" s="300"/>
      <c r="H1629" s="303"/>
      <c r="I1629" s="301">
        <f t="shared" si="425"/>
        <v>0</v>
      </c>
      <c r="J1629" s="302">
        <f t="shared" si="426"/>
        <v>0</v>
      </c>
      <c r="K1629" s="304">
        <f t="shared" si="427"/>
        <v>0</v>
      </c>
      <c r="L1629" s="305">
        <f>IF(H1629=0,0,IF(OR(E1629=$AT$5,E1629=$AT$6),AA1629,IF(F1629="MXN",1/HLOOKUP(YEAR(G1629)+(MONTH(G1629)/100),TC!$5:$37,DAY(G1629)+2,FALSE),VLOOKUP(F1629,Equivalencia!$5:$23,((MAX(Equivalencia!$3:$3)-YEAR(G1629))*14)+MONTH(G1629)+2,FALSE))))</f>
        <v>0</v>
      </c>
      <c r="M1629" s="306">
        <f t="shared" si="428"/>
        <v>0</v>
      </c>
      <c r="N1629" s="305">
        <f>IF(G1629=0,0,(IF(OR(E1629=$AT$5,E1629=$AT$6),AC1629,HLOOKUP(YEAR(G1629)+(MONTH(G1629)/100),TC!$5:$37,DAY(G1629)+2,FALSE))))</f>
        <v>0</v>
      </c>
      <c r="O1629" s="307">
        <f t="shared" si="429"/>
        <v>0</v>
      </c>
      <c r="P1629" s="560">
        <f>IF(G1629=0,0,VLOOKUP(YEAR(G1629),INPC!$B$4:$P$30,MONTH(G1629)+2))</f>
        <v>0</v>
      </c>
      <c r="Q1629" s="560">
        <f>IF(X1629=0,0,IF(OR(E1629=$AT$10,E1629=$AT$9),VLOOKUP(YEAR(X1629),INPC!$B$4:$P$30,MONTH(X1629)+1),VLOOKUP(YEAR(X1629),INPC!$B$4:$P$30,MONTH(X1629)+2,0)))</f>
        <v>0</v>
      </c>
      <c r="R1629" s="309">
        <f t="shared" si="430"/>
        <v>0</v>
      </c>
      <c r="S1629" s="310">
        <f t="shared" si="431"/>
        <v>0</v>
      </c>
      <c r="T1629" s="555">
        <f t="shared" si="432"/>
        <v>0</v>
      </c>
      <c r="U1629" s="311"/>
      <c r="V1629" s="312"/>
      <c r="W1629" s="299"/>
      <c r="X1629" s="300"/>
      <c r="Y1629" s="299"/>
      <c r="Z1629" s="303"/>
      <c r="AA1629" s="305">
        <f>IF(Z1629=0,0,IF(Y1629="MXN",1/HLOOKUP(YEAR(X1629)+(MONTH(X1629)/100),TC!$5:$37,DAY(X1629)+2,FALSE),VLOOKUP(Y1629,Equivalencia!$1:$23,((MAX(Equivalencia!$3:$3)-YEAR(X1629))*14)+MONTH(X1629)+2,FALSE)))</f>
        <v>0</v>
      </c>
      <c r="AB1629" s="306">
        <f t="shared" si="433"/>
        <v>0</v>
      </c>
      <c r="AC1629" s="305">
        <f>+IF(X1629=0,0,HLOOKUP(YEAR(X1629)+(MONTH(X1629)/100),TC!$5:$37,DAY(X1629)+2,FALSE))</f>
        <v>0</v>
      </c>
      <c r="AD1629" s="307">
        <f t="shared" si="434"/>
        <v>0</v>
      </c>
      <c r="AE1629" s="314">
        <f t="shared" si="435"/>
        <v>0</v>
      </c>
      <c r="AF1629" s="315">
        <f t="shared" si="436"/>
        <v>0</v>
      </c>
      <c r="AG1629" s="316">
        <f t="shared" si="437"/>
        <v>0</v>
      </c>
      <c r="AH1629" s="314">
        <v>1</v>
      </c>
      <c r="AI1629" s="314">
        <f t="shared" si="438"/>
        <v>0</v>
      </c>
      <c r="AJ1629" s="314">
        <f t="shared" si="439"/>
        <v>0</v>
      </c>
      <c r="AK1629" s="317"/>
      <c r="AL1629" s="315">
        <f t="shared" si="440"/>
        <v>0</v>
      </c>
      <c r="AN1629" s="554">
        <f t="shared" si="441"/>
        <v>0</v>
      </c>
      <c r="AO1629" s="314"/>
      <c r="AP1629" s="318"/>
    </row>
    <row r="1630" spans="2:42">
      <c r="B1630" s="296"/>
      <c r="C1630" s="299"/>
      <c r="D1630" s="298"/>
      <c r="E1630" s="299"/>
      <c r="F1630" s="299"/>
      <c r="G1630" s="300"/>
      <c r="H1630" s="303"/>
      <c r="I1630" s="301">
        <f t="shared" si="425"/>
        <v>0</v>
      </c>
      <c r="J1630" s="302">
        <f t="shared" si="426"/>
        <v>0</v>
      </c>
      <c r="K1630" s="304">
        <f t="shared" si="427"/>
        <v>0</v>
      </c>
      <c r="L1630" s="305">
        <f>IF(H1630=0,0,IF(OR(E1630=$AT$5,E1630=$AT$6),AA1630,IF(F1630="MXN",1/HLOOKUP(YEAR(G1630)+(MONTH(G1630)/100),TC!$5:$37,DAY(G1630)+2,FALSE),VLOOKUP(F1630,Equivalencia!$5:$23,((MAX(Equivalencia!$3:$3)-YEAR(G1630))*14)+MONTH(G1630)+2,FALSE))))</f>
        <v>0</v>
      </c>
      <c r="M1630" s="306">
        <f t="shared" si="428"/>
        <v>0</v>
      </c>
      <c r="N1630" s="305">
        <f>IF(G1630=0,0,(IF(OR(E1630=$AT$5,E1630=$AT$6),AC1630,HLOOKUP(YEAR(G1630)+(MONTH(G1630)/100),TC!$5:$37,DAY(G1630)+2,FALSE))))</f>
        <v>0</v>
      </c>
      <c r="O1630" s="307">
        <f t="shared" si="429"/>
        <v>0</v>
      </c>
      <c r="P1630" s="560">
        <f>IF(G1630=0,0,VLOOKUP(YEAR(G1630),INPC!$B$4:$P$30,MONTH(G1630)+2))</f>
        <v>0</v>
      </c>
      <c r="Q1630" s="560">
        <f>IF(X1630=0,0,IF(OR(E1630=$AT$10,E1630=$AT$9),VLOOKUP(YEAR(X1630),INPC!$B$4:$P$30,MONTH(X1630)+1),VLOOKUP(YEAR(X1630),INPC!$B$4:$P$30,MONTH(X1630)+2,0)))</f>
        <v>0</v>
      </c>
      <c r="R1630" s="309">
        <f t="shared" si="430"/>
        <v>0</v>
      </c>
      <c r="S1630" s="310">
        <f t="shared" si="431"/>
        <v>0</v>
      </c>
      <c r="T1630" s="555">
        <f t="shared" si="432"/>
        <v>0</v>
      </c>
      <c r="U1630" s="311"/>
      <c r="V1630" s="312"/>
      <c r="W1630" s="299"/>
      <c r="X1630" s="300"/>
      <c r="Y1630" s="299"/>
      <c r="Z1630" s="303"/>
      <c r="AA1630" s="305">
        <f>IF(Z1630=0,0,IF(Y1630="MXN",1/HLOOKUP(YEAR(X1630)+(MONTH(X1630)/100),TC!$5:$37,DAY(X1630)+2,FALSE),VLOOKUP(Y1630,Equivalencia!$1:$23,((MAX(Equivalencia!$3:$3)-YEAR(X1630))*14)+MONTH(X1630)+2,FALSE)))</f>
        <v>0</v>
      </c>
      <c r="AB1630" s="306">
        <f t="shared" si="433"/>
        <v>0</v>
      </c>
      <c r="AC1630" s="305">
        <f>+IF(X1630=0,0,HLOOKUP(YEAR(X1630)+(MONTH(X1630)/100),TC!$5:$37,DAY(X1630)+2,FALSE))</f>
        <v>0</v>
      </c>
      <c r="AD1630" s="307">
        <f t="shared" si="434"/>
        <v>0</v>
      </c>
      <c r="AE1630" s="314">
        <f t="shared" si="435"/>
        <v>0</v>
      </c>
      <c r="AF1630" s="315">
        <f t="shared" si="436"/>
        <v>0</v>
      </c>
      <c r="AG1630" s="316">
        <f t="shared" si="437"/>
        <v>0</v>
      </c>
      <c r="AH1630" s="314">
        <v>1</v>
      </c>
      <c r="AI1630" s="314">
        <f t="shared" si="438"/>
        <v>0</v>
      </c>
      <c r="AJ1630" s="314">
        <f t="shared" si="439"/>
        <v>0</v>
      </c>
      <c r="AK1630" s="317"/>
      <c r="AL1630" s="315">
        <f t="shared" si="440"/>
        <v>0</v>
      </c>
      <c r="AN1630" s="554">
        <f t="shared" si="441"/>
        <v>0</v>
      </c>
      <c r="AO1630" s="314"/>
      <c r="AP1630" s="318"/>
    </row>
    <row r="1631" spans="2:42">
      <c r="B1631" s="296"/>
      <c r="C1631" s="299"/>
      <c r="D1631" s="298"/>
      <c r="E1631" s="299"/>
      <c r="F1631" s="299"/>
      <c r="G1631" s="300"/>
      <c r="H1631" s="303"/>
      <c r="I1631" s="301">
        <f t="shared" si="425"/>
        <v>0</v>
      </c>
      <c r="J1631" s="302">
        <f t="shared" si="426"/>
        <v>0</v>
      </c>
      <c r="K1631" s="304">
        <f t="shared" si="427"/>
        <v>0</v>
      </c>
      <c r="L1631" s="305">
        <f>IF(H1631=0,0,IF(OR(E1631=$AT$5,E1631=$AT$6),AA1631,IF(F1631="MXN",1/HLOOKUP(YEAR(G1631)+(MONTH(G1631)/100),TC!$5:$37,DAY(G1631)+2,FALSE),VLOOKUP(F1631,Equivalencia!$5:$23,((MAX(Equivalencia!$3:$3)-YEAR(G1631))*14)+MONTH(G1631)+2,FALSE))))</f>
        <v>0</v>
      </c>
      <c r="M1631" s="306">
        <f t="shared" si="428"/>
        <v>0</v>
      </c>
      <c r="N1631" s="305">
        <f>IF(G1631=0,0,(IF(OR(E1631=$AT$5,E1631=$AT$6),AC1631,HLOOKUP(YEAR(G1631)+(MONTH(G1631)/100),TC!$5:$37,DAY(G1631)+2,FALSE))))</f>
        <v>0</v>
      </c>
      <c r="O1631" s="307">
        <f t="shared" si="429"/>
        <v>0</v>
      </c>
      <c r="P1631" s="560">
        <f>IF(G1631=0,0,VLOOKUP(YEAR(G1631),INPC!$B$4:$P$30,MONTH(G1631)+2))</f>
        <v>0</v>
      </c>
      <c r="Q1631" s="560">
        <f>IF(X1631=0,0,IF(OR(E1631=$AT$10,E1631=$AT$9),VLOOKUP(YEAR(X1631),INPC!$B$4:$P$30,MONTH(X1631)+1),VLOOKUP(YEAR(X1631),INPC!$B$4:$P$30,MONTH(X1631)+2,0)))</f>
        <v>0</v>
      </c>
      <c r="R1631" s="309">
        <f t="shared" si="430"/>
        <v>0</v>
      </c>
      <c r="S1631" s="310">
        <f t="shared" si="431"/>
        <v>0</v>
      </c>
      <c r="T1631" s="555">
        <f t="shared" si="432"/>
        <v>0</v>
      </c>
      <c r="U1631" s="311"/>
      <c r="V1631" s="312"/>
      <c r="W1631" s="299"/>
      <c r="X1631" s="300"/>
      <c r="Y1631" s="299"/>
      <c r="Z1631" s="303"/>
      <c r="AA1631" s="305">
        <f>IF(Z1631=0,0,IF(Y1631="MXN",1/HLOOKUP(YEAR(X1631)+(MONTH(X1631)/100),TC!$5:$37,DAY(X1631)+2,FALSE),VLOOKUP(Y1631,Equivalencia!$1:$23,((MAX(Equivalencia!$3:$3)-YEAR(X1631))*14)+MONTH(X1631)+2,FALSE)))</f>
        <v>0</v>
      </c>
      <c r="AB1631" s="306">
        <f t="shared" si="433"/>
        <v>0</v>
      </c>
      <c r="AC1631" s="305">
        <f>+IF(X1631=0,0,HLOOKUP(YEAR(X1631)+(MONTH(X1631)/100),TC!$5:$37,DAY(X1631)+2,FALSE))</f>
        <v>0</v>
      </c>
      <c r="AD1631" s="307">
        <f t="shared" si="434"/>
        <v>0</v>
      </c>
      <c r="AE1631" s="314">
        <f t="shared" si="435"/>
        <v>0</v>
      </c>
      <c r="AF1631" s="315">
        <f t="shared" si="436"/>
        <v>0</v>
      </c>
      <c r="AG1631" s="316">
        <f t="shared" si="437"/>
        <v>0</v>
      </c>
      <c r="AH1631" s="314">
        <v>1</v>
      </c>
      <c r="AI1631" s="314">
        <f t="shared" si="438"/>
        <v>0</v>
      </c>
      <c r="AJ1631" s="314">
        <f t="shared" si="439"/>
        <v>0</v>
      </c>
      <c r="AK1631" s="317"/>
      <c r="AL1631" s="315">
        <f t="shared" si="440"/>
        <v>0</v>
      </c>
      <c r="AN1631" s="554">
        <f t="shared" si="441"/>
        <v>0</v>
      </c>
      <c r="AO1631" s="314"/>
      <c r="AP1631" s="318"/>
    </row>
    <row r="1632" spans="2:42">
      <c r="B1632" s="296"/>
      <c r="C1632" s="299"/>
      <c r="D1632" s="298"/>
      <c r="E1632" s="299"/>
      <c r="F1632" s="299"/>
      <c r="G1632" s="300"/>
      <c r="H1632" s="303"/>
      <c r="I1632" s="301">
        <f t="shared" si="425"/>
        <v>0</v>
      </c>
      <c r="J1632" s="302">
        <f t="shared" si="426"/>
        <v>0</v>
      </c>
      <c r="K1632" s="304">
        <f t="shared" si="427"/>
        <v>0</v>
      </c>
      <c r="L1632" s="305">
        <f>IF(H1632=0,0,IF(OR(E1632=$AT$5,E1632=$AT$6),AA1632,IF(F1632="MXN",1/HLOOKUP(YEAR(G1632)+(MONTH(G1632)/100),TC!$5:$37,DAY(G1632)+2,FALSE),VLOOKUP(F1632,Equivalencia!$5:$23,((MAX(Equivalencia!$3:$3)-YEAR(G1632))*14)+MONTH(G1632)+2,FALSE))))</f>
        <v>0</v>
      </c>
      <c r="M1632" s="306">
        <f t="shared" si="428"/>
        <v>0</v>
      </c>
      <c r="N1632" s="305">
        <f>IF(G1632=0,0,(IF(OR(E1632=$AT$5,E1632=$AT$6),AC1632,HLOOKUP(YEAR(G1632)+(MONTH(G1632)/100),TC!$5:$37,DAY(G1632)+2,FALSE))))</f>
        <v>0</v>
      </c>
      <c r="O1632" s="307">
        <f t="shared" si="429"/>
        <v>0</v>
      </c>
      <c r="P1632" s="560">
        <f>IF(G1632=0,0,VLOOKUP(YEAR(G1632),INPC!$B$4:$P$30,MONTH(G1632)+2))</f>
        <v>0</v>
      </c>
      <c r="Q1632" s="560">
        <f>IF(X1632=0,0,IF(OR(E1632=$AT$10,E1632=$AT$9),VLOOKUP(YEAR(X1632),INPC!$B$4:$P$30,MONTH(X1632)+1),VLOOKUP(YEAR(X1632),INPC!$B$4:$P$30,MONTH(X1632)+2,0)))</f>
        <v>0</v>
      </c>
      <c r="R1632" s="309">
        <f t="shared" si="430"/>
        <v>0</v>
      </c>
      <c r="S1632" s="310">
        <f t="shared" si="431"/>
        <v>0</v>
      </c>
      <c r="T1632" s="555">
        <f t="shared" si="432"/>
        <v>0</v>
      </c>
      <c r="U1632" s="311"/>
      <c r="V1632" s="312"/>
      <c r="W1632" s="299"/>
      <c r="X1632" s="300"/>
      <c r="Y1632" s="299"/>
      <c r="Z1632" s="303"/>
      <c r="AA1632" s="305">
        <f>IF(Z1632=0,0,IF(Y1632="MXN",1/HLOOKUP(YEAR(X1632)+(MONTH(X1632)/100),TC!$5:$37,DAY(X1632)+2,FALSE),VLOOKUP(Y1632,Equivalencia!$1:$23,((MAX(Equivalencia!$3:$3)-YEAR(X1632))*14)+MONTH(X1632)+2,FALSE)))</f>
        <v>0</v>
      </c>
      <c r="AB1632" s="306">
        <f t="shared" si="433"/>
        <v>0</v>
      </c>
      <c r="AC1632" s="305">
        <f>+IF(X1632=0,0,HLOOKUP(YEAR(X1632)+(MONTH(X1632)/100),TC!$5:$37,DAY(X1632)+2,FALSE))</f>
        <v>0</v>
      </c>
      <c r="AD1632" s="307">
        <f t="shared" si="434"/>
        <v>0</v>
      </c>
      <c r="AE1632" s="314">
        <f t="shared" si="435"/>
        <v>0</v>
      </c>
      <c r="AF1632" s="315">
        <f t="shared" si="436"/>
        <v>0</v>
      </c>
      <c r="AG1632" s="316">
        <f t="shared" si="437"/>
        <v>0</v>
      </c>
      <c r="AH1632" s="314">
        <v>1</v>
      </c>
      <c r="AI1632" s="314">
        <f t="shared" si="438"/>
        <v>0</v>
      </c>
      <c r="AJ1632" s="314">
        <f t="shared" si="439"/>
        <v>0</v>
      </c>
      <c r="AK1632" s="317"/>
      <c r="AL1632" s="315">
        <f t="shared" si="440"/>
        <v>0</v>
      </c>
      <c r="AN1632" s="554">
        <f t="shared" si="441"/>
        <v>0</v>
      </c>
      <c r="AO1632" s="314"/>
      <c r="AP1632" s="318"/>
    </row>
    <row r="1633" spans="2:42">
      <c r="B1633" s="296"/>
      <c r="C1633" s="299"/>
      <c r="D1633" s="298"/>
      <c r="E1633" s="299"/>
      <c r="F1633" s="299"/>
      <c r="G1633" s="300"/>
      <c r="H1633" s="303"/>
      <c r="I1633" s="301">
        <f t="shared" si="425"/>
        <v>0</v>
      </c>
      <c r="J1633" s="302">
        <f t="shared" si="426"/>
        <v>0</v>
      </c>
      <c r="K1633" s="304">
        <f t="shared" si="427"/>
        <v>0</v>
      </c>
      <c r="L1633" s="305">
        <f>IF(H1633=0,0,IF(OR(E1633=$AT$5,E1633=$AT$6),AA1633,IF(F1633="MXN",1/HLOOKUP(YEAR(G1633)+(MONTH(G1633)/100),TC!$5:$37,DAY(G1633)+2,FALSE),VLOOKUP(F1633,Equivalencia!$5:$23,((MAX(Equivalencia!$3:$3)-YEAR(G1633))*14)+MONTH(G1633)+2,FALSE))))</f>
        <v>0</v>
      </c>
      <c r="M1633" s="306">
        <f t="shared" si="428"/>
        <v>0</v>
      </c>
      <c r="N1633" s="305">
        <f>IF(G1633=0,0,(IF(OR(E1633=$AT$5,E1633=$AT$6),AC1633,HLOOKUP(YEAR(G1633)+(MONTH(G1633)/100),TC!$5:$37,DAY(G1633)+2,FALSE))))</f>
        <v>0</v>
      </c>
      <c r="O1633" s="307">
        <f t="shared" si="429"/>
        <v>0</v>
      </c>
      <c r="P1633" s="560">
        <f>IF(G1633=0,0,VLOOKUP(YEAR(G1633),INPC!$B$4:$P$30,MONTH(G1633)+2))</f>
        <v>0</v>
      </c>
      <c r="Q1633" s="560">
        <f>IF(X1633=0,0,IF(OR(E1633=$AT$10,E1633=$AT$9),VLOOKUP(YEAR(X1633),INPC!$B$4:$P$30,MONTH(X1633)+1),VLOOKUP(YEAR(X1633),INPC!$B$4:$P$30,MONTH(X1633)+2,0)))</f>
        <v>0</v>
      </c>
      <c r="R1633" s="309">
        <f t="shared" si="430"/>
        <v>0</v>
      </c>
      <c r="S1633" s="310">
        <f t="shared" si="431"/>
        <v>0</v>
      </c>
      <c r="T1633" s="555">
        <f t="shared" si="432"/>
        <v>0</v>
      </c>
      <c r="U1633" s="311"/>
      <c r="V1633" s="312"/>
      <c r="W1633" s="299"/>
      <c r="X1633" s="300"/>
      <c r="Y1633" s="299"/>
      <c r="Z1633" s="303"/>
      <c r="AA1633" s="305">
        <f>IF(Z1633=0,0,IF(Y1633="MXN",1/HLOOKUP(YEAR(X1633)+(MONTH(X1633)/100),TC!$5:$37,DAY(X1633)+2,FALSE),VLOOKUP(Y1633,Equivalencia!$1:$23,((MAX(Equivalencia!$3:$3)-YEAR(X1633))*14)+MONTH(X1633)+2,FALSE)))</f>
        <v>0</v>
      </c>
      <c r="AB1633" s="306">
        <f t="shared" si="433"/>
        <v>0</v>
      </c>
      <c r="AC1633" s="305">
        <f>+IF(X1633=0,0,HLOOKUP(YEAR(X1633)+(MONTH(X1633)/100),TC!$5:$37,DAY(X1633)+2,FALSE))</f>
        <v>0</v>
      </c>
      <c r="AD1633" s="307">
        <f t="shared" si="434"/>
        <v>0</v>
      </c>
      <c r="AE1633" s="314">
        <f t="shared" si="435"/>
        <v>0</v>
      </c>
      <c r="AF1633" s="315">
        <f t="shared" si="436"/>
        <v>0</v>
      </c>
      <c r="AG1633" s="316">
        <f t="shared" si="437"/>
        <v>0</v>
      </c>
      <c r="AH1633" s="314">
        <v>1</v>
      </c>
      <c r="AI1633" s="314">
        <f t="shared" si="438"/>
        <v>0</v>
      </c>
      <c r="AJ1633" s="314">
        <f t="shared" si="439"/>
        <v>0</v>
      </c>
      <c r="AK1633" s="317"/>
      <c r="AL1633" s="315">
        <f t="shared" si="440"/>
        <v>0</v>
      </c>
      <c r="AN1633" s="554">
        <f t="shared" si="441"/>
        <v>0</v>
      </c>
      <c r="AO1633" s="314"/>
      <c r="AP1633" s="318"/>
    </row>
    <row r="1634" spans="2:42">
      <c r="B1634" s="296"/>
      <c r="C1634" s="299"/>
      <c r="D1634" s="298"/>
      <c r="E1634" s="299"/>
      <c r="F1634" s="299"/>
      <c r="G1634" s="300"/>
      <c r="H1634" s="303"/>
      <c r="I1634" s="301">
        <f t="shared" si="425"/>
        <v>0</v>
      </c>
      <c r="J1634" s="302">
        <f t="shared" si="426"/>
        <v>0</v>
      </c>
      <c r="K1634" s="304">
        <f t="shared" si="427"/>
        <v>0</v>
      </c>
      <c r="L1634" s="305">
        <f>IF(H1634=0,0,IF(OR(E1634=$AT$5,E1634=$AT$6),AA1634,IF(F1634="MXN",1/HLOOKUP(YEAR(G1634)+(MONTH(G1634)/100),TC!$5:$37,DAY(G1634)+2,FALSE),VLOOKUP(F1634,Equivalencia!$5:$23,((MAX(Equivalencia!$3:$3)-YEAR(G1634))*14)+MONTH(G1634)+2,FALSE))))</f>
        <v>0</v>
      </c>
      <c r="M1634" s="306">
        <f t="shared" si="428"/>
        <v>0</v>
      </c>
      <c r="N1634" s="305">
        <f>IF(G1634=0,0,(IF(OR(E1634=$AT$5,E1634=$AT$6),AC1634,HLOOKUP(YEAR(G1634)+(MONTH(G1634)/100),TC!$5:$37,DAY(G1634)+2,FALSE))))</f>
        <v>0</v>
      </c>
      <c r="O1634" s="307">
        <f t="shared" si="429"/>
        <v>0</v>
      </c>
      <c r="P1634" s="560">
        <f>IF(G1634=0,0,VLOOKUP(YEAR(G1634),INPC!$B$4:$P$30,MONTH(G1634)+2))</f>
        <v>0</v>
      </c>
      <c r="Q1634" s="560">
        <f>IF(X1634=0,0,IF(OR(E1634=$AT$10,E1634=$AT$9),VLOOKUP(YEAR(X1634),INPC!$B$4:$P$30,MONTH(X1634)+1),VLOOKUP(YEAR(X1634),INPC!$B$4:$P$30,MONTH(X1634)+2,0)))</f>
        <v>0</v>
      </c>
      <c r="R1634" s="309">
        <f t="shared" si="430"/>
        <v>0</v>
      </c>
      <c r="S1634" s="310">
        <f t="shared" si="431"/>
        <v>0</v>
      </c>
      <c r="T1634" s="555">
        <f t="shared" si="432"/>
        <v>0</v>
      </c>
      <c r="U1634" s="311"/>
      <c r="V1634" s="312"/>
      <c r="W1634" s="299"/>
      <c r="X1634" s="300"/>
      <c r="Y1634" s="299"/>
      <c r="Z1634" s="303"/>
      <c r="AA1634" s="305">
        <f>IF(Z1634=0,0,IF(Y1634="MXN",1/HLOOKUP(YEAR(X1634)+(MONTH(X1634)/100),TC!$5:$37,DAY(X1634)+2,FALSE),VLOOKUP(Y1634,Equivalencia!$1:$23,((MAX(Equivalencia!$3:$3)-YEAR(X1634))*14)+MONTH(X1634)+2,FALSE)))</f>
        <v>0</v>
      </c>
      <c r="AB1634" s="306">
        <f t="shared" si="433"/>
        <v>0</v>
      </c>
      <c r="AC1634" s="305">
        <f>+IF(X1634=0,0,HLOOKUP(YEAR(X1634)+(MONTH(X1634)/100),TC!$5:$37,DAY(X1634)+2,FALSE))</f>
        <v>0</v>
      </c>
      <c r="AD1634" s="307">
        <f t="shared" si="434"/>
        <v>0</v>
      </c>
      <c r="AE1634" s="314">
        <f t="shared" si="435"/>
        <v>0</v>
      </c>
      <c r="AF1634" s="315">
        <f t="shared" si="436"/>
        <v>0</v>
      </c>
      <c r="AG1634" s="316">
        <f t="shared" si="437"/>
        <v>0</v>
      </c>
      <c r="AH1634" s="314">
        <v>1</v>
      </c>
      <c r="AI1634" s="314">
        <f t="shared" si="438"/>
        <v>0</v>
      </c>
      <c r="AJ1634" s="314">
        <f t="shared" si="439"/>
        <v>0</v>
      </c>
      <c r="AK1634" s="317"/>
      <c r="AL1634" s="315">
        <f t="shared" si="440"/>
        <v>0</v>
      </c>
      <c r="AN1634" s="554">
        <f t="shared" si="441"/>
        <v>0</v>
      </c>
      <c r="AO1634" s="314"/>
      <c r="AP1634" s="318"/>
    </row>
    <row r="1635" spans="2:42">
      <c r="B1635" s="296"/>
      <c r="C1635" s="299"/>
      <c r="D1635" s="298"/>
      <c r="E1635" s="299"/>
      <c r="F1635" s="299"/>
      <c r="G1635" s="300"/>
      <c r="H1635" s="303"/>
      <c r="I1635" s="301">
        <f t="shared" si="425"/>
        <v>0</v>
      </c>
      <c r="J1635" s="302">
        <f t="shared" si="426"/>
        <v>0</v>
      </c>
      <c r="K1635" s="304">
        <f t="shared" si="427"/>
        <v>0</v>
      </c>
      <c r="L1635" s="305">
        <f>IF(H1635=0,0,IF(OR(E1635=$AT$5,E1635=$AT$6),AA1635,IF(F1635="MXN",1/HLOOKUP(YEAR(G1635)+(MONTH(G1635)/100),TC!$5:$37,DAY(G1635)+2,FALSE),VLOOKUP(F1635,Equivalencia!$5:$23,((MAX(Equivalencia!$3:$3)-YEAR(G1635))*14)+MONTH(G1635)+2,FALSE))))</f>
        <v>0</v>
      </c>
      <c r="M1635" s="306">
        <f t="shared" si="428"/>
        <v>0</v>
      </c>
      <c r="N1635" s="305">
        <f>IF(G1635=0,0,(IF(OR(E1635=$AT$5,E1635=$AT$6),AC1635,HLOOKUP(YEAR(G1635)+(MONTH(G1635)/100),TC!$5:$37,DAY(G1635)+2,FALSE))))</f>
        <v>0</v>
      </c>
      <c r="O1635" s="307">
        <f t="shared" si="429"/>
        <v>0</v>
      </c>
      <c r="P1635" s="560">
        <f>IF(G1635=0,0,VLOOKUP(YEAR(G1635),INPC!$B$4:$P$30,MONTH(G1635)+2))</f>
        <v>0</v>
      </c>
      <c r="Q1635" s="560">
        <f>IF(X1635=0,0,IF(OR(E1635=$AT$10,E1635=$AT$9),VLOOKUP(YEAR(X1635),INPC!$B$4:$P$30,MONTH(X1635)+1),VLOOKUP(YEAR(X1635),INPC!$B$4:$P$30,MONTH(X1635)+2,0)))</f>
        <v>0</v>
      </c>
      <c r="R1635" s="309">
        <f t="shared" si="430"/>
        <v>0</v>
      </c>
      <c r="S1635" s="310">
        <f t="shared" si="431"/>
        <v>0</v>
      </c>
      <c r="T1635" s="555">
        <f t="shared" si="432"/>
        <v>0</v>
      </c>
      <c r="U1635" s="311"/>
      <c r="V1635" s="312"/>
      <c r="W1635" s="299"/>
      <c r="X1635" s="300"/>
      <c r="Y1635" s="299"/>
      <c r="Z1635" s="303"/>
      <c r="AA1635" s="305">
        <f>IF(Z1635=0,0,IF(Y1635="MXN",1/HLOOKUP(YEAR(X1635)+(MONTH(X1635)/100),TC!$5:$37,DAY(X1635)+2,FALSE),VLOOKUP(Y1635,Equivalencia!$1:$23,((MAX(Equivalencia!$3:$3)-YEAR(X1635))*14)+MONTH(X1635)+2,FALSE)))</f>
        <v>0</v>
      </c>
      <c r="AB1635" s="306">
        <f t="shared" si="433"/>
        <v>0</v>
      </c>
      <c r="AC1635" s="305">
        <f>+IF(X1635=0,0,HLOOKUP(YEAR(X1635)+(MONTH(X1635)/100),TC!$5:$37,DAY(X1635)+2,FALSE))</f>
        <v>0</v>
      </c>
      <c r="AD1635" s="307">
        <f t="shared" si="434"/>
        <v>0</v>
      </c>
      <c r="AE1635" s="314">
        <f t="shared" si="435"/>
        <v>0</v>
      </c>
      <c r="AF1635" s="315">
        <f t="shared" si="436"/>
        <v>0</v>
      </c>
      <c r="AG1635" s="316">
        <f t="shared" si="437"/>
        <v>0</v>
      </c>
      <c r="AH1635" s="314">
        <v>1</v>
      </c>
      <c r="AI1635" s="314">
        <f t="shared" si="438"/>
        <v>0</v>
      </c>
      <c r="AJ1635" s="314">
        <f t="shared" si="439"/>
        <v>0</v>
      </c>
      <c r="AK1635" s="317"/>
      <c r="AL1635" s="315">
        <f t="shared" si="440"/>
        <v>0</v>
      </c>
      <c r="AN1635" s="554">
        <f t="shared" si="441"/>
        <v>0</v>
      </c>
      <c r="AO1635" s="314"/>
      <c r="AP1635" s="318"/>
    </row>
    <row r="1636" spans="2:42">
      <c r="B1636" s="296"/>
      <c r="C1636" s="299"/>
      <c r="D1636" s="298"/>
      <c r="E1636" s="299"/>
      <c r="F1636" s="299"/>
      <c r="G1636" s="300"/>
      <c r="H1636" s="303"/>
      <c r="I1636" s="301">
        <f t="shared" si="425"/>
        <v>0</v>
      </c>
      <c r="J1636" s="302">
        <f t="shared" si="426"/>
        <v>0</v>
      </c>
      <c r="K1636" s="304">
        <f t="shared" si="427"/>
        <v>0</v>
      </c>
      <c r="L1636" s="305">
        <f>IF(H1636=0,0,IF(OR(E1636=$AT$5,E1636=$AT$6),AA1636,IF(F1636="MXN",1/HLOOKUP(YEAR(G1636)+(MONTH(G1636)/100),TC!$5:$37,DAY(G1636)+2,FALSE),VLOOKUP(F1636,Equivalencia!$5:$23,((MAX(Equivalencia!$3:$3)-YEAR(G1636))*14)+MONTH(G1636)+2,FALSE))))</f>
        <v>0</v>
      </c>
      <c r="M1636" s="306">
        <f t="shared" si="428"/>
        <v>0</v>
      </c>
      <c r="N1636" s="305">
        <f>IF(G1636=0,0,(IF(OR(E1636=$AT$5,E1636=$AT$6),AC1636,HLOOKUP(YEAR(G1636)+(MONTH(G1636)/100),TC!$5:$37,DAY(G1636)+2,FALSE))))</f>
        <v>0</v>
      </c>
      <c r="O1636" s="307">
        <f t="shared" si="429"/>
        <v>0</v>
      </c>
      <c r="P1636" s="560">
        <f>IF(G1636=0,0,VLOOKUP(YEAR(G1636),INPC!$B$4:$P$30,MONTH(G1636)+2))</f>
        <v>0</v>
      </c>
      <c r="Q1636" s="560">
        <f>IF(X1636=0,0,IF(OR(E1636=$AT$10,E1636=$AT$9),VLOOKUP(YEAR(X1636),INPC!$B$4:$P$30,MONTH(X1636)+1),VLOOKUP(YEAR(X1636),INPC!$B$4:$P$30,MONTH(X1636)+2,0)))</f>
        <v>0</v>
      </c>
      <c r="R1636" s="309">
        <f t="shared" si="430"/>
        <v>0</v>
      </c>
      <c r="S1636" s="310">
        <f t="shared" si="431"/>
        <v>0</v>
      </c>
      <c r="T1636" s="555">
        <f t="shared" si="432"/>
        <v>0</v>
      </c>
      <c r="U1636" s="311"/>
      <c r="V1636" s="312"/>
      <c r="W1636" s="299"/>
      <c r="X1636" s="300"/>
      <c r="Y1636" s="299"/>
      <c r="Z1636" s="303"/>
      <c r="AA1636" s="305">
        <f>IF(Z1636=0,0,IF(Y1636="MXN",1/HLOOKUP(YEAR(X1636)+(MONTH(X1636)/100),TC!$5:$37,DAY(X1636)+2,FALSE),VLOOKUP(Y1636,Equivalencia!$1:$23,((MAX(Equivalencia!$3:$3)-YEAR(X1636))*14)+MONTH(X1636)+2,FALSE)))</f>
        <v>0</v>
      </c>
      <c r="AB1636" s="306">
        <f t="shared" si="433"/>
        <v>0</v>
      </c>
      <c r="AC1636" s="305">
        <f>+IF(X1636=0,0,HLOOKUP(YEAR(X1636)+(MONTH(X1636)/100),TC!$5:$37,DAY(X1636)+2,FALSE))</f>
        <v>0</v>
      </c>
      <c r="AD1636" s="307">
        <f t="shared" si="434"/>
        <v>0</v>
      </c>
      <c r="AE1636" s="314">
        <f t="shared" si="435"/>
        <v>0</v>
      </c>
      <c r="AF1636" s="315">
        <f t="shared" si="436"/>
        <v>0</v>
      </c>
      <c r="AG1636" s="316">
        <f t="shared" si="437"/>
        <v>0</v>
      </c>
      <c r="AH1636" s="314">
        <v>1</v>
      </c>
      <c r="AI1636" s="314">
        <f t="shared" si="438"/>
        <v>0</v>
      </c>
      <c r="AJ1636" s="314">
        <f t="shared" si="439"/>
        <v>0</v>
      </c>
      <c r="AK1636" s="317"/>
      <c r="AL1636" s="315">
        <f t="shared" si="440"/>
        <v>0</v>
      </c>
      <c r="AN1636" s="554">
        <f t="shared" si="441"/>
        <v>0</v>
      </c>
      <c r="AO1636" s="314"/>
      <c r="AP1636" s="318"/>
    </row>
    <row r="1637" spans="2:42">
      <c r="B1637" s="296"/>
      <c r="C1637" s="299"/>
      <c r="D1637" s="298"/>
      <c r="E1637" s="299"/>
      <c r="F1637" s="299"/>
      <c r="G1637" s="300"/>
      <c r="H1637" s="303"/>
      <c r="I1637" s="301">
        <f t="shared" si="425"/>
        <v>0</v>
      </c>
      <c r="J1637" s="302">
        <f t="shared" si="426"/>
        <v>0</v>
      </c>
      <c r="K1637" s="304">
        <f t="shared" si="427"/>
        <v>0</v>
      </c>
      <c r="L1637" s="305">
        <f>IF(H1637=0,0,IF(OR(E1637=$AT$5,E1637=$AT$6),AA1637,IF(F1637="MXN",1/HLOOKUP(YEAR(G1637)+(MONTH(G1637)/100),TC!$5:$37,DAY(G1637)+2,FALSE),VLOOKUP(F1637,Equivalencia!$5:$23,((MAX(Equivalencia!$3:$3)-YEAR(G1637))*14)+MONTH(G1637)+2,FALSE))))</f>
        <v>0</v>
      </c>
      <c r="M1637" s="306">
        <f t="shared" si="428"/>
        <v>0</v>
      </c>
      <c r="N1637" s="305">
        <f>IF(G1637=0,0,(IF(OR(E1637=$AT$5,E1637=$AT$6),AC1637,HLOOKUP(YEAR(G1637)+(MONTH(G1637)/100),TC!$5:$37,DAY(G1637)+2,FALSE))))</f>
        <v>0</v>
      </c>
      <c r="O1637" s="307">
        <f t="shared" si="429"/>
        <v>0</v>
      </c>
      <c r="P1637" s="560">
        <f>IF(G1637=0,0,VLOOKUP(YEAR(G1637),INPC!$B$4:$P$30,MONTH(G1637)+2))</f>
        <v>0</v>
      </c>
      <c r="Q1637" s="560">
        <f>IF(X1637=0,0,IF(OR(E1637=$AT$10,E1637=$AT$9),VLOOKUP(YEAR(X1637),INPC!$B$4:$P$30,MONTH(X1637)+1),VLOOKUP(YEAR(X1637),INPC!$B$4:$P$30,MONTH(X1637)+2,0)))</f>
        <v>0</v>
      </c>
      <c r="R1637" s="309">
        <f t="shared" si="430"/>
        <v>0</v>
      </c>
      <c r="S1637" s="310">
        <f t="shared" si="431"/>
        <v>0</v>
      </c>
      <c r="T1637" s="555">
        <f t="shared" si="432"/>
        <v>0</v>
      </c>
      <c r="U1637" s="311"/>
      <c r="V1637" s="312"/>
      <c r="W1637" s="299"/>
      <c r="X1637" s="300"/>
      <c r="Y1637" s="299"/>
      <c r="Z1637" s="303"/>
      <c r="AA1637" s="305">
        <f>IF(Z1637=0,0,IF(Y1637="MXN",1/HLOOKUP(YEAR(X1637)+(MONTH(X1637)/100),TC!$5:$37,DAY(X1637)+2,FALSE),VLOOKUP(Y1637,Equivalencia!$1:$23,((MAX(Equivalencia!$3:$3)-YEAR(X1637))*14)+MONTH(X1637)+2,FALSE)))</f>
        <v>0</v>
      </c>
      <c r="AB1637" s="306">
        <f t="shared" si="433"/>
        <v>0</v>
      </c>
      <c r="AC1637" s="305">
        <f>+IF(X1637=0,0,HLOOKUP(YEAR(X1637)+(MONTH(X1637)/100),TC!$5:$37,DAY(X1637)+2,FALSE))</f>
        <v>0</v>
      </c>
      <c r="AD1637" s="307">
        <f t="shared" si="434"/>
        <v>0</v>
      </c>
      <c r="AE1637" s="314">
        <f t="shared" si="435"/>
        <v>0</v>
      </c>
      <c r="AF1637" s="315">
        <f t="shared" si="436"/>
        <v>0</v>
      </c>
      <c r="AG1637" s="316">
        <f t="shared" si="437"/>
        <v>0</v>
      </c>
      <c r="AH1637" s="314">
        <v>1</v>
      </c>
      <c r="AI1637" s="314">
        <f t="shared" si="438"/>
        <v>0</v>
      </c>
      <c r="AJ1637" s="314">
        <f t="shared" si="439"/>
        <v>0</v>
      </c>
      <c r="AK1637" s="317"/>
      <c r="AL1637" s="315">
        <f t="shared" si="440"/>
        <v>0</v>
      </c>
      <c r="AN1637" s="554">
        <f t="shared" si="441"/>
        <v>0</v>
      </c>
      <c r="AO1637" s="314"/>
      <c r="AP1637" s="318"/>
    </row>
    <row r="1638" spans="2:42">
      <c r="B1638" s="296"/>
      <c r="C1638" s="299"/>
      <c r="D1638" s="298"/>
      <c r="E1638" s="299"/>
      <c r="F1638" s="299"/>
      <c r="G1638" s="300"/>
      <c r="H1638" s="303"/>
      <c r="I1638" s="301">
        <f t="shared" si="425"/>
        <v>0</v>
      </c>
      <c r="J1638" s="302">
        <f t="shared" si="426"/>
        <v>0</v>
      </c>
      <c r="K1638" s="304">
        <f t="shared" si="427"/>
        <v>0</v>
      </c>
      <c r="L1638" s="305">
        <f>IF(H1638=0,0,IF(OR(E1638=$AT$5,E1638=$AT$6),AA1638,IF(F1638="MXN",1/HLOOKUP(YEAR(G1638)+(MONTH(G1638)/100),TC!$5:$37,DAY(G1638)+2,FALSE),VLOOKUP(F1638,Equivalencia!$5:$23,((MAX(Equivalencia!$3:$3)-YEAR(G1638))*14)+MONTH(G1638)+2,FALSE))))</f>
        <v>0</v>
      </c>
      <c r="M1638" s="306">
        <f t="shared" si="428"/>
        <v>0</v>
      </c>
      <c r="N1638" s="305">
        <f>IF(G1638=0,0,(IF(OR(E1638=$AT$5,E1638=$AT$6),AC1638,HLOOKUP(YEAR(G1638)+(MONTH(G1638)/100),TC!$5:$37,DAY(G1638)+2,FALSE))))</f>
        <v>0</v>
      </c>
      <c r="O1638" s="307">
        <f t="shared" si="429"/>
        <v>0</v>
      </c>
      <c r="P1638" s="560">
        <f>IF(G1638=0,0,VLOOKUP(YEAR(G1638),INPC!$B$4:$P$30,MONTH(G1638)+2))</f>
        <v>0</v>
      </c>
      <c r="Q1638" s="560">
        <f>IF(X1638=0,0,IF(OR(E1638=$AT$10,E1638=$AT$9),VLOOKUP(YEAR(X1638),INPC!$B$4:$P$30,MONTH(X1638)+1),VLOOKUP(YEAR(X1638),INPC!$B$4:$P$30,MONTH(X1638)+2,0)))</f>
        <v>0</v>
      </c>
      <c r="R1638" s="309">
        <f t="shared" si="430"/>
        <v>0</v>
      </c>
      <c r="S1638" s="310">
        <f t="shared" si="431"/>
        <v>0</v>
      </c>
      <c r="T1638" s="555">
        <f t="shared" si="432"/>
        <v>0</v>
      </c>
      <c r="U1638" s="311"/>
      <c r="V1638" s="312"/>
      <c r="W1638" s="299"/>
      <c r="X1638" s="300"/>
      <c r="Y1638" s="299"/>
      <c r="Z1638" s="303"/>
      <c r="AA1638" s="305">
        <f>IF(Z1638=0,0,IF(Y1638="MXN",1/HLOOKUP(YEAR(X1638)+(MONTH(X1638)/100),TC!$5:$37,DAY(X1638)+2,FALSE),VLOOKUP(Y1638,Equivalencia!$1:$23,((MAX(Equivalencia!$3:$3)-YEAR(X1638))*14)+MONTH(X1638)+2,FALSE)))</f>
        <v>0</v>
      </c>
      <c r="AB1638" s="306">
        <f t="shared" si="433"/>
        <v>0</v>
      </c>
      <c r="AC1638" s="305">
        <f>+IF(X1638=0,0,HLOOKUP(YEAR(X1638)+(MONTH(X1638)/100),TC!$5:$37,DAY(X1638)+2,FALSE))</f>
        <v>0</v>
      </c>
      <c r="AD1638" s="307">
        <f t="shared" si="434"/>
        <v>0</v>
      </c>
      <c r="AE1638" s="314">
        <f t="shared" si="435"/>
        <v>0</v>
      </c>
      <c r="AF1638" s="315">
        <f t="shared" si="436"/>
        <v>0</v>
      </c>
      <c r="AG1638" s="316">
        <f t="shared" si="437"/>
        <v>0</v>
      </c>
      <c r="AH1638" s="314">
        <v>1</v>
      </c>
      <c r="AI1638" s="314">
        <f t="shared" si="438"/>
        <v>0</v>
      </c>
      <c r="AJ1638" s="314">
        <f t="shared" si="439"/>
        <v>0</v>
      </c>
      <c r="AK1638" s="317"/>
      <c r="AL1638" s="315">
        <f t="shared" si="440"/>
        <v>0</v>
      </c>
      <c r="AN1638" s="554">
        <f t="shared" si="441"/>
        <v>0</v>
      </c>
      <c r="AO1638" s="314"/>
      <c r="AP1638" s="318"/>
    </row>
    <row r="1639" spans="2:42">
      <c r="B1639" s="296"/>
      <c r="C1639" s="299"/>
      <c r="D1639" s="298"/>
      <c r="E1639" s="299"/>
      <c r="F1639" s="299"/>
      <c r="G1639" s="300"/>
      <c r="H1639" s="303"/>
      <c r="I1639" s="301">
        <f t="shared" si="425"/>
        <v>0</v>
      </c>
      <c r="J1639" s="302">
        <f t="shared" si="426"/>
        <v>0</v>
      </c>
      <c r="K1639" s="304">
        <f t="shared" si="427"/>
        <v>0</v>
      </c>
      <c r="L1639" s="305">
        <f>IF(H1639=0,0,IF(OR(E1639=$AT$5,E1639=$AT$6),AA1639,IF(F1639="MXN",1/HLOOKUP(YEAR(G1639)+(MONTH(G1639)/100),TC!$5:$37,DAY(G1639)+2,FALSE),VLOOKUP(F1639,Equivalencia!$5:$23,((MAX(Equivalencia!$3:$3)-YEAR(G1639))*14)+MONTH(G1639)+2,FALSE))))</f>
        <v>0</v>
      </c>
      <c r="M1639" s="306">
        <f t="shared" si="428"/>
        <v>0</v>
      </c>
      <c r="N1639" s="305">
        <f>IF(G1639=0,0,(IF(OR(E1639=$AT$5,E1639=$AT$6),AC1639,HLOOKUP(YEAR(G1639)+(MONTH(G1639)/100),TC!$5:$37,DAY(G1639)+2,FALSE))))</f>
        <v>0</v>
      </c>
      <c r="O1639" s="307">
        <f t="shared" si="429"/>
        <v>0</v>
      </c>
      <c r="P1639" s="560">
        <f>IF(G1639=0,0,VLOOKUP(YEAR(G1639),INPC!$B$4:$P$30,MONTH(G1639)+2))</f>
        <v>0</v>
      </c>
      <c r="Q1639" s="560">
        <f>IF(X1639=0,0,IF(OR(E1639=$AT$10,E1639=$AT$9),VLOOKUP(YEAR(X1639),INPC!$B$4:$P$30,MONTH(X1639)+1),VLOOKUP(YEAR(X1639),INPC!$B$4:$P$30,MONTH(X1639)+2,0)))</f>
        <v>0</v>
      </c>
      <c r="R1639" s="309">
        <f t="shared" si="430"/>
        <v>0</v>
      </c>
      <c r="S1639" s="310">
        <f t="shared" si="431"/>
        <v>0</v>
      </c>
      <c r="T1639" s="555">
        <f t="shared" si="432"/>
        <v>0</v>
      </c>
      <c r="U1639" s="311"/>
      <c r="V1639" s="312"/>
      <c r="W1639" s="299"/>
      <c r="X1639" s="300"/>
      <c r="Y1639" s="299"/>
      <c r="Z1639" s="303"/>
      <c r="AA1639" s="305">
        <f>IF(Z1639=0,0,IF(Y1639="MXN",1/HLOOKUP(YEAR(X1639)+(MONTH(X1639)/100),TC!$5:$37,DAY(X1639)+2,FALSE),VLOOKUP(Y1639,Equivalencia!$1:$23,((MAX(Equivalencia!$3:$3)-YEAR(X1639))*14)+MONTH(X1639)+2,FALSE)))</f>
        <v>0</v>
      </c>
      <c r="AB1639" s="306">
        <f t="shared" si="433"/>
        <v>0</v>
      </c>
      <c r="AC1639" s="305">
        <f>+IF(X1639=0,0,HLOOKUP(YEAR(X1639)+(MONTH(X1639)/100),TC!$5:$37,DAY(X1639)+2,FALSE))</f>
        <v>0</v>
      </c>
      <c r="AD1639" s="307">
        <f t="shared" si="434"/>
        <v>0</v>
      </c>
      <c r="AE1639" s="314">
        <f t="shared" si="435"/>
        <v>0</v>
      </c>
      <c r="AF1639" s="315">
        <f t="shared" si="436"/>
        <v>0</v>
      </c>
      <c r="AG1639" s="316">
        <f t="shared" si="437"/>
        <v>0</v>
      </c>
      <c r="AH1639" s="314">
        <v>1</v>
      </c>
      <c r="AI1639" s="314">
        <f t="shared" si="438"/>
        <v>0</v>
      </c>
      <c r="AJ1639" s="314">
        <f t="shared" si="439"/>
        <v>0</v>
      </c>
      <c r="AK1639" s="317"/>
      <c r="AL1639" s="315">
        <f t="shared" si="440"/>
        <v>0</v>
      </c>
      <c r="AN1639" s="554">
        <f t="shared" si="441"/>
        <v>0</v>
      </c>
      <c r="AO1639" s="314"/>
      <c r="AP1639" s="318"/>
    </row>
    <row r="1640" spans="2:42">
      <c r="B1640" s="296"/>
      <c r="C1640" s="299"/>
      <c r="D1640" s="298"/>
      <c r="E1640" s="299"/>
      <c r="F1640" s="299"/>
      <c r="G1640" s="300"/>
      <c r="H1640" s="303"/>
      <c r="I1640" s="301">
        <f t="shared" si="425"/>
        <v>0</v>
      </c>
      <c r="J1640" s="302">
        <f t="shared" si="426"/>
        <v>0</v>
      </c>
      <c r="K1640" s="304">
        <f t="shared" si="427"/>
        <v>0</v>
      </c>
      <c r="L1640" s="305">
        <f>IF(H1640=0,0,IF(OR(E1640=$AT$5,E1640=$AT$6),AA1640,IF(F1640="MXN",1/HLOOKUP(YEAR(G1640)+(MONTH(G1640)/100),TC!$5:$37,DAY(G1640)+2,FALSE),VLOOKUP(F1640,Equivalencia!$5:$23,((MAX(Equivalencia!$3:$3)-YEAR(G1640))*14)+MONTH(G1640)+2,FALSE))))</f>
        <v>0</v>
      </c>
      <c r="M1640" s="306">
        <f t="shared" si="428"/>
        <v>0</v>
      </c>
      <c r="N1640" s="305">
        <f>IF(G1640=0,0,(IF(OR(E1640=$AT$5,E1640=$AT$6),AC1640,HLOOKUP(YEAR(G1640)+(MONTH(G1640)/100),TC!$5:$37,DAY(G1640)+2,FALSE))))</f>
        <v>0</v>
      </c>
      <c r="O1640" s="307">
        <f t="shared" si="429"/>
        <v>0</v>
      </c>
      <c r="P1640" s="560">
        <f>IF(G1640=0,0,VLOOKUP(YEAR(G1640),INPC!$B$4:$P$30,MONTH(G1640)+2))</f>
        <v>0</v>
      </c>
      <c r="Q1640" s="560">
        <f>IF(X1640=0,0,IF(OR(E1640=$AT$10,E1640=$AT$9),VLOOKUP(YEAR(X1640),INPC!$B$4:$P$30,MONTH(X1640)+1),VLOOKUP(YEAR(X1640),INPC!$B$4:$P$30,MONTH(X1640)+2,0)))</f>
        <v>0</v>
      </c>
      <c r="R1640" s="309">
        <f t="shared" si="430"/>
        <v>0</v>
      </c>
      <c r="S1640" s="310">
        <f t="shared" si="431"/>
        <v>0</v>
      </c>
      <c r="T1640" s="555">
        <f t="shared" si="432"/>
        <v>0</v>
      </c>
      <c r="U1640" s="311"/>
      <c r="V1640" s="312"/>
      <c r="W1640" s="299"/>
      <c r="X1640" s="300"/>
      <c r="Y1640" s="299"/>
      <c r="Z1640" s="303"/>
      <c r="AA1640" s="305">
        <f>IF(Z1640=0,0,IF(Y1640="MXN",1/HLOOKUP(YEAR(X1640)+(MONTH(X1640)/100),TC!$5:$37,DAY(X1640)+2,FALSE),VLOOKUP(Y1640,Equivalencia!$1:$23,((MAX(Equivalencia!$3:$3)-YEAR(X1640))*14)+MONTH(X1640)+2,FALSE)))</f>
        <v>0</v>
      </c>
      <c r="AB1640" s="306">
        <f t="shared" si="433"/>
        <v>0</v>
      </c>
      <c r="AC1640" s="305">
        <f>+IF(X1640=0,0,HLOOKUP(YEAR(X1640)+(MONTH(X1640)/100),TC!$5:$37,DAY(X1640)+2,FALSE))</f>
        <v>0</v>
      </c>
      <c r="AD1640" s="307">
        <f t="shared" si="434"/>
        <v>0</v>
      </c>
      <c r="AE1640" s="314">
        <f t="shared" si="435"/>
        <v>0</v>
      </c>
      <c r="AF1640" s="315">
        <f t="shared" si="436"/>
        <v>0</v>
      </c>
      <c r="AG1640" s="316">
        <f t="shared" si="437"/>
        <v>0</v>
      </c>
      <c r="AH1640" s="314">
        <v>1</v>
      </c>
      <c r="AI1640" s="314">
        <f t="shared" si="438"/>
        <v>0</v>
      </c>
      <c r="AJ1640" s="314">
        <f t="shared" si="439"/>
        <v>0</v>
      </c>
      <c r="AK1640" s="317"/>
      <c r="AL1640" s="315">
        <f t="shared" si="440"/>
        <v>0</v>
      </c>
      <c r="AN1640" s="554">
        <f t="shared" si="441"/>
        <v>0</v>
      </c>
      <c r="AO1640" s="314"/>
      <c r="AP1640" s="318"/>
    </row>
    <row r="1641" spans="2:42">
      <c r="B1641" s="296"/>
      <c r="C1641" s="299"/>
      <c r="D1641" s="298"/>
      <c r="E1641" s="299"/>
      <c r="F1641" s="299"/>
      <c r="G1641" s="300"/>
      <c r="H1641" s="303"/>
      <c r="I1641" s="301">
        <f t="shared" si="425"/>
        <v>0</v>
      </c>
      <c r="J1641" s="302">
        <f t="shared" si="426"/>
        <v>0</v>
      </c>
      <c r="K1641" s="304">
        <f t="shared" si="427"/>
        <v>0</v>
      </c>
      <c r="L1641" s="305">
        <f>IF(H1641=0,0,IF(OR(E1641=$AT$5,E1641=$AT$6),AA1641,IF(F1641="MXN",1/HLOOKUP(YEAR(G1641)+(MONTH(G1641)/100),TC!$5:$37,DAY(G1641)+2,FALSE),VLOOKUP(F1641,Equivalencia!$5:$23,((MAX(Equivalencia!$3:$3)-YEAR(G1641))*14)+MONTH(G1641)+2,FALSE))))</f>
        <v>0</v>
      </c>
      <c r="M1641" s="306">
        <f t="shared" si="428"/>
        <v>0</v>
      </c>
      <c r="N1641" s="305">
        <f>IF(G1641=0,0,(IF(OR(E1641=$AT$5,E1641=$AT$6),AC1641,HLOOKUP(YEAR(G1641)+(MONTH(G1641)/100),TC!$5:$37,DAY(G1641)+2,FALSE))))</f>
        <v>0</v>
      </c>
      <c r="O1641" s="307">
        <f t="shared" si="429"/>
        <v>0</v>
      </c>
      <c r="P1641" s="560">
        <f>IF(G1641=0,0,VLOOKUP(YEAR(G1641),INPC!$B$4:$P$30,MONTH(G1641)+2))</f>
        <v>0</v>
      </c>
      <c r="Q1641" s="560">
        <f>IF(X1641=0,0,IF(OR(E1641=$AT$10,E1641=$AT$9),VLOOKUP(YEAR(X1641),INPC!$B$4:$P$30,MONTH(X1641)+1),VLOOKUP(YEAR(X1641),INPC!$B$4:$P$30,MONTH(X1641)+2,0)))</f>
        <v>0</v>
      </c>
      <c r="R1641" s="309">
        <f t="shared" si="430"/>
        <v>0</v>
      </c>
      <c r="S1641" s="310">
        <f t="shared" si="431"/>
        <v>0</v>
      </c>
      <c r="T1641" s="555">
        <f t="shared" si="432"/>
        <v>0</v>
      </c>
      <c r="U1641" s="311"/>
      <c r="V1641" s="312"/>
      <c r="W1641" s="299"/>
      <c r="X1641" s="300"/>
      <c r="Y1641" s="299"/>
      <c r="Z1641" s="303"/>
      <c r="AA1641" s="305">
        <f>IF(Z1641=0,0,IF(Y1641="MXN",1/HLOOKUP(YEAR(X1641)+(MONTH(X1641)/100),TC!$5:$37,DAY(X1641)+2,FALSE),VLOOKUP(Y1641,Equivalencia!$1:$23,((MAX(Equivalencia!$3:$3)-YEAR(X1641))*14)+MONTH(X1641)+2,FALSE)))</f>
        <v>0</v>
      </c>
      <c r="AB1641" s="306">
        <f t="shared" si="433"/>
        <v>0</v>
      </c>
      <c r="AC1641" s="305">
        <f>+IF(X1641=0,0,HLOOKUP(YEAR(X1641)+(MONTH(X1641)/100),TC!$5:$37,DAY(X1641)+2,FALSE))</f>
        <v>0</v>
      </c>
      <c r="AD1641" s="307">
        <f t="shared" si="434"/>
        <v>0</v>
      </c>
      <c r="AE1641" s="314">
        <f t="shared" si="435"/>
        <v>0</v>
      </c>
      <c r="AF1641" s="315">
        <f t="shared" si="436"/>
        <v>0</v>
      </c>
      <c r="AG1641" s="316">
        <f t="shared" si="437"/>
        <v>0</v>
      </c>
      <c r="AH1641" s="314">
        <v>1</v>
      </c>
      <c r="AI1641" s="314">
        <f t="shared" si="438"/>
        <v>0</v>
      </c>
      <c r="AJ1641" s="314">
        <f t="shared" si="439"/>
        <v>0</v>
      </c>
      <c r="AK1641" s="317"/>
      <c r="AL1641" s="315">
        <f t="shared" si="440"/>
        <v>0</v>
      </c>
      <c r="AN1641" s="554">
        <f t="shared" si="441"/>
        <v>0</v>
      </c>
      <c r="AO1641" s="314"/>
      <c r="AP1641" s="318"/>
    </row>
    <row r="1642" spans="2:42">
      <c r="B1642" s="296"/>
      <c r="C1642" s="299"/>
      <c r="D1642" s="298"/>
      <c r="E1642" s="299"/>
      <c r="F1642" s="299"/>
      <c r="G1642" s="300"/>
      <c r="H1642" s="303"/>
      <c r="I1642" s="301">
        <f t="shared" si="425"/>
        <v>0</v>
      </c>
      <c r="J1642" s="302">
        <f t="shared" si="426"/>
        <v>0</v>
      </c>
      <c r="K1642" s="304">
        <f t="shared" si="427"/>
        <v>0</v>
      </c>
      <c r="L1642" s="305">
        <f>IF(H1642=0,0,IF(OR(E1642=$AT$5,E1642=$AT$6),AA1642,IF(F1642="MXN",1/HLOOKUP(YEAR(G1642)+(MONTH(G1642)/100),TC!$5:$37,DAY(G1642)+2,FALSE),VLOOKUP(F1642,Equivalencia!$5:$23,((MAX(Equivalencia!$3:$3)-YEAR(G1642))*14)+MONTH(G1642)+2,FALSE))))</f>
        <v>0</v>
      </c>
      <c r="M1642" s="306">
        <f t="shared" si="428"/>
        <v>0</v>
      </c>
      <c r="N1642" s="305">
        <f>IF(G1642=0,0,(IF(OR(E1642=$AT$5,E1642=$AT$6),AC1642,HLOOKUP(YEAR(G1642)+(MONTH(G1642)/100),TC!$5:$37,DAY(G1642)+2,FALSE))))</f>
        <v>0</v>
      </c>
      <c r="O1642" s="307">
        <f t="shared" si="429"/>
        <v>0</v>
      </c>
      <c r="P1642" s="560">
        <f>IF(G1642=0,0,VLOOKUP(YEAR(G1642),INPC!$B$4:$P$30,MONTH(G1642)+2))</f>
        <v>0</v>
      </c>
      <c r="Q1642" s="560">
        <f>IF(X1642=0,0,IF(OR(E1642=$AT$10,E1642=$AT$9),VLOOKUP(YEAR(X1642),INPC!$B$4:$P$30,MONTH(X1642)+1),VLOOKUP(YEAR(X1642),INPC!$B$4:$P$30,MONTH(X1642)+2,0)))</f>
        <v>0</v>
      </c>
      <c r="R1642" s="309">
        <f t="shared" si="430"/>
        <v>0</v>
      </c>
      <c r="S1642" s="310">
        <f t="shared" si="431"/>
        <v>0</v>
      </c>
      <c r="T1642" s="555">
        <f t="shared" si="432"/>
        <v>0</v>
      </c>
      <c r="U1642" s="311"/>
      <c r="V1642" s="312"/>
      <c r="W1642" s="299"/>
      <c r="X1642" s="300"/>
      <c r="Y1642" s="299"/>
      <c r="Z1642" s="303"/>
      <c r="AA1642" s="305">
        <f>IF(Z1642=0,0,IF(Y1642="MXN",1/HLOOKUP(YEAR(X1642)+(MONTH(X1642)/100),TC!$5:$37,DAY(X1642)+2,FALSE),VLOOKUP(Y1642,Equivalencia!$1:$23,((MAX(Equivalencia!$3:$3)-YEAR(X1642))*14)+MONTH(X1642)+2,FALSE)))</f>
        <v>0</v>
      </c>
      <c r="AB1642" s="306">
        <f t="shared" si="433"/>
        <v>0</v>
      </c>
      <c r="AC1642" s="305">
        <f>+IF(X1642=0,0,HLOOKUP(YEAR(X1642)+(MONTH(X1642)/100),TC!$5:$37,DAY(X1642)+2,FALSE))</f>
        <v>0</v>
      </c>
      <c r="AD1642" s="307">
        <f t="shared" si="434"/>
        <v>0</v>
      </c>
      <c r="AE1642" s="314">
        <f t="shared" si="435"/>
        <v>0</v>
      </c>
      <c r="AF1642" s="315">
        <f t="shared" si="436"/>
        <v>0</v>
      </c>
      <c r="AG1642" s="316">
        <f t="shared" si="437"/>
        <v>0</v>
      </c>
      <c r="AH1642" s="314">
        <v>1</v>
      </c>
      <c r="AI1642" s="314">
        <f t="shared" si="438"/>
        <v>0</v>
      </c>
      <c r="AJ1642" s="314">
        <f t="shared" si="439"/>
        <v>0</v>
      </c>
      <c r="AK1642" s="317"/>
      <c r="AL1642" s="315">
        <f t="shared" si="440"/>
        <v>0</v>
      </c>
      <c r="AN1642" s="554">
        <f t="shared" si="441"/>
        <v>0</v>
      </c>
      <c r="AO1642" s="314"/>
      <c r="AP1642" s="318"/>
    </row>
    <row r="1643" spans="2:42">
      <c r="B1643" s="296"/>
      <c r="C1643" s="299"/>
      <c r="D1643" s="298"/>
      <c r="E1643" s="299"/>
      <c r="F1643" s="299"/>
      <c r="G1643" s="300"/>
      <c r="H1643" s="303"/>
      <c r="I1643" s="301">
        <f t="shared" si="425"/>
        <v>0</v>
      </c>
      <c r="J1643" s="302">
        <f t="shared" si="426"/>
        <v>0</v>
      </c>
      <c r="K1643" s="304">
        <f t="shared" si="427"/>
        <v>0</v>
      </c>
      <c r="L1643" s="305">
        <f>IF(H1643=0,0,IF(OR(E1643=$AT$5,E1643=$AT$6),AA1643,IF(F1643="MXN",1/HLOOKUP(YEAR(G1643)+(MONTH(G1643)/100),TC!$5:$37,DAY(G1643)+2,FALSE),VLOOKUP(F1643,Equivalencia!$5:$23,((MAX(Equivalencia!$3:$3)-YEAR(G1643))*14)+MONTH(G1643)+2,FALSE))))</f>
        <v>0</v>
      </c>
      <c r="M1643" s="306">
        <f t="shared" si="428"/>
        <v>0</v>
      </c>
      <c r="N1643" s="305">
        <f>IF(G1643=0,0,(IF(OR(E1643=$AT$5,E1643=$AT$6),AC1643,HLOOKUP(YEAR(G1643)+(MONTH(G1643)/100),TC!$5:$37,DAY(G1643)+2,FALSE))))</f>
        <v>0</v>
      </c>
      <c r="O1643" s="307">
        <f t="shared" si="429"/>
        <v>0</v>
      </c>
      <c r="P1643" s="560">
        <f>IF(G1643=0,0,VLOOKUP(YEAR(G1643),INPC!$B$4:$P$30,MONTH(G1643)+2))</f>
        <v>0</v>
      </c>
      <c r="Q1643" s="560">
        <f>IF(X1643=0,0,IF(OR(E1643=$AT$10,E1643=$AT$9),VLOOKUP(YEAR(X1643),INPC!$B$4:$P$30,MONTH(X1643)+1),VLOOKUP(YEAR(X1643),INPC!$B$4:$P$30,MONTH(X1643)+2,0)))</f>
        <v>0</v>
      </c>
      <c r="R1643" s="309">
        <f t="shared" si="430"/>
        <v>0</v>
      </c>
      <c r="S1643" s="310">
        <f t="shared" si="431"/>
        <v>0</v>
      </c>
      <c r="T1643" s="555">
        <f t="shared" si="432"/>
        <v>0</v>
      </c>
      <c r="U1643" s="311"/>
      <c r="V1643" s="312"/>
      <c r="W1643" s="299"/>
      <c r="X1643" s="300"/>
      <c r="Y1643" s="299"/>
      <c r="Z1643" s="303"/>
      <c r="AA1643" s="305">
        <f>IF(Z1643=0,0,IF(Y1643="MXN",1/HLOOKUP(YEAR(X1643)+(MONTH(X1643)/100),TC!$5:$37,DAY(X1643)+2,FALSE),VLOOKUP(Y1643,Equivalencia!$1:$23,((MAX(Equivalencia!$3:$3)-YEAR(X1643))*14)+MONTH(X1643)+2,FALSE)))</f>
        <v>0</v>
      </c>
      <c r="AB1643" s="306">
        <f t="shared" si="433"/>
        <v>0</v>
      </c>
      <c r="AC1643" s="305">
        <f>+IF(X1643=0,0,HLOOKUP(YEAR(X1643)+(MONTH(X1643)/100),TC!$5:$37,DAY(X1643)+2,FALSE))</f>
        <v>0</v>
      </c>
      <c r="AD1643" s="307">
        <f t="shared" si="434"/>
        <v>0</v>
      </c>
      <c r="AE1643" s="314">
        <f t="shared" si="435"/>
        <v>0</v>
      </c>
      <c r="AF1643" s="315">
        <f t="shared" si="436"/>
        <v>0</v>
      </c>
      <c r="AG1643" s="316">
        <f t="shared" si="437"/>
        <v>0</v>
      </c>
      <c r="AH1643" s="314">
        <v>1</v>
      </c>
      <c r="AI1643" s="314">
        <f t="shared" si="438"/>
        <v>0</v>
      </c>
      <c r="AJ1643" s="314">
        <f t="shared" si="439"/>
        <v>0</v>
      </c>
      <c r="AK1643" s="317"/>
      <c r="AL1643" s="315">
        <f t="shared" si="440"/>
        <v>0</v>
      </c>
      <c r="AN1643" s="554">
        <f t="shared" si="441"/>
        <v>0</v>
      </c>
      <c r="AO1643" s="314"/>
      <c r="AP1643" s="318"/>
    </row>
    <row r="1644" spans="2:42">
      <c r="B1644" s="296"/>
      <c r="C1644" s="299"/>
      <c r="D1644" s="298"/>
      <c r="E1644" s="299"/>
      <c r="F1644" s="299"/>
      <c r="G1644" s="300"/>
      <c r="H1644" s="303"/>
      <c r="I1644" s="301">
        <f t="shared" si="425"/>
        <v>0</v>
      </c>
      <c r="J1644" s="302">
        <f t="shared" si="426"/>
        <v>0</v>
      </c>
      <c r="K1644" s="304">
        <f t="shared" si="427"/>
        <v>0</v>
      </c>
      <c r="L1644" s="305">
        <f>IF(H1644=0,0,IF(OR(E1644=$AT$5,E1644=$AT$6),AA1644,IF(F1644="MXN",1/HLOOKUP(YEAR(G1644)+(MONTH(G1644)/100),TC!$5:$37,DAY(G1644)+2,FALSE),VLOOKUP(F1644,Equivalencia!$5:$23,((MAX(Equivalencia!$3:$3)-YEAR(G1644))*14)+MONTH(G1644)+2,FALSE))))</f>
        <v>0</v>
      </c>
      <c r="M1644" s="306">
        <f t="shared" si="428"/>
        <v>0</v>
      </c>
      <c r="N1644" s="305">
        <f>IF(G1644=0,0,(IF(OR(E1644=$AT$5,E1644=$AT$6),AC1644,HLOOKUP(YEAR(G1644)+(MONTH(G1644)/100),TC!$5:$37,DAY(G1644)+2,FALSE))))</f>
        <v>0</v>
      </c>
      <c r="O1644" s="307">
        <f t="shared" si="429"/>
        <v>0</v>
      </c>
      <c r="P1644" s="560">
        <f>IF(G1644=0,0,VLOOKUP(YEAR(G1644),INPC!$B$4:$P$30,MONTH(G1644)+2))</f>
        <v>0</v>
      </c>
      <c r="Q1644" s="560">
        <f>IF(X1644=0,0,IF(OR(E1644=$AT$10,E1644=$AT$9),VLOOKUP(YEAR(X1644),INPC!$B$4:$P$30,MONTH(X1644)+1),VLOOKUP(YEAR(X1644),INPC!$B$4:$P$30,MONTH(X1644)+2,0)))</f>
        <v>0</v>
      </c>
      <c r="R1644" s="309">
        <f t="shared" si="430"/>
        <v>0</v>
      </c>
      <c r="S1644" s="310">
        <f t="shared" si="431"/>
        <v>0</v>
      </c>
      <c r="T1644" s="555">
        <f t="shared" si="432"/>
        <v>0</v>
      </c>
      <c r="U1644" s="311"/>
      <c r="V1644" s="312"/>
      <c r="W1644" s="299"/>
      <c r="X1644" s="300"/>
      <c r="Y1644" s="299"/>
      <c r="Z1644" s="303"/>
      <c r="AA1644" s="305">
        <f>IF(Z1644=0,0,IF(Y1644="MXN",1/HLOOKUP(YEAR(X1644)+(MONTH(X1644)/100),TC!$5:$37,DAY(X1644)+2,FALSE),VLOOKUP(Y1644,Equivalencia!$1:$23,((MAX(Equivalencia!$3:$3)-YEAR(X1644))*14)+MONTH(X1644)+2,FALSE)))</f>
        <v>0</v>
      </c>
      <c r="AB1644" s="306">
        <f t="shared" si="433"/>
        <v>0</v>
      </c>
      <c r="AC1644" s="305">
        <f>+IF(X1644=0,0,HLOOKUP(YEAR(X1644)+(MONTH(X1644)/100),TC!$5:$37,DAY(X1644)+2,FALSE))</f>
        <v>0</v>
      </c>
      <c r="AD1644" s="307">
        <f t="shared" si="434"/>
        <v>0</v>
      </c>
      <c r="AE1644" s="314">
        <f t="shared" si="435"/>
        <v>0</v>
      </c>
      <c r="AF1644" s="315">
        <f t="shared" si="436"/>
        <v>0</v>
      </c>
      <c r="AG1644" s="316">
        <f t="shared" si="437"/>
        <v>0</v>
      </c>
      <c r="AH1644" s="314">
        <v>1</v>
      </c>
      <c r="AI1644" s="314">
        <f t="shared" si="438"/>
        <v>0</v>
      </c>
      <c r="AJ1644" s="314">
        <f t="shared" si="439"/>
        <v>0</v>
      </c>
      <c r="AK1644" s="317"/>
      <c r="AL1644" s="315">
        <f t="shared" si="440"/>
        <v>0</v>
      </c>
      <c r="AN1644" s="554">
        <f t="shared" si="441"/>
        <v>0</v>
      </c>
      <c r="AO1644" s="314"/>
      <c r="AP1644" s="318"/>
    </row>
    <row r="1645" spans="2:42">
      <c r="B1645" s="296"/>
      <c r="C1645" s="299"/>
      <c r="D1645" s="298"/>
      <c r="E1645" s="299"/>
      <c r="F1645" s="299"/>
      <c r="G1645" s="300"/>
      <c r="H1645" s="303"/>
      <c r="I1645" s="301">
        <f t="shared" si="425"/>
        <v>0</v>
      </c>
      <c r="J1645" s="302">
        <f t="shared" si="426"/>
        <v>0</v>
      </c>
      <c r="K1645" s="304">
        <f t="shared" si="427"/>
        <v>0</v>
      </c>
      <c r="L1645" s="305">
        <f>IF(H1645=0,0,IF(OR(E1645=$AT$5,E1645=$AT$6),AA1645,IF(F1645="MXN",1/HLOOKUP(YEAR(G1645)+(MONTH(G1645)/100),TC!$5:$37,DAY(G1645)+2,FALSE),VLOOKUP(F1645,Equivalencia!$5:$23,((MAX(Equivalencia!$3:$3)-YEAR(G1645))*14)+MONTH(G1645)+2,FALSE))))</f>
        <v>0</v>
      </c>
      <c r="M1645" s="306">
        <f t="shared" si="428"/>
        <v>0</v>
      </c>
      <c r="N1645" s="305">
        <f>IF(G1645=0,0,(IF(OR(E1645=$AT$5,E1645=$AT$6),AC1645,HLOOKUP(YEAR(G1645)+(MONTH(G1645)/100),TC!$5:$37,DAY(G1645)+2,FALSE))))</f>
        <v>0</v>
      </c>
      <c r="O1645" s="307">
        <f t="shared" si="429"/>
        <v>0</v>
      </c>
      <c r="P1645" s="560">
        <f>IF(G1645=0,0,VLOOKUP(YEAR(G1645),INPC!$B$4:$P$30,MONTH(G1645)+2))</f>
        <v>0</v>
      </c>
      <c r="Q1645" s="560">
        <f>IF(X1645=0,0,IF(OR(E1645=$AT$10,E1645=$AT$9),VLOOKUP(YEAR(X1645),INPC!$B$4:$P$30,MONTH(X1645)+1),VLOOKUP(YEAR(X1645),INPC!$B$4:$P$30,MONTH(X1645)+2,0)))</f>
        <v>0</v>
      </c>
      <c r="R1645" s="309">
        <f t="shared" si="430"/>
        <v>0</v>
      </c>
      <c r="S1645" s="310">
        <f t="shared" si="431"/>
        <v>0</v>
      </c>
      <c r="T1645" s="555">
        <f t="shared" si="432"/>
        <v>0</v>
      </c>
      <c r="U1645" s="311"/>
      <c r="V1645" s="312"/>
      <c r="W1645" s="299"/>
      <c r="X1645" s="300"/>
      <c r="Y1645" s="299"/>
      <c r="Z1645" s="303"/>
      <c r="AA1645" s="305">
        <f>IF(Z1645=0,0,IF(Y1645="MXN",1/HLOOKUP(YEAR(X1645)+(MONTH(X1645)/100),TC!$5:$37,DAY(X1645)+2,FALSE),VLOOKUP(Y1645,Equivalencia!$1:$23,((MAX(Equivalencia!$3:$3)-YEAR(X1645))*14)+MONTH(X1645)+2,FALSE)))</f>
        <v>0</v>
      </c>
      <c r="AB1645" s="306">
        <f t="shared" si="433"/>
        <v>0</v>
      </c>
      <c r="AC1645" s="305">
        <f>+IF(X1645=0,0,HLOOKUP(YEAR(X1645)+(MONTH(X1645)/100),TC!$5:$37,DAY(X1645)+2,FALSE))</f>
        <v>0</v>
      </c>
      <c r="AD1645" s="307">
        <f t="shared" si="434"/>
        <v>0</v>
      </c>
      <c r="AE1645" s="314">
        <f t="shared" si="435"/>
        <v>0</v>
      </c>
      <c r="AF1645" s="315">
        <f t="shared" si="436"/>
        <v>0</v>
      </c>
      <c r="AG1645" s="316">
        <f t="shared" si="437"/>
        <v>0</v>
      </c>
      <c r="AH1645" s="314">
        <v>1</v>
      </c>
      <c r="AI1645" s="314">
        <f t="shared" si="438"/>
        <v>0</v>
      </c>
      <c r="AJ1645" s="314">
        <f t="shared" si="439"/>
        <v>0</v>
      </c>
      <c r="AK1645" s="317"/>
      <c r="AL1645" s="315">
        <f t="shared" si="440"/>
        <v>0</v>
      </c>
      <c r="AN1645" s="554">
        <f t="shared" si="441"/>
        <v>0</v>
      </c>
      <c r="AO1645" s="314"/>
      <c r="AP1645" s="318"/>
    </row>
    <row r="1646" spans="2:42">
      <c r="B1646" s="296"/>
      <c r="C1646" s="299"/>
      <c r="D1646" s="298"/>
      <c r="E1646" s="299"/>
      <c r="F1646" s="299"/>
      <c r="G1646" s="300"/>
      <c r="H1646" s="303"/>
      <c r="I1646" s="301">
        <f t="shared" si="425"/>
        <v>0</v>
      </c>
      <c r="J1646" s="302">
        <f t="shared" si="426"/>
        <v>0</v>
      </c>
      <c r="K1646" s="304">
        <f t="shared" si="427"/>
        <v>0</v>
      </c>
      <c r="L1646" s="305">
        <f>IF(H1646=0,0,IF(OR(E1646=$AT$5,E1646=$AT$6),AA1646,IF(F1646="MXN",1/HLOOKUP(YEAR(G1646)+(MONTH(G1646)/100),TC!$5:$37,DAY(G1646)+2,FALSE),VLOOKUP(F1646,Equivalencia!$5:$23,((MAX(Equivalencia!$3:$3)-YEAR(G1646))*14)+MONTH(G1646)+2,FALSE))))</f>
        <v>0</v>
      </c>
      <c r="M1646" s="306">
        <f t="shared" si="428"/>
        <v>0</v>
      </c>
      <c r="N1646" s="305">
        <f>IF(G1646=0,0,(IF(OR(E1646=$AT$5,E1646=$AT$6),AC1646,HLOOKUP(YEAR(G1646)+(MONTH(G1646)/100),TC!$5:$37,DAY(G1646)+2,FALSE))))</f>
        <v>0</v>
      </c>
      <c r="O1646" s="307">
        <f t="shared" si="429"/>
        <v>0</v>
      </c>
      <c r="P1646" s="560">
        <f>IF(G1646=0,0,VLOOKUP(YEAR(G1646),INPC!$B$4:$P$30,MONTH(G1646)+2))</f>
        <v>0</v>
      </c>
      <c r="Q1646" s="560">
        <f>IF(X1646=0,0,IF(OR(E1646=$AT$10,E1646=$AT$9),VLOOKUP(YEAR(X1646),INPC!$B$4:$P$30,MONTH(X1646)+1),VLOOKUP(YEAR(X1646),INPC!$B$4:$P$30,MONTH(X1646)+2,0)))</f>
        <v>0</v>
      </c>
      <c r="R1646" s="309">
        <f t="shared" si="430"/>
        <v>0</v>
      </c>
      <c r="S1646" s="310">
        <f t="shared" si="431"/>
        <v>0</v>
      </c>
      <c r="T1646" s="555">
        <f t="shared" si="432"/>
        <v>0</v>
      </c>
      <c r="U1646" s="311"/>
      <c r="V1646" s="312"/>
      <c r="W1646" s="299"/>
      <c r="X1646" s="300"/>
      <c r="Y1646" s="299"/>
      <c r="Z1646" s="303"/>
      <c r="AA1646" s="305">
        <f>IF(Z1646=0,0,IF(Y1646="MXN",1/HLOOKUP(YEAR(X1646)+(MONTH(X1646)/100),TC!$5:$37,DAY(X1646)+2,FALSE),VLOOKUP(Y1646,Equivalencia!$1:$23,((MAX(Equivalencia!$3:$3)-YEAR(X1646))*14)+MONTH(X1646)+2,FALSE)))</f>
        <v>0</v>
      </c>
      <c r="AB1646" s="306">
        <f t="shared" si="433"/>
        <v>0</v>
      </c>
      <c r="AC1646" s="305">
        <f>+IF(X1646=0,0,HLOOKUP(YEAR(X1646)+(MONTH(X1646)/100),TC!$5:$37,DAY(X1646)+2,FALSE))</f>
        <v>0</v>
      </c>
      <c r="AD1646" s="307">
        <f t="shared" si="434"/>
        <v>0</v>
      </c>
      <c r="AE1646" s="314">
        <f t="shared" si="435"/>
        <v>0</v>
      </c>
      <c r="AF1646" s="315">
        <f t="shared" si="436"/>
        <v>0</v>
      </c>
      <c r="AG1646" s="316">
        <f t="shared" si="437"/>
        <v>0</v>
      </c>
      <c r="AH1646" s="314">
        <v>1</v>
      </c>
      <c r="AI1646" s="314">
        <f t="shared" si="438"/>
        <v>0</v>
      </c>
      <c r="AJ1646" s="314">
        <f t="shared" si="439"/>
        <v>0</v>
      </c>
      <c r="AK1646" s="317"/>
      <c r="AL1646" s="315">
        <f t="shared" si="440"/>
        <v>0</v>
      </c>
      <c r="AN1646" s="554">
        <f t="shared" si="441"/>
        <v>0</v>
      </c>
      <c r="AO1646" s="314"/>
      <c r="AP1646" s="318"/>
    </row>
    <row r="1647" spans="2:42">
      <c r="B1647" s="296"/>
      <c r="C1647" s="299"/>
      <c r="D1647" s="298"/>
      <c r="E1647" s="299"/>
      <c r="F1647" s="299"/>
      <c r="G1647" s="300"/>
      <c r="H1647" s="303"/>
      <c r="I1647" s="301">
        <f t="shared" si="425"/>
        <v>0</v>
      </c>
      <c r="J1647" s="302">
        <f t="shared" si="426"/>
        <v>0</v>
      </c>
      <c r="K1647" s="304">
        <f t="shared" si="427"/>
        <v>0</v>
      </c>
      <c r="L1647" s="305">
        <f>IF(H1647=0,0,IF(OR(E1647=$AT$5,E1647=$AT$6),AA1647,IF(F1647="MXN",1/HLOOKUP(YEAR(G1647)+(MONTH(G1647)/100),TC!$5:$37,DAY(G1647)+2,FALSE),VLOOKUP(F1647,Equivalencia!$5:$23,((MAX(Equivalencia!$3:$3)-YEAR(G1647))*14)+MONTH(G1647)+2,FALSE))))</f>
        <v>0</v>
      </c>
      <c r="M1647" s="306">
        <f t="shared" si="428"/>
        <v>0</v>
      </c>
      <c r="N1647" s="305">
        <f>IF(G1647=0,0,(IF(OR(E1647=$AT$5,E1647=$AT$6),AC1647,HLOOKUP(YEAR(G1647)+(MONTH(G1647)/100),TC!$5:$37,DAY(G1647)+2,FALSE))))</f>
        <v>0</v>
      </c>
      <c r="O1647" s="307">
        <f t="shared" si="429"/>
        <v>0</v>
      </c>
      <c r="P1647" s="560">
        <f>IF(G1647=0,0,VLOOKUP(YEAR(G1647),INPC!$B$4:$P$30,MONTH(G1647)+2))</f>
        <v>0</v>
      </c>
      <c r="Q1647" s="560">
        <f>IF(X1647=0,0,IF(OR(E1647=$AT$10,E1647=$AT$9),VLOOKUP(YEAR(X1647),INPC!$B$4:$P$30,MONTH(X1647)+1),VLOOKUP(YEAR(X1647),INPC!$B$4:$P$30,MONTH(X1647)+2,0)))</f>
        <v>0</v>
      </c>
      <c r="R1647" s="309">
        <f t="shared" si="430"/>
        <v>0</v>
      </c>
      <c r="S1647" s="310">
        <f t="shared" si="431"/>
        <v>0</v>
      </c>
      <c r="T1647" s="555">
        <f t="shared" si="432"/>
        <v>0</v>
      </c>
      <c r="U1647" s="311"/>
      <c r="V1647" s="312"/>
      <c r="W1647" s="299"/>
      <c r="X1647" s="300"/>
      <c r="Y1647" s="299"/>
      <c r="Z1647" s="303"/>
      <c r="AA1647" s="305">
        <f>IF(Z1647=0,0,IF(Y1647="MXN",1/HLOOKUP(YEAR(X1647)+(MONTH(X1647)/100),TC!$5:$37,DAY(X1647)+2,FALSE),VLOOKUP(Y1647,Equivalencia!$1:$23,((MAX(Equivalencia!$3:$3)-YEAR(X1647))*14)+MONTH(X1647)+2,FALSE)))</f>
        <v>0</v>
      </c>
      <c r="AB1647" s="306">
        <f t="shared" si="433"/>
        <v>0</v>
      </c>
      <c r="AC1647" s="305">
        <f>+IF(X1647=0,0,HLOOKUP(YEAR(X1647)+(MONTH(X1647)/100),TC!$5:$37,DAY(X1647)+2,FALSE))</f>
        <v>0</v>
      </c>
      <c r="AD1647" s="307">
        <f t="shared" si="434"/>
        <v>0</v>
      </c>
      <c r="AE1647" s="314">
        <f t="shared" si="435"/>
        <v>0</v>
      </c>
      <c r="AF1647" s="315">
        <f t="shared" si="436"/>
        <v>0</v>
      </c>
      <c r="AG1647" s="316">
        <f t="shared" si="437"/>
        <v>0</v>
      </c>
      <c r="AH1647" s="314">
        <v>1</v>
      </c>
      <c r="AI1647" s="314">
        <f t="shared" si="438"/>
        <v>0</v>
      </c>
      <c r="AJ1647" s="314">
        <f t="shared" si="439"/>
        <v>0</v>
      </c>
      <c r="AK1647" s="317"/>
      <c r="AL1647" s="315">
        <f t="shared" si="440"/>
        <v>0</v>
      </c>
      <c r="AN1647" s="554">
        <f t="shared" si="441"/>
        <v>0</v>
      </c>
      <c r="AO1647" s="314"/>
      <c r="AP1647" s="318"/>
    </row>
    <row r="1648" spans="2:42">
      <c r="B1648" s="296"/>
      <c r="C1648" s="299"/>
      <c r="D1648" s="298"/>
      <c r="E1648" s="299"/>
      <c r="F1648" s="299"/>
      <c r="G1648" s="300"/>
      <c r="H1648" s="303"/>
      <c r="I1648" s="301">
        <f t="shared" si="425"/>
        <v>0</v>
      </c>
      <c r="J1648" s="302">
        <f t="shared" si="426"/>
        <v>0</v>
      </c>
      <c r="K1648" s="304">
        <f t="shared" si="427"/>
        <v>0</v>
      </c>
      <c r="L1648" s="305">
        <f>IF(H1648=0,0,IF(OR(E1648=$AT$5,E1648=$AT$6),AA1648,IF(F1648="MXN",1/HLOOKUP(YEAR(G1648)+(MONTH(G1648)/100),TC!$5:$37,DAY(G1648)+2,FALSE),VLOOKUP(F1648,Equivalencia!$5:$23,((MAX(Equivalencia!$3:$3)-YEAR(G1648))*14)+MONTH(G1648)+2,FALSE))))</f>
        <v>0</v>
      </c>
      <c r="M1648" s="306">
        <f t="shared" si="428"/>
        <v>0</v>
      </c>
      <c r="N1648" s="305">
        <f>IF(G1648=0,0,(IF(OR(E1648=$AT$5,E1648=$AT$6),AC1648,HLOOKUP(YEAR(G1648)+(MONTH(G1648)/100),TC!$5:$37,DAY(G1648)+2,FALSE))))</f>
        <v>0</v>
      </c>
      <c r="O1648" s="307">
        <f t="shared" si="429"/>
        <v>0</v>
      </c>
      <c r="P1648" s="560">
        <f>IF(G1648=0,0,VLOOKUP(YEAR(G1648),INPC!$B$4:$P$30,MONTH(G1648)+2))</f>
        <v>0</v>
      </c>
      <c r="Q1648" s="560">
        <f>IF(X1648=0,0,IF(OR(E1648=$AT$10,E1648=$AT$9),VLOOKUP(YEAR(X1648),INPC!$B$4:$P$30,MONTH(X1648)+1),VLOOKUP(YEAR(X1648),INPC!$B$4:$P$30,MONTH(X1648)+2,0)))</f>
        <v>0</v>
      </c>
      <c r="R1648" s="309">
        <f t="shared" si="430"/>
        <v>0</v>
      </c>
      <c r="S1648" s="310">
        <f t="shared" si="431"/>
        <v>0</v>
      </c>
      <c r="T1648" s="555">
        <f t="shared" si="432"/>
        <v>0</v>
      </c>
      <c r="U1648" s="311"/>
      <c r="V1648" s="312"/>
      <c r="W1648" s="299"/>
      <c r="X1648" s="300"/>
      <c r="Y1648" s="299"/>
      <c r="Z1648" s="303"/>
      <c r="AA1648" s="305">
        <f>IF(Z1648=0,0,IF(Y1648="MXN",1/HLOOKUP(YEAR(X1648)+(MONTH(X1648)/100),TC!$5:$37,DAY(X1648)+2,FALSE),VLOOKUP(Y1648,Equivalencia!$1:$23,((MAX(Equivalencia!$3:$3)-YEAR(X1648))*14)+MONTH(X1648)+2,FALSE)))</f>
        <v>0</v>
      </c>
      <c r="AB1648" s="306">
        <f t="shared" si="433"/>
        <v>0</v>
      </c>
      <c r="AC1648" s="305">
        <f>+IF(X1648=0,0,HLOOKUP(YEAR(X1648)+(MONTH(X1648)/100),TC!$5:$37,DAY(X1648)+2,FALSE))</f>
        <v>0</v>
      </c>
      <c r="AD1648" s="307">
        <f t="shared" si="434"/>
        <v>0</v>
      </c>
      <c r="AE1648" s="314">
        <f t="shared" si="435"/>
        <v>0</v>
      </c>
      <c r="AF1648" s="315">
        <f t="shared" si="436"/>
        <v>0</v>
      </c>
      <c r="AG1648" s="316">
        <f t="shared" si="437"/>
        <v>0</v>
      </c>
      <c r="AH1648" s="314">
        <v>1</v>
      </c>
      <c r="AI1648" s="314">
        <f t="shared" si="438"/>
        <v>0</v>
      </c>
      <c r="AJ1648" s="314">
        <f t="shared" si="439"/>
        <v>0</v>
      </c>
      <c r="AK1648" s="317"/>
      <c r="AL1648" s="315">
        <f t="shared" si="440"/>
        <v>0</v>
      </c>
      <c r="AN1648" s="554">
        <f t="shared" si="441"/>
        <v>0</v>
      </c>
      <c r="AO1648" s="314"/>
      <c r="AP1648" s="318"/>
    </row>
    <row r="1649" spans="2:42">
      <c r="B1649" s="296"/>
      <c r="C1649" s="299"/>
      <c r="D1649" s="298"/>
      <c r="E1649" s="299"/>
      <c r="F1649" s="299"/>
      <c r="G1649" s="300"/>
      <c r="H1649" s="303"/>
      <c r="I1649" s="301">
        <f t="shared" si="425"/>
        <v>0</v>
      </c>
      <c r="J1649" s="302">
        <f t="shared" si="426"/>
        <v>0</v>
      </c>
      <c r="K1649" s="304">
        <f t="shared" si="427"/>
        <v>0</v>
      </c>
      <c r="L1649" s="305">
        <f>IF(H1649=0,0,IF(OR(E1649=$AT$5,E1649=$AT$6),AA1649,IF(F1649="MXN",1/HLOOKUP(YEAR(G1649)+(MONTH(G1649)/100),TC!$5:$37,DAY(G1649)+2,FALSE),VLOOKUP(F1649,Equivalencia!$5:$23,((MAX(Equivalencia!$3:$3)-YEAR(G1649))*14)+MONTH(G1649)+2,FALSE))))</f>
        <v>0</v>
      </c>
      <c r="M1649" s="306">
        <f t="shared" si="428"/>
        <v>0</v>
      </c>
      <c r="N1649" s="305">
        <f>IF(G1649=0,0,(IF(OR(E1649=$AT$5,E1649=$AT$6),AC1649,HLOOKUP(YEAR(G1649)+(MONTH(G1649)/100),TC!$5:$37,DAY(G1649)+2,FALSE))))</f>
        <v>0</v>
      </c>
      <c r="O1649" s="307">
        <f t="shared" si="429"/>
        <v>0</v>
      </c>
      <c r="P1649" s="560">
        <f>IF(G1649=0,0,VLOOKUP(YEAR(G1649),INPC!$B$4:$P$30,MONTH(G1649)+2))</f>
        <v>0</v>
      </c>
      <c r="Q1649" s="560">
        <f>IF(X1649=0,0,IF(OR(E1649=$AT$10,E1649=$AT$9),VLOOKUP(YEAR(X1649),INPC!$B$4:$P$30,MONTH(X1649)+1),VLOOKUP(YEAR(X1649),INPC!$B$4:$P$30,MONTH(X1649)+2,0)))</f>
        <v>0</v>
      </c>
      <c r="R1649" s="309">
        <f t="shared" si="430"/>
        <v>0</v>
      </c>
      <c r="S1649" s="310">
        <f t="shared" si="431"/>
        <v>0</v>
      </c>
      <c r="T1649" s="555">
        <f t="shared" si="432"/>
        <v>0</v>
      </c>
      <c r="U1649" s="311"/>
      <c r="V1649" s="312"/>
      <c r="W1649" s="299"/>
      <c r="X1649" s="300"/>
      <c r="Y1649" s="299"/>
      <c r="Z1649" s="303"/>
      <c r="AA1649" s="305">
        <f>IF(Z1649=0,0,IF(Y1649="MXN",1/HLOOKUP(YEAR(X1649)+(MONTH(X1649)/100),TC!$5:$37,DAY(X1649)+2,FALSE),VLOOKUP(Y1649,Equivalencia!$1:$23,((MAX(Equivalencia!$3:$3)-YEAR(X1649))*14)+MONTH(X1649)+2,FALSE)))</f>
        <v>0</v>
      </c>
      <c r="AB1649" s="306">
        <f t="shared" si="433"/>
        <v>0</v>
      </c>
      <c r="AC1649" s="305">
        <f>+IF(X1649=0,0,HLOOKUP(YEAR(X1649)+(MONTH(X1649)/100),TC!$5:$37,DAY(X1649)+2,FALSE))</f>
        <v>0</v>
      </c>
      <c r="AD1649" s="307">
        <f t="shared" si="434"/>
        <v>0</v>
      </c>
      <c r="AE1649" s="314">
        <f t="shared" si="435"/>
        <v>0</v>
      </c>
      <c r="AF1649" s="315">
        <f t="shared" si="436"/>
        <v>0</v>
      </c>
      <c r="AG1649" s="316">
        <f t="shared" si="437"/>
        <v>0</v>
      </c>
      <c r="AH1649" s="314">
        <v>1</v>
      </c>
      <c r="AI1649" s="314">
        <f t="shared" si="438"/>
        <v>0</v>
      </c>
      <c r="AJ1649" s="314">
        <f t="shared" si="439"/>
        <v>0</v>
      </c>
      <c r="AK1649" s="317"/>
      <c r="AL1649" s="315">
        <f t="shared" si="440"/>
        <v>0</v>
      </c>
      <c r="AN1649" s="554">
        <f t="shared" si="441"/>
        <v>0</v>
      </c>
      <c r="AO1649" s="314"/>
      <c r="AP1649" s="318"/>
    </row>
    <row r="1650" spans="2:42">
      <c r="B1650" s="296"/>
      <c r="C1650" s="299"/>
      <c r="D1650" s="298"/>
      <c r="E1650" s="299"/>
      <c r="F1650" s="299"/>
      <c r="G1650" s="300"/>
      <c r="H1650" s="303"/>
      <c r="I1650" s="301">
        <f t="shared" si="425"/>
        <v>0</v>
      </c>
      <c r="J1650" s="302">
        <f t="shared" si="426"/>
        <v>0</v>
      </c>
      <c r="K1650" s="304">
        <f t="shared" si="427"/>
        <v>0</v>
      </c>
      <c r="L1650" s="305">
        <f>IF(H1650=0,0,IF(OR(E1650=$AT$5,E1650=$AT$6),AA1650,IF(F1650="MXN",1/HLOOKUP(YEAR(G1650)+(MONTH(G1650)/100),TC!$5:$37,DAY(G1650)+2,FALSE),VLOOKUP(F1650,Equivalencia!$5:$23,((MAX(Equivalencia!$3:$3)-YEAR(G1650))*14)+MONTH(G1650)+2,FALSE))))</f>
        <v>0</v>
      </c>
      <c r="M1650" s="306">
        <f t="shared" si="428"/>
        <v>0</v>
      </c>
      <c r="N1650" s="305">
        <f>IF(G1650=0,0,(IF(OR(E1650=$AT$5,E1650=$AT$6),AC1650,HLOOKUP(YEAR(G1650)+(MONTH(G1650)/100),TC!$5:$37,DAY(G1650)+2,FALSE))))</f>
        <v>0</v>
      </c>
      <c r="O1650" s="307">
        <f t="shared" si="429"/>
        <v>0</v>
      </c>
      <c r="P1650" s="560">
        <f>IF(G1650=0,0,VLOOKUP(YEAR(G1650),INPC!$B$4:$P$30,MONTH(G1650)+2))</f>
        <v>0</v>
      </c>
      <c r="Q1650" s="560">
        <f>IF(X1650=0,0,IF(OR(E1650=$AT$10,E1650=$AT$9),VLOOKUP(YEAR(X1650),INPC!$B$4:$P$30,MONTH(X1650)+1),VLOOKUP(YEAR(X1650),INPC!$B$4:$P$30,MONTH(X1650)+2,0)))</f>
        <v>0</v>
      </c>
      <c r="R1650" s="309">
        <f t="shared" si="430"/>
        <v>0</v>
      </c>
      <c r="S1650" s="310">
        <f t="shared" si="431"/>
        <v>0</v>
      </c>
      <c r="T1650" s="555">
        <f t="shared" si="432"/>
        <v>0</v>
      </c>
      <c r="U1650" s="311"/>
      <c r="V1650" s="312"/>
      <c r="W1650" s="299"/>
      <c r="X1650" s="300"/>
      <c r="Y1650" s="299"/>
      <c r="Z1650" s="303"/>
      <c r="AA1650" s="305">
        <f>IF(Z1650=0,0,IF(Y1650="MXN",1/HLOOKUP(YEAR(X1650)+(MONTH(X1650)/100),TC!$5:$37,DAY(X1650)+2,FALSE),VLOOKUP(Y1650,Equivalencia!$1:$23,((MAX(Equivalencia!$3:$3)-YEAR(X1650))*14)+MONTH(X1650)+2,FALSE)))</f>
        <v>0</v>
      </c>
      <c r="AB1650" s="306">
        <f t="shared" si="433"/>
        <v>0</v>
      </c>
      <c r="AC1650" s="305">
        <f>+IF(X1650=0,0,HLOOKUP(YEAR(X1650)+(MONTH(X1650)/100),TC!$5:$37,DAY(X1650)+2,FALSE))</f>
        <v>0</v>
      </c>
      <c r="AD1650" s="307">
        <f t="shared" si="434"/>
        <v>0</v>
      </c>
      <c r="AE1650" s="314">
        <f t="shared" si="435"/>
        <v>0</v>
      </c>
      <c r="AF1650" s="315">
        <f t="shared" si="436"/>
        <v>0</v>
      </c>
      <c r="AG1650" s="316">
        <f t="shared" si="437"/>
        <v>0</v>
      </c>
      <c r="AH1650" s="314">
        <v>1</v>
      </c>
      <c r="AI1650" s="314">
        <f t="shared" si="438"/>
        <v>0</v>
      </c>
      <c r="AJ1650" s="314">
        <f t="shared" si="439"/>
        <v>0</v>
      </c>
      <c r="AK1650" s="317"/>
      <c r="AL1650" s="315">
        <f t="shared" si="440"/>
        <v>0</v>
      </c>
      <c r="AN1650" s="554">
        <f t="shared" si="441"/>
        <v>0</v>
      </c>
      <c r="AO1650" s="314"/>
      <c r="AP1650" s="318"/>
    </row>
    <row r="1651" spans="2:42">
      <c r="B1651" s="296"/>
      <c r="C1651" s="299"/>
      <c r="D1651" s="298"/>
      <c r="E1651" s="299"/>
      <c r="F1651" s="299"/>
      <c r="G1651" s="300"/>
      <c r="H1651" s="303"/>
      <c r="I1651" s="301">
        <f t="shared" si="425"/>
        <v>0</v>
      </c>
      <c r="J1651" s="302">
        <f t="shared" si="426"/>
        <v>0</v>
      </c>
      <c r="K1651" s="304">
        <f t="shared" si="427"/>
        <v>0</v>
      </c>
      <c r="L1651" s="305">
        <f>IF(H1651=0,0,IF(OR(E1651=$AT$5,E1651=$AT$6),AA1651,IF(F1651="MXN",1/HLOOKUP(YEAR(G1651)+(MONTH(G1651)/100),TC!$5:$37,DAY(G1651)+2,FALSE),VLOOKUP(F1651,Equivalencia!$5:$23,((MAX(Equivalencia!$3:$3)-YEAR(G1651))*14)+MONTH(G1651)+2,FALSE))))</f>
        <v>0</v>
      </c>
      <c r="M1651" s="306">
        <f t="shared" si="428"/>
        <v>0</v>
      </c>
      <c r="N1651" s="305">
        <f>IF(G1651=0,0,(IF(OR(E1651=$AT$5,E1651=$AT$6),AC1651,HLOOKUP(YEAR(G1651)+(MONTH(G1651)/100),TC!$5:$37,DAY(G1651)+2,FALSE))))</f>
        <v>0</v>
      </c>
      <c r="O1651" s="307">
        <f t="shared" si="429"/>
        <v>0</v>
      </c>
      <c r="P1651" s="560">
        <f>IF(G1651=0,0,VLOOKUP(YEAR(G1651),INPC!$B$4:$P$30,MONTH(G1651)+2))</f>
        <v>0</v>
      </c>
      <c r="Q1651" s="560">
        <f>IF(X1651=0,0,IF(OR(E1651=$AT$10,E1651=$AT$9),VLOOKUP(YEAR(X1651),INPC!$B$4:$P$30,MONTH(X1651)+1),VLOOKUP(YEAR(X1651),INPC!$B$4:$P$30,MONTH(X1651)+2,0)))</f>
        <v>0</v>
      </c>
      <c r="R1651" s="309">
        <f t="shared" si="430"/>
        <v>0</v>
      </c>
      <c r="S1651" s="310">
        <f t="shared" si="431"/>
        <v>0</v>
      </c>
      <c r="T1651" s="555">
        <f t="shared" si="432"/>
        <v>0</v>
      </c>
      <c r="U1651" s="311"/>
      <c r="V1651" s="312"/>
      <c r="W1651" s="299"/>
      <c r="X1651" s="300"/>
      <c r="Y1651" s="299"/>
      <c r="Z1651" s="303"/>
      <c r="AA1651" s="305">
        <f>IF(Z1651=0,0,IF(Y1651="MXN",1/HLOOKUP(YEAR(X1651)+(MONTH(X1651)/100),TC!$5:$37,DAY(X1651)+2,FALSE),VLOOKUP(Y1651,Equivalencia!$1:$23,((MAX(Equivalencia!$3:$3)-YEAR(X1651))*14)+MONTH(X1651)+2,FALSE)))</f>
        <v>0</v>
      </c>
      <c r="AB1651" s="306">
        <f t="shared" si="433"/>
        <v>0</v>
      </c>
      <c r="AC1651" s="305">
        <f>+IF(X1651=0,0,HLOOKUP(YEAR(X1651)+(MONTH(X1651)/100),TC!$5:$37,DAY(X1651)+2,FALSE))</f>
        <v>0</v>
      </c>
      <c r="AD1651" s="307">
        <f t="shared" si="434"/>
        <v>0</v>
      </c>
      <c r="AE1651" s="314">
        <f t="shared" si="435"/>
        <v>0</v>
      </c>
      <c r="AF1651" s="315">
        <f t="shared" si="436"/>
        <v>0</v>
      </c>
      <c r="AG1651" s="316">
        <f t="shared" si="437"/>
        <v>0</v>
      </c>
      <c r="AH1651" s="314">
        <v>1</v>
      </c>
      <c r="AI1651" s="314">
        <f t="shared" si="438"/>
        <v>0</v>
      </c>
      <c r="AJ1651" s="314">
        <f t="shared" si="439"/>
        <v>0</v>
      </c>
      <c r="AK1651" s="317"/>
      <c r="AL1651" s="315">
        <f t="shared" si="440"/>
        <v>0</v>
      </c>
      <c r="AN1651" s="554">
        <f t="shared" si="441"/>
        <v>0</v>
      </c>
      <c r="AO1651" s="314"/>
      <c r="AP1651" s="318"/>
    </row>
    <row r="1652" spans="2:42">
      <c r="B1652" s="296"/>
      <c r="C1652" s="299"/>
      <c r="D1652" s="298"/>
      <c r="E1652" s="299"/>
      <c r="F1652" s="299"/>
      <c r="G1652" s="300"/>
      <c r="H1652" s="303"/>
      <c r="I1652" s="301">
        <f t="shared" si="425"/>
        <v>0</v>
      </c>
      <c r="J1652" s="302">
        <f t="shared" si="426"/>
        <v>0</v>
      </c>
      <c r="K1652" s="304">
        <f t="shared" si="427"/>
        <v>0</v>
      </c>
      <c r="L1652" s="305">
        <f>IF(H1652=0,0,IF(OR(E1652=$AT$5,E1652=$AT$6),AA1652,IF(F1652="MXN",1/HLOOKUP(YEAR(G1652)+(MONTH(G1652)/100),TC!$5:$37,DAY(G1652)+2,FALSE),VLOOKUP(F1652,Equivalencia!$5:$23,((MAX(Equivalencia!$3:$3)-YEAR(G1652))*14)+MONTH(G1652)+2,FALSE))))</f>
        <v>0</v>
      </c>
      <c r="M1652" s="306">
        <f t="shared" si="428"/>
        <v>0</v>
      </c>
      <c r="N1652" s="305">
        <f>IF(G1652=0,0,(IF(OR(E1652=$AT$5,E1652=$AT$6),AC1652,HLOOKUP(YEAR(G1652)+(MONTH(G1652)/100),TC!$5:$37,DAY(G1652)+2,FALSE))))</f>
        <v>0</v>
      </c>
      <c r="O1652" s="307">
        <f t="shared" si="429"/>
        <v>0</v>
      </c>
      <c r="P1652" s="560">
        <f>IF(G1652=0,0,VLOOKUP(YEAR(G1652),INPC!$B$4:$P$30,MONTH(G1652)+2))</f>
        <v>0</v>
      </c>
      <c r="Q1652" s="560">
        <f>IF(X1652=0,0,IF(OR(E1652=$AT$10,E1652=$AT$9),VLOOKUP(YEAR(X1652),INPC!$B$4:$P$30,MONTH(X1652)+1),VLOOKUP(YEAR(X1652),INPC!$B$4:$P$30,MONTH(X1652)+2,0)))</f>
        <v>0</v>
      </c>
      <c r="R1652" s="309">
        <f t="shared" si="430"/>
        <v>0</v>
      </c>
      <c r="S1652" s="310">
        <f t="shared" si="431"/>
        <v>0</v>
      </c>
      <c r="T1652" s="555">
        <f t="shared" si="432"/>
        <v>0</v>
      </c>
      <c r="U1652" s="311"/>
      <c r="V1652" s="312"/>
      <c r="W1652" s="299"/>
      <c r="X1652" s="300"/>
      <c r="Y1652" s="299"/>
      <c r="Z1652" s="303"/>
      <c r="AA1652" s="305">
        <f>IF(Z1652=0,0,IF(Y1652="MXN",1/HLOOKUP(YEAR(X1652)+(MONTH(X1652)/100),TC!$5:$37,DAY(X1652)+2,FALSE),VLOOKUP(Y1652,Equivalencia!$1:$23,((MAX(Equivalencia!$3:$3)-YEAR(X1652))*14)+MONTH(X1652)+2,FALSE)))</f>
        <v>0</v>
      </c>
      <c r="AB1652" s="306">
        <f t="shared" si="433"/>
        <v>0</v>
      </c>
      <c r="AC1652" s="305">
        <f>+IF(X1652=0,0,HLOOKUP(YEAR(X1652)+(MONTH(X1652)/100),TC!$5:$37,DAY(X1652)+2,FALSE))</f>
        <v>0</v>
      </c>
      <c r="AD1652" s="307">
        <f t="shared" si="434"/>
        <v>0</v>
      </c>
      <c r="AE1652" s="314">
        <f t="shared" si="435"/>
        <v>0</v>
      </c>
      <c r="AF1652" s="315">
        <f t="shared" si="436"/>
        <v>0</v>
      </c>
      <c r="AG1652" s="316">
        <f t="shared" si="437"/>
        <v>0</v>
      </c>
      <c r="AH1652" s="314">
        <v>1</v>
      </c>
      <c r="AI1652" s="314">
        <f t="shared" si="438"/>
        <v>0</v>
      </c>
      <c r="AJ1652" s="314">
        <f t="shared" si="439"/>
        <v>0</v>
      </c>
      <c r="AK1652" s="317"/>
      <c r="AL1652" s="315">
        <f t="shared" si="440"/>
        <v>0</v>
      </c>
      <c r="AN1652" s="554">
        <f t="shared" si="441"/>
        <v>0</v>
      </c>
      <c r="AO1652" s="314"/>
      <c r="AP1652" s="318"/>
    </row>
    <row r="1653" spans="2:42">
      <c r="B1653" s="296"/>
      <c r="C1653" s="299"/>
      <c r="D1653" s="298"/>
      <c r="E1653" s="299"/>
      <c r="F1653" s="299"/>
      <c r="G1653" s="300"/>
      <c r="H1653" s="303"/>
      <c r="I1653" s="301">
        <f t="shared" si="425"/>
        <v>0</v>
      </c>
      <c r="J1653" s="302">
        <f t="shared" si="426"/>
        <v>0</v>
      </c>
      <c r="K1653" s="304">
        <f t="shared" si="427"/>
        <v>0</v>
      </c>
      <c r="L1653" s="305">
        <f>IF(H1653=0,0,IF(OR(E1653=$AT$5,E1653=$AT$6),AA1653,IF(F1653="MXN",1/HLOOKUP(YEAR(G1653)+(MONTH(G1653)/100),TC!$5:$37,DAY(G1653)+2,FALSE),VLOOKUP(F1653,Equivalencia!$5:$23,((MAX(Equivalencia!$3:$3)-YEAR(G1653))*14)+MONTH(G1653)+2,FALSE))))</f>
        <v>0</v>
      </c>
      <c r="M1653" s="306">
        <f t="shared" si="428"/>
        <v>0</v>
      </c>
      <c r="N1653" s="305">
        <f>IF(G1653=0,0,(IF(OR(E1653=$AT$5,E1653=$AT$6),AC1653,HLOOKUP(YEAR(G1653)+(MONTH(G1653)/100),TC!$5:$37,DAY(G1653)+2,FALSE))))</f>
        <v>0</v>
      </c>
      <c r="O1653" s="307">
        <f t="shared" si="429"/>
        <v>0</v>
      </c>
      <c r="P1653" s="560">
        <f>IF(G1653=0,0,VLOOKUP(YEAR(G1653),INPC!$B$4:$P$30,MONTH(G1653)+2))</f>
        <v>0</v>
      </c>
      <c r="Q1653" s="560">
        <f>IF(X1653=0,0,IF(OR(E1653=$AT$10,E1653=$AT$9),VLOOKUP(YEAR(X1653),INPC!$B$4:$P$30,MONTH(X1653)+1),VLOOKUP(YEAR(X1653),INPC!$B$4:$P$30,MONTH(X1653)+2,0)))</f>
        <v>0</v>
      </c>
      <c r="R1653" s="309">
        <f t="shared" si="430"/>
        <v>0</v>
      </c>
      <c r="S1653" s="310">
        <f t="shared" si="431"/>
        <v>0</v>
      </c>
      <c r="T1653" s="555">
        <f t="shared" si="432"/>
        <v>0</v>
      </c>
      <c r="U1653" s="311"/>
      <c r="V1653" s="312"/>
      <c r="W1653" s="299"/>
      <c r="X1653" s="300"/>
      <c r="Y1653" s="299"/>
      <c r="Z1653" s="303"/>
      <c r="AA1653" s="305">
        <f>IF(Z1653=0,0,IF(Y1653="MXN",1/HLOOKUP(YEAR(X1653)+(MONTH(X1653)/100),TC!$5:$37,DAY(X1653)+2,FALSE),VLOOKUP(Y1653,Equivalencia!$1:$23,((MAX(Equivalencia!$3:$3)-YEAR(X1653))*14)+MONTH(X1653)+2,FALSE)))</f>
        <v>0</v>
      </c>
      <c r="AB1653" s="306">
        <f t="shared" si="433"/>
        <v>0</v>
      </c>
      <c r="AC1653" s="305">
        <f>+IF(X1653=0,0,HLOOKUP(YEAR(X1653)+(MONTH(X1653)/100),TC!$5:$37,DAY(X1653)+2,FALSE))</f>
        <v>0</v>
      </c>
      <c r="AD1653" s="307">
        <f t="shared" si="434"/>
        <v>0</v>
      </c>
      <c r="AE1653" s="314">
        <f t="shared" si="435"/>
        <v>0</v>
      </c>
      <c r="AF1653" s="315">
        <f t="shared" si="436"/>
        <v>0</v>
      </c>
      <c r="AG1653" s="316">
        <f t="shared" si="437"/>
        <v>0</v>
      </c>
      <c r="AH1653" s="314">
        <v>1</v>
      </c>
      <c r="AI1653" s="314">
        <f t="shared" si="438"/>
        <v>0</v>
      </c>
      <c r="AJ1653" s="314">
        <f t="shared" si="439"/>
        <v>0</v>
      </c>
      <c r="AK1653" s="317"/>
      <c r="AL1653" s="315">
        <f t="shared" si="440"/>
        <v>0</v>
      </c>
      <c r="AN1653" s="554">
        <f t="shared" si="441"/>
        <v>0</v>
      </c>
      <c r="AO1653" s="314"/>
      <c r="AP1653" s="318"/>
    </row>
    <row r="1654" spans="2:42">
      <c r="B1654" s="296"/>
      <c r="C1654" s="299"/>
      <c r="D1654" s="298"/>
      <c r="E1654" s="299"/>
      <c r="F1654" s="299"/>
      <c r="G1654" s="300"/>
      <c r="H1654" s="303"/>
      <c r="I1654" s="301">
        <f t="shared" si="425"/>
        <v>0</v>
      </c>
      <c r="J1654" s="302">
        <f t="shared" si="426"/>
        <v>0</v>
      </c>
      <c r="K1654" s="304">
        <f t="shared" si="427"/>
        <v>0</v>
      </c>
      <c r="L1654" s="305">
        <f>IF(H1654=0,0,IF(OR(E1654=$AT$5,E1654=$AT$6),AA1654,IF(F1654="MXN",1/HLOOKUP(YEAR(G1654)+(MONTH(G1654)/100),TC!$5:$37,DAY(G1654)+2,FALSE),VLOOKUP(F1654,Equivalencia!$5:$23,((MAX(Equivalencia!$3:$3)-YEAR(G1654))*14)+MONTH(G1654)+2,FALSE))))</f>
        <v>0</v>
      </c>
      <c r="M1654" s="306">
        <f t="shared" si="428"/>
        <v>0</v>
      </c>
      <c r="N1654" s="305">
        <f>IF(G1654=0,0,(IF(OR(E1654=$AT$5,E1654=$AT$6),AC1654,HLOOKUP(YEAR(G1654)+(MONTH(G1654)/100),TC!$5:$37,DAY(G1654)+2,FALSE))))</f>
        <v>0</v>
      </c>
      <c r="O1654" s="307">
        <f t="shared" si="429"/>
        <v>0</v>
      </c>
      <c r="P1654" s="560">
        <f>IF(G1654=0,0,VLOOKUP(YEAR(G1654),INPC!$B$4:$P$30,MONTH(G1654)+2))</f>
        <v>0</v>
      </c>
      <c r="Q1654" s="560">
        <f>IF(X1654=0,0,IF(OR(E1654=$AT$10,E1654=$AT$9),VLOOKUP(YEAR(X1654),INPC!$B$4:$P$30,MONTH(X1654)+1),VLOOKUP(YEAR(X1654),INPC!$B$4:$P$30,MONTH(X1654)+2,0)))</f>
        <v>0</v>
      </c>
      <c r="R1654" s="309">
        <f t="shared" si="430"/>
        <v>0</v>
      </c>
      <c r="S1654" s="310">
        <f t="shared" si="431"/>
        <v>0</v>
      </c>
      <c r="T1654" s="555">
        <f t="shared" si="432"/>
        <v>0</v>
      </c>
      <c r="U1654" s="311"/>
      <c r="V1654" s="312"/>
      <c r="W1654" s="299"/>
      <c r="X1654" s="300"/>
      <c r="Y1654" s="299"/>
      <c r="Z1654" s="303"/>
      <c r="AA1654" s="305">
        <f>IF(Z1654=0,0,IF(Y1654="MXN",1/HLOOKUP(YEAR(X1654)+(MONTH(X1654)/100),TC!$5:$37,DAY(X1654)+2,FALSE),VLOOKUP(Y1654,Equivalencia!$1:$23,((MAX(Equivalencia!$3:$3)-YEAR(X1654))*14)+MONTH(X1654)+2,FALSE)))</f>
        <v>0</v>
      </c>
      <c r="AB1654" s="306">
        <f t="shared" si="433"/>
        <v>0</v>
      </c>
      <c r="AC1654" s="305">
        <f>+IF(X1654=0,0,HLOOKUP(YEAR(X1654)+(MONTH(X1654)/100),TC!$5:$37,DAY(X1654)+2,FALSE))</f>
        <v>0</v>
      </c>
      <c r="AD1654" s="307">
        <f t="shared" si="434"/>
        <v>0</v>
      </c>
      <c r="AE1654" s="314">
        <f t="shared" si="435"/>
        <v>0</v>
      </c>
      <c r="AF1654" s="315">
        <f t="shared" si="436"/>
        <v>0</v>
      </c>
      <c r="AG1654" s="316">
        <f t="shared" si="437"/>
        <v>0</v>
      </c>
      <c r="AH1654" s="314">
        <v>1</v>
      </c>
      <c r="AI1654" s="314">
        <f t="shared" si="438"/>
        <v>0</v>
      </c>
      <c r="AJ1654" s="314">
        <f t="shared" si="439"/>
        <v>0</v>
      </c>
      <c r="AK1654" s="317"/>
      <c r="AL1654" s="315">
        <f t="shared" si="440"/>
        <v>0</v>
      </c>
      <c r="AN1654" s="554">
        <f t="shared" si="441"/>
        <v>0</v>
      </c>
      <c r="AO1654" s="314"/>
      <c r="AP1654" s="318"/>
    </row>
    <row r="1655" spans="2:42">
      <c r="B1655" s="296"/>
      <c r="C1655" s="299"/>
      <c r="D1655" s="298"/>
      <c r="E1655" s="299"/>
      <c r="F1655" s="299"/>
      <c r="G1655" s="300"/>
      <c r="H1655" s="303"/>
      <c r="I1655" s="301">
        <f t="shared" si="425"/>
        <v>0</v>
      </c>
      <c r="J1655" s="302">
        <f t="shared" si="426"/>
        <v>0</v>
      </c>
      <c r="K1655" s="304">
        <f t="shared" si="427"/>
        <v>0</v>
      </c>
      <c r="L1655" s="305">
        <f>IF(H1655=0,0,IF(OR(E1655=$AT$5,E1655=$AT$6),AA1655,IF(F1655="MXN",1/HLOOKUP(YEAR(G1655)+(MONTH(G1655)/100),TC!$5:$37,DAY(G1655)+2,FALSE),VLOOKUP(F1655,Equivalencia!$5:$23,((MAX(Equivalencia!$3:$3)-YEAR(G1655))*14)+MONTH(G1655)+2,FALSE))))</f>
        <v>0</v>
      </c>
      <c r="M1655" s="306">
        <f t="shared" si="428"/>
        <v>0</v>
      </c>
      <c r="N1655" s="305">
        <f>IF(G1655=0,0,(IF(OR(E1655=$AT$5,E1655=$AT$6),AC1655,HLOOKUP(YEAR(G1655)+(MONTH(G1655)/100),TC!$5:$37,DAY(G1655)+2,FALSE))))</f>
        <v>0</v>
      </c>
      <c r="O1655" s="307">
        <f t="shared" si="429"/>
        <v>0</v>
      </c>
      <c r="P1655" s="560">
        <f>IF(G1655=0,0,VLOOKUP(YEAR(G1655),INPC!$B$4:$P$30,MONTH(G1655)+2))</f>
        <v>0</v>
      </c>
      <c r="Q1655" s="560">
        <f>IF(X1655=0,0,IF(OR(E1655=$AT$10,E1655=$AT$9),VLOOKUP(YEAR(X1655),INPC!$B$4:$P$30,MONTH(X1655)+1),VLOOKUP(YEAR(X1655),INPC!$B$4:$P$30,MONTH(X1655)+2,0)))</f>
        <v>0</v>
      </c>
      <c r="R1655" s="309">
        <f t="shared" si="430"/>
        <v>0</v>
      </c>
      <c r="S1655" s="310">
        <f t="shared" si="431"/>
        <v>0</v>
      </c>
      <c r="T1655" s="555">
        <f t="shared" si="432"/>
        <v>0</v>
      </c>
      <c r="U1655" s="311"/>
      <c r="V1655" s="312"/>
      <c r="W1655" s="299"/>
      <c r="X1655" s="300"/>
      <c r="Y1655" s="299"/>
      <c r="Z1655" s="303"/>
      <c r="AA1655" s="305">
        <f>IF(Z1655=0,0,IF(Y1655="MXN",1/HLOOKUP(YEAR(X1655)+(MONTH(X1655)/100),TC!$5:$37,DAY(X1655)+2,FALSE),VLOOKUP(Y1655,Equivalencia!$1:$23,((MAX(Equivalencia!$3:$3)-YEAR(X1655))*14)+MONTH(X1655)+2,FALSE)))</f>
        <v>0</v>
      </c>
      <c r="AB1655" s="306">
        <f t="shared" si="433"/>
        <v>0</v>
      </c>
      <c r="AC1655" s="305">
        <f>+IF(X1655=0,0,HLOOKUP(YEAR(X1655)+(MONTH(X1655)/100),TC!$5:$37,DAY(X1655)+2,FALSE))</f>
        <v>0</v>
      </c>
      <c r="AD1655" s="307">
        <f t="shared" si="434"/>
        <v>0</v>
      </c>
      <c r="AE1655" s="314">
        <f t="shared" si="435"/>
        <v>0</v>
      </c>
      <c r="AF1655" s="315">
        <f t="shared" si="436"/>
        <v>0</v>
      </c>
      <c r="AG1655" s="316">
        <f t="shared" si="437"/>
        <v>0</v>
      </c>
      <c r="AH1655" s="314">
        <v>1</v>
      </c>
      <c r="AI1655" s="314">
        <f t="shared" si="438"/>
        <v>0</v>
      </c>
      <c r="AJ1655" s="314">
        <f t="shared" si="439"/>
        <v>0</v>
      </c>
      <c r="AK1655" s="317"/>
      <c r="AL1655" s="315">
        <f t="shared" si="440"/>
        <v>0</v>
      </c>
      <c r="AN1655" s="554">
        <f t="shared" si="441"/>
        <v>0</v>
      </c>
      <c r="AO1655" s="314"/>
      <c r="AP1655" s="318"/>
    </row>
    <row r="1656" spans="2:42">
      <c r="B1656" s="296"/>
      <c r="C1656" s="299"/>
      <c r="D1656" s="298"/>
      <c r="E1656" s="299"/>
      <c r="F1656" s="299"/>
      <c r="G1656" s="300"/>
      <c r="H1656" s="303"/>
      <c r="I1656" s="301">
        <f t="shared" si="425"/>
        <v>0</v>
      </c>
      <c r="J1656" s="302">
        <f t="shared" si="426"/>
        <v>0</v>
      </c>
      <c r="K1656" s="304">
        <f t="shared" si="427"/>
        <v>0</v>
      </c>
      <c r="L1656" s="305">
        <f>IF(H1656=0,0,IF(OR(E1656=$AT$5,E1656=$AT$6),AA1656,IF(F1656="MXN",1/HLOOKUP(YEAR(G1656)+(MONTH(G1656)/100),TC!$5:$37,DAY(G1656)+2,FALSE),VLOOKUP(F1656,Equivalencia!$5:$23,((MAX(Equivalencia!$3:$3)-YEAR(G1656))*14)+MONTH(G1656)+2,FALSE))))</f>
        <v>0</v>
      </c>
      <c r="M1656" s="306">
        <f t="shared" si="428"/>
        <v>0</v>
      </c>
      <c r="N1656" s="305">
        <f>IF(G1656=0,0,(IF(OR(E1656=$AT$5,E1656=$AT$6),AC1656,HLOOKUP(YEAR(G1656)+(MONTH(G1656)/100),TC!$5:$37,DAY(G1656)+2,FALSE))))</f>
        <v>0</v>
      </c>
      <c r="O1656" s="307">
        <f t="shared" si="429"/>
        <v>0</v>
      </c>
      <c r="P1656" s="560">
        <f>IF(G1656=0,0,VLOOKUP(YEAR(G1656),INPC!$B$4:$P$30,MONTH(G1656)+2))</f>
        <v>0</v>
      </c>
      <c r="Q1656" s="560">
        <f>IF(X1656=0,0,IF(OR(E1656=$AT$10,E1656=$AT$9),VLOOKUP(YEAR(X1656),INPC!$B$4:$P$30,MONTH(X1656)+1),VLOOKUP(YEAR(X1656),INPC!$B$4:$P$30,MONTH(X1656)+2,0)))</f>
        <v>0</v>
      </c>
      <c r="R1656" s="309">
        <f t="shared" si="430"/>
        <v>0</v>
      </c>
      <c r="S1656" s="310">
        <f t="shared" si="431"/>
        <v>0</v>
      </c>
      <c r="T1656" s="555">
        <f t="shared" si="432"/>
        <v>0</v>
      </c>
      <c r="U1656" s="311"/>
      <c r="V1656" s="312"/>
      <c r="W1656" s="299"/>
      <c r="X1656" s="300"/>
      <c r="Y1656" s="299"/>
      <c r="Z1656" s="303"/>
      <c r="AA1656" s="305">
        <f>IF(Z1656=0,0,IF(Y1656="MXN",1/HLOOKUP(YEAR(X1656)+(MONTH(X1656)/100),TC!$5:$37,DAY(X1656)+2,FALSE),VLOOKUP(Y1656,Equivalencia!$1:$23,((MAX(Equivalencia!$3:$3)-YEAR(X1656))*14)+MONTH(X1656)+2,FALSE)))</f>
        <v>0</v>
      </c>
      <c r="AB1656" s="306">
        <f t="shared" si="433"/>
        <v>0</v>
      </c>
      <c r="AC1656" s="305">
        <f>+IF(X1656=0,0,HLOOKUP(YEAR(X1656)+(MONTH(X1656)/100),TC!$5:$37,DAY(X1656)+2,FALSE))</f>
        <v>0</v>
      </c>
      <c r="AD1656" s="307">
        <f t="shared" si="434"/>
        <v>0</v>
      </c>
      <c r="AE1656" s="314">
        <f t="shared" si="435"/>
        <v>0</v>
      </c>
      <c r="AF1656" s="315">
        <f t="shared" si="436"/>
        <v>0</v>
      </c>
      <c r="AG1656" s="316">
        <f t="shared" si="437"/>
        <v>0</v>
      </c>
      <c r="AH1656" s="314">
        <v>1</v>
      </c>
      <c r="AI1656" s="314">
        <f t="shared" si="438"/>
        <v>0</v>
      </c>
      <c r="AJ1656" s="314">
        <f t="shared" si="439"/>
        <v>0</v>
      </c>
      <c r="AK1656" s="317"/>
      <c r="AL1656" s="315">
        <f t="shared" si="440"/>
        <v>0</v>
      </c>
      <c r="AN1656" s="554">
        <f t="shared" si="441"/>
        <v>0</v>
      </c>
      <c r="AO1656" s="314"/>
      <c r="AP1656" s="318"/>
    </row>
    <row r="1657" spans="2:42">
      <c r="B1657" s="296"/>
      <c r="C1657" s="299"/>
      <c r="D1657" s="298"/>
      <c r="E1657" s="299"/>
      <c r="F1657" s="299"/>
      <c r="G1657" s="300"/>
      <c r="H1657" s="303"/>
      <c r="I1657" s="301">
        <f t="shared" si="425"/>
        <v>0</v>
      </c>
      <c r="J1657" s="302">
        <f t="shared" si="426"/>
        <v>0</v>
      </c>
      <c r="K1657" s="304">
        <f t="shared" si="427"/>
        <v>0</v>
      </c>
      <c r="L1657" s="305">
        <f>IF(H1657=0,0,IF(OR(E1657=$AT$5,E1657=$AT$6),AA1657,IF(F1657="MXN",1/HLOOKUP(YEAR(G1657)+(MONTH(G1657)/100),TC!$5:$37,DAY(G1657)+2,FALSE),VLOOKUP(F1657,Equivalencia!$5:$23,((MAX(Equivalencia!$3:$3)-YEAR(G1657))*14)+MONTH(G1657)+2,FALSE))))</f>
        <v>0</v>
      </c>
      <c r="M1657" s="306">
        <f t="shared" si="428"/>
        <v>0</v>
      </c>
      <c r="N1657" s="305">
        <f>IF(G1657=0,0,(IF(OR(E1657=$AT$5,E1657=$AT$6),AC1657,HLOOKUP(YEAR(G1657)+(MONTH(G1657)/100),TC!$5:$37,DAY(G1657)+2,FALSE))))</f>
        <v>0</v>
      </c>
      <c r="O1657" s="307">
        <f t="shared" si="429"/>
        <v>0</v>
      </c>
      <c r="P1657" s="560">
        <f>IF(G1657=0,0,VLOOKUP(YEAR(G1657),INPC!$B$4:$P$30,MONTH(G1657)+2))</f>
        <v>0</v>
      </c>
      <c r="Q1657" s="560">
        <f>IF(X1657=0,0,IF(OR(E1657=$AT$10,E1657=$AT$9),VLOOKUP(YEAR(X1657),INPC!$B$4:$P$30,MONTH(X1657)+1),VLOOKUP(YEAR(X1657),INPC!$B$4:$P$30,MONTH(X1657)+2,0)))</f>
        <v>0</v>
      </c>
      <c r="R1657" s="309">
        <f t="shared" si="430"/>
        <v>0</v>
      </c>
      <c r="S1657" s="310">
        <f t="shared" si="431"/>
        <v>0</v>
      </c>
      <c r="T1657" s="555">
        <f t="shared" si="432"/>
        <v>0</v>
      </c>
      <c r="U1657" s="311"/>
      <c r="V1657" s="312"/>
      <c r="W1657" s="299"/>
      <c r="X1657" s="300"/>
      <c r="Y1657" s="299"/>
      <c r="Z1657" s="303"/>
      <c r="AA1657" s="305">
        <f>IF(Z1657=0,0,IF(Y1657="MXN",1/HLOOKUP(YEAR(X1657)+(MONTH(X1657)/100),TC!$5:$37,DAY(X1657)+2,FALSE),VLOOKUP(Y1657,Equivalencia!$1:$23,((MAX(Equivalencia!$3:$3)-YEAR(X1657))*14)+MONTH(X1657)+2,FALSE)))</f>
        <v>0</v>
      </c>
      <c r="AB1657" s="306">
        <f t="shared" si="433"/>
        <v>0</v>
      </c>
      <c r="AC1657" s="305">
        <f>+IF(X1657=0,0,HLOOKUP(YEAR(X1657)+(MONTH(X1657)/100),TC!$5:$37,DAY(X1657)+2,FALSE))</f>
        <v>0</v>
      </c>
      <c r="AD1657" s="307">
        <f t="shared" si="434"/>
        <v>0</v>
      </c>
      <c r="AE1657" s="314">
        <f t="shared" si="435"/>
        <v>0</v>
      </c>
      <c r="AF1657" s="315">
        <f t="shared" si="436"/>
        <v>0</v>
      </c>
      <c r="AG1657" s="316">
        <f t="shared" si="437"/>
        <v>0</v>
      </c>
      <c r="AH1657" s="314">
        <v>1</v>
      </c>
      <c r="AI1657" s="314">
        <f t="shared" si="438"/>
        <v>0</v>
      </c>
      <c r="AJ1657" s="314">
        <f t="shared" si="439"/>
        <v>0</v>
      </c>
      <c r="AK1657" s="317"/>
      <c r="AL1657" s="315">
        <f t="shared" si="440"/>
        <v>0</v>
      </c>
      <c r="AN1657" s="554">
        <f t="shared" si="441"/>
        <v>0</v>
      </c>
      <c r="AO1657" s="314"/>
      <c r="AP1657" s="318"/>
    </row>
    <row r="1658" spans="2:42">
      <c r="B1658" s="296"/>
      <c r="C1658" s="299"/>
      <c r="D1658" s="298"/>
      <c r="E1658" s="299"/>
      <c r="F1658" s="299"/>
      <c r="G1658" s="300"/>
      <c r="H1658" s="303"/>
      <c r="I1658" s="301">
        <f t="shared" si="425"/>
        <v>0</v>
      </c>
      <c r="J1658" s="302">
        <f t="shared" si="426"/>
        <v>0</v>
      </c>
      <c r="K1658" s="304">
        <f t="shared" si="427"/>
        <v>0</v>
      </c>
      <c r="L1658" s="305">
        <f>IF(H1658=0,0,IF(OR(E1658=$AT$5,E1658=$AT$6),AA1658,IF(F1658="MXN",1/HLOOKUP(YEAR(G1658)+(MONTH(G1658)/100),TC!$5:$37,DAY(G1658)+2,FALSE),VLOOKUP(F1658,Equivalencia!$5:$23,((MAX(Equivalencia!$3:$3)-YEAR(G1658))*14)+MONTH(G1658)+2,FALSE))))</f>
        <v>0</v>
      </c>
      <c r="M1658" s="306">
        <f t="shared" si="428"/>
        <v>0</v>
      </c>
      <c r="N1658" s="305">
        <f>IF(G1658=0,0,(IF(OR(E1658=$AT$5,E1658=$AT$6),AC1658,HLOOKUP(YEAR(G1658)+(MONTH(G1658)/100),TC!$5:$37,DAY(G1658)+2,FALSE))))</f>
        <v>0</v>
      </c>
      <c r="O1658" s="307">
        <f t="shared" si="429"/>
        <v>0</v>
      </c>
      <c r="P1658" s="560">
        <f>IF(G1658=0,0,VLOOKUP(YEAR(G1658),INPC!$B$4:$P$30,MONTH(G1658)+2))</f>
        <v>0</v>
      </c>
      <c r="Q1658" s="560">
        <f>IF(X1658=0,0,IF(OR(E1658=$AT$10,E1658=$AT$9),VLOOKUP(YEAR(X1658),INPC!$B$4:$P$30,MONTH(X1658)+1),VLOOKUP(YEAR(X1658),INPC!$B$4:$P$30,MONTH(X1658)+2,0)))</f>
        <v>0</v>
      </c>
      <c r="R1658" s="309">
        <f t="shared" si="430"/>
        <v>0</v>
      </c>
      <c r="S1658" s="310">
        <f t="shared" si="431"/>
        <v>0</v>
      </c>
      <c r="T1658" s="555">
        <f t="shared" si="432"/>
        <v>0</v>
      </c>
      <c r="U1658" s="311"/>
      <c r="V1658" s="312"/>
      <c r="W1658" s="299"/>
      <c r="X1658" s="300"/>
      <c r="Y1658" s="299"/>
      <c r="Z1658" s="303"/>
      <c r="AA1658" s="305">
        <f>IF(Z1658=0,0,IF(Y1658="MXN",1/HLOOKUP(YEAR(X1658)+(MONTH(X1658)/100),TC!$5:$37,DAY(X1658)+2,FALSE),VLOOKUP(Y1658,Equivalencia!$1:$23,((MAX(Equivalencia!$3:$3)-YEAR(X1658))*14)+MONTH(X1658)+2,FALSE)))</f>
        <v>0</v>
      </c>
      <c r="AB1658" s="306">
        <f t="shared" si="433"/>
        <v>0</v>
      </c>
      <c r="AC1658" s="305">
        <f>+IF(X1658=0,0,HLOOKUP(YEAR(X1658)+(MONTH(X1658)/100),TC!$5:$37,DAY(X1658)+2,FALSE))</f>
        <v>0</v>
      </c>
      <c r="AD1658" s="307">
        <f t="shared" si="434"/>
        <v>0</v>
      </c>
      <c r="AE1658" s="314">
        <f t="shared" si="435"/>
        <v>0</v>
      </c>
      <c r="AF1658" s="315">
        <f t="shared" si="436"/>
        <v>0</v>
      </c>
      <c r="AG1658" s="316">
        <f t="shared" si="437"/>
        <v>0</v>
      </c>
      <c r="AH1658" s="314">
        <v>1</v>
      </c>
      <c r="AI1658" s="314">
        <f t="shared" si="438"/>
        <v>0</v>
      </c>
      <c r="AJ1658" s="314">
        <f t="shared" si="439"/>
        <v>0</v>
      </c>
      <c r="AK1658" s="317"/>
      <c r="AL1658" s="315">
        <f t="shared" si="440"/>
        <v>0</v>
      </c>
      <c r="AN1658" s="554">
        <f t="shared" si="441"/>
        <v>0</v>
      </c>
      <c r="AO1658" s="314"/>
      <c r="AP1658" s="318"/>
    </row>
    <row r="1659" spans="2:42">
      <c r="B1659" s="296"/>
      <c r="C1659" s="299"/>
      <c r="D1659" s="298"/>
      <c r="E1659" s="299"/>
      <c r="F1659" s="299"/>
      <c r="G1659" s="300"/>
      <c r="H1659" s="303"/>
      <c r="I1659" s="301">
        <f t="shared" si="425"/>
        <v>0</v>
      </c>
      <c r="J1659" s="302">
        <f t="shared" si="426"/>
        <v>0</v>
      </c>
      <c r="K1659" s="304">
        <f t="shared" si="427"/>
        <v>0</v>
      </c>
      <c r="L1659" s="305">
        <f>IF(H1659=0,0,IF(OR(E1659=$AT$5,E1659=$AT$6),AA1659,IF(F1659="MXN",1/HLOOKUP(YEAR(G1659)+(MONTH(G1659)/100),TC!$5:$37,DAY(G1659)+2,FALSE),VLOOKUP(F1659,Equivalencia!$5:$23,((MAX(Equivalencia!$3:$3)-YEAR(G1659))*14)+MONTH(G1659)+2,FALSE))))</f>
        <v>0</v>
      </c>
      <c r="M1659" s="306">
        <f t="shared" si="428"/>
        <v>0</v>
      </c>
      <c r="N1659" s="305">
        <f>IF(G1659=0,0,(IF(OR(E1659=$AT$5,E1659=$AT$6),AC1659,HLOOKUP(YEAR(G1659)+(MONTH(G1659)/100),TC!$5:$37,DAY(G1659)+2,FALSE))))</f>
        <v>0</v>
      </c>
      <c r="O1659" s="307">
        <f t="shared" si="429"/>
        <v>0</v>
      </c>
      <c r="P1659" s="560">
        <f>IF(G1659=0,0,VLOOKUP(YEAR(G1659),INPC!$B$4:$P$30,MONTH(G1659)+2))</f>
        <v>0</v>
      </c>
      <c r="Q1659" s="560">
        <f>IF(X1659=0,0,IF(OR(E1659=$AT$10,E1659=$AT$9),VLOOKUP(YEAR(X1659),INPC!$B$4:$P$30,MONTH(X1659)+1),VLOOKUP(YEAR(X1659),INPC!$B$4:$P$30,MONTH(X1659)+2,0)))</f>
        <v>0</v>
      </c>
      <c r="R1659" s="309">
        <f t="shared" si="430"/>
        <v>0</v>
      </c>
      <c r="S1659" s="310">
        <f t="shared" si="431"/>
        <v>0</v>
      </c>
      <c r="T1659" s="555">
        <f t="shared" si="432"/>
        <v>0</v>
      </c>
      <c r="U1659" s="311"/>
      <c r="V1659" s="312"/>
      <c r="W1659" s="299"/>
      <c r="X1659" s="300"/>
      <c r="Y1659" s="299"/>
      <c r="Z1659" s="303"/>
      <c r="AA1659" s="305">
        <f>IF(Z1659=0,0,IF(Y1659="MXN",1/HLOOKUP(YEAR(X1659)+(MONTH(X1659)/100),TC!$5:$37,DAY(X1659)+2,FALSE),VLOOKUP(Y1659,Equivalencia!$1:$23,((MAX(Equivalencia!$3:$3)-YEAR(X1659))*14)+MONTH(X1659)+2,FALSE)))</f>
        <v>0</v>
      </c>
      <c r="AB1659" s="306">
        <f t="shared" si="433"/>
        <v>0</v>
      </c>
      <c r="AC1659" s="305">
        <f>+IF(X1659=0,0,HLOOKUP(YEAR(X1659)+(MONTH(X1659)/100),TC!$5:$37,DAY(X1659)+2,FALSE))</f>
        <v>0</v>
      </c>
      <c r="AD1659" s="307">
        <f t="shared" si="434"/>
        <v>0</v>
      </c>
      <c r="AE1659" s="314">
        <f t="shared" si="435"/>
        <v>0</v>
      </c>
      <c r="AF1659" s="315">
        <f t="shared" si="436"/>
        <v>0</v>
      </c>
      <c r="AG1659" s="316">
        <f t="shared" si="437"/>
        <v>0</v>
      </c>
      <c r="AH1659" s="314">
        <v>1</v>
      </c>
      <c r="AI1659" s="314">
        <f t="shared" si="438"/>
        <v>0</v>
      </c>
      <c r="AJ1659" s="314">
        <f t="shared" si="439"/>
        <v>0</v>
      </c>
      <c r="AK1659" s="317"/>
      <c r="AL1659" s="315">
        <f t="shared" si="440"/>
        <v>0</v>
      </c>
      <c r="AN1659" s="554">
        <f t="shared" si="441"/>
        <v>0</v>
      </c>
      <c r="AO1659" s="314"/>
      <c r="AP1659" s="318"/>
    </row>
    <row r="1660" spans="2:42">
      <c r="B1660" s="296"/>
      <c r="C1660" s="299"/>
      <c r="D1660" s="298"/>
      <c r="E1660" s="299"/>
      <c r="F1660" s="299"/>
      <c r="G1660" s="300"/>
      <c r="H1660" s="303"/>
      <c r="I1660" s="301">
        <f t="shared" ref="I1660:I1723" si="442">IF(D1660=0,0,IF(OR(E1660=$AT$9,E1660=$AT$10),"Ingresos Sección II LISR (SIC &amp; BMV)","Ingresos Sección I LISR"))</f>
        <v>0</v>
      </c>
      <c r="J1660" s="302">
        <f t="shared" ref="J1660:J1723" si="443">+V1660</f>
        <v>0</v>
      </c>
      <c r="K1660" s="304">
        <f t="shared" ref="K1660:K1723" si="444">IF(H1660=0,0,H1660/J1660)</f>
        <v>0</v>
      </c>
      <c r="L1660" s="305">
        <f>IF(H1660=0,0,IF(OR(E1660=$AT$5,E1660=$AT$6),AA1660,IF(F1660="MXN",1/HLOOKUP(YEAR(G1660)+(MONTH(G1660)/100),TC!$5:$37,DAY(G1660)+2,FALSE),VLOOKUP(F1660,Equivalencia!$5:$23,((MAX(Equivalencia!$3:$3)-YEAR(G1660))*14)+MONTH(G1660)+2,FALSE))))</f>
        <v>0</v>
      </c>
      <c r="M1660" s="306">
        <f t="shared" ref="M1660:M1723" si="445">+H1660*L1660</f>
        <v>0</v>
      </c>
      <c r="N1660" s="305">
        <f>IF(G1660=0,0,(IF(OR(E1660=$AT$5,E1660=$AT$6),AC1660,HLOOKUP(YEAR(G1660)+(MONTH(G1660)/100),TC!$5:$37,DAY(G1660)+2,FALSE))))</f>
        <v>0</v>
      </c>
      <c r="O1660" s="307">
        <f t="shared" ref="O1660:O1723" si="446">+M1660*N1660</f>
        <v>0</v>
      </c>
      <c r="P1660" s="560">
        <f>IF(G1660=0,0,VLOOKUP(YEAR(G1660),INPC!$B$4:$P$30,MONTH(G1660)+2))</f>
        <v>0</v>
      </c>
      <c r="Q1660" s="560">
        <f>IF(X1660=0,0,IF(OR(E1660=$AT$10,E1660=$AT$9),VLOOKUP(YEAR(X1660),INPC!$B$4:$P$30,MONTH(X1660)+1),VLOOKUP(YEAR(X1660),INPC!$B$4:$P$30,MONTH(X1660)+2,0)))</f>
        <v>0</v>
      </c>
      <c r="R1660" s="309">
        <f t="shared" ref="R1660:R1723" si="447">IF(H1660=0,0,IF(OR(E1660=$AT$5,E1660=$AT$6),1,IF(TRUNC(Q1660/P1660,4)&gt;=1,TRUNC(Q1660/P1660,4),1)))</f>
        <v>0</v>
      </c>
      <c r="S1660" s="310">
        <f t="shared" ref="S1660:S1723" si="448">+R1660*O1660</f>
        <v>0</v>
      </c>
      <c r="T1660" s="555">
        <f t="shared" ref="T1660:T1723" si="449">IF(V1660=0,0,S1660/V1660)</f>
        <v>0</v>
      </c>
      <c r="U1660" s="311"/>
      <c r="V1660" s="312"/>
      <c r="W1660" s="299"/>
      <c r="X1660" s="300"/>
      <c r="Y1660" s="299"/>
      <c r="Z1660" s="303"/>
      <c r="AA1660" s="305">
        <f>IF(Z1660=0,0,IF(Y1660="MXN",1/HLOOKUP(YEAR(X1660)+(MONTH(X1660)/100),TC!$5:$37,DAY(X1660)+2,FALSE),VLOOKUP(Y1660,Equivalencia!$1:$23,((MAX(Equivalencia!$3:$3)-YEAR(X1660))*14)+MONTH(X1660)+2,FALSE)))</f>
        <v>0</v>
      </c>
      <c r="AB1660" s="306">
        <f t="shared" ref="AB1660:AB1723" si="450">+AA1660*Z1660</f>
        <v>0</v>
      </c>
      <c r="AC1660" s="305">
        <f>+IF(X1660=0,0,HLOOKUP(YEAR(X1660)+(MONTH(X1660)/100),TC!$5:$37,DAY(X1660)+2,FALSE))</f>
        <v>0</v>
      </c>
      <c r="AD1660" s="307">
        <f t="shared" ref="AD1660:AD1723" si="451">+AC1660*AB1660</f>
        <v>0</v>
      </c>
      <c r="AE1660" s="314">
        <f t="shared" ref="AE1660:AE1723" si="452">+V1660*T1660</f>
        <v>0</v>
      </c>
      <c r="AF1660" s="315">
        <f t="shared" ref="AF1660:AF1723" si="453">IF(E1660=$AT$11,0,AD1660-AE1660)</f>
        <v>0</v>
      </c>
      <c r="AG1660" s="316">
        <f t="shared" ref="AG1660:AG1723" si="454">+IF(AND(AF1660&lt;0,OR(E1660=$AT$5,E1660=$AT$6)),1,((X1660-G1660)/365))</f>
        <v>0</v>
      </c>
      <c r="AH1660" s="314">
        <v>1</v>
      </c>
      <c r="AI1660" s="314">
        <f t="shared" ref="AI1660:AI1723" si="455">+IF(OR(E1660=$AT$9,E1660=$AT$10),AF1660,+AF1660/AH1660)</f>
        <v>0</v>
      </c>
      <c r="AJ1660" s="314">
        <f t="shared" ref="AJ1660:AJ1723" si="456">+AF1660-AI1660</f>
        <v>0</v>
      </c>
      <c r="AK1660" s="317"/>
      <c r="AL1660" s="315">
        <f t="shared" ref="AL1660:AL1723" si="457">+AB1660-M1660</f>
        <v>0</v>
      </c>
      <c r="AN1660" s="554">
        <f t="shared" ref="AN1660:AN1723" si="458">IF(AL1660=0,0,AL1660/H1660)</f>
        <v>0</v>
      </c>
      <c r="AO1660" s="314"/>
      <c r="AP1660" s="318"/>
    </row>
    <row r="1661" spans="2:42">
      <c r="B1661" s="296"/>
      <c r="C1661" s="299"/>
      <c r="D1661" s="298"/>
      <c r="E1661" s="299"/>
      <c r="F1661" s="299"/>
      <c r="G1661" s="300"/>
      <c r="H1661" s="303"/>
      <c r="I1661" s="301">
        <f t="shared" si="442"/>
        <v>0</v>
      </c>
      <c r="J1661" s="302">
        <f t="shared" si="443"/>
        <v>0</v>
      </c>
      <c r="K1661" s="304">
        <f t="shared" si="444"/>
        <v>0</v>
      </c>
      <c r="L1661" s="305">
        <f>IF(H1661=0,0,IF(OR(E1661=$AT$5,E1661=$AT$6),AA1661,IF(F1661="MXN",1/HLOOKUP(YEAR(G1661)+(MONTH(G1661)/100),TC!$5:$37,DAY(G1661)+2,FALSE),VLOOKUP(F1661,Equivalencia!$5:$23,((MAX(Equivalencia!$3:$3)-YEAR(G1661))*14)+MONTH(G1661)+2,FALSE))))</f>
        <v>0</v>
      </c>
      <c r="M1661" s="306">
        <f t="shared" si="445"/>
        <v>0</v>
      </c>
      <c r="N1661" s="305">
        <f>IF(G1661=0,0,(IF(OR(E1661=$AT$5,E1661=$AT$6),AC1661,HLOOKUP(YEAR(G1661)+(MONTH(G1661)/100),TC!$5:$37,DAY(G1661)+2,FALSE))))</f>
        <v>0</v>
      </c>
      <c r="O1661" s="307">
        <f t="shared" si="446"/>
        <v>0</v>
      </c>
      <c r="P1661" s="560">
        <f>IF(G1661=0,0,VLOOKUP(YEAR(G1661),INPC!$B$4:$P$30,MONTH(G1661)+2))</f>
        <v>0</v>
      </c>
      <c r="Q1661" s="560">
        <f>IF(X1661=0,0,IF(OR(E1661=$AT$10,E1661=$AT$9),VLOOKUP(YEAR(X1661),INPC!$B$4:$P$30,MONTH(X1661)+1),VLOOKUP(YEAR(X1661),INPC!$B$4:$P$30,MONTH(X1661)+2,0)))</f>
        <v>0</v>
      </c>
      <c r="R1661" s="309">
        <f t="shared" si="447"/>
        <v>0</v>
      </c>
      <c r="S1661" s="310">
        <f t="shared" si="448"/>
        <v>0</v>
      </c>
      <c r="T1661" s="555">
        <f t="shared" si="449"/>
        <v>0</v>
      </c>
      <c r="U1661" s="311"/>
      <c r="V1661" s="312"/>
      <c r="W1661" s="299"/>
      <c r="X1661" s="300"/>
      <c r="Y1661" s="299"/>
      <c r="Z1661" s="303"/>
      <c r="AA1661" s="305">
        <f>IF(Z1661=0,0,IF(Y1661="MXN",1/HLOOKUP(YEAR(X1661)+(MONTH(X1661)/100),TC!$5:$37,DAY(X1661)+2,FALSE),VLOOKUP(Y1661,Equivalencia!$1:$23,((MAX(Equivalencia!$3:$3)-YEAR(X1661))*14)+MONTH(X1661)+2,FALSE)))</f>
        <v>0</v>
      </c>
      <c r="AB1661" s="306">
        <f t="shared" si="450"/>
        <v>0</v>
      </c>
      <c r="AC1661" s="305">
        <f>+IF(X1661=0,0,HLOOKUP(YEAR(X1661)+(MONTH(X1661)/100),TC!$5:$37,DAY(X1661)+2,FALSE))</f>
        <v>0</v>
      </c>
      <c r="AD1661" s="307">
        <f t="shared" si="451"/>
        <v>0</v>
      </c>
      <c r="AE1661" s="314">
        <f t="shared" si="452"/>
        <v>0</v>
      </c>
      <c r="AF1661" s="315">
        <f t="shared" si="453"/>
        <v>0</v>
      </c>
      <c r="AG1661" s="316">
        <f t="shared" si="454"/>
        <v>0</v>
      </c>
      <c r="AH1661" s="314">
        <v>1</v>
      </c>
      <c r="AI1661" s="314">
        <f t="shared" si="455"/>
        <v>0</v>
      </c>
      <c r="AJ1661" s="314">
        <f t="shared" si="456"/>
        <v>0</v>
      </c>
      <c r="AK1661" s="317"/>
      <c r="AL1661" s="315">
        <f t="shared" si="457"/>
        <v>0</v>
      </c>
      <c r="AN1661" s="554">
        <f t="shared" si="458"/>
        <v>0</v>
      </c>
      <c r="AO1661" s="314"/>
      <c r="AP1661" s="318"/>
    </row>
    <row r="1662" spans="2:42">
      <c r="B1662" s="296"/>
      <c r="C1662" s="299"/>
      <c r="D1662" s="298"/>
      <c r="E1662" s="299"/>
      <c r="F1662" s="299"/>
      <c r="G1662" s="300"/>
      <c r="H1662" s="303"/>
      <c r="I1662" s="301">
        <f t="shared" si="442"/>
        <v>0</v>
      </c>
      <c r="J1662" s="302">
        <f t="shared" si="443"/>
        <v>0</v>
      </c>
      <c r="K1662" s="304">
        <f t="shared" si="444"/>
        <v>0</v>
      </c>
      <c r="L1662" s="305">
        <f>IF(H1662=0,0,IF(OR(E1662=$AT$5,E1662=$AT$6),AA1662,IF(F1662="MXN",1/HLOOKUP(YEAR(G1662)+(MONTH(G1662)/100),TC!$5:$37,DAY(G1662)+2,FALSE),VLOOKUP(F1662,Equivalencia!$5:$23,((MAX(Equivalencia!$3:$3)-YEAR(G1662))*14)+MONTH(G1662)+2,FALSE))))</f>
        <v>0</v>
      </c>
      <c r="M1662" s="306">
        <f t="shared" si="445"/>
        <v>0</v>
      </c>
      <c r="N1662" s="305">
        <f>IF(G1662=0,0,(IF(OR(E1662=$AT$5,E1662=$AT$6),AC1662,HLOOKUP(YEAR(G1662)+(MONTH(G1662)/100),TC!$5:$37,DAY(G1662)+2,FALSE))))</f>
        <v>0</v>
      </c>
      <c r="O1662" s="307">
        <f t="shared" si="446"/>
        <v>0</v>
      </c>
      <c r="P1662" s="560">
        <f>IF(G1662=0,0,VLOOKUP(YEAR(G1662),INPC!$B$4:$P$30,MONTH(G1662)+2))</f>
        <v>0</v>
      </c>
      <c r="Q1662" s="560">
        <f>IF(X1662=0,0,IF(OR(E1662=$AT$10,E1662=$AT$9),VLOOKUP(YEAR(X1662),INPC!$B$4:$P$30,MONTH(X1662)+1),VLOOKUP(YEAR(X1662),INPC!$B$4:$P$30,MONTH(X1662)+2,0)))</f>
        <v>0</v>
      </c>
      <c r="R1662" s="309">
        <f t="shared" si="447"/>
        <v>0</v>
      </c>
      <c r="S1662" s="310">
        <f t="shared" si="448"/>
        <v>0</v>
      </c>
      <c r="T1662" s="555">
        <f t="shared" si="449"/>
        <v>0</v>
      </c>
      <c r="U1662" s="311"/>
      <c r="V1662" s="312"/>
      <c r="W1662" s="299"/>
      <c r="X1662" s="300"/>
      <c r="Y1662" s="299"/>
      <c r="Z1662" s="303"/>
      <c r="AA1662" s="305">
        <f>IF(Z1662=0,0,IF(Y1662="MXN",1/HLOOKUP(YEAR(X1662)+(MONTH(X1662)/100),TC!$5:$37,DAY(X1662)+2,FALSE),VLOOKUP(Y1662,Equivalencia!$1:$23,((MAX(Equivalencia!$3:$3)-YEAR(X1662))*14)+MONTH(X1662)+2,FALSE)))</f>
        <v>0</v>
      </c>
      <c r="AB1662" s="306">
        <f t="shared" si="450"/>
        <v>0</v>
      </c>
      <c r="AC1662" s="305">
        <f>+IF(X1662=0,0,HLOOKUP(YEAR(X1662)+(MONTH(X1662)/100),TC!$5:$37,DAY(X1662)+2,FALSE))</f>
        <v>0</v>
      </c>
      <c r="AD1662" s="307">
        <f t="shared" si="451"/>
        <v>0</v>
      </c>
      <c r="AE1662" s="314">
        <f t="shared" si="452"/>
        <v>0</v>
      </c>
      <c r="AF1662" s="315">
        <f t="shared" si="453"/>
        <v>0</v>
      </c>
      <c r="AG1662" s="316">
        <f t="shared" si="454"/>
        <v>0</v>
      </c>
      <c r="AH1662" s="314">
        <v>1</v>
      </c>
      <c r="AI1662" s="314">
        <f t="shared" si="455"/>
        <v>0</v>
      </c>
      <c r="AJ1662" s="314">
        <f t="shared" si="456"/>
        <v>0</v>
      </c>
      <c r="AK1662" s="317"/>
      <c r="AL1662" s="315">
        <f t="shared" si="457"/>
        <v>0</v>
      </c>
      <c r="AN1662" s="554">
        <f t="shared" si="458"/>
        <v>0</v>
      </c>
      <c r="AO1662" s="314"/>
      <c r="AP1662" s="318"/>
    </row>
    <row r="1663" spans="2:42">
      <c r="B1663" s="296"/>
      <c r="C1663" s="299"/>
      <c r="D1663" s="298"/>
      <c r="E1663" s="299"/>
      <c r="F1663" s="299"/>
      <c r="G1663" s="300"/>
      <c r="H1663" s="303"/>
      <c r="I1663" s="301">
        <f t="shared" si="442"/>
        <v>0</v>
      </c>
      <c r="J1663" s="302">
        <f t="shared" si="443"/>
        <v>0</v>
      </c>
      <c r="K1663" s="304">
        <f t="shared" si="444"/>
        <v>0</v>
      </c>
      <c r="L1663" s="305">
        <f>IF(H1663=0,0,IF(OR(E1663=$AT$5,E1663=$AT$6),AA1663,IF(F1663="MXN",1/HLOOKUP(YEAR(G1663)+(MONTH(G1663)/100),TC!$5:$37,DAY(G1663)+2,FALSE),VLOOKUP(F1663,Equivalencia!$5:$23,((MAX(Equivalencia!$3:$3)-YEAR(G1663))*14)+MONTH(G1663)+2,FALSE))))</f>
        <v>0</v>
      </c>
      <c r="M1663" s="306">
        <f t="shared" si="445"/>
        <v>0</v>
      </c>
      <c r="N1663" s="305">
        <f>IF(G1663=0,0,(IF(OR(E1663=$AT$5,E1663=$AT$6),AC1663,HLOOKUP(YEAR(G1663)+(MONTH(G1663)/100),TC!$5:$37,DAY(G1663)+2,FALSE))))</f>
        <v>0</v>
      </c>
      <c r="O1663" s="307">
        <f t="shared" si="446"/>
        <v>0</v>
      </c>
      <c r="P1663" s="560">
        <f>IF(G1663=0,0,VLOOKUP(YEAR(G1663),INPC!$B$4:$P$30,MONTH(G1663)+2))</f>
        <v>0</v>
      </c>
      <c r="Q1663" s="560">
        <f>IF(X1663=0,0,IF(OR(E1663=$AT$10,E1663=$AT$9),VLOOKUP(YEAR(X1663),INPC!$B$4:$P$30,MONTH(X1663)+1),VLOOKUP(YEAR(X1663),INPC!$B$4:$P$30,MONTH(X1663)+2,0)))</f>
        <v>0</v>
      </c>
      <c r="R1663" s="309">
        <f t="shared" si="447"/>
        <v>0</v>
      </c>
      <c r="S1663" s="310">
        <f t="shared" si="448"/>
        <v>0</v>
      </c>
      <c r="T1663" s="555">
        <f t="shared" si="449"/>
        <v>0</v>
      </c>
      <c r="U1663" s="311"/>
      <c r="V1663" s="312"/>
      <c r="W1663" s="299"/>
      <c r="X1663" s="300"/>
      <c r="Y1663" s="299"/>
      <c r="Z1663" s="303"/>
      <c r="AA1663" s="305">
        <f>IF(Z1663=0,0,IF(Y1663="MXN",1/HLOOKUP(YEAR(X1663)+(MONTH(X1663)/100),TC!$5:$37,DAY(X1663)+2,FALSE),VLOOKUP(Y1663,Equivalencia!$1:$23,((MAX(Equivalencia!$3:$3)-YEAR(X1663))*14)+MONTH(X1663)+2,FALSE)))</f>
        <v>0</v>
      </c>
      <c r="AB1663" s="306">
        <f t="shared" si="450"/>
        <v>0</v>
      </c>
      <c r="AC1663" s="305">
        <f>+IF(X1663=0,0,HLOOKUP(YEAR(X1663)+(MONTH(X1663)/100),TC!$5:$37,DAY(X1663)+2,FALSE))</f>
        <v>0</v>
      </c>
      <c r="AD1663" s="307">
        <f t="shared" si="451"/>
        <v>0</v>
      </c>
      <c r="AE1663" s="314">
        <f t="shared" si="452"/>
        <v>0</v>
      </c>
      <c r="AF1663" s="315">
        <f t="shared" si="453"/>
        <v>0</v>
      </c>
      <c r="AG1663" s="316">
        <f t="shared" si="454"/>
        <v>0</v>
      </c>
      <c r="AH1663" s="314">
        <v>1</v>
      </c>
      <c r="AI1663" s="314">
        <f t="shared" si="455"/>
        <v>0</v>
      </c>
      <c r="AJ1663" s="314">
        <f t="shared" si="456"/>
        <v>0</v>
      </c>
      <c r="AK1663" s="317"/>
      <c r="AL1663" s="315">
        <f t="shared" si="457"/>
        <v>0</v>
      </c>
      <c r="AN1663" s="554">
        <f t="shared" si="458"/>
        <v>0</v>
      </c>
      <c r="AO1663" s="314"/>
      <c r="AP1663" s="318"/>
    </row>
    <row r="1664" spans="2:42">
      <c r="B1664" s="296"/>
      <c r="C1664" s="299"/>
      <c r="D1664" s="298"/>
      <c r="E1664" s="299"/>
      <c r="F1664" s="299"/>
      <c r="G1664" s="300"/>
      <c r="H1664" s="303"/>
      <c r="I1664" s="301">
        <f t="shared" si="442"/>
        <v>0</v>
      </c>
      <c r="J1664" s="302">
        <f t="shared" si="443"/>
        <v>0</v>
      </c>
      <c r="K1664" s="304">
        <f t="shared" si="444"/>
        <v>0</v>
      </c>
      <c r="L1664" s="305">
        <f>IF(H1664=0,0,IF(OR(E1664=$AT$5,E1664=$AT$6),AA1664,IF(F1664="MXN",1/HLOOKUP(YEAR(G1664)+(MONTH(G1664)/100),TC!$5:$37,DAY(G1664)+2,FALSE),VLOOKUP(F1664,Equivalencia!$5:$23,((MAX(Equivalencia!$3:$3)-YEAR(G1664))*14)+MONTH(G1664)+2,FALSE))))</f>
        <v>0</v>
      </c>
      <c r="M1664" s="306">
        <f t="shared" si="445"/>
        <v>0</v>
      </c>
      <c r="N1664" s="305">
        <f>IF(G1664=0,0,(IF(OR(E1664=$AT$5,E1664=$AT$6),AC1664,HLOOKUP(YEAR(G1664)+(MONTH(G1664)/100),TC!$5:$37,DAY(G1664)+2,FALSE))))</f>
        <v>0</v>
      </c>
      <c r="O1664" s="307">
        <f t="shared" si="446"/>
        <v>0</v>
      </c>
      <c r="P1664" s="560">
        <f>IF(G1664=0,0,VLOOKUP(YEAR(G1664),INPC!$B$4:$P$30,MONTH(G1664)+2))</f>
        <v>0</v>
      </c>
      <c r="Q1664" s="560">
        <f>IF(X1664=0,0,IF(OR(E1664=$AT$10,E1664=$AT$9),VLOOKUP(YEAR(X1664),INPC!$B$4:$P$30,MONTH(X1664)+1),VLOOKUP(YEAR(X1664),INPC!$B$4:$P$30,MONTH(X1664)+2,0)))</f>
        <v>0</v>
      </c>
      <c r="R1664" s="309">
        <f t="shared" si="447"/>
        <v>0</v>
      </c>
      <c r="S1664" s="310">
        <f t="shared" si="448"/>
        <v>0</v>
      </c>
      <c r="T1664" s="555">
        <f t="shared" si="449"/>
        <v>0</v>
      </c>
      <c r="U1664" s="311"/>
      <c r="V1664" s="312"/>
      <c r="W1664" s="299"/>
      <c r="X1664" s="300"/>
      <c r="Y1664" s="299"/>
      <c r="Z1664" s="303"/>
      <c r="AA1664" s="305">
        <f>IF(Z1664=0,0,IF(Y1664="MXN",1/HLOOKUP(YEAR(X1664)+(MONTH(X1664)/100),TC!$5:$37,DAY(X1664)+2,FALSE),VLOOKUP(Y1664,Equivalencia!$1:$23,((MAX(Equivalencia!$3:$3)-YEAR(X1664))*14)+MONTH(X1664)+2,FALSE)))</f>
        <v>0</v>
      </c>
      <c r="AB1664" s="306">
        <f t="shared" si="450"/>
        <v>0</v>
      </c>
      <c r="AC1664" s="305">
        <f>+IF(X1664=0,0,HLOOKUP(YEAR(X1664)+(MONTH(X1664)/100),TC!$5:$37,DAY(X1664)+2,FALSE))</f>
        <v>0</v>
      </c>
      <c r="AD1664" s="307">
        <f t="shared" si="451"/>
        <v>0</v>
      </c>
      <c r="AE1664" s="314">
        <f t="shared" si="452"/>
        <v>0</v>
      </c>
      <c r="AF1664" s="315">
        <f t="shared" si="453"/>
        <v>0</v>
      </c>
      <c r="AG1664" s="316">
        <f t="shared" si="454"/>
        <v>0</v>
      </c>
      <c r="AH1664" s="314">
        <v>1</v>
      </c>
      <c r="AI1664" s="314">
        <f t="shared" si="455"/>
        <v>0</v>
      </c>
      <c r="AJ1664" s="314">
        <f t="shared" si="456"/>
        <v>0</v>
      </c>
      <c r="AK1664" s="317"/>
      <c r="AL1664" s="315">
        <f t="shared" si="457"/>
        <v>0</v>
      </c>
      <c r="AN1664" s="554">
        <f t="shared" si="458"/>
        <v>0</v>
      </c>
      <c r="AO1664" s="314"/>
      <c r="AP1664" s="318"/>
    </row>
    <row r="1665" spans="2:42">
      <c r="B1665" s="296"/>
      <c r="C1665" s="299"/>
      <c r="D1665" s="298"/>
      <c r="E1665" s="299"/>
      <c r="F1665" s="299"/>
      <c r="G1665" s="300"/>
      <c r="H1665" s="303"/>
      <c r="I1665" s="301">
        <f t="shared" si="442"/>
        <v>0</v>
      </c>
      <c r="J1665" s="302">
        <f t="shared" si="443"/>
        <v>0</v>
      </c>
      <c r="K1665" s="304">
        <f t="shared" si="444"/>
        <v>0</v>
      </c>
      <c r="L1665" s="305">
        <f>IF(H1665=0,0,IF(OR(E1665=$AT$5,E1665=$AT$6),AA1665,IF(F1665="MXN",1/HLOOKUP(YEAR(G1665)+(MONTH(G1665)/100),TC!$5:$37,DAY(G1665)+2,FALSE),VLOOKUP(F1665,Equivalencia!$5:$23,((MAX(Equivalencia!$3:$3)-YEAR(G1665))*14)+MONTH(G1665)+2,FALSE))))</f>
        <v>0</v>
      </c>
      <c r="M1665" s="306">
        <f t="shared" si="445"/>
        <v>0</v>
      </c>
      <c r="N1665" s="305">
        <f>IF(G1665=0,0,(IF(OR(E1665=$AT$5,E1665=$AT$6),AC1665,HLOOKUP(YEAR(G1665)+(MONTH(G1665)/100),TC!$5:$37,DAY(G1665)+2,FALSE))))</f>
        <v>0</v>
      </c>
      <c r="O1665" s="307">
        <f t="shared" si="446"/>
        <v>0</v>
      </c>
      <c r="P1665" s="560">
        <f>IF(G1665=0,0,VLOOKUP(YEAR(G1665),INPC!$B$4:$P$30,MONTH(G1665)+2))</f>
        <v>0</v>
      </c>
      <c r="Q1665" s="560">
        <f>IF(X1665=0,0,IF(OR(E1665=$AT$10,E1665=$AT$9),VLOOKUP(YEAR(X1665),INPC!$B$4:$P$30,MONTH(X1665)+1),VLOOKUP(YEAR(X1665),INPC!$B$4:$P$30,MONTH(X1665)+2,0)))</f>
        <v>0</v>
      </c>
      <c r="R1665" s="309">
        <f t="shared" si="447"/>
        <v>0</v>
      </c>
      <c r="S1665" s="310">
        <f t="shared" si="448"/>
        <v>0</v>
      </c>
      <c r="T1665" s="555">
        <f t="shared" si="449"/>
        <v>0</v>
      </c>
      <c r="U1665" s="311"/>
      <c r="V1665" s="312"/>
      <c r="W1665" s="299"/>
      <c r="X1665" s="300"/>
      <c r="Y1665" s="299"/>
      <c r="Z1665" s="303"/>
      <c r="AA1665" s="305">
        <f>IF(Z1665=0,0,IF(Y1665="MXN",1/HLOOKUP(YEAR(X1665)+(MONTH(X1665)/100),TC!$5:$37,DAY(X1665)+2,FALSE),VLOOKUP(Y1665,Equivalencia!$1:$23,((MAX(Equivalencia!$3:$3)-YEAR(X1665))*14)+MONTH(X1665)+2,FALSE)))</f>
        <v>0</v>
      </c>
      <c r="AB1665" s="306">
        <f t="shared" si="450"/>
        <v>0</v>
      </c>
      <c r="AC1665" s="305">
        <f>+IF(X1665=0,0,HLOOKUP(YEAR(X1665)+(MONTH(X1665)/100),TC!$5:$37,DAY(X1665)+2,FALSE))</f>
        <v>0</v>
      </c>
      <c r="AD1665" s="307">
        <f t="shared" si="451"/>
        <v>0</v>
      </c>
      <c r="AE1665" s="314">
        <f t="shared" si="452"/>
        <v>0</v>
      </c>
      <c r="AF1665" s="315">
        <f t="shared" si="453"/>
        <v>0</v>
      </c>
      <c r="AG1665" s="316">
        <f t="shared" si="454"/>
        <v>0</v>
      </c>
      <c r="AH1665" s="314">
        <v>1</v>
      </c>
      <c r="AI1665" s="314">
        <f t="shared" si="455"/>
        <v>0</v>
      </c>
      <c r="AJ1665" s="314">
        <f t="shared" si="456"/>
        <v>0</v>
      </c>
      <c r="AK1665" s="317"/>
      <c r="AL1665" s="315">
        <f t="shared" si="457"/>
        <v>0</v>
      </c>
      <c r="AN1665" s="554">
        <f t="shared" si="458"/>
        <v>0</v>
      </c>
      <c r="AO1665" s="314"/>
      <c r="AP1665" s="318"/>
    </row>
    <row r="1666" spans="2:42">
      <c r="B1666" s="296"/>
      <c r="C1666" s="299"/>
      <c r="D1666" s="298"/>
      <c r="E1666" s="299"/>
      <c r="F1666" s="299"/>
      <c r="G1666" s="300"/>
      <c r="H1666" s="303"/>
      <c r="I1666" s="301">
        <f t="shared" si="442"/>
        <v>0</v>
      </c>
      <c r="J1666" s="302">
        <f t="shared" si="443"/>
        <v>0</v>
      </c>
      <c r="K1666" s="304">
        <f t="shared" si="444"/>
        <v>0</v>
      </c>
      <c r="L1666" s="305">
        <f>IF(H1666=0,0,IF(OR(E1666=$AT$5,E1666=$AT$6),AA1666,IF(F1666="MXN",1/HLOOKUP(YEAR(G1666)+(MONTH(G1666)/100),TC!$5:$37,DAY(G1666)+2,FALSE),VLOOKUP(F1666,Equivalencia!$5:$23,((MAX(Equivalencia!$3:$3)-YEAR(G1666))*14)+MONTH(G1666)+2,FALSE))))</f>
        <v>0</v>
      </c>
      <c r="M1666" s="306">
        <f t="shared" si="445"/>
        <v>0</v>
      </c>
      <c r="N1666" s="305">
        <f>IF(G1666=0,0,(IF(OR(E1666=$AT$5,E1666=$AT$6),AC1666,HLOOKUP(YEAR(G1666)+(MONTH(G1666)/100),TC!$5:$37,DAY(G1666)+2,FALSE))))</f>
        <v>0</v>
      </c>
      <c r="O1666" s="307">
        <f t="shared" si="446"/>
        <v>0</v>
      </c>
      <c r="P1666" s="560">
        <f>IF(G1666=0,0,VLOOKUP(YEAR(G1666),INPC!$B$4:$P$30,MONTH(G1666)+2))</f>
        <v>0</v>
      </c>
      <c r="Q1666" s="560">
        <f>IF(X1666=0,0,IF(OR(E1666=$AT$10,E1666=$AT$9),VLOOKUP(YEAR(X1666),INPC!$B$4:$P$30,MONTH(X1666)+1),VLOOKUP(YEAR(X1666),INPC!$B$4:$P$30,MONTH(X1666)+2,0)))</f>
        <v>0</v>
      </c>
      <c r="R1666" s="309">
        <f t="shared" si="447"/>
        <v>0</v>
      </c>
      <c r="S1666" s="310">
        <f t="shared" si="448"/>
        <v>0</v>
      </c>
      <c r="T1666" s="555">
        <f t="shared" si="449"/>
        <v>0</v>
      </c>
      <c r="U1666" s="311"/>
      <c r="V1666" s="312"/>
      <c r="W1666" s="299"/>
      <c r="X1666" s="300"/>
      <c r="Y1666" s="299"/>
      <c r="Z1666" s="303"/>
      <c r="AA1666" s="305">
        <f>IF(Z1666=0,0,IF(Y1666="MXN",1/HLOOKUP(YEAR(X1666)+(MONTH(X1666)/100),TC!$5:$37,DAY(X1666)+2,FALSE),VLOOKUP(Y1666,Equivalencia!$1:$23,((MAX(Equivalencia!$3:$3)-YEAR(X1666))*14)+MONTH(X1666)+2,FALSE)))</f>
        <v>0</v>
      </c>
      <c r="AB1666" s="306">
        <f t="shared" si="450"/>
        <v>0</v>
      </c>
      <c r="AC1666" s="305">
        <f>+IF(X1666=0,0,HLOOKUP(YEAR(X1666)+(MONTH(X1666)/100),TC!$5:$37,DAY(X1666)+2,FALSE))</f>
        <v>0</v>
      </c>
      <c r="AD1666" s="307">
        <f t="shared" si="451"/>
        <v>0</v>
      </c>
      <c r="AE1666" s="314">
        <f t="shared" si="452"/>
        <v>0</v>
      </c>
      <c r="AF1666" s="315">
        <f t="shared" si="453"/>
        <v>0</v>
      </c>
      <c r="AG1666" s="316">
        <f t="shared" si="454"/>
        <v>0</v>
      </c>
      <c r="AH1666" s="314">
        <v>1</v>
      </c>
      <c r="AI1666" s="314">
        <f t="shared" si="455"/>
        <v>0</v>
      </c>
      <c r="AJ1666" s="314">
        <f t="shared" si="456"/>
        <v>0</v>
      </c>
      <c r="AK1666" s="317"/>
      <c r="AL1666" s="315">
        <f t="shared" si="457"/>
        <v>0</v>
      </c>
      <c r="AN1666" s="554">
        <f t="shared" si="458"/>
        <v>0</v>
      </c>
      <c r="AO1666" s="314"/>
      <c r="AP1666" s="318"/>
    </row>
    <row r="1667" spans="2:42">
      <c r="B1667" s="296"/>
      <c r="C1667" s="299"/>
      <c r="D1667" s="298"/>
      <c r="E1667" s="299"/>
      <c r="F1667" s="299"/>
      <c r="G1667" s="300"/>
      <c r="H1667" s="303"/>
      <c r="I1667" s="301">
        <f t="shared" si="442"/>
        <v>0</v>
      </c>
      <c r="J1667" s="302">
        <f t="shared" si="443"/>
        <v>0</v>
      </c>
      <c r="K1667" s="304">
        <f t="shared" si="444"/>
        <v>0</v>
      </c>
      <c r="L1667" s="305">
        <f>IF(H1667=0,0,IF(OR(E1667=$AT$5,E1667=$AT$6),AA1667,IF(F1667="MXN",1/HLOOKUP(YEAR(G1667)+(MONTH(G1667)/100),TC!$5:$37,DAY(G1667)+2,FALSE),VLOOKUP(F1667,Equivalencia!$5:$23,((MAX(Equivalencia!$3:$3)-YEAR(G1667))*14)+MONTH(G1667)+2,FALSE))))</f>
        <v>0</v>
      </c>
      <c r="M1667" s="306">
        <f t="shared" si="445"/>
        <v>0</v>
      </c>
      <c r="N1667" s="305">
        <f>IF(G1667=0,0,(IF(OR(E1667=$AT$5,E1667=$AT$6),AC1667,HLOOKUP(YEAR(G1667)+(MONTH(G1667)/100),TC!$5:$37,DAY(G1667)+2,FALSE))))</f>
        <v>0</v>
      </c>
      <c r="O1667" s="307">
        <f t="shared" si="446"/>
        <v>0</v>
      </c>
      <c r="P1667" s="560">
        <f>IF(G1667=0,0,VLOOKUP(YEAR(G1667),INPC!$B$4:$P$30,MONTH(G1667)+2))</f>
        <v>0</v>
      </c>
      <c r="Q1667" s="560">
        <f>IF(X1667=0,0,IF(OR(E1667=$AT$10,E1667=$AT$9),VLOOKUP(YEAR(X1667),INPC!$B$4:$P$30,MONTH(X1667)+1),VLOOKUP(YEAR(X1667),INPC!$B$4:$P$30,MONTH(X1667)+2,0)))</f>
        <v>0</v>
      </c>
      <c r="R1667" s="309">
        <f t="shared" si="447"/>
        <v>0</v>
      </c>
      <c r="S1667" s="310">
        <f t="shared" si="448"/>
        <v>0</v>
      </c>
      <c r="T1667" s="555">
        <f t="shared" si="449"/>
        <v>0</v>
      </c>
      <c r="U1667" s="311"/>
      <c r="V1667" s="312"/>
      <c r="W1667" s="299"/>
      <c r="X1667" s="300"/>
      <c r="Y1667" s="299"/>
      <c r="Z1667" s="303"/>
      <c r="AA1667" s="305">
        <f>IF(Z1667=0,0,IF(Y1667="MXN",1/HLOOKUP(YEAR(X1667)+(MONTH(X1667)/100),TC!$5:$37,DAY(X1667)+2,FALSE),VLOOKUP(Y1667,Equivalencia!$1:$23,((MAX(Equivalencia!$3:$3)-YEAR(X1667))*14)+MONTH(X1667)+2,FALSE)))</f>
        <v>0</v>
      </c>
      <c r="AB1667" s="306">
        <f t="shared" si="450"/>
        <v>0</v>
      </c>
      <c r="AC1667" s="305">
        <f>+IF(X1667=0,0,HLOOKUP(YEAR(X1667)+(MONTH(X1667)/100),TC!$5:$37,DAY(X1667)+2,FALSE))</f>
        <v>0</v>
      </c>
      <c r="AD1667" s="307">
        <f t="shared" si="451"/>
        <v>0</v>
      </c>
      <c r="AE1667" s="314">
        <f t="shared" si="452"/>
        <v>0</v>
      </c>
      <c r="AF1667" s="315">
        <f t="shared" si="453"/>
        <v>0</v>
      </c>
      <c r="AG1667" s="316">
        <f t="shared" si="454"/>
        <v>0</v>
      </c>
      <c r="AH1667" s="314">
        <v>1</v>
      </c>
      <c r="AI1667" s="314">
        <f t="shared" si="455"/>
        <v>0</v>
      </c>
      <c r="AJ1667" s="314">
        <f t="shared" si="456"/>
        <v>0</v>
      </c>
      <c r="AK1667" s="317"/>
      <c r="AL1667" s="315">
        <f t="shared" si="457"/>
        <v>0</v>
      </c>
      <c r="AN1667" s="554">
        <f t="shared" si="458"/>
        <v>0</v>
      </c>
      <c r="AO1667" s="314"/>
      <c r="AP1667" s="318"/>
    </row>
    <row r="1668" spans="2:42">
      <c r="B1668" s="296"/>
      <c r="C1668" s="299"/>
      <c r="D1668" s="298"/>
      <c r="E1668" s="299"/>
      <c r="F1668" s="299"/>
      <c r="G1668" s="300"/>
      <c r="H1668" s="303"/>
      <c r="I1668" s="301">
        <f t="shared" si="442"/>
        <v>0</v>
      </c>
      <c r="J1668" s="302">
        <f t="shared" si="443"/>
        <v>0</v>
      </c>
      <c r="K1668" s="304">
        <f t="shared" si="444"/>
        <v>0</v>
      </c>
      <c r="L1668" s="305">
        <f>IF(H1668=0,0,IF(OR(E1668=$AT$5,E1668=$AT$6),AA1668,IF(F1668="MXN",1/HLOOKUP(YEAR(G1668)+(MONTH(G1668)/100),TC!$5:$37,DAY(G1668)+2,FALSE),VLOOKUP(F1668,Equivalencia!$5:$23,((MAX(Equivalencia!$3:$3)-YEAR(G1668))*14)+MONTH(G1668)+2,FALSE))))</f>
        <v>0</v>
      </c>
      <c r="M1668" s="306">
        <f t="shared" si="445"/>
        <v>0</v>
      </c>
      <c r="N1668" s="305">
        <f>IF(G1668=0,0,(IF(OR(E1668=$AT$5,E1668=$AT$6),AC1668,HLOOKUP(YEAR(G1668)+(MONTH(G1668)/100),TC!$5:$37,DAY(G1668)+2,FALSE))))</f>
        <v>0</v>
      </c>
      <c r="O1668" s="307">
        <f t="shared" si="446"/>
        <v>0</v>
      </c>
      <c r="P1668" s="560">
        <f>IF(G1668=0,0,VLOOKUP(YEAR(G1668),INPC!$B$4:$P$30,MONTH(G1668)+2))</f>
        <v>0</v>
      </c>
      <c r="Q1668" s="560">
        <f>IF(X1668=0,0,IF(OR(E1668=$AT$10,E1668=$AT$9),VLOOKUP(YEAR(X1668),INPC!$B$4:$P$30,MONTH(X1668)+1),VLOOKUP(YEAR(X1668),INPC!$B$4:$P$30,MONTH(X1668)+2,0)))</f>
        <v>0</v>
      </c>
      <c r="R1668" s="309">
        <f t="shared" si="447"/>
        <v>0</v>
      </c>
      <c r="S1668" s="310">
        <f t="shared" si="448"/>
        <v>0</v>
      </c>
      <c r="T1668" s="555">
        <f t="shared" si="449"/>
        <v>0</v>
      </c>
      <c r="U1668" s="311"/>
      <c r="V1668" s="312"/>
      <c r="W1668" s="299"/>
      <c r="X1668" s="300"/>
      <c r="Y1668" s="299"/>
      <c r="Z1668" s="303"/>
      <c r="AA1668" s="305">
        <f>IF(Z1668=0,0,IF(Y1668="MXN",1/HLOOKUP(YEAR(X1668)+(MONTH(X1668)/100),TC!$5:$37,DAY(X1668)+2,FALSE),VLOOKUP(Y1668,Equivalencia!$1:$23,((MAX(Equivalencia!$3:$3)-YEAR(X1668))*14)+MONTH(X1668)+2,FALSE)))</f>
        <v>0</v>
      </c>
      <c r="AB1668" s="306">
        <f t="shared" si="450"/>
        <v>0</v>
      </c>
      <c r="AC1668" s="305">
        <f>+IF(X1668=0,0,HLOOKUP(YEAR(X1668)+(MONTH(X1668)/100),TC!$5:$37,DAY(X1668)+2,FALSE))</f>
        <v>0</v>
      </c>
      <c r="AD1668" s="307">
        <f t="shared" si="451"/>
        <v>0</v>
      </c>
      <c r="AE1668" s="314">
        <f t="shared" si="452"/>
        <v>0</v>
      </c>
      <c r="AF1668" s="315">
        <f t="shared" si="453"/>
        <v>0</v>
      </c>
      <c r="AG1668" s="316">
        <f t="shared" si="454"/>
        <v>0</v>
      </c>
      <c r="AH1668" s="314">
        <v>1</v>
      </c>
      <c r="AI1668" s="314">
        <f t="shared" si="455"/>
        <v>0</v>
      </c>
      <c r="AJ1668" s="314">
        <f t="shared" si="456"/>
        <v>0</v>
      </c>
      <c r="AK1668" s="317"/>
      <c r="AL1668" s="315">
        <f t="shared" si="457"/>
        <v>0</v>
      </c>
      <c r="AN1668" s="554">
        <f t="shared" si="458"/>
        <v>0</v>
      </c>
      <c r="AO1668" s="314"/>
      <c r="AP1668" s="318"/>
    </row>
    <row r="1669" spans="2:42">
      <c r="B1669" s="296"/>
      <c r="C1669" s="299"/>
      <c r="D1669" s="298"/>
      <c r="E1669" s="299"/>
      <c r="F1669" s="299"/>
      <c r="G1669" s="300"/>
      <c r="H1669" s="303"/>
      <c r="I1669" s="301">
        <f t="shared" si="442"/>
        <v>0</v>
      </c>
      <c r="J1669" s="302">
        <f t="shared" si="443"/>
        <v>0</v>
      </c>
      <c r="K1669" s="304">
        <f t="shared" si="444"/>
        <v>0</v>
      </c>
      <c r="L1669" s="305">
        <f>IF(H1669=0,0,IF(OR(E1669=$AT$5,E1669=$AT$6),AA1669,IF(F1669="MXN",1/HLOOKUP(YEAR(G1669)+(MONTH(G1669)/100),TC!$5:$37,DAY(G1669)+2,FALSE),VLOOKUP(F1669,Equivalencia!$5:$23,((MAX(Equivalencia!$3:$3)-YEAR(G1669))*14)+MONTH(G1669)+2,FALSE))))</f>
        <v>0</v>
      </c>
      <c r="M1669" s="306">
        <f t="shared" si="445"/>
        <v>0</v>
      </c>
      <c r="N1669" s="305">
        <f>IF(G1669=0,0,(IF(OR(E1669=$AT$5,E1669=$AT$6),AC1669,HLOOKUP(YEAR(G1669)+(MONTH(G1669)/100),TC!$5:$37,DAY(G1669)+2,FALSE))))</f>
        <v>0</v>
      </c>
      <c r="O1669" s="307">
        <f t="shared" si="446"/>
        <v>0</v>
      </c>
      <c r="P1669" s="560">
        <f>IF(G1669=0,0,VLOOKUP(YEAR(G1669),INPC!$B$4:$P$30,MONTH(G1669)+2))</f>
        <v>0</v>
      </c>
      <c r="Q1669" s="560">
        <f>IF(X1669=0,0,IF(OR(E1669=$AT$10,E1669=$AT$9),VLOOKUP(YEAR(X1669),INPC!$B$4:$P$30,MONTH(X1669)+1),VLOOKUP(YEAR(X1669),INPC!$B$4:$P$30,MONTH(X1669)+2,0)))</f>
        <v>0</v>
      </c>
      <c r="R1669" s="309">
        <f t="shared" si="447"/>
        <v>0</v>
      </c>
      <c r="S1669" s="310">
        <f t="shared" si="448"/>
        <v>0</v>
      </c>
      <c r="T1669" s="555">
        <f t="shared" si="449"/>
        <v>0</v>
      </c>
      <c r="U1669" s="311"/>
      <c r="V1669" s="312"/>
      <c r="W1669" s="299"/>
      <c r="X1669" s="300"/>
      <c r="Y1669" s="299"/>
      <c r="Z1669" s="303"/>
      <c r="AA1669" s="305">
        <f>IF(Z1669=0,0,IF(Y1669="MXN",1/HLOOKUP(YEAR(X1669)+(MONTH(X1669)/100),TC!$5:$37,DAY(X1669)+2,FALSE),VLOOKUP(Y1669,Equivalencia!$1:$23,((MAX(Equivalencia!$3:$3)-YEAR(X1669))*14)+MONTH(X1669)+2,FALSE)))</f>
        <v>0</v>
      </c>
      <c r="AB1669" s="306">
        <f t="shared" si="450"/>
        <v>0</v>
      </c>
      <c r="AC1669" s="305">
        <f>+IF(X1669=0,0,HLOOKUP(YEAR(X1669)+(MONTH(X1669)/100),TC!$5:$37,DAY(X1669)+2,FALSE))</f>
        <v>0</v>
      </c>
      <c r="AD1669" s="307">
        <f t="shared" si="451"/>
        <v>0</v>
      </c>
      <c r="AE1669" s="314">
        <f t="shared" si="452"/>
        <v>0</v>
      </c>
      <c r="AF1669" s="315">
        <f t="shared" si="453"/>
        <v>0</v>
      </c>
      <c r="AG1669" s="316">
        <f t="shared" si="454"/>
        <v>0</v>
      </c>
      <c r="AH1669" s="314">
        <v>1</v>
      </c>
      <c r="AI1669" s="314">
        <f t="shared" si="455"/>
        <v>0</v>
      </c>
      <c r="AJ1669" s="314">
        <f t="shared" si="456"/>
        <v>0</v>
      </c>
      <c r="AK1669" s="317"/>
      <c r="AL1669" s="315">
        <f t="shared" si="457"/>
        <v>0</v>
      </c>
      <c r="AN1669" s="554">
        <f t="shared" si="458"/>
        <v>0</v>
      </c>
      <c r="AO1669" s="314"/>
      <c r="AP1669" s="318"/>
    </row>
    <row r="1670" spans="2:42">
      <c r="B1670" s="296"/>
      <c r="C1670" s="299"/>
      <c r="D1670" s="298"/>
      <c r="E1670" s="299"/>
      <c r="F1670" s="299"/>
      <c r="G1670" s="300"/>
      <c r="H1670" s="303"/>
      <c r="I1670" s="301">
        <f t="shared" si="442"/>
        <v>0</v>
      </c>
      <c r="J1670" s="302">
        <f t="shared" si="443"/>
        <v>0</v>
      </c>
      <c r="K1670" s="304">
        <f t="shared" si="444"/>
        <v>0</v>
      </c>
      <c r="L1670" s="305">
        <f>IF(H1670=0,0,IF(OR(E1670=$AT$5,E1670=$AT$6),AA1670,IF(F1670="MXN",1/HLOOKUP(YEAR(G1670)+(MONTH(G1670)/100),TC!$5:$37,DAY(G1670)+2,FALSE),VLOOKUP(F1670,Equivalencia!$5:$23,((MAX(Equivalencia!$3:$3)-YEAR(G1670))*14)+MONTH(G1670)+2,FALSE))))</f>
        <v>0</v>
      </c>
      <c r="M1670" s="306">
        <f t="shared" si="445"/>
        <v>0</v>
      </c>
      <c r="N1670" s="305">
        <f>IF(G1670=0,0,(IF(OR(E1670=$AT$5,E1670=$AT$6),AC1670,HLOOKUP(YEAR(G1670)+(MONTH(G1670)/100),TC!$5:$37,DAY(G1670)+2,FALSE))))</f>
        <v>0</v>
      </c>
      <c r="O1670" s="307">
        <f t="shared" si="446"/>
        <v>0</v>
      </c>
      <c r="P1670" s="560">
        <f>IF(G1670=0,0,VLOOKUP(YEAR(G1670),INPC!$B$4:$P$30,MONTH(G1670)+2))</f>
        <v>0</v>
      </c>
      <c r="Q1670" s="560">
        <f>IF(X1670=0,0,IF(OR(E1670=$AT$10,E1670=$AT$9),VLOOKUP(YEAR(X1670),INPC!$B$4:$P$30,MONTH(X1670)+1),VLOOKUP(YEAR(X1670),INPC!$B$4:$P$30,MONTH(X1670)+2,0)))</f>
        <v>0</v>
      </c>
      <c r="R1670" s="309">
        <f t="shared" si="447"/>
        <v>0</v>
      </c>
      <c r="S1670" s="310">
        <f t="shared" si="448"/>
        <v>0</v>
      </c>
      <c r="T1670" s="555">
        <f t="shared" si="449"/>
        <v>0</v>
      </c>
      <c r="U1670" s="311"/>
      <c r="V1670" s="312"/>
      <c r="W1670" s="299"/>
      <c r="X1670" s="300"/>
      <c r="Y1670" s="299"/>
      <c r="Z1670" s="303"/>
      <c r="AA1670" s="305">
        <f>IF(Z1670=0,0,IF(Y1670="MXN",1/HLOOKUP(YEAR(X1670)+(MONTH(X1670)/100),TC!$5:$37,DAY(X1670)+2,FALSE),VLOOKUP(Y1670,Equivalencia!$1:$23,((MAX(Equivalencia!$3:$3)-YEAR(X1670))*14)+MONTH(X1670)+2,FALSE)))</f>
        <v>0</v>
      </c>
      <c r="AB1670" s="306">
        <f t="shared" si="450"/>
        <v>0</v>
      </c>
      <c r="AC1670" s="305">
        <f>+IF(X1670=0,0,HLOOKUP(YEAR(X1670)+(MONTH(X1670)/100),TC!$5:$37,DAY(X1670)+2,FALSE))</f>
        <v>0</v>
      </c>
      <c r="AD1670" s="307">
        <f t="shared" si="451"/>
        <v>0</v>
      </c>
      <c r="AE1670" s="314">
        <f t="shared" si="452"/>
        <v>0</v>
      </c>
      <c r="AF1670" s="315">
        <f t="shared" si="453"/>
        <v>0</v>
      </c>
      <c r="AG1670" s="316">
        <f t="shared" si="454"/>
        <v>0</v>
      </c>
      <c r="AH1670" s="314">
        <v>1</v>
      </c>
      <c r="AI1670" s="314">
        <f t="shared" si="455"/>
        <v>0</v>
      </c>
      <c r="AJ1670" s="314">
        <f t="shared" si="456"/>
        <v>0</v>
      </c>
      <c r="AK1670" s="317"/>
      <c r="AL1670" s="315">
        <f t="shared" si="457"/>
        <v>0</v>
      </c>
      <c r="AN1670" s="554">
        <f t="shared" si="458"/>
        <v>0</v>
      </c>
      <c r="AO1670" s="314"/>
      <c r="AP1670" s="318"/>
    </row>
    <row r="1671" spans="2:42">
      <c r="B1671" s="296"/>
      <c r="C1671" s="299"/>
      <c r="D1671" s="298"/>
      <c r="E1671" s="299"/>
      <c r="F1671" s="299"/>
      <c r="G1671" s="300"/>
      <c r="H1671" s="303"/>
      <c r="I1671" s="301">
        <f t="shared" si="442"/>
        <v>0</v>
      </c>
      <c r="J1671" s="302">
        <f t="shared" si="443"/>
        <v>0</v>
      </c>
      <c r="K1671" s="304">
        <f t="shared" si="444"/>
        <v>0</v>
      </c>
      <c r="L1671" s="305">
        <f>IF(H1671=0,0,IF(OR(E1671=$AT$5,E1671=$AT$6),AA1671,IF(F1671="MXN",1/HLOOKUP(YEAR(G1671)+(MONTH(G1671)/100),TC!$5:$37,DAY(G1671)+2,FALSE),VLOOKUP(F1671,Equivalencia!$5:$23,((MAX(Equivalencia!$3:$3)-YEAR(G1671))*14)+MONTH(G1671)+2,FALSE))))</f>
        <v>0</v>
      </c>
      <c r="M1671" s="306">
        <f t="shared" si="445"/>
        <v>0</v>
      </c>
      <c r="N1671" s="305">
        <f>IF(G1671=0,0,(IF(OR(E1671=$AT$5,E1671=$AT$6),AC1671,HLOOKUP(YEAR(G1671)+(MONTH(G1671)/100),TC!$5:$37,DAY(G1671)+2,FALSE))))</f>
        <v>0</v>
      </c>
      <c r="O1671" s="307">
        <f t="shared" si="446"/>
        <v>0</v>
      </c>
      <c r="P1671" s="560">
        <f>IF(G1671=0,0,VLOOKUP(YEAR(G1671),INPC!$B$4:$P$30,MONTH(G1671)+2))</f>
        <v>0</v>
      </c>
      <c r="Q1671" s="560">
        <f>IF(X1671=0,0,IF(OR(E1671=$AT$10,E1671=$AT$9),VLOOKUP(YEAR(X1671),INPC!$B$4:$P$30,MONTH(X1671)+1),VLOOKUP(YEAR(X1671),INPC!$B$4:$P$30,MONTH(X1671)+2,0)))</f>
        <v>0</v>
      </c>
      <c r="R1671" s="309">
        <f t="shared" si="447"/>
        <v>0</v>
      </c>
      <c r="S1671" s="310">
        <f t="shared" si="448"/>
        <v>0</v>
      </c>
      <c r="T1671" s="555">
        <f t="shared" si="449"/>
        <v>0</v>
      </c>
      <c r="U1671" s="311"/>
      <c r="V1671" s="312"/>
      <c r="W1671" s="299"/>
      <c r="X1671" s="300"/>
      <c r="Y1671" s="299"/>
      <c r="Z1671" s="303"/>
      <c r="AA1671" s="305">
        <f>IF(Z1671=0,0,IF(Y1671="MXN",1/HLOOKUP(YEAR(X1671)+(MONTH(X1671)/100),TC!$5:$37,DAY(X1671)+2,FALSE),VLOOKUP(Y1671,Equivalencia!$1:$23,((MAX(Equivalencia!$3:$3)-YEAR(X1671))*14)+MONTH(X1671)+2,FALSE)))</f>
        <v>0</v>
      </c>
      <c r="AB1671" s="306">
        <f t="shared" si="450"/>
        <v>0</v>
      </c>
      <c r="AC1671" s="305">
        <f>+IF(X1671=0,0,HLOOKUP(YEAR(X1671)+(MONTH(X1671)/100),TC!$5:$37,DAY(X1671)+2,FALSE))</f>
        <v>0</v>
      </c>
      <c r="AD1671" s="307">
        <f t="shared" si="451"/>
        <v>0</v>
      </c>
      <c r="AE1671" s="314">
        <f t="shared" si="452"/>
        <v>0</v>
      </c>
      <c r="AF1671" s="315">
        <f t="shared" si="453"/>
        <v>0</v>
      </c>
      <c r="AG1671" s="316">
        <f t="shared" si="454"/>
        <v>0</v>
      </c>
      <c r="AH1671" s="314">
        <v>1</v>
      </c>
      <c r="AI1671" s="314">
        <f t="shared" si="455"/>
        <v>0</v>
      </c>
      <c r="AJ1671" s="314">
        <f t="shared" si="456"/>
        <v>0</v>
      </c>
      <c r="AK1671" s="317"/>
      <c r="AL1671" s="315">
        <f t="shared" si="457"/>
        <v>0</v>
      </c>
      <c r="AN1671" s="554">
        <f t="shared" si="458"/>
        <v>0</v>
      </c>
      <c r="AO1671" s="314"/>
      <c r="AP1671" s="318"/>
    </row>
    <row r="1672" spans="2:42">
      <c r="B1672" s="296"/>
      <c r="C1672" s="299"/>
      <c r="D1672" s="298"/>
      <c r="E1672" s="299"/>
      <c r="F1672" s="299"/>
      <c r="G1672" s="300"/>
      <c r="H1672" s="303"/>
      <c r="I1672" s="301">
        <f t="shared" si="442"/>
        <v>0</v>
      </c>
      <c r="J1672" s="302">
        <f t="shared" si="443"/>
        <v>0</v>
      </c>
      <c r="K1672" s="304">
        <f t="shared" si="444"/>
        <v>0</v>
      </c>
      <c r="L1672" s="305">
        <f>IF(H1672=0,0,IF(OR(E1672=$AT$5,E1672=$AT$6),AA1672,IF(F1672="MXN",1/HLOOKUP(YEAR(G1672)+(MONTH(G1672)/100),TC!$5:$37,DAY(G1672)+2,FALSE),VLOOKUP(F1672,Equivalencia!$5:$23,((MAX(Equivalencia!$3:$3)-YEAR(G1672))*14)+MONTH(G1672)+2,FALSE))))</f>
        <v>0</v>
      </c>
      <c r="M1672" s="306">
        <f t="shared" si="445"/>
        <v>0</v>
      </c>
      <c r="N1672" s="305">
        <f>IF(G1672=0,0,(IF(OR(E1672=$AT$5,E1672=$AT$6),AC1672,HLOOKUP(YEAR(G1672)+(MONTH(G1672)/100),TC!$5:$37,DAY(G1672)+2,FALSE))))</f>
        <v>0</v>
      </c>
      <c r="O1672" s="307">
        <f t="shared" si="446"/>
        <v>0</v>
      </c>
      <c r="P1672" s="560">
        <f>IF(G1672=0,0,VLOOKUP(YEAR(G1672),INPC!$B$4:$P$30,MONTH(G1672)+2))</f>
        <v>0</v>
      </c>
      <c r="Q1672" s="560">
        <f>IF(X1672=0,0,IF(OR(E1672=$AT$10,E1672=$AT$9),VLOOKUP(YEAR(X1672),INPC!$B$4:$P$30,MONTH(X1672)+1),VLOOKUP(YEAR(X1672),INPC!$B$4:$P$30,MONTH(X1672)+2,0)))</f>
        <v>0</v>
      </c>
      <c r="R1672" s="309">
        <f t="shared" si="447"/>
        <v>0</v>
      </c>
      <c r="S1672" s="310">
        <f t="shared" si="448"/>
        <v>0</v>
      </c>
      <c r="T1672" s="555">
        <f t="shared" si="449"/>
        <v>0</v>
      </c>
      <c r="U1672" s="311"/>
      <c r="V1672" s="312"/>
      <c r="W1672" s="299"/>
      <c r="X1672" s="300"/>
      <c r="Y1672" s="299"/>
      <c r="Z1672" s="303"/>
      <c r="AA1672" s="305">
        <f>IF(Z1672=0,0,IF(Y1672="MXN",1/HLOOKUP(YEAR(X1672)+(MONTH(X1672)/100),TC!$5:$37,DAY(X1672)+2,FALSE),VLOOKUP(Y1672,Equivalencia!$1:$23,((MAX(Equivalencia!$3:$3)-YEAR(X1672))*14)+MONTH(X1672)+2,FALSE)))</f>
        <v>0</v>
      </c>
      <c r="AB1672" s="306">
        <f t="shared" si="450"/>
        <v>0</v>
      </c>
      <c r="AC1672" s="305">
        <f>+IF(X1672=0,0,HLOOKUP(YEAR(X1672)+(MONTH(X1672)/100),TC!$5:$37,DAY(X1672)+2,FALSE))</f>
        <v>0</v>
      </c>
      <c r="AD1672" s="307">
        <f t="shared" si="451"/>
        <v>0</v>
      </c>
      <c r="AE1672" s="314">
        <f t="shared" si="452"/>
        <v>0</v>
      </c>
      <c r="AF1672" s="315">
        <f t="shared" si="453"/>
        <v>0</v>
      </c>
      <c r="AG1672" s="316">
        <f t="shared" si="454"/>
        <v>0</v>
      </c>
      <c r="AH1672" s="314">
        <v>1</v>
      </c>
      <c r="AI1672" s="314">
        <f t="shared" si="455"/>
        <v>0</v>
      </c>
      <c r="AJ1672" s="314">
        <f t="shared" si="456"/>
        <v>0</v>
      </c>
      <c r="AK1672" s="317"/>
      <c r="AL1672" s="315">
        <f t="shared" si="457"/>
        <v>0</v>
      </c>
      <c r="AN1672" s="554">
        <f t="shared" si="458"/>
        <v>0</v>
      </c>
      <c r="AO1672" s="314"/>
      <c r="AP1672" s="318"/>
    </row>
    <row r="1673" spans="2:42">
      <c r="B1673" s="296"/>
      <c r="C1673" s="299"/>
      <c r="D1673" s="298"/>
      <c r="E1673" s="299"/>
      <c r="F1673" s="299"/>
      <c r="G1673" s="300"/>
      <c r="H1673" s="303"/>
      <c r="I1673" s="301">
        <f t="shared" si="442"/>
        <v>0</v>
      </c>
      <c r="J1673" s="302">
        <f t="shared" si="443"/>
        <v>0</v>
      </c>
      <c r="K1673" s="304">
        <f t="shared" si="444"/>
        <v>0</v>
      </c>
      <c r="L1673" s="305">
        <f>IF(H1673=0,0,IF(OR(E1673=$AT$5,E1673=$AT$6),AA1673,IF(F1673="MXN",1/HLOOKUP(YEAR(G1673)+(MONTH(G1673)/100),TC!$5:$37,DAY(G1673)+2,FALSE),VLOOKUP(F1673,Equivalencia!$5:$23,((MAX(Equivalencia!$3:$3)-YEAR(G1673))*14)+MONTH(G1673)+2,FALSE))))</f>
        <v>0</v>
      </c>
      <c r="M1673" s="306">
        <f t="shared" si="445"/>
        <v>0</v>
      </c>
      <c r="N1673" s="305">
        <f>IF(G1673=0,0,(IF(OR(E1673=$AT$5,E1673=$AT$6),AC1673,HLOOKUP(YEAR(G1673)+(MONTH(G1673)/100),TC!$5:$37,DAY(G1673)+2,FALSE))))</f>
        <v>0</v>
      </c>
      <c r="O1673" s="307">
        <f t="shared" si="446"/>
        <v>0</v>
      </c>
      <c r="P1673" s="560">
        <f>IF(G1673=0,0,VLOOKUP(YEAR(G1673),INPC!$B$4:$P$30,MONTH(G1673)+2))</f>
        <v>0</v>
      </c>
      <c r="Q1673" s="560">
        <f>IF(X1673=0,0,IF(OR(E1673=$AT$10,E1673=$AT$9),VLOOKUP(YEAR(X1673),INPC!$B$4:$P$30,MONTH(X1673)+1),VLOOKUP(YEAR(X1673),INPC!$B$4:$P$30,MONTH(X1673)+2,0)))</f>
        <v>0</v>
      </c>
      <c r="R1673" s="309">
        <f t="shared" si="447"/>
        <v>0</v>
      </c>
      <c r="S1673" s="310">
        <f t="shared" si="448"/>
        <v>0</v>
      </c>
      <c r="T1673" s="555">
        <f t="shared" si="449"/>
        <v>0</v>
      </c>
      <c r="U1673" s="311"/>
      <c r="V1673" s="312"/>
      <c r="W1673" s="299"/>
      <c r="X1673" s="300"/>
      <c r="Y1673" s="299"/>
      <c r="Z1673" s="303"/>
      <c r="AA1673" s="305">
        <f>IF(Z1673=0,0,IF(Y1673="MXN",1/HLOOKUP(YEAR(X1673)+(MONTH(X1673)/100),TC!$5:$37,DAY(X1673)+2,FALSE),VLOOKUP(Y1673,Equivalencia!$1:$23,((MAX(Equivalencia!$3:$3)-YEAR(X1673))*14)+MONTH(X1673)+2,FALSE)))</f>
        <v>0</v>
      </c>
      <c r="AB1673" s="306">
        <f t="shared" si="450"/>
        <v>0</v>
      </c>
      <c r="AC1673" s="305">
        <f>+IF(X1673=0,0,HLOOKUP(YEAR(X1673)+(MONTH(X1673)/100),TC!$5:$37,DAY(X1673)+2,FALSE))</f>
        <v>0</v>
      </c>
      <c r="AD1673" s="307">
        <f t="shared" si="451"/>
        <v>0</v>
      </c>
      <c r="AE1673" s="314">
        <f t="shared" si="452"/>
        <v>0</v>
      </c>
      <c r="AF1673" s="315">
        <f t="shared" si="453"/>
        <v>0</v>
      </c>
      <c r="AG1673" s="316">
        <f t="shared" si="454"/>
        <v>0</v>
      </c>
      <c r="AH1673" s="314">
        <v>1</v>
      </c>
      <c r="AI1673" s="314">
        <f t="shared" si="455"/>
        <v>0</v>
      </c>
      <c r="AJ1673" s="314">
        <f t="shared" si="456"/>
        <v>0</v>
      </c>
      <c r="AK1673" s="317"/>
      <c r="AL1673" s="315">
        <f t="shared" si="457"/>
        <v>0</v>
      </c>
      <c r="AN1673" s="554">
        <f t="shared" si="458"/>
        <v>0</v>
      </c>
      <c r="AO1673" s="314"/>
      <c r="AP1673" s="318"/>
    </row>
    <row r="1674" spans="2:42">
      <c r="B1674" s="296"/>
      <c r="C1674" s="299"/>
      <c r="D1674" s="298"/>
      <c r="E1674" s="299"/>
      <c r="F1674" s="299"/>
      <c r="G1674" s="300"/>
      <c r="H1674" s="303"/>
      <c r="I1674" s="301">
        <f t="shared" si="442"/>
        <v>0</v>
      </c>
      <c r="J1674" s="302">
        <f t="shared" si="443"/>
        <v>0</v>
      </c>
      <c r="K1674" s="304">
        <f t="shared" si="444"/>
        <v>0</v>
      </c>
      <c r="L1674" s="305">
        <f>IF(H1674=0,0,IF(OR(E1674=$AT$5,E1674=$AT$6),AA1674,IF(F1674="MXN",1/HLOOKUP(YEAR(G1674)+(MONTH(G1674)/100),TC!$5:$37,DAY(G1674)+2,FALSE),VLOOKUP(F1674,Equivalencia!$5:$23,((MAX(Equivalencia!$3:$3)-YEAR(G1674))*14)+MONTH(G1674)+2,FALSE))))</f>
        <v>0</v>
      </c>
      <c r="M1674" s="306">
        <f t="shared" si="445"/>
        <v>0</v>
      </c>
      <c r="N1674" s="305">
        <f>IF(G1674=0,0,(IF(OR(E1674=$AT$5,E1674=$AT$6),AC1674,HLOOKUP(YEAR(G1674)+(MONTH(G1674)/100),TC!$5:$37,DAY(G1674)+2,FALSE))))</f>
        <v>0</v>
      </c>
      <c r="O1674" s="307">
        <f t="shared" si="446"/>
        <v>0</v>
      </c>
      <c r="P1674" s="560">
        <f>IF(G1674=0,0,VLOOKUP(YEAR(G1674),INPC!$B$4:$P$30,MONTH(G1674)+2))</f>
        <v>0</v>
      </c>
      <c r="Q1674" s="560">
        <f>IF(X1674=0,0,IF(OR(E1674=$AT$10,E1674=$AT$9),VLOOKUP(YEAR(X1674),INPC!$B$4:$P$30,MONTH(X1674)+1),VLOOKUP(YEAR(X1674),INPC!$B$4:$P$30,MONTH(X1674)+2,0)))</f>
        <v>0</v>
      </c>
      <c r="R1674" s="309">
        <f t="shared" si="447"/>
        <v>0</v>
      </c>
      <c r="S1674" s="310">
        <f t="shared" si="448"/>
        <v>0</v>
      </c>
      <c r="T1674" s="555">
        <f t="shared" si="449"/>
        <v>0</v>
      </c>
      <c r="U1674" s="311"/>
      <c r="V1674" s="312"/>
      <c r="W1674" s="299"/>
      <c r="X1674" s="300"/>
      <c r="Y1674" s="299"/>
      <c r="Z1674" s="303"/>
      <c r="AA1674" s="305">
        <f>IF(Z1674=0,0,IF(Y1674="MXN",1/HLOOKUP(YEAR(X1674)+(MONTH(X1674)/100),TC!$5:$37,DAY(X1674)+2,FALSE),VLOOKUP(Y1674,Equivalencia!$1:$23,((MAX(Equivalencia!$3:$3)-YEAR(X1674))*14)+MONTH(X1674)+2,FALSE)))</f>
        <v>0</v>
      </c>
      <c r="AB1674" s="306">
        <f t="shared" si="450"/>
        <v>0</v>
      </c>
      <c r="AC1674" s="305">
        <f>+IF(X1674=0,0,HLOOKUP(YEAR(X1674)+(MONTH(X1674)/100),TC!$5:$37,DAY(X1674)+2,FALSE))</f>
        <v>0</v>
      </c>
      <c r="AD1674" s="307">
        <f t="shared" si="451"/>
        <v>0</v>
      </c>
      <c r="AE1674" s="314">
        <f t="shared" si="452"/>
        <v>0</v>
      </c>
      <c r="AF1674" s="315">
        <f t="shared" si="453"/>
        <v>0</v>
      </c>
      <c r="AG1674" s="316">
        <f t="shared" si="454"/>
        <v>0</v>
      </c>
      <c r="AH1674" s="314">
        <v>1</v>
      </c>
      <c r="AI1674" s="314">
        <f t="shared" si="455"/>
        <v>0</v>
      </c>
      <c r="AJ1674" s="314">
        <f t="shared" si="456"/>
        <v>0</v>
      </c>
      <c r="AK1674" s="317"/>
      <c r="AL1674" s="315">
        <f t="shared" si="457"/>
        <v>0</v>
      </c>
      <c r="AN1674" s="554">
        <f t="shared" si="458"/>
        <v>0</v>
      </c>
      <c r="AO1674" s="314"/>
      <c r="AP1674" s="318"/>
    </row>
    <row r="1675" spans="2:42">
      <c r="B1675" s="296"/>
      <c r="C1675" s="299"/>
      <c r="D1675" s="298"/>
      <c r="E1675" s="299"/>
      <c r="F1675" s="299"/>
      <c r="G1675" s="300"/>
      <c r="H1675" s="303"/>
      <c r="I1675" s="301">
        <f t="shared" si="442"/>
        <v>0</v>
      </c>
      <c r="J1675" s="302">
        <f t="shared" si="443"/>
        <v>0</v>
      </c>
      <c r="K1675" s="304">
        <f t="shared" si="444"/>
        <v>0</v>
      </c>
      <c r="L1675" s="305">
        <f>IF(H1675=0,0,IF(OR(E1675=$AT$5,E1675=$AT$6),AA1675,IF(F1675="MXN",1/HLOOKUP(YEAR(G1675)+(MONTH(G1675)/100),TC!$5:$37,DAY(G1675)+2,FALSE),VLOOKUP(F1675,Equivalencia!$5:$23,((MAX(Equivalencia!$3:$3)-YEAR(G1675))*14)+MONTH(G1675)+2,FALSE))))</f>
        <v>0</v>
      </c>
      <c r="M1675" s="306">
        <f t="shared" si="445"/>
        <v>0</v>
      </c>
      <c r="N1675" s="305">
        <f>IF(G1675=0,0,(IF(OR(E1675=$AT$5,E1675=$AT$6),AC1675,HLOOKUP(YEAR(G1675)+(MONTH(G1675)/100),TC!$5:$37,DAY(G1675)+2,FALSE))))</f>
        <v>0</v>
      </c>
      <c r="O1675" s="307">
        <f t="shared" si="446"/>
        <v>0</v>
      </c>
      <c r="P1675" s="560">
        <f>IF(G1675=0,0,VLOOKUP(YEAR(G1675),INPC!$B$4:$P$30,MONTH(G1675)+2))</f>
        <v>0</v>
      </c>
      <c r="Q1675" s="560">
        <f>IF(X1675=0,0,IF(OR(E1675=$AT$10,E1675=$AT$9),VLOOKUP(YEAR(X1675),INPC!$B$4:$P$30,MONTH(X1675)+1),VLOOKUP(YEAR(X1675),INPC!$B$4:$P$30,MONTH(X1675)+2,0)))</f>
        <v>0</v>
      </c>
      <c r="R1675" s="309">
        <f t="shared" si="447"/>
        <v>0</v>
      </c>
      <c r="S1675" s="310">
        <f t="shared" si="448"/>
        <v>0</v>
      </c>
      <c r="T1675" s="555">
        <f t="shared" si="449"/>
        <v>0</v>
      </c>
      <c r="U1675" s="311"/>
      <c r="V1675" s="312"/>
      <c r="W1675" s="299"/>
      <c r="X1675" s="300"/>
      <c r="Y1675" s="299"/>
      <c r="Z1675" s="303"/>
      <c r="AA1675" s="305">
        <f>IF(Z1675=0,0,IF(Y1675="MXN",1/HLOOKUP(YEAR(X1675)+(MONTH(X1675)/100),TC!$5:$37,DAY(X1675)+2,FALSE),VLOOKUP(Y1675,Equivalencia!$1:$23,((MAX(Equivalencia!$3:$3)-YEAR(X1675))*14)+MONTH(X1675)+2,FALSE)))</f>
        <v>0</v>
      </c>
      <c r="AB1675" s="306">
        <f t="shared" si="450"/>
        <v>0</v>
      </c>
      <c r="AC1675" s="305">
        <f>+IF(X1675=0,0,HLOOKUP(YEAR(X1675)+(MONTH(X1675)/100),TC!$5:$37,DAY(X1675)+2,FALSE))</f>
        <v>0</v>
      </c>
      <c r="AD1675" s="307">
        <f t="shared" si="451"/>
        <v>0</v>
      </c>
      <c r="AE1675" s="314">
        <f t="shared" si="452"/>
        <v>0</v>
      </c>
      <c r="AF1675" s="315">
        <f t="shared" si="453"/>
        <v>0</v>
      </c>
      <c r="AG1675" s="316">
        <f t="shared" si="454"/>
        <v>0</v>
      </c>
      <c r="AH1675" s="314">
        <v>1</v>
      </c>
      <c r="AI1675" s="314">
        <f t="shared" si="455"/>
        <v>0</v>
      </c>
      <c r="AJ1675" s="314">
        <f t="shared" si="456"/>
        <v>0</v>
      </c>
      <c r="AK1675" s="317"/>
      <c r="AL1675" s="315">
        <f t="shared" si="457"/>
        <v>0</v>
      </c>
      <c r="AN1675" s="554">
        <f t="shared" si="458"/>
        <v>0</v>
      </c>
      <c r="AO1675" s="314"/>
      <c r="AP1675" s="318"/>
    </row>
    <row r="1676" spans="2:42">
      <c r="B1676" s="296"/>
      <c r="C1676" s="299"/>
      <c r="D1676" s="298"/>
      <c r="E1676" s="299"/>
      <c r="F1676" s="299"/>
      <c r="G1676" s="300"/>
      <c r="H1676" s="303"/>
      <c r="I1676" s="301">
        <f t="shared" si="442"/>
        <v>0</v>
      </c>
      <c r="J1676" s="302">
        <f t="shared" si="443"/>
        <v>0</v>
      </c>
      <c r="K1676" s="304">
        <f t="shared" si="444"/>
        <v>0</v>
      </c>
      <c r="L1676" s="305">
        <f>IF(H1676=0,0,IF(OR(E1676=$AT$5,E1676=$AT$6),AA1676,IF(F1676="MXN",1/HLOOKUP(YEAR(G1676)+(MONTH(G1676)/100),TC!$5:$37,DAY(G1676)+2,FALSE),VLOOKUP(F1676,Equivalencia!$5:$23,((MAX(Equivalencia!$3:$3)-YEAR(G1676))*14)+MONTH(G1676)+2,FALSE))))</f>
        <v>0</v>
      </c>
      <c r="M1676" s="306">
        <f t="shared" si="445"/>
        <v>0</v>
      </c>
      <c r="N1676" s="305">
        <f>IF(G1676=0,0,(IF(OR(E1676=$AT$5,E1676=$AT$6),AC1676,HLOOKUP(YEAR(G1676)+(MONTH(G1676)/100),TC!$5:$37,DAY(G1676)+2,FALSE))))</f>
        <v>0</v>
      </c>
      <c r="O1676" s="307">
        <f t="shared" si="446"/>
        <v>0</v>
      </c>
      <c r="P1676" s="560">
        <f>IF(G1676=0,0,VLOOKUP(YEAR(G1676),INPC!$B$4:$P$30,MONTH(G1676)+2))</f>
        <v>0</v>
      </c>
      <c r="Q1676" s="560">
        <f>IF(X1676=0,0,IF(OR(E1676=$AT$10,E1676=$AT$9),VLOOKUP(YEAR(X1676),INPC!$B$4:$P$30,MONTH(X1676)+1),VLOOKUP(YEAR(X1676),INPC!$B$4:$P$30,MONTH(X1676)+2,0)))</f>
        <v>0</v>
      </c>
      <c r="R1676" s="309">
        <f t="shared" si="447"/>
        <v>0</v>
      </c>
      <c r="S1676" s="310">
        <f t="shared" si="448"/>
        <v>0</v>
      </c>
      <c r="T1676" s="555">
        <f t="shared" si="449"/>
        <v>0</v>
      </c>
      <c r="U1676" s="311"/>
      <c r="V1676" s="312"/>
      <c r="W1676" s="299"/>
      <c r="X1676" s="300"/>
      <c r="Y1676" s="299"/>
      <c r="Z1676" s="303"/>
      <c r="AA1676" s="305">
        <f>IF(Z1676=0,0,IF(Y1676="MXN",1/HLOOKUP(YEAR(X1676)+(MONTH(X1676)/100),TC!$5:$37,DAY(X1676)+2,FALSE),VLOOKUP(Y1676,Equivalencia!$1:$23,((MAX(Equivalencia!$3:$3)-YEAR(X1676))*14)+MONTH(X1676)+2,FALSE)))</f>
        <v>0</v>
      </c>
      <c r="AB1676" s="306">
        <f t="shared" si="450"/>
        <v>0</v>
      </c>
      <c r="AC1676" s="305">
        <f>+IF(X1676=0,0,HLOOKUP(YEAR(X1676)+(MONTH(X1676)/100),TC!$5:$37,DAY(X1676)+2,FALSE))</f>
        <v>0</v>
      </c>
      <c r="AD1676" s="307">
        <f t="shared" si="451"/>
        <v>0</v>
      </c>
      <c r="AE1676" s="314">
        <f t="shared" si="452"/>
        <v>0</v>
      </c>
      <c r="AF1676" s="315">
        <f t="shared" si="453"/>
        <v>0</v>
      </c>
      <c r="AG1676" s="316">
        <f t="shared" si="454"/>
        <v>0</v>
      </c>
      <c r="AH1676" s="314">
        <v>1</v>
      </c>
      <c r="AI1676" s="314">
        <f t="shared" si="455"/>
        <v>0</v>
      </c>
      <c r="AJ1676" s="314">
        <f t="shared" si="456"/>
        <v>0</v>
      </c>
      <c r="AK1676" s="317"/>
      <c r="AL1676" s="315">
        <f t="shared" si="457"/>
        <v>0</v>
      </c>
      <c r="AN1676" s="554">
        <f t="shared" si="458"/>
        <v>0</v>
      </c>
      <c r="AO1676" s="314"/>
      <c r="AP1676" s="318"/>
    </row>
    <row r="1677" spans="2:42">
      <c r="B1677" s="296"/>
      <c r="C1677" s="299"/>
      <c r="D1677" s="298"/>
      <c r="E1677" s="299"/>
      <c r="F1677" s="299"/>
      <c r="G1677" s="300"/>
      <c r="H1677" s="303"/>
      <c r="I1677" s="301">
        <f t="shared" si="442"/>
        <v>0</v>
      </c>
      <c r="J1677" s="302">
        <f t="shared" si="443"/>
        <v>0</v>
      </c>
      <c r="K1677" s="304">
        <f t="shared" si="444"/>
        <v>0</v>
      </c>
      <c r="L1677" s="305">
        <f>IF(H1677=0,0,IF(OR(E1677=$AT$5,E1677=$AT$6),AA1677,IF(F1677="MXN",1/HLOOKUP(YEAR(G1677)+(MONTH(G1677)/100),TC!$5:$37,DAY(G1677)+2,FALSE),VLOOKUP(F1677,Equivalencia!$5:$23,((MAX(Equivalencia!$3:$3)-YEAR(G1677))*14)+MONTH(G1677)+2,FALSE))))</f>
        <v>0</v>
      </c>
      <c r="M1677" s="306">
        <f t="shared" si="445"/>
        <v>0</v>
      </c>
      <c r="N1677" s="305">
        <f>IF(G1677=0,0,(IF(OR(E1677=$AT$5,E1677=$AT$6),AC1677,HLOOKUP(YEAR(G1677)+(MONTH(G1677)/100),TC!$5:$37,DAY(G1677)+2,FALSE))))</f>
        <v>0</v>
      </c>
      <c r="O1677" s="307">
        <f t="shared" si="446"/>
        <v>0</v>
      </c>
      <c r="P1677" s="560">
        <f>IF(G1677=0,0,VLOOKUP(YEAR(G1677),INPC!$B$4:$P$30,MONTH(G1677)+2))</f>
        <v>0</v>
      </c>
      <c r="Q1677" s="560">
        <f>IF(X1677=0,0,IF(OR(E1677=$AT$10,E1677=$AT$9),VLOOKUP(YEAR(X1677),INPC!$B$4:$P$30,MONTH(X1677)+1),VLOOKUP(YEAR(X1677),INPC!$B$4:$P$30,MONTH(X1677)+2,0)))</f>
        <v>0</v>
      </c>
      <c r="R1677" s="309">
        <f t="shared" si="447"/>
        <v>0</v>
      </c>
      <c r="S1677" s="310">
        <f t="shared" si="448"/>
        <v>0</v>
      </c>
      <c r="T1677" s="555">
        <f t="shared" si="449"/>
        <v>0</v>
      </c>
      <c r="U1677" s="311"/>
      <c r="V1677" s="312"/>
      <c r="W1677" s="299"/>
      <c r="X1677" s="300"/>
      <c r="Y1677" s="299"/>
      <c r="Z1677" s="303"/>
      <c r="AA1677" s="305">
        <f>IF(Z1677=0,0,IF(Y1677="MXN",1/HLOOKUP(YEAR(X1677)+(MONTH(X1677)/100),TC!$5:$37,DAY(X1677)+2,FALSE),VLOOKUP(Y1677,Equivalencia!$1:$23,((MAX(Equivalencia!$3:$3)-YEAR(X1677))*14)+MONTH(X1677)+2,FALSE)))</f>
        <v>0</v>
      </c>
      <c r="AB1677" s="306">
        <f t="shared" si="450"/>
        <v>0</v>
      </c>
      <c r="AC1677" s="305">
        <f>+IF(X1677=0,0,HLOOKUP(YEAR(X1677)+(MONTH(X1677)/100),TC!$5:$37,DAY(X1677)+2,FALSE))</f>
        <v>0</v>
      </c>
      <c r="AD1677" s="307">
        <f t="shared" si="451"/>
        <v>0</v>
      </c>
      <c r="AE1677" s="314">
        <f t="shared" si="452"/>
        <v>0</v>
      </c>
      <c r="AF1677" s="315">
        <f t="shared" si="453"/>
        <v>0</v>
      </c>
      <c r="AG1677" s="316">
        <f t="shared" si="454"/>
        <v>0</v>
      </c>
      <c r="AH1677" s="314">
        <v>1</v>
      </c>
      <c r="AI1677" s="314">
        <f t="shared" si="455"/>
        <v>0</v>
      </c>
      <c r="AJ1677" s="314">
        <f t="shared" si="456"/>
        <v>0</v>
      </c>
      <c r="AK1677" s="317"/>
      <c r="AL1677" s="315">
        <f t="shared" si="457"/>
        <v>0</v>
      </c>
      <c r="AN1677" s="554">
        <f t="shared" si="458"/>
        <v>0</v>
      </c>
      <c r="AO1677" s="314"/>
      <c r="AP1677" s="318"/>
    </row>
    <row r="1678" spans="2:42">
      <c r="B1678" s="296"/>
      <c r="C1678" s="299"/>
      <c r="D1678" s="298"/>
      <c r="E1678" s="299"/>
      <c r="F1678" s="299"/>
      <c r="G1678" s="300"/>
      <c r="H1678" s="303"/>
      <c r="I1678" s="301">
        <f t="shared" si="442"/>
        <v>0</v>
      </c>
      <c r="J1678" s="302">
        <f t="shared" si="443"/>
        <v>0</v>
      </c>
      <c r="K1678" s="304">
        <f t="shared" si="444"/>
        <v>0</v>
      </c>
      <c r="L1678" s="305">
        <f>IF(H1678=0,0,IF(OR(E1678=$AT$5,E1678=$AT$6),AA1678,IF(F1678="MXN",1/HLOOKUP(YEAR(G1678)+(MONTH(G1678)/100),TC!$5:$37,DAY(G1678)+2,FALSE),VLOOKUP(F1678,Equivalencia!$5:$23,((MAX(Equivalencia!$3:$3)-YEAR(G1678))*14)+MONTH(G1678)+2,FALSE))))</f>
        <v>0</v>
      </c>
      <c r="M1678" s="306">
        <f t="shared" si="445"/>
        <v>0</v>
      </c>
      <c r="N1678" s="305">
        <f>IF(G1678=0,0,(IF(OR(E1678=$AT$5,E1678=$AT$6),AC1678,HLOOKUP(YEAR(G1678)+(MONTH(G1678)/100),TC!$5:$37,DAY(G1678)+2,FALSE))))</f>
        <v>0</v>
      </c>
      <c r="O1678" s="307">
        <f t="shared" si="446"/>
        <v>0</v>
      </c>
      <c r="P1678" s="560">
        <f>IF(G1678=0,0,VLOOKUP(YEAR(G1678),INPC!$B$4:$P$30,MONTH(G1678)+2))</f>
        <v>0</v>
      </c>
      <c r="Q1678" s="560">
        <f>IF(X1678=0,0,IF(OR(E1678=$AT$10,E1678=$AT$9),VLOOKUP(YEAR(X1678),INPC!$B$4:$P$30,MONTH(X1678)+1),VLOOKUP(YEAR(X1678),INPC!$B$4:$P$30,MONTH(X1678)+2,0)))</f>
        <v>0</v>
      </c>
      <c r="R1678" s="309">
        <f t="shared" si="447"/>
        <v>0</v>
      </c>
      <c r="S1678" s="310">
        <f t="shared" si="448"/>
        <v>0</v>
      </c>
      <c r="T1678" s="555">
        <f t="shared" si="449"/>
        <v>0</v>
      </c>
      <c r="U1678" s="311"/>
      <c r="V1678" s="312"/>
      <c r="W1678" s="299"/>
      <c r="X1678" s="300"/>
      <c r="Y1678" s="299"/>
      <c r="Z1678" s="303"/>
      <c r="AA1678" s="305">
        <f>IF(Z1678=0,0,IF(Y1678="MXN",1/HLOOKUP(YEAR(X1678)+(MONTH(X1678)/100),TC!$5:$37,DAY(X1678)+2,FALSE),VLOOKUP(Y1678,Equivalencia!$1:$23,((MAX(Equivalencia!$3:$3)-YEAR(X1678))*14)+MONTH(X1678)+2,FALSE)))</f>
        <v>0</v>
      </c>
      <c r="AB1678" s="306">
        <f t="shared" si="450"/>
        <v>0</v>
      </c>
      <c r="AC1678" s="305">
        <f>+IF(X1678=0,0,HLOOKUP(YEAR(X1678)+(MONTH(X1678)/100),TC!$5:$37,DAY(X1678)+2,FALSE))</f>
        <v>0</v>
      </c>
      <c r="AD1678" s="307">
        <f t="shared" si="451"/>
        <v>0</v>
      </c>
      <c r="AE1678" s="314">
        <f t="shared" si="452"/>
        <v>0</v>
      </c>
      <c r="AF1678" s="315">
        <f t="shared" si="453"/>
        <v>0</v>
      </c>
      <c r="AG1678" s="316">
        <f t="shared" si="454"/>
        <v>0</v>
      </c>
      <c r="AH1678" s="314">
        <v>1</v>
      </c>
      <c r="AI1678" s="314">
        <f t="shared" si="455"/>
        <v>0</v>
      </c>
      <c r="AJ1678" s="314">
        <f t="shared" si="456"/>
        <v>0</v>
      </c>
      <c r="AK1678" s="317"/>
      <c r="AL1678" s="315">
        <f t="shared" si="457"/>
        <v>0</v>
      </c>
      <c r="AN1678" s="554">
        <f t="shared" si="458"/>
        <v>0</v>
      </c>
      <c r="AO1678" s="314"/>
      <c r="AP1678" s="318"/>
    </row>
    <row r="1679" spans="2:42">
      <c r="B1679" s="296"/>
      <c r="C1679" s="299"/>
      <c r="D1679" s="298"/>
      <c r="E1679" s="299"/>
      <c r="F1679" s="299"/>
      <c r="G1679" s="300"/>
      <c r="H1679" s="303"/>
      <c r="I1679" s="301">
        <f t="shared" si="442"/>
        <v>0</v>
      </c>
      <c r="J1679" s="302">
        <f t="shared" si="443"/>
        <v>0</v>
      </c>
      <c r="K1679" s="304">
        <f t="shared" si="444"/>
        <v>0</v>
      </c>
      <c r="L1679" s="305">
        <f>IF(H1679=0,0,IF(OR(E1679=$AT$5,E1679=$AT$6),AA1679,IF(F1679="MXN",1/HLOOKUP(YEAR(G1679)+(MONTH(G1679)/100),TC!$5:$37,DAY(G1679)+2,FALSE),VLOOKUP(F1679,Equivalencia!$5:$23,((MAX(Equivalencia!$3:$3)-YEAR(G1679))*14)+MONTH(G1679)+2,FALSE))))</f>
        <v>0</v>
      </c>
      <c r="M1679" s="306">
        <f t="shared" si="445"/>
        <v>0</v>
      </c>
      <c r="N1679" s="305">
        <f>IF(G1679=0,0,(IF(OR(E1679=$AT$5,E1679=$AT$6),AC1679,HLOOKUP(YEAR(G1679)+(MONTH(G1679)/100),TC!$5:$37,DAY(G1679)+2,FALSE))))</f>
        <v>0</v>
      </c>
      <c r="O1679" s="307">
        <f t="shared" si="446"/>
        <v>0</v>
      </c>
      <c r="P1679" s="560">
        <f>IF(G1679=0,0,VLOOKUP(YEAR(G1679),INPC!$B$4:$P$30,MONTH(G1679)+2))</f>
        <v>0</v>
      </c>
      <c r="Q1679" s="560">
        <f>IF(X1679=0,0,IF(OR(E1679=$AT$10,E1679=$AT$9),VLOOKUP(YEAR(X1679),INPC!$B$4:$P$30,MONTH(X1679)+1),VLOOKUP(YEAR(X1679),INPC!$B$4:$P$30,MONTH(X1679)+2,0)))</f>
        <v>0</v>
      </c>
      <c r="R1679" s="309">
        <f t="shared" si="447"/>
        <v>0</v>
      </c>
      <c r="S1679" s="310">
        <f t="shared" si="448"/>
        <v>0</v>
      </c>
      <c r="T1679" s="555">
        <f t="shared" si="449"/>
        <v>0</v>
      </c>
      <c r="U1679" s="311"/>
      <c r="V1679" s="312"/>
      <c r="W1679" s="299"/>
      <c r="X1679" s="300"/>
      <c r="Y1679" s="299"/>
      <c r="Z1679" s="303"/>
      <c r="AA1679" s="305">
        <f>IF(Z1679=0,0,IF(Y1679="MXN",1/HLOOKUP(YEAR(X1679)+(MONTH(X1679)/100),TC!$5:$37,DAY(X1679)+2,FALSE),VLOOKUP(Y1679,Equivalencia!$1:$23,((MAX(Equivalencia!$3:$3)-YEAR(X1679))*14)+MONTH(X1679)+2,FALSE)))</f>
        <v>0</v>
      </c>
      <c r="AB1679" s="306">
        <f t="shared" si="450"/>
        <v>0</v>
      </c>
      <c r="AC1679" s="305">
        <f>+IF(X1679=0,0,HLOOKUP(YEAR(X1679)+(MONTH(X1679)/100),TC!$5:$37,DAY(X1679)+2,FALSE))</f>
        <v>0</v>
      </c>
      <c r="AD1679" s="307">
        <f t="shared" si="451"/>
        <v>0</v>
      </c>
      <c r="AE1679" s="314">
        <f t="shared" si="452"/>
        <v>0</v>
      </c>
      <c r="AF1679" s="315">
        <f t="shared" si="453"/>
        <v>0</v>
      </c>
      <c r="AG1679" s="316">
        <f t="shared" si="454"/>
        <v>0</v>
      </c>
      <c r="AH1679" s="314">
        <v>1</v>
      </c>
      <c r="AI1679" s="314">
        <f t="shared" si="455"/>
        <v>0</v>
      </c>
      <c r="AJ1679" s="314">
        <f t="shared" si="456"/>
        <v>0</v>
      </c>
      <c r="AK1679" s="317"/>
      <c r="AL1679" s="315">
        <f t="shared" si="457"/>
        <v>0</v>
      </c>
      <c r="AN1679" s="554">
        <f t="shared" si="458"/>
        <v>0</v>
      </c>
      <c r="AO1679" s="314"/>
      <c r="AP1679" s="318"/>
    </row>
    <row r="1680" spans="2:42">
      <c r="B1680" s="296"/>
      <c r="C1680" s="299"/>
      <c r="D1680" s="298"/>
      <c r="E1680" s="299"/>
      <c r="F1680" s="299"/>
      <c r="G1680" s="300"/>
      <c r="H1680" s="303"/>
      <c r="I1680" s="301">
        <f t="shared" si="442"/>
        <v>0</v>
      </c>
      <c r="J1680" s="302">
        <f t="shared" si="443"/>
        <v>0</v>
      </c>
      <c r="K1680" s="304">
        <f t="shared" si="444"/>
        <v>0</v>
      </c>
      <c r="L1680" s="305">
        <f>IF(H1680=0,0,IF(OR(E1680=$AT$5,E1680=$AT$6),AA1680,IF(F1680="MXN",1/HLOOKUP(YEAR(G1680)+(MONTH(G1680)/100),TC!$5:$37,DAY(G1680)+2,FALSE),VLOOKUP(F1680,Equivalencia!$5:$23,((MAX(Equivalencia!$3:$3)-YEAR(G1680))*14)+MONTH(G1680)+2,FALSE))))</f>
        <v>0</v>
      </c>
      <c r="M1680" s="306">
        <f t="shared" si="445"/>
        <v>0</v>
      </c>
      <c r="N1680" s="305">
        <f>IF(G1680=0,0,(IF(OR(E1680=$AT$5,E1680=$AT$6),AC1680,HLOOKUP(YEAR(G1680)+(MONTH(G1680)/100),TC!$5:$37,DAY(G1680)+2,FALSE))))</f>
        <v>0</v>
      </c>
      <c r="O1680" s="307">
        <f t="shared" si="446"/>
        <v>0</v>
      </c>
      <c r="P1680" s="560">
        <f>IF(G1680=0,0,VLOOKUP(YEAR(G1680),INPC!$B$4:$P$30,MONTH(G1680)+2))</f>
        <v>0</v>
      </c>
      <c r="Q1680" s="560">
        <f>IF(X1680=0,0,IF(OR(E1680=$AT$10,E1680=$AT$9),VLOOKUP(YEAR(X1680),INPC!$B$4:$P$30,MONTH(X1680)+1),VLOOKUP(YEAR(X1680),INPC!$B$4:$P$30,MONTH(X1680)+2,0)))</f>
        <v>0</v>
      </c>
      <c r="R1680" s="309">
        <f t="shared" si="447"/>
        <v>0</v>
      </c>
      <c r="S1680" s="310">
        <f t="shared" si="448"/>
        <v>0</v>
      </c>
      <c r="T1680" s="555">
        <f t="shared" si="449"/>
        <v>0</v>
      </c>
      <c r="U1680" s="311"/>
      <c r="V1680" s="312"/>
      <c r="W1680" s="299"/>
      <c r="X1680" s="300"/>
      <c r="Y1680" s="299"/>
      <c r="Z1680" s="303"/>
      <c r="AA1680" s="305">
        <f>IF(Z1680=0,0,IF(Y1680="MXN",1/HLOOKUP(YEAR(X1680)+(MONTH(X1680)/100),TC!$5:$37,DAY(X1680)+2,FALSE),VLOOKUP(Y1680,Equivalencia!$1:$23,((MAX(Equivalencia!$3:$3)-YEAR(X1680))*14)+MONTH(X1680)+2,FALSE)))</f>
        <v>0</v>
      </c>
      <c r="AB1680" s="306">
        <f t="shared" si="450"/>
        <v>0</v>
      </c>
      <c r="AC1680" s="305">
        <f>+IF(X1680=0,0,HLOOKUP(YEAR(X1680)+(MONTH(X1680)/100),TC!$5:$37,DAY(X1680)+2,FALSE))</f>
        <v>0</v>
      </c>
      <c r="AD1680" s="307">
        <f t="shared" si="451"/>
        <v>0</v>
      </c>
      <c r="AE1680" s="314">
        <f t="shared" si="452"/>
        <v>0</v>
      </c>
      <c r="AF1680" s="315">
        <f t="shared" si="453"/>
        <v>0</v>
      </c>
      <c r="AG1680" s="316">
        <f t="shared" si="454"/>
        <v>0</v>
      </c>
      <c r="AH1680" s="314">
        <v>1</v>
      </c>
      <c r="AI1680" s="314">
        <f t="shared" si="455"/>
        <v>0</v>
      </c>
      <c r="AJ1680" s="314">
        <f t="shared" si="456"/>
        <v>0</v>
      </c>
      <c r="AK1680" s="317"/>
      <c r="AL1680" s="315">
        <f t="shared" si="457"/>
        <v>0</v>
      </c>
      <c r="AN1680" s="554">
        <f t="shared" si="458"/>
        <v>0</v>
      </c>
      <c r="AO1680" s="314"/>
      <c r="AP1680" s="318"/>
    </row>
    <row r="1681" spans="2:42">
      <c r="B1681" s="296"/>
      <c r="C1681" s="299"/>
      <c r="D1681" s="298"/>
      <c r="E1681" s="299"/>
      <c r="F1681" s="299"/>
      <c r="G1681" s="300"/>
      <c r="H1681" s="303"/>
      <c r="I1681" s="301">
        <f t="shared" si="442"/>
        <v>0</v>
      </c>
      <c r="J1681" s="302">
        <f t="shared" si="443"/>
        <v>0</v>
      </c>
      <c r="K1681" s="304">
        <f t="shared" si="444"/>
        <v>0</v>
      </c>
      <c r="L1681" s="305">
        <f>IF(H1681=0,0,IF(OR(E1681=$AT$5,E1681=$AT$6),AA1681,IF(F1681="MXN",1/HLOOKUP(YEAR(G1681)+(MONTH(G1681)/100),TC!$5:$37,DAY(G1681)+2,FALSE),VLOOKUP(F1681,Equivalencia!$5:$23,((MAX(Equivalencia!$3:$3)-YEAR(G1681))*14)+MONTH(G1681)+2,FALSE))))</f>
        <v>0</v>
      </c>
      <c r="M1681" s="306">
        <f t="shared" si="445"/>
        <v>0</v>
      </c>
      <c r="N1681" s="305">
        <f>IF(G1681=0,0,(IF(OR(E1681=$AT$5,E1681=$AT$6),AC1681,HLOOKUP(YEAR(G1681)+(MONTH(G1681)/100),TC!$5:$37,DAY(G1681)+2,FALSE))))</f>
        <v>0</v>
      </c>
      <c r="O1681" s="307">
        <f t="shared" si="446"/>
        <v>0</v>
      </c>
      <c r="P1681" s="560">
        <f>IF(G1681=0,0,VLOOKUP(YEAR(G1681),INPC!$B$4:$P$30,MONTH(G1681)+2))</f>
        <v>0</v>
      </c>
      <c r="Q1681" s="560">
        <f>IF(X1681=0,0,IF(OR(E1681=$AT$10,E1681=$AT$9),VLOOKUP(YEAR(X1681),INPC!$B$4:$P$30,MONTH(X1681)+1),VLOOKUP(YEAR(X1681),INPC!$B$4:$P$30,MONTH(X1681)+2,0)))</f>
        <v>0</v>
      </c>
      <c r="R1681" s="309">
        <f t="shared" si="447"/>
        <v>0</v>
      </c>
      <c r="S1681" s="310">
        <f t="shared" si="448"/>
        <v>0</v>
      </c>
      <c r="T1681" s="555">
        <f t="shared" si="449"/>
        <v>0</v>
      </c>
      <c r="U1681" s="311"/>
      <c r="V1681" s="312"/>
      <c r="W1681" s="299"/>
      <c r="X1681" s="300"/>
      <c r="Y1681" s="299"/>
      <c r="Z1681" s="303"/>
      <c r="AA1681" s="305">
        <f>IF(Z1681=0,0,IF(Y1681="MXN",1/HLOOKUP(YEAR(X1681)+(MONTH(X1681)/100),TC!$5:$37,DAY(X1681)+2,FALSE),VLOOKUP(Y1681,Equivalencia!$1:$23,((MAX(Equivalencia!$3:$3)-YEAR(X1681))*14)+MONTH(X1681)+2,FALSE)))</f>
        <v>0</v>
      </c>
      <c r="AB1681" s="306">
        <f t="shared" si="450"/>
        <v>0</v>
      </c>
      <c r="AC1681" s="305">
        <f>+IF(X1681=0,0,HLOOKUP(YEAR(X1681)+(MONTH(X1681)/100),TC!$5:$37,DAY(X1681)+2,FALSE))</f>
        <v>0</v>
      </c>
      <c r="AD1681" s="307">
        <f t="shared" si="451"/>
        <v>0</v>
      </c>
      <c r="AE1681" s="314">
        <f t="shared" si="452"/>
        <v>0</v>
      </c>
      <c r="AF1681" s="315">
        <f t="shared" si="453"/>
        <v>0</v>
      </c>
      <c r="AG1681" s="316">
        <f t="shared" si="454"/>
        <v>0</v>
      </c>
      <c r="AH1681" s="314">
        <v>1</v>
      </c>
      <c r="AI1681" s="314">
        <f t="shared" si="455"/>
        <v>0</v>
      </c>
      <c r="AJ1681" s="314">
        <f t="shared" si="456"/>
        <v>0</v>
      </c>
      <c r="AK1681" s="317"/>
      <c r="AL1681" s="315">
        <f t="shared" si="457"/>
        <v>0</v>
      </c>
      <c r="AN1681" s="554">
        <f t="shared" si="458"/>
        <v>0</v>
      </c>
      <c r="AO1681" s="314"/>
      <c r="AP1681" s="318"/>
    </row>
    <row r="1682" spans="2:42">
      <c r="B1682" s="296"/>
      <c r="C1682" s="299"/>
      <c r="D1682" s="298"/>
      <c r="E1682" s="299"/>
      <c r="F1682" s="299"/>
      <c r="G1682" s="300"/>
      <c r="H1682" s="303"/>
      <c r="I1682" s="301">
        <f t="shared" si="442"/>
        <v>0</v>
      </c>
      <c r="J1682" s="302">
        <f t="shared" si="443"/>
        <v>0</v>
      </c>
      <c r="K1682" s="304">
        <f t="shared" si="444"/>
        <v>0</v>
      </c>
      <c r="L1682" s="305">
        <f>IF(H1682=0,0,IF(OR(E1682=$AT$5,E1682=$AT$6),AA1682,IF(F1682="MXN",1/HLOOKUP(YEAR(G1682)+(MONTH(G1682)/100),TC!$5:$37,DAY(G1682)+2,FALSE),VLOOKUP(F1682,Equivalencia!$5:$23,((MAX(Equivalencia!$3:$3)-YEAR(G1682))*14)+MONTH(G1682)+2,FALSE))))</f>
        <v>0</v>
      </c>
      <c r="M1682" s="306">
        <f t="shared" si="445"/>
        <v>0</v>
      </c>
      <c r="N1682" s="305">
        <f>IF(G1682=0,0,(IF(OR(E1682=$AT$5,E1682=$AT$6),AC1682,HLOOKUP(YEAR(G1682)+(MONTH(G1682)/100),TC!$5:$37,DAY(G1682)+2,FALSE))))</f>
        <v>0</v>
      </c>
      <c r="O1682" s="307">
        <f t="shared" si="446"/>
        <v>0</v>
      </c>
      <c r="P1682" s="560">
        <f>IF(G1682=0,0,VLOOKUP(YEAR(G1682),INPC!$B$4:$P$30,MONTH(G1682)+2))</f>
        <v>0</v>
      </c>
      <c r="Q1682" s="560">
        <f>IF(X1682=0,0,IF(OR(E1682=$AT$10,E1682=$AT$9),VLOOKUP(YEAR(X1682),INPC!$B$4:$P$30,MONTH(X1682)+1),VLOOKUP(YEAR(X1682),INPC!$B$4:$P$30,MONTH(X1682)+2,0)))</f>
        <v>0</v>
      </c>
      <c r="R1682" s="309">
        <f t="shared" si="447"/>
        <v>0</v>
      </c>
      <c r="S1682" s="310">
        <f t="shared" si="448"/>
        <v>0</v>
      </c>
      <c r="T1682" s="555">
        <f t="shared" si="449"/>
        <v>0</v>
      </c>
      <c r="U1682" s="311"/>
      <c r="V1682" s="312"/>
      <c r="W1682" s="299"/>
      <c r="X1682" s="300"/>
      <c r="Y1682" s="299"/>
      <c r="Z1682" s="303"/>
      <c r="AA1682" s="305">
        <f>IF(Z1682=0,0,IF(Y1682="MXN",1/HLOOKUP(YEAR(X1682)+(MONTH(X1682)/100),TC!$5:$37,DAY(X1682)+2,FALSE),VLOOKUP(Y1682,Equivalencia!$1:$23,((MAX(Equivalencia!$3:$3)-YEAR(X1682))*14)+MONTH(X1682)+2,FALSE)))</f>
        <v>0</v>
      </c>
      <c r="AB1682" s="306">
        <f t="shared" si="450"/>
        <v>0</v>
      </c>
      <c r="AC1682" s="305">
        <f>+IF(X1682=0,0,HLOOKUP(YEAR(X1682)+(MONTH(X1682)/100),TC!$5:$37,DAY(X1682)+2,FALSE))</f>
        <v>0</v>
      </c>
      <c r="AD1682" s="307">
        <f t="shared" si="451"/>
        <v>0</v>
      </c>
      <c r="AE1682" s="314">
        <f t="shared" si="452"/>
        <v>0</v>
      </c>
      <c r="AF1682" s="315">
        <f t="shared" si="453"/>
        <v>0</v>
      </c>
      <c r="AG1682" s="316">
        <f t="shared" si="454"/>
        <v>0</v>
      </c>
      <c r="AH1682" s="314">
        <v>1</v>
      </c>
      <c r="AI1682" s="314">
        <f t="shared" si="455"/>
        <v>0</v>
      </c>
      <c r="AJ1682" s="314">
        <f t="shared" si="456"/>
        <v>0</v>
      </c>
      <c r="AK1682" s="317"/>
      <c r="AL1682" s="315">
        <f t="shared" si="457"/>
        <v>0</v>
      </c>
      <c r="AN1682" s="554">
        <f t="shared" si="458"/>
        <v>0</v>
      </c>
      <c r="AO1682" s="314"/>
      <c r="AP1682" s="318"/>
    </row>
    <row r="1683" spans="2:42">
      <c r="B1683" s="296"/>
      <c r="C1683" s="299"/>
      <c r="D1683" s="298"/>
      <c r="E1683" s="299"/>
      <c r="F1683" s="299"/>
      <c r="G1683" s="300"/>
      <c r="H1683" s="303"/>
      <c r="I1683" s="301">
        <f t="shared" si="442"/>
        <v>0</v>
      </c>
      <c r="J1683" s="302">
        <f t="shared" si="443"/>
        <v>0</v>
      </c>
      <c r="K1683" s="304">
        <f t="shared" si="444"/>
        <v>0</v>
      </c>
      <c r="L1683" s="305">
        <f>IF(H1683=0,0,IF(OR(E1683=$AT$5,E1683=$AT$6),AA1683,IF(F1683="MXN",1/HLOOKUP(YEAR(G1683)+(MONTH(G1683)/100),TC!$5:$37,DAY(G1683)+2,FALSE),VLOOKUP(F1683,Equivalencia!$5:$23,((MAX(Equivalencia!$3:$3)-YEAR(G1683))*14)+MONTH(G1683)+2,FALSE))))</f>
        <v>0</v>
      </c>
      <c r="M1683" s="306">
        <f t="shared" si="445"/>
        <v>0</v>
      </c>
      <c r="N1683" s="305">
        <f>IF(G1683=0,0,(IF(OR(E1683=$AT$5,E1683=$AT$6),AC1683,HLOOKUP(YEAR(G1683)+(MONTH(G1683)/100),TC!$5:$37,DAY(G1683)+2,FALSE))))</f>
        <v>0</v>
      </c>
      <c r="O1683" s="307">
        <f t="shared" si="446"/>
        <v>0</v>
      </c>
      <c r="P1683" s="560">
        <f>IF(G1683=0,0,VLOOKUP(YEAR(G1683),INPC!$B$4:$P$30,MONTH(G1683)+2))</f>
        <v>0</v>
      </c>
      <c r="Q1683" s="560">
        <f>IF(X1683=0,0,IF(OR(E1683=$AT$10,E1683=$AT$9),VLOOKUP(YEAR(X1683),INPC!$B$4:$P$30,MONTH(X1683)+1),VLOOKUP(YEAR(X1683),INPC!$B$4:$P$30,MONTH(X1683)+2,0)))</f>
        <v>0</v>
      </c>
      <c r="R1683" s="309">
        <f t="shared" si="447"/>
        <v>0</v>
      </c>
      <c r="S1683" s="310">
        <f t="shared" si="448"/>
        <v>0</v>
      </c>
      <c r="T1683" s="555">
        <f t="shared" si="449"/>
        <v>0</v>
      </c>
      <c r="U1683" s="311"/>
      <c r="V1683" s="312"/>
      <c r="W1683" s="299"/>
      <c r="X1683" s="300"/>
      <c r="Y1683" s="299"/>
      <c r="Z1683" s="303"/>
      <c r="AA1683" s="305">
        <f>IF(Z1683=0,0,IF(Y1683="MXN",1/HLOOKUP(YEAR(X1683)+(MONTH(X1683)/100),TC!$5:$37,DAY(X1683)+2,FALSE),VLOOKUP(Y1683,Equivalencia!$1:$23,((MAX(Equivalencia!$3:$3)-YEAR(X1683))*14)+MONTH(X1683)+2,FALSE)))</f>
        <v>0</v>
      </c>
      <c r="AB1683" s="306">
        <f t="shared" si="450"/>
        <v>0</v>
      </c>
      <c r="AC1683" s="305">
        <f>+IF(X1683=0,0,HLOOKUP(YEAR(X1683)+(MONTH(X1683)/100),TC!$5:$37,DAY(X1683)+2,FALSE))</f>
        <v>0</v>
      </c>
      <c r="AD1683" s="307">
        <f t="shared" si="451"/>
        <v>0</v>
      </c>
      <c r="AE1683" s="314">
        <f t="shared" si="452"/>
        <v>0</v>
      </c>
      <c r="AF1683" s="315">
        <f t="shared" si="453"/>
        <v>0</v>
      </c>
      <c r="AG1683" s="316">
        <f t="shared" si="454"/>
        <v>0</v>
      </c>
      <c r="AH1683" s="314">
        <v>1</v>
      </c>
      <c r="AI1683" s="314">
        <f t="shared" si="455"/>
        <v>0</v>
      </c>
      <c r="AJ1683" s="314">
        <f t="shared" si="456"/>
        <v>0</v>
      </c>
      <c r="AK1683" s="317"/>
      <c r="AL1683" s="315">
        <f t="shared" si="457"/>
        <v>0</v>
      </c>
      <c r="AN1683" s="554">
        <f t="shared" si="458"/>
        <v>0</v>
      </c>
      <c r="AO1683" s="314"/>
      <c r="AP1683" s="318"/>
    </row>
    <row r="1684" spans="2:42">
      <c r="B1684" s="296"/>
      <c r="C1684" s="299"/>
      <c r="D1684" s="298"/>
      <c r="E1684" s="299"/>
      <c r="F1684" s="299"/>
      <c r="G1684" s="300"/>
      <c r="H1684" s="303"/>
      <c r="I1684" s="301">
        <f t="shared" si="442"/>
        <v>0</v>
      </c>
      <c r="J1684" s="302">
        <f t="shared" si="443"/>
        <v>0</v>
      </c>
      <c r="K1684" s="304">
        <f t="shared" si="444"/>
        <v>0</v>
      </c>
      <c r="L1684" s="305">
        <f>IF(H1684=0,0,IF(OR(E1684=$AT$5,E1684=$AT$6),AA1684,IF(F1684="MXN",1/HLOOKUP(YEAR(G1684)+(MONTH(G1684)/100),TC!$5:$37,DAY(G1684)+2,FALSE),VLOOKUP(F1684,Equivalencia!$5:$23,((MAX(Equivalencia!$3:$3)-YEAR(G1684))*14)+MONTH(G1684)+2,FALSE))))</f>
        <v>0</v>
      </c>
      <c r="M1684" s="306">
        <f t="shared" si="445"/>
        <v>0</v>
      </c>
      <c r="N1684" s="305">
        <f>IF(G1684=0,0,(IF(OR(E1684=$AT$5,E1684=$AT$6),AC1684,HLOOKUP(YEAR(G1684)+(MONTH(G1684)/100),TC!$5:$37,DAY(G1684)+2,FALSE))))</f>
        <v>0</v>
      </c>
      <c r="O1684" s="307">
        <f t="shared" si="446"/>
        <v>0</v>
      </c>
      <c r="P1684" s="560">
        <f>IF(G1684=0,0,VLOOKUP(YEAR(G1684),INPC!$B$4:$P$30,MONTH(G1684)+2))</f>
        <v>0</v>
      </c>
      <c r="Q1684" s="560">
        <f>IF(X1684=0,0,IF(OR(E1684=$AT$10,E1684=$AT$9),VLOOKUP(YEAR(X1684),INPC!$B$4:$P$30,MONTH(X1684)+1),VLOOKUP(YEAR(X1684),INPC!$B$4:$P$30,MONTH(X1684)+2,0)))</f>
        <v>0</v>
      </c>
      <c r="R1684" s="309">
        <f t="shared" si="447"/>
        <v>0</v>
      </c>
      <c r="S1684" s="310">
        <f t="shared" si="448"/>
        <v>0</v>
      </c>
      <c r="T1684" s="555">
        <f t="shared" si="449"/>
        <v>0</v>
      </c>
      <c r="U1684" s="311"/>
      <c r="V1684" s="312"/>
      <c r="W1684" s="299"/>
      <c r="X1684" s="300"/>
      <c r="Y1684" s="299"/>
      <c r="Z1684" s="303"/>
      <c r="AA1684" s="305">
        <f>IF(Z1684=0,0,IF(Y1684="MXN",1/HLOOKUP(YEAR(X1684)+(MONTH(X1684)/100),TC!$5:$37,DAY(X1684)+2,FALSE),VLOOKUP(Y1684,Equivalencia!$1:$23,((MAX(Equivalencia!$3:$3)-YEAR(X1684))*14)+MONTH(X1684)+2,FALSE)))</f>
        <v>0</v>
      </c>
      <c r="AB1684" s="306">
        <f t="shared" si="450"/>
        <v>0</v>
      </c>
      <c r="AC1684" s="305">
        <f>+IF(X1684=0,0,HLOOKUP(YEAR(X1684)+(MONTH(X1684)/100),TC!$5:$37,DAY(X1684)+2,FALSE))</f>
        <v>0</v>
      </c>
      <c r="AD1684" s="307">
        <f t="shared" si="451"/>
        <v>0</v>
      </c>
      <c r="AE1684" s="314">
        <f t="shared" si="452"/>
        <v>0</v>
      </c>
      <c r="AF1684" s="315">
        <f t="shared" si="453"/>
        <v>0</v>
      </c>
      <c r="AG1684" s="316">
        <f t="shared" si="454"/>
        <v>0</v>
      </c>
      <c r="AH1684" s="314">
        <v>1</v>
      </c>
      <c r="AI1684" s="314">
        <f t="shared" si="455"/>
        <v>0</v>
      </c>
      <c r="AJ1684" s="314">
        <f t="shared" si="456"/>
        <v>0</v>
      </c>
      <c r="AK1684" s="317"/>
      <c r="AL1684" s="315">
        <f t="shared" si="457"/>
        <v>0</v>
      </c>
      <c r="AN1684" s="554">
        <f t="shared" si="458"/>
        <v>0</v>
      </c>
      <c r="AO1684" s="314"/>
      <c r="AP1684" s="318"/>
    </row>
    <row r="1685" spans="2:42">
      <c r="B1685" s="296"/>
      <c r="C1685" s="299"/>
      <c r="D1685" s="298"/>
      <c r="E1685" s="299"/>
      <c r="F1685" s="299"/>
      <c r="G1685" s="300"/>
      <c r="H1685" s="303"/>
      <c r="I1685" s="301">
        <f t="shared" si="442"/>
        <v>0</v>
      </c>
      <c r="J1685" s="302">
        <f t="shared" si="443"/>
        <v>0</v>
      </c>
      <c r="K1685" s="304">
        <f t="shared" si="444"/>
        <v>0</v>
      </c>
      <c r="L1685" s="305">
        <f>IF(H1685=0,0,IF(OR(E1685=$AT$5,E1685=$AT$6),AA1685,IF(F1685="MXN",1/HLOOKUP(YEAR(G1685)+(MONTH(G1685)/100),TC!$5:$37,DAY(G1685)+2,FALSE),VLOOKUP(F1685,Equivalencia!$5:$23,((MAX(Equivalencia!$3:$3)-YEAR(G1685))*14)+MONTH(G1685)+2,FALSE))))</f>
        <v>0</v>
      </c>
      <c r="M1685" s="306">
        <f t="shared" si="445"/>
        <v>0</v>
      </c>
      <c r="N1685" s="305">
        <f>IF(G1685=0,0,(IF(OR(E1685=$AT$5,E1685=$AT$6),AC1685,HLOOKUP(YEAR(G1685)+(MONTH(G1685)/100),TC!$5:$37,DAY(G1685)+2,FALSE))))</f>
        <v>0</v>
      </c>
      <c r="O1685" s="307">
        <f t="shared" si="446"/>
        <v>0</v>
      </c>
      <c r="P1685" s="560">
        <f>IF(G1685=0,0,VLOOKUP(YEAR(G1685),INPC!$B$4:$P$30,MONTH(G1685)+2))</f>
        <v>0</v>
      </c>
      <c r="Q1685" s="560">
        <f>IF(X1685=0,0,IF(OR(E1685=$AT$10,E1685=$AT$9),VLOOKUP(YEAR(X1685),INPC!$B$4:$P$30,MONTH(X1685)+1),VLOOKUP(YEAR(X1685),INPC!$B$4:$P$30,MONTH(X1685)+2,0)))</f>
        <v>0</v>
      </c>
      <c r="R1685" s="309">
        <f t="shared" si="447"/>
        <v>0</v>
      </c>
      <c r="S1685" s="310">
        <f t="shared" si="448"/>
        <v>0</v>
      </c>
      <c r="T1685" s="555">
        <f t="shared" si="449"/>
        <v>0</v>
      </c>
      <c r="U1685" s="311"/>
      <c r="V1685" s="312"/>
      <c r="W1685" s="299"/>
      <c r="X1685" s="300"/>
      <c r="Y1685" s="299"/>
      <c r="Z1685" s="303"/>
      <c r="AA1685" s="305">
        <f>IF(Z1685=0,0,IF(Y1685="MXN",1/HLOOKUP(YEAR(X1685)+(MONTH(X1685)/100),TC!$5:$37,DAY(X1685)+2,FALSE),VLOOKUP(Y1685,Equivalencia!$1:$23,((MAX(Equivalencia!$3:$3)-YEAR(X1685))*14)+MONTH(X1685)+2,FALSE)))</f>
        <v>0</v>
      </c>
      <c r="AB1685" s="306">
        <f t="shared" si="450"/>
        <v>0</v>
      </c>
      <c r="AC1685" s="305">
        <f>+IF(X1685=0,0,HLOOKUP(YEAR(X1685)+(MONTH(X1685)/100),TC!$5:$37,DAY(X1685)+2,FALSE))</f>
        <v>0</v>
      </c>
      <c r="AD1685" s="307">
        <f t="shared" si="451"/>
        <v>0</v>
      </c>
      <c r="AE1685" s="314">
        <f t="shared" si="452"/>
        <v>0</v>
      </c>
      <c r="AF1685" s="315">
        <f t="shared" si="453"/>
        <v>0</v>
      </c>
      <c r="AG1685" s="316">
        <f t="shared" si="454"/>
        <v>0</v>
      </c>
      <c r="AH1685" s="314">
        <v>1</v>
      </c>
      <c r="AI1685" s="314">
        <f t="shared" si="455"/>
        <v>0</v>
      </c>
      <c r="AJ1685" s="314">
        <f t="shared" si="456"/>
        <v>0</v>
      </c>
      <c r="AK1685" s="317"/>
      <c r="AL1685" s="315">
        <f t="shared" si="457"/>
        <v>0</v>
      </c>
      <c r="AN1685" s="554">
        <f t="shared" si="458"/>
        <v>0</v>
      </c>
      <c r="AO1685" s="314"/>
      <c r="AP1685" s="318"/>
    </row>
    <row r="1686" spans="2:42">
      <c r="B1686" s="296"/>
      <c r="C1686" s="299"/>
      <c r="D1686" s="298"/>
      <c r="E1686" s="299"/>
      <c r="F1686" s="299"/>
      <c r="G1686" s="300"/>
      <c r="H1686" s="303"/>
      <c r="I1686" s="301">
        <f t="shared" si="442"/>
        <v>0</v>
      </c>
      <c r="J1686" s="302">
        <f t="shared" si="443"/>
        <v>0</v>
      </c>
      <c r="K1686" s="304">
        <f t="shared" si="444"/>
        <v>0</v>
      </c>
      <c r="L1686" s="305">
        <f>IF(H1686=0,0,IF(OR(E1686=$AT$5,E1686=$AT$6),AA1686,IF(F1686="MXN",1/HLOOKUP(YEAR(G1686)+(MONTH(G1686)/100),TC!$5:$37,DAY(G1686)+2,FALSE),VLOOKUP(F1686,Equivalencia!$5:$23,((MAX(Equivalencia!$3:$3)-YEAR(G1686))*14)+MONTH(G1686)+2,FALSE))))</f>
        <v>0</v>
      </c>
      <c r="M1686" s="306">
        <f t="shared" si="445"/>
        <v>0</v>
      </c>
      <c r="N1686" s="305">
        <f>IF(G1686=0,0,(IF(OR(E1686=$AT$5,E1686=$AT$6),AC1686,HLOOKUP(YEAR(G1686)+(MONTH(G1686)/100),TC!$5:$37,DAY(G1686)+2,FALSE))))</f>
        <v>0</v>
      </c>
      <c r="O1686" s="307">
        <f t="shared" si="446"/>
        <v>0</v>
      </c>
      <c r="P1686" s="560">
        <f>IF(G1686=0,0,VLOOKUP(YEAR(G1686),INPC!$B$4:$P$30,MONTH(G1686)+2))</f>
        <v>0</v>
      </c>
      <c r="Q1686" s="560">
        <f>IF(X1686=0,0,IF(OR(E1686=$AT$10,E1686=$AT$9),VLOOKUP(YEAR(X1686),INPC!$B$4:$P$30,MONTH(X1686)+1),VLOOKUP(YEAR(X1686),INPC!$B$4:$P$30,MONTH(X1686)+2,0)))</f>
        <v>0</v>
      </c>
      <c r="R1686" s="309">
        <f t="shared" si="447"/>
        <v>0</v>
      </c>
      <c r="S1686" s="310">
        <f t="shared" si="448"/>
        <v>0</v>
      </c>
      <c r="T1686" s="555">
        <f t="shared" si="449"/>
        <v>0</v>
      </c>
      <c r="U1686" s="311"/>
      <c r="V1686" s="312"/>
      <c r="W1686" s="299"/>
      <c r="X1686" s="300"/>
      <c r="Y1686" s="299"/>
      <c r="Z1686" s="303"/>
      <c r="AA1686" s="305">
        <f>IF(Z1686=0,0,IF(Y1686="MXN",1/HLOOKUP(YEAR(X1686)+(MONTH(X1686)/100),TC!$5:$37,DAY(X1686)+2,FALSE),VLOOKUP(Y1686,Equivalencia!$1:$23,((MAX(Equivalencia!$3:$3)-YEAR(X1686))*14)+MONTH(X1686)+2,FALSE)))</f>
        <v>0</v>
      </c>
      <c r="AB1686" s="306">
        <f t="shared" si="450"/>
        <v>0</v>
      </c>
      <c r="AC1686" s="305">
        <f>+IF(X1686=0,0,HLOOKUP(YEAR(X1686)+(MONTH(X1686)/100),TC!$5:$37,DAY(X1686)+2,FALSE))</f>
        <v>0</v>
      </c>
      <c r="AD1686" s="307">
        <f t="shared" si="451"/>
        <v>0</v>
      </c>
      <c r="AE1686" s="314">
        <f t="shared" si="452"/>
        <v>0</v>
      </c>
      <c r="AF1686" s="315">
        <f t="shared" si="453"/>
        <v>0</v>
      </c>
      <c r="AG1686" s="316">
        <f t="shared" si="454"/>
        <v>0</v>
      </c>
      <c r="AH1686" s="314">
        <v>1</v>
      </c>
      <c r="AI1686" s="314">
        <f t="shared" si="455"/>
        <v>0</v>
      </c>
      <c r="AJ1686" s="314">
        <f t="shared" si="456"/>
        <v>0</v>
      </c>
      <c r="AK1686" s="317"/>
      <c r="AL1686" s="315">
        <f t="shared" si="457"/>
        <v>0</v>
      </c>
      <c r="AN1686" s="554">
        <f t="shared" si="458"/>
        <v>0</v>
      </c>
      <c r="AO1686" s="314"/>
      <c r="AP1686" s="318"/>
    </row>
    <row r="1687" spans="2:42">
      <c r="B1687" s="296"/>
      <c r="C1687" s="299"/>
      <c r="D1687" s="298"/>
      <c r="E1687" s="299"/>
      <c r="F1687" s="299"/>
      <c r="G1687" s="300"/>
      <c r="H1687" s="303"/>
      <c r="I1687" s="301">
        <f t="shared" si="442"/>
        <v>0</v>
      </c>
      <c r="J1687" s="302">
        <f t="shared" si="443"/>
        <v>0</v>
      </c>
      <c r="K1687" s="304">
        <f t="shared" si="444"/>
        <v>0</v>
      </c>
      <c r="L1687" s="305">
        <f>IF(H1687=0,0,IF(OR(E1687=$AT$5,E1687=$AT$6),AA1687,IF(F1687="MXN",1/HLOOKUP(YEAR(G1687)+(MONTH(G1687)/100),TC!$5:$37,DAY(G1687)+2,FALSE),VLOOKUP(F1687,Equivalencia!$5:$23,((MAX(Equivalencia!$3:$3)-YEAR(G1687))*14)+MONTH(G1687)+2,FALSE))))</f>
        <v>0</v>
      </c>
      <c r="M1687" s="306">
        <f t="shared" si="445"/>
        <v>0</v>
      </c>
      <c r="N1687" s="305">
        <f>IF(G1687=0,0,(IF(OR(E1687=$AT$5,E1687=$AT$6),AC1687,HLOOKUP(YEAR(G1687)+(MONTH(G1687)/100),TC!$5:$37,DAY(G1687)+2,FALSE))))</f>
        <v>0</v>
      </c>
      <c r="O1687" s="307">
        <f t="shared" si="446"/>
        <v>0</v>
      </c>
      <c r="P1687" s="560">
        <f>IF(G1687=0,0,VLOOKUP(YEAR(G1687),INPC!$B$4:$P$30,MONTH(G1687)+2))</f>
        <v>0</v>
      </c>
      <c r="Q1687" s="560">
        <f>IF(X1687=0,0,IF(OR(E1687=$AT$10,E1687=$AT$9),VLOOKUP(YEAR(X1687),INPC!$B$4:$P$30,MONTH(X1687)+1),VLOOKUP(YEAR(X1687),INPC!$B$4:$P$30,MONTH(X1687)+2,0)))</f>
        <v>0</v>
      </c>
      <c r="R1687" s="309">
        <f t="shared" si="447"/>
        <v>0</v>
      </c>
      <c r="S1687" s="310">
        <f t="shared" si="448"/>
        <v>0</v>
      </c>
      <c r="T1687" s="555">
        <f t="shared" si="449"/>
        <v>0</v>
      </c>
      <c r="U1687" s="311"/>
      <c r="V1687" s="312"/>
      <c r="W1687" s="299"/>
      <c r="X1687" s="300"/>
      <c r="Y1687" s="299"/>
      <c r="Z1687" s="303"/>
      <c r="AA1687" s="305">
        <f>IF(Z1687=0,0,IF(Y1687="MXN",1/HLOOKUP(YEAR(X1687)+(MONTH(X1687)/100),TC!$5:$37,DAY(X1687)+2,FALSE),VLOOKUP(Y1687,Equivalencia!$1:$23,((MAX(Equivalencia!$3:$3)-YEAR(X1687))*14)+MONTH(X1687)+2,FALSE)))</f>
        <v>0</v>
      </c>
      <c r="AB1687" s="306">
        <f t="shared" si="450"/>
        <v>0</v>
      </c>
      <c r="AC1687" s="305">
        <f>+IF(X1687=0,0,HLOOKUP(YEAR(X1687)+(MONTH(X1687)/100),TC!$5:$37,DAY(X1687)+2,FALSE))</f>
        <v>0</v>
      </c>
      <c r="AD1687" s="307">
        <f t="shared" si="451"/>
        <v>0</v>
      </c>
      <c r="AE1687" s="314">
        <f t="shared" si="452"/>
        <v>0</v>
      </c>
      <c r="AF1687" s="315">
        <f t="shared" si="453"/>
        <v>0</v>
      </c>
      <c r="AG1687" s="316">
        <f t="shared" si="454"/>
        <v>0</v>
      </c>
      <c r="AH1687" s="314">
        <v>1</v>
      </c>
      <c r="AI1687" s="314">
        <f t="shared" si="455"/>
        <v>0</v>
      </c>
      <c r="AJ1687" s="314">
        <f t="shared" si="456"/>
        <v>0</v>
      </c>
      <c r="AK1687" s="317"/>
      <c r="AL1687" s="315">
        <f t="shared" si="457"/>
        <v>0</v>
      </c>
      <c r="AN1687" s="554">
        <f t="shared" si="458"/>
        <v>0</v>
      </c>
      <c r="AO1687" s="314"/>
      <c r="AP1687" s="318"/>
    </row>
    <row r="1688" spans="2:42">
      <c r="B1688" s="296"/>
      <c r="C1688" s="299"/>
      <c r="D1688" s="298"/>
      <c r="E1688" s="299"/>
      <c r="F1688" s="299"/>
      <c r="G1688" s="300"/>
      <c r="H1688" s="303"/>
      <c r="I1688" s="301">
        <f t="shared" si="442"/>
        <v>0</v>
      </c>
      <c r="J1688" s="302">
        <f t="shared" si="443"/>
        <v>0</v>
      </c>
      <c r="K1688" s="304">
        <f t="shared" si="444"/>
        <v>0</v>
      </c>
      <c r="L1688" s="305">
        <f>IF(H1688=0,0,IF(OR(E1688=$AT$5,E1688=$AT$6),AA1688,IF(F1688="MXN",1/HLOOKUP(YEAR(G1688)+(MONTH(G1688)/100),TC!$5:$37,DAY(G1688)+2,FALSE),VLOOKUP(F1688,Equivalencia!$5:$23,((MAX(Equivalencia!$3:$3)-YEAR(G1688))*14)+MONTH(G1688)+2,FALSE))))</f>
        <v>0</v>
      </c>
      <c r="M1688" s="306">
        <f t="shared" si="445"/>
        <v>0</v>
      </c>
      <c r="N1688" s="305">
        <f>IF(G1688=0,0,(IF(OR(E1688=$AT$5,E1688=$AT$6),AC1688,HLOOKUP(YEAR(G1688)+(MONTH(G1688)/100),TC!$5:$37,DAY(G1688)+2,FALSE))))</f>
        <v>0</v>
      </c>
      <c r="O1688" s="307">
        <f t="shared" si="446"/>
        <v>0</v>
      </c>
      <c r="P1688" s="560">
        <f>IF(G1688=0,0,VLOOKUP(YEAR(G1688),INPC!$B$4:$P$30,MONTH(G1688)+2))</f>
        <v>0</v>
      </c>
      <c r="Q1688" s="560">
        <f>IF(X1688=0,0,IF(OR(E1688=$AT$10,E1688=$AT$9),VLOOKUP(YEAR(X1688),INPC!$B$4:$P$30,MONTH(X1688)+1),VLOOKUP(YEAR(X1688),INPC!$B$4:$P$30,MONTH(X1688)+2,0)))</f>
        <v>0</v>
      </c>
      <c r="R1688" s="309">
        <f t="shared" si="447"/>
        <v>0</v>
      </c>
      <c r="S1688" s="310">
        <f t="shared" si="448"/>
        <v>0</v>
      </c>
      <c r="T1688" s="555">
        <f t="shared" si="449"/>
        <v>0</v>
      </c>
      <c r="U1688" s="311"/>
      <c r="V1688" s="312"/>
      <c r="W1688" s="299"/>
      <c r="X1688" s="300"/>
      <c r="Y1688" s="299"/>
      <c r="Z1688" s="303"/>
      <c r="AA1688" s="305">
        <f>IF(Z1688=0,0,IF(Y1688="MXN",1/HLOOKUP(YEAR(X1688)+(MONTH(X1688)/100),TC!$5:$37,DAY(X1688)+2,FALSE),VLOOKUP(Y1688,Equivalencia!$1:$23,((MAX(Equivalencia!$3:$3)-YEAR(X1688))*14)+MONTH(X1688)+2,FALSE)))</f>
        <v>0</v>
      </c>
      <c r="AB1688" s="306">
        <f t="shared" si="450"/>
        <v>0</v>
      </c>
      <c r="AC1688" s="305">
        <f>+IF(X1688=0,0,HLOOKUP(YEAR(X1688)+(MONTH(X1688)/100),TC!$5:$37,DAY(X1688)+2,FALSE))</f>
        <v>0</v>
      </c>
      <c r="AD1688" s="307">
        <f t="shared" si="451"/>
        <v>0</v>
      </c>
      <c r="AE1688" s="314">
        <f t="shared" si="452"/>
        <v>0</v>
      </c>
      <c r="AF1688" s="315">
        <f t="shared" si="453"/>
        <v>0</v>
      </c>
      <c r="AG1688" s="316">
        <f t="shared" si="454"/>
        <v>0</v>
      </c>
      <c r="AH1688" s="314">
        <v>1</v>
      </c>
      <c r="AI1688" s="314">
        <f t="shared" si="455"/>
        <v>0</v>
      </c>
      <c r="AJ1688" s="314">
        <f t="shared" si="456"/>
        <v>0</v>
      </c>
      <c r="AK1688" s="317"/>
      <c r="AL1688" s="315">
        <f t="shared" si="457"/>
        <v>0</v>
      </c>
      <c r="AN1688" s="554">
        <f t="shared" si="458"/>
        <v>0</v>
      </c>
      <c r="AO1688" s="314"/>
      <c r="AP1688" s="318"/>
    </row>
    <row r="1689" spans="2:42">
      <c r="B1689" s="296"/>
      <c r="C1689" s="299"/>
      <c r="D1689" s="298"/>
      <c r="E1689" s="299"/>
      <c r="F1689" s="299"/>
      <c r="G1689" s="300"/>
      <c r="H1689" s="303"/>
      <c r="I1689" s="301">
        <f t="shared" si="442"/>
        <v>0</v>
      </c>
      <c r="J1689" s="302">
        <f t="shared" si="443"/>
        <v>0</v>
      </c>
      <c r="K1689" s="304">
        <f t="shared" si="444"/>
        <v>0</v>
      </c>
      <c r="L1689" s="305">
        <f>IF(H1689=0,0,IF(OR(E1689=$AT$5,E1689=$AT$6),AA1689,IF(F1689="MXN",1/HLOOKUP(YEAR(G1689)+(MONTH(G1689)/100),TC!$5:$37,DAY(G1689)+2,FALSE),VLOOKUP(F1689,Equivalencia!$5:$23,((MAX(Equivalencia!$3:$3)-YEAR(G1689))*14)+MONTH(G1689)+2,FALSE))))</f>
        <v>0</v>
      </c>
      <c r="M1689" s="306">
        <f t="shared" si="445"/>
        <v>0</v>
      </c>
      <c r="N1689" s="305">
        <f>IF(G1689=0,0,(IF(OR(E1689=$AT$5,E1689=$AT$6),AC1689,HLOOKUP(YEAR(G1689)+(MONTH(G1689)/100),TC!$5:$37,DAY(G1689)+2,FALSE))))</f>
        <v>0</v>
      </c>
      <c r="O1689" s="307">
        <f t="shared" si="446"/>
        <v>0</v>
      </c>
      <c r="P1689" s="560">
        <f>IF(G1689=0,0,VLOOKUP(YEAR(G1689),INPC!$B$4:$P$30,MONTH(G1689)+2))</f>
        <v>0</v>
      </c>
      <c r="Q1689" s="560">
        <f>IF(X1689=0,0,IF(OR(E1689=$AT$10,E1689=$AT$9),VLOOKUP(YEAR(X1689),INPC!$B$4:$P$30,MONTH(X1689)+1),VLOOKUP(YEAR(X1689),INPC!$B$4:$P$30,MONTH(X1689)+2,0)))</f>
        <v>0</v>
      </c>
      <c r="R1689" s="309">
        <f t="shared" si="447"/>
        <v>0</v>
      </c>
      <c r="S1689" s="310">
        <f t="shared" si="448"/>
        <v>0</v>
      </c>
      <c r="T1689" s="555">
        <f t="shared" si="449"/>
        <v>0</v>
      </c>
      <c r="U1689" s="311"/>
      <c r="V1689" s="312"/>
      <c r="W1689" s="299"/>
      <c r="X1689" s="300"/>
      <c r="Y1689" s="299"/>
      <c r="Z1689" s="303"/>
      <c r="AA1689" s="305">
        <f>IF(Z1689=0,0,IF(Y1689="MXN",1/HLOOKUP(YEAR(X1689)+(MONTH(X1689)/100),TC!$5:$37,DAY(X1689)+2,FALSE),VLOOKUP(Y1689,Equivalencia!$1:$23,((MAX(Equivalencia!$3:$3)-YEAR(X1689))*14)+MONTH(X1689)+2,FALSE)))</f>
        <v>0</v>
      </c>
      <c r="AB1689" s="306">
        <f t="shared" si="450"/>
        <v>0</v>
      </c>
      <c r="AC1689" s="305">
        <f>+IF(X1689=0,0,HLOOKUP(YEAR(X1689)+(MONTH(X1689)/100),TC!$5:$37,DAY(X1689)+2,FALSE))</f>
        <v>0</v>
      </c>
      <c r="AD1689" s="307">
        <f t="shared" si="451"/>
        <v>0</v>
      </c>
      <c r="AE1689" s="314">
        <f t="shared" si="452"/>
        <v>0</v>
      </c>
      <c r="AF1689" s="315">
        <f t="shared" si="453"/>
        <v>0</v>
      </c>
      <c r="AG1689" s="316">
        <f t="shared" si="454"/>
        <v>0</v>
      </c>
      <c r="AH1689" s="314">
        <v>1</v>
      </c>
      <c r="AI1689" s="314">
        <f t="shared" si="455"/>
        <v>0</v>
      </c>
      <c r="AJ1689" s="314">
        <f t="shared" si="456"/>
        <v>0</v>
      </c>
      <c r="AK1689" s="317"/>
      <c r="AL1689" s="315">
        <f t="shared" si="457"/>
        <v>0</v>
      </c>
      <c r="AN1689" s="554">
        <f t="shared" si="458"/>
        <v>0</v>
      </c>
      <c r="AO1689" s="314"/>
      <c r="AP1689" s="318"/>
    </row>
    <row r="1690" spans="2:42">
      <c r="B1690" s="296"/>
      <c r="C1690" s="299"/>
      <c r="D1690" s="298"/>
      <c r="E1690" s="299"/>
      <c r="F1690" s="299"/>
      <c r="G1690" s="300"/>
      <c r="H1690" s="303"/>
      <c r="I1690" s="301">
        <f t="shared" si="442"/>
        <v>0</v>
      </c>
      <c r="J1690" s="302">
        <f t="shared" si="443"/>
        <v>0</v>
      </c>
      <c r="K1690" s="304">
        <f t="shared" si="444"/>
        <v>0</v>
      </c>
      <c r="L1690" s="305">
        <f>IF(H1690=0,0,IF(OR(E1690=$AT$5,E1690=$AT$6),AA1690,IF(F1690="MXN",1/HLOOKUP(YEAR(G1690)+(MONTH(G1690)/100),TC!$5:$37,DAY(G1690)+2,FALSE),VLOOKUP(F1690,Equivalencia!$5:$23,((MAX(Equivalencia!$3:$3)-YEAR(G1690))*14)+MONTH(G1690)+2,FALSE))))</f>
        <v>0</v>
      </c>
      <c r="M1690" s="306">
        <f t="shared" si="445"/>
        <v>0</v>
      </c>
      <c r="N1690" s="305">
        <f>IF(G1690=0,0,(IF(OR(E1690=$AT$5,E1690=$AT$6),AC1690,HLOOKUP(YEAR(G1690)+(MONTH(G1690)/100),TC!$5:$37,DAY(G1690)+2,FALSE))))</f>
        <v>0</v>
      </c>
      <c r="O1690" s="307">
        <f t="shared" si="446"/>
        <v>0</v>
      </c>
      <c r="P1690" s="560">
        <f>IF(G1690=0,0,VLOOKUP(YEAR(G1690),INPC!$B$4:$P$30,MONTH(G1690)+2))</f>
        <v>0</v>
      </c>
      <c r="Q1690" s="560">
        <f>IF(X1690=0,0,IF(OR(E1690=$AT$10,E1690=$AT$9),VLOOKUP(YEAR(X1690),INPC!$B$4:$P$30,MONTH(X1690)+1),VLOOKUP(YEAR(X1690),INPC!$B$4:$P$30,MONTH(X1690)+2,0)))</f>
        <v>0</v>
      </c>
      <c r="R1690" s="309">
        <f t="shared" si="447"/>
        <v>0</v>
      </c>
      <c r="S1690" s="310">
        <f t="shared" si="448"/>
        <v>0</v>
      </c>
      <c r="T1690" s="555">
        <f t="shared" si="449"/>
        <v>0</v>
      </c>
      <c r="U1690" s="311"/>
      <c r="V1690" s="312"/>
      <c r="W1690" s="299"/>
      <c r="X1690" s="300"/>
      <c r="Y1690" s="299"/>
      <c r="Z1690" s="303"/>
      <c r="AA1690" s="305">
        <f>IF(Z1690=0,0,IF(Y1690="MXN",1/HLOOKUP(YEAR(X1690)+(MONTH(X1690)/100),TC!$5:$37,DAY(X1690)+2,FALSE),VLOOKUP(Y1690,Equivalencia!$1:$23,((MAX(Equivalencia!$3:$3)-YEAR(X1690))*14)+MONTH(X1690)+2,FALSE)))</f>
        <v>0</v>
      </c>
      <c r="AB1690" s="306">
        <f t="shared" si="450"/>
        <v>0</v>
      </c>
      <c r="AC1690" s="305">
        <f>+IF(X1690=0,0,HLOOKUP(YEAR(X1690)+(MONTH(X1690)/100),TC!$5:$37,DAY(X1690)+2,FALSE))</f>
        <v>0</v>
      </c>
      <c r="AD1690" s="307">
        <f t="shared" si="451"/>
        <v>0</v>
      </c>
      <c r="AE1690" s="314">
        <f t="shared" si="452"/>
        <v>0</v>
      </c>
      <c r="AF1690" s="315">
        <f t="shared" si="453"/>
        <v>0</v>
      </c>
      <c r="AG1690" s="316">
        <f t="shared" si="454"/>
        <v>0</v>
      </c>
      <c r="AH1690" s="314">
        <v>1</v>
      </c>
      <c r="AI1690" s="314">
        <f t="shared" si="455"/>
        <v>0</v>
      </c>
      <c r="AJ1690" s="314">
        <f t="shared" si="456"/>
        <v>0</v>
      </c>
      <c r="AK1690" s="317"/>
      <c r="AL1690" s="315">
        <f t="shared" si="457"/>
        <v>0</v>
      </c>
      <c r="AN1690" s="554">
        <f t="shared" si="458"/>
        <v>0</v>
      </c>
      <c r="AO1690" s="314"/>
      <c r="AP1690" s="318"/>
    </row>
    <row r="1691" spans="2:42">
      <c r="B1691" s="296"/>
      <c r="C1691" s="299"/>
      <c r="D1691" s="298"/>
      <c r="E1691" s="299"/>
      <c r="F1691" s="299"/>
      <c r="G1691" s="300"/>
      <c r="H1691" s="303"/>
      <c r="I1691" s="301">
        <f t="shared" si="442"/>
        <v>0</v>
      </c>
      <c r="J1691" s="302">
        <f t="shared" si="443"/>
        <v>0</v>
      </c>
      <c r="K1691" s="304">
        <f t="shared" si="444"/>
        <v>0</v>
      </c>
      <c r="L1691" s="305">
        <f>IF(H1691=0,0,IF(OR(E1691=$AT$5,E1691=$AT$6),AA1691,IF(F1691="MXN",1/HLOOKUP(YEAR(G1691)+(MONTH(G1691)/100),TC!$5:$37,DAY(G1691)+2,FALSE),VLOOKUP(F1691,Equivalencia!$5:$23,((MAX(Equivalencia!$3:$3)-YEAR(G1691))*14)+MONTH(G1691)+2,FALSE))))</f>
        <v>0</v>
      </c>
      <c r="M1691" s="306">
        <f t="shared" si="445"/>
        <v>0</v>
      </c>
      <c r="N1691" s="305">
        <f>IF(G1691=0,0,(IF(OR(E1691=$AT$5,E1691=$AT$6),AC1691,HLOOKUP(YEAR(G1691)+(MONTH(G1691)/100),TC!$5:$37,DAY(G1691)+2,FALSE))))</f>
        <v>0</v>
      </c>
      <c r="O1691" s="307">
        <f t="shared" si="446"/>
        <v>0</v>
      </c>
      <c r="P1691" s="560">
        <f>IF(G1691=0,0,VLOOKUP(YEAR(G1691),INPC!$B$4:$P$30,MONTH(G1691)+2))</f>
        <v>0</v>
      </c>
      <c r="Q1691" s="560">
        <f>IF(X1691=0,0,IF(OR(E1691=$AT$10,E1691=$AT$9),VLOOKUP(YEAR(X1691),INPC!$B$4:$P$30,MONTH(X1691)+1),VLOOKUP(YEAR(X1691),INPC!$B$4:$P$30,MONTH(X1691)+2,0)))</f>
        <v>0</v>
      </c>
      <c r="R1691" s="309">
        <f t="shared" si="447"/>
        <v>0</v>
      </c>
      <c r="S1691" s="310">
        <f t="shared" si="448"/>
        <v>0</v>
      </c>
      <c r="T1691" s="555">
        <f t="shared" si="449"/>
        <v>0</v>
      </c>
      <c r="U1691" s="311"/>
      <c r="V1691" s="312"/>
      <c r="W1691" s="299"/>
      <c r="X1691" s="300"/>
      <c r="Y1691" s="299"/>
      <c r="Z1691" s="303"/>
      <c r="AA1691" s="305">
        <f>IF(Z1691=0,0,IF(Y1691="MXN",1/HLOOKUP(YEAR(X1691)+(MONTH(X1691)/100),TC!$5:$37,DAY(X1691)+2,FALSE),VLOOKUP(Y1691,Equivalencia!$1:$23,((MAX(Equivalencia!$3:$3)-YEAR(X1691))*14)+MONTH(X1691)+2,FALSE)))</f>
        <v>0</v>
      </c>
      <c r="AB1691" s="306">
        <f t="shared" si="450"/>
        <v>0</v>
      </c>
      <c r="AC1691" s="305">
        <f>+IF(X1691=0,0,HLOOKUP(YEAR(X1691)+(MONTH(X1691)/100),TC!$5:$37,DAY(X1691)+2,FALSE))</f>
        <v>0</v>
      </c>
      <c r="AD1691" s="307">
        <f t="shared" si="451"/>
        <v>0</v>
      </c>
      <c r="AE1691" s="314">
        <f t="shared" si="452"/>
        <v>0</v>
      </c>
      <c r="AF1691" s="315">
        <f t="shared" si="453"/>
        <v>0</v>
      </c>
      <c r="AG1691" s="316">
        <f t="shared" si="454"/>
        <v>0</v>
      </c>
      <c r="AH1691" s="314">
        <v>1</v>
      </c>
      <c r="AI1691" s="314">
        <f t="shared" si="455"/>
        <v>0</v>
      </c>
      <c r="AJ1691" s="314">
        <f t="shared" si="456"/>
        <v>0</v>
      </c>
      <c r="AK1691" s="317"/>
      <c r="AL1691" s="315">
        <f t="shared" si="457"/>
        <v>0</v>
      </c>
      <c r="AN1691" s="554">
        <f t="shared" si="458"/>
        <v>0</v>
      </c>
      <c r="AO1691" s="314"/>
      <c r="AP1691" s="318"/>
    </row>
    <row r="1692" spans="2:42">
      <c r="B1692" s="296"/>
      <c r="C1692" s="299"/>
      <c r="D1692" s="298"/>
      <c r="E1692" s="299"/>
      <c r="F1692" s="299"/>
      <c r="G1692" s="300"/>
      <c r="H1692" s="303"/>
      <c r="I1692" s="301">
        <f t="shared" si="442"/>
        <v>0</v>
      </c>
      <c r="J1692" s="302">
        <f t="shared" si="443"/>
        <v>0</v>
      </c>
      <c r="K1692" s="304">
        <f t="shared" si="444"/>
        <v>0</v>
      </c>
      <c r="L1692" s="305">
        <f>IF(H1692=0,0,IF(OR(E1692=$AT$5,E1692=$AT$6),AA1692,IF(F1692="MXN",1/HLOOKUP(YEAR(G1692)+(MONTH(G1692)/100),TC!$5:$37,DAY(G1692)+2,FALSE),VLOOKUP(F1692,Equivalencia!$5:$23,((MAX(Equivalencia!$3:$3)-YEAR(G1692))*14)+MONTH(G1692)+2,FALSE))))</f>
        <v>0</v>
      </c>
      <c r="M1692" s="306">
        <f t="shared" si="445"/>
        <v>0</v>
      </c>
      <c r="N1692" s="305">
        <f>IF(G1692=0,0,(IF(OR(E1692=$AT$5,E1692=$AT$6),AC1692,HLOOKUP(YEAR(G1692)+(MONTH(G1692)/100),TC!$5:$37,DAY(G1692)+2,FALSE))))</f>
        <v>0</v>
      </c>
      <c r="O1692" s="307">
        <f t="shared" si="446"/>
        <v>0</v>
      </c>
      <c r="P1692" s="560">
        <f>IF(G1692=0,0,VLOOKUP(YEAR(G1692),INPC!$B$4:$P$30,MONTH(G1692)+2))</f>
        <v>0</v>
      </c>
      <c r="Q1692" s="560">
        <f>IF(X1692=0,0,IF(OR(E1692=$AT$10,E1692=$AT$9),VLOOKUP(YEAR(X1692),INPC!$B$4:$P$30,MONTH(X1692)+1),VLOOKUP(YEAR(X1692),INPC!$B$4:$P$30,MONTH(X1692)+2,0)))</f>
        <v>0</v>
      </c>
      <c r="R1692" s="309">
        <f t="shared" si="447"/>
        <v>0</v>
      </c>
      <c r="S1692" s="310">
        <f t="shared" si="448"/>
        <v>0</v>
      </c>
      <c r="T1692" s="555">
        <f t="shared" si="449"/>
        <v>0</v>
      </c>
      <c r="U1692" s="311"/>
      <c r="V1692" s="312"/>
      <c r="W1692" s="299"/>
      <c r="X1692" s="300"/>
      <c r="Y1692" s="299"/>
      <c r="Z1692" s="303"/>
      <c r="AA1692" s="305">
        <f>IF(Z1692=0,0,IF(Y1692="MXN",1/HLOOKUP(YEAR(X1692)+(MONTH(X1692)/100),TC!$5:$37,DAY(X1692)+2,FALSE),VLOOKUP(Y1692,Equivalencia!$1:$23,((MAX(Equivalencia!$3:$3)-YEAR(X1692))*14)+MONTH(X1692)+2,FALSE)))</f>
        <v>0</v>
      </c>
      <c r="AB1692" s="306">
        <f t="shared" si="450"/>
        <v>0</v>
      </c>
      <c r="AC1692" s="305">
        <f>+IF(X1692=0,0,HLOOKUP(YEAR(X1692)+(MONTH(X1692)/100),TC!$5:$37,DAY(X1692)+2,FALSE))</f>
        <v>0</v>
      </c>
      <c r="AD1692" s="307">
        <f t="shared" si="451"/>
        <v>0</v>
      </c>
      <c r="AE1692" s="314">
        <f t="shared" si="452"/>
        <v>0</v>
      </c>
      <c r="AF1692" s="315">
        <f t="shared" si="453"/>
        <v>0</v>
      </c>
      <c r="AG1692" s="316">
        <f t="shared" si="454"/>
        <v>0</v>
      </c>
      <c r="AH1692" s="314">
        <v>1</v>
      </c>
      <c r="AI1692" s="314">
        <f t="shared" si="455"/>
        <v>0</v>
      </c>
      <c r="AJ1692" s="314">
        <f t="shared" si="456"/>
        <v>0</v>
      </c>
      <c r="AK1692" s="317"/>
      <c r="AL1692" s="315">
        <f t="shared" si="457"/>
        <v>0</v>
      </c>
      <c r="AN1692" s="554">
        <f t="shared" si="458"/>
        <v>0</v>
      </c>
      <c r="AO1692" s="314"/>
      <c r="AP1692" s="318"/>
    </row>
    <row r="1693" spans="2:42">
      <c r="B1693" s="296"/>
      <c r="C1693" s="299"/>
      <c r="D1693" s="298"/>
      <c r="E1693" s="299"/>
      <c r="F1693" s="299"/>
      <c r="G1693" s="300"/>
      <c r="H1693" s="303"/>
      <c r="I1693" s="301">
        <f t="shared" si="442"/>
        <v>0</v>
      </c>
      <c r="J1693" s="302">
        <f t="shared" si="443"/>
        <v>0</v>
      </c>
      <c r="K1693" s="304">
        <f t="shared" si="444"/>
        <v>0</v>
      </c>
      <c r="L1693" s="305">
        <f>IF(H1693=0,0,IF(OR(E1693=$AT$5,E1693=$AT$6),AA1693,IF(F1693="MXN",1/HLOOKUP(YEAR(G1693)+(MONTH(G1693)/100),TC!$5:$37,DAY(G1693)+2,FALSE),VLOOKUP(F1693,Equivalencia!$5:$23,((MAX(Equivalencia!$3:$3)-YEAR(G1693))*14)+MONTH(G1693)+2,FALSE))))</f>
        <v>0</v>
      </c>
      <c r="M1693" s="306">
        <f t="shared" si="445"/>
        <v>0</v>
      </c>
      <c r="N1693" s="305">
        <f>IF(G1693=0,0,(IF(OR(E1693=$AT$5,E1693=$AT$6),AC1693,HLOOKUP(YEAR(G1693)+(MONTH(G1693)/100),TC!$5:$37,DAY(G1693)+2,FALSE))))</f>
        <v>0</v>
      </c>
      <c r="O1693" s="307">
        <f t="shared" si="446"/>
        <v>0</v>
      </c>
      <c r="P1693" s="560">
        <f>IF(G1693=0,0,VLOOKUP(YEAR(G1693),INPC!$B$4:$P$30,MONTH(G1693)+2))</f>
        <v>0</v>
      </c>
      <c r="Q1693" s="560">
        <f>IF(X1693=0,0,IF(OR(E1693=$AT$10,E1693=$AT$9),VLOOKUP(YEAR(X1693),INPC!$B$4:$P$30,MONTH(X1693)+1),VLOOKUP(YEAR(X1693),INPC!$B$4:$P$30,MONTH(X1693)+2,0)))</f>
        <v>0</v>
      </c>
      <c r="R1693" s="309">
        <f t="shared" si="447"/>
        <v>0</v>
      </c>
      <c r="S1693" s="310">
        <f t="shared" si="448"/>
        <v>0</v>
      </c>
      <c r="T1693" s="555">
        <f t="shared" si="449"/>
        <v>0</v>
      </c>
      <c r="U1693" s="311"/>
      <c r="V1693" s="312"/>
      <c r="W1693" s="299"/>
      <c r="X1693" s="300"/>
      <c r="Y1693" s="299"/>
      <c r="Z1693" s="303"/>
      <c r="AA1693" s="305">
        <f>IF(Z1693=0,0,IF(Y1693="MXN",1/HLOOKUP(YEAR(X1693)+(MONTH(X1693)/100),TC!$5:$37,DAY(X1693)+2,FALSE),VLOOKUP(Y1693,Equivalencia!$1:$23,((MAX(Equivalencia!$3:$3)-YEAR(X1693))*14)+MONTH(X1693)+2,FALSE)))</f>
        <v>0</v>
      </c>
      <c r="AB1693" s="306">
        <f t="shared" si="450"/>
        <v>0</v>
      </c>
      <c r="AC1693" s="305">
        <f>+IF(X1693=0,0,HLOOKUP(YEAR(X1693)+(MONTH(X1693)/100),TC!$5:$37,DAY(X1693)+2,FALSE))</f>
        <v>0</v>
      </c>
      <c r="AD1693" s="307">
        <f t="shared" si="451"/>
        <v>0</v>
      </c>
      <c r="AE1693" s="314">
        <f t="shared" si="452"/>
        <v>0</v>
      </c>
      <c r="AF1693" s="315">
        <f t="shared" si="453"/>
        <v>0</v>
      </c>
      <c r="AG1693" s="316">
        <f t="shared" si="454"/>
        <v>0</v>
      </c>
      <c r="AH1693" s="314">
        <v>1</v>
      </c>
      <c r="AI1693" s="314">
        <f t="shared" si="455"/>
        <v>0</v>
      </c>
      <c r="AJ1693" s="314">
        <f t="shared" si="456"/>
        <v>0</v>
      </c>
      <c r="AK1693" s="317"/>
      <c r="AL1693" s="315">
        <f t="shared" si="457"/>
        <v>0</v>
      </c>
      <c r="AN1693" s="554">
        <f t="shared" si="458"/>
        <v>0</v>
      </c>
      <c r="AO1693" s="314"/>
      <c r="AP1693" s="318"/>
    </row>
    <row r="1694" spans="2:42">
      <c r="B1694" s="296"/>
      <c r="C1694" s="299"/>
      <c r="D1694" s="298"/>
      <c r="E1694" s="299"/>
      <c r="F1694" s="299"/>
      <c r="G1694" s="300"/>
      <c r="H1694" s="303"/>
      <c r="I1694" s="301">
        <f t="shared" si="442"/>
        <v>0</v>
      </c>
      <c r="J1694" s="302">
        <f t="shared" si="443"/>
        <v>0</v>
      </c>
      <c r="K1694" s="304">
        <f t="shared" si="444"/>
        <v>0</v>
      </c>
      <c r="L1694" s="305">
        <f>IF(H1694=0,0,IF(OR(E1694=$AT$5,E1694=$AT$6),AA1694,IF(F1694="MXN",1/HLOOKUP(YEAR(G1694)+(MONTH(G1694)/100),TC!$5:$37,DAY(G1694)+2,FALSE),VLOOKUP(F1694,Equivalencia!$5:$23,((MAX(Equivalencia!$3:$3)-YEAR(G1694))*14)+MONTH(G1694)+2,FALSE))))</f>
        <v>0</v>
      </c>
      <c r="M1694" s="306">
        <f t="shared" si="445"/>
        <v>0</v>
      </c>
      <c r="N1694" s="305">
        <f>IF(G1694=0,0,(IF(OR(E1694=$AT$5,E1694=$AT$6),AC1694,HLOOKUP(YEAR(G1694)+(MONTH(G1694)/100),TC!$5:$37,DAY(G1694)+2,FALSE))))</f>
        <v>0</v>
      </c>
      <c r="O1694" s="307">
        <f t="shared" si="446"/>
        <v>0</v>
      </c>
      <c r="P1694" s="560">
        <f>IF(G1694=0,0,VLOOKUP(YEAR(G1694),INPC!$B$4:$P$30,MONTH(G1694)+2))</f>
        <v>0</v>
      </c>
      <c r="Q1694" s="560">
        <f>IF(X1694=0,0,IF(OR(E1694=$AT$10,E1694=$AT$9),VLOOKUP(YEAR(X1694),INPC!$B$4:$P$30,MONTH(X1694)+1),VLOOKUP(YEAR(X1694),INPC!$B$4:$P$30,MONTH(X1694)+2,0)))</f>
        <v>0</v>
      </c>
      <c r="R1694" s="309">
        <f t="shared" si="447"/>
        <v>0</v>
      </c>
      <c r="S1694" s="310">
        <f t="shared" si="448"/>
        <v>0</v>
      </c>
      <c r="T1694" s="555">
        <f t="shared" si="449"/>
        <v>0</v>
      </c>
      <c r="U1694" s="311"/>
      <c r="V1694" s="312"/>
      <c r="W1694" s="299"/>
      <c r="X1694" s="300"/>
      <c r="Y1694" s="299"/>
      <c r="Z1694" s="303"/>
      <c r="AA1694" s="305">
        <f>IF(Z1694=0,0,IF(Y1694="MXN",1/HLOOKUP(YEAR(X1694)+(MONTH(X1694)/100),TC!$5:$37,DAY(X1694)+2,FALSE),VLOOKUP(Y1694,Equivalencia!$1:$23,((MAX(Equivalencia!$3:$3)-YEAR(X1694))*14)+MONTH(X1694)+2,FALSE)))</f>
        <v>0</v>
      </c>
      <c r="AB1694" s="306">
        <f t="shared" si="450"/>
        <v>0</v>
      </c>
      <c r="AC1694" s="305">
        <f>+IF(X1694=0,0,HLOOKUP(YEAR(X1694)+(MONTH(X1694)/100),TC!$5:$37,DAY(X1694)+2,FALSE))</f>
        <v>0</v>
      </c>
      <c r="AD1694" s="307">
        <f t="shared" si="451"/>
        <v>0</v>
      </c>
      <c r="AE1694" s="314">
        <f t="shared" si="452"/>
        <v>0</v>
      </c>
      <c r="AF1694" s="315">
        <f t="shared" si="453"/>
        <v>0</v>
      </c>
      <c r="AG1694" s="316">
        <f t="shared" si="454"/>
        <v>0</v>
      </c>
      <c r="AH1694" s="314">
        <v>1</v>
      </c>
      <c r="AI1694" s="314">
        <f t="shared" si="455"/>
        <v>0</v>
      </c>
      <c r="AJ1694" s="314">
        <f t="shared" si="456"/>
        <v>0</v>
      </c>
      <c r="AK1694" s="317"/>
      <c r="AL1694" s="315">
        <f t="shared" si="457"/>
        <v>0</v>
      </c>
      <c r="AN1694" s="554">
        <f t="shared" si="458"/>
        <v>0</v>
      </c>
      <c r="AO1694" s="314"/>
      <c r="AP1694" s="318"/>
    </row>
    <row r="1695" spans="2:42">
      <c r="B1695" s="296"/>
      <c r="C1695" s="299"/>
      <c r="D1695" s="298"/>
      <c r="E1695" s="299"/>
      <c r="F1695" s="299"/>
      <c r="G1695" s="300"/>
      <c r="H1695" s="303"/>
      <c r="I1695" s="301">
        <f t="shared" si="442"/>
        <v>0</v>
      </c>
      <c r="J1695" s="302">
        <f t="shared" si="443"/>
        <v>0</v>
      </c>
      <c r="K1695" s="304">
        <f t="shared" si="444"/>
        <v>0</v>
      </c>
      <c r="L1695" s="305">
        <f>IF(H1695=0,0,IF(OR(E1695=$AT$5,E1695=$AT$6),AA1695,IF(F1695="MXN",1/HLOOKUP(YEAR(G1695)+(MONTH(G1695)/100),TC!$5:$37,DAY(G1695)+2,FALSE),VLOOKUP(F1695,Equivalencia!$5:$23,((MAX(Equivalencia!$3:$3)-YEAR(G1695))*14)+MONTH(G1695)+2,FALSE))))</f>
        <v>0</v>
      </c>
      <c r="M1695" s="306">
        <f t="shared" si="445"/>
        <v>0</v>
      </c>
      <c r="N1695" s="305">
        <f>IF(G1695=0,0,(IF(OR(E1695=$AT$5,E1695=$AT$6),AC1695,HLOOKUP(YEAR(G1695)+(MONTH(G1695)/100),TC!$5:$37,DAY(G1695)+2,FALSE))))</f>
        <v>0</v>
      </c>
      <c r="O1695" s="307">
        <f t="shared" si="446"/>
        <v>0</v>
      </c>
      <c r="P1695" s="560">
        <f>IF(G1695=0,0,VLOOKUP(YEAR(G1695),INPC!$B$4:$P$30,MONTH(G1695)+2))</f>
        <v>0</v>
      </c>
      <c r="Q1695" s="560">
        <f>IF(X1695=0,0,IF(OR(E1695=$AT$10,E1695=$AT$9),VLOOKUP(YEAR(X1695),INPC!$B$4:$P$30,MONTH(X1695)+1),VLOOKUP(YEAR(X1695),INPC!$B$4:$P$30,MONTH(X1695)+2,0)))</f>
        <v>0</v>
      </c>
      <c r="R1695" s="309">
        <f t="shared" si="447"/>
        <v>0</v>
      </c>
      <c r="S1695" s="310">
        <f t="shared" si="448"/>
        <v>0</v>
      </c>
      <c r="T1695" s="555">
        <f t="shared" si="449"/>
        <v>0</v>
      </c>
      <c r="U1695" s="311"/>
      <c r="V1695" s="312"/>
      <c r="W1695" s="299"/>
      <c r="X1695" s="300"/>
      <c r="Y1695" s="299"/>
      <c r="Z1695" s="303"/>
      <c r="AA1695" s="305">
        <f>IF(Z1695=0,0,IF(Y1695="MXN",1/HLOOKUP(YEAR(X1695)+(MONTH(X1695)/100),TC!$5:$37,DAY(X1695)+2,FALSE),VLOOKUP(Y1695,Equivalencia!$1:$23,((MAX(Equivalencia!$3:$3)-YEAR(X1695))*14)+MONTH(X1695)+2,FALSE)))</f>
        <v>0</v>
      </c>
      <c r="AB1695" s="306">
        <f t="shared" si="450"/>
        <v>0</v>
      </c>
      <c r="AC1695" s="305">
        <f>+IF(X1695=0,0,HLOOKUP(YEAR(X1695)+(MONTH(X1695)/100),TC!$5:$37,DAY(X1695)+2,FALSE))</f>
        <v>0</v>
      </c>
      <c r="AD1695" s="307">
        <f t="shared" si="451"/>
        <v>0</v>
      </c>
      <c r="AE1695" s="314">
        <f t="shared" si="452"/>
        <v>0</v>
      </c>
      <c r="AF1695" s="315">
        <f t="shared" si="453"/>
        <v>0</v>
      </c>
      <c r="AG1695" s="316">
        <f t="shared" si="454"/>
        <v>0</v>
      </c>
      <c r="AH1695" s="314">
        <v>1</v>
      </c>
      <c r="AI1695" s="314">
        <f t="shared" si="455"/>
        <v>0</v>
      </c>
      <c r="AJ1695" s="314">
        <f t="shared" si="456"/>
        <v>0</v>
      </c>
      <c r="AK1695" s="317"/>
      <c r="AL1695" s="315">
        <f t="shared" si="457"/>
        <v>0</v>
      </c>
      <c r="AN1695" s="554">
        <f t="shared" si="458"/>
        <v>0</v>
      </c>
      <c r="AO1695" s="314"/>
      <c r="AP1695" s="318"/>
    </row>
    <row r="1696" spans="2:42">
      <c r="B1696" s="296"/>
      <c r="C1696" s="299"/>
      <c r="D1696" s="298"/>
      <c r="E1696" s="299"/>
      <c r="F1696" s="299"/>
      <c r="G1696" s="300"/>
      <c r="H1696" s="303"/>
      <c r="I1696" s="301">
        <f t="shared" si="442"/>
        <v>0</v>
      </c>
      <c r="J1696" s="302">
        <f t="shared" si="443"/>
        <v>0</v>
      </c>
      <c r="K1696" s="304">
        <f t="shared" si="444"/>
        <v>0</v>
      </c>
      <c r="L1696" s="305">
        <f>IF(H1696=0,0,IF(OR(E1696=$AT$5,E1696=$AT$6),AA1696,IF(F1696="MXN",1/HLOOKUP(YEAR(G1696)+(MONTH(G1696)/100),TC!$5:$37,DAY(G1696)+2,FALSE),VLOOKUP(F1696,Equivalencia!$5:$23,((MAX(Equivalencia!$3:$3)-YEAR(G1696))*14)+MONTH(G1696)+2,FALSE))))</f>
        <v>0</v>
      </c>
      <c r="M1696" s="306">
        <f t="shared" si="445"/>
        <v>0</v>
      </c>
      <c r="N1696" s="305">
        <f>IF(G1696=0,0,(IF(OR(E1696=$AT$5,E1696=$AT$6),AC1696,HLOOKUP(YEAR(G1696)+(MONTH(G1696)/100),TC!$5:$37,DAY(G1696)+2,FALSE))))</f>
        <v>0</v>
      </c>
      <c r="O1696" s="307">
        <f t="shared" si="446"/>
        <v>0</v>
      </c>
      <c r="P1696" s="560">
        <f>IF(G1696=0,0,VLOOKUP(YEAR(G1696),INPC!$B$4:$P$30,MONTH(G1696)+2))</f>
        <v>0</v>
      </c>
      <c r="Q1696" s="560">
        <f>IF(X1696=0,0,IF(OR(E1696=$AT$10,E1696=$AT$9),VLOOKUP(YEAR(X1696),INPC!$B$4:$P$30,MONTH(X1696)+1),VLOOKUP(YEAR(X1696),INPC!$B$4:$P$30,MONTH(X1696)+2,0)))</f>
        <v>0</v>
      </c>
      <c r="R1696" s="309">
        <f t="shared" si="447"/>
        <v>0</v>
      </c>
      <c r="S1696" s="310">
        <f t="shared" si="448"/>
        <v>0</v>
      </c>
      <c r="T1696" s="555">
        <f t="shared" si="449"/>
        <v>0</v>
      </c>
      <c r="U1696" s="311"/>
      <c r="V1696" s="312"/>
      <c r="W1696" s="299"/>
      <c r="X1696" s="300"/>
      <c r="Y1696" s="299"/>
      <c r="Z1696" s="303"/>
      <c r="AA1696" s="305">
        <f>IF(Z1696=0,0,IF(Y1696="MXN",1/HLOOKUP(YEAR(X1696)+(MONTH(X1696)/100),TC!$5:$37,DAY(X1696)+2,FALSE),VLOOKUP(Y1696,Equivalencia!$1:$23,((MAX(Equivalencia!$3:$3)-YEAR(X1696))*14)+MONTH(X1696)+2,FALSE)))</f>
        <v>0</v>
      </c>
      <c r="AB1696" s="306">
        <f t="shared" si="450"/>
        <v>0</v>
      </c>
      <c r="AC1696" s="305">
        <f>+IF(X1696=0,0,HLOOKUP(YEAR(X1696)+(MONTH(X1696)/100),TC!$5:$37,DAY(X1696)+2,FALSE))</f>
        <v>0</v>
      </c>
      <c r="AD1696" s="307">
        <f t="shared" si="451"/>
        <v>0</v>
      </c>
      <c r="AE1696" s="314">
        <f t="shared" si="452"/>
        <v>0</v>
      </c>
      <c r="AF1696" s="315">
        <f t="shared" si="453"/>
        <v>0</v>
      </c>
      <c r="AG1696" s="316">
        <f t="shared" si="454"/>
        <v>0</v>
      </c>
      <c r="AH1696" s="314">
        <v>1</v>
      </c>
      <c r="AI1696" s="314">
        <f t="shared" si="455"/>
        <v>0</v>
      </c>
      <c r="AJ1696" s="314">
        <f t="shared" si="456"/>
        <v>0</v>
      </c>
      <c r="AK1696" s="317"/>
      <c r="AL1696" s="315">
        <f t="shared" si="457"/>
        <v>0</v>
      </c>
      <c r="AN1696" s="554">
        <f t="shared" si="458"/>
        <v>0</v>
      </c>
      <c r="AO1696" s="314"/>
      <c r="AP1696" s="318"/>
    </row>
    <row r="1697" spans="2:42">
      <c r="B1697" s="296"/>
      <c r="C1697" s="299"/>
      <c r="D1697" s="298"/>
      <c r="E1697" s="299"/>
      <c r="F1697" s="299"/>
      <c r="G1697" s="300"/>
      <c r="H1697" s="303"/>
      <c r="I1697" s="301">
        <f t="shared" si="442"/>
        <v>0</v>
      </c>
      <c r="J1697" s="302">
        <f t="shared" si="443"/>
        <v>0</v>
      </c>
      <c r="K1697" s="304">
        <f t="shared" si="444"/>
        <v>0</v>
      </c>
      <c r="L1697" s="305">
        <f>IF(H1697=0,0,IF(OR(E1697=$AT$5,E1697=$AT$6),AA1697,IF(F1697="MXN",1/HLOOKUP(YEAR(G1697)+(MONTH(G1697)/100),TC!$5:$37,DAY(G1697)+2,FALSE),VLOOKUP(F1697,Equivalencia!$5:$23,((MAX(Equivalencia!$3:$3)-YEAR(G1697))*14)+MONTH(G1697)+2,FALSE))))</f>
        <v>0</v>
      </c>
      <c r="M1697" s="306">
        <f t="shared" si="445"/>
        <v>0</v>
      </c>
      <c r="N1697" s="305">
        <f>IF(G1697=0,0,(IF(OR(E1697=$AT$5,E1697=$AT$6),AC1697,HLOOKUP(YEAR(G1697)+(MONTH(G1697)/100),TC!$5:$37,DAY(G1697)+2,FALSE))))</f>
        <v>0</v>
      </c>
      <c r="O1697" s="307">
        <f t="shared" si="446"/>
        <v>0</v>
      </c>
      <c r="P1697" s="560">
        <f>IF(G1697=0,0,VLOOKUP(YEAR(G1697),INPC!$B$4:$P$30,MONTH(G1697)+2))</f>
        <v>0</v>
      </c>
      <c r="Q1697" s="560">
        <f>IF(X1697=0,0,IF(OR(E1697=$AT$10,E1697=$AT$9),VLOOKUP(YEAR(X1697),INPC!$B$4:$P$30,MONTH(X1697)+1),VLOOKUP(YEAR(X1697),INPC!$B$4:$P$30,MONTH(X1697)+2,0)))</f>
        <v>0</v>
      </c>
      <c r="R1697" s="309">
        <f t="shared" si="447"/>
        <v>0</v>
      </c>
      <c r="S1697" s="310">
        <f t="shared" si="448"/>
        <v>0</v>
      </c>
      <c r="T1697" s="555">
        <f t="shared" si="449"/>
        <v>0</v>
      </c>
      <c r="U1697" s="311"/>
      <c r="V1697" s="312"/>
      <c r="W1697" s="299"/>
      <c r="X1697" s="300"/>
      <c r="Y1697" s="299"/>
      <c r="Z1697" s="303"/>
      <c r="AA1697" s="305">
        <f>IF(Z1697=0,0,IF(Y1697="MXN",1/HLOOKUP(YEAR(X1697)+(MONTH(X1697)/100),TC!$5:$37,DAY(X1697)+2,FALSE),VLOOKUP(Y1697,Equivalencia!$1:$23,((MAX(Equivalencia!$3:$3)-YEAR(X1697))*14)+MONTH(X1697)+2,FALSE)))</f>
        <v>0</v>
      </c>
      <c r="AB1697" s="306">
        <f t="shared" si="450"/>
        <v>0</v>
      </c>
      <c r="AC1697" s="305">
        <f>+IF(X1697=0,0,HLOOKUP(YEAR(X1697)+(MONTH(X1697)/100),TC!$5:$37,DAY(X1697)+2,FALSE))</f>
        <v>0</v>
      </c>
      <c r="AD1697" s="307">
        <f t="shared" si="451"/>
        <v>0</v>
      </c>
      <c r="AE1697" s="314">
        <f t="shared" si="452"/>
        <v>0</v>
      </c>
      <c r="AF1697" s="315">
        <f t="shared" si="453"/>
        <v>0</v>
      </c>
      <c r="AG1697" s="316">
        <f t="shared" si="454"/>
        <v>0</v>
      </c>
      <c r="AH1697" s="314">
        <v>1</v>
      </c>
      <c r="AI1697" s="314">
        <f t="shared" si="455"/>
        <v>0</v>
      </c>
      <c r="AJ1697" s="314">
        <f t="shared" si="456"/>
        <v>0</v>
      </c>
      <c r="AK1697" s="317"/>
      <c r="AL1697" s="315">
        <f t="shared" si="457"/>
        <v>0</v>
      </c>
      <c r="AN1697" s="554">
        <f t="shared" si="458"/>
        <v>0</v>
      </c>
      <c r="AO1697" s="314"/>
      <c r="AP1697" s="318"/>
    </row>
    <row r="1698" spans="2:42">
      <c r="B1698" s="296"/>
      <c r="C1698" s="299"/>
      <c r="D1698" s="298"/>
      <c r="E1698" s="299"/>
      <c r="F1698" s="299"/>
      <c r="G1698" s="300"/>
      <c r="H1698" s="303"/>
      <c r="I1698" s="301">
        <f t="shared" si="442"/>
        <v>0</v>
      </c>
      <c r="J1698" s="302">
        <f t="shared" si="443"/>
        <v>0</v>
      </c>
      <c r="K1698" s="304">
        <f t="shared" si="444"/>
        <v>0</v>
      </c>
      <c r="L1698" s="305">
        <f>IF(H1698=0,0,IF(OR(E1698=$AT$5,E1698=$AT$6),AA1698,IF(F1698="MXN",1/HLOOKUP(YEAR(G1698)+(MONTH(G1698)/100),TC!$5:$37,DAY(G1698)+2,FALSE),VLOOKUP(F1698,Equivalencia!$5:$23,((MAX(Equivalencia!$3:$3)-YEAR(G1698))*14)+MONTH(G1698)+2,FALSE))))</f>
        <v>0</v>
      </c>
      <c r="M1698" s="306">
        <f t="shared" si="445"/>
        <v>0</v>
      </c>
      <c r="N1698" s="305">
        <f>IF(G1698=0,0,(IF(OR(E1698=$AT$5,E1698=$AT$6),AC1698,HLOOKUP(YEAR(G1698)+(MONTH(G1698)/100),TC!$5:$37,DAY(G1698)+2,FALSE))))</f>
        <v>0</v>
      </c>
      <c r="O1698" s="307">
        <f t="shared" si="446"/>
        <v>0</v>
      </c>
      <c r="P1698" s="560">
        <f>IF(G1698=0,0,VLOOKUP(YEAR(G1698),INPC!$B$4:$P$30,MONTH(G1698)+2))</f>
        <v>0</v>
      </c>
      <c r="Q1698" s="560">
        <f>IF(X1698=0,0,IF(OR(E1698=$AT$10,E1698=$AT$9),VLOOKUP(YEAR(X1698),INPC!$B$4:$P$30,MONTH(X1698)+1),VLOOKUP(YEAR(X1698),INPC!$B$4:$P$30,MONTH(X1698)+2,0)))</f>
        <v>0</v>
      </c>
      <c r="R1698" s="309">
        <f t="shared" si="447"/>
        <v>0</v>
      </c>
      <c r="S1698" s="310">
        <f t="shared" si="448"/>
        <v>0</v>
      </c>
      <c r="T1698" s="555">
        <f t="shared" si="449"/>
        <v>0</v>
      </c>
      <c r="U1698" s="311"/>
      <c r="V1698" s="312"/>
      <c r="W1698" s="299"/>
      <c r="X1698" s="300"/>
      <c r="Y1698" s="299"/>
      <c r="Z1698" s="303"/>
      <c r="AA1698" s="305">
        <f>IF(Z1698=0,0,IF(Y1698="MXN",1/HLOOKUP(YEAR(X1698)+(MONTH(X1698)/100),TC!$5:$37,DAY(X1698)+2,FALSE),VLOOKUP(Y1698,Equivalencia!$1:$23,((MAX(Equivalencia!$3:$3)-YEAR(X1698))*14)+MONTH(X1698)+2,FALSE)))</f>
        <v>0</v>
      </c>
      <c r="AB1698" s="306">
        <f t="shared" si="450"/>
        <v>0</v>
      </c>
      <c r="AC1698" s="305">
        <f>+IF(X1698=0,0,HLOOKUP(YEAR(X1698)+(MONTH(X1698)/100),TC!$5:$37,DAY(X1698)+2,FALSE))</f>
        <v>0</v>
      </c>
      <c r="AD1698" s="307">
        <f t="shared" si="451"/>
        <v>0</v>
      </c>
      <c r="AE1698" s="314">
        <f t="shared" si="452"/>
        <v>0</v>
      </c>
      <c r="AF1698" s="315">
        <f t="shared" si="453"/>
        <v>0</v>
      </c>
      <c r="AG1698" s="316">
        <f t="shared" si="454"/>
        <v>0</v>
      </c>
      <c r="AH1698" s="314">
        <v>1</v>
      </c>
      <c r="AI1698" s="314">
        <f t="shared" si="455"/>
        <v>0</v>
      </c>
      <c r="AJ1698" s="314">
        <f t="shared" si="456"/>
        <v>0</v>
      </c>
      <c r="AK1698" s="317"/>
      <c r="AL1698" s="315">
        <f t="shared" si="457"/>
        <v>0</v>
      </c>
      <c r="AN1698" s="554">
        <f t="shared" si="458"/>
        <v>0</v>
      </c>
      <c r="AO1698" s="314"/>
      <c r="AP1698" s="318"/>
    </row>
    <row r="1699" spans="2:42">
      <c r="B1699" s="296"/>
      <c r="C1699" s="299"/>
      <c r="D1699" s="298"/>
      <c r="E1699" s="299"/>
      <c r="F1699" s="299"/>
      <c r="G1699" s="300"/>
      <c r="H1699" s="303"/>
      <c r="I1699" s="301">
        <f t="shared" si="442"/>
        <v>0</v>
      </c>
      <c r="J1699" s="302">
        <f t="shared" si="443"/>
        <v>0</v>
      </c>
      <c r="K1699" s="304">
        <f t="shared" si="444"/>
        <v>0</v>
      </c>
      <c r="L1699" s="305">
        <f>IF(H1699=0,0,IF(OR(E1699=$AT$5,E1699=$AT$6),AA1699,IF(F1699="MXN",1/HLOOKUP(YEAR(G1699)+(MONTH(G1699)/100),TC!$5:$37,DAY(G1699)+2,FALSE),VLOOKUP(F1699,Equivalencia!$5:$23,((MAX(Equivalencia!$3:$3)-YEAR(G1699))*14)+MONTH(G1699)+2,FALSE))))</f>
        <v>0</v>
      </c>
      <c r="M1699" s="306">
        <f t="shared" si="445"/>
        <v>0</v>
      </c>
      <c r="N1699" s="305">
        <f>IF(G1699=0,0,(IF(OR(E1699=$AT$5,E1699=$AT$6),AC1699,HLOOKUP(YEAR(G1699)+(MONTH(G1699)/100),TC!$5:$37,DAY(G1699)+2,FALSE))))</f>
        <v>0</v>
      </c>
      <c r="O1699" s="307">
        <f t="shared" si="446"/>
        <v>0</v>
      </c>
      <c r="P1699" s="560">
        <f>IF(G1699=0,0,VLOOKUP(YEAR(G1699),INPC!$B$4:$P$30,MONTH(G1699)+2))</f>
        <v>0</v>
      </c>
      <c r="Q1699" s="560">
        <f>IF(X1699=0,0,IF(OR(E1699=$AT$10,E1699=$AT$9),VLOOKUP(YEAR(X1699),INPC!$B$4:$P$30,MONTH(X1699)+1),VLOOKUP(YEAR(X1699),INPC!$B$4:$P$30,MONTH(X1699)+2,0)))</f>
        <v>0</v>
      </c>
      <c r="R1699" s="309">
        <f t="shared" si="447"/>
        <v>0</v>
      </c>
      <c r="S1699" s="310">
        <f t="shared" si="448"/>
        <v>0</v>
      </c>
      <c r="T1699" s="555">
        <f t="shared" si="449"/>
        <v>0</v>
      </c>
      <c r="U1699" s="311"/>
      <c r="V1699" s="312"/>
      <c r="W1699" s="299"/>
      <c r="X1699" s="300"/>
      <c r="Y1699" s="299"/>
      <c r="Z1699" s="303"/>
      <c r="AA1699" s="305">
        <f>IF(Z1699=0,0,IF(Y1699="MXN",1/HLOOKUP(YEAR(X1699)+(MONTH(X1699)/100),TC!$5:$37,DAY(X1699)+2,FALSE),VLOOKUP(Y1699,Equivalencia!$1:$23,((MAX(Equivalencia!$3:$3)-YEAR(X1699))*14)+MONTH(X1699)+2,FALSE)))</f>
        <v>0</v>
      </c>
      <c r="AB1699" s="306">
        <f t="shared" si="450"/>
        <v>0</v>
      </c>
      <c r="AC1699" s="305">
        <f>+IF(X1699=0,0,HLOOKUP(YEAR(X1699)+(MONTH(X1699)/100),TC!$5:$37,DAY(X1699)+2,FALSE))</f>
        <v>0</v>
      </c>
      <c r="AD1699" s="307">
        <f t="shared" si="451"/>
        <v>0</v>
      </c>
      <c r="AE1699" s="314">
        <f t="shared" si="452"/>
        <v>0</v>
      </c>
      <c r="AF1699" s="315">
        <f t="shared" si="453"/>
        <v>0</v>
      </c>
      <c r="AG1699" s="316">
        <f t="shared" si="454"/>
        <v>0</v>
      </c>
      <c r="AH1699" s="314">
        <v>1</v>
      </c>
      <c r="AI1699" s="314">
        <f t="shared" si="455"/>
        <v>0</v>
      </c>
      <c r="AJ1699" s="314">
        <f t="shared" si="456"/>
        <v>0</v>
      </c>
      <c r="AK1699" s="317"/>
      <c r="AL1699" s="315">
        <f t="shared" si="457"/>
        <v>0</v>
      </c>
      <c r="AN1699" s="554">
        <f t="shared" si="458"/>
        <v>0</v>
      </c>
      <c r="AO1699" s="314"/>
      <c r="AP1699" s="318"/>
    </row>
    <row r="1700" spans="2:42">
      <c r="B1700" s="296"/>
      <c r="C1700" s="299"/>
      <c r="D1700" s="298"/>
      <c r="E1700" s="299"/>
      <c r="F1700" s="299"/>
      <c r="G1700" s="300"/>
      <c r="H1700" s="303"/>
      <c r="I1700" s="301">
        <f t="shared" si="442"/>
        <v>0</v>
      </c>
      <c r="J1700" s="302">
        <f t="shared" si="443"/>
        <v>0</v>
      </c>
      <c r="K1700" s="304">
        <f t="shared" si="444"/>
        <v>0</v>
      </c>
      <c r="L1700" s="305">
        <f>IF(H1700=0,0,IF(OR(E1700=$AT$5,E1700=$AT$6),AA1700,IF(F1700="MXN",1/HLOOKUP(YEAR(G1700)+(MONTH(G1700)/100),TC!$5:$37,DAY(G1700)+2,FALSE),VLOOKUP(F1700,Equivalencia!$5:$23,((MAX(Equivalencia!$3:$3)-YEAR(G1700))*14)+MONTH(G1700)+2,FALSE))))</f>
        <v>0</v>
      </c>
      <c r="M1700" s="306">
        <f t="shared" si="445"/>
        <v>0</v>
      </c>
      <c r="N1700" s="305">
        <f>IF(G1700=0,0,(IF(OR(E1700=$AT$5,E1700=$AT$6),AC1700,HLOOKUP(YEAR(G1700)+(MONTH(G1700)/100),TC!$5:$37,DAY(G1700)+2,FALSE))))</f>
        <v>0</v>
      </c>
      <c r="O1700" s="307">
        <f t="shared" si="446"/>
        <v>0</v>
      </c>
      <c r="P1700" s="560">
        <f>IF(G1700=0,0,VLOOKUP(YEAR(G1700),INPC!$B$4:$P$30,MONTH(G1700)+2))</f>
        <v>0</v>
      </c>
      <c r="Q1700" s="560">
        <f>IF(X1700=0,0,IF(OR(E1700=$AT$10,E1700=$AT$9),VLOOKUP(YEAR(X1700),INPC!$B$4:$P$30,MONTH(X1700)+1),VLOOKUP(YEAR(X1700),INPC!$B$4:$P$30,MONTH(X1700)+2,0)))</f>
        <v>0</v>
      </c>
      <c r="R1700" s="309">
        <f t="shared" si="447"/>
        <v>0</v>
      </c>
      <c r="S1700" s="310">
        <f t="shared" si="448"/>
        <v>0</v>
      </c>
      <c r="T1700" s="555">
        <f t="shared" si="449"/>
        <v>0</v>
      </c>
      <c r="U1700" s="311"/>
      <c r="V1700" s="312"/>
      <c r="W1700" s="299"/>
      <c r="X1700" s="300"/>
      <c r="Y1700" s="299"/>
      <c r="Z1700" s="303"/>
      <c r="AA1700" s="305">
        <f>IF(Z1700=0,0,IF(Y1700="MXN",1/HLOOKUP(YEAR(X1700)+(MONTH(X1700)/100),TC!$5:$37,DAY(X1700)+2,FALSE),VLOOKUP(Y1700,Equivalencia!$1:$23,((MAX(Equivalencia!$3:$3)-YEAR(X1700))*14)+MONTH(X1700)+2,FALSE)))</f>
        <v>0</v>
      </c>
      <c r="AB1700" s="306">
        <f t="shared" si="450"/>
        <v>0</v>
      </c>
      <c r="AC1700" s="305">
        <f>+IF(X1700=0,0,HLOOKUP(YEAR(X1700)+(MONTH(X1700)/100),TC!$5:$37,DAY(X1700)+2,FALSE))</f>
        <v>0</v>
      </c>
      <c r="AD1700" s="307">
        <f t="shared" si="451"/>
        <v>0</v>
      </c>
      <c r="AE1700" s="314">
        <f t="shared" si="452"/>
        <v>0</v>
      </c>
      <c r="AF1700" s="315">
        <f t="shared" si="453"/>
        <v>0</v>
      </c>
      <c r="AG1700" s="316">
        <f t="shared" si="454"/>
        <v>0</v>
      </c>
      <c r="AH1700" s="314">
        <v>1</v>
      </c>
      <c r="AI1700" s="314">
        <f t="shared" si="455"/>
        <v>0</v>
      </c>
      <c r="AJ1700" s="314">
        <f t="shared" si="456"/>
        <v>0</v>
      </c>
      <c r="AK1700" s="317"/>
      <c r="AL1700" s="315">
        <f t="shared" si="457"/>
        <v>0</v>
      </c>
      <c r="AN1700" s="554">
        <f t="shared" si="458"/>
        <v>0</v>
      </c>
      <c r="AO1700" s="314"/>
      <c r="AP1700" s="318"/>
    </row>
    <row r="1701" spans="2:42">
      <c r="B1701" s="296"/>
      <c r="C1701" s="299"/>
      <c r="D1701" s="298"/>
      <c r="E1701" s="299"/>
      <c r="F1701" s="299"/>
      <c r="G1701" s="300"/>
      <c r="H1701" s="303"/>
      <c r="I1701" s="301">
        <f t="shared" si="442"/>
        <v>0</v>
      </c>
      <c r="J1701" s="302">
        <f t="shared" si="443"/>
        <v>0</v>
      </c>
      <c r="K1701" s="304">
        <f t="shared" si="444"/>
        <v>0</v>
      </c>
      <c r="L1701" s="305">
        <f>IF(H1701=0,0,IF(OR(E1701=$AT$5,E1701=$AT$6),AA1701,IF(F1701="MXN",1/HLOOKUP(YEAR(G1701)+(MONTH(G1701)/100),TC!$5:$37,DAY(G1701)+2,FALSE),VLOOKUP(F1701,Equivalencia!$5:$23,((MAX(Equivalencia!$3:$3)-YEAR(G1701))*14)+MONTH(G1701)+2,FALSE))))</f>
        <v>0</v>
      </c>
      <c r="M1701" s="306">
        <f t="shared" si="445"/>
        <v>0</v>
      </c>
      <c r="N1701" s="305">
        <f>IF(G1701=0,0,(IF(OR(E1701=$AT$5,E1701=$AT$6),AC1701,HLOOKUP(YEAR(G1701)+(MONTH(G1701)/100),TC!$5:$37,DAY(G1701)+2,FALSE))))</f>
        <v>0</v>
      </c>
      <c r="O1701" s="307">
        <f t="shared" si="446"/>
        <v>0</v>
      </c>
      <c r="P1701" s="560">
        <f>IF(G1701=0,0,VLOOKUP(YEAR(G1701),INPC!$B$4:$P$30,MONTH(G1701)+2))</f>
        <v>0</v>
      </c>
      <c r="Q1701" s="560">
        <f>IF(X1701=0,0,IF(OR(E1701=$AT$10,E1701=$AT$9),VLOOKUP(YEAR(X1701),INPC!$B$4:$P$30,MONTH(X1701)+1),VLOOKUP(YEAR(X1701),INPC!$B$4:$P$30,MONTH(X1701)+2,0)))</f>
        <v>0</v>
      </c>
      <c r="R1701" s="309">
        <f t="shared" si="447"/>
        <v>0</v>
      </c>
      <c r="S1701" s="310">
        <f t="shared" si="448"/>
        <v>0</v>
      </c>
      <c r="T1701" s="555">
        <f t="shared" si="449"/>
        <v>0</v>
      </c>
      <c r="U1701" s="311"/>
      <c r="V1701" s="312"/>
      <c r="W1701" s="299"/>
      <c r="X1701" s="300"/>
      <c r="Y1701" s="299"/>
      <c r="Z1701" s="303"/>
      <c r="AA1701" s="305">
        <f>IF(Z1701=0,0,IF(Y1701="MXN",1/HLOOKUP(YEAR(X1701)+(MONTH(X1701)/100),TC!$5:$37,DAY(X1701)+2,FALSE),VLOOKUP(Y1701,Equivalencia!$1:$23,((MAX(Equivalencia!$3:$3)-YEAR(X1701))*14)+MONTH(X1701)+2,FALSE)))</f>
        <v>0</v>
      </c>
      <c r="AB1701" s="306">
        <f t="shared" si="450"/>
        <v>0</v>
      </c>
      <c r="AC1701" s="305">
        <f>+IF(X1701=0,0,HLOOKUP(YEAR(X1701)+(MONTH(X1701)/100),TC!$5:$37,DAY(X1701)+2,FALSE))</f>
        <v>0</v>
      </c>
      <c r="AD1701" s="307">
        <f t="shared" si="451"/>
        <v>0</v>
      </c>
      <c r="AE1701" s="314">
        <f t="shared" si="452"/>
        <v>0</v>
      </c>
      <c r="AF1701" s="315">
        <f t="shared" si="453"/>
        <v>0</v>
      </c>
      <c r="AG1701" s="316">
        <f t="shared" si="454"/>
        <v>0</v>
      </c>
      <c r="AH1701" s="314">
        <v>1</v>
      </c>
      <c r="AI1701" s="314">
        <f t="shared" si="455"/>
        <v>0</v>
      </c>
      <c r="AJ1701" s="314">
        <f t="shared" si="456"/>
        <v>0</v>
      </c>
      <c r="AK1701" s="317"/>
      <c r="AL1701" s="315">
        <f t="shared" si="457"/>
        <v>0</v>
      </c>
      <c r="AN1701" s="554">
        <f t="shared" si="458"/>
        <v>0</v>
      </c>
      <c r="AO1701" s="314"/>
      <c r="AP1701" s="318"/>
    </row>
    <row r="1702" spans="2:42">
      <c r="B1702" s="296"/>
      <c r="C1702" s="299"/>
      <c r="D1702" s="298"/>
      <c r="E1702" s="299"/>
      <c r="F1702" s="299"/>
      <c r="G1702" s="300"/>
      <c r="H1702" s="303"/>
      <c r="I1702" s="301">
        <f t="shared" si="442"/>
        <v>0</v>
      </c>
      <c r="J1702" s="302">
        <f t="shared" si="443"/>
        <v>0</v>
      </c>
      <c r="K1702" s="304">
        <f t="shared" si="444"/>
        <v>0</v>
      </c>
      <c r="L1702" s="305">
        <f>IF(H1702=0,0,IF(OR(E1702=$AT$5,E1702=$AT$6),AA1702,IF(F1702="MXN",1/HLOOKUP(YEAR(G1702)+(MONTH(G1702)/100),TC!$5:$37,DAY(G1702)+2,FALSE),VLOOKUP(F1702,Equivalencia!$5:$23,((MAX(Equivalencia!$3:$3)-YEAR(G1702))*14)+MONTH(G1702)+2,FALSE))))</f>
        <v>0</v>
      </c>
      <c r="M1702" s="306">
        <f t="shared" si="445"/>
        <v>0</v>
      </c>
      <c r="N1702" s="305">
        <f>IF(G1702=0,0,(IF(OR(E1702=$AT$5,E1702=$AT$6),AC1702,HLOOKUP(YEAR(G1702)+(MONTH(G1702)/100),TC!$5:$37,DAY(G1702)+2,FALSE))))</f>
        <v>0</v>
      </c>
      <c r="O1702" s="307">
        <f t="shared" si="446"/>
        <v>0</v>
      </c>
      <c r="P1702" s="560">
        <f>IF(G1702=0,0,VLOOKUP(YEAR(G1702),INPC!$B$4:$P$30,MONTH(G1702)+2))</f>
        <v>0</v>
      </c>
      <c r="Q1702" s="560">
        <f>IF(X1702=0,0,IF(OR(E1702=$AT$10,E1702=$AT$9),VLOOKUP(YEAR(X1702),INPC!$B$4:$P$30,MONTH(X1702)+1),VLOOKUP(YEAR(X1702),INPC!$B$4:$P$30,MONTH(X1702)+2,0)))</f>
        <v>0</v>
      </c>
      <c r="R1702" s="309">
        <f t="shared" si="447"/>
        <v>0</v>
      </c>
      <c r="S1702" s="310">
        <f t="shared" si="448"/>
        <v>0</v>
      </c>
      <c r="T1702" s="555">
        <f t="shared" si="449"/>
        <v>0</v>
      </c>
      <c r="U1702" s="311"/>
      <c r="V1702" s="312"/>
      <c r="W1702" s="299"/>
      <c r="X1702" s="300"/>
      <c r="Y1702" s="299"/>
      <c r="Z1702" s="303"/>
      <c r="AA1702" s="305">
        <f>IF(Z1702=0,0,IF(Y1702="MXN",1/HLOOKUP(YEAR(X1702)+(MONTH(X1702)/100),TC!$5:$37,DAY(X1702)+2,FALSE),VLOOKUP(Y1702,Equivalencia!$1:$23,((MAX(Equivalencia!$3:$3)-YEAR(X1702))*14)+MONTH(X1702)+2,FALSE)))</f>
        <v>0</v>
      </c>
      <c r="AB1702" s="306">
        <f t="shared" si="450"/>
        <v>0</v>
      </c>
      <c r="AC1702" s="305">
        <f>+IF(X1702=0,0,HLOOKUP(YEAR(X1702)+(MONTH(X1702)/100),TC!$5:$37,DAY(X1702)+2,FALSE))</f>
        <v>0</v>
      </c>
      <c r="AD1702" s="307">
        <f t="shared" si="451"/>
        <v>0</v>
      </c>
      <c r="AE1702" s="314">
        <f t="shared" si="452"/>
        <v>0</v>
      </c>
      <c r="AF1702" s="315">
        <f t="shared" si="453"/>
        <v>0</v>
      </c>
      <c r="AG1702" s="316">
        <f t="shared" si="454"/>
        <v>0</v>
      </c>
      <c r="AH1702" s="314">
        <v>1</v>
      </c>
      <c r="AI1702" s="314">
        <f t="shared" si="455"/>
        <v>0</v>
      </c>
      <c r="AJ1702" s="314">
        <f t="shared" si="456"/>
        <v>0</v>
      </c>
      <c r="AK1702" s="317"/>
      <c r="AL1702" s="315">
        <f t="shared" si="457"/>
        <v>0</v>
      </c>
      <c r="AN1702" s="554">
        <f t="shared" si="458"/>
        <v>0</v>
      </c>
      <c r="AO1702" s="314"/>
      <c r="AP1702" s="318"/>
    </row>
    <row r="1703" spans="2:42">
      <c r="B1703" s="296"/>
      <c r="C1703" s="299"/>
      <c r="D1703" s="298"/>
      <c r="E1703" s="299"/>
      <c r="F1703" s="299"/>
      <c r="G1703" s="300"/>
      <c r="H1703" s="303"/>
      <c r="I1703" s="301">
        <f t="shared" si="442"/>
        <v>0</v>
      </c>
      <c r="J1703" s="302">
        <f t="shared" si="443"/>
        <v>0</v>
      </c>
      <c r="K1703" s="304">
        <f t="shared" si="444"/>
        <v>0</v>
      </c>
      <c r="L1703" s="305">
        <f>IF(H1703=0,0,IF(OR(E1703=$AT$5,E1703=$AT$6),AA1703,IF(F1703="MXN",1/HLOOKUP(YEAR(G1703)+(MONTH(G1703)/100),TC!$5:$37,DAY(G1703)+2,FALSE),VLOOKUP(F1703,Equivalencia!$5:$23,((MAX(Equivalencia!$3:$3)-YEAR(G1703))*14)+MONTH(G1703)+2,FALSE))))</f>
        <v>0</v>
      </c>
      <c r="M1703" s="306">
        <f t="shared" si="445"/>
        <v>0</v>
      </c>
      <c r="N1703" s="305">
        <f>IF(G1703=0,0,(IF(OR(E1703=$AT$5,E1703=$AT$6),AC1703,HLOOKUP(YEAR(G1703)+(MONTH(G1703)/100),TC!$5:$37,DAY(G1703)+2,FALSE))))</f>
        <v>0</v>
      </c>
      <c r="O1703" s="307">
        <f t="shared" si="446"/>
        <v>0</v>
      </c>
      <c r="P1703" s="560">
        <f>IF(G1703=0,0,VLOOKUP(YEAR(G1703),INPC!$B$4:$P$30,MONTH(G1703)+2))</f>
        <v>0</v>
      </c>
      <c r="Q1703" s="560">
        <f>IF(X1703=0,0,IF(OR(E1703=$AT$10,E1703=$AT$9),VLOOKUP(YEAR(X1703),INPC!$B$4:$P$30,MONTH(X1703)+1),VLOOKUP(YEAR(X1703),INPC!$B$4:$P$30,MONTH(X1703)+2,0)))</f>
        <v>0</v>
      </c>
      <c r="R1703" s="309">
        <f t="shared" si="447"/>
        <v>0</v>
      </c>
      <c r="S1703" s="310">
        <f t="shared" si="448"/>
        <v>0</v>
      </c>
      <c r="T1703" s="555">
        <f t="shared" si="449"/>
        <v>0</v>
      </c>
      <c r="U1703" s="311"/>
      <c r="V1703" s="312"/>
      <c r="W1703" s="299"/>
      <c r="X1703" s="300"/>
      <c r="Y1703" s="299"/>
      <c r="Z1703" s="303"/>
      <c r="AA1703" s="305">
        <f>IF(Z1703=0,0,IF(Y1703="MXN",1/HLOOKUP(YEAR(X1703)+(MONTH(X1703)/100),TC!$5:$37,DAY(X1703)+2,FALSE),VLOOKUP(Y1703,Equivalencia!$1:$23,((MAX(Equivalencia!$3:$3)-YEAR(X1703))*14)+MONTH(X1703)+2,FALSE)))</f>
        <v>0</v>
      </c>
      <c r="AB1703" s="306">
        <f t="shared" si="450"/>
        <v>0</v>
      </c>
      <c r="AC1703" s="305">
        <f>+IF(X1703=0,0,HLOOKUP(YEAR(X1703)+(MONTH(X1703)/100),TC!$5:$37,DAY(X1703)+2,FALSE))</f>
        <v>0</v>
      </c>
      <c r="AD1703" s="307">
        <f t="shared" si="451"/>
        <v>0</v>
      </c>
      <c r="AE1703" s="314">
        <f t="shared" si="452"/>
        <v>0</v>
      </c>
      <c r="AF1703" s="315">
        <f t="shared" si="453"/>
        <v>0</v>
      </c>
      <c r="AG1703" s="316">
        <f t="shared" si="454"/>
        <v>0</v>
      </c>
      <c r="AH1703" s="314">
        <v>1</v>
      </c>
      <c r="AI1703" s="314">
        <f t="shared" si="455"/>
        <v>0</v>
      </c>
      <c r="AJ1703" s="314">
        <f t="shared" si="456"/>
        <v>0</v>
      </c>
      <c r="AK1703" s="317"/>
      <c r="AL1703" s="315">
        <f t="shared" si="457"/>
        <v>0</v>
      </c>
      <c r="AN1703" s="554">
        <f t="shared" si="458"/>
        <v>0</v>
      </c>
      <c r="AO1703" s="314"/>
      <c r="AP1703" s="318"/>
    </row>
    <row r="1704" spans="2:42">
      <c r="B1704" s="296"/>
      <c r="C1704" s="299"/>
      <c r="D1704" s="298"/>
      <c r="E1704" s="299"/>
      <c r="F1704" s="299"/>
      <c r="G1704" s="300"/>
      <c r="H1704" s="303"/>
      <c r="I1704" s="301">
        <f t="shared" si="442"/>
        <v>0</v>
      </c>
      <c r="J1704" s="302">
        <f t="shared" si="443"/>
        <v>0</v>
      </c>
      <c r="K1704" s="304">
        <f t="shared" si="444"/>
        <v>0</v>
      </c>
      <c r="L1704" s="305">
        <f>IF(H1704=0,0,IF(OR(E1704=$AT$5,E1704=$AT$6),AA1704,IF(F1704="MXN",1/HLOOKUP(YEAR(G1704)+(MONTH(G1704)/100),TC!$5:$37,DAY(G1704)+2,FALSE),VLOOKUP(F1704,Equivalencia!$5:$23,((MAX(Equivalencia!$3:$3)-YEAR(G1704))*14)+MONTH(G1704)+2,FALSE))))</f>
        <v>0</v>
      </c>
      <c r="M1704" s="306">
        <f t="shared" si="445"/>
        <v>0</v>
      </c>
      <c r="N1704" s="305">
        <f>IF(G1704=0,0,(IF(OR(E1704=$AT$5,E1704=$AT$6),AC1704,HLOOKUP(YEAR(G1704)+(MONTH(G1704)/100),TC!$5:$37,DAY(G1704)+2,FALSE))))</f>
        <v>0</v>
      </c>
      <c r="O1704" s="307">
        <f t="shared" si="446"/>
        <v>0</v>
      </c>
      <c r="P1704" s="560">
        <f>IF(G1704=0,0,VLOOKUP(YEAR(G1704),INPC!$B$4:$P$30,MONTH(G1704)+2))</f>
        <v>0</v>
      </c>
      <c r="Q1704" s="560">
        <f>IF(X1704=0,0,IF(OR(E1704=$AT$10,E1704=$AT$9),VLOOKUP(YEAR(X1704),INPC!$B$4:$P$30,MONTH(X1704)+1),VLOOKUP(YEAR(X1704),INPC!$B$4:$P$30,MONTH(X1704)+2,0)))</f>
        <v>0</v>
      </c>
      <c r="R1704" s="309">
        <f t="shared" si="447"/>
        <v>0</v>
      </c>
      <c r="S1704" s="310">
        <f t="shared" si="448"/>
        <v>0</v>
      </c>
      <c r="T1704" s="555">
        <f t="shared" si="449"/>
        <v>0</v>
      </c>
      <c r="U1704" s="311"/>
      <c r="V1704" s="312"/>
      <c r="W1704" s="299"/>
      <c r="X1704" s="300"/>
      <c r="Y1704" s="299"/>
      <c r="Z1704" s="303"/>
      <c r="AA1704" s="305">
        <f>IF(Z1704=0,0,IF(Y1704="MXN",1/HLOOKUP(YEAR(X1704)+(MONTH(X1704)/100),TC!$5:$37,DAY(X1704)+2,FALSE),VLOOKUP(Y1704,Equivalencia!$1:$23,((MAX(Equivalencia!$3:$3)-YEAR(X1704))*14)+MONTH(X1704)+2,FALSE)))</f>
        <v>0</v>
      </c>
      <c r="AB1704" s="306">
        <f t="shared" si="450"/>
        <v>0</v>
      </c>
      <c r="AC1704" s="305">
        <f>+IF(X1704=0,0,HLOOKUP(YEAR(X1704)+(MONTH(X1704)/100),TC!$5:$37,DAY(X1704)+2,FALSE))</f>
        <v>0</v>
      </c>
      <c r="AD1704" s="307">
        <f t="shared" si="451"/>
        <v>0</v>
      </c>
      <c r="AE1704" s="314">
        <f t="shared" si="452"/>
        <v>0</v>
      </c>
      <c r="AF1704" s="315">
        <f t="shared" si="453"/>
        <v>0</v>
      </c>
      <c r="AG1704" s="316">
        <f t="shared" si="454"/>
        <v>0</v>
      </c>
      <c r="AH1704" s="314">
        <v>1</v>
      </c>
      <c r="AI1704" s="314">
        <f t="shared" si="455"/>
        <v>0</v>
      </c>
      <c r="AJ1704" s="314">
        <f t="shared" si="456"/>
        <v>0</v>
      </c>
      <c r="AK1704" s="317"/>
      <c r="AL1704" s="315">
        <f t="shared" si="457"/>
        <v>0</v>
      </c>
      <c r="AN1704" s="554">
        <f t="shared" si="458"/>
        <v>0</v>
      </c>
      <c r="AO1704" s="314"/>
      <c r="AP1704" s="318"/>
    </row>
    <row r="1705" spans="2:42">
      <c r="B1705" s="296"/>
      <c r="C1705" s="299"/>
      <c r="D1705" s="298"/>
      <c r="E1705" s="299"/>
      <c r="F1705" s="299"/>
      <c r="G1705" s="300"/>
      <c r="H1705" s="303"/>
      <c r="I1705" s="301">
        <f t="shared" si="442"/>
        <v>0</v>
      </c>
      <c r="J1705" s="302">
        <f t="shared" si="443"/>
        <v>0</v>
      </c>
      <c r="K1705" s="304">
        <f t="shared" si="444"/>
        <v>0</v>
      </c>
      <c r="L1705" s="305">
        <f>IF(H1705=0,0,IF(OR(E1705=$AT$5,E1705=$AT$6),AA1705,IF(F1705="MXN",1/HLOOKUP(YEAR(G1705)+(MONTH(G1705)/100),TC!$5:$37,DAY(G1705)+2,FALSE),VLOOKUP(F1705,Equivalencia!$5:$23,((MAX(Equivalencia!$3:$3)-YEAR(G1705))*14)+MONTH(G1705)+2,FALSE))))</f>
        <v>0</v>
      </c>
      <c r="M1705" s="306">
        <f t="shared" si="445"/>
        <v>0</v>
      </c>
      <c r="N1705" s="305">
        <f>IF(G1705=0,0,(IF(OR(E1705=$AT$5,E1705=$AT$6),AC1705,HLOOKUP(YEAR(G1705)+(MONTH(G1705)/100),TC!$5:$37,DAY(G1705)+2,FALSE))))</f>
        <v>0</v>
      </c>
      <c r="O1705" s="307">
        <f t="shared" si="446"/>
        <v>0</v>
      </c>
      <c r="P1705" s="560">
        <f>IF(G1705=0,0,VLOOKUP(YEAR(G1705),INPC!$B$4:$P$30,MONTH(G1705)+2))</f>
        <v>0</v>
      </c>
      <c r="Q1705" s="560">
        <f>IF(X1705=0,0,IF(OR(E1705=$AT$10,E1705=$AT$9),VLOOKUP(YEAR(X1705),INPC!$B$4:$P$30,MONTH(X1705)+1),VLOOKUP(YEAR(X1705),INPC!$B$4:$P$30,MONTH(X1705)+2,0)))</f>
        <v>0</v>
      </c>
      <c r="R1705" s="309">
        <f t="shared" si="447"/>
        <v>0</v>
      </c>
      <c r="S1705" s="310">
        <f t="shared" si="448"/>
        <v>0</v>
      </c>
      <c r="T1705" s="555">
        <f t="shared" si="449"/>
        <v>0</v>
      </c>
      <c r="U1705" s="311"/>
      <c r="V1705" s="312"/>
      <c r="W1705" s="299"/>
      <c r="X1705" s="300"/>
      <c r="Y1705" s="299"/>
      <c r="Z1705" s="303"/>
      <c r="AA1705" s="305">
        <f>IF(Z1705=0,0,IF(Y1705="MXN",1/HLOOKUP(YEAR(X1705)+(MONTH(X1705)/100),TC!$5:$37,DAY(X1705)+2,FALSE),VLOOKUP(Y1705,Equivalencia!$1:$23,((MAX(Equivalencia!$3:$3)-YEAR(X1705))*14)+MONTH(X1705)+2,FALSE)))</f>
        <v>0</v>
      </c>
      <c r="AB1705" s="306">
        <f t="shared" si="450"/>
        <v>0</v>
      </c>
      <c r="AC1705" s="305">
        <f>+IF(X1705=0,0,HLOOKUP(YEAR(X1705)+(MONTH(X1705)/100),TC!$5:$37,DAY(X1705)+2,FALSE))</f>
        <v>0</v>
      </c>
      <c r="AD1705" s="307">
        <f t="shared" si="451"/>
        <v>0</v>
      </c>
      <c r="AE1705" s="314">
        <f t="shared" si="452"/>
        <v>0</v>
      </c>
      <c r="AF1705" s="315">
        <f t="shared" si="453"/>
        <v>0</v>
      </c>
      <c r="AG1705" s="316">
        <f t="shared" si="454"/>
        <v>0</v>
      </c>
      <c r="AH1705" s="314">
        <v>1</v>
      </c>
      <c r="AI1705" s="314">
        <f t="shared" si="455"/>
        <v>0</v>
      </c>
      <c r="AJ1705" s="314">
        <f t="shared" si="456"/>
        <v>0</v>
      </c>
      <c r="AK1705" s="317"/>
      <c r="AL1705" s="315">
        <f t="shared" si="457"/>
        <v>0</v>
      </c>
      <c r="AN1705" s="554">
        <f t="shared" si="458"/>
        <v>0</v>
      </c>
      <c r="AO1705" s="314"/>
      <c r="AP1705" s="318"/>
    </row>
    <row r="1706" spans="2:42">
      <c r="B1706" s="296"/>
      <c r="C1706" s="299"/>
      <c r="D1706" s="298"/>
      <c r="E1706" s="299"/>
      <c r="F1706" s="299"/>
      <c r="G1706" s="300"/>
      <c r="H1706" s="303"/>
      <c r="I1706" s="301">
        <f t="shared" si="442"/>
        <v>0</v>
      </c>
      <c r="J1706" s="302">
        <f t="shared" si="443"/>
        <v>0</v>
      </c>
      <c r="K1706" s="304">
        <f t="shared" si="444"/>
        <v>0</v>
      </c>
      <c r="L1706" s="305">
        <f>IF(H1706=0,0,IF(OR(E1706=$AT$5,E1706=$AT$6),AA1706,IF(F1706="MXN",1/HLOOKUP(YEAR(G1706)+(MONTH(G1706)/100),TC!$5:$37,DAY(G1706)+2,FALSE),VLOOKUP(F1706,Equivalencia!$5:$23,((MAX(Equivalencia!$3:$3)-YEAR(G1706))*14)+MONTH(G1706)+2,FALSE))))</f>
        <v>0</v>
      </c>
      <c r="M1706" s="306">
        <f t="shared" si="445"/>
        <v>0</v>
      </c>
      <c r="N1706" s="305">
        <f>IF(G1706=0,0,(IF(OR(E1706=$AT$5,E1706=$AT$6),AC1706,HLOOKUP(YEAR(G1706)+(MONTH(G1706)/100),TC!$5:$37,DAY(G1706)+2,FALSE))))</f>
        <v>0</v>
      </c>
      <c r="O1706" s="307">
        <f t="shared" si="446"/>
        <v>0</v>
      </c>
      <c r="P1706" s="560">
        <f>IF(G1706=0,0,VLOOKUP(YEAR(G1706),INPC!$B$4:$P$30,MONTH(G1706)+2))</f>
        <v>0</v>
      </c>
      <c r="Q1706" s="560">
        <f>IF(X1706=0,0,IF(OR(E1706=$AT$10,E1706=$AT$9),VLOOKUP(YEAR(X1706),INPC!$B$4:$P$30,MONTH(X1706)+1),VLOOKUP(YEAR(X1706),INPC!$B$4:$P$30,MONTH(X1706)+2,0)))</f>
        <v>0</v>
      </c>
      <c r="R1706" s="309">
        <f t="shared" si="447"/>
        <v>0</v>
      </c>
      <c r="S1706" s="310">
        <f t="shared" si="448"/>
        <v>0</v>
      </c>
      <c r="T1706" s="555">
        <f t="shared" si="449"/>
        <v>0</v>
      </c>
      <c r="U1706" s="311"/>
      <c r="V1706" s="312"/>
      <c r="W1706" s="299"/>
      <c r="X1706" s="300"/>
      <c r="Y1706" s="299"/>
      <c r="Z1706" s="303"/>
      <c r="AA1706" s="305">
        <f>IF(Z1706=0,0,IF(Y1706="MXN",1/HLOOKUP(YEAR(X1706)+(MONTH(X1706)/100),TC!$5:$37,DAY(X1706)+2,FALSE),VLOOKUP(Y1706,Equivalencia!$1:$23,((MAX(Equivalencia!$3:$3)-YEAR(X1706))*14)+MONTH(X1706)+2,FALSE)))</f>
        <v>0</v>
      </c>
      <c r="AB1706" s="306">
        <f t="shared" si="450"/>
        <v>0</v>
      </c>
      <c r="AC1706" s="305">
        <f>+IF(X1706=0,0,HLOOKUP(YEAR(X1706)+(MONTH(X1706)/100),TC!$5:$37,DAY(X1706)+2,FALSE))</f>
        <v>0</v>
      </c>
      <c r="AD1706" s="307">
        <f t="shared" si="451"/>
        <v>0</v>
      </c>
      <c r="AE1706" s="314">
        <f t="shared" si="452"/>
        <v>0</v>
      </c>
      <c r="AF1706" s="315">
        <f t="shared" si="453"/>
        <v>0</v>
      </c>
      <c r="AG1706" s="316">
        <f t="shared" si="454"/>
        <v>0</v>
      </c>
      <c r="AH1706" s="314">
        <v>1</v>
      </c>
      <c r="AI1706" s="314">
        <f t="shared" si="455"/>
        <v>0</v>
      </c>
      <c r="AJ1706" s="314">
        <f t="shared" si="456"/>
        <v>0</v>
      </c>
      <c r="AK1706" s="317"/>
      <c r="AL1706" s="315">
        <f t="shared" si="457"/>
        <v>0</v>
      </c>
      <c r="AN1706" s="554">
        <f t="shared" si="458"/>
        <v>0</v>
      </c>
      <c r="AO1706" s="314"/>
      <c r="AP1706" s="318"/>
    </row>
    <row r="1707" spans="2:42">
      <c r="B1707" s="296"/>
      <c r="C1707" s="299"/>
      <c r="D1707" s="298"/>
      <c r="E1707" s="299"/>
      <c r="F1707" s="299"/>
      <c r="G1707" s="300"/>
      <c r="H1707" s="303"/>
      <c r="I1707" s="301">
        <f t="shared" si="442"/>
        <v>0</v>
      </c>
      <c r="J1707" s="302">
        <f t="shared" si="443"/>
        <v>0</v>
      </c>
      <c r="K1707" s="304">
        <f t="shared" si="444"/>
        <v>0</v>
      </c>
      <c r="L1707" s="305">
        <f>IF(H1707=0,0,IF(OR(E1707=$AT$5,E1707=$AT$6),AA1707,IF(F1707="MXN",1/HLOOKUP(YEAR(G1707)+(MONTH(G1707)/100),TC!$5:$37,DAY(G1707)+2,FALSE),VLOOKUP(F1707,Equivalencia!$5:$23,((MAX(Equivalencia!$3:$3)-YEAR(G1707))*14)+MONTH(G1707)+2,FALSE))))</f>
        <v>0</v>
      </c>
      <c r="M1707" s="306">
        <f t="shared" si="445"/>
        <v>0</v>
      </c>
      <c r="N1707" s="305">
        <f>IF(G1707=0,0,(IF(OR(E1707=$AT$5,E1707=$AT$6),AC1707,HLOOKUP(YEAR(G1707)+(MONTH(G1707)/100),TC!$5:$37,DAY(G1707)+2,FALSE))))</f>
        <v>0</v>
      </c>
      <c r="O1707" s="307">
        <f t="shared" si="446"/>
        <v>0</v>
      </c>
      <c r="P1707" s="560">
        <f>IF(G1707=0,0,VLOOKUP(YEAR(G1707),INPC!$B$4:$P$30,MONTH(G1707)+2))</f>
        <v>0</v>
      </c>
      <c r="Q1707" s="560">
        <f>IF(X1707=0,0,IF(OR(E1707=$AT$10,E1707=$AT$9),VLOOKUP(YEAR(X1707),INPC!$B$4:$P$30,MONTH(X1707)+1),VLOOKUP(YEAR(X1707),INPC!$B$4:$P$30,MONTH(X1707)+2,0)))</f>
        <v>0</v>
      </c>
      <c r="R1707" s="309">
        <f t="shared" si="447"/>
        <v>0</v>
      </c>
      <c r="S1707" s="310">
        <f t="shared" si="448"/>
        <v>0</v>
      </c>
      <c r="T1707" s="555">
        <f t="shared" si="449"/>
        <v>0</v>
      </c>
      <c r="U1707" s="311"/>
      <c r="V1707" s="312"/>
      <c r="W1707" s="299"/>
      <c r="X1707" s="300"/>
      <c r="Y1707" s="299"/>
      <c r="Z1707" s="303"/>
      <c r="AA1707" s="305">
        <f>IF(Z1707=0,0,IF(Y1707="MXN",1/HLOOKUP(YEAR(X1707)+(MONTH(X1707)/100),TC!$5:$37,DAY(X1707)+2,FALSE),VLOOKUP(Y1707,Equivalencia!$1:$23,((MAX(Equivalencia!$3:$3)-YEAR(X1707))*14)+MONTH(X1707)+2,FALSE)))</f>
        <v>0</v>
      </c>
      <c r="AB1707" s="306">
        <f t="shared" si="450"/>
        <v>0</v>
      </c>
      <c r="AC1707" s="305">
        <f>+IF(X1707=0,0,HLOOKUP(YEAR(X1707)+(MONTH(X1707)/100),TC!$5:$37,DAY(X1707)+2,FALSE))</f>
        <v>0</v>
      </c>
      <c r="AD1707" s="307">
        <f t="shared" si="451"/>
        <v>0</v>
      </c>
      <c r="AE1707" s="314">
        <f t="shared" si="452"/>
        <v>0</v>
      </c>
      <c r="AF1707" s="315">
        <f t="shared" si="453"/>
        <v>0</v>
      </c>
      <c r="AG1707" s="316">
        <f t="shared" si="454"/>
        <v>0</v>
      </c>
      <c r="AH1707" s="314">
        <v>1</v>
      </c>
      <c r="AI1707" s="314">
        <f t="shared" si="455"/>
        <v>0</v>
      </c>
      <c r="AJ1707" s="314">
        <f t="shared" si="456"/>
        <v>0</v>
      </c>
      <c r="AK1707" s="317"/>
      <c r="AL1707" s="315">
        <f t="shared" si="457"/>
        <v>0</v>
      </c>
      <c r="AN1707" s="554">
        <f t="shared" si="458"/>
        <v>0</v>
      </c>
      <c r="AO1707" s="314"/>
      <c r="AP1707" s="318"/>
    </row>
    <row r="1708" spans="2:42">
      <c r="B1708" s="296"/>
      <c r="C1708" s="299"/>
      <c r="D1708" s="298"/>
      <c r="E1708" s="299"/>
      <c r="F1708" s="299"/>
      <c r="G1708" s="300"/>
      <c r="H1708" s="303"/>
      <c r="I1708" s="301">
        <f t="shared" si="442"/>
        <v>0</v>
      </c>
      <c r="J1708" s="302">
        <f t="shared" si="443"/>
        <v>0</v>
      </c>
      <c r="K1708" s="304">
        <f t="shared" si="444"/>
        <v>0</v>
      </c>
      <c r="L1708" s="305">
        <f>IF(H1708=0,0,IF(OR(E1708=$AT$5,E1708=$AT$6),AA1708,IF(F1708="MXN",1/HLOOKUP(YEAR(G1708)+(MONTH(G1708)/100),TC!$5:$37,DAY(G1708)+2,FALSE),VLOOKUP(F1708,Equivalencia!$5:$23,((MAX(Equivalencia!$3:$3)-YEAR(G1708))*14)+MONTH(G1708)+2,FALSE))))</f>
        <v>0</v>
      </c>
      <c r="M1708" s="306">
        <f t="shared" si="445"/>
        <v>0</v>
      </c>
      <c r="N1708" s="305">
        <f>IF(G1708=0,0,(IF(OR(E1708=$AT$5,E1708=$AT$6),AC1708,HLOOKUP(YEAR(G1708)+(MONTH(G1708)/100),TC!$5:$37,DAY(G1708)+2,FALSE))))</f>
        <v>0</v>
      </c>
      <c r="O1708" s="307">
        <f t="shared" si="446"/>
        <v>0</v>
      </c>
      <c r="P1708" s="560">
        <f>IF(G1708=0,0,VLOOKUP(YEAR(G1708),INPC!$B$4:$P$30,MONTH(G1708)+2))</f>
        <v>0</v>
      </c>
      <c r="Q1708" s="560">
        <f>IF(X1708=0,0,IF(OR(E1708=$AT$10,E1708=$AT$9),VLOOKUP(YEAR(X1708),INPC!$B$4:$P$30,MONTH(X1708)+1),VLOOKUP(YEAR(X1708),INPC!$B$4:$P$30,MONTH(X1708)+2,0)))</f>
        <v>0</v>
      </c>
      <c r="R1708" s="309">
        <f t="shared" si="447"/>
        <v>0</v>
      </c>
      <c r="S1708" s="310">
        <f t="shared" si="448"/>
        <v>0</v>
      </c>
      <c r="T1708" s="555">
        <f t="shared" si="449"/>
        <v>0</v>
      </c>
      <c r="U1708" s="311"/>
      <c r="V1708" s="312"/>
      <c r="W1708" s="299"/>
      <c r="X1708" s="300"/>
      <c r="Y1708" s="299"/>
      <c r="Z1708" s="303"/>
      <c r="AA1708" s="305">
        <f>IF(Z1708=0,0,IF(Y1708="MXN",1/HLOOKUP(YEAR(X1708)+(MONTH(X1708)/100),TC!$5:$37,DAY(X1708)+2,FALSE),VLOOKUP(Y1708,Equivalencia!$1:$23,((MAX(Equivalencia!$3:$3)-YEAR(X1708))*14)+MONTH(X1708)+2,FALSE)))</f>
        <v>0</v>
      </c>
      <c r="AB1708" s="306">
        <f t="shared" si="450"/>
        <v>0</v>
      </c>
      <c r="AC1708" s="305">
        <f>+IF(X1708=0,0,HLOOKUP(YEAR(X1708)+(MONTH(X1708)/100),TC!$5:$37,DAY(X1708)+2,FALSE))</f>
        <v>0</v>
      </c>
      <c r="AD1708" s="307">
        <f t="shared" si="451"/>
        <v>0</v>
      </c>
      <c r="AE1708" s="314">
        <f t="shared" si="452"/>
        <v>0</v>
      </c>
      <c r="AF1708" s="315">
        <f t="shared" si="453"/>
        <v>0</v>
      </c>
      <c r="AG1708" s="316">
        <f t="shared" si="454"/>
        <v>0</v>
      </c>
      <c r="AH1708" s="314">
        <v>1</v>
      </c>
      <c r="AI1708" s="314">
        <f t="shared" si="455"/>
        <v>0</v>
      </c>
      <c r="AJ1708" s="314">
        <f t="shared" si="456"/>
        <v>0</v>
      </c>
      <c r="AK1708" s="317"/>
      <c r="AL1708" s="315">
        <f t="shared" si="457"/>
        <v>0</v>
      </c>
      <c r="AN1708" s="554">
        <f t="shared" si="458"/>
        <v>0</v>
      </c>
      <c r="AO1708" s="314"/>
      <c r="AP1708" s="318"/>
    </row>
    <row r="1709" spans="2:42">
      <c r="B1709" s="296"/>
      <c r="C1709" s="299"/>
      <c r="D1709" s="298"/>
      <c r="E1709" s="299"/>
      <c r="F1709" s="299"/>
      <c r="G1709" s="300"/>
      <c r="H1709" s="303"/>
      <c r="I1709" s="301">
        <f t="shared" si="442"/>
        <v>0</v>
      </c>
      <c r="J1709" s="302">
        <f t="shared" si="443"/>
        <v>0</v>
      </c>
      <c r="K1709" s="304">
        <f t="shared" si="444"/>
        <v>0</v>
      </c>
      <c r="L1709" s="305">
        <f>IF(H1709=0,0,IF(OR(E1709=$AT$5,E1709=$AT$6),AA1709,IF(F1709="MXN",1/HLOOKUP(YEAR(G1709)+(MONTH(G1709)/100),TC!$5:$37,DAY(G1709)+2,FALSE),VLOOKUP(F1709,Equivalencia!$5:$23,((MAX(Equivalencia!$3:$3)-YEAR(G1709))*14)+MONTH(G1709)+2,FALSE))))</f>
        <v>0</v>
      </c>
      <c r="M1709" s="306">
        <f t="shared" si="445"/>
        <v>0</v>
      </c>
      <c r="N1709" s="305">
        <f>IF(G1709=0,0,(IF(OR(E1709=$AT$5,E1709=$AT$6),AC1709,HLOOKUP(YEAR(G1709)+(MONTH(G1709)/100),TC!$5:$37,DAY(G1709)+2,FALSE))))</f>
        <v>0</v>
      </c>
      <c r="O1709" s="307">
        <f t="shared" si="446"/>
        <v>0</v>
      </c>
      <c r="P1709" s="560">
        <f>IF(G1709=0,0,VLOOKUP(YEAR(G1709),INPC!$B$4:$P$30,MONTH(G1709)+2))</f>
        <v>0</v>
      </c>
      <c r="Q1709" s="560">
        <f>IF(X1709=0,0,IF(OR(E1709=$AT$10,E1709=$AT$9),VLOOKUP(YEAR(X1709),INPC!$B$4:$P$30,MONTH(X1709)+1),VLOOKUP(YEAR(X1709),INPC!$B$4:$P$30,MONTH(X1709)+2,0)))</f>
        <v>0</v>
      </c>
      <c r="R1709" s="309">
        <f t="shared" si="447"/>
        <v>0</v>
      </c>
      <c r="S1709" s="310">
        <f t="shared" si="448"/>
        <v>0</v>
      </c>
      <c r="T1709" s="555">
        <f t="shared" si="449"/>
        <v>0</v>
      </c>
      <c r="U1709" s="311"/>
      <c r="V1709" s="312"/>
      <c r="W1709" s="299"/>
      <c r="X1709" s="300"/>
      <c r="Y1709" s="299"/>
      <c r="Z1709" s="303"/>
      <c r="AA1709" s="305">
        <f>IF(Z1709=0,0,IF(Y1709="MXN",1/HLOOKUP(YEAR(X1709)+(MONTH(X1709)/100),TC!$5:$37,DAY(X1709)+2,FALSE),VLOOKUP(Y1709,Equivalencia!$1:$23,((MAX(Equivalencia!$3:$3)-YEAR(X1709))*14)+MONTH(X1709)+2,FALSE)))</f>
        <v>0</v>
      </c>
      <c r="AB1709" s="306">
        <f t="shared" si="450"/>
        <v>0</v>
      </c>
      <c r="AC1709" s="305">
        <f>+IF(X1709=0,0,HLOOKUP(YEAR(X1709)+(MONTH(X1709)/100),TC!$5:$37,DAY(X1709)+2,FALSE))</f>
        <v>0</v>
      </c>
      <c r="AD1709" s="307">
        <f t="shared" si="451"/>
        <v>0</v>
      </c>
      <c r="AE1709" s="314">
        <f t="shared" si="452"/>
        <v>0</v>
      </c>
      <c r="AF1709" s="315">
        <f t="shared" si="453"/>
        <v>0</v>
      </c>
      <c r="AG1709" s="316">
        <f t="shared" si="454"/>
        <v>0</v>
      </c>
      <c r="AH1709" s="314">
        <v>1</v>
      </c>
      <c r="AI1709" s="314">
        <f t="shared" si="455"/>
        <v>0</v>
      </c>
      <c r="AJ1709" s="314">
        <f t="shared" si="456"/>
        <v>0</v>
      </c>
      <c r="AK1709" s="317"/>
      <c r="AL1709" s="315">
        <f t="shared" si="457"/>
        <v>0</v>
      </c>
      <c r="AN1709" s="554">
        <f t="shared" si="458"/>
        <v>0</v>
      </c>
      <c r="AO1709" s="314"/>
      <c r="AP1709" s="318"/>
    </row>
    <row r="1710" spans="2:42">
      <c r="B1710" s="296"/>
      <c r="C1710" s="299"/>
      <c r="D1710" s="298"/>
      <c r="E1710" s="299"/>
      <c r="F1710" s="299"/>
      <c r="G1710" s="300"/>
      <c r="H1710" s="303"/>
      <c r="I1710" s="301">
        <f t="shared" si="442"/>
        <v>0</v>
      </c>
      <c r="J1710" s="302">
        <f t="shared" si="443"/>
        <v>0</v>
      </c>
      <c r="K1710" s="304">
        <f t="shared" si="444"/>
        <v>0</v>
      </c>
      <c r="L1710" s="305">
        <f>IF(H1710=0,0,IF(OR(E1710=$AT$5,E1710=$AT$6),AA1710,IF(F1710="MXN",1/HLOOKUP(YEAR(G1710)+(MONTH(G1710)/100),TC!$5:$37,DAY(G1710)+2,FALSE),VLOOKUP(F1710,Equivalencia!$5:$23,((MAX(Equivalencia!$3:$3)-YEAR(G1710))*14)+MONTH(G1710)+2,FALSE))))</f>
        <v>0</v>
      </c>
      <c r="M1710" s="306">
        <f t="shared" si="445"/>
        <v>0</v>
      </c>
      <c r="N1710" s="305">
        <f>IF(G1710=0,0,(IF(OR(E1710=$AT$5,E1710=$AT$6),AC1710,HLOOKUP(YEAR(G1710)+(MONTH(G1710)/100),TC!$5:$37,DAY(G1710)+2,FALSE))))</f>
        <v>0</v>
      </c>
      <c r="O1710" s="307">
        <f t="shared" si="446"/>
        <v>0</v>
      </c>
      <c r="P1710" s="560">
        <f>IF(G1710=0,0,VLOOKUP(YEAR(G1710),INPC!$B$4:$P$30,MONTH(G1710)+2))</f>
        <v>0</v>
      </c>
      <c r="Q1710" s="560">
        <f>IF(X1710=0,0,IF(OR(E1710=$AT$10,E1710=$AT$9),VLOOKUP(YEAR(X1710),INPC!$B$4:$P$30,MONTH(X1710)+1),VLOOKUP(YEAR(X1710),INPC!$B$4:$P$30,MONTH(X1710)+2,0)))</f>
        <v>0</v>
      </c>
      <c r="R1710" s="309">
        <f t="shared" si="447"/>
        <v>0</v>
      </c>
      <c r="S1710" s="310">
        <f t="shared" si="448"/>
        <v>0</v>
      </c>
      <c r="T1710" s="555">
        <f t="shared" si="449"/>
        <v>0</v>
      </c>
      <c r="U1710" s="311"/>
      <c r="V1710" s="312"/>
      <c r="W1710" s="299"/>
      <c r="X1710" s="300"/>
      <c r="Y1710" s="299"/>
      <c r="Z1710" s="303"/>
      <c r="AA1710" s="305">
        <f>IF(Z1710=0,0,IF(Y1710="MXN",1/HLOOKUP(YEAR(X1710)+(MONTH(X1710)/100),TC!$5:$37,DAY(X1710)+2,FALSE),VLOOKUP(Y1710,Equivalencia!$1:$23,((MAX(Equivalencia!$3:$3)-YEAR(X1710))*14)+MONTH(X1710)+2,FALSE)))</f>
        <v>0</v>
      </c>
      <c r="AB1710" s="306">
        <f t="shared" si="450"/>
        <v>0</v>
      </c>
      <c r="AC1710" s="305">
        <f>+IF(X1710=0,0,HLOOKUP(YEAR(X1710)+(MONTH(X1710)/100),TC!$5:$37,DAY(X1710)+2,FALSE))</f>
        <v>0</v>
      </c>
      <c r="AD1710" s="307">
        <f t="shared" si="451"/>
        <v>0</v>
      </c>
      <c r="AE1710" s="314">
        <f t="shared" si="452"/>
        <v>0</v>
      </c>
      <c r="AF1710" s="315">
        <f t="shared" si="453"/>
        <v>0</v>
      </c>
      <c r="AG1710" s="316">
        <f t="shared" si="454"/>
        <v>0</v>
      </c>
      <c r="AH1710" s="314">
        <v>1</v>
      </c>
      <c r="AI1710" s="314">
        <f t="shared" si="455"/>
        <v>0</v>
      </c>
      <c r="AJ1710" s="314">
        <f t="shared" si="456"/>
        <v>0</v>
      </c>
      <c r="AK1710" s="317"/>
      <c r="AL1710" s="315">
        <f t="shared" si="457"/>
        <v>0</v>
      </c>
      <c r="AN1710" s="554">
        <f t="shared" si="458"/>
        <v>0</v>
      </c>
      <c r="AO1710" s="314"/>
      <c r="AP1710" s="318"/>
    </row>
    <row r="1711" spans="2:42">
      <c r="B1711" s="296"/>
      <c r="C1711" s="299"/>
      <c r="D1711" s="298"/>
      <c r="E1711" s="299"/>
      <c r="F1711" s="299"/>
      <c r="G1711" s="300"/>
      <c r="H1711" s="303"/>
      <c r="I1711" s="301">
        <f t="shared" si="442"/>
        <v>0</v>
      </c>
      <c r="J1711" s="302">
        <f t="shared" si="443"/>
        <v>0</v>
      </c>
      <c r="K1711" s="304">
        <f t="shared" si="444"/>
        <v>0</v>
      </c>
      <c r="L1711" s="305">
        <f>IF(H1711=0,0,IF(OR(E1711=$AT$5,E1711=$AT$6),AA1711,IF(F1711="MXN",1/HLOOKUP(YEAR(G1711)+(MONTH(G1711)/100),TC!$5:$37,DAY(G1711)+2,FALSE),VLOOKUP(F1711,Equivalencia!$5:$23,((MAX(Equivalencia!$3:$3)-YEAR(G1711))*14)+MONTH(G1711)+2,FALSE))))</f>
        <v>0</v>
      </c>
      <c r="M1711" s="306">
        <f t="shared" si="445"/>
        <v>0</v>
      </c>
      <c r="N1711" s="305">
        <f>IF(G1711=0,0,(IF(OR(E1711=$AT$5,E1711=$AT$6),AC1711,HLOOKUP(YEAR(G1711)+(MONTH(G1711)/100),TC!$5:$37,DAY(G1711)+2,FALSE))))</f>
        <v>0</v>
      </c>
      <c r="O1711" s="307">
        <f t="shared" si="446"/>
        <v>0</v>
      </c>
      <c r="P1711" s="560">
        <f>IF(G1711=0,0,VLOOKUP(YEAR(G1711),INPC!$B$4:$P$30,MONTH(G1711)+2))</f>
        <v>0</v>
      </c>
      <c r="Q1711" s="560">
        <f>IF(X1711=0,0,IF(OR(E1711=$AT$10,E1711=$AT$9),VLOOKUP(YEAR(X1711),INPC!$B$4:$P$30,MONTH(X1711)+1),VLOOKUP(YEAR(X1711),INPC!$B$4:$P$30,MONTH(X1711)+2,0)))</f>
        <v>0</v>
      </c>
      <c r="R1711" s="309">
        <f t="shared" si="447"/>
        <v>0</v>
      </c>
      <c r="S1711" s="310">
        <f t="shared" si="448"/>
        <v>0</v>
      </c>
      <c r="T1711" s="555">
        <f t="shared" si="449"/>
        <v>0</v>
      </c>
      <c r="U1711" s="311"/>
      <c r="V1711" s="312"/>
      <c r="W1711" s="299"/>
      <c r="X1711" s="300"/>
      <c r="Y1711" s="299"/>
      <c r="Z1711" s="303"/>
      <c r="AA1711" s="305">
        <f>IF(Z1711=0,0,IF(Y1711="MXN",1/HLOOKUP(YEAR(X1711)+(MONTH(X1711)/100),TC!$5:$37,DAY(X1711)+2,FALSE),VLOOKUP(Y1711,Equivalencia!$1:$23,((MAX(Equivalencia!$3:$3)-YEAR(X1711))*14)+MONTH(X1711)+2,FALSE)))</f>
        <v>0</v>
      </c>
      <c r="AB1711" s="306">
        <f t="shared" si="450"/>
        <v>0</v>
      </c>
      <c r="AC1711" s="305">
        <f>+IF(X1711=0,0,HLOOKUP(YEAR(X1711)+(MONTH(X1711)/100),TC!$5:$37,DAY(X1711)+2,FALSE))</f>
        <v>0</v>
      </c>
      <c r="AD1711" s="307">
        <f t="shared" si="451"/>
        <v>0</v>
      </c>
      <c r="AE1711" s="314">
        <f t="shared" si="452"/>
        <v>0</v>
      </c>
      <c r="AF1711" s="315">
        <f t="shared" si="453"/>
        <v>0</v>
      </c>
      <c r="AG1711" s="316">
        <f t="shared" si="454"/>
        <v>0</v>
      </c>
      <c r="AH1711" s="314">
        <v>1</v>
      </c>
      <c r="AI1711" s="314">
        <f t="shared" si="455"/>
        <v>0</v>
      </c>
      <c r="AJ1711" s="314">
        <f t="shared" si="456"/>
        <v>0</v>
      </c>
      <c r="AK1711" s="317"/>
      <c r="AL1711" s="315">
        <f t="shared" si="457"/>
        <v>0</v>
      </c>
      <c r="AN1711" s="554">
        <f t="shared" si="458"/>
        <v>0</v>
      </c>
      <c r="AO1711" s="314"/>
      <c r="AP1711" s="318"/>
    </row>
    <row r="1712" spans="2:42">
      <c r="B1712" s="296"/>
      <c r="C1712" s="299"/>
      <c r="D1712" s="298"/>
      <c r="E1712" s="299"/>
      <c r="F1712" s="299"/>
      <c r="G1712" s="300"/>
      <c r="H1712" s="303"/>
      <c r="I1712" s="301">
        <f t="shared" si="442"/>
        <v>0</v>
      </c>
      <c r="J1712" s="302">
        <f t="shared" si="443"/>
        <v>0</v>
      </c>
      <c r="K1712" s="304">
        <f t="shared" si="444"/>
        <v>0</v>
      </c>
      <c r="L1712" s="305">
        <f>IF(H1712=0,0,IF(OR(E1712=$AT$5,E1712=$AT$6),AA1712,IF(F1712="MXN",1/HLOOKUP(YEAR(G1712)+(MONTH(G1712)/100),TC!$5:$37,DAY(G1712)+2,FALSE),VLOOKUP(F1712,Equivalencia!$5:$23,((MAX(Equivalencia!$3:$3)-YEAR(G1712))*14)+MONTH(G1712)+2,FALSE))))</f>
        <v>0</v>
      </c>
      <c r="M1712" s="306">
        <f t="shared" si="445"/>
        <v>0</v>
      </c>
      <c r="N1712" s="305">
        <f>IF(G1712=0,0,(IF(OR(E1712=$AT$5,E1712=$AT$6),AC1712,HLOOKUP(YEAR(G1712)+(MONTH(G1712)/100),TC!$5:$37,DAY(G1712)+2,FALSE))))</f>
        <v>0</v>
      </c>
      <c r="O1712" s="307">
        <f t="shared" si="446"/>
        <v>0</v>
      </c>
      <c r="P1712" s="560">
        <f>IF(G1712=0,0,VLOOKUP(YEAR(G1712),INPC!$B$4:$P$30,MONTH(G1712)+2))</f>
        <v>0</v>
      </c>
      <c r="Q1712" s="560">
        <f>IF(X1712=0,0,IF(OR(E1712=$AT$10,E1712=$AT$9),VLOOKUP(YEAR(X1712),INPC!$B$4:$P$30,MONTH(X1712)+1),VLOOKUP(YEAR(X1712),INPC!$B$4:$P$30,MONTH(X1712)+2,0)))</f>
        <v>0</v>
      </c>
      <c r="R1712" s="309">
        <f t="shared" si="447"/>
        <v>0</v>
      </c>
      <c r="S1712" s="310">
        <f t="shared" si="448"/>
        <v>0</v>
      </c>
      <c r="T1712" s="555">
        <f t="shared" si="449"/>
        <v>0</v>
      </c>
      <c r="U1712" s="311"/>
      <c r="V1712" s="312"/>
      <c r="W1712" s="299"/>
      <c r="X1712" s="300"/>
      <c r="Y1712" s="299"/>
      <c r="Z1712" s="303"/>
      <c r="AA1712" s="305">
        <f>IF(Z1712=0,0,IF(Y1712="MXN",1/HLOOKUP(YEAR(X1712)+(MONTH(X1712)/100),TC!$5:$37,DAY(X1712)+2,FALSE),VLOOKUP(Y1712,Equivalencia!$1:$23,((MAX(Equivalencia!$3:$3)-YEAR(X1712))*14)+MONTH(X1712)+2,FALSE)))</f>
        <v>0</v>
      </c>
      <c r="AB1712" s="306">
        <f t="shared" si="450"/>
        <v>0</v>
      </c>
      <c r="AC1712" s="305">
        <f>+IF(X1712=0,0,HLOOKUP(YEAR(X1712)+(MONTH(X1712)/100),TC!$5:$37,DAY(X1712)+2,FALSE))</f>
        <v>0</v>
      </c>
      <c r="AD1712" s="307">
        <f t="shared" si="451"/>
        <v>0</v>
      </c>
      <c r="AE1712" s="314">
        <f t="shared" si="452"/>
        <v>0</v>
      </c>
      <c r="AF1712" s="315">
        <f t="shared" si="453"/>
        <v>0</v>
      </c>
      <c r="AG1712" s="316">
        <f t="shared" si="454"/>
        <v>0</v>
      </c>
      <c r="AH1712" s="314">
        <v>1</v>
      </c>
      <c r="AI1712" s="314">
        <f t="shared" si="455"/>
        <v>0</v>
      </c>
      <c r="AJ1712" s="314">
        <f t="shared" si="456"/>
        <v>0</v>
      </c>
      <c r="AK1712" s="317"/>
      <c r="AL1712" s="315">
        <f t="shared" si="457"/>
        <v>0</v>
      </c>
      <c r="AN1712" s="554">
        <f t="shared" si="458"/>
        <v>0</v>
      </c>
      <c r="AO1712" s="314"/>
      <c r="AP1712" s="318"/>
    </row>
    <row r="1713" spans="2:42">
      <c r="B1713" s="296"/>
      <c r="C1713" s="299"/>
      <c r="D1713" s="298"/>
      <c r="E1713" s="299"/>
      <c r="F1713" s="299"/>
      <c r="G1713" s="300"/>
      <c r="H1713" s="303"/>
      <c r="I1713" s="301">
        <f t="shared" si="442"/>
        <v>0</v>
      </c>
      <c r="J1713" s="302">
        <f t="shared" si="443"/>
        <v>0</v>
      </c>
      <c r="K1713" s="304">
        <f t="shared" si="444"/>
        <v>0</v>
      </c>
      <c r="L1713" s="305">
        <f>IF(H1713=0,0,IF(OR(E1713=$AT$5,E1713=$AT$6),AA1713,IF(F1713="MXN",1/HLOOKUP(YEAR(G1713)+(MONTH(G1713)/100),TC!$5:$37,DAY(G1713)+2,FALSE),VLOOKUP(F1713,Equivalencia!$5:$23,((MAX(Equivalencia!$3:$3)-YEAR(G1713))*14)+MONTH(G1713)+2,FALSE))))</f>
        <v>0</v>
      </c>
      <c r="M1713" s="306">
        <f t="shared" si="445"/>
        <v>0</v>
      </c>
      <c r="N1713" s="305">
        <f>IF(G1713=0,0,(IF(OR(E1713=$AT$5,E1713=$AT$6),AC1713,HLOOKUP(YEAR(G1713)+(MONTH(G1713)/100),TC!$5:$37,DAY(G1713)+2,FALSE))))</f>
        <v>0</v>
      </c>
      <c r="O1713" s="307">
        <f t="shared" si="446"/>
        <v>0</v>
      </c>
      <c r="P1713" s="560">
        <f>IF(G1713=0,0,VLOOKUP(YEAR(G1713),INPC!$B$4:$P$30,MONTH(G1713)+2))</f>
        <v>0</v>
      </c>
      <c r="Q1713" s="560">
        <f>IF(X1713=0,0,IF(OR(E1713=$AT$10,E1713=$AT$9),VLOOKUP(YEAR(X1713),INPC!$B$4:$P$30,MONTH(X1713)+1),VLOOKUP(YEAR(X1713),INPC!$B$4:$P$30,MONTH(X1713)+2,0)))</f>
        <v>0</v>
      </c>
      <c r="R1713" s="309">
        <f t="shared" si="447"/>
        <v>0</v>
      </c>
      <c r="S1713" s="310">
        <f t="shared" si="448"/>
        <v>0</v>
      </c>
      <c r="T1713" s="555">
        <f t="shared" si="449"/>
        <v>0</v>
      </c>
      <c r="U1713" s="311"/>
      <c r="V1713" s="312"/>
      <c r="W1713" s="299"/>
      <c r="X1713" s="300"/>
      <c r="Y1713" s="299"/>
      <c r="Z1713" s="303"/>
      <c r="AA1713" s="305">
        <f>IF(Z1713=0,0,IF(Y1713="MXN",1/HLOOKUP(YEAR(X1713)+(MONTH(X1713)/100),TC!$5:$37,DAY(X1713)+2,FALSE),VLOOKUP(Y1713,Equivalencia!$1:$23,((MAX(Equivalencia!$3:$3)-YEAR(X1713))*14)+MONTH(X1713)+2,FALSE)))</f>
        <v>0</v>
      </c>
      <c r="AB1713" s="306">
        <f t="shared" si="450"/>
        <v>0</v>
      </c>
      <c r="AC1713" s="305">
        <f>+IF(X1713=0,0,HLOOKUP(YEAR(X1713)+(MONTH(X1713)/100),TC!$5:$37,DAY(X1713)+2,FALSE))</f>
        <v>0</v>
      </c>
      <c r="AD1713" s="307">
        <f t="shared" si="451"/>
        <v>0</v>
      </c>
      <c r="AE1713" s="314">
        <f t="shared" si="452"/>
        <v>0</v>
      </c>
      <c r="AF1713" s="315">
        <f t="shared" si="453"/>
        <v>0</v>
      </c>
      <c r="AG1713" s="316">
        <f t="shared" si="454"/>
        <v>0</v>
      </c>
      <c r="AH1713" s="314">
        <v>1</v>
      </c>
      <c r="AI1713" s="314">
        <f t="shared" si="455"/>
        <v>0</v>
      </c>
      <c r="AJ1713" s="314">
        <f t="shared" si="456"/>
        <v>0</v>
      </c>
      <c r="AK1713" s="317"/>
      <c r="AL1713" s="315">
        <f t="shared" si="457"/>
        <v>0</v>
      </c>
      <c r="AN1713" s="554">
        <f t="shared" si="458"/>
        <v>0</v>
      </c>
      <c r="AO1713" s="314"/>
      <c r="AP1713" s="318"/>
    </row>
    <row r="1714" spans="2:42">
      <c r="B1714" s="296"/>
      <c r="C1714" s="299"/>
      <c r="D1714" s="298"/>
      <c r="E1714" s="299"/>
      <c r="F1714" s="299"/>
      <c r="G1714" s="300"/>
      <c r="H1714" s="303"/>
      <c r="I1714" s="301">
        <f t="shared" si="442"/>
        <v>0</v>
      </c>
      <c r="J1714" s="302">
        <f t="shared" si="443"/>
        <v>0</v>
      </c>
      <c r="K1714" s="304">
        <f t="shared" si="444"/>
        <v>0</v>
      </c>
      <c r="L1714" s="305">
        <f>IF(H1714=0,0,IF(OR(E1714=$AT$5,E1714=$AT$6),AA1714,IF(F1714="MXN",1/HLOOKUP(YEAR(G1714)+(MONTH(G1714)/100),TC!$5:$37,DAY(G1714)+2,FALSE),VLOOKUP(F1714,Equivalencia!$5:$23,((MAX(Equivalencia!$3:$3)-YEAR(G1714))*14)+MONTH(G1714)+2,FALSE))))</f>
        <v>0</v>
      </c>
      <c r="M1714" s="306">
        <f t="shared" si="445"/>
        <v>0</v>
      </c>
      <c r="N1714" s="305">
        <f>IF(G1714=0,0,(IF(OR(E1714=$AT$5,E1714=$AT$6),AC1714,HLOOKUP(YEAR(G1714)+(MONTH(G1714)/100),TC!$5:$37,DAY(G1714)+2,FALSE))))</f>
        <v>0</v>
      </c>
      <c r="O1714" s="307">
        <f t="shared" si="446"/>
        <v>0</v>
      </c>
      <c r="P1714" s="560">
        <f>IF(G1714=0,0,VLOOKUP(YEAR(G1714),INPC!$B$4:$P$30,MONTH(G1714)+2))</f>
        <v>0</v>
      </c>
      <c r="Q1714" s="560">
        <f>IF(X1714=0,0,IF(OR(E1714=$AT$10,E1714=$AT$9),VLOOKUP(YEAR(X1714),INPC!$B$4:$P$30,MONTH(X1714)+1),VLOOKUP(YEAR(X1714),INPC!$B$4:$P$30,MONTH(X1714)+2,0)))</f>
        <v>0</v>
      </c>
      <c r="R1714" s="309">
        <f t="shared" si="447"/>
        <v>0</v>
      </c>
      <c r="S1714" s="310">
        <f t="shared" si="448"/>
        <v>0</v>
      </c>
      <c r="T1714" s="555">
        <f t="shared" si="449"/>
        <v>0</v>
      </c>
      <c r="U1714" s="311"/>
      <c r="V1714" s="312"/>
      <c r="W1714" s="299"/>
      <c r="X1714" s="300"/>
      <c r="Y1714" s="299"/>
      <c r="Z1714" s="303"/>
      <c r="AA1714" s="305">
        <f>IF(Z1714=0,0,IF(Y1714="MXN",1/HLOOKUP(YEAR(X1714)+(MONTH(X1714)/100),TC!$5:$37,DAY(X1714)+2,FALSE),VLOOKUP(Y1714,Equivalencia!$1:$23,((MAX(Equivalencia!$3:$3)-YEAR(X1714))*14)+MONTH(X1714)+2,FALSE)))</f>
        <v>0</v>
      </c>
      <c r="AB1714" s="306">
        <f t="shared" si="450"/>
        <v>0</v>
      </c>
      <c r="AC1714" s="305">
        <f>+IF(X1714=0,0,HLOOKUP(YEAR(X1714)+(MONTH(X1714)/100),TC!$5:$37,DAY(X1714)+2,FALSE))</f>
        <v>0</v>
      </c>
      <c r="AD1714" s="307">
        <f t="shared" si="451"/>
        <v>0</v>
      </c>
      <c r="AE1714" s="314">
        <f t="shared" si="452"/>
        <v>0</v>
      </c>
      <c r="AF1714" s="315">
        <f t="shared" si="453"/>
        <v>0</v>
      </c>
      <c r="AG1714" s="316">
        <f t="shared" si="454"/>
        <v>0</v>
      </c>
      <c r="AH1714" s="314">
        <v>1</v>
      </c>
      <c r="AI1714" s="314">
        <f t="shared" si="455"/>
        <v>0</v>
      </c>
      <c r="AJ1714" s="314">
        <f t="shared" si="456"/>
        <v>0</v>
      </c>
      <c r="AK1714" s="317"/>
      <c r="AL1714" s="315">
        <f t="shared" si="457"/>
        <v>0</v>
      </c>
      <c r="AN1714" s="554">
        <f t="shared" si="458"/>
        <v>0</v>
      </c>
      <c r="AO1714" s="314"/>
      <c r="AP1714" s="318"/>
    </row>
    <row r="1715" spans="2:42">
      <c r="B1715" s="296"/>
      <c r="C1715" s="299"/>
      <c r="D1715" s="298"/>
      <c r="E1715" s="299"/>
      <c r="F1715" s="299"/>
      <c r="G1715" s="300"/>
      <c r="H1715" s="303"/>
      <c r="I1715" s="301">
        <f t="shared" si="442"/>
        <v>0</v>
      </c>
      <c r="J1715" s="302">
        <f t="shared" si="443"/>
        <v>0</v>
      </c>
      <c r="K1715" s="304">
        <f t="shared" si="444"/>
        <v>0</v>
      </c>
      <c r="L1715" s="305">
        <f>IF(H1715=0,0,IF(OR(E1715=$AT$5,E1715=$AT$6),AA1715,IF(F1715="MXN",1/HLOOKUP(YEAR(G1715)+(MONTH(G1715)/100),TC!$5:$37,DAY(G1715)+2,FALSE),VLOOKUP(F1715,Equivalencia!$5:$23,((MAX(Equivalencia!$3:$3)-YEAR(G1715))*14)+MONTH(G1715)+2,FALSE))))</f>
        <v>0</v>
      </c>
      <c r="M1715" s="306">
        <f t="shared" si="445"/>
        <v>0</v>
      </c>
      <c r="N1715" s="305">
        <f>IF(G1715=0,0,(IF(OR(E1715=$AT$5,E1715=$AT$6),AC1715,HLOOKUP(YEAR(G1715)+(MONTH(G1715)/100),TC!$5:$37,DAY(G1715)+2,FALSE))))</f>
        <v>0</v>
      </c>
      <c r="O1715" s="307">
        <f t="shared" si="446"/>
        <v>0</v>
      </c>
      <c r="P1715" s="560">
        <f>IF(G1715=0,0,VLOOKUP(YEAR(G1715),INPC!$B$4:$P$30,MONTH(G1715)+2))</f>
        <v>0</v>
      </c>
      <c r="Q1715" s="560">
        <f>IF(X1715=0,0,IF(OR(E1715=$AT$10,E1715=$AT$9),VLOOKUP(YEAR(X1715),INPC!$B$4:$P$30,MONTH(X1715)+1),VLOOKUP(YEAR(X1715),INPC!$B$4:$P$30,MONTH(X1715)+2,0)))</f>
        <v>0</v>
      </c>
      <c r="R1715" s="309">
        <f t="shared" si="447"/>
        <v>0</v>
      </c>
      <c r="S1715" s="310">
        <f t="shared" si="448"/>
        <v>0</v>
      </c>
      <c r="T1715" s="555">
        <f t="shared" si="449"/>
        <v>0</v>
      </c>
      <c r="U1715" s="311"/>
      <c r="V1715" s="312"/>
      <c r="W1715" s="299"/>
      <c r="X1715" s="300"/>
      <c r="Y1715" s="299"/>
      <c r="Z1715" s="303"/>
      <c r="AA1715" s="305">
        <f>IF(Z1715=0,0,IF(Y1715="MXN",1/HLOOKUP(YEAR(X1715)+(MONTH(X1715)/100),TC!$5:$37,DAY(X1715)+2,FALSE),VLOOKUP(Y1715,Equivalencia!$1:$23,((MAX(Equivalencia!$3:$3)-YEAR(X1715))*14)+MONTH(X1715)+2,FALSE)))</f>
        <v>0</v>
      </c>
      <c r="AB1715" s="306">
        <f t="shared" si="450"/>
        <v>0</v>
      </c>
      <c r="AC1715" s="305">
        <f>+IF(X1715=0,0,HLOOKUP(YEAR(X1715)+(MONTH(X1715)/100),TC!$5:$37,DAY(X1715)+2,FALSE))</f>
        <v>0</v>
      </c>
      <c r="AD1715" s="307">
        <f t="shared" si="451"/>
        <v>0</v>
      </c>
      <c r="AE1715" s="314">
        <f t="shared" si="452"/>
        <v>0</v>
      </c>
      <c r="AF1715" s="315">
        <f t="shared" si="453"/>
        <v>0</v>
      </c>
      <c r="AG1715" s="316">
        <f t="shared" si="454"/>
        <v>0</v>
      </c>
      <c r="AH1715" s="314">
        <v>1</v>
      </c>
      <c r="AI1715" s="314">
        <f t="shared" si="455"/>
        <v>0</v>
      </c>
      <c r="AJ1715" s="314">
        <f t="shared" si="456"/>
        <v>0</v>
      </c>
      <c r="AK1715" s="317"/>
      <c r="AL1715" s="315">
        <f t="shared" si="457"/>
        <v>0</v>
      </c>
      <c r="AN1715" s="554">
        <f t="shared" si="458"/>
        <v>0</v>
      </c>
      <c r="AO1715" s="314"/>
      <c r="AP1715" s="318"/>
    </row>
    <row r="1716" spans="2:42">
      <c r="B1716" s="296"/>
      <c r="C1716" s="299"/>
      <c r="D1716" s="298"/>
      <c r="E1716" s="299"/>
      <c r="F1716" s="299"/>
      <c r="G1716" s="300"/>
      <c r="H1716" s="303"/>
      <c r="I1716" s="301">
        <f t="shared" si="442"/>
        <v>0</v>
      </c>
      <c r="J1716" s="302">
        <f t="shared" si="443"/>
        <v>0</v>
      </c>
      <c r="K1716" s="304">
        <f t="shared" si="444"/>
        <v>0</v>
      </c>
      <c r="L1716" s="305">
        <f>IF(H1716=0,0,IF(OR(E1716=$AT$5,E1716=$AT$6),AA1716,IF(F1716="MXN",1/HLOOKUP(YEAR(G1716)+(MONTH(G1716)/100),TC!$5:$37,DAY(G1716)+2,FALSE),VLOOKUP(F1716,Equivalencia!$5:$23,((MAX(Equivalencia!$3:$3)-YEAR(G1716))*14)+MONTH(G1716)+2,FALSE))))</f>
        <v>0</v>
      </c>
      <c r="M1716" s="306">
        <f t="shared" si="445"/>
        <v>0</v>
      </c>
      <c r="N1716" s="305">
        <f>IF(G1716=0,0,(IF(OR(E1716=$AT$5,E1716=$AT$6),AC1716,HLOOKUP(YEAR(G1716)+(MONTH(G1716)/100),TC!$5:$37,DAY(G1716)+2,FALSE))))</f>
        <v>0</v>
      </c>
      <c r="O1716" s="307">
        <f t="shared" si="446"/>
        <v>0</v>
      </c>
      <c r="P1716" s="560">
        <f>IF(G1716=0,0,VLOOKUP(YEAR(G1716),INPC!$B$4:$P$30,MONTH(G1716)+2))</f>
        <v>0</v>
      </c>
      <c r="Q1716" s="560">
        <f>IF(X1716=0,0,IF(OR(E1716=$AT$10,E1716=$AT$9),VLOOKUP(YEAR(X1716),INPC!$B$4:$P$30,MONTH(X1716)+1),VLOOKUP(YEAR(X1716),INPC!$B$4:$P$30,MONTH(X1716)+2,0)))</f>
        <v>0</v>
      </c>
      <c r="R1716" s="309">
        <f t="shared" si="447"/>
        <v>0</v>
      </c>
      <c r="S1716" s="310">
        <f t="shared" si="448"/>
        <v>0</v>
      </c>
      <c r="T1716" s="555">
        <f t="shared" si="449"/>
        <v>0</v>
      </c>
      <c r="U1716" s="311"/>
      <c r="V1716" s="312"/>
      <c r="W1716" s="299"/>
      <c r="X1716" s="300"/>
      <c r="Y1716" s="299"/>
      <c r="Z1716" s="303"/>
      <c r="AA1716" s="305">
        <f>IF(Z1716=0,0,IF(Y1716="MXN",1/HLOOKUP(YEAR(X1716)+(MONTH(X1716)/100),TC!$5:$37,DAY(X1716)+2,FALSE),VLOOKUP(Y1716,Equivalencia!$1:$23,((MAX(Equivalencia!$3:$3)-YEAR(X1716))*14)+MONTH(X1716)+2,FALSE)))</f>
        <v>0</v>
      </c>
      <c r="AB1716" s="306">
        <f t="shared" si="450"/>
        <v>0</v>
      </c>
      <c r="AC1716" s="305">
        <f>+IF(X1716=0,0,HLOOKUP(YEAR(X1716)+(MONTH(X1716)/100),TC!$5:$37,DAY(X1716)+2,FALSE))</f>
        <v>0</v>
      </c>
      <c r="AD1716" s="307">
        <f t="shared" si="451"/>
        <v>0</v>
      </c>
      <c r="AE1716" s="314">
        <f t="shared" si="452"/>
        <v>0</v>
      </c>
      <c r="AF1716" s="315">
        <f t="shared" si="453"/>
        <v>0</v>
      </c>
      <c r="AG1716" s="316">
        <f t="shared" si="454"/>
        <v>0</v>
      </c>
      <c r="AH1716" s="314">
        <v>1</v>
      </c>
      <c r="AI1716" s="314">
        <f t="shared" si="455"/>
        <v>0</v>
      </c>
      <c r="AJ1716" s="314">
        <f t="shared" si="456"/>
        <v>0</v>
      </c>
      <c r="AK1716" s="317"/>
      <c r="AL1716" s="315">
        <f t="shared" si="457"/>
        <v>0</v>
      </c>
      <c r="AN1716" s="554">
        <f t="shared" si="458"/>
        <v>0</v>
      </c>
      <c r="AO1716" s="314"/>
      <c r="AP1716" s="318"/>
    </row>
    <row r="1717" spans="2:42">
      <c r="B1717" s="296"/>
      <c r="C1717" s="299"/>
      <c r="D1717" s="298"/>
      <c r="E1717" s="299"/>
      <c r="F1717" s="299"/>
      <c r="G1717" s="300"/>
      <c r="H1717" s="303"/>
      <c r="I1717" s="301">
        <f t="shared" si="442"/>
        <v>0</v>
      </c>
      <c r="J1717" s="302">
        <f t="shared" si="443"/>
        <v>0</v>
      </c>
      <c r="K1717" s="304">
        <f t="shared" si="444"/>
        <v>0</v>
      </c>
      <c r="L1717" s="305">
        <f>IF(H1717=0,0,IF(OR(E1717=$AT$5,E1717=$AT$6),AA1717,IF(F1717="MXN",1/HLOOKUP(YEAR(G1717)+(MONTH(G1717)/100),TC!$5:$37,DAY(G1717)+2,FALSE),VLOOKUP(F1717,Equivalencia!$5:$23,((MAX(Equivalencia!$3:$3)-YEAR(G1717))*14)+MONTH(G1717)+2,FALSE))))</f>
        <v>0</v>
      </c>
      <c r="M1717" s="306">
        <f t="shared" si="445"/>
        <v>0</v>
      </c>
      <c r="N1717" s="305">
        <f>IF(G1717=0,0,(IF(OR(E1717=$AT$5,E1717=$AT$6),AC1717,HLOOKUP(YEAR(G1717)+(MONTH(G1717)/100),TC!$5:$37,DAY(G1717)+2,FALSE))))</f>
        <v>0</v>
      </c>
      <c r="O1717" s="307">
        <f t="shared" si="446"/>
        <v>0</v>
      </c>
      <c r="P1717" s="560">
        <f>IF(G1717=0,0,VLOOKUP(YEAR(G1717),INPC!$B$4:$P$30,MONTH(G1717)+2))</f>
        <v>0</v>
      </c>
      <c r="Q1717" s="560">
        <f>IF(X1717=0,0,IF(OR(E1717=$AT$10,E1717=$AT$9),VLOOKUP(YEAR(X1717),INPC!$B$4:$P$30,MONTH(X1717)+1),VLOOKUP(YEAR(X1717),INPC!$B$4:$P$30,MONTH(X1717)+2,0)))</f>
        <v>0</v>
      </c>
      <c r="R1717" s="309">
        <f t="shared" si="447"/>
        <v>0</v>
      </c>
      <c r="S1717" s="310">
        <f t="shared" si="448"/>
        <v>0</v>
      </c>
      <c r="T1717" s="555">
        <f t="shared" si="449"/>
        <v>0</v>
      </c>
      <c r="U1717" s="311"/>
      <c r="V1717" s="312"/>
      <c r="W1717" s="299"/>
      <c r="X1717" s="300"/>
      <c r="Y1717" s="299"/>
      <c r="Z1717" s="303"/>
      <c r="AA1717" s="305">
        <f>IF(Z1717=0,0,IF(Y1717="MXN",1/HLOOKUP(YEAR(X1717)+(MONTH(X1717)/100),TC!$5:$37,DAY(X1717)+2,FALSE),VLOOKUP(Y1717,Equivalencia!$1:$23,((MAX(Equivalencia!$3:$3)-YEAR(X1717))*14)+MONTH(X1717)+2,FALSE)))</f>
        <v>0</v>
      </c>
      <c r="AB1717" s="306">
        <f t="shared" si="450"/>
        <v>0</v>
      </c>
      <c r="AC1717" s="305">
        <f>+IF(X1717=0,0,HLOOKUP(YEAR(X1717)+(MONTH(X1717)/100),TC!$5:$37,DAY(X1717)+2,FALSE))</f>
        <v>0</v>
      </c>
      <c r="AD1717" s="307">
        <f t="shared" si="451"/>
        <v>0</v>
      </c>
      <c r="AE1717" s="314">
        <f t="shared" si="452"/>
        <v>0</v>
      </c>
      <c r="AF1717" s="315">
        <f t="shared" si="453"/>
        <v>0</v>
      </c>
      <c r="AG1717" s="316">
        <f t="shared" si="454"/>
        <v>0</v>
      </c>
      <c r="AH1717" s="314">
        <v>1</v>
      </c>
      <c r="AI1717" s="314">
        <f t="shared" si="455"/>
        <v>0</v>
      </c>
      <c r="AJ1717" s="314">
        <f t="shared" si="456"/>
        <v>0</v>
      </c>
      <c r="AK1717" s="317"/>
      <c r="AL1717" s="315">
        <f t="shared" si="457"/>
        <v>0</v>
      </c>
      <c r="AN1717" s="554">
        <f t="shared" si="458"/>
        <v>0</v>
      </c>
      <c r="AO1717" s="314"/>
      <c r="AP1717" s="318"/>
    </row>
    <row r="1718" spans="2:42">
      <c r="B1718" s="296"/>
      <c r="C1718" s="299"/>
      <c r="D1718" s="298"/>
      <c r="E1718" s="299"/>
      <c r="F1718" s="299"/>
      <c r="G1718" s="300"/>
      <c r="H1718" s="303"/>
      <c r="I1718" s="301">
        <f t="shared" si="442"/>
        <v>0</v>
      </c>
      <c r="J1718" s="302">
        <f t="shared" si="443"/>
        <v>0</v>
      </c>
      <c r="K1718" s="304">
        <f t="shared" si="444"/>
        <v>0</v>
      </c>
      <c r="L1718" s="305">
        <f>IF(H1718=0,0,IF(OR(E1718=$AT$5,E1718=$AT$6),AA1718,IF(F1718="MXN",1/HLOOKUP(YEAR(G1718)+(MONTH(G1718)/100),TC!$5:$37,DAY(G1718)+2,FALSE),VLOOKUP(F1718,Equivalencia!$5:$23,((MAX(Equivalencia!$3:$3)-YEAR(G1718))*14)+MONTH(G1718)+2,FALSE))))</f>
        <v>0</v>
      </c>
      <c r="M1718" s="306">
        <f t="shared" si="445"/>
        <v>0</v>
      </c>
      <c r="N1718" s="305">
        <f>IF(G1718=0,0,(IF(OR(E1718=$AT$5,E1718=$AT$6),AC1718,HLOOKUP(YEAR(G1718)+(MONTH(G1718)/100),TC!$5:$37,DAY(G1718)+2,FALSE))))</f>
        <v>0</v>
      </c>
      <c r="O1718" s="307">
        <f t="shared" si="446"/>
        <v>0</v>
      </c>
      <c r="P1718" s="560">
        <f>IF(G1718=0,0,VLOOKUP(YEAR(G1718),INPC!$B$4:$P$30,MONTH(G1718)+2))</f>
        <v>0</v>
      </c>
      <c r="Q1718" s="560">
        <f>IF(X1718=0,0,IF(OR(E1718=$AT$10,E1718=$AT$9),VLOOKUP(YEAR(X1718),INPC!$B$4:$P$30,MONTH(X1718)+1),VLOOKUP(YEAR(X1718),INPC!$B$4:$P$30,MONTH(X1718)+2,0)))</f>
        <v>0</v>
      </c>
      <c r="R1718" s="309">
        <f t="shared" si="447"/>
        <v>0</v>
      </c>
      <c r="S1718" s="310">
        <f t="shared" si="448"/>
        <v>0</v>
      </c>
      <c r="T1718" s="555">
        <f t="shared" si="449"/>
        <v>0</v>
      </c>
      <c r="U1718" s="311"/>
      <c r="V1718" s="312"/>
      <c r="W1718" s="299"/>
      <c r="X1718" s="300"/>
      <c r="Y1718" s="299"/>
      <c r="Z1718" s="303"/>
      <c r="AA1718" s="305">
        <f>IF(Z1718=0,0,IF(Y1718="MXN",1/HLOOKUP(YEAR(X1718)+(MONTH(X1718)/100),TC!$5:$37,DAY(X1718)+2,FALSE),VLOOKUP(Y1718,Equivalencia!$1:$23,((MAX(Equivalencia!$3:$3)-YEAR(X1718))*14)+MONTH(X1718)+2,FALSE)))</f>
        <v>0</v>
      </c>
      <c r="AB1718" s="306">
        <f t="shared" si="450"/>
        <v>0</v>
      </c>
      <c r="AC1718" s="305">
        <f>+IF(X1718=0,0,HLOOKUP(YEAR(X1718)+(MONTH(X1718)/100),TC!$5:$37,DAY(X1718)+2,FALSE))</f>
        <v>0</v>
      </c>
      <c r="AD1718" s="307">
        <f t="shared" si="451"/>
        <v>0</v>
      </c>
      <c r="AE1718" s="314">
        <f t="shared" si="452"/>
        <v>0</v>
      </c>
      <c r="AF1718" s="315">
        <f t="shared" si="453"/>
        <v>0</v>
      </c>
      <c r="AG1718" s="316">
        <f t="shared" si="454"/>
        <v>0</v>
      </c>
      <c r="AH1718" s="314">
        <v>1</v>
      </c>
      <c r="AI1718" s="314">
        <f t="shared" si="455"/>
        <v>0</v>
      </c>
      <c r="AJ1718" s="314">
        <f t="shared" si="456"/>
        <v>0</v>
      </c>
      <c r="AK1718" s="317"/>
      <c r="AL1718" s="315">
        <f t="shared" si="457"/>
        <v>0</v>
      </c>
      <c r="AN1718" s="554">
        <f t="shared" si="458"/>
        <v>0</v>
      </c>
      <c r="AO1718" s="314"/>
      <c r="AP1718" s="318"/>
    </row>
    <row r="1719" spans="2:42">
      <c r="B1719" s="296"/>
      <c r="C1719" s="299"/>
      <c r="D1719" s="298"/>
      <c r="E1719" s="299"/>
      <c r="F1719" s="299"/>
      <c r="G1719" s="300"/>
      <c r="H1719" s="303"/>
      <c r="I1719" s="301">
        <f t="shared" si="442"/>
        <v>0</v>
      </c>
      <c r="J1719" s="302">
        <f t="shared" si="443"/>
        <v>0</v>
      </c>
      <c r="K1719" s="304">
        <f t="shared" si="444"/>
        <v>0</v>
      </c>
      <c r="L1719" s="305">
        <f>IF(H1719=0,0,IF(OR(E1719=$AT$5,E1719=$AT$6),AA1719,IF(F1719="MXN",1/HLOOKUP(YEAR(G1719)+(MONTH(G1719)/100),TC!$5:$37,DAY(G1719)+2,FALSE),VLOOKUP(F1719,Equivalencia!$5:$23,((MAX(Equivalencia!$3:$3)-YEAR(G1719))*14)+MONTH(G1719)+2,FALSE))))</f>
        <v>0</v>
      </c>
      <c r="M1719" s="306">
        <f t="shared" si="445"/>
        <v>0</v>
      </c>
      <c r="N1719" s="305">
        <f>IF(G1719=0,0,(IF(OR(E1719=$AT$5,E1719=$AT$6),AC1719,HLOOKUP(YEAR(G1719)+(MONTH(G1719)/100),TC!$5:$37,DAY(G1719)+2,FALSE))))</f>
        <v>0</v>
      </c>
      <c r="O1719" s="307">
        <f t="shared" si="446"/>
        <v>0</v>
      </c>
      <c r="P1719" s="560">
        <f>IF(G1719=0,0,VLOOKUP(YEAR(G1719),INPC!$B$4:$P$30,MONTH(G1719)+2))</f>
        <v>0</v>
      </c>
      <c r="Q1719" s="560">
        <f>IF(X1719=0,0,IF(OR(E1719=$AT$10,E1719=$AT$9),VLOOKUP(YEAR(X1719),INPC!$B$4:$P$30,MONTH(X1719)+1),VLOOKUP(YEAR(X1719),INPC!$B$4:$P$30,MONTH(X1719)+2,0)))</f>
        <v>0</v>
      </c>
      <c r="R1719" s="309">
        <f t="shared" si="447"/>
        <v>0</v>
      </c>
      <c r="S1719" s="310">
        <f t="shared" si="448"/>
        <v>0</v>
      </c>
      <c r="T1719" s="555">
        <f t="shared" si="449"/>
        <v>0</v>
      </c>
      <c r="U1719" s="311"/>
      <c r="V1719" s="312"/>
      <c r="W1719" s="299"/>
      <c r="X1719" s="300"/>
      <c r="Y1719" s="299"/>
      <c r="Z1719" s="303"/>
      <c r="AA1719" s="305">
        <f>IF(Z1719=0,0,IF(Y1719="MXN",1/HLOOKUP(YEAR(X1719)+(MONTH(X1719)/100),TC!$5:$37,DAY(X1719)+2,FALSE),VLOOKUP(Y1719,Equivalencia!$1:$23,((MAX(Equivalencia!$3:$3)-YEAR(X1719))*14)+MONTH(X1719)+2,FALSE)))</f>
        <v>0</v>
      </c>
      <c r="AB1719" s="306">
        <f t="shared" si="450"/>
        <v>0</v>
      </c>
      <c r="AC1719" s="305">
        <f>+IF(X1719=0,0,HLOOKUP(YEAR(X1719)+(MONTH(X1719)/100),TC!$5:$37,DAY(X1719)+2,FALSE))</f>
        <v>0</v>
      </c>
      <c r="AD1719" s="307">
        <f t="shared" si="451"/>
        <v>0</v>
      </c>
      <c r="AE1719" s="314">
        <f t="shared" si="452"/>
        <v>0</v>
      </c>
      <c r="AF1719" s="315">
        <f t="shared" si="453"/>
        <v>0</v>
      </c>
      <c r="AG1719" s="316">
        <f t="shared" si="454"/>
        <v>0</v>
      </c>
      <c r="AH1719" s="314">
        <v>1</v>
      </c>
      <c r="AI1719" s="314">
        <f t="shared" si="455"/>
        <v>0</v>
      </c>
      <c r="AJ1719" s="314">
        <f t="shared" si="456"/>
        <v>0</v>
      </c>
      <c r="AK1719" s="317"/>
      <c r="AL1719" s="315">
        <f t="shared" si="457"/>
        <v>0</v>
      </c>
      <c r="AN1719" s="554">
        <f t="shared" si="458"/>
        <v>0</v>
      </c>
      <c r="AO1719" s="314"/>
      <c r="AP1719" s="318"/>
    </row>
    <row r="1720" spans="2:42">
      <c r="B1720" s="296"/>
      <c r="C1720" s="299"/>
      <c r="D1720" s="298"/>
      <c r="E1720" s="299"/>
      <c r="F1720" s="299"/>
      <c r="G1720" s="300"/>
      <c r="H1720" s="303"/>
      <c r="I1720" s="301">
        <f t="shared" si="442"/>
        <v>0</v>
      </c>
      <c r="J1720" s="302">
        <f t="shared" si="443"/>
        <v>0</v>
      </c>
      <c r="K1720" s="304">
        <f t="shared" si="444"/>
        <v>0</v>
      </c>
      <c r="L1720" s="305">
        <f>IF(H1720=0,0,IF(OR(E1720=$AT$5,E1720=$AT$6),AA1720,IF(F1720="MXN",1/HLOOKUP(YEAR(G1720)+(MONTH(G1720)/100),TC!$5:$37,DAY(G1720)+2,FALSE),VLOOKUP(F1720,Equivalencia!$5:$23,((MAX(Equivalencia!$3:$3)-YEAR(G1720))*14)+MONTH(G1720)+2,FALSE))))</f>
        <v>0</v>
      </c>
      <c r="M1720" s="306">
        <f t="shared" si="445"/>
        <v>0</v>
      </c>
      <c r="N1720" s="305">
        <f>IF(G1720=0,0,(IF(OR(E1720=$AT$5,E1720=$AT$6),AC1720,HLOOKUP(YEAR(G1720)+(MONTH(G1720)/100),TC!$5:$37,DAY(G1720)+2,FALSE))))</f>
        <v>0</v>
      </c>
      <c r="O1720" s="307">
        <f t="shared" si="446"/>
        <v>0</v>
      </c>
      <c r="P1720" s="560">
        <f>IF(G1720=0,0,VLOOKUP(YEAR(G1720),INPC!$B$4:$P$30,MONTH(G1720)+2))</f>
        <v>0</v>
      </c>
      <c r="Q1720" s="560">
        <f>IF(X1720=0,0,IF(OR(E1720=$AT$10,E1720=$AT$9),VLOOKUP(YEAR(X1720),INPC!$B$4:$P$30,MONTH(X1720)+1),VLOOKUP(YEAR(X1720),INPC!$B$4:$P$30,MONTH(X1720)+2,0)))</f>
        <v>0</v>
      </c>
      <c r="R1720" s="309">
        <f t="shared" si="447"/>
        <v>0</v>
      </c>
      <c r="S1720" s="310">
        <f t="shared" si="448"/>
        <v>0</v>
      </c>
      <c r="T1720" s="555">
        <f t="shared" si="449"/>
        <v>0</v>
      </c>
      <c r="U1720" s="311"/>
      <c r="V1720" s="312"/>
      <c r="W1720" s="299"/>
      <c r="X1720" s="300"/>
      <c r="Y1720" s="299"/>
      <c r="Z1720" s="303"/>
      <c r="AA1720" s="305">
        <f>IF(Z1720=0,0,IF(Y1720="MXN",1/HLOOKUP(YEAR(X1720)+(MONTH(X1720)/100),TC!$5:$37,DAY(X1720)+2,FALSE),VLOOKUP(Y1720,Equivalencia!$1:$23,((MAX(Equivalencia!$3:$3)-YEAR(X1720))*14)+MONTH(X1720)+2,FALSE)))</f>
        <v>0</v>
      </c>
      <c r="AB1720" s="306">
        <f t="shared" si="450"/>
        <v>0</v>
      </c>
      <c r="AC1720" s="305">
        <f>+IF(X1720=0,0,HLOOKUP(YEAR(X1720)+(MONTH(X1720)/100),TC!$5:$37,DAY(X1720)+2,FALSE))</f>
        <v>0</v>
      </c>
      <c r="AD1720" s="307">
        <f t="shared" si="451"/>
        <v>0</v>
      </c>
      <c r="AE1720" s="314">
        <f t="shared" si="452"/>
        <v>0</v>
      </c>
      <c r="AF1720" s="315">
        <f t="shared" si="453"/>
        <v>0</v>
      </c>
      <c r="AG1720" s="316">
        <f t="shared" si="454"/>
        <v>0</v>
      </c>
      <c r="AH1720" s="314">
        <v>1</v>
      </c>
      <c r="AI1720" s="314">
        <f t="shared" si="455"/>
        <v>0</v>
      </c>
      <c r="AJ1720" s="314">
        <f t="shared" si="456"/>
        <v>0</v>
      </c>
      <c r="AK1720" s="317"/>
      <c r="AL1720" s="315">
        <f t="shared" si="457"/>
        <v>0</v>
      </c>
      <c r="AN1720" s="554">
        <f t="shared" si="458"/>
        <v>0</v>
      </c>
      <c r="AO1720" s="314"/>
      <c r="AP1720" s="318"/>
    </row>
    <row r="1721" spans="2:42">
      <c r="B1721" s="296"/>
      <c r="C1721" s="299"/>
      <c r="D1721" s="298"/>
      <c r="E1721" s="299"/>
      <c r="F1721" s="299"/>
      <c r="G1721" s="300"/>
      <c r="H1721" s="303"/>
      <c r="I1721" s="301">
        <f t="shared" si="442"/>
        <v>0</v>
      </c>
      <c r="J1721" s="302">
        <f t="shared" si="443"/>
        <v>0</v>
      </c>
      <c r="K1721" s="304">
        <f t="shared" si="444"/>
        <v>0</v>
      </c>
      <c r="L1721" s="305">
        <f>IF(H1721=0,0,IF(OR(E1721=$AT$5,E1721=$AT$6),AA1721,IF(F1721="MXN",1/HLOOKUP(YEAR(G1721)+(MONTH(G1721)/100),TC!$5:$37,DAY(G1721)+2,FALSE),VLOOKUP(F1721,Equivalencia!$5:$23,((MAX(Equivalencia!$3:$3)-YEAR(G1721))*14)+MONTH(G1721)+2,FALSE))))</f>
        <v>0</v>
      </c>
      <c r="M1721" s="306">
        <f t="shared" si="445"/>
        <v>0</v>
      </c>
      <c r="N1721" s="305">
        <f>IF(G1721=0,0,(IF(OR(E1721=$AT$5,E1721=$AT$6),AC1721,HLOOKUP(YEAR(G1721)+(MONTH(G1721)/100),TC!$5:$37,DAY(G1721)+2,FALSE))))</f>
        <v>0</v>
      </c>
      <c r="O1721" s="307">
        <f t="shared" si="446"/>
        <v>0</v>
      </c>
      <c r="P1721" s="560">
        <f>IF(G1721=0,0,VLOOKUP(YEAR(G1721),INPC!$B$4:$P$30,MONTH(G1721)+2))</f>
        <v>0</v>
      </c>
      <c r="Q1721" s="560">
        <f>IF(X1721=0,0,IF(OR(E1721=$AT$10,E1721=$AT$9),VLOOKUP(YEAR(X1721),INPC!$B$4:$P$30,MONTH(X1721)+1),VLOOKUP(YEAR(X1721),INPC!$B$4:$P$30,MONTH(X1721)+2,0)))</f>
        <v>0</v>
      </c>
      <c r="R1721" s="309">
        <f t="shared" si="447"/>
        <v>0</v>
      </c>
      <c r="S1721" s="310">
        <f t="shared" si="448"/>
        <v>0</v>
      </c>
      <c r="T1721" s="555">
        <f t="shared" si="449"/>
        <v>0</v>
      </c>
      <c r="U1721" s="311"/>
      <c r="V1721" s="312"/>
      <c r="W1721" s="299"/>
      <c r="X1721" s="300"/>
      <c r="Y1721" s="299"/>
      <c r="Z1721" s="303"/>
      <c r="AA1721" s="305">
        <f>IF(Z1721=0,0,IF(Y1721="MXN",1/HLOOKUP(YEAR(X1721)+(MONTH(X1721)/100),TC!$5:$37,DAY(X1721)+2,FALSE),VLOOKUP(Y1721,Equivalencia!$1:$23,((MAX(Equivalencia!$3:$3)-YEAR(X1721))*14)+MONTH(X1721)+2,FALSE)))</f>
        <v>0</v>
      </c>
      <c r="AB1721" s="306">
        <f t="shared" si="450"/>
        <v>0</v>
      </c>
      <c r="AC1721" s="305">
        <f>+IF(X1721=0,0,HLOOKUP(YEAR(X1721)+(MONTH(X1721)/100),TC!$5:$37,DAY(X1721)+2,FALSE))</f>
        <v>0</v>
      </c>
      <c r="AD1721" s="307">
        <f t="shared" si="451"/>
        <v>0</v>
      </c>
      <c r="AE1721" s="314">
        <f t="shared" si="452"/>
        <v>0</v>
      </c>
      <c r="AF1721" s="315">
        <f t="shared" si="453"/>
        <v>0</v>
      </c>
      <c r="AG1721" s="316">
        <f t="shared" si="454"/>
        <v>0</v>
      </c>
      <c r="AH1721" s="314">
        <v>1</v>
      </c>
      <c r="AI1721" s="314">
        <f t="shared" si="455"/>
        <v>0</v>
      </c>
      <c r="AJ1721" s="314">
        <f t="shared" si="456"/>
        <v>0</v>
      </c>
      <c r="AK1721" s="317"/>
      <c r="AL1721" s="315">
        <f t="shared" si="457"/>
        <v>0</v>
      </c>
      <c r="AN1721" s="554">
        <f t="shared" si="458"/>
        <v>0</v>
      </c>
      <c r="AO1721" s="314"/>
      <c r="AP1721" s="318"/>
    </row>
    <row r="1722" spans="2:42">
      <c r="B1722" s="296"/>
      <c r="C1722" s="299"/>
      <c r="D1722" s="298"/>
      <c r="E1722" s="299"/>
      <c r="F1722" s="299"/>
      <c r="G1722" s="300"/>
      <c r="H1722" s="303"/>
      <c r="I1722" s="301">
        <f t="shared" si="442"/>
        <v>0</v>
      </c>
      <c r="J1722" s="302">
        <f t="shared" si="443"/>
        <v>0</v>
      </c>
      <c r="K1722" s="304">
        <f t="shared" si="444"/>
        <v>0</v>
      </c>
      <c r="L1722" s="305">
        <f>IF(H1722=0,0,IF(OR(E1722=$AT$5,E1722=$AT$6),AA1722,IF(F1722="MXN",1/HLOOKUP(YEAR(G1722)+(MONTH(G1722)/100),TC!$5:$37,DAY(G1722)+2,FALSE),VLOOKUP(F1722,Equivalencia!$5:$23,((MAX(Equivalencia!$3:$3)-YEAR(G1722))*14)+MONTH(G1722)+2,FALSE))))</f>
        <v>0</v>
      </c>
      <c r="M1722" s="306">
        <f t="shared" si="445"/>
        <v>0</v>
      </c>
      <c r="N1722" s="305">
        <f>IF(G1722=0,0,(IF(OR(E1722=$AT$5,E1722=$AT$6),AC1722,HLOOKUP(YEAR(G1722)+(MONTH(G1722)/100),TC!$5:$37,DAY(G1722)+2,FALSE))))</f>
        <v>0</v>
      </c>
      <c r="O1722" s="307">
        <f t="shared" si="446"/>
        <v>0</v>
      </c>
      <c r="P1722" s="560">
        <f>IF(G1722=0,0,VLOOKUP(YEAR(G1722),INPC!$B$4:$P$30,MONTH(G1722)+2))</f>
        <v>0</v>
      </c>
      <c r="Q1722" s="560">
        <f>IF(X1722=0,0,IF(OR(E1722=$AT$10,E1722=$AT$9),VLOOKUP(YEAR(X1722),INPC!$B$4:$P$30,MONTH(X1722)+1),VLOOKUP(YEAR(X1722),INPC!$B$4:$P$30,MONTH(X1722)+2,0)))</f>
        <v>0</v>
      </c>
      <c r="R1722" s="309">
        <f t="shared" si="447"/>
        <v>0</v>
      </c>
      <c r="S1722" s="310">
        <f t="shared" si="448"/>
        <v>0</v>
      </c>
      <c r="T1722" s="555">
        <f t="shared" si="449"/>
        <v>0</v>
      </c>
      <c r="U1722" s="311"/>
      <c r="V1722" s="312"/>
      <c r="W1722" s="299"/>
      <c r="X1722" s="300"/>
      <c r="Y1722" s="299"/>
      <c r="Z1722" s="303"/>
      <c r="AA1722" s="305">
        <f>IF(Z1722=0,0,IF(Y1722="MXN",1/HLOOKUP(YEAR(X1722)+(MONTH(X1722)/100),TC!$5:$37,DAY(X1722)+2,FALSE),VLOOKUP(Y1722,Equivalencia!$1:$23,((MAX(Equivalencia!$3:$3)-YEAR(X1722))*14)+MONTH(X1722)+2,FALSE)))</f>
        <v>0</v>
      </c>
      <c r="AB1722" s="306">
        <f t="shared" si="450"/>
        <v>0</v>
      </c>
      <c r="AC1722" s="305">
        <f>+IF(X1722=0,0,HLOOKUP(YEAR(X1722)+(MONTH(X1722)/100),TC!$5:$37,DAY(X1722)+2,FALSE))</f>
        <v>0</v>
      </c>
      <c r="AD1722" s="307">
        <f t="shared" si="451"/>
        <v>0</v>
      </c>
      <c r="AE1722" s="314">
        <f t="shared" si="452"/>
        <v>0</v>
      </c>
      <c r="AF1722" s="315">
        <f t="shared" si="453"/>
        <v>0</v>
      </c>
      <c r="AG1722" s="316">
        <f t="shared" si="454"/>
        <v>0</v>
      </c>
      <c r="AH1722" s="314">
        <v>1</v>
      </c>
      <c r="AI1722" s="314">
        <f t="shared" si="455"/>
        <v>0</v>
      </c>
      <c r="AJ1722" s="314">
        <f t="shared" si="456"/>
        <v>0</v>
      </c>
      <c r="AK1722" s="317"/>
      <c r="AL1722" s="315">
        <f t="shared" si="457"/>
        <v>0</v>
      </c>
      <c r="AN1722" s="554">
        <f t="shared" si="458"/>
        <v>0</v>
      </c>
      <c r="AO1722" s="314"/>
      <c r="AP1722" s="318"/>
    </row>
    <row r="1723" spans="2:42">
      <c r="B1723" s="296"/>
      <c r="C1723" s="299"/>
      <c r="D1723" s="298"/>
      <c r="E1723" s="299"/>
      <c r="F1723" s="299"/>
      <c r="G1723" s="300"/>
      <c r="H1723" s="303"/>
      <c r="I1723" s="301">
        <f t="shared" si="442"/>
        <v>0</v>
      </c>
      <c r="J1723" s="302">
        <f t="shared" si="443"/>
        <v>0</v>
      </c>
      <c r="K1723" s="304">
        <f t="shared" si="444"/>
        <v>0</v>
      </c>
      <c r="L1723" s="305">
        <f>IF(H1723=0,0,IF(OR(E1723=$AT$5,E1723=$AT$6),AA1723,IF(F1723="MXN",1/HLOOKUP(YEAR(G1723)+(MONTH(G1723)/100),TC!$5:$37,DAY(G1723)+2,FALSE),VLOOKUP(F1723,Equivalencia!$5:$23,((MAX(Equivalencia!$3:$3)-YEAR(G1723))*14)+MONTH(G1723)+2,FALSE))))</f>
        <v>0</v>
      </c>
      <c r="M1723" s="306">
        <f t="shared" si="445"/>
        <v>0</v>
      </c>
      <c r="N1723" s="305">
        <f>IF(G1723=0,0,(IF(OR(E1723=$AT$5,E1723=$AT$6),AC1723,HLOOKUP(YEAR(G1723)+(MONTH(G1723)/100),TC!$5:$37,DAY(G1723)+2,FALSE))))</f>
        <v>0</v>
      </c>
      <c r="O1723" s="307">
        <f t="shared" si="446"/>
        <v>0</v>
      </c>
      <c r="P1723" s="560">
        <f>IF(G1723=0,0,VLOOKUP(YEAR(G1723),INPC!$B$4:$P$30,MONTH(G1723)+2))</f>
        <v>0</v>
      </c>
      <c r="Q1723" s="560">
        <f>IF(X1723=0,0,IF(OR(E1723=$AT$10,E1723=$AT$9),VLOOKUP(YEAR(X1723),INPC!$B$4:$P$30,MONTH(X1723)+1),VLOOKUP(YEAR(X1723),INPC!$B$4:$P$30,MONTH(X1723)+2,0)))</f>
        <v>0</v>
      </c>
      <c r="R1723" s="309">
        <f t="shared" si="447"/>
        <v>0</v>
      </c>
      <c r="S1723" s="310">
        <f t="shared" si="448"/>
        <v>0</v>
      </c>
      <c r="T1723" s="555">
        <f t="shared" si="449"/>
        <v>0</v>
      </c>
      <c r="U1723" s="311"/>
      <c r="V1723" s="312"/>
      <c r="W1723" s="299"/>
      <c r="X1723" s="300"/>
      <c r="Y1723" s="299"/>
      <c r="Z1723" s="303"/>
      <c r="AA1723" s="305">
        <f>IF(Z1723=0,0,IF(Y1723="MXN",1/HLOOKUP(YEAR(X1723)+(MONTH(X1723)/100),TC!$5:$37,DAY(X1723)+2,FALSE),VLOOKUP(Y1723,Equivalencia!$1:$23,((MAX(Equivalencia!$3:$3)-YEAR(X1723))*14)+MONTH(X1723)+2,FALSE)))</f>
        <v>0</v>
      </c>
      <c r="AB1723" s="306">
        <f t="shared" si="450"/>
        <v>0</v>
      </c>
      <c r="AC1723" s="305">
        <f>+IF(X1723=0,0,HLOOKUP(YEAR(X1723)+(MONTH(X1723)/100),TC!$5:$37,DAY(X1723)+2,FALSE))</f>
        <v>0</v>
      </c>
      <c r="AD1723" s="307">
        <f t="shared" si="451"/>
        <v>0</v>
      </c>
      <c r="AE1723" s="314">
        <f t="shared" si="452"/>
        <v>0</v>
      </c>
      <c r="AF1723" s="315">
        <f t="shared" si="453"/>
        <v>0</v>
      </c>
      <c r="AG1723" s="316">
        <f t="shared" si="454"/>
        <v>0</v>
      </c>
      <c r="AH1723" s="314">
        <v>1</v>
      </c>
      <c r="AI1723" s="314">
        <f t="shared" si="455"/>
        <v>0</v>
      </c>
      <c r="AJ1723" s="314">
        <f t="shared" si="456"/>
        <v>0</v>
      </c>
      <c r="AK1723" s="317"/>
      <c r="AL1723" s="315">
        <f t="shared" si="457"/>
        <v>0</v>
      </c>
      <c r="AN1723" s="554">
        <f t="shared" si="458"/>
        <v>0</v>
      </c>
      <c r="AO1723" s="314"/>
      <c r="AP1723" s="318"/>
    </row>
    <row r="1724" spans="2:42">
      <c r="B1724" s="296"/>
      <c r="C1724" s="299"/>
      <c r="D1724" s="298"/>
      <c r="E1724" s="299"/>
      <c r="F1724" s="299"/>
      <c r="G1724" s="300"/>
      <c r="H1724" s="303"/>
      <c r="I1724" s="301">
        <f t="shared" ref="I1724:I1787" si="459">IF(D1724=0,0,IF(OR(E1724=$AT$9,E1724=$AT$10),"Ingresos Sección II LISR (SIC &amp; BMV)","Ingresos Sección I LISR"))</f>
        <v>0</v>
      </c>
      <c r="J1724" s="302">
        <f t="shared" ref="J1724:J1787" si="460">+V1724</f>
        <v>0</v>
      </c>
      <c r="K1724" s="304">
        <f t="shared" ref="K1724:K1787" si="461">IF(H1724=0,0,H1724/J1724)</f>
        <v>0</v>
      </c>
      <c r="L1724" s="305">
        <f>IF(H1724=0,0,IF(OR(E1724=$AT$5,E1724=$AT$6),AA1724,IF(F1724="MXN",1/HLOOKUP(YEAR(G1724)+(MONTH(G1724)/100),TC!$5:$37,DAY(G1724)+2,FALSE),VLOOKUP(F1724,Equivalencia!$5:$23,((MAX(Equivalencia!$3:$3)-YEAR(G1724))*14)+MONTH(G1724)+2,FALSE))))</f>
        <v>0</v>
      </c>
      <c r="M1724" s="306">
        <f t="shared" ref="M1724:M1787" si="462">+H1724*L1724</f>
        <v>0</v>
      </c>
      <c r="N1724" s="305">
        <f>IF(G1724=0,0,(IF(OR(E1724=$AT$5,E1724=$AT$6),AC1724,HLOOKUP(YEAR(G1724)+(MONTH(G1724)/100),TC!$5:$37,DAY(G1724)+2,FALSE))))</f>
        <v>0</v>
      </c>
      <c r="O1724" s="307">
        <f t="shared" ref="O1724:O1787" si="463">+M1724*N1724</f>
        <v>0</v>
      </c>
      <c r="P1724" s="560">
        <f>IF(G1724=0,0,VLOOKUP(YEAR(G1724),INPC!$B$4:$P$30,MONTH(G1724)+2))</f>
        <v>0</v>
      </c>
      <c r="Q1724" s="560">
        <f>IF(X1724=0,0,IF(OR(E1724=$AT$10,E1724=$AT$9),VLOOKUP(YEAR(X1724),INPC!$B$4:$P$30,MONTH(X1724)+1),VLOOKUP(YEAR(X1724),INPC!$B$4:$P$30,MONTH(X1724)+2,0)))</f>
        <v>0</v>
      </c>
      <c r="R1724" s="309">
        <f t="shared" ref="R1724:R1787" si="464">IF(H1724=0,0,IF(OR(E1724=$AT$5,E1724=$AT$6),1,IF(TRUNC(Q1724/P1724,4)&gt;=1,TRUNC(Q1724/P1724,4),1)))</f>
        <v>0</v>
      </c>
      <c r="S1724" s="310">
        <f t="shared" ref="S1724:S1787" si="465">+R1724*O1724</f>
        <v>0</v>
      </c>
      <c r="T1724" s="555">
        <f t="shared" ref="T1724:T1787" si="466">IF(V1724=0,0,S1724/V1724)</f>
        <v>0</v>
      </c>
      <c r="U1724" s="311"/>
      <c r="V1724" s="312"/>
      <c r="W1724" s="299"/>
      <c r="X1724" s="300"/>
      <c r="Y1724" s="299"/>
      <c r="Z1724" s="303"/>
      <c r="AA1724" s="305">
        <f>IF(Z1724=0,0,IF(Y1724="MXN",1/HLOOKUP(YEAR(X1724)+(MONTH(X1724)/100),TC!$5:$37,DAY(X1724)+2,FALSE),VLOOKUP(Y1724,Equivalencia!$1:$23,((MAX(Equivalencia!$3:$3)-YEAR(X1724))*14)+MONTH(X1724)+2,FALSE)))</f>
        <v>0</v>
      </c>
      <c r="AB1724" s="306">
        <f t="shared" ref="AB1724:AB1787" si="467">+AA1724*Z1724</f>
        <v>0</v>
      </c>
      <c r="AC1724" s="305">
        <f>+IF(X1724=0,0,HLOOKUP(YEAR(X1724)+(MONTH(X1724)/100),TC!$5:$37,DAY(X1724)+2,FALSE))</f>
        <v>0</v>
      </c>
      <c r="AD1724" s="307">
        <f t="shared" ref="AD1724:AD1787" si="468">+AC1724*AB1724</f>
        <v>0</v>
      </c>
      <c r="AE1724" s="314">
        <f t="shared" ref="AE1724:AE1787" si="469">+V1724*T1724</f>
        <v>0</v>
      </c>
      <c r="AF1724" s="315">
        <f t="shared" ref="AF1724:AF1787" si="470">IF(E1724=$AT$11,0,AD1724-AE1724)</f>
        <v>0</v>
      </c>
      <c r="AG1724" s="316">
        <f t="shared" ref="AG1724:AG1787" si="471">+IF(AND(AF1724&lt;0,OR(E1724=$AT$5,E1724=$AT$6)),1,((X1724-G1724)/365))</f>
        <v>0</v>
      </c>
      <c r="AH1724" s="314">
        <v>1</v>
      </c>
      <c r="AI1724" s="314">
        <f t="shared" ref="AI1724:AI1787" si="472">+IF(OR(E1724=$AT$9,E1724=$AT$10),AF1724,+AF1724/AH1724)</f>
        <v>0</v>
      </c>
      <c r="AJ1724" s="314">
        <f t="shared" ref="AJ1724:AJ1787" si="473">+AF1724-AI1724</f>
        <v>0</v>
      </c>
      <c r="AK1724" s="317"/>
      <c r="AL1724" s="315">
        <f t="shared" ref="AL1724:AL1787" si="474">+AB1724-M1724</f>
        <v>0</v>
      </c>
      <c r="AN1724" s="554">
        <f t="shared" ref="AN1724:AN1787" si="475">IF(AL1724=0,0,AL1724/H1724)</f>
        <v>0</v>
      </c>
      <c r="AO1724" s="314"/>
      <c r="AP1724" s="318"/>
    </row>
    <row r="1725" spans="2:42">
      <c r="B1725" s="296"/>
      <c r="C1725" s="299"/>
      <c r="D1725" s="298"/>
      <c r="E1725" s="299"/>
      <c r="F1725" s="299"/>
      <c r="G1725" s="300"/>
      <c r="H1725" s="303"/>
      <c r="I1725" s="301">
        <f t="shared" si="459"/>
        <v>0</v>
      </c>
      <c r="J1725" s="302">
        <f t="shared" si="460"/>
        <v>0</v>
      </c>
      <c r="K1725" s="304">
        <f t="shared" si="461"/>
        <v>0</v>
      </c>
      <c r="L1725" s="305">
        <f>IF(H1725=0,0,IF(OR(E1725=$AT$5,E1725=$AT$6),AA1725,IF(F1725="MXN",1/HLOOKUP(YEAR(G1725)+(MONTH(G1725)/100),TC!$5:$37,DAY(G1725)+2,FALSE),VLOOKUP(F1725,Equivalencia!$5:$23,((MAX(Equivalencia!$3:$3)-YEAR(G1725))*14)+MONTH(G1725)+2,FALSE))))</f>
        <v>0</v>
      </c>
      <c r="M1725" s="306">
        <f t="shared" si="462"/>
        <v>0</v>
      </c>
      <c r="N1725" s="305">
        <f>IF(G1725=0,0,(IF(OR(E1725=$AT$5,E1725=$AT$6),AC1725,HLOOKUP(YEAR(G1725)+(MONTH(G1725)/100),TC!$5:$37,DAY(G1725)+2,FALSE))))</f>
        <v>0</v>
      </c>
      <c r="O1725" s="307">
        <f t="shared" si="463"/>
        <v>0</v>
      </c>
      <c r="P1725" s="560">
        <f>IF(G1725=0,0,VLOOKUP(YEAR(G1725),INPC!$B$4:$P$30,MONTH(G1725)+2))</f>
        <v>0</v>
      </c>
      <c r="Q1725" s="560">
        <f>IF(X1725=0,0,IF(OR(E1725=$AT$10,E1725=$AT$9),VLOOKUP(YEAR(X1725),INPC!$B$4:$P$30,MONTH(X1725)+1),VLOOKUP(YEAR(X1725),INPC!$B$4:$P$30,MONTH(X1725)+2,0)))</f>
        <v>0</v>
      </c>
      <c r="R1725" s="309">
        <f t="shared" si="464"/>
        <v>0</v>
      </c>
      <c r="S1725" s="310">
        <f t="shared" si="465"/>
        <v>0</v>
      </c>
      <c r="T1725" s="555">
        <f t="shared" si="466"/>
        <v>0</v>
      </c>
      <c r="U1725" s="311"/>
      <c r="V1725" s="312"/>
      <c r="W1725" s="299"/>
      <c r="X1725" s="300"/>
      <c r="Y1725" s="299"/>
      <c r="Z1725" s="303"/>
      <c r="AA1725" s="305">
        <f>IF(Z1725=0,0,IF(Y1725="MXN",1/HLOOKUP(YEAR(X1725)+(MONTH(X1725)/100),TC!$5:$37,DAY(X1725)+2,FALSE),VLOOKUP(Y1725,Equivalencia!$1:$23,((MAX(Equivalencia!$3:$3)-YEAR(X1725))*14)+MONTH(X1725)+2,FALSE)))</f>
        <v>0</v>
      </c>
      <c r="AB1725" s="306">
        <f t="shared" si="467"/>
        <v>0</v>
      </c>
      <c r="AC1725" s="305">
        <f>+IF(X1725=0,0,HLOOKUP(YEAR(X1725)+(MONTH(X1725)/100),TC!$5:$37,DAY(X1725)+2,FALSE))</f>
        <v>0</v>
      </c>
      <c r="AD1725" s="307">
        <f t="shared" si="468"/>
        <v>0</v>
      </c>
      <c r="AE1725" s="314">
        <f t="shared" si="469"/>
        <v>0</v>
      </c>
      <c r="AF1725" s="315">
        <f t="shared" si="470"/>
        <v>0</v>
      </c>
      <c r="AG1725" s="316">
        <f t="shared" si="471"/>
        <v>0</v>
      </c>
      <c r="AH1725" s="314">
        <v>1</v>
      </c>
      <c r="AI1725" s="314">
        <f t="shared" si="472"/>
        <v>0</v>
      </c>
      <c r="AJ1725" s="314">
        <f t="shared" si="473"/>
        <v>0</v>
      </c>
      <c r="AK1725" s="317"/>
      <c r="AL1725" s="315">
        <f t="shared" si="474"/>
        <v>0</v>
      </c>
      <c r="AN1725" s="554">
        <f t="shared" si="475"/>
        <v>0</v>
      </c>
      <c r="AO1725" s="314"/>
      <c r="AP1725" s="318"/>
    </row>
    <row r="1726" spans="2:42">
      <c r="B1726" s="296"/>
      <c r="C1726" s="299"/>
      <c r="D1726" s="298"/>
      <c r="E1726" s="299"/>
      <c r="F1726" s="299"/>
      <c r="G1726" s="300"/>
      <c r="H1726" s="303"/>
      <c r="I1726" s="301">
        <f t="shared" si="459"/>
        <v>0</v>
      </c>
      <c r="J1726" s="302">
        <f t="shared" si="460"/>
        <v>0</v>
      </c>
      <c r="K1726" s="304">
        <f t="shared" si="461"/>
        <v>0</v>
      </c>
      <c r="L1726" s="305">
        <f>IF(H1726=0,0,IF(OR(E1726=$AT$5,E1726=$AT$6),AA1726,IF(F1726="MXN",1/HLOOKUP(YEAR(G1726)+(MONTH(G1726)/100),TC!$5:$37,DAY(G1726)+2,FALSE),VLOOKUP(F1726,Equivalencia!$5:$23,((MAX(Equivalencia!$3:$3)-YEAR(G1726))*14)+MONTH(G1726)+2,FALSE))))</f>
        <v>0</v>
      </c>
      <c r="M1726" s="306">
        <f t="shared" si="462"/>
        <v>0</v>
      </c>
      <c r="N1726" s="305">
        <f>IF(G1726=0,0,(IF(OR(E1726=$AT$5,E1726=$AT$6),AC1726,HLOOKUP(YEAR(G1726)+(MONTH(G1726)/100),TC!$5:$37,DAY(G1726)+2,FALSE))))</f>
        <v>0</v>
      </c>
      <c r="O1726" s="307">
        <f t="shared" si="463"/>
        <v>0</v>
      </c>
      <c r="P1726" s="560">
        <f>IF(G1726=0,0,VLOOKUP(YEAR(G1726),INPC!$B$4:$P$30,MONTH(G1726)+2))</f>
        <v>0</v>
      </c>
      <c r="Q1726" s="560">
        <f>IF(X1726=0,0,IF(OR(E1726=$AT$10,E1726=$AT$9),VLOOKUP(YEAR(X1726),INPC!$B$4:$P$30,MONTH(X1726)+1),VLOOKUP(YEAR(X1726),INPC!$B$4:$P$30,MONTH(X1726)+2,0)))</f>
        <v>0</v>
      </c>
      <c r="R1726" s="309">
        <f t="shared" si="464"/>
        <v>0</v>
      </c>
      <c r="S1726" s="310">
        <f t="shared" si="465"/>
        <v>0</v>
      </c>
      <c r="T1726" s="555">
        <f t="shared" si="466"/>
        <v>0</v>
      </c>
      <c r="U1726" s="311"/>
      <c r="V1726" s="312"/>
      <c r="W1726" s="299"/>
      <c r="X1726" s="300"/>
      <c r="Y1726" s="299"/>
      <c r="Z1726" s="303"/>
      <c r="AA1726" s="305">
        <f>IF(Z1726=0,0,IF(Y1726="MXN",1/HLOOKUP(YEAR(X1726)+(MONTH(X1726)/100),TC!$5:$37,DAY(X1726)+2,FALSE),VLOOKUP(Y1726,Equivalencia!$1:$23,((MAX(Equivalencia!$3:$3)-YEAR(X1726))*14)+MONTH(X1726)+2,FALSE)))</f>
        <v>0</v>
      </c>
      <c r="AB1726" s="306">
        <f t="shared" si="467"/>
        <v>0</v>
      </c>
      <c r="AC1726" s="305">
        <f>+IF(X1726=0,0,HLOOKUP(YEAR(X1726)+(MONTH(X1726)/100),TC!$5:$37,DAY(X1726)+2,FALSE))</f>
        <v>0</v>
      </c>
      <c r="AD1726" s="307">
        <f t="shared" si="468"/>
        <v>0</v>
      </c>
      <c r="AE1726" s="314">
        <f t="shared" si="469"/>
        <v>0</v>
      </c>
      <c r="AF1726" s="315">
        <f t="shared" si="470"/>
        <v>0</v>
      </c>
      <c r="AG1726" s="316">
        <f t="shared" si="471"/>
        <v>0</v>
      </c>
      <c r="AH1726" s="314">
        <v>1</v>
      </c>
      <c r="AI1726" s="314">
        <f t="shared" si="472"/>
        <v>0</v>
      </c>
      <c r="AJ1726" s="314">
        <f t="shared" si="473"/>
        <v>0</v>
      </c>
      <c r="AK1726" s="317"/>
      <c r="AL1726" s="315">
        <f t="shared" si="474"/>
        <v>0</v>
      </c>
      <c r="AN1726" s="554">
        <f t="shared" si="475"/>
        <v>0</v>
      </c>
      <c r="AO1726" s="314"/>
      <c r="AP1726" s="318"/>
    </row>
    <row r="1727" spans="2:42">
      <c r="B1727" s="296"/>
      <c r="C1727" s="299"/>
      <c r="D1727" s="298"/>
      <c r="E1727" s="299"/>
      <c r="F1727" s="299"/>
      <c r="G1727" s="300"/>
      <c r="H1727" s="303"/>
      <c r="I1727" s="301">
        <f t="shared" si="459"/>
        <v>0</v>
      </c>
      <c r="J1727" s="302">
        <f t="shared" si="460"/>
        <v>0</v>
      </c>
      <c r="K1727" s="304">
        <f t="shared" si="461"/>
        <v>0</v>
      </c>
      <c r="L1727" s="305">
        <f>IF(H1727=0,0,IF(OR(E1727=$AT$5,E1727=$AT$6),AA1727,IF(F1727="MXN",1/HLOOKUP(YEAR(G1727)+(MONTH(G1727)/100),TC!$5:$37,DAY(G1727)+2,FALSE),VLOOKUP(F1727,Equivalencia!$5:$23,((MAX(Equivalencia!$3:$3)-YEAR(G1727))*14)+MONTH(G1727)+2,FALSE))))</f>
        <v>0</v>
      </c>
      <c r="M1727" s="306">
        <f t="shared" si="462"/>
        <v>0</v>
      </c>
      <c r="N1727" s="305">
        <f>IF(G1727=0,0,(IF(OR(E1727=$AT$5,E1727=$AT$6),AC1727,HLOOKUP(YEAR(G1727)+(MONTH(G1727)/100),TC!$5:$37,DAY(G1727)+2,FALSE))))</f>
        <v>0</v>
      </c>
      <c r="O1727" s="307">
        <f t="shared" si="463"/>
        <v>0</v>
      </c>
      <c r="P1727" s="560">
        <f>IF(G1727=0,0,VLOOKUP(YEAR(G1727),INPC!$B$4:$P$30,MONTH(G1727)+2))</f>
        <v>0</v>
      </c>
      <c r="Q1727" s="560">
        <f>IF(X1727=0,0,IF(OR(E1727=$AT$10,E1727=$AT$9),VLOOKUP(YEAR(X1727),INPC!$B$4:$P$30,MONTH(X1727)+1),VLOOKUP(YEAR(X1727),INPC!$B$4:$P$30,MONTH(X1727)+2,0)))</f>
        <v>0</v>
      </c>
      <c r="R1727" s="309">
        <f t="shared" si="464"/>
        <v>0</v>
      </c>
      <c r="S1727" s="310">
        <f t="shared" si="465"/>
        <v>0</v>
      </c>
      <c r="T1727" s="555">
        <f t="shared" si="466"/>
        <v>0</v>
      </c>
      <c r="U1727" s="311"/>
      <c r="V1727" s="312"/>
      <c r="W1727" s="299"/>
      <c r="X1727" s="300"/>
      <c r="Y1727" s="299"/>
      <c r="Z1727" s="303"/>
      <c r="AA1727" s="305">
        <f>IF(Z1727=0,0,IF(Y1727="MXN",1/HLOOKUP(YEAR(X1727)+(MONTH(X1727)/100),TC!$5:$37,DAY(X1727)+2,FALSE),VLOOKUP(Y1727,Equivalencia!$1:$23,((MAX(Equivalencia!$3:$3)-YEAR(X1727))*14)+MONTH(X1727)+2,FALSE)))</f>
        <v>0</v>
      </c>
      <c r="AB1727" s="306">
        <f t="shared" si="467"/>
        <v>0</v>
      </c>
      <c r="AC1727" s="305">
        <f>+IF(X1727=0,0,HLOOKUP(YEAR(X1727)+(MONTH(X1727)/100),TC!$5:$37,DAY(X1727)+2,FALSE))</f>
        <v>0</v>
      </c>
      <c r="AD1727" s="307">
        <f t="shared" si="468"/>
        <v>0</v>
      </c>
      <c r="AE1727" s="314">
        <f t="shared" si="469"/>
        <v>0</v>
      </c>
      <c r="AF1727" s="315">
        <f t="shared" si="470"/>
        <v>0</v>
      </c>
      <c r="AG1727" s="316">
        <f t="shared" si="471"/>
        <v>0</v>
      </c>
      <c r="AH1727" s="314">
        <v>1</v>
      </c>
      <c r="AI1727" s="314">
        <f t="shared" si="472"/>
        <v>0</v>
      </c>
      <c r="AJ1727" s="314">
        <f t="shared" si="473"/>
        <v>0</v>
      </c>
      <c r="AK1727" s="317"/>
      <c r="AL1727" s="315">
        <f t="shared" si="474"/>
        <v>0</v>
      </c>
      <c r="AN1727" s="554">
        <f t="shared" si="475"/>
        <v>0</v>
      </c>
      <c r="AO1727" s="314"/>
      <c r="AP1727" s="318"/>
    </row>
    <row r="1728" spans="2:42">
      <c r="B1728" s="296"/>
      <c r="C1728" s="299"/>
      <c r="D1728" s="298"/>
      <c r="E1728" s="299"/>
      <c r="F1728" s="299"/>
      <c r="G1728" s="300"/>
      <c r="H1728" s="303"/>
      <c r="I1728" s="301">
        <f t="shared" si="459"/>
        <v>0</v>
      </c>
      <c r="J1728" s="302">
        <f t="shared" si="460"/>
        <v>0</v>
      </c>
      <c r="K1728" s="304">
        <f t="shared" si="461"/>
        <v>0</v>
      </c>
      <c r="L1728" s="305">
        <f>IF(H1728=0,0,IF(OR(E1728=$AT$5,E1728=$AT$6),AA1728,IF(F1728="MXN",1/HLOOKUP(YEAR(G1728)+(MONTH(G1728)/100),TC!$5:$37,DAY(G1728)+2,FALSE),VLOOKUP(F1728,Equivalencia!$5:$23,((MAX(Equivalencia!$3:$3)-YEAR(G1728))*14)+MONTH(G1728)+2,FALSE))))</f>
        <v>0</v>
      </c>
      <c r="M1728" s="306">
        <f t="shared" si="462"/>
        <v>0</v>
      </c>
      <c r="N1728" s="305">
        <f>IF(G1728=0,0,(IF(OR(E1728=$AT$5,E1728=$AT$6),AC1728,HLOOKUP(YEAR(G1728)+(MONTH(G1728)/100),TC!$5:$37,DAY(G1728)+2,FALSE))))</f>
        <v>0</v>
      </c>
      <c r="O1728" s="307">
        <f t="shared" si="463"/>
        <v>0</v>
      </c>
      <c r="P1728" s="560">
        <f>IF(G1728=0,0,VLOOKUP(YEAR(G1728),INPC!$B$4:$P$30,MONTH(G1728)+2))</f>
        <v>0</v>
      </c>
      <c r="Q1728" s="560">
        <f>IF(X1728=0,0,IF(OR(E1728=$AT$10,E1728=$AT$9),VLOOKUP(YEAR(X1728),INPC!$B$4:$P$30,MONTH(X1728)+1),VLOOKUP(YEAR(X1728),INPC!$B$4:$P$30,MONTH(X1728)+2,0)))</f>
        <v>0</v>
      </c>
      <c r="R1728" s="309">
        <f t="shared" si="464"/>
        <v>0</v>
      </c>
      <c r="S1728" s="310">
        <f t="shared" si="465"/>
        <v>0</v>
      </c>
      <c r="T1728" s="555">
        <f t="shared" si="466"/>
        <v>0</v>
      </c>
      <c r="U1728" s="311"/>
      <c r="V1728" s="312"/>
      <c r="W1728" s="299"/>
      <c r="X1728" s="300"/>
      <c r="Y1728" s="299"/>
      <c r="Z1728" s="303"/>
      <c r="AA1728" s="305">
        <f>IF(Z1728=0,0,IF(Y1728="MXN",1/HLOOKUP(YEAR(X1728)+(MONTH(X1728)/100),TC!$5:$37,DAY(X1728)+2,FALSE),VLOOKUP(Y1728,Equivalencia!$1:$23,((MAX(Equivalencia!$3:$3)-YEAR(X1728))*14)+MONTH(X1728)+2,FALSE)))</f>
        <v>0</v>
      </c>
      <c r="AB1728" s="306">
        <f t="shared" si="467"/>
        <v>0</v>
      </c>
      <c r="AC1728" s="305">
        <f>+IF(X1728=0,0,HLOOKUP(YEAR(X1728)+(MONTH(X1728)/100),TC!$5:$37,DAY(X1728)+2,FALSE))</f>
        <v>0</v>
      </c>
      <c r="AD1728" s="307">
        <f t="shared" si="468"/>
        <v>0</v>
      </c>
      <c r="AE1728" s="314">
        <f t="shared" si="469"/>
        <v>0</v>
      </c>
      <c r="AF1728" s="315">
        <f t="shared" si="470"/>
        <v>0</v>
      </c>
      <c r="AG1728" s="316">
        <f t="shared" si="471"/>
        <v>0</v>
      </c>
      <c r="AH1728" s="314">
        <v>1</v>
      </c>
      <c r="AI1728" s="314">
        <f t="shared" si="472"/>
        <v>0</v>
      </c>
      <c r="AJ1728" s="314">
        <f t="shared" si="473"/>
        <v>0</v>
      </c>
      <c r="AK1728" s="317"/>
      <c r="AL1728" s="315">
        <f t="shared" si="474"/>
        <v>0</v>
      </c>
      <c r="AN1728" s="554">
        <f t="shared" si="475"/>
        <v>0</v>
      </c>
      <c r="AO1728" s="314"/>
      <c r="AP1728" s="318"/>
    </row>
    <row r="1729" spans="2:42">
      <c r="B1729" s="296"/>
      <c r="C1729" s="299"/>
      <c r="D1729" s="298"/>
      <c r="E1729" s="299"/>
      <c r="F1729" s="299"/>
      <c r="G1729" s="300"/>
      <c r="H1729" s="303"/>
      <c r="I1729" s="301">
        <f t="shared" si="459"/>
        <v>0</v>
      </c>
      <c r="J1729" s="302">
        <f t="shared" si="460"/>
        <v>0</v>
      </c>
      <c r="K1729" s="304">
        <f t="shared" si="461"/>
        <v>0</v>
      </c>
      <c r="L1729" s="305">
        <f>IF(H1729=0,0,IF(OR(E1729=$AT$5,E1729=$AT$6),AA1729,IF(F1729="MXN",1/HLOOKUP(YEAR(G1729)+(MONTH(G1729)/100),TC!$5:$37,DAY(G1729)+2,FALSE),VLOOKUP(F1729,Equivalencia!$5:$23,((MAX(Equivalencia!$3:$3)-YEAR(G1729))*14)+MONTH(G1729)+2,FALSE))))</f>
        <v>0</v>
      </c>
      <c r="M1729" s="306">
        <f t="shared" si="462"/>
        <v>0</v>
      </c>
      <c r="N1729" s="305">
        <f>IF(G1729=0,0,(IF(OR(E1729=$AT$5,E1729=$AT$6),AC1729,HLOOKUP(YEAR(G1729)+(MONTH(G1729)/100),TC!$5:$37,DAY(G1729)+2,FALSE))))</f>
        <v>0</v>
      </c>
      <c r="O1729" s="307">
        <f t="shared" si="463"/>
        <v>0</v>
      </c>
      <c r="P1729" s="560">
        <f>IF(G1729=0,0,VLOOKUP(YEAR(G1729),INPC!$B$4:$P$30,MONTH(G1729)+2))</f>
        <v>0</v>
      </c>
      <c r="Q1729" s="560">
        <f>IF(X1729=0,0,IF(OR(E1729=$AT$10,E1729=$AT$9),VLOOKUP(YEAR(X1729),INPC!$B$4:$P$30,MONTH(X1729)+1),VLOOKUP(YEAR(X1729),INPC!$B$4:$P$30,MONTH(X1729)+2,0)))</f>
        <v>0</v>
      </c>
      <c r="R1729" s="309">
        <f t="shared" si="464"/>
        <v>0</v>
      </c>
      <c r="S1729" s="310">
        <f t="shared" si="465"/>
        <v>0</v>
      </c>
      <c r="T1729" s="555">
        <f t="shared" si="466"/>
        <v>0</v>
      </c>
      <c r="U1729" s="311"/>
      <c r="V1729" s="312"/>
      <c r="W1729" s="299"/>
      <c r="X1729" s="300"/>
      <c r="Y1729" s="299"/>
      <c r="Z1729" s="303"/>
      <c r="AA1729" s="305">
        <f>IF(Z1729=0,0,IF(Y1729="MXN",1/HLOOKUP(YEAR(X1729)+(MONTH(X1729)/100),TC!$5:$37,DAY(X1729)+2,FALSE),VLOOKUP(Y1729,Equivalencia!$1:$23,((MAX(Equivalencia!$3:$3)-YEAR(X1729))*14)+MONTH(X1729)+2,FALSE)))</f>
        <v>0</v>
      </c>
      <c r="AB1729" s="306">
        <f t="shared" si="467"/>
        <v>0</v>
      </c>
      <c r="AC1729" s="305">
        <f>+IF(X1729=0,0,HLOOKUP(YEAR(X1729)+(MONTH(X1729)/100),TC!$5:$37,DAY(X1729)+2,FALSE))</f>
        <v>0</v>
      </c>
      <c r="AD1729" s="307">
        <f t="shared" si="468"/>
        <v>0</v>
      </c>
      <c r="AE1729" s="314">
        <f t="shared" si="469"/>
        <v>0</v>
      </c>
      <c r="AF1729" s="315">
        <f t="shared" si="470"/>
        <v>0</v>
      </c>
      <c r="AG1729" s="316">
        <f t="shared" si="471"/>
        <v>0</v>
      </c>
      <c r="AH1729" s="314">
        <v>1</v>
      </c>
      <c r="AI1729" s="314">
        <f t="shared" si="472"/>
        <v>0</v>
      </c>
      <c r="AJ1729" s="314">
        <f t="shared" si="473"/>
        <v>0</v>
      </c>
      <c r="AK1729" s="317"/>
      <c r="AL1729" s="315">
        <f t="shared" si="474"/>
        <v>0</v>
      </c>
      <c r="AN1729" s="554">
        <f t="shared" si="475"/>
        <v>0</v>
      </c>
      <c r="AO1729" s="314"/>
      <c r="AP1729" s="318"/>
    </row>
    <row r="1730" spans="2:42">
      <c r="B1730" s="296"/>
      <c r="C1730" s="299"/>
      <c r="D1730" s="298"/>
      <c r="E1730" s="299"/>
      <c r="F1730" s="299"/>
      <c r="G1730" s="300"/>
      <c r="H1730" s="303"/>
      <c r="I1730" s="301">
        <f t="shared" si="459"/>
        <v>0</v>
      </c>
      <c r="J1730" s="302">
        <f t="shared" si="460"/>
        <v>0</v>
      </c>
      <c r="K1730" s="304">
        <f t="shared" si="461"/>
        <v>0</v>
      </c>
      <c r="L1730" s="305">
        <f>IF(H1730=0,0,IF(OR(E1730=$AT$5,E1730=$AT$6),AA1730,IF(F1730="MXN",1/HLOOKUP(YEAR(G1730)+(MONTH(G1730)/100),TC!$5:$37,DAY(G1730)+2,FALSE),VLOOKUP(F1730,Equivalencia!$5:$23,((MAX(Equivalencia!$3:$3)-YEAR(G1730))*14)+MONTH(G1730)+2,FALSE))))</f>
        <v>0</v>
      </c>
      <c r="M1730" s="306">
        <f t="shared" si="462"/>
        <v>0</v>
      </c>
      <c r="N1730" s="305">
        <f>IF(G1730=0,0,(IF(OR(E1730=$AT$5,E1730=$AT$6),AC1730,HLOOKUP(YEAR(G1730)+(MONTH(G1730)/100),TC!$5:$37,DAY(G1730)+2,FALSE))))</f>
        <v>0</v>
      </c>
      <c r="O1730" s="307">
        <f t="shared" si="463"/>
        <v>0</v>
      </c>
      <c r="P1730" s="560">
        <f>IF(G1730=0,0,VLOOKUP(YEAR(G1730),INPC!$B$4:$P$30,MONTH(G1730)+2))</f>
        <v>0</v>
      </c>
      <c r="Q1730" s="560">
        <f>IF(X1730=0,0,IF(OR(E1730=$AT$10,E1730=$AT$9),VLOOKUP(YEAR(X1730),INPC!$B$4:$P$30,MONTH(X1730)+1),VLOOKUP(YEAR(X1730),INPC!$B$4:$P$30,MONTH(X1730)+2,0)))</f>
        <v>0</v>
      </c>
      <c r="R1730" s="309">
        <f t="shared" si="464"/>
        <v>0</v>
      </c>
      <c r="S1730" s="310">
        <f t="shared" si="465"/>
        <v>0</v>
      </c>
      <c r="T1730" s="555">
        <f t="shared" si="466"/>
        <v>0</v>
      </c>
      <c r="U1730" s="311"/>
      <c r="V1730" s="312"/>
      <c r="W1730" s="299"/>
      <c r="X1730" s="300"/>
      <c r="Y1730" s="299"/>
      <c r="Z1730" s="303"/>
      <c r="AA1730" s="305">
        <f>IF(Z1730=0,0,IF(Y1730="MXN",1/HLOOKUP(YEAR(X1730)+(MONTH(X1730)/100),TC!$5:$37,DAY(X1730)+2,FALSE),VLOOKUP(Y1730,Equivalencia!$1:$23,((MAX(Equivalencia!$3:$3)-YEAR(X1730))*14)+MONTH(X1730)+2,FALSE)))</f>
        <v>0</v>
      </c>
      <c r="AB1730" s="306">
        <f t="shared" si="467"/>
        <v>0</v>
      </c>
      <c r="AC1730" s="305">
        <f>+IF(X1730=0,0,HLOOKUP(YEAR(X1730)+(MONTH(X1730)/100),TC!$5:$37,DAY(X1730)+2,FALSE))</f>
        <v>0</v>
      </c>
      <c r="AD1730" s="307">
        <f t="shared" si="468"/>
        <v>0</v>
      </c>
      <c r="AE1730" s="314">
        <f t="shared" si="469"/>
        <v>0</v>
      </c>
      <c r="AF1730" s="315">
        <f t="shared" si="470"/>
        <v>0</v>
      </c>
      <c r="AG1730" s="316">
        <f t="shared" si="471"/>
        <v>0</v>
      </c>
      <c r="AH1730" s="314">
        <v>1</v>
      </c>
      <c r="AI1730" s="314">
        <f t="shared" si="472"/>
        <v>0</v>
      </c>
      <c r="AJ1730" s="314">
        <f t="shared" si="473"/>
        <v>0</v>
      </c>
      <c r="AK1730" s="317"/>
      <c r="AL1730" s="315">
        <f t="shared" si="474"/>
        <v>0</v>
      </c>
      <c r="AN1730" s="554">
        <f t="shared" si="475"/>
        <v>0</v>
      </c>
      <c r="AO1730" s="314"/>
      <c r="AP1730" s="318"/>
    </row>
    <row r="1731" spans="2:42">
      <c r="B1731" s="296"/>
      <c r="C1731" s="299"/>
      <c r="D1731" s="298"/>
      <c r="E1731" s="299"/>
      <c r="F1731" s="299"/>
      <c r="G1731" s="300"/>
      <c r="H1731" s="303"/>
      <c r="I1731" s="301">
        <f t="shared" si="459"/>
        <v>0</v>
      </c>
      <c r="J1731" s="302">
        <f t="shared" si="460"/>
        <v>0</v>
      </c>
      <c r="K1731" s="304">
        <f t="shared" si="461"/>
        <v>0</v>
      </c>
      <c r="L1731" s="305">
        <f>IF(H1731=0,0,IF(OR(E1731=$AT$5,E1731=$AT$6),AA1731,IF(F1731="MXN",1/HLOOKUP(YEAR(G1731)+(MONTH(G1731)/100),TC!$5:$37,DAY(G1731)+2,FALSE),VLOOKUP(F1731,Equivalencia!$5:$23,((MAX(Equivalencia!$3:$3)-YEAR(G1731))*14)+MONTH(G1731)+2,FALSE))))</f>
        <v>0</v>
      </c>
      <c r="M1731" s="306">
        <f t="shared" si="462"/>
        <v>0</v>
      </c>
      <c r="N1731" s="305">
        <f>IF(G1731=0,0,(IF(OR(E1731=$AT$5,E1731=$AT$6),AC1731,HLOOKUP(YEAR(G1731)+(MONTH(G1731)/100),TC!$5:$37,DAY(G1731)+2,FALSE))))</f>
        <v>0</v>
      </c>
      <c r="O1731" s="307">
        <f t="shared" si="463"/>
        <v>0</v>
      </c>
      <c r="P1731" s="560">
        <f>IF(G1731=0,0,VLOOKUP(YEAR(G1731),INPC!$B$4:$P$30,MONTH(G1731)+2))</f>
        <v>0</v>
      </c>
      <c r="Q1731" s="560">
        <f>IF(X1731=0,0,IF(OR(E1731=$AT$10,E1731=$AT$9),VLOOKUP(YEAR(X1731),INPC!$B$4:$P$30,MONTH(X1731)+1),VLOOKUP(YEAR(X1731),INPC!$B$4:$P$30,MONTH(X1731)+2,0)))</f>
        <v>0</v>
      </c>
      <c r="R1731" s="309">
        <f t="shared" si="464"/>
        <v>0</v>
      </c>
      <c r="S1731" s="310">
        <f t="shared" si="465"/>
        <v>0</v>
      </c>
      <c r="T1731" s="555">
        <f t="shared" si="466"/>
        <v>0</v>
      </c>
      <c r="U1731" s="311"/>
      <c r="V1731" s="312"/>
      <c r="W1731" s="299"/>
      <c r="X1731" s="300"/>
      <c r="Y1731" s="299"/>
      <c r="Z1731" s="303"/>
      <c r="AA1731" s="305">
        <f>IF(Z1731=0,0,IF(Y1731="MXN",1/HLOOKUP(YEAR(X1731)+(MONTH(X1731)/100),TC!$5:$37,DAY(X1731)+2,FALSE),VLOOKUP(Y1731,Equivalencia!$1:$23,((MAX(Equivalencia!$3:$3)-YEAR(X1731))*14)+MONTH(X1731)+2,FALSE)))</f>
        <v>0</v>
      </c>
      <c r="AB1731" s="306">
        <f t="shared" si="467"/>
        <v>0</v>
      </c>
      <c r="AC1731" s="305">
        <f>+IF(X1731=0,0,HLOOKUP(YEAR(X1731)+(MONTH(X1731)/100),TC!$5:$37,DAY(X1731)+2,FALSE))</f>
        <v>0</v>
      </c>
      <c r="AD1731" s="307">
        <f t="shared" si="468"/>
        <v>0</v>
      </c>
      <c r="AE1731" s="314">
        <f t="shared" si="469"/>
        <v>0</v>
      </c>
      <c r="AF1731" s="315">
        <f t="shared" si="470"/>
        <v>0</v>
      </c>
      <c r="AG1731" s="316">
        <f t="shared" si="471"/>
        <v>0</v>
      </c>
      <c r="AH1731" s="314">
        <v>1</v>
      </c>
      <c r="AI1731" s="314">
        <f t="shared" si="472"/>
        <v>0</v>
      </c>
      <c r="AJ1731" s="314">
        <f t="shared" si="473"/>
        <v>0</v>
      </c>
      <c r="AK1731" s="317"/>
      <c r="AL1731" s="315">
        <f t="shared" si="474"/>
        <v>0</v>
      </c>
      <c r="AN1731" s="554">
        <f t="shared" si="475"/>
        <v>0</v>
      </c>
      <c r="AO1731" s="314"/>
      <c r="AP1731" s="318"/>
    </row>
    <row r="1732" spans="2:42">
      <c r="B1732" s="296"/>
      <c r="C1732" s="299"/>
      <c r="D1732" s="298"/>
      <c r="E1732" s="299"/>
      <c r="F1732" s="299"/>
      <c r="G1732" s="300"/>
      <c r="H1732" s="303"/>
      <c r="I1732" s="301">
        <f t="shared" si="459"/>
        <v>0</v>
      </c>
      <c r="J1732" s="302">
        <f t="shared" si="460"/>
        <v>0</v>
      </c>
      <c r="K1732" s="304">
        <f t="shared" si="461"/>
        <v>0</v>
      </c>
      <c r="L1732" s="305">
        <f>IF(H1732=0,0,IF(OR(E1732=$AT$5,E1732=$AT$6),AA1732,IF(F1732="MXN",1/HLOOKUP(YEAR(G1732)+(MONTH(G1732)/100),TC!$5:$37,DAY(G1732)+2,FALSE),VLOOKUP(F1732,Equivalencia!$5:$23,((MAX(Equivalencia!$3:$3)-YEAR(G1732))*14)+MONTH(G1732)+2,FALSE))))</f>
        <v>0</v>
      </c>
      <c r="M1732" s="306">
        <f t="shared" si="462"/>
        <v>0</v>
      </c>
      <c r="N1732" s="305">
        <f>IF(G1732=0,0,(IF(OR(E1732=$AT$5,E1732=$AT$6),AC1732,HLOOKUP(YEAR(G1732)+(MONTH(G1732)/100),TC!$5:$37,DAY(G1732)+2,FALSE))))</f>
        <v>0</v>
      </c>
      <c r="O1732" s="307">
        <f t="shared" si="463"/>
        <v>0</v>
      </c>
      <c r="P1732" s="560">
        <f>IF(G1732=0,0,VLOOKUP(YEAR(G1732),INPC!$B$4:$P$30,MONTH(G1732)+2))</f>
        <v>0</v>
      </c>
      <c r="Q1732" s="560">
        <f>IF(X1732=0,0,IF(OR(E1732=$AT$10,E1732=$AT$9),VLOOKUP(YEAR(X1732),INPC!$B$4:$P$30,MONTH(X1732)+1),VLOOKUP(YEAR(X1732),INPC!$B$4:$P$30,MONTH(X1732)+2,0)))</f>
        <v>0</v>
      </c>
      <c r="R1732" s="309">
        <f t="shared" si="464"/>
        <v>0</v>
      </c>
      <c r="S1732" s="310">
        <f t="shared" si="465"/>
        <v>0</v>
      </c>
      <c r="T1732" s="555">
        <f t="shared" si="466"/>
        <v>0</v>
      </c>
      <c r="U1732" s="311"/>
      <c r="V1732" s="312"/>
      <c r="W1732" s="299"/>
      <c r="X1732" s="300"/>
      <c r="Y1732" s="299"/>
      <c r="Z1732" s="303"/>
      <c r="AA1732" s="305">
        <f>IF(Z1732=0,0,IF(Y1732="MXN",1/HLOOKUP(YEAR(X1732)+(MONTH(X1732)/100),TC!$5:$37,DAY(X1732)+2,FALSE),VLOOKUP(Y1732,Equivalencia!$1:$23,((MAX(Equivalencia!$3:$3)-YEAR(X1732))*14)+MONTH(X1732)+2,FALSE)))</f>
        <v>0</v>
      </c>
      <c r="AB1732" s="306">
        <f t="shared" si="467"/>
        <v>0</v>
      </c>
      <c r="AC1732" s="305">
        <f>+IF(X1732=0,0,HLOOKUP(YEAR(X1732)+(MONTH(X1732)/100),TC!$5:$37,DAY(X1732)+2,FALSE))</f>
        <v>0</v>
      </c>
      <c r="AD1732" s="307">
        <f t="shared" si="468"/>
        <v>0</v>
      </c>
      <c r="AE1732" s="314">
        <f t="shared" si="469"/>
        <v>0</v>
      </c>
      <c r="AF1732" s="315">
        <f t="shared" si="470"/>
        <v>0</v>
      </c>
      <c r="AG1732" s="316">
        <f t="shared" si="471"/>
        <v>0</v>
      </c>
      <c r="AH1732" s="314">
        <v>1</v>
      </c>
      <c r="AI1732" s="314">
        <f t="shared" si="472"/>
        <v>0</v>
      </c>
      <c r="AJ1732" s="314">
        <f t="shared" si="473"/>
        <v>0</v>
      </c>
      <c r="AK1732" s="317"/>
      <c r="AL1732" s="315">
        <f t="shared" si="474"/>
        <v>0</v>
      </c>
      <c r="AN1732" s="554">
        <f t="shared" si="475"/>
        <v>0</v>
      </c>
      <c r="AO1732" s="314"/>
      <c r="AP1732" s="318"/>
    </row>
    <row r="1733" spans="2:42">
      <c r="B1733" s="296"/>
      <c r="C1733" s="299"/>
      <c r="D1733" s="298"/>
      <c r="E1733" s="299"/>
      <c r="F1733" s="299"/>
      <c r="G1733" s="300"/>
      <c r="H1733" s="303"/>
      <c r="I1733" s="301">
        <f t="shared" si="459"/>
        <v>0</v>
      </c>
      <c r="J1733" s="302">
        <f t="shared" si="460"/>
        <v>0</v>
      </c>
      <c r="K1733" s="304">
        <f t="shared" si="461"/>
        <v>0</v>
      </c>
      <c r="L1733" s="305">
        <f>IF(H1733=0,0,IF(OR(E1733=$AT$5,E1733=$AT$6),AA1733,IF(F1733="MXN",1/HLOOKUP(YEAR(G1733)+(MONTH(G1733)/100),TC!$5:$37,DAY(G1733)+2,FALSE),VLOOKUP(F1733,Equivalencia!$5:$23,((MAX(Equivalencia!$3:$3)-YEAR(G1733))*14)+MONTH(G1733)+2,FALSE))))</f>
        <v>0</v>
      </c>
      <c r="M1733" s="306">
        <f t="shared" si="462"/>
        <v>0</v>
      </c>
      <c r="N1733" s="305">
        <f>IF(G1733=0,0,(IF(OR(E1733=$AT$5,E1733=$AT$6),AC1733,HLOOKUP(YEAR(G1733)+(MONTH(G1733)/100),TC!$5:$37,DAY(G1733)+2,FALSE))))</f>
        <v>0</v>
      </c>
      <c r="O1733" s="307">
        <f t="shared" si="463"/>
        <v>0</v>
      </c>
      <c r="P1733" s="560">
        <f>IF(G1733=0,0,VLOOKUP(YEAR(G1733),INPC!$B$4:$P$30,MONTH(G1733)+2))</f>
        <v>0</v>
      </c>
      <c r="Q1733" s="560">
        <f>IF(X1733=0,0,IF(OR(E1733=$AT$10,E1733=$AT$9),VLOOKUP(YEAR(X1733),INPC!$B$4:$P$30,MONTH(X1733)+1),VLOOKUP(YEAR(X1733),INPC!$B$4:$P$30,MONTH(X1733)+2,0)))</f>
        <v>0</v>
      </c>
      <c r="R1733" s="309">
        <f t="shared" si="464"/>
        <v>0</v>
      </c>
      <c r="S1733" s="310">
        <f t="shared" si="465"/>
        <v>0</v>
      </c>
      <c r="T1733" s="555">
        <f t="shared" si="466"/>
        <v>0</v>
      </c>
      <c r="U1733" s="311"/>
      <c r="V1733" s="312"/>
      <c r="W1733" s="299"/>
      <c r="X1733" s="300"/>
      <c r="Y1733" s="299"/>
      <c r="Z1733" s="303"/>
      <c r="AA1733" s="305">
        <f>IF(Z1733=0,0,IF(Y1733="MXN",1/HLOOKUP(YEAR(X1733)+(MONTH(X1733)/100),TC!$5:$37,DAY(X1733)+2,FALSE),VLOOKUP(Y1733,Equivalencia!$1:$23,((MAX(Equivalencia!$3:$3)-YEAR(X1733))*14)+MONTH(X1733)+2,FALSE)))</f>
        <v>0</v>
      </c>
      <c r="AB1733" s="306">
        <f t="shared" si="467"/>
        <v>0</v>
      </c>
      <c r="AC1733" s="305">
        <f>+IF(X1733=0,0,HLOOKUP(YEAR(X1733)+(MONTH(X1733)/100),TC!$5:$37,DAY(X1733)+2,FALSE))</f>
        <v>0</v>
      </c>
      <c r="AD1733" s="307">
        <f t="shared" si="468"/>
        <v>0</v>
      </c>
      <c r="AE1733" s="314">
        <f t="shared" si="469"/>
        <v>0</v>
      </c>
      <c r="AF1733" s="315">
        <f t="shared" si="470"/>
        <v>0</v>
      </c>
      <c r="AG1733" s="316">
        <f t="shared" si="471"/>
        <v>0</v>
      </c>
      <c r="AH1733" s="314">
        <v>1</v>
      </c>
      <c r="AI1733" s="314">
        <f t="shared" si="472"/>
        <v>0</v>
      </c>
      <c r="AJ1733" s="314">
        <f t="shared" si="473"/>
        <v>0</v>
      </c>
      <c r="AK1733" s="317"/>
      <c r="AL1733" s="315">
        <f t="shared" si="474"/>
        <v>0</v>
      </c>
      <c r="AN1733" s="554">
        <f t="shared" si="475"/>
        <v>0</v>
      </c>
      <c r="AO1733" s="314"/>
      <c r="AP1733" s="318"/>
    </row>
    <row r="1734" spans="2:42">
      <c r="B1734" s="296"/>
      <c r="C1734" s="299"/>
      <c r="D1734" s="298"/>
      <c r="E1734" s="299"/>
      <c r="F1734" s="299"/>
      <c r="G1734" s="300"/>
      <c r="H1734" s="303"/>
      <c r="I1734" s="301">
        <f t="shared" si="459"/>
        <v>0</v>
      </c>
      <c r="J1734" s="302">
        <f t="shared" si="460"/>
        <v>0</v>
      </c>
      <c r="K1734" s="304">
        <f t="shared" si="461"/>
        <v>0</v>
      </c>
      <c r="L1734" s="305">
        <f>IF(H1734=0,0,IF(OR(E1734=$AT$5,E1734=$AT$6),AA1734,IF(F1734="MXN",1/HLOOKUP(YEAR(G1734)+(MONTH(G1734)/100),TC!$5:$37,DAY(G1734)+2,FALSE),VLOOKUP(F1734,Equivalencia!$5:$23,((MAX(Equivalencia!$3:$3)-YEAR(G1734))*14)+MONTH(G1734)+2,FALSE))))</f>
        <v>0</v>
      </c>
      <c r="M1734" s="306">
        <f t="shared" si="462"/>
        <v>0</v>
      </c>
      <c r="N1734" s="305">
        <f>IF(G1734=0,0,(IF(OR(E1734=$AT$5,E1734=$AT$6),AC1734,HLOOKUP(YEAR(G1734)+(MONTH(G1734)/100),TC!$5:$37,DAY(G1734)+2,FALSE))))</f>
        <v>0</v>
      </c>
      <c r="O1734" s="307">
        <f t="shared" si="463"/>
        <v>0</v>
      </c>
      <c r="P1734" s="560">
        <f>IF(G1734=0,0,VLOOKUP(YEAR(G1734),INPC!$B$4:$P$30,MONTH(G1734)+2))</f>
        <v>0</v>
      </c>
      <c r="Q1734" s="560">
        <f>IF(X1734=0,0,IF(OR(E1734=$AT$10,E1734=$AT$9),VLOOKUP(YEAR(X1734),INPC!$B$4:$P$30,MONTH(X1734)+1),VLOOKUP(YEAR(X1734),INPC!$B$4:$P$30,MONTH(X1734)+2,0)))</f>
        <v>0</v>
      </c>
      <c r="R1734" s="309">
        <f t="shared" si="464"/>
        <v>0</v>
      </c>
      <c r="S1734" s="310">
        <f t="shared" si="465"/>
        <v>0</v>
      </c>
      <c r="T1734" s="555">
        <f t="shared" si="466"/>
        <v>0</v>
      </c>
      <c r="U1734" s="311"/>
      <c r="V1734" s="312"/>
      <c r="W1734" s="299"/>
      <c r="X1734" s="300"/>
      <c r="Y1734" s="299"/>
      <c r="Z1734" s="303"/>
      <c r="AA1734" s="305">
        <f>IF(Z1734=0,0,IF(Y1734="MXN",1/HLOOKUP(YEAR(X1734)+(MONTH(X1734)/100),TC!$5:$37,DAY(X1734)+2,FALSE),VLOOKUP(Y1734,Equivalencia!$1:$23,((MAX(Equivalencia!$3:$3)-YEAR(X1734))*14)+MONTH(X1734)+2,FALSE)))</f>
        <v>0</v>
      </c>
      <c r="AB1734" s="306">
        <f t="shared" si="467"/>
        <v>0</v>
      </c>
      <c r="AC1734" s="305">
        <f>+IF(X1734=0,0,HLOOKUP(YEAR(X1734)+(MONTH(X1734)/100),TC!$5:$37,DAY(X1734)+2,FALSE))</f>
        <v>0</v>
      </c>
      <c r="AD1734" s="307">
        <f t="shared" si="468"/>
        <v>0</v>
      </c>
      <c r="AE1734" s="314">
        <f t="shared" si="469"/>
        <v>0</v>
      </c>
      <c r="AF1734" s="315">
        <f t="shared" si="470"/>
        <v>0</v>
      </c>
      <c r="AG1734" s="316">
        <f t="shared" si="471"/>
        <v>0</v>
      </c>
      <c r="AH1734" s="314">
        <v>1</v>
      </c>
      <c r="AI1734" s="314">
        <f t="shared" si="472"/>
        <v>0</v>
      </c>
      <c r="AJ1734" s="314">
        <f t="shared" si="473"/>
        <v>0</v>
      </c>
      <c r="AK1734" s="317"/>
      <c r="AL1734" s="315">
        <f t="shared" si="474"/>
        <v>0</v>
      </c>
      <c r="AN1734" s="554">
        <f t="shared" si="475"/>
        <v>0</v>
      </c>
      <c r="AO1734" s="314"/>
      <c r="AP1734" s="318"/>
    </row>
    <row r="1735" spans="2:42">
      <c r="B1735" s="296"/>
      <c r="C1735" s="299"/>
      <c r="D1735" s="298"/>
      <c r="E1735" s="299"/>
      <c r="F1735" s="299"/>
      <c r="G1735" s="300"/>
      <c r="H1735" s="303"/>
      <c r="I1735" s="301">
        <f t="shared" si="459"/>
        <v>0</v>
      </c>
      <c r="J1735" s="302">
        <f t="shared" si="460"/>
        <v>0</v>
      </c>
      <c r="K1735" s="304">
        <f t="shared" si="461"/>
        <v>0</v>
      </c>
      <c r="L1735" s="305">
        <f>IF(H1735=0,0,IF(OR(E1735=$AT$5,E1735=$AT$6),AA1735,IF(F1735="MXN",1/HLOOKUP(YEAR(G1735)+(MONTH(G1735)/100),TC!$5:$37,DAY(G1735)+2,FALSE),VLOOKUP(F1735,Equivalencia!$5:$23,((MAX(Equivalencia!$3:$3)-YEAR(G1735))*14)+MONTH(G1735)+2,FALSE))))</f>
        <v>0</v>
      </c>
      <c r="M1735" s="306">
        <f t="shared" si="462"/>
        <v>0</v>
      </c>
      <c r="N1735" s="305">
        <f>IF(G1735=0,0,(IF(OR(E1735=$AT$5,E1735=$AT$6),AC1735,HLOOKUP(YEAR(G1735)+(MONTH(G1735)/100),TC!$5:$37,DAY(G1735)+2,FALSE))))</f>
        <v>0</v>
      </c>
      <c r="O1735" s="307">
        <f t="shared" si="463"/>
        <v>0</v>
      </c>
      <c r="P1735" s="560">
        <f>IF(G1735=0,0,VLOOKUP(YEAR(G1735),INPC!$B$4:$P$30,MONTH(G1735)+2))</f>
        <v>0</v>
      </c>
      <c r="Q1735" s="560">
        <f>IF(X1735=0,0,IF(OR(E1735=$AT$10,E1735=$AT$9),VLOOKUP(YEAR(X1735),INPC!$B$4:$P$30,MONTH(X1735)+1),VLOOKUP(YEAR(X1735),INPC!$B$4:$P$30,MONTH(X1735)+2,0)))</f>
        <v>0</v>
      </c>
      <c r="R1735" s="309">
        <f t="shared" si="464"/>
        <v>0</v>
      </c>
      <c r="S1735" s="310">
        <f t="shared" si="465"/>
        <v>0</v>
      </c>
      <c r="T1735" s="555">
        <f t="shared" si="466"/>
        <v>0</v>
      </c>
      <c r="U1735" s="311"/>
      <c r="V1735" s="312"/>
      <c r="W1735" s="299"/>
      <c r="X1735" s="300"/>
      <c r="Y1735" s="299"/>
      <c r="Z1735" s="303"/>
      <c r="AA1735" s="305">
        <f>IF(Z1735=0,0,IF(Y1735="MXN",1/HLOOKUP(YEAR(X1735)+(MONTH(X1735)/100),TC!$5:$37,DAY(X1735)+2,FALSE),VLOOKUP(Y1735,Equivalencia!$1:$23,((MAX(Equivalencia!$3:$3)-YEAR(X1735))*14)+MONTH(X1735)+2,FALSE)))</f>
        <v>0</v>
      </c>
      <c r="AB1735" s="306">
        <f t="shared" si="467"/>
        <v>0</v>
      </c>
      <c r="AC1735" s="305">
        <f>+IF(X1735=0,0,HLOOKUP(YEAR(X1735)+(MONTH(X1735)/100),TC!$5:$37,DAY(X1735)+2,FALSE))</f>
        <v>0</v>
      </c>
      <c r="AD1735" s="307">
        <f t="shared" si="468"/>
        <v>0</v>
      </c>
      <c r="AE1735" s="314">
        <f t="shared" si="469"/>
        <v>0</v>
      </c>
      <c r="AF1735" s="315">
        <f t="shared" si="470"/>
        <v>0</v>
      </c>
      <c r="AG1735" s="316">
        <f t="shared" si="471"/>
        <v>0</v>
      </c>
      <c r="AH1735" s="314">
        <v>1</v>
      </c>
      <c r="AI1735" s="314">
        <f t="shared" si="472"/>
        <v>0</v>
      </c>
      <c r="AJ1735" s="314">
        <f t="shared" si="473"/>
        <v>0</v>
      </c>
      <c r="AK1735" s="317"/>
      <c r="AL1735" s="315">
        <f t="shared" si="474"/>
        <v>0</v>
      </c>
      <c r="AN1735" s="554">
        <f t="shared" si="475"/>
        <v>0</v>
      </c>
      <c r="AO1735" s="314"/>
      <c r="AP1735" s="318"/>
    </row>
    <row r="1736" spans="2:42">
      <c r="B1736" s="296"/>
      <c r="C1736" s="299"/>
      <c r="D1736" s="298"/>
      <c r="E1736" s="299"/>
      <c r="F1736" s="299"/>
      <c r="G1736" s="300"/>
      <c r="H1736" s="303"/>
      <c r="I1736" s="301">
        <f t="shared" si="459"/>
        <v>0</v>
      </c>
      <c r="J1736" s="302">
        <f t="shared" si="460"/>
        <v>0</v>
      </c>
      <c r="K1736" s="304">
        <f t="shared" si="461"/>
        <v>0</v>
      </c>
      <c r="L1736" s="305">
        <f>IF(H1736=0,0,IF(OR(E1736=$AT$5,E1736=$AT$6),AA1736,IF(F1736="MXN",1/HLOOKUP(YEAR(G1736)+(MONTH(G1736)/100),TC!$5:$37,DAY(G1736)+2,FALSE),VLOOKUP(F1736,Equivalencia!$5:$23,((MAX(Equivalencia!$3:$3)-YEAR(G1736))*14)+MONTH(G1736)+2,FALSE))))</f>
        <v>0</v>
      </c>
      <c r="M1736" s="306">
        <f t="shared" si="462"/>
        <v>0</v>
      </c>
      <c r="N1736" s="305">
        <f>IF(G1736=0,0,(IF(OR(E1736=$AT$5,E1736=$AT$6),AC1736,HLOOKUP(YEAR(G1736)+(MONTH(G1736)/100),TC!$5:$37,DAY(G1736)+2,FALSE))))</f>
        <v>0</v>
      </c>
      <c r="O1736" s="307">
        <f t="shared" si="463"/>
        <v>0</v>
      </c>
      <c r="P1736" s="560">
        <f>IF(G1736=0,0,VLOOKUP(YEAR(G1736),INPC!$B$4:$P$30,MONTH(G1736)+2))</f>
        <v>0</v>
      </c>
      <c r="Q1736" s="560">
        <f>IF(X1736=0,0,IF(OR(E1736=$AT$10,E1736=$AT$9),VLOOKUP(YEAR(X1736),INPC!$B$4:$P$30,MONTH(X1736)+1),VLOOKUP(YEAR(X1736),INPC!$B$4:$P$30,MONTH(X1736)+2,0)))</f>
        <v>0</v>
      </c>
      <c r="R1736" s="309">
        <f t="shared" si="464"/>
        <v>0</v>
      </c>
      <c r="S1736" s="310">
        <f t="shared" si="465"/>
        <v>0</v>
      </c>
      <c r="T1736" s="555">
        <f t="shared" si="466"/>
        <v>0</v>
      </c>
      <c r="U1736" s="311"/>
      <c r="V1736" s="312"/>
      <c r="W1736" s="299"/>
      <c r="X1736" s="300"/>
      <c r="Y1736" s="299"/>
      <c r="Z1736" s="303"/>
      <c r="AA1736" s="305">
        <f>IF(Z1736=0,0,IF(Y1736="MXN",1/HLOOKUP(YEAR(X1736)+(MONTH(X1736)/100),TC!$5:$37,DAY(X1736)+2,FALSE),VLOOKUP(Y1736,Equivalencia!$1:$23,((MAX(Equivalencia!$3:$3)-YEAR(X1736))*14)+MONTH(X1736)+2,FALSE)))</f>
        <v>0</v>
      </c>
      <c r="AB1736" s="306">
        <f t="shared" si="467"/>
        <v>0</v>
      </c>
      <c r="AC1736" s="305">
        <f>+IF(X1736=0,0,HLOOKUP(YEAR(X1736)+(MONTH(X1736)/100),TC!$5:$37,DAY(X1736)+2,FALSE))</f>
        <v>0</v>
      </c>
      <c r="AD1736" s="307">
        <f t="shared" si="468"/>
        <v>0</v>
      </c>
      <c r="AE1736" s="314">
        <f t="shared" si="469"/>
        <v>0</v>
      </c>
      <c r="AF1736" s="315">
        <f t="shared" si="470"/>
        <v>0</v>
      </c>
      <c r="AG1736" s="316">
        <f t="shared" si="471"/>
        <v>0</v>
      </c>
      <c r="AH1736" s="314">
        <v>1</v>
      </c>
      <c r="AI1736" s="314">
        <f t="shared" si="472"/>
        <v>0</v>
      </c>
      <c r="AJ1736" s="314">
        <f t="shared" si="473"/>
        <v>0</v>
      </c>
      <c r="AK1736" s="317"/>
      <c r="AL1736" s="315">
        <f t="shared" si="474"/>
        <v>0</v>
      </c>
      <c r="AN1736" s="554">
        <f t="shared" si="475"/>
        <v>0</v>
      </c>
      <c r="AO1736" s="314"/>
      <c r="AP1736" s="318"/>
    </row>
    <row r="1737" spans="2:42">
      <c r="B1737" s="296"/>
      <c r="C1737" s="299"/>
      <c r="D1737" s="298"/>
      <c r="E1737" s="299"/>
      <c r="F1737" s="299"/>
      <c r="G1737" s="300"/>
      <c r="H1737" s="303"/>
      <c r="I1737" s="301">
        <f t="shared" si="459"/>
        <v>0</v>
      </c>
      <c r="J1737" s="302">
        <f t="shared" si="460"/>
        <v>0</v>
      </c>
      <c r="K1737" s="304">
        <f t="shared" si="461"/>
        <v>0</v>
      </c>
      <c r="L1737" s="305">
        <f>IF(H1737=0,0,IF(OR(E1737=$AT$5,E1737=$AT$6),AA1737,IF(F1737="MXN",1/HLOOKUP(YEAR(G1737)+(MONTH(G1737)/100),TC!$5:$37,DAY(G1737)+2,FALSE),VLOOKUP(F1737,Equivalencia!$5:$23,((MAX(Equivalencia!$3:$3)-YEAR(G1737))*14)+MONTH(G1737)+2,FALSE))))</f>
        <v>0</v>
      </c>
      <c r="M1737" s="306">
        <f t="shared" si="462"/>
        <v>0</v>
      </c>
      <c r="N1737" s="305">
        <f>IF(G1737=0,0,(IF(OR(E1737=$AT$5,E1737=$AT$6),AC1737,HLOOKUP(YEAR(G1737)+(MONTH(G1737)/100),TC!$5:$37,DAY(G1737)+2,FALSE))))</f>
        <v>0</v>
      </c>
      <c r="O1737" s="307">
        <f t="shared" si="463"/>
        <v>0</v>
      </c>
      <c r="P1737" s="560">
        <f>IF(G1737=0,0,VLOOKUP(YEAR(G1737),INPC!$B$4:$P$30,MONTH(G1737)+2))</f>
        <v>0</v>
      </c>
      <c r="Q1737" s="560">
        <f>IF(X1737=0,0,IF(OR(E1737=$AT$10,E1737=$AT$9),VLOOKUP(YEAR(X1737),INPC!$B$4:$P$30,MONTH(X1737)+1),VLOOKUP(YEAR(X1737),INPC!$B$4:$P$30,MONTH(X1737)+2,0)))</f>
        <v>0</v>
      </c>
      <c r="R1737" s="309">
        <f t="shared" si="464"/>
        <v>0</v>
      </c>
      <c r="S1737" s="310">
        <f t="shared" si="465"/>
        <v>0</v>
      </c>
      <c r="T1737" s="555">
        <f t="shared" si="466"/>
        <v>0</v>
      </c>
      <c r="U1737" s="311"/>
      <c r="V1737" s="312"/>
      <c r="W1737" s="299"/>
      <c r="X1737" s="300"/>
      <c r="Y1737" s="299"/>
      <c r="Z1737" s="303"/>
      <c r="AA1737" s="305">
        <f>IF(Z1737=0,0,IF(Y1737="MXN",1/HLOOKUP(YEAR(X1737)+(MONTH(X1737)/100),TC!$5:$37,DAY(X1737)+2,FALSE),VLOOKUP(Y1737,Equivalencia!$1:$23,((MAX(Equivalencia!$3:$3)-YEAR(X1737))*14)+MONTH(X1737)+2,FALSE)))</f>
        <v>0</v>
      </c>
      <c r="AB1737" s="306">
        <f t="shared" si="467"/>
        <v>0</v>
      </c>
      <c r="AC1737" s="305">
        <f>+IF(X1737=0,0,HLOOKUP(YEAR(X1737)+(MONTH(X1737)/100),TC!$5:$37,DAY(X1737)+2,FALSE))</f>
        <v>0</v>
      </c>
      <c r="AD1737" s="307">
        <f t="shared" si="468"/>
        <v>0</v>
      </c>
      <c r="AE1737" s="314">
        <f t="shared" si="469"/>
        <v>0</v>
      </c>
      <c r="AF1737" s="315">
        <f t="shared" si="470"/>
        <v>0</v>
      </c>
      <c r="AG1737" s="316">
        <f t="shared" si="471"/>
        <v>0</v>
      </c>
      <c r="AH1737" s="314">
        <v>1</v>
      </c>
      <c r="AI1737" s="314">
        <f t="shared" si="472"/>
        <v>0</v>
      </c>
      <c r="AJ1737" s="314">
        <f t="shared" si="473"/>
        <v>0</v>
      </c>
      <c r="AK1737" s="317"/>
      <c r="AL1737" s="315">
        <f t="shared" si="474"/>
        <v>0</v>
      </c>
      <c r="AN1737" s="554">
        <f t="shared" si="475"/>
        <v>0</v>
      </c>
      <c r="AO1737" s="314"/>
      <c r="AP1737" s="318"/>
    </row>
    <row r="1738" spans="2:42">
      <c r="B1738" s="296"/>
      <c r="C1738" s="299"/>
      <c r="D1738" s="298"/>
      <c r="E1738" s="299"/>
      <c r="F1738" s="299"/>
      <c r="G1738" s="300"/>
      <c r="H1738" s="303"/>
      <c r="I1738" s="301">
        <f t="shared" si="459"/>
        <v>0</v>
      </c>
      <c r="J1738" s="302">
        <f t="shared" si="460"/>
        <v>0</v>
      </c>
      <c r="K1738" s="304">
        <f t="shared" si="461"/>
        <v>0</v>
      </c>
      <c r="L1738" s="305">
        <f>IF(H1738=0,0,IF(OR(E1738=$AT$5,E1738=$AT$6),AA1738,IF(F1738="MXN",1/HLOOKUP(YEAR(G1738)+(MONTH(G1738)/100),TC!$5:$37,DAY(G1738)+2,FALSE),VLOOKUP(F1738,Equivalencia!$5:$23,((MAX(Equivalencia!$3:$3)-YEAR(G1738))*14)+MONTH(G1738)+2,FALSE))))</f>
        <v>0</v>
      </c>
      <c r="M1738" s="306">
        <f t="shared" si="462"/>
        <v>0</v>
      </c>
      <c r="N1738" s="305">
        <f>IF(G1738=0,0,(IF(OR(E1738=$AT$5,E1738=$AT$6),AC1738,HLOOKUP(YEAR(G1738)+(MONTH(G1738)/100),TC!$5:$37,DAY(G1738)+2,FALSE))))</f>
        <v>0</v>
      </c>
      <c r="O1738" s="307">
        <f t="shared" si="463"/>
        <v>0</v>
      </c>
      <c r="P1738" s="560">
        <f>IF(G1738=0,0,VLOOKUP(YEAR(G1738),INPC!$B$4:$P$30,MONTH(G1738)+2))</f>
        <v>0</v>
      </c>
      <c r="Q1738" s="560">
        <f>IF(X1738=0,0,IF(OR(E1738=$AT$10,E1738=$AT$9),VLOOKUP(YEAR(X1738),INPC!$B$4:$P$30,MONTH(X1738)+1),VLOOKUP(YEAR(X1738),INPC!$B$4:$P$30,MONTH(X1738)+2,0)))</f>
        <v>0</v>
      </c>
      <c r="R1738" s="309">
        <f t="shared" si="464"/>
        <v>0</v>
      </c>
      <c r="S1738" s="310">
        <f t="shared" si="465"/>
        <v>0</v>
      </c>
      <c r="T1738" s="555">
        <f t="shared" si="466"/>
        <v>0</v>
      </c>
      <c r="U1738" s="311"/>
      <c r="V1738" s="312"/>
      <c r="W1738" s="299"/>
      <c r="X1738" s="300"/>
      <c r="Y1738" s="299"/>
      <c r="Z1738" s="303"/>
      <c r="AA1738" s="305">
        <f>IF(Z1738=0,0,IF(Y1738="MXN",1/HLOOKUP(YEAR(X1738)+(MONTH(X1738)/100),TC!$5:$37,DAY(X1738)+2,FALSE),VLOOKUP(Y1738,Equivalencia!$1:$23,((MAX(Equivalencia!$3:$3)-YEAR(X1738))*14)+MONTH(X1738)+2,FALSE)))</f>
        <v>0</v>
      </c>
      <c r="AB1738" s="306">
        <f t="shared" si="467"/>
        <v>0</v>
      </c>
      <c r="AC1738" s="305">
        <f>+IF(X1738=0,0,HLOOKUP(YEAR(X1738)+(MONTH(X1738)/100),TC!$5:$37,DAY(X1738)+2,FALSE))</f>
        <v>0</v>
      </c>
      <c r="AD1738" s="307">
        <f t="shared" si="468"/>
        <v>0</v>
      </c>
      <c r="AE1738" s="314">
        <f t="shared" si="469"/>
        <v>0</v>
      </c>
      <c r="AF1738" s="315">
        <f t="shared" si="470"/>
        <v>0</v>
      </c>
      <c r="AG1738" s="316">
        <f t="shared" si="471"/>
        <v>0</v>
      </c>
      <c r="AH1738" s="314">
        <v>1</v>
      </c>
      <c r="AI1738" s="314">
        <f t="shared" si="472"/>
        <v>0</v>
      </c>
      <c r="AJ1738" s="314">
        <f t="shared" si="473"/>
        <v>0</v>
      </c>
      <c r="AK1738" s="317"/>
      <c r="AL1738" s="315">
        <f t="shared" si="474"/>
        <v>0</v>
      </c>
      <c r="AN1738" s="554">
        <f t="shared" si="475"/>
        <v>0</v>
      </c>
      <c r="AO1738" s="314"/>
      <c r="AP1738" s="318"/>
    </row>
    <row r="1739" spans="2:42">
      <c r="B1739" s="296"/>
      <c r="C1739" s="299"/>
      <c r="D1739" s="298"/>
      <c r="E1739" s="299"/>
      <c r="F1739" s="299"/>
      <c r="G1739" s="300"/>
      <c r="H1739" s="303"/>
      <c r="I1739" s="301">
        <f t="shared" si="459"/>
        <v>0</v>
      </c>
      <c r="J1739" s="302">
        <f t="shared" si="460"/>
        <v>0</v>
      </c>
      <c r="K1739" s="304">
        <f t="shared" si="461"/>
        <v>0</v>
      </c>
      <c r="L1739" s="305">
        <f>IF(H1739=0,0,IF(OR(E1739=$AT$5,E1739=$AT$6),AA1739,IF(F1739="MXN",1/HLOOKUP(YEAR(G1739)+(MONTH(G1739)/100),TC!$5:$37,DAY(G1739)+2,FALSE),VLOOKUP(F1739,Equivalencia!$5:$23,((MAX(Equivalencia!$3:$3)-YEAR(G1739))*14)+MONTH(G1739)+2,FALSE))))</f>
        <v>0</v>
      </c>
      <c r="M1739" s="306">
        <f t="shared" si="462"/>
        <v>0</v>
      </c>
      <c r="N1739" s="305">
        <f>IF(G1739=0,0,(IF(OR(E1739=$AT$5,E1739=$AT$6),AC1739,HLOOKUP(YEAR(G1739)+(MONTH(G1739)/100),TC!$5:$37,DAY(G1739)+2,FALSE))))</f>
        <v>0</v>
      </c>
      <c r="O1739" s="307">
        <f t="shared" si="463"/>
        <v>0</v>
      </c>
      <c r="P1739" s="560">
        <f>IF(G1739=0,0,VLOOKUP(YEAR(G1739),INPC!$B$4:$P$30,MONTH(G1739)+2))</f>
        <v>0</v>
      </c>
      <c r="Q1739" s="560">
        <f>IF(X1739=0,0,IF(OR(E1739=$AT$10,E1739=$AT$9),VLOOKUP(YEAR(X1739),INPC!$B$4:$P$30,MONTH(X1739)+1),VLOOKUP(YEAR(X1739),INPC!$B$4:$P$30,MONTH(X1739)+2,0)))</f>
        <v>0</v>
      </c>
      <c r="R1739" s="309">
        <f t="shared" si="464"/>
        <v>0</v>
      </c>
      <c r="S1739" s="310">
        <f t="shared" si="465"/>
        <v>0</v>
      </c>
      <c r="T1739" s="555">
        <f t="shared" si="466"/>
        <v>0</v>
      </c>
      <c r="U1739" s="311"/>
      <c r="V1739" s="312"/>
      <c r="W1739" s="299"/>
      <c r="X1739" s="300"/>
      <c r="Y1739" s="299"/>
      <c r="Z1739" s="303"/>
      <c r="AA1739" s="305">
        <f>IF(Z1739=0,0,IF(Y1739="MXN",1/HLOOKUP(YEAR(X1739)+(MONTH(X1739)/100),TC!$5:$37,DAY(X1739)+2,FALSE),VLOOKUP(Y1739,Equivalencia!$1:$23,((MAX(Equivalencia!$3:$3)-YEAR(X1739))*14)+MONTH(X1739)+2,FALSE)))</f>
        <v>0</v>
      </c>
      <c r="AB1739" s="306">
        <f t="shared" si="467"/>
        <v>0</v>
      </c>
      <c r="AC1739" s="305">
        <f>+IF(X1739=0,0,HLOOKUP(YEAR(X1739)+(MONTH(X1739)/100),TC!$5:$37,DAY(X1739)+2,FALSE))</f>
        <v>0</v>
      </c>
      <c r="AD1739" s="307">
        <f t="shared" si="468"/>
        <v>0</v>
      </c>
      <c r="AE1739" s="314">
        <f t="shared" si="469"/>
        <v>0</v>
      </c>
      <c r="AF1739" s="315">
        <f t="shared" si="470"/>
        <v>0</v>
      </c>
      <c r="AG1739" s="316">
        <f t="shared" si="471"/>
        <v>0</v>
      </c>
      <c r="AH1739" s="314">
        <v>1</v>
      </c>
      <c r="AI1739" s="314">
        <f t="shared" si="472"/>
        <v>0</v>
      </c>
      <c r="AJ1739" s="314">
        <f t="shared" si="473"/>
        <v>0</v>
      </c>
      <c r="AK1739" s="317"/>
      <c r="AL1739" s="315">
        <f t="shared" si="474"/>
        <v>0</v>
      </c>
      <c r="AN1739" s="554">
        <f t="shared" si="475"/>
        <v>0</v>
      </c>
      <c r="AO1739" s="314"/>
      <c r="AP1739" s="318"/>
    </row>
    <row r="1740" spans="2:42">
      <c r="B1740" s="296"/>
      <c r="C1740" s="299"/>
      <c r="D1740" s="298"/>
      <c r="E1740" s="299"/>
      <c r="F1740" s="299"/>
      <c r="G1740" s="300"/>
      <c r="H1740" s="303"/>
      <c r="I1740" s="301">
        <f t="shared" si="459"/>
        <v>0</v>
      </c>
      <c r="J1740" s="302">
        <f t="shared" si="460"/>
        <v>0</v>
      </c>
      <c r="K1740" s="304">
        <f t="shared" si="461"/>
        <v>0</v>
      </c>
      <c r="L1740" s="305">
        <f>IF(H1740=0,0,IF(OR(E1740=$AT$5,E1740=$AT$6),AA1740,IF(F1740="MXN",1/HLOOKUP(YEAR(G1740)+(MONTH(G1740)/100),TC!$5:$37,DAY(G1740)+2,FALSE),VLOOKUP(F1740,Equivalencia!$5:$23,((MAX(Equivalencia!$3:$3)-YEAR(G1740))*14)+MONTH(G1740)+2,FALSE))))</f>
        <v>0</v>
      </c>
      <c r="M1740" s="306">
        <f t="shared" si="462"/>
        <v>0</v>
      </c>
      <c r="N1740" s="305">
        <f>IF(G1740=0,0,(IF(OR(E1740=$AT$5,E1740=$AT$6),AC1740,HLOOKUP(YEAR(G1740)+(MONTH(G1740)/100),TC!$5:$37,DAY(G1740)+2,FALSE))))</f>
        <v>0</v>
      </c>
      <c r="O1740" s="307">
        <f t="shared" si="463"/>
        <v>0</v>
      </c>
      <c r="P1740" s="560">
        <f>IF(G1740=0,0,VLOOKUP(YEAR(G1740),INPC!$B$4:$P$30,MONTH(G1740)+2))</f>
        <v>0</v>
      </c>
      <c r="Q1740" s="560">
        <f>IF(X1740=0,0,IF(OR(E1740=$AT$10,E1740=$AT$9),VLOOKUP(YEAR(X1740),INPC!$B$4:$P$30,MONTH(X1740)+1),VLOOKUP(YEAR(X1740),INPC!$B$4:$P$30,MONTH(X1740)+2,0)))</f>
        <v>0</v>
      </c>
      <c r="R1740" s="309">
        <f t="shared" si="464"/>
        <v>0</v>
      </c>
      <c r="S1740" s="310">
        <f t="shared" si="465"/>
        <v>0</v>
      </c>
      <c r="T1740" s="555">
        <f t="shared" si="466"/>
        <v>0</v>
      </c>
      <c r="U1740" s="311"/>
      <c r="V1740" s="312"/>
      <c r="W1740" s="299"/>
      <c r="X1740" s="300"/>
      <c r="Y1740" s="299"/>
      <c r="Z1740" s="303"/>
      <c r="AA1740" s="305">
        <f>IF(Z1740=0,0,IF(Y1740="MXN",1/HLOOKUP(YEAR(X1740)+(MONTH(X1740)/100),TC!$5:$37,DAY(X1740)+2,FALSE),VLOOKUP(Y1740,Equivalencia!$1:$23,((MAX(Equivalencia!$3:$3)-YEAR(X1740))*14)+MONTH(X1740)+2,FALSE)))</f>
        <v>0</v>
      </c>
      <c r="AB1740" s="306">
        <f t="shared" si="467"/>
        <v>0</v>
      </c>
      <c r="AC1740" s="305">
        <f>+IF(X1740=0,0,HLOOKUP(YEAR(X1740)+(MONTH(X1740)/100),TC!$5:$37,DAY(X1740)+2,FALSE))</f>
        <v>0</v>
      </c>
      <c r="AD1740" s="307">
        <f t="shared" si="468"/>
        <v>0</v>
      </c>
      <c r="AE1740" s="314">
        <f t="shared" si="469"/>
        <v>0</v>
      </c>
      <c r="AF1740" s="315">
        <f t="shared" si="470"/>
        <v>0</v>
      </c>
      <c r="AG1740" s="316">
        <f t="shared" si="471"/>
        <v>0</v>
      </c>
      <c r="AH1740" s="314">
        <v>1</v>
      </c>
      <c r="AI1740" s="314">
        <f t="shared" si="472"/>
        <v>0</v>
      </c>
      <c r="AJ1740" s="314">
        <f t="shared" si="473"/>
        <v>0</v>
      </c>
      <c r="AK1740" s="317"/>
      <c r="AL1740" s="315">
        <f t="shared" si="474"/>
        <v>0</v>
      </c>
      <c r="AN1740" s="554">
        <f t="shared" si="475"/>
        <v>0</v>
      </c>
      <c r="AO1740" s="314"/>
      <c r="AP1740" s="318"/>
    </row>
    <row r="1741" spans="2:42">
      <c r="B1741" s="296"/>
      <c r="C1741" s="299"/>
      <c r="D1741" s="298"/>
      <c r="E1741" s="299"/>
      <c r="F1741" s="299"/>
      <c r="G1741" s="300"/>
      <c r="H1741" s="303"/>
      <c r="I1741" s="301">
        <f t="shared" si="459"/>
        <v>0</v>
      </c>
      <c r="J1741" s="302">
        <f t="shared" si="460"/>
        <v>0</v>
      </c>
      <c r="K1741" s="304">
        <f t="shared" si="461"/>
        <v>0</v>
      </c>
      <c r="L1741" s="305">
        <f>IF(H1741=0,0,IF(OR(E1741=$AT$5,E1741=$AT$6),AA1741,IF(F1741="MXN",1/HLOOKUP(YEAR(G1741)+(MONTH(G1741)/100),TC!$5:$37,DAY(G1741)+2,FALSE),VLOOKUP(F1741,Equivalencia!$5:$23,((MAX(Equivalencia!$3:$3)-YEAR(G1741))*14)+MONTH(G1741)+2,FALSE))))</f>
        <v>0</v>
      </c>
      <c r="M1741" s="306">
        <f t="shared" si="462"/>
        <v>0</v>
      </c>
      <c r="N1741" s="305">
        <f>IF(G1741=0,0,(IF(OR(E1741=$AT$5,E1741=$AT$6),AC1741,HLOOKUP(YEAR(G1741)+(MONTH(G1741)/100),TC!$5:$37,DAY(G1741)+2,FALSE))))</f>
        <v>0</v>
      </c>
      <c r="O1741" s="307">
        <f t="shared" si="463"/>
        <v>0</v>
      </c>
      <c r="P1741" s="560">
        <f>IF(G1741=0,0,VLOOKUP(YEAR(G1741),INPC!$B$4:$P$30,MONTH(G1741)+2))</f>
        <v>0</v>
      </c>
      <c r="Q1741" s="560">
        <f>IF(X1741=0,0,IF(OR(E1741=$AT$10,E1741=$AT$9),VLOOKUP(YEAR(X1741),INPC!$B$4:$P$30,MONTH(X1741)+1),VLOOKUP(YEAR(X1741),INPC!$B$4:$P$30,MONTH(X1741)+2,0)))</f>
        <v>0</v>
      </c>
      <c r="R1741" s="309">
        <f t="shared" si="464"/>
        <v>0</v>
      </c>
      <c r="S1741" s="310">
        <f t="shared" si="465"/>
        <v>0</v>
      </c>
      <c r="T1741" s="555">
        <f t="shared" si="466"/>
        <v>0</v>
      </c>
      <c r="U1741" s="311"/>
      <c r="V1741" s="312"/>
      <c r="W1741" s="299"/>
      <c r="X1741" s="300"/>
      <c r="Y1741" s="299"/>
      <c r="Z1741" s="303"/>
      <c r="AA1741" s="305">
        <f>IF(Z1741=0,0,IF(Y1741="MXN",1/HLOOKUP(YEAR(X1741)+(MONTH(X1741)/100),TC!$5:$37,DAY(X1741)+2,FALSE),VLOOKUP(Y1741,Equivalencia!$1:$23,((MAX(Equivalencia!$3:$3)-YEAR(X1741))*14)+MONTH(X1741)+2,FALSE)))</f>
        <v>0</v>
      </c>
      <c r="AB1741" s="306">
        <f t="shared" si="467"/>
        <v>0</v>
      </c>
      <c r="AC1741" s="305">
        <f>+IF(X1741=0,0,HLOOKUP(YEAR(X1741)+(MONTH(X1741)/100),TC!$5:$37,DAY(X1741)+2,FALSE))</f>
        <v>0</v>
      </c>
      <c r="AD1741" s="307">
        <f t="shared" si="468"/>
        <v>0</v>
      </c>
      <c r="AE1741" s="314">
        <f t="shared" si="469"/>
        <v>0</v>
      </c>
      <c r="AF1741" s="315">
        <f t="shared" si="470"/>
        <v>0</v>
      </c>
      <c r="AG1741" s="316">
        <f t="shared" si="471"/>
        <v>0</v>
      </c>
      <c r="AH1741" s="314">
        <v>1</v>
      </c>
      <c r="AI1741" s="314">
        <f t="shared" si="472"/>
        <v>0</v>
      </c>
      <c r="AJ1741" s="314">
        <f t="shared" si="473"/>
        <v>0</v>
      </c>
      <c r="AK1741" s="317"/>
      <c r="AL1741" s="315">
        <f t="shared" si="474"/>
        <v>0</v>
      </c>
      <c r="AN1741" s="554">
        <f t="shared" si="475"/>
        <v>0</v>
      </c>
      <c r="AO1741" s="314"/>
      <c r="AP1741" s="318"/>
    </row>
    <row r="1742" spans="2:42">
      <c r="B1742" s="296"/>
      <c r="C1742" s="299"/>
      <c r="D1742" s="298"/>
      <c r="E1742" s="299"/>
      <c r="F1742" s="299"/>
      <c r="G1742" s="300"/>
      <c r="H1742" s="303"/>
      <c r="I1742" s="301">
        <f t="shared" si="459"/>
        <v>0</v>
      </c>
      <c r="J1742" s="302">
        <f t="shared" si="460"/>
        <v>0</v>
      </c>
      <c r="K1742" s="304">
        <f t="shared" si="461"/>
        <v>0</v>
      </c>
      <c r="L1742" s="305">
        <f>IF(H1742=0,0,IF(OR(E1742=$AT$5,E1742=$AT$6),AA1742,IF(F1742="MXN",1/HLOOKUP(YEAR(G1742)+(MONTH(G1742)/100),TC!$5:$37,DAY(G1742)+2,FALSE),VLOOKUP(F1742,Equivalencia!$5:$23,((MAX(Equivalencia!$3:$3)-YEAR(G1742))*14)+MONTH(G1742)+2,FALSE))))</f>
        <v>0</v>
      </c>
      <c r="M1742" s="306">
        <f t="shared" si="462"/>
        <v>0</v>
      </c>
      <c r="N1742" s="305">
        <f>IF(G1742=0,0,(IF(OR(E1742=$AT$5,E1742=$AT$6),AC1742,HLOOKUP(YEAR(G1742)+(MONTH(G1742)/100),TC!$5:$37,DAY(G1742)+2,FALSE))))</f>
        <v>0</v>
      </c>
      <c r="O1742" s="307">
        <f t="shared" si="463"/>
        <v>0</v>
      </c>
      <c r="P1742" s="560">
        <f>IF(G1742=0,0,VLOOKUP(YEAR(G1742),INPC!$B$4:$P$30,MONTH(G1742)+2))</f>
        <v>0</v>
      </c>
      <c r="Q1742" s="560">
        <f>IF(X1742=0,0,IF(OR(E1742=$AT$10,E1742=$AT$9),VLOOKUP(YEAR(X1742),INPC!$B$4:$P$30,MONTH(X1742)+1),VLOOKUP(YEAR(X1742),INPC!$B$4:$P$30,MONTH(X1742)+2,0)))</f>
        <v>0</v>
      </c>
      <c r="R1742" s="309">
        <f t="shared" si="464"/>
        <v>0</v>
      </c>
      <c r="S1742" s="310">
        <f t="shared" si="465"/>
        <v>0</v>
      </c>
      <c r="T1742" s="555">
        <f t="shared" si="466"/>
        <v>0</v>
      </c>
      <c r="U1742" s="311"/>
      <c r="V1742" s="312"/>
      <c r="W1742" s="299"/>
      <c r="X1742" s="300"/>
      <c r="Y1742" s="299"/>
      <c r="Z1742" s="303"/>
      <c r="AA1742" s="305">
        <f>IF(Z1742=0,0,IF(Y1742="MXN",1/HLOOKUP(YEAR(X1742)+(MONTH(X1742)/100),TC!$5:$37,DAY(X1742)+2,FALSE),VLOOKUP(Y1742,Equivalencia!$1:$23,((MAX(Equivalencia!$3:$3)-YEAR(X1742))*14)+MONTH(X1742)+2,FALSE)))</f>
        <v>0</v>
      </c>
      <c r="AB1742" s="306">
        <f t="shared" si="467"/>
        <v>0</v>
      </c>
      <c r="AC1742" s="305">
        <f>+IF(X1742=0,0,HLOOKUP(YEAR(X1742)+(MONTH(X1742)/100),TC!$5:$37,DAY(X1742)+2,FALSE))</f>
        <v>0</v>
      </c>
      <c r="AD1742" s="307">
        <f t="shared" si="468"/>
        <v>0</v>
      </c>
      <c r="AE1742" s="314">
        <f t="shared" si="469"/>
        <v>0</v>
      </c>
      <c r="AF1742" s="315">
        <f t="shared" si="470"/>
        <v>0</v>
      </c>
      <c r="AG1742" s="316">
        <f t="shared" si="471"/>
        <v>0</v>
      </c>
      <c r="AH1742" s="314">
        <v>1</v>
      </c>
      <c r="AI1742" s="314">
        <f t="shared" si="472"/>
        <v>0</v>
      </c>
      <c r="AJ1742" s="314">
        <f t="shared" si="473"/>
        <v>0</v>
      </c>
      <c r="AK1742" s="317"/>
      <c r="AL1742" s="315">
        <f t="shared" si="474"/>
        <v>0</v>
      </c>
      <c r="AN1742" s="554">
        <f t="shared" si="475"/>
        <v>0</v>
      </c>
      <c r="AO1742" s="314"/>
      <c r="AP1742" s="318"/>
    </row>
    <row r="1743" spans="2:42">
      <c r="B1743" s="296"/>
      <c r="C1743" s="299"/>
      <c r="D1743" s="298"/>
      <c r="E1743" s="299"/>
      <c r="F1743" s="299"/>
      <c r="G1743" s="300"/>
      <c r="H1743" s="303"/>
      <c r="I1743" s="301">
        <f t="shared" si="459"/>
        <v>0</v>
      </c>
      <c r="J1743" s="302">
        <f t="shared" si="460"/>
        <v>0</v>
      </c>
      <c r="K1743" s="304">
        <f t="shared" si="461"/>
        <v>0</v>
      </c>
      <c r="L1743" s="305">
        <f>IF(H1743=0,0,IF(OR(E1743=$AT$5,E1743=$AT$6),AA1743,IF(F1743="MXN",1/HLOOKUP(YEAR(G1743)+(MONTH(G1743)/100),TC!$5:$37,DAY(G1743)+2,FALSE),VLOOKUP(F1743,Equivalencia!$5:$23,((MAX(Equivalencia!$3:$3)-YEAR(G1743))*14)+MONTH(G1743)+2,FALSE))))</f>
        <v>0</v>
      </c>
      <c r="M1743" s="306">
        <f t="shared" si="462"/>
        <v>0</v>
      </c>
      <c r="N1743" s="305">
        <f>IF(G1743=0,0,(IF(OR(E1743=$AT$5,E1743=$AT$6),AC1743,HLOOKUP(YEAR(G1743)+(MONTH(G1743)/100),TC!$5:$37,DAY(G1743)+2,FALSE))))</f>
        <v>0</v>
      </c>
      <c r="O1743" s="307">
        <f t="shared" si="463"/>
        <v>0</v>
      </c>
      <c r="P1743" s="560">
        <f>IF(G1743=0,0,VLOOKUP(YEAR(G1743),INPC!$B$4:$P$30,MONTH(G1743)+2))</f>
        <v>0</v>
      </c>
      <c r="Q1743" s="560">
        <f>IF(X1743=0,0,IF(OR(E1743=$AT$10,E1743=$AT$9),VLOOKUP(YEAR(X1743),INPC!$B$4:$P$30,MONTH(X1743)+1),VLOOKUP(YEAR(X1743),INPC!$B$4:$P$30,MONTH(X1743)+2,0)))</f>
        <v>0</v>
      </c>
      <c r="R1743" s="309">
        <f t="shared" si="464"/>
        <v>0</v>
      </c>
      <c r="S1743" s="310">
        <f t="shared" si="465"/>
        <v>0</v>
      </c>
      <c r="T1743" s="555">
        <f t="shared" si="466"/>
        <v>0</v>
      </c>
      <c r="U1743" s="311"/>
      <c r="V1743" s="312"/>
      <c r="W1743" s="299"/>
      <c r="X1743" s="300"/>
      <c r="Y1743" s="299"/>
      <c r="Z1743" s="303"/>
      <c r="AA1743" s="305">
        <f>IF(Z1743=0,0,IF(Y1743="MXN",1/HLOOKUP(YEAR(X1743)+(MONTH(X1743)/100),TC!$5:$37,DAY(X1743)+2,FALSE),VLOOKUP(Y1743,Equivalencia!$1:$23,((MAX(Equivalencia!$3:$3)-YEAR(X1743))*14)+MONTH(X1743)+2,FALSE)))</f>
        <v>0</v>
      </c>
      <c r="AB1743" s="306">
        <f t="shared" si="467"/>
        <v>0</v>
      </c>
      <c r="AC1743" s="305">
        <f>+IF(X1743=0,0,HLOOKUP(YEAR(X1743)+(MONTH(X1743)/100),TC!$5:$37,DAY(X1743)+2,FALSE))</f>
        <v>0</v>
      </c>
      <c r="AD1743" s="307">
        <f t="shared" si="468"/>
        <v>0</v>
      </c>
      <c r="AE1743" s="314">
        <f t="shared" si="469"/>
        <v>0</v>
      </c>
      <c r="AF1743" s="315">
        <f t="shared" si="470"/>
        <v>0</v>
      </c>
      <c r="AG1743" s="316">
        <f t="shared" si="471"/>
        <v>0</v>
      </c>
      <c r="AH1743" s="314">
        <v>1</v>
      </c>
      <c r="AI1743" s="314">
        <f t="shared" si="472"/>
        <v>0</v>
      </c>
      <c r="AJ1743" s="314">
        <f t="shared" si="473"/>
        <v>0</v>
      </c>
      <c r="AK1743" s="317"/>
      <c r="AL1743" s="315">
        <f t="shared" si="474"/>
        <v>0</v>
      </c>
      <c r="AN1743" s="554">
        <f t="shared" si="475"/>
        <v>0</v>
      </c>
      <c r="AO1743" s="314"/>
      <c r="AP1743" s="318"/>
    </row>
    <row r="1744" spans="2:42">
      <c r="B1744" s="296"/>
      <c r="C1744" s="299"/>
      <c r="D1744" s="298"/>
      <c r="E1744" s="299"/>
      <c r="F1744" s="299"/>
      <c r="G1744" s="300"/>
      <c r="H1744" s="303"/>
      <c r="I1744" s="301">
        <f t="shared" si="459"/>
        <v>0</v>
      </c>
      <c r="J1744" s="302">
        <f t="shared" si="460"/>
        <v>0</v>
      </c>
      <c r="K1744" s="304">
        <f t="shared" si="461"/>
        <v>0</v>
      </c>
      <c r="L1744" s="305">
        <f>IF(H1744=0,0,IF(OR(E1744=$AT$5,E1744=$AT$6),AA1744,IF(F1744="MXN",1/HLOOKUP(YEAR(G1744)+(MONTH(G1744)/100),TC!$5:$37,DAY(G1744)+2,FALSE),VLOOKUP(F1744,Equivalencia!$5:$23,((MAX(Equivalencia!$3:$3)-YEAR(G1744))*14)+MONTH(G1744)+2,FALSE))))</f>
        <v>0</v>
      </c>
      <c r="M1744" s="306">
        <f t="shared" si="462"/>
        <v>0</v>
      </c>
      <c r="N1744" s="305">
        <f>IF(G1744=0,0,(IF(OR(E1744=$AT$5,E1744=$AT$6),AC1744,HLOOKUP(YEAR(G1744)+(MONTH(G1744)/100),TC!$5:$37,DAY(G1744)+2,FALSE))))</f>
        <v>0</v>
      </c>
      <c r="O1744" s="307">
        <f t="shared" si="463"/>
        <v>0</v>
      </c>
      <c r="P1744" s="560">
        <f>IF(G1744=0,0,VLOOKUP(YEAR(G1744),INPC!$B$4:$P$30,MONTH(G1744)+2))</f>
        <v>0</v>
      </c>
      <c r="Q1744" s="560">
        <f>IF(X1744=0,0,IF(OR(E1744=$AT$10,E1744=$AT$9),VLOOKUP(YEAR(X1744),INPC!$B$4:$P$30,MONTH(X1744)+1),VLOOKUP(YEAR(X1744),INPC!$B$4:$P$30,MONTH(X1744)+2,0)))</f>
        <v>0</v>
      </c>
      <c r="R1744" s="309">
        <f t="shared" si="464"/>
        <v>0</v>
      </c>
      <c r="S1744" s="310">
        <f t="shared" si="465"/>
        <v>0</v>
      </c>
      <c r="T1744" s="555">
        <f t="shared" si="466"/>
        <v>0</v>
      </c>
      <c r="U1744" s="311"/>
      <c r="V1744" s="312"/>
      <c r="W1744" s="299"/>
      <c r="X1744" s="300"/>
      <c r="Y1744" s="299"/>
      <c r="Z1744" s="303"/>
      <c r="AA1744" s="305">
        <f>IF(Z1744=0,0,IF(Y1744="MXN",1/HLOOKUP(YEAR(X1744)+(MONTH(X1744)/100),TC!$5:$37,DAY(X1744)+2,FALSE),VLOOKUP(Y1744,Equivalencia!$1:$23,((MAX(Equivalencia!$3:$3)-YEAR(X1744))*14)+MONTH(X1744)+2,FALSE)))</f>
        <v>0</v>
      </c>
      <c r="AB1744" s="306">
        <f t="shared" si="467"/>
        <v>0</v>
      </c>
      <c r="AC1744" s="305">
        <f>+IF(X1744=0,0,HLOOKUP(YEAR(X1744)+(MONTH(X1744)/100),TC!$5:$37,DAY(X1744)+2,FALSE))</f>
        <v>0</v>
      </c>
      <c r="AD1744" s="307">
        <f t="shared" si="468"/>
        <v>0</v>
      </c>
      <c r="AE1744" s="314">
        <f t="shared" si="469"/>
        <v>0</v>
      </c>
      <c r="AF1744" s="315">
        <f t="shared" si="470"/>
        <v>0</v>
      </c>
      <c r="AG1744" s="316">
        <f t="shared" si="471"/>
        <v>0</v>
      </c>
      <c r="AH1744" s="314">
        <v>1</v>
      </c>
      <c r="AI1744" s="314">
        <f t="shared" si="472"/>
        <v>0</v>
      </c>
      <c r="AJ1744" s="314">
        <f t="shared" si="473"/>
        <v>0</v>
      </c>
      <c r="AK1744" s="317"/>
      <c r="AL1744" s="315">
        <f t="shared" si="474"/>
        <v>0</v>
      </c>
      <c r="AN1744" s="554">
        <f t="shared" si="475"/>
        <v>0</v>
      </c>
      <c r="AO1744" s="314"/>
      <c r="AP1744" s="318"/>
    </row>
    <row r="1745" spans="2:42">
      <c r="B1745" s="296"/>
      <c r="C1745" s="299"/>
      <c r="D1745" s="298"/>
      <c r="E1745" s="299"/>
      <c r="F1745" s="299"/>
      <c r="G1745" s="300"/>
      <c r="H1745" s="303"/>
      <c r="I1745" s="301">
        <f t="shared" si="459"/>
        <v>0</v>
      </c>
      <c r="J1745" s="302">
        <f t="shared" si="460"/>
        <v>0</v>
      </c>
      <c r="K1745" s="304">
        <f t="shared" si="461"/>
        <v>0</v>
      </c>
      <c r="L1745" s="305">
        <f>IF(H1745=0,0,IF(OR(E1745=$AT$5,E1745=$AT$6),AA1745,IF(F1745="MXN",1/HLOOKUP(YEAR(G1745)+(MONTH(G1745)/100),TC!$5:$37,DAY(G1745)+2,FALSE),VLOOKUP(F1745,Equivalencia!$5:$23,((MAX(Equivalencia!$3:$3)-YEAR(G1745))*14)+MONTH(G1745)+2,FALSE))))</f>
        <v>0</v>
      </c>
      <c r="M1745" s="306">
        <f t="shared" si="462"/>
        <v>0</v>
      </c>
      <c r="N1745" s="305">
        <f>IF(G1745=0,0,(IF(OR(E1745=$AT$5,E1745=$AT$6),AC1745,HLOOKUP(YEAR(G1745)+(MONTH(G1745)/100),TC!$5:$37,DAY(G1745)+2,FALSE))))</f>
        <v>0</v>
      </c>
      <c r="O1745" s="307">
        <f t="shared" si="463"/>
        <v>0</v>
      </c>
      <c r="P1745" s="560">
        <f>IF(G1745=0,0,VLOOKUP(YEAR(G1745),INPC!$B$4:$P$30,MONTH(G1745)+2))</f>
        <v>0</v>
      </c>
      <c r="Q1745" s="560">
        <f>IF(X1745=0,0,IF(OR(E1745=$AT$10,E1745=$AT$9),VLOOKUP(YEAR(X1745),INPC!$B$4:$P$30,MONTH(X1745)+1),VLOOKUP(YEAR(X1745),INPC!$B$4:$P$30,MONTH(X1745)+2,0)))</f>
        <v>0</v>
      </c>
      <c r="R1745" s="309">
        <f t="shared" si="464"/>
        <v>0</v>
      </c>
      <c r="S1745" s="310">
        <f t="shared" si="465"/>
        <v>0</v>
      </c>
      <c r="T1745" s="555">
        <f t="shared" si="466"/>
        <v>0</v>
      </c>
      <c r="U1745" s="311"/>
      <c r="V1745" s="312"/>
      <c r="W1745" s="299"/>
      <c r="X1745" s="300"/>
      <c r="Y1745" s="299"/>
      <c r="Z1745" s="303"/>
      <c r="AA1745" s="305">
        <f>IF(Z1745=0,0,IF(Y1745="MXN",1/HLOOKUP(YEAR(X1745)+(MONTH(X1745)/100),TC!$5:$37,DAY(X1745)+2,FALSE),VLOOKUP(Y1745,Equivalencia!$1:$23,((MAX(Equivalencia!$3:$3)-YEAR(X1745))*14)+MONTH(X1745)+2,FALSE)))</f>
        <v>0</v>
      </c>
      <c r="AB1745" s="306">
        <f t="shared" si="467"/>
        <v>0</v>
      </c>
      <c r="AC1745" s="305">
        <f>+IF(X1745=0,0,HLOOKUP(YEAR(X1745)+(MONTH(X1745)/100),TC!$5:$37,DAY(X1745)+2,FALSE))</f>
        <v>0</v>
      </c>
      <c r="AD1745" s="307">
        <f t="shared" si="468"/>
        <v>0</v>
      </c>
      <c r="AE1745" s="314">
        <f t="shared" si="469"/>
        <v>0</v>
      </c>
      <c r="AF1745" s="315">
        <f t="shared" si="470"/>
        <v>0</v>
      </c>
      <c r="AG1745" s="316">
        <f t="shared" si="471"/>
        <v>0</v>
      </c>
      <c r="AH1745" s="314">
        <v>1</v>
      </c>
      <c r="AI1745" s="314">
        <f t="shared" si="472"/>
        <v>0</v>
      </c>
      <c r="AJ1745" s="314">
        <f t="shared" si="473"/>
        <v>0</v>
      </c>
      <c r="AK1745" s="317"/>
      <c r="AL1745" s="315">
        <f t="shared" si="474"/>
        <v>0</v>
      </c>
      <c r="AN1745" s="554">
        <f t="shared" si="475"/>
        <v>0</v>
      </c>
      <c r="AO1745" s="314"/>
      <c r="AP1745" s="318"/>
    </row>
    <row r="1746" spans="2:42">
      <c r="B1746" s="296"/>
      <c r="C1746" s="299"/>
      <c r="D1746" s="298"/>
      <c r="E1746" s="299"/>
      <c r="F1746" s="299"/>
      <c r="G1746" s="300"/>
      <c r="H1746" s="303"/>
      <c r="I1746" s="301">
        <f t="shared" si="459"/>
        <v>0</v>
      </c>
      <c r="J1746" s="302">
        <f t="shared" si="460"/>
        <v>0</v>
      </c>
      <c r="K1746" s="304">
        <f t="shared" si="461"/>
        <v>0</v>
      </c>
      <c r="L1746" s="305">
        <f>IF(H1746=0,0,IF(OR(E1746=$AT$5,E1746=$AT$6),AA1746,IF(F1746="MXN",1/HLOOKUP(YEAR(G1746)+(MONTH(G1746)/100),TC!$5:$37,DAY(G1746)+2,FALSE),VLOOKUP(F1746,Equivalencia!$5:$23,((MAX(Equivalencia!$3:$3)-YEAR(G1746))*14)+MONTH(G1746)+2,FALSE))))</f>
        <v>0</v>
      </c>
      <c r="M1746" s="306">
        <f t="shared" si="462"/>
        <v>0</v>
      </c>
      <c r="N1746" s="305">
        <f>IF(G1746=0,0,(IF(OR(E1746=$AT$5,E1746=$AT$6),AC1746,HLOOKUP(YEAR(G1746)+(MONTH(G1746)/100),TC!$5:$37,DAY(G1746)+2,FALSE))))</f>
        <v>0</v>
      </c>
      <c r="O1746" s="307">
        <f t="shared" si="463"/>
        <v>0</v>
      </c>
      <c r="P1746" s="560">
        <f>IF(G1746=0,0,VLOOKUP(YEAR(G1746),INPC!$B$4:$P$30,MONTH(G1746)+2))</f>
        <v>0</v>
      </c>
      <c r="Q1746" s="560">
        <f>IF(X1746=0,0,IF(OR(E1746=$AT$10,E1746=$AT$9),VLOOKUP(YEAR(X1746),INPC!$B$4:$P$30,MONTH(X1746)+1),VLOOKUP(YEAR(X1746),INPC!$B$4:$P$30,MONTH(X1746)+2,0)))</f>
        <v>0</v>
      </c>
      <c r="R1746" s="309">
        <f t="shared" si="464"/>
        <v>0</v>
      </c>
      <c r="S1746" s="310">
        <f t="shared" si="465"/>
        <v>0</v>
      </c>
      <c r="T1746" s="555">
        <f t="shared" si="466"/>
        <v>0</v>
      </c>
      <c r="U1746" s="311"/>
      <c r="V1746" s="312"/>
      <c r="W1746" s="299"/>
      <c r="X1746" s="300"/>
      <c r="Y1746" s="299"/>
      <c r="Z1746" s="303"/>
      <c r="AA1746" s="305">
        <f>IF(Z1746=0,0,IF(Y1746="MXN",1/HLOOKUP(YEAR(X1746)+(MONTH(X1746)/100),TC!$5:$37,DAY(X1746)+2,FALSE),VLOOKUP(Y1746,Equivalencia!$1:$23,((MAX(Equivalencia!$3:$3)-YEAR(X1746))*14)+MONTH(X1746)+2,FALSE)))</f>
        <v>0</v>
      </c>
      <c r="AB1746" s="306">
        <f t="shared" si="467"/>
        <v>0</v>
      </c>
      <c r="AC1746" s="305">
        <f>+IF(X1746=0,0,HLOOKUP(YEAR(X1746)+(MONTH(X1746)/100),TC!$5:$37,DAY(X1746)+2,FALSE))</f>
        <v>0</v>
      </c>
      <c r="AD1746" s="307">
        <f t="shared" si="468"/>
        <v>0</v>
      </c>
      <c r="AE1746" s="314">
        <f t="shared" si="469"/>
        <v>0</v>
      </c>
      <c r="AF1746" s="315">
        <f t="shared" si="470"/>
        <v>0</v>
      </c>
      <c r="AG1746" s="316">
        <f t="shared" si="471"/>
        <v>0</v>
      </c>
      <c r="AH1746" s="314">
        <v>1</v>
      </c>
      <c r="AI1746" s="314">
        <f t="shared" si="472"/>
        <v>0</v>
      </c>
      <c r="AJ1746" s="314">
        <f t="shared" si="473"/>
        <v>0</v>
      </c>
      <c r="AK1746" s="317"/>
      <c r="AL1746" s="315">
        <f t="shared" si="474"/>
        <v>0</v>
      </c>
      <c r="AN1746" s="554">
        <f t="shared" si="475"/>
        <v>0</v>
      </c>
      <c r="AO1746" s="314"/>
      <c r="AP1746" s="318"/>
    </row>
    <row r="1747" spans="2:42">
      <c r="B1747" s="296"/>
      <c r="C1747" s="299"/>
      <c r="D1747" s="298"/>
      <c r="E1747" s="299"/>
      <c r="F1747" s="299"/>
      <c r="G1747" s="300"/>
      <c r="H1747" s="303"/>
      <c r="I1747" s="301">
        <f t="shared" si="459"/>
        <v>0</v>
      </c>
      <c r="J1747" s="302">
        <f t="shared" si="460"/>
        <v>0</v>
      </c>
      <c r="K1747" s="304">
        <f t="shared" si="461"/>
        <v>0</v>
      </c>
      <c r="L1747" s="305">
        <f>IF(H1747=0,0,IF(OR(E1747=$AT$5,E1747=$AT$6),AA1747,IF(F1747="MXN",1/HLOOKUP(YEAR(G1747)+(MONTH(G1747)/100),TC!$5:$37,DAY(G1747)+2,FALSE),VLOOKUP(F1747,Equivalencia!$5:$23,((MAX(Equivalencia!$3:$3)-YEAR(G1747))*14)+MONTH(G1747)+2,FALSE))))</f>
        <v>0</v>
      </c>
      <c r="M1747" s="306">
        <f t="shared" si="462"/>
        <v>0</v>
      </c>
      <c r="N1747" s="305">
        <f>IF(G1747=0,0,(IF(OR(E1747=$AT$5,E1747=$AT$6),AC1747,HLOOKUP(YEAR(G1747)+(MONTH(G1747)/100),TC!$5:$37,DAY(G1747)+2,FALSE))))</f>
        <v>0</v>
      </c>
      <c r="O1747" s="307">
        <f t="shared" si="463"/>
        <v>0</v>
      </c>
      <c r="P1747" s="560">
        <f>IF(G1747=0,0,VLOOKUP(YEAR(G1747),INPC!$B$4:$P$30,MONTH(G1747)+2))</f>
        <v>0</v>
      </c>
      <c r="Q1747" s="560">
        <f>IF(X1747=0,0,IF(OR(E1747=$AT$10,E1747=$AT$9),VLOOKUP(YEAR(X1747),INPC!$B$4:$P$30,MONTH(X1747)+1),VLOOKUP(YEAR(X1747),INPC!$B$4:$P$30,MONTH(X1747)+2,0)))</f>
        <v>0</v>
      </c>
      <c r="R1747" s="309">
        <f t="shared" si="464"/>
        <v>0</v>
      </c>
      <c r="S1747" s="310">
        <f t="shared" si="465"/>
        <v>0</v>
      </c>
      <c r="T1747" s="555">
        <f t="shared" si="466"/>
        <v>0</v>
      </c>
      <c r="U1747" s="311"/>
      <c r="V1747" s="312"/>
      <c r="W1747" s="299"/>
      <c r="X1747" s="300"/>
      <c r="Y1747" s="299"/>
      <c r="Z1747" s="303"/>
      <c r="AA1747" s="305">
        <f>IF(Z1747=0,0,IF(Y1747="MXN",1/HLOOKUP(YEAR(X1747)+(MONTH(X1747)/100),TC!$5:$37,DAY(X1747)+2,FALSE),VLOOKUP(Y1747,Equivalencia!$1:$23,((MAX(Equivalencia!$3:$3)-YEAR(X1747))*14)+MONTH(X1747)+2,FALSE)))</f>
        <v>0</v>
      </c>
      <c r="AB1747" s="306">
        <f t="shared" si="467"/>
        <v>0</v>
      </c>
      <c r="AC1747" s="305">
        <f>+IF(X1747=0,0,HLOOKUP(YEAR(X1747)+(MONTH(X1747)/100),TC!$5:$37,DAY(X1747)+2,FALSE))</f>
        <v>0</v>
      </c>
      <c r="AD1747" s="307">
        <f t="shared" si="468"/>
        <v>0</v>
      </c>
      <c r="AE1747" s="314">
        <f t="shared" si="469"/>
        <v>0</v>
      </c>
      <c r="AF1747" s="315">
        <f t="shared" si="470"/>
        <v>0</v>
      </c>
      <c r="AG1747" s="316">
        <f t="shared" si="471"/>
        <v>0</v>
      </c>
      <c r="AH1747" s="314">
        <v>1</v>
      </c>
      <c r="AI1747" s="314">
        <f t="shared" si="472"/>
        <v>0</v>
      </c>
      <c r="AJ1747" s="314">
        <f t="shared" si="473"/>
        <v>0</v>
      </c>
      <c r="AK1747" s="317"/>
      <c r="AL1747" s="315">
        <f t="shared" si="474"/>
        <v>0</v>
      </c>
      <c r="AN1747" s="554">
        <f t="shared" si="475"/>
        <v>0</v>
      </c>
      <c r="AO1747" s="314"/>
      <c r="AP1747" s="318"/>
    </row>
    <row r="1748" spans="2:42">
      <c r="B1748" s="296"/>
      <c r="C1748" s="299"/>
      <c r="D1748" s="298"/>
      <c r="E1748" s="299"/>
      <c r="F1748" s="299"/>
      <c r="G1748" s="300"/>
      <c r="H1748" s="303"/>
      <c r="I1748" s="301">
        <f t="shared" si="459"/>
        <v>0</v>
      </c>
      <c r="J1748" s="302">
        <f t="shared" si="460"/>
        <v>0</v>
      </c>
      <c r="K1748" s="304">
        <f t="shared" si="461"/>
        <v>0</v>
      </c>
      <c r="L1748" s="305">
        <f>IF(H1748=0,0,IF(OR(E1748=$AT$5,E1748=$AT$6),AA1748,IF(F1748="MXN",1/HLOOKUP(YEAR(G1748)+(MONTH(G1748)/100),TC!$5:$37,DAY(G1748)+2,FALSE),VLOOKUP(F1748,Equivalencia!$5:$23,((MAX(Equivalencia!$3:$3)-YEAR(G1748))*14)+MONTH(G1748)+2,FALSE))))</f>
        <v>0</v>
      </c>
      <c r="M1748" s="306">
        <f t="shared" si="462"/>
        <v>0</v>
      </c>
      <c r="N1748" s="305">
        <f>IF(G1748=0,0,(IF(OR(E1748=$AT$5,E1748=$AT$6),AC1748,HLOOKUP(YEAR(G1748)+(MONTH(G1748)/100),TC!$5:$37,DAY(G1748)+2,FALSE))))</f>
        <v>0</v>
      </c>
      <c r="O1748" s="307">
        <f t="shared" si="463"/>
        <v>0</v>
      </c>
      <c r="P1748" s="560">
        <f>IF(G1748=0,0,VLOOKUP(YEAR(G1748),INPC!$B$4:$P$30,MONTH(G1748)+2))</f>
        <v>0</v>
      </c>
      <c r="Q1748" s="560">
        <f>IF(X1748=0,0,IF(OR(E1748=$AT$10,E1748=$AT$9),VLOOKUP(YEAR(X1748),INPC!$B$4:$P$30,MONTH(X1748)+1),VLOOKUP(YEAR(X1748),INPC!$B$4:$P$30,MONTH(X1748)+2,0)))</f>
        <v>0</v>
      </c>
      <c r="R1748" s="309">
        <f t="shared" si="464"/>
        <v>0</v>
      </c>
      <c r="S1748" s="310">
        <f t="shared" si="465"/>
        <v>0</v>
      </c>
      <c r="T1748" s="555">
        <f t="shared" si="466"/>
        <v>0</v>
      </c>
      <c r="U1748" s="311"/>
      <c r="V1748" s="312"/>
      <c r="W1748" s="299"/>
      <c r="X1748" s="300"/>
      <c r="Y1748" s="299"/>
      <c r="Z1748" s="303"/>
      <c r="AA1748" s="305">
        <f>IF(Z1748=0,0,IF(Y1748="MXN",1/HLOOKUP(YEAR(X1748)+(MONTH(X1748)/100),TC!$5:$37,DAY(X1748)+2,FALSE),VLOOKUP(Y1748,Equivalencia!$1:$23,((MAX(Equivalencia!$3:$3)-YEAR(X1748))*14)+MONTH(X1748)+2,FALSE)))</f>
        <v>0</v>
      </c>
      <c r="AB1748" s="306">
        <f t="shared" si="467"/>
        <v>0</v>
      </c>
      <c r="AC1748" s="305">
        <f>+IF(X1748=0,0,HLOOKUP(YEAR(X1748)+(MONTH(X1748)/100),TC!$5:$37,DAY(X1748)+2,FALSE))</f>
        <v>0</v>
      </c>
      <c r="AD1748" s="307">
        <f t="shared" si="468"/>
        <v>0</v>
      </c>
      <c r="AE1748" s="314">
        <f t="shared" si="469"/>
        <v>0</v>
      </c>
      <c r="AF1748" s="315">
        <f t="shared" si="470"/>
        <v>0</v>
      </c>
      <c r="AG1748" s="316">
        <f t="shared" si="471"/>
        <v>0</v>
      </c>
      <c r="AH1748" s="314">
        <v>1</v>
      </c>
      <c r="AI1748" s="314">
        <f t="shared" si="472"/>
        <v>0</v>
      </c>
      <c r="AJ1748" s="314">
        <f t="shared" si="473"/>
        <v>0</v>
      </c>
      <c r="AK1748" s="317"/>
      <c r="AL1748" s="315">
        <f t="shared" si="474"/>
        <v>0</v>
      </c>
      <c r="AN1748" s="554">
        <f t="shared" si="475"/>
        <v>0</v>
      </c>
      <c r="AO1748" s="314"/>
      <c r="AP1748" s="318"/>
    </row>
    <row r="1749" spans="2:42">
      <c r="B1749" s="296"/>
      <c r="C1749" s="299"/>
      <c r="D1749" s="298"/>
      <c r="E1749" s="299"/>
      <c r="F1749" s="299"/>
      <c r="G1749" s="300"/>
      <c r="H1749" s="303"/>
      <c r="I1749" s="301">
        <f t="shared" si="459"/>
        <v>0</v>
      </c>
      <c r="J1749" s="302">
        <f t="shared" si="460"/>
        <v>0</v>
      </c>
      <c r="K1749" s="304">
        <f t="shared" si="461"/>
        <v>0</v>
      </c>
      <c r="L1749" s="305">
        <f>IF(H1749=0,0,IF(OR(E1749=$AT$5,E1749=$AT$6),AA1749,IF(F1749="MXN",1/HLOOKUP(YEAR(G1749)+(MONTH(G1749)/100),TC!$5:$37,DAY(G1749)+2,FALSE),VLOOKUP(F1749,Equivalencia!$5:$23,((MAX(Equivalencia!$3:$3)-YEAR(G1749))*14)+MONTH(G1749)+2,FALSE))))</f>
        <v>0</v>
      </c>
      <c r="M1749" s="306">
        <f t="shared" si="462"/>
        <v>0</v>
      </c>
      <c r="N1749" s="305">
        <f>IF(G1749=0,0,(IF(OR(E1749=$AT$5,E1749=$AT$6),AC1749,HLOOKUP(YEAR(G1749)+(MONTH(G1749)/100),TC!$5:$37,DAY(G1749)+2,FALSE))))</f>
        <v>0</v>
      </c>
      <c r="O1749" s="307">
        <f t="shared" si="463"/>
        <v>0</v>
      </c>
      <c r="P1749" s="560">
        <f>IF(G1749=0,0,VLOOKUP(YEAR(G1749),INPC!$B$4:$P$30,MONTH(G1749)+2))</f>
        <v>0</v>
      </c>
      <c r="Q1749" s="560">
        <f>IF(X1749=0,0,IF(OR(E1749=$AT$10,E1749=$AT$9),VLOOKUP(YEAR(X1749),INPC!$B$4:$P$30,MONTH(X1749)+1),VLOOKUP(YEAR(X1749),INPC!$B$4:$P$30,MONTH(X1749)+2,0)))</f>
        <v>0</v>
      </c>
      <c r="R1749" s="309">
        <f t="shared" si="464"/>
        <v>0</v>
      </c>
      <c r="S1749" s="310">
        <f t="shared" si="465"/>
        <v>0</v>
      </c>
      <c r="T1749" s="555">
        <f t="shared" si="466"/>
        <v>0</v>
      </c>
      <c r="U1749" s="311"/>
      <c r="V1749" s="312"/>
      <c r="W1749" s="299"/>
      <c r="X1749" s="300"/>
      <c r="Y1749" s="299"/>
      <c r="Z1749" s="303"/>
      <c r="AA1749" s="305">
        <f>IF(Z1749=0,0,IF(Y1749="MXN",1/HLOOKUP(YEAR(X1749)+(MONTH(X1749)/100),TC!$5:$37,DAY(X1749)+2,FALSE),VLOOKUP(Y1749,Equivalencia!$1:$23,((MAX(Equivalencia!$3:$3)-YEAR(X1749))*14)+MONTH(X1749)+2,FALSE)))</f>
        <v>0</v>
      </c>
      <c r="AB1749" s="306">
        <f t="shared" si="467"/>
        <v>0</v>
      </c>
      <c r="AC1749" s="305">
        <f>+IF(X1749=0,0,HLOOKUP(YEAR(X1749)+(MONTH(X1749)/100),TC!$5:$37,DAY(X1749)+2,FALSE))</f>
        <v>0</v>
      </c>
      <c r="AD1749" s="307">
        <f t="shared" si="468"/>
        <v>0</v>
      </c>
      <c r="AE1749" s="314">
        <f t="shared" si="469"/>
        <v>0</v>
      </c>
      <c r="AF1749" s="315">
        <f t="shared" si="470"/>
        <v>0</v>
      </c>
      <c r="AG1749" s="316">
        <f t="shared" si="471"/>
        <v>0</v>
      </c>
      <c r="AH1749" s="314">
        <v>1</v>
      </c>
      <c r="AI1749" s="314">
        <f t="shared" si="472"/>
        <v>0</v>
      </c>
      <c r="AJ1749" s="314">
        <f t="shared" si="473"/>
        <v>0</v>
      </c>
      <c r="AK1749" s="317"/>
      <c r="AL1749" s="315">
        <f t="shared" si="474"/>
        <v>0</v>
      </c>
      <c r="AN1749" s="554">
        <f t="shared" si="475"/>
        <v>0</v>
      </c>
      <c r="AO1749" s="314"/>
      <c r="AP1749" s="318"/>
    </row>
    <row r="1750" spans="2:42">
      <c r="B1750" s="296"/>
      <c r="C1750" s="299"/>
      <c r="D1750" s="298"/>
      <c r="E1750" s="299"/>
      <c r="F1750" s="299"/>
      <c r="G1750" s="300"/>
      <c r="H1750" s="303"/>
      <c r="I1750" s="301">
        <f t="shared" si="459"/>
        <v>0</v>
      </c>
      <c r="J1750" s="302">
        <f t="shared" si="460"/>
        <v>0</v>
      </c>
      <c r="K1750" s="304">
        <f t="shared" si="461"/>
        <v>0</v>
      </c>
      <c r="L1750" s="305">
        <f>IF(H1750=0,0,IF(OR(E1750=$AT$5,E1750=$AT$6),AA1750,IF(F1750="MXN",1/HLOOKUP(YEAR(G1750)+(MONTH(G1750)/100),TC!$5:$37,DAY(G1750)+2,FALSE),VLOOKUP(F1750,Equivalencia!$5:$23,((MAX(Equivalencia!$3:$3)-YEAR(G1750))*14)+MONTH(G1750)+2,FALSE))))</f>
        <v>0</v>
      </c>
      <c r="M1750" s="306">
        <f t="shared" si="462"/>
        <v>0</v>
      </c>
      <c r="N1750" s="305">
        <f>IF(G1750=0,0,(IF(OR(E1750=$AT$5,E1750=$AT$6),AC1750,HLOOKUP(YEAR(G1750)+(MONTH(G1750)/100),TC!$5:$37,DAY(G1750)+2,FALSE))))</f>
        <v>0</v>
      </c>
      <c r="O1750" s="307">
        <f t="shared" si="463"/>
        <v>0</v>
      </c>
      <c r="P1750" s="560">
        <f>IF(G1750=0,0,VLOOKUP(YEAR(G1750),INPC!$B$4:$P$30,MONTH(G1750)+2))</f>
        <v>0</v>
      </c>
      <c r="Q1750" s="560">
        <f>IF(X1750=0,0,IF(OR(E1750=$AT$10,E1750=$AT$9),VLOOKUP(YEAR(X1750),INPC!$B$4:$P$30,MONTH(X1750)+1),VLOOKUP(YEAR(X1750),INPC!$B$4:$P$30,MONTH(X1750)+2,0)))</f>
        <v>0</v>
      </c>
      <c r="R1750" s="309">
        <f t="shared" si="464"/>
        <v>0</v>
      </c>
      <c r="S1750" s="310">
        <f t="shared" si="465"/>
        <v>0</v>
      </c>
      <c r="T1750" s="555">
        <f t="shared" si="466"/>
        <v>0</v>
      </c>
      <c r="U1750" s="311"/>
      <c r="V1750" s="312"/>
      <c r="W1750" s="299"/>
      <c r="X1750" s="300"/>
      <c r="Y1750" s="299"/>
      <c r="Z1750" s="303"/>
      <c r="AA1750" s="305">
        <f>IF(Z1750=0,0,IF(Y1750="MXN",1/HLOOKUP(YEAR(X1750)+(MONTH(X1750)/100),TC!$5:$37,DAY(X1750)+2,FALSE),VLOOKUP(Y1750,Equivalencia!$1:$23,((MAX(Equivalencia!$3:$3)-YEAR(X1750))*14)+MONTH(X1750)+2,FALSE)))</f>
        <v>0</v>
      </c>
      <c r="AB1750" s="306">
        <f t="shared" si="467"/>
        <v>0</v>
      </c>
      <c r="AC1750" s="305">
        <f>+IF(X1750=0,0,HLOOKUP(YEAR(X1750)+(MONTH(X1750)/100),TC!$5:$37,DAY(X1750)+2,FALSE))</f>
        <v>0</v>
      </c>
      <c r="AD1750" s="307">
        <f t="shared" si="468"/>
        <v>0</v>
      </c>
      <c r="AE1750" s="314">
        <f t="shared" si="469"/>
        <v>0</v>
      </c>
      <c r="AF1750" s="315">
        <f t="shared" si="470"/>
        <v>0</v>
      </c>
      <c r="AG1750" s="316">
        <f t="shared" si="471"/>
        <v>0</v>
      </c>
      <c r="AH1750" s="314">
        <v>1</v>
      </c>
      <c r="AI1750" s="314">
        <f t="shared" si="472"/>
        <v>0</v>
      </c>
      <c r="AJ1750" s="314">
        <f t="shared" si="473"/>
        <v>0</v>
      </c>
      <c r="AK1750" s="317"/>
      <c r="AL1750" s="315">
        <f t="shared" si="474"/>
        <v>0</v>
      </c>
      <c r="AN1750" s="554">
        <f t="shared" si="475"/>
        <v>0</v>
      </c>
      <c r="AO1750" s="314"/>
      <c r="AP1750" s="318"/>
    </row>
    <row r="1751" spans="2:42">
      <c r="B1751" s="296"/>
      <c r="C1751" s="299"/>
      <c r="D1751" s="298"/>
      <c r="E1751" s="299"/>
      <c r="F1751" s="299"/>
      <c r="G1751" s="300"/>
      <c r="H1751" s="303"/>
      <c r="I1751" s="301">
        <f t="shared" si="459"/>
        <v>0</v>
      </c>
      <c r="J1751" s="302">
        <f t="shared" si="460"/>
        <v>0</v>
      </c>
      <c r="K1751" s="304">
        <f t="shared" si="461"/>
        <v>0</v>
      </c>
      <c r="L1751" s="305">
        <f>IF(H1751=0,0,IF(OR(E1751=$AT$5,E1751=$AT$6),AA1751,IF(F1751="MXN",1/HLOOKUP(YEAR(G1751)+(MONTH(G1751)/100),TC!$5:$37,DAY(G1751)+2,FALSE),VLOOKUP(F1751,Equivalencia!$5:$23,((MAX(Equivalencia!$3:$3)-YEAR(G1751))*14)+MONTH(G1751)+2,FALSE))))</f>
        <v>0</v>
      </c>
      <c r="M1751" s="306">
        <f t="shared" si="462"/>
        <v>0</v>
      </c>
      <c r="N1751" s="305">
        <f>IF(G1751=0,0,(IF(OR(E1751=$AT$5,E1751=$AT$6),AC1751,HLOOKUP(YEAR(G1751)+(MONTH(G1751)/100),TC!$5:$37,DAY(G1751)+2,FALSE))))</f>
        <v>0</v>
      </c>
      <c r="O1751" s="307">
        <f t="shared" si="463"/>
        <v>0</v>
      </c>
      <c r="P1751" s="560">
        <f>IF(G1751=0,0,VLOOKUP(YEAR(G1751),INPC!$B$4:$P$30,MONTH(G1751)+2))</f>
        <v>0</v>
      </c>
      <c r="Q1751" s="560">
        <f>IF(X1751=0,0,IF(OR(E1751=$AT$10,E1751=$AT$9),VLOOKUP(YEAR(X1751),INPC!$B$4:$P$30,MONTH(X1751)+1),VLOOKUP(YEAR(X1751),INPC!$B$4:$P$30,MONTH(X1751)+2,0)))</f>
        <v>0</v>
      </c>
      <c r="R1751" s="309">
        <f t="shared" si="464"/>
        <v>0</v>
      </c>
      <c r="S1751" s="310">
        <f t="shared" si="465"/>
        <v>0</v>
      </c>
      <c r="T1751" s="555">
        <f t="shared" si="466"/>
        <v>0</v>
      </c>
      <c r="U1751" s="311"/>
      <c r="V1751" s="312"/>
      <c r="W1751" s="299"/>
      <c r="X1751" s="300"/>
      <c r="Y1751" s="299"/>
      <c r="Z1751" s="303"/>
      <c r="AA1751" s="305">
        <f>IF(Z1751=0,0,IF(Y1751="MXN",1/HLOOKUP(YEAR(X1751)+(MONTH(X1751)/100),TC!$5:$37,DAY(X1751)+2,FALSE),VLOOKUP(Y1751,Equivalencia!$1:$23,((MAX(Equivalencia!$3:$3)-YEAR(X1751))*14)+MONTH(X1751)+2,FALSE)))</f>
        <v>0</v>
      </c>
      <c r="AB1751" s="306">
        <f t="shared" si="467"/>
        <v>0</v>
      </c>
      <c r="AC1751" s="305">
        <f>+IF(X1751=0,0,HLOOKUP(YEAR(X1751)+(MONTH(X1751)/100),TC!$5:$37,DAY(X1751)+2,FALSE))</f>
        <v>0</v>
      </c>
      <c r="AD1751" s="307">
        <f t="shared" si="468"/>
        <v>0</v>
      </c>
      <c r="AE1751" s="314">
        <f t="shared" si="469"/>
        <v>0</v>
      </c>
      <c r="AF1751" s="315">
        <f t="shared" si="470"/>
        <v>0</v>
      </c>
      <c r="AG1751" s="316">
        <f t="shared" si="471"/>
        <v>0</v>
      </c>
      <c r="AH1751" s="314">
        <v>1</v>
      </c>
      <c r="AI1751" s="314">
        <f t="shared" si="472"/>
        <v>0</v>
      </c>
      <c r="AJ1751" s="314">
        <f t="shared" si="473"/>
        <v>0</v>
      </c>
      <c r="AK1751" s="317"/>
      <c r="AL1751" s="315">
        <f t="shared" si="474"/>
        <v>0</v>
      </c>
      <c r="AN1751" s="554">
        <f t="shared" si="475"/>
        <v>0</v>
      </c>
      <c r="AO1751" s="314"/>
      <c r="AP1751" s="318"/>
    </row>
    <row r="1752" spans="2:42">
      <c r="B1752" s="296"/>
      <c r="C1752" s="299"/>
      <c r="D1752" s="298"/>
      <c r="E1752" s="299"/>
      <c r="F1752" s="299"/>
      <c r="G1752" s="300"/>
      <c r="H1752" s="303"/>
      <c r="I1752" s="301">
        <f t="shared" si="459"/>
        <v>0</v>
      </c>
      <c r="J1752" s="302">
        <f t="shared" si="460"/>
        <v>0</v>
      </c>
      <c r="K1752" s="304">
        <f t="shared" si="461"/>
        <v>0</v>
      </c>
      <c r="L1752" s="305">
        <f>IF(H1752=0,0,IF(OR(E1752=$AT$5,E1752=$AT$6),AA1752,IF(F1752="MXN",1/HLOOKUP(YEAR(G1752)+(MONTH(G1752)/100),TC!$5:$37,DAY(G1752)+2,FALSE),VLOOKUP(F1752,Equivalencia!$5:$23,((MAX(Equivalencia!$3:$3)-YEAR(G1752))*14)+MONTH(G1752)+2,FALSE))))</f>
        <v>0</v>
      </c>
      <c r="M1752" s="306">
        <f t="shared" si="462"/>
        <v>0</v>
      </c>
      <c r="N1752" s="305">
        <f>IF(G1752=0,0,(IF(OR(E1752=$AT$5,E1752=$AT$6),AC1752,HLOOKUP(YEAR(G1752)+(MONTH(G1752)/100),TC!$5:$37,DAY(G1752)+2,FALSE))))</f>
        <v>0</v>
      </c>
      <c r="O1752" s="307">
        <f t="shared" si="463"/>
        <v>0</v>
      </c>
      <c r="P1752" s="560">
        <f>IF(G1752=0,0,VLOOKUP(YEAR(G1752),INPC!$B$4:$P$30,MONTH(G1752)+2))</f>
        <v>0</v>
      </c>
      <c r="Q1752" s="560">
        <f>IF(X1752=0,0,IF(OR(E1752=$AT$10,E1752=$AT$9),VLOOKUP(YEAR(X1752),INPC!$B$4:$P$30,MONTH(X1752)+1),VLOOKUP(YEAR(X1752),INPC!$B$4:$P$30,MONTH(X1752)+2,0)))</f>
        <v>0</v>
      </c>
      <c r="R1752" s="309">
        <f t="shared" si="464"/>
        <v>0</v>
      </c>
      <c r="S1752" s="310">
        <f t="shared" si="465"/>
        <v>0</v>
      </c>
      <c r="T1752" s="555">
        <f t="shared" si="466"/>
        <v>0</v>
      </c>
      <c r="U1752" s="311"/>
      <c r="V1752" s="312"/>
      <c r="W1752" s="299"/>
      <c r="X1752" s="300"/>
      <c r="Y1752" s="299"/>
      <c r="Z1752" s="303"/>
      <c r="AA1752" s="305">
        <f>IF(Z1752=0,0,IF(Y1752="MXN",1/HLOOKUP(YEAR(X1752)+(MONTH(X1752)/100),TC!$5:$37,DAY(X1752)+2,FALSE),VLOOKUP(Y1752,Equivalencia!$1:$23,((MAX(Equivalencia!$3:$3)-YEAR(X1752))*14)+MONTH(X1752)+2,FALSE)))</f>
        <v>0</v>
      </c>
      <c r="AB1752" s="306">
        <f t="shared" si="467"/>
        <v>0</v>
      </c>
      <c r="AC1752" s="305">
        <f>+IF(X1752=0,0,HLOOKUP(YEAR(X1752)+(MONTH(X1752)/100),TC!$5:$37,DAY(X1752)+2,FALSE))</f>
        <v>0</v>
      </c>
      <c r="AD1752" s="307">
        <f t="shared" si="468"/>
        <v>0</v>
      </c>
      <c r="AE1752" s="314">
        <f t="shared" si="469"/>
        <v>0</v>
      </c>
      <c r="AF1752" s="315">
        <f t="shared" si="470"/>
        <v>0</v>
      </c>
      <c r="AG1752" s="316">
        <f t="shared" si="471"/>
        <v>0</v>
      </c>
      <c r="AH1752" s="314">
        <v>1</v>
      </c>
      <c r="AI1752" s="314">
        <f t="shared" si="472"/>
        <v>0</v>
      </c>
      <c r="AJ1752" s="314">
        <f t="shared" si="473"/>
        <v>0</v>
      </c>
      <c r="AK1752" s="317"/>
      <c r="AL1752" s="315">
        <f t="shared" si="474"/>
        <v>0</v>
      </c>
      <c r="AN1752" s="554">
        <f t="shared" si="475"/>
        <v>0</v>
      </c>
      <c r="AO1752" s="314"/>
      <c r="AP1752" s="318"/>
    </row>
    <row r="1753" spans="2:42">
      <c r="B1753" s="296"/>
      <c r="C1753" s="299"/>
      <c r="D1753" s="298"/>
      <c r="E1753" s="299"/>
      <c r="F1753" s="299"/>
      <c r="G1753" s="300"/>
      <c r="H1753" s="303"/>
      <c r="I1753" s="301">
        <f t="shared" si="459"/>
        <v>0</v>
      </c>
      <c r="J1753" s="302">
        <f t="shared" si="460"/>
        <v>0</v>
      </c>
      <c r="K1753" s="304">
        <f t="shared" si="461"/>
        <v>0</v>
      </c>
      <c r="L1753" s="305">
        <f>IF(H1753=0,0,IF(OR(E1753=$AT$5,E1753=$AT$6),AA1753,IF(F1753="MXN",1/HLOOKUP(YEAR(G1753)+(MONTH(G1753)/100),TC!$5:$37,DAY(G1753)+2,FALSE),VLOOKUP(F1753,Equivalencia!$5:$23,((MAX(Equivalencia!$3:$3)-YEAR(G1753))*14)+MONTH(G1753)+2,FALSE))))</f>
        <v>0</v>
      </c>
      <c r="M1753" s="306">
        <f t="shared" si="462"/>
        <v>0</v>
      </c>
      <c r="N1753" s="305">
        <f>IF(G1753=0,0,(IF(OR(E1753=$AT$5,E1753=$AT$6),AC1753,HLOOKUP(YEAR(G1753)+(MONTH(G1753)/100),TC!$5:$37,DAY(G1753)+2,FALSE))))</f>
        <v>0</v>
      </c>
      <c r="O1753" s="307">
        <f t="shared" si="463"/>
        <v>0</v>
      </c>
      <c r="P1753" s="560">
        <f>IF(G1753=0,0,VLOOKUP(YEAR(G1753),INPC!$B$4:$P$30,MONTH(G1753)+2))</f>
        <v>0</v>
      </c>
      <c r="Q1753" s="560">
        <f>IF(X1753=0,0,IF(OR(E1753=$AT$10,E1753=$AT$9),VLOOKUP(YEAR(X1753),INPC!$B$4:$P$30,MONTH(X1753)+1),VLOOKUP(YEAR(X1753),INPC!$B$4:$P$30,MONTH(X1753)+2,0)))</f>
        <v>0</v>
      </c>
      <c r="R1753" s="309">
        <f t="shared" si="464"/>
        <v>0</v>
      </c>
      <c r="S1753" s="310">
        <f t="shared" si="465"/>
        <v>0</v>
      </c>
      <c r="T1753" s="555">
        <f t="shared" si="466"/>
        <v>0</v>
      </c>
      <c r="U1753" s="311"/>
      <c r="V1753" s="312"/>
      <c r="W1753" s="299"/>
      <c r="X1753" s="300"/>
      <c r="Y1753" s="299"/>
      <c r="Z1753" s="303"/>
      <c r="AA1753" s="305">
        <f>IF(Z1753=0,0,IF(Y1753="MXN",1/HLOOKUP(YEAR(X1753)+(MONTH(X1753)/100),TC!$5:$37,DAY(X1753)+2,FALSE),VLOOKUP(Y1753,Equivalencia!$1:$23,((MAX(Equivalencia!$3:$3)-YEAR(X1753))*14)+MONTH(X1753)+2,FALSE)))</f>
        <v>0</v>
      </c>
      <c r="AB1753" s="306">
        <f t="shared" si="467"/>
        <v>0</v>
      </c>
      <c r="AC1753" s="305">
        <f>+IF(X1753=0,0,HLOOKUP(YEAR(X1753)+(MONTH(X1753)/100),TC!$5:$37,DAY(X1753)+2,FALSE))</f>
        <v>0</v>
      </c>
      <c r="AD1753" s="307">
        <f t="shared" si="468"/>
        <v>0</v>
      </c>
      <c r="AE1753" s="314">
        <f t="shared" si="469"/>
        <v>0</v>
      </c>
      <c r="AF1753" s="315">
        <f t="shared" si="470"/>
        <v>0</v>
      </c>
      <c r="AG1753" s="316">
        <f t="shared" si="471"/>
        <v>0</v>
      </c>
      <c r="AH1753" s="314">
        <v>1</v>
      </c>
      <c r="AI1753" s="314">
        <f t="shared" si="472"/>
        <v>0</v>
      </c>
      <c r="AJ1753" s="314">
        <f t="shared" si="473"/>
        <v>0</v>
      </c>
      <c r="AK1753" s="317"/>
      <c r="AL1753" s="315">
        <f t="shared" si="474"/>
        <v>0</v>
      </c>
      <c r="AN1753" s="554">
        <f t="shared" si="475"/>
        <v>0</v>
      </c>
      <c r="AO1753" s="314"/>
      <c r="AP1753" s="318"/>
    </row>
    <row r="1754" spans="2:42">
      <c r="B1754" s="296"/>
      <c r="C1754" s="299"/>
      <c r="D1754" s="298"/>
      <c r="E1754" s="299"/>
      <c r="F1754" s="299"/>
      <c r="G1754" s="300"/>
      <c r="H1754" s="303"/>
      <c r="I1754" s="301">
        <f t="shared" si="459"/>
        <v>0</v>
      </c>
      <c r="J1754" s="302">
        <f t="shared" si="460"/>
        <v>0</v>
      </c>
      <c r="K1754" s="304">
        <f t="shared" si="461"/>
        <v>0</v>
      </c>
      <c r="L1754" s="305">
        <f>IF(H1754=0,0,IF(OR(E1754=$AT$5,E1754=$AT$6),AA1754,IF(F1754="MXN",1/HLOOKUP(YEAR(G1754)+(MONTH(G1754)/100),TC!$5:$37,DAY(G1754)+2,FALSE),VLOOKUP(F1754,Equivalencia!$5:$23,((MAX(Equivalencia!$3:$3)-YEAR(G1754))*14)+MONTH(G1754)+2,FALSE))))</f>
        <v>0</v>
      </c>
      <c r="M1754" s="306">
        <f t="shared" si="462"/>
        <v>0</v>
      </c>
      <c r="N1754" s="305">
        <f>IF(G1754=0,0,(IF(OR(E1754=$AT$5,E1754=$AT$6),AC1754,HLOOKUP(YEAR(G1754)+(MONTH(G1754)/100),TC!$5:$37,DAY(G1754)+2,FALSE))))</f>
        <v>0</v>
      </c>
      <c r="O1754" s="307">
        <f t="shared" si="463"/>
        <v>0</v>
      </c>
      <c r="P1754" s="560">
        <f>IF(G1754=0,0,VLOOKUP(YEAR(G1754),INPC!$B$4:$P$30,MONTH(G1754)+2))</f>
        <v>0</v>
      </c>
      <c r="Q1754" s="560">
        <f>IF(X1754=0,0,IF(OR(E1754=$AT$10,E1754=$AT$9),VLOOKUP(YEAR(X1754),INPC!$B$4:$P$30,MONTH(X1754)+1),VLOOKUP(YEAR(X1754),INPC!$B$4:$P$30,MONTH(X1754)+2,0)))</f>
        <v>0</v>
      </c>
      <c r="R1754" s="309">
        <f t="shared" si="464"/>
        <v>0</v>
      </c>
      <c r="S1754" s="310">
        <f t="shared" si="465"/>
        <v>0</v>
      </c>
      <c r="T1754" s="555">
        <f t="shared" si="466"/>
        <v>0</v>
      </c>
      <c r="U1754" s="311"/>
      <c r="V1754" s="312"/>
      <c r="W1754" s="299"/>
      <c r="X1754" s="300"/>
      <c r="Y1754" s="299"/>
      <c r="Z1754" s="303"/>
      <c r="AA1754" s="305">
        <f>IF(Z1754=0,0,IF(Y1754="MXN",1/HLOOKUP(YEAR(X1754)+(MONTH(X1754)/100),TC!$5:$37,DAY(X1754)+2,FALSE),VLOOKUP(Y1754,Equivalencia!$1:$23,((MAX(Equivalencia!$3:$3)-YEAR(X1754))*14)+MONTH(X1754)+2,FALSE)))</f>
        <v>0</v>
      </c>
      <c r="AB1754" s="306">
        <f t="shared" si="467"/>
        <v>0</v>
      </c>
      <c r="AC1754" s="305">
        <f>+IF(X1754=0,0,HLOOKUP(YEAR(X1754)+(MONTH(X1754)/100),TC!$5:$37,DAY(X1754)+2,FALSE))</f>
        <v>0</v>
      </c>
      <c r="AD1754" s="307">
        <f t="shared" si="468"/>
        <v>0</v>
      </c>
      <c r="AE1754" s="314">
        <f t="shared" si="469"/>
        <v>0</v>
      </c>
      <c r="AF1754" s="315">
        <f t="shared" si="470"/>
        <v>0</v>
      </c>
      <c r="AG1754" s="316">
        <f t="shared" si="471"/>
        <v>0</v>
      </c>
      <c r="AH1754" s="314">
        <v>1</v>
      </c>
      <c r="AI1754" s="314">
        <f t="shared" si="472"/>
        <v>0</v>
      </c>
      <c r="AJ1754" s="314">
        <f t="shared" si="473"/>
        <v>0</v>
      </c>
      <c r="AK1754" s="317"/>
      <c r="AL1754" s="315">
        <f t="shared" si="474"/>
        <v>0</v>
      </c>
      <c r="AN1754" s="554">
        <f t="shared" si="475"/>
        <v>0</v>
      </c>
      <c r="AO1754" s="314"/>
      <c r="AP1754" s="318"/>
    </row>
    <row r="1755" spans="2:42">
      <c r="B1755" s="296"/>
      <c r="C1755" s="299"/>
      <c r="D1755" s="298"/>
      <c r="E1755" s="299"/>
      <c r="F1755" s="299"/>
      <c r="G1755" s="300"/>
      <c r="H1755" s="303"/>
      <c r="I1755" s="301">
        <f t="shared" si="459"/>
        <v>0</v>
      </c>
      <c r="J1755" s="302">
        <f t="shared" si="460"/>
        <v>0</v>
      </c>
      <c r="K1755" s="304">
        <f t="shared" si="461"/>
        <v>0</v>
      </c>
      <c r="L1755" s="305">
        <f>IF(H1755=0,0,IF(OR(E1755=$AT$5,E1755=$AT$6),AA1755,IF(F1755="MXN",1/HLOOKUP(YEAR(G1755)+(MONTH(G1755)/100),TC!$5:$37,DAY(G1755)+2,FALSE),VLOOKUP(F1755,Equivalencia!$5:$23,((MAX(Equivalencia!$3:$3)-YEAR(G1755))*14)+MONTH(G1755)+2,FALSE))))</f>
        <v>0</v>
      </c>
      <c r="M1755" s="306">
        <f t="shared" si="462"/>
        <v>0</v>
      </c>
      <c r="N1755" s="305">
        <f>IF(G1755=0,0,(IF(OR(E1755=$AT$5,E1755=$AT$6),AC1755,HLOOKUP(YEAR(G1755)+(MONTH(G1755)/100),TC!$5:$37,DAY(G1755)+2,FALSE))))</f>
        <v>0</v>
      </c>
      <c r="O1755" s="307">
        <f t="shared" si="463"/>
        <v>0</v>
      </c>
      <c r="P1755" s="560">
        <f>IF(G1755=0,0,VLOOKUP(YEAR(G1755),INPC!$B$4:$P$30,MONTH(G1755)+2))</f>
        <v>0</v>
      </c>
      <c r="Q1755" s="560">
        <f>IF(X1755=0,0,IF(OR(E1755=$AT$10,E1755=$AT$9),VLOOKUP(YEAR(X1755),INPC!$B$4:$P$30,MONTH(X1755)+1),VLOOKUP(YEAR(X1755),INPC!$B$4:$P$30,MONTH(X1755)+2,0)))</f>
        <v>0</v>
      </c>
      <c r="R1755" s="309">
        <f t="shared" si="464"/>
        <v>0</v>
      </c>
      <c r="S1755" s="310">
        <f t="shared" si="465"/>
        <v>0</v>
      </c>
      <c r="T1755" s="555">
        <f t="shared" si="466"/>
        <v>0</v>
      </c>
      <c r="U1755" s="311"/>
      <c r="V1755" s="312"/>
      <c r="W1755" s="299"/>
      <c r="X1755" s="300"/>
      <c r="Y1755" s="299"/>
      <c r="Z1755" s="303"/>
      <c r="AA1755" s="305">
        <f>IF(Z1755=0,0,IF(Y1755="MXN",1/HLOOKUP(YEAR(X1755)+(MONTH(X1755)/100),TC!$5:$37,DAY(X1755)+2,FALSE),VLOOKUP(Y1755,Equivalencia!$1:$23,((MAX(Equivalencia!$3:$3)-YEAR(X1755))*14)+MONTH(X1755)+2,FALSE)))</f>
        <v>0</v>
      </c>
      <c r="AB1755" s="306">
        <f t="shared" si="467"/>
        <v>0</v>
      </c>
      <c r="AC1755" s="305">
        <f>+IF(X1755=0,0,HLOOKUP(YEAR(X1755)+(MONTH(X1755)/100),TC!$5:$37,DAY(X1755)+2,FALSE))</f>
        <v>0</v>
      </c>
      <c r="AD1755" s="307">
        <f t="shared" si="468"/>
        <v>0</v>
      </c>
      <c r="AE1755" s="314">
        <f t="shared" si="469"/>
        <v>0</v>
      </c>
      <c r="AF1755" s="315">
        <f t="shared" si="470"/>
        <v>0</v>
      </c>
      <c r="AG1755" s="316">
        <f t="shared" si="471"/>
        <v>0</v>
      </c>
      <c r="AH1755" s="314">
        <v>1</v>
      </c>
      <c r="AI1755" s="314">
        <f t="shared" si="472"/>
        <v>0</v>
      </c>
      <c r="AJ1755" s="314">
        <f t="shared" si="473"/>
        <v>0</v>
      </c>
      <c r="AK1755" s="317"/>
      <c r="AL1755" s="315">
        <f t="shared" si="474"/>
        <v>0</v>
      </c>
      <c r="AN1755" s="554">
        <f t="shared" si="475"/>
        <v>0</v>
      </c>
      <c r="AO1755" s="314"/>
      <c r="AP1755" s="318"/>
    </row>
    <row r="1756" spans="2:42">
      <c r="B1756" s="296"/>
      <c r="C1756" s="299"/>
      <c r="D1756" s="298"/>
      <c r="E1756" s="299"/>
      <c r="F1756" s="299"/>
      <c r="G1756" s="300"/>
      <c r="H1756" s="303"/>
      <c r="I1756" s="301">
        <f t="shared" si="459"/>
        <v>0</v>
      </c>
      <c r="J1756" s="302">
        <f t="shared" si="460"/>
        <v>0</v>
      </c>
      <c r="K1756" s="304">
        <f t="shared" si="461"/>
        <v>0</v>
      </c>
      <c r="L1756" s="305">
        <f>IF(H1756=0,0,IF(OR(E1756=$AT$5,E1756=$AT$6),AA1756,IF(F1756="MXN",1/HLOOKUP(YEAR(G1756)+(MONTH(G1756)/100),TC!$5:$37,DAY(G1756)+2,FALSE),VLOOKUP(F1756,Equivalencia!$5:$23,((MAX(Equivalencia!$3:$3)-YEAR(G1756))*14)+MONTH(G1756)+2,FALSE))))</f>
        <v>0</v>
      </c>
      <c r="M1756" s="306">
        <f t="shared" si="462"/>
        <v>0</v>
      </c>
      <c r="N1756" s="305">
        <f>IF(G1756=0,0,(IF(OR(E1756=$AT$5,E1756=$AT$6),AC1756,HLOOKUP(YEAR(G1756)+(MONTH(G1756)/100),TC!$5:$37,DAY(G1756)+2,FALSE))))</f>
        <v>0</v>
      </c>
      <c r="O1756" s="307">
        <f t="shared" si="463"/>
        <v>0</v>
      </c>
      <c r="P1756" s="560">
        <f>IF(G1756=0,0,VLOOKUP(YEAR(G1756),INPC!$B$4:$P$30,MONTH(G1756)+2))</f>
        <v>0</v>
      </c>
      <c r="Q1756" s="560">
        <f>IF(X1756=0,0,IF(OR(E1756=$AT$10,E1756=$AT$9),VLOOKUP(YEAR(X1756),INPC!$B$4:$P$30,MONTH(X1756)+1),VLOOKUP(YEAR(X1756),INPC!$B$4:$P$30,MONTH(X1756)+2,0)))</f>
        <v>0</v>
      </c>
      <c r="R1756" s="309">
        <f t="shared" si="464"/>
        <v>0</v>
      </c>
      <c r="S1756" s="310">
        <f t="shared" si="465"/>
        <v>0</v>
      </c>
      <c r="T1756" s="555">
        <f t="shared" si="466"/>
        <v>0</v>
      </c>
      <c r="U1756" s="311"/>
      <c r="V1756" s="312"/>
      <c r="W1756" s="299"/>
      <c r="X1756" s="300"/>
      <c r="Y1756" s="299"/>
      <c r="Z1756" s="303"/>
      <c r="AA1756" s="305">
        <f>IF(Z1756=0,0,IF(Y1756="MXN",1/HLOOKUP(YEAR(X1756)+(MONTH(X1756)/100),TC!$5:$37,DAY(X1756)+2,FALSE),VLOOKUP(Y1756,Equivalencia!$1:$23,((MAX(Equivalencia!$3:$3)-YEAR(X1756))*14)+MONTH(X1756)+2,FALSE)))</f>
        <v>0</v>
      </c>
      <c r="AB1756" s="306">
        <f t="shared" si="467"/>
        <v>0</v>
      </c>
      <c r="AC1756" s="305">
        <f>+IF(X1756=0,0,HLOOKUP(YEAR(X1756)+(MONTH(X1756)/100),TC!$5:$37,DAY(X1756)+2,FALSE))</f>
        <v>0</v>
      </c>
      <c r="AD1756" s="307">
        <f t="shared" si="468"/>
        <v>0</v>
      </c>
      <c r="AE1756" s="314">
        <f t="shared" si="469"/>
        <v>0</v>
      </c>
      <c r="AF1756" s="315">
        <f t="shared" si="470"/>
        <v>0</v>
      </c>
      <c r="AG1756" s="316">
        <f t="shared" si="471"/>
        <v>0</v>
      </c>
      <c r="AH1756" s="314">
        <v>1</v>
      </c>
      <c r="AI1756" s="314">
        <f t="shared" si="472"/>
        <v>0</v>
      </c>
      <c r="AJ1756" s="314">
        <f t="shared" si="473"/>
        <v>0</v>
      </c>
      <c r="AK1756" s="317"/>
      <c r="AL1756" s="315">
        <f t="shared" si="474"/>
        <v>0</v>
      </c>
      <c r="AN1756" s="554">
        <f t="shared" si="475"/>
        <v>0</v>
      </c>
      <c r="AO1756" s="314"/>
      <c r="AP1756" s="318"/>
    </row>
    <row r="1757" spans="2:42">
      <c r="B1757" s="296"/>
      <c r="C1757" s="299"/>
      <c r="D1757" s="298"/>
      <c r="E1757" s="299"/>
      <c r="F1757" s="299"/>
      <c r="G1757" s="300"/>
      <c r="H1757" s="303"/>
      <c r="I1757" s="301">
        <f t="shared" si="459"/>
        <v>0</v>
      </c>
      <c r="J1757" s="302">
        <f t="shared" si="460"/>
        <v>0</v>
      </c>
      <c r="K1757" s="304">
        <f t="shared" si="461"/>
        <v>0</v>
      </c>
      <c r="L1757" s="305">
        <f>IF(H1757=0,0,IF(OR(E1757=$AT$5,E1757=$AT$6),AA1757,IF(F1757="MXN",1/HLOOKUP(YEAR(G1757)+(MONTH(G1757)/100),TC!$5:$37,DAY(G1757)+2,FALSE),VLOOKUP(F1757,Equivalencia!$5:$23,((MAX(Equivalencia!$3:$3)-YEAR(G1757))*14)+MONTH(G1757)+2,FALSE))))</f>
        <v>0</v>
      </c>
      <c r="M1757" s="306">
        <f t="shared" si="462"/>
        <v>0</v>
      </c>
      <c r="N1757" s="305">
        <f>IF(G1757=0,0,(IF(OR(E1757=$AT$5,E1757=$AT$6),AC1757,HLOOKUP(YEAR(G1757)+(MONTH(G1757)/100),TC!$5:$37,DAY(G1757)+2,FALSE))))</f>
        <v>0</v>
      </c>
      <c r="O1757" s="307">
        <f t="shared" si="463"/>
        <v>0</v>
      </c>
      <c r="P1757" s="560">
        <f>IF(G1757=0,0,VLOOKUP(YEAR(G1757),INPC!$B$4:$P$30,MONTH(G1757)+2))</f>
        <v>0</v>
      </c>
      <c r="Q1757" s="560">
        <f>IF(X1757=0,0,IF(OR(E1757=$AT$10,E1757=$AT$9),VLOOKUP(YEAR(X1757),INPC!$B$4:$P$30,MONTH(X1757)+1),VLOOKUP(YEAR(X1757),INPC!$B$4:$P$30,MONTH(X1757)+2,0)))</f>
        <v>0</v>
      </c>
      <c r="R1757" s="309">
        <f t="shared" si="464"/>
        <v>0</v>
      </c>
      <c r="S1757" s="310">
        <f t="shared" si="465"/>
        <v>0</v>
      </c>
      <c r="T1757" s="555">
        <f t="shared" si="466"/>
        <v>0</v>
      </c>
      <c r="U1757" s="311"/>
      <c r="V1757" s="312"/>
      <c r="W1757" s="299"/>
      <c r="X1757" s="300"/>
      <c r="Y1757" s="299"/>
      <c r="Z1757" s="303"/>
      <c r="AA1757" s="305">
        <f>IF(Z1757=0,0,IF(Y1757="MXN",1/HLOOKUP(YEAR(X1757)+(MONTH(X1757)/100),TC!$5:$37,DAY(X1757)+2,FALSE),VLOOKUP(Y1757,Equivalencia!$1:$23,((MAX(Equivalencia!$3:$3)-YEAR(X1757))*14)+MONTH(X1757)+2,FALSE)))</f>
        <v>0</v>
      </c>
      <c r="AB1757" s="306">
        <f t="shared" si="467"/>
        <v>0</v>
      </c>
      <c r="AC1757" s="305">
        <f>+IF(X1757=0,0,HLOOKUP(YEAR(X1757)+(MONTH(X1757)/100),TC!$5:$37,DAY(X1757)+2,FALSE))</f>
        <v>0</v>
      </c>
      <c r="AD1757" s="307">
        <f t="shared" si="468"/>
        <v>0</v>
      </c>
      <c r="AE1757" s="314">
        <f t="shared" si="469"/>
        <v>0</v>
      </c>
      <c r="AF1757" s="315">
        <f t="shared" si="470"/>
        <v>0</v>
      </c>
      <c r="AG1757" s="316">
        <f t="shared" si="471"/>
        <v>0</v>
      </c>
      <c r="AH1757" s="314">
        <v>1</v>
      </c>
      <c r="AI1757" s="314">
        <f t="shared" si="472"/>
        <v>0</v>
      </c>
      <c r="AJ1757" s="314">
        <f t="shared" si="473"/>
        <v>0</v>
      </c>
      <c r="AK1757" s="317"/>
      <c r="AL1757" s="315">
        <f t="shared" si="474"/>
        <v>0</v>
      </c>
      <c r="AN1757" s="554">
        <f t="shared" si="475"/>
        <v>0</v>
      </c>
      <c r="AO1757" s="314"/>
      <c r="AP1757" s="318"/>
    </row>
    <row r="1758" spans="2:42">
      <c r="B1758" s="296"/>
      <c r="C1758" s="299"/>
      <c r="D1758" s="298"/>
      <c r="E1758" s="299"/>
      <c r="F1758" s="299"/>
      <c r="G1758" s="300"/>
      <c r="H1758" s="303"/>
      <c r="I1758" s="301">
        <f t="shared" si="459"/>
        <v>0</v>
      </c>
      <c r="J1758" s="302">
        <f t="shared" si="460"/>
        <v>0</v>
      </c>
      <c r="K1758" s="304">
        <f t="shared" si="461"/>
        <v>0</v>
      </c>
      <c r="L1758" s="305">
        <f>IF(H1758=0,0,IF(OR(E1758=$AT$5,E1758=$AT$6),AA1758,IF(F1758="MXN",1/HLOOKUP(YEAR(G1758)+(MONTH(G1758)/100),TC!$5:$37,DAY(G1758)+2,FALSE),VLOOKUP(F1758,Equivalencia!$5:$23,((MAX(Equivalencia!$3:$3)-YEAR(G1758))*14)+MONTH(G1758)+2,FALSE))))</f>
        <v>0</v>
      </c>
      <c r="M1758" s="306">
        <f t="shared" si="462"/>
        <v>0</v>
      </c>
      <c r="N1758" s="305">
        <f>IF(G1758=0,0,(IF(OR(E1758=$AT$5,E1758=$AT$6),AC1758,HLOOKUP(YEAR(G1758)+(MONTH(G1758)/100),TC!$5:$37,DAY(G1758)+2,FALSE))))</f>
        <v>0</v>
      </c>
      <c r="O1758" s="307">
        <f t="shared" si="463"/>
        <v>0</v>
      </c>
      <c r="P1758" s="560">
        <f>IF(G1758=0,0,VLOOKUP(YEAR(G1758),INPC!$B$4:$P$30,MONTH(G1758)+2))</f>
        <v>0</v>
      </c>
      <c r="Q1758" s="560">
        <f>IF(X1758=0,0,IF(OR(E1758=$AT$10,E1758=$AT$9),VLOOKUP(YEAR(X1758),INPC!$B$4:$P$30,MONTH(X1758)+1),VLOOKUP(YEAR(X1758),INPC!$B$4:$P$30,MONTH(X1758)+2,0)))</f>
        <v>0</v>
      </c>
      <c r="R1758" s="309">
        <f t="shared" si="464"/>
        <v>0</v>
      </c>
      <c r="S1758" s="310">
        <f t="shared" si="465"/>
        <v>0</v>
      </c>
      <c r="T1758" s="555">
        <f t="shared" si="466"/>
        <v>0</v>
      </c>
      <c r="U1758" s="311"/>
      <c r="V1758" s="312"/>
      <c r="W1758" s="299"/>
      <c r="X1758" s="300"/>
      <c r="Y1758" s="299"/>
      <c r="Z1758" s="303"/>
      <c r="AA1758" s="305">
        <f>IF(Z1758=0,0,IF(Y1758="MXN",1/HLOOKUP(YEAR(X1758)+(MONTH(X1758)/100),TC!$5:$37,DAY(X1758)+2,FALSE),VLOOKUP(Y1758,Equivalencia!$1:$23,((MAX(Equivalencia!$3:$3)-YEAR(X1758))*14)+MONTH(X1758)+2,FALSE)))</f>
        <v>0</v>
      </c>
      <c r="AB1758" s="306">
        <f t="shared" si="467"/>
        <v>0</v>
      </c>
      <c r="AC1758" s="305">
        <f>+IF(X1758=0,0,HLOOKUP(YEAR(X1758)+(MONTH(X1758)/100),TC!$5:$37,DAY(X1758)+2,FALSE))</f>
        <v>0</v>
      </c>
      <c r="AD1758" s="307">
        <f t="shared" si="468"/>
        <v>0</v>
      </c>
      <c r="AE1758" s="314">
        <f t="shared" si="469"/>
        <v>0</v>
      </c>
      <c r="AF1758" s="315">
        <f t="shared" si="470"/>
        <v>0</v>
      </c>
      <c r="AG1758" s="316">
        <f t="shared" si="471"/>
        <v>0</v>
      </c>
      <c r="AH1758" s="314">
        <v>1</v>
      </c>
      <c r="AI1758" s="314">
        <f t="shared" si="472"/>
        <v>0</v>
      </c>
      <c r="AJ1758" s="314">
        <f t="shared" si="473"/>
        <v>0</v>
      </c>
      <c r="AK1758" s="317"/>
      <c r="AL1758" s="315">
        <f t="shared" si="474"/>
        <v>0</v>
      </c>
      <c r="AN1758" s="554">
        <f t="shared" si="475"/>
        <v>0</v>
      </c>
      <c r="AO1758" s="314"/>
      <c r="AP1758" s="318"/>
    </row>
    <row r="1759" spans="2:42">
      <c r="B1759" s="296"/>
      <c r="C1759" s="299"/>
      <c r="D1759" s="298"/>
      <c r="E1759" s="299"/>
      <c r="F1759" s="299"/>
      <c r="G1759" s="300"/>
      <c r="H1759" s="303"/>
      <c r="I1759" s="301">
        <f t="shared" si="459"/>
        <v>0</v>
      </c>
      <c r="J1759" s="302">
        <f t="shared" si="460"/>
        <v>0</v>
      </c>
      <c r="K1759" s="304">
        <f t="shared" si="461"/>
        <v>0</v>
      </c>
      <c r="L1759" s="305">
        <f>IF(H1759=0,0,IF(OR(E1759=$AT$5,E1759=$AT$6),AA1759,IF(F1759="MXN",1/HLOOKUP(YEAR(G1759)+(MONTH(G1759)/100),TC!$5:$37,DAY(G1759)+2,FALSE),VLOOKUP(F1759,Equivalencia!$5:$23,((MAX(Equivalencia!$3:$3)-YEAR(G1759))*14)+MONTH(G1759)+2,FALSE))))</f>
        <v>0</v>
      </c>
      <c r="M1759" s="306">
        <f t="shared" si="462"/>
        <v>0</v>
      </c>
      <c r="N1759" s="305">
        <f>IF(G1759=0,0,(IF(OR(E1759=$AT$5,E1759=$AT$6),AC1759,HLOOKUP(YEAR(G1759)+(MONTH(G1759)/100),TC!$5:$37,DAY(G1759)+2,FALSE))))</f>
        <v>0</v>
      </c>
      <c r="O1759" s="307">
        <f t="shared" si="463"/>
        <v>0</v>
      </c>
      <c r="P1759" s="560">
        <f>IF(G1759=0,0,VLOOKUP(YEAR(G1759),INPC!$B$4:$P$30,MONTH(G1759)+2))</f>
        <v>0</v>
      </c>
      <c r="Q1759" s="560">
        <f>IF(X1759=0,0,IF(OR(E1759=$AT$10,E1759=$AT$9),VLOOKUP(YEAR(X1759),INPC!$B$4:$P$30,MONTH(X1759)+1),VLOOKUP(YEAR(X1759),INPC!$B$4:$P$30,MONTH(X1759)+2,0)))</f>
        <v>0</v>
      </c>
      <c r="R1759" s="309">
        <f t="shared" si="464"/>
        <v>0</v>
      </c>
      <c r="S1759" s="310">
        <f t="shared" si="465"/>
        <v>0</v>
      </c>
      <c r="T1759" s="555">
        <f t="shared" si="466"/>
        <v>0</v>
      </c>
      <c r="U1759" s="311"/>
      <c r="V1759" s="312"/>
      <c r="W1759" s="299"/>
      <c r="X1759" s="300"/>
      <c r="Y1759" s="299"/>
      <c r="Z1759" s="303"/>
      <c r="AA1759" s="305">
        <f>IF(Z1759=0,0,IF(Y1759="MXN",1/HLOOKUP(YEAR(X1759)+(MONTH(X1759)/100),TC!$5:$37,DAY(X1759)+2,FALSE),VLOOKUP(Y1759,Equivalencia!$1:$23,((MAX(Equivalencia!$3:$3)-YEAR(X1759))*14)+MONTH(X1759)+2,FALSE)))</f>
        <v>0</v>
      </c>
      <c r="AB1759" s="306">
        <f t="shared" si="467"/>
        <v>0</v>
      </c>
      <c r="AC1759" s="305">
        <f>+IF(X1759=0,0,HLOOKUP(YEAR(X1759)+(MONTH(X1759)/100),TC!$5:$37,DAY(X1759)+2,FALSE))</f>
        <v>0</v>
      </c>
      <c r="AD1759" s="307">
        <f t="shared" si="468"/>
        <v>0</v>
      </c>
      <c r="AE1759" s="314">
        <f t="shared" si="469"/>
        <v>0</v>
      </c>
      <c r="AF1759" s="315">
        <f t="shared" si="470"/>
        <v>0</v>
      </c>
      <c r="AG1759" s="316">
        <f t="shared" si="471"/>
        <v>0</v>
      </c>
      <c r="AH1759" s="314">
        <v>1</v>
      </c>
      <c r="AI1759" s="314">
        <f t="shared" si="472"/>
        <v>0</v>
      </c>
      <c r="AJ1759" s="314">
        <f t="shared" si="473"/>
        <v>0</v>
      </c>
      <c r="AK1759" s="317"/>
      <c r="AL1759" s="315">
        <f t="shared" si="474"/>
        <v>0</v>
      </c>
      <c r="AN1759" s="554">
        <f t="shared" si="475"/>
        <v>0</v>
      </c>
      <c r="AO1759" s="314"/>
      <c r="AP1759" s="318"/>
    </row>
    <row r="1760" spans="2:42">
      <c r="B1760" s="296"/>
      <c r="C1760" s="299"/>
      <c r="D1760" s="298"/>
      <c r="E1760" s="299"/>
      <c r="F1760" s="299"/>
      <c r="G1760" s="300"/>
      <c r="H1760" s="303"/>
      <c r="I1760" s="301">
        <f t="shared" si="459"/>
        <v>0</v>
      </c>
      <c r="J1760" s="302">
        <f t="shared" si="460"/>
        <v>0</v>
      </c>
      <c r="K1760" s="304">
        <f t="shared" si="461"/>
        <v>0</v>
      </c>
      <c r="L1760" s="305">
        <f>IF(H1760=0,0,IF(OR(E1760=$AT$5,E1760=$AT$6),AA1760,IF(F1760="MXN",1/HLOOKUP(YEAR(G1760)+(MONTH(G1760)/100),TC!$5:$37,DAY(G1760)+2,FALSE),VLOOKUP(F1760,Equivalencia!$5:$23,((MAX(Equivalencia!$3:$3)-YEAR(G1760))*14)+MONTH(G1760)+2,FALSE))))</f>
        <v>0</v>
      </c>
      <c r="M1760" s="306">
        <f t="shared" si="462"/>
        <v>0</v>
      </c>
      <c r="N1760" s="305">
        <f>IF(G1760=0,0,(IF(OR(E1760=$AT$5,E1760=$AT$6),AC1760,HLOOKUP(YEAR(G1760)+(MONTH(G1760)/100),TC!$5:$37,DAY(G1760)+2,FALSE))))</f>
        <v>0</v>
      </c>
      <c r="O1760" s="307">
        <f t="shared" si="463"/>
        <v>0</v>
      </c>
      <c r="P1760" s="560">
        <f>IF(G1760=0,0,VLOOKUP(YEAR(G1760),INPC!$B$4:$P$30,MONTH(G1760)+2))</f>
        <v>0</v>
      </c>
      <c r="Q1760" s="560">
        <f>IF(X1760=0,0,IF(OR(E1760=$AT$10,E1760=$AT$9),VLOOKUP(YEAR(X1760),INPC!$B$4:$P$30,MONTH(X1760)+1),VLOOKUP(YEAR(X1760),INPC!$B$4:$P$30,MONTH(X1760)+2,0)))</f>
        <v>0</v>
      </c>
      <c r="R1760" s="309">
        <f t="shared" si="464"/>
        <v>0</v>
      </c>
      <c r="S1760" s="310">
        <f t="shared" si="465"/>
        <v>0</v>
      </c>
      <c r="T1760" s="555">
        <f t="shared" si="466"/>
        <v>0</v>
      </c>
      <c r="U1760" s="311"/>
      <c r="V1760" s="312"/>
      <c r="W1760" s="299"/>
      <c r="X1760" s="300"/>
      <c r="Y1760" s="299"/>
      <c r="Z1760" s="303"/>
      <c r="AA1760" s="305">
        <f>IF(Z1760=0,0,IF(Y1760="MXN",1/HLOOKUP(YEAR(X1760)+(MONTH(X1760)/100),TC!$5:$37,DAY(X1760)+2,FALSE),VLOOKUP(Y1760,Equivalencia!$1:$23,((MAX(Equivalencia!$3:$3)-YEAR(X1760))*14)+MONTH(X1760)+2,FALSE)))</f>
        <v>0</v>
      </c>
      <c r="AB1760" s="306">
        <f t="shared" si="467"/>
        <v>0</v>
      </c>
      <c r="AC1760" s="305">
        <f>+IF(X1760=0,0,HLOOKUP(YEAR(X1760)+(MONTH(X1760)/100),TC!$5:$37,DAY(X1760)+2,FALSE))</f>
        <v>0</v>
      </c>
      <c r="AD1760" s="307">
        <f t="shared" si="468"/>
        <v>0</v>
      </c>
      <c r="AE1760" s="314">
        <f t="shared" si="469"/>
        <v>0</v>
      </c>
      <c r="AF1760" s="315">
        <f t="shared" si="470"/>
        <v>0</v>
      </c>
      <c r="AG1760" s="316">
        <f t="shared" si="471"/>
        <v>0</v>
      </c>
      <c r="AH1760" s="314">
        <v>1</v>
      </c>
      <c r="AI1760" s="314">
        <f t="shared" si="472"/>
        <v>0</v>
      </c>
      <c r="AJ1760" s="314">
        <f t="shared" si="473"/>
        <v>0</v>
      </c>
      <c r="AK1760" s="317"/>
      <c r="AL1760" s="315">
        <f t="shared" si="474"/>
        <v>0</v>
      </c>
      <c r="AN1760" s="554">
        <f t="shared" si="475"/>
        <v>0</v>
      </c>
      <c r="AO1760" s="314"/>
      <c r="AP1760" s="318"/>
    </row>
    <row r="1761" spans="2:42">
      <c r="B1761" s="296"/>
      <c r="C1761" s="299"/>
      <c r="D1761" s="298"/>
      <c r="E1761" s="299"/>
      <c r="F1761" s="299"/>
      <c r="G1761" s="300"/>
      <c r="H1761" s="303"/>
      <c r="I1761" s="301">
        <f t="shared" si="459"/>
        <v>0</v>
      </c>
      <c r="J1761" s="302">
        <f t="shared" si="460"/>
        <v>0</v>
      </c>
      <c r="K1761" s="304">
        <f t="shared" si="461"/>
        <v>0</v>
      </c>
      <c r="L1761" s="305">
        <f>IF(H1761=0,0,IF(OR(E1761=$AT$5,E1761=$AT$6),AA1761,IF(F1761="MXN",1/HLOOKUP(YEAR(G1761)+(MONTH(G1761)/100),TC!$5:$37,DAY(G1761)+2,FALSE),VLOOKUP(F1761,Equivalencia!$5:$23,((MAX(Equivalencia!$3:$3)-YEAR(G1761))*14)+MONTH(G1761)+2,FALSE))))</f>
        <v>0</v>
      </c>
      <c r="M1761" s="306">
        <f t="shared" si="462"/>
        <v>0</v>
      </c>
      <c r="N1761" s="305">
        <f>IF(G1761=0,0,(IF(OR(E1761=$AT$5,E1761=$AT$6),AC1761,HLOOKUP(YEAR(G1761)+(MONTH(G1761)/100),TC!$5:$37,DAY(G1761)+2,FALSE))))</f>
        <v>0</v>
      </c>
      <c r="O1761" s="307">
        <f t="shared" si="463"/>
        <v>0</v>
      </c>
      <c r="P1761" s="560">
        <f>IF(G1761=0,0,VLOOKUP(YEAR(G1761),INPC!$B$4:$P$30,MONTH(G1761)+2))</f>
        <v>0</v>
      </c>
      <c r="Q1761" s="560">
        <f>IF(X1761=0,0,IF(OR(E1761=$AT$10,E1761=$AT$9),VLOOKUP(YEAR(X1761),INPC!$B$4:$P$30,MONTH(X1761)+1),VLOOKUP(YEAR(X1761),INPC!$B$4:$P$30,MONTH(X1761)+2,0)))</f>
        <v>0</v>
      </c>
      <c r="R1761" s="309">
        <f t="shared" si="464"/>
        <v>0</v>
      </c>
      <c r="S1761" s="310">
        <f t="shared" si="465"/>
        <v>0</v>
      </c>
      <c r="T1761" s="555">
        <f t="shared" si="466"/>
        <v>0</v>
      </c>
      <c r="U1761" s="311"/>
      <c r="V1761" s="312"/>
      <c r="W1761" s="299"/>
      <c r="X1761" s="300"/>
      <c r="Y1761" s="299"/>
      <c r="Z1761" s="303"/>
      <c r="AA1761" s="305">
        <f>IF(Z1761=0,0,IF(Y1761="MXN",1/HLOOKUP(YEAR(X1761)+(MONTH(X1761)/100),TC!$5:$37,DAY(X1761)+2,FALSE),VLOOKUP(Y1761,Equivalencia!$1:$23,((MAX(Equivalencia!$3:$3)-YEAR(X1761))*14)+MONTH(X1761)+2,FALSE)))</f>
        <v>0</v>
      </c>
      <c r="AB1761" s="306">
        <f t="shared" si="467"/>
        <v>0</v>
      </c>
      <c r="AC1761" s="305">
        <f>+IF(X1761=0,0,HLOOKUP(YEAR(X1761)+(MONTH(X1761)/100),TC!$5:$37,DAY(X1761)+2,FALSE))</f>
        <v>0</v>
      </c>
      <c r="AD1761" s="307">
        <f t="shared" si="468"/>
        <v>0</v>
      </c>
      <c r="AE1761" s="314">
        <f t="shared" si="469"/>
        <v>0</v>
      </c>
      <c r="AF1761" s="315">
        <f t="shared" si="470"/>
        <v>0</v>
      </c>
      <c r="AG1761" s="316">
        <f t="shared" si="471"/>
        <v>0</v>
      </c>
      <c r="AH1761" s="314">
        <v>1</v>
      </c>
      <c r="AI1761" s="314">
        <f t="shared" si="472"/>
        <v>0</v>
      </c>
      <c r="AJ1761" s="314">
        <f t="shared" si="473"/>
        <v>0</v>
      </c>
      <c r="AK1761" s="317"/>
      <c r="AL1761" s="315">
        <f t="shared" si="474"/>
        <v>0</v>
      </c>
      <c r="AN1761" s="554">
        <f t="shared" si="475"/>
        <v>0</v>
      </c>
      <c r="AO1761" s="314"/>
      <c r="AP1761" s="318"/>
    </row>
    <row r="1762" spans="2:42">
      <c r="B1762" s="296"/>
      <c r="C1762" s="299"/>
      <c r="D1762" s="298"/>
      <c r="E1762" s="299"/>
      <c r="F1762" s="299"/>
      <c r="G1762" s="300"/>
      <c r="H1762" s="303"/>
      <c r="I1762" s="301">
        <f t="shared" si="459"/>
        <v>0</v>
      </c>
      <c r="J1762" s="302">
        <f t="shared" si="460"/>
        <v>0</v>
      </c>
      <c r="K1762" s="304">
        <f t="shared" si="461"/>
        <v>0</v>
      </c>
      <c r="L1762" s="305">
        <f>IF(H1762=0,0,IF(OR(E1762=$AT$5,E1762=$AT$6),AA1762,IF(F1762="MXN",1/HLOOKUP(YEAR(G1762)+(MONTH(G1762)/100),TC!$5:$37,DAY(G1762)+2,FALSE),VLOOKUP(F1762,Equivalencia!$5:$23,((MAX(Equivalencia!$3:$3)-YEAR(G1762))*14)+MONTH(G1762)+2,FALSE))))</f>
        <v>0</v>
      </c>
      <c r="M1762" s="306">
        <f t="shared" si="462"/>
        <v>0</v>
      </c>
      <c r="N1762" s="305">
        <f>IF(G1762=0,0,(IF(OR(E1762=$AT$5,E1762=$AT$6),AC1762,HLOOKUP(YEAR(G1762)+(MONTH(G1762)/100),TC!$5:$37,DAY(G1762)+2,FALSE))))</f>
        <v>0</v>
      </c>
      <c r="O1762" s="307">
        <f t="shared" si="463"/>
        <v>0</v>
      </c>
      <c r="P1762" s="560">
        <f>IF(G1762=0,0,VLOOKUP(YEAR(G1762),INPC!$B$4:$P$30,MONTH(G1762)+2))</f>
        <v>0</v>
      </c>
      <c r="Q1762" s="560">
        <f>IF(X1762=0,0,IF(OR(E1762=$AT$10,E1762=$AT$9),VLOOKUP(YEAR(X1762),INPC!$B$4:$P$30,MONTH(X1762)+1),VLOOKUP(YEAR(X1762),INPC!$B$4:$P$30,MONTH(X1762)+2,0)))</f>
        <v>0</v>
      </c>
      <c r="R1762" s="309">
        <f t="shared" si="464"/>
        <v>0</v>
      </c>
      <c r="S1762" s="310">
        <f t="shared" si="465"/>
        <v>0</v>
      </c>
      <c r="T1762" s="555">
        <f t="shared" si="466"/>
        <v>0</v>
      </c>
      <c r="U1762" s="311"/>
      <c r="V1762" s="312"/>
      <c r="W1762" s="299"/>
      <c r="X1762" s="300"/>
      <c r="Y1762" s="299"/>
      <c r="Z1762" s="303"/>
      <c r="AA1762" s="305">
        <f>IF(Z1762=0,0,IF(Y1762="MXN",1/HLOOKUP(YEAR(X1762)+(MONTH(X1762)/100),TC!$5:$37,DAY(X1762)+2,FALSE),VLOOKUP(Y1762,Equivalencia!$1:$23,((MAX(Equivalencia!$3:$3)-YEAR(X1762))*14)+MONTH(X1762)+2,FALSE)))</f>
        <v>0</v>
      </c>
      <c r="AB1762" s="306">
        <f t="shared" si="467"/>
        <v>0</v>
      </c>
      <c r="AC1762" s="305">
        <f>+IF(X1762=0,0,HLOOKUP(YEAR(X1762)+(MONTH(X1762)/100),TC!$5:$37,DAY(X1762)+2,FALSE))</f>
        <v>0</v>
      </c>
      <c r="AD1762" s="307">
        <f t="shared" si="468"/>
        <v>0</v>
      </c>
      <c r="AE1762" s="314">
        <f t="shared" si="469"/>
        <v>0</v>
      </c>
      <c r="AF1762" s="315">
        <f t="shared" si="470"/>
        <v>0</v>
      </c>
      <c r="AG1762" s="316">
        <f t="shared" si="471"/>
        <v>0</v>
      </c>
      <c r="AH1762" s="314">
        <v>1</v>
      </c>
      <c r="AI1762" s="314">
        <f t="shared" si="472"/>
        <v>0</v>
      </c>
      <c r="AJ1762" s="314">
        <f t="shared" si="473"/>
        <v>0</v>
      </c>
      <c r="AK1762" s="317"/>
      <c r="AL1762" s="315">
        <f t="shared" si="474"/>
        <v>0</v>
      </c>
      <c r="AN1762" s="554">
        <f t="shared" si="475"/>
        <v>0</v>
      </c>
      <c r="AO1762" s="314"/>
      <c r="AP1762" s="318"/>
    </row>
    <row r="1763" spans="2:42">
      <c r="B1763" s="296"/>
      <c r="C1763" s="299"/>
      <c r="D1763" s="298"/>
      <c r="E1763" s="299"/>
      <c r="F1763" s="299"/>
      <c r="G1763" s="300"/>
      <c r="H1763" s="303"/>
      <c r="I1763" s="301">
        <f t="shared" si="459"/>
        <v>0</v>
      </c>
      <c r="J1763" s="302">
        <f t="shared" si="460"/>
        <v>0</v>
      </c>
      <c r="K1763" s="304">
        <f t="shared" si="461"/>
        <v>0</v>
      </c>
      <c r="L1763" s="305">
        <f>IF(H1763=0,0,IF(OR(E1763=$AT$5,E1763=$AT$6),AA1763,IF(F1763="MXN",1/HLOOKUP(YEAR(G1763)+(MONTH(G1763)/100),TC!$5:$37,DAY(G1763)+2,FALSE),VLOOKUP(F1763,Equivalencia!$5:$23,((MAX(Equivalencia!$3:$3)-YEAR(G1763))*14)+MONTH(G1763)+2,FALSE))))</f>
        <v>0</v>
      </c>
      <c r="M1763" s="306">
        <f t="shared" si="462"/>
        <v>0</v>
      </c>
      <c r="N1763" s="305">
        <f>IF(G1763=0,0,(IF(OR(E1763=$AT$5,E1763=$AT$6),AC1763,HLOOKUP(YEAR(G1763)+(MONTH(G1763)/100),TC!$5:$37,DAY(G1763)+2,FALSE))))</f>
        <v>0</v>
      </c>
      <c r="O1763" s="307">
        <f t="shared" si="463"/>
        <v>0</v>
      </c>
      <c r="P1763" s="560">
        <f>IF(G1763=0,0,VLOOKUP(YEAR(G1763),INPC!$B$4:$P$30,MONTH(G1763)+2))</f>
        <v>0</v>
      </c>
      <c r="Q1763" s="560">
        <f>IF(X1763=0,0,IF(OR(E1763=$AT$10,E1763=$AT$9),VLOOKUP(YEAR(X1763),INPC!$B$4:$P$30,MONTH(X1763)+1),VLOOKUP(YEAR(X1763),INPC!$B$4:$P$30,MONTH(X1763)+2,0)))</f>
        <v>0</v>
      </c>
      <c r="R1763" s="309">
        <f t="shared" si="464"/>
        <v>0</v>
      </c>
      <c r="S1763" s="310">
        <f t="shared" si="465"/>
        <v>0</v>
      </c>
      <c r="T1763" s="555">
        <f t="shared" si="466"/>
        <v>0</v>
      </c>
      <c r="U1763" s="311"/>
      <c r="V1763" s="312"/>
      <c r="W1763" s="299"/>
      <c r="X1763" s="300"/>
      <c r="Y1763" s="299"/>
      <c r="Z1763" s="303"/>
      <c r="AA1763" s="305">
        <f>IF(Z1763=0,0,IF(Y1763="MXN",1/HLOOKUP(YEAR(X1763)+(MONTH(X1763)/100),TC!$5:$37,DAY(X1763)+2,FALSE),VLOOKUP(Y1763,Equivalencia!$1:$23,((MAX(Equivalencia!$3:$3)-YEAR(X1763))*14)+MONTH(X1763)+2,FALSE)))</f>
        <v>0</v>
      </c>
      <c r="AB1763" s="306">
        <f t="shared" si="467"/>
        <v>0</v>
      </c>
      <c r="AC1763" s="305">
        <f>+IF(X1763=0,0,HLOOKUP(YEAR(X1763)+(MONTH(X1763)/100),TC!$5:$37,DAY(X1763)+2,FALSE))</f>
        <v>0</v>
      </c>
      <c r="AD1763" s="307">
        <f t="shared" si="468"/>
        <v>0</v>
      </c>
      <c r="AE1763" s="314">
        <f t="shared" si="469"/>
        <v>0</v>
      </c>
      <c r="AF1763" s="315">
        <f t="shared" si="470"/>
        <v>0</v>
      </c>
      <c r="AG1763" s="316">
        <f t="shared" si="471"/>
        <v>0</v>
      </c>
      <c r="AH1763" s="314">
        <v>1</v>
      </c>
      <c r="AI1763" s="314">
        <f t="shared" si="472"/>
        <v>0</v>
      </c>
      <c r="AJ1763" s="314">
        <f t="shared" si="473"/>
        <v>0</v>
      </c>
      <c r="AK1763" s="317"/>
      <c r="AL1763" s="315">
        <f t="shared" si="474"/>
        <v>0</v>
      </c>
      <c r="AN1763" s="554">
        <f t="shared" si="475"/>
        <v>0</v>
      </c>
      <c r="AO1763" s="314"/>
      <c r="AP1763" s="318"/>
    </row>
    <row r="1764" spans="2:42">
      <c r="B1764" s="296"/>
      <c r="C1764" s="299"/>
      <c r="D1764" s="298"/>
      <c r="E1764" s="299"/>
      <c r="F1764" s="299"/>
      <c r="G1764" s="300"/>
      <c r="H1764" s="303"/>
      <c r="I1764" s="301">
        <f t="shared" si="459"/>
        <v>0</v>
      </c>
      <c r="J1764" s="302">
        <f t="shared" si="460"/>
        <v>0</v>
      </c>
      <c r="K1764" s="304">
        <f t="shared" si="461"/>
        <v>0</v>
      </c>
      <c r="L1764" s="305">
        <f>IF(H1764=0,0,IF(OR(E1764=$AT$5,E1764=$AT$6),AA1764,IF(F1764="MXN",1/HLOOKUP(YEAR(G1764)+(MONTH(G1764)/100),TC!$5:$37,DAY(G1764)+2,FALSE),VLOOKUP(F1764,Equivalencia!$5:$23,((MAX(Equivalencia!$3:$3)-YEAR(G1764))*14)+MONTH(G1764)+2,FALSE))))</f>
        <v>0</v>
      </c>
      <c r="M1764" s="306">
        <f t="shared" si="462"/>
        <v>0</v>
      </c>
      <c r="N1764" s="305">
        <f>IF(G1764=0,0,(IF(OR(E1764=$AT$5,E1764=$AT$6),AC1764,HLOOKUP(YEAR(G1764)+(MONTH(G1764)/100),TC!$5:$37,DAY(G1764)+2,FALSE))))</f>
        <v>0</v>
      </c>
      <c r="O1764" s="307">
        <f t="shared" si="463"/>
        <v>0</v>
      </c>
      <c r="P1764" s="560">
        <f>IF(G1764=0,0,VLOOKUP(YEAR(G1764),INPC!$B$4:$P$30,MONTH(G1764)+2))</f>
        <v>0</v>
      </c>
      <c r="Q1764" s="560">
        <f>IF(X1764=0,0,IF(OR(E1764=$AT$10,E1764=$AT$9),VLOOKUP(YEAR(X1764),INPC!$B$4:$P$30,MONTH(X1764)+1),VLOOKUP(YEAR(X1764),INPC!$B$4:$P$30,MONTH(X1764)+2,0)))</f>
        <v>0</v>
      </c>
      <c r="R1764" s="309">
        <f t="shared" si="464"/>
        <v>0</v>
      </c>
      <c r="S1764" s="310">
        <f t="shared" si="465"/>
        <v>0</v>
      </c>
      <c r="T1764" s="555">
        <f t="shared" si="466"/>
        <v>0</v>
      </c>
      <c r="U1764" s="311"/>
      <c r="V1764" s="312"/>
      <c r="W1764" s="299"/>
      <c r="X1764" s="300"/>
      <c r="Y1764" s="299"/>
      <c r="Z1764" s="303"/>
      <c r="AA1764" s="305">
        <f>IF(Z1764=0,0,IF(Y1764="MXN",1/HLOOKUP(YEAR(X1764)+(MONTH(X1764)/100),TC!$5:$37,DAY(X1764)+2,FALSE),VLOOKUP(Y1764,Equivalencia!$1:$23,((MAX(Equivalencia!$3:$3)-YEAR(X1764))*14)+MONTH(X1764)+2,FALSE)))</f>
        <v>0</v>
      </c>
      <c r="AB1764" s="306">
        <f t="shared" si="467"/>
        <v>0</v>
      </c>
      <c r="AC1764" s="305">
        <f>+IF(X1764=0,0,HLOOKUP(YEAR(X1764)+(MONTH(X1764)/100),TC!$5:$37,DAY(X1764)+2,FALSE))</f>
        <v>0</v>
      </c>
      <c r="AD1764" s="307">
        <f t="shared" si="468"/>
        <v>0</v>
      </c>
      <c r="AE1764" s="314">
        <f t="shared" si="469"/>
        <v>0</v>
      </c>
      <c r="AF1764" s="315">
        <f t="shared" si="470"/>
        <v>0</v>
      </c>
      <c r="AG1764" s="316">
        <f t="shared" si="471"/>
        <v>0</v>
      </c>
      <c r="AH1764" s="314">
        <v>1</v>
      </c>
      <c r="AI1764" s="314">
        <f t="shared" si="472"/>
        <v>0</v>
      </c>
      <c r="AJ1764" s="314">
        <f t="shared" si="473"/>
        <v>0</v>
      </c>
      <c r="AK1764" s="317"/>
      <c r="AL1764" s="315">
        <f t="shared" si="474"/>
        <v>0</v>
      </c>
      <c r="AN1764" s="554">
        <f t="shared" si="475"/>
        <v>0</v>
      </c>
      <c r="AO1764" s="314"/>
      <c r="AP1764" s="318"/>
    </row>
    <row r="1765" spans="2:42">
      <c r="B1765" s="296"/>
      <c r="C1765" s="299"/>
      <c r="D1765" s="298"/>
      <c r="E1765" s="299"/>
      <c r="F1765" s="299"/>
      <c r="G1765" s="300"/>
      <c r="H1765" s="303"/>
      <c r="I1765" s="301">
        <f t="shared" si="459"/>
        <v>0</v>
      </c>
      <c r="J1765" s="302">
        <f t="shared" si="460"/>
        <v>0</v>
      </c>
      <c r="K1765" s="304">
        <f t="shared" si="461"/>
        <v>0</v>
      </c>
      <c r="L1765" s="305">
        <f>IF(H1765=0,0,IF(OR(E1765=$AT$5,E1765=$AT$6),AA1765,IF(F1765="MXN",1/HLOOKUP(YEAR(G1765)+(MONTH(G1765)/100),TC!$5:$37,DAY(G1765)+2,FALSE),VLOOKUP(F1765,Equivalencia!$5:$23,((MAX(Equivalencia!$3:$3)-YEAR(G1765))*14)+MONTH(G1765)+2,FALSE))))</f>
        <v>0</v>
      </c>
      <c r="M1765" s="306">
        <f t="shared" si="462"/>
        <v>0</v>
      </c>
      <c r="N1765" s="305">
        <f>IF(G1765=0,0,(IF(OR(E1765=$AT$5,E1765=$AT$6),AC1765,HLOOKUP(YEAR(G1765)+(MONTH(G1765)/100),TC!$5:$37,DAY(G1765)+2,FALSE))))</f>
        <v>0</v>
      </c>
      <c r="O1765" s="307">
        <f t="shared" si="463"/>
        <v>0</v>
      </c>
      <c r="P1765" s="560">
        <f>IF(G1765=0,0,VLOOKUP(YEAR(G1765),INPC!$B$4:$P$30,MONTH(G1765)+2))</f>
        <v>0</v>
      </c>
      <c r="Q1765" s="560">
        <f>IF(X1765=0,0,IF(OR(E1765=$AT$10,E1765=$AT$9),VLOOKUP(YEAR(X1765),INPC!$B$4:$P$30,MONTH(X1765)+1),VLOOKUP(YEAR(X1765),INPC!$B$4:$P$30,MONTH(X1765)+2,0)))</f>
        <v>0</v>
      </c>
      <c r="R1765" s="309">
        <f t="shared" si="464"/>
        <v>0</v>
      </c>
      <c r="S1765" s="310">
        <f t="shared" si="465"/>
        <v>0</v>
      </c>
      <c r="T1765" s="555">
        <f t="shared" si="466"/>
        <v>0</v>
      </c>
      <c r="U1765" s="311"/>
      <c r="V1765" s="312"/>
      <c r="W1765" s="299"/>
      <c r="X1765" s="300"/>
      <c r="Y1765" s="299"/>
      <c r="Z1765" s="303"/>
      <c r="AA1765" s="305">
        <f>IF(Z1765=0,0,IF(Y1765="MXN",1/HLOOKUP(YEAR(X1765)+(MONTH(X1765)/100),TC!$5:$37,DAY(X1765)+2,FALSE),VLOOKUP(Y1765,Equivalencia!$1:$23,((MAX(Equivalencia!$3:$3)-YEAR(X1765))*14)+MONTH(X1765)+2,FALSE)))</f>
        <v>0</v>
      </c>
      <c r="AB1765" s="306">
        <f t="shared" si="467"/>
        <v>0</v>
      </c>
      <c r="AC1765" s="305">
        <f>+IF(X1765=0,0,HLOOKUP(YEAR(X1765)+(MONTH(X1765)/100),TC!$5:$37,DAY(X1765)+2,FALSE))</f>
        <v>0</v>
      </c>
      <c r="AD1765" s="307">
        <f t="shared" si="468"/>
        <v>0</v>
      </c>
      <c r="AE1765" s="314">
        <f t="shared" si="469"/>
        <v>0</v>
      </c>
      <c r="AF1765" s="315">
        <f t="shared" si="470"/>
        <v>0</v>
      </c>
      <c r="AG1765" s="316">
        <f t="shared" si="471"/>
        <v>0</v>
      </c>
      <c r="AH1765" s="314">
        <v>1</v>
      </c>
      <c r="AI1765" s="314">
        <f t="shared" si="472"/>
        <v>0</v>
      </c>
      <c r="AJ1765" s="314">
        <f t="shared" si="473"/>
        <v>0</v>
      </c>
      <c r="AK1765" s="317"/>
      <c r="AL1765" s="315">
        <f t="shared" si="474"/>
        <v>0</v>
      </c>
      <c r="AN1765" s="554">
        <f t="shared" si="475"/>
        <v>0</v>
      </c>
      <c r="AO1765" s="314"/>
      <c r="AP1765" s="318"/>
    </row>
    <row r="1766" spans="2:42">
      <c r="B1766" s="296"/>
      <c r="C1766" s="299"/>
      <c r="D1766" s="298"/>
      <c r="E1766" s="299"/>
      <c r="F1766" s="299"/>
      <c r="G1766" s="300"/>
      <c r="H1766" s="303"/>
      <c r="I1766" s="301">
        <f t="shared" si="459"/>
        <v>0</v>
      </c>
      <c r="J1766" s="302">
        <f t="shared" si="460"/>
        <v>0</v>
      </c>
      <c r="K1766" s="304">
        <f t="shared" si="461"/>
        <v>0</v>
      </c>
      <c r="L1766" s="305">
        <f>IF(H1766=0,0,IF(OR(E1766=$AT$5,E1766=$AT$6),AA1766,IF(F1766="MXN",1/HLOOKUP(YEAR(G1766)+(MONTH(G1766)/100),TC!$5:$37,DAY(G1766)+2,FALSE),VLOOKUP(F1766,Equivalencia!$5:$23,((MAX(Equivalencia!$3:$3)-YEAR(G1766))*14)+MONTH(G1766)+2,FALSE))))</f>
        <v>0</v>
      </c>
      <c r="M1766" s="306">
        <f t="shared" si="462"/>
        <v>0</v>
      </c>
      <c r="N1766" s="305">
        <f>IF(G1766=0,0,(IF(OR(E1766=$AT$5,E1766=$AT$6),AC1766,HLOOKUP(YEAR(G1766)+(MONTH(G1766)/100),TC!$5:$37,DAY(G1766)+2,FALSE))))</f>
        <v>0</v>
      </c>
      <c r="O1766" s="307">
        <f t="shared" si="463"/>
        <v>0</v>
      </c>
      <c r="P1766" s="560">
        <f>IF(G1766=0,0,VLOOKUP(YEAR(G1766),INPC!$B$4:$P$30,MONTH(G1766)+2))</f>
        <v>0</v>
      </c>
      <c r="Q1766" s="560">
        <f>IF(X1766=0,0,IF(OR(E1766=$AT$10,E1766=$AT$9),VLOOKUP(YEAR(X1766),INPC!$B$4:$P$30,MONTH(X1766)+1),VLOOKUP(YEAR(X1766),INPC!$B$4:$P$30,MONTH(X1766)+2,0)))</f>
        <v>0</v>
      </c>
      <c r="R1766" s="309">
        <f t="shared" si="464"/>
        <v>0</v>
      </c>
      <c r="S1766" s="310">
        <f t="shared" si="465"/>
        <v>0</v>
      </c>
      <c r="T1766" s="555">
        <f t="shared" si="466"/>
        <v>0</v>
      </c>
      <c r="U1766" s="311"/>
      <c r="V1766" s="312"/>
      <c r="W1766" s="299"/>
      <c r="X1766" s="300"/>
      <c r="Y1766" s="299"/>
      <c r="Z1766" s="303"/>
      <c r="AA1766" s="305">
        <f>IF(Z1766=0,0,IF(Y1766="MXN",1/HLOOKUP(YEAR(X1766)+(MONTH(X1766)/100),TC!$5:$37,DAY(X1766)+2,FALSE),VLOOKUP(Y1766,Equivalencia!$1:$23,((MAX(Equivalencia!$3:$3)-YEAR(X1766))*14)+MONTH(X1766)+2,FALSE)))</f>
        <v>0</v>
      </c>
      <c r="AB1766" s="306">
        <f t="shared" si="467"/>
        <v>0</v>
      </c>
      <c r="AC1766" s="305">
        <f>+IF(X1766=0,0,HLOOKUP(YEAR(X1766)+(MONTH(X1766)/100),TC!$5:$37,DAY(X1766)+2,FALSE))</f>
        <v>0</v>
      </c>
      <c r="AD1766" s="307">
        <f t="shared" si="468"/>
        <v>0</v>
      </c>
      <c r="AE1766" s="314">
        <f t="shared" si="469"/>
        <v>0</v>
      </c>
      <c r="AF1766" s="315">
        <f t="shared" si="470"/>
        <v>0</v>
      </c>
      <c r="AG1766" s="316">
        <f t="shared" si="471"/>
        <v>0</v>
      </c>
      <c r="AH1766" s="314">
        <v>1</v>
      </c>
      <c r="AI1766" s="314">
        <f t="shared" si="472"/>
        <v>0</v>
      </c>
      <c r="AJ1766" s="314">
        <f t="shared" si="473"/>
        <v>0</v>
      </c>
      <c r="AK1766" s="317"/>
      <c r="AL1766" s="315">
        <f t="shared" si="474"/>
        <v>0</v>
      </c>
      <c r="AN1766" s="554">
        <f t="shared" si="475"/>
        <v>0</v>
      </c>
      <c r="AO1766" s="314"/>
      <c r="AP1766" s="318"/>
    </row>
    <row r="1767" spans="2:42">
      <c r="B1767" s="296"/>
      <c r="C1767" s="299"/>
      <c r="D1767" s="298"/>
      <c r="E1767" s="299"/>
      <c r="F1767" s="299"/>
      <c r="G1767" s="300"/>
      <c r="H1767" s="303"/>
      <c r="I1767" s="301">
        <f t="shared" si="459"/>
        <v>0</v>
      </c>
      <c r="J1767" s="302">
        <f t="shared" si="460"/>
        <v>0</v>
      </c>
      <c r="K1767" s="304">
        <f t="shared" si="461"/>
        <v>0</v>
      </c>
      <c r="L1767" s="305">
        <f>IF(H1767=0,0,IF(OR(E1767=$AT$5,E1767=$AT$6),AA1767,IF(F1767="MXN",1/HLOOKUP(YEAR(G1767)+(MONTH(G1767)/100),TC!$5:$37,DAY(G1767)+2,FALSE),VLOOKUP(F1767,Equivalencia!$5:$23,((MAX(Equivalencia!$3:$3)-YEAR(G1767))*14)+MONTH(G1767)+2,FALSE))))</f>
        <v>0</v>
      </c>
      <c r="M1767" s="306">
        <f t="shared" si="462"/>
        <v>0</v>
      </c>
      <c r="N1767" s="305">
        <f>IF(G1767=0,0,(IF(OR(E1767=$AT$5,E1767=$AT$6),AC1767,HLOOKUP(YEAR(G1767)+(MONTH(G1767)/100),TC!$5:$37,DAY(G1767)+2,FALSE))))</f>
        <v>0</v>
      </c>
      <c r="O1767" s="307">
        <f t="shared" si="463"/>
        <v>0</v>
      </c>
      <c r="P1767" s="560">
        <f>IF(G1767=0,0,VLOOKUP(YEAR(G1767),INPC!$B$4:$P$30,MONTH(G1767)+2))</f>
        <v>0</v>
      </c>
      <c r="Q1767" s="560">
        <f>IF(X1767=0,0,IF(OR(E1767=$AT$10,E1767=$AT$9),VLOOKUP(YEAR(X1767),INPC!$B$4:$P$30,MONTH(X1767)+1),VLOOKUP(YEAR(X1767),INPC!$B$4:$P$30,MONTH(X1767)+2,0)))</f>
        <v>0</v>
      </c>
      <c r="R1767" s="309">
        <f t="shared" si="464"/>
        <v>0</v>
      </c>
      <c r="S1767" s="310">
        <f t="shared" si="465"/>
        <v>0</v>
      </c>
      <c r="T1767" s="555">
        <f t="shared" si="466"/>
        <v>0</v>
      </c>
      <c r="U1767" s="311"/>
      <c r="V1767" s="312"/>
      <c r="W1767" s="299"/>
      <c r="X1767" s="300"/>
      <c r="Y1767" s="299"/>
      <c r="Z1767" s="303"/>
      <c r="AA1767" s="305">
        <f>IF(Z1767=0,0,IF(Y1767="MXN",1/HLOOKUP(YEAR(X1767)+(MONTH(X1767)/100),TC!$5:$37,DAY(X1767)+2,FALSE),VLOOKUP(Y1767,Equivalencia!$1:$23,((MAX(Equivalencia!$3:$3)-YEAR(X1767))*14)+MONTH(X1767)+2,FALSE)))</f>
        <v>0</v>
      </c>
      <c r="AB1767" s="306">
        <f t="shared" si="467"/>
        <v>0</v>
      </c>
      <c r="AC1767" s="305">
        <f>+IF(X1767=0,0,HLOOKUP(YEAR(X1767)+(MONTH(X1767)/100),TC!$5:$37,DAY(X1767)+2,FALSE))</f>
        <v>0</v>
      </c>
      <c r="AD1767" s="307">
        <f t="shared" si="468"/>
        <v>0</v>
      </c>
      <c r="AE1767" s="314">
        <f t="shared" si="469"/>
        <v>0</v>
      </c>
      <c r="AF1767" s="315">
        <f t="shared" si="470"/>
        <v>0</v>
      </c>
      <c r="AG1767" s="316">
        <f t="shared" si="471"/>
        <v>0</v>
      </c>
      <c r="AH1767" s="314">
        <v>1</v>
      </c>
      <c r="AI1767" s="314">
        <f t="shared" si="472"/>
        <v>0</v>
      </c>
      <c r="AJ1767" s="314">
        <f t="shared" si="473"/>
        <v>0</v>
      </c>
      <c r="AK1767" s="317"/>
      <c r="AL1767" s="315">
        <f t="shared" si="474"/>
        <v>0</v>
      </c>
      <c r="AN1767" s="554">
        <f t="shared" si="475"/>
        <v>0</v>
      </c>
      <c r="AO1767" s="314"/>
      <c r="AP1767" s="318"/>
    </row>
    <row r="1768" spans="2:42">
      <c r="B1768" s="296"/>
      <c r="C1768" s="299"/>
      <c r="D1768" s="298"/>
      <c r="E1768" s="299"/>
      <c r="F1768" s="299"/>
      <c r="G1768" s="300"/>
      <c r="H1768" s="303"/>
      <c r="I1768" s="301">
        <f t="shared" si="459"/>
        <v>0</v>
      </c>
      <c r="J1768" s="302">
        <f t="shared" si="460"/>
        <v>0</v>
      </c>
      <c r="K1768" s="304">
        <f t="shared" si="461"/>
        <v>0</v>
      </c>
      <c r="L1768" s="305">
        <f>IF(H1768=0,0,IF(OR(E1768=$AT$5,E1768=$AT$6),AA1768,IF(F1768="MXN",1/HLOOKUP(YEAR(G1768)+(MONTH(G1768)/100),TC!$5:$37,DAY(G1768)+2,FALSE),VLOOKUP(F1768,Equivalencia!$5:$23,((MAX(Equivalencia!$3:$3)-YEAR(G1768))*14)+MONTH(G1768)+2,FALSE))))</f>
        <v>0</v>
      </c>
      <c r="M1768" s="306">
        <f t="shared" si="462"/>
        <v>0</v>
      </c>
      <c r="N1768" s="305">
        <f>IF(G1768=0,0,(IF(OR(E1768=$AT$5,E1768=$AT$6),AC1768,HLOOKUP(YEAR(G1768)+(MONTH(G1768)/100),TC!$5:$37,DAY(G1768)+2,FALSE))))</f>
        <v>0</v>
      </c>
      <c r="O1768" s="307">
        <f t="shared" si="463"/>
        <v>0</v>
      </c>
      <c r="P1768" s="560">
        <f>IF(G1768=0,0,VLOOKUP(YEAR(G1768),INPC!$B$4:$P$30,MONTH(G1768)+2))</f>
        <v>0</v>
      </c>
      <c r="Q1768" s="560">
        <f>IF(X1768=0,0,IF(OR(E1768=$AT$10,E1768=$AT$9),VLOOKUP(YEAR(X1768),INPC!$B$4:$P$30,MONTH(X1768)+1),VLOOKUP(YEAR(X1768),INPC!$B$4:$P$30,MONTH(X1768)+2,0)))</f>
        <v>0</v>
      </c>
      <c r="R1768" s="309">
        <f t="shared" si="464"/>
        <v>0</v>
      </c>
      <c r="S1768" s="310">
        <f t="shared" si="465"/>
        <v>0</v>
      </c>
      <c r="T1768" s="555">
        <f t="shared" si="466"/>
        <v>0</v>
      </c>
      <c r="U1768" s="311"/>
      <c r="V1768" s="312"/>
      <c r="W1768" s="299"/>
      <c r="X1768" s="300"/>
      <c r="Y1768" s="299"/>
      <c r="Z1768" s="303"/>
      <c r="AA1768" s="305">
        <f>IF(Z1768=0,0,IF(Y1768="MXN",1/HLOOKUP(YEAR(X1768)+(MONTH(X1768)/100),TC!$5:$37,DAY(X1768)+2,FALSE),VLOOKUP(Y1768,Equivalencia!$1:$23,((MAX(Equivalencia!$3:$3)-YEAR(X1768))*14)+MONTH(X1768)+2,FALSE)))</f>
        <v>0</v>
      </c>
      <c r="AB1768" s="306">
        <f t="shared" si="467"/>
        <v>0</v>
      </c>
      <c r="AC1768" s="305">
        <f>+IF(X1768=0,0,HLOOKUP(YEAR(X1768)+(MONTH(X1768)/100),TC!$5:$37,DAY(X1768)+2,FALSE))</f>
        <v>0</v>
      </c>
      <c r="AD1768" s="307">
        <f t="shared" si="468"/>
        <v>0</v>
      </c>
      <c r="AE1768" s="314">
        <f t="shared" si="469"/>
        <v>0</v>
      </c>
      <c r="AF1768" s="315">
        <f t="shared" si="470"/>
        <v>0</v>
      </c>
      <c r="AG1768" s="316">
        <f t="shared" si="471"/>
        <v>0</v>
      </c>
      <c r="AH1768" s="314">
        <v>1</v>
      </c>
      <c r="AI1768" s="314">
        <f t="shared" si="472"/>
        <v>0</v>
      </c>
      <c r="AJ1768" s="314">
        <f t="shared" si="473"/>
        <v>0</v>
      </c>
      <c r="AK1768" s="317"/>
      <c r="AL1768" s="315">
        <f t="shared" si="474"/>
        <v>0</v>
      </c>
      <c r="AN1768" s="554">
        <f t="shared" si="475"/>
        <v>0</v>
      </c>
      <c r="AO1768" s="314"/>
      <c r="AP1768" s="318"/>
    </row>
    <row r="1769" spans="2:42">
      <c r="B1769" s="296"/>
      <c r="C1769" s="299"/>
      <c r="D1769" s="298"/>
      <c r="E1769" s="299"/>
      <c r="F1769" s="299"/>
      <c r="G1769" s="300"/>
      <c r="H1769" s="303"/>
      <c r="I1769" s="301">
        <f t="shared" si="459"/>
        <v>0</v>
      </c>
      <c r="J1769" s="302">
        <f t="shared" si="460"/>
        <v>0</v>
      </c>
      <c r="K1769" s="304">
        <f t="shared" si="461"/>
        <v>0</v>
      </c>
      <c r="L1769" s="305">
        <f>IF(H1769=0,0,IF(OR(E1769=$AT$5,E1769=$AT$6),AA1769,IF(F1769="MXN",1/HLOOKUP(YEAR(G1769)+(MONTH(G1769)/100),TC!$5:$37,DAY(G1769)+2,FALSE),VLOOKUP(F1769,Equivalencia!$5:$23,((MAX(Equivalencia!$3:$3)-YEAR(G1769))*14)+MONTH(G1769)+2,FALSE))))</f>
        <v>0</v>
      </c>
      <c r="M1769" s="306">
        <f t="shared" si="462"/>
        <v>0</v>
      </c>
      <c r="N1769" s="305">
        <f>IF(G1769=0,0,(IF(OR(E1769=$AT$5,E1769=$AT$6),AC1769,HLOOKUP(YEAR(G1769)+(MONTH(G1769)/100),TC!$5:$37,DAY(G1769)+2,FALSE))))</f>
        <v>0</v>
      </c>
      <c r="O1769" s="307">
        <f t="shared" si="463"/>
        <v>0</v>
      </c>
      <c r="P1769" s="560">
        <f>IF(G1769=0,0,VLOOKUP(YEAR(G1769),INPC!$B$4:$P$30,MONTH(G1769)+2))</f>
        <v>0</v>
      </c>
      <c r="Q1769" s="560">
        <f>IF(X1769=0,0,IF(OR(E1769=$AT$10,E1769=$AT$9),VLOOKUP(YEAR(X1769),INPC!$B$4:$P$30,MONTH(X1769)+1),VLOOKUP(YEAR(X1769),INPC!$B$4:$P$30,MONTH(X1769)+2,0)))</f>
        <v>0</v>
      </c>
      <c r="R1769" s="309">
        <f t="shared" si="464"/>
        <v>0</v>
      </c>
      <c r="S1769" s="310">
        <f t="shared" si="465"/>
        <v>0</v>
      </c>
      <c r="T1769" s="555">
        <f t="shared" si="466"/>
        <v>0</v>
      </c>
      <c r="U1769" s="311"/>
      <c r="V1769" s="312"/>
      <c r="W1769" s="299"/>
      <c r="X1769" s="300"/>
      <c r="Y1769" s="299"/>
      <c r="Z1769" s="303"/>
      <c r="AA1769" s="305">
        <f>IF(Z1769=0,0,IF(Y1769="MXN",1/HLOOKUP(YEAR(X1769)+(MONTH(X1769)/100),TC!$5:$37,DAY(X1769)+2,FALSE),VLOOKUP(Y1769,Equivalencia!$1:$23,((MAX(Equivalencia!$3:$3)-YEAR(X1769))*14)+MONTH(X1769)+2,FALSE)))</f>
        <v>0</v>
      </c>
      <c r="AB1769" s="306">
        <f t="shared" si="467"/>
        <v>0</v>
      </c>
      <c r="AC1769" s="305">
        <f>+IF(X1769=0,0,HLOOKUP(YEAR(X1769)+(MONTH(X1769)/100),TC!$5:$37,DAY(X1769)+2,FALSE))</f>
        <v>0</v>
      </c>
      <c r="AD1769" s="307">
        <f t="shared" si="468"/>
        <v>0</v>
      </c>
      <c r="AE1769" s="314">
        <f t="shared" si="469"/>
        <v>0</v>
      </c>
      <c r="AF1769" s="315">
        <f t="shared" si="470"/>
        <v>0</v>
      </c>
      <c r="AG1769" s="316">
        <f t="shared" si="471"/>
        <v>0</v>
      </c>
      <c r="AH1769" s="314">
        <v>1</v>
      </c>
      <c r="AI1769" s="314">
        <f t="shared" si="472"/>
        <v>0</v>
      </c>
      <c r="AJ1769" s="314">
        <f t="shared" si="473"/>
        <v>0</v>
      </c>
      <c r="AK1769" s="317"/>
      <c r="AL1769" s="315">
        <f t="shared" si="474"/>
        <v>0</v>
      </c>
      <c r="AN1769" s="554">
        <f t="shared" si="475"/>
        <v>0</v>
      </c>
      <c r="AO1769" s="314"/>
      <c r="AP1769" s="318"/>
    </row>
    <row r="1770" spans="2:42">
      <c r="B1770" s="296"/>
      <c r="C1770" s="299"/>
      <c r="D1770" s="298"/>
      <c r="E1770" s="299"/>
      <c r="F1770" s="299"/>
      <c r="G1770" s="300"/>
      <c r="H1770" s="303"/>
      <c r="I1770" s="301">
        <f t="shared" si="459"/>
        <v>0</v>
      </c>
      <c r="J1770" s="302">
        <f t="shared" si="460"/>
        <v>0</v>
      </c>
      <c r="K1770" s="304">
        <f t="shared" si="461"/>
        <v>0</v>
      </c>
      <c r="L1770" s="305">
        <f>IF(H1770=0,0,IF(OR(E1770=$AT$5,E1770=$AT$6),AA1770,IF(F1770="MXN",1/HLOOKUP(YEAR(G1770)+(MONTH(G1770)/100),TC!$5:$37,DAY(G1770)+2,FALSE),VLOOKUP(F1770,Equivalencia!$5:$23,((MAX(Equivalencia!$3:$3)-YEAR(G1770))*14)+MONTH(G1770)+2,FALSE))))</f>
        <v>0</v>
      </c>
      <c r="M1770" s="306">
        <f t="shared" si="462"/>
        <v>0</v>
      </c>
      <c r="N1770" s="305">
        <f>IF(G1770=0,0,(IF(OR(E1770=$AT$5,E1770=$AT$6),AC1770,HLOOKUP(YEAR(G1770)+(MONTH(G1770)/100),TC!$5:$37,DAY(G1770)+2,FALSE))))</f>
        <v>0</v>
      </c>
      <c r="O1770" s="307">
        <f t="shared" si="463"/>
        <v>0</v>
      </c>
      <c r="P1770" s="560">
        <f>IF(G1770=0,0,VLOOKUP(YEAR(G1770),INPC!$B$4:$P$30,MONTH(G1770)+2))</f>
        <v>0</v>
      </c>
      <c r="Q1770" s="560">
        <f>IF(X1770=0,0,IF(OR(E1770=$AT$10,E1770=$AT$9),VLOOKUP(YEAR(X1770),INPC!$B$4:$P$30,MONTH(X1770)+1),VLOOKUP(YEAR(X1770),INPC!$B$4:$P$30,MONTH(X1770)+2,0)))</f>
        <v>0</v>
      </c>
      <c r="R1770" s="309">
        <f t="shared" si="464"/>
        <v>0</v>
      </c>
      <c r="S1770" s="310">
        <f t="shared" si="465"/>
        <v>0</v>
      </c>
      <c r="T1770" s="555">
        <f t="shared" si="466"/>
        <v>0</v>
      </c>
      <c r="U1770" s="311"/>
      <c r="V1770" s="312"/>
      <c r="W1770" s="299"/>
      <c r="X1770" s="300"/>
      <c r="Y1770" s="299"/>
      <c r="Z1770" s="303"/>
      <c r="AA1770" s="305">
        <f>IF(Z1770=0,0,IF(Y1770="MXN",1/HLOOKUP(YEAR(X1770)+(MONTH(X1770)/100),TC!$5:$37,DAY(X1770)+2,FALSE),VLOOKUP(Y1770,Equivalencia!$1:$23,((MAX(Equivalencia!$3:$3)-YEAR(X1770))*14)+MONTH(X1770)+2,FALSE)))</f>
        <v>0</v>
      </c>
      <c r="AB1770" s="306">
        <f t="shared" si="467"/>
        <v>0</v>
      </c>
      <c r="AC1770" s="305">
        <f>+IF(X1770=0,0,HLOOKUP(YEAR(X1770)+(MONTH(X1770)/100),TC!$5:$37,DAY(X1770)+2,FALSE))</f>
        <v>0</v>
      </c>
      <c r="AD1770" s="307">
        <f t="shared" si="468"/>
        <v>0</v>
      </c>
      <c r="AE1770" s="314">
        <f t="shared" si="469"/>
        <v>0</v>
      </c>
      <c r="AF1770" s="315">
        <f t="shared" si="470"/>
        <v>0</v>
      </c>
      <c r="AG1770" s="316">
        <f t="shared" si="471"/>
        <v>0</v>
      </c>
      <c r="AH1770" s="314">
        <v>1</v>
      </c>
      <c r="AI1770" s="314">
        <f t="shared" si="472"/>
        <v>0</v>
      </c>
      <c r="AJ1770" s="314">
        <f t="shared" si="473"/>
        <v>0</v>
      </c>
      <c r="AK1770" s="317"/>
      <c r="AL1770" s="315">
        <f t="shared" si="474"/>
        <v>0</v>
      </c>
      <c r="AN1770" s="554">
        <f t="shared" si="475"/>
        <v>0</v>
      </c>
      <c r="AO1770" s="314"/>
      <c r="AP1770" s="318"/>
    </row>
    <row r="1771" spans="2:42">
      <c r="B1771" s="296"/>
      <c r="C1771" s="299"/>
      <c r="D1771" s="298"/>
      <c r="E1771" s="299"/>
      <c r="F1771" s="299"/>
      <c r="G1771" s="300"/>
      <c r="H1771" s="303"/>
      <c r="I1771" s="301">
        <f t="shared" si="459"/>
        <v>0</v>
      </c>
      <c r="J1771" s="302">
        <f t="shared" si="460"/>
        <v>0</v>
      </c>
      <c r="K1771" s="304">
        <f t="shared" si="461"/>
        <v>0</v>
      </c>
      <c r="L1771" s="305">
        <f>IF(H1771=0,0,IF(OR(E1771=$AT$5,E1771=$AT$6),AA1771,IF(F1771="MXN",1/HLOOKUP(YEAR(G1771)+(MONTH(G1771)/100),TC!$5:$37,DAY(G1771)+2,FALSE),VLOOKUP(F1771,Equivalencia!$5:$23,((MAX(Equivalencia!$3:$3)-YEAR(G1771))*14)+MONTH(G1771)+2,FALSE))))</f>
        <v>0</v>
      </c>
      <c r="M1771" s="306">
        <f t="shared" si="462"/>
        <v>0</v>
      </c>
      <c r="N1771" s="305">
        <f>IF(G1771=0,0,(IF(OR(E1771=$AT$5,E1771=$AT$6),AC1771,HLOOKUP(YEAR(G1771)+(MONTH(G1771)/100),TC!$5:$37,DAY(G1771)+2,FALSE))))</f>
        <v>0</v>
      </c>
      <c r="O1771" s="307">
        <f t="shared" si="463"/>
        <v>0</v>
      </c>
      <c r="P1771" s="560">
        <f>IF(G1771=0,0,VLOOKUP(YEAR(G1771),INPC!$B$4:$P$30,MONTH(G1771)+2))</f>
        <v>0</v>
      </c>
      <c r="Q1771" s="560">
        <f>IF(X1771=0,0,IF(OR(E1771=$AT$10,E1771=$AT$9),VLOOKUP(YEAR(X1771),INPC!$B$4:$P$30,MONTH(X1771)+1),VLOOKUP(YEAR(X1771),INPC!$B$4:$P$30,MONTH(X1771)+2,0)))</f>
        <v>0</v>
      </c>
      <c r="R1771" s="309">
        <f t="shared" si="464"/>
        <v>0</v>
      </c>
      <c r="S1771" s="310">
        <f t="shared" si="465"/>
        <v>0</v>
      </c>
      <c r="T1771" s="555">
        <f t="shared" si="466"/>
        <v>0</v>
      </c>
      <c r="U1771" s="311"/>
      <c r="V1771" s="312"/>
      <c r="W1771" s="299"/>
      <c r="X1771" s="300"/>
      <c r="Y1771" s="299"/>
      <c r="Z1771" s="303"/>
      <c r="AA1771" s="305">
        <f>IF(Z1771=0,0,IF(Y1771="MXN",1/HLOOKUP(YEAR(X1771)+(MONTH(X1771)/100),TC!$5:$37,DAY(X1771)+2,FALSE),VLOOKUP(Y1771,Equivalencia!$1:$23,((MAX(Equivalencia!$3:$3)-YEAR(X1771))*14)+MONTH(X1771)+2,FALSE)))</f>
        <v>0</v>
      </c>
      <c r="AB1771" s="306">
        <f t="shared" si="467"/>
        <v>0</v>
      </c>
      <c r="AC1771" s="305">
        <f>+IF(X1771=0,0,HLOOKUP(YEAR(X1771)+(MONTH(X1771)/100),TC!$5:$37,DAY(X1771)+2,FALSE))</f>
        <v>0</v>
      </c>
      <c r="AD1771" s="307">
        <f t="shared" si="468"/>
        <v>0</v>
      </c>
      <c r="AE1771" s="314">
        <f t="shared" si="469"/>
        <v>0</v>
      </c>
      <c r="AF1771" s="315">
        <f t="shared" si="470"/>
        <v>0</v>
      </c>
      <c r="AG1771" s="316">
        <f t="shared" si="471"/>
        <v>0</v>
      </c>
      <c r="AH1771" s="314">
        <v>1</v>
      </c>
      <c r="AI1771" s="314">
        <f t="shared" si="472"/>
        <v>0</v>
      </c>
      <c r="AJ1771" s="314">
        <f t="shared" si="473"/>
        <v>0</v>
      </c>
      <c r="AK1771" s="317"/>
      <c r="AL1771" s="315">
        <f t="shared" si="474"/>
        <v>0</v>
      </c>
      <c r="AN1771" s="554">
        <f t="shared" si="475"/>
        <v>0</v>
      </c>
      <c r="AO1771" s="314"/>
      <c r="AP1771" s="318"/>
    </row>
    <row r="1772" spans="2:42">
      <c r="B1772" s="296"/>
      <c r="C1772" s="299"/>
      <c r="D1772" s="298"/>
      <c r="E1772" s="299"/>
      <c r="F1772" s="299"/>
      <c r="G1772" s="300"/>
      <c r="H1772" s="303"/>
      <c r="I1772" s="301">
        <f t="shared" si="459"/>
        <v>0</v>
      </c>
      <c r="J1772" s="302">
        <f t="shared" si="460"/>
        <v>0</v>
      </c>
      <c r="K1772" s="304">
        <f t="shared" si="461"/>
        <v>0</v>
      </c>
      <c r="L1772" s="305">
        <f>IF(H1772=0,0,IF(OR(E1772=$AT$5,E1772=$AT$6),AA1772,IF(F1772="MXN",1/HLOOKUP(YEAR(G1772)+(MONTH(G1772)/100),TC!$5:$37,DAY(G1772)+2,FALSE),VLOOKUP(F1772,Equivalencia!$5:$23,((MAX(Equivalencia!$3:$3)-YEAR(G1772))*14)+MONTH(G1772)+2,FALSE))))</f>
        <v>0</v>
      </c>
      <c r="M1772" s="306">
        <f t="shared" si="462"/>
        <v>0</v>
      </c>
      <c r="N1772" s="305">
        <f>IF(G1772=0,0,(IF(OR(E1772=$AT$5,E1772=$AT$6),AC1772,HLOOKUP(YEAR(G1772)+(MONTH(G1772)/100),TC!$5:$37,DAY(G1772)+2,FALSE))))</f>
        <v>0</v>
      </c>
      <c r="O1772" s="307">
        <f t="shared" si="463"/>
        <v>0</v>
      </c>
      <c r="P1772" s="560">
        <f>IF(G1772=0,0,VLOOKUP(YEAR(G1772),INPC!$B$4:$P$30,MONTH(G1772)+2))</f>
        <v>0</v>
      </c>
      <c r="Q1772" s="560">
        <f>IF(X1772=0,0,IF(OR(E1772=$AT$10,E1772=$AT$9),VLOOKUP(YEAR(X1772),INPC!$B$4:$P$30,MONTH(X1772)+1),VLOOKUP(YEAR(X1772),INPC!$B$4:$P$30,MONTH(X1772)+2,0)))</f>
        <v>0</v>
      </c>
      <c r="R1772" s="309">
        <f t="shared" si="464"/>
        <v>0</v>
      </c>
      <c r="S1772" s="310">
        <f t="shared" si="465"/>
        <v>0</v>
      </c>
      <c r="T1772" s="555">
        <f t="shared" si="466"/>
        <v>0</v>
      </c>
      <c r="U1772" s="311"/>
      <c r="V1772" s="312"/>
      <c r="W1772" s="299"/>
      <c r="X1772" s="300"/>
      <c r="Y1772" s="299"/>
      <c r="Z1772" s="303"/>
      <c r="AA1772" s="305">
        <f>IF(Z1772=0,0,IF(Y1772="MXN",1/HLOOKUP(YEAR(X1772)+(MONTH(X1772)/100),TC!$5:$37,DAY(X1772)+2,FALSE),VLOOKUP(Y1772,Equivalencia!$1:$23,((MAX(Equivalencia!$3:$3)-YEAR(X1772))*14)+MONTH(X1772)+2,FALSE)))</f>
        <v>0</v>
      </c>
      <c r="AB1772" s="306">
        <f t="shared" si="467"/>
        <v>0</v>
      </c>
      <c r="AC1772" s="305">
        <f>+IF(X1772=0,0,HLOOKUP(YEAR(X1772)+(MONTH(X1772)/100),TC!$5:$37,DAY(X1772)+2,FALSE))</f>
        <v>0</v>
      </c>
      <c r="AD1772" s="307">
        <f t="shared" si="468"/>
        <v>0</v>
      </c>
      <c r="AE1772" s="314">
        <f t="shared" si="469"/>
        <v>0</v>
      </c>
      <c r="AF1772" s="315">
        <f t="shared" si="470"/>
        <v>0</v>
      </c>
      <c r="AG1772" s="316">
        <f t="shared" si="471"/>
        <v>0</v>
      </c>
      <c r="AH1772" s="314">
        <v>1</v>
      </c>
      <c r="AI1772" s="314">
        <f t="shared" si="472"/>
        <v>0</v>
      </c>
      <c r="AJ1772" s="314">
        <f t="shared" si="473"/>
        <v>0</v>
      </c>
      <c r="AK1772" s="317"/>
      <c r="AL1772" s="315">
        <f t="shared" si="474"/>
        <v>0</v>
      </c>
      <c r="AN1772" s="554">
        <f t="shared" si="475"/>
        <v>0</v>
      </c>
      <c r="AO1772" s="314"/>
      <c r="AP1772" s="318"/>
    </row>
    <row r="1773" spans="2:42">
      <c r="B1773" s="296"/>
      <c r="C1773" s="299"/>
      <c r="D1773" s="298"/>
      <c r="E1773" s="299"/>
      <c r="F1773" s="299"/>
      <c r="G1773" s="300"/>
      <c r="H1773" s="303"/>
      <c r="I1773" s="301">
        <f t="shared" si="459"/>
        <v>0</v>
      </c>
      <c r="J1773" s="302">
        <f t="shared" si="460"/>
        <v>0</v>
      </c>
      <c r="K1773" s="304">
        <f t="shared" si="461"/>
        <v>0</v>
      </c>
      <c r="L1773" s="305">
        <f>IF(H1773=0,0,IF(OR(E1773=$AT$5,E1773=$AT$6),AA1773,IF(F1773="MXN",1/HLOOKUP(YEAR(G1773)+(MONTH(G1773)/100),TC!$5:$37,DAY(G1773)+2,FALSE),VLOOKUP(F1773,Equivalencia!$5:$23,((MAX(Equivalencia!$3:$3)-YEAR(G1773))*14)+MONTH(G1773)+2,FALSE))))</f>
        <v>0</v>
      </c>
      <c r="M1773" s="306">
        <f t="shared" si="462"/>
        <v>0</v>
      </c>
      <c r="N1773" s="305">
        <f>IF(G1773=0,0,(IF(OR(E1773=$AT$5,E1773=$AT$6),AC1773,HLOOKUP(YEAR(G1773)+(MONTH(G1773)/100),TC!$5:$37,DAY(G1773)+2,FALSE))))</f>
        <v>0</v>
      </c>
      <c r="O1773" s="307">
        <f t="shared" si="463"/>
        <v>0</v>
      </c>
      <c r="P1773" s="560">
        <f>IF(G1773=0,0,VLOOKUP(YEAR(G1773),INPC!$B$4:$P$30,MONTH(G1773)+2))</f>
        <v>0</v>
      </c>
      <c r="Q1773" s="560">
        <f>IF(X1773=0,0,IF(OR(E1773=$AT$10,E1773=$AT$9),VLOOKUP(YEAR(X1773),INPC!$B$4:$P$30,MONTH(X1773)+1),VLOOKUP(YEAR(X1773),INPC!$B$4:$P$30,MONTH(X1773)+2,0)))</f>
        <v>0</v>
      </c>
      <c r="R1773" s="309">
        <f t="shared" si="464"/>
        <v>0</v>
      </c>
      <c r="S1773" s="310">
        <f t="shared" si="465"/>
        <v>0</v>
      </c>
      <c r="T1773" s="555">
        <f t="shared" si="466"/>
        <v>0</v>
      </c>
      <c r="U1773" s="311"/>
      <c r="V1773" s="312"/>
      <c r="W1773" s="299"/>
      <c r="X1773" s="300"/>
      <c r="Y1773" s="299"/>
      <c r="Z1773" s="303"/>
      <c r="AA1773" s="305">
        <f>IF(Z1773=0,0,IF(Y1773="MXN",1/HLOOKUP(YEAR(X1773)+(MONTH(X1773)/100),TC!$5:$37,DAY(X1773)+2,FALSE),VLOOKUP(Y1773,Equivalencia!$1:$23,((MAX(Equivalencia!$3:$3)-YEAR(X1773))*14)+MONTH(X1773)+2,FALSE)))</f>
        <v>0</v>
      </c>
      <c r="AB1773" s="306">
        <f t="shared" si="467"/>
        <v>0</v>
      </c>
      <c r="AC1773" s="305">
        <f>+IF(X1773=0,0,HLOOKUP(YEAR(X1773)+(MONTH(X1773)/100),TC!$5:$37,DAY(X1773)+2,FALSE))</f>
        <v>0</v>
      </c>
      <c r="AD1773" s="307">
        <f t="shared" si="468"/>
        <v>0</v>
      </c>
      <c r="AE1773" s="314">
        <f t="shared" si="469"/>
        <v>0</v>
      </c>
      <c r="AF1773" s="315">
        <f t="shared" si="470"/>
        <v>0</v>
      </c>
      <c r="AG1773" s="316">
        <f t="shared" si="471"/>
        <v>0</v>
      </c>
      <c r="AH1773" s="314">
        <v>1</v>
      </c>
      <c r="AI1773" s="314">
        <f t="shared" si="472"/>
        <v>0</v>
      </c>
      <c r="AJ1773" s="314">
        <f t="shared" si="473"/>
        <v>0</v>
      </c>
      <c r="AK1773" s="317"/>
      <c r="AL1773" s="315">
        <f t="shared" si="474"/>
        <v>0</v>
      </c>
      <c r="AN1773" s="554">
        <f t="shared" si="475"/>
        <v>0</v>
      </c>
      <c r="AO1773" s="314"/>
      <c r="AP1773" s="318"/>
    </row>
    <row r="1774" spans="2:42">
      <c r="B1774" s="296"/>
      <c r="C1774" s="299"/>
      <c r="D1774" s="298"/>
      <c r="E1774" s="299"/>
      <c r="F1774" s="299"/>
      <c r="G1774" s="300"/>
      <c r="H1774" s="303"/>
      <c r="I1774" s="301">
        <f t="shared" si="459"/>
        <v>0</v>
      </c>
      <c r="J1774" s="302">
        <f t="shared" si="460"/>
        <v>0</v>
      </c>
      <c r="K1774" s="304">
        <f t="shared" si="461"/>
        <v>0</v>
      </c>
      <c r="L1774" s="305">
        <f>IF(H1774=0,0,IF(OR(E1774=$AT$5,E1774=$AT$6),AA1774,IF(F1774="MXN",1/HLOOKUP(YEAR(G1774)+(MONTH(G1774)/100),TC!$5:$37,DAY(G1774)+2,FALSE),VLOOKUP(F1774,Equivalencia!$5:$23,((MAX(Equivalencia!$3:$3)-YEAR(G1774))*14)+MONTH(G1774)+2,FALSE))))</f>
        <v>0</v>
      </c>
      <c r="M1774" s="306">
        <f t="shared" si="462"/>
        <v>0</v>
      </c>
      <c r="N1774" s="305">
        <f>IF(G1774=0,0,(IF(OR(E1774=$AT$5,E1774=$AT$6),AC1774,HLOOKUP(YEAR(G1774)+(MONTH(G1774)/100),TC!$5:$37,DAY(G1774)+2,FALSE))))</f>
        <v>0</v>
      </c>
      <c r="O1774" s="307">
        <f t="shared" si="463"/>
        <v>0</v>
      </c>
      <c r="P1774" s="560">
        <f>IF(G1774=0,0,VLOOKUP(YEAR(G1774),INPC!$B$4:$P$30,MONTH(G1774)+2))</f>
        <v>0</v>
      </c>
      <c r="Q1774" s="560">
        <f>IF(X1774=0,0,IF(OR(E1774=$AT$10,E1774=$AT$9),VLOOKUP(YEAR(X1774),INPC!$B$4:$P$30,MONTH(X1774)+1),VLOOKUP(YEAR(X1774),INPC!$B$4:$P$30,MONTH(X1774)+2,0)))</f>
        <v>0</v>
      </c>
      <c r="R1774" s="309">
        <f t="shared" si="464"/>
        <v>0</v>
      </c>
      <c r="S1774" s="310">
        <f t="shared" si="465"/>
        <v>0</v>
      </c>
      <c r="T1774" s="555">
        <f t="shared" si="466"/>
        <v>0</v>
      </c>
      <c r="U1774" s="311"/>
      <c r="V1774" s="312"/>
      <c r="W1774" s="299"/>
      <c r="X1774" s="300"/>
      <c r="Y1774" s="299"/>
      <c r="Z1774" s="303"/>
      <c r="AA1774" s="305">
        <f>IF(Z1774=0,0,IF(Y1774="MXN",1/HLOOKUP(YEAR(X1774)+(MONTH(X1774)/100),TC!$5:$37,DAY(X1774)+2,FALSE),VLOOKUP(Y1774,Equivalencia!$1:$23,((MAX(Equivalencia!$3:$3)-YEAR(X1774))*14)+MONTH(X1774)+2,FALSE)))</f>
        <v>0</v>
      </c>
      <c r="AB1774" s="306">
        <f t="shared" si="467"/>
        <v>0</v>
      </c>
      <c r="AC1774" s="305">
        <f>+IF(X1774=0,0,HLOOKUP(YEAR(X1774)+(MONTH(X1774)/100),TC!$5:$37,DAY(X1774)+2,FALSE))</f>
        <v>0</v>
      </c>
      <c r="AD1774" s="307">
        <f t="shared" si="468"/>
        <v>0</v>
      </c>
      <c r="AE1774" s="314">
        <f t="shared" si="469"/>
        <v>0</v>
      </c>
      <c r="AF1774" s="315">
        <f t="shared" si="470"/>
        <v>0</v>
      </c>
      <c r="AG1774" s="316">
        <f t="shared" si="471"/>
        <v>0</v>
      </c>
      <c r="AH1774" s="314">
        <v>1</v>
      </c>
      <c r="AI1774" s="314">
        <f t="shared" si="472"/>
        <v>0</v>
      </c>
      <c r="AJ1774" s="314">
        <f t="shared" si="473"/>
        <v>0</v>
      </c>
      <c r="AK1774" s="317"/>
      <c r="AL1774" s="315">
        <f t="shared" si="474"/>
        <v>0</v>
      </c>
      <c r="AN1774" s="554">
        <f t="shared" si="475"/>
        <v>0</v>
      </c>
      <c r="AO1774" s="314"/>
      <c r="AP1774" s="318"/>
    </row>
    <row r="1775" spans="2:42">
      <c r="B1775" s="296"/>
      <c r="C1775" s="299"/>
      <c r="D1775" s="298"/>
      <c r="E1775" s="299"/>
      <c r="F1775" s="299"/>
      <c r="G1775" s="300"/>
      <c r="H1775" s="303"/>
      <c r="I1775" s="301">
        <f t="shared" si="459"/>
        <v>0</v>
      </c>
      <c r="J1775" s="302">
        <f t="shared" si="460"/>
        <v>0</v>
      </c>
      <c r="K1775" s="304">
        <f t="shared" si="461"/>
        <v>0</v>
      </c>
      <c r="L1775" s="305">
        <f>IF(H1775=0,0,IF(OR(E1775=$AT$5,E1775=$AT$6),AA1775,IF(F1775="MXN",1/HLOOKUP(YEAR(G1775)+(MONTH(G1775)/100),TC!$5:$37,DAY(G1775)+2,FALSE),VLOOKUP(F1775,Equivalencia!$5:$23,((MAX(Equivalencia!$3:$3)-YEAR(G1775))*14)+MONTH(G1775)+2,FALSE))))</f>
        <v>0</v>
      </c>
      <c r="M1775" s="306">
        <f t="shared" si="462"/>
        <v>0</v>
      </c>
      <c r="N1775" s="305">
        <f>IF(G1775=0,0,(IF(OR(E1775=$AT$5,E1775=$AT$6),AC1775,HLOOKUP(YEAR(G1775)+(MONTH(G1775)/100),TC!$5:$37,DAY(G1775)+2,FALSE))))</f>
        <v>0</v>
      </c>
      <c r="O1775" s="307">
        <f t="shared" si="463"/>
        <v>0</v>
      </c>
      <c r="P1775" s="560">
        <f>IF(G1775=0,0,VLOOKUP(YEAR(G1775),INPC!$B$4:$P$30,MONTH(G1775)+2))</f>
        <v>0</v>
      </c>
      <c r="Q1775" s="560">
        <f>IF(X1775=0,0,IF(OR(E1775=$AT$10,E1775=$AT$9),VLOOKUP(YEAR(X1775),INPC!$B$4:$P$30,MONTH(X1775)+1),VLOOKUP(YEAR(X1775),INPC!$B$4:$P$30,MONTH(X1775)+2,0)))</f>
        <v>0</v>
      </c>
      <c r="R1775" s="309">
        <f t="shared" si="464"/>
        <v>0</v>
      </c>
      <c r="S1775" s="310">
        <f t="shared" si="465"/>
        <v>0</v>
      </c>
      <c r="T1775" s="555">
        <f t="shared" si="466"/>
        <v>0</v>
      </c>
      <c r="U1775" s="311"/>
      <c r="V1775" s="312"/>
      <c r="W1775" s="299"/>
      <c r="X1775" s="300"/>
      <c r="Y1775" s="299"/>
      <c r="Z1775" s="303"/>
      <c r="AA1775" s="305">
        <f>IF(Z1775=0,0,IF(Y1775="MXN",1/HLOOKUP(YEAR(X1775)+(MONTH(X1775)/100),TC!$5:$37,DAY(X1775)+2,FALSE),VLOOKUP(Y1775,Equivalencia!$1:$23,((MAX(Equivalencia!$3:$3)-YEAR(X1775))*14)+MONTH(X1775)+2,FALSE)))</f>
        <v>0</v>
      </c>
      <c r="AB1775" s="306">
        <f t="shared" si="467"/>
        <v>0</v>
      </c>
      <c r="AC1775" s="305">
        <f>+IF(X1775=0,0,HLOOKUP(YEAR(X1775)+(MONTH(X1775)/100),TC!$5:$37,DAY(X1775)+2,FALSE))</f>
        <v>0</v>
      </c>
      <c r="AD1775" s="307">
        <f t="shared" si="468"/>
        <v>0</v>
      </c>
      <c r="AE1775" s="314">
        <f t="shared" si="469"/>
        <v>0</v>
      </c>
      <c r="AF1775" s="315">
        <f t="shared" si="470"/>
        <v>0</v>
      </c>
      <c r="AG1775" s="316">
        <f t="shared" si="471"/>
        <v>0</v>
      </c>
      <c r="AH1775" s="314">
        <v>1</v>
      </c>
      <c r="AI1775" s="314">
        <f t="shared" si="472"/>
        <v>0</v>
      </c>
      <c r="AJ1775" s="314">
        <f t="shared" si="473"/>
        <v>0</v>
      </c>
      <c r="AK1775" s="317"/>
      <c r="AL1775" s="315">
        <f t="shared" si="474"/>
        <v>0</v>
      </c>
      <c r="AN1775" s="554">
        <f t="shared" si="475"/>
        <v>0</v>
      </c>
      <c r="AO1775" s="314"/>
      <c r="AP1775" s="318"/>
    </row>
    <row r="1776" spans="2:42">
      <c r="B1776" s="296"/>
      <c r="C1776" s="299"/>
      <c r="D1776" s="298"/>
      <c r="E1776" s="299"/>
      <c r="F1776" s="299"/>
      <c r="G1776" s="300"/>
      <c r="H1776" s="303"/>
      <c r="I1776" s="301">
        <f t="shared" si="459"/>
        <v>0</v>
      </c>
      <c r="J1776" s="302">
        <f t="shared" si="460"/>
        <v>0</v>
      </c>
      <c r="K1776" s="304">
        <f t="shared" si="461"/>
        <v>0</v>
      </c>
      <c r="L1776" s="305">
        <f>IF(H1776=0,0,IF(OR(E1776=$AT$5,E1776=$AT$6),AA1776,IF(F1776="MXN",1/HLOOKUP(YEAR(G1776)+(MONTH(G1776)/100),TC!$5:$37,DAY(G1776)+2,FALSE),VLOOKUP(F1776,Equivalencia!$5:$23,((MAX(Equivalencia!$3:$3)-YEAR(G1776))*14)+MONTH(G1776)+2,FALSE))))</f>
        <v>0</v>
      </c>
      <c r="M1776" s="306">
        <f t="shared" si="462"/>
        <v>0</v>
      </c>
      <c r="N1776" s="305">
        <f>IF(G1776=0,0,(IF(OR(E1776=$AT$5,E1776=$AT$6),AC1776,HLOOKUP(YEAR(G1776)+(MONTH(G1776)/100),TC!$5:$37,DAY(G1776)+2,FALSE))))</f>
        <v>0</v>
      </c>
      <c r="O1776" s="307">
        <f t="shared" si="463"/>
        <v>0</v>
      </c>
      <c r="P1776" s="560">
        <f>IF(G1776=0,0,VLOOKUP(YEAR(G1776),INPC!$B$4:$P$30,MONTH(G1776)+2))</f>
        <v>0</v>
      </c>
      <c r="Q1776" s="560">
        <f>IF(X1776=0,0,IF(OR(E1776=$AT$10,E1776=$AT$9),VLOOKUP(YEAR(X1776),INPC!$B$4:$P$30,MONTH(X1776)+1),VLOOKUP(YEAR(X1776),INPC!$B$4:$P$30,MONTH(X1776)+2,0)))</f>
        <v>0</v>
      </c>
      <c r="R1776" s="309">
        <f t="shared" si="464"/>
        <v>0</v>
      </c>
      <c r="S1776" s="310">
        <f t="shared" si="465"/>
        <v>0</v>
      </c>
      <c r="T1776" s="555">
        <f t="shared" si="466"/>
        <v>0</v>
      </c>
      <c r="U1776" s="311"/>
      <c r="V1776" s="312"/>
      <c r="W1776" s="299"/>
      <c r="X1776" s="300"/>
      <c r="Y1776" s="299"/>
      <c r="Z1776" s="303"/>
      <c r="AA1776" s="305">
        <f>IF(Z1776=0,0,IF(Y1776="MXN",1/HLOOKUP(YEAR(X1776)+(MONTH(X1776)/100),TC!$5:$37,DAY(X1776)+2,FALSE),VLOOKUP(Y1776,Equivalencia!$1:$23,((MAX(Equivalencia!$3:$3)-YEAR(X1776))*14)+MONTH(X1776)+2,FALSE)))</f>
        <v>0</v>
      </c>
      <c r="AB1776" s="306">
        <f t="shared" si="467"/>
        <v>0</v>
      </c>
      <c r="AC1776" s="305">
        <f>+IF(X1776=0,0,HLOOKUP(YEAR(X1776)+(MONTH(X1776)/100),TC!$5:$37,DAY(X1776)+2,FALSE))</f>
        <v>0</v>
      </c>
      <c r="AD1776" s="307">
        <f t="shared" si="468"/>
        <v>0</v>
      </c>
      <c r="AE1776" s="314">
        <f t="shared" si="469"/>
        <v>0</v>
      </c>
      <c r="AF1776" s="315">
        <f t="shared" si="470"/>
        <v>0</v>
      </c>
      <c r="AG1776" s="316">
        <f t="shared" si="471"/>
        <v>0</v>
      </c>
      <c r="AH1776" s="314">
        <v>1</v>
      </c>
      <c r="AI1776" s="314">
        <f t="shared" si="472"/>
        <v>0</v>
      </c>
      <c r="AJ1776" s="314">
        <f t="shared" si="473"/>
        <v>0</v>
      </c>
      <c r="AK1776" s="317"/>
      <c r="AL1776" s="315">
        <f t="shared" si="474"/>
        <v>0</v>
      </c>
      <c r="AN1776" s="554">
        <f t="shared" si="475"/>
        <v>0</v>
      </c>
      <c r="AO1776" s="314"/>
      <c r="AP1776" s="318"/>
    </row>
    <row r="1777" spans="2:42">
      <c r="B1777" s="296"/>
      <c r="C1777" s="299"/>
      <c r="D1777" s="298"/>
      <c r="E1777" s="299"/>
      <c r="F1777" s="299"/>
      <c r="G1777" s="300"/>
      <c r="H1777" s="303"/>
      <c r="I1777" s="301">
        <f t="shared" si="459"/>
        <v>0</v>
      </c>
      <c r="J1777" s="302">
        <f t="shared" si="460"/>
        <v>0</v>
      </c>
      <c r="K1777" s="304">
        <f t="shared" si="461"/>
        <v>0</v>
      </c>
      <c r="L1777" s="305">
        <f>IF(H1777=0,0,IF(OR(E1777=$AT$5,E1777=$AT$6),AA1777,IF(F1777="MXN",1/HLOOKUP(YEAR(G1777)+(MONTH(G1777)/100),TC!$5:$37,DAY(G1777)+2,FALSE),VLOOKUP(F1777,Equivalencia!$5:$23,((MAX(Equivalencia!$3:$3)-YEAR(G1777))*14)+MONTH(G1777)+2,FALSE))))</f>
        <v>0</v>
      </c>
      <c r="M1777" s="306">
        <f t="shared" si="462"/>
        <v>0</v>
      </c>
      <c r="N1777" s="305">
        <f>IF(G1777=0,0,(IF(OR(E1777=$AT$5,E1777=$AT$6),AC1777,HLOOKUP(YEAR(G1777)+(MONTH(G1777)/100),TC!$5:$37,DAY(G1777)+2,FALSE))))</f>
        <v>0</v>
      </c>
      <c r="O1777" s="307">
        <f t="shared" si="463"/>
        <v>0</v>
      </c>
      <c r="P1777" s="560">
        <f>IF(G1777=0,0,VLOOKUP(YEAR(G1777),INPC!$B$4:$P$30,MONTH(G1777)+2))</f>
        <v>0</v>
      </c>
      <c r="Q1777" s="560">
        <f>IF(X1777=0,0,IF(OR(E1777=$AT$10,E1777=$AT$9),VLOOKUP(YEAR(X1777),INPC!$B$4:$P$30,MONTH(X1777)+1),VLOOKUP(YEAR(X1777),INPC!$B$4:$P$30,MONTH(X1777)+2,0)))</f>
        <v>0</v>
      </c>
      <c r="R1777" s="309">
        <f t="shared" si="464"/>
        <v>0</v>
      </c>
      <c r="S1777" s="310">
        <f t="shared" si="465"/>
        <v>0</v>
      </c>
      <c r="T1777" s="555">
        <f t="shared" si="466"/>
        <v>0</v>
      </c>
      <c r="U1777" s="311"/>
      <c r="V1777" s="312"/>
      <c r="W1777" s="299"/>
      <c r="X1777" s="300"/>
      <c r="Y1777" s="299"/>
      <c r="Z1777" s="303"/>
      <c r="AA1777" s="305">
        <f>IF(Z1777=0,0,IF(Y1777="MXN",1/HLOOKUP(YEAR(X1777)+(MONTH(X1777)/100),TC!$5:$37,DAY(X1777)+2,FALSE),VLOOKUP(Y1777,Equivalencia!$1:$23,((MAX(Equivalencia!$3:$3)-YEAR(X1777))*14)+MONTH(X1777)+2,FALSE)))</f>
        <v>0</v>
      </c>
      <c r="AB1777" s="306">
        <f t="shared" si="467"/>
        <v>0</v>
      </c>
      <c r="AC1777" s="305">
        <f>+IF(X1777=0,0,HLOOKUP(YEAR(X1777)+(MONTH(X1777)/100),TC!$5:$37,DAY(X1777)+2,FALSE))</f>
        <v>0</v>
      </c>
      <c r="AD1777" s="307">
        <f t="shared" si="468"/>
        <v>0</v>
      </c>
      <c r="AE1777" s="314">
        <f t="shared" si="469"/>
        <v>0</v>
      </c>
      <c r="AF1777" s="315">
        <f t="shared" si="470"/>
        <v>0</v>
      </c>
      <c r="AG1777" s="316">
        <f t="shared" si="471"/>
        <v>0</v>
      </c>
      <c r="AH1777" s="314">
        <v>1</v>
      </c>
      <c r="AI1777" s="314">
        <f t="shared" si="472"/>
        <v>0</v>
      </c>
      <c r="AJ1777" s="314">
        <f t="shared" si="473"/>
        <v>0</v>
      </c>
      <c r="AK1777" s="317"/>
      <c r="AL1777" s="315">
        <f t="shared" si="474"/>
        <v>0</v>
      </c>
      <c r="AN1777" s="554">
        <f t="shared" si="475"/>
        <v>0</v>
      </c>
      <c r="AO1777" s="314"/>
      <c r="AP1777" s="318"/>
    </row>
    <row r="1778" spans="2:42">
      <c r="B1778" s="296"/>
      <c r="C1778" s="299"/>
      <c r="D1778" s="298"/>
      <c r="E1778" s="299"/>
      <c r="F1778" s="299"/>
      <c r="G1778" s="300"/>
      <c r="H1778" s="303"/>
      <c r="I1778" s="301">
        <f t="shared" si="459"/>
        <v>0</v>
      </c>
      <c r="J1778" s="302">
        <f t="shared" si="460"/>
        <v>0</v>
      </c>
      <c r="K1778" s="304">
        <f t="shared" si="461"/>
        <v>0</v>
      </c>
      <c r="L1778" s="305">
        <f>IF(H1778=0,0,IF(OR(E1778=$AT$5,E1778=$AT$6),AA1778,IF(F1778="MXN",1/HLOOKUP(YEAR(G1778)+(MONTH(G1778)/100),TC!$5:$37,DAY(G1778)+2,FALSE),VLOOKUP(F1778,Equivalencia!$5:$23,((MAX(Equivalencia!$3:$3)-YEAR(G1778))*14)+MONTH(G1778)+2,FALSE))))</f>
        <v>0</v>
      </c>
      <c r="M1778" s="306">
        <f t="shared" si="462"/>
        <v>0</v>
      </c>
      <c r="N1778" s="305">
        <f>IF(G1778=0,0,(IF(OR(E1778=$AT$5,E1778=$AT$6),AC1778,HLOOKUP(YEAR(G1778)+(MONTH(G1778)/100),TC!$5:$37,DAY(G1778)+2,FALSE))))</f>
        <v>0</v>
      </c>
      <c r="O1778" s="307">
        <f t="shared" si="463"/>
        <v>0</v>
      </c>
      <c r="P1778" s="560">
        <f>IF(G1778=0,0,VLOOKUP(YEAR(G1778),INPC!$B$4:$P$30,MONTH(G1778)+2))</f>
        <v>0</v>
      </c>
      <c r="Q1778" s="560">
        <f>IF(X1778=0,0,IF(OR(E1778=$AT$10,E1778=$AT$9),VLOOKUP(YEAR(X1778),INPC!$B$4:$P$30,MONTH(X1778)+1),VLOOKUP(YEAR(X1778),INPC!$B$4:$P$30,MONTH(X1778)+2,0)))</f>
        <v>0</v>
      </c>
      <c r="R1778" s="309">
        <f t="shared" si="464"/>
        <v>0</v>
      </c>
      <c r="S1778" s="310">
        <f t="shared" si="465"/>
        <v>0</v>
      </c>
      <c r="T1778" s="555">
        <f t="shared" si="466"/>
        <v>0</v>
      </c>
      <c r="U1778" s="311"/>
      <c r="V1778" s="312"/>
      <c r="W1778" s="299"/>
      <c r="X1778" s="300"/>
      <c r="Y1778" s="299"/>
      <c r="Z1778" s="303"/>
      <c r="AA1778" s="305">
        <f>IF(Z1778=0,0,IF(Y1778="MXN",1/HLOOKUP(YEAR(X1778)+(MONTH(X1778)/100),TC!$5:$37,DAY(X1778)+2,FALSE),VLOOKUP(Y1778,Equivalencia!$1:$23,((MAX(Equivalencia!$3:$3)-YEAR(X1778))*14)+MONTH(X1778)+2,FALSE)))</f>
        <v>0</v>
      </c>
      <c r="AB1778" s="306">
        <f t="shared" si="467"/>
        <v>0</v>
      </c>
      <c r="AC1778" s="305">
        <f>+IF(X1778=0,0,HLOOKUP(YEAR(X1778)+(MONTH(X1778)/100),TC!$5:$37,DAY(X1778)+2,FALSE))</f>
        <v>0</v>
      </c>
      <c r="AD1778" s="307">
        <f t="shared" si="468"/>
        <v>0</v>
      </c>
      <c r="AE1778" s="314">
        <f t="shared" si="469"/>
        <v>0</v>
      </c>
      <c r="AF1778" s="315">
        <f t="shared" si="470"/>
        <v>0</v>
      </c>
      <c r="AG1778" s="316">
        <f t="shared" si="471"/>
        <v>0</v>
      </c>
      <c r="AH1778" s="314">
        <v>1</v>
      </c>
      <c r="AI1778" s="314">
        <f t="shared" si="472"/>
        <v>0</v>
      </c>
      <c r="AJ1778" s="314">
        <f t="shared" si="473"/>
        <v>0</v>
      </c>
      <c r="AK1778" s="317"/>
      <c r="AL1778" s="315">
        <f t="shared" si="474"/>
        <v>0</v>
      </c>
      <c r="AN1778" s="554">
        <f t="shared" si="475"/>
        <v>0</v>
      </c>
      <c r="AO1778" s="314"/>
      <c r="AP1778" s="318"/>
    </row>
    <row r="1779" spans="2:42">
      <c r="B1779" s="296"/>
      <c r="C1779" s="299"/>
      <c r="D1779" s="298"/>
      <c r="E1779" s="299"/>
      <c r="F1779" s="299"/>
      <c r="G1779" s="300"/>
      <c r="H1779" s="303"/>
      <c r="I1779" s="301">
        <f t="shared" si="459"/>
        <v>0</v>
      </c>
      <c r="J1779" s="302">
        <f t="shared" si="460"/>
        <v>0</v>
      </c>
      <c r="K1779" s="304">
        <f t="shared" si="461"/>
        <v>0</v>
      </c>
      <c r="L1779" s="305">
        <f>IF(H1779=0,0,IF(OR(E1779=$AT$5,E1779=$AT$6),AA1779,IF(F1779="MXN",1/HLOOKUP(YEAR(G1779)+(MONTH(G1779)/100),TC!$5:$37,DAY(G1779)+2,FALSE),VLOOKUP(F1779,Equivalencia!$5:$23,((MAX(Equivalencia!$3:$3)-YEAR(G1779))*14)+MONTH(G1779)+2,FALSE))))</f>
        <v>0</v>
      </c>
      <c r="M1779" s="306">
        <f t="shared" si="462"/>
        <v>0</v>
      </c>
      <c r="N1779" s="305">
        <f>IF(G1779=0,0,(IF(OR(E1779=$AT$5,E1779=$AT$6),AC1779,HLOOKUP(YEAR(G1779)+(MONTH(G1779)/100),TC!$5:$37,DAY(G1779)+2,FALSE))))</f>
        <v>0</v>
      </c>
      <c r="O1779" s="307">
        <f t="shared" si="463"/>
        <v>0</v>
      </c>
      <c r="P1779" s="560">
        <f>IF(G1779=0,0,VLOOKUP(YEAR(G1779),INPC!$B$4:$P$30,MONTH(G1779)+2))</f>
        <v>0</v>
      </c>
      <c r="Q1779" s="560">
        <f>IF(X1779=0,0,IF(OR(E1779=$AT$10,E1779=$AT$9),VLOOKUP(YEAR(X1779),INPC!$B$4:$P$30,MONTH(X1779)+1),VLOOKUP(YEAR(X1779),INPC!$B$4:$P$30,MONTH(X1779)+2,0)))</f>
        <v>0</v>
      </c>
      <c r="R1779" s="309">
        <f t="shared" si="464"/>
        <v>0</v>
      </c>
      <c r="S1779" s="310">
        <f t="shared" si="465"/>
        <v>0</v>
      </c>
      <c r="T1779" s="555">
        <f t="shared" si="466"/>
        <v>0</v>
      </c>
      <c r="U1779" s="311"/>
      <c r="V1779" s="312"/>
      <c r="W1779" s="299"/>
      <c r="X1779" s="300"/>
      <c r="Y1779" s="299"/>
      <c r="Z1779" s="303"/>
      <c r="AA1779" s="305">
        <f>IF(Z1779=0,0,IF(Y1779="MXN",1/HLOOKUP(YEAR(X1779)+(MONTH(X1779)/100),TC!$5:$37,DAY(X1779)+2,FALSE),VLOOKUP(Y1779,Equivalencia!$1:$23,((MAX(Equivalencia!$3:$3)-YEAR(X1779))*14)+MONTH(X1779)+2,FALSE)))</f>
        <v>0</v>
      </c>
      <c r="AB1779" s="306">
        <f t="shared" si="467"/>
        <v>0</v>
      </c>
      <c r="AC1779" s="305">
        <f>+IF(X1779=0,0,HLOOKUP(YEAR(X1779)+(MONTH(X1779)/100),TC!$5:$37,DAY(X1779)+2,FALSE))</f>
        <v>0</v>
      </c>
      <c r="AD1779" s="307">
        <f t="shared" si="468"/>
        <v>0</v>
      </c>
      <c r="AE1779" s="314">
        <f t="shared" si="469"/>
        <v>0</v>
      </c>
      <c r="AF1779" s="315">
        <f t="shared" si="470"/>
        <v>0</v>
      </c>
      <c r="AG1779" s="316">
        <f t="shared" si="471"/>
        <v>0</v>
      </c>
      <c r="AH1779" s="314">
        <v>1</v>
      </c>
      <c r="AI1779" s="314">
        <f t="shared" si="472"/>
        <v>0</v>
      </c>
      <c r="AJ1779" s="314">
        <f t="shared" si="473"/>
        <v>0</v>
      </c>
      <c r="AK1779" s="317"/>
      <c r="AL1779" s="315">
        <f t="shared" si="474"/>
        <v>0</v>
      </c>
      <c r="AN1779" s="554">
        <f t="shared" si="475"/>
        <v>0</v>
      </c>
      <c r="AO1779" s="314"/>
      <c r="AP1779" s="318"/>
    </row>
    <row r="1780" spans="2:42">
      <c r="B1780" s="296"/>
      <c r="C1780" s="299"/>
      <c r="D1780" s="298"/>
      <c r="E1780" s="299"/>
      <c r="F1780" s="299"/>
      <c r="G1780" s="300"/>
      <c r="H1780" s="303"/>
      <c r="I1780" s="301">
        <f t="shared" si="459"/>
        <v>0</v>
      </c>
      <c r="J1780" s="302">
        <f t="shared" si="460"/>
        <v>0</v>
      </c>
      <c r="K1780" s="304">
        <f t="shared" si="461"/>
        <v>0</v>
      </c>
      <c r="L1780" s="305">
        <f>IF(H1780=0,0,IF(OR(E1780=$AT$5,E1780=$AT$6),AA1780,IF(F1780="MXN",1/HLOOKUP(YEAR(G1780)+(MONTH(G1780)/100),TC!$5:$37,DAY(G1780)+2,FALSE),VLOOKUP(F1780,Equivalencia!$5:$23,((MAX(Equivalencia!$3:$3)-YEAR(G1780))*14)+MONTH(G1780)+2,FALSE))))</f>
        <v>0</v>
      </c>
      <c r="M1780" s="306">
        <f t="shared" si="462"/>
        <v>0</v>
      </c>
      <c r="N1780" s="305">
        <f>IF(G1780=0,0,(IF(OR(E1780=$AT$5,E1780=$AT$6),AC1780,HLOOKUP(YEAR(G1780)+(MONTH(G1780)/100),TC!$5:$37,DAY(G1780)+2,FALSE))))</f>
        <v>0</v>
      </c>
      <c r="O1780" s="307">
        <f t="shared" si="463"/>
        <v>0</v>
      </c>
      <c r="P1780" s="560">
        <f>IF(G1780=0,0,VLOOKUP(YEAR(G1780),INPC!$B$4:$P$30,MONTH(G1780)+2))</f>
        <v>0</v>
      </c>
      <c r="Q1780" s="560">
        <f>IF(X1780=0,0,IF(OR(E1780=$AT$10,E1780=$AT$9),VLOOKUP(YEAR(X1780),INPC!$B$4:$P$30,MONTH(X1780)+1),VLOOKUP(YEAR(X1780),INPC!$B$4:$P$30,MONTH(X1780)+2,0)))</f>
        <v>0</v>
      </c>
      <c r="R1780" s="309">
        <f t="shared" si="464"/>
        <v>0</v>
      </c>
      <c r="S1780" s="310">
        <f t="shared" si="465"/>
        <v>0</v>
      </c>
      <c r="T1780" s="555">
        <f t="shared" si="466"/>
        <v>0</v>
      </c>
      <c r="U1780" s="311"/>
      <c r="V1780" s="312"/>
      <c r="W1780" s="299"/>
      <c r="X1780" s="300"/>
      <c r="Y1780" s="299"/>
      <c r="Z1780" s="303"/>
      <c r="AA1780" s="305">
        <f>IF(Z1780=0,0,IF(Y1780="MXN",1/HLOOKUP(YEAR(X1780)+(MONTH(X1780)/100),TC!$5:$37,DAY(X1780)+2,FALSE),VLOOKUP(Y1780,Equivalencia!$1:$23,((MAX(Equivalencia!$3:$3)-YEAR(X1780))*14)+MONTH(X1780)+2,FALSE)))</f>
        <v>0</v>
      </c>
      <c r="AB1780" s="306">
        <f t="shared" si="467"/>
        <v>0</v>
      </c>
      <c r="AC1780" s="305">
        <f>+IF(X1780=0,0,HLOOKUP(YEAR(X1780)+(MONTH(X1780)/100),TC!$5:$37,DAY(X1780)+2,FALSE))</f>
        <v>0</v>
      </c>
      <c r="AD1780" s="307">
        <f t="shared" si="468"/>
        <v>0</v>
      </c>
      <c r="AE1780" s="314">
        <f t="shared" si="469"/>
        <v>0</v>
      </c>
      <c r="AF1780" s="315">
        <f t="shared" si="470"/>
        <v>0</v>
      </c>
      <c r="AG1780" s="316">
        <f t="shared" si="471"/>
        <v>0</v>
      </c>
      <c r="AH1780" s="314">
        <v>1</v>
      </c>
      <c r="AI1780" s="314">
        <f t="shared" si="472"/>
        <v>0</v>
      </c>
      <c r="AJ1780" s="314">
        <f t="shared" si="473"/>
        <v>0</v>
      </c>
      <c r="AK1780" s="317"/>
      <c r="AL1780" s="315">
        <f t="shared" si="474"/>
        <v>0</v>
      </c>
      <c r="AN1780" s="554">
        <f t="shared" si="475"/>
        <v>0</v>
      </c>
      <c r="AO1780" s="314"/>
      <c r="AP1780" s="318"/>
    </row>
    <row r="1781" spans="2:42">
      <c r="B1781" s="296"/>
      <c r="C1781" s="299"/>
      <c r="D1781" s="298"/>
      <c r="E1781" s="299"/>
      <c r="F1781" s="299"/>
      <c r="G1781" s="300"/>
      <c r="H1781" s="303"/>
      <c r="I1781" s="301">
        <f t="shared" si="459"/>
        <v>0</v>
      </c>
      <c r="J1781" s="302">
        <f t="shared" si="460"/>
        <v>0</v>
      </c>
      <c r="K1781" s="304">
        <f t="shared" si="461"/>
        <v>0</v>
      </c>
      <c r="L1781" s="305">
        <f>IF(H1781=0,0,IF(OR(E1781=$AT$5,E1781=$AT$6),AA1781,IF(F1781="MXN",1/HLOOKUP(YEAR(G1781)+(MONTH(G1781)/100),TC!$5:$37,DAY(G1781)+2,FALSE),VLOOKUP(F1781,Equivalencia!$5:$23,((MAX(Equivalencia!$3:$3)-YEAR(G1781))*14)+MONTH(G1781)+2,FALSE))))</f>
        <v>0</v>
      </c>
      <c r="M1781" s="306">
        <f t="shared" si="462"/>
        <v>0</v>
      </c>
      <c r="N1781" s="305">
        <f>IF(G1781=0,0,(IF(OR(E1781=$AT$5,E1781=$AT$6),AC1781,HLOOKUP(YEAR(G1781)+(MONTH(G1781)/100),TC!$5:$37,DAY(G1781)+2,FALSE))))</f>
        <v>0</v>
      </c>
      <c r="O1781" s="307">
        <f t="shared" si="463"/>
        <v>0</v>
      </c>
      <c r="P1781" s="560">
        <f>IF(G1781=0,0,VLOOKUP(YEAR(G1781),INPC!$B$4:$P$30,MONTH(G1781)+2))</f>
        <v>0</v>
      </c>
      <c r="Q1781" s="560">
        <f>IF(X1781=0,0,IF(OR(E1781=$AT$10,E1781=$AT$9),VLOOKUP(YEAR(X1781),INPC!$B$4:$P$30,MONTH(X1781)+1),VLOOKUP(YEAR(X1781),INPC!$B$4:$P$30,MONTH(X1781)+2,0)))</f>
        <v>0</v>
      </c>
      <c r="R1781" s="309">
        <f t="shared" si="464"/>
        <v>0</v>
      </c>
      <c r="S1781" s="310">
        <f t="shared" si="465"/>
        <v>0</v>
      </c>
      <c r="T1781" s="555">
        <f t="shared" si="466"/>
        <v>0</v>
      </c>
      <c r="U1781" s="311"/>
      <c r="V1781" s="312"/>
      <c r="W1781" s="299"/>
      <c r="X1781" s="300"/>
      <c r="Y1781" s="299"/>
      <c r="Z1781" s="303"/>
      <c r="AA1781" s="305">
        <f>IF(Z1781=0,0,IF(Y1781="MXN",1/HLOOKUP(YEAR(X1781)+(MONTH(X1781)/100),TC!$5:$37,DAY(X1781)+2,FALSE),VLOOKUP(Y1781,Equivalencia!$1:$23,((MAX(Equivalencia!$3:$3)-YEAR(X1781))*14)+MONTH(X1781)+2,FALSE)))</f>
        <v>0</v>
      </c>
      <c r="AB1781" s="306">
        <f t="shared" si="467"/>
        <v>0</v>
      </c>
      <c r="AC1781" s="305">
        <f>+IF(X1781=0,0,HLOOKUP(YEAR(X1781)+(MONTH(X1781)/100),TC!$5:$37,DAY(X1781)+2,FALSE))</f>
        <v>0</v>
      </c>
      <c r="AD1781" s="307">
        <f t="shared" si="468"/>
        <v>0</v>
      </c>
      <c r="AE1781" s="314">
        <f t="shared" si="469"/>
        <v>0</v>
      </c>
      <c r="AF1781" s="315">
        <f t="shared" si="470"/>
        <v>0</v>
      </c>
      <c r="AG1781" s="316">
        <f t="shared" si="471"/>
        <v>0</v>
      </c>
      <c r="AH1781" s="314">
        <v>1</v>
      </c>
      <c r="AI1781" s="314">
        <f t="shared" si="472"/>
        <v>0</v>
      </c>
      <c r="AJ1781" s="314">
        <f t="shared" si="473"/>
        <v>0</v>
      </c>
      <c r="AK1781" s="317"/>
      <c r="AL1781" s="315">
        <f t="shared" si="474"/>
        <v>0</v>
      </c>
      <c r="AN1781" s="554">
        <f t="shared" si="475"/>
        <v>0</v>
      </c>
      <c r="AO1781" s="314"/>
      <c r="AP1781" s="318"/>
    </row>
    <row r="1782" spans="2:42">
      <c r="B1782" s="296"/>
      <c r="C1782" s="299"/>
      <c r="D1782" s="298"/>
      <c r="E1782" s="299"/>
      <c r="F1782" s="299"/>
      <c r="G1782" s="300"/>
      <c r="H1782" s="303"/>
      <c r="I1782" s="301">
        <f t="shared" si="459"/>
        <v>0</v>
      </c>
      <c r="J1782" s="302">
        <f t="shared" si="460"/>
        <v>0</v>
      </c>
      <c r="K1782" s="304">
        <f t="shared" si="461"/>
        <v>0</v>
      </c>
      <c r="L1782" s="305">
        <f>IF(H1782=0,0,IF(OR(E1782=$AT$5,E1782=$AT$6),AA1782,IF(F1782="MXN",1/HLOOKUP(YEAR(G1782)+(MONTH(G1782)/100),TC!$5:$37,DAY(G1782)+2,FALSE),VLOOKUP(F1782,Equivalencia!$5:$23,((MAX(Equivalencia!$3:$3)-YEAR(G1782))*14)+MONTH(G1782)+2,FALSE))))</f>
        <v>0</v>
      </c>
      <c r="M1782" s="306">
        <f t="shared" si="462"/>
        <v>0</v>
      </c>
      <c r="N1782" s="305">
        <f>IF(G1782=0,0,(IF(OR(E1782=$AT$5,E1782=$AT$6),AC1782,HLOOKUP(YEAR(G1782)+(MONTH(G1782)/100),TC!$5:$37,DAY(G1782)+2,FALSE))))</f>
        <v>0</v>
      </c>
      <c r="O1782" s="307">
        <f t="shared" si="463"/>
        <v>0</v>
      </c>
      <c r="P1782" s="560">
        <f>IF(G1782=0,0,VLOOKUP(YEAR(G1782),INPC!$B$4:$P$30,MONTH(G1782)+2))</f>
        <v>0</v>
      </c>
      <c r="Q1782" s="560">
        <f>IF(X1782=0,0,IF(OR(E1782=$AT$10,E1782=$AT$9),VLOOKUP(YEAR(X1782),INPC!$B$4:$P$30,MONTH(X1782)+1),VLOOKUP(YEAR(X1782),INPC!$B$4:$P$30,MONTH(X1782)+2,0)))</f>
        <v>0</v>
      </c>
      <c r="R1782" s="309">
        <f t="shared" si="464"/>
        <v>0</v>
      </c>
      <c r="S1782" s="310">
        <f t="shared" si="465"/>
        <v>0</v>
      </c>
      <c r="T1782" s="555">
        <f t="shared" si="466"/>
        <v>0</v>
      </c>
      <c r="U1782" s="311"/>
      <c r="V1782" s="312"/>
      <c r="W1782" s="299"/>
      <c r="X1782" s="300"/>
      <c r="Y1782" s="299"/>
      <c r="Z1782" s="303"/>
      <c r="AA1782" s="305">
        <f>IF(Z1782=0,0,IF(Y1782="MXN",1/HLOOKUP(YEAR(X1782)+(MONTH(X1782)/100),TC!$5:$37,DAY(X1782)+2,FALSE),VLOOKUP(Y1782,Equivalencia!$1:$23,((MAX(Equivalencia!$3:$3)-YEAR(X1782))*14)+MONTH(X1782)+2,FALSE)))</f>
        <v>0</v>
      </c>
      <c r="AB1782" s="306">
        <f t="shared" si="467"/>
        <v>0</v>
      </c>
      <c r="AC1782" s="305">
        <f>+IF(X1782=0,0,HLOOKUP(YEAR(X1782)+(MONTH(X1782)/100),TC!$5:$37,DAY(X1782)+2,FALSE))</f>
        <v>0</v>
      </c>
      <c r="AD1782" s="307">
        <f t="shared" si="468"/>
        <v>0</v>
      </c>
      <c r="AE1782" s="314">
        <f t="shared" si="469"/>
        <v>0</v>
      </c>
      <c r="AF1782" s="315">
        <f t="shared" si="470"/>
        <v>0</v>
      </c>
      <c r="AG1782" s="316">
        <f t="shared" si="471"/>
        <v>0</v>
      </c>
      <c r="AH1782" s="314">
        <v>1</v>
      </c>
      <c r="AI1782" s="314">
        <f t="shared" si="472"/>
        <v>0</v>
      </c>
      <c r="AJ1782" s="314">
        <f t="shared" si="473"/>
        <v>0</v>
      </c>
      <c r="AK1782" s="317"/>
      <c r="AL1782" s="315">
        <f t="shared" si="474"/>
        <v>0</v>
      </c>
      <c r="AN1782" s="554">
        <f t="shared" si="475"/>
        <v>0</v>
      </c>
      <c r="AO1782" s="314"/>
      <c r="AP1782" s="318"/>
    </row>
    <row r="1783" spans="2:42">
      <c r="B1783" s="296"/>
      <c r="C1783" s="299"/>
      <c r="D1783" s="298"/>
      <c r="E1783" s="299"/>
      <c r="F1783" s="299"/>
      <c r="G1783" s="300"/>
      <c r="H1783" s="303"/>
      <c r="I1783" s="301">
        <f t="shared" si="459"/>
        <v>0</v>
      </c>
      <c r="J1783" s="302">
        <f t="shared" si="460"/>
        <v>0</v>
      </c>
      <c r="K1783" s="304">
        <f t="shared" si="461"/>
        <v>0</v>
      </c>
      <c r="L1783" s="305">
        <f>IF(H1783=0,0,IF(OR(E1783=$AT$5,E1783=$AT$6),AA1783,IF(F1783="MXN",1/HLOOKUP(YEAR(G1783)+(MONTH(G1783)/100),TC!$5:$37,DAY(G1783)+2,FALSE),VLOOKUP(F1783,Equivalencia!$5:$23,((MAX(Equivalencia!$3:$3)-YEAR(G1783))*14)+MONTH(G1783)+2,FALSE))))</f>
        <v>0</v>
      </c>
      <c r="M1783" s="306">
        <f t="shared" si="462"/>
        <v>0</v>
      </c>
      <c r="N1783" s="305">
        <f>IF(G1783=0,0,(IF(OR(E1783=$AT$5,E1783=$AT$6),AC1783,HLOOKUP(YEAR(G1783)+(MONTH(G1783)/100),TC!$5:$37,DAY(G1783)+2,FALSE))))</f>
        <v>0</v>
      </c>
      <c r="O1783" s="307">
        <f t="shared" si="463"/>
        <v>0</v>
      </c>
      <c r="P1783" s="560">
        <f>IF(G1783=0,0,VLOOKUP(YEAR(G1783),INPC!$B$4:$P$30,MONTH(G1783)+2))</f>
        <v>0</v>
      </c>
      <c r="Q1783" s="560">
        <f>IF(X1783=0,0,IF(OR(E1783=$AT$10,E1783=$AT$9),VLOOKUP(YEAR(X1783),INPC!$B$4:$P$30,MONTH(X1783)+1),VLOOKUP(YEAR(X1783),INPC!$B$4:$P$30,MONTH(X1783)+2,0)))</f>
        <v>0</v>
      </c>
      <c r="R1783" s="309">
        <f t="shared" si="464"/>
        <v>0</v>
      </c>
      <c r="S1783" s="310">
        <f t="shared" si="465"/>
        <v>0</v>
      </c>
      <c r="T1783" s="555">
        <f t="shared" si="466"/>
        <v>0</v>
      </c>
      <c r="U1783" s="311"/>
      <c r="V1783" s="312"/>
      <c r="W1783" s="299"/>
      <c r="X1783" s="300"/>
      <c r="Y1783" s="299"/>
      <c r="Z1783" s="303"/>
      <c r="AA1783" s="305">
        <f>IF(Z1783=0,0,IF(Y1783="MXN",1/HLOOKUP(YEAR(X1783)+(MONTH(X1783)/100),TC!$5:$37,DAY(X1783)+2,FALSE),VLOOKUP(Y1783,Equivalencia!$1:$23,((MAX(Equivalencia!$3:$3)-YEAR(X1783))*14)+MONTH(X1783)+2,FALSE)))</f>
        <v>0</v>
      </c>
      <c r="AB1783" s="306">
        <f t="shared" si="467"/>
        <v>0</v>
      </c>
      <c r="AC1783" s="305">
        <f>+IF(X1783=0,0,HLOOKUP(YEAR(X1783)+(MONTH(X1783)/100),TC!$5:$37,DAY(X1783)+2,FALSE))</f>
        <v>0</v>
      </c>
      <c r="AD1783" s="307">
        <f t="shared" si="468"/>
        <v>0</v>
      </c>
      <c r="AE1783" s="314">
        <f t="shared" si="469"/>
        <v>0</v>
      </c>
      <c r="AF1783" s="315">
        <f t="shared" si="470"/>
        <v>0</v>
      </c>
      <c r="AG1783" s="316">
        <f t="shared" si="471"/>
        <v>0</v>
      </c>
      <c r="AH1783" s="314">
        <v>1</v>
      </c>
      <c r="AI1783" s="314">
        <f t="shared" si="472"/>
        <v>0</v>
      </c>
      <c r="AJ1783" s="314">
        <f t="shared" si="473"/>
        <v>0</v>
      </c>
      <c r="AK1783" s="317"/>
      <c r="AL1783" s="315">
        <f t="shared" si="474"/>
        <v>0</v>
      </c>
      <c r="AN1783" s="554">
        <f t="shared" si="475"/>
        <v>0</v>
      </c>
      <c r="AO1783" s="314"/>
      <c r="AP1783" s="318"/>
    </row>
    <row r="1784" spans="2:42">
      <c r="B1784" s="296"/>
      <c r="C1784" s="299"/>
      <c r="D1784" s="298"/>
      <c r="E1784" s="299"/>
      <c r="F1784" s="299"/>
      <c r="G1784" s="300"/>
      <c r="H1784" s="303"/>
      <c r="I1784" s="301">
        <f t="shared" si="459"/>
        <v>0</v>
      </c>
      <c r="J1784" s="302">
        <f t="shared" si="460"/>
        <v>0</v>
      </c>
      <c r="K1784" s="304">
        <f t="shared" si="461"/>
        <v>0</v>
      </c>
      <c r="L1784" s="305">
        <f>IF(H1784=0,0,IF(OR(E1784=$AT$5,E1784=$AT$6),AA1784,IF(F1784="MXN",1/HLOOKUP(YEAR(G1784)+(MONTH(G1784)/100),TC!$5:$37,DAY(G1784)+2,FALSE),VLOOKUP(F1784,Equivalencia!$5:$23,((MAX(Equivalencia!$3:$3)-YEAR(G1784))*14)+MONTH(G1784)+2,FALSE))))</f>
        <v>0</v>
      </c>
      <c r="M1784" s="306">
        <f t="shared" si="462"/>
        <v>0</v>
      </c>
      <c r="N1784" s="305">
        <f>IF(G1784=0,0,(IF(OR(E1784=$AT$5,E1784=$AT$6),AC1784,HLOOKUP(YEAR(G1784)+(MONTH(G1784)/100),TC!$5:$37,DAY(G1784)+2,FALSE))))</f>
        <v>0</v>
      </c>
      <c r="O1784" s="307">
        <f t="shared" si="463"/>
        <v>0</v>
      </c>
      <c r="P1784" s="560">
        <f>IF(G1784=0,0,VLOOKUP(YEAR(G1784),INPC!$B$4:$P$30,MONTH(G1784)+2))</f>
        <v>0</v>
      </c>
      <c r="Q1784" s="560">
        <f>IF(X1784=0,0,IF(OR(E1784=$AT$10,E1784=$AT$9),VLOOKUP(YEAR(X1784),INPC!$B$4:$P$30,MONTH(X1784)+1),VLOOKUP(YEAR(X1784),INPC!$B$4:$P$30,MONTH(X1784)+2,0)))</f>
        <v>0</v>
      </c>
      <c r="R1784" s="309">
        <f t="shared" si="464"/>
        <v>0</v>
      </c>
      <c r="S1784" s="310">
        <f t="shared" si="465"/>
        <v>0</v>
      </c>
      <c r="T1784" s="555">
        <f t="shared" si="466"/>
        <v>0</v>
      </c>
      <c r="U1784" s="311"/>
      <c r="V1784" s="312"/>
      <c r="W1784" s="299"/>
      <c r="X1784" s="300"/>
      <c r="Y1784" s="299"/>
      <c r="Z1784" s="303"/>
      <c r="AA1784" s="305">
        <f>IF(Z1784=0,0,IF(Y1784="MXN",1/HLOOKUP(YEAR(X1784)+(MONTH(X1784)/100),TC!$5:$37,DAY(X1784)+2,FALSE),VLOOKUP(Y1784,Equivalencia!$1:$23,((MAX(Equivalencia!$3:$3)-YEAR(X1784))*14)+MONTH(X1784)+2,FALSE)))</f>
        <v>0</v>
      </c>
      <c r="AB1784" s="306">
        <f t="shared" si="467"/>
        <v>0</v>
      </c>
      <c r="AC1784" s="305">
        <f>+IF(X1784=0,0,HLOOKUP(YEAR(X1784)+(MONTH(X1784)/100),TC!$5:$37,DAY(X1784)+2,FALSE))</f>
        <v>0</v>
      </c>
      <c r="AD1784" s="307">
        <f t="shared" si="468"/>
        <v>0</v>
      </c>
      <c r="AE1784" s="314">
        <f t="shared" si="469"/>
        <v>0</v>
      </c>
      <c r="AF1784" s="315">
        <f t="shared" si="470"/>
        <v>0</v>
      </c>
      <c r="AG1784" s="316">
        <f t="shared" si="471"/>
        <v>0</v>
      </c>
      <c r="AH1784" s="314">
        <v>1</v>
      </c>
      <c r="AI1784" s="314">
        <f t="shared" si="472"/>
        <v>0</v>
      </c>
      <c r="AJ1784" s="314">
        <f t="shared" si="473"/>
        <v>0</v>
      </c>
      <c r="AK1784" s="317"/>
      <c r="AL1784" s="315">
        <f t="shared" si="474"/>
        <v>0</v>
      </c>
      <c r="AN1784" s="554">
        <f t="shared" si="475"/>
        <v>0</v>
      </c>
      <c r="AO1784" s="314"/>
      <c r="AP1784" s="318"/>
    </row>
    <row r="1785" spans="2:42">
      <c r="B1785" s="296"/>
      <c r="C1785" s="299"/>
      <c r="D1785" s="298"/>
      <c r="E1785" s="299"/>
      <c r="F1785" s="299"/>
      <c r="G1785" s="300"/>
      <c r="H1785" s="303"/>
      <c r="I1785" s="301">
        <f t="shared" si="459"/>
        <v>0</v>
      </c>
      <c r="J1785" s="302">
        <f t="shared" si="460"/>
        <v>0</v>
      </c>
      <c r="K1785" s="304">
        <f t="shared" si="461"/>
        <v>0</v>
      </c>
      <c r="L1785" s="305">
        <f>IF(H1785=0,0,IF(OR(E1785=$AT$5,E1785=$AT$6),AA1785,IF(F1785="MXN",1/HLOOKUP(YEAR(G1785)+(MONTH(G1785)/100),TC!$5:$37,DAY(G1785)+2,FALSE),VLOOKUP(F1785,Equivalencia!$5:$23,((MAX(Equivalencia!$3:$3)-YEAR(G1785))*14)+MONTH(G1785)+2,FALSE))))</f>
        <v>0</v>
      </c>
      <c r="M1785" s="306">
        <f t="shared" si="462"/>
        <v>0</v>
      </c>
      <c r="N1785" s="305">
        <f>IF(G1785=0,0,(IF(OR(E1785=$AT$5,E1785=$AT$6),AC1785,HLOOKUP(YEAR(G1785)+(MONTH(G1785)/100),TC!$5:$37,DAY(G1785)+2,FALSE))))</f>
        <v>0</v>
      </c>
      <c r="O1785" s="307">
        <f t="shared" si="463"/>
        <v>0</v>
      </c>
      <c r="P1785" s="560">
        <f>IF(G1785=0,0,VLOOKUP(YEAR(G1785),INPC!$B$4:$P$30,MONTH(G1785)+2))</f>
        <v>0</v>
      </c>
      <c r="Q1785" s="560">
        <f>IF(X1785=0,0,IF(OR(E1785=$AT$10,E1785=$AT$9),VLOOKUP(YEAR(X1785),INPC!$B$4:$P$30,MONTH(X1785)+1),VLOOKUP(YEAR(X1785),INPC!$B$4:$P$30,MONTH(X1785)+2,0)))</f>
        <v>0</v>
      </c>
      <c r="R1785" s="309">
        <f t="shared" si="464"/>
        <v>0</v>
      </c>
      <c r="S1785" s="310">
        <f t="shared" si="465"/>
        <v>0</v>
      </c>
      <c r="T1785" s="555">
        <f t="shared" si="466"/>
        <v>0</v>
      </c>
      <c r="U1785" s="311"/>
      <c r="V1785" s="312"/>
      <c r="W1785" s="299"/>
      <c r="X1785" s="300"/>
      <c r="Y1785" s="299"/>
      <c r="Z1785" s="303"/>
      <c r="AA1785" s="305">
        <f>IF(Z1785=0,0,IF(Y1785="MXN",1/HLOOKUP(YEAR(X1785)+(MONTH(X1785)/100),TC!$5:$37,DAY(X1785)+2,FALSE),VLOOKUP(Y1785,Equivalencia!$1:$23,((MAX(Equivalencia!$3:$3)-YEAR(X1785))*14)+MONTH(X1785)+2,FALSE)))</f>
        <v>0</v>
      </c>
      <c r="AB1785" s="306">
        <f t="shared" si="467"/>
        <v>0</v>
      </c>
      <c r="AC1785" s="305">
        <f>+IF(X1785=0,0,HLOOKUP(YEAR(X1785)+(MONTH(X1785)/100),TC!$5:$37,DAY(X1785)+2,FALSE))</f>
        <v>0</v>
      </c>
      <c r="AD1785" s="307">
        <f t="shared" si="468"/>
        <v>0</v>
      </c>
      <c r="AE1785" s="314">
        <f t="shared" si="469"/>
        <v>0</v>
      </c>
      <c r="AF1785" s="315">
        <f t="shared" si="470"/>
        <v>0</v>
      </c>
      <c r="AG1785" s="316">
        <f t="shared" si="471"/>
        <v>0</v>
      </c>
      <c r="AH1785" s="314">
        <v>1</v>
      </c>
      <c r="AI1785" s="314">
        <f t="shared" si="472"/>
        <v>0</v>
      </c>
      <c r="AJ1785" s="314">
        <f t="shared" si="473"/>
        <v>0</v>
      </c>
      <c r="AK1785" s="317"/>
      <c r="AL1785" s="315">
        <f t="shared" si="474"/>
        <v>0</v>
      </c>
      <c r="AN1785" s="554">
        <f t="shared" si="475"/>
        <v>0</v>
      </c>
      <c r="AO1785" s="314"/>
      <c r="AP1785" s="318"/>
    </row>
    <row r="1786" spans="2:42">
      <c r="B1786" s="296"/>
      <c r="C1786" s="299"/>
      <c r="D1786" s="298"/>
      <c r="E1786" s="299"/>
      <c r="F1786" s="299"/>
      <c r="G1786" s="300"/>
      <c r="H1786" s="303"/>
      <c r="I1786" s="301">
        <f t="shared" si="459"/>
        <v>0</v>
      </c>
      <c r="J1786" s="302">
        <f t="shared" si="460"/>
        <v>0</v>
      </c>
      <c r="K1786" s="304">
        <f t="shared" si="461"/>
        <v>0</v>
      </c>
      <c r="L1786" s="305">
        <f>IF(H1786=0,0,IF(OR(E1786=$AT$5,E1786=$AT$6),AA1786,IF(F1786="MXN",1/HLOOKUP(YEAR(G1786)+(MONTH(G1786)/100),TC!$5:$37,DAY(G1786)+2,FALSE),VLOOKUP(F1786,Equivalencia!$5:$23,((MAX(Equivalencia!$3:$3)-YEAR(G1786))*14)+MONTH(G1786)+2,FALSE))))</f>
        <v>0</v>
      </c>
      <c r="M1786" s="306">
        <f t="shared" si="462"/>
        <v>0</v>
      </c>
      <c r="N1786" s="305">
        <f>IF(G1786=0,0,(IF(OR(E1786=$AT$5,E1786=$AT$6),AC1786,HLOOKUP(YEAR(G1786)+(MONTH(G1786)/100),TC!$5:$37,DAY(G1786)+2,FALSE))))</f>
        <v>0</v>
      </c>
      <c r="O1786" s="307">
        <f t="shared" si="463"/>
        <v>0</v>
      </c>
      <c r="P1786" s="560">
        <f>IF(G1786=0,0,VLOOKUP(YEAR(G1786),INPC!$B$4:$P$30,MONTH(G1786)+2))</f>
        <v>0</v>
      </c>
      <c r="Q1786" s="560">
        <f>IF(X1786=0,0,IF(OR(E1786=$AT$10,E1786=$AT$9),VLOOKUP(YEAR(X1786),INPC!$B$4:$P$30,MONTH(X1786)+1),VLOOKUP(YEAR(X1786),INPC!$B$4:$P$30,MONTH(X1786)+2,0)))</f>
        <v>0</v>
      </c>
      <c r="R1786" s="309">
        <f t="shared" si="464"/>
        <v>0</v>
      </c>
      <c r="S1786" s="310">
        <f t="shared" si="465"/>
        <v>0</v>
      </c>
      <c r="T1786" s="555">
        <f t="shared" si="466"/>
        <v>0</v>
      </c>
      <c r="U1786" s="311"/>
      <c r="V1786" s="312"/>
      <c r="W1786" s="299"/>
      <c r="X1786" s="300"/>
      <c r="Y1786" s="299"/>
      <c r="Z1786" s="303"/>
      <c r="AA1786" s="305">
        <f>IF(Z1786=0,0,IF(Y1786="MXN",1/HLOOKUP(YEAR(X1786)+(MONTH(X1786)/100),TC!$5:$37,DAY(X1786)+2,FALSE),VLOOKUP(Y1786,Equivalencia!$1:$23,((MAX(Equivalencia!$3:$3)-YEAR(X1786))*14)+MONTH(X1786)+2,FALSE)))</f>
        <v>0</v>
      </c>
      <c r="AB1786" s="306">
        <f t="shared" si="467"/>
        <v>0</v>
      </c>
      <c r="AC1786" s="305">
        <f>+IF(X1786=0,0,HLOOKUP(YEAR(X1786)+(MONTH(X1786)/100),TC!$5:$37,DAY(X1786)+2,FALSE))</f>
        <v>0</v>
      </c>
      <c r="AD1786" s="307">
        <f t="shared" si="468"/>
        <v>0</v>
      </c>
      <c r="AE1786" s="314">
        <f t="shared" si="469"/>
        <v>0</v>
      </c>
      <c r="AF1786" s="315">
        <f t="shared" si="470"/>
        <v>0</v>
      </c>
      <c r="AG1786" s="316">
        <f t="shared" si="471"/>
        <v>0</v>
      </c>
      <c r="AH1786" s="314">
        <v>1</v>
      </c>
      <c r="AI1786" s="314">
        <f t="shared" si="472"/>
        <v>0</v>
      </c>
      <c r="AJ1786" s="314">
        <f t="shared" si="473"/>
        <v>0</v>
      </c>
      <c r="AK1786" s="317"/>
      <c r="AL1786" s="315">
        <f t="shared" si="474"/>
        <v>0</v>
      </c>
      <c r="AN1786" s="554">
        <f t="shared" si="475"/>
        <v>0</v>
      </c>
      <c r="AO1786" s="314"/>
      <c r="AP1786" s="318"/>
    </row>
    <row r="1787" spans="2:42">
      <c r="B1787" s="296"/>
      <c r="C1787" s="299"/>
      <c r="D1787" s="298"/>
      <c r="E1787" s="299"/>
      <c r="F1787" s="299"/>
      <c r="G1787" s="300"/>
      <c r="H1787" s="303"/>
      <c r="I1787" s="301">
        <f t="shared" si="459"/>
        <v>0</v>
      </c>
      <c r="J1787" s="302">
        <f t="shared" si="460"/>
        <v>0</v>
      </c>
      <c r="K1787" s="304">
        <f t="shared" si="461"/>
        <v>0</v>
      </c>
      <c r="L1787" s="305">
        <f>IF(H1787=0,0,IF(OR(E1787=$AT$5,E1787=$AT$6),AA1787,IF(F1787="MXN",1/HLOOKUP(YEAR(G1787)+(MONTH(G1787)/100),TC!$5:$37,DAY(G1787)+2,FALSE),VLOOKUP(F1787,Equivalencia!$5:$23,((MAX(Equivalencia!$3:$3)-YEAR(G1787))*14)+MONTH(G1787)+2,FALSE))))</f>
        <v>0</v>
      </c>
      <c r="M1787" s="306">
        <f t="shared" si="462"/>
        <v>0</v>
      </c>
      <c r="N1787" s="305">
        <f>IF(G1787=0,0,(IF(OR(E1787=$AT$5,E1787=$AT$6),AC1787,HLOOKUP(YEAR(G1787)+(MONTH(G1787)/100),TC!$5:$37,DAY(G1787)+2,FALSE))))</f>
        <v>0</v>
      </c>
      <c r="O1787" s="307">
        <f t="shared" si="463"/>
        <v>0</v>
      </c>
      <c r="P1787" s="560">
        <f>IF(G1787=0,0,VLOOKUP(YEAR(G1787),INPC!$B$4:$P$30,MONTH(G1787)+2))</f>
        <v>0</v>
      </c>
      <c r="Q1787" s="560">
        <f>IF(X1787=0,0,IF(OR(E1787=$AT$10,E1787=$AT$9),VLOOKUP(YEAR(X1787),INPC!$B$4:$P$30,MONTH(X1787)+1),VLOOKUP(YEAR(X1787),INPC!$B$4:$P$30,MONTH(X1787)+2,0)))</f>
        <v>0</v>
      </c>
      <c r="R1787" s="309">
        <f t="shared" si="464"/>
        <v>0</v>
      </c>
      <c r="S1787" s="310">
        <f t="shared" si="465"/>
        <v>0</v>
      </c>
      <c r="T1787" s="555">
        <f t="shared" si="466"/>
        <v>0</v>
      </c>
      <c r="U1787" s="311"/>
      <c r="V1787" s="312"/>
      <c r="W1787" s="299"/>
      <c r="X1787" s="300"/>
      <c r="Y1787" s="299"/>
      <c r="Z1787" s="303"/>
      <c r="AA1787" s="305">
        <f>IF(Z1787=0,0,IF(Y1787="MXN",1/HLOOKUP(YEAR(X1787)+(MONTH(X1787)/100),TC!$5:$37,DAY(X1787)+2,FALSE),VLOOKUP(Y1787,Equivalencia!$1:$23,((MAX(Equivalencia!$3:$3)-YEAR(X1787))*14)+MONTH(X1787)+2,FALSE)))</f>
        <v>0</v>
      </c>
      <c r="AB1787" s="306">
        <f t="shared" si="467"/>
        <v>0</v>
      </c>
      <c r="AC1787" s="305">
        <f>+IF(X1787=0,0,HLOOKUP(YEAR(X1787)+(MONTH(X1787)/100),TC!$5:$37,DAY(X1787)+2,FALSE))</f>
        <v>0</v>
      </c>
      <c r="AD1787" s="307">
        <f t="shared" si="468"/>
        <v>0</v>
      </c>
      <c r="AE1787" s="314">
        <f t="shared" si="469"/>
        <v>0</v>
      </c>
      <c r="AF1787" s="315">
        <f t="shared" si="470"/>
        <v>0</v>
      </c>
      <c r="AG1787" s="316">
        <f t="shared" si="471"/>
        <v>0</v>
      </c>
      <c r="AH1787" s="314">
        <v>1</v>
      </c>
      <c r="AI1787" s="314">
        <f t="shared" si="472"/>
        <v>0</v>
      </c>
      <c r="AJ1787" s="314">
        <f t="shared" si="473"/>
        <v>0</v>
      </c>
      <c r="AK1787" s="317"/>
      <c r="AL1787" s="315">
        <f t="shared" si="474"/>
        <v>0</v>
      </c>
      <c r="AN1787" s="554">
        <f t="shared" si="475"/>
        <v>0</v>
      </c>
      <c r="AO1787" s="314"/>
      <c r="AP1787" s="318"/>
    </row>
    <row r="1788" spans="2:42">
      <c r="B1788" s="296"/>
      <c r="C1788" s="299"/>
      <c r="D1788" s="298"/>
      <c r="E1788" s="299"/>
      <c r="F1788" s="299"/>
      <c r="G1788" s="300"/>
      <c r="H1788" s="303"/>
      <c r="I1788" s="301">
        <f t="shared" ref="I1788:I1851" si="476">IF(D1788=0,0,IF(OR(E1788=$AT$9,E1788=$AT$10),"Ingresos Sección II LISR (SIC &amp; BMV)","Ingresos Sección I LISR"))</f>
        <v>0</v>
      </c>
      <c r="J1788" s="302">
        <f t="shared" ref="J1788:J1851" si="477">+V1788</f>
        <v>0</v>
      </c>
      <c r="K1788" s="304">
        <f t="shared" ref="K1788:K1851" si="478">IF(H1788=0,0,H1788/J1788)</f>
        <v>0</v>
      </c>
      <c r="L1788" s="305">
        <f>IF(H1788=0,0,IF(OR(E1788=$AT$5,E1788=$AT$6),AA1788,IF(F1788="MXN",1/HLOOKUP(YEAR(G1788)+(MONTH(G1788)/100),TC!$5:$37,DAY(G1788)+2,FALSE),VLOOKUP(F1788,Equivalencia!$5:$23,((MAX(Equivalencia!$3:$3)-YEAR(G1788))*14)+MONTH(G1788)+2,FALSE))))</f>
        <v>0</v>
      </c>
      <c r="M1788" s="306">
        <f t="shared" ref="M1788:M1851" si="479">+H1788*L1788</f>
        <v>0</v>
      </c>
      <c r="N1788" s="305">
        <f>IF(G1788=0,0,(IF(OR(E1788=$AT$5,E1788=$AT$6),AC1788,HLOOKUP(YEAR(G1788)+(MONTH(G1788)/100),TC!$5:$37,DAY(G1788)+2,FALSE))))</f>
        <v>0</v>
      </c>
      <c r="O1788" s="307">
        <f t="shared" ref="O1788:O1851" si="480">+M1788*N1788</f>
        <v>0</v>
      </c>
      <c r="P1788" s="560">
        <f>IF(G1788=0,0,VLOOKUP(YEAR(G1788),INPC!$B$4:$P$30,MONTH(G1788)+2))</f>
        <v>0</v>
      </c>
      <c r="Q1788" s="560">
        <f>IF(X1788=0,0,IF(OR(E1788=$AT$10,E1788=$AT$9),VLOOKUP(YEAR(X1788),INPC!$B$4:$P$30,MONTH(X1788)+1),VLOOKUP(YEAR(X1788),INPC!$B$4:$P$30,MONTH(X1788)+2,0)))</f>
        <v>0</v>
      </c>
      <c r="R1788" s="309">
        <f t="shared" ref="R1788:R1851" si="481">IF(H1788=0,0,IF(OR(E1788=$AT$5,E1788=$AT$6),1,IF(TRUNC(Q1788/P1788,4)&gt;=1,TRUNC(Q1788/P1788,4),1)))</f>
        <v>0</v>
      </c>
      <c r="S1788" s="310">
        <f t="shared" ref="S1788:S1851" si="482">+R1788*O1788</f>
        <v>0</v>
      </c>
      <c r="T1788" s="555">
        <f t="shared" ref="T1788:T1851" si="483">IF(V1788=0,0,S1788/V1788)</f>
        <v>0</v>
      </c>
      <c r="U1788" s="311"/>
      <c r="V1788" s="312"/>
      <c r="W1788" s="299"/>
      <c r="X1788" s="300"/>
      <c r="Y1788" s="299"/>
      <c r="Z1788" s="303"/>
      <c r="AA1788" s="305">
        <f>IF(Z1788=0,0,IF(Y1788="MXN",1/HLOOKUP(YEAR(X1788)+(MONTH(X1788)/100),TC!$5:$37,DAY(X1788)+2,FALSE),VLOOKUP(Y1788,Equivalencia!$1:$23,((MAX(Equivalencia!$3:$3)-YEAR(X1788))*14)+MONTH(X1788)+2,FALSE)))</f>
        <v>0</v>
      </c>
      <c r="AB1788" s="306">
        <f t="shared" ref="AB1788:AB1851" si="484">+AA1788*Z1788</f>
        <v>0</v>
      </c>
      <c r="AC1788" s="305">
        <f>+IF(X1788=0,0,HLOOKUP(YEAR(X1788)+(MONTH(X1788)/100),TC!$5:$37,DAY(X1788)+2,FALSE))</f>
        <v>0</v>
      </c>
      <c r="AD1788" s="307">
        <f t="shared" ref="AD1788:AD1851" si="485">+AC1788*AB1788</f>
        <v>0</v>
      </c>
      <c r="AE1788" s="314">
        <f t="shared" ref="AE1788:AE1851" si="486">+V1788*T1788</f>
        <v>0</v>
      </c>
      <c r="AF1788" s="315">
        <f t="shared" ref="AF1788:AF1851" si="487">IF(E1788=$AT$11,0,AD1788-AE1788)</f>
        <v>0</v>
      </c>
      <c r="AG1788" s="316">
        <f t="shared" ref="AG1788:AG1851" si="488">+IF(AND(AF1788&lt;0,OR(E1788=$AT$5,E1788=$AT$6)),1,((X1788-G1788)/365))</f>
        <v>0</v>
      </c>
      <c r="AH1788" s="314">
        <v>1</v>
      </c>
      <c r="AI1788" s="314">
        <f t="shared" ref="AI1788:AI1851" si="489">+IF(OR(E1788=$AT$9,E1788=$AT$10),AF1788,+AF1788/AH1788)</f>
        <v>0</v>
      </c>
      <c r="AJ1788" s="314">
        <f t="shared" ref="AJ1788:AJ1851" si="490">+AF1788-AI1788</f>
        <v>0</v>
      </c>
      <c r="AK1788" s="317"/>
      <c r="AL1788" s="315">
        <f t="shared" ref="AL1788:AL1851" si="491">+AB1788-M1788</f>
        <v>0</v>
      </c>
      <c r="AN1788" s="554">
        <f t="shared" ref="AN1788:AN1851" si="492">IF(AL1788=0,0,AL1788/H1788)</f>
        <v>0</v>
      </c>
      <c r="AO1788" s="314"/>
      <c r="AP1788" s="318"/>
    </row>
    <row r="1789" spans="2:42">
      <c r="B1789" s="296"/>
      <c r="C1789" s="299"/>
      <c r="D1789" s="298"/>
      <c r="E1789" s="299"/>
      <c r="F1789" s="299"/>
      <c r="G1789" s="300"/>
      <c r="H1789" s="303"/>
      <c r="I1789" s="301">
        <f t="shared" si="476"/>
        <v>0</v>
      </c>
      <c r="J1789" s="302">
        <f t="shared" si="477"/>
        <v>0</v>
      </c>
      <c r="K1789" s="304">
        <f t="shared" si="478"/>
        <v>0</v>
      </c>
      <c r="L1789" s="305">
        <f>IF(H1789=0,0,IF(OR(E1789=$AT$5,E1789=$AT$6),AA1789,IF(F1789="MXN",1/HLOOKUP(YEAR(G1789)+(MONTH(G1789)/100),TC!$5:$37,DAY(G1789)+2,FALSE),VLOOKUP(F1789,Equivalencia!$5:$23,((MAX(Equivalencia!$3:$3)-YEAR(G1789))*14)+MONTH(G1789)+2,FALSE))))</f>
        <v>0</v>
      </c>
      <c r="M1789" s="306">
        <f t="shared" si="479"/>
        <v>0</v>
      </c>
      <c r="N1789" s="305">
        <f>IF(G1789=0,0,(IF(OR(E1789=$AT$5,E1789=$AT$6),AC1789,HLOOKUP(YEAR(G1789)+(MONTH(G1789)/100),TC!$5:$37,DAY(G1789)+2,FALSE))))</f>
        <v>0</v>
      </c>
      <c r="O1789" s="307">
        <f t="shared" si="480"/>
        <v>0</v>
      </c>
      <c r="P1789" s="560">
        <f>IF(G1789=0,0,VLOOKUP(YEAR(G1789),INPC!$B$4:$P$30,MONTH(G1789)+2))</f>
        <v>0</v>
      </c>
      <c r="Q1789" s="560">
        <f>IF(X1789=0,0,IF(OR(E1789=$AT$10,E1789=$AT$9),VLOOKUP(YEAR(X1789),INPC!$B$4:$P$30,MONTH(X1789)+1),VLOOKUP(YEAR(X1789),INPC!$B$4:$P$30,MONTH(X1789)+2,0)))</f>
        <v>0</v>
      </c>
      <c r="R1789" s="309">
        <f t="shared" si="481"/>
        <v>0</v>
      </c>
      <c r="S1789" s="310">
        <f t="shared" si="482"/>
        <v>0</v>
      </c>
      <c r="T1789" s="555">
        <f t="shared" si="483"/>
        <v>0</v>
      </c>
      <c r="U1789" s="311"/>
      <c r="V1789" s="312"/>
      <c r="W1789" s="299"/>
      <c r="X1789" s="300"/>
      <c r="Y1789" s="299"/>
      <c r="Z1789" s="303"/>
      <c r="AA1789" s="305">
        <f>IF(Z1789=0,0,IF(Y1789="MXN",1/HLOOKUP(YEAR(X1789)+(MONTH(X1789)/100),TC!$5:$37,DAY(X1789)+2,FALSE),VLOOKUP(Y1789,Equivalencia!$1:$23,((MAX(Equivalencia!$3:$3)-YEAR(X1789))*14)+MONTH(X1789)+2,FALSE)))</f>
        <v>0</v>
      </c>
      <c r="AB1789" s="306">
        <f t="shared" si="484"/>
        <v>0</v>
      </c>
      <c r="AC1789" s="305">
        <f>+IF(X1789=0,0,HLOOKUP(YEAR(X1789)+(MONTH(X1789)/100),TC!$5:$37,DAY(X1789)+2,FALSE))</f>
        <v>0</v>
      </c>
      <c r="AD1789" s="307">
        <f t="shared" si="485"/>
        <v>0</v>
      </c>
      <c r="AE1789" s="314">
        <f t="shared" si="486"/>
        <v>0</v>
      </c>
      <c r="AF1789" s="315">
        <f t="shared" si="487"/>
        <v>0</v>
      </c>
      <c r="AG1789" s="316">
        <f t="shared" si="488"/>
        <v>0</v>
      </c>
      <c r="AH1789" s="314">
        <v>1</v>
      </c>
      <c r="AI1789" s="314">
        <f t="shared" si="489"/>
        <v>0</v>
      </c>
      <c r="AJ1789" s="314">
        <f t="shared" si="490"/>
        <v>0</v>
      </c>
      <c r="AK1789" s="317"/>
      <c r="AL1789" s="315">
        <f t="shared" si="491"/>
        <v>0</v>
      </c>
      <c r="AN1789" s="554">
        <f t="shared" si="492"/>
        <v>0</v>
      </c>
      <c r="AO1789" s="314"/>
      <c r="AP1789" s="318"/>
    </row>
    <row r="1790" spans="2:42">
      <c r="B1790" s="296"/>
      <c r="C1790" s="299"/>
      <c r="D1790" s="298"/>
      <c r="E1790" s="299"/>
      <c r="F1790" s="299"/>
      <c r="G1790" s="300"/>
      <c r="H1790" s="303"/>
      <c r="I1790" s="301">
        <f t="shared" si="476"/>
        <v>0</v>
      </c>
      <c r="J1790" s="302">
        <f t="shared" si="477"/>
        <v>0</v>
      </c>
      <c r="K1790" s="304">
        <f t="shared" si="478"/>
        <v>0</v>
      </c>
      <c r="L1790" s="305">
        <f>IF(H1790=0,0,IF(OR(E1790=$AT$5,E1790=$AT$6),AA1790,IF(F1790="MXN",1/HLOOKUP(YEAR(G1790)+(MONTH(G1790)/100),TC!$5:$37,DAY(G1790)+2,FALSE),VLOOKUP(F1790,Equivalencia!$5:$23,((MAX(Equivalencia!$3:$3)-YEAR(G1790))*14)+MONTH(G1790)+2,FALSE))))</f>
        <v>0</v>
      </c>
      <c r="M1790" s="306">
        <f t="shared" si="479"/>
        <v>0</v>
      </c>
      <c r="N1790" s="305">
        <f>IF(G1790=0,0,(IF(OR(E1790=$AT$5,E1790=$AT$6),AC1790,HLOOKUP(YEAR(G1790)+(MONTH(G1790)/100),TC!$5:$37,DAY(G1790)+2,FALSE))))</f>
        <v>0</v>
      </c>
      <c r="O1790" s="307">
        <f t="shared" si="480"/>
        <v>0</v>
      </c>
      <c r="P1790" s="560">
        <f>IF(G1790=0,0,VLOOKUP(YEAR(G1790),INPC!$B$4:$P$30,MONTH(G1790)+2))</f>
        <v>0</v>
      </c>
      <c r="Q1790" s="560">
        <f>IF(X1790=0,0,IF(OR(E1790=$AT$10,E1790=$AT$9),VLOOKUP(YEAR(X1790),INPC!$B$4:$P$30,MONTH(X1790)+1),VLOOKUP(YEAR(X1790),INPC!$B$4:$P$30,MONTH(X1790)+2,0)))</f>
        <v>0</v>
      </c>
      <c r="R1790" s="309">
        <f t="shared" si="481"/>
        <v>0</v>
      </c>
      <c r="S1790" s="310">
        <f t="shared" si="482"/>
        <v>0</v>
      </c>
      <c r="T1790" s="555">
        <f t="shared" si="483"/>
        <v>0</v>
      </c>
      <c r="U1790" s="311"/>
      <c r="V1790" s="312"/>
      <c r="W1790" s="299"/>
      <c r="X1790" s="300"/>
      <c r="Y1790" s="299"/>
      <c r="Z1790" s="303"/>
      <c r="AA1790" s="305">
        <f>IF(Z1790=0,0,IF(Y1790="MXN",1/HLOOKUP(YEAR(X1790)+(MONTH(X1790)/100),TC!$5:$37,DAY(X1790)+2,FALSE),VLOOKUP(Y1790,Equivalencia!$1:$23,((MAX(Equivalencia!$3:$3)-YEAR(X1790))*14)+MONTH(X1790)+2,FALSE)))</f>
        <v>0</v>
      </c>
      <c r="AB1790" s="306">
        <f t="shared" si="484"/>
        <v>0</v>
      </c>
      <c r="AC1790" s="305">
        <f>+IF(X1790=0,0,HLOOKUP(YEAR(X1790)+(MONTH(X1790)/100),TC!$5:$37,DAY(X1790)+2,FALSE))</f>
        <v>0</v>
      </c>
      <c r="AD1790" s="307">
        <f t="shared" si="485"/>
        <v>0</v>
      </c>
      <c r="AE1790" s="314">
        <f t="shared" si="486"/>
        <v>0</v>
      </c>
      <c r="AF1790" s="315">
        <f t="shared" si="487"/>
        <v>0</v>
      </c>
      <c r="AG1790" s="316">
        <f t="shared" si="488"/>
        <v>0</v>
      </c>
      <c r="AH1790" s="314">
        <v>1</v>
      </c>
      <c r="AI1790" s="314">
        <f t="shared" si="489"/>
        <v>0</v>
      </c>
      <c r="AJ1790" s="314">
        <f t="shared" si="490"/>
        <v>0</v>
      </c>
      <c r="AK1790" s="317"/>
      <c r="AL1790" s="315">
        <f t="shared" si="491"/>
        <v>0</v>
      </c>
      <c r="AN1790" s="554">
        <f t="shared" si="492"/>
        <v>0</v>
      </c>
      <c r="AO1790" s="314"/>
      <c r="AP1790" s="318"/>
    </row>
    <row r="1791" spans="2:42">
      <c r="B1791" s="296"/>
      <c r="C1791" s="299"/>
      <c r="D1791" s="298"/>
      <c r="E1791" s="299"/>
      <c r="F1791" s="299"/>
      <c r="G1791" s="300"/>
      <c r="H1791" s="303"/>
      <c r="I1791" s="301">
        <f t="shared" si="476"/>
        <v>0</v>
      </c>
      <c r="J1791" s="302">
        <f t="shared" si="477"/>
        <v>0</v>
      </c>
      <c r="K1791" s="304">
        <f t="shared" si="478"/>
        <v>0</v>
      </c>
      <c r="L1791" s="305">
        <f>IF(H1791=0,0,IF(OR(E1791=$AT$5,E1791=$AT$6),AA1791,IF(F1791="MXN",1/HLOOKUP(YEAR(G1791)+(MONTH(G1791)/100),TC!$5:$37,DAY(G1791)+2,FALSE),VLOOKUP(F1791,Equivalencia!$5:$23,((MAX(Equivalencia!$3:$3)-YEAR(G1791))*14)+MONTH(G1791)+2,FALSE))))</f>
        <v>0</v>
      </c>
      <c r="M1791" s="306">
        <f t="shared" si="479"/>
        <v>0</v>
      </c>
      <c r="N1791" s="305">
        <f>IF(G1791=0,0,(IF(OR(E1791=$AT$5,E1791=$AT$6),AC1791,HLOOKUP(YEAR(G1791)+(MONTH(G1791)/100),TC!$5:$37,DAY(G1791)+2,FALSE))))</f>
        <v>0</v>
      </c>
      <c r="O1791" s="307">
        <f t="shared" si="480"/>
        <v>0</v>
      </c>
      <c r="P1791" s="560">
        <f>IF(G1791=0,0,VLOOKUP(YEAR(G1791),INPC!$B$4:$P$30,MONTH(G1791)+2))</f>
        <v>0</v>
      </c>
      <c r="Q1791" s="560">
        <f>IF(X1791=0,0,IF(OR(E1791=$AT$10,E1791=$AT$9),VLOOKUP(YEAR(X1791),INPC!$B$4:$P$30,MONTH(X1791)+1),VLOOKUP(YEAR(X1791),INPC!$B$4:$P$30,MONTH(X1791)+2,0)))</f>
        <v>0</v>
      </c>
      <c r="R1791" s="309">
        <f t="shared" si="481"/>
        <v>0</v>
      </c>
      <c r="S1791" s="310">
        <f t="shared" si="482"/>
        <v>0</v>
      </c>
      <c r="T1791" s="555">
        <f t="shared" si="483"/>
        <v>0</v>
      </c>
      <c r="U1791" s="311"/>
      <c r="V1791" s="312"/>
      <c r="W1791" s="299"/>
      <c r="X1791" s="300"/>
      <c r="Y1791" s="299"/>
      <c r="Z1791" s="303"/>
      <c r="AA1791" s="305">
        <f>IF(Z1791=0,0,IF(Y1791="MXN",1/HLOOKUP(YEAR(X1791)+(MONTH(X1791)/100),TC!$5:$37,DAY(X1791)+2,FALSE),VLOOKUP(Y1791,Equivalencia!$1:$23,((MAX(Equivalencia!$3:$3)-YEAR(X1791))*14)+MONTH(X1791)+2,FALSE)))</f>
        <v>0</v>
      </c>
      <c r="AB1791" s="306">
        <f t="shared" si="484"/>
        <v>0</v>
      </c>
      <c r="AC1791" s="305">
        <f>+IF(X1791=0,0,HLOOKUP(YEAR(X1791)+(MONTH(X1791)/100),TC!$5:$37,DAY(X1791)+2,FALSE))</f>
        <v>0</v>
      </c>
      <c r="AD1791" s="307">
        <f t="shared" si="485"/>
        <v>0</v>
      </c>
      <c r="AE1791" s="314">
        <f t="shared" si="486"/>
        <v>0</v>
      </c>
      <c r="AF1791" s="315">
        <f t="shared" si="487"/>
        <v>0</v>
      </c>
      <c r="AG1791" s="316">
        <f t="shared" si="488"/>
        <v>0</v>
      </c>
      <c r="AH1791" s="314">
        <v>1</v>
      </c>
      <c r="AI1791" s="314">
        <f t="shared" si="489"/>
        <v>0</v>
      </c>
      <c r="AJ1791" s="314">
        <f t="shared" si="490"/>
        <v>0</v>
      </c>
      <c r="AK1791" s="317"/>
      <c r="AL1791" s="315">
        <f t="shared" si="491"/>
        <v>0</v>
      </c>
      <c r="AN1791" s="554">
        <f t="shared" si="492"/>
        <v>0</v>
      </c>
      <c r="AO1791" s="314"/>
      <c r="AP1791" s="318"/>
    </row>
    <row r="1792" spans="2:42">
      <c r="B1792" s="296"/>
      <c r="C1792" s="299"/>
      <c r="D1792" s="298"/>
      <c r="E1792" s="299"/>
      <c r="F1792" s="299"/>
      <c r="G1792" s="300"/>
      <c r="H1792" s="303"/>
      <c r="I1792" s="301">
        <f t="shared" si="476"/>
        <v>0</v>
      </c>
      <c r="J1792" s="302">
        <f t="shared" si="477"/>
        <v>0</v>
      </c>
      <c r="K1792" s="304">
        <f t="shared" si="478"/>
        <v>0</v>
      </c>
      <c r="L1792" s="305">
        <f>IF(H1792=0,0,IF(OR(E1792=$AT$5,E1792=$AT$6),AA1792,IF(F1792="MXN",1/HLOOKUP(YEAR(G1792)+(MONTH(G1792)/100),TC!$5:$37,DAY(G1792)+2,FALSE),VLOOKUP(F1792,Equivalencia!$5:$23,((MAX(Equivalencia!$3:$3)-YEAR(G1792))*14)+MONTH(G1792)+2,FALSE))))</f>
        <v>0</v>
      </c>
      <c r="M1792" s="306">
        <f t="shared" si="479"/>
        <v>0</v>
      </c>
      <c r="N1792" s="305">
        <f>IF(G1792=0,0,(IF(OR(E1792=$AT$5,E1792=$AT$6),AC1792,HLOOKUP(YEAR(G1792)+(MONTH(G1792)/100),TC!$5:$37,DAY(G1792)+2,FALSE))))</f>
        <v>0</v>
      </c>
      <c r="O1792" s="307">
        <f t="shared" si="480"/>
        <v>0</v>
      </c>
      <c r="P1792" s="560">
        <f>IF(G1792=0,0,VLOOKUP(YEAR(G1792),INPC!$B$4:$P$30,MONTH(G1792)+2))</f>
        <v>0</v>
      </c>
      <c r="Q1792" s="560">
        <f>IF(X1792=0,0,IF(OR(E1792=$AT$10,E1792=$AT$9),VLOOKUP(YEAR(X1792),INPC!$B$4:$P$30,MONTH(X1792)+1),VLOOKUP(YEAR(X1792),INPC!$B$4:$P$30,MONTH(X1792)+2,0)))</f>
        <v>0</v>
      </c>
      <c r="R1792" s="309">
        <f t="shared" si="481"/>
        <v>0</v>
      </c>
      <c r="S1792" s="310">
        <f t="shared" si="482"/>
        <v>0</v>
      </c>
      <c r="T1792" s="555">
        <f t="shared" si="483"/>
        <v>0</v>
      </c>
      <c r="U1792" s="311"/>
      <c r="V1792" s="312"/>
      <c r="W1792" s="299"/>
      <c r="X1792" s="300"/>
      <c r="Y1792" s="299"/>
      <c r="Z1792" s="303"/>
      <c r="AA1792" s="305">
        <f>IF(Z1792=0,0,IF(Y1792="MXN",1/HLOOKUP(YEAR(X1792)+(MONTH(X1792)/100),TC!$5:$37,DAY(X1792)+2,FALSE),VLOOKUP(Y1792,Equivalencia!$1:$23,((MAX(Equivalencia!$3:$3)-YEAR(X1792))*14)+MONTH(X1792)+2,FALSE)))</f>
        <v>0</v>
      </c>
      <c r="AB1792" s="306">
        <f t="shared" si="484"/>
        <v>0</v>
      </c>
      <c r="AC1792" s="305">
        <f>+IF(X1792=0,0,HLOOKUP(YEAR(X1792)+(MONTH(X1792)/100),TC!$5:$37,DAY(X1792)+2,FALSE))</f>
        <v>0</v>
      </c>
      <c r="AD1792" s="307">
        <f t="shared" si="485"/>
        <v>0</v>
      </c>
      <c r="AE1792" s="314">
        <f t="shared" si="486"/>
        <v>0</v>
      </c>
      <c r="AF1792" s="315">
        <f t="shared" si="487"/>
        <v>0</v>
      </c>
      <c r="AG1792" s="316">
        <f t="shared" si="488"/>
        <v>0</v>
      </c>
      <c r="AH1792" s="314">
        <v>1</v>
      </c>
      <c r="AI1792" s="314">
        <f t="shared" si="489"/>
        <v>0</v>
      </c>
      <c r="AJ1792" s="314">
        <f t="shared" si="490"/>
        <v>0</v>
      </c>
      <c r="AK1792" s="317"/>
      <c r="AL1792" s="315">
        <f t="shared" si="491"/>
        <v>0</v>
      </c>
      <c r="AN1792" s="554">
        <f t="shared" si="492"/>
        <v>0</v>
      </c>
      <c r="AO1792" s="314"/>
      <c r="AP1792" s="318"/>
    </row>
    <row r="1793" spans="2:42">
      <c r="B1793" s="296"/>
      <c r="C1793" s="299"/>
      <c r="D1793" s="298"/>
      <c r="E1793" s="299"/>
      <c r="F1793" s="299"/>
      <c r="G1793" s="300"/>
      <c r="H1793" s="303"/>
      <c r="I1793" s="301">
        <f t="shared" si="476"/>
        <v>0</v>
      </c>
      <c r="J1793" s="302">
        <f t="shared" si="477"/>
        <v>0</v>
      </c>
      <c r="K1793" s="304">
        <f t="shared" si="478"/>
        <v>0</v>
      </c>
      <c r="L1793" s="305">
        <f>IF(H1793=0,0,IF(OR(E1793=$AT$5,E1793=$AT$6),AA1793,IF(F1793="MXN",1/HLOOKUP(YEAR(G1793)+(MONTH(G1793)/100),TC!$5:$37,DAY(G1793)+2,FALSE),VLOOKUP(F1793,Equivalencia!$5:$23,((MAX(Equivalencia!$3:$3)-YEAR(G1793))*14)+MONTH(G1793)+2,FALSE))))</f>
        <v>0</v>
      </c>
      <c r="M1793" s="306">
        <f t="shared" si="479"/>
        <v>0</v>
      </c>
      <c r="N1793" s="305">
        <f>IF(G1793=0,0,(IF(OR(E1793=$AT$5,E1793=$AT$6),AC1793,HLOOKUP(YEAR(G1793)+(MONTH(G1793)/100),TC!$5:$37,DAY(G1793)+2,FALSE))))</f>
        <v>0</v>
      </c>
      <c r="O1793" s="307">
        <f t="shared" si="480"/>
        <v>0</v>
      </c>
      <c r="P1793" s="560">
        <f>IF(G1793=0,0,VLOOKUP(YEAR(G1793),INPC!$B$4:$P$30,MONTH(G1793)+2))</f>
        <v>0</v>
      </c>
      <c r="Q1793" s="560">
        <f>IF(X1793=0,0,IF(OR(E1793=$AT$10,E1793=$AT$9),VLOOKUP(YEAR(X1793),INPC!$B$4:$P$30,MONTH(X1793)+1),VLOOKUP(YEAR(X1793),INPC!$B$4:$P$30,MONTH(X1793)+2,0)))</f>
        <v>0</v>
      </c>
      <c r="R1793" s="309">
        <f t="shared" si="481"/>
        <v>0</v>
      </c>
      <c r="S1793" s="310">
        <f t="shared" si="482"/>
        <v>0</v>
      </c>
      <c r="T1793" s="555">
        <f t="shared" si="483"/>
        <v>0</v>
      </c>
      <c r="U1793" s="311"/>
      <c r="V1793" s="312"/>
      <c r="W1793" s="299"/>
      <c r="X1793" s="300"/>
      <c r="Y1793" s="299"/>
      <c r="Z1793" s="303"/>
      <c r="AA1793" s="305">
        <f>IF(Z1793=0,0,IF(Y1793="MXN",1/HLOOKUP(YEAR(X1793)+(MONTH(X1793)/100),TC!$5:$37,DAY(X1793)+2,FALSE),VLOOKUP(Y1793,Equivalencia!$1:$23,((MAX(Equivalencia!$3:$3)-YEAR(X1793))*14)+MONTH(X1793)+2,FALSE)))</f>
        <v>0</v>
      </c>
      <c r="AB1793" s="306">
        <f t="shared" si="484"/>
        <v>0</v>
      </c>
      <c r="AC1793" s="305">
        <f>+IF(X1793=0,0,HLOOKUP(YEAR(X1793)+(MONTH(X1793)/100),TC!$5:$37,DAY(X1793)+2,FALSE))</f>
        <v>0</v>
      </c>
      <c r="AD1793" s="307">
        <f t="shared" si="485"/>
        <v>0</v>
      </c>
      <c r="AE1793" s="314">
        <f t="shared" si="486"/>
        <v>0</v>
      </c>
      <c r="AF1793" s="315">
        <f t="shared" si="487"/>
        <v>0</v>
      </c>
      <c r="AG1793" s="316">
        <f t="shared" si="488"/>
        <v>0</v>
      </c>
      <c r="AH1793" s="314">
        <v>1</v>
      </c>
      <c r="AI1793" s="314">
        <f t="shared" si="489"/>
        <v>0</v>
      </c>
      <c r="AJ1793" s="314">
        <f t="shared" si="490"/>
        <v>0</v>
      </c>
      <c r="AK1793" s="317"/>
      <c r="AL1793" s="315">
        <f t="shared" si="491"/>
        <v>0</v>
      </c>
      <c r="AN1793" s="554">
        <f t="shared" si="492"/>
        <v>0</v>
      </c>
      <c r="AO1793" s="314"/>
      <c r="AP1793" s="318"/>
    </row>
    <row r="1794" spans="2:42">
      <c r="B1794" s="296"/>
      <c r="C1794" s="299"/>
      <c r="D1794" s="298"/>
      <c r="E1794" s="299"/>
      <c r="F1794" s="299"/>
      <c r="G1794" s="300"/>
      <c r="H1794" s="303"/>
      <c r="I1794" s="301">
        <f t="shared" si="476"/>
        <v>0</v>
      </c>
      <c r="J1794" s="302">
        <f t="shared" si="477"/>
        <v>0</v>
      </c>
      <c r="K1794" s="304">
        <f t="shared" si="478"/>
        <v>0</v>
      </c>
      <c r="L1794" s="305">
        <f>IF(H1794=0,0,IF(OR(E1794=$AT$5,E1794=$AT$6),AA1794,IF(F1794="MXN",1/HLOOKUP(YEAR(G1794)+(MONTH(G1794)/100),TC!$5:$37,DAY(G1794)+2,FALSE),VLOOKUP(F1794,Equivalencia!$5:$23,((MAX(Equivalencia!$3:$3)-YEAR(G1794))*14)+MONTH(G1794)+2,FALSE))))</f>
        <v>0</v>
      </c>
      <c r="M1794" s="306">
        <f t="shared" si="479"/>
        <v>0</v>
      </c>
      <c r="N1794" s="305">
        <f>IF(G1794=0,0,(IF(OR(E1794=$AT$5,E1794=$AT$6),AC1794,HLOOKUP(YEAR(G1794)+(MONTH(G1794)/100),TC!$5:$37,DAY(G1794)+2,FALSE))))</f>
        <v>0</v>
      </c>
      <c r="O1794" s="307">
        <f t="shared" si="480"/>
        <v>0</v>
      </c>
      <c r="P1794" s="560">
        <f>IF(G1794=0,0,VLOOKUP(YEAR(G1794),INPC!$B$4:$P$30,MONTH(G1794)+2))</f>
        <v>0</v>
      </c>
      <c r="Q1794" s="560">
        <f>IF(X1794=0,0,IF(OR(E1794=$AT$10,E1794=$AT$9),VLOOKUP(YEAR(X1794),INPC!$B$4:$P$30,MONTH(X1794)+1),VLOOKUP(YEAR(X1794),INPC!$B$4:$P$30,MONTH(X1794)+2,0)))</f>
        <v>0</v>
      </c>
      <c r="R1794" s="309">
        <f t="shared" si="481"/>
        <v>0</v>
      </c>
      <c r="S1794" s="310">
        <f t="shared" si="482"/>
        <v>0</v>
      </c>
      <c r="T1794" s="555">
        <f t="shared" si="483"/>
        <v>0</v>
      </c>
      <c r="U1794" s="311"/>
      <c r="V1794" s="312"/>
      <c r="W1794" s="299"/>
      <c r="X1794" s="300"/>
      <c r="Y1794" s="299"/>
      <c r="Z1794" s="303"/>
      <c r="AA1794" s="305">
        <f>IF(Z1794=0,0,IF(Y1794="MXN",1/HLOOKUP(YEAR(X1794)+(MONTH(X1794)/100),TC!$5:$37,DAY(X1794)+2,FALSE),VLOOKUP(Y1794,Equivalencia!$1:$23,((MAX(Equivalencia!$3:$3)-YEAR(X1794))*14)+MONTH(X1794)+2,FALSE)))</f>
        <v>0</v>
      </c>
      <c r="AB1794" s="306">
        <f t="shared" si="484"/>
        <v>0</v>
      </c>
      <c r="AC1794" s="305">
        <f>+IF(X1794=0,0,HLOOKUP(YEAR(X1794)+(MONTH(X1794)/100),TC!$5:$37,DAY(X1794)+2,FALSE))</f>
        <v>0</v>
      </c>
      <c r="AD1794" s="307">
        <f t="shared" si="485"/>
        <v>0</v>
      </c>
      <c r="AE1794" s="314">
        <f t="shared" si="486"/>
        <v>0</v>
      </c>
      <c r="AF1794" s="315">
        <f t="shared" si="487"/>
        <v>0</v>
      </c>
      <c r="AG1794" s="316">
        <f t="shared" si="488"/>
        <v>0</v>
      </c>
      <c r="AH1794" s="314">
        <v>1</v>
      </c>
      <c r="AI1794" s="314">
        <f t="shared" si="489"/>
        <v>0</v>
      </c>
      <c r="AJ1794" s="314">
        <f t="shared" si="490"/>
        <v>0</v>
      </c>
      <c r="AK1794" s="317"/>
      <c r="AL1794" s="315">
        <f t="shared" si="491"/>
        <v>0</v>
      </c>
      <c r="AN1794" s="554">
        <f t="shared" si="492"/>
        <v>0</v>
      </c>
      <c r="AO1794" s="314"/>
      <c r="AP1794" s="318"/>
    </row>
    <row r="1795" spans="2:42">
      <c r="B1795" s="296"/>
      <c r="C1795" s="299"/>
      <c r="D1795" s="298"/>
      <c r="E1795" s="299"/>
      <c r="F1795" s="299"/>
      <c r="G1795" s="300"/>
      <c r="H1795" s="303"/>
      <c r="I1795" s="301">
        <f t="shared" si="476"/>
        <v>0</v>
      </c>
      <c r="J1795" s="302">
        <f t="shared" si="477"/>
        <v>0</v>
      </c>
      <c r="K1795" s="304">
        <f t="shared" si="478"/>
        <v>0</v>
      </c>
      <c r="L1795" s="305">
        <f>IF(H1795=0,0,IF(OR(E1795=$AT$5,E1795=$AT$6),AA1795,IF(F1795="MXN",1/HLOOKUP(YEAR(G1795)+(MONTH(G1795)/100),TC!$5:$37,DAY(G1795)+2,FALSE),VLOOKUP(F1795,Equivalencia!$5:$23,((MAX(Equivalencia!$3:$3)-YEAR(G1795))*14)+MONTH(G1795)+2,FALSE))))</f>
        <v>0</v>
      </c>
      <c r="M1795" s="306">
        <f t="shared" si="479"/>
        <v>0</v>
      </c>
      <c r="N1795" s="305">
        <f>IF(G1795=0,0,(IF(OR(E1795=$AT$5,E1795=$AT$6),AC1795,HLOOKUP(YEAR(G1795)+(MONTH(G1795)/100),TC!$5:$37,DAY(G1795)+2,FALSE))))</f>
        <v>0</v>
      </c>
      <c r="O1795" s="307">
        <f t="shared" si="480"/>
        <v>0</v>
      </c>
      <c r="P1795" s="560">
        <f>IF(G1795=0,0,VLOOKUP(YEAR(G1795),INPC!$B$4:$P$30,MONTH(G1795)+2))</f>
        <v>0</v>
      </c>
      <c r="Q1795" s="560">
        <f>IF(X1795=0,0,IF(OR(E1795=$AT$10,E1795=$AT$9),VLOOKUP(YEAR(X1795),INPC!$B$4:$P$30,MONTH(X1795)+1),VLOOKUP(YEAR(X1795),INPC!$B$4:$P$30,MONTH(X1795)+2,0)))</f>
        <v>0</v>
      </c>
      <c r="R1795" s="309">
        <f t="shared" si="481"/>
        <v>0</v>
      </c>
      <c r="S1795" s="310">
        <f t="shared" si="482"/>
        <v>0</v>
      </c>
      <c r="T1795" s="555">
        <f t="shared" si="483"/>
        <v>0</v>
      </c>
      <c r="U1795" s="311"/>
      <c r="V1795" s="312"/>
      <c r="W1795" s="299"/>
      <c r="X1795" s="300"/>
      <c r="Y1795" s="299"/>
      <c r="Z1795" s="303"/>
      <c r="AA1795" s="305">
        <f>IF(Z1795=0,0,IF(Y1795="MXN",1/HLOOKUP(YEAR(X1795)+(MONTH(X1795)/100),TC!$5:$37,DAY(X1795)+2,FALSE),VLOOKUP(Y1795,Equivalencia!$1:$23,((MAX(Equivalencia!$3:$3)-YEAR(X1795))*14)+MONTH(X1795)+2,FALSE)))</f>
        <v>0</v>
      </c>
      <c r="AB1795" s="306">
        <f t="shared" si="484"/>
        <v>0</v>
      </c>
      <c r="AC1795" s="305">
        <f>+IF(X1795=0,0,HLOOKUP(YEAR(X1795)+(MONTH(X1795)/100),TC!$5:$37,DAY(X1795)+2,FALSE))</f>
        <v>0</v>
      </c>
      <c r="AD1795" s="307">
        <f t="shared" si="485"/>
        <v>0</v>
      </c>
      <c r="AE1795" s="314">
        <f t="shared" si="486"/>
        <v>0</v>
      </c>
      <c r="AF1795" s="315">
        <f t="shared" si="487"/>
        <v>0</v>
      </c>
      <c r="AG1795" s="316">
        <f t="shared" si="488"/>
        <v>0</v>
      </c>
      <c r="AH1795" s="314">
        <v>1</v>
      </c>
      <c r="AI1795" s="314">
        <f t="shared" si="489"/>
        <v>0</v>
      </c>
      <c r="AJ1795" s="314">
        <f t="shared" si="490"/>
        <v>0</v>
      </c>
      <c r="AK1795" s="317"/>
      <c r="AL1795" s="315">
        <f t="shared" si="491"/>
        <v>0</v>
      </c>
      <c r="AN1795" s="554">
        <f t="shared" si="492"/>
        <v>0</v>
      </c>
      <c r="AO1795" s="314"/>
      <c r="AP1795" s="318"/>
    </row>
    <row r="1796" spans="2:42">
      <c r="B1796" s="296"/>
      <c r="C1796" s="299"/>
      <c r="D1796" s="298"/>
      <c r="E1796" s="299"/>
      <c r="F1796" s="299"/>
      <c r="G1796" s="300"/>
      <c r="H1796" s="303"/>
      <c r="I1796" s="301">
        <f t="shared" si="476"/>
        <v>0</v>
      </c>
      <c r="J1796" s="302">
        <f t="shared" si="477"/>
        <v>0</v>
      </c>
      <c r="K1796" s="304">
        <f t="shared" si="478"/>
        <v>0</v>
      </c>
      <c r="L1796" s="305">
        <f>IF(H1796=0,0,IF(OR(E1796=$AT$5,E1796=$AT$6),AA1796,IF(F1796="MXN",1/HLOOKUP(YEAR(G1796)+(MONTH(G1796)/100),TC!$5:$37,DAY(G1796)+2,FALSE),VLOOKUP(F1796,Equivalencia!$5:$23,((MAX(Equivalencia!$3:$3)-YEAR(G1796))*14)+MONTH(G1796)+2,FALSE))))</f>
        <v>0</v>
      </c>
      <c r="M1796" s="306">
        <f t="shared" si="479"/>
        <v>0</v>
      </c>
      <c r="N1796" s="305">
        <f>IF(G1796=0,0,(IF(OR(E1796=$AT$5,E1796=$AT$6),AC1796,HLOOKUP(YEAR(G1796)+(MONTH(G1796)/100),TC!$5:$37,DAY(G1796)+2,FALSE))))</f>
        <v>0</v>
      </c>
      <c r="O1796" s="307">
        <f t="shared" si="480"/>
        <v>0</v>
      </c>
      <c r="P1796" s="560">
        <f>IF(G1796=0,0,VLOOKUP(YEAR(G1796),INPC!$B$4:$P$30,MONTH(G1796)+2))</f>
        <v>0</v>
      </c>
      <c r="Q1796" s="560">
        <f>IF(X1796=0,0,IF(OR(E1796=$AT$10,E1796=$AT$9),VLOOKUP(YEAR(X1796),INPC!$B$4:$P$30,MONTH(X1796)+1),VLOOKUP(YEAR(X1796),INPC!$B$4:$P$30,MONTH(X1796)+2,0)))</f>
        <v>0</v>
      </c>
      <c r="R1796" s="309">
        <f t="shared" si="481"/>
        <v>0</v>
      </c>
      <c r="S1796" s="310">
        <f t="shared" si="482"/>
        <v>0</v>
      </c>
      <c r="T1796" s="555">
        <f t="shared" si="483"/>
        <v>0</v>
      </c>
      <c r="U1796" s="311"/>
      <c r="V1796" s="312"/>
      <c r="W1796" s="299"/>
      <c r="X1796" s="300"/>
      <c r="Y1796" s="299"/>
      <c r="Z1796" s="303"/>
      <c r="AA1796" s="305">
        <f>IF(Z1796=0,0,IF(Y1796="MXN",1/HLOOKUP(YEAR(X1796)+(MONTH(X1796)/100),TC!$5:$37,DAY(X1796)+2,FALSE),VLOOKUP(Y1796,Equivalencia!$1:$23,((MAX(Equivalencia!$3:$3)-YEAR(X1796))*14)+MONTH(X1796)+2,FALSE)))</f>
        <v>0</v>
      </c>
      <c r="AB1796" s="306">
        <f t="shared" si="484"/>
        <v>0</v>
      </c>
      <c r="AC1796" s="305">
        <f>+IF(X1796=0,0,HLOOKUP(YEAR(X1796)+(MONTH(X1796)/100),TC!$5:$37,DAY(X1796)+2,FALSE))</f>
        <v>0</v>
      </c>
      <c r="AD1796" s="307">
        <f t="shared" si="485"/>
        <v>0</v>
      </c>
      <c r="AE1796" s="314">
        <f t="shared" si="486"/>
        <v>0</v>
      </c>
      <c r="AF1796" s="315">
        <f t="shared" si="487"/>
        <v>0</v>
      </c>
      <c r="AG1796" s="316">
        <f t="shared" si="488"/>
        <v>0</v>
      </c>
      <c r="AH1796" s="314">
        <v>1</v>
      </c>
      <c r="AI1796" s="314">
        <f t="shared" si="489"/>
        <v>0</v>
      </c>
      <c r="AJ1796" s="314">
        <f t="shared" si="490"/>
        <v>0</v>
      </c>
      <c r="AK1796" s="317"/>
      <c r="AL1796" s="315">
        <f t="shared" si="491"/>
        <v>0</v>
      </c>
      <c r="AN1796" s="554">
        <f t="shared" si="492"/>
        <v>0</v>
      </c>
      <c r="AO1796" s="314"/>
      <c r="AP1796" s="318"/>
    </row>
    <row r="1797" spans="2:42">
      <c r="B1797" s="296"/>
      <c r="C1797" s="299"/>
      <c r="D1797" s="298"/>
      <c r="E1797" s="299"/>
      <c r="F1797" s="299"/>
      <c r="G1797" s="300"/>
      <c r="H1797" s="303"/>
      <c r="I1797" s="301">
        <f t="shared" si="476"/>
        <v>0</v>
      </c>
      <c r="J1797" s="302">
        <f t="shared" si="477"/>
        <v>0</v>
      </c>
      <c r="K1797" s="304">
        <f t="shared" si="478"/>
        <v>0</v>
      </c>
      <c r="L1797" s="305">
        <f>IF(H1797=0,0,IF(OR(E1797=$AT$5,E1797=$AT$6),AA1797,IF(F1797="MXN",1/HLOOKUP(YEAR(G1797)+(MONTH(G1797)/100),TC!$5:$37,DAY(G1797)+2,FALSE),VLOOKUP(F1797,Equivalencia!$5:$23,((MAX(Equivalencia!$3:$3)-YEAR(G1797))*14)+MONTH(G1797)+2,FALSE))))</f>
        <v>0</v>
      </c>
      <c r="M1797" s="306">
        <f t="shared" si="479"/>
        <v>0</v>
      </c>
      <c r="N1797" s="305">
        <f>IF(G1797=0,0,(IF(OR(E1797=$AT$5,E1797=$AT$6),AC1797,HLOOKUP(YEAR(G1797)+(MONTH(G1797)/100),TC!$5:$37,DAY(G1797)+2,FALSE))))</f>
        <v>0</v>
      </c>
      <c r="O1797" s="307">
        <f t="shared" si="480"/>
        <v>0</v>
      </c>
      <c r="P1797" s="560">
        <f>IF(G1797=0,0,VLOOKUP(YEAR(G1797),INPC!$B$4:$P$30,MONTH(G1797)+2))</f>
        <v>0</v>
      </c>
      <c r="Q1797" s="560">
        <f>IF(X1797=0,0,IF(OR(E1797=$AT$10,E1797=$AT$9),VLOOKUP(YEAR(X1797),INPC!$B$4:$P$30,MONTH(X1797)+1),VLOOKUP(YEAR(X1797),INPC!$B$4:$P$30,MONTH(X1797)+2,0)))</f>
        <v>0</v>
      </c>
      <c r="R1797" s="309">
        <f t="shared" si="481"/>
        <v>0</v>
      </c>
      <c r="S1797" s="310">
        <f t="shared" si="482"/>
        <v>0</v>
      </c>
      <c r="T1797" s="555">
        <f t="shared" si="483"/>
        <v>0</v>
      </c>
      <c r="U1797" s="311"/>
      <c r="V1797" s="312"/>
      <c r="W1797" s="299"/>
      <c r="X1797" s="300"/>
      <c r="Y1797" s="299"/>
      <c r="Z1797" s="303"/>
      <c r="AA1797" s="305">
        <f>IF(Z1797=0,0,IF(Y1797="MXN",1/HLOOKUP(YEAR(X1797)+(MONTH(X1797)/100),TC!$5:$37,DAY(X1797)+2,FALSE),VLOOKUP(Y1797,Equivalencia!$1:$23,((MAX(Equivalencia!$3:$3)-YEAR(X1797))*14)+MONTH(X1797)+2,FALSE)))</f>
        <v>0</v>
      </c>
      <c r="AB1797" s="306">
        <f t="shared" si="484"/>
        <v>0</v>
      </c>
      <c r="AC1797" s="305">
        <f>+IF(X1797=0,0,HLOOKUP(YEAR(X1797)+(MONTH(X1797)/100),TC!$5:$37,DAY(X1797)+2,FALSE))</f>
        <v>0</v>
      </c>
      <c r="AD1797" s="307">
        <f t="shared" si="485"/>
        <v>0</v>
      </c>
      <c r="AE1797" s="314">
        <f t="shared" si="486"/>
        <v>0</v>
      </c>
      <c r="AF1797" s="315">
        <f t="shared" si="487"/>
        <v>0</v>
      </c>
      <c r="AG1797" s="316">
        <f t="shared" si="488"/>
        <v>0</v>
      </c>
      <c r="AH1797" s="314">
        <v>1</v>
      </c>
      <c r="AI1797" s="314">
        <f t="shared" si="489"/>
        <v>0</v>
      </c>
      <c r="AJ1797" s="314">
        <f t="shared" si="490"/>
        <v>0</v>
      </c>
      <c r="AK1797" s="317"/>
      <c r="AL1797" s="315">
        <f t="shared" si="491"/>
        <v>0</v>
      </c>
      <c r="AN1797" s="554">
        <f t="shared" si="492"/>
        <v>0</v>
      </c>
      <c r="AO1797" s="314"/>
      <c r="AP1797" s="318"/>
    </row>
    <row r="1798" spans="2:42">
      <c r="B1798" s="296"/>
      <c r="C1798" s="299"/>
      <c r="D1798" s="298"/>
      <c r="E1798" s="299"/>
      <c r="F1798" s="299"/>
      <c r="G1798" s="300"/>
      <c r="H1798" s="303"/>
      <c r="I1798" s="301">
        <f t="shared" si="476"/>
        <v>0</v>
      </c>
      <c r="J1798" s="302">
        <f t="shared" si="477"/>
        <v>0</v>
      </c>
      <c r="K1798" s="304">
        <f t="shared" si="478"/>
        <v>0</v>
      </c>
      <c r="L1798" s="305">
        <f>IF(H1798=0,0,IF(OR(E1798=$AT$5,E1798=$AT$6),AA1798,IF(F1798="MXN",1/HLOOKUP(YEAR(G1798)+(MONTH(G1798)/100),TC!$5:$37,DAY(G1798)+2,FALSE),VLOOKUP(F1798,Equivalencia!$5:$23,((MAX(Equivalencia!$3:$3)-YEAR(G1798))*14)+MONTH(G1798)+2,FALSE))))</f>
        <v>0</v>
      </c>
      <c r="M1798" s="306">
        <f t="shared" si="479"/>
        <v>0</v>
      </c>
      <c r="N1798" s="305">
        <f>IF(G1798=0,0,(IF(OR(E1798=$AT$5,E1798=$AT$6),AC1798,HLOOKUP(YEAR(G1798)+(MONTH(G1798)/100),TC!$5:$37,DAY(G1798)+2,FALSE))))</f>
        <v>0</v>
      </c>
      <c r="O1798" s="307">
        <f t="shared" si="480"/>
        <v>0</v>
      </c>
      <c r="P1798" s="560">
        <f>IF(G1798=0,0,VLOOKUP(YEAR(G1798),INPC!$B$4:$P$30,MONTH(G1798)+2))</f>
        <v>0</v>
      </c>
      <c r="Q1798" s="560">
        <f>IF(X1798=0,0,IF(OR(E1798=$AT$10,E1798=$AT$9),VLOOKUP(YEAR(X1798),INPC!$B$4:$P$30,MONTH(X1798)+1),VLOOKUP(YEAR(X1798),INPC!$B$4:$P$30,MONTH(X1798)+2,0)))</f>
        <v>0</v>
      </c>
      <c r="R1798" s="309">
        <f t="shared" si="481"/>
        <v>0</v>
      </c>
      <c r="S1798" s="310">
        <f t="shared" si="482"/>
        <v>0</v>
      </c>
      <c r="T1798" s="555">
        <f t="shared" si="483"/>
        <v>0</v>
      </c>
      <c r="U1798" s="311"/>
      <c r="V1798" s="312"/>
      <c r="W1798" s="299"/>
      <c r="X1798" s="300"/>
      <c r="Y1798" s="299"/>
      <c r="Z1798" s="303"/>
      <c r="AA1798" s="305">
        <f>IF(Z1798=0,0,IF(Y1798="MXN",1/HLOOKUP(YEAR(X1798)+(MONTH(X1798)/100),TC!$5:$37,DAY(X1798)+2,FALSE),VLOOKUP(Y1798,Equivalencia!$1:$23,((MAX(Equivalencia!$3:$3)-YEAR(X1798))*14)+MONTH(X1798)+2,FALSE)))</f>
        <v>0</v>
      </c>
      <c r="AB1798" s="306">
        <f t="shared" si="484"/>
        <v>0</v>
      </c>
      <c r="AC1798" s="305">
        <f>+IF(X1798=0,0,HLOOKUP(YEAR(X1798)+(MONTH(X1798)/100),TC!$5:$37,DAY(X1798)+2,FALSE))</f>
        <v>0</v>
      </c>
      <c r="AD1798" s="307">
        <f t="shared" si="485"/>
        <v>0</v>
      </c>
      <c r="AE1798" s="314">
        <f t="shared" si="486"/>
        <v>0</v>
      </c>
      <c r="AF1798" s="315">
        <f t="shared" si="487"/>
        <v>0</v>
      </c>
      <c r="AG1798" s="316">
        <f t="shared" si="488"/>
        <v>0</v>
      </c>
      <c r="AH1798" s="314">
        <v>1</v>
      </c>
      <c r="AI1798" s="314">
        <f t="shared" si="489"/>
        <v>0</v>
      </c>
      <c r="AJ1798" s="314">
        <f t="shared" si="490"/>
        <v>0</v>
      </c>
      <c r="AK1798" s="317"/>
      <c r="AL1798" s="315">
        <f t="shared" si="491"/>
        <v>0</v>
      </c>
      <c r="AN1798" s="554">
        <f t="shared" si="492"/>
        <v>0</v>
      </c>
      <c r="AO1798" s="314"/>
      <c r="AP1798" s="318"/>
    </row>
    <row r="1799" spans="2:42">
      <c r="B1799" s="296"/>
      <c r="C1799" s="299"/>
      <c r="D1799" s="298"/>
      <c r="E1799" s="299"/>
      <c r="F1799" s="299"/>
      <c r="G1799" s="300"/>
      <c r="H1799" s="303"/>
      <c r="I1799" s="301">
        <f t="shared" si="476"/>
        <v>0</v>
      </c>
      <c r="J1799" s="302">
        <f t="shared" si="477"/>
        <v>0</v>
      </c>
      <c r="K1799" s="304">
        <f t="shared" si="478"/>
        <v>0</v>
      </c>
      <c r="L1799" s="305">
        <f>IF(H1799=0,0,IF(OR(E1799=$AT$5,E1799=$AT$6),AA1799,IF(F1799="MXN",1/HLOOKUP(YEAR(G1799)+(MONTH(G1799)/100),TC!$5:$37,DAY(G1799)+2,FALSE),VLOOKUP(F1799,Equivalencia!$5:$23,((MAX(Equivalencia!$3:$3)-YEAR(G1799))*14)+MONTH(G1799)+2,FALSE))))</f>
        <v>0</v>
      </c>
      <c r="M1799" s="306">
        <f t="shared" si="479"/>
        <v>0</v>
      </c>
      <c r="N1799" s="305">
        <f>IF(G1799=0,0,(IF(OR(E1799=$AT$5,E1799=$AT$6),AC1799,HLOOKUP(YEAR(G1799)+(MONTH(G1799)/100),TC!$5:$37,DAY(G1799)+2,FALSE))))</f>
        <v>0</v>
      </c>
      <c r="O1799" s="307">
        <f t="shared" si="480"/>
        <v>0</v>
      </c>
      <c r="P1799" s="560">
        <f>IF(G1799=0,0,VLOOKUP(YEAR(G1799),INPC!$B$4:$P$30,MONTH(G1799)+2))</f>
        <v>0</v>
      </c>
      <c r="Q1799" s="560">
        <f>IF(X1799=0,0,IF(OR(E1799=$AT$10,E1799=$AT$9),VLOOKUP(YEAR(X1799),INPC!$B$4:$P$30,MONTH(X1799)+1),VLOOKUP(YEAR(X1799),INPC!$B$4:$P$30,MONTH(X1799)+2,0)))</f>
        <v>0</v>
      </c>
      <c r="R1799" s="309">
        <f t="shared" si="481"/>
        <v>0</v>
      </c>
      <c r="S1799" s="310">
        <f t="shared" si="482"/>
        <v>0</v>
      </c>
      <c r="T1799" s="555">
        <f t="shared" si="483"/>
        <v>0</v>
      </c>
      <c r="U1799" s="311"/>
      <c r="V1799" s="312"/>
      <c r="W1799" s="299"/>
      <c r="X1799" s="300"/>
      <c r="Y1799" s="299"/>
      <c r="Z1799" s="303"/>
      <c r="AA1799" s="305">
        <f>IF(Z1799=0,0,IF(Y1799="MXN",1/HLOOKUP(YEAR(X1799)+(MONTH(X1799)/100),TC!$5:$37,DAY(X1799)+2,FALSE),VLOOKUP(Y1799,Equivalencia!$1:$23,((MAX(Equivalencia!$3:$3)-YEAR(X1799))*14)+MONTH(X1799)+2,FALSE)))</f>
        <v>0</v>
      </c>
      <c r="AB1799" s="306">
        <f t="shared" si="484"/>
        <v>0</v>
      </c>
      <c r="AC1799" s="305">
        <f>+IF(X1799=0,0,HLOOKUP(YEAR(X1799)+(MONTH(X1799)/100),TC!$5:$37,DAY(X1799)+2,FALSE))</f>
        <v>0</v>
      </c>
      <c r="AD1799" s="307">
        <f t="shared" si="485"/>
        <v>0</v>
      </c>
      <c r="AE1799" s="314">
        <f t="shared" si="486"/>
        <v>0</v>
      </c>
      <c r="AF1799" s="315">
        <f t="shared" si="487"/>
        <v>0</v>
      </c>
      <c r="AG1799" s="316">
        <f t="shared" si="488"/>
        <v>0</v>
      </c>
      <c r="AH1799" s="314">
        <v>1</v>
      </c>
      <c r="AI1799" s="314">
        <f t="shared" si="489"/>
        <v>0</v>
      </c>
      <c r="AJ1799" s="314">
        <f t="shared" si="490"/>
        <v>0</v>
      </c>
      <c r="AK1799" s="317"/>
      <c r="AL1799" s="315">
        <f t="shared" si="491"/>
        <v>0</v>
      </c>
      <c r="AN1799" s="554">
        <f t="shared" si="492"/>
        <v>0</v>
      </c>
      <c r="AO1799" s="314"/>
      <c r="AP1799" s="318"/>
    </row>
    <row r="1800" spans="2:42">
      <c r="B1800" s="296"/>
      <c r="C1800" s="299"/>
      <c r="D1800" s="298"/>
      <c r="E1800" s="299"/>
      <c r="F1800" s="299"/>
      <c r="G1800" s="300"/>
      <c r="H1800" s="303"/>
      <c r="I1800" s="301">
        <f t="shared" si="476"/>
        <v>0</v>
      </c>
      <c r="J1800" s="302">
        <f t="shared" si="477"/>
        <v>0</v>
      </c>
      <c r="K1800" s="304">
        <f t="shared" si="478"/>
        <v>0</v>
      </c>
      <c r="L1800" s="305">
        <f>IF(H1800=0,0,IF(OR(E1800=$AT$5,E1800=$AT$6),AA1800,IF(F1800="MXN",1/HLOOKUP(YEAR(G1800)+(MONTH(G1800)/100),TC!$5:$37,DAY(G1800)+2,FALSE),VLOOKUP(F1800,Equivalencia!$5:$23,((MAX(Equivalencia!$3:$3)-YEAR(G1800))*14)+MONTH(G1800)+2,FALSE))))</f>
        <v>0</v>
      </c>
      <c r="M1800" s="306">
        <f t="shared" si="479"/>
        <v>0</v>
      </c>
      <c r="N1800" s="305">
        <f>IF(G1800=0,0,(IF(OR(E1800=$AT$5,E1800=$AT$6),AC1800,HLOOKUP(YEAR(G1800)+(MONTH(G1800)/100),TC!$5:$37,DAY(G1800)+2,FALSE))))</f>
        <v>0</v>
      </c>
      <c r="O1800" s="307">
        <f t="shared" si="480"/>
        <v>0</v>
      </c>
      <c r="P1800" s="560">
        <f>IF(G1800=0,0,VLOOKUP(YEAR(G1800),INPC!$B$4:$P$30,MONTH(G1800)+2))</f>
        <v>0</v>
      </c>
      <c r="Q1800" s="560">
        <f>IF(X1800=0,0,IF(OR(E1800=$AT$10,E1800=$AT$9),VLOOKUP(YEAR(X1800),INPC!$B$4:$P$30,MONTH(X1800)+1),VLOOKUP(YEAR(X1800),INPC!$B$4:$P$30,MONTH(X1800)+2,0)))</f>
        <v>0</v>
      </c>
      <c r="R1800" s="309">
        <f t="shared" si="481"/>
        <v>0</v>
      </c>
      <c r="S1800" s="310">
        <f t="shared" si="482"/>
        <v>0</v>
      </c>
      <c r="T1800" s="555">
        <f t="shared" si="483"/>
        <v>0</v>
      </c>
      <c r="U1800" s="311"/>
      <c r="V1800" s="312"/>
      <c r="W1800" s="299"/>
      <c r="X1800" s="300"/>
      <c r="Y1800" s="299"/>
      <c r="Z1800" s="303"/>
      <c r="AA1800" s="305">
        <f>IF(Z1800=0,0,IF(Y1800="MXN",1/HLOOKUP(YEAR(X1800)+(MONTH(X1800)/100),TC!$5:$37,DAY(X1800)+2,FALSE),VLOOKUP(Y1800,Equivalencia!$1:$23,((MAX(Equivalencia!$3:$3)-YEAR(X1800))*14)+MONTH(X1800)+2,FALSE)))</f>
        <v>0</v>
      </c>
      <c r="AB1800" s="306">
        <f t="shared" si="484"/>
        <v>0</v>
      </c>
      <c r="AC1800" s="305">
        <f>+IF(X1800=0,0,HLOOKUP(YEAR(X1800)+(MONTH(X1800)/100),TC!$5:$37,DAY(X1800)+2,FALSE))</f>
        <v>0</v>
      </c>
      <c r="AD1800" s="307">
        <f t="shared" si="485"/>
        <v>0</v>
      </c>
      <c r="AE1800" s="314">
        <f t="shared" si="486"/>
        <v>0</v>
      </c>
      <c r="AF1800" s="315">
        <f t="shared" si="487"/>
        <v>0</v>
      </c>
      <c r="AG1800" s="316">
        <f t="shared" si="488"/>
        <v>0</v>
      </c>
      <c r="AH1800" s="314">
        <v>1</v>
      </c>
      <c r="AI1800" s="314">
        <f t="shared" si="489"/>
        <v>0</v>
      </c>
      <c r="AJ1800" s="314">
        <f t="shared" si="490"/>
        <v>0</v>
      </c>
      <c r="AK1800" s="317"/>
      <c r="AL1800" s="315">
        <f t="shared" si="491"/>
        <v>0</v>
      </c>
      <c r="AN1800" s="554">
        <f t="shared" si="492"/>
        <v>0</v>
      </c>
      <c r="AO1800" s="314"/>
      <c r="AP1800" s="318"/>
    </row>
    <row r="1801" spans="2:42">
      <c r="B1801" s="296"/>
      <c r="C1801" s="299"/>
      <c r="D1801" s="298"/>
      <c r="E1801" s="299"/>
      <c r="F1801" s="299"/>
      <c r="G1801" s="300"/>
      <c r="H1801" s="303"/>
      <c r="I1801" s="301">
        <f t="shared" si="476"/>
        <v>0</v>
      </c>
      <c r="J1801" s="302">
        <f t="shared" si="477"/>
        <v>0</v>
      </c>
      <c r="K1801" s="304">
        <f t="shared" si="478"/>
        <v>0</v>
      </c>
      <c r="L1801" s="305">
        <f>IF(H1801=0,0,IF(OR(E1801=$AT$5,E1801=$AT$6),AA1801,IF(F1801="MXN",1/HLOOKUP(YEAR(G1801)+(MONTH(G1801)/100),TC!$5:$37,DAY(G1801)+2,FALSE),VLOOKUP(F1801,Equivalencia!$5:$23,((MAX(Equivalencia!$3:$3)-YEAR(G1801))*14)+MONTH(G1801)+2,FALSE))))</f>
        <v>0</v>
      </c>
      <c r="M1801" s="306">
        <f t="shared" si="479"/>
        <v>0</v>
      </c>
      <c r="N1801" s="305">
        <f>IF(G1801=0,0,(IF(OR(E1801=$AT$5,E1801=$AT$6),AC1801,HLOOKUP(YEAR(G1801)+(MONTH(G1801)/100),TC!$5:$37,DAY(G1801)+2,FALSE))))</f>
        <v>0</v>
      </c>
      <c r="O1801" s="307">
        <f t="shared" si="480"/>
        <v>0</v>
      </c>
      <c r="P1801" s="560">
        <f>IF(G1801=0,0,VLOOKUP(YEAR(G1801),INPC!$B$4:$P$30,MONTH(G1801)+2))</f>
        <v>0</v>
      </c>
      <c r="Q1801" s="560">
        <f>IF(X1801=0,0,IF(OR(E1801=$AT$10,E1801=$AT$9),VLOOKUP(YEAR(X1801),INPC!$B$4:$P$30,MONTH(X1801)+1),VLOOKUP(YEAR(X1801),INPC!$B$4:$P$30,MONTH(X1801)+2,0)))</f>
        <v>0</v>
      </c>
      <c r="R1801" s="309">
        <f t="shared" si="481"/>
        <v>0</v>
      </c>
      <c r="S1801" s="310">
        <f t="shared" si="482"/>
        <v>0</v>
      </c>
      <c r="T1801" s="555">
        <f t="shared" si="483"/>
        <v>0</v>
      </c>
      <c r="U1801" s="311"/>
      <c r="V1801" s="312"/>
      <c r="W1801" s="299"/>
      <c r="X1801" s="300"/>
      <c r="Y1801" s="299"/>
      <c r="Z1801" s="303"/>
      <c r="AA1801" s="305">
        <f>IF(Z1801=0,0,IF(Y1801="MXN",1/HLOOKUP(YEAR(X1801)+(MONTH(X1801)/100),TC!$5:$37,DAY(X1801)+2,FALSE),VLOOKUP(Y1801,Equivalencia!$1:$23,((MAX(Equivalencia!$3:$3)-YEAR(X1801))*14)+MONTH(X1801)+2,FALSE)))</f>
        <v>0</v>
      </c>
      <c r="AB1801" s="306">
        <f t="shared" si="484"/>
        <v>0</v>
      </c>
      <c r="AC1801" s="305">
        <f>+IF(X1801=0,0,HLOOKUP(YEAR(X1801)+(MONTH(X1801)/100),TC!$5:$37,DAY(X1801)+2,FALSE))</f>
        <v>0</v>
      </c>
      <c r="AD1801" s="307">
        <f t="shared" si="485"/>
        <v>0</v>
      </c>
      <c r="AE1801" s="314">
        <f t="shared" si="486"/>
        <v>0</v>
      </c>
      <c r="AF1801" s="315">
        <f t="shared" si="487"/>
        <v>0</v>
      </c>
      <c r="AG1801" s="316">
        <f t="shared" si="488"/>
        <v>0</v>
      </c>
      <c r="AH1801" s="314">
        <v>1</v>
      </c>
      <c r="AI1801" s="314">
        <f t="shared" si="489"/>
        <v>0</v>
      </c>
      <c r="AJ1801" s="314">
        <f t="shared" si="490"/>
        <v>0</v>
      </c>
      <c r="AK1801" s="317"/>
      <c r="AL1801" s="315">
        <f t="shared" si="491"/>
        <v>0</v>
      </c>
      <c r="AN1801" s="554">
        <f t="shared" si="492"/>
        <v>0</v>
      </c>
      <c r="AO1801" s="314"/>
      <c r="AP1801" s="318"/>
    </row>
    <row r="1802" spans="2:42">
      <c r="B1802" s="296"/>
      <c r="C1802" s="299"/>
      <c r="D1802" s="298"/>
      <c r="E1802" s="299"/>
      <c r="F1802" s="299"/>
      <c r="G1802" s="300"/>
      <c r="H1802" s="303"/>
      <c r="I1802" s="301">
        <f t="shared" si="476"/>
        <v>0</v>
      </c>
      <c r="J1802" s="302">
        <f t="shared" si="477"/>
        <v>0</v>
      </c>
      <c r="K1802" s="304">
        <f t="shared" si="478"/>
        <v>0</v>
      </c>
      <c r="L1802" s="305">
        <f>IF(H1802=0,0,IF(OR(E1802=$AT$5,E1802=$AT$6),AA1802,IF(F1802="MXN",1/HLOOKUP(YEAR(G1802)+(MONTH(G1802)/100),TC!$5:$37,DAY(G1802)+2,FALSE),VLOOKUP(F1802,Equivalencia!$5:$23,((MAX(Equivalencia!$3:$3)-YEAR(G1802))*14)+MONTH(G1802)+2,FALSE))))</f>
        <v>0</v>
      </c>
      <c r="M1802" s="306">
        <f t="shared" si="479"/>
        <v>0</v>
      </c>
      <c r="N1802" s="305">
        <f>IF(G1802=0,0,(IF(OR(E1802=$AT$5,E1802=$AT$6),AC1802,HLOOKUP(YEAR(G1802)+(MONTH(G1802)/100),TC!$5:$37,DAY(G1802)+2,FALSE))))</f>
        <v>0</v>
      </c>
      <c r="O1802" s="307">
        <f t="shared" si="480"/>
        <v>0</v>
      </c>
      <c r="P1802" s="560">
        <f>IF(G1802=0,0,VLOOKUP(YEAR(G1802),INPC!$B$4:$P$30,MONTH(G1802)+2))</f>
        <v>0</v>
      </c>
      <c r="Q1802" s="560">
        <f>IF(X1802=0,0,IF(OR(E1802=$AT$10,E1802=$AT$9),VLOOKUP(YEAR(X1802),INPC!$B$4:$P$30,MONTH(X1802)+1),VLOOKUP(YEAR(X1802),INPC!$B$4:$P$30,MONTH(X1802)+2,0)))</f>
        <v>0</v>
      </c>
      <c r="R1802" s="309">
        <f t="shared" si="481"/>
        <v>0</v>
      </c>
      <c r="S1802" s="310">
        <f t="shared" si="482"/>
        <v>0</v>
      </c>
      <c r="T1802" s="555">
        <f t="shared" si="483"/>
        <v>0</v>
      </c>
      <c r="U1802" s="311"/>
      <c r="V1802" s="312"/>
      <c r="W1802" s="299"/>
      <c r="X1802" s="300"/>
      <c r="Y1802" s="299"/>
      <c r="Z1802" s="303"/>
      <c r="AA1802" s="305">
        <f>IF(Z1802=0,0,IF(Y1802="MXN",1/HLOOKUP(YEAR(X1802)+(MONTH(X1802)/100),TC!$5:$37,DAY(X1802)+2,FALSE),VLOOKUP(Y1802,Equivalencia!$1:$23,((MAX(Equivalencia!$3:$3)-YEAR(X1802))*14)+MONTH(X1802)+2,FALSE)))</f>
        <v>0</v>
      </c>
      <c r="AB1802" s="306">
        <f t="shared" si="484"/>
        <v>0</v>
      </c>
      <c r="AC1802" s="305">
        <f>+IF(X1802=0,0,HLOOKUP(YEAR(X1802)+(MONTH(X1802)/100),TC!$5:$37,DAY(X1802)+2,FALSE))</f>
        <v>0</v>
      </c>
      <c r="AD1802" s="307">
        <f t="shared" si="485"/>
        <v>0</v>
      </c>
      <c r="AE1802" s="314">
        <f t="shared" si="486"/>
        <v>0</v>
      </c>
      <c r="AF1802" s="315">
        <f t="shared" si="487"/>
        <v>0</v>
      </c>
      <c r="AG1802" s="316">
        <f t="shared" si="488"/>
        <v>0</v>
      </c>
      <c r="AH1802" s="314">
        <v>1</v>
      </c>
      <c r="AI1802" s="314">
        <f t="shared" si="489"/>
        <v>0</v>
      </c>
      <c r="AJ1802" s="314">
        <f t="shared" si="490"/>
        <v>0</v>
      </c>
      <c r="AK1802" s="317"/>
      <c r="AL1802" s="315">
        <f t="shared" si="491"/>
        <v>0</v>
      </c>
      <c r="AN1802" s="554">
        <f t="shared" si="492"/>
        <v>0</v>
      </c>
      <c r="AO1802" s="314"/>
      <c r="AP1802" s="318"/>
    </row>
    <row r="1803" spans="2:42">
      <c r="B1803" s="296"/>
      <c r="C1803" s="299"/>
      <c r="D1803" s="298"/>
      <c r="E1803" s="299"/>
      <c r="F1803" s="299"/>
      <c r="G1803" s="300"/>
      <c r="H1803" s="303"/>
      <c r="I1803" s="301">
        <f t="shared" si="476"/>
        <v>0</v>
      </c>
      <c r="J1803" s="302">
        <f t="shared" si="477"/>
        <v>0</v>
      </c>
      <c r="K1803" s="304">
        <f t="shared" si="478"/>
        <v>0</v>
      </c>
      <c r="L1803" s="305">
        <f>IF(H1803=0,0,IF(OR(E1803=$AT$5,E1803=$AT$6),AA1803,IF(F1803="MXN",1/HLOOKUP(YEAR(G1803)+(MONTH(G1803)/100),TC!$5:$37,DAY(G1803)+2,FALSE),VLOOKUP(F1803,Equivalencia!$5:$23,((MAX(Equivalencia!$3:$3)-YEAR(G1803))*14)+MONTH(G1803)+2,FALSE))))</f>
        <v>0</v>
      </c>
      <c r="M1803" s="306">
        <f t="shared" si="479"/>
        <v>0</v>
      </c>
      <c r="N1803" s="305">
        <f>IF(G1803=0,0,(IF(OR(E1803=$AT$5,E1803=$AT$6),AC1803,HLOOKUP(YEAR(G1803)+(MONTH(G1803)/100),TC!$5:$37,DAY(G1803)+2,FALSE))))</f>
        <v>0</v>
      </c>
      <c r="O1803" s="307">
        <f t="shared" si="480"/>
        <v>0</v>
      </c>
      <c r="P1803" s="560">
        <f>IF(G1803=0,0,VLOOKUP(YEAR(G1803),INPC!$B$4:$P$30,MONTH(G1803)+2))</f>
        <v>0</v>
      </c>
      <c r="Q1803" s="560">
        <f>IF(X1803=0,0,IF(OR(E1803=$AT$10,E1803=$AT$9),VLOOKUP(YEAR(X1803),INPC!$B$4:$P$30,MONTH(X1803)+1),VLOOKUP(YEAR(X1803),INPC!$B$4:$P$30,MONTH(X1803)+2,0)))</f>
        <v>0</v>
      </c>
      <c r="R1803" s="309">
        <f t="shared" si="481"/>
        <v>0</v>
      </c>
      <c r="S1803" s="310">
        <f t="shared" si="482"/>
        <v>0</v>
      </c>
      <c r="T1803" s="555">
        <f t="shared" si="483"/>
        <v>0</v>
      </c>
      <c r="U1803" s="311"/>
      <c r="V1803" s="312"/>
      <c r="W1803" s="299"/>
      <c r="X1803" s="300"/>
      <c r="Y1803" s="299"/>
      <c r="Z1803" s="303"/>
      <c r="AA1803" s="305">
        <f>IF(Z1803=0,0,IF(Y1803="MXN",1/HLOOKUP(YEAR(X1803)+(MONTH(X1803)/100),TC!$5:$37,DAY(X1803)+2,FALSE),VLOOKUP(Y1803,Equivalencia!$1:$23,((MAX(Equivalencia!$3:$3)-YEAR(X1803))*14)+MONTH(X1803)+2,FALSE)))</f>
        <v>0</v>
      </c>
      <c r="AB1803" s="306">
        <f t="shared" si="484"/>
        <v>0</v>
      </c>
      <c r="AC1803" s="305">
        <f>+IF(X1803=0,0,HLOOKUP(YEAR(X1803)+(MONTH(X1803)/100),TC!$5:$37,DAY(X1803)+2,FALSE))</f>
        <v>0</v>
      </c>
      <c r="AD1803" s="307">
        <f t="shared" si="485"/>
        <v>0</v>
      </c>
      <c r="AE1803" s="314">
        <f t="shared" si="486"/>
        <v>0</v>
      </c>
      <c r="AF1803" s="315">
        <f t="shared" si="487"/>
        <v>0</v>
      </c>
      <c r="AG1803" s="316">
        <f t="shared" si="488"/>
        <v>0</v>
      </c>
      <c r="AH1803" s="314">
        <v>1</v>
      </c>
      <c r="AI1803" s="314">
        <f t="shared" si="489"/>
        <v>0</v>
      </c>
      <c r="AJ1803" s="314">
        <f t="shared" si="490"/>
        <v>0</v>
      </c>
      <c r="AK1803" s="317"/>
      <c r="AL1803" s="315">
        <f t="shared" si="491"/>
        <v>0</v>
      </c>
      <c r="AN1803" s="554">
        <f t="shared" si="492"/>
        <v>0</v>
      </c>
      <c r="AO1803" s="314"/>
      <c r="AP1803" s="318"/>
    </row>
    <row r="1804" spans="2:42">
      <c r="B1804" s="296"/>
      <c r="C1804" s="299"/>
      <c r="D1804" s="298"/>
      <c r="E1804" s="299"/>
      <c r="F1804" s="299"/>
      <c r="G1804" s="300"/>
      <c r="H1804" s="303"/>
      <c r="I1804" s="301">
        <f t="shared" si="476"/>
        <v>0</v>
      </c>
      <c r="J1804" s="302">
        <f t="shared" si="477"/>
        <v>0</v>
      </c>
      <c r="K1804" s="304">
        <f t="shared" si="478"/>
        <v>0</v>
      </c>
      <c r="L1804" s="305">
        <f>IF(H1804=0,0,IF(OR(E1804=$AT$5,E1804=$AT$6),AA1804,IF(F1804="MXN",1/HLOOKUP(YEAR(G1804)+(MONTH(G1804)/100),TC!$5:$37,DAY(G1804)+2,FALSE),VLOOKUP(F1804,Equivalencia!$5:$23,((MAX(Equivalencia!$3:$3)-YEAR(G1804))*14)+MONTH(G1804)+2,FALSE))))</f>
        <v>0</v>
      </c>
      <c r="M1804" s="306">
        <f t="shared" si="479"/>
        <v>0</v>
      </c>
      <c r="N1804" s="305">
        <f>IF(G1804=0,0,(IF(OR(E1804=$AT$5,E1804=$AT$6),AC1804,HLOOKUP(YEAR(G1804)+(MONTH(G1804)/100),TC!$5:$37,DAY(G1804)+2,FALSE))))</f>
        <v>0</v>
      </c>
      <c r="O1804" s="307">
        <f t="shared" si="480"/>
        <v>0</v>
      </c>
      <c r="P1804" s="560">
        <f>IF(G1804=0,0,VLOOKUP(YEAR(G1804),INPC!$B$4:$P$30,MONTH(G1804)+2))</f>
        <v>0</v>
      </c>
      <c r="Q1804" s="560">
        <f>IF(X1804=0,0,IF(OR(E1804=$AT$10,E1804=$AT$9),VLOOKUP(YEAR(X1804),INPC!$B$4:$P$30,MONTH(X1804)+1),VLOOKUP(YEAR(X1804),INPC!$B$4:$P$30,MONTH(X1804)+2,0)))</f>
        <v>0</v>
      </c>
      <c r="R1804" s="309">
        <f t="shared" si="481"/>
        <v>0</v>
      </c>
      <c r="S1804" s="310">
        <f t="shared" si="482"/>
        <v>0</v>
      </c>
      <c r="T1804" s="555">
        <f t="shared" si="483"/>
        <v>0</v>
      </c>
      <c r="U1804" s="311"/>
      <c r="V1804" s="312"/>
      <c r="W1804" s="299"/>
      <c r="X1804" s="300"/>
      <c r="Y1804" s="299"/>
      <c r="Z1804" s="303"/>
      <c r="AA1804" s="305">
        <f>IF(Z1804=0,0,IF(Y1804="MXN",1/HLOOKUP(YEAR(X1804)+(MONTH(X1804)/100),TC!$5:$37,DAY(X1804)+2,FALSE),VLOOKUP(Y1804,Equivalencia!$1:$23,((MAX(Equivalencia!$3:$3)-YEAR(X1804))*14)+MONTH(X1804)+2,FALSE)))</f>
        <v>0</v>
      </c>
      <c r="AB1804" s="306">
        <f t="shared" si="484"/>
        <v>0</v>
      </c>
      <c r="AC1804" s="305">
        <f>+IF(X1804=0,0,HLOOKUP(YEAR(X1804)+(MONTH(X1804)/100),TC!$5:$37,DAY(X1804)+2,FALSE))</f>
        <v>0</v>
      </c>
      <c r="AD1804" s="307">
        <f t="shared" si="485"/>
        <v>0</v>
      </c>
      <c r="AE1804" s="314">
        <f t="shared" si="486"/>
        <v>0</v>
      </c>
      <c r="AF1804" s="315">
        <f t="shared" si="487"/>
        <v>0</v>
      </c>
      <c r="AG1804" s="316">
        <f t="shared" si="488"/>
        <v>0</v>
      </c>
      <c r="AH1804" s="314">
        <v>1</v>
      </c>
      <c r="AI1804" s="314">
        <f t="shared" si="489"/>
        <v>0</v>
      </c>
      <c r="AJ1804" s="314">
        <f t="shared" si="490"/>
        <v>0</v>
      </c>
      <c r="AK1804" s="317"/>
      <c r="AL1804" s="315">
        <f t="shared" si="491"/>
        <v>0</v>
      </c>
      <c r="AN1804" s="554">
        <f t="shared" si="492"/>
        <v>0</v>
      </c>
      <c r="AO1804" s="314"/>
      <c r="AP1804" s="318"/>
    </row>
    <row r="1805" spans="2:42">
      <c r="B1805" s="296"/>
      <c r="C1805" s="299"/>
      <c r="D1805" s="298"/>
      <c r="E1805" s="299"/>
      <c r="F1805" s="299"/>
      <c r="G1805" s="300"/>
      <c r="H1805" s="303"/>
      <c r="I1805" s="301">
        <f t="shared" si="476"/>
        <v>0</v>
      </c>
      <c r="J1805" s="302">
        <f t="shared" si="477"/>
        <v>0</v>
      </c>
      <c r="K1805" s="304">
        <f t="shared" si="478"/>
        <v>0</v>
      </c>
      <c r="L1805" s="305">
        <f>IF(H1805=0,0,IF(OR(E1805=$AT$5,E1805=$AT$6),AA1805,IF(F1805="MXN",1/HLOOKUP(YEAR(G1805)+(MONTH(G1805)/100),TC!$5:$37,DAY(G1805)+2,FALSE),VLOOKUP(F1805,Equivalencia!$5:$23,((MAX(Equivalencia!$3:$3)-YEAR(G1805))*14)+MONTH(G1805)+2,FALSE))))</f>
        <v>0</v>
      </c>
      <c r="M1805" s="306">
        <f t="shared" si="479"/>
        <v>0</v>
      </c>
      <c r="N1805" s="305">
        <f>IF(G1805=0,0,(IF(OR(E1805=$AT$5,E1805=$AT$6),AC1805,HLOOKUP(YEAR(G1805)+(MONTH(G1805)/100),TC!$5:$37,DAY(G1805)+2,FALSE))))</f>
        <v>0</v>
      </c>
      <c r="O1805" s="307">
        <f t="shared" si="480"/>
        <v>0</v>
      </c>
      <c r="P1805" s="560">
        <f>IF(G1805=0,0,VLOOKUP(YEAR(G1805),INPC!$B$4:$P$30,MONTH(G1805)+2))</f>
        <v>0</v>
      </c>
      <c r="Q1805" s="560">
        <f>IF(X1805=0,0,IF(OR(E1805=$AT$10,E1805=$AT$9),VLOOKUP(YEAR(X1805),INPC!$B$4:$P$30,MONTH(X1805)+1),VLOOKUP(YEAR(X1805),INPC!$B$4:$P$30,MONTH(X1805)+2,0)))</f>
        <v>0</v>
      </c>
      <c r="R1805" s="309">
        <f t="shared" si="481"/>
        <v>0</v>
      </c>
      <c r="S1805" s="310">
        <f t="shared" si="482"/>
        <v>0</v>
      </c>
      <c r="T1805" s="555">
        <f t="shared" si="483"/>
        <v>0</v>
      </c>
      <c r="U1805" s="311"/>
      <c r="V1805" s="312"/>
      <c r="W1805" s="299"/>
      <c r="X1805" s="300"/>
      <c r="Y1805" s="299"/>
      <c r="Z1805" s="303"/>
      <c r="AA1805" s="305">
        <f>IF(Z1805=0,0,IF(Y1805="MXN",1/HLOOKUP(YEAR(X1805)+(MONTH(X1805)/100),TC!$5:$37,DAY(X1805)+2,FALSE),VLOOKUP(Y1805,Equivalencia!$1:$23,((MAX(Equivalencia!$3:$3)-YEAR(X1805))*14)+MONTH(X1805)+2,FALSE)))</f>
        <v>0</v>
      </c>
      <c r="AB1805" s="306">
        <f t="shared" si="484"/>
        <v>0</v>
      </c>
      <c r="AC1805" s="305">
        <f>+IF(X1805=0,0,HLOOKUP(YEAR(X1805)+(MONTH(X1805)/100),TC!$5:$37,DAY(X1805)+2,FALSE))</f>
        <v>0</v>
      </c>
      <c r="AD1805" s="307">
        <f t="shared" si="485"/>
        <v>0</v>
      </c>
      <c r="AE1805" s="314">
        <f t="shared" si="486"/>
        <v>0</v>
      </c>
      <c r="AF1805" s="315">
        <f t="shared" si="487"/>
        <v>0</v>
      </c>
      <c r="AG1805" s="316">
        <f t="shared" si="488"/>
        <v>0</v>
      </c>
      <c r="AH1805" s="314">
        <v>1</v>
      </c>
      <c r="AI1805" s="314">
        <f t="shared" si="489"/>
        <v>0</v>
      </c>
      <c r="AJ1805" s="314">
        <f t="shared" si="490"/>
        <v>0</v>
      </c>
      <c r="AK1805" s="317"/>
      <c r="AL1805" s="315">
        <f t="shared" si="491"/>
        <v>0</v>
      </c>
      <c r="AN1805" s="554">
        <f t="shared" si="492"/>
        <v>0</v>
      </c>
      <c r="AO1805" s="314"/>
      <c r="AP1805" s="318"/>
    </row>
    <row r="1806" spans="2:42">
      <c r="B1806" s="296"/>
      <c r="C1806" s="299"/>
      <c r="D1806" s="298"/>
      <c r="E1806" s="299"/>
      <c r="F1806" s="299"/>
      <c r="G1806" s="300"/>
      <c r="H1806" s="303"/>
      <c r="I1806" s="301">
        <f t="shared" si="476"/>
        <v>0</v>
      </c>
      <c r="J1806" s="302">
        <f t="shared" si="477"/>
        <v>0</v>
      </c>
      <c r="K1806" s="304">
        <f t="shared" si="478"/>
        <v>0</v>
      </c>
      <c r="L1806" s="305">
        <f>IF(H1806=0,0,IF(OR(E1806=$AT$5,E1806=$AT$6),AA1806,IF(F1806="MXN",1/HLOOKUP(YEAR(G1806)+(MONTH(G1806)/100),TC!$5:$37,DAY(G1806)+2,FALSE),VLOOKUP(F1806,Equivalencia!$5:$23,((MAX(Equivalencia!$3:$3)-YEAR(G1806))*14)+MONTH(G1806)+2,FALSE))))</f>
        <v>0</v>
      </c>
      <c r="M1806" s="306">
        <f t="shared" si="479"/>
        <v>0</v>
      </c>
      <c r="N1806" s="305">
        <f>IF(G1806=0,0,(IF(OR(E1806=$AT$5,E1806=$AT$6),AC1806,HLOOKUP(YEAR(G1806)+(MONTH(G1806)/100),TC!$5:$37,DAY(G1806)+2,FALSE))))</f>
        <v>0</v>
      </c>
      <c r="O1806" s="307">
        <f t="shared" si="480"/>
        <v>0</v>
      </c>
      <c r="P1806" s="560">
        <f>IF(G1806=0,0,VLOOKUP(YEAR(G1806),INPC!$B$4:$P$30,MONTH(G1806)+2))</f>
        <v>0</v>
      </c>
      <c r="Q1806" s="560">
        <f>IF(X1806=0,0,IF(OR(E1806=$AT$10,E1806=$AT$9),VLOOKUP(YEAR(X1806),INPC!$B$4:$P$30,MONTH(X1806)+1),VLOOKUP(YEAR(X1806),INPC!$B$4:$P$30,MONTH(X1806)+2,0)))</f>
        <v>0</v>
      </c>
      <c r="R1806" s="309">
        <f t="shared" si="481"/>
        <v>0</v>
      </c>
      <c r="S1806" s="310">
        <f t="shared" si="482"/>
        <v>0</v>
      </c>
      <c r="T1806" s="555">
        <f t="shared" si="483"/>
        <v>0</v>
      </c>
      <c r="U1806" s="311"/>
      <c r="V1806" s="312"/>
      <c r="W1806" s="299"/>
      <c r="X1806" s="300"/>
      <c r="Y1806" s="299"/>
      <c r="Z1806" s="303"/>
      <c r="AA1806" s="305">
        <f>IF(Z1806=0,0,IF(Y1806="MXN",1/HLOOKUP(YEAR(X1806)+(MONTH(X1806)/100),TC!$5:$37,DAY(X1806)+2,FALSE),VLOOKUP(Y1806,Equivalencia!$1:$23,((MAX(Equivalencia!$3:$3)-YEAR(X1806))*14)+MONTH(X1806)+2,FALSE)))</f>
        <v>0</v>
      </c>
      <c r="AB1806" s="306">
        <f t="shared" si="484"/>
        <v>0</v>
      </c>
      <c r="AC1806" s="305">
        <f>+IF(X1806=0,0,HLOOKUP(YEAR(X1806)+(MONTH(X1806)/100),TC!$5:$37,DAY(X1806)+2,FALSE))</f>
        <v>0</v>
      </c>
      <c r="AD1806" s="307">
        <f t="shared" si="485"/>
        <v>0</v>
      </c>
      <c r="AE1806" s="314">
        <f t="shared" si="486"/>
        <v>0</v>
      </c>
      <c r="AF1806" s="315">
        <f t="shared" si="487"/>
        <v>0</v>
      </c>
      <c r="AG1806" s="316">
        <f t="shared" si="488"/>
        <v>0</v>
      </c>
      <c r="AH1806" s="314">
        <v>1</v>
      </c>
      <c r="AI1806" s="314">
        <f t="shared" si="489"/>
        <v>0</v>
      </c>
      <c r="AJ1806" s="314">
        <f t="shared" si="490"/>
        <v>0</v>
      </c>
      <c r="AK1806" s="317"/>
      <c r="AL1806" s="315">
        <f t="shared" si="491"/>
        <v>0</v>
      </c>
      <c r="AN1806" s="554">
        <f t="shared" si="492"/>
        <v>0</v>
      </c>
      <c r="AO1806" s="314"/>
      <c r="AP1806" s="318"/>
    </row>
    <row r="1807" spans="2:42">
      <c r="B1807" s="296"/>
      <c r="C1807" s="299"/>
      <c r="D1807" s="298"/>
      <c r="E1807" s="299"/>
      <c r="F1807" s="299"/>
      <c r="G1807" s="300"/>
      <c r="H1807" s="303"/>
      <c r="I1807" s="301">
        <f t="shared" si="476"/>
        <v>0</v>
      </c>
      <c r="J1807" s="302">
        <f t="shared" si="477"/>
        <v>0</v>
      </c>
      <c r="K1807" s="304">
        <f t="shared" si="478"/>
        <v>0</v>
      </c>
      <c r="L1807" s="305">
        <f>IF(H1807=0,0,IF(OR(E1807=$AT$5,E1807=$AT$6),AA1807,IF(F1807="MXN",1/HLOOKUP(YEAR(G1807)+(MONTH(G1807)/100),TC!$5:$37,DAY(G1807)+2,FALSE),VLOOKUP(F1807,Equivalencia!$5:$23,((MAX(Equivalencia!$3:$3)-YEAR(G1807))*14)+MONTH(G1807)+2,FALSE))))</f>
        <v>0</v>
      </c>
      <c r="M1807" s="306">
        <f t="shared" si="479"/>
        <v>0</v>
      </c>
      <c r="N1807" s="305">
        <f>IF(G1807=0,0,(IF(OR(E1807=$AT$5,E1807=$AT$6),AC1807,HLOOKUP(YEAR(G1807)+(MONTH(G1807)/100),TC!$5:$37,DAY(G1807)+2,FALSE))))</f>
        <v>0</v>
      </c>
      <c r="O1807" s="307">
        <f t="shared" si="480"/>
        <v>0</v>
      </c>
      <c r="P1807" s="560">
        <f>IF(G1807=0,0,VLOOKUP(YEAR(G1807),INPC!$B$4:$P$30,MONTH(G1807)+2))</f>
        <v>0</v>
      </c>
      <c r="Q1807" s="560">
        <f>IF(X1807=0,0,IF(OR(E1807=$AT$10,E1807=$AT$9),VLOOKUP(YEAR(X1807),INPC!$B$4:$P$30,MONTH(X1807)+1),VLOOKUP(YEAR(X1807),INPC!$B$4:$P$30,MONTH(X1807)+2,0)))</f>
        <v>0</v>
      </c>
      <c r="R1807" s="309">
        <f t="shared" si="481"/>
        <v>0</v>
      </c>
      <c r="S1807" s="310">
        <f t="shared" si="482"/>
        <v>0</v>
      </c>
      <c r="T1807" s="555">
        <f t="shared" si="483"/>
        <v>0</v>
      </c>
      <c r="U1807" s="311"/>
      <c r="V1807" s="312"/>
      <c r="W1807" s="299"/>
      <c r="X1807" s="300"/>
      <c r="Y1807" s="299"/>
      <c r="Z1807" s="303"/>
      <c r="AA1807" s="305">
        <f>IF(Z1807=0,0,IF(Y1807="MXN",1/HLOOKUP(YEAR(X1807)+(MONTH(X1807)/100),TC!$5:$37,DAY(X1807)+2,FALSE),VLOOKUP(Y1807,Equivalencia!$1:$23,((MAX(Equivalencia!$3:$3)-YEAR(X1807))*14)+MONTH(X1807)+2,FALSE)))</f>
        <v>0</v>
      </c>
      <c r="AB1807" s="306">
        <f t="shared" si="484"/>
        <v>0</v>
      </c>
      <c r="AC1807" s="305">
        <f>+IF(X1807=0,0,HLOOKUP(YEAR(X1807)+(MONTH(X1807)/100),TC!$5:$37,DAY(X1807)+2,FALSE))</f>
        <v>0</v>
      </c>
      <c r="AD1807" s="307">
        <f t="shared" si="485"/>
        <v>0</v>
      </c>
      <c r="AE1807" s="314">
        <f t="shared" si="486"/>
        <v>0</v>
      </c>
      <c r="AF1807" s="315">
        <f t="shared" si="487"/>
        <v>0</v>
      </c>
      <c r="AG1807" s="316">
        <f t="shared" si="488"/>
        <v>0</v>
      </c>
      <c r="AH1807" s="314">
        <v>1</v>
      </c>
      <c r="AI1807" s="314">
        <f t="shared" si="489"/>
        <v>0</v>
      </c>
      <c r="AJ1807" s="314">
        <f t="shared" si="490"/>
        <v>0</v>
      </c>
      <c r="AK1807" s="317"/>
      <c r="AL1807" s="315">
        <f t="shared" si="491"/>
        <v>0</v>
      </c>
      <c r="AN1807" s="554">
        <f t="shared" si="492"/>
        <v>0</v>
      </c>
      <c r="AO1807" s="314"/>
      <c r="AP1807" s="318"/>
    </row>
    <row r="1808" spans="2:42">
      <c r="B1808" s="296"/>
      <c r="C1808" s="299"/>
      <c r="D1808" s="298"/>
      <c r="E1808" s="299"/>
      <c r="F1808" s="299"/>
      <c r="G1808" s="300"/>
      <c r="H1808" s="303"/>
      <c r="I1808" s="301">
        <f t="shared" si="476"/>
        <v>0</v>
      </c>
      <c r="J1808" s="302">
        <f t="shared" si="477"/>
        <v>0</v>
      </c>
      <c r="K1808" s="304">
        <f t="shared" si="478"/>
        <v>0</v>
      </c>
      <c r="L1808" s="305">
        <f>IF(H1808=0,0,IF(OR(E1808=$AT$5,E1808=$AT$6),AA1808,IF(F1808="MXN",1/HLOOKUP(YEAR(G1808)+(MONTH(G1808)/100),TC!$5:$37,DAY(G1808)+2,FALSE),VLOOKUP(F1808,Equivalencia!$5:$23,((MAX(Equivalencia!$3:$3)-YEAR(G1808))*14)+MONTH(G1808)+2,FALSE))))</f>
        <v>0</v>
      </c>
      <c r="M1808" s="306">
        <f t="shared" si="479"/>
        <v>0</v>
      </c>
      <c r="N1808" s="305">
        <f>IF(G1808=0,0,(IF(OR(E1808=$AT$5,E1808=$AT$6),AC1808,HLOOKUP(YEAR(G1808)+(MONTH(G1808)/100),TC!$5:$37,DAY(G1808)+2,FALSE))))</f>
        <v>0</v>
      </c>
      <c r="O1808" s="307">
        <f t="shared" si="480"/>
        <v>0</v>
      </c>
      <c r="P1808" s="560">
        <f>IF(G1808=0,0,VLOOKUP(YEAR(G1808),INPC!$B$4:$P$30,MONTH(G1808)+2))</f>
        <v>0</v>
      </c>
      <c r="Q1808" s="560">
        <f>IF(X1808=0,0,IF(OR(E1808=$AT$10,E1808=$AT$9),VLOOKUP(YEAR(X1808),INPC!$B$4:$P$30,MONTH(X1808)+1),VLOOKUP(YEAR(X1808),INPC!$B$4:$P$30,MONTH(X1808)+2,0)))</f>
        <v>0</v>
      </c>
      <c r="R1808" s="309">
        <f t="shared" si="481"/>
        <v>0</v>
      </c>
      <c r="S1808" s="310">
        <f t="shared" si="482"/>
        <v>0</v>
      </c>
      <c r="T1808" s="555">
        <f t="shared" si="483"/>
        <v>0</v>
      </c>
      <c r="U1808" s="311"/>
      <c r="V1808" s="312"/>
      <c r="W1808" s="299"/>
      <c r="X1808" s="300"/>
      <c r="Y1808" s="299"/>
      <c r="Z1808" s="303"/>
      <c r="AA1808" s="305">
        <f>IF(Z1808=0,0,IF(Y1808="MXN",1/HLOOKUP(YEAR(X1808)+(MONTH(X1808)/100),TC!$5:$37,DAY(X1808)+2,FALSE),VLOOKUP(Y1808,Equivalencia!$1:$23,((MAX(Equivalencia!$3:$3)-YEAR(X1808))*14)+MONTH(X1808)+2,FALSE)))</f>
        <v>0</v>
      </c>
      <c r="AB1808" s="306">
        <f t="shared" si="484"/>
        <v>0</v>
      </c>
      <c r="AC1808" s="305">
        <f>+IF(X1808=0,0,HLOOKUP(YEAR(X1808)+(MONTH(X1808)/100),TC!$5:$37,DAY(X1808)+2,FALSE))</f>
        <v>0</v>
      </c>
      <c r="AD1808" s="307">
        <f t="shared" si="485"/>
        <v>0</v>
      </c>
      <c r="AE1808" s="314">
        <f t="shared" si="486"/>
        <v>0</v>
      </c>
      <c r="AF1808" s="315">
        <f t="shared" si="487"/>
        <v>0</v>
      </c>
      <c r="AG1808" s="316">
        <f t="shared" si="488"/>
        <v>0</v>
      </c>
      <c r="AH1808" s="314">
        <v>1</v>
      </c>
      <c r="AI1808" s="314">
        <f t="shared" si="489"/>
        <v>0</v>
      </c>
      <c r="AJ1808" s="314">
        <f t="shared" si="490"/>
        <v>0</v>
      </c>
      <c r="AK1808" s="317"/>
      <c r="AL1808" s="315">
        <f t="shared" si="491"/>
        <v>0</v>
      </c>
      <c r="AN1808" s="554">
        <f t="shared" si="492"/>
        <v>0</v>
      </c>
      <c r="AO1808" s="314"/>
      <c r="AP1808" s="318"/>
    </row>
    <row r="1809" spans="2:42">
      <c r="B1809" s="296"/>
      <c r="C1809" s="299"/>
      <c r="D1809" s="298"/>
      <c r="E1809" s="299"/>
      <c r="F1809" s="299"/>
      <c r="G1809" s="300"/>
      <c r="H1809" s="303"/>
      <c r="I1809" s="301">
        <f t="shared" si="476"/>
        <v>0</v>
      </c>
      <c r="J1809" s="302">
        <f t="shared" si="477"/>
        <v>0</v>
      </c>
      <c r="K1809" s="304">
        <f t="shared" si="478"/>
        <v>0</v>
      </c>
      <c r="L1809" s="305">
        <f>IF(H1809=0,0,IF(OR(E1809=$AT$5,E1809=$AT$6),AA1809,IF(F1809="MXN",1/HLOOKUP(YEAR(G1809)+(MONTH(G1809)/100),TC!$5:$37,DAY(G1809)+2,FALSE),VLOOKUP(F1809,Equivalencia!$5:$23,((MAX(Equivalencia!$3:$3)-YEAR(G1809))*14)+MONTH(G1809)+2,FALSE))))</f>
        <v>0</v>
      </c>
      <c r="M1809" s="306">
        <f t="shared" si="479"/>
        <v>0</v>
      </c>
      <c r="N1809" s="305">
        <f>IF(G1809=0,0,(IF(OR(E1809=$AT$5,E1809=$AT$6),AC1809,HLOOKUP(YEAR(G1809)+(MONTH(G1809)/100),TC!$5:$37,DAY(G1809)+2,FALSE))))</f>
        <v>0</v>
      </c>
      <c r="O1809" s="307">
        <f t="shared" si="480"/>
        <v>0</v>
      </c>
      <c r="P1809" s="560">
        <f>IF(G1809=0,0,VLOOKUP(YEAR(G1809),INPC!$B$4:$P$30,MONTH(G1809)+2))</f>
        <v>0</v>
      </c>
      <c r="Q1809" s="560">
        <f>IF(X1809=0,0,IF(OR(E1809=$AT$10,E1809=$AT$9),VLOOKUP(YEAR(X1809),INPC!$B$4:$P$30,MONTH(X1809)+1),VLOOKUP(YEAR(X1809),INPC!$B$4:$P$30,MONTH(X1809)+2,0)))</f>
        <v>0</v>
      </c>
      <c r="R1809" s="309">
        <f t="shared" si="481"/>
        <v>0</v>
      </c>
      <c r="S1809" s="310">
        <f t="shared" si="482"/>
        <v>0</v>
      </c>
      <c r="T1809" s="555">
        <f t="shared" si="483"/>
        <v>0</v>
      </c>
      <c r="U1809" s="311"/>
      <c r="V1809" s="312"/>
      <c r="W1809" s="299"/>
      <c r="X1809" s="300"/>
      <c r="Y1809" s="299"/>
      <c r="Z1809" s="303"/>
      <c r="AA1809" s="305">
        <f>IF(Z1809=0,0,IF(Y1809="MXN",1/HLOOKUP(YEAR(X1809)+(MONTH(X1809)/100),TC!$5:$37,DAY(X1809)+2,FALSE),VLOOKUP(Y1809,Equivalencia!$1:$23,((MAX(Equivalencia!$3:$3)-YEAR(X1809))*14)+MONTH(X1809)+2,FALSE)))</f>
        <v>0</v>
      </c>
      <c r="AB1809" s="306">
        <f t="shared" si="484"/>
        <v>0</v>
      </c>
      <c r="AC1809" s="305">
        <f>+IF(X1809=0,0,HLOOKUP(YEAR(X1809)+(MONTH(X1809)/100),TC!$5:$37,DAY(X1809)+2,FALSE))</f>
        <v>0</v>
      </c>
      <c r="AD1809" s="307">
        <f t="shared" si="485"/>
        <v>0</v>
      </c>
      <c r="AE1809" s="314">
        <f t="shared" si="486"/>
        <v>0</v>
      </c>
      <c r="AF1809" s="315">
        <f t="shared" si="487"/>
        <v>0</v>
      </c>
      <c r="AG1809" s="316">
        <f t="shared" si="488"/>
        <v>0</v>
      </c>
      <c r="AH1809" s="314">
        <v>1</v>
      </c>
      <c r="AI1809" s="314">
        <f t="shared" si="489"/>
        <v>0</v>
      </c>
      <c r="AJ1809" s="314">
        <f t="shared" si="490"/>
        <v>0</v>
      </c>
      <c r="AK1809" s="317"/>
      <c r="AL1809" s="315">
        <f t="shared" si="491"/>
        <v>0</v>
      </c>
      <c r="AN1809" s="554">
        <f t="shared" si="492"/>
        <v>0</v>
      </c>
      <c r="AO1809" s="314"/>
      <c r="AP1809" s="318"/>
    </row>
    <row r="1810" spans="2:42">
      <c r="B1810" s="296"/>
      <c r="C1810" s="299"/>
      <c r="D1810" s="298"/>
      <c r="E1810" s="299"/>
      <c r="F1810" s="299"/>
      <c r="G1810" s="300"/>
      <c r="H1810" s="303"/>
      <c r="I1810" s="301">
        <f t="shared" si="476"/>
        <v>0</v>
      </c>
      <c r="J1810" s="302">
        <f t="shared" si="477"/>
        <v>0</v>
      </c>
      <c r="K1810" s="304">
        <f t="shared" si="478"/>
        <v>0</v>
      </c>
      <c r="L1810" s="305">
        <f>IF(H1810=0,0,IF(OR(E1810=$AT$5,E1810=$AT$6),AA1810,IF(F1810="MXN",1/HLOOKUP(YEAR(G1810)+(MONTH(G1810)/100),TC!$5:$37,DAY(G1810)+2,FALSE),VLOOKUP(F1810,Equivalencia!$5:$23,((MAX(Equivalencia!$3:$3)-YEAR(G1810))*14)+MONTH(G1810)+2,FALSE))))</f>
        <v>0</v>
      </c>
      <c r="M1810" s="306">
        <f t="shared" si="479"/>
        <v>0</v>
      </c>
      <c r="N1810" s="305">
        <f>IF(G1810=0,0,(IF(OR(E1810=$AT$5,E1810=$AT$6),AC1810,HLOOKUP(YEAR(G1810)+(MONTH(G1810)/100),TC!$5:$37,DAY(G1810)+2,FALSE))))</f>
        <v>0</v>
      </c>
      <c r="O1810" s="307">
        <f t="shared" si="480"/>
        <v>0</v>
      </c>
      <c r="P1810" s="560">
        <f>IF(G1810=0,0,VLOOKUP(YEAR(G1810),INPC!$B$4:$P$30,MONTH(G1810)+2))</f>
        <v>0</v>
      </c>
      <c r="Q1810" s="560">
        <f>IF(X1810=0,0,IF(OR(E1810=$AT$10,E1810=$AT$9),VLOOKUP(YEAR(X1810),INPC!$B$4:$P$30,MONTH(X1810)+1),VLOOKUP(YEAR(X1810),INPC!$B$4:$P$30,MONTH(X1810)+2,0)))</f>
        <v>0</v>
      </c>
      <c r="R1810" s="309">
        <f t="shared" si="481"/>
        <v>0</v>
      </c>
      <c r="S1810" s="310">
        <f t="shared" si="482"/>
        <v>0</v>
      </c>
      <c r="T1810" s="555">
        <f t="shared" si="483"/>
        <v>0</v>
      </c>
      <c r="U1810" s="311"/>
      <c r="V1810" s="312"/>
      <c r="W1810" s="299"/>
      <c r="X1810" s="300"/>
      <c r="Y1810" s="299"/>
      <c r="Z1810" s="303"/>
      <c r="AA1810" s="305">
        <f>IF(Z1810=0,0,IF(Y1810="MXN",1/HLOOKUP(YEAR(X1810)+(MONTH(X1810)/100),TC!$5:$37,DAY(X1810)+2,FALSE),VLOOKUP(Y1810,Equivalencia!$1:$23,((MAX(Equivalencia!$3:$3)-YEAR(X1810))*14)+MONTH(X1810)+2,FALSE)))</f>
        <v>0</v>
      </c>
      <c r="AB1810" s="306">
        <f t="shared" si="484"/>
        <v>0</v>
      </c>
      <c r="AC1810" s="305">
        <f>+IF(X1810=0,0,HLOOKUP(YEAR(X1810)+(MONTH(X1810)/100),TC!$5:$37,DAY(X1810)+2,FALSE))</f>
        <v>0</v>
      </c>
      <c r="AD1810" s="307">
        <f t="shared" si="485"/>
        <v>0</v>
      </c>
      <c r="AE1810" s="314">
        <f t="shared" si="486"/>
        <v>0</v>
      </c>
      <c r="AF1810" s="315">
        <f t="shared" si="487"/>
        <v>0</v>
      </c>
      <c r="AG1810" s="316">
        <f t="shared" si="488"/>
        <v>0</v>
      </c>
      <c r="AH1810" s="314">
        <v>1</v>
      </c>
      <c r="AI1810" s="314">
        <f t="shared" si="489"/>
        <v>0</v>
      </c>
      <c r="AJ1810" s="314">
        <f t="shared" si="490"/>
        <v>0</v>
      </c>
      <c r="AK1810" s="317"/>
      <c r="AL1810" s="315">
        <f t="shared" si="491"/>
        <v>0</v>
      </c>
      <c r="AN1810" s="554">
        <f t="shared" si="492"/>
        <v>0</v>
      </c>
      <c r="AO1810" s="314"/>
      <c r="AP1810" s="318"/>
    </row>
    <row r="1811" spans="2:42">
      <c r="B1811" s="296"/>
      <c r="C1811" s="299"/>
      <c r="D1811" s="298"/>
      <c r="E1811" s="299"/>
      <c r="F1811" s="299"/>
      <c r="G1811" s="300"/>
      <c r="H1811" s="303"/>
      <c r="I1811" s="301">
        <f t="shared" si="476"/>
        <v>0</v>
      </c>
      <c r="J1811" s="302">
        <f t="shared" si="477"/>
        <v>0</v>
      </c>
      <c r="K1811" s="304">
        <f t="shared" si="478"/>
        <v>0</v>
      </c>
      <c r="L1811" s="305">
        <f>IF(H1811=0,0,IF(OR(E1811=$AT$5,E1811=$AT$6),AA1811,IF(F1811="MXN",1/HLOOKUP(YEAR(G1811)+(MONTH(G1811)/100),TC!$5:$37,DAY(G1811)+2,FALSE),VLOOKUP(F1811,Equivalencia!$5:$23,((MAX(Equivalencia!$3:$3)-YEAR(G1811))*14)+MONTH(G1811)+2,FALSE))))</f>
        <v>0</v>
      </c>
      <c r="M1811" s="306">
        <f t="shared" si="479"/>
        <v>0</v>
      </c>
      <c r="N1811" s="305">
        <f>IF(G1811=0,0,(IF(OR(E1811=$AT$5,E1811=$AT$6),AC1811,HLOOKUP(YEAR(G1811)+(MONTH(G1811)/100),TC!$5:$37,DAY(G1811)+2,FALSE))))</f>
        <v>0</v>
      </c>
      <c r="O1811" s="307">
        <f t="shared" si="480"/>
        <v>0</v>
      </c>
      <c r="P1811" s="560">
        <f>IF(G1811=0,0,VLOOKUP(YEAR(G1811),INPC!$B$4:$P$30,MONTH(G1811)+2))</f>
        <v>0</v>
      </c>
      <c r="Q1811" s="560">
        <f>IF(X1811=0,0,IF(OR(E1811=$AT$10,E1811=$AT$9),VLOOKUP(YEAR(X1811),INPC!$B$4:$P$30,MONTH(X1811)+1),VLOOKUP(YEAR(X1811),INPC!$B$4:$P$30,MONTH(X1811)+2,0)))</f>
        <v>0</v>
      </c>
      <c r="R1811" s="309">
        <f t="shared" si="481"/>
        <v>0</v>
      </c>
      <c r="S1811" s="310">
        <f t="shared" si="482"/>
        <v>0</v>
      </c>
      <c r="T1811" s="555">
        <f t="shared" si="483"/>
        <v>0</v>
      </c>
      <c r="U1811" s="311"/>
      <c r="V1811" s="312"/>
      <c r="W1811" s="299"/>
      <c r="X1811" s="300"/>
      <c r="Y1811" s="299"/>
      <c r="Z1811" s="303"/>
      <c r="AA1811" s="305">
        <f>IF(Z1811=0,0,IF(Y1811="MXN",1/HLOOKUP(YEAR(X1811)+(MONTH(X1811)/100),TC!$5:$37,DAY(X1811)+2,FALSE),VLOOKUP(Y1811,Equivalencia!$1:$23,((MAX(Equivalencia!$3:$3)-YEAR(X1811))*14)+MONTH(X1811)+2,FALSE)))</f>
        <v>0</v>
      </c>
      <c r="AB1811" s="306">
        <f t="shared" si="484"/>
        <v>0</v>
      </c>
      <c r="AC1811" s="305">
        <f>+IF(X1811=0,0,HLOOKUP(YEAR(X1811)+(MONTH(X1811)/100),TC!$5:$37,DAY(X1811)+2,FALSE))</f>
        <v>0</v>
      </c>
      <c r="AD1811" s="307">
        <f t="shared" si="485"/>
        <v>0</v>
      </c>
      <c r="AE1811" s="314">
        <f t="shared" si="486"/>
        <v>0</v>
      </c>
      <c r="AF1811" s="315">
        <f t="shared" si="487"/>
        <v>0</v>
      </c>
      <c r="AG1811" s="316">
        <f t="shared" si="488"/>
        <v>0</v>
      </c>
      <c r="AH1811" s="314">
        <v>1</v>
      </c>
      <c r="AI1811" s="314">
        <f t="shared" si="489"/>
        <v>0</v>
      </c>
      <c r="AJ1811" s="314">
        <f t="shared" si="490"/>
        <v>0</v>
      </c>
      <c r="AK1811" s="317"/>
      <c r="AL1811" s="315">
        <f t="shared" si="491"/>
        <v>0</v>
      </c>
      <c r="AN1811" s="554">
        <f t="shared" si="492"/>
        <v>0</v>
      </c>
      <c r="AO1811" s="314"/>
      <c r="AP1811" s="318"/>
    </row>
    <row r="1812" spans="2:42">
      <c r="B1812" s="296"/>
      <c r="C1812" s="299"/>
      <c r="D1812" s="298"/>
      <c r="E1812" s="299"/>
      <c r="F1812" s="299"/>
      <c r="G1812" s="300"/>
      <c r="H1812" s="303"/>
      <c r="I1812" s="301">
        <f t="shared" si="476"/>
        <v>0</v>
      </c>
      <c r="J1812" s="302">
        <f t="shared" si="477"/>
        <v>0</v>
      </c>
      <c r="K1812" s="304">
        <f t="shared" si="478"/>
        <v>0</v>
      </c>
      <c r="L1812" s="305">
        <f>IF(H1812=0,0,IF(OR(E1812=$AT$5,E1812=$AT$6),AA1812,IF(F1812="MXN",1/HLOOKUP(YEAR(G1812)+(MONTH(G1812)/100),TC!$5:$37,DAY(G1812)+2,FALSE),VLOOKUP(F1812,Equivalencia!$5:$23,((MAX(Equivalencia!$3:$3)-YEAR(G1812))*14)+MONTH(G1812)+2,FALSE))))</f>
        <v>0</v>
      </c>
      <c r="M1812" s="306">
        <f t="shared" si="479"/>
        <v>0</v>
      </c>
      <c r="N1812" s="305">
        <f>IF(G1812=0,0,(IF(OR(E1812=$AT$5,E1812=$AT$6),AC1812,HLOOKUP(YEAR(G1812)+(MONTH(G1812)/100),TC!$5:$37,DAY(G1812)+2,FALSE))))</f>
        <v>0</v>
      </c>
      <c r="O1812" s="307">
        <f t="shared" si="480"/>
        <v>0</v>
      </c>
      <c r="P1812" s="560">
        <f>IF(G1812=0,0,VLOOKUP(YEAR(G1812),INPC!$B$4:$P$30,MONTH(G1812)+2))</f>
        <v>0</v>
      </c>
      <c r="Q1812" s="560">
        <f>IF(X1812=0,0,IF(OR(E1812=$AT$10,E1812=$AT$9),VLOOKUP(YEAR(X1812),INPC!$B$4:$P$30,MONTH(X1812)+1),VLOOKUP(YEAR(X1812),INPC!$B$4:$P$30,MONTH(X1812)+2,0)))</f>
        <v>0</v>
      </c>
      <c r="R1812" s="309">
        <f t="shared" si="481"/>
        <v>0</v>
      </c>
      <c r="S1812" s="310">
        <f t="shared" si="482"/>
        <v>0</v>
      </c>
      <c r="T1812" s="555">
        <f t="shared" si="483"/>
        <v>0</v>
      </c>
      <c r="U1812" s="311"/>
      <c r="V1812" s="312"/>
      <c r="W1812" s="299"/>
      <c r="X1812" s="300"/>
      <c r="Y1812" s="299"/>
      <c r="Z1812" s="303"/>
      <c r="AA1812" s="305">
        <f>IF(Z1812=0,0,IF(Y1812="MXN",1/HLOOKUP(YEAR(X1812)+(MONTH(X1812)/100),TC!$5:$37,DAY(X1812)+2,FALSE),VLOOKUP(Y1812,Equivalencia!$1:$23,((MAX(Equivalencia!$3:$3)-YEAR(X1812))*14)+MONTH(X1812)+2,FALSE)))</f>
        <v>0</v>
      </c>
      <c r="AB1812" s="306">
        <f t="shared" si="484"/>
        <v>0</v>
      </c>
      <c r="AC1812" s="305">
        <f>+IF(X1812=0,0,HLOOKUP(YEAR(X1812)+(MONTH(X1812)/100),TC!$5:$37,DAY(X1812)+2,FALSE))</f>
        <v>0</v>
      </c>
      <c r="AD1812" s="307">
        <f t="shared" si="485"/>
        <v>0</v>
      </c>
      <c r="AE1812" s="314">
        <f t="shared" si="486"/>
        <v>0</v>
      </c>
      <c r="AF1812" s="315">
        <f t="shared" si="487"/>
        <v>0</v>
      </c>
      <c r="AG1812" s="316">
        <f t="shared" si="488"/>
        <v>0</v>
      </c>
      <c r="AH1812" s="314">
        <v>1</v>
      </c>
      <c r="AI1812" s="314">
        <f t="shared" si="489"/>
        <v>0</v>
      </c>
      <c r="AJ1812" s="314">
        <f t="shared" si="490"/>
        <v>0</v>
      </c>
      <c r="AK1812" s="317"/>
      <c r="AL1812" s="315">
        <f t="shared" si="491"/>
        <v>0</v>
      </c>
      <c r="AN1812" s="554">
        <f t="shared" si="492"/>
        <v>0</v>
      </c>
      <c r="AO1812" s="314"/>
      <c r="AP1812" s="318"/>
    </row>
    <row r="1813" spans="2:42">
      <c r="B1813" s="296"/>
      <c r="C1813" s="299"/>
      <c r="D1813" s="298"/>
      <c r="E1813" s="299"/>
      <c r="F1813" s="299"/>
      <c r="G1813" s="300"/>
      <c r="H1813" s="303"/>
      <c r="I1813" s="301">
        <f t="shared" si="476"/>
        <v>0</v>
      </c>
      <c r="J1813" s="302">
        <f t="shared" si="477"/>
        <v>0</v>
      </c>
      <c r="K1813" s="304">
        <f t="shared" si="478"/>
        <v>0</v>
      </c>
      <c r="L1813" s="305">
        <f>IF(H1813=0,0,IF(OR(E1813=$AT$5,E1813=$AT$6),AA1813,IF(F1813="MXN",1/HLOOKUP(YEAR(G1813)+(MONTH(G1813)/100),TC!$5:$37,DAY(G1813)+2,FALSE),VLOOKUP(F1813,Equivalencia!$5:$23,((MAX(Equivalencia!$3:$3)-YEAR(G1813))*14)+MONTH(G1813)+2,FALSE))))</f>
        <v>0</v>
      </c>
      <c r="M1813" s="306">
        <f t="shared" si="479"/>
        <v>0</v>
      </c>
      <c r="N1813" s="305">
        <f>IF(G1813=0,0,(IF(OR(E1813=$AT$5,E1813=$AT$6),AC1813,HLOOKUP(YEAR(G1813)+(MONTH(G1813)/100),TC!$5:$37,DAY(G1813)+2,FALSE))))</f>
        <v>0</v>
      </c>
      <c r="O1813" s="307">
        <f t="shared" si="480"/>
        <v>0</v>
      </c>
      <c r="P1813" s="560">
        <f>IF(G1813=0,0,VLOOKUP(YEAR(G1813),INPC!$B$4:$P$30,MONTH(G1813)+2))</f>
        <v>0</v>
      </c>
      <c r="Q1813" s="560">
        <f>IF(X1813=0,0,IF(OR(E1813=$AT$10,E1813=$AT$9),VLOOKUP(YEAR(X1813),INPC!$B$4:$P$30,MONTH(X1813)+1),VLOOKUP(YEAR(X1813),INPC!$B$4:$P$30,MONTH(X1813)+2,0)))</f>
        <v>0</v>
      </c>
      <c r="R1813" s="309">
        <f t="shared" si="481"/>
        <v>0</v>
      </c>
      <c r="S1813" s="310">
        <f t="shared" si="482"/>
        <v>0</v>
      </c>
      <c r="T1813" s="555">
        <f t="shared" si="483"/>
        <v>0</v>
      </c>
      <c r="U1813" s="311"/>
      <c r="V1813" s="312"/>
      <c r="W1813" s="299"/>
      <c r="X1813" s="300"/>
      <c r="Y1813" s="299"/>
      <c r="Z1813" s="303"/>
      <c r="AA1813" s="305">
        <f>IF(Z1813=0,0,IF(Y1813="MXN",1/HLOOKUP(YEAR(X1813)+(MONTH(X1813)/100),TC!$5:$37,DAY(X1813)+2,FALSE),VLOOKUP(Y1813,Equivalencia!$1:$23,((MAX(Equivalencia!$3:$3)-YEAR(X1813))*14)+MONTH(X1813)+2,FALSE)))</f>
        <v>0</v>
      </c>
      <c r="AB1813" s="306">
        <f t="shared" si="484"/>
        <v>0</v>
      </c>
      <c r="AC1813" s="305">
        <f>+IF(X1813=0,0,HLOOKUP(YEAR(X1813)+(MONTH(X1813)/100),TC!$5:$37,DAY(X1813)+2,FALSE))</f>
        <v>0</v>
      </c>
      <c r="AD1813" s="307">
        <f t="shared" si="485"/>
        <v>0</v>
      </c>
      <c r="AE1813" s="314">
        <f t="shared" si="486"/>
        <v>0</v>
      </c>
      <c r="AF1813" s="315">
        <f t="shared" si="487"/>
        <v>0</v>
      </c>
      <c r="AG1813" s="316">
        <f t="shared" si="488"/>
        <v>0</v>
      </c>
      <c r="AH1813" s="314">
        <v>1</v>
      </c>
      <c r="AI1813" s="314">
        <f t="shared" si="489"/>
        <v>0</v>
      </c>
      <c r="AJ1813" s="314">
        <f t="shared" si="490"/>
        <v>0</v>
      </c>
      <c r="AK1813" s="317"/>
      <c r="AL1813" s="315">
        <f t="shared" si="491"/>
        <v>0</v>
      </c>
      <c r="AN1813" s="554">
        <f t="shared" si="492"/>
        <v>0</v>
      </c>
      <c r="AO1813" s="314"/>
      <c r="AP1813" s="318"/>
    </row>
    <row r="1814" spans="2:42">
      <c r="B1814" s="296"/>
      <c r="C1814" s="299"/>
      <c r="D1814" s="298"/>
      <c r="E1814" s="299"/>
      <c r="F1814" s="299"/>
      <c r="G1814" s="300"/>
      <c r="H1814" s="303"/>
      <c r="I1814" s="301">
        <f t="shared" si="476"/>
        <v>0</v>
      </c>
      <c r="J1814" s="302">
        <f t="shared" si="477"/>
        <v>0</v>
      </c>
      <c r="K1814" s="304">
        <f t="shared" si="478"/>
        <v>0</v>
      </c>
      <c r="L1814" s="305">
        <f>IF(H1814=0,0,IF(OR(E1814=$AT$5,E1814=$AT$6),AA1814,IF(F1814="MXN",1/HLOOKUP(YEAR(G1814)+(MONTH(G1814)/100),TC!$5:$37,DAY(G1814)+2,FALSE),VLOOKUP(F1814,Equivalencia!$5:$23,((MAX(Equivalencia!$3:$3)-YEAR(G1814))*14)+MONTH(G1814)+2,FALSE))))</f>
        <v>0</v>
      </c>
      <c r="M1814" s="306">
        <f t="shared" si="479"/>
        <v>0</v>
      </c>
      <c r="N1814" s="305">
        <f>IF(G1814=0,0,(IF(OR(E1814=$AT$5,E1814=$AT$6),AC1814,HLOOKUP(YEAR(G1814)+(MONTH(G1814)/100),TC!$5:$37,DAY(G1814)+2,FALSE))))</f>
        <v>0</v>
      </c>
      <c r="O1814" s="307">
        <f t="shared" si="480"/>
        <v>0</v>
      </c>
      <c r="P1814" s="560">
        <f>IF(G1814=0,0,VLOOKUP(YEAR(G1814),INPC!$B$4:$P$30,MONTH(G1814)+2))</f>
        <v>0</v>
      </c>
      <c r="Q1814" s="560">
        <f>IF(X1814=0,0,IF(OR(E1814=$AT$10,E1814=$AT$9),VLOOKUP(YEAR(X1814),INPC!$B$4:$P$30,MONTH(X1814)+1),VLOOKUP(YEAR(X1814),INPC!$B$4:$P$30,MONTH(X1814)+2,0)))</f>
        <v>0</v>
      </c>
      <c r="R1814" s="309">
        <f t="shared" si="481"/>
        <v>0</v>
      </c>
      <c r="S1814" s="310">
        <f t="shared" si="482"/>
        <v>0</v>
      </c>
      <c r="T1814" s="555">
        <f t="shared" si="483"/>
        <v>0</v>
      </c>
      <c r="U1814" s="311"/>
      <c r="V1814" s="312"/>
      <c r="W1814" s="299"/>
      <c r="X1814" s="300"/>
      <c r="Y1814" s="299"/>
      <c r="Z1814" s="303"/>
      <c r="AA1814" s="305">
        <f>IF(Z1814=0,0,IF(Y1814="MXN",1/HLOOKUP(YEAR(X1814)+(MONTH(X1814)/100),TC!$5:$37,DAY(X1814)+2,FALSE),VLOOKUP(Y1814,Equivalencia!$1:$23,((MAX(Equivalencia!$3:$3)-YEAR(X1814))*14)+MONTH(X1814)+2,FALSE)))</f>
        <v>0</v>
      </c>
      <c r="AB1814" s="306">
        <f t="shared" si="484"/>
        <v>0</v>
      </c>
      <c r="AC1814" s="305">
        <f>+IF(X1814=0,0,HLOOKUP(YEAR(X1814)+(MONTH(X1814)/100),TC!$5:$37,DAY(X1814)+2,FALSE))</f>
        <v>0</v>
      </c>
      <c r="AD1814" s="307">
        <f t="shared" si="485"/>
        <v>0</v>
      </c>
      <c r="AE1814" s="314">
        <f t="shared" si="486"/>
        <v>0</v>
      </c>
      <c r="AF1814" s="315">
        <f t="shared" si="487"/>
        <v>0</v>
      </c>
      <c r="AG1814" s="316">
        <f t="shared" si="488"/>
        <v>0</v>
      </c>
      <c r="AH1814" s="314">
        <v>1</v>
      </c>
      <c r="AI1814" s="314">
        <f t="shared" si="489"/>
        <v>0</v>
      </c>
      <c r="AJ1814" s="314">
        <f t="shared" si="490"/>
        <v>0</v>
      </c>
      <c r="AK1814" s="317"/>
      <c r="AL1814" s="315">
        <f t="shared" si="491"/>
        <v>0</v>
      </c>
      <c r="AN1814" s="554">
        <f t="shared" si="492"/>
        <v>0</v>
      </c>
      <c r="AO1814" s="314"/>
      <c r="AP1814" s="318"/>
    </row>
    <row r="1815" spans="2:42">
      <c r="B1815" s="296"/>
      <c r="C1815" s="299"/>
      <c r="D1815" s="298"/>
      <c r="E1815" s="299"/>
      <c r="F1815" s="299"/>
      <c r="G1815" s="300"/>
      <c r="H1815" s="303"/>
      <c r="I1815" s="301">
        <f t="shared" si="476"/>
        <v>0</v>
      </c>
      <c r="J1815" s="302">
        <f t="shared" si="477"/>
        <v>0</v>
      </c>
      <c r="K1815" s="304">
        <f t="shared" si="478"/>
        <v>0</v>
      </c>
      <c r="L1815" s="305">
        <f>IF(H1815=0,0,IF(OR(E1815=$AT$5,E1815=$AT$6),AA1815,IF(F1815="MXN",1/HLOOKUP(YEAR(G1815)+(MONTH(G1815)/100),TC!$5:$37,DAY(G1815)+2,FALSE),VLOOKUP(F1815,Equivalencia!$5:$23,((MAX(Equivalencia!$3:$3)-YEAR(G1815))*14)+MONTH(G1815)+2,FALSE))))</f>
        <v>0</v>
      </c>
      <c r="M1815" s="306">
        <f t="shared" si="479"/>
        <v>0</v>
      </c>
      <c r="N1815" s="305">
        <f>IF(G1815=0,0,(IF(OR(E1815=$AT$5,E1815=$AT$6),AC1815,HLOOKUP(YEAR(G1815)+(MONTH(G1815)/100),TC!$5:$37,DAY(G1815)+2,FALSE))))</f>
        <v>0</v>
      </c>
      <c r="O1815" s="307">
        <f t="shared" si="480"/>
        <v>0</v>
      </c>
      <c r="P1815" s="560">
        <f>IF(G1815=0,0,VLOOKUP(YEAR(G1815),INPC!$B$4:$P$30,MONTH(G1815)+2))</f>
        <v>0</v>
      </c>
      <c r="Q1815" s="560">
        <f>IF(X1815=0,0,IF(OR(E1815=$AT$10,E1815=$AT$9),VLOOKUP(YEAR(X1815),INPC!$B$4:$P$30,MONTH(X1815)+1),VLOOKUP(YEAR(X1815),INPC!$B$4:$P$30,MONTH(X1815)+2,0)))</f>
        <v>0</v>
      </c>
      <c r="R1815" s="309">
        <f t="shared" si="481"/>
        <v>0</v>
      </c>
      <c r="S1815" s="310">
        <f t="shared" si="482"/>
        <v>0</v>
      </c>
      <c r="T1815" s="555">
        <f t="shared" si="483"/>
        <v>0</v>
      </c>
      <c r="U1815" s="311"/>
      <c r="V1815" s="312"/>
      <c r="W1815" s="299"/>
      <c r="X1815" s="300"/>
      <c r="Y1815" s="299"/>
      <c r="Z1815" s="303"/>
      <c r="AA1815" s="305">
        <f>IF(Z1815=0,0,IF(Y1815="MXN",1/HLOOKUP(YEAR(X1815)+(MONTH(X1815)/100),TC!$5:$37,DAY(X1815)+2,FALSE),VLOOKUP(Y1815,Equivalencia!$1:$23,((MAX(Equivalencia!$3:$3)-YEAR(X1815))*14)+MONTH(X1815)+2,FALSE)))</f>
        <v>0</v>
      </c>
      <c r="AB1815" s="306">
        <f t="shared" si="484"/>
        <v>0</v>
      </c>
      <c r="AC1815" s="305">
        <f>+IF(X1815=0,0,HLOOKUP(YEAR(X1815)+(MONTH(X1815)/100),TC!$5:$37,DAY(X1815)+2,FALSE))</f>
        <v>0</v>
      </c>
      <c r="AD1815" s="307">
        <f t="shared" si="485"/>
        <v>0</v>
      </c>
      <c r="AE1815" s="314">
        <f t="shared" si="486"/>
        <v>0</v>
      </c>
      <c r="AF1815" s="315">
        <f t="shared" si="487"/>
        <v>0</v>
      </c>
      <c r="AG1815" s="316">
        <f t="shared" si="488"/>
        <v>0</v>
      </c>
      <c r="AH1815" s="314">
        <v>1</v>
      </c>
      <c r="AI1815" s="314">
        <f t="shared" si="489"/>
        <v>0</v>
      </c>
      <c r="AJ1815" s="314">
        <f t="shared" si="490"/>
        <v>0</v>
      </c>
      <c r="AK1815" s="317"/>
      <c r="AL1815" s="315">
        <f t="shared" si="491"/>
        <v>0</v>
      </c>
      <c r="AN1815" s="554">
        <f t="shared" si="492"/>
        <v>0</v>
      </c>
      <c r="AO1815" s="314"/>
      <c r="AP1815" s="318"/>
    </row>
    <row r="1816" spans="2:42">
      <c r="B1816" s="296"/>
      <c r="C1816" s="299"/>
      <c r="D1816" s="298"/>
      <c r="E1816" s="299"/>
      <c r="F1816" s="299"/>
      <c r="G1816" s="300"/>
      <c r="H1816" s="303"/>
      <c r="I1816" s="301">
        <f t="shared" si="476"/>
        <v>0</v>
      </c>
      <c r="J1816" s="302">
        <f t="shared" si="477"/>
        <v>0</v>
      </c>
      <c r="K1816" s="304">
        <f t="shared" si="478"/>
        <v>0</v>
      </c>
      <c r="L1816" s="305">
        <f>IF(H1816=0,0,IF(OR(E1816=$AT$5,E1816=$AT$6),AA1816,IF(F1816="MXN",1/HLOOKUP(YEAR(G1816)+(MONTH(G1816)/100),TC!$5:$37,DAY(G1816)+2,FALSE),VLOOKUP(F1816,Equivalencia!$5:$23,((MAX(Equivalencia!$3:$3)-YEAR(G1816))*14)+MONTH(G1816)+2,FALSE))))</f>
        <v>0</v>
      </c>
      <c r="M1816" s="306">
        <f t="shared" si="479"/>
        <v>0</v>
      </c>
      <c r="N1816" s="305">
        <f>IF(G1816=0,0,(IF(OR(E1816=$AT$5,E1816=$AT$6),AC1816,HLOOKUP(YEAR(G1816)+(MONTH(G1816)/100),TC!$5:$37,DAY(G1816)+2,FALSE))))</f>
        <v>0</v>
      </c>
      <c r="O1816" s="307">
        <f t="shared" si="480"/>
        <v>0</v>
      </c>
      <c r="P1816" s="560">
        <f>IF(G1816=0,0,VLOOKUP(YEAR(G1816),INPC!$B$4:$P$30,MONTH(G1816)+2))</f>
        <v>0</v>
      </c>
      <c r="Q1816" s="560">
        <f>IF(X1816=0,0,IF(OR(E1816=$AT$10,E1816=$AT$9),VLOOKUP(YEAR(X1816),INPC!$B$4:$P$30,MONTH(X1816)+1),VLOOKUP(YEAR(X1816),INPC!$B$4:$P$30,MONTH(X1816)+2,0)))</f>
        <v>0</v>
      </c>
      <c r="R1816" s="309">
        <f t="shared" si="481"/>
        <v>0</v>
      </c>
      <c r="S1816" s="310">
        <f t="shared" si="482"/>
        <v>0</v>
      </c>
      <c r="T1816" s="555">
        <f t="shared" si="483"/>
        <v>0</v>
      </c>
      <c r="U1816" s="311"/>
      <c r="V1816" s="312"/>
      <c r="W1816" s="299"/>
      <c r="X1816" s="300"/>
      <c r="Y1816" s="299"/>
      <c r="Z1816" s="303"/>
      <c r="AA1816" s="305">
        <f>IF(Z1816=0,0,IF(Y1816="MXN",1/HLOOKUP(YEAR(X1816)+(MONTH(X1816)/100),TC!$5:$37,DAY(X1816)+2,FALSE),VLOOKUP(Y1816,Equivalencia!$1:$23,((MAX(Equivalencia!$3:$3)-YEAR(X1816))*14)+MONTH(X1816)+2,FALSE)))</f>
        <v>0</v>
      </c>
      <c r="AB1816" s="306">
        <f t="shared" si="484"/>
        <v>0</v>
      </c>
      <c r="AC1816" s="305">
        <f>+IF(X1816=0,0,HLOOKUP(YEAR(X1816)+(MONTH(X1816)/100),TC!$5:$37,DAY(X1816)+2,FALSE))</f>
        <v>0</v>
      </c>
      <c r="AD1816" s="307">
        <f t="shared" si="485"/>
        <v>0</v>
      </c>
      <c r="AE1816" s="314">
        <f t="shared" si="486"/>
        <v>0</v>
      </c>
      <c r="AF1816" s="315">
        <f t="shared" si="487"/>
        <v>0</v>
      </c>
      <c r="AG1816" s="316">
        <f t="shared" si="488"/>
        <v>0</v>
      </c>
      <c r="AH1816" s="314">
        <v>1</v>
      </c>
      <c r="AI1816" s="314">
        <f t="shared" si="489"/>
        <v>0</v>
      </c>
      <c r="AJ1816" s="314">
        <f t="shared" si="490"/>
        <v>0</v>
      </c>
      <c r="AK1816" s="317"/>
      <c r="AL1816" s="315">
        <f t="shared" si="491"/>
        <v>0</v>
      </c>
      <c r="AN1816" s="554">
        <f t="shared" si="492"/>
        <v>0</v>
      </c>
      <c r="AO1816" s="314"/>
      <c r="AP1816" s="318"/>
    </row>
    <row r="1817" spans="2:42">
      <c r="B1817" s="296"/>
      <c r="C1817" s="299"/>
      <c r="D1817" s="298"/>
      <c r="E1817" s="299"/>
      <c r="F1817" s="299"/>
      <c r="G1817" s="300"/>
      <c r="H1817" s="303"/>
      <c r="I1817" s="301">
        <f t="shared" si="476"/>
        <v>0</v>
      </c>
      <c r="J1817" s="302">
        <f t="shared" si="477"/>
        <v>0</v>
      </c>
      <c r="K1817" s="304">
        <f t="shared" si="478"/>
        <v>0</v>
      </c>
      <c r="L1817" s="305">
        <f>IF(H1817=0,0,IF(OR(E1817=$AT$5,E1817=$AT$6),AA1817,IF(F1817="MXN",1/HLOOKUP(YEAR(G1817)+(MONTH(G1817)/100),TC!$5:$37,DAY(G1817)+2,FALSE),VLOOKUP(F1817,Equivalencia!$5:$23,((MAX(Equivalencia!$3:$3)-YEAR(G1817))*14)+MONTH(G1817)+2,FALSE))))</f>
        <v>0</v>
      </c>
      <c r="M1817" s="306">
        <f t="shared" si="479"/>
        <v>0</v>
      </c>
      <c r="N1817" s="305">
        <f>IF(G1817=0,0,(IF(OR(E1817=$AT$5,E1817=$AT$6),AC1817,HLOOKUP(YEAR(G1817)+(MONTH(G1817)/100),TC!$5:$37,DAY(G1817)+2,FALSE))))</f>
        <v>0</v>
      </c>
      <c r="O1817" s="307">
        <f t="shared" si="480"/>
        <v>0</v>
      </c>
      <c r="P1817" s="560">
        <f>IF(G1817=0,0,VLOOKUP(YEAR(G1817),INPC!$B$4:$P$30,MONTH(G1817)+2))</f>
        <v>0</v>
      </c>
      <c r="Q1817" s="560">
        <f>IF(X1817=0,0,IF(OR(E1817=$AT$10,E1817=$AT$9),VLOOKUP(YEAR(X1817),INPC!$B$4:$P$30,MONTH(X1817)+1),VLOOKUP(YEAR(X1817),INPC!$B$4:$P$30,MONTH(X1817)+2,0)))</f>
        <v>0</v>
      </c>
      <c r="R1817" s="309">
        <f t="shared" si="481"/>
        <v>0</v>
      </c>
      <c r="S1817" s="310">
        <f t="shared" si="482"/>
        <v>0</v>
      </c>
      <c r="T1817" s="555">
        <f t="shared" si="483"/>
        <v>0</v>
      </c>
      <c r="U1817" s="311"/>
      <c r="V1817" s="312"/>
      <c r="W1817" s="299"/>
      <c r="X1817" s="300"/>
      <c r="Y1817" s="299"/>
      <c r="Z1817" s="303"/>
      <c r="AA1817" s="305">
        <f>IF(Z1817=0,0,IF(Y1817="MXN",1/HLOOKUP(YEAR(X1817)+(MONTH(X1817)/100),TC!$5:$37,DAY(X1817)+2,FALSE),VLOOKUP(Y1817,Equivalencia!$1:$23,((MAX(Equivalencia!$3:$3)-YEAR(X1817))*14)+MONTH(X1817)+2,FALSE)))</f>
        <v>0</v>
      </c>
      <c r="AB1817" s="306">
        <f t="shared" si="484"/>
        <v>0</v>
      </c>
      <c r="AC1817" s="305">
        <f>+IF(X1817=0,0,HLOOKUP(YEAR(X1817)+(MONTH(X1817)/100),TC!$5:$37,DAY(X1817)+2,FALSE))</f>
        <v>0</v>
      </c>
      <c r="AD1817" s="307">
        <f t="shared" si="485"/>
        <v>0</v>
      </c>
      <c r="AE1817" s="314">
        <f t="shared" si="486"/>
        <v>0</v>
      </c>
      <c r="AF1817" s="315">
        <f t="shared" si="487"/>
        <v>0</v>
      </c>
      <c r="AG1817" s="316">
        <f t="shared" si="488"/>
        <v>0</v>
      </c>
      <c r="AH1817" s="314">
        <v>1</v>
      </c>
      <c r="AI1817" s="314">
        <f t="shared" si="489"/>
        <v>0</v>
      </c>
      <c r="AJ1817" s="314">
        <f t="shared" si="490"/>
        <v>0</v>
      </c>
      <c r="AK1817" s="317"/>
      <c r="AL1817" s="315">
        <f t="shared" si="491"/>
        <v>0</v>
      </c>
      <c r="AN1817" s="554">
        <f t="shared" si="492"/>
        <v>0</v>
      </c>
      <c r="AO1817" s="314"/>
      <c r="AP1817" s="318"/>
    </row>
    <row r="1818" spans="2:42">
      <c r="B1818" s="296"/>
      <c r="C1818" s="299"/>
      <c r="D1818" s="298"/>
      <c r="E1818" s="299"/>
      <c r="F1818" s="299"/>
      <c r="G1818" s="300"/>
      <c r="H1818" s="303"/>
      <c r="I1818" s="301">
        <f t="shared" si="476"/>
        <v>0</v>
      </c>
      <c r="J1818" s="302">
        <f t="shared" si="477"/>
        <v>0</v>
      </c>
      <c r="K1818" s="304">
        <f t="shared" si="478"/>
        <v>0</v>
      </c>
      <c r="L1818" s="305">
        <f>IF(H1818=0,0,IF(OR(E1818=$AT$5,E1818=$AT$6),AA1818,IF(F1818="MXN",1/HLOOKUP(YEAR(G1818)+(MONTH(G1818)/100),TC!$5:$37,DAY(G1818)+2,FALSE),VLOOKUP(F1818,Equivalencia!$5:$23,((MAX(Equivalencia!$3:$3)-YEAR(G1818))*14)+MONTH(G1818)+2,FALSE))))</f>
        <v>0</v>
      </c>
      <c r="M1818" s="306">
        <f t="shared" si="479"/>
        <v>0</v>
      </c>
      <c r="N1818" s="305">
        <f>IF(G1818=0,0,(IF(OR(E1818=$AT$5,E1818=$AT$6),AC1818,HLOOKUP(YEAR(G1818)+(MONTH(G1818)/100),TC!$5:$37,DAY(G1818)+2,FALSE))))</f>
        <v>0</v>
      </c>
      <c r="O1818" s="307">
        <f t="shared" si="480"/>
        <v>0</v>
      </c>
      <c r="P1818" s="560">
        <f>IF(G1818=0,0,VLOOKUP(YEAR(G1818),INPC!$B$4:$P$30,MONTH(G1818)+2))</f>
        <v>0</v>
      </c>
      <c r="Q1818" s="560">
        <f>IF(X1818=0,0,IF(OR(E1818=$AT$10,E1818=$AT$9),VLOOKUP(YEAR(X1818),INPC!$B$4:$P$30,MONTH(X1818)+1),VLOOKUP(YEAR(X1818),INPC!$B$4:$P$30,MONTH(X1818)+2,0)))</f>
        <v>0</v>
      </c>
      <c r="R1818" s="309">
        <f t="shared" si="481"/>
        <v>0</v>
      </c>
      <c r="S1818" s="310">
        <f t="shared" si="482"/>
        <v>0</v>
      </c>
      <c r="T1818" s="555">
        <f t="shared" si="483"/>
        <v>0</v>
      </c>
      <c r="U1818" s="311"/>
      <c r="V1818" s="312"/>
      <c r="W1818" s="299"/>
      <c r="X1818" s="300"/>
      <c r="Y1818" s="299"/>
      <c r="Z1818" s="303"/>
      <c r="AA1818" s="305">
        <f>IF(Z1818=0,0,IF(Y1818="MXN",1/HLOOKUP(YEAR(X1818)+(MONTH(X1818)/100),TC!$5:$37,DAY(X1818)+2,FALSE),VLOOKUP(Y1818,Equivalencia!$1:$23,((MAX(Equivalencia!$3:$3)-YEAR(X1818))*14)+MONTH(X1818)+2,FALSE)))</f>
        <v>0</v>
      </c>
      <c r="AB1818" s="306">
        <f t="shared" si="484"/>
        <v>0</v>
      </c>
      <c r="AC1818" s="305">
        <f>+IF(X1818=0,0,HLOOKUP(YEAR(X1818)+(MONTH(X1818)/100),TC!$5:$37,DAY(X1818)+2,FALSE))</f>
        <v>0</v>
      </c>
      <c r="AD1818" s="307">
        <f t="shared" si="485"/>
        <v>0</v>
      </c>
      <c r="AE1818" s="314">
        <f t="shared" si="486"/>
        <v>0</v>
      </c>
      <c r="AF1818" s="315">
        <f t="shared" si="487"/>
        <v>0</v>
      </c>
      <c r="AG1818" s="316">
        <f t="shared" si="488"/>
        <v>0</v>
      </c>
      <c r="AH1818" s="314">
        <v>1</v>
      </c>
      <c r="AI1818" s="314">
        <f t="shared" si="489"/>
        <v>0</v>
      </c>
      <c r="AJ1818" s="314">
        <f t="shared" si="490"/>
        <v>0</v>
      </c>
      <c r="AK1818" s="317"/>
      <c r="AL1818" s="315">
        <f t="shared" si="491"/>
        <v>0</v>
      </c>
      <c r="AN1818" s="554">
        <f t="shared" si="492"/>
        <v>0</v>
      </c>
      <c r="AO1818" s="314"/>
      <c r="AP1818" s="318"/>
    </row>
    <row r="1819" spans="2:42">
      <c r="B1819" s="296"/>
      <c r="C1819" s="299"/>
      <c r="D1819" s="298"/>
      <c r="E1819" s="299"/>
      <c r="F1819" s="299"/>
      <c r="G1819" s="300"/>
      <c r="H1819" s="303"/>
      <c r="I1819" s="301">
        <f t="shared" si="476"/>
        <v>0</v>
      </c>
      <c r="J1819" s="302">
        <f t="shared" si="477"/>
        <v>0</v>
      </c>
      <c r="K1819" s="304">
        <f t="shared" si="478"/>
        <v>0</v>
      </c>
      <c r="L1819" s="305">
        <f>IF(H1819=0,0,IF(OR(E1819=$AT$5,E1819=$AT$6),AA1819,IF(F1819="MXN",1/HLOOKUP(YEAR(G1819)+(MONTH(G1819)/100),TC!$5:$37,DAY(G1819)+2,FALSE),VLOOKUP(F1819,Equivalencia!$5:$23,((MAX(Equivalencia!$3:$3)-YEAR(G1819))*14)+MONTH(G1819)+2,FALSE))))</f>
        <v>0</v>
      </c>
      <c r="M1819" s="306">
        <f t="shared" si="479"/>
        <v>0</v>
      </c>
      <c r="N1819" s="305">
        <f>IF(G1819=0,0,(IF(OR(E1819=$AT$5,E1819=$AT$6),AC1819,HLOOKUP(YEAR(G1819)+(MONTH(G1819)/100),TC!$5:$37,DAY(G1819)+2,FALSE))))</f>
        <v>0</v>
      </c>
      <c r="O1819" s="307">
        <f t="shared" si="480"/>
        <v>0</v>
      </c>
      <c r="P1819" s="560">
        <f>IF(G1819=0,0,VLOOKUP(YEAR(G1819),INPC!$B$4:$P$30,MONTH(G1819)+2))</f>
        <v>0</v>
      </c>
      <c r="Q1819" s="560">
        <f>IF(X1819=0,0,IF(OR(E1819=$AT$10,E1819=$AT$9),VLOOKUP(YEAR(X1819),INPC!$B$4:$P$30,MONTH(X1819)+1),VLOOKUP(YEAR(X1819),INPC!$B$4:$P$30,MONTH(X1819)+2,0)))</f>
        <v>0</v>
      </c>
      <c r="R1819" s="309">
        <f t="shared" si="481"/>
        <v>0</v>
      </c>
      <c r="S1819" s="310">
        <f t="shared" si="482"/>
        <v>0</v>
      </c>
      <c r="T1819" s="555">
        <f t="shared" si="483"/>
        <v>0</v>
      </c>
      <c r="U1819" s="311"/>
      <c r="V1819" s="312"/>
      <c r="W1819" s="299"/>
      <c r="X1819" s="300"/>
      <c r="Y1819" s="299"/>
      <c r="Z1819" s="303"/>
      <c r="AA1819" s="305">
        <f>IF(Z1819=0,0,IF(Y1819="MXN",1/HLOOKUP(YEAR(X1819)+(MONTH(X1819)/100),TC!$5:$37,DAY(X1819)+2,FALSE),VLOOKUP(Y1819,Equivalencia!$1:$23,((MAX(Equivalencia!$3:$3)-YEAR(X1819))*14)+MONTH(X1819)+2,FALSE)))</f>
        <v>0</v>
      </c>
      <c r="AB1819" s="306">
        <f t="shared" si="484"/>
        <v>0</v>
      </c>
      <c r="AC1819" s="305">
        <f>+IF(X1819=0,0,HLOOKUP(YEAR(X1819)+(MONTH(X1819)/100),TC!$5:$37,DAY(X1819)+2,FALSE))</f>
        <v>0</v>
      </c>
      <c r="AD1819" s="307">
        <f t="shared" si="485"/>
        <v>0</v>
      </c>
      <c r="AE1819" s="314">
        <f t="shared" si="486"/>
        <v>0</v>
      </c>
      <c r="AF1819" s="315">
        <f t="shared" si="487"/>
        <v>0</v>
      </c>
      <c r="AG1819" s="316">
        <f t="shared" si="488"/>
        <v>0</v>
      </c>
      <c r="AH1819" s="314">
        <v>1</v>
      </c>
      <c r="AI1819" s="314">
        <f t="shared" si="489"/>
        <v>0</v>
      </c>
      <c r="AJ1819" s="314">
        <f t="shared" si="490"/>
        <v>0</v>
      </c>
      <c r="AK1819" s="317"/>
      <c r="AL1819" s="315">
        <f t="shared" si="491"/>
        <v>0</v>
      </c>
      <c r="AN1819" s="554">
        <f t="shared" si="492"/>
        <v>0</v>
      </c>
      <c r="AO1819" s="314"/>
      <c r="AP1819" s="318"/>
    </row>
    <row r="1820" spans="2:42">
      <c r="B1820" s="296"/>
      <c r="C1820" s="299"/>
      <c r="D1820" s="298"/>
      <c r="E1820" s="299"/>
      <c r="F1820" s="299"/>
      <c r="G1820" s="300"/>
      <c r="H1820" s="303"/>
      <c r="I1820" s="301">
        <f t="shared" si="476"/>
        <v>0</v>
      </c>
      <c r="J1820" s="302">
        <f t="shared" si="477"/>
        <v>0</v>
      </c>
      <c r="K1820" s="304">
        <f t="shared" si="478"/>
        <v>0</v>
      </c>
      <c r="L1820" s="305">
        <f>IF(H1820=0,0,IF(OR(E1820=$AT$5,E1820=$AT$6),AA1820,IF(F1820="MXN",1/HLOOKUP(YEAR(G1820)+(MONTH(G1820)/100),TC!$5:$37,DAY(G1820)+2,FALSE),VLOOKUP(F1820,Equivalencia!$5:$23,((MAX(Equivalencia!$3:$3)-YEAR(G1820))*14)+MONTH(G1820)+2,FALSE))))</f>
        <v>0</v>
      </c>
      <c r="M1820" s="306">
        <f t="shared" si="479"/>
        <v>0</v>
      </c>
      <c r="N1820" s="305">
        <f>IF(G1820=0,0,(IF(OR(E1820=$AT$5,E1820=$AT$6),AC1820,HLOOKUP(YEAR(G1820)+(MONTH(G1820)/100),TC!$5:$37,DAY(G1820)+2,FALSE))))</f>
        <v>0</v>
      </c>
      <c r="O1820" s="307">
        <f t="shared" si="480"/>
        <v>0</v>
      </c>
      <c r="P1820" s="560">
        <f>IF(G1820=0,0,VLOOKUP(YEAR(G1820),INPC!$B$4:$P$30,MONTH(G1820)+2))</f>
        <v>0</v>
      </c>
      <c r="Q1820" s="560">
        <f>IF(X1820=0,0,IF(OR(E1820=$AT$10,E1820=$AT$9),VLOOKUP(YEAR(X1820),INPC!$B$4:$P$30,MONTH(X1820)+1),VLOOKUP(YEAR(X1820),INPC!$B$4:$P$30,MONTH(X1820)+2,0)))</f>
        <v>0</v>
      </c>
      <c r="R1820" s="309">
        <f t="shared" si="481"/>
        <v>0</v>
      </c>
      <c r="S1820" s="310">
        <f t="shared" si="482"/>
        <v>0</v>
      </c>
      <c r="T1820" s="555">
        <f t="shared" si="483"/>
        <v>0</v>
      </c>
      <c r="U1820" s="311"/>
      <c r="V1820" s="312"/>
      <c r="W1820" s="299"/>
      <c r="X1820" s="300"/>
      <c r="Y1820" s="299"/>
      <c r="Z1820" s="303"/>
      <c r="AA1820" s="305">
        <f>IF(Z1820=0,0,IF(Y1820="MXN",1/HLOOKUP(YEAR(X1820)+(MONTH(X1820)/100),TC!$5:$37,DAY(X1820)+2,FALSE),VLOOKUP(Y1820,Equivalencia!$1:$23,((MAX(Equivalencia!$3:$3)-YEAR(X1820))*14)+MONTH(X1820)+2,FALSE)))</f>
        <v>0</v>
      </c>
      <c r="AB1820" s="306">
        <f t="shared" si="484"/>
        <v>0</v>
      </c>
      <c r="AC1820" s="305">
        <f>+IF(X1820=0,0,HLOOKUP(YEAR(X1820)+(MONTH(X1820)/100),TC!$5:$37,DAY(X1820)+2,FALSE))</f>
        <v>0</v>
      </c>
      <c r="AD1820" s="307">
        <f t="shared" si="485"/>
        <v>0</v>
      </c>
      <c r="AE1820" s="314">
        <f t="shared" si="486"/>
        <v>0</v>
      </c>
      <c r="AF1820" s="315">
        <f t="shared" si="487"/>
        <v>0</v>
      </c>
      <c r="AG1820" s="316">
        <f t="shared" si="488"/>
        <v>0</v>
      </c>
      <c r="AH1820" s="314">
        <v>1</v>
      </c>
      <c r="AI1820" s="314">
        <f t="shared" si="489"/>
        <v>0</v>
      </c>
      <c r="AJ1820" s="314">
        <f t="shared" si="490"/>
        <v>0</v>
      </c>
      <c r="AK1820" s="317"/>
      <c r="AL1820" s="315">
        <f t="shared" si="491"/>
        <v>0</v>
      </c>
      <c r="AN1820" s="554">
        <f t="shared" si="492"/>
        <v>0</v>
      </c>
      <c r="AO1820" s="314"/>
      <c r="AP1820" s="318"/>
    </row>
    <row r="1821" spans="2:42">
      <c r="B1821" s="296"/>
      <c r="C1821" s="299"/>
      <c r="D1821" s="298"/>
      <c r="E1821" s="299"/>
      <c r="F1821" s="299"/>
      <c r="G1821" s="300"/>
      <c r="H1821" s="303"/>
      <c r="I1821" s="301">
        <f t="shared" si="476"/>
        <v>0</v>
      </c>
      <c r="J1821" s="302">
        <f t="shared" si="477"/>
        <v>0</v>
      </c>
      <c r="K1821" s="304">
        <f t="shared" si="478"/>
        <v>0</v>
      </c>
      <c r="L1821" s="305">
        <f>IF(H1821=0,0,IF(OR(E1821=$AT$5,E1821=$AT$6),AA1821,IF(F1821="MXN",1/HLOOKUP(YEAR(G1821)+(MONTH(G1821)/100),TC!$5:$37,DAY(G1821)+2,FALSE),VLOOKUP(F1821,Equivalencia!$5:$23,((MAX(Equivalencia!$3:$3)-YEAR(G1821))*14)+MONTH(G1821)+2,FALSE))))</f>
        <v>0</v>
      </c>
      <c r="M1821" s="306">
        <f t="shared" si="479"/>
        <v>0</v>
      </c>
      <c r="N1821" s="305">
        <f>IF(G1821=0,0,(IF(OR(E1821=$AT$5,E1821=$AT$6),AC1821,HLOOKUP(YEAR(G1821)+(MONTH(G1821)/100),TC!$5:$37,DAY(G1821)+2,FALSE))))</f>
        <v>0</v>
      </c>
      <c r="O1821" s="307">
        <f t="shared" si="480"/>
        <v>0</v>
      </c>
      <c r="P1821" s="560">
        <f>IF(G1821=0,0,VLOOKUP(YEAR(G1821),INPC!$B$4:$P$30,MONTH(G1821)+2))</f>
        <v>0</v>
      </c>
      <c r="Q1821" s="560">
        <f>IF(X1821=0,0,IF(OR(E1821=$AT$10,E1821=$AT$9),VLOOKUP(YEAR(X1821),INPC!$B$4:$P$30,MONTH(X1821)+1),VLOOKUP(YEAR(X1821),INPC!$B$4:$P$30,MONTH(X1821)+2,0)))</f>
        <v>0</v>
      </c>
      <c r="R1821" s="309">
        <f t="shared" si="481"/>
        <v>0</v>
      </c>
      <c r="S1821" s="310">
        <f t="shared" si="482"/>
        <v>0</v>
      </c>
      <c r="T1821" s="555">
        <f t="shared" si="483"/>
        <v>0</v>
      </c>
      <c r="U1821" s="311"/>
      <c r="V1821" s="312"/>
      <c r="W1821" s="299"/>
      <c r="X1821" s="300"/>
      <c r="Y1821" s="299"/>
      <c r="Z1821" s="303"/>
      <c r="AA1821" s="305">
        <f>IF(Z1821=0,0,IF(Y1821="MXN",1/HLOOKUP(YEAR(X1821)+(MONTH(X1821)/100),TC!$5:$37,DAY(X1821)+2,FALSE),VLOOKUP(Y1821,Equivalencia!$1:$23,((MAX(Equivalencia!$3:$3)-YEAR(X1821))*14)+MONTH(X1821)+2,FALSE)))</f>
        <v>0</v>
      </c>
      <c r="AB1821" s="306">
        <f t="shared" si="484"/>
        <v>0</v>
      </c>
      <c r="AC1821" s="305">
        <f>+IF(X1821=0,0,HLOOKUP(YEAR(X1821)+(MONTH(X1821)/100),TC!$5:$37,DAY(X1821)+2,FALSE))</f>
        <v>0</v>
      </c>
      <c r="AD1821" s="307">
        <f t="shared" si="485"/>
        <v>0</v>
      </c>
      <c r="AE1821" s="314">
        <f t="shared" si="486"/>
        <v>0</v>
      </c>
      <c r="AF1821" s="315">
        <f t="shared" si="487"/>
        <v>0</v>
      </c>
      <c r="AG1821" s="316">
        <f t="shared" si="488"/>
        <v>0</v>
      </c>
      <c r="AH1821" s="314">
        <v>1</v>
      </c>
      <c r="AI1821" s="314">
        <f t="shared" si="489"/>
        <v>0</v>
      </c>
      <c r="AJ1821" s="314">
        <f t="shared" si="490"/>
        <v>0</v>
      </c>
      <c r="AK1821" s="317"/>
      <c r="AL1821" s="315">
        <f t="shared" si="491"/>
        <v>0</v>
      </c>
      <c r="AN1821" s="554">
        <f t="shared" si="492"/>
        <v>0</v>
      </c>
      <c r="AO1821" s="314"/>
      <c r="AP1821" s="318"/>
    </row>
    <row r="1822" spans="2:42">
      <c r="B1822" s="296"/>
      <c r="C1822" s="299"/>
      <c r="D1822" s="298"/>
      <c r="E1822" s="299"/>
      <c r="F1822" s="299"/>
      <c r="G1822" s="300"/>
      <c r="H1822" s="303"/>
      <c r="I1822" s="301">
        <f t="shared" si="476"/>
        <v>0</v>
      </c>
      <c r="J1822" s="302">
        <f t="shared" si="477"/>
        <v>0</v>
      </c>
      <c r="K1822" s="304">
        <f t="shared" si="478"/>
        <v>0</v>
      </c>
      <c r="L1822" s="305">
        <f>IF(H1822=0,0,IF(OR(E1822=$AT$5,E1822=$AT$6),AA1822,IF(F1822="MXN",1/HLOOKUP(YEAR(G1822)+(MONTH(G1822)/100),TC!$5:$37,DAY(G1822)+2,FALSE),VLOOKUP(F1822,Equivalencia!$5:$23,((MAX(Equivalencia!$3:$3)-YEAR(G1822))*14)+MONTH(G1822)+2,FALSE))))</f>
        <v>0</v>
      </c>
      <c r="M1822" s="306">
        <f t="shared" si="479"/>
        <v>0</v>
      </c>
      <c r="N1822" s="305">
        <f>IF(G1822=0,0,(IF(OR(E1822=$AT$5,E1822=$AT$6),AC1822,HLOOKUP(YEAR(G1822)+(MONTH(G1822)/100),TC!$5:$37,DAY(G1822)+2,FALSE))))</f>
        <v>0</v>
      </c>
      <c r="O1822" s="307">
        <f t="shared" si="480"/>
        <v>0</v>
      </c>
      <c r="P1822" s="560">
        <f>IF(G1822=0,0,VLOOKUP(YEAR(G1822),INPC!$B$4:$P$30,MONTH(G1822)+2))</f>
        <v>0</v>
      </c>
      <c r="Q1822" s="560">
        <f>IF(X1822=0,0,IF(OR(E1822=$AT$10,E1822=$AT$9),VLOOKUP(YEAR(X1822),INPC!$B$4:$P$30,MONTH(X1822)+1),VLOOKUP(YEAR(X1822),INPC!$B$4:$P$30,MONTH(X1822)+2,0)))</f>
        <v>0</v>
      </c>
      <c r="R1822" s="309">
        <f t="shared" si="481"/>
        <v>0</v>
      </c>
      <c r="S1822" s="310">
        <f t="shared" si="482"/>
        <v>0</v>
      </c>
      <c r="T1822" s="555">
        <f t="shared" si="483"/>
        <v>0</v>
      </c>
      <c r="U1822" s="311"/>
      <c r="V1822" s="312"/>
      <c r="W1822" s="299"/>
      <c r="X1822" s="300"/>
      <c r="Y1822" s="299"/>
      <c r="Z1822" s="303"/>
      <c r="AA1822" s="305">
        <f>IF(Z1822=0,0,IF(Y1822="MXN",1/HLOOKUP(YEAR(X1822)+(MONTH(X1822)/100),TC!$5:$37,DAY(X1822)+2,FALSE),VLOOKUP(Y1822,Equivalencia!$1:$23,((MAX(Equivalencia!$3:$3)-YEAR(X1822))*14)+MONTH(X1822)+2,FALSE)))</f>
        <v>0</v>
      </c>
      <c r="AB1822" s="306">
        <f t="shared" si="484"/>
        <v>0</v>
      </c>
      <c r="AC1822" s="305">
        <f>+IF(X1822=0,0,HLOOKUP(YEAR(X1822)+(MONTH(X1822)/100),TC!$5:$37,DAY(X1822)+2,FALSE))</f>
        <v>0</v>
      </c>
      <c r="AD1822" s="307">
        <f t="shared" si="485"/>
        <v>0</v>
      </c>
      <c r="AE1822" s="314">
        <f t="shared" si="486"/>
        <v>0</v>
      </c>
      <c r="AF1822" s="315">
        <f t="shared" si="487"/>
        <v>0</v>
      </c>
      <c r="AG1822" s="316">
        <f t="shared" si="488"/>
        <v>0</v>
      </c>
      <c r="AH1822" s="314">
        <v>1</v>
      </c>
      <c r="AI1822" s="314">
        <f t="shared" si="489"/>
        <v>0</v>
      </c>
      <c r="AJ1822" s="314">
        <f t="shared" si="490"/>
        <v>0</v>
      </c>
      <c r="AK1822" s="317"/>
      <c r="AL1822" s="315">
        <f t="shared" si="491"/>
        <v>0</v>
      </c>
      <c r="AN1822" s="554">
        <f t="shared" si="492"/>
        <v>0</v>
      </c>
      <c r="AO1822" s="314"/>
      <c r="AP1822" s="318"/>
    </row>
    <row r="1823" spans="2:42">
      <c r="B1823" s="296"/>
      <c r="C1823" s="299"/>
      <c r="D1823" s="298"/>
      <c r="E1823" s="299"/>
      <c r="F1823" s="299"/>
      <c r="G1823" s="300"/>
      <c r="H1823" s="303"/>
      <c r="I1823" s="301">
        <f t="shared" si="476"/>
        <v>0</v>
      </c>
      <c r="J1823" s="302">
        <f t="shared" si="477"/>
        <v>0</v>
      </c>
      <c r="K1823" s="304">
        <f t="shared" si="478"/>
        <v>0</v>
      </c>
      <c r="L1823" s="305">
        <f>IF(H1823=0,0,IF(OR(E1823=$AT$5,E1823=$AT$6),AA1823,IF(F1823="MXN",1/HLOOKUP(YEAR(G1823)+(MONTH(G1823)/100),TC!$5:$37,DAY(G1823)+2,FALSE),VLOOKUP(F1823,Equivalencia!$5:$23,((MAX(Equivalencia!$3:$3)-YEAR(G1823))*14)+MONTH(G1823)+2,FALSE))))</f>
        <v>0</v>
      </c>
      <c r="M1823" s="306">
        <f t="shared" si="479"/>
        <v>0</v>
      </c>
      <c r="N1823" s="305">
        <f>IF(G1823=0,0,(IF(OR(E1823=$AT$5,E1823=$AT$6),AC1823,HLOOKUP(YEAR(G1823)+(MONTH(G1823)/100),TC!$5:$37,DAY(G1823)+2,FALSE))))</f>
        <v>0</v>
      </c>
      <c r="O1823" s="307">
        <f t="shared" si="480"/>
        <v>0</v>
      </c>
      <c r="P1823" s="560">
        <f>IF(G1823=0,0,VLOOKUP(YEAR(G1823),INPC!$B$4:$P$30,MONTH(G1823)+2))</f>
        <v>0</v>
      </c>
      <c r="Q1823" s="560">
        <f>IF(X1823=0,0,IF(OR(E1823=$AT$10,E1823=$AT$9),VLOOKUP(YEAR(X1823),INPC!$B$4:$P$30,MONTH(X1823)+1),VLOOKUP(YEAR(X1823),INPC!$B$4:$P$30,MONTH(X1823)+2,0)))</f>
        <v>0</v>
      </c>
      <c r="R1823" s="309">
        <f t="shared" si="481"/>
        <v>0</v>
      </c>
      <c r="S1823" s="310">
        <f t="shared" si="482"/>
        <v>0</v>
      </c>
      <c r="T1823" s="555">
        <f t="shared" si="483"/>
        <v>0</v>
      </c>
      <c r="U1823" s="311"/>
      <c r="V1823" s="312"/>
      <c r="W1823" s="299"/>
      <c r="X1823" s="300"/>
      <c r="Y1823" s="299"/>
      <c r="Z1823" s="303"/>
      <c r="AA1823" s="305">
        <f>IF(Z1823=0,0,IF(Y1823="MXN",1/HLOOKUP(YEAR(X1823)+(MONTH(X1823)/100),TC!$5:$37,DAY(X1823)+2,FALSE),VLOOKUP(Y1823,Equivalencia!$1:$23,((MAX(Equivalencia!$3:$3)-YEAR(X1823))*14)+MONTH(X1823)+2,FALSE)))</f>
        <v>0</v>
      </c>
      <c r="AB1823" s="306">
        <f t="shared" si="484"/>
        <v>0</v>
      </c>
      <c r="AC1823" s="305">
        <f>+IF(X1823=0,0,HLOOKUP(YEAR(X1823)+(MONTH(X1823)/100),TC!$5:$37,DAY(X1823)+2,FALSE))</f>
        <v>0</v>
      </c>
      <c r="AD1823" s="307">
        <f t="shared" si="485"/>
        <v>0</v>
      </c>
      <c r="AE1823" s="314">
        <f t="shared" si="486"/>
        <v>0</v>
      </c>
      <c r="AF1823" s="315">
        <f t="shared" si="487"/>
        <v>0</v>
      </c>
      <c r="AG1823" s="316">
        <f t="shared" si="488"/>
        <v>0</v>
      </c>
      <c r="AH1823" s="314">
        <v>1</v>
      </c>
      <c r="AI1823" s="314">
        <f t="shared" si="489"/>
        <v>0</v>
      </c>
      <c r="AJ1823" s="314">
        <f t="shared" si="490"/>
        <v>0</v>
      </c>
      <c r="AK1823" s="317"/>
      <c r="AL1823" s="315">
        <f t="shared" si="491"/>
        <v>0</v>
      </c>
      <c r="AN1823" s="554">
        <f t="shared" si="492"/>
        <v>0</v>
      </c>
      <c r="AO1823" s="314"/>
      <c r="AP1823" s="318"/>
    </row>
    <row r="1824" spans="2:42">
      <c r="B1824" s="296"/>
      <c r="C1824" s="299"/>
      <c r="D1824" s="298"/>
      <c r="E1824" s="299"/>
      <c r="F1824" s="299"/>
      <c r="G1824" s="300"/>
      <c r="H1824" s="303"/>
      <c r="I1824" s="301">
        <f t="shared" si="476"/>
        <v>0</v>
      </c>
      <c r="J1824" s="302">
        <f t="shared" si="477"/>
        <v>0</v>
      </c>
      <c r="K1824" s="304">
        <f t="shared" si="478"/>
        <v>0</v>
      </c>
      <c r="L1824" s="305">
        <f>IF(H1824=0,0,IF(OR(E1824=$AT$5,E1824=$AT$6),AA1824,IF(F1824="MXN",1/HLOOKUP(YEAR(G1824)+(MONTH(G1824)/100),TC!$5:$37,DAY(G1824)+2,FALSE),VLOOKUP(F1824,Equivalencia!$5:$23,((MAX(Equivalencia!$3:$3)-YEAR(G1824))*14)+MONTH(G1824)+2,FALSE))))</f>
        <v>0</v>
      </c>
      <c r="M1824" s="306">
        <f t="shared" si="479"/>
        <v>0</v>
      </c>
      <c r="N1824" s="305">
        <f>IF(G1824=0,0,(IF(OR(E1824=$AT$5,E1824=$AT$6),AC1824,HLOOKUP(YEAR(G1824)+(MONTH(G1824)/100),TC!$5:$37,DAY(G1824)+2,FALSE))))</f>
        <v>0</v>
      </c>
      <c r="O1824" s="307">
        <f t="shared" si="480"/>
        <v>0</v>
      </c>
      <c r="P1824" s="560">
        <f>IF(G1824=0,0,VLOOKUP(YEAR(G1824),INPC!$B$4:$P$30,MONTH(G1824)+2))</f>
        <v>0</v>
      </c>
      <c r="Q1824" s="560">
        <f>IF(X1824=0,0,IF(OR(E1824=$AT$10,E1824=$AT$9),VLOOKUP(YEAR(X1824),INPC!$B$4:$P$30,MONTH(X1824)+1),VLOOKUP(YEAR(X1824),INPC!$B$4:$P$30,MONTH(X1824)+2,0)))</f>
        <v>0</v>
      </c>
      <c r="R1824" s="309">
        <f t="shared" si="481"/>
        <v>0</v>
      </c>
      <c r="S1824" s="310">
        <f t="shared" si="482"/>
        <v>0</v>
      </c>
      <c r="T1824" s="555">
        <f t="shared" si="483"/>
        <v>0</v>
      </c>
      <c r="U1824" s="311"/>
      <c r="V1824" s="312"/>
      <c r="W1824" s="299"/>
      <c r="X1824" s="300"/>
      <c r="Y1824" s="299"/>
      <c r="Z1824" s="303"/>
      <c r="AA1824" s="305">
        <f>IF(Z1824=0,0,IF(Y1824="MXN",1/HLOOKUP(YEAR(X1824)+(MONTH(X1824)/100),TC!$5:$37,DAY(X1824)+2,FALSE),VLOOKUP(Y1824,Equivalencia!$1:$23,((MAX(Equivalencia!$3:$3)-YEAR(X1824))*14)+MONTH(X1824)+2,FALSE)))</f>
        <v>0</v>
      </c>
      <c r="AB1824" s="306">
        <f t="shared" si="484"/>
        <v>0</v>
      </c>
      <c r="AC1824" s="305">
        <f>+IF(X1824=0,0,HLOOKUP(YEAR(X1824)+(MONTH(X1824)/100),TC!$5:$37,DAY(X1824)+2,FALSE))</f>
        <v>0</v>
      </c>
      <c r="AD1824" s="307">
        <f t="shared" si="485"/>
        <v>0</v>
      </c>
      <c r="AE1824" s="314">
        <f t="shared" si="486"/>
        <v>0</v>
      </c>
      <c r="AF1824" s="315">
        <f t="shared" si="487"/>
        <v>0</v>
      </c>
      <c r="AG1824" s="316">
        <f t="shared" si="488"/>
        <v>0</v>
      </c>
      <c r="AH1824" s="314">
        <v>1</v>
      </c>
      <c r="AI1824" s="314">
        <f t="shared" si="489"/>
        <v>0</v>
      </c>
      <c r="AJ1824" s="314">
        <f t="shared" si="490"/>
        <v>0</v>
      </c>
      <c r="AK1824" s="317"/>
      <c r="AL1824" s="315">
        <f t="shared" si="491"/>
        <v>0</v>
      </c>
      <c r="AN1824" s="554">
        <f t="shared" si="492"/>
        <v>0</v>
      </c>
      <c r="AO1824" s="314"/>
      <c r="AP1824" s="318"/>
    </row>
    <row r="1825" spans="2:42">
      <c r="B1825" s="296"/>
      <c r="C1825" s="299"/>
      <c r="D1825" s="298"/>
      <c r="E1825" s="299"/>
      <c r="F1825" s="299"/>
      <c r="G1825" s="300"/>
      <c r="H1825" s="303"/>
      <c r="I1825" s="301">
        <f t="shared" si="476"/>
        <v>0</v>
      </c>
      <c r="J1825" s="302">
        <f t="shared" si="477"/>
        <v>0</v>
      </c>
      <c r="K1825" s="304">
        <f t="shared" si="478"/>
        <v>0</v>
      </c>
      <c r="L1825" s="305">
        <f>IF(H1825=0,0,IF(OR(E1825=$AT$5,E1825=$AT$6),AA1825,IF(F1825="MXN",1/HLOOKUP(YEAR(G1825)+(MONTH(G1825)/100),TC!$5:$37,DAY(G1825)+2,FALSE),VLOOKUP(F1825,Equivalencia!$5:$23,((MAX(Equivalencia!$3:$3)-YEAR(G1825))*14)+MONTH(G1825)+2,FALSE))))</f>
        <v>0</v>
      </c>
      <c r="M1825" s="306">
        <f t="shared" si="479"/>
        <v>0</v>
      </c>
      <c r="N1825" s="305">
        <f>IF(G1825=0,0,(IF(OR(E1825=$AT$5,E1825=$AT$6),AC1825,HLOOKUP(YEAR(G1825)+(MONTH(G1825)/100),TC!$5:$37,DAY(G1825)+2,FALSE))))</f>
        <v>0</v>
      </c>
      <c r="O1825" s="307">
        <f t="shared" si="480"/>
        <v>0</v>
      </c>
      <c r="P1825" s="560">
        <f>IF(G1825=0,0,VLOOKUP(YEAR(G1825),INPC!$B$4:$P$30,MONTH(G1825)+2))</f>
        <v>0</v>
      </c>
      <c r="Q1825" s="560">
        <f>IF(X1825=0,0,IF(OR(E1825=$AT$10,E1825=$AT$9),VLOOKUP(YEAR(X1825),INPC!$B$4:$P$30,MONTH(X1825)+1),VLOOKUP(YEAR(X1825),INPC!$B$4:$P$30,MONTH(X1825)+2,0)))</f>
        <v>0</v>
      </c>
      <c r="R1825" s="309">
        <f t="shared" si="481"/>
        <v>0</v>
      </c>
      <c r="S1825" s="310">
        <f t="shared" si="482"/>
        <v>0</v>
      </c>
      <c r="T1825" s="555">
        <f t="shared" si="483"/>
        <v>0</v>
      </c>
      <c r="U1825" s="311"/>
      <c r="V1825" s="312"/>
      <c r="W1825" s="299"/>
      <c r="X1825" s="300"/>
      <c r="Y1825" s="299"/>
      <c r="Z1825" s="303"/>
      <c r="AA1825" s="305">
        <f>IF(Z1825=0,0,IF(Y1825="MXN",1/HLOOKUP(YEAR(X1825)+(MONTH(X1825)/100),TC!$5:$37,DAY(X1825)+2,FALSE),VLOOKUP(Y1825,Equivalencia!$1:$23,((MAX(Equivalencia!$3:$3)-YEAR(X1825))*14)+MONTH(X1825)+2,FALSE)))</f>
        <v>0</v>
      </c>
      <c r="AB1825" s="306">
        <f t="shared" si="484"/>
        <v>0</v>
      </c>
      <c r="AC1825" s="305">
        <f>+IF(X1825=0,0,HLOOKUP(YEAR(X1825)+(MONTH(X1825)/100),TC!$5:$37,DAY(X1825)+2,FALSE))</f>
        <v>0</v>
      </c>
      <c r="AD1825" s="307">
        <f t="shared" si="485"/>
        <v>0</v>
      </c>
      <c r="AE1825" s="314">
        <f t="shared" si="486"/>
        <v>0</v>
      </c>
      <c r="AF1825" s="315">
        <f t="shared" si="487"/>
        <v>0</v>
      </c>
      <c r="AG1825" s="316">
        <f t="shared" si="488"/>
        <v>0</v>
      </c>
      <c r="AH1825" s="314">
        <v>1</v>
      </c>
      <c r="AI1825" s="314">
        <f t="shared" si="489"/>
        <v>0</v>
      </c>
      <c r="AJ1825" s="314">
        <f t="shared" si="490"/>
        <v>0</v>
      </c>
      <c r="AK1825" s="317"/>
      <c r="AL1825" s="315">
        <f t="shared" si="491"/>
        <v>0</v>
      </c>
      <c r="AN1825" s="554">
        <f t="shared" si="492"/>
        <v>0</v>
      </c>
      <c r="AO1825" s="314"/>
      <c r="AP1825" s="318"/>
    </row>
    <row r="1826" spans="2:42">
      <c r="B1826" s="296"/>
      <c r="C1826" s="299"/>
      <c r="D1826" s="298"/>
      <c r="E1826" s="299"/>
      <c r="F1826" s="299"/>
      <c r="G1826" s="300"/>
      <c r="H1826" s="303"/>
      <c r="I1826" s="301">
        <f t="shared" si="476"/>
        <v>0</v>
      </c>
      <c r="J1826" s="302">
        <f t="shared" si="477"/>
        <v>0</v>
      </c>
      <c r="K1826" s="304">
        <f t="shared" si="478"/>
        <v>0</v>
      </c>
      <c r="L1826" s="305">
        <f>IF(H1826=0,0,IF(OR(E1826=$AT$5,E1826=$AT$6),AA1826,IF(F1826="MXN",1/HLOOKUP(YEAR(G1826)+(MONTH(G1826)/100),TC!$5:$37,DAY(G1826)+2,FALSE),VLOOKUP(F1826,Equivalencia!$5:$23,((MAX(Equivalencia!$3:$3)-YEAR(G1826))*14)+MONTH(G1826)+2,FALSE))))</f>
        <v>0</v>
      </c>
      <c r="M1826" s="306">
        <f t="shared" si="479"/>
        <v>0</v>
      </c>
      <c r="N1826" s="305">
        <f>IF(G1826=0,0,(IF(OR(E1826=$AT$5,E1826=$AT$6),AC1826,HLOOKUP(YEAR(G1826)+(MONTH(G1826)/100),TC!$5:$37,DAY(G1826)+2,FALSE))))</f>
        <v>0</v>
      </c>
      <c r="O1826" s="307">
        <f t="shared" si="480"/>
        <v>0</v>
      </c>
      <c r="P1826" s="560">
        <f>IF(G1826=0,0,VLOOKUP(YEAR(G1826),INPC!$B$4:$P$30,MONTH(G1826)+2))</f>
        <v>0</v>
      </c>
      <c r="Q1826" s="560">
        <f>IF(X1826=0,0,IF(OR(E1826=$AT$10,E1826=$AT$9),VLOOKUP(YEAR(X1826),INPC!$B$4:$P$30,MONTH(X1826)+1),VLOOKUP(YEAR(X1826),INPC!$B$4:$P$30,MONTH(X1826)+2,0)))</f>
        <v>0</v>
      </c>
      <c r="R1826" s="309">
        <f t="shared" si="481"/>
        <v>0</v>
      </c>
      <c r="S1826" s="310">
        <f t="shared" si="482"/>
        <v>0</v>
      </c>
      <c r="T1826" s="555">
        <f t="shared" si="483"/>
        <v>0</v>
      </c>
      <c r="U1826" s="311"/>
      <c r="V1826" s="312"/>
      <c r="W1826" s="299"/>
      <c r="X1826" s="300"/>
      <c r="Y1826" s="299"/>
      <c r="Z1826" s="303"/>
      <c r="AA1826" s="305">
        <f>IF(Z1826=0,0,IF(Y1826="MXN",1/HLOOKUP(YEAR(X1826)+(MONTH(X1826)/100),TC!$5:$37,DAY(X1826)+2,FALSE),VLOOKUP(Y1826,Equivalencia!$1:$23,((MAX(Equivalencia!$3:$3)-YEAR(X1826))*14)+MONTH(X1826)+2,FALSE)))</f>
        <v>0</v>
      </c>
      <c r="AB1826" s="306">
        <f t="shared" si="484"/>
        <v>0</v>
      </c>
      <c r="AC1826" s="305">
        <f>+IF(X1826=0,0,HLOOKUP(YEAR(X1826)+(MONTH(X1826)/100),TC!$5:$37,DAY(X1826)+2,FALSE))</f>
        <v>0</v>
      </c>
      <c r="AD1826" s="307">
        <f t="shared" si="485"/>
        <v>0</v>
      </c>
      <c r="AE1826" s="314">
        <f t="shared" si="486"/>
        <v>0</v>
      </c>
      <c r="AF1826" s="315">
        <f t="shared" si="487"/>
        <v>0</v>
      </c>
      <c r="AG1826" s="316">
        <f t="shared" si="488"/>
        <v>0</v>
      </c>
      <c r="AH1826" s="314">
        <v>1</v>
      </c>
      <c r="AI1826" s="314">
        <f t="shared" si="489"/>
        <v>0</v>
      </c>
      <c r="AJ1826" s="314">
        <f t="shared" si="490"/>
        <v>0</v>
      </c>
      <c r="AK1826" s="317"/>
      <c r="AL1826" s="315">
        <f t="shared" si="491"/>
        <v>0</v>
      </c>
      <c r="AN1826" s="554">
        <f t="shared" si="492"/>
        <v>0</v>
      </c>
      <c r="AO1826" s="314"/>
      <c r="AP1826" s="318"/>
    </row>
    <row r="1827" spans="2:42">
      <c r="B1827" s="296"/>
      <c r="C1827" s="299"/>
      <c r="D1827" s="298"/>
      <c r="E1827" s="299"/>
      <c r="F1827" s="299"/>
      <c r="G1827" s="300"/>
      <c r="H1827" s="303"/>
      <c r="I1827" s="301">
        <f t="shared" si="476"/>
        <v>0</v>
      </c>
      <c r="J1827" s="302">
        <f t="shared" si="477"/>
        <v>0</v>
      </c>
      <c r="K1827" s="304">
        <f t="shared" si="478"/>
        <v>0</v>
      </c>
      <c r="L1827" s="305">
        <f>IF(H1827=0,0,IF(OR(E1827=$AT$5,E1827=$AT$6),AA1827,IF(F1827="MXN",1/HLOOKUP(YEAR(G1827)+(MONTH(G1827)/100),TC!$5:$37,DAY(G1827)+2,FALSE),VLOOKUP(F1827,Equivalencia!$5:$23,((MAX(Equivalencia!$3:$3)-YEAR(G1827))*14)+MONTH(G1827)+2,FALSE))))</f>
        <v>0</v>
      </c>
      <c r="M1827" s="306">
        <f t="shared" si="479"/>
        <v>0</v>
      </c>
      <c r="N1827" s="305">
        <f>IF(G1827=0,0,(IF(OR(E1827=$AT$5,E1827=$AT$6),AC1827,HLOOKUP(YEAR(G1827)+(MONTH(G1827)/100),TC!$5:$37,DAY(G1827)+2,FALSE))))</f>
        <v>0</v>
      </c>
      <c r="O1827" s="307">
        <f t="shared" si="480"/>
        <v>0</v>
      </c>
      <c r="P1827" s="560">
        <f>IF(G1827=0,0,VLOOKUP(YEAR(G1827),INPC!$B$4:$P$30,MONTH(G1827)+2))</f>
        <v>0</v>
      </c>
      <c r="Q1827" s="560">
        <f>IF(X1827=0,0,IF(OR(E1827=$AT$10,E1827=$AT$9),VLOOKUP(YEAR(X1827),INPC!$B$4:$P$30,MONTH(X1827)+1),VLOOKUP(YEAR(X1827),INPC!$B$4:$P$30,MONTH(X1827)+2,0)))</f>
        <v>0</v>
      </c>
      <c r="R1827" s="309">
        <f t="shared" si="481"/>
        <v>0</v>
      </c>
      <c r="S1827" s="310">
        <f t="shared" si="482"/>
        <v>0</v>
      </c>
      <c r="T1827" s="555">
        <f t="shared" si="483"/>
        <v>0</v>
      </c>
      <c r="U1827" s="311"/>
      <c r="V1827" s="312"/>
      <c r="W1827" s="299"/>
      <c r="X1827" s="300"/>
      <c r="Y1827" s="299"/>
      <c r="Z1827" s="303"/>
      <c r="AA1827" s="305">
        <f>IF(Z1827=0,0,IF(Y1827="MXN",1/HLOOKUP(YEAR(X1827)+(MONTH(X1827)/100),TC!$5:$37,DAY(X1827)+2,FALSE),VLOOKUP(Y1827,Equivalencia!$1:$23,((MAX(Equivalencia!$3:$3)-YEAR(X1827))*14)+MONTH(X1827)+2,FALSE)))</f>
        <v>0</v>
      </c>
      <c r="AB1827" s="306">
        <f t="shared" si="484"/>
        <v>0</v>
      </c>
      <c r="AC1827" s="305">
        <f>+IF(X1827=0,0,HLOOKUP(YEAR(X1827)+(MONTH(X1827)/100),TC!$5:$37,DAY(X1827)+2,FALSE))</f>
        <v>0</v>
      </c>
      <c r="AD1827" s="307">
        <f t="shared" si="485"/>
        <v>0</v>
      </c>
      <c r="AE1827" s="314">
        <f t="shared" si="486"/>
        <v>0</v>
      </c>
      <c r="AF1827" s="315">
        <f t="shared" si="487"/>
        <v>0</v>
      </c>
      <c r="AG1827" s="316">
        <f t="shared" si="488"/>
        <v>0</v>
      </c>
      <c r="AH1827" s="314">
        <v>1</v>
      </c>
      <c r="AI1827" s="314">
        <f t="shared" si="489"/>
        <v>0</v>
      </c>
      <c r="AJ1827" s="314">
        <f t="shared" si="490"/>
        <v>0</v>
      </c>
      <c r="AK1827" s="317"/>
      <c r="AL1827" s="315">
        <f t="shared" si="491"/>
        <v>0</v>
      </c>
      <c r="AN1827" s="554">
        <f t="shared" si="492"/>
        <v>0</v>
      </c>
      <c r="AO1827" s="314"/>
      <c r="AP1827" s="318"/>
    </row>
    <row r="1828" spans="2:42">
      <c r="B1828" s="296"/>
      <c r="C1828" s="299"/>
      <c r="D1828" s="298"/>
      <c r="E1828" s="299"/>
      <c r="F1828" s="299"/>
      <c r="G1828" s="300"/>
      <c r="H1828" s="303"/>
      <c r="I1828" s="301">
        <f t="shared" si="476"/>
        <v>0</v>
      </c>
      <c r="J1828" s="302">
        <f t="shared" si="477"/>
        <v>0</v>
      </c>
      <c r="K1828" s="304">
        <f t="shared" si="478"/>
        <v>0</v>
      </c>
      <c r="L1828" s="305">
        <f>IF(H1828=0,0,IF(OR(E1828=$AT$5,E1828=$AT$6),AA1828,IF(F1828="MXN",1/HLOOKUP(YEAR(G1828)+(MONTH(G1828)/100),TC!$5:$37,DAY(G1828)+2,FALSE),VLOOKUP(F1828,Equivalencia!$5:$23,((MAX(Equivalencia!$3:$3)-YEAR(G1828))*14)+MONTH(G1828)+2,FALSE))))</f>
        <v>0</v>
      </c>
      <c r="M1828" s="306">
        <f t="shared" si="479"/>
        <v>0</v>
      </c>
      <c r="N1828" s="305">
        <f>IF(G1828=0,0,(IF(OR(E1828=$AT$5,E1828=$AT$6),AC1828,HLOOKUP(YEAR(G1828)+(MONTH(G1828)/100),TC!$5:$37,DAY(G1828)+2,FALSE))))</f>
        <v>0</v>
      </c>
      <c r="O1828" s="307">
        <f t="shared" si="480"/>
        <v>0</v>
      </c>
      <c r="P1828" s="560">
        <f>IF(G1828=0,0,VLOOKUP(YEAR(G1828),INPC!$B$4:$P$30,MONTH(G1828)+2))</f>
        <v>0</v>
      </c>
      <c r="Q1828" s="560">
        <f>IF(X1828=0,0,IF(OR(E1828=$AT$10,E1828=$AT$9),VLOOKUP(YEAR(X1828),INPC!$B$4:$P$30,MONTH(X1828)+1),VLOOKUP(YEAR(X1828),INPC!$B$4:$P$30,MONTH(X1828)+2,0)))</f>
        <v>0</v>
      </c>
      <c r="R1828" s="309">
        <f t="shared" si="481"/>
        <v>0</v>
      </c>
      <c r="S1828" s="310">
        <f t="shared" si="482"/>
        <v>0</v>
      </c>
      <c r="T1828" s="555">
        <f t="shared" si="483"/>
        <v>0</v>
      </c>
      <c r="U1828" s="311"/>
      <c r="V1828" s="312"/>
      <c r="W1828" s="299"/>
      <c r="X1828" s="300"/>
      <c r="Y1828" s="299"/>
      <c r="Z1828" s="303"/>
      <c r="AA1828" s="305">
        <f>IF(Z1828=0,0,IF(Y1828="MXN",1/HLOOKUP(YEAR(X1828)+(MONTH(X1828)/100),TC!$5:$37,DAY(X1828)+2,FALSE),VLOOKUP(Y1828,Equivalencia!$1:$23,((MAX(Equivalencia!$3:$3)-YEAR(X1828))*14)+MONTH(X1828)+2,FALSE)))</f>
        <v>0</v>
      </c>
      <c r="AB1828" s="306">
        <f t="shared" si="484"/>
        <v>0</v>
      </c>
      <c r="AC1828" s="305">
        <f>+IF(X1828=0,0,HLOOKUP(YEAR(X1828)+(MONTH(X1828)/100),TC!$5:$37,DAY(X1828)+2,FALSE))</f>
        <v>0</v>
      </c>
      <c r="AD1828" s="307">
        <f t="shared" si="485"/>
        <v>0</v>
      </c>
      <c r="AE1828" s="314">
        <f t="shared" si="486"/>
        <v>0</v>
      </c>
      <c r="AF1828" s="315">
        <f t="shared" si="487"/>
        <v>0</v>
      </c>
      <c r="AG1828" s="316">
        <f t="shared" si="488"/>
        <v>0</v>
      </c>
      <c r="AH1828" s="314">
        <v>1</v>
      </c>
      <c r="AI1828" s="314">
        <f t="shared" si="489"/>
        <v>0</v>
      </c>
      <c r="AJ1828" s="314">
        <f t="shared" si="490"/>
        <v>0</v>
      </c>
      <c r="AK1828" s="317"/>
      <c r="AL1828" s="315">
        <f t="shared" si="491"/>
        <v>0</v>
      </c>
      <c r="AN1828" s="554">
        <f t="shared" si="492"/>
        <v>0</v>
      </c>
      <c r="AO1828" s="314"/>
      <c r="AP1828" s="318"/>
    </row>
    <row r="1829" spans="2:42">
      <c r="B1829" s="296"/>
      <c r="C1829" s="299"/>
      <c r="D1829" s="298"/>
      <c r="E1829" s="299"/>
      <c r="F1829" s="299"/>
      <c r="G1829" s="300"/>
      <c r="H1829" s="303"/>
      <c r="I1829" s="301">
        <f t="shared" si="476"/>
        <v>0</v>
      </c>
      <c r="J1829" s="302">
        <f t="shared" si="477"/>
        <v>0</v>
      </c>
      <c r="K1829" s="304">
        <f t="shared" si="478"/>
        <v>0</v>
      </c>
      <c r="L1829" s="305">
        <f>IF(H1829=0,0,IF(OR(E1829=$AT$5,E1829=$AT$6),AA1829,IF(F1829="MXN",1/HLOOKUP(YEAR(G1829)+(MONTH(G1829)/100),TC!$5:$37,DAY(G1829)+2,FALSE),VLOOKUP(F1829,Equivalencia!$5:$23,((MAX(Equivalencia!$3:$3)-YEAR(G1829))*14)+MONTH(G1829)+2,FALSE))))</f>
        <v>0</v>
      </c>
      <c r="M1829" s="306">
        <f t="shared" si="479"/>
        <v>0</v>
      </c>
      <c r="N1829" s="305">
        <f>IF(G1829=0,0,(IF(OR(E1829=$AT$5,E1829=$AT$6),AC1829,HLOOKUP(YEAR(G1829)+(MONTH(G1829)/100),TC!$5:$37,DAY(G1829)+2,FALSE))))</f>
        <v>0</v>
      </c>
      <c r="O1829" s="307">
        <f t="shared" si="480"/>
        <v>0</v>
      </c>
      <c r="P1829" s="560">
        <f>IF(G1829=0,0,VLOOKUP(YEAR(G1829),INPC!$B$4:$P$30,MONTH(G1829)+2))</f>
        <v>0</v>
      </c>
      <c r="Q1829" s="560">
        <f>IF(X1829=0,0,IF(OR(E1829=$AT$10,E1829=$AT$9),VLOOKUP(YEAR(X1829),INPC!$B$4:$P$30,MONTH(X1829)+1),VLOOKUP(YEAR(X1829),INPC!$B$4:$P$30,MONTH(X1829)+2,0)))</f>
        <v>0</v>
      </c>
      <c r="R1829" s="309">
        <f t="shared" si="481"/>
        <v>0</v>
      </c>
      <c r="S1829" s="310">
        <f t="shared" si="482"/>
        <v>0</v>
      </c>
      <c r="T1829" s="555">
        <f t="shared" si="483"/>
        <v>0</v>
      </c>
      <c r="U1829" s="311"/>
      <c r="V1829" s="312"/>
      <c r="W1829" s="299"/>
      <c r="X1829" s="300"/>
      <c r="Y1829" s="299"/>
      <c r="Z1829" s="303"/>
      <c r="AA1829" s="305">
        <f>IF(Z1829=0,0,IF(Y1829="MXN",1/HLOOKUP(YEAR(X1829)+(MONTH(X1829)/100),TC!$5:$37,DAY(X1829)+2,FALSE),VLOOKUP(Y1829,Equivalencia!$1:$23,((MAX(Equivalencia!$3:$3)-YEAR(X1829))*14)+MONTH(X1829)+2,FALSE)))</f>
        <v>0</v>
      </c>
      <c r="AB1829" s="306">
        <f t="shared" si="484"/>
        <v>0</v>
      </c>
      <c r="AC1829" s="305">
        <f>+IF(X1829=0,0,HLOOKUP(YEAR(X1829)+(MONTH(X1829)/100),TC!$5:$37,DAY(X1829)+2,FALSE))</f>
        <v>0</v>
      </c>
      <c r="AD1829" s="307">
        <f t="shared" si="485"/>
        <v>0</v>
      </c>
      <c r="AE1829" s="314">
        <f t="shared" si="486"/>
        <v>0</v>
      </c>
      <c r="AF1829" s="315">
        <f t="shared" si="487"/>
        <v>0</v>
      </c>
      <c r="AG1829" s="316">
        <f t="shared" si="488"/>
        <v>0</v>
      </c>
      <c r="AH1829" s="314">
        <v>1</v>
      </c>
      <c r="AI1829" s="314">
        <f t="shared" si="489"/>
        <v>0</v>
      </c>
      <c r="AJ1829" s="314">
        <f t="shared" si="490"/>
        <v>0</v>
      </c>
      <c r="AK1829" s="317"/>
      <c r="AL1829" s="315">
        <f t="shared" si="491"/>
        <v>0</v>
      </c>
      <c r="AN1829" s="554">
        <f t="shared" si="492"/>
        <v>0</v>
      </c>
      <c r="AO1829" s="314"/>
      <c r="AP1829" s="318"/>
    </row>
    <row r="1830" spans="2:42">
      <c r="B1830" s="296"/>
      <c r="C1830" s="299"/>
      <c r="D1830" s="298"/>
      <c r="E1830" s="299"/>
      <c r="F1830" s="299"/>
      <c r="G1830" s="300"/>
      <c r="H1830" s="303"/>
      <c r="I1830" s="301">
        <f t="shared" si="476"/>
        <v>0</v>
      </c>
      <c r="J1830" s="302">
        <f t="shared" si="477"/>
        <v>0</v>
      </c>
      <c r="K1830" s="304">
        <f t="shared" si="478"/>
        <v>0</v>
      </c>
      <c r="L1830" s="305">
        <f>IF(H1830=0,0,IF(OR(E1830=$AT$5,E1830=$AT$6),AA1830,IF(F1830="MXN",1/HLOOKUP(YEAR(G1830)+(MONTH(G1830)/100),TC!$5:$37,DAY(G1830)+2,FALSE),VLOOKUP(F1830,Equivalencia!$5:$23,((MAX(Equivalencia!$3:$3)-YEAR(G1830))*14)+MONTH(G1830)+2,FALSE))))</f>
        <v>0</v>
      </c>
      <c r="M1830" s="306">
        <f t="shared" si="479"/>
        <v>0</v>
      </c>
      <c r="N1830" s="305">
        <f>IF(G1830=0,0,(IF(OR(E1830=$AT$5,E1830=$AT$6),AC1830,HLOOKUP(YEAR(G1830)+(MONTH(G1830)/100),TC!$5:$37,DAY(G1830)+2,FALSE))))</f>
        <v>0</v>
      </c>
      <c r="O1830" s="307">
        <f t="shared" si="480"/>
        <v>0</v>
      </c>
      <c r="P1830" s="560">
        <f>IF(G1830=0,0,VLOOKUP(YEAR(G1830),INPC!$B$4:$P$30,MONTH(G1830)+2))</f>
        <v>0</v>
      </c>
      <c r="Q1830" s="560">
        <f>IF(X1830=0,0,IF(OR(E1830=$AT$10,E1830=$AT$9),VLOOKUP(YEAR(X1830),INPC!$B$4:$P$30,MONTH(X1830)+1),VLOOKUP(YEAR(X1830),INPC!$B$4:$P$30,MONTH(X1830)+2,0)))</f>
        <v>0</v>
      </c>
      <c r="R1830" s="309">
        <f t="shared" si="481"/>
        <v>0</v>
      </c>
      <c r="S1830" s="310">
        <f t="shared" si="482"/>
        <v>0</v>
      </c>
      <c r="T1830" s="555">
        <f t="shared" si="483"/>
        <v>0</v>
      </c>
      <c r="U1830" s="311"/>
      <c r="V1830" s="312"/>
      <c r="W1830" s="299"/>
      <c r="X1830" s="300"/>
      <c r="Y1830" s="299"/>
      <c r="Z1830" s="303"/>
      <c r="AA1830" s="305">
        <f>IF(Z1830=0,0,IF(Y1830="MXN",1/HLOOKUP(YEAR(X1830)+(MONTH(X1830)/100),TC!$5:$37,DAY(X1830)+2,FALSE),VLOOKUP(Y1830,Equivalencia!$1:$23,((MAX(Equivalencia!$3:$3)-YEAR(X1830))*14)+MONTH(X1830)+2,FALSE)))</f>
        <v>0</v>
      </c>
      <c r="AB1830" s="306">
        <f t="shared" si="484"/>
        <v>0</v>
      </c>
      <c r="AC1830" s="305">
        <f>+IF(X1830=0,0,HLOOKUP(YEAR(X1830)+(MONTH(X1830)/100),TC!$5:$37,DAY(X1830)+2,FALSE))</f>
        <v>0</v>
      </c>
      <c r="AD1830" s="307">
        <f t="shared" si="485"/>
        <v>0</v>
      </c>
      <c r="AE1830" s="314">
        <f t="shared" si="486"/>
        <v>0</v>
      </c>
      <c r="AF1830" s="315">
        <f t="shared" si="487"/>
        <v>0</v>
      </c>
      <c r="AG1830" s="316">
        <f t="shared" si="488"/>
        <v>0</v>
      </c>
      <c r="AH1830" s="314">
        <v>1</v>
      </c>
      <c r="AI1830" s="314">
        <f t="shared" si="489"/>
        <v>0</v>
      </c>
      <c r="AJ1830" s="314">
        <f t="shared" si="490"/>
        <v>0</v>
      </c>
      <c r="AK1830" s="317"/>
      <c r="AL1830" s="315">
        <f t="shared" si="491"/>
        <v>0</v>
      </c>
      <c r="AN1830" s="554">
        <f t="shared" si="492"/>
        <v>0</v>
      </c>
      <c r="AO1830" s="314"/>
      <c r="AP1830" s="318"/>
    </row>
    <row r="1831" spans="2:42">
      <c r="B1831" s="296"/>
      <c r="C1831" s="299"/>
      <c r="D1831" s="298"/>
      <c r="E1831" s="299"/>
      <c r="F1831" s="299"/>
      <c r="G1831" s="300"/>
      <c r="H1831" s="303"/>
      <c r="I1831" s="301">
        <f t="shared" si="476"/>
        <v>0</v>
      </c>
      <c r="J1831" s="302">
        <f t="shared" si="477"/>
        <v>0</v>
      </c>
      <c r="K1831" s="304">
        <f t="shared" si="478"/>
        <v>0</v>
      </c>
      <c r="L1831" s="305">
        <f>IF(H1831=0,0,IF(OR(E1831=$AT$5,E1831=$AT$6),AA1831,IF(F1831="MXN",1/HLOOKUP(YEAR(G1831)+(MONTH(G1831)/100),TC!$5:$37,DAY(G1831)+2,FALSE),VLOOKUP(F1831,Equivalencia!$5:$23,((MAX(Equivalencia!$3:$3)-YEAR(G1831))*14)+MONTH(G1831)+2,FALSE))))</f>
        <v>0</v>
      </c>
      <c r="M1831" s="306">
        <f t="shared" si="479"/>
        <v>0</v>
      </c>
      <c r="N1831" s="305">
        <f>IF(G1831=0,0,(IF(OR(E1831=$AT$5,E1831=$AT$6),AC1831,HLOOKUP(YEAR(G1831)+(MONTH(G1831)/100),TC!$5:$37,DAY(G1831)+2,FALSE))))</f>
        <v>0</v>
      </c>
      <c r="O1831" s="307">
        <f t="shared" si="480"/>
        <v>0</v>
      </c>
      <c r="P1831" s="560">
        <f>IF(G1831=0,0,VLOOKUP(YEAR(G1831),INPC!$B$4:$P$30,MONTH(G1831)+2))</f>
        <v>0</v>
      </c>
      <c r="Q1831" s="560">
        <f>IF(X1831=0,0,IF(OR(E1831=$AT$10,E1831=$AT$9),VLOOKUP(YEAR(X1831),INPC!$B$4:$P$30,MONTH(X1831)+1),VLOOKUP(YEAR(X1831),INPC!$B$4:$P$30,MONTH(X1831)+2,0)))</f>
        <v>0</v>
      </c>
      <c r="R1831" s="309">
        <f t="shared" si="481"/>
        <v>0</v>
      </c>
      <c r="S1831" s="310">
        <f t="shared" si="482"/>
        <v>0</v>
      </c>
      <c r="T1831" s="555">
        <f t="shared" si="483"/>
        <v>0</v>
      </c>
      <c r="U1831" s="311"/>
      <c r="V1831" s="312"/>
      <c r="W1831" s="299"/>
      <c r="X1831" s="300"/>
      <c r="Y1831" s="299"/>
      <c r="Z1831" s="303"/>
      <c r="AA1831" s="305">
        <f>IF(Z1831=0,0,IF(Y1831="MXN",1/HLOOKUP(YEAR(X1831)+(MONTH(X1831)/100),TC!$5:$37,DAY(X1831)+2,FALSE),VLOOKUP(Y1831,Equivalencia!$1:$23,((MAX(Equivalencia!$3:$3)-YEAR(X1831))*14)+MONTH(X1831)+2,FALSE)))</f>
        <v>0</v>
      </c>
      <c r="AB1831" s="306">
        <f t="shared" si="484"/>
        <v>0</v>
      </c>
      <c r="AC1831" s="305">
        <f>+IF(X1831=0,0,HLOOKUP(YEAR(X1831)+(MONTH(X1831)/100),TC!$5:$37,DAY(X1831)+2,FALSE))</f>
        <v>0</v>
      </c>
      <c r="AD1831" s="307">
        <f t="shared" si="485"/>
        <v>0</v>
      </c>
      <c r="AE1831" s="314">
        <f t="shared" si="486"/>
        <v>0</v>
      </c>
      <c r="AF1831" s="315">
        <f t="shared" si="487"/>
        <v>0</v>
      </c>
      <c r="AG1831" s="316">
        <f t="shared" si="488"/>
        <v>0</v>
      </c>
      <c r="AH1831" s="314">
        <v>1</v>
      </c>
      <c r="AI1831" s="314">
        <f t="shared" si="489"/>
        <v>0</v>
      </c>
      <c r="AJ1831" s="314">
        <f t="shared" si="490"/>
        <v>0</v>
      </c>
      <c r="AK1831" s="317"/>
      <c r="AL1831" s="315">
        <f t="shared" si="491"/>
        <v>0</v>
      </c>
      <c r="AN1831" s="554">
        <f t="shared" si="492"/>
        <v>0</v>
      </c>
      <c r="AO1831" s="314"/>
      <c r="AP1831" s="318"/>
    </row>
    <row r="1832" spans="2:42">
      <c r="B1832" s="296"/>
      <c r="C1832" s="299"/>
      <c r="D1832" s="298"/>
      <c r="E1832" s="299"/>
      <c r="F1832" s="299"/>
      <c r="G1832" s="300"/>
      <c r="H1832" s="303"/>
      <c r="I1832" s="301">
        <f t="shared" si="476"/>
        <v>0</v>
      </c>
      <c r="J1832" s="302">
        <f t="shared" si="477"/>
        <v>0</v>
      </c>
      <c r="K1832" s="304">
        <f t="shared" si="478"/>
        <v>0</v>
      </c>
      <c r="L1832" s="305">
        <f>IF(H1832=0,0,IF(OR(E1832=$AT$5,E1832=$AT$6),AA1832,IF(F1832="MXN",1/HLOOKUP(YEAR(G1832)+(MONTH(G1832)/100),TC!$5:$37,DAY(G1832)+2,FALSE),VLOOKUP(F1832,Equivalencia!$5:$23,((MAX(Equivalencia!$3:$3)-YEAR(G1832))*14)+MONTH(G1832)+2,FALSE))))</f>
        <v>0</v>
      </c>
      <c r="M1832" s="306">
        <f t="shared" si="479"/>
        <v>0</v>
      </c>
      <c r="N1832" s="305">
        <f>IF(G1832=0,0,(IF(OR(E1832=$AT$5,E1832=$AT$6),AC1832,HLOOKUP(YEAR(G1832)+(MONTH(G1832)/100),TC!$5:$37,DAY(G1832)+2,FALSE))))</f>
        <v>0</v>
      </c>
      <c r="O1832" s="307">
        <f t="shared" si="480"/>
        <v>0</v>
      </c>
      <c r="P1832" s="560">
        <f>IF(G1832=0,0,VLOOKUP(YEAR(G1832),INPC!$B$4:$P$30,MONTH(G1832)+2))</f>
        <v>0</v>
      </c>
      <c r="Q1832" s="560">
        <f>IF(X1832=0,0,IF(OR(E1832=$AT$10,E1832=$AT$9),VLOOKUP(YEAR(X1832),INPC!$B$4:$P$30,MONTH(X1832)+1),VLOOKUP(YEAR(X1832),INPC!$B$4:$P$30,MONTH(X1832)+2,0)))</f>
        <v>0</v>
      </c>
      <c r="R1832" s="309">
        <f t="shared" si="481"/>
        <v>0</v>
      </c>
      <c r="S1832" s="310">
        <f t="shared" si="482"/>
        <v>0</v>
      </c>
      <c r="T1832" s="555">
        <f t="shared" si="483"/>
        <v>0</v>
      </c>
      <c r="U1832" s="311"/>
      <c r="V1832" s="312"/>
      <c r="W1832" s="299"/>
      <c r="X1832" s="300"/>
      <c r="Y1832" s="299"/>
      <c r="Z1832" s="303"/>
      <c r="AA1832" s="305">
        <f>IF(Z1832=0,0,IF(Y1832="MXN",1/HLOOKUP(YEAR(X1832)+(MONTH(X1832)/100),TC!$5:$37,DAY(X1832)+2,FALSE),VLOOKUP(Y1832,Equivalencia!$1:$23,((MAX(Equivalencia!$3:$3)-YEAR(X1832))*14)+MONTH(X1832)+2,FALSE)))</f>
        <v>0</v>
      </c>
      <c r="AB1832" s="306">
        <f t="shared" si="484"/>
        <v>0</v>
      </c>
      <c r="AC1832" s="305">
        <f>+IF(X1832=0,0,HLOOKUP(YEAR(X1832)+(MONTH(X1832)/100),TC!$5:$37,DAY(X1832)+2,FALSE))</f>
        <v>0</v>
      </c>
      <c r="AD1832" s="307">
        <f t="shared" si="485"/>
        <v>0</v>
      </c>
      <c r="AE1832" s="314">
        <f t="shared" si="486"/>
        <v>0</v>
      </c>
      <c r="AF1832" s="315">
        <f t="shared" si="487"/>
        <v>0</v>
      </c>
      <c r="AG1832" s="316">
        <f t="shared" si="488"/>
        <v>0</v>
      </c>
      <c r="AH1832" s="314">
        <v>1</v>
      </c>
      <c r="AI1832" s="314">
        <f t="shared" si="489"/>
        <v>0</v>
      </c>
      <c r="AJ1832" s="314">
        <f t="shared" si="490"/>
        <v>0</v>
      </c>
      <c r="AK1832" s="317"/>
      <c r="AL1832" s="315">
        <f t="shared" si="491"/>
        <v>0</v>
      </c>
      <c r="AN1832" s="554">
        <f t="shared" si="492"/>
        <v>0</v>
      </c>
      <c r="AO1832" s="314"/>
      <c r="AP1832" s="318"/>
    </row>
    <row r="1833" spans="2:42">
      <c r="B1833" s="296"/>
      <c r="C1833" s="299"/>
      <c r="D1833" s="298"/>
      <c r="E1833" s="299"/>
      <c r="F1833" s="299"/>
      <c r="G1833" s="300"/>
      <c r="H1833" s="303"/>
      <c r="I1833" s="301">
        <f t="shared" si="476"/>
        <v>0</v>
      </c>
      <c r="J1833" s="302">
        <f t="shared" si="477"/>
        <v>0</v>
      </c>
      <c r="K1833" s="304">
        <f t="shared" si="478"/>
        <v>0</v>
      </c>
      <c r="L1833" s="305">
        <f>IF(H1833=0,0,IF(OR(E1833=$AT$5,E1833=$AT$6),AA1833,IF(F1833="MXN",1/HLOOKUP(YEAR(G1833)+(MONTH(G1833)/100),TC!$5:$37,DAY(G1833)+2,FALSE),VLOOKUP(F1833,Equivalencia!$5:$23,((MAX(Equivalencia!$3:$3)-YEAR(G1833))*14)+MONTH(G1833)+2,FALSE))))</f>
        <v>0</v>
      </c>
      <c r="M1833" s="306">
        <f t="shared" si="479"/>
        <v>0</v>
      </c>
      <c r="N1833" s="305">
        <f>IF(G1833=0,0,(IF(OR(E1833=$AT$5,E1833=$AT$6),AC1833,HLOOKUP(YEAR(G1833)+(MONTH(G1833)/100),TC!$5:$37,DAY(G1833)+2,FALSE))))</f>
        <v>0</v>
      </c>
      <c r="O1833" s="307">
        <f t="shared" si="480"/>
        <v>0</v>
      </c>
      <c r="P1833" s="560">
        <f>IF(G1833=0,0,VLOOKUP(YEAR(G1833),INPC!$B$4:$P$30,MONTH(G1833)+2))</f>
        <v>0</v>
      </c>
      <c r="Q1833" s="560">
        <f>IF(X1833=0,0,IF(OR(E1833=$AT$10,E1833=$AT$9),VLOOKUP(YEAR(X1833),INPC!$B$4:$P$30,MONTH(X1833)+1),VLOOKUP(YEAR(X1833),INPC!$B$4:$P$30,MONTH(X1833)+2,0)))</f>
        <v>0</v>
      </c>
      <c r="R1833" s="309">
        <f t="shared" si="481"/>
        <v>0</v>
      </c>
      <c r="S1833" s="310">
        <f t="shared" si="482"/>
        <v>0</v>
      </c>
      <c r="T1833" s="555">
        <f t="shared" si="483"/>
        <v>0</v>
      </c>
      <c r="U1833" s="311"/>
      <c r="V1833" s="312"/>
      <c r="W1833" s="299"/>
      <c r="X1833" s="300"/>
      <c r="Y1833" s="299"/>
      <c r="Z1833" s="303"/>
      <c r="AA1833" s="305">
        <f>IF(Z1833=0,0,IF(Y1833="MXN",1/HLOOKUP(YEAR(X1833)+(MONTH(X1833)/100),TC!$5:$37,DAY(X1833)+2,FALSE),VLOOKUP(Y1833,Equivalencia!$1:$23,((MAX(Equivalencia!$3:$3)-YEAR(X1833))*14)+MONTH(X1833)+2,FALSE)))</f>
        <v>0</v>
      </c>
      <c r="AB1833" s="306">
        <f t="shared" si="484"/>
        <v>0</v>
      </c>
      <c r="AC1833" s="305">
        <f>+IF(X1833=0,0,HLOOKUP(YEAR(X1833)+(MONTH(X1833)/100),TC!$5:$37,DAY(X1833)+2,FALSE))</f>
        <v>0</v>
      </c>
      <c r="AD1833" s="307">
        <f t="shared" si="485"/>
        <v>0</v>
      </c>
      <c r="AE1833" s="314">
        <f t="shared" si="486"/>
        <v>0</v>
      </c>
      <c r="AF1833" s="315">
        <f t="shared" si="487"/>
        <v>0</v>
      </c>
      <c r="AG1833" s="316">
        <f t="shared" si="488"/>
        <v>0</v>
      </c>
      <c r="AH1833" s="314">
        <v>1</v>
      </c>
      <c r="AI1833" s="314">
        <f t="shared" si="489"/>
        <v>0</v>
      </c>
      <c r="AJ1833" s="314">
        <f t="shared" si="490"/>
        <v>0</v>
      </c>
      <c r="AK1833" s="317"/>
      <c r="AL1833" s="315">
        <f t="shared" si="491"/>
        <v>0</v>
      </c>
      <c r="AN1833" s="554">
        <f t="shared" si="492"/>
        <v>0</v>
      </c>
      <c r="AO1833" s="314"/>
      <c r="AP1833" s="318"/>
    </row>
    <row r="1834" spans="2:42">
      <c r="B1834" s="296"/>
      <c r="C1834" s="299"/>
      <c r="D1834" s="298"/>
      <c r="E1834" s="299"/>
      <c r="F1834" s="299"/>
      <c r="G1834" s="300"/>
      <c r="H1834" s="303"/>
      <c r="I1834" s="301">
        <f t="shared" si="476"/>
        <v>0</v>
      </c>
      <c r="J1834" s="302">
        <f t="shared" si="477"/>
        <v>0</v>
      </c>
      <c r="K1834" s="304">
        <f t="shared" si="478"/>
        <v>0</v>
      </c>
      <c r="L1834" s="305">
        <f>IF(H1834=0,0,IF(OR(E1834=$AT$5,E1834=$AT$6),AA1834,IF(F1834="MXN",1/HLOOKUP(YEAR(G1834)+(MONTH(G1834)/100),TC!$5:$37,DAY(G1834)+2,FALSE),VLOOKUP(F1834,Equivalencia!$5:$23,((MAX(Equivalencia!$3:$3)-YEAR(G1834))*14)+MONTH(G1834)+2,FALSE))))</f>
        <v>0</v>
      </c>
      <c r="M1834" s="306">
        <f t="shared" si="479"/>
        <v>0</v>
      </c>
      <c r="N1834" s="305">
        <f>IF(G1834=0,0,(IF(OR(E1834=$AT$5,E1834=$AT$6),AC1834,HLOOKUP(YEAR(G1834)+(MONTH(G1834)/100),TC!$5:$37,DAY(G1834)+2,FALSE))))</f>
        <v>0</v>
      </c>
      <c r="O1834" s="307">
        <f t="shared" si="480"/>
        <v>0</v>
      </c>
      <c r="P1834" s="560">
        <f>IF(G1834=0,0,VLOOKUP(YEAR(G1834),INPC!$B$4:$P$30,MONTH(G1834)+2))</f>
        <v>0</v>
      </c>
      <c r="Q1834" s="560">
        <f>IF(X1834=0,0,IF(OR(E1834=$AT$10,E1834=$AT$9),VLOOKUP(YEAR(X1834),INPC!$B$4:$P$30,MONTH(X1834)+1),VLOOKUP(YEAR(X1834),INPC!$B$4:$P$30,MONTH(X1834)+2,0)))</f>
        <v>0</v>
      </c>
      <c r="R1834" s="309">
        <f t="shared" si="481"/>
        <v>0</v>
      </c>
      <c r="S1834" s="310">
        <f t="shared" si="482"/>
        <v>0</v>
      </c>
      <c r="T1834" s="555">
        <f t="shared" si="483"/>
        <v>0</v>
      </c>
      <c r="U1834" s="311"/>
      <c r="V1834" s="312"/>
      <c r="W1834" s="299"/>
      <c r="X1834" s="300"/>
      <c r="Y1834" s="299"/>
      <c r="Z1834" s="303"/>
      <c r="AA1834" s="305">
        <f>IF(Z1834=0,0,IF(Y1834="MXN",1/HLOOKUP(YEAR(X1834)+(MONTH(X1834)/100),TC!$5:$37,DAY(X1834)+2,FALSE),VLOOKUP(Y1834,Equivalencia!$1:$23,((MAX(Equivalencia!$3:$3)-YEAR(X1834))*14)+MONTH(X1834)+2,FALSE)))</f>
        <v>0</v>
      </c>
      <c r="AB1834" s="306">
        <f t="shared" si="484"/>
        <v>0</v>
      </c>
      <c r="AC1834" s="305">
        <f>+IF(X1834=0,0,HLOOKUP(YEAR(X1834)+(MONTH(X1834)/100),TC!$5:$37,DAY(X1834)+2,FALSE))</f>
        <v>0</v>
      </c>
      <c r="AD1834" s="307">
        <f t="shared" si="485"/>
        <v>0</v>
      </c>
      <c r="AE1834" s="314">
        <f t="shared" si="486"/>
        <v>0</v>
      </c>
      <c r="AF1834" s="315">
        <f t="shared" si="487"/>
        <v>0</v>
      </c>
      <c r="AG1834" s="316">
        <f t="shared" si="488"/>
        <v>0</v>
      </c>
      <c r="AH1834" s="314">
        <v>1</v>
      </c>
      <c r="AI1834" s="314">
        <f t="shared" si="489"/>
        <v>0</v>
      </c>
      <c r="AJ1834" s="314">
        <f t="shared" si="490"/>
        <v>0</v>
      </c>
      <c r="AK1834" s="317"/>
      <c r="AL1834" s="315">
        <f t="shared" si="491"/>
        <v>0</v>
      </c>
      <c r="AN1834" s="554">
        <f t="shared" si="492"/>
        <v>0</v>
      </c>
      <c r="AO1834" s="314"/>
      <c r="AP1834" s="318"/>
    </row>
    <row r="1835" spans="2:42">
      <c r="B1835" s="296"/>
      <c r="C1835" s="299"/>
      <c r="D1835" s="298"/>
      <c r="E1835" s="299"/>
      <c r="F1835" s="299"/>
      <c r="G1835" s="300"/>
      <c r="H1835" s="303"/>
      <c r="I1835" s="301">
        <f t="shared" si="476"/>
        <v>0</v>
      </c>
      <c r="J1835" s="302">
        <f t="shared" si="477"/>
        <v>0</v>
      </c>
      <c r="K1835" s="304">
        <f t="shared" si="478"/>
        <v>0</v>
      </c>
      <c r="L1835" s="305">
        <f>IF(H1835=0,0,IF(OR(E1835=$AT$5,E1835=$AT$6),AA1835,IF(F1835="MXN",1/HLOOKUP(YEAR(G1835)+(MONTH(G1835)/100),TC!$5:$37,DAY(G1835)+2,FALSE),VLOOKUP(F1835,Equivalencia!$5:$23,((MAX(Equivalencia!$3:$3)-YEAR(G1835))*14)+MONTH(G1835)+2,FALSE))))</f>
        <v>0</v>
      </c>
      <c r="M1835" s="306">
        <f t="shared" si="479"/>
        <v>0</v>
      </c>
      <c r="N1835" s="305">
        <f>IF(G1835=0,0,(IF(OR(E1835=$AT$5,E1835=$AT$6),AC1835,HLOOKUP(YEAR(G1835)+(MONTH(G1835)/100),TC!$5:$37,DAY(G1835)+2,FALSE))))</f>
        <v>0</v>
      </c>
      <c r="O1835" s="307">
        <f t="shared" si="480"/>
        <v>0</v>
      </c>
      <c r="P1835" s="560">
        <f>IF(G1835=0,0,VLOOKUP(YEAR(G1835),INPC!$B$4:$P$30,MONTH(G1835)+2))</f>
        <v>0</v>
      </c>
      <c r="Q1835" s="560">
        <f>IF(X1835=0,0,IF(OR(E1835=$AT$10,E1835=$AT$9),VLOOKUP(YEAR(X1835),INPC!$B$4:$P$30,MONTH(X1835)+1),VLOOKUP(YEAR(X1835),INPC!$B$4:$P$30,MONTH(X1835)+2,0)))</f>
        <v>0</v>
      </c>
      <c r="R1835" s="309">
        <f t="shared" si="481"/>
        <v>0</v>
      </c>
      <c r="S1835" s="310">
        <f t="shared" si="482"/>
        <v>0</v>
      </c>
      <c r="T1835" s="555">
        <f t="shared" si="483"/>
        <v>0</v>
      </c>
      <c r="U1835" s="311"/>
      <c r="V1835" s="312"/>
      <c r="W1835" s="299"/>
      <c r="X1835" s="300"/>
      <c r="Y1835" s="299"/>
      <c r="Z1835" s="303"/>
      <c r="AA1835" s="305">
        <f>IF(Z1835=0,0,IF(Y1835="MXN",1/HLOOKUP(YEAR(X1835)+(MONTH(X1835)/100),TC!$5:$37,DAY(X1835)+2,FALSE),VLOOKUP(Y1835,Equivalencia!$1:$23,((MAX(Equivalencia!$3:$3)-YEAR(X1835))*14)+MONTH(X1835)+2,FALSE)))</f>
        <v>0</v>
      </c>
      <c r="AB1835" s="306">
        <f t="shared" si="484"/>
        <v>0</v>
      </c>
      <c r="AC1835" s="305">
        <f>+IF(X1835=0,0,HLOOKUP(YEAR(X1835)+(MONTH(X1835)/100),TC!$5:$37,DAY(X1835)+2,FALSE))</f>
        <v>0</v>
      </c>
      <c r="AD1835" s="307">
        <f t="shared" si="485"/>
        <v>0</v>
      </c>
      <c r="AE1835" s="314">
        <f t="shared" si="486"/>
        <v>0</v>
      </c>
      <c r="AF1835" s="315">
        <f t="shared" si="487"/>
        <v>0</v>
      </c>
      <c r="AG1835" s="316">
        <f t="shared" si="488"/>
        <v>0</v>
      </c>
      <c r="AH1835" s="314">
        <v>1</v>
      </c>
      <c r="AI1835" s="314">
        <f t="shared" si="489"/>
        <v>0</v>
      </c>
      <c r="AJ1835" s="314">
        <f t="shared" si="490"/>
        <v>0</v>
      </c>
      <c r="AK1835" s="317"/>
      <c r="AL1835" s="315">
        <f t="shared" si="491"/>
        <v>0</v>
      </c>
      <c r="AN1835" s="554">
        <f t="shared" si="492"/>
        <v>0</v>
      </c>
      <c r="AO1835" s="314"/>
      <c r="AP1835" s="318"/>
    </row>
    <row r="1836" spans="2:42">
      <c r="B1836" s="296"/>
      <c r="C1836" s="299"/>
      <c r="D1836" s="298"/>
      <c r="E1836" s="299"/>
      <c r="F1836" s="299"/>
      <c r="G1836" s="300"/>
      <c r="H1836" s="303"/>
      <c r="I1836" s="301">
        <f t="shared" si="476"/>
        <v>0</v>
      </c>
      <c r="J1836" s="302">
        <f t="shared" si="477"/>
        <v>0</v>
      </c>
      <c r="K1836" s="304">
        <f t="shared" si="478"/>
        <v>0</v>
      </c>
      <c r="L1836" s="305">
        <f>IF(H1836=0,0,IF(OR(E1836=$AT$5,E1836=$AT$6),AA1836,IF(F1836="MXN",1/HLOOKUP(YEAR(G1836)+(MONTH(G1836)/100),TC!$5:$37,DAY(G1836)+2,FALSE),VLOOKUP(F1836,Equivalencia!$5:$23,((MAX(Equivalencia!$3:$3)-YEAR(G1836))*14)+MONTH(G1836)+2,FALSE))))</f>
        <v>0</v>
      </c>
      <c r="M1836" s="306">
        <f t="shared" si="479"/>
        <v>0</v>
      </c>
      <c r="N1836" s="305">
        <f>IF(G1836=0,0,(IF(OR(E1836=$AT$5,E1836=$AT$6),AC1836,HLOOKUP(YEAR(G1836)+(MONTH(G1836)/100),TC!$5:$37,DAY(G1836)+2,FALSE))))</f>
        <v>0</v>
      </c>
      <c r="O1836" s="307">
        <f t="shared" si="480"/>
        <v>0</v>
      </c>
      <c r="P1836" s="560">
        <f>IF(G1836=0,0,VLOOKUP(YEAR(G1836),INPC!$B$4:$P$30,MONTH(G1836)+2))</f>
        <v>0</v>
      </c>
      <c r="Q1836" s="560">
        <f>IF(X1836=0,0,IF(OR(E1836=$AT$10,E1836=$AT$9),VLOOKUP(YEAR(X1836),INPC!$B$4:$P$30,MONTH(X1836)+1),VLOOKUP(YEAR(X1836),INPC!$B$4:$P$30,MONTH(X1836)+2,0)))</f>
        <v>0</v>
      </c>
      <c r="R1836" s="309">
        <f t="shared" si="481"/>
        <v>0</v>
      </c>
      <c r="S1836" s="310">
        <f t="shared" si="482"/>
        <v>0</v>
      </c>
      <c r="T1836" s="555">
        <f t="shared" si="483"/>
        <v>0</v>
      </c>
      <c r="U1836" s="311"/>
      <c r="V1836" s="312"/>
      <c r="W1836" s="299"/>
      <c r="X1836" s="300"/>
      <c r="Y1836" s="299"/>
      <c r="Z1836" s="303"/>
      <c r="AA1836" s="305">
        <f>IF(Z1836=0,0,IF(Y1836="MXN",1/HLOOKUP(YEAR(X1836)+(MONTH(X1836)/100),TC!$5:$37,DAY(X1836)+2,FALSE),VLOOKUP(Y1836,Equivalencia!$1:$23,((MAX(Equivalencia!$3:$3)-YEAR(X1836))*14)+MONTH(X1836)+2,FALSE)))</f>
        <v>0</v>
      </c>
      <c r="AB1836" s="306">
        <f t="shared" si="484"/>
        <v>0</v>
      </c>
      <c r="AC1836" s="305">
        <f>+IF(X1836=0,0,HLOOKUP(YEAR(X1836)+(MONTH(X1836)/100),TC!$5:$37,DAY(X1836)+2,FALSE))</f>
        <v>0</v>
      </c>
      <c r="AD1836" s="307">
        <f t="shared" si="485"/>
        <v>0</v>
      </c>
      <c r="AE1836" s="314">
        <f t="shared" si="486"/>
        <v>0</v>
      </c>
      <c r="AF1836" s="315">
        <f t="shared" si="487"/>
        <v>0</v>
      </c>
      <c r="AG1836" s="316">
        <f t="shared" si="488"/>
        <v>0</v>
      </c>
      <c r="AH1836" s="314">
        <v>1</v>
      </c>
      <c r="AI1836" s="314">
        <f t="shared" si="489"/>
        <v>0</v>
      </c>
      <c r="AJ1836" s="314">
        <f t="shared" si="490"/>
        <v>0</v>
      </c>
      <c r="AK1836" s="317"/>
      <c r="AL1836" s="315">
        <f t="shared" si="491"/>
        <v>0</v>
      </c>
      <c r="AN1836" s="554">
        <f t="shared" si="492"/>
        <v>0</v>
      </c>
      <c r="AO1836" s="314"/>
      <c r="AP1836" s="318"/>
    </row>
    <row r="1837" spans="2:42">
      <c r="B1837" s="296"/>
      <c r="C1837" s="299"/>
      <c r="D1837" s="298"/>
      <c r="E1837" s="299"/>
      <c r="F1837" s="299"/>
      <c r="G1837" s="300"/>
      <c r="H1837" s="303"/>
      <c r="I1837" s="301">
        <f t="shared" si="476"/>
        <v>0</v>
      </c>
      <c r="J1837" s="302">
        <f t="shared" si="477"/>
        <v>0</v>
      </c>
      <c r="K1837" s="304">
        <f t="shared" si="478"/>
        <v>0</v>
      </c>
      <c r="L1837" s="305">
        <f>IF(H1837=0,0,IF(OR(E1837=$AT$5,E1837=$AT$6),AA1837,IF(F1837="MXN",1/HLOOKUP(YEAR(G1837)+(MONTH(G1837)/100),TC!$5:$37,DAY(G1837)+2,FALSE),VLOOKUP(F1837,Equivalencia!$5:$23,((MAX(Equivalencia!$3:$3)-YEAR(G1837))*14)+MONTH(G1837)+2,FALSE))))</f>
        <v>0</v>
      </c>
      <c r="M1837" s="306">
        <f t="shared" si="479"/>
        <v>0</v>
      </c>
      <c r="N1837" s="305">
        <f>IF(G1837=0,0,(IF(OR(E1837=$AT$5,E1837=$AT$6),AC1837,HLOOKUP(YEAR(G1837)+(MONTH(G1837)/100),TC!$5:$37,DAY(G1837)+2,FALSE))))</f>
        <v>0</v>
      </c>
      <c r="O1837" s="307">
        <f t="shared" si="480"/>
        <v>0</v>
      </c>
      <c r="P1837" s="560">
        <f>IF(G1837=0,0,VLOOKUP(YEAR(G1837),INPC!$B$4:$P$30,MONTH(G1837)+2))</f>
        <v>0</v>
      </c>
      <c r="Q1837" s="560">
        <f>IF(X1837=0,0,IF(OR(E1837=$AT$10,E1837=$AT$9),VLOOKUP(YEAR(X1837),INPC!$B$4:$P$30,MONTH(X1837)+1),VLOOKUP(YEAR(X1837),INPC!$B$4:$P$30,MONTH(X1837)+2,0)))</f>
        <v>0</v>
      </c>
      <c r="R1837" s="309">
        <f t="shared" si="481"/>
        <v>0</v>
      </c>
      <c r="S1837" s="310">
        <f t="shared" si="482"/>
        <v>0</v>
      </c>
      <c r="T1837" s="555">
        <f t="shared" si="483"/>
        <v>0</v>
      </c>
      <c r="U1837" s="311"/>
      <c r="V1837" s="312"/>
      <c r="W1837" s="299"/>
      <c r="X1837" s="300"/>
      <c r="Y1837" s="299"/>
      <c r="Z1837" s="303"/>
      <c r="AA1837" s="305">
        <f>IF(Z1837=0,0,IF(Y1837="MXN",1/HLOOKUP(YEAR(X1837)+(MONTH(X1837)/100),TC!$5:$37,DAY(X1837)+2,FALSE),VLOOKUP(Y1837,Equivalencia!$1:$23,((MAX(Equivalencia!$3:$3)-YEAR(X1837))*14)+MONTH(X1837)+2,FALSE)))</f>
        <v>0</v>
      </c>
      <c r="AB1837" s="306">
        <f t="shared" si="484"/>
        <v>0</v>
      </c>
      <c r="AC1837" s="305">
        <f>+IF(X1837=0,0,HLOOKUP(YEAR(X1837)+(MONTH(X1837)/100),TC!$5:$37,DAY(X1837)+2,FALSE))</f>
        <v>0</v>
      </c>
      <c r="AD1837" s="307">
        <f t="shared" si="485"/>
        <v>0</v>
      </c>
      <c r="AE1837" s="314">
        <f t="shared" si="486"/>
        <v>0</v>
      </c>
      <c r="AF1837" s="315">
        <f t="shared" si="487"/>
        <v>0</v>
      </c>
      <c r="AG1837" s="316">
        <f t="shared" si="488"/>
        <v>0</v>
      </c>
      <c r="AH1837" s="314">
        <v>1</v>
      </c>
      <c r="AI1837" s="314">
        <f t="shared" si="489"/>
        <v>0</v>
      </c>
      <c r="AJ1837" s="314">
        <f t="shared" si="490"/>
        <v>0</v>
      </c>
      <c r="AK1837" s="317"/>
      <c r="AL1837" s="315">
        <f t="shared" si="491"/>
        <v>0</v>
      </c>
      <c r="AN1837" s="554">
        <f t="shared" si="492"/>
        <v>0</v>
      </c>
      <c r="AO1837" s="314"/>
      <c r="AP1837" s="318"/>
    </row>
    <row r="1838" spans="2:42">
      <c r="B1838" s="296"/>
      <c r="C1838" s="299"/>
      <c r="D1838" s="298"/>
      <c r="E1838" s="299"/>
      <c r="F1838" s="299"/>
      <c r="G1838" s="300"/>
      <c r="H1838" s="303"/>
      <c r="I1838" s="301">
        <f t="shared" si="476"/>
        <v>0</v>
      </c>
      <c r="J1838" s="302">
        <f t="shared" si="477"/>
        <v>0</v>
      </c>
      <c r="K1838" s="304">
        <f t="shared" si="478"/>
        <v>0</v>
      </c>
      <c r="L1838" s="305">
        <f>IF(H1838=0,0,IF(OR(E1838=$AT$5,E1838=$AT$6),AA1838,IF(F1838="MXN",1/HLOOKUP(YEAR(G1838)+(MONTH(G1838)/100),TC!$5:$37,DAY(G1838)+2,FALSE),VLOOKUP(F1838,Equivalencia!$5:$23,((MAX(Equivalencia!$3:$3)-YEAR(G1838))*14)+MONTH(G1838)+2,FALSE))))</f>
        <v>0</v>
      </c>
      <c r="M1838" s="306">
        <f t="shared" si="479"/>
        <v>0</v>
      </c>
      <c r="N1838" s="305">
        <f>IF(G1838=0,0,(IF(OR(E1838=$AT$5,E1838=$AT$6),AC1838,HLOOKUP(YEAR(G1838)+(MONTH(G1838)/100),TC!$5:$37,DAY(G1838)+2,FALSE))))</f>
        <v>0</v>
      </c>
      <c r="O1838" s="307">
        <f t="shared" si="480"/>
        <v>0</v>
      </c>
      <c r="P1838" s="560">
        <f>IF(G1838=0,0,VLOOKUP(YEAR(G1838),INPC!$B$4:$P$30,MONTH(G1838)+2))</f>
        <v>0</v>
      </c>
      <c r="Q1838" s="560">
        <f>IF(X1838=0,0,IF(OR(E1838=$AT$10,E1838=$AT$9),VLOOKUP(YEAR(X1838),INPC!$B$4:$P$30,MONTH(X1838)+1),VLOOKUP(YEAR(X1838),INPC!$B$4:$P$30,MONTH(X1838)+2,0)))</f>
        <v>0</v>
      </c>
      <c r="R1838" s="309">
        <f t="shared" si="481"/>
        <v>0</v>
      </c>
      <c r="S1838" s="310">
        <f t="shared" si="482"/>
        <v>0</v>
      </c>
      <c r="T1838" s="555">
        <f t="shared" si="483"/>
        <v>0</v>
      </c>
      <c r="U1838" s="311"/>
      <c r="V1838" s="312"/>
      <c r="W1838" s="299"/>
      <c r="X1838" s="300"/>
      <c r="Y1838" s="299"/>
      <c r="Z1838" s="303"/>
      <c r="AA1838" s="305">
        <f>IF(Z1838=0,0,IF(Y1838="MXN",1/HLOOKUP(YEAR(X1838)+(MONTH(X1838)/100),TC!$5:$37,DAY(X1838)+2,FALSE),VLOOKUP(Y1838,Equivalencia!$1:$23,((MAX(Equivalencia!$3:$3)-YEAR(X1838))*14)+MONTH(X1838)+2,FALSE)))</f>
        <v>0</v>
      </c>
      <c r="AB1838" s="306">
        <f t="shared" si="484"/>
        <v>0</v>
      </c>
      <c r="AC1838" s="305">
        <f>+IF(X1838=0,0,HLOOKUP(YEAR(X1838)+(MONTH(X1838)/100),TC!$5:$37,DAY(X1838)+2,FALSE))</f>
        <v>0</v>
      </c>
      <c r="AD1838" s="307">
        <f t="shared" si="485"/>
        <v>0</v>
      </c>
      <c r="AE1838" s="314">
        <f t="shared" si="486"/>
        <v>0</v>
      </c>
      <c r="AF1838" s="315">
        <f t="shared" si="487"/>
        <v>0</v>
      </c>
      <c r="AG1838" s="316">
        <f t="shared" si="488"/>
        <v>0</v>
      </c>
      <c r="AH1838" s="314">
        <v>1</v>
      </c>
      <c r="AI1838" s="314">
        <f t="shared" si="489"/>
        <v>0</v>
      </c>
      <c r="AJ1838" s="314">
        <f t="shared" si="490"/>
        <v>0</v>
      </c>
      <c r="AK1838" s="317"/>
      <c r="AL1838" s="315">
        <f t="shared" si="491"/>
        <v>0</v>
      </c>
      <c r="AN1838" s="554">
        <f t="shared" si="492"/>
        <v>0</v>
      </c>
      <c r="AO1838" s="314"/>
      <c r="AP1838" s="318"/>
    </row>
    <row r="1839" spans="2:42">
      <c r="B1839" s="296"/>
      <c r="C1839" s="299"/>
      <c r="D1839" s="298"/>
      <c r="E1839" s="299"/>
      <c r="F1839" s="299"/>
      <c r="G1839" s="300"/>
      <c r="H1839" s="303"/>
      <c r="I1839" s="301">
        <f t="shared" si="476"/>
        <v>0</v>
      </c>
      <c r="J1839" s="302">
        <f t="shared" si="477"/>
        <v>0</v>
      </c>
      <c r="K1839" s="304">
        <f t="shared" si="478"/>
        <v>0</v>
      </c>
      <c r="L1839" s="305">
        <f>IF(H1839=0,0,IF(OR(E1839=$AT$5,E1839=$AT$6),AA1839,IF(F1839="MXN",1/HLOOKUP(YEAR(G1839)+(MONTH(G1839)/100),TC!$5:$37,DAY(G1839)+2,FALSE),VLOOKUP(F1839,Equivalencia!$5:$23,((MAX(Equivalencia!$3:$3)-YEAR(G1839))*14)+MONTH(G1839)+2,FALSE))))</f>
        <v>0</v>
      </c>
      <c r="M1839" s="306">
        <f t="shared" si="479"/>
        <v>0</v>
      </c>
      <c r="N1839" s="305">
        <f>IF(G1839=0,0,(IF(OR(E1839=$AT$5,E1839=$AT$6),AC1839,HLOOKUP(YEAR(G1839)+(MONTH(G1839)/100),TC!$5:$37,DAY(G1839)+2,FALSE))))</f>
        <v>0</v>
      </c>
      <c r="O1839" s="307">
        <f t="shared" si="480"/>
        <v>0</v>
      </c>
      <c r="P1839" s="560">
        <f>IF(G1839=0,0,VLOOKUP(YEAR(G1839),INPC!$B$4:$P$30,MONTH(G1839)+2))</f>
        <v>0</v>
      </c>
      <c r="Q1839" s="560">
        <f>IF(X1839=0,0,IF(OR(E1839=$AT$10,E1839=$AT$9),VLOOKUP(YEAR(X1839),INPC!$B$4:$P$30,MONTH(X1839)+1),VLOOKUP(YEAR(X1839),INPC!$B$4:$P$30,MONTH(X1839)+2,0)))</f>
        <v>0</v>
      </c>
      <c r="R1839" s="309">
        <f t="shared" si="481"/>
        <v>0</v>
      </c>
      <c r="S1839" s="310">
        <f t="shared" si="482"/>
        <v>0</v>
      </c>
      <c r="T1839" s="555">
        <f t="shared" si="483"/>
        <v>0</v>
      </c>
      <c r="U1839" s="311"/>
      <c r="V1839" s="312"/>
      <c r="W1839" s="299"/>
      <c r="X1839" s="300"/>
      <c r="Y1839" s="299"/>
      <c r="Z1839" s="303"/>
      <c r="AA1839" s="305">
        <f>IF(Z1839=0,0,IF(Y1839="MXN",1/HLOOKUP(YEAR(X1839)+(MONTH(X1839)/100),TC!$5:$37,DAY(X1839)+2,FALSE),VLOOKUP(Y1839,Equivalencia!$1:$23,((MAX(Equivalencia!$3:$3)-YEAR(X1839))*14)+MONTH(X1839)+2,FALSE)))</f>
        <v>0</v>
      </c>
      <c r="AB1839" s="306">
        <f t="shared" si="484"/>
        <v>0</v>
      </c>
      <c r="AC1839" s="305">
        <f>+IF(X1839=0,0,HLOOKUP(YEAR(X1839)+(MONTH(X1839)/100),TC!$5:$37,DAY(X1839)+2,FALSE))</f>
        <v>0</v>
      </c>
      <c r="AD1839" s="307">
        <f t="shared" si="485"/>
        <v>0</v>
      </c>
      <c r="AE1839" s="314">
        <f t="shared" si="486"/>
        <v>0</v>
      </c>
      <c r="AF1839" s="315">
        <f t="shared" si="487"/>
        <v>0</v>
      </c>
      <c r="AG1839" s="316">
        <f t="shared" si="488"/>
        <v>0</v>
      </c>
      <c r="AH1839" s="314">
        <v>1</v>
      </c>
      <c r="AI1839" s="314">
        <f t="shared" si="489"/>
        <v>0</v>
      </c>
      <c r="AJ1839" s="314">
        <f t="shared" si="490"/>
        <v>0</v>
      </c>
      <c r="AK1839" s="317"/>
      <c r="AL1839" s="315">
        <f t="shared" si="491"/>
        <v>0</v>
      </c>
      <c r="AN1839" s="554">
        <f t="shared" si="492"/>
        <v>0</v>
      </c>
      <c r="AO1839" s="314"/>
      <c r="AP1839" s="318"/>
    </row>
    <row r="1840" spans="2:42">
      <c r="B1840" s="296"/>
      <c r="C1840" s="299"/>
      <c r="D1840" s="298"/>
      <c r="E1840" s="299"/>
      <c r="F1840" s="299"/>
      <c r="G1840" s="300"/>
      <c r="H1840" s="303"/>
      <c r="I1840" s="301">
        <f t="shared" si="476"/>
        <v>0</v>
      </c>
      <c r="J1840" s="302">
        <f t="shared" si="477"/>
        <v>0</v>
      </c>
      <c r="K1840" s="304">
        <f t="shared" si="478"/>
        <v>0</v>
      </c>
      <c r="L1840" s="305">
        <f>IF(H1840=0,0,IF(OR(E1840=$AT$5,E1840=$AT$6),AA1840,IF(F1840="MXN",1/HLOOKUP(YEAR(G1840)+(MONTH(G1840)/100),TC!$5:$37,DAY(G1840)+2,FALSE),VLOOKUP(F1840,Equivalencia!$5:$23,((MAX(Equivalencia!$3:$3)-YEAR(G1840))*14)+MONTH(G1840)+2,FALSE))))</f>
        <v>0</v>
      </c>
      <c r="M1840" s="306">
        <f t="shared" si="479"/>
        <v>0</v>
      </c>
      <c r="N1840" s="305">
        <f>IF(G1840=0,0,(IF(OR(E1840=$AT$5,E1840=$AT$6),AC1840,HLOOKUP(YEAR(G1840)+(MONTH(G1840)/100),TC!$5:$37,DAY(G1840)+2,FALSE))))</f>
        <v>0</v>
      </c>
      <c r="O1840" s="307">
        <f t="shared" si="480"/>
        <v>0</v>
      </c>
      <c r="P1840" s="560">
        <f>IF(G1840=0,0,VLOOKUP(YEAR(G1840),INPC!$B$4:$P$30,MONTH(G1840)+2))</f>
        <v>0</v>
      </c>
      <c r="Q1840" s="560">
        <f>IF(X1840=0,0,IF(OR(E1840=$AT$10,E1840=$AT$9),VLOOKUP(YEAR(X1840),INPC!$B$4:$P$30,MONTH(X1840)+1),VLOOKUP(YEAR(X1840),INPC!$B$4:$P$30,MONTH(X1840)+2,0)))</f>
        <v>0</v>
      </c>
      <c r="R1840" s="309">
        <f t="shared" si="481"/>
        <v>0</v>
      </c>
      <c r="S1840" s="310">
        <f t="shared" si="482"/>
        <v>0</v>
      </c>
      <c r="T1840" s="555">
        <f t="shared" si="483"/>
        <v>0</v>
      </c>
      <c r="U1840" s="311"/>
      <c r="V1840" s="312"/>
      <c r="W1840" s="299"/>
      <c r="X1840" s="300"/>
      <c r="Y1840" s="299"/>
      <c r="Z1840" s="303"/>
      <c r="AA1840" s="305">
        <f>IF(Z1840=0,0,IF(Y1840="MXN",1/HLOOKUP(YEAR(X1840)+(MONTH(X1840)/100),TC!$5:$37,DAY(X1840)+2,FALSE),VLOOKUP(Y1840,Equivalencia!$1:$23,((MAX(Equivalencia!$3:$3)-YEAR(X1840))*14)+MONTH(X1840)+2,FALSE)))</f>
        <v>0</v>
      </c>
      <c r="AB1840" s="306">
        <f t="shared" si="484"/>
        <v>0</v>
      </c>
      <c r="AC1840" s="305">
        <f>+IF(X1840=0,0,HLOOKUP(YEAR(X1840)+(MONTH(X1840)/100),TC!$5:$37,DAY(X1840)+2,FALSE))</f>
        <v>0</v>
      </c>
      <c r="AD1840" s="307">
        <f t="shared" si="485"/>
        <v>0</v>
      </c>
      <c r="AE1840" s="314">
        <f t="shared" si="486"/>
        <v>0</v>
      </c>
      <c r="AF1840" s="315">
        <f t="shared" si="487"/>
        <v>0</v>
      </c>
      <c r="AG1840" s="316">
        <f t="shared" si="488"/>
        <v>0</v>
      </c>
      <c r="AH1840" s="314">
        <v>1</v>
      </c>
      <c r="AI1840" s="314">
        <f t="shared" si="489"/>
        <v>0</v>
      </c>
      <c r="AJ1840" s="314">
        <f t="shared" si="490"/>
        <v>0</v>
      </c>
      <c r="AK1840" s="317"/>
      <c r="AL1840" s="315">
        <f t="shared" si="491"/>
        <v>0</v>
      </c>
      <c r="AN1840" s="554">
        <f t="shared" si="492"/>
        <v>0</v>
      </c>
      <c r="AO1840" s="314"/>
      <c r="AP1840" s="318"/>
    </row>
    <row r="1841" spans="2:42">
      <c r="B1841" s="296"/>
      <c r="C1841" s="299"/>
      <c r="D1841" s="298"/>
      <c r="E1841" s="299"/>
      <c r="F1841" s="299"/>
      <c r="G1841" s="300"/>
      <c r="H1841" s="303"/>
      <c r="I1841" s="301">
        <f t="shared" si="476"/>
        <v>0</v>
      </c>
      <c r="J1841" s="302">
        <f t="shared" si="477"/>
        <v>0</v>
      </c>
      <c r="K1841" s="304">
        <f t="shared" si="478"/>
        <v>0</v>
      </c>
      <c r="L1841" s="305">
        <f>IF(H1841=0,0,IF(OR(E1841=$AT$5,E1841=$AT$6),AA1841,IF(F1841="MXN",1/HLOOKUP(YEAR(G1841)+(MONTH(G1841)/100),TC!$5:$37,DAY(G1841)+2,FALSE),VLOOKUP(F1841,Equivalencia!$5:$23,((MAX(Equivalencia!$3:$3)-YEAR(G1841))*14)+MONTH(G1841)+2,FALSE))))</f>
        <v>0</v>
      </c>
      <c r="M1841" s="306">
        <f t="shared" si="479"/>
        <v>0</v>
      </c>
      <c r="N1841" s="305">
        <f>IF(G1841=0,0,(IF(OR(E1841=$AT$5,E1841=$AT$6),AC1841,HLOOKUP(YEAR(G1841)+(MONTH(G1841)/100),TC!$5:$37,DAY(G1841)+2,FALSE))))</f>
        <v>0</v>
      </c>
      <c r="O1841" s="307">
        <f t="shared" si="480"/>
        <v>0</v>
      </c>
      <c r="P1841" s="560">
        <f>IF(G1841=0,0,VLOOKUP(YEAR(G1841),INPC!$B$4:$P$30,MONTH(G1841)+2))</f>
        <v>0</v>
      </c>
      <c r="Q1841" s="560">
        <f>IF(X1841=0,0,IF(OR(E1841=$AT$10,E1841=$AT$9),VLOOKUP(YEAR(X1841),INPC!$B$4:$P$30,MONTH(X1841)+1),VLOOKUP(YEAR(X1841),INPC!$B$4:$P$30,MONTH(X1841)+2,0)))</f>
        <v>0</v>
      </c>
      <c r="R1841" s="309">
        <f t="shared" si="481"/>
        <v>0</v>
      </c>
      <c r="S1841" s="310">
        <f t="shared" si="482"/>
        <v>0</v>
      </c>
      <c r="T1841" s="555">
        <f t="shared" si="483"/>
        <v>0</v>
      </c>
      <c r="U1841" s="311"/>
      <c r="V1841" s="312"/>
      <c r="W1841" s="299"/>
      <c r="X1841" s="300"/>
      <c r="Y1841" s="299"/>
      <c r="Z1841" s="303"/>
      <c r="AA1841" s="305">
        <f>IF(Z1841=0,0,IF(Y1841="MXN",1/HLOOKUP(YEAR(X1841)+(MONTH(X1841)/100),TC!$5:$37,DAY(X1841)+2,FALSE),VLOOKUP(Y1841,Equivalencia!$1:$23,((MAX(Equivalencia!$3:$3)-YEAR(X1841))*14)+MONTH(X1841)+2,FALSE)))</f>
        <v>0</v>
      </c>
      <c r="AB1841" s="306">
        <f t="shared" si="484"/>
        <v>0</v>
      </c>
      <c r="AC1841" s="305">
        <f>+IF(X1841=0,0,HLOOKUP(YEAR(X1841)+(MONTH(X1841)/100),TC!$5:$37,DAY(X1841)+2,FALSE))</f>
        <v>0</v>
      </c>
      <c r="AD1841" s="307">
        <f t="shared" si="485"/>
        <v>0</v>
      </c>
      <c r="AE1841" s="314">
        <f t="shared" si="486"/>
        <v>0</v>
      </c>
      <c r="AF1841" s="315">
        <f t="shared" si="487"/>
        <v>0</v>
      </c>
      <c r="AG1841" s="316">
        <f t="shared" si="488"/>
        <v>0</v>
      </c>
      <c r="AH1841" s="314">
        <v>1</v>
      </c>
      <c r="AI1841" s="314">
        <f t="shared" si="489"/>
        <v>0</v>
      </c>
      <c r="AJ1841" s="314">
        <f t="shared" si="490"/>
        <v>0</v>
      </c>
      <c r="AK1841" s="317"/>
      <c r="AL1841" s="315">
        <f t="shared" si="491"/>
        <v>0</v>
      </c>
      <c r="AN1841" s="554">
        <f t="shared" si="492"/>
        <v>0</v>
      </c>
      <c r="AO1841" s="314"/>
      <c r="AP1841" s="318"/>
    </row>
    <row r="1842" spans="2:42">
      <c r="B1842" s="296"/>
      <c r="C1842" s="299"/>
      <c r="D1842" s="298"/>
      <c r="E1842" s="299"/>
      <c r="F1842" s="299"/>
      <c r="G1842" s="300"/>
      <c r="H1842" s="303"/>
      <c r="I1842" s="301">
        <f t="shared" si="476"/>
        <v>0</v>
      </c>
      <c r="J1842" s="302">
        <f t="shared" si="477"/>
        <v>0</v>
      </c>
      <c r="K1842" s="304">
        <f t="shared" si="478"/>
        <v>0</v>
      </c>
      <c r="L1842" s="305">
        <f>IF(H1842=0,0,IF(OR(E1842=$AT$5,E1842=$AT$6),AA1842,IF(F1842="MXN",1/HLOOKUP(YEAR(G1842)+(MONTH(G1842)/100),TC!$5:$37,DAY(G1842)+2,FALSE),VLOOKUP(F1842,Equivalencia!$5:$23,((MAX(Equivalencia!$3:$3)-YEAR(G1842))*14)+MONTH(G1842)+2,FALSE))))</f>
        <v>0</v>
      </c>
      <c r="M1842" s="306">
        <f t="shared" si="479"/>
        <v>0</v>
      </c>
      <c r="N1842" s="305">
        <f>IF(G1842=0,0,(IF(OR(E1842=$AT$5,E1842=$AT$6),AC1842,HLOOKUP(YEAR(G1842)+(MONTH(G1842)/100),TC!$5:$37,DAY(G1842)+2,FALSE))))</f>
        <v>0</v>
      </c>
      <c r="O1842" s="307">
        <f t="shared" si="480"/>
        <v>0</v>
      </c>
      <c r="P1842" s="560">
        <f>IF(G1842=0,0,VLOOKUP(YEAR(G1842),INPC!$B$4:$P$30,MONTH(G1842)+2))</f>
        <v>0</v>
      </c>
      <c r="Q1842" s="560">
        <f>IF(X1842=0,0,IF(OR(E1842=$AT$10,E1842=$AT$9),VLOOKUP(YEAR(X1842),INPC!$B$4:$P$30,MONTH(X1842)+1),VLOOKUP(YEAR(X1842),INPC!$B$4:$P$30,MONTH(X1842)+2,0)))</f>
        <v>0</v>
      </c>
      <c r="R1842" s="309">
        <f t="shared" si="481"/>
        <v>0</v>
      </c>
      <c r="S1842" s="310">
        <f t="shared" si="482"/>
        <v>0</v>
      </c>
      <c r="T1842" s="555">
        <f t="shared" si="483"/>
        <v>0</v>
      </c>
      <c r="U1842" s="311"/>
      <c r="V1842" s="312"/>
      <c r="W1842" s="299"/>
      <c r="X1842" s="300"/>
      <c r="Y1842" s="299"/>
      <c r="Z1842" s="303"/>
      <c r="AA1842" s="305">
        <f>IF(Z1842=0,0,IF(Y1842="MXN",1/HLOOKUP(YEAR(X1842)+(MONTH(X1842)/100),TC!$5:$37,DAY(X1842)+2,FALSE),VLOOKUP(Y1842,Equivalencia!$1:$23,((MAX(Equivalencia!$3:$3)-YEAR(X1842))*14)+MONTH(X1842)+2,FALSE)))</f>
        <v>0</v>
      </c>
      <c r="AB1842" s="306">
        <f t="shared" si="484"/>
        <v>0</v>
      </c>
      <c r="AC1842" s="305">
        <f>+IF(X1842=0,0,HLOOKUP(YEAR(X1842)+(MONTH(X1842)/100),TC!$5:$37,DAY(X1842)+2,FALSE))</f>
        <v>0</v>
      </c>
      <c r="AD1842" s="307">
        <f t="shared" si="485"/>
        <v>0</v>
      </c>
      <c r="AE1842" s="314">
        <f t="shared" si="486"/>
        <v>0</v>
      </c>
      <c r="AF1842" s="315">
        <f t="shared" si="487"/>
        <v>0</v>
      </c>
      <c r="AG1842" s="316">
        <f t="shared" si="488"/>
        <v>0</v>
      </c>
      <c r="AH1842" s="314">
        <v>1</v>
      </c>
      <c r="AI1842" s="314">
        <f t="shared" si="489"/>
        <v>0</v>
      </c>
      <c r="AJ1842" s="314">
        <f t="shared" si="490"/>
        <v>0</v>
      </c>
      <c r="AK1842" s="317"/>
      <c r="AL1842" s="315">
        <f t="shared" si="491"/>
        <v>0</v>
      </c>
      <c r="AN1842" s="554">
        <f t="shared" si="492"/>
        <v>0</v>
      </c>
      <c r="AO1842" s="314"/>
      <c r="AP1842" s="318"/>
    </row>
    <row r="1843" spans="2:42">
      <c r="B1843" s="296"/>
      <c r="C1843" s="299"/>
      <c r="D1843" s="298"/>
      <c r="E1843" s="299"/>
      <c r="F1843" s="299"/>
      <c r="G1843" s="300"/>
      <c r="H1843" s="303"/>
      <c r="I1843" s="301">
        <f t="shared" si="476"/>
        <v>0</v>
      </c>
      <c r="J1843" s="302">
        <f t="shared" si="477"/>
        <v>0</v>
      </c>
      <c r="K1843" s="304">
        <f t="shared" si="478"/>
        <v>0</v>
      </c>
      <c r="L1843" s="305">
        <f>IF(H1843=0,0,IF(OR(E1843=$AT$5,E1843=$AT$6),AA1843,IF(F1843="MXN",1/HLOOKUP(YEAR(G1843)+(MONTH(G1843)/100),TC!$5:$37,DAY(G1843)+2,FALSE),VLOOKUP(F1843,Equivalencia!$5:$23,((MAX(Equivalencia!$3:$3)-YEAR(G1843))*14)+MONTH(G1843)+2,FALSE))))</f>
        <v>0</v>
      </c>
      <c r="M1843" s="306">
        <f t="shared" si="479"/>
        <v>0</v>
      </c>
      <c r="N1843" s="305">
        <f>IF(G1843=0,0,(IF(OR(E1843=$AT$5,E1843=$AT$6),AC1843,HLOOKUP(YEAR(G1843)+(MONTH(G1843)/100),TC!$5:$37,DAY(G1843)+2,FALSE))))</f>
        <v>0</v>
      </c>
      <c r="O1843" s="307">
        <f t="shared" si="480"/>
        <v>0</v>
      </c>
      <c r="P1843" s="560">
        <f>IF(G1843=0,0,VLOOKUP(YEAR(G1843),INPC!$B$4:$P$30,MONTH(G1843)+2))</f>
        <v>0</v>
      </c>
      <c r="Q1843" s="560">
        <f>IF(X1843=0,0,IF(OR(E1843=$AT$10,E1843=$AT$9),VLOOKUP(YEAR(X1843),INPC!$B$4:$P$30,MONTH(X1843)+1),VLOOKUP(YEAR(X1843),INPC!$B$4:$P$30,MONTH(X1843)+2,0)))</f>
        <v>0</v>
      </c>
      <c r="R1843" s="309">
        <f t="shared" si="481"/>
        <v>0</v>
      </c>
      <c r="S1843" s="310">
        <f t="shared" si="482"/>
        <v>0</v>
      </c>
      <c r="T1843" s="555">
        <f t="shared" si="483"/>
        <v>0</v>
      </c>
      <c r="U1843" s="311"/>
      <c r="V1843" s="312"/>
      <c r="W1843" s="299"/>
      <c r="X1843" s="300"/>
      <c r="Y1843" s="299"/>
      <c r="Z1843" s="303"/>
      <c r="AA1843" s="305">
        <f>IF(Z1843=0,0,IF(Y1843="MXN",1/HLOOKUP(YEAR(X1843)+(MONTH(X1843)/100),TC!$5:$37,DAY(X1843)+2,FALSE),VLOOKUP(Y1843,Equivalencia!$1:$23,((MAX(Equivalencia!$3:$3)-YEAR(X1843))*14)+MONTH(X1843)+2,FALSE)))</f>
        <v>0</v>
      </c>
      <c r="AB1843" s="306">
        <f t="shared" si="484"/>
        <v>0</v>
      </c>
      <c r="AC1843" s="305">
        <f>+IF(X1843=0,0,HLOOKUP(YEAR(X1843)+(MONTH(X1843)/100),TC!$5:$37,DAY(X1843)+2,FALSE))</f>
        <v>0</v>
      </c>
      <c r="AD1843" s="307">
        <f t="shared" si="485"/>
        <v>0</v>
      </c>
      <c r="AE1843" s="314">
        <f t="shared" si="486"/>
        <v>0</v>
      </c>
      <c r="AF1843" s="315">
        <f t="shared" si="487"/>
        <v>0</v>
      </c>
      <c r="AG1843" s="316">
        <f t="shared" si="488"/>
        <v>0</v>
      </c>
      <c r="AH1843" s="314">
        <v>1</v>
      </c>
      <c r="AI1843" s="314">
        <f t="shared" si="489"/>
        <v>0</v>
      </c>
      <c r="AJ1843" s="314">
        <f t="shared" si="490"/>
        <v>0</v>
      </c>
      <c r="AK1843" s="317"/>
      <c r="AL1843" s="315">
        <f t="shared" si="491"/>
        <v>0</v>
      </c>
      <c r="AN1843" s="554">
        <f t="shared" si="492"/>
        <v>0</v>
      </c>
      <c r="AO1843" s="314"/>
      <c r="AP1843" s="318"/>
    </row>
    <row r="1844" spans="2:42">
      <c r="B1844" s="296"/>
      <c r="C1844" s="299"/>
      <c r="D1844" s="298"/>
      <c r="E1844" s="299"/>
      <c r="F1844" s="299"/>
      <c r="G1844" s="300"/>
      <c r="H1844" s="303"/>
      <c r="I1844" s="301">
        <f t="shared" si="476"/>
        <v>0</v>
      </c>
      <c r="J1844" s="302">
        <f t="shared" si="477"/>
        <v>0</v>
      </c>
      <c r="K1844" s="304">
        <f t="shared" si="478"/>
        <v>0</v>
      </c>
      <c r="L1844" s="305">
        <f>IF(H1844=0,0,IF(OR(E1844=$AT$5,E1844=$AT$6),AA1844,IF(F1844="MXN",1/HLOOKUP(YEAR(G1844)+(MONTH(G1844)/100),TC!$5:$37,DAY(G1844)+2,FALSE),VLOOKUP(F1844,Equivalencia!$5:$23,((MAX(Equivalencia!$3:$3)-YEAR(G1844))*14)+MONTH(G1844)+2,FALSE))))</f>
        <v>0</v>
      </c>
      <c r="M1844" s="306">
        <f t="shared" si="479"/>
        <v>0</v>
      </c>
      <c r="N1844" s="305">
        <f>IF(G1844=0,0,(IF(OR(E1844=$AT$5,E1844=$AT$6),AC1844,HLOOKUP(YEAR(G1844)+(MONTH(G1844)/100),TC!$5:$37,DAY(G1844)+2,FALSE))))</f>
        <v>0</v>
      </c>
      <c r="O1844" s="307">
        <f t="shared" si="480"/>
        <v>0</v>
      </c>
      <c r="P1844" s="560">
        <f>IF(G1844=0,0,VLOOKUP(YEAR(G1844),INPC!$B$4:$P$30,MONTH(G1844)+2))</f>
        <v>0</v>
      </c>
      <c r="Q1844" s="560">
        <f>IF(X1844=0,0,IF(OR(E1844=$AT$10,E1844=$AT$9),VLOOKUP(YEAR(X1844),INPC!$B$4:$P$30,MONTH(X1844)+1),VLOOKUP(YEAR(X1844),INPC!$B$4:$P$30,MONTH(X1844)+2,0)))</f>
        <v>0</v>
      </c>
      <c r="R1844" s="309">
        <f t="shared" si="481"/>
        <v>0</v>
      </c>
      <c r="S1844" s="310">
        <f t="shared" si="482"/>
        <v>0</v>
      </c>
      <c r="T1844" s="555">
        <f t="shared" si="483"/>
        <v>0</v>
      </c>
      <c r="U1844" s="311"/>
      <c r="V1844" s="312"/>
      <c r="W1844" s="299"/>
      <c r="X1844" s="300"/>
      <c r="Y1844" s="299"/>
      <c r="Z1844" s="303"/>
      <c r="AA1844" s="305">
        <f>IF(Z1844=0,0,IF(Y1844="MXN",1/HLOOKUP(YEAR(X1844)+(MONTH(X1844)/100),TC!$5:$37,DAY(X1844)+2,FALSE),VLOOKUP(Y1844,Equivalencia!$1:$23,((MAX(Equivalencia!$3:$3)-YEAR(X1844))*14)+MONTH(X1844)+2,FALSE)))</f>
        <v>0</v>
      </c>
      <c r="AB1844" s="306">
        <f t="shared" si="484"/>
        <v>0</v>
      </c>
      <c r="AC1844" s="305">
        <f>+IF(X1844=0,0,HLOOKUP(YEAR(X1844)+(MONTH(X1844)/100),TC!$5:$37,DAY(X1844)+2,FALSE))</f>
        <v>0</v>
      </c>
      <c r="AD1844" s="307">
        <f t="shared" si="485"/>
        <v>0</v>
      </c>
      <c r="AE1844" s="314">
        <f t="shared" si="486"/>
        <v>0</v>
      </c>
      <c r="AF1844" s="315">
        <f t="shared" si="487"/>
        <v>0</v>
      </c>
      <c r="AG1844" s="316">
        <f t="shared" si="488"/>
        <v>0</v>
      </c>
      <c r="AH1844" s="314">
        <v>1</v>
      </c>
      <c r="AI1844" s="314">
        <f t="shared" si="489"/>
        <v>0</v>
      </c>
      <c r="AJ1844" s="314">
        <f t="shared" si="490"/>
        <v>0</v>
      </c>
      <c r="AK1844" s="317"/>
      <c r="AL1844" s="315">
        <f t="shared" si="491"/>
        <v>0</v>
      </c>
      <c r="AN1844" s="554">
        <f t="shared" si="492"/>
        <v>0</v>
      </c>
      <c r="AO1844" s="314"/>
      <c r="AP1844" s="318"/>
    </row>
    <row r="1845" spans="2:42">
      <c r="B1845" s="296"/>
      <c r="C1845" s="299"/>
      <c r="D1845" s="298"/>
      <c r="E1845" s="299"/>
      <c r="F1845" s="299"/>
      <c r="G1845" s="300"/>
      <c r="H1845" s="303"/>
      <c r="I1845" s="301">
        <f t="shared" si="476"/>
        <v>0</v>
      </c>
      <c r="J1845" s="302">
        <f t="shared" si="477"/>
        <v>0</v>
      </c>
      <c r="K1845" s="304">
        <f t="shared" si="478"/>
        <v>0</v>
      </c>
      <c r="L1845" s="305">
        <f>IF(H1845=0,0,IF(OR(E1845=$AT$5,E1845=$AT$6),AA1845,IF(F1845="MXN",1/HLOOKUP(YEAR(G1845)+(MONTH(G1845)/100),TC!$5:$37,DAY(G1845)+2,FALSE),VLOOKUP(F1845,Equivalencia!$5:$23,((MAX(Equivalencia!$3:$3)-YEAR(G1845))*14)+MONTH(G1845)+2,FALSE))))</f>
        <v>0</v>
      </c>
      <c r="M1845" s="306">
        <f t="shared" si="479"/>
        <v>0</v>
      </c>
      <c r="N1845" s="305">
        <f>IF(G1845=0,0,(IF(OR(E1845=$AT$5,E1845=$AT$6),AC1845,HLOOKUP(YEAR(G1845)+(MONTH(G1845)/100),TC!$5:$37,DAY(G1845)+2,FALSE))))</f>
        <v>0</v>
      </c>
      <c r="O1845" s="307">
        <f t="shared" si="480"/>
        <v>0</v>
      </c>
      <c r="P1845" s="560">
        <f>IF(G1845=0,0,VLOOKUP(YEAR(G1845),INPC!$B$4:$P$30,MONTH(G1845)+2))</f>
        <v>0</v>
      </c>
      <c r="Q1845" s="560">
        <f>IF(X1845=0,0,IF(OR(E1845=$AT$10,E1845=$AT$9),VLOOKUP(YEAR(X1845),INPC!$B$4:$P$30,MONTH(X1845)+1),VLOOKUP(YEAR(X1845),INPC!$B$4:$P$30,MONTH(X1845)+2,0)))</f>
        <v>0</v>
      </c>
      <c r="R1845" s="309">
        <f t="shared" si="481"/>
        <v>0</v>
      </c>
      <c r="S1845" s="310">
        <f t="shared" si="482"/>
        <v>0</v>
      </c>
      <c r="T1845" s="555">
        <f t="shared" si="483"/>
        <v>0</v>
      </c>
      <c r="U1845" s="311"/>
      <c r="V1845" s="312"/>
      <c r="W1845" s="299"/>
      <c r="X1845" s="300"/>
      <c r="Y1845" s="299"/>
      <c r="Z1845" s="303"/>
      <c r="AA1845" s="305">
        <f>IF(Z1845=0,0,IF(Y1845="MXN",1/HLOOKUP(YEAR(X1845)+(MONTH(X1845)/100),TC!$5:$37,DAY(X1845)+2,FALSE),VLOOKUP(Y1845,Equivalencia!$1:$23,((MAX(Equivalencia!$3:$3)-YEAR(X1845))*14)+MONTH(X1845)+2,FALSE)))</f>
        <v>0</v>
      </c>
      <c r="AB1845" s="306">
        <f t="shared" si="484"/>
        <v>0</v>
      </c>
      <c r="AC1845" s="305">
        <f>+IF(X1845=0,0,HLOOKUP(YEAR(X1845)+(MONTH(X1845)/100),TC!$5:$37,DAY(X1845)+2,FALSE))</f>
        <v>0</v>
      </c>
      <c r="AD1845" s="307">
        <f t="shared" si="485"/>
        <v>0</v>
      </c>
      <c r="AE1845" s="314">
        <f t="shared" si="486"/>
        <v>0</v>
      </c>
      <c r="AF1845" s="315">
        <f t="shared" si="487"/>
        <v>0</v>
      </c>
      <c r="AG1845" s="316">
        <f t="shared" si="488"/>
        <v>0</v>
      </c>
      <c r="AH1845" s="314">
        <v>1</v>
      </c>
      <c r="AI1845" s="314">
        <f t="shared" si="489"/>
        <v>0</v>
      </c>
      <c r="AJ1845" s="314">
        <f t="shared" si="490"/>
        <v>0</v>
      </c>
      <c r="AK1845" s="317"/>
      <c r="AL1845" s="315">
        <f t="shared" si="491"/>
        <v>0</v>
      </c>
      <c r="AN1845" s="554">
        <f t="shared" si="492"/>
        <v>0</v>
      </c>
      <c r="AO1845" s="314"/>
      <c r="AP1845" s="318"/>
    </row>
    <row r="1846" spans="2:42">
      <c r="B1846" s="296"/>
      <c r="C1846" s="299"/>
      <c r="D1846" s="298"/>
      <c r="E1846" s="299"/>
      <c r="F1846" s="299"/>
      <c r="G1846" s="300"/>
      <c r="H1846" s="303"/>
      <c r="I1846" s="301">
        <f t="shared" si="476"/>
        <v>0</v>
      </c>
      <c r="J1846" s="302">
        <f t="shared" si="477"/>
        <v>0</v>
      </c>
      <c r="K1846" s="304">
        <f t="shared" si="478"/>
        <v>0</v>
      </c>
      <c r="L1846" s="305">
        <f>IF(H1846=0,0,IF(OR(E1846=$AT$5,E1846=$AT$6),AA1846,IF(F1846="MXN",1/HLOOKUP(YEAR(G1846)+(MONTH(G1846)/100),TC!$5:$37,DAY(G1846)+2,FALSE),VLOOKUP(F1846,Equivalencia!$5:$23,((MAX(Equivalencia!$3:$3)-YEAR(G1846))*14)+MONTH(G1846)+2,FALSE))))</f>
        <v>0</v>
      </c>
      <c r="M1846" s="306">
        <f t="shared" si="479"/>
        <v>0</v>
      </c>
      <c r="N1846" s="305">
        <f>IF(G1846=0,0,(IF(OR(E1846=$AT$5,E1846=$AT$6),AC1846,HLOOKUP(YEAR(G1846)+(MONTH(G1846)/100),TC!$5:$37,DAY(G1846)+2,FALSE))))</f>
        <v>0</v>
      </c>
      <c r="O1846" s="307">
        <f t="shared" si="480"/>
        <v>0</v>
      </c>
      <c r="P1846" s="560">
        <f>IF(G1846=0,0,VLOOKUP(YEAR(G1846),INPC!$B$4:$P$30,MONTH(G1846)+2))</f>
        <v>0</v>
      </c>
      <c r="Q1846" s="560">
        <f>IF(X1846=0,0,IF(OR(E1846=$AT$10,E1846=$AT$9),VLOOKUP(YEAR(X1846),INPC!$B$4:$P$30,MONTH(X1846)+1),VLOOKUP(YEAR(X1846),INPC!$B$4:$P$30,MONTH(X1846)+2,0)))</f>
        <v>0</v>
      </c>
      <c r="R1846" s="309">
        <f t="shared" si="481"/>
        <v>0</v>
      </c>
      <c r="S1846" s="310">
        <f t="shared" si="482"/>
        <v>0</v>
      </c>
      <c r="T1846" s="555">
        <f t="shared" si="483"/>
        <v>0</v>
      </c>
      <c r="U1846" s="311"/>
      <c r="V1846" s="312"/>
      <c r="W1846" s="299"/>
      <c r="X1846" s="300"/>
      <c r="Y1846" s="299"/>
      <c r="Z1846" s="303"/>
      <c r="AA1846" s="305">
        <f>IF(Z1846=0,0,IF(Y1846="MXN",1/HLOOKUP(YEAR(X1846)+(MONTH(X1846)/100),TC!$5:$37,DAY(X1846)+2,FALSE),VLOOKUP(Y1846,Equivalencia!$1:$23,((MAX(Equivalencia!$3:$3)-YEAR(X1846))*14)+MONTH(X1846)+2,FALSE)))</f>
        <v>0</v>
      </c>
      <c r="AB1846" s="306">
        <f t="shared" si="484"/>
        <v>0</v>
      </c>
      <c r="AC1846" s="305">
        <f>+IF(X1846=0,0,HLOOKUP(YEAR(X1846)+(MONTH(X1846)/100),TC!$5:$37,DAY(X1846)+2,FALSE))</f>
        <v>0</v>
      </c>
      <c r="AD1846" s="307">
        <f t="shared" si="485"/>
        <v>0</v>
      </c>
      <c r="AE1846" s="314">
        <f t="shared" si="486"/>
        <v>0</v>
      </c>
      <c r="AF1846" s="315">
        <f t="shared" si="487"/>
        <v>0</v>
      </c>
      <c r="AG1846" s="316">
        <f t="shared" si="488"/>
        <v>0</v>
      </c>
      <c r="AH1846" s="314">
        <v>1</v>
      </c>
      <c r="AI1846" s="314">
        <f t="shared" si="489"/>
        <v>0</v>
      </c>
      <c r="AJ1846" s="314">
        <f t="shared" si="490"/>
        <v>0</v>
      </c>
      <c r="AK1846" s="317"/>
      <c r="AL1846" s="315">
        <f t="shared" si="491"/>
        <v>0</v>
      </c>
      <c r="AN1846" s="554">
        <f t="shared" si="492"/>
        <v>0</v>
      </c>
      <c r="AO1846" s="314"/>
      <c r="AP1846" s="318"/>
    </row>
    <row r="1847" spans="2:42">
      <c r="B1847" s="296"/>
      <c r="C1847" s="299"/>
      <c r="D1847" s="298"/>
      <c r="E1847" s="299"/>
      <c r="F1847" s="299"/>
      <c r="G1847" s="300"/>
      <c r="H1847" s="303"/>
      <c r="I1847" s="301">
        <f t="shared" si="476"/>
        <v>0</v>
      </c>
      <c r="J1847" s="302">
        <f t="shared" si="477"/>
        <v>0</v>
      </c>
      <c r="K1847" s="304">
        <f t="shared" si="478"/>
        <v>0</v>
      </c>
      <c r="L1847" s="305">
        <f>IF(H1847=0,0,IF(OR(E1847=$AT$5,E1847=$AT$6),AA1847,IF(F1847="MXN",1/HLOOKUP(YEAR(G1847)+(MONTH(G1847)/100),TC!$5:$37,DAY(G1847)+2,FALSE),VLOOKUP(F1847,Equivalencia!$5:$23,((MAX(Equivalencia!$3:$3)-YEAR(G1847))*14)+MONTH(G1847)+2,FALSE))))</f>
        <v>0</v>
      </c>
      <c r="M1847" s="306">
        <f t="shared" si="479"/>
        <v>0</v>
      </c>
      <c r="N1847" s="305">
        <f>IF(G1847=0,0,(IF(OR(E1847=$AT$5,E1847=$AT$6),AC1847,HLOOKUP(YEAR(G1847)+(MONTH(G1847)/100),TC!$5:$37,DAY(G1847)+2,FALSE))))</f>
        <v>0</v>
      </c>
      <c r="O1847" s="307">
        <f t="shared" si="480"/>
        <v>0</v>
      </c>
      <c r="P1847" s="560">
        <f>IF(G1847=0,0,VLOOKUP(YEAR(G1847),INPC!$B$4:$P$30,MONTH(G1847)+2))</f>
        <v>0</v>
      </c>
      <c r="Q1847" s="560">
        <f>IF(X1847=0,0,IF(OR(E1847=$AT$10,E1847=$AT$9),VLOOKUP(YEAR(X1847),INPC!$B$4:$P$30,MONTH(X1847)+1),VLOOKUP(YEAR(X1847),INPC!$B$4:$P$30,MONTH(X1847)+2,0)))</f>
        <v>0</v>
      </c>
      <c r="R1847" s="309">
        <f t="shared" si="481"/>
        <v>0</v>
      </c>
      <c r="S1847" s="310">
        <f t="shared" si="482"/>
        <v>0</v>
      </c>
      <c r="T1847" s="555">
        <f t="shared" si="483"/>
        <v>0</v>
      </c>
      <c r="U1847" s="311"/>
      <c r="V1847" s="312"/>
      <c r="W1847" s="299"/>
      <c r="X1847" s="300"/>
      <c r="Y1847" s="299"/>
      <c r="Z1847" s="303"/>
      <c r="AA1847" s="305">
        <f>IF(Z1847=0,0,IF(Y1847="MXN",1/HLOOKUP(YEAR(X1847)+(MONTH(X1847)/100),TC!$5:$37,DAY(X1847)+2,FALSE),VLOOKUP(Y1847,Equivalencia!$1:$23,((MAX(Equivalencia!$3:$3)-YEAR(X1847))*14)+MONTH(X1847)+2,FALSE)))</f>
        <v>0</v>
      </c>
      <c r="AB1847" s="306">
        <f t="shared" si="484"/>
        <v>0</v>
      </c>
      <c r="AC1847" s="305">
        <f>+IF(X1847=0,0,HLOOKUP(YEAR(X1847)+(MONTH(X1847)/100),TC!$5:$37,DAY(X1847)+2,FALSE))</f>
        <v>0</v>
      </c>
      <c r="AD1847" s="307">
        <f t="shared" si="485"/>
        <v>0</v>
      </c>
      <c r="AE1847" s="314">
        <f t="shared" si="486"/>
        <v>0</v>
      </c>
      <c r="AF1847" s="315">
        <f t="shared" si="487"/>
        <v>0</v>
      </c>
      <c r="AG1847" s="316">
        <f t="shared" si="488"/>
        <v>0</v>
      </c>
      <c r="AH1847" s="314">
        <v>1</v>
      </c>
      <c r="AI1847" s="314">
        <f t="shared" si="489"/>
        <v>0</v>
      </c>
      <c r="AJ1847" s="314">
        <f t="shared" si="490"/>
        <v>0</v>
      </c>
      <c r="AK1847" s="317"/>
      <c r="AL1847" s="315">
        <f t="shared" si="491"/>
        <v>0</v>
      </c>
      <c r="AN1847" s="554">
        <f t="shared" si="492"/>
        <v>0</v>
      </c>
      <c r="AO1847" s="314"/>
      <c r="AP1847" s="318"/>
    </row>
    <row r="1848" spans="2:42">
      <c r="B1848" s="296"/>
      <c r="C1848" s="299"/>
      <c r="D1848" s="298"/>
      <c r="E1848" s="299"/>
      <c r="F1848" s="299"/>
      <c r="G1848" s="300"/>
      <c r="H1848" s="303"/>
      <c r="I1848" s="301">
        <f t="shared" si="476"/>
        <v>0</v>
      </c>
      <c r="J1848" s="302">
        <f t="shared" si="477"/>
        <v>0</v>
      </c>
      <c r="K1848" s="304">
        <f t="shared" si="478"/>
        <v>0</v>
      </c>
      <c r="L1848" s="305">
        <f>IF(H1848=0,0,IF(OR(E1848=$AT$5,E1848=$AT$6),AA1848,IF(F1848="MXN",1/HLOOKUP(YEAR(G1848)+(MONTH(G1848)/100),TC!$5:$37,DAY(G1848)+2,FALSE),VLOOKUP(F1848,Equivalencia!$5:$23,((MAX(Equivalencia!$3:$3)-YEAR(G1848))*14)+MONTH(G1848)+2,FALSE))))</f>
        <v>0</v>
      </c>
      <c r="M1848" s="306">
        <f t="shared" si="479"/>
        <v>0</v>
      </c>
      <c r="N1848" s="305">
        <f>IF(G1848=0,0,(IF(OR(E1848=$AT$5,E1848=$AT$6),AC1848,HLOOKUP(YEAR(G1848)+(MONTH(G1848)/100),TC!$5:$37,DAY(G1848)+2,FALSE))))</f>
        <v>0</v>
      </c>
      <c r="O1848" s="307">
        <f t="shared" si="480"/>
        <v>0</v>
      </c>
      <c r="P1848" s="560">
        <f>IF(G1848=0,0,VLOOKUP(YEAR(G1848),INPC!$B$4:$P$30,MONTH(G1848)+2))</f>
        <v>0</v>
      </c>
      <c r="Q1848" s="560">
        <f>IF(X1848=0,0,IF(OR(E1848=$AT$10,E1848=$AT$9),VLOOKUP(YEAR(X1848),INPC!$B$4:$P$30,MONTH(X1848)+1),VLOOKUP(YEAR(X1848),INPC!$B$4:$P$30,MONTH(X1848)+2,0)))</f>
        <v>0</v>
      </c>
      <c r="R1848" s="309">
        <f t="shared" si="481"/>
        <v>0</v>
      </c>
      <c r="S1848" s="310">
        <f t="shared" si="482"/>
        <v>0</v>
      </c>
      <c r="T1848" s="555">
        <f t="shared" si="483"/>
        <v>0</v>
      </c>
      <c r="U1848" s="311"/>
      <c r="V1848" s="312"/>
      <c r="W1848" s="299"/>
      <c r="X1848" s="300"/>
      <c r="Y1848" s="299"/>
      <c r="Z1848" s="303"/>
      <c r="AA1848" s="305">
        <f>IF(Z1848=0,0,IF(Y1848="MXN",1/HLOOKUP(YEAR(X1848)+(MONTH(X1848)/100),TC!$5:$37,DAY(X1848)+2,FALSE),VLOOKUP(Y1848,Equivalencia!$1:$23,((MAX(Equivalencia!$3:$3)-YEAR(X1848))*14)+MONTH(X1848)+2,FALSE)))</f>
        <v>0</v>
      </c>
      <c r="AB1848" s="306">
        <f t="shared" si="484"/>
        <v>0</v>
      </c>
      <c r="AC1848" s="305">
        <f>+IF(X1848=0,0,HLOOKUP(YEAR(X1848)+(MONTH(X1848)/100),TC!$5:$37,DAY(X1848)+2,FALSE))</f>
        <v>0</v>
      </c>
      <c r="AD1848" s="307">
        <f t="shared" si="485"/>
        <v>0</v>
      </c>
      <c r="AE1848" s="314">
        <f t="shared" si="486"/>
        <v>0</v>
      </c>
      <c r="AF1848" s="315">
        <f t="shared" si="487"/>
        <v>0</v>
      </c>
      <c r="AG1848" s="316">
        <f t="shared" si="488"/>
        <v>0</v>
      </c>
      <c r="AH1848" s="314">
        <v>1</v>
      </c>
      <c r="AI1848" s="314">
        <f t="shared" si="489"/>
        <v>0</v>
      </c>
      <c r="AJ1848" s="314">
        <f t="shared" si="490"/>
        <v>0</v>
      </c>
      <c r="AK1848" s="317"/>
      <c r="AL1848" s="315">
        <f t="shared" si="491"/>
        <v>0</v>
      </c>
      <c r="AN1848" s="554">
        <f t="shared" si="492"/>
        <v>0</v>
      </c>
      <c r="AO1848" s="314"/>
      <c r="AP1848" s="318"/>
    </row>
    <row r="1849" spans="2:42">
      <c r="B1849" s="296"/>
      <c r="C1849" s="299"/>
      <c r="D1849" s="298"/>
      <c r="E1849" s="299"/>
      <c r="F1849" s="299"/>
      <c r="G1849" s="300"/>
      <c r="H1849" s="303"/>
      <c r="I1849" s="301">
        <f t="shared" si="476"/>
        <v>0</v>
      </c>
      <c r="J1849" s="302">
        <f t="shared" si="477"/>
        <v>0</v>
      </c>
      <c r="K1849" s="304">
        <f t="shared" si="478"/>
        <v>0</v>
      </c>
      <c r="L1849" s="305">
        <f>IF(H1849=0,0,IF(OR(E1849=$AT$5,E1849=$AT$6),AA1849,IF(F1849="MXN",1/HLOOKUP(YEAR(G1849)+(MONTH(G1849)/100),TC!$5:$37,DAY(G1849)+2,FALSE),VLOOKUP(F1849,Equivalencia!$5:$23,((MAX(Equivalencia!$3:$3)-YEAR(G1849))*14)+MONTH(G1849)+2,FALSE))))</f>
        <v>0</v>
      </c>
      <c r="M1849" s="306">
        <f t="shared" si="479"/>
        <v>0</v>
      </c>
      <c r="N1849" s="305">
        <f>IF(G1849=0,0,(IF(OR(E1849=$AT$5,E1849=$AT$6),AC1849,HLOOKUP(YEAR(G1849)+(MONTH(G1849)/100),TC!$5:$37,DAY(G1849)+2,FALSE))))</f>
        <v>0</v>
      </c>
      <c r="O1849" s="307">
        <f t="shared" si="480"/>
        <v>0</v>
      </c>
      <c r="P1849" s="560">
        <f>IF(G1849=0,0,VLOOKUP(YEAR(G1849),INPC!$B$4:$P$30,MONTH(G1849)+2))</f>
        <v>0</v>
      </c>
      <c r="Q1849" s="560">
        <f>IF(X1849=0,0,IF(OR(E1849=$AT$10,E1849=$AT$9),VLOOKUP(YEAR(X1849),INPC!$B$4:$P$30,MONTH(X1849)+1),VLOOKUP(YEAR(X1849),INPC!$B$4:$P$30,MONTH(X1849)+2,0)))</f>
        <v>0</v>
      </c>
      <c r="R1849" s="309">
        <f t="shared" si="481"/>
        <v>0</v>
      </c>
      <c r="S1849" s="310">
        <f t="shared" si="482"/>
        <v>0</v>
      </c>
      <c r="T1849" s="555">
        <f t="shared" si="483"/>
        <v>0</v>
      </c>
      <c r="U1849" s="311"/>
      <c r="V1849" s="312"/>
      <c r="W1849" s="299"/>
      <c r="X1849" s="300"/>
      <c r="Y1849" s="299"/>
      <c r="Z1849" s="303"/>
      <c r="AA1849" s="305">
        <f>IF(Z1849=0,0,IF(Y1849="MXN",1/HLOOKUP(YEAR(X1849)+(MONTH(X1849)/100),TC!$5:$37,DAY(X1849)+2,FALSE),VLOOKUP(Y1849,Equivalencia!$1:$23,((MAX(Equivalencia!$3:$3)-YEAR(X1849))*14)+MONTH(X1849)+2,FALSE)))</f>
        <v>0</v>
      </c>
      <c r="AB1849" s="306">
        <f t="shared" si="484"/>
        <v>0</v>
      </c>
      <c r="AC1849" s="305">
        <f>+IF(X1849=0,0,HLOOKUP(YEAR(X1849)+(MONTH(X1849)/100),TC!$5:$37,DAY(X1849)+2,FALSE))</f>
        <v>0</v>
      </c>
      <c r="AD1849" s="307">
        <f t="shared" si="485"/>
        <v>0</v>
      </c>
      <c r="AE1849" s="314">
        <f t="shared" si="486"/>
        <v>0</v>
      </c>
      <c r="AF1849" s="315">
        <f t="shared" si="487"/>
        <v>0</v>
      </c>
      <c r="AG1849" s="316">
        <f t="shared" si="488"/>
        <v>0</v>
      </c>
      <c r="AH1849" s="314">
        <v>1</v>
      </c>
      <c r="AI1849" s="314">
        <f t="shared" si="489"/>
        <v>0</v>
      </c>
      <c r="AJ1849" s="314">
        <f t="shared" si="490"/>
        <v>0</v>
      </c>
      <c r="AK1849" s="317"/>
      <c r="AL1849" s="315">
        <f t="shared" si="491"/>
        <v>0</v>
      </c>
      <c r="AN1849" s="554">
        <f t="shared" si="492"/>
        <v>0</v>
      </c>
      <c r="AO1849" s="314"/>
      <c r="AP1849" s="318"/>
    </row>
    <row r="1850" spans="2:42">
      <c r="B1850" s="296"/>
      <c r="C1850" s="299"/>
      <c r="D1850" s="298"/>
      <c r="E1850" s="299"/>
      <c r="F1850" s="299"/>
      <c r="G1850" s="300"/>
      <c r="H1850" s="303"/>
      <c r="I1850" s="301">
        <f t="shared" si="476"/>
        <v>0</v>
      </c>
      <c r="J1850" s="302">
        <f t="shared" si="477"/>
        <v>0</v>
      </c>
      <c r="K1850" s="304">
        <f t="shared" si="478"/>
        <v>0</v>
      </c>
      <c r="L1850" s="305">
        <f>IF(H1850=0,0,IF(OR(E1850=$AT$5,E1850=$AT$6),AA1850,IF(F1850="MXN",1/HLOOKUP(YEAR(G1850)+(MONTH(G1850)/100),TC!$5:$37,DAY(G1850)+2,FALSE),VLOOKUP(F1850,Equivalencia!$5:$23,((MAX(Equivalencia!$3:$3)-YEAR(G1850))*14)+MONTH(G1850)+2,FALSE))))</f>
        <v>0</v>
      </c>
      <c r="M1850" s="306">
        <f t="shared" si="479"/>
        <v>0</v>
      </c>
      <c r="N1850" s="305">
        <f>IF(G1850=0,0,(IF(OR(E1850=$AT$5,E1850=$AT$6),AC1850,HLOOKUP(YEAR(G1850)+(MONTH(G1850)/100),TC!$5:$37,DAY(G1850)+2,FALSE))))</f>
        <v>0</v>
      </c>
      <c r="O1850" s="307">
        <f t="shared" si="480"/>
        <v>0</v>
      </c>
      <c r="P1850" s="560">
        <f>IF(G1850=0,0,VLOOKUP(YEAR(G1850),INPC!$B$4:$P$30,MONTH(G1850)+2))</f>
        <v>0</v>
      </c>
      <c r="Q1850" s="560">
        <f>IF(X1850=0,0,IF(OR(E1850=$AT$10,E1850=$AT$9),VLOOKUP(YEAR(X1850),INPC!$B$4:$P$30,MONTH(X1850)+1),VLOOKUP(YEAR(X1850),INPC!$B$4:$P$30,MONTH(X1850)+2,0)))</f>
        <v>0</v>
      </c>
      <c r="R1850" s="309">
        <f t="shared" si="481"/>
        <v>0</v>
      </c>
      <c r="S1850" s="310">
        <f t="shared" si="482"/>
        <v>0</v>
      </c>
      <c r="T1850" s="555">
        <f t="shared" si="483"/>
        <v>0</v>
      </c>
      <c r="U1850" s="311"/>
      <c r="V1850" s="312"/>
      <c r="W1850" s="299"/>
      <c r="X1850" s="300"/>
      <c r="Y1850" s="299"/>
      <c r="Z1850" s="303"/>
      <c r="AA1850" s="305">
        <f>IF(Z1850=0,0,IF(Y1850="MXN",1/HLOOKUP(YEAR(X1850)+(MONTH(X1850)/100),TC!$5:$37,DAY(X1850)+2,FALSE),VLOOKUP(Y1850,Equivalencia!$1:$23,((MAX(Equivalencia!$3:$3)-YEAR(X1850))*14)+MONTH(X1850)+2,FALSE)))</f>
        <v>0</v>
      </c>
      <c r="AB1850" s="306">
        <f t="shared" si="484"/>
        <v>0</v>
      </c>
      <c r="AC1850" s="305">
        <f>+IF(X1850=0,0,HLOOKUP(YEAR(X1850)+(MONTH(X1850)/100),TC!$5:$37,DAY(X1850)+2,FALSE))</f>
        <v>0</v>
      </c>
      <c r="AD1850" s="307">
        <f t="shared" si="485"/>
        <v>0</v>
      </c>
      <c r="AE1850" s="314">
        <f t="shared" si="486"/>
        <v>0</v>
      </c>
      <c r="AF1850" s="315">
        <f t="shared" si="487"/>
        <v>0</v>
      </c>
      <c r="AG1850" s="316">
        <f t="shared" si="488"/>
        <v>0</v>
      </c>
      <c r="AH1850" s="314">
        <v>1</v>
      </c>
      <c r="AI1850" s="314">
        <f t="shared" si="489"/>
        <v>0</v>
      </c>
      <c r="AJ1850" s="314">
        <f t="shared" si="490"/>
        <v>0</v>
      </c>
      <c r="AK1850" s="317"/>
      <c r="AL1850" s="315">
        <f t="shared" si="491"/>
        <v>0</v>
      </c>
      <c r="AN1850" s="554">
        <f t="shared" si="492"/>
        <v>0</v>
      </c>
      <c r="AO1850" s="314"/>
      <c r="AP1850" s="318"/>
    </row>
    <row r="1851" spans="2:42">
      <c r="B1851" s="296"/>
      <c r="C1851" s="299"/>
      <c r="D1851" s="298"/>
      <c r="E1851" s="299"/>
      <c r="F1851" s="299"/>
      <c r="G1851" s="300"/>
      <c r="H1851" s="303"/>
      <c r="I1851" s="301">
        <f t="shared" si="476"/>
        <v>0</v>
      </c>
      <c r="J1851" s="302">
        <f t="shared" si="477"/>
        <v>0</v>
      </c>
      <c r="K1851" s="304">
        <f t="shared" si="478"/>
        <v>0</v>
      </c>
      <c r="L1851" s="305">
        <f>IF(H1851=0,0,IF(OR(E1851=$AT$5,E1851=$AT$6),AA1851,IF(F1851="MXN",1/HLOOKUP(YEAR(G1851)+(MONTH(G1851)/100),TC!$5:$37,DAY(G1851)+2,FALSE),VLOOKUP(F1851,Equivalencia!$5:$23,((MAX(Equivalencia!$3:$3)-YEAR(G1851))*14)+MONTH(G1851)+2,FALSE))))</f>
        <v>0</v>
      </c>
      <c r="M1851" s="306">
        <f t="shared" si="479"/>
        <v>0</v>
      </c>
      <c r="N1851" s="305">
        <f>IF(G1851=0,0,(IF(OR(E1851=$AT$5,E1851=$AT$6),AC1851,HLOOKUP(YEAR(G1851)+(MONTH(G1851)/100),TC!$5:$37,DAY(G1851)+2,FALSE))))</f>
        <v>0</v>
      </c>
      <c r="O1851" s="307">
        <f t="shared" si="480"/>
        <v>0</v>
      </c>
      <c r="P1851" s="560">
        <f>IF(G1851=0,0,VLOOKUP(YEAR(G1851),INPC!$B$4:$P$30,MONTH(G1851)+2))</f>
        <v>0</v>
      </c>
      <c r="Q1851" s="560">
        <f>IF(X1851=0,0,IF(OR(E1851=$AT$10,E1851=$AT$9),VLOOKUP(YEAR(X1851),INPC!$B$4:$P$30,MONTH(X1851)+1),VLOOKUP(YEAR(X1851),INPC!$B$4:$P$30,MONTH(X1851)+2,0)))</f>
        <v>0</v>
      </c>
      <c r="R1851" s="309">
        <f t="shared" si="481"/>
        <v>0</v>
      </c>
      <c r="S1851" s="310">
        <f t="shared" si="482"/>
        <v>0</v>
      </c>
      <c r="T1851" s="555">
        <f t="shared" si="483"/>
        <v>0</v>
      </c>
      <c r="U1851" s="311"/>
      <c r="V1851" s="312"/>
      <c r="W1851" s="299"/>
      <c r="X1851" s="300"/>
      <c r="Y1851" s="299"/>
      <c r="Z1851" s="303"/>
      <c r="AA1851" s="305">
        <f>IF(Z1851=0,0,IF(Y1851="MXN",1/HLOOKUP(YEAR(X1851)+(MONTH(X1851)/100),TC!$5:$37,DAY(X1851)+2,FALSE),VLOOKUP(Y1851,Equivalencia!$1:$23,((MAX(Equivalencia!$3:$3)-YEAR(X1851))*14)+MONTH(X1851)+2,FALSE)))</f>
        <v>0</v>
      </c>
      <c r="AB1851" s="306">
        <f t="shared" si="484"/>
        <v>0</v>
      </c>
      <c r="AC1851" s="305">
        <f>+IF(X1851=0,0,HLOOKUP(YEAR(X1851)+(MONTH(X1851)/100),TC!$5:$37,DAY(X1851)+2,FALSE))</f>
        <v>0</v>
      </c>
      <c r="AD1851" s="307">
        <f t="shared" si="485"/>
        <v>0</v>
      </c>
      <c r="AE1851" s="314">
        <f t="shared" si="486"/>
        <v>0</v>
      </c>
      <c r="AF1851" s="315">
        <f t="shared" si="487"/>
        <v>0</v>
      </c>
      <c r="AG1851" s="316">
        <f t="shared" si="488"/>
        <v>0</v>
      </c>
      <c r="AH1851" s="314">
        <v>1</v>
      </c>
      <c r="AI1851" s="314">
        <f t="shared" si="489"/>
        <v>0</v>
      </c>
      <c r="AJ1851" s="314">
        <f t="shared" si="490"/>
        <v>0</v>
      </c>
      <c r="AK1851" s="317"/>
      <c r="AL1851" s="315">
        <f t="shared" si="491"/>
        <v>0</v>
      </c>
      <c r="AN1851" s="554">
        <f t="shared" si="492"/>
        <v>0</v>
      </c>
      <c r="AO1851" s="314"/>
      <c r="AP1851" s="318"/>
    </row>
    <row r="1852" spans="2:42">
      <c r="B1852" s="296"/>
      <c r="C1852" s="299"/>
      <c r="D1852" s="298"/>
      <c r="E1852" s="299"/>
      <c r="F1852" s="299"/>
      <c r="G1852" s="300"/>
      <c r="H1852" s="303"/>
      <c r="I1852" s="301">
        <f t="shared" ref="I1852:I1915" si="493">IF(D1852=0,0,IF(OR(E1852=$AT$9,E1852=$AT$10),"Ingresos Sección II LISR (SIC &amp; BMV)","Ingresos Sección I LISR"))</f>
        <v>0</v>
      </c>
      <c r="J1852" s="302">
        <f t="shared" ref="J1852:J1915" si="494">+V1852</f>
        <v>0</v>
      </c>
      <c r="K1852" s="304">
        <f t="shared" ref="K1852:K1915" si="495">IF(H1852=0,0,H1852/J1852)</f>
        <v>0</v>
      </c>
      <c r="L1852" s="305">
        <f>IF(H1852=0,0,IF(OR(E1852=$AT$5,E1852=$AT$6),AA1852,IF(F1852="MXN",1/HLOOKUP(YEAR(G1852)+(MONTH(G1852)/100),TC!$5:$37,DAY(G1852)+2,FALSE),VLOOKUP(F1852,Equivalencia!$5:$23,((MAX(Equivalencia!$3:$3)-YEAR(G1852))*14)+MONTH(G1852)+2,FALSE))))</f>
        <v>0</v>
      </c>
      <c r="M1852" s="306">
        <f t="shared" ref="M1852:M1915" si="496">+H1852*L1852</f>
        <v>0</v>
      </c>
      <c r="N1852" s="305">
        <f>IF(G1852=0,0,(IF(OR(E1852=$AT$5,E1852=$AT$6),AC1852,HLOOKUP(YEAR(G1852)+(MONTH(G1852)/100),TC!$5:$37,DAY(G1852)+2,FALSE))))</f>
        <v>0</v>
      </c>
      <c r="O1852" s="307">
        <f t="shared" ref="O1852:O1915" si="497">+M1852*N1852</f>
        <v>0</v>
      </c>
      <c r="P1852" s="560">
        <f>IF(G1852=0,0,VLOOKUP(YEAR(G1852),INPC!$B$4:$P$30,MONTH(G1852)+2))</f>
        <v>0</v>
      </c>
      <c r="Q1852" s="560">
        <f>IF(X1852=0,0,IF(OR(E1852=$AT$10,E1852=$AT$9),VLOOKUP(YEAR(X1852),INPC!$B$4:$P$30,MONTH(X1852)+1),VLOOKUP(YEAR(X1852),INPC!$B$4:$P$30,MONTH(X1852)+2,0)))</f>
        <v>0</v>
      </c>
      <c r="R1852" s="309">
        <f t="shared" ref="R1852:R1915" si="498">IF(H1852=0,0,IF(OR(E1852=$AT$5,E1852=$AT$6),1,IF(TRUNC(Q1852/P1852,4)&gt;=1,TRUNC(Q1852/P1852,4),1)))</f>
        <v>0</v>
      </c>
      <c r="S1852" s="310">
        <f t="shared" ref="S1852:S1915" si="499">+R1852*O1852</f>
        <v>0</v>
      </c>
      <c r="T1852" s="555">
        <f t="shared" ref="T1852:T1915" si="500">IF(V1852=0,0,S1852/V1852)</f>
        <v>0</v>
      </c>
      <c r="U1852" s="311"/>
      <c r="V1852" s="312"/>
      <c r="W1852" s="299"/>
      <c r="X1852" s="300"/>
      <c r="Y1852" s="299"/>
      <c r="Z1852" s="303"/>
      <c r="AA1852" s="305">
        <f>IF(Z1852=0,0,IF(Y1852="MXN",1/HLOOKUP(YEAR(X1852)+(MONTH(X1852)/100),TC!$5:$37,DAY(X1852)+2,FALSE),VLOOKUP(Y1852,Equivalencia!$1:$23,((MAX(Equivalencia!$3:$3)-YEAR(X1852))*14)+MONTH(X1852)+2,FALSE)))</f>
        <v>0</v>
      </c>
      <c r="AB1852" s="306">
        <f t="shared" ref="AB1852:AB1915" si="501">+AA1852*Z1852</f>
        <v>0</v>
      </c>
      <c r="AC1852" s="305">
        <f>+IF(X1852=0,0,HLOOKUP(YEAR(X1852)+(MONTH(X1852)/100),TC!$5:$37,DAY(X1852)+2,FALSE))</f>
        <v>0</v>
      </c>
      <c r="AD1852" s="307">
        <f t="shared" ref="AD1852:AD1915" si="502">+AC1852*AB1852</f>
        <v>0</v>
      </c>
      <c r="AE1852" s="314">
        <f t="shared" ref="AE1852:AE1915" si="503">+V1852*T1852</f>
        <v>0</v>
      </c>
      <c r="AF1852" s="315">
        <f t="shared" ref="AF1852:AF1915" si="504">IF(E1852=$AT$11,0,AD1852-AE1852)</f>
        <v>0</v>
      </c>
      <c r="AG1852" s="316">
        <f t="shared" ref="AG1852:AG1915" si="505">+IF(AND(AF1852&lt;0,OR(E1852=$AT$5,E1852=$AT$6)),1,((X1852-G1852)/365))</f>
        <v>0</v>
      </c>
      <c r="AH1852" s="314">
        <v>1</v>
      </c>
      <c r="AI1852" s="314">
        <f t="shared" ref="AI1852:AI1915" si="506">+IF(OR(E1852=$AT$9,E1852=$AT$10),AF1852,+AF1852/AH1852)</f>
        <v>0</v>
      </c>
      <c r="AJ1852" s="314">
        <f t="shared" ref="AJ1852:AJ1915" si="507">+AF1852-AI1852</f>
        <v>0</v>
      </c>
      <c r="AK1852" s="317"/>
      <c r="AL1852" s="315">
        <f t="shared" ref="AL1852:AL1915" si="508">+AB1852-M1852</f>
        <v>0</v>
      </c>
      <c r="AN1852" s="554">
        <f t="shared" ref="AN1852:AN1915" si="509">IF(AL1852=0,0,AL1852/H1852)</f>
        <v>0</v>
      </c>
      <c r="AO1852" s="314"/>
      <c r="AP1852" s="318"/>
    </row>
    <row r="1853" spans="2:42">
      <c r="B1853" s="296"/>
      <c r="C1853" s="299"/>
      <c r="D1853" s="298"/>
      <c r="E1853" s="299"/>
      <c r="F1853" s="299"/>
      <c r="G1853" s="300"/>
      <c r="H1853" s="303"/>
      <c r="I1853" s="301">
        <f t="shared" si="493"/>
        <v>0</v>
      </c>
      <c r="J1853" s="302">
        <f t="shared" si="494"/>
        <v>0</v>
      </c>
      <c r="K1853" s="304">
        <f t="shared" si="495"/>
        <v>0</v>
      </c>
      <c r="L1853" s="305">
        <f>IF(H1853=0,0,IF(OR(E1853=$AT$5,E1853=$AT$6),AA1853,IF(F1853="MXN",1/HLOOKUP(YEAR(G1853)+(MONTH(G1853)/100),TC!$5:$37,DAY(G1853)+2,FALSE),VLOOKUP(F1853,Equivalencia!$5:$23,((MAX(Equivalencia!$3:$3)-YEAR(G1853))*14)+MONTH(G1853)+2,FALSE))))</f>
        <v>0</v>
      </c>
      <c r="M1853" s="306">
        <f t="shared" si="496"/>
        <v>0</v>
      </c>
      <c r="N1853" s="305">
        <f>IF(G1853=0,0,(IF(OR(E1853=$AT$5,E1853=$AT$6),AC1853,HLOOKUP(YEAR(G1853)+(MONTH(G1853)/100),TC!$5:$37,DAY(G1853)+2,FALSE))))</f>
        <v>0</v>
      </c>
      <c r="O1853" s="307">
        <f t="shared" si="497"/>
        <v>0</v>
      </c>
      <c r="P1853" s="560">
        <f>IF(G1853=0,0,VLOOKUP(YEAR(G1853),INPC!$B$4:$P$30,MONTH(G1853)+2))</f>
        <v>0</v>
      </c>
      <c r="Q1853" s="560">
        <f>IF(X1853=0,0,IF(OR(E1853=$AT$10,E1853=$AT$9),VLOOKUP(YEAR(X1853),INPC!$B$4:$P$30,MONTH(X1853)+1),VLOOKUP(YEAR(X1853),INPC!$B$4:$P$30,MONTH(X1853)+2,0)))</f>
        <v>0</v>
      </c>
      <c r="R1853" s="309">
        <f t="shared" si="498"/>
        <v>0</v>
      </c>
      <c r="S1853" s="310">
        <f t="shared" si="499"/>
        <v>0</v>
      </c>
      <c r="T1853" s="555">
        <f t="shared" si="500"/>
        <v>0</v>
      </c>
      <c r="U1853" s="311"/>
      <c r="V1853" s="312"/>
      <c r="W1853" s="299"/>
      <c r="X1853" s="300"/>
      <c r="Y1853" s="299"/>
      <c r="Z1853" s="303"/>
      <c r="AA1853" s="305">
        <f>IF(Z1853=0,0,IF(Y1853="MXN",1/HLOOKUP(YEAR(X1853)+(MONTH(X1853)/100),TC!$5:$37,DAY(X1853)+2,FALSE),VLOOKUP(Y1853,Equivalencia!$1:$23,((MAX(Equivalencia!$3:$3)-YEAR(X1853))*14)+MONTH(X1853)+2,FALSE)))</f>
        <v>0</v>
      </c>
      <c r="AB1853" s="306">
        <f t="shared" si="501"/>
        <v>0</v>
      </c>
      <c r="AC1853" s="305">
        <f>+IF(X1853=0,0,HLOOKUP(YEAR(X1853)+(MONTH(X1853)/100),TC!$5:$37,DAY(X1853)+2,FALSE))</f>
        <v>0</v>
      </c>
      <c r="AD1853" s="307">
        <f t="shared" si="502"/>
        <v>0</v>
      </c>
      <c r="AE1853" s="314">
        <f t="shared" si="503"/>
        <v>0</v>
      </c>
      <c r="AF1853" s="315">
        <f t="shared" si="504"/>
        <v>0</v>
      </c>
      <c r="AG1853" s="316">
        <f t="shared" si="505"/>
        <v>0</v>
      </c>
      <c r="AH1853" s="314">
        <v>1</v>
      </c>
      <c r="AI1853" s="314">
        <f t="shared" si="506"/>
        <v>0</v>
      </c>
      <c r="AJ1853" s="314">
        <f t="shared" si="507"/>
        <v>0</v>
      </c>
      <c r="AK1853" s="317"/>
      <c r="AL1853" s="315">
        <f t="shared" si="508"/>
        <v>0</v>
      </c>
      <c r="AN1853" s="554">
        <f t="shared" si="509"/>
        <v>0</v>
      </c>
      <c r="AO1853" s="314"/>
      <c r="AP1853" s="318"/>
    </row>
    <row r="1854" spans="2:42">
      <c r="B1854" s="296"/>
      <c r="C1854" s="299"/>
      <c r="D1854" s="298"/>
      <c r="E1854" s="299"/>
      <c r="F1854" s="299"/>
      <c r="G1854" s="300"/>
      <c r="H1854" s="303"/>
      <c r="I1854" s="301">
        <f t="shared" si="493"/>
        <v>0</v>
      </c>
      <c r="J1854" s="302">
        <f t="shared" si="494"/>
        <v>0</v>
      </c>
      <c r="K1854" s="304">
        <f t="shared" si="495"/>
        <v>0</v>
      </c>
      <c r="L1854" s="305">
        <f>IF(H1854=0,0,IF(OR(E1854=$AT$5,E1854=$AT$6),AA1854,IF(F1854="MXN",1/HLOOKUP(YEAR(G1854)+(MONTH(G1854)/100),TC!$5:$37,DAY(G1854)+2,FALSE),VLOOKUP(F1854,Equivalencia!$5:$23,((MAX(Equivalencia!$3:$3)-YEAR(G1854))*14)+MONTH(G1854)+2,FALSE))))</f>
        <v>0</v>
      </c>
      <c r="M1854" s="306">
        <f t="shared" si="496"/>
        <v>0</v>
      </c>
      <c r="N1854" s="305">
        <f>IF(G1854=0,0,(IF(OR(E1854=$AT$5,E1854=$AT$6),AC1854,HLOOKUP(YEAR(G1854)+(MONTH(G1854)/100),TC!$5:$37,DAY(G1854)+2,FALSE))))</f>
        <v>0</v>
      </c>
      <c r="O1854" s="307">
        <f t="shared" si="497"/>
        <v>0</v>
      </c>
      <c r="P1854" s="560">
        <f>IF(G1854=0,0,VLOOKUP(YEAR(G1854),INPC!$B$4:$P$30,MONTH(G1854)+2))</f>
        <v>0</v>
      </c>
      <c r="Q1854" s="560">
        <f>IF(X1854=0,0,IF(OR(E1854=$AT$10,E1854=$AT$9),VLOOKUP(YEAR(X1854),INPC!$B$4:$P$30,MONTH(X1854)+1),VLOOKUP(YEAR(X1854),INPC!$B$4:$P$30,MONTH(X1854)+2,0)))</f>
        <v>0</v>
      </c>
      <c r="R1854" s="309">
        <f t="shared" si="498"/>
        <v>0</v>
      </c>
      <c r="S1854" s="310">
        <f t="shared" si="499"/>
        <v>0</v>
      </c>
      <c r="T1854" s="555">
        <f t="shared" si="500"/>
        <v>0</v>
      </c>
      <c r="U1854" s="311"/>
      <c r="V1854" s="312"/>
      <c r="W1854" s="299"/>
      <c r="X1854" s="300"/>
      <c r="Y1854" s="299"/>
      <c r="Z1854" s="303"/>
      <c r="AA1854" s="305">
        <f>IF(Z1854=0,0,IF(Y1854="MXN",1/HLOOKUP(YEAR(X1854)+(MONTH(X1854)/100),TC!$5:$37,DAY(X1854)+2,FALSE),VLOOKUP(Y1854,Equivalencia!$1:$23,((MAX(Equivalencia!$3:$3)-YEAR(X1854))*14)+MONTH(X1854)+2,FALSE)))</f>
        <v>0</v>
      </c>
      <c r="AB1854" s="306">
        <f t="shared" si="501"/>
        <v>0</v>
      </c>
      <c r="AC1854" s="305">
        <f>+IF(X1854=0,0,HLOOKUP(YEAR(X1854)+(MONTH(X1854)/100),TC!$5:$37,DAY(X1854)+2,FALSE))</f>
        <v>0</v>
      </c>
      <c r="AD1854" s="307">
        <f t="shared" si="502"/>
        <v>0</v>
      </c>
      <c r="AE1854" s="314">
        <f t="shared" si="503"/>
        <v>0</v>
      </c>
      <c r="AF1854" s="315">
        <f t="shared" si="504"/>
        <v>0</v>
      </c>
      <c r="AG1854" s="316">
        <f t="shared" si="505"/>
        <v>0</v>
      </c>
      <c r="AH1854" s="314">
        <v>1</v>
      </c>
      <c r="AI1854" s="314">
        <f t="shared" si="506"/>
        <v>0</v>
      </c>
      <c r="AJ1854" s="314">
        <f t="shared" si="507"/>
        <v>0</v>
      </c>
      <c r="AK1854" s="317"/>
      <c r="AL1854" s="315">
        <f t="shared" si="508"/>
        <v>0</v>
      </c>
      <c r="AN1854" s="554">
        <f t="shared" si="509"/>
        <v>0</v>
      </c>
      <c r="AO1854" s="314"/>
      <c r="AP1854" s="318"/>
    </row>
    <row r="1855" spans="2:42">
      <c r="B1855" s="296"/>
      <c r="C1855" s="299"/>
      <c r="D1855" s="298"/>
      <c r="E1855" s="299"/>
      <c r="F1855" s="299"/>
      <c r="G1855" s="300"/>
      <c r="H1855" s="303"/>
      <c r="I1855" s="301">
        <f t="shared" si="493"/>
        <v>0</v>
      </c>
      <c r="J1855" s="302">
        <f t="shared" si="494"/>
        <v>0</v>
      </c>
      <c r="K1855" s="304">
        <f t="shared" si="495"/>
        <v>0</v>
      </c>
      <c r="L1855" s="305">
        <f>IF(H1855=0,0,IF(OR(E1855=$AT$5,E1855=$AT$6),AA1855,IF(F1855="MXN",1/HLOOKUP(YEAR(G1855)+(MONTH(G1855)/100),TC!$5:$37,DAY(G1855)+2,FALSE),VLOOKUP(F1855,Equivalencia!$5:$23,((MAX(Equivalencia!$3:$3)-YEAR(G1855))*14)+MONTH(G1855)+2,FALSE))))</f>
        <v>0</v>
      </c>
      <c r="M1855" s="306">
        <f t="shared" si="496"/>
        <v>0</v>
      </c>
      <c r="N1855" s="305">
        <f>IF(G1855=0,0,(IF(OR(E1855=$AT$5,E1855=$AT$6),AC1855,HLOOKUP(YEAR(G1855)+(MONTH(G1855)/100),TC!$5:$37,DAY(G1855)+2,FALSE))))</f>
        <v>0</v>
      </c>
      <c r="O1855" s="307">
        <f t="shared" si="497"/>
        <v>0</v>
      </c>
      <c r="P1855" s="560">
        <f>IF(G1855=0,0,VLOOKUP(YEAR(G1855),INPC!$B$4:$P$30,MONTH(G1855)+2))</f>
        <v>0</v>
      </c>
      <c r="Q1855" s="560">
        <f>IF(X1855=0,0,IF(OR(E1855=$AT$10,E1855=$AT$9),VLOOKUP(YEAR(X1855),INPC!$B$4:$P$30,MONTH(X1855)+1),VLOOKUP(YEAR(X1855),INPC!$B$4:$P$30,MONTH(X1855)+2,0)))</f>
        <v>0</v>
      </c>
      <c r="R1855" s="309">
        <f t="shared" si="498"/>
        <v>0</v>
      </c>
      <c r="S1855" s="310">
        <f t="shared" si="499"/>
        <v>0</v>
      </c>
      <c r="T1855" s="555">
        <f t="shared" si="500"/>
        <v>0</v>
      </c>
      <c r="U1855" s="311"/>
      <c r="V1855" s="312"/>
      <c r="W1855" s="299"/>
      <c r="X1855" s="300"/>
      <c r="Y1855" s="299"/>
      <c r="Z1855" s="303"/>
      <c r="AA1855" s="305">
        <f>IF(Z1855=0,0,IF(Y1855="MXN",1/HLOOKUP(YEAR(X1855)+(MONTH(X1855)/100),TC!$5:$37,DAY(X1855)+2,FALSE),VLOOKUP(Y1855,Equivalencia!$1:$23,((MAX(Equivalencia!$3:$3)-YEAR(X1855))*14)+MONTH(X1855)+2,FALSE)))</f>
        <v>0</v>
      </c>
      <c r="AB1855" s="306">
        <f t="shared" si="501"/>
        <v>0</v>
      </c>
      <c r="AC1855" s="305">
        <f>+IF(X1855=0,0,HLOOKUP(YEAR(X1855)+(MONTH(X1855)/100),TC!$5:$37,DAY(X1855)+2,FALSE))</f>
        <v>0</v>
      </c>
      <c r="AD1855" s="307">
        <f t="shared" si="502"/>
        <v>0</v>
      </c>
      <c r="AE1855" s="314">
        <f t="shared" si="503"/>
        <v>0</v>
      </c>
      <c r="AF1855" s="315">
        <f t="shared" si="504"/>
        <v>0</v>
      </c>
      <c r="AG1855" s="316">
        <f t="shared" si="505"/>
        <v>0</v>
      </c>
      <c r="AH1855" s="314">
        <v>1</v>
      </c>
      <c r="AI1855" s="314">
        <f t="shared" si="506"/>
        <v>0</v>
      </c>
      <c r="AJ1855" s="314">
        <f t="shared" si="507"/>
        <v>0</v>
      </c>
      <c r="AK1855" s="317"/>
      <c r="AL1855" s="315">
        <f t="shared" si="508"/>
        <v>0</v>
      </c>
      <c r="AN1855" s="554">
        <f t="shared" si="509"/>
        <v>0</v>
      </c>
      <c r="AO1855" s="314"/>
      <c r="AP1855" s="318"/>
    </row>
    <row r="1856" spans="2:42">
      <c r="B1856" s="296"/>
      <c r="C1856" s="299"/>
      <c r="D1856" s="298"/>
      <c r="E1856" s="299"/>
      <c r="F1856" s="299"/>
      <c r="G1856" s="300"/>
      <c r="H1856" s="303"/>
      <c r="I1856" s="301">
        <f t="shared" si="493"/>
        <v>0</v>
      </c>
      <c r="J1856" s="302">
        <f t="shared" si="494"/>
        <v>0</v>
      </c>
      <c r="K1856" s="304">
        <f t="shared" si="495"/>
        <v>0</v>
      </c>
      <c r="L1856" s="305">
        <f>IF(H1856=0,0,IF(OR(E1856=$AT$5,E1856=$AT$6),AA1856,IF(F1856="MXN",1/HLOOKUP(YEAR(G1856)+(MONTH(G1856)/100),TC!$5:$37,DAY(G1856)+2,FALSE),VLOOKUP(F1856,Equivalencia!$5:$23,((MAX(Equivalencia!$3:$3)-YEAR(G1856))*14)+MONTH(G1856)+2,FALSE))))</f>
        <v>0</v>
      </c>
      <c r="M1856" s="306">
        <f t="shared" si="496"/>
        <v>0</v>
      </c>
      <c r="N1856" s="305">
        <f>IF(G1856=0,0,(IF(OR(E1856=$AT$5,E1856=$AT$6),AC1856,HLOOKUP(YEAR(G1856)+(MONTH(G1856)/100),TC!$5:$37,DAY(G1856)+2,FALSE))))</f>
        <v>0</v>
      </c>
      <c r="O1856" s="307">
        <f t="shared" si="497"/>
        <v>0</v>
      </c>
      <c r="P1856" s="560">
        <f>IF(G1856=0,0,VLOOKUP(YEAR(G1856),INPC!$B$4:$P$30,MONTH(G1856)+2))</f>
        <v>0</v>
      </c>
      <c r="Q1856" s="560">
        <f>IF(X1856=0,0,IF(OR(E1856=$AT$10,E1856=$AT$9),VLOOKUP(YEAR(X1856),INPC!$B$4:$P$30,MONTH(X1856)+1),VLOOKUP(YEAR(X1856),INPC!$B$4:$P$30,MONTH(X1856)+2,0)))</f>
        <v>0</v>
      </c>
      <c r="R1856" s="309">
        <f t="shared" si="498"/>
        <v>0</v>
      </c>
      <c r="S1856" s="310">
        <f t="shared" si="499"/>
        <v>0</v>
      </c>
      <c r="T1856" s="555">
        <f t="shared" si="500"/>
        <v>0</v>
      </c>
      <c r="U1856" s="311"/>
      <c r="V1856" s="312"/>
      <c r="W1856" s="299"/>
      <c r="X1856" s="300"/>
      <c r="Y1856" s="299"/>
      <c r="Z1856" s="303"/>
      <c r="AA1856" s="305">
        <f>IF(Z1856=0,0,IF(Y1856="MXN",1/HLOOKUP(YEAR(X1856)+(MONTH(X1856)/100),TC!$5:$37,DAY(X1856)+2,FALSE),VLOOKUP(Y1856,Equivalencia!$1:$23,((MAX(Equivalencia!$3:$3)-YEAR(X1856))*14)+MONTH(X1856)+2,FALSE)))</f>
        <v>0</v>
      </c>
      <c r="AB1856" s="306">
        <f t="shared" si="501"/>
        <v>0</v>
      </c>
      <c r="AC1856" s="305">
        <f>+IF(X1856=0,0,HLOOKUP(YEAR(X1856)+(MONTH(X1856)/100),TC!$5:$37,DAY(X1856)+2,FALSE))</f>
        <v>0</v>
      </c>
      <c r="AD1856" s="307">
        <f t="shared" si="502"/>
        <v>0</v>
      </c>
      <c r="AE1856" s="314">
        <f t="shared" si="503"/>
        <v>0</v>
      </c>
      <c r="AF1856" s="315">
        <f t="shared" si="504"/>
        <v>0</v>
      </c>
      <c r="AG1856" s="316">
        <f t="shared" si="505"/>
        <v>0</v>
      </c>
      <c r="AH1856" s="314">
        <v>1</v>
      </c>
      <c r="AI1856" s="314">
        <f t="shared" si="506"/>
        <v>0</v>
      </c>
      <c r="AJ1856" s="314">
        <f t="shared" si="507"/>
        <v>0</v>
      </c>
      <c r="AK1856" s="317"/>
      <c r="AL1856" s="315">
        <f t="shared" si="508"/>
        <v>0</v>
      </c>
      <c r="AN1856" s="554">
        <f t="shared" si="509"/>
        <v>0</v>
      </c>
      <c r="AO1856" s="314"/>
      <c r="AP1856" s="318"/>
    </row>
    <row r="1857" spans="2:42">
      <c r="B1857" s="296"/>
      <c r="C1857" s="299"/>
      <c r="D1857" s="298"/>
      <c r="E1857" s="299"/>
      <c r="F1857" s="299"/>
      <c r="G1857" s="300"/>
      <c r="H1857" s="303"/>
      <c r="I1857" s="301">
        <f t="shared" si="493"/>
        <v>0</v>
      </c>
      <c r="J1857" s="302">
        <f t="shared" si="494"/>
        <v>0</v>
      </c>
      <c r="K1857" s="304">
        <f t="shared" si="495"/>
        <v>0</v>
      </c>
      <c r="L1857" s="305">
        <f>IF(H1857=0,0,IF(OR(E1857=$AT$5,E1857=$AT$6),AA1857,IF(F1857="MXN",1/HLOOKUP(YEAR(G1857)+(MONTH(G1857)/100),TC!$5:$37,DAY(G1857)+2,FALSE),VLOOKUP(F1857,Equivalencia!$5:$23,((MAX(Equivalencia!$3:$3)-YEAR(G1857))*14)+MONTH(G1857)+2,FALSE))))</f>
        <v>0</v>
      </c>
      <c r="M1857" s="306">
        <f t="shared" si="496"/>
        <v>0</v>
      </c>
      <c r="N1857" s="305">
        <f>IF(G1857=0,0,(IF(OR(E1857=$AT$5,E1857=$AT$6),AC1857,HLOOKUP(YEAR(G1857)+(MONTH(G1857)/100),TC!$5:$37,DAY(G1857)+2,FALSE))))</f>
        <v>0</v>
      </c>
      <c r="O1857" s="307">
        <f t="shared" si="497"/>
        <v>0</v>
      </c>
      <c r="P1857" s="560">
        <f>IF(G1857=0,0,VLOOKUP(YEAR(G1857),INPC!$B$4:$P$30,MONTH(G1857)+2))</f>
        <v>0</v>
      </c>
      <c r="Q1857" s="560">
        <f>IF(X1857=0,0,IF(OR(E1857=$AT$10,E1857=$AT$9),VLOOKUP(YEAR(X1857),INPC!$B$4:$P$30,MONTH(X1857)+1),VLOOKUP(YEAR(X1857),INPC!$B$4:$P$30,MONTH(X1857)+2,0)))</f>
        <v>0</v>
      </c>
      <c r="R1857" s="309">
        <f t="shared" si="498"/>
        <v>0</v>
      </c>
      <c r="S1857" s="310">
        <f t="shared" si="499"/>
        <v>0</v>
      </c>
      <c r="T1857" s="555">
        <f t="shared" si="500"/>
        <v>0</v>
      </c>
      <c r="U1857" s="311"/>
      <c r="V1857" s="312"/>
      <c r="W1857" s="299"/>
      <c r="X1857" s="300"/>
      <c r="Y1857" s="299"/>
      <c r="Z1857" s="303"/>
      <c r="AA1857" s="305">
        <f>IF(Z1857=0,0,IF(Y1857="MXN",1/HLOOKUP(YEAR(X1857)+(MONTH(X1857)/100),TC!$5:$37,DAY(X1857)+2,FALSE),VLOOKUP(Y1857,Equivalencia!$1:$23,((MAX(Equivalencia!$3:$3)-YEAR(X1857))*14)+MONTH(X1857)+2,FALSE)))</f>
        <v>0</v>
      </c>
      <c r="AB1857" s="306">
        <f t="shared" si="501"/>
        <v>0</v>
      </c>
      <c r="AC1857" s="305">
        <f>+IF(X1857=0,0,HLOOKUP(YEAR(X1857)+(MONTH(X1857)/100),TC!$5:$37,DAY(X1857)+2,FALSE))</f>
        <v>0</v>
      </c>
      <c r="AD1857" s="307">
        <f t="shared" si="502"/>
        <v>0</v>
      </c>
      <c r="AE1857" s="314">
        <f t="shared" si="503"/>
        <v>0</v>
      </c>
      <c r="AF1857" s="315">
        <f t="shared" si="504"/>
        <v>0</v>
      </c>
      <c r="AG1857" s="316">
        <f t="shared" si="505"/>
        <v>0</v>
      </c>
      <c r="AH1857" s="314">
        <v>1</v>
      </c>
      <c r="AI1857" s="314">
        <f t="shared" si="506"/>
        <v>0</v>
      </c>
      <c r="AJ1857" s="314">
        <f t="shared" si="507"/>
        <v>0</v>
      </c>
      <c r="AK1857" s="317"/>
      <c r="AL1857" s="315">
        <f t="shared" si="508"/>
        <v>0</v>
      </c>
      <c r="AN1857" s="554">
        <f t="shared" si="509"/>
        <v>0</v>
      </c>
      <c r="AO1857" s="314"/>
      <c r="AP1857" s="318"/>
    </row>
    <row r="1858" spans="2:42">
      <c r="B1858" s="296"/>
      <c r="C1858" s="299"/>
      <c r="D1858" s="298"/>
      <c r="E1858" s="299"/>
      <c r="F1858" s="299"/>
      <c r="G1858" s="300"/>
      <c r="H1858" s="303"/>
      <c r="I1858" s="301">
        <f t="shared" si="493"/>
        <v>0</v>
      </c>
      <c r="J1858" s="302">
        <f t="shared" si="494"/>
        <v>0</v>
      </c>
      <c r="K1858" s="304">
        <f t="shared" si="495"/>
        <v>0</v>
      </c>
      <c r="L1858" s="305">
        <f>IF(H1858=0,0,IF(OR(E1858=$AT$5,E1858=$AT$6),AA1858,IF(F1858="MXN",1/HLOOKUP(YEAR(G1858)+(MONTH(G1858)/100),TC!$5:$37,DAY(G1858)+2,FALSE),VLOOKUP(F1858,Equivalencia!$5:$23,((MAX(Equivalencia!$3:$3)-YEAR(G1858))*14)+MONTH(G1858)+2,FALSE))))</f>
        <v>0</v>
      </c>
      <c r="M1858" s="306">
        <f t="shared" si="496"/>
        <v>0</v>
      </c>
      <c r="N1858" s="305">
        <f>IF(G1858=0,0,(IF(OR(E1858=$AT$5,E1858=$AT$6),AC1858,HLOOKUP(YEAR(G1858)+(MONTH(G1858)/100),TC!$5:$37,DAY(G1858)+2,FALSE))))</f>
        <v>0</v>
      </c>
      <c r="O1858" s="307">
        <f t="shared" si="497"/>
        <v>0</v>
      </c>
      <c r="P1858" s="560">
        <f>IF(G1858=0,0,VLOOKUP(YEAR(G1858),INPC!$B$4:$P$30,MONTH(G1858)+2))</f>
        <v>0</v>
      </c>
      <c r="Q1858" s="560">
        <f>IF(X1858=0,0,IF(OR(E1858=$AT$10,E1858=$AT$9),VLOOKUP(YEAR(X1858),INPC!$B$4:$P$30,MONTH(X1858)+1),VLOOKUP(YEAR(X1858),INPC!$B$4:$P$30,MONTH(X1858)+2,0)))</f>
        <v>0</v>
      </c>
      <c r="R1858" s="309">
        <f t="shared" si="498"/>
        <v>0</v>
      </c>
      <c r="S1858" s="310">
        <f t="shared" si="499"/>
        <v>0</v>
      </c>
      <c r="T1858" s="555">
        <f t="shared" si="500"/>
        <v>0</v>
      </c>
      <c r="U1858" s="311"/>
      <c r="V1858" s="312"/>
      <c r="W1858" s="299"/>
      <c r="X1858" s="300"/>
      <c r="Y1858" s="299"/>
      <c r="Z1858" s="303"/>
      <c r="AA1858" s="305">
        <f>IF(Z1858=0,0,IF(Y1858="MXN",1/HLOOKUP(YEAR(X1858)+(MONTH(X1858)/100),TC!$5:$37,DAY(X1858)+2,FALSE),VLOOKUP(Y1858,Equivalencia!$1:$23,((MAX(Equivalencia!$3:$3)-YEAR(X1858))*14)+MONTH(X1858)+2,FALSE)))</f>
        <v>0</v>
      </c>
      <c r="AB1858" s="306">
        <f t="shared" si="501"/>
        <v>0</v>
      </c>
      <c r="AC1858" s="305">
        <f>+IF(X1858=0,0,HLOOKUP(YEAR(X1858)+(MONTH(X1858)/100),TC!$5:$37,DAY(X1858)+2,FALSE))</f>
        <v>0</v>
      </c>
      <c r="AD1858" s="307">
        <f t="shared" si="502"/>
        <v>0</v>
      </c>
      <c r="AE1858" s="314">
        <f t="shared" si="503"/>
        <v>0</v>
      </c>
      <c r="AF1858" s="315">
        <f t="shared" si="504"/>
        <v>0</v>
      </c>
      <c r="AG1858" s="316">
        <f t="shared" si="505"/>
        <v>0</v>
      </c>
      <c r="AH1858" s="314">
        <v>1</v>
      </c>
      <c r="AI1858" s="314">
        <f t="shared" si="506"/>
        <v>0</v>
      </c>
      <c r="AJ1858" s="314">
        <f t="shared" si="507"/>
        <v>0</v>
      </c>
      <c r="AK1858" s="317"/>
      <c r="AL1858" s="315">
        <f t="shared" si="508"/>
        <v>0</v>
      </c>
      <c r="AN1858" s="554">
        <f t="shared" si="509"/>
        <v>0</v>
      </c>
      <c r="AO1858" s="314"/>
      <c r="AP1858" s="318"/>
    </row>
    <row r="1859" spans="2:42">
      <c r="B1859" s="296"/>
      <c r="C1859" s="299"/>
      <c r="D1859" s="298"/>
      <c r="E1859" s="299"/>
      <c r="F1859" s="299"/>
      <c r="G1859" s="300"/>
      <c r="H1859" s="303"/>
      <c r="I1859" s="301">
        <f t="shared" si="493"/>
        <v>0</v>
      </c>
      <c r="J1859" s="302">
        <f t="shared" si="494"/>
        <v>0</v>
      </c>
      <c r="K1859" s="304">
        <f t="shared" si="495"/>
        <v>0</v>
      </c>
      <c r="L1859" s="305">
        <f>IF(H1859=0,0,IF(OR(E1859=$AT$5,E1859=$AT$6),AA1859,IF(F1859="MXN",1/HLOOKUP(YEAR(G1859)+(MONTH(G1859)/100),TC!$5:$37,DAY(G1859)+2,FALSE),VLOOKUP(F1859,Equivalencia!$5:$23,((MAX(Equivalencia!$3:$3)-YEAR(G1859))*14)+MONTH(G1859)+2,FALSE))))</f>
        <v>0</v>
      </c>
      <c r="M1859" s="306">
        <f t="shared" si="496"/>
        <v>0</v>
      </c>
      <c r="N1859" s="305">
        <f>IF(G1859=0,0,(IF(OR(E1859=$AT$5,E1859=$AT$6),AC1859,HLOOKUP(YEAR(G1859)+(MONTH(G1859)/100),TC!$5:$37,DAY(G1859)+2,FALSE))))</f>
        <v>0</v>
      </c>
      <c r="O1859" s="307">
        <f t="shared" si="497"/>
        <v>0</v>
      </c>
      <c r="P1859" s="560">
        <f>IF(G1859=0,0,VLOOKUP(YEAR(G1859),INPC!$B$4:$P$30,MONTH(G1859)+2))</f>
        <v>0</v>
      </c>
      <c r="Q1859" s="560">
        <f>IF(X1859=0,0,IF(OR(E1859=$AT$10,E1859=$AT$9),VLOOKUP(YEAR(X1859),INPC!$B$4:$P$30,MONTH(X1859)+1),VLOOKUP(YEAR(X1859),INPC!$B$4:$P$30,MONTH(X1859)+2,0)))</f>
        <v>0</v>
      </c>
      <c r="R1859" s="309">
        <f t="shared" si="498"/>
        <v>0</v>
      </c>
      <c r="S1859" s="310">
        <f t="shared" si="499"/>
        <v>0</v>
      </c>
      <c r="T1859" s="555">
        <f t="shared" si="500"/>
        <v>0</v>
      </c>
      <c r="U1859" s="311"/>
      <c r="V1859" s="312"/>
      <c r="W1859" s="299"/>
      <c r="X1859" s="300"/>
      <c r="Y1859" s="299"/>
      <c r="Z1859" s="303"/>
      <c r="AA1859" s="305">
        <f>IF(Z1859=0,0,IF(Y1859="MXN",1/HLOOKUP(YEAR(X1859)+(MONTH(X1859)/100),TC!$5:$37,DAY(X1859)+2,FALSE),VLOOKUP(Y1859,Equivalencia!$1:$23,((MAX(Equivalencia!$3:$3)-YEAR(X1859))*14)+MONTH(X1859)+2,FALSE)))</f>
        <v>0</v>
      </c>
      <c r="AB1859" s="306">
        <f t="shared" si="501"/>
        <v>0</v>
      </c>
      <c r="AC1859" s="305">
        <f>+IF(X1859=0,0,HLOOKUP(YEAR(X1859)+(MONTH(X1859)/100),TC!$5:$37,DAY(X1859)+2,FALSE))</f>
        <v>0</v>
      </c>
      <c r="AD1859" s="307">
        <f t="shared" si="502"/>
        <v>0</v>
      </c>
      <c r="AE1859" s="314">
        <f t="shared" si="503"/>
        <v>0</v>
      </c>
      <c r="AF1859" s="315">
        <f t="shared" si="504"/>
        <v>0</v>
      </c>
      <c r="AG1859" s="316">
        <f t="shared" si="505"/>
        <v>0</v>
      </c>
      <c r="AH1859" s="314">
        <v>1</v>
      </c>
      <c r="AI1859" s="314">
        <f t="shared" si="506"/>
        <v>0</v>
      </c>
      <c r="AJ1859" s="314">
        <f t="shared" si="507"/>
        <v>0</v>
      </c>
      <c r="AK1859" s="317"/>
      <c r="AL1859" s="315">
        <f t="shared" si="508"/>
        <v>0</v>
      </c>
      <c r="AN1859" s="554">
        <f t="shared" si="509"/>
        <v>0</v>
      </c>
      <c r="AO1859" s="314"/>
      <c r="AP1859" s="318"/>
    </row>
    <row r="1860" spans="2:42">
      <c r="B1860" s="296"/>
      <c r="C1860" s="299"/>
      <c r="D1860" s="298"/>
      <c r="E1860" s="299"/>
      <c r="F1860" s="299"/>
      <c r="G1860" s="300"/>
      <c r="H1860" s="303"/>
      <c r="I1860" s="301">
        <f t="shared" si="493"/>
        <v>0</v>
      </c>
      <c r="J1860" s="302">
        <f t="shared" si="494"/>
        <v>0</v>
      </c>
      <c r="K1860" s="304">
        <f t="shared" si="495"/>
        <v>0</v>
      </c>
      <c r="L1860" s="305">
        <f>IF(H1860=0,0,IF(OR(E1860=$AT$5,E1860=$AT$6),AA1860,IF(F1860="MXN",1/HLOOKUP(YEAR(G1860)+(MONTH(G1860)/100),TC!$5:$37,DAY(G1860)+2,FALSE),VLOOKUP(F1860,Equivalencia!$5:$23,((MAX(Equivalencia!$3:$3)-YEAR(G1860))*14)+MONTH(G1860)+2,FALSE))))</f>
        <v>0</v>
      </c>
      <c r="M1860" s="306">
        <f t="shared" si="496"/>
        <v>0</v>
      </c>
      <c r="N1860" s="305">
        <f>IF(G1860=0,0,(IF(OR(E1860=$AT$5,E1860=$AT$6),AC1860,HLOOKUP(YEAR(G1860)+(MONTH(G1860)/100),TC!$5:$37,DAY(G1860)+2,FALSE))))</f>
        <v>0</v>
      </c>
      <c r="O1860" s="307">
        <f t="shared" si="497"/>
        <v>0</v>
      </c>
      <c r="P1860" s="560">
        <f>IF(G1860=0,0,VLOOKUP(YEAR(G1860),INPC!$B$4:$P$30,MONTH(G1860)+2))</f>
        <v>0</v>
      </c>
      <c r="Q1860" s="560">
        <f>IF(X1860=0,0,IF(OR(E1860=$AT$10,E1860=$AT$9),VLOOKUP(YEAR(X1860),INPC!$B$4:$P$30,MONTH(X1860)+1),VLOOKUP(YEAR(X1860),INPC!$B$4:$P$30,MONTH(X1860)+2,0)))</f>
        <v>0</v>
      </c>
      <c r="R1860" s="309">
        <f t="shared" si="498"/>
        <v>0</v>
      </c>
      <c r="S1860" s="310">
        <f t="shared" si="499"/>
        <v>0</v>
      </c>
      <c r="T1860" s="555">
        <f t="shared" si="500"/>
        <v>0</v>
      </c>
      <c r="U1860" s="311"/>
      <c r="V1860" s="312"/>
      <c r="W1860" s="299"/>
      <c r="X1860" s="300"/>
      <c r="Y1860" s="299"/>
      <c r="Z1860" s="303"/>
      <c r="AA1860" s="305">
        <f>IF(Z1860=0,0,IF(Y1860="MXN",1/HLOOKUP(YEAR(X1860)+(MONTH(X1860)/100),TC!$5:$37,DAY(X1860)+2,FALSE),VLOOKUP(Y1860,Equivalencia!$1:$23,((MAX(Equivalencia!$3:$3)-YEAR(X1860))*14)+MONTH(X1860)+2,FALSE)))</f>
        <v>0</v>
      </c>
      <c r="AB1860" s="306">
        <f t="shared" si="501"/>
        <v>0</v>
      </c>
      <c r="AC1860" s="305">
        <f>+IF(X1860=0,0,HLOOKUP(YEAR(X1860)+(MONTH(X1860)/100),TC!$5:$37,DAY(X1860)+2,FALSE))</f>
        <v>0</v>
      </c>
      <c r="AD1860" s="307">
        <f t="shared" si="502"/>
        <v>0</v>
      </c>
      <c r="AE1860" s="314">
        <f t="shared" si="503"/>
        <v>0</v>
      </c>
      <c r="AF1860" s="315">
        <f t="shared" si="504"/>
        <v>0</v>
      </c>
      <c r="AG1860" s="316">
        <f t="shared" si="505"/>
        <v>0</v>
      </c>
      <c r="AH1860" s="314">
        <v>1</v>
      </c>
      <c r="AI1860" s="314">
        <f t="shared" si="506"/>
        <v>0</v>
      </c>
      <c r="AJ1860" s="314">
        <f t="shared" si="507"/>
        <v>0</v>
      </c>
      <c r="AK1860" s="317"/>
      <c r="AL1860" s="315">
        <f t="shared" si="508"/>
        <v>0</v>
      </c>
      <c r="AN1860" s="554">
        <f t="shared" si="509"/>
        <v>0</v>
      </c>
      <c r="AO1860" s="314"/>
      <c r="AP1860" s="318"/>
    </row>
    <row r="1861" spans="2:42">
      <c r="B1861" s="296"/>
      <c r="C1861" s="299"/>
      <c r="D1861" s="298"/>
      <c r="E1861" s="299"/>
      <c r="F1861" s="299"/>
      <c r="G1861" s="300"/>
      <c r="H1861" s="303"/>
      <c r="I1861" s="301">
        <f t="shared" si="493"/>
        <v>0</v>
      </c>
      <c r="J1861" s="302">
        <f t="shared" si="494"/>
        <v>0</v>
      </c>
      <c r="K1861" s="304">
        <f t="shared" si="495"/>
        <v>0</v>
      </c>
      <c r="L1861" s="305">
        <f>IF(H1861=0,0,IF(OR(E1861=$AT$5,E1861=$AT$6),AA1861,IF(F1861="MXN",1/HLOOKUP(YEAR(G1861)+(MONTH(G1861)/100),TC!$5:$37,DAY(G1861)+2,FALSE),VLOOKUP(F1861,Equivalencia!$5:$23,((MAX(Equivalencia!$3:$3)-YEAR(G1861))*14)+MONTH(G1861)+2,FALSE))))</f>
        <v>0</v>
      </c>
      <c r="M1861" s="306">
        <f t="shared" si="496"/>
        <v>0</v>
      </c>
      <c r="N1861" s="305">
        <f>IF(G1861=0,0,(IF(OR(E1861=$AT$5,E1861=$AT$6),AC1861,HLOOKUP(YEAR(G1861)+(MONTH(G1861)/100),TC!$5:$37,DAY(G1861)+2,FALSE))))</f>
        <v>0</v>
      </c>
      <c r="O1861" s="307">
        <f t="shared" si="497"/>
        <v>0</v>
      </c>
      <c r="P1861" s="560">
        <f>IF(G1861=0,0,VLOOKUP(YEAR(G1861),INPC!$B$4:$P$30,MONTH(G1861)+2))</f>
        <v>0</v>
      </c>
      <c r="Q1861" s="560">
        <f>IF(X1861=0,0,IF(OR(E1861=$AT$10,E1861=$AT$9),VLOOKUP(YEAR(X1861),INPC!$B$4:$P$30,MONTH(X1861)+1),VLOOKUP(YEAR(X1861),INPC!$B$4:$P$30,MONTH(X1861)+2,0)))</f>
        <v>0</v>
      </c>
      <c r="R1861" s="309">
        <f t="shared" si="498"/>
        <v>0</v>
      </c>
      <c r="S1861" s="310">
        <f t="shared" si="499"/>
        <v>0</v>
      </c>
      <c r="T1861" s="555">
        <f t="shared" si="500"/>
        <v>0</v>
      </c>
      <c r="U1861" s="311"/>
      <c r="V1861" s="312"/>
      <c r="W1861" s="299"/>
      <c r="X1861" s="300"/>
      <c r="Y1861" s="299"/>
      <c r="Z1861" s="303"/>
      <c r="AA1861" s="305">
        <f>IF(Z1861=0,0,IF(Y1861="MXN",1/HLOOKUP(YEAR(X1861)+(MONTH(X1861)/100),TC!$5:$37,DAY(X1861)+2,FALSE),VLOOKUP(Y1861,Equivalencia!$1:$23,((MAX(Equivalencia!$3:$3)-YEAR(X1861))*14)+MONTH(X1861)+2,FALSE)))</f>
        <v>0</v>
      </c>
      <c r="AB1861" s="306">
        <f t="shared" si="501"/>
        <v>0</v>
      </c>
      <c r="AC1861" s="305">
        <f>+IF(X1861=0,0,HLOOKUP(YEAR(X1861)+(MONTH(X1861)/100),TC!$5:$37,DAY(X1861)+2,FALSE))</f>
        <v>0</v>
      </c>
      <c r="AD1861" s="307">
        <f t="shared" si="502"/>
        <v>0</v>
      </c>
      <c r="AE1861" s="314">
        <f t="shared" si="503"/>
        <v>0</v>
      </c>
      <c r="AF1861" s="315">
        <f t="shared" si="504"/>
        <v>0</v>
      </c>
      <c r="AG1861" s="316">
        <f t="shared" si="505"/>
        <v>0</v>
      </c>
      <c r="AH1861" s="314">
        <v>1</v>
      </c>
      <c r="AI1861" s="314">
        <f t="shared" si="506"/>
        <v>0</v>
      </c>
      <c r="AJ1861" s="314">
        <f t="shared" si="507"/>
        <v>0</v>
      </c>
      <c r="AK1861" s="317"/>
      <c r="AL1861" s="315">
        <f t="shared" si="508"/>
        <v>0</v>
      </c>
      <c r="AN1861" s="554">
        <f t="shared" si="509"/>
        <v>0</v>
      </c>
      <c r="AO1861" s="314"/>
      <c r="AP1861" s="318"/>
    </row>
    <row r="1862" spans="2:42">
      <c r="B1862" s="296"/>
      <c r="C1862" s="299"/>
      <c r="D1862" s="298"/>
      <c r="E1862" s="299"/>
      <c r="F1862" s="299"/>
      <c r="G1862" s="300"/>
      <c r="H1862" s="303"/>
      <c r="I1862" s="301">
        <f t="shared" si="493"/>
        <v>0</v>
      </c>
      <c r="J1862" s="302">
        <f t="shared" si="494"/>
        <v>0</v>
      </c>
      <c r="K1862" s="304">
        <f t="shared" si="495"/>
        <v>0</v>
      </c>
      <c r="L1862" s="305">
        <f>IF(H1862=0,0,IF(OR(E1862=$AT$5,E1862=$AT$6),AA1862,IF(F1862="MXN",1/HLOOKUP(YEAR(G1862)+(MONTH(G1862)/100),TC!$5:$37,DAY(G1862)+2,FALSE),VLOOKUP(F1862,Equivalencia!$5:$23,((MAX(Equivalencia!$3:$3)-YEAR(G1862))*14)+MONTH(G1862)+2,FALSE))))</f>
        <v>0</v>
      </c>
      <c r="M1862" s="306">
        <f t="shared" si="496"/>
        <v>0</v>
      </c>
      <c r="N1862" s="305">
        <f>IF(G1862=0,0,(IF(OR(E1862=$AT$5,E1862=$AT$6),AC1862,HLOOKUP(YEAR(G1862)+(MONTH(G1862)/100),TC!$5:$37,DAY(G1862)+2,FALSE))))</f>
        <v>0</v>
      </c>
      <c r="O1862" s="307">
        <f t="shared" si="497"/>
        <v>0</v>
      </c>
      <c r="P1862" s="560">
        <f>IF(G1862=0,0,VLOOKUP(YEAR(G1862),INPC!$B$4:$P$30,MONTH(G1862)+2))</f>
        <v>0</v>
      </c>
      <c r="Q1862" s="560">
        <f>IF(X1862=0,0,IF(OR(E1862=$AT$10,E1862=$AT$9),VLOOKUP(YEAR(X1862),INPC!$B$4:$P$30,MONTH(X1862)+1),VLOOKUP(YEAR(X1862),INPC!$B$4:$P$30,MONTH(X1862)+2,0)))</f>
        <v>0</v>
      </c>
      <c r="R1862" s="309">
        <f t="shared" si="498"/>
        <v>0</v>
      </c>
      <c r="S1862" s="310">
        <f t="shared" si="499"/>
        <v>0</v>
      </c>
      <c r="T1862" s="555">
        <f t="shared" si="500"/>
        <v>0</v>
      </c>
      <c r="U1862" s="311"/>
      <c r="V1862" s="312"/>
      <c r="W1862" s="299"/>
      <c r="X1862" s="300"/>
      <c r="Y1862" s="299"/>
      <c r="Z1862" s="303"/>
      <c r="AA1862" s="305">
        <f>IF(Z1862=0,0,IF(Y1862="MXN",1/HLOOKUP(YEAR(X1862)+(MONTH(X1862)/100),TC!$5:$37,DAY(X1862)+2,FALSE),VLOOKUP(Y1862,Equivalencia!$1:$23,((MAX(Equivalencia!$3:$3)-YEAR(X1862))*14)+MONTH(X1862)+2,FALSE)))</f>
        <v>0</v>
      </c>
      <c r="AB1862" s="306">
        <f t="shared" si="501"/>
        <v>0</v>
      </c>
      <c r="AC1862" s="305">
        <f>+IF(X1862=0,0,HLOOKUP(YEAR(X1862)+(MONTH(X1862)/100),TC!$5:$37,DAY(X1862)+2,FALSE))</f>
        <v>0</v>
      </c>
      <c r="AD1862" s="307">
        <f t="shared" si="502"/>
        <v>0</v>
      </c>
      <c r="AE1862" s="314">
        <f t="shared" si="503"/>
        <v>0</v>
      </c>
      <c r="AF1862" s="315">
        <f t="shared" si="504"/>
        <v>0</v>
      </c>
      <c r="AG1862" s="316">
        <f t="shared" si="505"/>
        <v>0</v>
      </c>
      <c r="AH1862" s="314">
        <v>1</v>
      </c>
      <c r="AI1862" s="314">
        <f t="shared" si="506"/>
        <v>0</v>
      </c>
      <c r="AJ1862" s="314">
        <f t="shared" si="507"/>
        <v>0</v>
      </c>
      <c r="AK1862" s="317"/>
      <c r="AL1862" s="315">
        <f t="shared" si="508"/>
        <v>0</v>
      </c>
      <c r="AN1862" s="554">
        <f t="shared" si="509"/>
        <v>0</v>
      </c>
      <c r="AO1862" s="314"/>
      <c r="AP1862" s="318"/>
    </row>
    <row r="1863" spans="2:42">
      <c r="B1863" s="296"/>
      <c r="C1863" s="299"/>
      <c r="D1863" s="298"/>
      <c r="E1863" s="299"/>
      <c r="F1863" s="299"/>
      <c r="G1863" s="300"/>
      <c r="H1863" s="303"/>
      <c r="I1863" s="301">
        <f t="shared" si="493"/>
        <v>0</v>
      </c>
      <c r="J1863" s="302">
        <f t="shared" si="494"/>
        <v>0</v>
      </c>
      <c r="K1863" s="304">
        <f t="shared" si="495"/>
        <v>0</v>
      </c>
      <c r="L1863" s="305">
        <f>IF(H1863=0,0,IF(OR(E1863=$AT$5,E1863=$AT$6),AA1863,IF(F1863="MXN",1/HLOOKUP(YEAR(G1863)+(MONTH(G1863)/100),TC!$5:$37,DAY(G1863)+2,FALSE),VLOOKUP(F1863,Equivalencia!$5:$23,((MAX(Equivalencia!$3:$3)-YEAR(G1863))*14)+MONTH(G1863)+2,FALSE))))</f>
        <v>0</v>
      </c>
      <c r="M1863" s="306">
        <f t="shared" si="496"/>
        <v>0</v>
      </c>
      <c r="N1863" s="305">
        <f>IF(G1863=0,0,(IF(OR(E1863=$AT$5,E1863=$AT$6),AC1863,HLOOKUP(YEAR(G1863)+(MONTH(G1863)/100),TC!$5:$37,DAY(G1863)+2,FALSE))))</f>
        <v>0</v>
      </c>
      <c r="O1863" s="307">
        <f t="shared" si="497"/>
        <v>0</v>
      </c>
      <c r="P1863" s="560">
        <f>IF(G1863=0,0,VLOOKUP(YEAR(G1863),INPC!$B$4:$P$30,MONTH(G1863)+2))</f>
        <v>0</v>
      </c>
      <c r="Q1863" s="560">
        <f>IF(X1863=0,0,IF(OR(E1863=$AT$10,E1863=$AT$9),VLOOKUP(YEAR(X1863),INPC!$B$4:$P$30,MONTH(X1863)+1),VLOOKUP(YEAR(X1863),INPC!$B$4:$P$30,MONTH(X1863)+2,0)))</f>
        <v>0</v>
      </c>
      <c r="R1863" s="309">
        <f t="shared" si="498"/>
        <v>0</v>
      </c>
      <c r="S1863" s="310">
        <f t="shared" si="499"/>
        <v>0</v>
      </c>
      <c r="T1863" s="555">
        <f t="shared" si="500"/>
        <v>0</v>
      </c>
      <c r="U1863" s="311"/>
      <c r="V1863" s="312"/>
      <c r="W1863" s="299"/>
      <c r="X1863" s="300"/>
      <c r="Y1863" s="299"/>
      <c r="Z1863" s="303"/>
      <c r="AA1863" s="305">
        <f>IF(Z1863=0,0,IF(Y1863="MXN",1/HLOOKUP(YEAR(X1863)+(MONTH(X1863)/100),TC!$5:$37,DAY(X1863)+2,FALSE),VLOOKUP(Y1863,Equivalencia!$1:$23,((MAX(Equivalencia!$3:$3)-YEAR(X1863))*14)+MONTH(X1863)+2,FALSE)))</f>
        <v>0</v>
      </c>
      <c r="AB1863" s="306">
        <f t="shared" si="501"/>
        <v>0</v>
      </c>
      <c r="AC1863" s="305">
        <f>+IF(X1863=0,0,HLOOKUP(YEAR(X1863)+(MONTH(X1863)/100),TC!$5:$37,DAY(X1863)+2,FALSE))</f>
        <v>0</v>
      </c>
      <c r="AD1863" s="307">
        <f t="shared" si="502"/>
        <v>0</v>
      </c>
      <c r="AE1863" s="314">
        <f t="shared" si="503"/>
        <v>0</v>
      </c>
      <c r="AF1863" s="315">
        <f t="shared" si="504"/>
        <v>0</v>
      </c>
      <c r="AG1863" s="316">
        <f t="shared" si="505"/>
        <v>0</v>
      </c>
      <c r="AH1863" s="314">
        <v>1</v>
      </c>
      <c r="AI1863" s="314">
        <f t="shared" si="506"/>
        <v>0</v>
      </c>
      <c r="AJ1863" s="314">
        <f t="shared" si="507"/>
        <v>0</v>
      </c>
      <c r="AK1863" s="317"/>
      <c r="AL1863" s="315">
        <f t="shared" si="508"/>
        <v>0</v>
      </c>
      <c r="AN1863" s="554">
        <f t="shared" si="509"/>
        <v>0</v>
      </c>
      <c r="AO1863" s="314"/>
      <c r="AP1863" s="318"/>
    </row>
    <row r="1864" spans="2:42">
      <c r="B1864" s="296"/>
      <c r="C1864" s="299"/>
      <c r="D1864" s="298"/>
      <c r="E1864" s="299"/>
      <c r="F1864" s="299"/>
      <c r="G1864" s="300"/>
      <c r="H1864" s="303"/>
      <c r="I1864" s="301">
        <f t="shared" si="493"/>
        <v>0</v>
      </c>
      <c r="J1864" s="302">
        <f t="shared" si="494"/>
        <v>0</v>
      </c>
      <c r="K1864" s="304">
        <f t="shared" si="495"/>
        <v>0</v>
      </c>
      <c r="L1864" s="305">
        <f>IF(H1864=0,0,IF(OR(E1864=$AT$5,E1864=$AT$6),AA1864,IF(F1864="MXN",1/HLOOKUP(YEAR(G1864)+(MONTH(G1864)/100),TC!$5:$37,DAY(G1864)+2,FALSE),VLOOKUP(F1864,Equivalencia!$5:$23,((MAX(Equivalencia!$3:$3)-YEAR(G1864))*14)+MONTH(G1864)+2,FALSE))))</f>
        <v>0</v>
      </c>
      <c r="M1864" s="306">
        <f t="shared" si="496"/>
        <v>0</v>
      </c>
      <c r="N1864" s="305">
        <f>IF(G1864=0,0,(IF(OR(E1864=$AT$5,E1864=$AT$6),AC1864,HLOOKUP(YEAR(G1864)+(MONTH(G1864)/100),TC!$5:$37,DAY(G1864)+2,FALSE))))</f>
        <v>0</v>
      </c>
      <c r="O1864" s="307">
        <f t="shared" si="497"/>
        <v>0</v>
      </c>
      <c r="P1864" s="560">
        <f>IF(G1864=0,0,VLOOKUP(YEAR(G1864),INPC!$B$4:$P$30,MONTH(G1864)+2))</f>
        <v>0</v>
      </c>
      <c r="Q1864" s="560">
        <f>IF(X1864=0,0,IF(OR(E1864=$AT$10,E1864=$AT$9),VLOOKUP(YEAR(X1864),INPC!$B$4:$P$30,MONTH(X1864)+1),VLOOKUP(YEAR(X1864),INPC!$B$4:$P$30,MONTH(X1864)+2,0)))</f>
        <v>0</v>
      </c>
      <c r="R1864" s="309">
        <f t="shared" si="498"/>
        <v>0</v>
      </c>
      <c r="S1864" s="310">
        <f t="shared" si="499"/>
        <v>0</v>
      </c>
      <c r="T1864" s="555">
        <f t="shared" si="500"/>
        <v>0</v>
      </c>
      <c r="U1864" s="311"/>
      <c r="V1864" s="312"/>
      <c r="W1864" s="299"/>
      <c r="X1864" s="300"/>
      <c r="Y1864" s="299"/>
      <c r="Z1864" s="303"/>
      <c r="AA1864" s="305">
        <f>IF(Z1864=0,0,IF(Y1864="MXN",1/HLOOKUP(YEAR(X1864)+(MONTH(X1864)/100),TC!$5:$37,DAY(X1864)+2,FALSE),VLOOKUP(Y1864,Equivalencia!$1:$23,((MAX(Equivalencia!$3:$3)-YEAR(X1864))*14)+MONTH(X1864)+2,FALSE)))</f>
        <v>0</v>
      </c>
      <c r="AB1864" s="306">
        <f t="shared" si="501"/>
        <v>0</v>
      </c>
      <c r="AC1864" s="305">
        <f>+IF(X1864=0,0,HLOOKUP(YEAR(X1864)+(MONTH(X1864)/100),TC!$5:$37,DAY(X1864)+2,FALSE))</f>
        <v>0</v>
      </c>
      <c r="AD1864" s="307">
        <f t="shared" si="502"/>
        <v>0</v>
      </c>
      <c r="AE1864" s="314">
        <f t="shared" si="503"/>
        <v>0</v>
      </c>
      <c r="AF1864" s="315">
        <f t="shared" si="504"/>
        <v>0</v>
      </c>
      <c r="AG1864" s="316">
        <f t="shared" si="505"/>
        <v>0</v>
      </c>
      <c r="AH1864" s="314">
        <v>1</v>
      </c>
      <c r="AI1864" s="314">
        <f t="shared" si="506"/>
        <v>0</v>
      </c>
      <c r="AJ1864" s="314">
        <f t="shared" si="507"/>
        <v>0</v>
      </c>
      <c r="AK1864" s="317"/>
      <c r="AL1864" s="315">
        <f t="shared" si="508"/>
        <v>0</v>
      </c>
      <c r="AN1864" s="554">
        <f t="shared" si="509"/>
        <v>0</v>
      </c>
      <c r="AO1864" s="314"/>
      <c r="AP1864" s="318"/>
    </row>
    <row r="1865" spans="2:42">
      <c r="B1865" s="296"/>
      <c r="C1865" s="299"/>
      <c r="D1865" s="298"/>
      <c r="E1865" s="299"/>
      <c r="F1865" s="299"/>
      <c r="G1865" s="300"/>
      <c r="H1865" s="303"/>
      <c r="I1865" s="301">
        <f t="shared" si="493"/>
        <v>0</v>
      </c>
      <c r="J1865" s="302">
        <f t="shared" si="494"/>
        <v>0</v>
      </c>
      <c r="K1865" s="304">
        <f t="shared" si="495"/>
        <v>0</v>
      </c>
      <c r="L1865" s="305">
        <f>IF(H1865=0,0,IF(OR(E1865=$AT$5,E1865=$AT$6),AA1865,IF(F1865="MXN",1/HLOOKUP(YEAR(G1865)+(MONTH(G1865)/100),TC!$5:$37,DAY(G1865)+2,FALSE),VLOOKUP(F1865,Equivalencia!$5:$23,((MAX(Equivalencia!$3:$3)-YEAR(G1865))*14)+MONTH(G1865)+2,FALSE))))</f>
        <v>0</v>
      </c>
      <c r="M1865" s="306">
        <f t="shared" si="496"/>
        <v>0</v>
      </c>
      <c r="N1865" s="305">
        <f>IF(G1865=0,0,(IF(OR(E1865=$AT$5,E1865=$AT$6),AC1865,HLOOKUP(YEAR(G1865)+(MONTH(G1865)/100),TC!$5:$37,DAY(G1865)+2,FALSE))))</f>
        <v>0</v>
      </c>
      <c r="O1865" s="307">
        <f t="shared" si="497"/>
        <v>0</v>
      </c>
      <c r="P1865" s="560">
        <f>IF(G1865=0,0,VLOOKUP(YEAR(G1865),INPC!$B$4:$P$30,MONTH(G1865)+2))</f>
        <v>0</v>
      </c>
      <c r="Q1865" s="560">
        <f>IF(X1865=0,0,IF(OR(E1865=$AT$10,E1865=$AT$9),VLOOKUP(YEAR(X1865),INPC!$B$4:$P$30,MONTH(X1865)+1),VLOOKUP(YEAR(X1865),INPC!$B$4:$P$30,MONTH(X1865)+2,0)))</f>
        <v>0</v>
      </c>
      <c r="R1865" s="309">
        <f t="shared" si="498"/>
        <v>0</v>
      </c>
      <c r="S1865" s="310">
        <f t="shared" si="499"/>
        <v>0</v>
      </c>
      <c r="T1865" s="555">
        <f t="shared" si="500"/>
        <v>0</v>
      </c>
      <c r="U1865" s="311"/>
      <c r="V1865" s="312"/>
      <c r="W1865" s="299"/>
      <c r="X1865" s="300"/>
      <c r="Y1865" s="299"/>
      <c r="Z1865" s="303"/>
      <c r="AA1865" s="305">
        <f>IF(Z1865=0,0,IF(Y1865="MXN",1/HLOOKUP(YEAR(X1865)+(MONTH(X1865)/100),TC!$5:$37,DAY(X1865)+2,FALSE),VLOOKUP(Y1865,Equivalencia!$1:$23,((MAX(Equivalencia!$3:$3)-YEAR(X1865))*14)+MONTH(X1865)+2,FALSE)))</f>
        <v>0</v>
      </c>
      <c r="AB1865" s="306">
        <f t="shared" si="501"/>
        <v>0</v>
      </c>
      <c r="AC1865" s="305">
        <f>+IF(X1865=0,0,HLOOKUP(YEAR(X1865)+(MONTH(X1865)/100),TC!$5:$37,DAY(X1865)+2,FALSE))</f>
        <v>0</v>
      </c>
      <c r="AD1865" s="307">
        <f t="shared" si="502"/>
        <v>0</v>
      </c>
      <c r="AE1865" s="314">
        <f t="shared" si="503"/>
        <v>0</v>
      </c>
      <c r="AF1865" s="315">
        <f t="shared" si="504"/>
        <v>0</v>
      </c>
      <c r="AG1865" s="316">
        <f t="shared" si="505"/>
        <v>0</v>
      </c>
      <c r="AH1865" s="314">
        <v>1</v>
      </c>
      <c r="AI1865" s="314">
        <f t="shared" si="506"/>
        <v>0</v>
      </c>
      <c r="AJ1865" s="314">
        <f t="shared" si="507"/>
        <v>0</v>
      </c>
      <c r="AK1865" s="317"/>
      <c r="AL1865" s="315">
        <f t="shared" si="508"/>
        <v>0</v>
      </c>
      <c r="AN1865" s="554">
        <f t="shared" si="509"/>
        <v>0</v>
      </c>
      <c r="AO1865" s="314"/>
      <c r="AP1865" s="318"/>
    </row>
    <row r="1866" spans="2:42">
      <c r="B1866" s="296"/>
      <c r="C1866" s="299"/>
      <c r="D1866" s="298"/>
      <c r="E1866" s="299"/>
      <c r="F1866" s="299"/>
      <c r="G1866" s="300"/>
      <c r="H1866" s="303"/>
      <c r="I1866" s="301">
        <f t="shared" si="493"/>
        <v>0</v>
      </c>
      <c r="J1866" s="302">
        <f t="shared" si="494"/>
        <v>0</v>
      </c>
      <c r="K1866" s="304">
        <f t="shared" si="495"/>
        <v>0</v>
      </c>
      <c r="L1866" s="305">
        <f>IF(H1866=0,0,IF(OR(E1866=$AT$5,E1866=$AT$6),AA1866,IF(F1866="MXN",1/HLOOKUP(YEAR(G1866)+(MONTH(G1866)/100),TC!$5:$37,DAY(G1866)+2,FALSE),VLOOKUP(F1866,Equivalencia!$5:$23,((MAX(Equivalencia!$3:$3)-YEAR(G1866))*14)+MONTH(G1866)+2,FALSE))))</f>
        <v>0</v>
      </c>
      <c r="M1866" s="306">
        <f t="shared" si="496"/>
        <v>0</v>
      </c>
      <c r="N1866" s="305">
        <f>IF(G1866=0,0,(IF(OR(E1866=$AT$5,E1866=$AT$6),AC1866,HLOOKUP(YEAR(G1866)+(MONTH(G1866)/100),TC!$5:$37,DAY(G1866)+2,FALSE))))</f>
        <v>0</v>
      </c>
      <c r="O1866" s="307">
        <f t="shared" si="497"/>
        <v>0</v>
      </c>
      <c r="P1866" s="560">
        <f>IF(G1866=0,0,VLOOKUP(YEAR(G1866),INPC!$B$4:$P$30,MONTH(G1866)+2))</f>
        <v>0</v>
      </c>
      <c r="Q1866" s="560">
        <f>IF(X1866=0,0,IF(OR(E1866=$AT$10,E1866=$AT$9),VLOOKUP(YEAR(X1866),INPC!$B$4:$P$30,MONTH(X1866)+1),VLOOKUP(YEAR(X1866),INPC!$B$4:$P$30,MONTH(X1866)+2,0)))</f>
        <v>0</v>
      </c>
      <c r="R1866" s="309">
        <f t="shared" si="498"/>
        <v>0</v>
      </c>
      <c r="S1866" s="310">
        <f t="shared" si="499"/>
        <v>0</v>
      </c>
      <c r="T1866" s="555">
        <f t="shared" si="500"/>
        <v>0</v>
      </c>
      <c r="U1866" s="311"/>
      <c r="V1866" s="312"/>
      <c r="W1866" s="299"/>
      <c r="X1866" s="300"/>
      <c r="Y1866" s="299"/>
      <c r="Z1866" s="303"/>
      <c r="AA1866" s="305">
        <f>IF(Z1866=0,0,IF(Y1866="MXN",1/HLOOKUP(YEAR(X1866)+(MONTH(X1866)/100),TC!$5:$37,DAY(X1866)+2,FALSE),VLOOKUP(Y1866,Equivalencia!$1:$23,((MAX(Equivalencia!$3:$3)-YEAR(X1866))*14)+MONTH(X1866)+2,FALSE)))</f>
        <v>0</v>
      </c>
      <c r="AB1866" s="306">
        <f t="shared" si="501"/>
        <v>0</v>
      </c>
      <c r="AC1866" s="305">
        <f>+IF(X1866=0,0,HLOOKUP(YEAR(X1866)+(MONTH(X1866)/100),TC!$5:$37,DAY(X1866)+2,FALSE))</f>
        <v>0</v>
      </c>
      <c r="AD1866" s="307">
        <f t="shared" si="502"/>
        <v>0</v>
      </c>
      <c r="AE1866" s="314">
        <f t="shared" si="503"/>
        <v>0</v>
      </c>
      <c r="AF1866" s="315">
        <f t="shared" si="504"/>
        <v>0</v>
      </c>
      <c r="AG1866" s="316">
        <f t="shared" si="505"/>
        <v>0</v>
      </c>
      <c r="AH1866" s="314">
        <v>1</v>
      </c>
      <c r="AI1866" s="314">
        <f t="shared" si="506"/>
        <v>0</v>
      </c>
      <c r="AJ1866" s="314">
        <f t="shared" si="507"/>
        <v>0</v>
      </c>
      <c r="AK1866" s="317"/>
      <c r="AL1866" s="315">
        <f t="shared" si="508"/>
        <v>0</v>
      </c>
      <c r="AN1866" s="554">
        <f t="shared" si="509"/>
        <v>0</v>
      </c>
      <c r="AO1866" s="314"/>
      <c r="AP1866" s="318"/>
    </row>
    <row r="1867" spans="2:42">
      <c r="B1867" s="296"/>
      <c r="C1867" s="299"/>
      <c r="D1867" s="298"/>
      <c r="E1867" s="299"/>
      <c r="F1867" s="299"/>
      <c r="G1867" s="300"/>
      <c r="H1867" s="303"/>
      <c r="I1867" s="301">
        <f t="shared" si="493"/>
        <v>0</v>
      </c>
      <c r="J1867" s="302">
        <f t="shared" si="494"/>
        <v>0</v>
      </c>
      <c r="K1867" s="304">
        <f t="shared" si="495"/>
        <v>0</v>
      </c>
      <c r="L1867" s="305">
        <f>IF(H1867=0,0,IF(OR(E1867=$AT$5,E1867=$AT$6),AA1867,IF(F1867="MXN",1/HLOOKUP(YEAR(G1867)+(MONTH(G1867)/100),TC!$5:$37,DAY(G1867)+2,FALSE),VLOOKUP(F1867,Equivalencia!$5:$23,((MAX(Equivalencia!$3:$3)-YEAR(G1867))*14)+MONTH(G1867)+2,FALSE))))</f>
        <v>0</v>
      </c>
      <c r="M1867" s="306">
        <f t="shared" si="496"/>
        <v>0</v>
      </c>
      <c r="N1867" s="305">
        <f>IF(G1867=0,0,(IF(OR(E1867=$AT$5,E1867=$AT$6),AC1867,HLOOKUP(YEAR(G1867)+(MONTH(G1867)/100),TC!$5:$37,DAY(G1867)+2,FALSE))))</f>
        <v>0</v>
      </c>
      <c r="O1867" s="307">
        <f t="shared" si="497"/>
        <v>0</v>
      </c>
      <c r="P1867" s="560">
        <f>IF(G1867=0,0,VLOOKUP(YEAR(G1867),INPC!$B$4:$P$30,MONTH(G1867)+2))</f>
        <v>0</v>
      </c>
      <c r="Q1867" s="560">
        <f>IF(X1867=0,0,IF(OR(E1867=$AT$10,E1867=$AT$9),VLOOKUP(YEAR(X1867),INPC!$B$4:$P$30,MONTH(X1867)+1),VLOOKUP(YEAR(X1867),INPC!$B$4:$P$30,MONTH(X1867)+2,0)))</f>
        <v>0</v>
      </c>
      <c r="R1867" s="309">
        <f t="shared" si="498"/>
        <v>0</v>
      </c>
      <c r="S1867" s="310">
        <f t="shared" si="499"/>
        <v>0</v>
      </c>
      <c r="T1867" s="555">
        <f t="shared" si="500"/>
        <v>0</v>
      </c>
      <c r="U1867" s="311"/>
      <c r="V1867" s="312"/>
      <c r="W1867" s="299"/>
      <c r="X1867" s="300"/>
      <c r="Y1867" s="299"/>
      <c r="Z1867" s="303"/>
      <c r="AA1867" s="305">
        <f>IF(Z1867=0,0,IF(Y1867="MXN",1/HLOOKUP(YEAR(X1867)+(MONTH(X1867)/100),TC!$5:$37,DAY(X1867)+2,FALSE),VLOOKUP(Y1867,Equivalencia!$1:$23,((MAX(Equivalencia!$3:$3)-YEAR(X1867))*14)+MONTH(X1867)+2,FALSE)))</f>
        <v>0</v>
      </c>
      <c r="AB1867" s="306">
        <f t="shared" si="501"/>
        <v>0</v>
      </c>
      <c r="AC1867" s="305">
        <f>+IF(X1867=0,0,HLOOKUP(YEAR(X1867)+(MONTH(X1867)/100),TC!$5:$37,DAY(X1867)+2,FALSE))</f>
        <v>0</v>
      </c>
      <c r="AD1867" s="307">
        <f t="shared" si="502"/>
        <v>0</v>
      </c>
      <c r="AE1867" s="314">
        <f t="shared" si="503"/>
        <v>0</v>
      </c>
      <c r="AF1867" s="315">
        <f t="shared" si="504"/>
        <v>0</v>
      </c>
      <c r="AG1867" s="316">
        <f t="shared" si="505"/>
        <v>0</v>
      </c>
      <c r="AH1867" s="314">
        <v>1</v>
      </c>
      <c r="AI1867" s="314">
        <f t="shared" si="506"/>
        <v>0</v>
      </c>
      <c r="AJ1867" s="314">
        <f t="shared" si="507"/>
        <v>0</v>
      </c>
      <c r="AK1867" s="317"/>
      <c r="AL1867" s="315">
        <f t="shared" si="508"/>
        <v>0</v>
      </c>
      <c r="AN1867" s="554">
        <f t="shared" si="509"/>
        <v>0</v>
      </c>
      <c r="AO1867" s="314"/>
      <c r="AP1867" s="318"/>
    </row>
    <row r="1868" spans="2:42">
      <c r="B1868" s="296"/>
      <c r="C1868" s="299"/>
      <c r="D1868" s="298"/>
      <c r="E1868" s="299"/>
      <c r="F1868" s="299"/>
      <c r="G1868" s="300"/>
      <c r="H1868" s="303"/>
      <c r="I1868" s="301">
        <f t="shared" si="493"/>
        <v>0</v>
      </c>
      <c r="J1868" s="302">
        <f t="shared" si="494"/>
        <v>0</v>
      </c>
      <c r="K1868" s="304">
        <f t="shared" si="495"/>
        <v>0</v>
      </c>
      <c r="L1868" s="305">
        <f>IF(H1868=0,0,IF(OR(E1868=$AT$5,E1868=$AT$6),AA1868,IF(F1868="MXN",1/HLOOKUP(YEAR(G1868)+(MONTH(G1868)/100),TC!$5:$37,DAY(G1868)+2,FALSE),VLOOKUP(F1868,Equivalencia!$5:$23,((MAX(Equivalencia!$3:$3)-YEAR(G1868))*14)+MONTH(G1868)+2,FALSE))))</f>
        <v>0</v>
      </c>
      <c r="M1868" s="306">
        <f t="shared" si="496"/>
        <v>0</v>
      </c>
      <c r="N1868" s="305">
        <f>IF(G1868=0,0,(IF(OR(E1868=$AT$5,E1868=$AT$6),AC1868,HLOOKUP(YEAR(G1868)+(MONTH(G1868)/100),TC!$5:$37,DAY(G1868)+2,FALSE))))</f>
        <v>0</v>
      </c>
      <c r="O1868" s="307">
        <f t="shared" si="497"/>
        <v>0</v>
      </c>
      <c r="P1868" s="560">
        <f>IF(G1868=0,0,VLOOKUP(YEAR(G1868),INPC!$B$4:$P$30,MONTH(G1868)+2))</f>
        <v>0</v>
      </c>
      <c r="Q1868" s="560">
        <f>IF(X1868=0,0,IF(OR(E1868=$AT$10,E1868=$AT$9),VLOOKUP(YEAR(X1868),INPC!$B$4:$P$30,MONTH(X1868)+1),VLOOKUP(YEAR(X1868),INPC!$B$4:$P$30,MONTH(X1868)+2,0)))</f>
        <v>0</v>
      </c>
      <c r="R1868" s="309">
        <f t="shared" si="498"/>
        <v>0</v>
      </c>
      <c r="S1868" s="310">
        <f t="shared" si="499"/>
        <v>0</v>
      </c>
      <c r="T1868" s="555">
        <f t="shared" si="500"/>
        <v>0</v>
      </c>
      <c r="U1868" s="311"/>
      <c r="V1868" s="312"/>
      <c r="W1868" s="299"/>
      <c r="X1868" s="300"/>
      <c r="Y1868" s="299"/>
      <c r="Z1868" s="303"/>
      <c r="AA1868" s="305">
        <f>IF(Z1868=0,0,IF(Y1868="MXN",1/HLOOKUP(YEAR(X1868)+(MONTH(X1868)/100),TC!$5:$37,DAY(X1868)+2,FALSE),VLOOKUP(Y1868,Equivalencia!$1:$23,((MAX(Equivalencia!$3:$3)-YEAR(X1868))*14)+MONTH(X1868)+2,FALSE)))</f>
        <v>0</v>
      </c>
      <c r="AB1868" s="306">
        <f t="shared" si="501"/>
        <v>0</v>
      </c>
      <c r="AC1868" s="305">
        <f>+IF(X1868=0,0,HLOOKUP(YEAR(X1868)+(MONTH(X1868)/100),TC!$5:$37,DAY(X1868)+2,FALSE))</f>
        <v>0</v>
      </c>
      <c r="AD1868" s="307">
        <f t="shared" si="502"/>
        <v>0</v>
      </c>
      <c r="AE1868" s="314">
        <f t="shared" si="503"/>
        <v>0</v>
      </c>
      <c r="AF1868" s="315">
        <f t="shared" si="504"/>
        <v>0</v>
      </c>
      <c r="AG1868" s="316">
        <f t="shared" si="505"/>
        <v>0</v>
      </c>
      <c r="AH1868" s="314">
        <v>1</v>
      </c>
      <c r="AI1868" s="314">
        <f t="shared" si="506"/>
        <v>0</v>
      </c>
      <c r="AJ1868" s="314">
        <f t="shared" si="507"/>
        <v>0</v>
      </c>
      <c r="AK1868" s="317"/>
      <c r="AL1868" s="315">
        <f t="shared" si="508"/>
        <v>0</v>
      </c>
      <c r="AN1868" s="554">
        <f t="shared" si="509"/>
        <v>0</v>
      </c>
      <c r="AO1868" s="314"/>
      <c r="AP1868" s="318"/>
    </row>
    <row r="1869" spans="2:42">
      <c r="B1869" s="296"/>
      <c r="C1869" s="299"/>
      <c r="D1869" s="298"/>
      <c r="E1869" s="299"/>
      <c r="F1869" s="299"/>
      <c r="G1869" s="300"/>
      <c r="H1869" s="303"/>
      <c r="I1869" s="301">
        <f t="shared" si="493"/>
        <v>0</v>
      </c>
      <c r="J1869" s="302">
        <f t="shared" si="494"/>
        <v>0</v>
      </c>
      <c r="K1869" s="304">
        <f t="shared" si="495"/>
        <v>0</v>
      </c>
      <c r="L1869" s="305">
        <f>IF(H1869=0,0,IF(OR(E1869=$AT$5,E1869=$AT$6),AA1869,IF(F1869="MXN",1/HLOOKUP(YEAR(G1869)+(MONTH(G1869)/100),TC!$5:$37,DAY(G1869)+2,FALSE),VLOOKUP(F1869,Equivalencia!$5:$23,((MAX(Equivalencia!$3:$3)-YEAR(G1869))*14)+MONTH(G1869)+2,FALSE))))</f>
        <v>0</v>
      </c>
      <c r="M1869" s="306">
        <f t="shared" si="496"/>
        <v>0</v>
      </c>
      <c r="N1869" s="305">
        <f>IF(G1869=0,0,(IF(OR(E1869=$AT$5,E1869=$AT$6),AC1869,HLOOKUP(YEAR(G1869)+(MONTH(G1869)/100),TC!$5:$37,DAY(G1869)+2,FALSE))))</f>
        <v>0</v>
      </c>
      <c r="O1869" s="307">
        <f t="shared" si="497"/>
        <v>0</v>
      </c>
      <c r="P1869" s="560">
        <f>IF(G1869=0,0,VLOOKUP(YEAR(G1869),INPC!$B$4:$P$30,MONTH(G1869)+2))</f>
        <v>0</v>
      </c>
      <c r="Q1869" s="560">
        <f>IF(X1869=0,0,IF(OR(E1869=$AT$10,E1869=$AT$9),VLOOKUP(YEAR(X1869),INPC!$B$4:$P$30,MONTH(X1869)+1),VLOOKUP(YEAR(X1869),INPC!$B$4:$P$30,MONTH(X1869)+2,0)))</f>
        <v>0</v>
      </c>
      <c r="R1869" s="309">
        <f t="shared" si="498"/>
        <v>0</v>
      </c>
      <c r="S1869" s="310">
        <f t="shared" si="499"/>
        <v>0</v>
      </c>
      <c r="T1869" s="555">
        <f t="shared" si="500"/>
        <v>0</v>
      </c>
      <c r="U1869" s="311"/>
      <c r="V1869" s="312"/>
      <c r="W1869" s="299"/>
      <c r="X1869" s="300"/>
      <c r="Y1869" s="299"/>
      <c r="Z1869" s="303"/>
      <c r="AA1869" s="305">
        <f>IF(Z1869=0,0,IF(Y1869="MXN",1/HLOOKUP(YEAR(X1869)+(MONTH(X1869)/100),TC!$5:$37,DAY(X1869)+2,FALSE),VLOOKUP(Y1869,Equivalencia!$1:$23,((MAX(Equivalencia!$3:$3)-YEAR(X1869))*14)+MONTH(X1869)+2,FALSE)))</f>
        <v>0</v>
      </c>
      <c r="AB1869" s="306">
        <f t="shared" si="501"/>
        <v>0</v>
      </c>
      <c r="AC1869" s="305">
        <f>+IF(X1869=0,0,HLOOKUP(YEAR(X1869)+(MONTH(X1869)/100),TC!$5:$37,DAY(X1869)+2,FALSE))</f>
        <v>0</v>
      </c>
      <c r="AD1869" s="307">
        <f t="shared" si="502"/>
        <v>0</v>
      </c>
      <c r="AE1869" s="314">
        <f t="shared" si="503"/>
        <v>0</v>
      </c>
      <c r="AF1869" s="315">
        <f t="shared" si="504"/>
        <v>0</v>
      </c>
      <c r="AG1869" s="316">
        <f t="shared" si="505"/>
        <v>0</v>
      </c>
      <c r="AH1869" s="314">
        <v>1</v>
      </c>
      <c r="AI1869" s="314">
        <f t="shared" si="506"/>
        <v>0</v>
      </c>
      <c r="AJ1869" s="314">
        <f t="shared" si="507"/>
        <v>0</v>
      </c>
      <c r="AK1869" s="317"/>
      <c r="AL1869" s="315">
        <f t="shared" si="508"/>
        <v>0</v>
      </c>
      <c r="AN1869" s="554">
        <f t="shared" si="509"/>
        <v>0</v>
      </c>
      <c r="AO1869" s="314"/>
      <c r="AP1869" s="318"/>
    </row>
    <row r="1870" spans="2:42">
      <c r="B1870" s="296"/>
      <c r="C1870" s="299"/>
      <c r="D1870" s="298"/>
      <c r="E1870" s="299"/>
      <c r="F1870" s="299"/>
      <c r="G1870" s="300"/>
      <c r="H1870" s="303"/>
      <c r="I1870" s="301">
        <f t="shared" si="493"/>
        <v>0</v>
      </c>
      <c r="J1870" s="302">
        <f t="shared" si="494"/>
        <v>0</v>
      </c>
      <c r="K1870" s="304">
        <f t="shared" si="495"/>
        <v>0</v>
      </c>
      <c r="L1870" s="305">
        <f>IF(H1870=0,0,IF(OR(E1870=$AT$5,E1870=$AT$6),AA1870,IF(F1870="MXN",1/HLOOKUP(YEAR(G1870)+(MONTH(G1870)/100),TC!$5:$37,DAY(G1870)+2,FALSE),VLOOKUP(F1870,Equivalencia!$5:$23,((MAX(Equivalencia!$3:$3)-YEAR(G1870))*14)+MONTH(G1870)+2,FALSE))))</f>
        <v>0</v>
      </c>
      <c r="M1870" s="306">
        <f t="shared" si="496"/>
        <v>0</v>
      </c>
      <c r="N1870" s="305">
        <f>IF(G1870=0,0,(IF(OR(E1870=$AT$5,E1870=$AT$6),AC1870,HLOOKUP(YEAR(G1870)+(MONTH(G1870)/100),TC!$5:$37,DAY(G1870)+2,FALSE))))</f>
        <v>0</v>
      </c>
      <c r="O1870" s="307">
        <f t="shared" si="497"/>
        <v>0</v>
      </c>
      <c r="P1870" s="560">
        <f>IF(G1870=0,0,VLOOKUP(YEAR(G1870),INPC!$B$4:$P$30,MONTH(G1870)+2))</f>
        <v>0</v>
      </c>
      <c r="Q1870" s="560">
        <f>IF(X1870=0,0,IF(OR(E1870=$AT$10,E1870=$AT$9),VLOOKUP(YEAR(X1870),INPC!$B$4:$P$30,MONTH(X1870)+1),VLOOKUP(YEAR(X1870),INPC!$B$4:$P$30,MONTH(X1870)+2,0)))</f>
        <v>0</v>
      </c>
      <c r="R1870" s="309">
        <f t="shared" si="498"/>
        <v>0</v>
      </c>
      <c r="S1870" s="310">
        <f t="shared" si="499"/>
        <v>0</v>
      </c>
      <c r="T1870" s="555">
        <f t="shared" si="500"/>
        <v>0</v>
      </c>
      <c r="U1870" s="311"/>
      <c r="V1870" s="312"/>
      <c r="W1870" s="299"/>
      <c r="X1870" s="300"/>
      <c r="Y1870" s="299"/>
      <c r="Z1870" s="303"/>
      <c r="AA1870" s="305">
        <f>IF(Z1870=0,0,IF(Y1870="MXN",1/HLOOKUP(YEAR(X1870)+(MONTH(X1870)/100),TC!$5:$37,DAY(X1870)+2,FALSE),VLOOKUP(Y1870,Equivalencia!$1:$23,((MAX(Equivalencia!$3:$3)-YEAR(X1870))*14)+MONTH(X1870)+2,FALSE)))</f>
        <v>0</v>
      </c>
      <c r="AB1870" s="306">
        <f t="shared" si="501"/>
        <v>0</v>
      </c>
      <c r="AC1870" s="305">
        <f>+IF(X1870=0,0,HLOOKUP(YEAR(X1870)+(MONTH(X1870)/100),TC!$5:$37,DAY(X1870)+2,FALSE))</f>
        <v>0</v>
      </c>
      <c r="AD1870" s="307">
        <f t="shared" si="502"/>
        <v>0</v>
      </c>
      <c r="AE1870" s="314">
        <f t="shared" si="503"/>
        <v>0</v>
      </c>
      <c r="AF1870" s="315">
        <f t="shared" si="504"/>
        <v>0</v>
      </c>
      <c r="AG1870" s="316">
        <f t="shared" si="505"/>
        <v>0</v>
      </c>
      <c r="AH1870" s="314">
        <v>1</v>
      </c>
      <c r="AI1870" s="314">
        <f t="shared" si="506"/>
        <v>0</v>
      </c>
      <c r="AJ1870" s="314">
        <f t="shared" si="507"/>
        <v>0</v>
      </c>
      <c r="AK1870" s="317"/>
      <c r="AL1870" s="315">
        <f t="shared" si="508"/>
        <v>0</v>
      </c>
      <c r="AN1870" s="554">
        <f t="shared" si="509"/>
        <v>0</v>
      </c>
      <c r="AO1870" s="314"/>
      <c r="AP1870" s="318"/>
    </row>
    <row r="1871" spans="2:42">
      <c r="B1871" s="296"/>
      <c r="C1871" s="299"/>
      <c r="D1871" s="298"/>
      <c r="E1871" s="299"/>
      <c r="F1871" s="299"/>
      <c r="G1871" s="300"/>
      <c r="H1871" s="303"/>
      <c r="I1871" s="301">
        <f t="shared" si="493"/>
        <v>0</v>
      </c>
      <c r="J1871" s="302">
        <f t="shared" si="494"/>
        <v>0</v>
      </c>
      <c r="K1871" s="304">
        <f t="shared" si="495"/>
        <v>0</v>
      </c>
      <c r="L1871" s="305">
        <f>IF(H1871=0,0,IF(OR(E1871=$AT$5,E1871=$AT$6),AA1871,IF(F1871="MXN",1/HLOOKUP(YEAR(G1871)+(MONTH(G1871)/100),TC!$5:$37,DAY(G1871)+2,FALSE),VLOOKUP(F1871,Equivalencia!$5:$23,((MAX(Equivalencia!$3:$3)-YEAR(G1871))*14)+MONTH(G1871)+2,FALSE))))</f>
        <v>0</v>
      </c>
      <c r="M1871" s="306">
        <f t="shared" si="496"/>
        <v>0</v>
      </c>
      <c r="N1871" s="305">
        <f>IF(G1871=0,0,(IF(OR(E1871=$AT$5,E1871=$AT$6),AC1871,HLOOKUP(YEAR(G1871)+(MONTH(G1871)/100),TC!$5:$37,DAY(G1871)+2,FALSE))))</f>
        <v>0</v>
      </c>
      <c r="O1871" s="307">
        <f t="shared" si="497"/>
        <v>0</v>
      </c>
      <c r="P1871" s="560">
        <f>IF(G1871=0,0,VLOOKUP(YEAR(G1871),INPC!$B$4:$P$30,MONTH(G1871)+2))</f>
        <v>0</v>
      </c>
      <c r="Q1871" s="560">
        <f>IF(X1871=0,0,IF(OR(E1871=$AT$10,E1871=$AT$9),VLOOKUP(YEAR(X1871),INPC!$B$4:$P$30,MONTH(X1871)+1),VLOOKUP(YEAR(X1871),INPC!$B$4:$P$30,MONTH(X1871)+2,0)))</f>
        <v>0</v>
      </c>
      <c r="R1871" s="309">
        <f t="shared" si="498"/>
        <v>0</v>
      </c>
      <c r="S1871" s="310">
        <f t="shared" si="499"/>
        <v>0</v>
      </c>
      <c r="T1871" s="555">
        <f t="shared" si="500"/>
        <v>0</v>
      </c>
      <c r="U1871" s="311"/>
      <c r="V1871" s="312"/>
      <c r="W1871" s="299"/>
      <c r="X1871" s="300"/>
      <c r="Y1871" s="299"/>
      <c r="Z1871" s="303"/>
      <c r="AA1871" s="305">
        <f>IF(Z1871=0,0,IF(Y1871="MXN",1/HLOOKUP(YEAR(X1871)+(MONTH(X1871)/100),TC!$5:$37,DAY(X1871)+2,FALSE),VLOOKUP(Y1871,Equivalencia!$1:$23,((MAX(Equivalencia!$3:$3)-YEAR(X1871))*14)+MONTH(X1871)+2,FALSE)))</f>
        <v>0</v>
      </c>
      <c r="AB1871" s="306">
        <f t="shared" si="501"/>
        <v>0</v>
      </c>
      <c r="AC1871" s="305">
        <f>+IF(X1871=0,0,HLOOKUP(YEAR(X1871)+(MONTH(X1871)/100),TC!$5:$37,DAY(X1871)+2,FALSE))</f>
        <v>0</v>
      </c>
      <c r="AD1871" s="307">
        <f t="shared" si="502"/>
        <v>0</v>
      </c>
      <c r="AE1871" s="314">
        <f t="shared" si="503"/>
        <v>0</v>
      </c>
      <c r="AF1871" s="315">
        <f t="shared" si="504"/>
        <v>0</v>
      </c>
      <c r="AG1871" s="316">
        <f t="shared" si="505"/>
        <v>0</v>
      </c>
      <c r="AH1871" s="314">
        <v>1</v>
      </c>
      <c r="AI1871" s="314">
        <f t="shared" si="506"/>
        <v>0</v>
      </c>
      <c r="AJ1871" s="314">
        <f t="shared" si="507"/>
        <v>0</v>
      </c>
      <c r="AK1871" s="317"/>
      <c r="AL1871" s="315">
        <f t="shared" si="508"/>
        <v>0</v>
      </c>
      <c r="AN1871" s="554">
        <f t="shared" si="509"/>
        <v>0</v>
      </c>
      <c r="AO1871" s="314"/>
      <c r="AP1871" s="318"/>
    </row>
    <row r="1872" spans="2:42">
      <c r="B1872" s="296"/>
      <c r="C1872" s="299"/>
      <c r="D1872" s="298"/>
      <c r="E1872" s="299"/>
      <c r="F1872" s="299"/>
      <c r="G1872" s="300"/>
      <c r="H1872" s="303"/>
      <c r="I1872" s="301">
        <f t="shared" si="493"/>
        <v>0</v>
      </c>
      <c r="J1872" s="302">
        <f t="shared" si="494"/>
        <v>0</v>
      </c>
      <c r="K1872" s="304">
        <f t="shared" si="495"/>
        <v>0</v>
      </c>
      <c r="L1872" s="305">
        <f>IF(H1872=0,0,IF(OR(E1872=$AT$5,E1872=$AT$6),AA1872,IF(F1872="MXN",1/HLOOKUP(YEAR(G1872)+(MONTH(G1872)/100),TC!$5:$37,DAY(G1872)+2,FALSE),VLOOKUP(F1872,Equivalencia!$5:$23,((MAX(Equivalencia!$3:$3)-YEAR(G1872))*14)+MONTH(G1872)+2,FALSE))))</f>
        <v>0</v>
      </c>
      <c r="M1872" s="306">
        <f t="shared" si="496"/>
        <v>0</v>
      </c>
      <c r="N1872" s="305">
        <f>IF(G1872=0,0,(IF(OR(E1872=$AT$5,E1872=$AT$6),AC1872,HLOOKUP(YEAR(G1872)+(MONTH(G1872)/100),TC!$5:$37,DAY(G1872)+2,FALSE))))</f>
        <v>0</v>
      </c>
      <c r="O1872" s="307">
        <f t="shared" si="497"/>
        <v>0</v>
      </c>
      <c r="P1872" s="560">
        <f>IF(G1872=0,0,VLOOKUP(YEAR(G1872),INPC!$B$4:$P$30,MONTH(G1872)+2))</f>
        <v>0</v>
      </c>
      <c r="Q1872" s="560">
        <f>IF(X1872=0,0,IF(OR(E1872=$AT$10,E1872=$AT$9),VLOOKUP(YEAR(X1872),INPC!$B$4:$P$30,MONTH(X1872)+1),VLOOKUP(YEAR(X1872),INPC!$B$4:$P$30,MONTH(X1872)+2,0)))</f>
        <v>0</v>
      </c>
      <c r="R1872" s="309">
        <f t="shared" si="498"/>
        <v>0</v>
      </c>
      <c r="S1872" s="310">
        <f t="shared" si="499"/>
        <v>0</v>
      </c>
      <c r="T1872" s="555">
        <f t="shared" si="500"/>
        <v>0</v>
      </c>
      <c r="U1872" s="311"/>
      <c r="V1872" s="312"/>
      <c r="W1872" s="299"/>
      <c r="X1872" s="300"/>
      <c r="Y1872" s="299"/>
      <c r="Z1872" s="303"/>
      <c r="AA1872" s="305">
        <f>IF(Z1872=0,0,IF(Y1872="MXN",1/HLOOKUP(YEAR(X1872)+(MONTH(X1872)/100),TC!$5:$37,DAY(X1872)+2,FALSE),VLOOKUP(Y1872,Equivalencia!$1:$23,((MAX(Equivalencia!$3:$3)-YEAR(X1872))*14)+MONTH(X1872)+2,FALSE)))</f>
        <v>0</v>
      </c>
      <c r="AB1872" s="306">
        <f t="shared" si="501"/>
        <v>0</v>
      </c>
      <c r="AC1872" s="305">
        <f>+IF(X1872=0,0,HLOOKUP(YEAR(X1872)+(MONTH(X1872)/100),TC!$5:$37,DAY(X1872)+2,FALSE))</f>
        <v>0</v>
      </c>
      <c r="AD1872" s="307">
        <f t="shared" si="502"/>
        <v>0</v>
      </c>
      <c r="AE1872" s="314">
        <f t="shared" si="503"/>
        <v>0</v>
      </c>
      <c r="AF1872" s="315">
        <f t="shared" si="504"/>
        <v>0</v>
      </c>
      <c r="AG1872" s="316">
        <f t="shared" si="505"/>
        <v>0</v>
      </c>
      <c r="AH1872" s="314">
        <v>1</v>
      </c>
      <c r="AI1872" s="314">
        <f t="shared" si="506"/>
        <v>0</v>
      </c>
      <c r="AJ1872" s="314">
        <f t="shared" si="507"/>
        <v>0</v>
      </c>
      <c r="AK1872" s="317"/>
      <c r="AL1872" s="315">
        <f t="shared" si="508"/>
        <v>0</v>
      </c>
      <c r="AN1872" s="554">
        <f t="shared" si="509"/>
        <v>0</v>
      </c>
      <c r="AO1872" s="314"/>
      <c r="AP1872" s="318"/>
    </row>
    <row r="1873" spans="2:42">
      <c r="B1873" s="296"/>
      <c r="C1873" s="299"/>
      <c r="D1873" s="298"/>
      <c r="E1873" s="299"/>
      <c r="F1873" s="299"/>
      <c r="G1873" s="300"/>
      <c r="H1873" s="303"/>
      <c r="I1873" s="301">
        <f t="shared" si="493"/>
        <v>0</v>
      </c>
      <c r="J1873" s="302">
        <f t="shared" si="494"/>
        <v>0</v>
      </c>
      <c r="K1873" s="304">
        <f t="shared" si="495"/>
        <v>0</v>
      </c>
      <c r="L1873" s="305">
        <f>IF(H1873=0,0,IF(OR(E1873=$AT$5,E1873=$AT$6),AA1873,IF(F1873="MXN",1/HLOOKUP(YEAR(G1873)+(MONTH(G1873)/100),TC!$5:$37,DAY(G1873)+2,FALSE),VLOOKUP(F1873,Equivalencia!$5:$23,((MAX(Equivalencia!$3:$3)-YEAR(G1873))*14)+MONTH(G1873)+2,FALSE))))</f>
        <v>0</v>
      </c>
      <c r="M1873" s="306">
        <f t="shared" si="496"/>
        <v>0</v>
      </c>
      <c r="N1873" s="305">
        <f>IF(G1873=0,0,(IF(OR(E1873=$AT$5,E1873=$AT$6),AC1873,HLOOKUP(YEAR(G1873)+(MONTH(G1873)/100),TC!$5:$37,DAY(G1873)+2,FALSE))))</f>
        <v>0</v>
      </c>
      <c r="O1873" s="307">
        <f t="shared" si="497"/>
        <v>0</v>
      </c>
      <c r="P1873" s="560">
        <f>IF(G1873=0,0,VLOOKUP(YEAR(G1873),INPC!$B$4:$P$30,MONTH(G1873)+2))</f>
        <v>0</v>
      </c>
      <c r="Q1873" s="560">
        <f>IF(X1873=0,0,IF(OR(E1873=$AT$10,E1873=$AT$9),VLOOKUP(YEAR(X1873),INPC!$B$4:$P$30,MONTH(X1873)+1),VLOOKUP(YEAR(X1873),INPC!$B$4:$P$30,MONTH(X1873)+2,0)))</f>
        <v>0</v>
      </c>
      <c r="R1873" s="309">
        <f t="shared" si="498"/>
        <v>0</v>
      </c>
      <c r="S1873" s="310">
        <f t="shared" si="499"/>
        <v>0</v>
      </c>
      <c r="T1873" s="555">
        <f t="shared" si="500"/>
        <v>0</v>
      </c>
      <c r="U1873" s="311"/>
      <c r="V1873" s="312"/>
      <c r="W1873" s="299"/>
      <c r="X1873" s="300"/>
      <c r="Y1873" s="299"/>
      <c r="Z1873" s="303"/>
      <c r="AA1873" s="305">
        <f>IF(Z1873=0,0,IF(Y1873="MXN",1/HLOOKUP(YEAR(X1873)+(MONTH(X1873)/100),TC!$5:$37,DAY(X1873)+2,FALSE),VLOOKUP(Y1873,Equivalencia!$1:$23,((MAX(Equivalencia!$3:$3)-YEAR(X1873))*14)+MONTH(X1873)+2,FALSE)))</f>
        <v>0</v>
      </c>
      <c r="AB1873" s="306">
        <f t="shared" si="501"/>
        <v>0</v>
      </c>
      <c r="AC1873" s="305">
        <f>+IF(X1873=0,0,HLOOKUP(YEAR(X1873)+(MONTH(X1873)/100),TC!$5:$37,DAY(X1873)+2,FALSE))</f>
        <v>0</v>
      </c>
      <c r="AD1873" s="307">
        <f t="shared" si="502"/>
        <v>0</v>
      </c>
      <c r="AE1873" s="314">
        <f t="shared" si="503"/>
        <v>0</v>
      </c>
      <c r="AF1873" s="315">
        <f t="shared" si="504"/>
        <v>0</v>
      </c>
      <c r="AG1873" s="316">
        <f t="shared" si="505"/>
        <v>0</v>
      </c>
      <c r="AH1873" s="314">
        <v>1</v>
      </c>
      <c r="AI1873" s="314">
        <f t="shared" si="506"/>
        <v>0</v>
      </c>
      <c r="AJ1873" s="314">
        <f t="shared" si="507"/>
        <v>0</v>
      </c>
      <c r="AK1873" s="317"/>
      <c r="AL1873" s="315">
        <f t="shared" si="508"/>
        <v>0</v>
      </c>
      <c r="AN1873" s="554">
        <f t="shared" si="509"/>
        <v>0</v>
      </c>
      <c r="AO1873" s="314"/>
      <c r="AP1873" s="318"/>
    </row>
    <row r="1874" spans="2:42">
      <c r="B1874" s="296"/>
      <c r="C1874" s="299"/>
      <c r="D1874" s="298"/>
      <c r="E1874" s="299"/>
      <c r="F1874" s="299"/>
      <c r="G1874" s="300"/>
      <c r="H1874" s="303"/>
      <c r="I1874" s="301">
        <f t="shared" si="493"/>
        <v>0</v>
      </c>
      <c r="J1874" s="302">
        <f t="shared" si="494"/>
        <v>0</v>
      </c>
      <c r="K1874" s="304">
        <f t="shared" si="495"/>
        <v>0</v>
      </c>
      <c r="L1874" s="305">
        <f>IF(H1874=0,0,IF(OR(E1874=$AT$5,E1874=$AT$6),AA1874,IF(F1874="MXN",1/HLOOKUP(YEAR(G1874)+(MONTH(G1874)/100),TC!$5:$37,DAY(G1874)+2,FALSE),VLOOKUP(F1874,Equivalencia!$5:$23,((MAX(Equivalencia!$3:$3)-YEAR(G1874))*14)+MONTH(G1874)+2,FALSE))))</f>
        <v>0</v>
      </c>
      <c r="M1874" s="306">
        <f t="shared" si="496"/>
        <v>0</v>
      </c>
      <c r="N1874" s="305">
        <f>IF(G1874=0,0,(IF(OR(E1874=$AT$5,E1874=$AT$6),AC1874,HLOOKUP(YEAR(G1874)+(MONTH(G1874)/100),TC!$5:$37,DAY(G1874)+2,FALSE))))</f>
        <v>0</v>
      </c>
      <c r="O1874" s="307">
        <f t="shared" si="497"/>
        <v>0</v>
      </c>
      <c r="P1874" s="560">
        <f>IF(G1874=0,0,VLOOKUP(YEAR(G1874),INPC!$B$4:$P$30,MONTH(G1874)+2))</f>
        <v>0</v>
      </c>
      <c r="Q1874" s="560">
        <f>IF(X1874=0,0,IF(OR(E1874=$AT$10,E1874=$AT$9),VLOOKUP(YEAR(X1874),INPC!$B$4:$P$30,MONTH(X1874)+1),VLOOKUP(YEAR(X1874),INPC!$B$4:$P$30,MONTH(X1874)+2,0)))</f>
        <v>0</v>
      </c>
      <c r="R1874" s="309">
        <f t="shared" si="498"/>
        <v>0</v>
      </c>
      <c r="S1874" s="310">
        <f t="shared" si="499"/>
        <v>0</v>
      </c>
      <c r="T1874" s="555">
        <f t="shared" si="500"/>
        <v>0</v>
      </c>
      <c r="U1874" s="311"/>
      <c r="V1874" s="312"/>
      <c r="W1874" s="299"/>
      <c r="X1874" s="300"/>
      <c r="Y1874" s="299"/>
      <c r="Z1874" s="303"/>
      <c r="AA1874" s="305">
        <f>IF(Z1874=0,0,IF(Y1874="MXN",1/HLOOKUP(YEAR(X1874)+(MONTH(X1874)/100),TC!$5:$37,DAY(X1874)+2,FALSE),VLOOKUP(Y1874,Equivalencia!$1:$23,((MAX(Equivalencia!$3:$3)-YEAR(X1874))*14)+MONTH(X1874)+2,FALSE)))</f>
        <v>0</v>
      </c>
      <c r="AB1874" s="306">
        <f t="shared" si="501"/>
        <v>0</v>
      </c>
      <c r="AC1874" s="305">
        <f>+IF(X1874=0,0,HLOOKUP(YEAR(X1874)+(MONTH(X1874)/100),TC!$5:$37,DAY(X1874)+2,FALSE))</f>
        <v>0</v>
      </c>
      <c r="AD1874" s="307">
        <f t="shared" si="502"/>
        <v>0</v>
      </c>
      <c r="AE1874" s="314">
        <f t="shared" si="503"/>
        <v>0</v>
      </c>
      <c r="AF1874" s="315">
        <f t="shared" si="504"/>
        <v>0</v>
      </c>
      <c r="AG1874" s="316">
        <f t="shared" si="505"/>
        <v>0</v>
      </c>
      <c r="AH1874" s="314">
        <v>1</v>
      </c>
      <c r="AI1874" s="314">
        <f t="shared" si="506"/>
        <v>0</v>
      </c>
      <c r="AJ1874" s="314">
        <f t="shared" si="507"/>
        <v>0</v>
      </c>
      <c r="AK1874" s="317"/>
      <c r="AL1874" s="315">
        <f t="shared" si="508"/>
        <v>0</v>
      </c>
      <c r="AN1874" s="554">
        <f t="shared" si="509"/>
        <v>0</v>
      </c>
      <c r="AO1874" s="314"/>
      <c r="AP1874" s="318"/>
    </row>
    <row r="1875" spans="2:42">
      <c r="B1875" s="296"/>
      <c r="C1875" s="299"/>
      <c r="D1875" s="298"/>
      <c r="E1875" s="299"/>
      <c r="F1875" s="299"/>
      <c r="G1875" s="300"/>
      <c r="H1875" s="303"/>
      <c r="I1875" s="301">
        <f t="shared" si="493"/>
        <v>0</v>
      </c>
      <c r="J1875" s="302">
        <f t="shared" si="494"/>
        <v>0</v>
      </c>
      <c r="K1875" s="304">
        <f t="shared" si="495"/>
        <v>0</v>
      </c>
      <c r="L1875" s="305">
        <f>IF(H1875=0,0,IF(OR(E1875=$AT$5,E1875=$AT$6),AA1875,IF(F1875="MXN",1/HLOOKUP(YEAR(G1875)+(MONTH(G1875)/100),TC!$5:$37,DAY(G1875)+2,FALSE),VLOOKUP(F1875,Equivalencia!$5:$23,((MAX(Equivalencia!$3:$3)-YEAR(G1875))*14)+MONTH(G1875)+2,FALSE))))</f>
        <v>0</v>
      </c>
      <c r="M1875" s="306">
        <f t="shared" si="496"/>
        <v>0</v>
      </c>
      <c r="N1875" s="305">
        <f>IF(G1875=0,0,(IF(OR(E1875=$AT$5,E1875=$AT$6),AC1875,HLOOKUP(YEAR(G1875)+(MONTH(G1875)/100),TC!$5:$37,DAY(G1875)+2,FALSE))))</f>
        <v>0</v>
      </c>
      <c r="O1875" s="307">
        <f t="shared" si="497"/>
        <v>0</v>
      </c>
      <c r="P1875" s="560">
        <f>IF(G1875=0,0,VLOOKUP(YEAR(G1875),INPC!$B$4:$P$30,MONTH(G1875)+2))</f>
        <v>0</v>
      </c>
      <c r="Q1875" s="560">
        <f>IF(X1875=0,0,IF(OR(E1875=$AT$10,E1875=$AT$9),VLOOKUP(YEAR(X1875),INPC!$B$4:$P$30,MONTH(X1875)+1),VLOOKUP(YEAR(X1875),INPC!$B$4:$P$30,MONTH(X1875)+2,0)))</f>
        <v>0</v>
      </c>
      <c r="R1875" s="309">
        <f t="shared" si="498"/>
        <v>0</v>
      </c>
      <c r="S1875" s="310">
        <f t="shared" si="499"/>
        <v>0</v>
      </c>
      <c r="T1875" s="555">
        <f t="shared" si="500"/>
        <v>0</v>
      </c>
      <c r="U1875" s="311"/>
      <c r="V1875" s="312"/>
      <c r="W1875" s="299"/>
      <c r="X1875" s="300"/>
      <c r="Y1875" s="299"/>
      <c r="Z1875" s="303"/>
      <c r="AA1875" s="305">
        <f>IF(Z1875=0,0,IF(Y1875="MXN",1/HLOOKUP(YEAR(X1875)+(MONTH(X1875)/100),TC!$5:$37,DAY(X1875)+2,FALSE),VLOOKUP(Y1875,Equivalencia!$1:$23,((MAX(Equivalencia!$3:$3)-YEAR(X1875))*14)+MONTH(X1875)+2,FALSE)))</f>
        <v>0</v>
      </c>
      <c r="AB1875" s="306">
        <f t="shared" si="501"/>
        <v>0</v>
      </c>
      <c r="AC1875" s="305">
        <f>+IF(X1875=0,0,HLOOKUP(YEAR(X1875)+(MONTH(X1875)/100),TC!$5:$37,DAY(X1875)+2,FALSE))</f>
        <v>0</v>
      </c>
      <c r="AD1875" s="307">
        <f t="shared" si="502"/>
        <v>0</v>
      </c>
      <c r="AE1875" s="314">
        <f t="shared" si="503"/>
        <v>0</v>
      </c>
      <c r="AF1875" s="315">
        <f t="shared" si="504"/>
        <v>0</v>
      </c>
      <c r="AG1875" s="316">
        <f t="shared" si="505"/>
        <v>0</v>
      </c>
      <c r="AH1875" s="314">
        <v>1</v>
      </c>
      <c r="AI1875" s="314">
        <f t="shared" si="506"/>
        <v>0</v>
      </c>
      <c r="AJ1875" s="314">
        <f t="shared" si="507"/>
        <v>0</v>
      </c>
      <c r="AK1875" s="317"/>
      <c r="AL1875" s="315">
        <f t="shared" si="508"/>
        <v>0</v>
      </c>
      <c r="AN1875" s="554">
        <f t="shared" si="509"/>
        <v>0</v>
      </c>
      <c r="AO1875" s="314"/>
      <c r="AP1875" s="318"/>
    </row>
    <row r="1876" spans="2:42">
      <c r="B1876" s="296"/>
      <c r="C1876" s="299"/>
      <c r="D1876" s="298"/>
      <c r="E1876" s="299"/>
      <c r="F1876" s="299"/>
      <c r="G1876" s="300"/>
      <c r="H1876" s="303"/>
      <c r="I1876" s="301">
        <f t="shared" si="493"/>
        <v>0</v>
      </c>
      <c r="J1876" s="302">
        <f t="shared" si="494"/>
        <v>0</v>
      </c>
      <c r="K1876" s="304">
        <f t="shared" si="495"/>
        <v>0</v>
      </c>
      <c r="L1876" s="305">
        <f>IF(H1876=0,0,IF(OR(E1876=$AT$5,E1876=$AT$6),AA1876,IF(F1876="MXN",1/HLOOKUP(YEAR(G1876)+(MONTH(G1876)/100),TC!$5:$37,DAY(G1876)+2,FALSE),VLOOKUP(F1876,Equivalencia!$5:$23,((MAX(Equivalencia!$3:$3)-YEAR(G1876))*14)+MONTH(G1876)+2,FALSE))))</f>
        <v>0</v>
      </c>
      <c r="M1876" s="306">
        <f t="shared" si="496"/>
        <v>0</v>
      </c>
      <c r="N1876" s="305">
        <f>IF(G1876=0,0,(IF(OR(E1876=$AT$5,E1876=$AT$6),AC1876,HLOOKUP(YEAR(G1876)+(MONTH(G1876)/100),TC!$5:$37,DAY(G1876)+2,FALSE))))</f>
        <v>0</v>
      </c>
      <c r="O1876" s="307">
        <f t="shared" si="497"/>
        <v>0</v>
      </c>
      <c r="P1876" s="560">
        <f>IF(G1876=0,0,VLOOKUP(YEAR(G1876),INPC!$B$4:$P$30,MONTH(G1876)+2))</f>
        <v>0</v>
      </c>
      <c r="Q1876" s="560">
        <f>IF(X1876=0,0,IF(OR(E1876=$AT$10,E1876=$AT$9),VLOOKUP(YEAR(X1876),INPC!$B$4:$P$30,MONTH(X1876)+1),VLOOKUP(YEAR(X1876),INPC!$B$4:$P$30,MONTH(X1876)+2,0)))</f>
        <v>0</v>
      </c>
      <c r="R1876" s="309">
        <f t="shared" si="498"/>
        <v>0</v>
      </c>
      <c r="S1876" s="310">
        <f t="shared" si="499"/>
        <v>0</v>
      </c>
      <c r="T1876" s="555">
        <f t="shared" si="500"/>
        <v>0</v>
      </c>
      <c r="U1876" s="311"/>
      <c r="V1876" s="312"/>
      <c r="W1876" s="299"/>
      <c r="X1876" s="300"/>
      <c r="Y1876" s="299"/>
      <c r="Z1876" s="303"/>
      <c r="AA1876" s="305">
        <f>IF(Z1876=0,0,IF(Y1876="MXN",1/HLOOKUP(YEAR(X1876)+(MONTH(X1876)/100),TC!$5:$37,DAY(X1876)+2,FALSE),VLOOKUP(Y1876,Equivalencia!$1:$23,((MAX(Equivalencia!$3:$3)-YEAR(X1876))*14)+MONTH(X1876)+2,FALSE)))</f>
        <v>0</v>
      </c>
      <c r="AB1876" s="306">
        <f t="shared" si="501"/>
        <v>0</v>
      </c>
      <c r="AC1876" s="305">
        <f>+IF(X1876=0,0,HLOOKUP(YEAR(X1876)+(MONTH(X1876)/100),TC!$5:$37,DAY(X1876)+2,FALSE))</f>
        <v>0</v>
      </c>
      <c r="AD1876" s="307">
        <f t="shared" si="502"/>
        <v>0</v>
      </c>
      <c r="AE1876" s="314">
        <f t="shared" si="503"/>
        <v>0</v>
      </c>
      <c r="AF1876" s="315">
        <f t="shared" si="504"/>
        <v>0</v>
      </c>
      <c r="AG1876" s="316">
        <f t="shared" si="505"/>
        <v>0</v>
      </c>
      <c r="AH1876" s="314">
        <v>1</v>
      </c>
      <c r="AI1876" s="314">
        <f t="shared" si="506"/>
        <v>0</v>
      </c>
      <c r="AJ1876" s="314">
        <f t="shared" si="507"/>
        <v>0</v>
      </c>
      <c r="AK1876" s="317"/>
      <c r="AL1876" s="315">
        <f t="shared" si="508"/>
        <v>0</v>
      </c>
      <c r="AN1876" s="554">
        <f t="shared" si="509"/>
        <v>0</v>
      </c>
      <c r="AO1876" s="314"/>
      <c r="AP1876" s="318"/>
    </row>
    <row r="1877" spans="2:42">
      <c r="B1877" s="296"/>
      <c r="C1877" s="299"/>
      <c r="D1877" s="298"/>
      <c r="E1877" s="299"/>
      <c r="F1877" s="299"/>
      <c r="G1877" s="300"/>
      <c r="H1877" s="303"/>
      <c r="I1877" s="301">
        <f t="shared" si="493"/>
        <v>0</v>
      </c>
      <c r="J1877" s="302">
        <f t="shared" si="494"/>
        <v>0</v>
      </c>
      <c r="K1877" s="304">
        <f t="shared" si="495"/>
        <v>0</v>
      </c>
      <c r="L1877" s="305">
        <f>IF(H1877=0,0,IF(OR(E1877=$AT$5,E1877=$AT$6),AA1877,IF(F1877="MXN",1/HLOOKUP(YEAR(G1877)+(MONTH(G1877)/100),TC!$5:$37,DAY(G1877)+2,FALSE),VLOOKUP(F1877,Equivalencia!$5:$23,((MAX(Equivalencia!$3:$3)-YEAR(G1877))*14)+MONTH(G1877)+2,FALSE))))</f>
        <v>0</v>
      </c>
      <c r="M1877" s="306">
        <f t="shared" si="496"/>
        <v>0</v>
      </c>
      <c r="N1877" s="305">
        <f>IF(G1877=0,0,(IF(OR(E1877=$AT$5,E1877=$AT$6),AC1877,HLOOKUP(YEAR(G1877)+(MONTH(G1877)/100),TC!$5:$37,DAY(G1877)+2,FALSE))))</f>
        <v>0</v>
      </c>
      <c r="O1877" s="307">
        <f t="shared" si="497"/>
        <v>0</v>
      </c>
      <c r="P1877" s="560">
        <f>IF(G1877=0,0,VLOOKUP(YEAR(G1877),INPC!$B$4:$P$30,MONTH(G1877)+2))</f>
        <v>0</v>
      </c>
      <c r="Q1877" s="560">
        <f>IF(X1877=0,0,IF(OR(E1877=$AT$10,E1877=$AT$9),VLOOKUP(YEAR(X1877),INPC!$B$4:$P$30,MONTH(X1877)+1),VLOOKUP(YEAR(X1877),INPC!$B$4:$P$30,MONTH(X1877)+2,0)))</f>
        <v>0</v>
      </c>
      <c r="R1877" s="309">
        <f t="shared" si="498"/>
        <v>0</v>
      </c>
      <c r="S1877" s="310">
        <f t="shared" si="499"/>
        <v>0</v>
      </c>
      <c r="T1877" s="555">
        <f t="shared" si="500"/>
        <v>0</v>
      </c>
      <c r="U1877" s="311"/>
      <c r="V1877" s="312"/>
      <c r="W1877" s="299"/>
      <c r="X1877" s="300"/>
      <c r="Y1877" s="299"/>
      <c r="Z1877" s="303"/>
      <c r="AA1877" s="305">
        <f>IF(Z1877=0,0,IF(Y1877="MXN",1/HLOOKUP(YEAR(X1877)+(MONTH(X1877)/100),TC!$5:$37,DAY(X1877)+2,FALSE),VLOOKUP(Y1877,Equivalencia!$1:$23,((MAX(Equivalencia!$3:$3)-YEAR(X1877))*14)+MONTH(X1877)+2,FALSE)))</f>
        <v>0</v>
      </c>
      <c r="AB1877" s="306">
        <f t="shared" si="501"/>
        <v>0</v>
      </c>
      <c r="AC1877" s="305">
        <f>+IF(X1877=0,0,HLOOKUP(YEAR(X1877)+(MONTH(X1877)/100),TC!$5:$37,DAY(X1877)+2,FALSE))</f>
        <v>0</v>
      </c>
      <c r="AD1877" s="307">
        <f t="shared" si="502"/>
        <v>0</v>
      </c>
      <c r="AE1877" s="314">
        <f t="shared" si="503"/>
        <v>0</v>
      </c>
      <c r="AF1877" s="315">
        <f t="shared" si="504"/>
        <v>0</v>
      </c>
      <c r="AG1877" s="316">
        <f t="shared" si="505"/>
        <v>0</v>
      </c>
      <c r="AH1877" s="314">
        <v>1</v>
      </c>
      <c r="AI1877" s="314">
        <f t="shared" si="506"/>
        <v>0</v>
      </c>
      <c r="AJ1877" s="314">
        <f t="shared" si="507"/>
        <v>0</v>
      </c>
      <c r="AK1877" s="317"/>
      <c r="AL1877" s="315">
        <f t="shared" si="508"/>
        <v>0</v>
      </c>
      <c r="AN1877" s="554">
        <f t="shared" si="509"/>
        <v>0</v>
      </c>
      <c r="AO1877" s="314"/>
      <c r="AP1877" s="318"/>
    </row>
    <row r="1878" spans="2:42">
      <c r="B1878" s="296"/>
      <c r="C1878" s="299"/>
      <c r="D1878" s="298"/>
      <c r="E1878" s="299"/>
      <c r="F1878" s="299"/>
      <c r="G1878" s="300"/>
      <c r="H1878" s="303"/>
      <c r="I1878" s="301">
        <f t="shared" si="493"/>
        <v>0</v>
      </c>
      <c r="J1878" s="302">
        <f t="shared" si="494"/>
        <v>0</v>
      </c>
      <c r="K1878" s="304">
        <f t="shared" si="495"/>
        <v>0</v>
      </c>
      <c r="L1878" s="305">
        <f>IF(H1878=0,0,IF(OR(E1878=$AT$5,E1878=$AT$6),AA1878,IF(F1878="MXN",1/HLOOKUP(YEAR(G1878)+(MONTH(G1878)/100),TC!$5:$37,DAY(G1878)+2,FALSE),VLOOKUP(F1878,Equivalencia!$5:$23,((MAX(Equivalencia!$3:$3)-YEAR(G1878))*14)+MONTH(G1878)+2,FALSE))))</f>
        <v>0</v>
      </c>
      <c r="M1878" s="306">
        <f t="shared" si="496"/>
        <v>0</v>
      </c>
      <c r="N1878" s="305">
        <f>IF(G1878=0,0,(IF(OR(E1878=$AT$5,E1878=$AT$6),AC1878,HLOOKUP(YEAR(G1878)+(MONTH(G1878)/100),TC!$5:$37,DAY(G1878)+2,FALSE))))</f>
        <v>0</v>
      </c>
      <c r="O1878" s="307">
        <f t="shared" si="497"/>
        <v>0</v>
      </c>
      <c r="P1878" s="560">
        <f>IF(G1878=0,0,VLOOKUP(YEAR(G1878),INPC!$B$4:$P$30,MONTH(G1878)+2))</f>
        <v>0</v>
      </c>
      <c r="Q1878" s="560">
        <f>IF(X1878=0,0,IF(OR(E1878=$AT$10,E1878=$AT$9),VLOOKUP(YEAR(X1878),INPC!$B$4:$P$30,MONTH(X1878)+1),VLOOKUP(YEAR(X1878),INPC!$B$4:$P$30,MONTH(X1878)+2,0)))</f>
        <v>0</v>
      </c>
      <c r="R1878" s="309">
        <f t="shared" si="498"/>
        <v>0</v>
      </c>
      <c r="S1878" s="310">
        <f t="shared" si="499"/>
        <v>0</v>
      </c>
      <c r="T1878" s="555">
        <f t="shared" si="500"/>
        <v>0</v>
      </c>
      <c r="U1878" s="311"/>
      <c r="V1878" s="312"/>
      <c r="W1878" s="299"/>
      <c r="X1878" s="300"/>
      <c r="Y1878" s="299"/>
      <c r="Z1878" s="303"/>
      <c r="AA1878" s="305">
        <f>IF(Z1878=0,0,IF(Y1878="MXN",1/HLOOKUP(YEAR(X1878)+(MONTH(X1878)/100),TC!$5:$37,DAY(X1878)+2,FALSE),VLOOKUP(Y1878,Equivalencia!$1:$23,((MAX(Equivalencia!$3:$3)-YEAR(X1878))*14)+MONTH(X1878)+2,FALSE)))</f>
        <v>0</v>
      </c>
      <c r="AB1878" s="306">
        <f t="shared" si="501"/>
        <v>0</v>
      </c>
      <c r="AC1878" s="305">
        <f>+IF(X1878=0,0,HLOOKUP(YEAR(X1878)+(MONTH(X1878)/100),TC!$5:$37,DAY(X1878)+2,FALSE))</f>
        <v>0</v>
      </c>
      <c r="AD1878" s="307">
        <f t="shared" si="502"/>
        <v>0</v>
      </c>
      <c r="AE1878" s="314">
        <f t="shared" si="503"/>
        <v>0</v>
      </c>
      <c r="AF1878" s="315">
        <f t="shared" si="504"/>
        <v>0</v>
      </c>
      <c r="AG1878" s="316">
        <f t="shared" si="505"/>
        <v>0</v>
      </c>
      <c r="AH1878" s="314">
        <v>1</v>
      </c>
      <c r="AI1878" s="314">
        <f t="shared" si="506"/>
        <v>0</v>
      </c>
      <c r="AJ1878" s="314">
        <f t="shared" si="507"/>
        <v>0</v>
      </c>
      <c r="AK1878" s="317"/>
      <c r="AL1878" s="315">
        <f t="shared" si="508"/>
        <v>0</v>
      </c>
      <c r="AN1878" s="554">
        <f t="shared" si="509"/>
        <v>0</v>
      </c>
      <c r="AO1878" s="314"/>
      <c r="AP1878" s="318"/>
    </row>
    <row r="1879" spans="2:42">
      <c r="B1879" s="296"/>
      <c r="C1879" s="299"/>
      <c r="D1879" s="298"/>
      <c r="E1879" s="299"/>
      <c r="F1879" s="299"/>
      <c r="G1879" s="300"/>
      <c r="H1879" s="303"/>
      <c r="I1879" s="301">
        <f t="shared" si="493"/>
        <v>0</v>
      </c>
      <c r="J1879" s="302">
        <f t="shared" si="494"/>
        <v>0</v>
      </c>
      <c r="K1879" s="304">
        <f t="shared" si="495"/>
        <v>0</v>
      </c>
      <c r="L1879" s="305">
        <f>IF(H1879=0,0,IF(OR(E1879=$AT$5,E1879=$AT$6),AA1879,IF(F1879="MXN",1/HLOOKUP(YEAR(G1879)+(MONTH(G1879)/100),TC!$5:$37,DAY(G1879)+2,FALSE),VLOOKUP(F1879,Equivalencia!$5:$23,((MAX(Equivalencia!$3:$3)-YEAR(G1879))*14)+MONTH(G1879)+2,FALSE))))</f>
        <v>0</v>
      </c>
      <c r="M1879" s="306">
        <f t="shared" si="496"/>
        <v>0</v>
      </c>
      <c r="N1879" s="305">
        <f>IF(G1879=0,0,(IF(OR(E1879=$AT$5,E1879=$AT$6),AC1879,HLOOKUP(YEAR(G1879)+(MONTH(G1879)/100),TC!$5:$37,DAY(G1879)+2,FALSE))))</f>
        <v>0</v>
      </c>
      <c r="O1879" s="307">
        <f t="shared" si="497"/>
        <v>0</v>
      </c>
      <c r="P1879" s="560">
        <f>IF(G1879=0,0,VLOOKUP(YEAR(G1879),INPC!$B$4:$P$30,MONTH(G1879)+2))</f>
        <v>0</v>
      </c>
      <c r="Q1879" s="560">
        <f>IF(X1879=0,0,IF(OR(E1879=$AT$10,E1879=$AT$9),VLOOKUP(YEAR(X1879),INPC!$B$4:$P$30,MONTH(X1879)+1),VLOOKUP(YEAR(X1879),INPC!$B$4:$P$30,MONTH(X1879)+2,0)))</f>
        <v>0</v>
      </c>
      <c r="R1879" s="309">
        <f t="shared" si="498"/>
        <v>0</v>
      </c>
      <c r="S1879" s="310">
        <f t="shared" si="499"/>
        <v>0</v>
      </c>
      <c r="T1879" s="555">
        <f t="shared" si="500"/>
        <v>0</v>
      </c>
      <c r="U1879" s="311"/>
      <c r="V1879" s="312"/>
      <c r="W1879" s="299"/>
      <c r="X1879" s="300"/>
      <c r="Y1879" s="299"/>
      <c r="Z1879" s="303"/>
      <c r="AA1879" s="305">
        <f>IF(Z1879=0,0,IF(Y1879="MXN",1/HLOOKUP(YEAR(X1879)+(MONTH(X1879)/100),TC!$5:$37,DAY(X1879)+2,FALSE),VLOOKUP(Y1879,Equivalencia!$1:$23,((MAX(Equivalencia!$3:$3)-YEAR(X1879))*14)+MONTH(X1879)+2,FALSE)))</f>
        <v>0</v>
      </c>
      <c r="AB1879" s="306">
        <f t="shared" si="501"/>
        <v>0</v>
      </c>
      <c r="AC1879" s="305">
        <f>+IF(X1879=0,0,HLOOKUP(YEAR(X1879)+(MONTH(X1879)/100),TC!$5:$37,DAY(X1879)+2,FALSE))</f>
        <v>0</v>
      </c>
      <c r="AD1879" s="307">
        <f t="shared" si="502"/>
        <v>0</v>
      </c>
      <c r="AE1879" s="314">
        <f t="shared" si="503"/>
        <v>0</v>
      </c>
      <c r="AF1879" s="315">
        <f t="shared" si="504"/>
        <v>0</v>
      </c>
      <c r="AG1879" s="316">
        <f t="shared" si="505"/>
        <v>0</v>
      </c>
      <c r="AH1879" s="314">
        <v>1</v>
      </c>
      <c r="AI1879" s="314">
        <f t="shared" si="506"/>
        <v>0</v>
      </c>
      <c r="AJ1879" s="314">
        <f t="shared" si="507"/>
        <v>0</v>
      </c>
      <c r="AK1879" s="317"/>
      <c r="AL1879" s="315">
        <f t="shared" si="508"/>
        <v>0</v>
      </c>
      <c r="AN1879" s="554">
        <f t="shared" si="509"/>
        <v>0</v>
      </c>
      <c r="AO1879" s="314"/>
      <c r="AP1879" s="318"/>
    </row>
    <row r="1880" spans="2:42">
      <c r="B1880" s="296"/>
      <c r="C1880" s="299"/>
      <c r="D1880" s="298"/>
      <c r="E1880" s="299"/>
      <c r="F1880" s="299"/>
      <c r="G1880" s="300"/>
      <c r="H1880" s="303"/>
      <c r="I1880" s="301">
        <f t="shared" si="493"/>
        <v>0</v>
      </c>
      <c r="J1880" s="302">
        <f t="shared" si="494"/>
        <v>0</v>
      </c>
      <c r="K1880" s="304">
        <f t="shared" si="495"/>
        <v>0</v>
      </c>
      <c r="L1880" s="305">
        <f>IF(H1880=0,0,IF(OR(E1880=$AT$5,E1880=$AT$6),AA1880,IF(F1880="MXN",1/HLOOKUP(YEAR(G1880)+(MONTH(G1880)/100),TC!$5:$37,DAY(G1880)+2,FALSE),VLOOKUP(F1880,Equivalencia!$5:$23,((MAX(Equivalencia!$3:$3)-YEAR(G1880))*14)+MONTH(G1880)+2,FALSE))))</f>
        <v>0</v>
      </c>
      <c r="M1880" s="306">
        <f t="shared" si="496"/>
        <v>0</v>
      </c>
      <c r="N1880" s="305">
        <f>IF(G1880=0,0,(IF(OR(E1880=$AT$5,E1880=$AT$6),AC1880,HLOOKUP(YEAR(G1880)+(MONTH(G1880)/100),TC!$5:$37,DAY(G1880)+2,FALSE))))</f>
        <v>0</v>
      </c>
      <c r="O1880" s="307">
        <f t="shared" si="497"/>
        <v>0</v>
      </c>
      <c r="P1880" s="560">
        <f>IF(G1880=0,0,VLOOKUP(YEAR(G1880),INPC!$B$4:$P$30,MONTH(G1880)+2))</f>
        <v>0</v>
      </c>
      <c r="Q1880" s="560">
        <f>IF(X1880=0,0,IF(OR(E1880=$AT$10,E1880=$AT$9),VLOOKUP(YEAR(X1880),INPC!$B$4:$P$30,MONTH(X1880)+1),VLOOKUP(YEAR(X1880),INPC!$B$4:$P$30,MONTH(X1880)+2,0)))</f>
        <v>0</v>
      </c>
      <c r="R1880" s="309">
        <f t="shared" si="498"/>
        <v>0</v>
      </c>
      <c r="S1880" s="310">
        <f t="shared" si="499"/>
        <v>0</v>
      </c>
      <c r="T1880" s="555">
        <f t="shared" si="500"/>
        <v>0</v>
      </c>
      <c r="U1880" s="311"/>
      <c r="V1880" s="312"/>
      <c r="W1880" s="299"/>
      <c r="X1880" s="300"/>
      <c r="Y1880" s="299"/>
      <c r="Z1880" s="303"/>
      <c r="AA1880" s="305">
        <f>IF(Z1880=0,0,IF(Y1880="MXN",1/HLOOKUP(YEAR(X1880)+(MONTH(X1880)/100),TC!$5:$37,DAY(X1880)+2,FALSE),VLOOKUP(Y1880,Equivalencia!$1:$23,((MAX(Equivalencia!$3:$3)-YEAR(X1880))*14)+MONTH(X1880)+2,FALSE)))</f>
        <v>0</v>
      </c>
      <c r="AB1880" s="306">
        <f t="shared" si="501"/>
        <v>0</v>
      </c>
      <c r="AC1880" s="305">
        <f>+IF(X1880=0,0,HLOOKUP(YEAR(X1880)+(MONTH(X1880)/100),TC!$5:$37,DAY(X1880)+2,FALSE))</f>
        <v>0</v>
      </c>
      <c r="AD1880" s="307">
        <f t="shared" si="502"/>
        <v>0</v>
      </c>
      <c r="AE1880" s="314">
        <f t="shared" si="503"/>
        <v>0</v>
      </c>
      <c r="AF1880" s="315">
        <f t="shared" si="504"/>
        <v>0</v>
      </c>
      <c r="AG1880" s="316">
        <f t="shared" si="505"/>
        <v>0</v>
      </c>
      <c r="AH1880" s="314">
        <v>1</v>
      </c>
      <c r="AI1880" s="314">
        <f t="shared" si="506"/>
        <v>0</v>
      </c>
      <c r="AJ1880" s="314">
        <f t="shared" si="507"/>
        <v>0</v>
      </c>
      <c r="AK1880" s="317"/>
      <c r="AL1880" s="315">
        <f t="shared" si="508"/>
        <v>0</v>
      </c>
      <c r="AN1880" s="554">
        <f t="shared" si="509"/>
        <v>0</v>
      </c>
      <c r="AO1880" s="314"/>
      <c r="AP1880" s="318"/>
    </row>
    <row r="1881" spans="2:42">
      <c r="B1881" s="296"/>
      <c r="C1881" s="299"/>
      <c r="D1881" s="298"/>
      <c r="E1881" s="299"/>
      <c r="F1881" s="299"/>
      <c r="G1881" s="300"/>
      <c r="H1881" s="303"/>
      <c r="I1881" s="301">
        <f t="shared" si="493"/>
        <v>0</v>
      </c>
      <c r="J1881" s="302">
        <f t="shared" si="494"/>
        <v>0</v>
      </c>
      <c r="K1881" s="304">
        <f t="shared" si="495"/>
        <v>0</v>
      </c>
      <c r="L1881" s="305">
        <f>IF(H1881=0,0,IF(OR(E1881=$AT$5,E1881=$AT$6),AA1881,IF(F1881="MXN",1/HLOOKUP(YEAR(G1881)+(MONTH(G1881)/100),TC!$5:$37,DAY(G1881)+2,FALSE),VLOOKUP(F1881,Equivalencia!$5:$23,((MAX(Equivalencia!$3:$3)-YEAR(G1881))*14)+MONTH(G1881)+2,FALSE))))</f>
        <v>0</v>
      </c>
      <c r="M1881" s="306">
        <f t="shared" si="496"/>
        <v>0</v>
      </c>
      <c r="N1881" s="305">
        <f>IF(G1881=0,0,(IF(OR(E1881=$AT$5,E1881=$AT$6),AC1881,HLOOKUP(YEAR(G1881)+(MONTH(G1881)/100),TC!$5:$37,DAY(G1881)+2,FALSE))))</f>
        <v>0</v>
      </c>
      <c r="O1881" s="307">
        <f t="shared" si="497"/>
        <v>0</v>
      </c>
      <c r="P1881" s="560">
        <f>IF(G1881=0,0,VLOOKUP(YEAR(G1881),INPC!$B$4:$P$30,MONTH(G1881)+2))</f>
        <v>0</v>
      </c>
      <c r="Q1881" s="560">
        <f>IF(X1881=0,0,IF(OR(E1881=$AT$10,E1881=$AT$9),VLOOKUP(YEAR(X1881),INPC!$B$4:$P$30,MONTH(X1881)+1),VLOOKUP(YEAR(X1881),INPC!$B$4:$P$30,MONTH(X1881)+2,0)))</f>
        <v>0</v>
      </c>
      <c r="R1881" s="309">
        <f t="shared" si="498"/>
        <v>0</v>
      </c>
      <c r="S1881" s="310">
        <f t="shared" si="499"/>
        <v>0</v>
      </c>
      <c r="T1881" s="555">
        <f t="shared" si="500"/>
        <v>0</v>
      </c>
      <c r="U1881" s="311"/>
      <c r="V1881" s="312"/>
      <c r="W1881" s="299"/>
      <c r="X1881" s="300"/>
      <c r="Y1881" s="299"/>
      <c r="Z1881" s="303"/>
      <c r="AA1881" s="305">
        <f>IF(Z1881=0,0,IF(Y1881="MXN",1/HLOOKUP(YEAR(X1881)+(MONTH(X1881)/100),TC!$5:$37,DAY(X1881)+2,FALSE),VLOOKUP(Y1881,Equivalencia!$1:$23,((MAX(Equivalencia!$3:$3)-YEAR(X1881))*14)+MONTH(X1881)+2,FALSE)))</f>
        <v>0</v>
      </c>
      <c r="AB1881" s="306">
        <f t="shared" si="501"/>
        <v>0</v>
      </c>
      <c r="AC1881" s="305">
        <f>+IF(X1881=0,0,HLOOKUP(YEAR(X1881)+(MONTH(X1881)/100),TC!$5:$37,DAY(X1881)+2,FALSE))</f>
        <v>0</v>
      </c>
      <c r="AD1881" s="307">
        <f t="shared" si="502"/>
        <v>0</v>
      </c>
      <c r="AE1881" s="314">
        <f t="shared" si="503"/>
        <v>0</v>
      </c>
      <c r="AF1881" s="315">
        <f t="shared" si="504"/>
        <v>0</v>
      </c>
      <c r="AG1881" s="316">
        <f t="shared" si="505"/>
        <v>0</v>
      </c>
      <c r="AH1881" s="314">
        <v>1</v>
      </c>
      <c r="AI1881" s="314">
        <f t="shared" si="506"/>
        <v>0</v>
      </c>
      <c r="AJ1881" s="314">
        <f t="shared" si="507"/>
        <v>0</v>
      </c>
      <c r="AK1881" s="317"/>
      <c r="AL1881" s="315">
        <f t="shared" si="508"/>
        <v>0</v>
      </c>
      <c r="AN1881" s="554">
        <f t="shared" si="509"/>
        <v>0</v>
      </c>
      <c r="AO1881" s="314"/>
      <c r="AP1881" s="318"/>
    </row>
    <row r="1882" spans="2:42">
      <c r="B1882" s="296"/>
      <c r="C1882" s="299"/>
      <c r="D1882" s="298"/>
      <c r="E1882" s="299"/>
      <c r="F1882" s="299"/>
      <c r="G1882" s="300"/>
      <c r="H1882" s="303"/>
      <c r="I1882" s="301">
        <f t="shared" si="493"/>
        <v>0</v>
      </c>
      <c r="J1882" s="302">
        <f t="shared" si="494"/>
        <v>0</v>
      </c>
      <c r="K1882" s="304">
        <f t="shared" si="495"/>
        <v>0</v>
      </c>
      <c r="L1882" s="305">
        <f>IF(H1882=0,0,IF(OR(E1882=$AT$5,E1882=$AT$6),AA1882,IF(F1882="MXN",1/HLOOKUP(YEAR(G1882)+(MONTH(G1882)/100),TC!$5:$37,DAY(G1882)+2,FALSE),VLOOKUP(F1882,Equivalencia!$5:$23,((MAX(Equivalencia!$3:$3)-YEAR(G1882))*14)+MONTH(G1882)+2,FALSE))))</f>
        <v>0</v>
      </c>
      <c r="M1882" s="306">
        <f t="shared" si="496"/>
        <v>0</v>
      </c>
      <c r="N1882" s="305">
        <f>IF(G1882=0,0,(IF(OR(E1882=$AT$5,E1882=$AT$6),AC1882,HLOOKUP(YEAR(G1882)+(MONTH(G1882)/100),TC!$5:$37,DAY(G1882)+2,FALSE))))</f>
        <v>0</v>
      </c>
      <c r="O1882" s="307">
        <f t="shared" si="497"/>
        <v>0</v>
      </c>
      <c r="P1882" s="560">
        <f>IF(G1882=0,0,VLOOKUP(YEAR(G1882),INPC!$B$4:$P$30,MONTH(G1882)+2))</f>
        <v>0</v>
      </c>
      <c r="Q1882" s="560">
        <f>IF(X1882=0,0,IF(OR(E1882=$AT$10,E1882=$AT$9),VLOOKUP(YEAR(X1882),INPC!$B$4:$P$30,MONTH(X1882)+1),VLOOKUP(YEAR(X1882),INPC!$B$4:$P$30,MONTH(X1882)+2,0)))</f>
        <v>0</v>
      </c>
      <c r="R1882" s="309">
        <f t="shared" si="498"/>
        <v>0</v>
      </c>
      <c r="S1882" s="310">
        <f t="shared" si="499"/>
        <v>0</v>
      </c>
      <c r="T1882" s="555">
        <f t="shared" si="500"/>
        <v>0</v>
      </c>
      <c r="U1882" s="311"/>
      <c r="V1882" s="312"/>
      <c r="W1882" s="299"/>
      <c r="X1882" s="300"/>
      <c r="Y1882" s="299"/>
      <c r="Z1882" s="303"/>
      <c r="AA1882" s="305">
        <f>IF(Z1882=0,0,IF(Y1882="MXN",1/HLOOKUP(YEAR(X1882)+(MONTH(X1882)/100),TC!$5:$37,DAY(X1882)+2,FALSE),VLOOKUP(Y1882,Equivalencia!$1:$23,((MAX(Equivalencia!$3:$3)-YEAR(X1882))*14)+MONTH(X1882)+2,FALSE)))</f>
        <v>0</v>
      </c>
      <c r="AB1882" s="306">
        <f t="shared" si="501"/>
        <v>0</v>
      </c>
      <c r="AC1882" s="305">
        <f>+IF(X1882=0,0,HLOOKUP(YEAR(X1882)+(MONTH(X1882)/100),TC!$5:$37,DAY(X1882)+2,FALSE))</f>
        <v>0</v>
      </c>
      <c r="AD1882" s="307">
        <f t="shared" si="502"/>
        <v>0</v>
      </c>
      <c r="AE1882" s="314">
        <f t="shared" si="503"/>
        <v>0</v>
      </c>
      <c r="AF1882" s="315">
        <f t="shared" si="504"/>
        <v>0</v>
      </c>
      <c r="AG1882" s="316">
        <f t="shared" si="505"/>
        <v>0</v>
      </c>
      <c r="AH1882" s="314">
        <v>1</v>
      </c>
      <c r="AI1882" s="314">
        <f t="shared" si="506"/>
        <v>0</v>
      </c>
      <c r="AJ1882" s="314">
        <f t="shared" si="507"/>
        <v>0</v>
      </c>
      <c r="AK1882" s="317"/>
      <c r="AL1882" s="315">
        <f t="shared" si="508"/>
        <v>0</v>
      </c>
      <c r="AN1882" s="554">
        <f t="shared" si="509"/>
        <v>0</v>
      </c>
      <c r="AO1882" s="314"/>
      <c r="AP1882" s="318"/>
    </row>
    <row r="1883" spans="2:42">
      <c r="B1883" s="296"/>
      <c r="C1883" s="299"/>
      <c r="D1883" s="298"/>
      <c r="E1883" s="299"/>
      <c r="F1883" s="299"/>
      <c r="G1883" s="300"/>
      <c r="H1883" s="303"/>
      <c r="I1883" s="301">
        <f t="shared" si="493"/>
        <v>0</v>
      </c>
      <c r="J1883" s="302">
        <f t="shared" si="494"/>
        <v>0</v>
      </c>
      <c r="K1883" s="304">
        <f t="shared" si="495"/>
        <v>0</v>
      </c>
      <c r="L1883" s="305">
        <f>IF(H1883=0,0,IF(OR(E1883=$AT$5,E1883=$AT$6),AA1883,IF(F1883="MXN",1/HLOOKUP(YEAR(G1883)+(MONTH(G1883)/100),TC!$5:$37,DAY(G1883)+2,FALSE),VLOOKUP(F1883,Equivalencia!$5:$23,((MAX(Equivalencia!$3:$3)-YEAR(G1883))*14)+MONTH(G1883)+2,FALSE))))</f>
        <v>0</v>
      </c>
      <c r="M1883" s="306">
        <f t="shared" si="496"/>
        <v>0</v>
      </c>
      <c r="N1883" s="305">
        <f>IF(G1883=0,0,(IF(OR(E1883=$AT$5,E1883=$AT$6),AC1883,HLOOKUP(YEAR(G1883)+(MONTH(G1883)/100),TC!$5:$37,DAY(G1883)+2,FALSE))))</f>
        <v>0</v>
      </c>
      <c r="O1883" s="307">
        <f t="shared" si="497"/>
        <v>0</v>
      </c>
      <c r="P1883" s="560">
        <f>IF(G1883=0,0,VLOOKUP(YEAR(G1883),INPC!$B$4:$P$30,MONTH(G1883)+2))</f>
        <v>0</v>
      </c>
      <c r="Q1883" s="560">
        <f>IF(X1883=0,0,IF(OR(E1883=$AT$10,E1883=$AT$9),VLOOKUP(YEAR(X1883),INPC!$B$4:$P$30,MONTH(X1883)+1),VLOOKUP(YEAR(X1883),INPC!$B$4:$P$30,MONTH(X1883)+2,0)))</f>
        <v>0</v>
      </c>
      <c r="R1883" s="309">
        <f t="shared" si="498"/>
        <v>0</v>
      </c>
      <c r="S1883" s="310">
        <f t="shared" si="499"/>
        <v>0</v>
      </c>
      <c r="T1883" s="555">
        <f t="shared" si="500"/>
        <v>0</v>
      </c>
      <c r="U1883" s="311"/>
      <c r="V1883" s="312"/>
      <c r="W1883" s="299"/>
      <c r="X1883" s="300"/>
      <c r="Y1883" s="299"/>
      <c r="Z1883" s="303"/>
      <c r="AA1883" s="305">
        <f>IF(Z1883=0,0,IF(Y1883="MXN",1/HLOOKUP(YEAR(X1883)+(MONTH(X1883)/100),TC!$5:$37,DAY(X1883)+2,FALSE),VLOOKUP(Y1883,Equivalencia!$1:$23,((MAX(Equivalencia!$3:$3)-YEAR(X1883))*14)+MONTH(X1883)+2,FALSE)))</f>
        <v>0</v>
      </c>
      <c r="AB1883" s="306">
        <f t="shared" si="501"/>
        <v>0</v>
      </c>
      <c r="AC1883" s="305">
        <f>+IF(X1883=0,0,HLOOKUP(YEAR(X1883)+(MONTH(X1883)/100),TC!$5:$37,DAY(X1883)+2,FALSE))</f>
        <v>0</v>
      </c>
      <c r="AD1883" s="307">
        <f t="shared" si="502"/>
        <v>0</v>
      </c>
      <c r="AE1883" s="314">
        <f t="shared" si="503"/>
        <v>0</v>
      </c>
      <c r="AF1883" s="315">
        <f t="shared" si="504"/>
        <v>0</v>
      </c>
      <c r="AG1883" s="316">
        <f t="shared" si="505"/>
        <v>0</v>
      </c>
      <c r="AH1883" s="314">
        <v>1</v>
      </c>
      <c r="AI1883" s="314">
        <f t="shared" si="506"/>
        <v>0</v>
      </c>
      <c r="AJ1883" s="314">
        <f t="shared" si="507"/>
        <v>0</v>
      </c>
      <c r="AK1883" s="317"/>
      <c r="AL1883" s="315">
        <f t="shared" si="508"/>
        <v>0</v>
      </c>
      <c r="AN1883" s="554">
        <f t="shared" si="509"/>
        <v>0</v>
      </c>
      <c r="AO1883" s="314"/>
      <c r="AP1883" s="318"/>
    </row>
    <row r="1884" spans="2:42">
      <c r="B1884" s="296"/>
      <c r="C1884" s="299"/>
      <c r="D1884" s="298"/>
      <c r="E1884" s="299"/>
      <c r="F1884" s="299"/>
      <c r="G1884" s="300"/>
      <c r="H1884" s="303"/>
      <c r="I1884" s="301">
        <f t="shared" si="493"/>
        <v>0</v>
      </c>
      <c r="J1884" s="302">
        <f t="shared" si="494"/>
        <v>0</v>
      </c>
      <c r="K1884" s="304">
        <f t="shared" si="495"/>
        <v>0</v>
      </c>
      <c r="L1884" s="305">
        <f>IF(H1884=0,0,IF(OR(E1884=$AT$5,E1884=$AT$6),AA1884,IF(F1884="MXN",1/HLOOKUP(YEAR(G1884)+(MONTH(G1884)/100),TC!$5:$37,DAY(G1884)+2,FALSE),VLOOKUP(F1884,Equivalencia!$5:$23,((MAX(Equivalencia!$3:$3)-YEAR(G1884))*14)+MONTH(G1884)+2,FALSE))))</f>
        <v>0</v>
      </c>
      <c r="M1884" s="306">
        <f t="shared" si="496"/>
        <v>0</v>
      </c>
      <c r="N1884" s="305">
        <f>IF(G1884=0,0,(IF(OR(E1884=$AT$5,E1884=$AT$6),AC1884,HLOOKUP(YEAR(G1884)+(MONTH(G1884)/100),TC!$5:$37,DAY(G1884)+2,FALSE))))</f>
        <v>0</v>
      </c>
      <c r="O1884" s="307">
        <f t="shared" si="497"/>
        <v>0</v>
      </c>
      <c r="P1884" s="560">
        <f>IF(G1884=0,0,VLOOKUP(YEAR(G1884),INPC!$B$4:$P$30,MONTH(G1884)+2))</f>
        <v>0</v>
      </c>
      <c r="Q1884" s="560">
        <f>IF(X1884=0,0,IF(OR(E1884=$AT$10,E1884=$AT$9),VLOOKUP(YEAR(X1884),INPC!$B$4:$P$30,MONTH(X1884)+1),VLOOKUP(YEAR(X1884),INPC!$B$4:$P$30,MONTH(X1884)+2,0)))</f>
        <v>0</v>
      </c>
      <c r="R1884" s="309">
        <f t="shared" si="498"/>
        <v>0</v>
      </c>
      <c r="S1884" s="310">
        <f t="shared" si="499"/>
        <v>0</v>
      </c>
      <c r="T1884" s="555">
        <f t="shared" si="500"/>
        <v>0</v>
      </c>
      <c r="U1884" s="311"/>
      <c r="V1884" s="312"/>
      <c r="W1884" s="299"/>
      <c r="X1884" s="300"/>
      <c r="Y1884" s="299"/>
      <c r="Z1884" s="303"/>
      <c r="AA1884" s="305">
        <f>IF(Z1884=0,0,IF(Y1884="MXN",1/HLOOKUP(YEAR(X1884)+(MONTH(X1884)/100),TC!$5:$37,DAY(X1884)+2,FALSE),VLOOKUP(Y1884,Equivalencia!$1:$23,((MAX(Equivalencia!$3:$3)-YEAR(X1884))*14)+MONTH(X1884)+2,FALSE)))</f>
        <v>0</v>
      </c>
      <c r="AB1884" s="306">
        <f t="shared" si="501"/>
        <v>0</v>
      </c>
      <c r="AC1884" s="305">
        <f>+IF(X1884=0,0,HLOOKUP(YEAR(X1884)+(MONTH(X1884)/100),TC!$5:$37,DAY(X1884)+2,FALSE))</f>
        <v>0</v>
      </c>
      <c r="AD1884" s="307">
        <f t="shared" si="502"/>
        <v>0</v>
      </c>
      <c r="AE1884" s="314">
        <f t="shared" si="503"/>
        <v>0</v>
      </c>
      <c r="AF1884" s="315">
        <f t="shared" si="504"/>
        <v>0</v>
      </c>
      <c r="AG1884" s="316">
        <f t="shared" si="505"/>
        <v>0</v>
      </c>
      <c r="AH1884" s="314">
        <v>1</v>
      </c>
      <c r="AI1884" s="314">
        <f t="shared" si="506"/>
        <v>0</v>
      </c>
      <c r="AJ1884" s="314">
        <f t="shared" si="507"/>
        <v>0</v>
      </c>
      <c r="AK1884" s="317"/>
      <c r="AL1884" s="315">
        <f t="shared" si="508"/>
        <v>0</v>
      </c>
      <c r="AN1884" s="554">
        <f t="shared" si="509"/>
        <v>0</v>
      </c>
      <c r="AO1884" s="314"/>
      <c r="AP1884" s="318"/>
    </row>
    <row r="1885" spans="2:42">
      <c r="B1885" s="296"/>
      <c r="C1885" s="299"/>
      <c r="D1885" s="298"/>
      <c r="E1885" s="299"/>
      <c r="F1885" s="299"/>
      <c r="G1885" s="300"/>
      <c r="H1885" s="303"/>
      <c r="I1885" s="301">
        <f t="shared" si="493"/>
        <v>0</v>
      </c>
      <c r="J1885" s="302">
        <f t="shared" si="494"/>
        <v>0</v>
      </c>
      <c r="K1885" s="304">
        <f t="shared" si="495"/>
        <v>0</v>
      </c>
      <c r="L1885" s="305">
        <f>IF(H1885=0,0,IF(OR(E1885=$AT$5,E1885=$AT$6),AA1885,IF(F1885="MXN",1/HLOOKUP(YEAR(G1885)+(MONTH(G1885)/100),TC!$5:$37,DAY(G1885)+2,FALSE),VLOOKUP(F1885,Equivalencia!$5:$23,((MAX(Equivalencia!$3:$3)-YEAR(G1885))*14)+MONTH(G1885)+2,FALSE))))</f>
        <v>0</v>
      </c>
      <c r="M1885" s="306">
        <f t="shared" si="496"/>
        <v>0</v>
      </c>
      <c r="N1885" s="305">
        <f>IF(G1885=0,0,(IF(OR(E1885=$AT$5,E1885=$AT$6),AC1885,HLOOKUP(YEAR(G1885)+(MONTH(G1885)/100),TC!$5:$37,DAY(G1885)+2,FALSE))))</f>
        <v>0</v>
      </c>
      <c r="O1885" s="307">
        <f t="shared" si="497"/>
        <v>0</v>
      </c>
      <c r="P1885" s="560">
        <f>IF(G1885=0,0,VLOOKUP(YEAR(G1885),INPC!$B$4:$P$30,MONTH(G1885)+2))</f>
        <v>0</v>
      </c>
      <c r="Q1885" s="560">
        <f>IF(X1885=0,0,IF(OR(E1885=$AT$10,E1885=$AT$9),VLOOKUP(YEAR(X1885),INPC!$B$4:$P$30,MONTH(X1885)+1),VLOOKUP(YEAR(X1885),INPC!$B$4:$P$30,MONTH(X1885)+2,0)))</f>
        <v>0</v>
      </c>
      <c r="R1885" s="309">
        <f t="shared" si="498"/>
        <v>0</v>
      </c>
      <c r="S1885" s="310">
        <f t="shared" si="499"/>
        <v>0</v>
      </c>
      <c r="T1885" s="555">
        <f t="shared" si="500"/>
        <v>0</v>
      </c>
      <c r="U1885" s="311"/>
      <c r="V1885" s="312"/>
      <c r="W1885" s="299"/>
      <c r="X1885" s="300"/>
      <c r="Y1885" s="299"/>
      <c r="Z1885" s="303"/>
      <c r="AA1885" s="305">
        <f>IF(Z1885=0,0,IF(Y1885="MXN",1/HLOOKUP(YEAR(X1885)+(MONTH(X1885)/100),TC!$5:$37,DAY(X1885)+2,FALSE),VLOOKUP(Y1885,Equivalencia!$1:$23,((MAX(Equivalencia!$3:$3)-YEAR(X1885))*14)+MONTH(X1885)+2,FALSE)))</f>
        <v>0</v>
      </c>
      <c r="AB1885" s="306">
        <f t="shared" si="501"/>
        <v>0</v>
      </c>
      <c r="AC1885" s="305">
        <f>+IF(X1885=0,0,HLOOKUP(YEAR(X1885)+(MONTH(X1885)/100),TC!$5:$37,DAY(X1885)+2,FALSE))</f>
        <v>0</v>
      </c>
      <c r="AD1885" s="307">
        <f t="shared" si="502"/>
        <v>0</v>
      </c>
      <c r="AE1885" s="314">
        <f t="shared" si="503"/>
        <v>0</v>
      </c>
      <c r="AF1885" s="315">
        <f t="shared" si="504"/>
        <v>0</v>
      </c>
      <c r="AG1885" s="316">
        <f t="shared" si="505"/>
        <v>0</v>
      </c>
      <c r="AH1885" s="314">
        <v>1</v>
      </c>
      <c r="AI1885" s="314">
        <f t="shared" si="506"/>
        <v>0</v>
      </c>
      <c r="AJ1885" s="314">
        <f t="shared" si="507"/>
        <v>0</v>
      </c>
      <c r="AK1885" s="317"/>
      <c r="AL1885" s="315">
        <f t="shared" si="508"/>
        <v>0</v>
      </c>
      <c r="AN1885" s="554">
        <f t="shared" si="509"/>
        <v>0</v>
      </c>
      <c r="AO1885" s="314"/>
      <c r="AP1885" s="318"/>
    </row>
    <row r="1886" spans="2:42">
      <c r="B1886" s="296"/>
      <c r="C1886" s="299"/>
      <c r="D1886" s="298"/>
      <c r="E1886" s="299"/>
      <c r="F1886" s="299"/>
      <c r="G1886" s="300"/>
      <c r="H1886" s="303"/>
      <c r="I1886" s="301">
        <f t="shared" si="493"/>
        <v>0</v>
      </c>
      <c r="J1886" s="302">
        <f t="shared" si="494"/>
        <v>0</v>
      </c>
      <c r="K1886" s="304">
        <f t="shared" si="495"/>
        <v>0</v>
      </c>
      <c r="L1886" s="305">
        <f>IF(H1886=0,0,IF(OR(E1886=$AT$5,E1886=$AT$6),AA1886,IF(F1886="MXN",1/HLOOKUP(YEAR(G1886)+(MONTH(G1886)/100),TC!$5:$37,DAY(G1886)+2,FALSE),VLOOKUP(F1886,Equivalencia!$5:$23,((MAX(Equivalencia!$3:$3)-YEAR(G1886))*14)+MONTH(G1886)+2,FALSE))))</f>
        <v>0</v>
      </c>
      <c r="M1886" s="306">
        <f t="shared" si="496"/>
        <v>0</v>
      </c>
      <c r="N1886" s="305">
        <f>IF(G1886=0,0,(IF(OR(E1886=$AT$5,E1886=$AT$6),AC1886,HLOOKUP(YEAR(G1886)+(MONTH(G1886)/100),TC!$5:$37,DAY(G1886)+2,FALSE))))</f>
        <v>0</v>
      </c>
      <c r="O1886" s="307">
        <f t="shared" si="497"/>
        <v>0</v>
      </c>
      <c r="P1886" s="560">
        <f>IF(G1886=0,0,VLOOKUP(YEAR(G1886),INPC!$B$4:$P$30,MONTH(G1886)+2))</f>
        <v>0</v>
      </c>
      <c r="Q1886" s="560">
        <f>IF(X1886=0,0,IF(OR(E1886=$AT$10,E1886=$AT$9),VLOOKUP(YEAR(X1886),INPC!$B$4:$P$30,MONTH(X1886)+1),VLOOKUP(YEAR(X1886),INPC!$B$4:$P$30,MONTH(X1886)+2,0)))</f>
        <v>0</v>
      </c>
      <c r="R1886" s="309">
        <f t="shared" si="498"/>
        <v>0</v>
      </c>
      <c r="S1886" s="310">
        <f t="shared" si="499"/>
        <v>0</v>
      </c>
      <c r="T1886" s="555">
        <f t="shared" si="500"/>
        <v>0</v>
      </c>
      <c r="U1886" s="311"/>
      <c r="V1886" s="312"/>
      <c r="W1886" s="299"/>
      <c r="X1886" s="300"/>
      <c r="Y1886" s="299"/>
      <c r="Z1886" s="303"/>
      <c r="AA1886" s="305">
        <f>IF(Z1886=0,0,IF(Y1886="MXN",1/HLOOKUP(YEAR(X1886)+(MONTH(X1886)/100),TC!$5:$37,DAY(X1886)+2,FALSE),VLOOKUP(Y1886,Equivalencia!$1:$23,((MAX(Equivalencia!$3:$3)-YEAR(X1886))*14)+MONTH(X1886)+2,FALSE)))</f>
        <v>0</v>
      </c>
      <c r="AB1886" s="306">
        <f t="shared" si="501"/>
        <v>0</v>
      </c>
      <c r="AC1886" s="305">
        <f>+IF(X1886=0,0,HLOOKUP(YEAR(X1886)+(MONTH(X1886)/100),TC!$5:$37,DAY(X1886)+2,FALSE))</f>
        <v>0</v>
      </c>
      <c r="AD1886" s="307">
        <f t="shared" si="502"/>
        <v>0</v>
      </c>
      <c r="AE1886" s="314">
        <f t="shared" si="503"/>
        <v>0</v>
      </c>
      <c r="AF1886" s="315">
        <f t="shared" si="504"/>
        <v>0</v>
      </c>
      <c r="AG1886" s="316">
        <f t="shared" si="505"/>
        <v>0</v>
      </c>
      <c r="AH1886" s="314">
        <v>1</v>
      </c>
      <c r="AI1886" s="314">
        <f t="shared" si="506"/>
        <v>0</v>
      </c>
      <c r="AJ1886" s="314">
        <f t="shared" si="507"/>
        <v>0</v>
      </c>
      <c r="AK1886" s="317"/>
      <c r="AL1886" s="315">
        <f t="shared" si="508"/>
        <v>0</v>
      </c>
      <c r="AN1886" s="554">
        <f t="shared" si="509"/>
        <v>0</v>
      </c>
      <c r="AO1886" s="314"/>
      <c r="AP1886" s="318"/>
    </row>
    <row r="1887" spans="2:42">
      <c r="B1887" s="296"/>
      <c r="C1887" s="299"/>
      <c r="D1887" s="298"/>
      <c r="E1887" s="299"/>
      <c r="F1887" s="299"/>
      <c r="G1887" s="300"/>
      <c r="H1887" s="303"/>
      <c r="I1887" s="301">
        <f t="shared" si="493"/>
        <v>0</v>
      </c>
      <c r="J1887" s="302">
        <f t="shared" si="494"/>
        <v>0</v>
      </c>
      <c r="K1887" s="304">
        <f t="shared" si="495"/>
        <v>0</v>
      </c>
      <c r="L1887" s="305">
        <f>IF(H1887=0,0,IF(OR(E1887=$AT$5,E1887=$AT$6),AA1887,IF(F1887="MXN",1/HLOOKUP(YEAR(G1887)+(MONTH(G1887)/100),TC!$5:$37,DAY(G1887)+2,FALSE),VLOOKUP(F1887,Equivalencia!$5:$23,((MAX(Equivalencia!$3:$3)-YEAR(G1887))*14)+MONTH(G1887)+2,FALSE))))</f>
        <v>0</v>
      </c>
      <c r="M1887" s="306">
        <f t="shared" si="496"/>
        <v>0</v>
      </c>
      <c r="N1887" s="305">
        <f>IF(G1887=0,0,(IF(OR(E1887=$AT$5,E1887=$AT$6),AC1887,HLOOKUP(YEAR(G1887)+(MONTH(G1887)/100),TC!$5:$37,DAY(G1887)+2,FALSE))))</f>
        <v>0</v>
      </c>
      <c r="O1887" s="307">
        <f t="shared" si="497"/>
        <v>0</v>
      </c>
      <c r="P1887" s="560">
        <f>IF(G1887=0,0,VLOOKUP(YEAR(G1887),INPC!$B$4:$P$30,MONTH(G1887)+2))</f>
        <v>0</v>
      </c>
      <c r="Q1887" s="560">
        <f>IF(X1887=0,0,IF(OR(E1887=$AT$10,E1887=$AT$9),VLOOKUP(YEAR(X1887),INPC!$B$4:$P$30,MONTH(X1887)+1),VLOOKUP(YEAR(X1887),INPC!$B$4:$P$30,MONTH(X1887)+2,0)))</f>
        <v>0</v>
      </c>
      <c r="R1887" s="309">
        <f t="shared" si="498"/>
        <v>0</v>
      </c>
      <c r="S1887" s="310">
        <f t="shared" si="499"/>
        <v>0</v>
      </c>
      <c r="T1887" s="555">
        <f t="shared" si="500"/>
        <v>0</v>
      </c>
      <c r="U1887" s="311"/>
      <c r="V1887" s="312"/>
      <c r="W1887" s="299"/>
      <c r="X1887" s="300"/>
      <c r="Y1887" s="299"/>
      <c r="Z1887" s="303"/>
      <c r="AA1887" s="305">
        <f>IF(Z1887=0,0,IF(Y1887="MXN",1/HLOOKUP(YEAR(X1887)+(MONTH(X1887)/100),TC!$5:$37,DAY(X1887)+2,FALSE),VLOOKUP(Y1887,Equivalencia!$1:$23,((MAX(Equivalencia!$3:$3)-YEAR(X1887))*14)+MONTH(X1887)+2,FALSE)))</f>
        <v>0</v>
      </c>
      <c r="AB1887" s="306">
        <f t="shared" si="501"/>
        <v>0</v>
      </c>
      <c r="AC1887" s="305">
        <f>+IF(X1887=0,0,HLOOKUP(YEAR(X1887)+(MONTH(X1887)/100),TC!$5:$37,DAY(X1887)+2,FALSE))</f>
        <v>0</v>
      </c>
      <c r="AD1887" s="307">
        <f t="shared" si="502"/>
        <v>0</v>
      </c>
      <c r="AE1887" s="314">
        <f t="shared" si="503"/>
        <v>0</v>
      </c>
      <c r="AF1887" s="315">
        <f t="shared" si="504"/>
        <v>0</v>
      </c>
      <c r="AG1887" s="316">
        <f t="shared" si="505"/>
        <v>0</v>
      </c>
      <c r="AH1887" s="314">
        <v>1</v>
      </c>
      <c r="AI1887" s="314">
        <f t="shared" si="506"/>
        <v>0</v>
      </c>
      <c r="AJ1887" s="314">
        <f t="shared" si="507"/>
        <v>0</v>
      </c>
      <c r="AK1887" s="317"/>
      <c r="AL1887" s="315">
        <f t="shared" si="508"/>
        <v>0</v>
      </c>
      <c r="AN1887" s="554">
        <f t="shared" si="509"/>
        <v>0</v>
      </c>
      <c r="AO1887" s="314"/>
      <c r="AP1887" s="318"/>
    </row>
    <row r="1888" spans="2:42">
      <c r="B1888" s="296"/>
      <c r="C1888" s="299"/>
      <c r="D1888" s="298"/>
      <c r="E1888" s="299"/>
      <c r="F1888" s="299"/>
      <c r="G1888" s="300"/>
      <c r="H1888" s="303"/>
      <c r="I1888" s="301">
        <f t="shared" si="493"/>
        <v>0</v>
      </c>
      <c r="J1888" s="302">
        <f t="shared" si="494"/>
        <v>0</v>
      </c>
      <c r="K1888" s="304">
        <f t="shared" si="495"/>
        <v>0</v>
      </c>
      <c r="L1888" s="305">
        <f>IF(H1888=0,0,IF(OR(E1888=$AT$5,E1888=$AT$6),AA1888,IF(F1888="MXN",1/HLOOKUP(YEAR(G1888)+(MONTH(G1888)/100),TC!$5:$37,DAY(G1888)+2,FALSE),VLOOKUP(F1888,Equivalencia!$5:$23,((MAX(Equivalencia!$3:$3)-YEAR(G1888))*14)+MONTH(G1888)+2,FALSE))))</f>
        <v>0</v>
      </c>
      <c r="M1888" s="306">
        <f t="shared" si="496"/>
        <v>0</v>
      </c>
      <c r="N1888" s="305">
        <f>IF(G1888=0,0,(IF(OR(E1888=$AT$5,E1888=$AT$6),AC1888,HLOOKUP(YEAR(G1888)+(MONTH(G1888)/100),TC!$5:$37,DAY(G1888)+2,FALSE))))</f>
        <v>0</v>
      </c>
      <c r="O1888" s="307">
        <f t="shared" si="497"/>
        <v>0</v>
      </c>
      <c r="P1888" s="560">
        <f>IF(G1888=0,0,VLOOKUP(YEAR(G1888),INPC!$B$4:$P$30,MONTH(G1888)+2))</f>
        <v>0</v>
      </c>
      <c r="Q1888" s="560">
        <f>IF(X1888=0,0,IF(OR(E1888=$AT$10,E1888=$AT$9),VLOOKUP(YEAR(X1888),INPC!$B$4:$P$30,MONTH(X1888)+1),VLOOKUP(YEAR(X1888),INPC!$B$4:$P$30,MONTH(X1888)+2,0)))</f>
        <v>0</v>
      </c>
      <c r="R1888" s="309">
        <f t="shared" si="498"/>
        <v>0</v>
      </c>
      <c r="S1888" s="310">
        <f t="shared" si="499"/>
        <v>0</v>
      </c>
      <c r="T1888" s="555">
        <f t="shared" si="500"/>
        <v>0</v>
      </c>
      <c r="U1888" s="311"/>
      <c r="V1888" s="312"/>
      <c r="W1888" s="299"/>
      <c r="X1888" s="300"/>
      <c r="Y1888" s="299"/>
      <c r="Z1888" s="303"/>
      <c r="AA1888" s="305">
        <f>IF(Z1888=0,0,IF(Y1888="MXN",1/HLOOKUP(YEAR(X1888)+(MONTH(X1888)/100),TC!$5:$37,DAY(X1888)+2,FALSE),VLOOKUP(Y1888,Equivalencia!$1:$23,((MAX(Equivalencia!$3:$3)-YEAR(X1888))*14)+MONTH(X1888)+2,FALSE)))</f>
        <v>0</v>
      </c>
      <c r="AB1888" s="306">
        <f t="shared" si="501"/>
        <v>0</v>
      </c>
      <c r="AC1888" s="305">
        <f>+IF(X1888=0,0,HLOOKUP(YEAR(X1888)+(MONTH(X1888)/100),TC!$5:$37,DAY(X1888)+2,FALSE))</f>
        <v>0</v>
      </c>
      <c r="AD1888" s="307">
        <f t="shared" si="502"/>
        <v>0</v>
      </c>
      <c r="AE1888" s="314">
        <f t="shared" si="503"/>
        <v>0</v>
      </c>
      <c r="AF1888" s="315">
        <f t="shared" si="504"/>
        <v>0</v>
      </c>
      <c r="AG1888" s="316">
        <f t="shared" si="505"/>
        <v>0</v>
      </c>
      <c r="AH1888" s="314">
        <v>1</v>
      </c>
      <c r="AI1888" s="314">
        <f t="shared" si="506"/>
        <v>0</v>
      </c>
      <c r="AJ1888" s="314">
        <f t="shared" si="507"/>
        <v>0</v>
      </c>
      <c r="AK1888" s="317"/>
      <c r="AL1888" s="315">
        <f t="shared" si="508"/>
        <v>0</v>
      </c>
      <c r="AN1888" s="554">
        <f t="shared" si="509"/>
        <v>0</v>
      </c>
      <c r="AO1888" s="314"/>
      <c r="AP1888" s="318"/>
    </row>
    <row r="1889" spans="2:42">
      <c r="B1889" s="296"/>
      <c r="C1889" s="299"/>
      <c r="D1889" s="298"/>
      <c r="E1889" s="299"/>
      <c r="F1889" s="299"/>
      <c r="G1889" s="300"/>
      <c r="H1889" s="303"/>
      <c r="I1889" s="301">
        <f t="shared" si="493"/>
        <v>0</v>
      </c>
      <c r="J1889" s="302">
        <f t="shared" si="494"/>
        <v>0</v>
      </c>
      <c r="K1889" s="304">
        <f t="shared" si="495"/>
        <v>0</v>
      </c>
      <c r="L1889" s="305">
        <f>IF(H1889=0,0,IF(OR(E1889=$AT$5,E1889=$AT$6),AA1889,IF(F1889="MXN",1/HLOOKUP(YEAR(G1889)+(MONTH(G1889)/100),TC!$5:$37,DAY(G1889)+2,FALSE),VLOOKUP(F1889,Equivalencia!$5:$23,((MAX(Equivalencia!$3:$3)-YEAR(G1889))*14)+MONTH(G1889)+2,FALSE))))</f>
        <v>0</v>
      </c>
      <c r="M1889" s="306">
        <f t="shared" si="496"/>
        <v>0</v>
      </c>
      <c r="N1889" s="305">
        <f>IF(G1889=0,0,(IF(OR(E1889=$AT$5,E1889=$AT$6),AC1889,HLOOKUP(YEAR(G1889)+(MONTH(G1889)/100),TC!$5:$37,DAY(G1889)+2,FALSE))))</f>
        <v>0</v>
      </c>
      <c r="O1889" s="307">
        <f t="shared" si="497"/>
        <v>0</v>
      </c>
      <c r="P1889" s="560">
        <f>IF(G1889=0,0,VLOOKUP(YEAR(G1889),INPC!$B$4:$P$30,MONTH(G1889)+2))</f>
        <v>0</v>
      </c>
      <c r="Q1889" s="560">
        <f>IF(X1889=0,0,IF(OR(E1889=$AT$10,E1889=$AT$9),VLOOKUP(YEAR(X1889),INPC!$B$4:$P$30,MONTH(X1889)+1),VLOOKUP(YEAR(X1889),INPC!$B$4:$P$30,MONTH(X1889)+2,0)))</f>
        <v>0</v>
      </c>
      <c r="R1889" s="309">
        <f t="shared" si="498"/>
        <v>0</v>
      </c>
      <c r="S1889" s="310">
        <f t="shared" si="499"/>
        <v>0</v>
      </c>
      <c r="T1889" s="555">
        <f t="shared" si="500"/>
        <v>0</v>
      </c>
      <c r="U1889" s="311"/>
      <c r="V1889" s="312"/>
      <c r="W1889" s="299"/>
      <c r="X1889" s="300"/>
      <c r="Y1889" s="299"/>
      <c r="Z1889" s="303"/>
      <c r="AA1889" s="305">
        <f>IF(Z1889=0,0,IF(Y1889="MXN",1/HLOOKUP(YEAR(X1889)+(MONTH(X1889)/100),TC!$5:$37,DAY(X1889)+2,FALSE),VLOOKUP(Y1889,Equivalencia!$1:$23,((MAX(Equivalencia!$3:$3)-YEAR(X1889))*14)+MONTH(X1889)+2,FALSE)))</f>
        <v>0</v>
      </c>
      <c r="AB1889" s="306">
        <f t="shared" si="501"/>
        <v>0</v>
      </c>
      <c r="AC1889" s="305">
        <f>+IF(X1889=0,0,HLOOKUP(YEAR(X1889)+(MONTH(X1889)/100),TC!$5:$37,DAY(X1889)+2,FALSE))</f>
        <v>0</v>
      </c>
      <c r="AD1889" s="307">
        <f t="shared" si="502"/>
        <v>0</v>
      </c>
      <c r="AE1889" s="314">
        <f t="shared" si="503"/>
        <v>0</v>
      </c>
      <c r="AF1889" s="315">
        <f t="shared" si="504"/>
        <v>0</v>
      </c>
      <c r="AG1889" s="316">
        <f t="shared" si="505"/>
        <v>0</v>
      </c>
      <c r="AH1889" s="314">
        <v>1</v>
      </c>
      <c r="AI1889" s="314">
        <f t="shared" si="506"/>
        <v>0</v>
      </c>
      <c r="AJ1889" s="314">
        <f t="shared" si="507"/>
        <v>0</v>
      </c>
      <c r="AK1889" s="317"/>
      <c r="AL1889" s="315">
        <f t="shared" si="508"/>
        <v>0</v>
      </c>
      <c r="AN1889" s="554">
        <f t="shared" si="509"/>
        <v>0</v>
      </c>
      <c r="AO1889" s="314"/>
      <c r="AP1889" s="318"/>
    </row>
    <row r="1890" spans="2:42">
      <c r="B1890" s="296"/>
      <c r="C1890" s="299"/>
      <c r="D1890" s="298"/>
      <c r="E1890" s="299"/>
      <c r="F1890" s="299"/>
      <c r="G1890" s="300"/>
      <c r="H1890" s="303"/>
      <c r="I1890" s="301">
        <f t="shared" si="493"/>
        <v>0</v>
      </c>
      <c r="J1890" s="302">
        <f t="shared" si="494"/>
        <v>0</v>
      </c>
      <c r="K1890" s="304">
        <f t="shared" si="495"/>
        <v>0</v>
      </c>
      <c r="L1890" s="305">
        <f>IF(H1890=0,0,IF(OR(E1890=$AT$5,E1890=$AT$6),AA1890,IF(F1890="MXN",1/HLOOKUP(YEAR(G1890)+(MONTH(G1890)/100),TC!$5:$37,DAY(G1890)+2,FALSE),VLOOKUP(F1890,Equivalencia!$5:$23,((MAX(Equivalencia!$3:$3)-YEAR(G1890))*14)+MONTH(G1890)+2,FALSE))))</f>
        <v>0</v>
      </c>
      <c r="M1890" s="306">
        <f t="shared" si="496"/>
        <v>0</v>
      </c>
      <c r="N1890" s="305">
        <f>IF(G1890=0,0,(IF(OR(E1890=$AT$5,E1890=$AT$6),AC1890,HLOOKUP(YEAR(G1890)+(MONTH(G1890)/100),TC!$5:$37,DAY(G1890)+2,FALSE))))</f>
        <v>0</v>
      </c>
      <c r="O1890" s="307">
        <f t="shared" si="497"/>
        <v>0</v>
      </c>
      <c r="P1890" s="560">
        <f>IF(G1890=0,0,VLOOKUP(YEAR(G1890),INPC!$B$4:$P$30,MONTH(G1890)+2))</f>
        <v>0</v>
      </c>
      <c r="Q1890" s="560">
        <f>IF(X1890=0,0,IF(OR(E1890=$AT$10,E1890=$AT$9),VLOOKUP(YEAR(X1890),INPC!$B$4:$P$30,MONTH(X1890)+1),VLOOKUP(YEAR(X1890),INPC!$B$4:$P$30,MONTH(X1890)+2,0)))</f>
        <v>0</v>
      </c>
      <c r="R1890" s="309">
        <f t="shared" si="498"/>
        <v>0</v>
      </c>
      <c r="S1890" s="310">
        <f t="shared" si="499"/>
        <v>0</v>
      </c>
      <c r="T1890" s="555">
        <f t="shared" si="500"/>
        <v>0</v>
      </c>
      <c r="U1890" s="311"/>
      <c r="V1890" s="312"/>
      <c r="W1890" s="299"/>
      <c r="X1890" s="300"/>
      <c r="Y1890" s="299"/>
      <c r="Z1890" s="303"/>
      <c r="AA1890" s="305">
        <f>IF(Z1890=0,0,IF(Y1890="MXN",1/HLOOKUP(YEAR(X1890)+(MONTH(X1890)/100),TC!$5:$37,DAY(X1890)+2,FALSE),VLOOKUP(Y1890,Equivalencia!$1:$23,((MAX(Equivalencia!$3:$3)-YEAR(X1890))*14)+MONTH(X1890)+2,FALSE)))</f>
        <v>0</v>
      </c>
      <c r="AB1890" s="306">
        <f t="shared" si="501"/>
        <v>0</v>
      </c>
      <c r="AC1890" s="305">
        <f>+IF(X1890=0,0,HLOOKUP(YEAR(X1890)+(MONTH(X1890)/100),TC!$5:$37,DAY(X1890)+2,FALSE))</f>
        <v>0</v>
      </c>
      <c r="AD1890" s="307">
        <f t="shared" si="502"/>
        <v>0</v>
      </c>
      <c r="AE1890" s="314">
        <f t="shared" si="503"/>
        <v>0</v>
      </c>
      <c r="AF1890" s="315">
        <f t="shared" si="504"/>
        <v>0</v>
      </c>
      <c r="AG1890" s="316">
        <f t="shared" si="505"/>
        <v>0</v>
      </c>
      <c r="AH1890" s="314">
        <v>1</v>
      </c>
      <c r="AI1890" s="314">
        <f t="shared" si="506"/>
        <v>0</v>
      </c>
      <c r="AJ1890" s="314">
        <f t="shared" si="507"/>
        <v>0</v>
      </c>
      <c r="AK1890" s="317"/>
      <c r="AL1890" s="315">
        <f t="shared" si="508"/>
        <v>0</v>
      </c>
      <c r="AN1890" s="554">
        <f t="shared" si="509"/>
        <v>0</v>
      </c>
      <c r="AO1890" s="314"/>
      <c r="AP1890" s="318"/>
    </row>
    <row r="1891" spans="2:42">
      <c r="B1891" s="296"/>
      <c r="C1891" s="299"/>
      <c r="D1891" s="298"/>
      <c r="E1891" s="299"/>
      <c r="F1891" s="299"/>
      <c r="G1891" s="300"/>
      <c r="H1891" s="303"/>
      <c r="I1891" s="301">
        <f t="shared" si="493"/>
        <v>0</v>
      </c>
      <c r="J1891" s="302">
        <f t="shared" si="494"/>
        <v>0</v>
      </c>
      <c r="K1891" s="304">
        <f t="shared" si="495"/>
        <v>0</v>
      </c>
      <c r="L1891" s="305">
        <f>IF(H1891=0,0,IF(OR(E1891=$AT$5,E1891=$AT$6),AA1891,IF(F1891="MXN",1/HLOOKUP(YEAR(G1891)+(MONTH(G1891)/100),TC!$5:$37,DAY(G1891)+2,FALSE),VLOOKUP(F1891,Equivalencia!$5:$23,((MAX(Equivalencia!$3:$3)-YEAR(G1891))*14)+MONTH(G1891)+2,FALSE))))</f>
        <v>0</v>
      </c>
      <c r="M1891" s="306">
        <f t="shared" si="496"/>
        <v>0</v>
      </c>
      <c r="N1891" s="305">
        <f>IF(G1891=0,0,(IF(OR(E1891=$AT$5,E1891=$AT$6),AC1891,HLOOKUP(YEAR(G1891)+(MONTH(G1891)/100),TC!$5:$37,DAY(G1891)+2,FALSE))))</f>
        <v>0</v>
      </c>
      <c r="O1891" s="307">
        <f t="shared" si="497"/>
        <v>0</v>
      </c>
      <c r="P1891" s="560">
        <f>IF(G1891=0,0,VLOOKUP(YEAR(G1891),INPC!$B$4:$P$30,MONTH(G1891)+2))</f>
        <v>0</v>
      </c>
      <c r="Q1891" s="560">
        <f>IF(X1891=0,0,IF(OR(E1891=$AT$10,E1891=$AT$9),VLOOKUP(YEAR(X1891),INPC!$B$4:$P$30,MONTH(X1891)+1),VLOOKUP(YEAR(X1891),INPC!$B$4:$P$30,MONTH(X1891)+2,0)))</f>
        <v>0</v>
      </c>
      <c r="R1891" s="309">
        <f t="shared" si="498"/>
        <v>0</v>
      </c>
      <c r="S1891" s="310">
        <f t="shared" si="499"/>
        <v>0</v>
      </c>
      <c r="T1891" s="555">
        <f t="shared" si="500"/>
        <v>0</v>
      </c>
      <c r="U1891" s="311"/>
      <c r="V1891" s="312"/>
      <c r="W1891" s="299"/>
      <c r="X1891" s="300"/>
      <c r="Y1891" s="299"/>
      <c r="Z1891" s="303"/>
      <c r="AA1891" s="305">
        <f>IF(Z1891=0,0,IF(Y1891="MXN",1/HLOOKUP(YEAR(X1891)+(MONTH(X1891)/100),TC!$5:$37,DAY(X1891)+2,FALSE),VLOOKUP(Y1891,Equivalencia!$1:$23,((MAX(Equivalencia!$3:$3)-YEAR(X1891))*14)+MONTH(X1891)+2,FALSE)))</f>
        <v>0</v>
      </c>
      <c r="AB1891" s="306">
        <f t="shared" si="501"/>
        <v>0</v>
      </c>
      <c r="AC1891" s="305">
        <f>+IF(X1891=0,0,HLOOKUP(YEAR(X1891)+(MONTH(X1891)/100),TC!$5:$37,DAY(X1891)+2,FALSE))</f>
        <v>0</v>
      </c>
      <c r="AD1891" s="307">
        <f t="shared" si="502"/>
        <v>0</v>
      </c>
      <c r="AE1891" s="314">
        <f t="shared" si="503"/>
        <v>0</v>
      </c>
      <c r="AF1891" s="315">
        <f t="shared" si="504"/>
        <v>0</v>
      </c>
      <c r="AG1891" s="316">
        <f t="shared" si="505"/>
        <v>0</v>
      </c>
      <c r="AH1891" s="314">
        <v>1</v>
      </c>
      <c r="AI1891" s="314">
        <f t="shared" si="506"/>
        <v>0</v>
      </c>
      <c r="AJ1891" s="314">
        <f t="shared" si="507"/>
        <v>0</v>
      </c>
      <c r="AK1891" s="317"/>
      <c r="AL1891" s="315">
        <f t="shared" si="508"/>
        <v>0</v>
      </c>
      <c r="AN1891" s="554">
        <f t="shared" si="509"/>
        <v>0</v>
      </c>
      <c r="AO1891" s="314"/>
      <c r="AP1891" s="318"/>
    </row>
    <row r="1892" spans="2:42">
      <c r="B1892" s="296"/>
      <c r="C1892" s="299"/>
      <c r="D1892" s="298"/>
      <c r="E1892" s="299"/>
      <c r="F1892" s="299"/>
      <c r="G1892" s="300"/>
      <c r="H1892" s="303"/>
      <c r="I1892" s="301">
        <f t="shared" si="493"/>
        <v>0</v>
      </c>
      <c r="J1892" s="302">
        <f t="shared" si="494"/>
        <v>0</v>
      </c>
      <c r="K1892" s="304">
        <f t="shared" si="495"/>
        <v>0</v>
      </c>
      <c r="L1892" s="305">
        <f>IF(H1892=0,0,IF(OR(E1892=$AT$5,E1892=$AT$6),AA1892,IF(F1892="MXN",1/HLOOKUP(YEAR(G1892)+(MONTH(G1892)/100),TC!$5:$37,DAY(G1892)+2,FALSE),VLOOKUP(F1892,Equivalencia!$5:$23,((MAX(Equivalencia!$3:$3)-YEAR(G1892))*14)+MONTH(G1892)+2,FALSE))))</f>
        <v>0</v>
      </c>
      <c r="M1892" s="306">
        <f t="shared" si="496"/>
        <v>0</v>
      </c>
      <c r="N1892" s="305">
        <f>IF(G1892=0,0,(IF(OR(E1892=$AT$5,E1892=$AT$6),AC1892,HLOOKUP(YEAR(G1892)+(MONTH(G1892)/100),TC!$5:$37,DAY(G1892)+2,FALSE))))</f>
        <v>0</v>
      </c>
      <c r="O1892" s="307">
        <f t="shared" si="497"/>
        <v>0</v>
      </c>
      <c r="P1892" s="560">
        <f>IF(G1892=0,0,VLOOKUP(YEAR(G1892),INPC!$B$4:$P$30,MONTH(G1892)+2))</f>
        <v>0</v>
      </c>
      <c r="Q1892" s="560">
        <f>IF(X1892=0,0,IF(OR(E1892=$AT$10,E1892=$AT$9),VLOOKUP(YEAR(X1892),INPC!$B$4:$P$30,MONTH(X1892)+1),VLOOKUP(YEAR(X1892),INPC!$B$4:$P$30,MONTH(X1892)+2,0)))</f>
        <v>0</v>
      </c>
      <c r="R1892" s="309">
        <f t="shared" si="498"/>
        <v>0</v>
      </c>
      <c r="S1892" s="310">
        <f t="shared" si="499"/>
        <v>0</v>
      </c>
      <c r="T1892" s="555">
        <f t="shared" si="500"/>
        <v>0</v>
      </c>
      <c r="U1892" s="311"/>
      <c r="V1892" s="312"/>
      <c r="W1892" s="299"/>
      <c r="X1892" s="300"/>
      <c r="Y1892" s="299"/>
      <c r="Z1892" s="303"/>
      <c r="AA1892" s="305">
        <f>IF(Z1892=0,0,IF(Y1892="MXN",1/HLOOKUP(YEAR(X1892)+(MONTH(X1892)/100),TC!$5:$37,DAY(X1892)+2,FALSE),VLOOKUP(Y1892,Equivalencia!$1:$23,((MAX(Equivalencia!$3:$3)-YEAR(X1892))*14)+MONTH(X1892)+2,FALSE)))</f>
        <v>0</v>
      </c>
      <c r="AB1892" s="306">
        <f t="shared" si="501"/>
        <v>0</v>
      </c>
      <c r="AC1892" s="305">
        <f>+IF(X1892=0,0,HLOOKUP(YEAR(X1892)+(MONTH(X1892)/100),TC!$5:$37,DAY(X1892)+2,FALSE))</f>
        <v>0</v>
      </c>
      <c r="AD1892" s="307">
        <f t="shared" si="502"/>
        <v>0</v>
      </c>
      <c r="AE1892" s="314">
        <f t="shared" si="503"/>
        <v>0</v>
      </c>
      <c r="AF1892" s="315">
        <f t="shared" si="504"/>
        <v>0</v>
      </c>
      <c r="AG1892" s="316">
        <f t="shared" si="505"/>
        <v>0</v>
      </c>
      <c r="AH1892" s="314">
        <v>1</v>
      </c>
      <c r="AI1892" s="314">
        <f t="shared" si="506"/>
        <v>0</v>
      </c>
      <c r="AJ1892" s="314">
        <f t="shared" si="507"/>
        <v>0</v>
      </c>
      <c r="AK1892" s="317"/>
      <c r="AL1892" s="315">
        <f t="shared" si="508"/>
        <v>0</v>
      </c>
      <c r="AN1892" s="554">
        <f t="shared" si="509"/>
        <v>0</v>
      </c>
      <c r="AO1892" s="314"/>
      <c r="AP1892" s="318"/>
    </row>
    <row r="1893" spans="2:42">
      <c r="B1893" s="296"/>
      <c r="C1893" s="299"/>
      <c r="D1893" s="298"/>
      <c r="E1893" s="299"/>
      <c r="F1893" s="299"/>
      <c r="G1893" s="300"/>
      <c r="H1893" s="303"/>
      <c r="I1893" s="301">
        <f t="shared" si="493"/>
        <v>0</v>
      </c>
      <c r="J1893" s="302">
        <f t="shared" si="494"/>
        <v>0</v>
      </c>
      <c r="K1893" s="304">
        <f t="shared" si="495"/>
        <v>0</v>
      </c>
      <c r="L1893" s="305">
        <f>IF(H1893=0,0,IF(OR(E1893=$AT$5,E1893=$AT$6),AA1893,IF(F1893="MXN",1/HLOOKUP(YEAR(G1893)+(MONTH(G1893)/100),TC!$5:$37,DAY(G1893)+2,FALSE),VLOOKUP(F1893,Equivalencia!$5:$23,((MAX(Equivalencia!$3:$3)-YEAR(G1893))*14)+MONTH(G1893)+2,FALSE))))</f>
        <v>0</v>
      </c>
      <c r="M1893" s="306">
        <f t="shared" si="496"/>
        <v>0</v>
      </c>
      <c r="N1893" s="305">
        <f>IF(G1893=0,0,(IF(OR(E1893=$AT$5,E1893=$AT$6),AC1893,HLOOKUP(YEAR(G1893)+(MONTH(G1893)/100),TC!$5:$37,DAY(G1893)+2,FALSE))))</f>
        <v>0</v>
      </c>
      <c r="O1893" s="307">
        <f t="shared" si="497"/>
        <v>0</v>
      </c>
      <c r="P1893" s="560">
        <f>IF(G1893=0,0,VLOOKUP(YEAR(G1893),INPC!$B$4:$P$30,MONTH(G1893)+2))</f>
        <v>0</v>
      </c>
      <c r="Q1893" s="560">
        <f>IF(X1893=0,0,IF(OR(E1893=$AT$10,E1893=$AT$9),VLOOKUP(YEAR(X1893),INPC!$B$4:$P$30,MONTH(X1893)+1),VLOOKUP(YEAR(X1893),INPC!$B$4:$P$30,MONTH(X1893)+2,0)))</f>
        <v>0</v>
      </c>
      <c r="R1893" s="309">
        <f t="shared" si="498"/>
        <v>0</v>
      </c>
      <c r="S1893" s="310">
        <f t="shared" si="499"/>
        <v>0</v>
      </c>
      <c r="T1893" s="555">
        <f t="shared" si="500"/>
        <v>0</v>
      </c>
      <c r="U1893" s="311"/>
      <c r="V1893" s="312"/>
      <c r="W1893" s="299"/>
      <c r="X1893" s="300"/>
      <c r="Y1893" s="299"/>
      <c r="Z1893" s="303"/>
      <c r="AA1893" s="305">
        <f>IF(Z1893=0,0,IF(Y1893="MXN",1/HLOOKUP(YEAR(X1893)+(MONTH(X1893)/100),TC!$5:$37,DAY(X1893)+2,FALSE),VLOOKUP(Y1893,Equivalencia!$1:$23,((MAX(Equivalencia!$3:$3)-YEAR(X1893))*14)+MONTH(X1893)+2,FALSE)))</f>
        <v>0</v>
      </c>
      <c r="AB1893" s="306">
        <f t="shared" si="501"/>
        <v>0</v>
      </c>
      <c r="AC1893" s="305">
        <f>+IF(X1893=0,0,HLOOKUP(YEAR(X1893)+(MONTH(X1893)/100),TC!$5:$37,DAY(X1893)+2,FALSE))</f>
        <v>0</v>
      </c>
      <c r="AD1893" s="307">
        <f t="shared" si="502"/>
        <v>0</v>
      </c>
      <c r="AE1893" s="314">
        <f t="shared" si="503"/>
        <v>0</v>
      </c>
      <c r="AF1893" s="315">
        <f t="shared" si="504"/>
        <v>0</v>
      </c>
      <c r="AG1893" s="316">
        <f t="shared" si="505"/>
        <v>0</v>
      </c>
      <c r="AH1893" s="314">
        <v>1</v>
      </c>
      <c r="AI1893" s="314">
        <f t="shared" si="506"/>
        <v>0</v>
      </c>
      <c r="AJ1893" s="314">
        <f t="shared" si="507"/>
        <v>0</v>
      </c>
      <c r="AK1893" s="317"/>
      <c r="AL1893" s="315">
        <f t="shared" si="508"/>
        <v>0</v>
      </c>
      <c r="AN1893" s="554">
        <f t="shared" si="509"/>
        <v>0</v>
      </c>
      <c r="AO1893" s="314"/>
      <c r="AP1893" s="318"/>
    </row>
    <row r="1894" spans="2:42">
      <c r="B1894" s="296"/>
      <c r="C1894" s="299"/>
      <c r="D1894" s="298"/>
      <c r="E1894" s="299"/>
      <c r="F1894" s="299"/>
      <c r="G1894" s="300"/>
      <c r="H1894" s="303"/>
      <c r="I1894" s="301">
        <f t="shared" si="493"/>
        <v>0</v>
      </c>
      <c r="J1894" s="302">
        <f t="shared" si="494"/>
        <v>0</v>
      </c>
      <c r="K1894" s="304">
        <f t="shared" si="495"/>
        <v>0</v>
      </c>
      <c r="L1894" s="305">
        <f>IF(H1894=0,0,IF(OR(E1894=$AT$5,E1894=$AT$6),AA1894,IF(F1894="MXN",1/HLOOKUP(YEAR(G1894)+(MONTH(G1894)/100),TC!$5:$37,DAY(G1894)+2,FALSE),VLOOKUP(F1894,Equivalencia!$5:$23,((MAX(Equivalencia!$3:$3)-YEAR(G1894))*14)+MONTH(G1894)+2,FALSE))))</f>
        <v>0</v>
      </c>
      <c r="M1894" s="306">
        <f t="shared" si="496"/>
        <v>0</v>
      </c>
      <c r="N1894" s="305">
        <f>IF(G1894=0,0,(IF(OR(E1894=$AT$5,E1894=$AT$6),AC1894,HLOOKUP(YEAR(G1894)+(MONTH(G1894)/100),TC!$5:$37,DAY(G1894)+2,FALSE))))</f>
        <v>0</v>
      </c>
      <c r="O1894" s="307">
        <f t="shared" si="497"/>
        <v>0</v>
      </c>
      <c r="P1894" s="560">
        <f>IF(G1894=0,0,VLOOKUP(YEAR(G1894),INPC!$B$4:$P$30,MONTH(G1894)+2))</f>
        <v>0</v>
      </c>
      <c r="Q1894" s="560">
        <f>IF(X1894=0,0,IF(OR(E1894=$AT$10,E1894=$AT$9),VLOOKUP(YEAR(X1894),INPC!$B$4:$P$30,MONTH(X1894)+1),VLOOKUP(YEAR(X1894),INPC!$B$4:$P$30,MONTH(X1894)+2,0)))</f>
        <v>0</v>
      </c>
      <c r="R1894" s="309">
        <f t="shared" si="498"/>
        <v>0</v>
      </c>
      <c r="S1894" s="310">
        <f t="shared" si="499"/>
        <v>0</v>
      </c>
      <c r="T1894" s="555">
        <f t="shared" si="500"/>
        <v>0</v>
      </c>
      <c r="U1894" s="311"/>
      <c r="V1894" s="312"/>
      <c r="W1894" s="299"/>
      <c r="X1894" s="300"/>
      <c r="Y1894" s="299"/>
      <c r="Z1894" s="303"/>
      <c r="AA1894" s="305">
        <f>IF(Z1894=0,0,IF(Y1894="MXN",1/HLOOKUP(YEAR(X1894)+(MONTH(X1894)/100),TC!$5:$37,DAY(X1894)+2,FALSE),VLOOKUP(Y1894,Equivalencia!$1:$23,((MAX(Equivalencia!$3:$3)-YEAR(X1894))*14)+MONTH(X1894)+2,FALSE)))</f>
        <v>0</v>
      </c>
      <c r="AB1894" s="306">
        <f t="shared" si="501"/>
        <v>0</v>
      </c>
      <c r="AC1894" s="305">
        <f>+IF(X1894=0,0,HLOOKUP(YEAR(X1894)+(MONTH(X1894)/100),TC!$5:$37,DAY(X1894)+2,FALSE))</f>
        <v>0</v>
      </c>
      <c r="AD1894" s="307">
        <f t="shared" si="502"/>
        <v>0</v>
      </c>
      <c r="AE1894" s="314">
        <f t="shared" si="503"/>
        <v>0</v>
      </c>
      <c r="AF1894" s="315">
        <f t="shared" si="504"/>
        <v>0</v>
      </c>
      <c r="AG1894" s="316">
        <f t="shared" si="505"/>
        <v>0</v>
      </c>
      <c r="AH1894" s="314">
        <v>1</v>
      </c>
      <c r="AI1894" s="314">
        <f t="shared" si="506"/>
        <v>0</v>
      </c>
      <c r="AJ1894" s="314">
        <f t="shared" si="507"/>
        <v>0</v>
      </c>
      <c r="AK1894" s="317"/>
      <c r="AL1894" s="315">
        <f t="shared" si="508"/>
        <v>0</v>
      </c>
      <c r="AN1894" s="554">
        <f t="shared" si="509"/>
        <v>0</v>
      </c>
      <c r="AO1894" s="314"/>
      <c r="AP1894" s="318"/>
    </row>
    <row r="1895" spans="2:42">
      <c r="B1895" s="296"/>
      <c r="C1895" s="299"/>
      <c r="D1895" s="298"/>
      <c r="E1895" s="299"/>
      <c r="F1895" s="299"/>
      <c r="G1895" s="300"/>
      <c r="H1895" s="303"/>
      <c r="I1895" s="301">
        <f t="shared" si="493"/>
        <v>0</v>
      </c>
      <c r="J1895" s="302">
        <f t="shared" si="494"/>
        <v>0</v>
      </c>
      <c r="K1895" s="304">
        <f t="shared" si="495"/>
        <v>0</v>
      </c>
      <c r="L1895" s="305">
        <f>IF(H1895=0,0,IF(OR(E1895=$AT$5,E1895=$AT$6),AA1895,IF(F1895="MXN",1/HLOOKUP(YEAR(G1895)+(MONTH(G1895)/100),TC!$5:$37,DAY(G1895)+2,FALSE),VLOOKUP(F1895,Equivalencia!$5:$23,((MAX(Equivalencia!$3:$3)-YEAR(G1895))*14)+MONTH(G1895)+2,FALSE))))</f>
        <v>0</v>
      </c>
      <c r="M1895" s="306">
        <f t="shared" si="496"/>
        <v>0</v>
      </c>
      <c r="N1895" s="305">
        <f>IF(G1895=0,0,(IF(OR(E1895=$AT$5,E1895=$AT$6),AC1895,HLOOKUP(YEAR(G1895)+(MONTH(G1895)/100),TC!$5:$37,DAY(G1895)+2,FALSE))))</f>
        <v>0</v>
      </c>
      <c r="O1895" s="307">
        <f t="shared" si="497"/>
        <v>0</v>
      </c>
      <c r="P1895" s="560">
        <f>IF(G1895=0,0,VLOOKUP(YEAR(G1895),INPC!$B$4:$P$30,MONTH(G1895)+2))</f>
        <v>0</v>
      </c>
      <c r="Q1895" s="560">
        <f>IF(X1895=0,0,IF(OR(E1895=$AT$10,E1895=$AT$9),VLOOKUP(YEAR(X1895),INPC!$B$4:$P$30,MONTH(X1895)+1),VLOOKUP(YEAR(X1895),INPC!$B$4:$P$30,MONTH(X1895)+2,0)))</f>
        <v>0</v>
      </c>
      <c r="R1895" s="309">
        <f t="shared" si="498"/>
        <v>0</v>
      </c>
      <c r="S1895" s="310">
        <f t="shared" si="499"/>
        <v>0</v>
      </c>
      <c r="T1895" s="555">
        <f t="shared" si="500"/>
        <v>0</v>
      </c>
      <c r="U1895" s="311"/>
      <c r="V1895" s="312"/>
      <c r="W1895" s="299"/>
      <c r="X1895" s="300"/>
      <c r="Y1895" s="299"/>
      <c r="Z1895" s="303"/>
      <c r="AA1895" s="305">
        <f>IF(Z1895=0,0,IF(Y1895="MXN",1/HLOOKUP(YEAR(X1895)+(MONTH(X1895)/100),TC!$5:$37,DAY(X1895)+2,FALSE),VLOOKUP(Y1895,Equivalencia!$1:$23,((MAX(Equivalencia!$3:$3)-YEAR(X1895))*14)+MONTH(X1895)+2,FALSE)))</f>
        <v>0</v>
      </c>
      <c r="AB1895" s="306">
        <f t="shared" si="501"/>
        <v>0</v>
      </c>
      <c r="AC1895" s="305">
        <f>+IF(X1895=0,0,HLOOKUP(YEAR(X1895)+(MONTH(X1895)/100),TC!$5:$37,DAY(X1895)+2,FALSE))</f>
        <v>0</v>
      </c>
      <c r="AD1895" s="307">
        <f t="shared" si="502"/>
        <v>0</v>
      </c>
      <c r="AE1895" s="314">
        <f t="shared" si="503"/>
        <v>0</v>
      </c>
      <c r="AF1895" s="315">
        <f t="shared" si="504"/>
        <v>0</v>
      </c>
      <c r="AG1895" s="316">
        <f t="shared" si="505"/>
        <v>0</v>
      </c>
      <c r="AH1895" s="314">
        <v>1</v>
      </c>
      <c r="AI1895" s="314">
        <f t="shared" si="506"/>
        <v>0</v>
      </c>
      <c r="AJ1895" s="314">
        <f t="shared" si="507"/>
        <v>0</v>
      </c>
      <c r="AK1895" s="317"/>
      <c r="AL1895" s="315">
        <f t="shared" si="508"/>
        <v>0</v>
      </c>
      <c r="AN1895" s="554">
        <f t="shared" si="509"/>
        <v>0</v>
      </c>
      <c r="AO1895" s="314"/>
      <c r="AP1895" s="318"/>
    </row>
    <row r="1896" spans="2:42">
      <c r="B1896" s="296"/>
      <c r="C1896" s="299"/>
      <c r="D1896" s="298"/>
      <c r="E1896" s="299"/>
      <c r="F1896" s="299"/>
      <c r="G1896" s="300"/>
      <c r="H1896" s="303"/>
      <c r="I1896" s="301">
        <f t="shared" si="493"/>
        <v>0</v>
      </c>
      <c r="J1896" s="302">
        <f t="shared" si="494"/>
        <v>0</v>
      </c>
      <c r="K1896" s="304">
        <f t="shared" si="495"/>
        <v>0</v>
      </c>
      <c r="L1896" s="305">
        <f>IF(H1896=0,0,IF(OR(E1896=$AT$5,E1896=$AT$6),AA1896,IF(F1896="MXN",1/HLOOKUP(YEAR(G1896)+(MONTH(G1896)/100),TC!$5:$37,DAY(G1896)+2,FALSE),VLOOKUP(F1896,Equivalencia!$5:$23,((MAX(Equivalencia!$3:$3)-YEAR(G1896))*14)+MONTH(G1896)+2,FALSE))))</f>
        <v>0</v>
      </c>
      <c r="M1896" s="306">
        <f t="shared" si="496"/>
        <v>0</v>
      </c>
      <c r="N1896" s="305">
        <f>IF(G1896=0,0,(IF(OR(E1896=$AT$5,E1896=$AT$6),AC1896,HLOOKUP(YEAR(G1896)+(MONTH(G1896)/100),TC!$5:$37,DAY(G1896)+2,FALSE))))</f>
        <v>0</v>
      </c>
      <c r="O1896" s="307">
        <f t="shared" si="497"/>
        <v>0</v>
      </c>
      <c r="P1896" s="560">
        <f>IF(G1896=0,0,VLOOKUP(YEAR(G1896),INPC!$B$4:$P$30,MONTH(G1896)+2))</f>
        <v>0</v>
      </c>
      <c r="Q1896" s="560">
        <f>IF(X1896=0,0,IF(OR(E1896=$AT$10,E1896=$AT$9),VLOOKUP(YEAR(X1896),INPC!$B$4:$P$30,MONTH(X1896)+1),VLOOKUP(YEAR(X1896),INPC!$B$4:$P$30,MONTH(X1896)+2,0)))</f>
        <v>0</v>
      </c>
      <c r="R1896" s="309">
        <f t="shared" si="498"/>
        <v>0</v>
      </c>
      <c r="S1896" s="310">
        <f t="shared" si="499"/>
        <v>0</v>
      </c>
      <c r="T1896" s="555">
        <f t="shared" si="500"/>
        <v>0</v>
      </c>
      <c r="U1896" s="311"/>
      <c r="V1896" s="312"/>
      <c r="W1896" s="299"/>
      <c r="X1896" s="300"/>
      <c r="Y1896" s="299"/>
      <c r="Z1896" s="303"/>
      <c r="AA1896" s="305">
        <f>IF(Z1896=0,0,IF(Y1896="MXN",1/HLOOKUP(YEAR(X1896)+(MONTH(X1896)/100),TC!$5:$37,DAY(X1896)+2,FALSE),VLOOKUP(Y1896,Equivalencia!$1:$23,((MAX(Equivalencia!$3:$3)-YEAR(X1896))*14)+MONTH(X1896)+2,FALSE)))</f>
        <v>0</v>
      </c>
      <c r="AB1896" s="306">
        <f t="shared" si="501"/>
        <v>0</v>
      </c>
      <c r="AC1896" s="305">
        <f>+IF(X1896=0,0,HLOOKUP(YEAR(X1896)+(MONTH(X1896)/100),TC!$5:$37,DAY(X1896)+2,FALSE))</f>
        <v>0</v>
      </c>
      <c r="AD1896" s="307">
        <f t="shared" si="502"/>
        <v>0</v>
      </c>
      <c r="AE1896" s="314">
        <f t="shared" si="503"/>
        <v>0</v>
      </c>
      <c r="AF1896" s="315">
        <f t="shared" si="504"/>
        <v>0</v>
      </c>
      <c r="AG1896" s="316">
        <f t="shared" si="505"/>
        <v>0</v>
      </c>
      <c r="AH1896" s="314">
        <v>1</v>
      </c>
      <c r="AI1896" s="314">
        <f t="shared" si="506"/>
        <v>0</v>
      </c>
      <c r="AJ1896" s="314">
        <f t="shared" si="507"/>
        <v>0</v>
      </c>
      <c r="AK1896" s="317"/>
      <c r="AL1896" s="315">
        <f t="shared" si="508"/>
        <v>0</v>
      </c>
      <c r="AN1896" s="554">
        <f t="shared" si="509"/>
        <v>0</v>
      </c>
      <c r="AO1896" s="314"/>
      <c r="AP1896" s="318"/>
    </row>
    <row r="1897" spans="2:42">
      <c r="B1897" s="296"/>
      <c r="C1897" s="299"/>
      <c r="D1897" s="298"/>
      <c r="E1897" s="299"/>
      <c r="F1897" s="299"/>
      <c r="G1897" s="300"/>
      <c r="H1897" s="303"/>
      <c r="I1897" s="301">
        <f t="shared" si="493"/>
        <v>0</v>
      </c>
      <c r="J1897" s="302">
        <f t="shared" si="494"/>
        <v>0</v>
      </c>
      <c r="K1897" s="304">
        <f t="shared" si="495"/>
        <v>0</v>
      </c>
      <c r="L1897" s="305">
        <f>IF(H1897=0,0,IF(OR(E1897=$AT$5,E1897=$AT$6),AA1897,IF(F1897="MXN",1/HLOOKUP(YEAR(G1897)+(MONTH(G1897)/100),TC!$5:$37,DAY(G1897)+2,FALSE),VLOOKUP(F1897,Equivalencia!$5:$23,((MAX(Equivalencia!$3:$3)-YEAR(G1897))*14)+MONTH(G1897)+2,FALSE))))</f>
        <v>0</v>
      </c>
      <c r="M1897" s="306">
        <f t="shared" si="496"/>
        <v>0</v>
      </c>
      <c r="N1897" s="305">
        <f>IF(G1897=0,0,(IF(OR(E1897=$AT$5,E1897=$AT$6),AC1897,HLOOKUP(YEAR(G1897)+(MONTH(G1897)/100),TC!$5:$37,DAY(G1897)+2,FALSE))))</f>
        <v>0</v>
      </c>
      <c r="O1897" s="307">
        <f t="shared" si="497"/>
        <v>0</v>
      </c>
      <c r="P1897" s="560">
        <f>IF(G1897=0,0,VLOOKUP(YEAR(G1897),INPC!$B$4:$P$30,MONTH(G1897)+2))</f>
        <v>0</v>
      </c>
      <c r="Q1897" s="560">
        <f>IF(X1897=0,0,IF(OR(E1897=$AT$10,E1897=$AT$9),VLOOKUP(YEAR(X1897),INPC!$B$4:$P$30,MONTH(X1897)+1),VLOOKUP(YEAR(X1897),INPC!$B$4:$P$30,MONTH(X1897)+2,0)))</f>
        <v>0</v>
      </c>
      <c r="R1897" s="309">
        <f t="shared" si="498"/>
        <v>0</v>
      </c>
      <c r="S1897" s="310">
        <f t="shared" si="499"/>
        <v>0</v>
      </c>
      <c r="T1897" s="555">
        <f t="shared" si="500"/>
        <v>0</v>
      </c>
      <c r="U1897" s="311"/>
      <c r="V1897" s="312"/>
      <c r="W1897" s="299"/>
      <c r="X1897" s="300"/>
      <c r="Y1897" s="299"/>
      <c r="Z1897" s="303"/>
      <c r="AA1897" s="305">
        <f>IF(Z1897=0,0,IF(Y1897="MXN",1/HLOOKUP(YEAR(X1897)+(MONTH(X1897)/100),TC!$5:$37,DAY(X1897)+2,FALSE),VLOOKUP(Y1897,Equivalencia!$1:$23,((MAX(Equivalencia!$3:$3)-YEAR(X1897))*14)+MONTH(X1897)+2,FALSE)))</f>
        <v>0</v>
      </c>
      <c r="AB1897" s="306">
        <f t="shared" si="501"/>
        <v>0</v>
      </c>
      <c r="AC1897" s="305">
        <f>+IF(X1897=0,0,HLOOKUP(YEAR(X1897)+(MONTH(X1897)/100),TC!$5:$37,DAY(X1897)+2,FALSE))</f>
        <v>0</v>
      </c>
      <c r="AD1897" s="307">
        <f t="shared" si="502"/>
        <v>0</v>
      </c>
      <c r="AE1897" s="314">
        <f t="shared" si="503"/>
        <v>0</v>
      </c>
      <c r="AF1897" s="315">
        <f t="shared" si="504"/>
        <v>0</v>
      </c>
      <c r="AG1897" s="316">
        <f t="shared" si="505"/>
        <v>0</v>
      </c>
      <c r="AH1897" s="314">
        <v>1</v>
      </c>
      <c r="AI1897" s="314">
        <f t="shared" si="506"/>
        <v>0</v>
      </c>
      <c r="AJ1897" s="314">
        <f t="shared" si="507"/>
        <v>0</v>
      </c>
      <c r="AK1897" s="317"/>
      <c r="AL1897" s="315">
        <f t="shared" si="508"/>
        <v>0</v>
      </c>
      <c r="AN1897" s="554">
        <f t="shared" si="509"/>
        <v>0</v>
      </c>
      <c r="AO1897" s="314"/>
      <c r="AP1897" s="318"/>
    </row>
    <row r="1898" spans="2:42">
      <c r="B1898" s="296"/>
      <c r="C1898" s="299"/>
      <c r="D1898" s="298"/>
      <c r="E1898" s="299"/>
      <c r="F1898" s="299"/>
      <c r="G1898" s="300"/>
      <c r="H1898" s="303"/>
      <c r="I1898" s="301">
        <f t="shared" si="493"/>
        <v>0</v>
      </c>
      <c r="J1898" s="302">
        <f t="shared" si="494"/>
        <v>0</v>
      </c>
      <c r="K1898" s="304">
        <f t="shared" si="495"/>
        <v>0</v>
      </c>
      <c r="L1898" s="305">
        <f>IF(H1898=0,0,IF(OR(E1898=$AT$5,E1898=$AT$6),AA1898,IF(F1898="MXN",1/HLOOKUP(YEAR(G1898)+(MONTH(G1898)/100),TC!$5:$37,DAY(G1898)+2,FALSE),VLOOKUP(F1898,Equivalencia!$5:$23,((MAX(Equivalencia!$3:$3)-YEAR(G1898))*14)+MONTH(G1898)+2,FALSE))))</f>
        <v>0</v>
      </c>
      <c r="M1898" s="306">
        <f t="shared" si="496"/>
        <v>0</v>
      </c>
      <c r="N1898" s="305">
        <f>IF(G1898=0,0,(IF(OR(E1898=$AT$5,E1898=$AT$6),AC1898,HLOOKUP(YEAR(G1898)+(MONTH(G1898)/100),TC!$5:$37,DAY(G1898)+2,FALSE))))</f>
        <v>0</v>
      </c>
      <c r="O1898" s="307">
        <f t="shared" si="497"/>
        <v>0</v>
      </c>
      <c r="P1898" s="560">
        <f>IF(G1898=0,0,VLOOKUP(YEAR(G1898),INPC!$B$4:$P$30,MONTH(G1898)+2))</f>
        <v>0</v>
      </c>
      <c r="Q1898" s="560">
        <f>IF(X1898=0,0,IF(OR(E1898=$AT$10,E1898=$AT$9),VLOOKUP(YEAR(X1898),INPC!$B$4:$P$30,MONTH(X1898)+1),VLOOKUP(YEAR(X1898),INPC!$B$4:$P$30,MONTH(X1898)+2,0)))</f>
        <v>0</v>
      </c>
      <c r="R1898" s="309">
        <f t="shared" si="498"/>
        <v>0</v>
      </c>
      <c r="S1898" s="310">
        <f t="shared" si="499"/>
        <v>0</v>
      </c>
      <c r="T1898" s="555">
        <f t="shared" si="500"/>
        <v>0</v>
      </c>
      <c r="U1898" s="311"/>
      <c r="V1898" s="312"/>
      <c r="W1898" s="299"/>
      <c r="X1898" s="300"/>
      <c r="Y1898" s="299"/>
      <c r="Z1898" s="303"/>
      <c r="AA1898" s="305">
        <f>IF(Z1898=0,0,IF(Y1898="MXN",1/HLOOKUP(YEAR(X1898)+(MONTH(X1898)/100),TC!$5:$37,DAY(X1898)+2,FALSE),VLOOKUP(Y1898,Equivalencia!$1:$23,((MAX(Equivalencia!$3:$3)-YEAR(X1898))*14)+MONTH(X1898)+2,FALSE)))</f>
        <v>0</v>
      </c>
      <c r="AB1898" s="306">
        <f t="shared" si="501"/>
        <v>0</v>
      </c>
      <c r="AC1898" s="305">
        <f>+IF(X1898=0,0,HLOOKUP(YEAR(X1898)+(MONTH(X1898)/100),TC!$5:$37,DAY(X1898)+2,FALSE))</f>
        <v>0</v>
      </c>
      <c r="AD1898" s="307">
        <f t="shared" si="502"/>
        <v>0</v>
      </c>
      <c r="AE1898" s="314">
        <f t="shared" si="503"/>
        <v>0</v>
      </c>
      <c r="AF1898" s="315">
        <f t="shared" si="504"/>
        <v>0</v>
      </c>
      <c r="AG1898" s="316">
        <f t="shared" si="505"/>
        <v>0</v>
      </c>
      <c r="AH1898" s="314">
        <v>1</v>
      </c>
      <c r="AI1898" s="314">
        <f t="shared" si="506"/>
        <v>0</v>
      </c>
      <c r="AJ1898" s="314">
        <f t="shared" si="507"/>
        <v>0</v>
      </c>
      <c r="AK1898" s="317"/>
      <c r="AL1898" s="315">
        <f t="shared" si="508"/>
        <v>0</v>
      </c>
      <c r="AN1898" s="554">
        <f t="shared" si="509"/>
        <v>0</v>
      </c>
      <c r="AO1898" s="314"/>
      <c r="AP1898" s="318"/>
    </row>
    <row r="1899" spans="2:42">
      <c r="B1899" s="296"/>
      <c r="C1899" s="299"/>
      <c r="D1899" s="298"/>
      <c r="E1899" s="299"/>
      <c r="F1899" s="299"/>
      <c r="G1899" s="300"/>
      <c r="H1899" s="303"/>
      <c r="I1899" s="301">
        <f t="shared" si="493"/>
        <v>0</v>
      </c>
      <c r="J1899" s="302">
        <f t="shared" si="494"/>
        <v>0</v>
      </c>
      <c r="K1899" s="304">
        <f t="shared" si="495"/>
        <v>0</v>
      </c>
      <c r="L1899" s="305">
        <f>IF(H1899=0,0,IF(OR(E1899=$AT$5,E1899=$AT$6),AA1899,IF(F1899="MXN",1/HLOOKUP(YEAR(G1899)+(MONTH(G1899)/100),TC!$5:$37,DAY(G1899)+2,FALSE),VLOOKUP(F1899,Equivalencia!$5:$23,((MAX(Equivalencia!$3:$3)-YEAR(G1899))*14)+MONTH(G1899)+2,FALSE))))</f>
        <v>0</v>
      </c>
      <c r="M1899" s="306">
        <f t="shared" si="496"/>
        <v>0</v>
      </c>
      <c r="N1899" s="305">
        <f>IF(G1899=0,0,(IF(OR(E1899=$AT$5,E1899=$AT$6),AC1899,HLOOKUP(YEAR(G1899)+(MONTH(G1899)/100),TC!$5:$37,DAY(G1899)+2,FALSE))))</f>
        <v>0</v>
      </c>
      <c r="O1899" s="307">
        <f t="shared" si="497"/>
        <v>0</v>
      </c>
      <c r="P1899" s="560">
        <f>IF(G1899=0,0,VLOOKUP(YEAR(G1899),INPC!$B$4:$P$30,MONTH(G1899)+2))</f>
        <v>0</v>
      </c>
      <c r="Q1899" s="560">
        <f>IF(X1899=0,0,IF(OR(E1899=$AT$10,E1899=$AT$9),VLOOKUP(YEAR(X1899),INPC!$B$4:$P$30,MONTH(X1899)+1),VLOOKUP(YEAR(X1899),INPC!$B$4:$P$30,MONTH(X1899)+2,0)))</f>
        <v>0</v>
      </c>
      <c r="R1899" s="309">
        <f t="shared" si="498"/>
        <v>0</v>
      </c>
      <c r="S1899" s="310">
        <f t="shared" si="499"/>
        <v>0</v>
      </c>
      <c r="T1899" s="555">
        <f t="shared" si="500"/>
        <v>0</v>
      </c>
      <c r="U1899" s="311"/>
      <c r="V1899" s="312"/>
      <c r="W1899" s="299"/>
      <c r="X1899" s="300"/>
      <c r="Y1899" s="299"/>
      <c r="Z1899" s="303"/>
      <c r="AA1899" s="305">
        <f>IF(Z1899=0,0,IF(Y1899="MXN",1/HLOOKUP(YEAR(X1899)+(MONTH(X1899)/100),TC!$5:$37,DAY(X1899)+2,FALSE),VLOOKUP(Y1899,Equivalencia!$1:$23,((MAX(Equivalencia!$3:$3)-YEAR(X1899))*14)+MONTH(X1899)+2,FALSE)))</f>
        <v>0</v>
      </c>
      <c r="AB1899" s="306">
        <f t="shared" si="501"/>
        <v>0</v>
      </c>
      <c r="AC1899" s="305">
        <f>+IF(X1899=0,0,HLOOKUP(YEAR(X1899)+(MONTH(X1899)/100),TC!$5:$37,DAY(X1899)+2,FALSE))</f>
        <v>0</v>
      </c>
      <c r="AD1899" s="307">
        <f t="shared" si="502"/>
        <v>0</v>
      </c>
      <c r="AE1899" s="314">
        <f t="shared" si="503"/>
        <v>0</v>
      </c>
      <c r="AF1899" s="315">
        <f t="shared" si="504"/>
        <v>0</v>
      </c>
      <c r="AG1899" s="316">
        <f t="shared" si="505"/>
        <v>0</v>
      </c>
      <c r="AH1899" s="314">
        <v>1</v>
      </c>
      <c r="AI1899" s="314">
        <f t="shared" si="506"/>
        <v>0</v>
      </c>
      <c r="AJ1899" s="314">
        <f t="shared" si="507"/>
        <v>0</v>
      </c>
      <c r="AK1899" s="317"/>
      <c r="AL1899" s="315">
        <f t="shared" si="508"/>
        <v>0</v>
      </c>
      <c r="AN1899" s="554">
        <f t="shared" si="509"/>
        <v>0</v>
      </c>
      <c r="AO1899" s="314"/>
      <c r="AP1899" s="318"/>
    </row>
    <row r="1900" spans="2:42">
      <c r="B1900" s="296"/>
      <c r="C1900" s="299"/>
      <c r="D1900" s="298"/>
      <c r="E1900" s="299"/>
      <c r="F1900" s="299"/>
      <c r="G1900" s="300"/>
      <c r="H1900" s="303"/>
      <c r="I1900" s="301">
        <f t="shared" si="493"/>
        <v>0</v>
      </c>
      <c r="J1900" s="302">
        <f t="shared" si="494"/>
        <v>0</v>
      </c>
      <c r="K1900" s="304">
        <f t="shared" si="495"/>
        <v>0</v>
      </c>
      <c r="L1900" s="305">
        <f>IF(H1900=0,0,IF(OR(E1900=$AT$5,E1900=$AT$6),AA1900,IF(F1900="MXN",1/HLOOKUP(YEAR(G1900)+(MONTH(G1900)/100),TC!$5:$37,DAY(G1900)+2,FALSE),VLOOKUP(F1900,Equivalencia!$5:$23,((MAX(Equivalencia!$3:$3)-YEAR(G1900))*14)+MONTH(G1900)+2,FALSE))))</f>
        <v>0</v>
      </c>
      <c r="M1900" s="306">
        <f t="shared" si="496"/>
        <v>0</v>
      </c>
      <c r="N1900" s="305">
        <f>IF(G1900=0,0,(IF(OR(E1900=$AT$5,E1900=$AT$6),AC1900,HLOOKUP(YEAR(G1900)+(MONTH(G1900)/100),TC!$5:$37,DAY(G1900)+2,FALSE))))</f>
        <v>0</v>
      </c>
      <c r="O1900" s="307">
        <f t="shared" si="497"/>
        <v>0</v>
      </c>
      <c r="P1900" s="560">
        <f>IF(G1900=0,0,VLOOKUP(YEAR(G1900),INPC!$B$4:$P$30,MONTH(G1900)+2))</f>
        <v>0</v>
      </c>
      <c r="Q1900" s="560">
        <f>IF(X1900=0,0,IF(OR(E1900=$AT$10,E1900=$AT$9),VLOOKUP(YEAR(X1900),INPC!$B$4:$P$30,MONTH(X1900)+1),VLOOKUP(YEAR(X1900),INPC!$B$4:$P$30,MONTH(X1900)+2,0)))</f>
        <v>0</v>
      </c>
      <c r="R1900" s="309">
        <f t="shared" si="498"/>
        <v>0</v>
      </c>
      <c r="S1900" s="310">
        <f t="shared" si="499"/>
        <v>0</v>
      </c>
      <c r="T1900" s="555">
        <f t="shared" si="500"/>
        <v>0</v>
      </c>
      <c r="U1900" s="311"/>
      <c r="V1900" s="312"/>
      <c r="W1900" s="299"/>
      <c r="X1900" s="300"/>
      <c r="Y1900" s="299"/>
      <c r="Z1900" s="303"/>
      <c r="AA1900" s="305">
        <f>IF(Z1900=0,0,IF(Y1900="MXN",1/HLOOKUP(YEAR(X1900)+(MONTH(X1900)/100),TC!$5:$37,DAY(X1900)+2,FALSE),VLOOKUP(Y1900,Equivalencia!$1:$23,((MAX(Equivalencia!$3:$3)-YEAR(X1900))*14)+MONTH(X1900)+2,FALSE)))</f>
        <v>0</v>
      </c>
      <c r="AB1900" s="306">
        <f t="shared" si="501"/>
        <v>0</v>
      </c>
      <c r="AC1900" s="305">
        <f>+IF(X1900=0,0,HLOOKUP(YEAR(X1900)+(MONTH(X1900)/100),TC!$5:$37,DAY(X1900)+2,FALSE))</f>
        <v>0</v>
      </c>
      <c r="AD1900" s="307">
        <f t="shared" si="502"/>
        <v>0</v>
      </c>
      <c r="AE1900" s="314">
        <f t="shared" si="503"/>
        <v>0</v>
      </c>
      <c r="AF1900" s="315">
        <f t="shared" si="504"/>
        <v>0</v>
      </c>
      <c r="AG1900" s="316">
        <f t="shared" si="505"/>
        <v>0</v>
      </c>
      <c r="AH1900" s="314">
        <v>1</v>
      </c>
      <c r="AI1900" s="314">
        <f t="shared" si="506"/>
        <v>0</v>
      </c>
      <c r="AJ1900" s="314">
        <f t="shared" si="507"/>
        <v>0</v>
      </c>
      <c r="AK1900" s="317"/>
      <c r="AL1900" s="315">
        <f t="shared" si="508"/>
        <v>0</v>
      </c>
      <c r="AN1900" s="554">
        <f t="shared" si="509"/>
        <v>0</v>
      </c>
      <c r="AO1900" s="314"/>
      <c r="AP1900" s="318"/>
    </row>
    <row r="1901" spans="2:42">
      <c r="B1901" s="296"/>
      <c r="C1901" s="299"/>
      <c r="D1901" s="298"/>
      <c r="E1901" s="299"/>
      <c r="F1901" s="299"/>
      <c r="G1901" s="300"/>
      <c r="H1901" s="303"/>
      <c r="I1901" s="301">
        <f t="shared" si="493"/>
        <v>0</v>
      </c>
      <c r="J1901" s="302">
        <f t="shared" si="494"/>
        <v>0</v>
      </c>
      <c r="K1901" s="304">
        <f t="shared" si="495"/>
        <v>0</v>
      </c>
      <c r="L1901" s="305">
        <f>IF(H1901=0,0,IF(OR(E1901=$AT$5,E1901=$AT$6),AA1901,IF(F1901="MXN",1/HLOOKUP(YEAR(G1901)+(MONTH(G1901)/100),TC!$5:$37,DAY(G1901)+2,FALSE),VLOOKUP(F1901,Equivalencia!$5:$23,((MAX(Equivalencia!$3:$3)-YEAR(G1901))*14)+MONTH(G1901)+2,FALSE))))</f>
        <v>0</v>
      </c>
      <c r="M1901" s="306">
        <f t="shared" si="496"/>
        <v>0</v>
      </c>
      <c r="N1901" s="305">
        <f>IF(G1901=0,0,(IF(OR(E1901=$AT$5,E1901=$AT$6),AC1901,HLOOKUP(YEAR(G1901)+(MONTH(G1901)/100),TC!$5:$37,DAY(G1901)+2,FALSE))))</f>
        <v>0</v>
      </c>
      <c r="O1901" s="307">
        <f t="shared" si="497"/>
        <v>0</v>
      </c>
      <c r="P1901" s="560">
        <f>IF(G1901=0,0,VLOOKUP(YEAR(G1901),INPC!$B$4:$P$30,MONTH(G1901)+2))</f>
        <v>0</v>
      </c>
      <c r="Q1901" s="560">
        <f>IF(X1901=0,0,IF(OR(E1901=$AT$10,E1901=$AT$9),VLOOKUP(YEAR(X1901),INPC!$B$4:$P$30,MONTH(X1901)+1),VLOOKUP(YEAR(X1901),INPC!$B$4:$P$30,MONTH(X1901)+2,0)))</f>
        <v>0</v>
      </c>
      <c r="R1901" s="309">
        <f t="shared" si="498"/>
        <v>0</v>
      </c>
      <c r="S1901" s="310">
        <f t="shared" si="499"/>
        <v>0</v>
      </c>
      <c r="T1901" s="555">
        <f t="shared" si="500"/>
        <v>0</v>
      </c>
      <c r="U1901" s="311"/>
      <c r="V1901" s="312"/>
      <c r="W1901" s="299"/>
      <c r="X1901" s="300"/>
      <c r="Y1901" s="299"/>
      <c r="Z1901" s="303"/>
      <c r="AA1901" s="305">
        <f>IF(Z1901=0,0,IF(Y1901="MXN",1/HLOOKUP(YEAR(X1901)+(MONTH(X1901)/100),TC!$5:$37,DAY(X1901)+2,FALSE),VLOOKUP(Y1901,Equivalencia!$1:$23,((MAX(Equivalencia!$3:$3)-YEAR(X1901))*14)+MONTH(X1901)+2,FALSE)))</f>
        <v>0</v>
      </c>
      <c r="AB1901" s="306">
        <f t="shared" si="501"/>
        <v>0</v>
      </c>
      <c r="AC1901" s="305">
        <f>+IF(X1901=0,0,HLOOKUP(YEAR(X1901)+(MONTH(X1901)/100),TC!$5:$37,DAY(X1901)+2,FALSE))</f>
        <v>0</v>
      </c>
      <c r="AD1901" s="307">
        <f t="shared" si="502"/>
        <v>0</v>
      </c>
      <c r="AE1901" s="314">
        <f t="shared" si="503"/>
        <v>0</v>
      </c>
      <c r="AF1901" s="315">
        <f t="shared" si="504"/>
        <v>0</v>
      </c>
      <c r="AG1901" s="316">
        <f t="shared" si="505"/>
        <v>0</v>
      </c>
      <c r="AH1901" s="314">
        <v>1</v>
      </c>
      <c r="AI1901" s="314">
        <f t="shared" si="506"/>
        <v>0</v>
      </c>
      <c r="AJ1901" s="314">
        <f t="shared" si="507"/>
        <v>0</v>
      </c>
      <c r="AK1901" s="317"/>
      <c r="AL1901" s="315">
        <f t="shared" si="508"/>
        <v>0</v>
      </c>
      <c r="AN1901" s="554">
        <f t="shared" si="509"/>
        <v>0</v>
      </c>
      <c r="AO1901" s="314"/>
      <c r="AP1901" s="318"/>
    </row>
    <row r="1902" spans="2:42">
      <c r="B1902" s="296"/>
      <c r="C1902" s="299"/>
      <c r="D1902" s="298"/>
      <c r="E1902" s="299"/>
      <c r="F1902" s="299"/>
      <c r="G1902" s="300"/>
      <c r="H1902" s="303"/>
      <c r="I1902" s="301">
        <f t="shared" si="493"/>
        <v>0</v>
      </c>
      <c r="J1902" s="302">
        <f t="shared" si="494"/>
        <v>0</v>
      </c>
      <c r="K1902" s="304">
        <f t="shared" si="495"/>
        <v>0</v>
      </c>
      <c r="L1902" s="305">
        <f>IF(H1902=0,0,IF(OR(E1902=$AT$5,E1902=$AT$6),AA1902,IF(F1902="MXN",1/HLOOKUP(YEAR(G1902)+(MONTH(G1902)/100),TC!$5:$37,DAY(G1902)+2,FALSE),VLOOKUP(F1902,Equivalencia!$5:$23,((MAX(Equivalencia!$3:$3)-YEAR(G1902))*14)+MONTH(G1902)+2,FALSE))))</f>
        <v>0</v>
      </c>
      <c r="M1902" s="306">
        <f t="shared" si="496"/>
        <v>0</v>
      </c>
      <c r="N1902" s="305">
        <f>IF(G1902=0,0,(IF(OR(E1902=$AT$5,E1902=$AT$6),AC1902,HLOOKUP(YEAR(G1902)+(MONTH(G1902)/100),TC!$5:$37,DAY(G1902)+2,FALSE))))</f>
        <v>0</v>
      </c>
      <c r="O1902" s="307">
        <f t="shared" si="497"/>
        <v>0</v>
      </c>
      <c r="P1902" s="560">
        <f>IF(G1902=0,0,VLOOKUP(YEAR(G1902),INPC!$B$4:$P$30,MONTH(G1902)+2))</f>
        <v>0</v>
      </c>
      <c r="Q1902" s="560">
        <f>IF(X1902=0,0,IF(OR(E1902=$AT$10,E1902=$AT$9),VLOOKUP(YEAR(X1902),INPC!$B$4:$P$30,MONTH(X1902)+1),VLOOKUP(YEAR(X1902),INPC!$B$4:$P$30,MONTH(X1902)+2,0)))</f>
        <v>0</v>
      </c>
      <c r="R1902" s="309">
        <f t="shared" si="498"/>
        <v>0</v>
      </c>
      <c r="S1902" s="310">
        <f t="shared" si="499"/>
        <v>0</v>
      </c>
      <c r="T1902" s="555">
        <f t="shared" si="500"/>
        <v>0</v>
      </c>
      <c r="U1902" s="311"/>
      <c r="V1902" s="312"/>
      <c r="W1902" s="299"/>
      <c r="X1902" s="300"/>
      <c r="Y1902" s="299"/>
      <c r="Z1902" s="303"/>
      <c r="AA1902" s="305">
        <f>IF(Z1902=0,0,IF(Y1902="MXN",1/HLOOKUP(YEAR(X1902)+(MONTH(X1902)/100),TC!$5:$37,DAY(X1902)+2,FALSE),VLOOKUP(Y1902,Equivalencia!$1:$23,((MAX(Equivalencia!$3:$3)-YEAR(X1902))*14)+MONTH(X1902)+2,FALSE)))</f>
        <v>0</v>
      </c>
      <c r="AB1902" s="306">
        <f t="shared" si="501"/>
        <v>0</v>
      </c>
      <c r="AC1902" s="305">
        <f>+IF(X1902=0,0,HLOOKUP(YEAR(X1902)+(MONTH(X1902)/100),TC!$5:$37,DAY(X1902)+2,FALSE))</f>
        <v>0</v>
      </c>
      <c r="AD1902" s="307">
        <f t="shared" si="502"/>
        <v>0</v>
      </c>
      <c r="AE1902" s="314">
        <f t="shared" si="503"/>
        <v>0</v>
      </c>
      <c r="AF1902" s="315">
        <f t="shared" si="504"/>
        <v>0</v>
      </c>
      <c r="AG1902" s="316">
        <f t="shared" si="505"/>
        <v>0</v>
      </c>
      <c r="AH1902" s="314">
        <v>1</v>
      </c>
      <c r="AI1902" s="314">
        <f t="shared" si="506"/>
        <v>0</v>
      </c>
      <c r="AJ1902" s="314">
        <f t="shared" si="507"/>
        <v>0</v>
      </c>
      <c r="AK1902" s="317"/>
      <c r="AL1902" s="315">
        <f t="shared" si="508"/>
        <v>0</v>
      </c>
      <c r="AN1902" s="554">
        <f t="shared" si="509"/>
        <v>0</v>
      </c>
      <c r="AO1902" s="314"/>
      <c r="AP1902" s="318"/>
    </row>
    <row r="1903" spans="2:42">
      <c r="B1903" s="296"/>
      <c r="C1903" s="299"/>
      <c r="D1903" s="298"/>
      <c r="E1903" s="299"/>
      <c r="F1903" s="299"/>
      <c r="G1903" s="300"/>
      <c r="H1903" s="303"/>
      <c r="I1903" s="301">
        <f t="shared" si="493"/>
        <v>0</v>
      </c>
      <c r="J1903" s="302">
        <f t="shared" si="494"/>
        <v>0</v>
      </c>
      <c r="K1903" s="304">
        <f t="shared" si="495"/>
        <v>0</v>
      </c>
      <c r="L1903" s="305">
        <f>IF(H1903=0,0,IF(OR(E1903=$AT$5,E1903=$AT$6),AA1903,IF(F1903="MXN",1/HLOOKUP(YEAR(G1903)+(MONTH(G1903)/100),TC!$5:$37,DAY(G1903)+2,FALSE),VLOOKUP(F1903,Equivalencia!$5:$23,((MAX(Equivalencia!$3:$3)-YEAR(G1903))*14)+MONTH(G1903)+2,FALSE))))</f>
        <v>0</v>
      </c>
      <c r="M1903" s="306">
        <f t="shared" si="496"/>
        <v>0</v>
      </c>
      <c r="N1903" s="305">
        <f>IF(G1903=0,0,(IF(OR(E1903=$AT$5,E1903=$AT$6),AC1903,HLOOKUP(YEAR(G1903)+(MONTH(G1903)/100),TC!$5:$37,DAY(G1903)+2,FALSE))))</f>
        <v>0</v>
      </c>
      <c r="O1903" s="307">
        <f t="shared" si="497"/>
        <v>0</v>
      </c>
      <c r="P1903" s="560">
        <f>IF(G1903=0,0,VLOOKUP(YEAR(G1903),INPC!$B$4:$P$30,MONTH(G1903)+2))</f>
        <v>0</v>
      </c>
      <c r="Q1903" s="560">
        <f>IF(X1903=0,0,IF(OR(E1903=$AT$10,E1903=$AT$9),VLOOKUP(YEAR(X1903),INPC!$B$4:$P$30,MONTH(X1903)+1),VLOOKUP(YEAR(X1903),INPC!$B$4:$P$30,MONTH(X1903)+2,0)))</f>
        <v>0</v>
      </c>
      <c r="R1903" s="309">
        <f t="shared" si="498"/>
        <v>0</v>
      </c>
      <c r="S1903" s="310">
        <f t="shared" si="499"/>
        <v>0</v>
      </c>
      <c r="T1903" s="555">
        <f t="shared" si="500"/>
        <v>0</v>
      </c>
      <c r="U1903" s="311"/>
      <c r="V1903" s="312"/>
      <c r="W1903" s="299"/>
      <c r="X1903" s="300"/>
      <c r="Y1903" s="299"/>
      <c r="Z1903" s="303"/>
      <c r="AA1903" s="305">
        <f>IF(Z1903=0,0,IF(Y1903="MXN",1/HLOOKUP(YEAR(X1903)+(MONTH(X1903)/100),TC!$5:$37,DAY(X1903)+2,FALSE),VLOOKUP(Y1903,Equivalencia!$1:$23,((MAX(Equivalencia!$3:$3)-YEAR(X1903))*14)+MONTH(X1903)+2,FALSE)))</f>
        <v>0</v>
      </c>
      <c r="AB1903" s="306">
        <f t="shared" si="501"/>
        <v>0</v>
      </c>
      <c r="AC1903" s="305">
        <f>+IF(X1903=0,0,HLOOKUP(YEAR(X1903)+(MONTH(X1903)/100),TC!$5:$37,DAY(X1903)+2,FALSE))</f>
        <v>0</v>
      </c>
      <c r="AD1903" s="307">
        <f t="shared" si="502"/>
        <v>0</v>
      </c>
      <c r="AE1903" s="314">
        <f t="shared" si="503"/>
        <v>0</v>
      </c>
      <c r="AF1903" s="315">
        <f t="shared" si="504"/>
        <v>0</v>
      </c>
      <c r="AG1903" s="316">
        <f t="shared" si="505"/>
        <v>0</v>
      </c>
      <c r="AH1903" s="314">
        <v>1</v>
      </c>
      <c r="AI1903" s="314">
        <f t="shared" si="506"/>
        <v>0</v>
      </c>
      <c r="AJ1903" s="314">
        <f t="shared" si="507"/>
        <v>0</v>
      </c>
      <c r="AK1903" s="317"/>
      <c r="AL1903" s="315">
        <f t="shared" si="508"/>
        <v>0</v>
      </c>
      <c r="AN1903" s="554">
        <f t="shared" si="509"/>
        <v>0</v>
      </c>
      <c r="AO1903" s="314"/>
      <c r="AP1903" s="318"/>
    </row>
    <row r="1904" spans="2:42">
      <c r="B1904" s="296"/>
      <c r="C1904" s="299"/>
      <c r="D1904" s="298"/>
      <c r="E1904" s="299"/>
      <c r="F1904" s="299"/>
      <c r="G1904" s="300"/>
      <c r="H1904" s="303"/>
      <c r="I1904" s="301">
        <f t="shared" si="493"/>
        <v>0</v>
      </c>
      <c r="J1904" s="302">
        <f t="shared" si="494"/>
        <v>0</v>
      </c>
      <c r="K1904" s="304">
        <f t="shared" si="495"/>
        <v>0</v>
      </c>
      <c r="L1904" s="305">
        <f>IF(H1904=0,0,IF(OR(E1904=$AT$5,E1904=$AT$6),AA1904,IF(F1904="MXN",1/HLOOKUP(YEAR(G1904)+(MONTH(G1904)/100),TC!$5:$37,DAY(G1904)+2,FALSE),VLOOKUP(F1904,Equivalencia!$5:$23,((MAX(Equivalencia!$3:$3)-YEAR(G1904))*14)+MONTH(G1904)+2,FALSE))))</f>
        <v>0</v>
      </c>
      <c r="M1904" s="306">
        <f t="shared" si="496"/>
        <v>0</v>
      </c>
      <c r="N1904" s="305">
        <f>IF(G1904=0,0,(IF(OR(E1904=$AT$5,E1904=$AT$6),AC1904,HLOOKUP(YEAR(G1904)+(MONTH(G1904)/100),TC!$5:$37,DAY(G1904)+2,FALSE))))</f>
        <v>0</v>
      </c>
      <c r="O1904" s="307">
        <f t="shared" si="497"/>
        <v>0</v>
      </c>
      <c r="P1904" s="560">
        <f>IF(G1904=0,0,VLOOKUP(YEAR(G1904),INPC!$B$4:$P$30,MONTH(G1904)+2))</f>
        <v>0</v>
      </c>
      <c r="Q1904" s="560">
        <f>IF(X1904=0,0,IF(OR(E1904=$AT$10,E1904=$AT$9),VLOOKUP(YEAR(X1904),INPC!$B$4:$P$30,MONTH(X1904)+1),VLOOKUP(YEAR(X1904),INPC!$B$4:$P$30,MONTH(X1904)+2,0)))</f>
        <v>0</v>
      </c>
      <c r="R1904" s="309">
        <f t="shared" si="498"/>
        <v>0</v>
      </c>
      <c r="S1904" s="310">
        <f t="shared" si="499"/>
        <v>0</v>
      </c>
      <c r="T1904" s="555">
        <f t="shared" si="500"/>
        <v>0</v>
      </c>
      <c r="U1904" s="311"/>
      <c r="V1904" s="312"/>
      <c r="W1904" s="299"/>
      <c r="X1904" s="300"/>
      <c r="Y1904" s="299"/>
      <c r="Z1904" s="303"/>
      <c r="AA1904" s="305">
        <f>IF(Z1904=0,0,IF(Y1904="MXN",1/HLOOKUP(YEAR(X1904)+(MONTH(X1904)/100),TC!$5:$37,DAY(X1904)+2,FALSE),VLOOKUP(Y1904,Equivalencia!$1:$23,((MAX(Equivalencia!$3:$3)-YEAR(X1904))*14)+MONTH(X1904)+2,FALSE)))</f>
        <v>0</v>
      </c>
      <c r="AB1904" s="306">
        <f t="shared" si="501"/>
        <v>0</v>
      </c>
      <c r="AC1904" s="305">
        <f>+IF(X1904=0,0,HLOOKUP(YEAR(X1904)+(MONTH(X1904)/100),TC!$5:$37,DAY(X1904)+2,FALSE))</f>
        <v>0</v>
      </c>
      <c r="AD1904" s="307">
        <f t="shared" si="502"/>
        <v>0</v>
      </c>
      <c r="AE1904" s="314">
        <f t="shared" si="503"/>
        <v>0</v>
      </c>
      <c r="AF1904" s="315">
        <f t="shared" si="504"/>
        <v>0</v>
      </c>
      <c r="AG1904" s="316">
        <f t="shared" si="505"/>
        <v>0</v>
      </c>
      <c r="AH1904" s="314">
        <v>1</v>
      </c>
      <c r="AI1904" s="314">
        <f t="shared" si="506"/>
        <v>0</v>
      </c>
      <c r="AJ1904" s="314">
        <f t="shared" si="507"/>
        <v>0</v>
      </c>
      <c r="AK1904" s="317"/>
      <c r="AL1904" s="315">
        <f t="shared" si="508"/>
        <v>0</v>
      </c>
      <c r="AN1904" s="554">
        <f t="shared" si="509"/>
        <v>0</v>
      </c>
      <c r="AO1904" s="314"/>
      <c r="AP1904" s="318"/>
    </row>
    <row r="1905" spans="2:42">
      <c r="B1905" s="296"/>
      <c r="C1905" s="299"/>
      <c r="D1905" s="298"/>
      <c r="E1905" s="299"/>
      <c r="F1905" s="299"/>
      <c r="G1905" s="300"/>
      <c r="H1905" s="303"/>
      <c r="I1905" s="301">
        <f t="shared" si="493"/>
        <v>0</v>
      </c>
      <c r="J1905" s="302">
        <f t="shared" si="494"/>
        <v>0</v>
      </c>
      <c r="K1905" s="304">
        <f t="shared" si="495"/>
        <v>0</v>
      </c>
      <c r="L1905" s="305">
        <f>IF(H1905=0,0,IF(OR(E1905=$AT$5,E1905=$AT$6),AA1905,IF(F1905="MXN",1/HLOOKUP(YEAR(G1905)+(MONTH(G1905)/100),TC!$5:$37,DAY(G1905)+2,FALSE),VLOOKUP(F1905,Equivalencia!$5:$23,((MAX(Equivalencia!$3:$3)-YEAR(G1905))*14)+MONTH(G1905)+2,FALSE))))</f>
        <v>0</v>
      </c>
      <c r="M1905" s="306">
        <f t="shared" si="496"/>
        <v>0</v>
      </c>
      <c r="N1905" s="305">
        <f>IF(G1905=0,0,(IF(OR(E1905=$AT$5,E1905=$AT$6),AC1905,HLOOKUP(YEAR(G1905)+(MONTH(G1905)/100),TC!$5:$37,DAY(G1905)+2,FALSE))))</f>
        <v>0</v>
      </c>
      <c r="O1905" s="307">
        <f t="shared" si="497"/>
        <v>0</v>
      </c>
      <c r="P1905" s="560">
        <f>IF(G1905=0,0,VLOOKUP(YEAR(G1905),INPC!$B$4:$P$30,MONTH(G1905)+2))</f>
        <v>0</v>
      </c>
      <c r="Q1905" s="560">
        <f>IF(X1905=0,0,IF(OR(E1905=$AT$10,E1905=$AT$9),VLOOKUP(YEAR(X1905),INPC!$B$4:$P$30,MONTH(X1905)+1),VLOOKUP(YEAR(X1905),INPC!$B$4:$P$30,MONTH(X1905)+2,0)))</f>
        <v>0</v>
      </c>
      <c r="R1905" s="309">
        <f t="shared" si="498"/>
        <v>0</v>
      </c>
      <c r="S1905" s="310">
        <f t="shared" si="499"/>
        <v>0</v>
      </c>
      <c r="T1905" s="555">
        <f t="shared" si="500"/>
        <v>0</v>
      </c>
      <c r="U1905" s="311"/>
      <c r="V1905" s="312"/>
      <c r="W1905" s="299"/>
      <c r="X1905" s="300"/>
      <c r="Y1905" s="299"/>
      <c r="Z1905" s="303"/>
      <c r="AA1905" s="305">
        <f>IF(Z1905=0,0,IF(Y1905="MXN",1/HLOOKUP(YEAR(X1905)+(MONTH(X1905)/100),TC!$5:$37,DAY(X1905)+2,FALSE),VLOOKUP(Y1905,Equivalencia!$1:$23,((MAX(Equivalencia!$3:$3)-YEAR(X1905))*14)+MONTH(X1905)+2,FALSE)))</f>
        <v>0</v>
      </c>
      <c r="AB1905" s="306">
        <f t="shared" si="501"/>
        <v>0</v>
      </c>
      <c r="AC1905" s="305">
        <f>+IF(X1905=0,0,HLOOKUP(YEAR(X1905)+(MONTH(X1905)/100),TC!$5:$37,DAY(X1905)+2,FALSE))</f>
        <v>0</v>
      </c>
      <c r="AD1905" s="307">
        <f t="shared" si="502"/>
        <v>0</v>
      </c>
      <c r="AE1905" s="314">
        <f t="shared" si="503"/>
        <v>0</v>
      </c>
      <c r="AF1905" s="315">
        <f t="shared" si="504"/>
        <v>0</v>
      </c>
      <c r="AG1905" s="316">
        <f t="shared" si="505"/>
        <v>0</v>
      </c>
      <c r="AH1905" s="314">
        <v>1</v>
      </c>
      <c r="AI1905" s="314">
        <f t="shared" si="506"/>
        <v>0</v>
      </c>
      <c r="AJ1905" s="314">
        <f t="shared" si="507"/>
        <v>0</v>
      </c>
      <c r="AK1905" s="317"/>
      <c r="AL1905" s="315">
        <f t="shared" si="508"/>
        <v>0</v>
      </c>
      <c r="AN1905" s="554">
        <f t="shared" si="509"/>
        <v>0</v>
      </c>
      <c r="AO1905" s="314"/>
      <c r="AP1905" s="318"/>
    </row>
    <row r="1906" spans="2:42">
      <c r="B1906" s="296"/>
      <c r="C1906" s="299"/>
      <c r="D1906" s="298"/>
      <c r="E1906" s="299"/>
      <c r="F1906" s="299"/>
      <c r="G1906" s="300"/>
      <c r="H1906" s="303"/>
      <c r="I1906" s="301">
        <f t="shared" si="493"/>
        <v>0</v>
      </c>
      <c r="J1906" s="302">
        <f t="shared" si="494"/>
        <v>0</v>
      </c>
      <c r="K1906" s="304">
        <f t="shared" si="495"/>
        <v>0</v>
      </c>
      <c r="L1906" s="305">
        <f>IF(H1906=0,0,IF(OR(E1906=$AT$5,E1906=$AT$6),AA1906,IF(F1906="MXN",1/HLOOKUP(YEAR(G1906)+(MONTH(G1906)/100),TC!$5:$37,DAY(G1906)+2,FALSE),VLOOKUP(F1906,Equivalencia!$5:$23,((MAX(Equivalencia!$3:$3)-YEAR(G1906))*14)+MONTH(G1906)+2,FALSE))))</f>
        <v>0</v>
      </c>
      <c r="M1906" s="306">
        <f t="shared" si="496"/>
        <v>0</v>
      </c>
      <c r="N1906" s="305">
        <f>IF(G1906=0,0,(IF(OR(E1906=$AT$5,E1906=$AT$6),AC1906,HLOOKUP(YEAR(G1906)+(MONTH(G1906)/100),TC!$5:$37,DAY(G1906)+2,FALSE))))</f>
        <v>0</v>
      </c>
      <c r="O1906" s="307">
        <f t="shared" si="497"/>
        <v>0</v>
      </c>
      <c r="P1906" s="560">
        <f>IF(G1906=0,0,VLOOKUP(YEAR(G1906),INPC!$B$4:$P$30,MONTH(G1906)+2))</f>
        <v>0</v>
      </c>
      <c r="Q1906" s="560">
        <f>IF(X1906=0,0,IF(OR(E1906=$AT$10,E1906=$AT$9),VLOOKUP(YEAR(X1906),INPC!$B$4:$P$30,MONTH(X1906)+1),VLOOKUP(YEAR(X1906),INPC!$B$4:$P$30,MONTH(X1906)+2,0)))</f>
        <v>0</v>
      </c>
      <c r="R1906" s="309">
        <f t="shared" si="498"/>
        <v>0</v>
      </c>
      <c r="S1906" s="310">
        <f t="shared" si="499"/>
        <v>0</v>
      </c>
      <c r="T1906" s="555">
        <f t="shared" si="500"/>
        <v>0</v>
      </c>
      <c r="U1906" s="311"/>
      <c r="V1906" s="312"/>
      <c r="W1906" s="299"/>
      <c r="X1906" s="300"/>
      <c r="Y1906" s="299"/>
      <c r="Z1906" s="303"/>
      <c r="AA1906" s="305">
        <f>IF(Z1906=0,0,IF(Y1906="MXN",1/HLOOKUP(YEAR(X1906)+(MONTH(X1906)/100),TC!$5:$37,DAY(X1906)+2,FALSE),VLOOKUP(Y1906,Equivalencia!$1:$23,((MAX(Equivalencia!$3:$3)-YEAR(X1906))*14)+MONTH(X1906)+2,FALSE)))</f>
        <v>0</v>
      </c>
      <c r="AB1906" s="306">
        <f t="shared" si="501"/>
        <v>0</v>
      </c>
      <c r="AC1906" s="305">
        <f>+IF(X1906=0,0,HLOOKUP(YEAR(X1906)+(MONTH(X1906)/100),TC!$5:$37,DAY(X1906)+2,FALSE))</f>
        <v>0</v>
      </c>
      <c r="AD1906" s="307">
        <f t="shared" si="502"/>
        <v>0</v>
      </c>
      <c r="AE1906" s="314">
        <f t="shared" si="503"/>
        <v>0</v>
      </c>
      <c r="AF1906" s="315">
        <f t="shared" si="504"/>
        <v>0</v>
      </c>
      <c r="AG1906" s="316">
        <f t="shared" si="505"/>
        <v>0</v>
      </c>
      <c r="AH1906" s="314">
        <v>1</v>
      </c>
      <c r="AI1906" s="314">
        <f t="shared" si="506"/>
        <v>0</v>
      </c>
      <c r="AJ1906" s="314">
        <f t="shared" si="507"/>
        <v>0</v>
      </c>
      <c r="AK1906" s="317"/>
      <c r="AL1906" s="315">
        <f t="shared" si="508"/>
        <v>0</v>
      </c>
      <c r="AN1906" s="554">
        <f t="shared" si="509"/>
        <v>0</v>
      </c>
      <c r="AO1906" s="314"/>
      <c r="AP1906" s="318"/>
    </row>
    <row r="1907" spans="2:42">
      <c r="B1907" s="296"/>
      <c r="C1907" s="299"/>
      <c r="D1907" s="298"/>
      <c r="E1907" s="299"/>
      <c r="F1907" s="299"/>
      <c r="G1907" s="300"/>
      <c r="H1907" s="303"/>
      <c r="I1907" s="301">
        <f t="shared" si="493"/>
        <v>0</v>
      </c>
      <c r="J1907" s="302">
        <f t="shared" si="494"/>
        <v>0</v>
      </c>
      <c r="K1907" s="304">
        <f t="shared" si="495"/>
        <v>0</v>
      </c>
      <c r="L1907" s="305">
        <f>IF(H1907=0,0,IF(OR(E1907=$AT$5,E1907=$AT$6),AA1907,IF(F1907="MXN",1/HLOOKUP(YEAR(G1907)+(MONTH(G1907)/100),TC!$5:$37,DAY(G1907)+2,FALSE),VLOOKUP(F1907,Equivalencia!$5:$23,((MAX(Equivalencia!$3:$3)-YEAR(G1907))*14)+MONTH(G1907)+2,FALSE))))</f>
        <v>0</v>
      </c>
      <c r="M1907" s="306">
        <f t="shared" si="496"/>
        <v>0</v>
      </c>
      <c r="N1907" s="305">
        <f>IF(G1907=0,0,(IF(OR(E1907=$AT$5,E1907=$AT$6),AC1907,HLOOKUP(YEAR(G1907)+(MONTH(G1907)/100),TC!$5:$37,DAY(G1907)+2,FALSE))))</f>
        <v>0</v>
      </c>
      <c r="O1907" s="307">
        <f t="shared" si="497"/>
        <v>0</v>
      </c>
      <c r="P1907" s="560">
        <f>IF(G1907=0,0,VLOOKUP(YEAR(G1907),INPC!$B$4:$P$30,MONTH(G1907)+2))</f>
        <v>0</v>
      </c>
      <c r="Q1907" s="560">
        <f>IF(X1907=0,0,IF(OR(E1907=$AT$10,E1907=$AT$9),VLOOKUP(YEAR(X1907),INPC!$B$4:$P$30,MONTH(X1907)+1),VLOOKUP(YEAR(X1907),INPC!$B$4:$P$30,MONTH(X1907)+2,0)))</f>
        <v>0</v>
      </c>
      <c r="R1907" s="309">
        <f t="shared" si="498"/>
        <v>0</v>
      </c>
      <c r="S1907" s="310">
        <f t="shared" si="499"/>
        <v>0</v>
      </c>
      <c r="T1907" s="555">
        <f t="shared" si="500"/>
        <v>0</v>
      </c>
      <c r="U1907" s="311"/>
      <c r="V1907" s="312"/>
      <c r="W1907" s="299"/>
      <c r="X1907" s="300"/>
      <c r="Y1907" s="299"/>
      <c r="Z1907" s="303"/>
      <c r="AA1907" s="305">
        <f>IF(Z1907=0,0,IF(Y1907="MXN",1/HLOOKUP(YEAR(X1907)+(MONTH(X1907)/100),TC!$5:$37,DAY(X1907)+2,FALSE),VLOOKUP(Y1907,Equivalencia!$1:$23,((MAX(Equivalencia!$3:$3)-YEAR(X1907))*14)+MONTH(X1907)+2,FALSE)))</f>
        <v>0</v>
      </c>
      <c r="AB1907" s="306">
        <f t="shared" si="501"/>
        <v>0</v>
      </c>
      <c r="AC1907" s="305">
        <f>+IF(X1907=0,0,HLOOKUP(YEAR(X1907)+(MONTH(X1907)/100),TC!$5:$37,DAY(X1907)+2,FALSE))</f>
        <v>0</v>
      </c>
      <c r="AD1907" s="307">
        <f t="shared" si="502"/>
        <v>0</v>
      </c>
      <c r="AE1907" s="314">
        <f t="shared" si="503"/>
        <v>0</v>
      </c>
      <c r="AF1907" s="315">
        <f t="shared" si="504"/>
        <v>0</v>
      </c>
      <c r="AG1907" s="316">
        <f t="shared" si="505"/>
        <v>0</v>
      </c>
      <c r="AH1907" s="314">
        <v>1</v>
      </c>
      <c r="AI1907" s="314">
        <f t="shared" si="506"/>
        <v>0</v>
      </c>
      <c r="AJ1907" s="314">
        <f t="shared" si="507"/>
        <v>0</v>
      </c>
      <c r="AK1907" s="317"/>
      <c r="AL1907" s="315">
        <f t="shared" si="508"/>
        <v>0</v>
      </c>
      <c r="AN1907" s="554">
        <f t="shared" si="509"/>
        <v>0</v>
      </c>
      <c r="AO1907" s="314"/>
      <c r="AP1907" s="318"/>
    </row>
    <row r="1908" spans="2:42">
      <c r="B1908" s="296"/>
      <c r="C1908" s="299"/>
      <c r="D1908" s="298"/>
      <c r="E1908" s="299"/>
      <c r="F1908" s="299"/>
      <c r="G1908" s="300"/>
      <c r="H1908" s="303"/>
      <c r="I1908" s="301">
        <f t="shared" si="493"/>
        <v>0</v>
      </c>
      <c r="J1908" s="302">
        <f t="shared" si="494"/>
        <v>0</v>
      </c>
      <c r="K1908" s="304">
        <f t="shared" si="495"/>
        <v>0</v>
      </c>
      <c r="L1908" s="305">
        <f>IF(H1908=0,0,IF(OR(E1908=$AT$5,E1908=$AT$6),AA1908,IF(F1908="MXN",1/HLOOKUP(YEAR(G1908)+(MONTH(G1908)/100),TC!$5:$37,DAY(G1908)+2,FALSE),VLOOKUP(F1908,Equivalencia!$5:$23,((MAX(Equivalencia!$3:$3)-YEAR(G1908))*14)+MONTH(G1908)+2,FALSE))))</f>
        <v>0</v>
      </c>
      <c r="M1908" s="306">
        <f t="shared" si="496"/>
        <v>0</v>
      </c>
      <c r="N1908" s="305">
        <f>IF(G1908=0,0,(IF(OR(E1908=$AT$5,E1908=$AT$6),AC1908,HLOOKUP(YEAR(G1908)+(MONTH(G1908)/100),TC!$5:$37,DAY(G1908)+2,FALSE))))</f>
        <v>0</v>
      </c>
      <c r="O1908" s="307">
        <f t="shared" si="497"/>
        <v>0</v>
      </c>
      <c r="P1908" s="560">
        <f>IF(G1908=0,0,VLOOKUP(YEAR(G1908),INPC!$B$4:$P$30,MONTH(G1908)+2))</f>
        <v>0</v>
      </c>
      <c r="Q1908" s="560">
        <f>IF(X1908=0,0,IF(OR(E1908=$AT$10,E1908=$AT$9),VLOOKUP(YEAR(X1908),INPC!$B$4:$P$30,MONTH(X1908)+1),VLOOKUP(YEAR(X1908),INPC!$B$4:$P$30,MONTH(X1908)+2,0)))</f>
        <v>0</v>
      </c>
      <c r="R1908" s="309">
        <f t="shared" si="498"/>
        <v>0</v>
      </c>
      <c r="S1908" s="310">
        <f t="shared" si="499"/>
        <v>0</v>
      </c>
      <c r="T1908" s="555">
        <f t="shared" si="500"/>
        <v>0</v>
      </c>
      <c r="U1908" s="311"/>
      <c r="V1908" s="312"/>
      <c r="W1908" s="299"/>
      <c r="X1908" s="300"/>
      <c r="Y1908" s="299"/>
      <c r="Z1908" s="303"/>
      <c r="AA1908" s="305">
        <f>IF(Z1908=0,0,IF(Y1908="MXN",1/HLOOKUP(YEAR(X1908)+(MONTH(X1908)/100),TC!$5:$37,DAY(X1908)+2,FALSE),VLOOKUP(Y1908,Equivalencia!$1:$23,((MAX(Equivalencia!$3:$3)-YEAR(X1908))*14)+MONTH(X1908)+2,FALSE)))</f>
        <v>0</v>
      </c>
      <c r="AB1908" s="306">
        <f t="shared" si="501"/>
        <v>0</v>
      </c>
      <c r="AC1908" s="305">
        <f>+IF(X1908=0,0,HLOOKUP(YEAR(X1908)+(MONTH(X1908)/100),TC!$5:$37,DAY(X1908)+2,FALSE))</f>
        <v>0</v>
      </c>
      <c r="AD1908" s="307">
        <f t="shared" si="502"/>
        <v>0</v>
      </c>
      <c r="AE1908" s="314">
        <f t="shared" si="503"/>
        <v>0</v>
      </c>
      <c r="AF1908" s="315">
        <f t="shared" si="504"/>
        <v>0</v>
      </c>
      <c r="AG1908" s="316">
        <f t="shared" si="505"/>
        <v>0</v>
      </c>
      <c r="AH1908" s="314">
        <v>1</v>
      </c>
      <c r="AI1908" s="314">
        <f t="shared" si="506"/>
        <v>0</v>
      </c>
      <c r="AJ1908" s="314">
        <f t="shared" si="507"/>
        <v>0</v>
      </c>
      <c r="AK1908" s="317"/>
      <c r="AL1908" s="315">
        <f t="shared" si="508"/>
        <v>0</v>
      </c>
      <c r="AN1908" s="554">
        <f t="shared" si="509"/>
        <v>0</v>
      </c>
      <c r="AO1908" s="314"/>
      <c r="AP1908" s="318"/>
    </row>
    <row r="1909" spans="2:42">
      <c r="B1909" s="296"/>
      <c r="C1909" s="299"/>
      <c r="D1909" s="298"/>
      <c r="E1909" s="299"/>
      <c r="F1909" s="299"/>
      <c r="G1909" s="300"/>
      <c r="H1909" s="303"/>
      <c r="I1909" s="301">
        <f t="shared" si="493"/>
        <v>0</v>
      </c>
      <c r="J1909" s="302">
        <f t="shared" si="494"/>
        <v>0</v>
      </c>
      <c r="K1909" s="304">
        <f t="shared" si="495"/>
        <v>0</v>
      </c>
      <c r="L1909" s="305">
        <f>IF(H1909=0,0,IF(OR(E1909=$AT$5,E1909=$AT$6),AA1909,IF(F1909="MXN",1/HLOOKUP(YEAR(G1909)+(MONTH(G1909)/100),TC!$5:$37,DAY(G1909)+2,FALSE),VLOOKUP(F1909,Equivalencia!$5:$23,((MAX(Equivalencia!$3:$3)-YEAR(G1909))*14)+MONTH(G1909)+2,FALSE))))</f>
        <v>0</v>
      </c>
      <c r="M1909" s="306">
        <f t="shared" si="496"/>
        <v>0</v>
      </c>
      <c r="N1909" s="305">
        <f>IF(G1909=0,0,(IF(OR(E1909=$AT$5,E1909=$AT$6),AC1909,HLOOKUP(YEAR(G1909)+(MONTH(G1909)/100),TC!$5:$37,DAY(G1909)+2,FALSE))))</f>
        <v>0</v>
      </c>
      <c r="O1909" s="307">
        <f t="shared" si="497"/>
        <v>0</v>
      </c>
      <c r="P1909" s="560">
        <f>IF(G1909=0,0,VLOOKUP(YEAR(G1909),INPC!$B$4:$P$30,MONTH(G1909)+2))</f>
        <v>0</v>
      </c>
      <c r="Q1909" s="560">
        <f>IF(X1909=0,0,IF(OR(E1909=$AT$10,E1909=$AT$9),VLOOKUP(YEAR(X1909),INPC!$B$4:$P$30,MONTH(X1909)+1),VLOOKUP(YEAR(X1909),INPC!$B$4:$P$30,MONTH(X1909)+2,0)))</f>
        <v>0</v>
      </c>
      <c r="R1909" s="309">
        <f t="shared" si="498"/>
        <v>0</v>
      </c>
      <c r="S1909" s="310">
        <f t="shared" si="499"/>
        <v>0</v>
      </c>
      <c r="T1909" s="555">
        <f t="shared" si="500"/>
        <v>0</v>
      </c>
      <c r="U1909" s="311"/>
      <c r="V1909" s="312"/>
      <c r="W1909" s="299"/>
      <c r="X1909" s="300"/>
      <c r="Y1909" s="299"/>
      <c r="Z1909" s="303"/>
      <c r="AA1909" s="305">
        <f>IF(Z1909=0,0,IF(Y1909="MXN",1/HLOOKUP(YEAR(X1909)+(MONTH(X1909)/100),TC!$5:$37,DAY(X1909)+2,FALSE),VLOOKUP(Y1909,Equivalencia!$1:$23,((MAX(Equivalencia!$3:$3)-YEAR(X1909))*14)+MONTH(X1909)+2,FALSE)))</f>
        <v>0</v>
      </c>
      <c r="AB1909" s="306">
        <f t="shared" si="501"/>
        <v>0</v>
      </c>
      <c r="AC1909" s="305">
        <f>+IF(X1909=0,0,HLOOKUP(YEAR(X1909)+(MONTH(X1909)/100),TC!$5:$37,DAY(X1909)+2,FALSE))</f>
        <v>0</v>
      </c>
      <c r="AD1909" s="307">
        <f t="shared" si="502"/>
        <v>0</v>
      </c>
      <c r="AE1909" s="314">
        <f t="shared" si="503"/>
        <v>0</v>
      </c>
      <c r="AF1909" s="315">
        <f t="shared" si="504"/>
        <v>0</v>
      </c>
      <c r="AG1909" s="316">
        <f t="shared" si="505"/>
        <v>0</v>
      </c>
      <c r="AH1909" s="314">
        <v>1</v>
      </c>
      <c r="AI1909" s="314">
        <f t="shared" si="506"/>
        <v>0</v>
      </c>
      <c r="AJ1909" s="314">
        <f t="shared" si="507"/>
        <v>0</v>
      </c>
      <c r="AK1909" s="317"/>
      <c r="AL1909" s="315">
        <f t="shared" si="508"/>
        <v>0</v>
      </c>
      <c r="AN1909" s="554">
        <f t="shared" si="509"/>
        <v>0</v>
      </c>
      <c r="AO1909" s="314"/>
      <c r="AP1909" s="318"/>
    </row>
    <row r="1910" spans="2:42">
      <c r="B1910" s="296"/>
      <c r="C1910" s="299"/>
      <c r="D1910" s="298"/>
      <c r="E1910" s="299"/>
      <c r="F1910" s="299"/>
      <c r="G1910" s="300"/>
      <c r="H1910" s="303"/>
      <c r="I1910" s="301">
        <f t="shared" si="493"/>
        <v>0</v>
      </c>
      <c r="J1910" s="302">
        <f t="shared" si="494"/>
        <v>0</v>
      </c>
      <c r="K1910" s="304">
        <f t="shared" si="495"/>
        <v>0</v>
      </c>
      <c r="L1910" s="305">
        <f>IF(H1910=0,0,IF(OR(E1910=$AT$5,E1910=$AT$6),AA1910,IF(F1910="MXN",1/HLOOKUP(YEAR(G1910)+(MONTH(G1910)/100),TC!$5:$37,DAY(G1910)+2,FALSE),VLOOKUP(F1910,Equivalencia!$5:$23,((MAX(Equivalencia!$3:$3)-YEAR(G1910))*14)+MONTH(G1910)+2,FALSE))))</f>
        <v>0</v>
      </c>
      <c r="M1910" s="306">
        <f t="shared" si="496"/>
        <v>0</v>
      </c>
      <c r="N1910" s="305">
        <f>IF(G1910=0,0,(IF(OR(E1910=$AT$5,E1910=$AT$6),AC1910,HLOOKUP(YEAR(G1910)+(MONTH(G1910)/100),TC!$5:$37,DAY(G1910)+2,FALSE))))</f>
        <v>0</v>
      </c>
      <c r="O1910" s="307">
        <f t="shared" si="497"/>
        <v>0</v>
      </c>
      <c r="P1910" s="560">
        <f>IF(G1910=0,0,VLOOKUP(YEAR(G1910),INPC!$B$4:$P$30,MONTH(G1910)+2))</f>
        <v>0</v>
      </c>
      <c r="Q1910" s="560">
        <f>IF(X1910=0,0,IF(OR(E1910=$AT$10,E1910=$AT$9),VLOOKUP(YEAR(X1910),INPC!$B$4:$P$30,MONTH(X1910)+1),VLOOKUP(YEAR(X1910),INPC!$B$4:$P$30,MONTH(X1910)+2,0)))</f>
        <v>0</v>
      </c>
      <c r="R1910" s="309">
        <f t="shared" si="498"/>
        <v>0</v>
      </c>
      <c r="S1910" s="310">
        <f t="shared" si="499"/>
        <v>0</v>
      </c>
      <c r="T1910" s="555">
        <f t="shared" si="500"/>
        <v>0</v>
      </c>
      <c r="U1910" s="311"/>
      <c r="V1910" s="312"/>
      <c r="W1910" s="299"/>
      <c r="X1910" s="300"/>
      <c r="Y1910" s="299"/>
      <c r="Z1910" s="303"/>
      <c r="AA1910" s="305">
        <f>IF(Z1910=0,0,IF(Y1910="MXN",1/HLOOKUP(YEAR(X1910)+(MONTH(X1910)/100),TC!$5:$37,DAY(X1910)+2,FALSE),VLOOKUP(Y1910,Equivalencia!$1:$23,((MAX(Equivalencia!$3:$3)-YEAR(X1910))*14)+MONTH(X1910)+2,FALSE)))</f>
        <v>0</v>
      </c>
      <c r="AB1910" s="306">
        <f t="shared" si="501"/>
        <v>0</v>
      </c>
      <c r="AC1910" s="305">
        <f>+IF(X1910=0,0,HLOOKUP(YEAR(X1910)+(MONTH(X1910)/100),TC!$5:$37,DAY(X1910)+2,FALSE))</f>
        <v>0</v>
      </c>
      <c r="AD1910" s="307">
        <f t="shared" si="502"/>
        <v>0</v>
      </c>
      <c r="AE1910" s="314">
        <f t="shared" si="503"/>
        <v>0</v>
      </c>
      <c r="AF1910" s="315">
        <f t="shared" si="504"/>
        <v>0</v>
      </c>
      <c r="AG1910" s="316">
        <f t="shared" si="505"/>
        <v>0</v>
      </c>
      <c r="AH1910" s="314">
        <v>1</v>
      </c>
      <c r="AI1910" s="314">
        <f t="shared" si="506"/>
        <v>0</v>
      </c>
      <c r="AJ1910" s="314">
        <f t="shared" si="507"/>
        <v>0</v>
      </c>
      <c r="AK1910" s="317"/>
      <c r="AL1910" s="315">
        <f t="shared" si="508"/>
        <v>0</v>
      </c>
      <c r="AN1910" s="554">
        <f t="shared" si="509"/>
        <v>0</v>
      </c>
      <c r="AO1910" s="314"/>
      <c r="AP1910" s="318"/>
    </row>
    <row r="1911" spans="2:42">
      <c r="B1911" s="296"/>
      <c r="C1911" s="299"/>
      <c r="D1911" s="298"/>
      <c r="E1911" s="299"/>
      <c r="F1911" s="299"/>
      <c r="G1911" s="300"/>
      <c r="H1911" s="303"/>
      <c r="I1911" s="301">
        <f t="shared" si="493"/>
        <v>0</v>
      </c>
      <c r="J1911" s="302">
        <f t="shared" si="494"/>
        <v>0</v>
      </c>
      <c r="K1911" s="304">
        <f t="shared" si="495"/>
        <v>0</v>
      </c>
      <c r="L1911" s="305">
        <f>IF(H1911=0,0,IF(OR(E1911=$AT$5,E1911=$AT$6),AA1911,IF(F1911="MXN",1/HLOOKUP(YEAR(G1911)+(MONTH(G1911)/100),TC!$5:$37,DAY(G1911)+2,FALSE),VLOOKUP(F1911,Equivalencia!$5:$23,((MAX(Equivalencia!$3:$3)-YEAR(G1911))*14)+MONTH(G1911)+2,FALSE))))</f>
        <v>0</v>
      </c>
      <c r="M1911" s="306">
        <f t="shared" si="496"/>
        <v>0</v>
      </c>
      <c r="N1911" s="305">
        <f>IF(G1911=0,0,(IF(OR(E1911=$AT$5,E1911=$AT$6),AC1911,HLOOKUP(YEAR(G1911)+(MONTH(G1911)/100),TC!$5:$37,DAY(G1911)+2,FALSE))))</f>
        <v>0</v>
      </c>
      <c r="O1911" s="307">
        <f t="shared" si="497"/>
        <v>0</v>
      </c>
      <c r="P1911" s="560">
        <f>IF(G1911=0,0,VLOOKUP(YEAR(G1911),INPC!$B$4:$P$30,MONTH(G1911)+2))</f>
        <v>0</v>
      </c>
      <c r="Q1911" s="560">
        <f>IF(X1911=0,0,IF(OR(E1911=$AT$10,E1911=$AT$9),VLOOKUP(YEAR(X1911),INPC!$B$4:$P$30,MONTH(X1911)+1),VLOOKUP(YEAR(X1911),INPC!$B$4:$P$30,MONTH(X1911)+2,0)))</f>
        <v>0</v>
      </c>
      <c r="R1911" s="309">
        <f t="shared" si="498"/>
        <v>0</v>
      </c>
      <c r="S1911" s="310">
        <f t="shared" si="499"/>
        <v>0</v>
      </c>
      <c r="T1911" s="555">
        <f t="shared" si="500"/>
        <v>0</v>
      </c>
      <c r="U1911" s="311"/>
      <c r="V1911" s="312"/>
      <c r="W1911" s="299"/>
      <c r="X1911" s="300"/>
      <c r="Y1911" s="299"/>
      <c r="Z1911" s="303"/>
      <c r="AA1911" s="305">
        <f>IF(Z1911=0,0,IF(Y1911="MXN",1/HLOOKUP(YEAR(X1911)+(MONTH(X1911)/100),TC!$5:$37,DAY(X1911)+2,FALSE),VLOOKUP(Y1911,Equivalencia!$1:$23,((MAX(Equivalencia!$3:$3)-YEAR(X1911))*14)+MONTH(X1911)+2,FALSE)))</f>
        <v>0</v>
      </c>
      <c r="AB1911" s="306">
        <f t="shared" si="501"/>
        <v>0</v>
      </c>
      <c r="AC1911" s="305">
        <f>+IF(X1911=0,0,HLOOKUP(YEAR(X1911)+(MONTH(X1911)/100),TC!$5:$37,DAY(X1911)+2,FALSE))</f>
        <v>0</v>
      </c>
      <c r="AD1911" s="307">
        <f t="shared" si="502"/>
        <v>0</v>
      </c>
      <c r="AE1911" s="314">
        <f t="shared" si="503"/>
        <v>0</v>
      </c>
      <c r="AF1911" s="315">
        <f t="shared" si="504"/>
        <v>0</v>
      </c>
      <c r="AG1911" s="316">
        <f t="shared" si="505"/>
        <v>0</v>
      </c>
      <c r="AH1911" s="314">
        <v>1</v>
      </c>
      <c r="AI1911" s="314">
        <f t="shared" si="506"/>
        <v>0</v>
      </c>
      <c r="AJ1911" s="314">
        <f t="shared" si="507"/>
        <v>0</v>
      </c>
      <c r="AK1911" s="317"/>
      <c r="AL1911" s="315">
        <f t="shared" si="508"/>
        <v>0</v>
      </c>
      <c r="AN1911" s="554">
        <f t="shared" si="509"/>
        <v>0</v>
      </c>
      <c r="AO1911" s="314"/>
      <c r="AP1911" s="318"/>
    </row>
    <row r="1912" spans="2:42">
      <c r="B1912" s="296"/>
      <c r="C1912" s="299"/>
      <c r="D1912" s="298"/>
      <c r="E1912" s="299"/>
      <c r="F1912" s="299"/>
      <c r="G1912" s="300"/>
      <c r="H1912" s="303"/>
      <c r="I1912" s="301">
        <f t="shared" si="493"/>
        <v>0</v>
      </c>
      <c r="J1912" s="302">
        <f t="shared" si="494"/>
        <v>0</v>
      </c>
      <c r="K1912" s="304">
        <f t="shared" si="495"/>
        <v>0</v>
      </c>
      <c r="L1912" s="305">
        <f>IF(H1912=0,0,IF(OR(E1912=$AT$5,E1912=$AT$6),AA1912,IF(F1912="MXN",1/HLOOKUP(YEAR(G1912)+(MONTH(G1912)/100),TC!$5:$37,DAY(G1912)+2,FALSE),VLOOKUP(F1912,Equivalencia!$5:$23,((MAX(Equivalencia!$3:$3)-YEAR(G1912))*14)+MONTH(G1912)+2,FALSE))))</f>
        <v>0</v>
      </c>
      <c r="M1912" s="306">
        <f t="shared" si="496"/>
        <v>0</v>
      </c>
      <c r="N1912" s="305">
        <f>IF(G1912=0,0,(IF(OR(E1912=$AT$5,E1912=$AT$6),AC1912,HLOOKUP(YEAR(G1912)+(MONTH(G1912)/100),TC!$5:$37,DAY(G1912)+2,FALSE))))</f>
        <v>0</v>
      </c>
      <c r="O1912" s="307">
        <f t="shared" si="497"/>
        <v>0</v>
      </c>
      <c r="P1912" s="560">
        <f>IF(G1912=0,0,VLOOKUP(YEAR(G1912),INPC!$B$4:$P$30,MONTH(G1912)+2))</f>
        <v>0</v>
      </c>
      <c r="Q1912" s="560">
        <f>IF(X1912=0,0,IF(OR(E1912=$AT$10,E1912=$AT$9),VLOOKUP(YEAR(X1912),INPC!$B$4:$P$30,MONTH(X1912)+1),VLOOKUP(YEAR(X1912),INPC!$B$4:$P$30,MONTH(X1912)+2,0)))</f>
        <v>0</v>
      </c>
      <c r="R1912" s="309">
        <f t="shared" si="498"/>
        <v>0</v>
      </c>
      <c r="S1912" s="310">
        <f t="shared" si="499"/>
        <v>0</v>
      </c>
      <c r="T1912" s="555">
        <f t="shared" si="500"/>
        <v>0</v>
      </c>
      <c r="U1912" s="311"/>
      <c r="V1912" s="312"/>
      <c r="W1912" s="299"/>
      <c r="X1912" s="300"/>
      <c r="Y1912" s="299"/>
      <c r="Z1912" s="303"/>
      <c r="AA1912" s="305">
        <f>IF(Z1912=0,0,IF(Y1912="MXN",1/HLOOKUP(YEAR(X1912)+(MONTH(X1912)/100),TC!$5:$37,DAY(X1912)+2,FALSE),VLOOKUP(Y1912,Equivalencia!$1:$23,((MAX(Equivalencia!$3:$3)-YEAR(X1912))*14)+MONTH(X1912)+2,FALSE)))</f>
        <v>0</v>
      </c>
      <c r="AB1912" s="306">
        <f t="shared" si="501"/>
        <v>0</v>
      </c>
      <c r="AC1912" s="305">
        <f>+IF(X1912=0,0,HLOOKUP(YEAR(X1912)+(MONTH(X1912)/100),TC!$5:$37,DAY(X1912)+2,FALSE))</f>
        <v>0</v>
      </c>
      <c r="AD1912" s="307">
        <f t="shared" si="502"/>
        <v>0</v>
      </c>
      <c r="AE1912" s="314">
        <f t="shared" si="503"/>
        <v>0</v>
      </c>
      <c r="AF1912" s="315">
        <f t="shared" si="504"/>
        <v>0</v>
      </c>
      <c r="AG1912" s="316">
        <f t="shared" si="505"/>
        <v>0</v>
      </c>
      <c r="AH1912" s="314">
        <v>1</v>
      </c>
      <c r="AI1912" s="314">
        <f t="shared" si="506"/>
        <v>0</v>
      </c>
      <c r="AJ1912" s="314">
        <f t="shared" si="507"/>
        <v>0</v>
      </c>
      <c r="AK1912" s="317"/>
      <c r="AL1912" s="315">
        <f t="shared" si="508"/>
        <v>0</v>
      </c>
      <c r="AN1912" s="554">
        <f t="shared" si="509"/>
        <v>0</v>
      </c>
      <c r="AO1912" s="314"/>
      <c r="AP1912" s="318"/>
    </row>
    <row r="1913" spans="2:42">
      <c r="B1913" s="296"/>
      <c r="C1913" s="299"/>
      <c r="D1913" s="298"/>
      <c r="E1913" s="299"/>
      <c r="F1913" s="299"/>
      <c r="G1913" s="300"/>
      <c r="H1913" s="303"/>
      <c r="I1913" s="301">
        <f t="shared" si="493"/>
        <v>0</v>
      </c>
      <c r="J1913" s="302">
        <f t="shared" si="494"/>
        <v>0</v>
      </c>
      <c r="K1913" s="304">
        <f t="shared" si="495"/>
        <v>0</v>
      </c>
      <c r="L1913" s="305">
        <f>IF(H1913=0,0,IF(OR(E1913=$AT$5,E1913=$AT$6),AA1913,IF(F1913="MXN",1/HLOOKUP(YEAR(G1913)+(MONTH(G1913)/100),TC!$5:$37,DAY(G1913)+2,FALSE),VLOOKUP(F1913,Equivalencia!$5:$23,((MAX(Equivalencia!$3:$3)-YEAR(G1913))*14)+MONTH(G1913)+2,FALSE))))</f>
        <v>0</v>
      </c>
      <c r="M1913" s="306">
        <f t="shared" si="496"/>
        <v>0</v>
      </c>
      <c r="N1913" s="305">
        <f>IF(G1913=0,0,(IF(OR(E1913=$AT$5,E1913=$AT$6),AC1913,HLOOKUP(YEAR(G1913)+(MONTH(G1913)/100),TC!$5:$37,DAY(G1913)+2,FALSE))))</f>
        <v>0</v>
      </c>
      <c r="O1913" s="307">
        <f t="shared" si="497"/>
        <v>0</v>
      </c>
      <c r="P1913" s="560">
        <f>IF(G1913=0,0,VLOOKUP(YEAR(G1913),INPC!$B$4:$P$30,MONTH(G1913)+2))</f>
        <v>0</v>
      </c>
      <c r="Q1913" s="560">
        <f>IF(X1913=0,0,IF(OR(E1913=$AT$10,E1913=$AT$9),VLOOKUP(YEAR(X1913),INPC!$B$4:$P$30,MONTH(X1913)+1),VLOOKUP(YEAR(X1913),INPC!$B$4:$P$30,MONTH(X1913)+2,0)))</f>
        <v>0</v>
      </c>
      <c r="R1913" s="309">
        <f t="shared" si="498"/>
        <v>0</v>
      </c>
      <c r="S1913" s="310">
        <f t="shared" si="499"/>
        <v>0</v>
      </c>
      <c r="T1913" s="555">
        <f t="shared" si="500"/>
        <v>0</v>
      </c>
      <c r="U1913" s="311"/>
      <c r="V1913" s="312"/>
      <c r="W1913" s="299"/>
      <c r="X1913" s="300"/>
      <c r="Y1913" s="299"/>
      <c r="Z1913" s="303"/>
      <c r="AA1913" s="305">
        <f>IF(Z1913=0,0,IF(Y1913="MXN",1/HLOOKUP(YEAR(X1913)+(MONTH(X1913)/100),TC!$5:$37,DAY(X1913)+2,FALSE),VLOOKUP(Y1913,Equivalencia!$1:$23,((MAX(Equivalencia!$3:$3)-YEAR(X1913))*14)+MONTH(X1913)+2,FALSE)))</f>
        <v>0</v>
      </c>
      <c r="AB1913" s="306">
        <f t="shared" si="501"/>
        <v>0</v>
      </c>
      <c r="AC1913" s="305">
        <f>+IF(X1913=0,0,HLOOKUP(YEAR(X1913)+(MONTH(X1913)/100),TC!$5:$37,DAY(X1913)+2,FALSE))</f>
        <v>0</v>
      </c>
      <c r="AD1913" s="307">
        <f t="shared" si="502"/>
        <v>0</v>
      </c>
      <c r="AE1913" s="314">
        <f t="shared" si="503"/>
        <v>0</v>
      </c>
      <c r="AF1913" s="315">
        <f t="shared" si="504"/>
        <v>0</v>
      </c>
      <c r="AG1913" s="316">
        <f t="shared" si="505"/>
        <v>0</v>
      </c>
      <c r="AH1913" s="314">
        <v>1</v>
      </c>
      <c r="AI1913" s="314">
        <f t="shared" si="506"/>
        <v>0</v>
      </c>
      <c r="AJ1913" s="314">
        <f t="shared" si="507"/>
        <v>0</v>
      </c>
      <c r="AK1913" s="317"/>
      <c r="AL1913" s="315">
        <f t="shared" si="508"/>
        <v>0</v>
      </c>
      <c r="AN1913" s="554">
        <f t="shared" si="509"/>
        <v>0</v>
      </c>
      <c r="AO1913" s="314"/>
      <c r="AP1913" s="318"/>
    </row>
    <row r="1914" spans="2:42">
      <c r="B1914" s="296"/>
      <c r="C1914" s="299"/>
      <c r="D1914" s="298"/>
      <c r="E1914" s="299"/>
      <c r="F1914" s="299"/>
      <c r="G1914" s="300"/>
      <c r="H1914" s="303"/>
      <c r="I1914" s="301">
        <f t="shared" si="493"/>
        <v>0</v>
      </c>
      <c r="J1914" s="302">
        <f t="shared" si="494"/>
        <v>0</v>
      </c>
      <c r="K1914" s="304">
        <f t="shared" si="495"/>
        <v>0</v>
      </c>
      <c r="L1914" s="305">
        <f>IF(H1914=0,0,IF(OR(E1914=$AT$5,E1914=$AT$6),AA1914,IF(F1914="MXN",1/HLOOKUP(YEAR(G1914)+(MONTH(G1914)/100),TC!$5:$37,DAY(G1914)+2,FALSE),VLOOKUP(F1914,Equivalencia!$5:$23,((MAX(Equivalencia!$3:$3)-YEAR(G1914))*14)+MONTH(G1914)+2,FALSE))))</f>
        <v>0</v>
      </c>
      <c r="M1914" s="306">
        <f t="shared" si="496"/>
        <v>0</v>
      </c>
      <c r="N1914" s="305">
        <f>IF(G1914=0,0,(IF(OR(E1914=$AT$5,E1914=$AT$6),AC1914,HLOOKUP(YEAR(G1914)+(MONTH(G1914)/100),TC!$5:$37,DAY(G1914)+2,FALSE))))</f>
        <v>0</v>
      </c>
      <c r="O1914" s="307">
        <f t="shared" si="497"/>
        <v>0</v>
      </c>
      <c r="P1914" s="560">
        <f>IF(G1914=0,0,VLOOKUP(YEAR(G1914),INPC!$B$4:$P$30,MONTH(G1914)+2))</f>
        <v>0</v>
      </c>
      <c r="Q1914" s="560">
        <f>IF(X1914=0,0,IF(OR(E1914=$AT$10,E1914=$AT$9),VLOOKUP(YEAR(X1914),INPC!$B$4:$P$30,MONTH(X1914)+1),VLOOKUP(YEAR(X1914),INPC!$B$4:$P$30,MONTH(X1914)+2,0)))</f>
        <v>0</v>
      </c>
      <c r="R1914" s="309">
        <f t="shared" si="498"/>
        <v>0</v>
      </c>
      <c r="S1914" s="310">
        <f t="shared" si="499"/>
        <v>0</v>
      </c>
      <c r="T1914" s="555">
        <f t="shared" si="500"/>
        <v>0</v>
      </c>
      <c r="U1914" s="311"/>
      <c r="V1914" s="312"/>
      <c r="W1914" s="299"/>
      <c r="X1914" s="300"/>
      <c r="Y1914" s="299"/>
      <c r="Z1914" s="303"/>
      <c r="AA1914" s="305">
        <f>IF(Z1914=0,0,IF(Y1914="MXN",1/HLOOKUP(YEAR(X1914)+(MONTH(X1914)/100),TC!$5:$37,DAY(X1914)+2,FALSE),VLOOKUP(Y1914,Equivalencia!$1:$23,((MAX(Equivalencia!$3:$3)-YEAR(X1914))*14)+MONTH(X1914)+2,FALSE)))</f>
        <v>0</v>
      </c>
      <c r="AB1914" s="306">
        <f t="shared" si="501"/>
        <v>0</v>
      </c>
      <c r="AC1914" s="305">
        <f>+IF(X1914=0,0,HLOOKUP(YEAR(X1914)+(MONTH(X1914)/100),TC!$5:$37,DAY(X1914)+2,FALSE))</f>
        <v>0</v>
      </c>
      <c r="AD1914" s="307">
        <f t="shared" si="502"/>
        <v>0</v>
      </c>
      <c r="AE1914" s="314">
        <f t="shared" si="503"/>
        <v>0</v>
      </c>
      <c r="AF1914" s="315">
        <f t="shared" si="504"/>
        <v>0</v>
      </c>
      <c r="AG1914" s="316">
        <f t="shared" si="505"/>
        <v>0</v>
      </c>
      <c r="AH1914" s="314">
        <v>1</v>
      </c>
      <c r="AI1914" s="314">
        <f t="shared" si="506"/>
        <v>0</v>
      </c>
      <c r="AJ1914" s="314">
        <f t="shared" si="507"/>
        <v>0</v>
      </c>
      <c r="AK1914" s="317"/>
      <c r="AL1914" s="315">
        <f t="shared" si="508"/>
        <v>0</v>
      </c>
      <c r="AN1914" s="554">
        <f t="shared" si="509"/>
        <v>0</v>
      </c>
      <c r="AO1914" s="314"/>
      <c r="AP1914" s="318"/>
    </row>
    <row r="1915" spans="2:42">
      <c r="B1915" s="296"/>
      <c r="C1915" s="299"/>
      <c r="D1915" s="298"/>
      <c r="E1915" s="299"/>
      <c r="F1915" s="299"/>
      <c r="G1915" s="300"/>
      <c r="H1915" s="303"/>
      <c r="I1915" s="301">
        <f t="shared" si="493"/>
        <v>0</v>
      </c>
      <c r="J1915" s="302">
        <f t="shared" si="494"/>
        <v>0</v>
      </c>
      <c r="K1915" s="304">
        <f t="shared" si="495"/>
        <v>0</v>
      </c>
      <c r="L1915" s="305">
        <f>IF(H1915=0,0,IF(OR(E1915=$AT$5,E1915=$AT$6),AA1915,IF(F1915="MXN",1/HLOOKUP(YEAR(G1915)+(MONTH(G1915)/100),TC!$5:$37,DAY(G1915)+2,FALSE),VLOOKUP(F1915,Equivalencia!$5:$23,((MAX(Equivalencia!$3:$3)-YEAR(G1915))*14)+MONTH(G1915)+2,FALSE))))</f>
        <v>0</v>
      </c>
      <c r="M1915" s="306">
        <f t="shared" si="496"/>
        <v>0</v>
      </c>
      <c r="N1915" s="305">
        <f>IF(G1915=0,0,(IF(OR(E1915=$AT$5,E1915=$AT$6),AC1915,HLOOKUP(YEAR(G1915)+(MONTH(G1915)/100),TC!$5:$37,DAY(G1915)+2,FALSE))))</f>
        <v>0</v>
      </c>
      <c r="O1915" s="307">
        <f t="shared" si="497"/>
        <v>0</v>
      </c>
      <c r="P1915" s="560">
        <f>IF(G1915=0,0,VLOOKUP(YEAR(G1915),INPC!$B$4:$P$30,MONTH(G1915)+2))</f>
        <v>0</v>
      </c>
      <c r="Q1915" s="560">
        <f>IF(X1915=0,0,IF(OR(E1915=$AT$10,E1915=$AT$9),VLOOKUP(YEAR(X1915),INPC!$B$4:$P$30,MONTH(X1915)+1),VLOOKUP(YEAR(X1915),INPC!$B$4:$P$30,MONTH(X1915)+2,0)))</f>
        <v>0</v>
      </c>
      <c r="R1915" s="309">
        <f t="shared" si="498"/>
        <v>0</v>
      </c>
      <c r="S1915" s="310">
        <f t="shared" si="499"/>
        <v>0</v>
      </c>
      <c r="T1915" s="555">
        <f t="shared" si="500"/>
        <v>0</v>
      </c>
      <c r="U1915" s="311"/>
      <c r="V1915" s="312"/>
      <c r="W1915" s="299"/>
      <c r="X1915" s="300"/>
      <c r="Y1915" s="299"/>
      <c r="Z1915" s="303"/>
      <c r="AA1915" s="305">
        <f>IF(Z1915=0,0,IF(Y1915="MXN",1/HLOOKUP(YEAR(X1915)+(MONTH(X1915)/100),TC!$5:$37,DAY(X1915)+2,FALSE),VLOOKUP(Y1915,Equivalencia!$1:$23,((MAX(Equivalencia!$3:$3)-YEAR(X1915))*14)+MONTH(X1915)+2,FALSE)))</f>
        <v>0</v>
      </c>
      <c r="AB1915" s="306">
        <f t="shared" si="501"/>
        <v>0</v>
      </c>
      <c r="AC1915" s="305">
        <f>+IF(X1915=0,0,HLOOKUP(YEAR(X1915)+(MONTH(X1915)/100),TC!$5:$37,DAY(X1915)+2,FALSE))</f>
        <v>0</v>
      </c>
      <c r="AD1915" s="307">
        <f t="shared" si="502"/>
        <v>0</v>
      </c>
      <c r="AE1915" s="314">
        <f t="shared" si="503"/>
        <v>0</v>
      </c>
      <c r="AF1915" s="315">
        <f t="shared" si="504"/>
        <v>0</v>
      </c>
      <c r="AG1915" s="316">
        <f t="shared" si="505"/>
        <v>0</v>
      </c>
      <c r="AH1915" s="314">
        <v>1</v>
      </c>
      <c r="AI1915" s="314">
        <f t="shared" si="506"/>
        <v>0</v>
      </c>
      <c r="AJ1915" s="314">
        <f t="shared" si="507"/>
        <v>0</v>
      </c>
      <c r="AK1915" s="317"/>
      <c r="AL1915" s="315">
        <f t="shared" si="508"/>
        <v>0</v>
      </c>
      <c r="AN1915" s="554">
        <f t="shared" si="509"/>
        <v>0</v>
      </c>
      <c r="AO1915" s="314"/>
      <c r="AP1915" s="318"/>
    </row>
    <row r="1916" spans="2:42">
      <c r="B1916" s="296"/>
      <c r="C1916" s="299"/>
      <c r="D1916" s="298"/>
      <c r="E1916" s="299"/>
      <c r="F1916" s="299"/>
      <c r="G1916" s="300"/>
      <c r="H1916" s="303"/>
      <c r="I1916" s="301">
        <f t="shared" ref="I1916:I1979" si="510">IF(D1916=0,0,IF(OR(E1916=$AT$9,E1916=$AT$10),"Ingresos Sección II LISR (SIC &amp; BMV)","Ingresos Sección I LISR"))</f>
        <v>0</v>
      </c>
      <c r="J1916" s="302">
        <f t="shared" ref="J1916:J1979" si="511">+V1916</f>
        <v>0</v>
      </c>
      <c r="K1916" s="304">
        <f t="shared" ref="K1916:K1979" si="512">IF(H1916=0,0,H1916/J1916)</f>
        <v>0</v>
      </c>
      <c r="L1916" s="305">
        <f>IF(H1916=0,0,IF(OR(E1916=$AT$5,E1916=$AT$6),AA1916,IF(F1916="MXN",1/HLOOKUP(YEAR(G1916)+(MONTH(G1916)/100),TC!$5:$37,DAY(G1916)+2,FALSE),VLOOKUP(F1916,Equivalencia!$5:$23,((MAX(Equivalencia!$3:$3)-YEAR(G1916))*14)+MONTH(G1916)+2,FALSE))))</f>
        <v>0</v>
      </c>
      <c r="M1916" s="306">
        <f t="shared" ref="M1916:M1979" si="513">+H1916*L1916</f>
        <v>0</v>
      </c>
      <c r="N1916" s="305">
        <f>IF(G1916=0,0,(IF(OR(E1916=$AT$5,E1916=$AT$6),AC1916,HLOOKUP(YEAR(G1916)+(MONTH(G1916)/100),TC!$5:$37,DAY(G1916)+2,FALSE))))</f>
        <v>0</v>
      </c>
      <c r="O1916" s="307">
        <f t="shared" ref="O1916:O1979" si="514">+M1916*N1916</f>
        <v>0</v>
      </c>
      <c r="P1916" s="560">
        <f>IF(G1916=0,0,VLOOKUP(YEAR(G1916),INPC!$B$4:$P$30,MONTH(G1916)+2))</f>
        <v>0</v>
      </c>
      <c r="Q1916" s="560">
        <f>IF(X1916=0,0,IF(OR(E1916=$AT$10,E1916=$AT$9),VLOOKUP(YEAR(X1916),INPC!$B$4:$P$30,MONTH(X1916)+1),VLOOKUP(YEAR(X1916),INPC!$B$4:$P$30,MONTH(X1916)+2,0)))</f>
        <v>0</v>
      </c>
      <c r="R1916" s="309">
        <f t="shared" ref="R1916:R1979" si="515">IF(H1916=0,0,IF(OR(E1916=$AT$5,E1916=$AT$6),1,IF(TRUNC(Q1916/P1916,4)&gt;=1,TRUNC(Q1916/P1916,4),1)))</f>
        <v>0</v>
      </c>
      <c r="S1916" s="310">
        <f t="shared" ref="S1916:S1979" si="516">+R1916*O1916</f>
        <v>0</v>
      </c>
      <c r="T1916" s="555">
        <f t="shared" ref="T1916:T1979" si="517">IF(V1916=0,0,S1916/V1916)</f>
        <v>0</v>
      </c>
      <c r="U1916" s="311"/>
      <c r="V1916" s="312"/>
      <c r="W1916" s="299"/>
      <c r="X1916" s="300"/>
      <c r="Y1916" s="299"/>
      <c r="Z1916" s="303"/>
      <c r="AA1916" s="305">
        <f>IF(Z1916=0,0,IF(Y1916="MXN",1/HLOOKUP(YEAR(X1916)+(MONTH(X1916)/100),TC!$5:$37,DAY(X1916)+2,FALSE),VLOOKUP(Y1916,Equivalencia!$1:$23,((MAX(Equivalencia!$3:$3)-YEAR(X1916))*14)+MONTH(X1916)+2,FALSE)))</f>
        <v>0</v>
      </c>
      <c r="AB1916" s="306">
        <f t="shared" ref="AB1916:AB1979" si="518">+AA1916*Z1916</f>
        <v>0</v>
      </c>
      <c r="AC1916" s="305">
        <f>+IF(X1916=0,0,HLOOKUP(YEAR(X1916)+(MONTH(X1916)/100),TC!$5:$37,DAY(X1916)+2,FALSE))</f>
        <v>0</v>
      </c>
      <c r="AD1916" s="307">
        <f t="shared" ref="AD1916:AD1979" si="519">+AC1916*AB1916</f>
        <v>0</v>
      </c>
      <c r="AE1916" s="314">
        <f t="shared" ref="AE1916:AE1979" si="520">+V1916*T1916</f>
        <v>0</v>
      </c>
      <c r="AF1916" s="315">
        <f t="shared" ref="AF1916:AF1979" si="521">IF(E1916=$AT$11,0,AD1916-AE1916)</f>
        <v>0</v>
      </c>
      <c r="AG1916" s="316">
        <f t="shared" ref="AG1916:AG1979" si="522">+IF(AND(AF1916&lt;0,OR(E1916=$AT$5,E1916=$AT$6)),1,((X1916-G1916)/365))</f>
        <v>0</v>
      </c>
      <c r="AH1916" s="314">
        <v>1</v>
      </c>
      <c r="AI1916" s="314">
        <f t="shared" ref="AI1916:AI1979" si="523">+IF(OR(E1916=$AT$9,E1916=$AT$10),AF1916,+AF1916/AH1916)</f>
        <v>0</v>
      </c>
      <c r="AJ1916" s="314">
        <f t="shared" ref="AJ1916:AJ1979" si="524">+AF1916-AI1916</f>
        <v>0</v>
      </c>
      <c r="AK1916" s="317"/>
      <c r="AL1916" s="315">
        <f t="shared" ref="AL1916:AL1979" si="525">+AB1916-M1916</f>
        <v>0</v>
      </c>
      <c r="AN1916" s="554">
        <f t="shared" ref="AN1916:AN1979" si="526">IF(AL1916=0,0,AL1916/H1916)</f>
        <v>0</v>
      </c>
      <c r="AO1916" s="314"/>
      <c r="AP1916" s="318"/>
    </row>
    <row r="1917" spans="2:42">
      <c r="B1917" s="296"/>
      <c r="C1917" s="299"/>
      <c r="D1917" s="298"/>
      <c r="E1917" s="299"/>
      <c r="F1917" s="299"/>
      <c r="G1917" s="300"/>
      <c r="H1917" s="303"/>
      <c r="I1917" s="301">
        <f t="shared" si="510"/>
        <v>0</v>
      </c>
      <c r="J1917" s="302">
        <f t="shared" si="511"/>
        <v>0</v>
      </c>
      <c r="K1917" s="304">
        <f t="shared" si="512"/>
        <v>0</v>
      </c>
      <c r="L1917" s="305">
        <f>IF(H1917=0,0,IF(OR(E1917=$AT$5,E1917=$AT$6),AA1917,IF(F1917="MXN",1/HLOOKUP(YEAR(G1917)+(MONTH(G1917)/100),TC!$5:$37,DAY(G1917)+2,FALSE),VLOOKUP(F1917,Equivalencia!$5:$23,((MAX(Equivalencia!$3:$3)-YEAR(G1917))*14)+MONTH(G1917)+2,FALSE))))</f>
        <v>0</v>
      </c>
      <c r="M1917" s="306">
        <f t="shared" si="513"/>
        <v>0</v>
      </c>
      <c r="N1917" s="305">
        <f>IF(G1917=0,0,(IF(OR(E1917=$AT$5,E1917=$AT$6),AC1917,HLOOKUP(YEAR(G1917)+(MONTH(G1917)/100),TC!$5:$37,DAY(G1917)+2,FALSE))))</f>
        <v>0</v>
      </c>
      <c r="O1917" s="307">
        <f t="shared" si="514"/>
        <v>0</v>
      </c>
      <c r="P1917" s="560">
        <f>IF(G1917=0,0,VLOOKUP(YEAR(G1917),INPC!$B$4:$P$30,MONTH(G1917)+2))</f>
        <v>0</v>
      </c>
      <c r="Q1917" s="560">
        <f>IF(X1917=0,0,IF(OR(E1917=$AT$10,E1917=$AT$9),VLOOKUP(YEAR(X1917),INPC!$B$4:$P$30,MONTH(X1917)+1),VLOOKUP(YEAR(X1917),INPC!$B$4:$P$30,MONTH(X1917)+2,0)))</f>
        <v>0</v>
      </c>
      <c r="R1917" s="309">
        <f t="shared" si="515"/>
        <v>0</v>
      </c>
      <c r="S1917" s="310">
        <f t="shared" si="516"/>
        <v>0</v>
      </c>
      <c r="T1917" s="555">
        <f t="shared" si="517"/>
        <v>0</v>
      </c>
      <c r="U1917" s="311"/>
      <c r="V1917" s="312"/>
      <c r="W1917" s="299"/>
      <c r="X1917" s="300"/>
      <c r="Y1917" s="299"/>
      <c r="Z1917" s="303"/>
      <c r="AA1917" s="305">
        <f>IF(Z1917=0,0,IF(Y1917="MXN",1/HLOOKUP(YEAR(X1917)+(MONTH(X1917)/100),TC!$5:$37,DAY(X1917)+2,FALSE),VLOOKUP(Y1917,Equivalencia!$1:$23,((MAX(Equivalencia!$3:$3)-YEAR(X1917))*14)+MONTH(X1917)+2,FALSE)))</f>
        <v>0</v>
      </c>
      <c r="AB1917" s="306">
        <f t="shared" si="518"/>
        <v>0</v>
      </c>
      <c r="AC1917" s="305">
        <f>+IF(X1917=0,0,HLOOKUP(YEAR(X1917)+(MONTH(X1917)/100),TC!$5:$37,DAY(X1917)+2,FALSE))</f>
        <v>0</v>
      </c>
      <c r="AD1917" s="307">
        <f t="shared" si="519"/>
        <v>0</v>
      </c>
      <c r="AE1917" s="314">
        <f t="shared" si="520"/>
        <v>0</v>
      </c>
      <c r="AF1917" s="315">
        <f t="shared" si="521"/>
        <v>0</v>
      </c>
      <c r="AG1917" s="316">
        <f t="shared" si="522"/>
        <v>0</v>
      </c>
      <c r="AH1917" s="314">
        <v>1</v>
      </c>
      <c r="AI1917" s="314">
        <f t="shared" si="523"/>
        <v>0</v>
      </c>
      <c r="AJ1917" s="314">
        <f t="shared" si="524"/>
        <v>0</v>
      </c>
      <c r="AK1917" s="317"/>
      <c r="AL1917" s="315">
        <f t="shared" si="525"/>
        <v>0</v>
      </c>
      <c r="AN1917" s="554">
        <f t="shared" si="526"/>
        <v>0</v>
      </c>
      <c r="AO1917" s="314"/>
      <c r="AP1917" s="318"/>
    </row>
    <row r="1918" spans="2:42">
      <c r="B1918" s="296"/>
      <c r="C1918" s="299"/>
      <c r="D1918" s="298"/>
      <c r="E1918" s="299"/>
      <c r="F1918" s="299"/>
      <c r="G1918" s="300"/>
      <c r="H1918" s="303"/>
      <c r="I1918" s="301">
        <f t="shared" si="510"/>
        <v>0</v>
      </c>
      <c r="J1918" s="302">
        <f t="shared" si="511"/>
        <v>0</v>
      </c>
      <c r="K1918" s="304">
        <f t="shared" si="512"/>
        <v>0</v>
      </c>
      <c r="L1918" s="305">
        <f>IF(H1918=0,0,IF(OR(E1918=$AT$5,E1918=$AT$6),AA1918,IF(F1918="MXN",1/HLOOKUP(YEAR(G1918)+(MONTH(G1918)/100),TC!$5:$37,DAY(G1918)+2,FALSE),VLOOKUP(F1918,Equivalencia!$5:$23,((MAX(Equivalencia!$3:$3)-YEAR(G1918))*14)+MONTH(G1918)+2,FALSE))))</f>
        <v>0</v>
      </c>
      <c r="M1918" s="306">
        <f t="shared" si="513"/>
        <v>0</v>
      </c>
      <c r="N1918" s="305">
        <f>IF(G1918=0,0,(IF(OR(E1918=$AT$5,E1918=$AT$6),AC1918,HLOOKUP(YEAR(G1918)+(MONTH(G1918)/100),TC!$5:$37,DAY(G1918)+2,FALSE))))</f>
        <v>0</v>
      </c>
      <c r="O1918" s="307">
        <f t="shared" si="514"/>
        <v>0</v>
      </c>
      <c r="P1918" s="560">
        <f>IF(G1918=0,0,VLOOKUP(YEAR(G1918),INPC!$B$4:$P$30,MONTH(G1918)+2))</f>
        <v>0</v>
      </c>
      <c r="Q1918" s="560">
        <f>IF(X1918=0,0,IF(OR(E1918=$AT$10,E1918=$AT$9),VLOOKUP(YEAR(X1918),INPC!$B$4:$P$30,MONTH(X1918)+1),VLOOKUP(YEAR(X1918),INPC!$B$4:$P$30,MONTH(X1918)+2,0)))</f>
        <v>0</v>
      </c>
      <c r="R1918" s="309">
        <f t="shared" si="515"/>
        <v>0</v>
      </c>
      <c r="S1918" s="310">
        <f t="shared" si="516"/>
        <v>0</v>
      </c>
      <c r="T1918" s="555">
        <f t="shared" si="517"/>
        <v>0</v>
      </c>
      <c r="U1918" s="311"/>
      <c r="V1918" s="312"/>
      <c r="W1918" s="299"/>
      <c r="X1918" s="300"/>
      <c r="Y1918" s="299"/>
      <c r="Z1918" s="303"/>
      <c r="AA1918" s="305">
        <f>IF(Z1918=0,0,IF(Y1918="MXN",1/HLOOKUP(YEAR(X1918)+(MONTH(X1918)/100),TC!$5:$37,DAY(X1918)+2,FALSE),VLOOKUP(Y1918,Equivalencia!$1:$23,((MAX(Equivalencia!$3:$3)-YEAR(X1918))*14)+MONTH(X1918)+2,FALSE)))</f>
        <v>0</v>
      </c>
      <c r="AB1918" s="306">
        <f t="shared" si="518"/>
        <v>0</v>
      </c>
      <c r="AC1918" s="305">
        <f>+IF(X1918=0,0,HLOOKUP(YEAR(X1918)+(MONTH(X1918)/100),TC!$5:$37,DAY(X1918)+2,FALSE))</f>
        <v>0</v>
      </c>
      <c r="AD1918" s="307">
        <f t="shared" si="519"/>
        <v>0</v>
      </c>
      <c r="AE1918" s="314">
        <f t="shared" si="520"/>
        <v>0</v>
      </c>
      <c r="AF1918" s="315">
        <f t="shared" si="521"/>
        <v>0</v>
      </c>
      <c r="AG1918" s="316">
        <f t="shared" si="522"/>
        <v>0</v>
      </c>
      <c r="AH1918" s="314">
        <v>1</v>
      </c>
      <c r="AI1918" s="314">
        <f t="shared" si="523"/>
        <v>0</v>
      </c>
      <c r="AJ1918" s="314">
        <f t="shared" si="524"/>
        <v>0</v>
      </c>
      <c r="AK1918" s="317"/>
      <c r="AL1918" s="315">
        <f t="shared" si="525"/>
        <v>0</v>
      </c>
      <c r="AN1918" s="554">
        <f t="shared" si="526"/>
        <v>0</v>
      </c>
      <c r="AO1918" s="314"/>
      <c r="AP1918" s="318"/>
    </row>
    <row r="1919" spans="2:42">
      <c r="B1919" s="296"/>
      <c r="C1919" s="299"/>
      <c r="D1919" s="298"/>
      <c r="E1919" s="299"/>
      <c r="F1919" s="299"/>
      <c r="G1919" s="300"/>
      <c r="H1919" s="303"/>
      <c r="I1919" s="301">
        <f t="shared" si="510"/>
        <v>0</v>
      </c>
      <c r="J1919" s="302">
        <f t="shared" si="511"/>
        <v>0</v>
      </c>
      <c r="K1919" s="304">
        <f t="shared" si="512"/>
        <v>0</v>
      </c>
      <c r="L1919" s="305">
        <f>IF(H1919=0,0,IF(OR(E1919=$AT$5,E1919=$AT$6),AA1919,IF(F1919="MXN",1/HLOOKUP(YEAR(G1919)+(MONTH(G1919)/100),TC!$5:$37,DAY(G1919)+2,FALSE),VLOOKUP(F1919,Equivalencia!$5:$23,((MAX(Equivalencia!$3:$3)-YEAR(G1919))*14)+MONTH(G1919)+2,FALSE))))</f>
        <v>0</v>
      </c>
      <c r="M1919" s="306">
        <f t="shared" si="513"/>
        <v>0</v>
      </c>
      <c r="N1919" s="305">
        <f>IF(G1919=0,0,(IF(OR(E1919=$AT$5,E1919=$AT$6),AC1919,HLOOKUP(YEAR(G1919)+(MONTH(G1919)/100),TC!$5:$37,DAY(G1919)+2,FALSE))))</f>
        <v>0</v>
      </c>
      <c r="O1919" s="307">
        <f t="shared" si="514"/>
        <v>0</v>
      </c>
      <c r="P1919" s="560">
        <f>IF(G1919=0,0,VLOOKUP(YEAR(G1919),INPC!$B$4:$P$30,MONTH(G1919)+2))</f>
        <v>0</v>
      </c>
      <c r="Q1919" s="560">
        <f>IF(X1919=0,0,IF(OR(E1919=$AT$10,E1919=$AT$9),VLOOKUP(YEAR(X1919),INPC!$B$4:$P$30,MONTH(X1919)+1),VLOOKUP(YEAR(X1919),INPC!$B$4:$P$30,MONTH(X1919)+2,0)))</f>
        <v>0</v>
      </c>
      <c r="R1919" s="309">
        <f t="shared" si="515"/>
        <v>0</v>
      </c>
      <c r="S1919" s="310">
        <f t="shared" si="516"/>
        <v>0</v>
      </c>
      <c r="T1919" s="555">
        <f t="shared" si="517"/>
        <v>0</v>
      </c>
      <c r="U1919" s="311"/>
      <c r="V1919" s="312"/>
      <c r="W1919" s="299"/>
      <c r="X1919" s="300"/>
      <c r="Y1919" s="299"/>
      <c r="Z1919" s="303"/>
      <c r="AA1919" s="305">
        <f>IF(Z1919=0,0,IF(Y1919="MXN",1/HLOOKUP(YEAR(X1919)+(MONTH(X1919)/100),TC!$5:$37,DAY(X1919)+2,FALSE),VLOOKUP(Y1919,Equivalencia!$1:$23,((MAX(Equivalencia!$3:$3)-YEAR(X1919))*14)+MONTH(X1919)+2,FALSE)))</f>
        <v>0</v>
      </c>
      <c r="AB1919" s="306">
        <f t="shared" si="518"/>
        <v>0</v>
      </c>
      <c r="AC1919" s="305">
        <f>+IF(X1919=0,0,HLOOKUP(YEAR(X1919)+(MONTH(X1919)/100),TC!$5:$37,DAY(X1919)+2,FALSE))</f>
        <v>0</v>
      </c>
      <c r="AD1919" s="307">
        <f t="shared" si="519"/>
        <v>0</v>
      </c>
      <c r="AE1919" s="314">
        <f t="shared" si="520"/>
        <v>0</v>
      </c>
      <c r="AF1919" s="315">
        <f t="shared" si="521"/>
        <v>0</v>
      </c>
      <c r="AG1919" s="316">
        <f t="shared" si="522"/>
        <v>0</v>
      </c>
      <c r="AH1919" s="314">
        <v>1</v>
      </c>
      <c r="AI1919" s="314">
        <f t="shared" si="523"/>
        <v>0</v>
      </c>
      <c r="AJ1919" s="314">
        <f t="shared" si="524"/>
        <v>0</v>
      </c>
      <c r="AK1919" s="317"/>
      <c r="AL1919" s="315">
        <f t="shared" si="525"/>
        <v>0</v>
      </c>
      <c r="AN1919" s="554">
        <f t="shared" si="526"/>
        <v>0</v>
      </c>
      <c r="AO1919" s="314"/>
      <c r="AP1919" s="318"/>
    </row>
    <row r="1920" spans="2:42">
      <c r="B1920" s="296"/>
      <c r="C1920" s="299"/>
      <c r="D1920" s="298"/>
      <c r="E1920" s="299"/>
      <c r="F1920" s="299"/>
      <c r="G1920" s="300"/>
      <c r="H1920" s="303"/>
      <c r="I1920" s="301">
        <f t="shared" si="510"/>
        <v>0</v>
      </c>
      <c r="J1920" s="302">
        <f t="shared" si="511"/>
        <v>0</v>
      </c>
      <c r="K1920" s="304">
        <f t="shared" si="512"/>
        <v>0</v>
      </c>
      <c r="L1920" s="305">
        <f>IF(H1920=0,0,IF(OR(E1920=$AT$5,E1920=$AT$6),AA1920,IF(F1920="MXN",1/HLOOKUP(YEAR(G1920)+(MONTH(G1920)/100),TC!$5:$37,DAY(G1920)+2,FALSE),VLOOKUP(F1920,Equivalencia!$5:$23,((MAX(Equivalencia!$3:$3)-YEAR(G1920))*14)+MONTH(G1920)+2,FALSE))))</f>
        <v>0</v>
      </c>
      <c r="M1920" s="306">
        <f t="shared" si="513"/>
        <v>0</v>
      </c>
      <c r="N1920" s="305">
        <f>IF(G1920=0,0,(IF(OR(E1920=$AT$5,E1920=$AT$6),AC1920,HLOOKUP(YEAR(G1920)+(MONTH(G1920)/100),TC!$5:$37,DAY(G1920)+2,FALSE))))</f>
        <v>0</v>
      </c>
      <c r="O1920" s="307">
        <f t="shared" si="514"/>
        <v>0</v>
      </c>
      <c r="P1920" s="560">
        <f>IF(G1920=0,0,VLOOKUP(YEAR(G1920),INPC!$B$4:$P$30,MONTH(G1920)+2))</f>
        <v>0</v>
      </c>
      <c r="Q1920" s="560">
        <f>IF(X1920=0,0,IF(OR(E1920=$AT$10,E1920=$AT$9),VLOOKUP(YEAR(X1920),INPC!$B$4:$P$30,MONTH(X1920)+1),VLOOKUP(YEAR(X1920),INPC!$B$4:$P$30,MONTH(X1920)+2,0)))</f>
        <v>0</v>
      </c>
      <c r="R1920" s="309">
        <f t="shared" si="515"/>
        <v>0</v>
      </c>
      <c r="S1920" s="310">
        <f t="shared" si="516"/>
        <v>0</v>
      </c>
      <c r="T1920" s="555">
        <f t="shared" si="517"/>
        <v>0</v>
      </c>
      <c r="U1920" s="311"/>
      <c r="V1920" s="312"/>
      <c r="W1920" s="299"/>
      <c r="X1920" s="300"/>
      <c r="Y1920" s="299"/>
      <c r="Z1920" s="303"/>
      <c r="AA1920" s="305">
        <f>IF(Z1920=0,0,IF(Y1920="MXN",1/HLOOKUP(YEAR(X1920)+(MONTH(X1920)/100),TC!$5:$37,DAY(X1920)+2,FALSE),VLOOKUP(Y1920,Equivalencia!$1:$23,((MAX(Equivalencia!$3:$3)-YEAR(X1920))*14)+MONTH(X1920)+2,FALSE)))</f>
        <v>0</v>
      </c>
      <c r="AB1920" s="306">
        <f t="shared" si="518"/>
        <v>0</v>
      </c>
      <c r="AC1920" s="305">
        <f>+IF(X1920=0,0,HLOOKUP(YEAR(X1920)+(MONTH(X1920)/100),TC!$5:$37,DAY(X1920)+2,FALSE))</f>
        <v>0</v>
      </c>
      <c r="AD1920" s="307">
        <f t="shared" si="519"/>
        <v>0</v>
      </c>
      <c r="AE1920" s="314">
        <f t="shared" si="520"/>
        <v>0</v>
      </c>
      <c r="AF1920" s="315">
        <f t="shared" si="521"/>
        <v>0</v>
      </c>
      <c r="AG1920" s="316">
        <f t="shared" si="522"/>
        <v>0</v>
      </c>
      <c r="AH1920" s="314">
        <v>1</v>
      </c>
      <c r="AI1920" s="314">
        <f t="shared" si="523"/>
        <v>0</v>
      </c>
      <c r="AJ1920" s="314">
        <f t="shared" si="524"/>
        <v>0</v>
      </c>
      <c r="AK1920" s="317"/>
      <c r="AL1920" s="315">
        <f t="shared" si="525"/>
        <v>0</v>
      </c>
      <c r="AN1920" s="554">
        <f t="shared" si="526"/>
        <v>0</v>
      </c>
      <c r="AO1920" s="314"/>
      <c r="AP1920" s="318"/>
    </row>
    <row r="1921" spans="2:42">
      <c r="B1921" s="296"/>
      <c r="C1921" s="299"/>
      <c r="D1921" s="298"/>
      <c r="E1921" s="299"/>
      <c r="F1921" s="299"/>
      <c r="G1921" s="300"/>
      <c r="H1921" s="303"/>
      <c r="I1921" s="301">
        <f t="shared" si="510"/>
        <v>0</v>
      </c>
      <c r="J1921" s="302">
        <f t="shared" si="511"/>
        <v>0</v>
      </c>
      <c r="K1921" s="304">
        <f t="shared" si="512"/>
        <v>0</v>
      </c>
      <c r="L1921" s="305">
        <f>IF(H1921=0,0,IF(OR(E1921=$AT$5,E1921=$AT$6),AA1921,IF(F1921="MXN",1/HLOOKUP(YEAR(G1921)+(MONTH(G1921)/100),TC!$5:$37,DAY(G1921)+2,FALSE),VLOOKUP(F1921,Equivalencia!$5:$23,((MAX(Equivalencia!$3:$3)-YEAR(G1921))*14)+MONTH(G1921)+2,FALSE))))</f>
        <v>0</v>
      </c>
      <c r="M1921" s="306">
        <f t="shared" si="513"/>
        <v>0</v>
      </c>
      <c r="N1921" s="305">
        <f>IF(G1921=0,0,(IF(OR(E1921=$AT$5,E1921=$AT$6),AC1921,HLOOKUP(YEAR(G1921)+(MONTH(G1921)/100),TC!$5:$37,DAY(G1921)+2,FALSE))))</f>
        <v>0</v>
      </c>
      <c r="O1921" s="307">
        <f t="shared" si="514"/>
        <v>0</v>
      </c>
      <c r="P1921" s="560">
        <f>IF(G1921=0,0,VLOOKUP(YEAR(G1921),INPC!$B$4:$P$30,MONTH(G1921)+2))</f>
        <v>0</v>
      </c>
      <c r="Q1921" s="560">
        <f>IF(X1921=0,0,IF(OR(E1921=$AT$10,E1921=$AT$9),VLOOKUP(YEAR(X1921),INPC!$B$4:$P$30,MONTH(X1921)+1),VLOOKUP(YEAR(X1921),INPC!$B$4:$P$30,MONTH(X1921)+2,0)))</f>
        <v>0</v>
      </c>
      <c r="R1921" s="309">
        <f t="shared" si="515"/>
        <v>0</v>
      </c>
      <c r="S1921" s="310">
        <f t="shared" si="516"/>
        <v>0</v>
      </c>
      <c r="T1921" s="555">
        <f t="shared" si="517"/>
        <v>0</v>
      </c>
      <c r="U1921" s="311"/>
      <c r="V1921" s="312"/>
      <c r="W1921" s="299"/>
      <c r="X1921" s="300"/>
      <c r="Y1921" s="299"/>
      <c r="Z1921" s="303"/>
      <c r="AA1921" s="305">
        <f>IF(Z1921=0,0,IF(Y1921="MXN",1/HLOOKUP(YEAR(X1921)+(MONTH(X1921)/100),TC!$5:$37,DAY(X1921)+2,FALSE),VLOOKUP(Y1921,Equivalencia!$1:$23,((MAX(Equivalencia!$3:$3)-YEAR(X1921))*14)+MONTH(X1921)+2,FALSE)))</f>
        <v>0</v>
      </c>
      <c r="AB1921" s="306">
        <f t="shared" si="518"/>
        <v>0</v>
      </c>
      <c r="AC1921" s="305">
        <f>+IF(X1921=0,0,HLOOKUP(YEAR(X1921)+(MONTH(X1921)/100),TC!$5:$37,DAY(X1921)+2,FALSE))</f>
        <v>0</v>
      </c>
      <c r="AD1921" s="307">
        <f t="shared" si="519"/>
        <v>0</v>
      </c>
      <c r="AE1921" s="314">
        <f t="shared" si="520"/>
        <v>0</v>
      </c>
      <c r="AF1921" s="315">
        <f t="shared" si="521"/>
        <v>0</v>
      </c>
      <c r="AG1921" s="316">
        <f t="shared" si="522"/>
        <v>0</v>
      </c>
      <c r="AH1921" s="314">
        <v>1</v>
      </c>
      <c r="AI1921" s="314">
        <f t="shared" si="523"/>
        <v>0</v>
      </c>
      <c r="AJ1921" s="314">
        <f t="shared" si="524"/>
        <v>0</v>
      </c>
      <c r="AK1921" s="317"/>
      <c r="AL1921" s="315">
        <f t="shared" si="525"/>
        <v>0</v>
      </c>
      <c r="AN1921" s="554">
        <f t="shared" si="526"/>
        <v>0</v>
      </c>
      <c r="AO1921" s="314"/>
      <c r="AP1921" s="318"/>
    </row>
    <row r="1922" spans="2:42">
      <c r="B1922" s="296"/>
      <c r="C1922" s="299"/>
      <c r="D1922" s="298"/>
      <c r="E1922" s="299"/>
      <c r="F1922" s="299"/>
      <c r="G1922" s="300"/>
      <c r="H1922" s="303"/>
      <c r="I1922" s="301">
        <f t="shared" si="510"/>
        <v>0</v>
      </c>
      <c r="J1922" s="302">
        <f t="shared" si="511"/>
        <v>0</v>
      </c>
      <c r="K1922" s="304">
        <f t="shared" si="512"/>
        <v>0</v>
      </c>
      <c r="L1922" s="305">
        <f>IF(H1922=0,0,IF(OR(E1922=$AT$5,E1922=$AT$6),AA1922,IF(F1922="MXN",1/HLOOKUP(YEAR(G1922)+(MONTH(G1922)/100),TC!$5:$37,DAY(G1922)+2,FALSE),VLOOKUP(F1922,Equivalencia!$5:$23,((MAX(Equivalencia!$3:$3)-YEAR(G1922))*14)+MONTH(G1922)+2,FALSE))))</f>
        <v>0</v>
      </c>
      <c r="M1922" s="306">
        <f t="shared" si="513"/>
        <v>0</v>
      </c>
      <c r="N1922" s="305">
        <f>IF(G1922=0,0,(IF(OR(E1922=$AT$5,E1922=$AT$6),AC1922,HLOOKUP(YEAR(G1922)+(MONTH(G1922)/100),TC!$5:$37,DAY(G1922)+2,FALSE))))</f>
        <v>0</v>
      </c>
      <c r="O1922" s="307">
        <f t="shared" si="514"/>
        <v>0</v>
      </c>
      <c r="P1922" s="560">
        <f>IF(G1922=0,0,VLOOKUP(YEAR(G1922),INPC!$B$4:$P$30,MONTH(G1922)+2))</f>
        <v>0</v>
      </c>
      <c r="Q1922" s="560">
        <f>IF(X1922=0,0,IF(OR(E1922=$AT$10,E1922=$AT$9),VLOOKUP(YEAR(X1922),INPC!$B$4:$P$30,MONTH(X1922)+1),VLOOKUP(YEAR(X1922),INPC!$B$4:$P$30,MONTH(X1922)+2,0)))</f>
        <v>0</v>
      </c>
      <c r="R1922" s="309">
        <f t="shared" si="515"/>
        <v>0</v>
      </c>
      <c r="S1922" s="310">
        <f t="shared" si="516"/>
        <v>0</v>
      </c>
      <c r="T1922" s="555">
        <f t="shared" si="517"/>
        <v>0</v>
      </c>
      <c r="U1922" s="311"/>
      <c r="V1922" s="312"/>
      <c r="W1922" s="299"/>
      <c r="X1922" s="300"/>
      <c r="Y1922" s="299"/>
      <c r="Z1922" s="303"/>
      <c r="AA1922" s="305">
        <f>IF(Z1922=0,0,IF(Y1922="MXN",1/HLOOKUP(YEAR(X1922)+(MONTH(X1922)/100),TC!$5:$37,DAY(X1922)+2,FALSE),VLOOKUP(Y1922,Equivalencia!$1:$23,((MAX(Equivalencia!$3:$3)-YEAR(X1922))*14)+MONTH(X1922)+2,FALSE)))</f>
        <v>0</v>
      </c>
      <c r="AB1922" s="306">
        <f t="shared" si="518"/>
        <v>0</v>
      </c>
      <c r="AC1922" s="305">
        <f>+IF(X1922=0,0,HLOOKUP(YEAR(X1922)+(MONTH(X1922)/100),TC!$5:$37,DAY(X1922)+2,FALSE))</f>
        <v>0</v>
      </c>
      <c r="AD1922" s="307">
        <f t="shared" si="519"/>
        <v>0</v>
      </c>
      <c r="AE1922" s="314">
        <f t="shared" si="520"/>
        <v>0</v>
      </c>
      <c r="AF1922" s="315">
        <f t="shared" si="521"/>
        <v>0</v>
      </c>
      <c r="AG1922" s="316">
        <f t="shared" si="522"/>
        <v>0</v>
      </c>
      <c r="AH1922" s="314">
        <v>1</v>
      </c>
      <c r="AI1922" s="314">
        <f t="shared" si="523"/>
        <v>0</v>
      </c>
      <c r="AJ1922" s="314">
        <f t="shared" si="524"/>
        <v>0</v>
      </c>
      <c r="AK1922" s="317"/>
      <c r="AL1922" s="315">
        <f t="shared" si="525"/>
        <v>0</v>
      </c>
      <c r="AN1922" s="554">
        <f t="shared" si="526"/>
        <v>0</v>
      </c>
      <c r="AO1922" s="314"/>
      <c r="AP1922" s="318"/>
    </row>
    <row r="1923" spans="2:42">
      <c r="B1923" s="296"/>
      <c r="C1923" s="299"/>
      <c r="D1923" s="298"/>
      <c r="E1923" s="299"/>
      <c r="F1923" s="299"/>
      <c r="G1923" s="300"/>
      <c r="H1923" s="303"/>
      <c r="I1923" s="301">
        <f t="shared" si="510"/>
        <v>0</v>
      </c>
      <c r="J1923" s="302">
        <f t="shared" si="511"/>
        <v>0</v>
      </c>
      <c r="K1923" s="304">
        <f t="shared" si="512"/>
        <v>0</v>
      </c>
      <c r="L1923" s="305">
        <f>IF(H1923=0,0,IF(OR(E1923=$AT$5,E1923=$AT$6),AA1923,IF(F1923="MXN",1/HLOOKUP(YEAR(G1923)+(MONTH(G1923)/100),TC!$5:$37,DAY(G1923)+2,FALSE),VLOOKUP(F1923,Equivalencia!$5:$23,((MAX(Equivalencia!$3:$3)-YEAR(G1923))*14)+MONTH(G1923)+2,FALSE))))</f>
        <v>0</v>
      </c>
      <c r="M1923" s="306">
        <f t="shared" si="513"/>
        <v>0</v>
      </c>
      <c r="N1923" s="305">
        <f>IF(G1923=0,0,(IF(OR(E1923=$AT$5,E1923=$AT$6),AC1923,HLOOKUP(YEAR(G1923)+(MONTH(G1923)/100),TC!$5:$37,DAY(G1923)+2,FALSE))))</f>
        <v>0</v>
      </c>
      <c r="O1923" s="307">
        <f t="shared" si="514"/>
        <v>0</v>
      </c>
      <c r="P1923" s="560">
        <f>IF(G1923=0,0,VLOOKUP(YEAR(G1923),INPC!$B$4:$P$30,MONTH(G1923)+2))</f>
        <v>0</v>
      </c>
      <c r="Q1923" s="560">
        <f>IF(X1923=0,0,IF(OR(E1923=$AT$10,E1923=$AT$9),VLOOKUP(YEAR(X1923),INPC!$B$4:$P$30,MONTH(X1923)+1),VLOOKUP(YEAR(X1923),INPC!$B$4:$P$30,MONTH(X1923)+2,0)))</f>
        <v>0</v>
      </c>
      <c r="R1923" s="309">
        <f t="shared" si="515"/>
        <v>0</v>
      </c>
      <c r="S1923" s="310">
        <f t="shared" si="516"/>
        <v>0</v>
      </c>
      <c r="T1923" s="555">
        <f t="shared" si="517"/>
        <v>0</v>
      </c>
      <c r="U1923" s="311"/>
      <c r="V1923" s="312"/>
      <c r="W1923" s="299"/>
      <c r="X1923" s="300"/>
      <c r="Y1923" s="299"/>
      <c r="Z1923" s="303"/>
      <c r="AA1923" s="305">
        <f>IF(Z1923=0,0,IF(Y1923="MXN",1/HLOOKUP(YEAR(X1923)+(MONTH(X1923)/100),TC!$5:$37,DAY(X1923)+2,FALSE),VLOOKUP(Y1923,Equivalencia!$1:$23,((MAX(Equivalencia!$3:$3)-YEAR(X1923))*14)+MONTH(X1923)+2,FALSE)))</f>
        <v>0</v>
      </c>
      <c r="AB1923" s="306">
        <f t="shared" si="518"/>
        <v>0</v>
      </c>
      <c r="AC1923" s="305">
        <f>+IF(X1923=0,0,HLOOKUP(YEAR(X1923)+(MONTH(X1923)/100),TC!$5:$37,DAY(X1923)+2,FALSE))</f>
        <v>0</v>
      </c>
      <c r="AD1923" s="307">
        <f t="shared" si="519"/>
        <v>0</v>
      </c>
      <c r="AE1923" s="314">
        <f t="shared" si="520"/>
        <v>0</v>
      </c>
      <c r="AF1923" s="315">
        <f t="shared" si="521"/>
        <v>0</v>
      </c>
      <c r="AG1923" s="316">
        <f t="shared" si="522"/>
        <v>0</v>
      </c>
      <c r="AH1923" s="314">
        <v>1</v>
      </c>
      <c r="AI1923" s="314">
        <f t="shared" si="523"/>
        <v>0</v>
      </c>
      <c r="AJ1923" s="314">
        <f t="shared" si="524"/>
        <v>0</v>
      </c>
      <c r="AK1923" s="317"/>
      <c r="AL1923" s="315">
        <f t="shared" si="525"/>
        <v>0</v>
      </c>
      <c r="AN1923" s="554">
        <f t="shared" si="526"/>
        <v>0</v>
      </c>
      <c r="AO1923" s="314"/>
      <c r="AP1923" s="318"/>
    </row>
    <row r="1924" spans="2:42">
      <c r="B1924" s="296"/>
      <c r="C1924" s="299"/>
      <c r="D1924" s="298"/>
      <c r="E1924" s="299"/>
      <c r="F1924" s="299"/>
      <c r="G1924" s="300"/>
      <c r="H1924" s="303"/>
      <c r="I1924" s="301">
        <f t="shared" si="510"/>
        <v>0</v>
      </c>
      <c r="J1924" s="302">
        <f t="shared" si="511"/>
        <v>0</v>
      </c>
      <c r="K1924" s="304">
        <f t="shared" si="512"/>
        <v>0</v>
      </c>
      <c r="L1924" s="305">
        <f>IF(H1924=0,0,IF(OR(E1924=$AT$5,E1924=$AT$6),AA1924,IF(F1924="MXN",1/HLOOKUP(YEAR(G1924)+(MONTH(G1924)/100),TC!$5:$37,DAY(G1924)+2,FALSE),VLOOKUP(F1924,Equivalencia!$5:$23,((MAX(Equivalencia!$3:$3)-YEAR(G1924))*14)+MONTH(G1924)+2,FALSE))))</f>
        <v>0</v>
      </c>
      <c r="M1924" s="306">
        <f t="shared" si="513"/>
        <v>0</v>
      </c>
      <c r="N1924" s="305">
        <f>IF(G1924=0,0,(IF(OR(E1924=$AT$5,E1924=$AT$6),AC1924,HLOOKUP(YEAR(G1924)+(MONTH(G1924)/100),TC!$5:$37,DAY(G1924)+2,FALSE))))</f>
        <v>0</v>
      </c>
      <c r="O1924" s="307">
        <f t="shared" si="514"/>
        <v>0</v>
      </c>
      <c r="P1924" s="560">
        <f>IF(G1924=0,0,VLOOKUP(YEAR(G1924),INPC!$B$4:$P$30,MONTH(G1924)+2))</f>
        <v>0</v>
      </c>
      <c r="Q1924" s="560">
        <f>IF(X1924=0,0,IF(OR(E1924=$AT$10,E1924=$AT$9),VLOOKUP(YEAR(X1924),INPC!$B$4:$P$30,MONTH(X1924)+1),VLOOKUP(YEAR(X1924),INPC!$B$4:$P$30,MONTH(X1924)+2,0)))</f>
        <v>0</v>
      </c>
      <c r="R1924" s="309">
        <f t="shared" si="515"/>
        <v>0</v>
      </c>
      <c r="S1924" s="310">
        <f t="shared" si="516"/>
        <v>0</v>
      </c>
      <c r="T1924" s="555">
        <f t="shared" si="517"/>
        <v>0</v>
      </c>
      <c r="U1924" s="311"/>
      <c r="V1924" s="312"/>
      <c r="W1924" s="299"/>
      <c r="X1924" s="300"/>
      <c r="Y1924" s="299"/>
      <c r="Z1924" s="303"/>
      <c r="AA1924" s="305">
        <f>IF(Z1924=0,0,IF(Y1924="MXN",1/HLOOKUP(YEAR(X1924)+(MONTH(X1924)/100),TC!$5:$37,DAY(X1924)+2,FALSE),VLOOKUP(Y1924,Equivalencia!$1:$23,((MAX(Equivalencia!$3:$3)-YEAR(X1924))*14)+MONTH(X1924)+2,FALSE)))</f>
        <v>0</v>
      </c>
      <c r="AB1924" s="306">
        <f t="shared" si="518"/>
        <v>0</v>
      </c>
      <c r="AC1924" s="305">
        <f>+IF(X1924=0,0,HLOOKUP(YEAR(X1924)+(MONTH(X1924)/100),TC!$5:$37,DAY(X1924)+2,FALSE))</f>
        <v>0</v>
      </c>
      <c r="AD1924" s="307">
        <f t="shared" si="519"/>
        <v>0</v>
      </c>
      <c r="AE1924" s="314">
        <f t="shared" si="520"/>
        <v>0</v>
      </c>
      <c r="AF1924" s="315">
        <f t="shared" si="521"/>
        <v>0</v>
      </c>
      <c r="AG1924" s="316">
        <f t="shared" si="522"/>
        <v>0</v>
      </c>
      <c r="AH1924" s="314">
        <v>1</v>
      </c>
      <c r="AI1924" s="314">
        <f t="shared" si="523"/>
        <v>0</v>
      </c>
      <c r="AJ1924" s="314">
        <f t="shared" si="524"/>
        <v>0</v>
      </c>
      <c r="AK1924" s="317"/>
      <c r="AL1924" s="315">
        <f t="shared" si="525"/>
        <v>0</v>
      </c>
      <c r="AN1924" s="554">
        <f t="shared" si="526"/>
        <v>0</v>
      </c>
      <c r="AO1924" s="314"/>
      <c r="AP1924" s="318"/>
    </row>
    <row r="1925" spans="2:42">
      <c r="B1925" s="296"/>
      <c r="C1925" s="299"/>
      <c r="D1925" s="298"/>
      <c r="E1925" s="299"/>
      <c r="F1925" s="299"/>
      <c r="G1925" s="300"/>
      <c r="H1925" s="303"/>
      <c r="I1925" s="301">
        <f t="shared" si="510"/>
        <v>0</v>
      </c>
      <c r="J1925" s="302">
        <f t="shared" si="511"/>
        <v>0</v>
      </c>
      <c r="K1925" s="304">
        <f t="shared" si="512"/>
        <v>0</v>
      </c>
      <c r="L1925" s="305">
        <f>IF(H1925=0,0,IF(OR(E1925=$AT$5,E1925=$AT$6),AA1925,IF(F1925="MXN",1/HLOOKUP(YEAR(G1925)+(MONTH(G1925)/100),TC!$5:$37,DAY(G1925)+2,FALSE),VLOOKUP(F1925,Equivalencia!$5:$23,((MAX(Equivalencia!$3:$3)-YEAR(G1925))*14)+MONTH(G1925)+2,FALSE))))</f>
        <v>0</v>
      </c>
      <c r="M1925" s="306">
        <f t="shared" si="513"/>
        <v>0</v>
      </c>
      <c r="N1925" s="305">
        <f>IF(G1925=0,0,(IF(OR(E1925=$AT$5,E1925=$AT$6),AC1925,HLOOKUP(YEAR(G1925)+(MONTH(G1925)/100),TC!$5:$37,DAY(G1925)+2,FALSE))))</f>
        <v>0</v>
      </c>
      <c r="O1925" s="307">
        <f t="shared" si="514"/>
        <v>0</v>
      </c>
      <c r="P1925" s="560">
        <f>IF(G1925=0,0,VLOOKUP(YEAR(G1925),INPC!$B$4:$P$30,MONTH(G1925)+2))</f>
        <v>0</v>
      </c>
      <c r="Q1925" s="560">
        <f>IF(X1925=0,0,IF(OR(E1925=$AT$10,E1925=$AT$9),VLOOKUP(YEAR(X1925),INPC!$B$4:$P$30,MONTH(X1925)+1),VLOOKUP(YEAR(X1925),INPC!$B$4:$P$30,MONTH(X1925)+2,0)))</f>
        <v>0</v>
      </c>
      <c r="R1925" s="309">
        <f t="shared" si="515"/>
        <v>0</v>
      </c>
      <c r="S1925" s="310">
        <f t="shared" si="516"/>
        <v>0</v>
      </c>
      <c r="T1925" s="555">
        <f t="shared" si="517"/>
        <v>0</v>
      </c>
      <c r="U1925" s="311"/>
      <c r="V1925" s="312"/>
      <c r="W1925" s="299"/>
      <c r="X1925" s="300"/>
      <c r="Y1925" s="299"/>
      <c r="Z1925" s="303"/>
      <c r="AA1925" s="305">
        <f>IF(Z1925=0,0,IF(Y1925="MXN",1/HLOOKUP(YEAR(X1925)+(MONTH(X1925)/100),TC!$5:$37,DAY(X1925)+2,FALSE),VLOOKUP(Y1925,Equivalencia!$1:$23,((MAX(Equivalencia!$3:$3)-YEAR(X1925))*14)+MONTH(X1925)+2,FALSE)))</f>
        <v>0</v>
      </c>
      <c r="AB1925" s="306">
        <f t="shared" si="518"/>
        <v>0</v>
      </c>
      <c r="AC1925" s="305">
        <f>+IF(X1925=0,0,HLOOKUP(YEAR(X1925)+(MONTH(X1925)/100),TC!$5:$37,DAY(X1925)+2,FALSE))</f>
        <v>0</v>
      </c>
      <c r="AD1925" s="307">
        <f t="shared" si="519"/>
        <v>0</v>
      </c>
      <c r="AE1925" s="314">
        <f t="shared" si="520"/>
        <v>0</v>
      </c>
      <c r="AF1925" s="315">
        <f t="shared" si="521"/>
        <v>0</v>
      </c>
      <c r="AG1925" s="316">
        <f t="shared" si="522"/>
        <v>0</v>
      </c>
      <c r="AH1925" s="314">
        <v>1</v>
      </c>
      <c r="AI1925" s="314">
        <f t="shared" si="523"/>
        <v>0</v>
      </c>
      <c r="AJ1925" s="314">
        <f t="shared" si="524"/>
        <v>0</v>
      </c>
      <c r="AK1925" s="317"/>
      <c r="AL1925" s="315">
        <f t="shared" si="525"/>
        <v>0</v>
      </c>
      <c r="AN1925" s="554">
        <f t="shared" si="526"/>
        <v>0</v>
      </c>
      <c r="AO1925" s="314"/>
      <c r="AP1925" s="318"/>
    </row>
    <row r="1926" spans="2:42">
      <c r="B1926" s="296"/>
      <c r="C1926" s="299"/>
      <c r="D1926" s="298"/>
      <c r="E1926" s="299"/>
      <c r="F1926" s="299"/>
      <c r="G1926" s="300"/>
      <c r="H1926" s="303"/>
      <c r="I1926" s="301">
        <f t="shared" si="510"/>
        <v>0</v>
      </c>
      <c r="J1926" s="302">
        <f t="shared" si="511"/>
        <v>0</v>
      </c>
      <c r="K1926" s="304">
        <f t="shared" si="512"/>
        <v>0</v>
      </c>
      <c r="L1926" s="305">
        <f>IF(H1926=0,0,IF(OR(E1926=$AT$5,E1926=$AT$6),AA1926,IF(F1926="MXN",1/HLOOKUP(YEAR(G1926)+(MONTH(G1926)/100),TC!$5:$37,DAY(G1926)+2,FALSE),VLOOKUP(F1926,Equivalencia!$5:$23,((MAX(Equivalencia!$3:$3)-YEAR(G1926))*14)+MONTH(G1926)+2,FALSE))))</f>
        <v>0</v>
      </c>
      <c r="M1926" s="306">
        <f t="shared" si="513"/>
        <v>0</v>
      </c>
      <c r="N1926" s="305">
        <f>IF(G1926=0,0,(IF(OR(E1926=$AT$5,E1926=$AT$6),AC1926,HLOOKUP(YEAR(G1926)+(MONTH(G1926)/100),TC!$5:$37,DAY(G1926)+2,FALSE))))</f>
        <v>0</v>
      </c>
      <c r="O1926" s="307">
        <f t="shared" si="514"/>
        <v>0</v>
      </c>
      <c r="P1926" s="560">
        <f>IF(G1926=0,0,VLOOKUP(YEAR(G1926),INPC!$B$4:$P$30,MONTH(G1926)+2))</f>
        <v>0</v>
      </c>
      <c r="Q1926" s="560">
        <f>IF(X1926=0,0,IF(OR(E1926=$AT$10,E1926=$AT$9),VLOOKUP(YEAR(X1926),INPC!$B$4:$P$30,MONTH(X1926)+1),VLOOKUP(YEAR(X1926),INPC!$B$4:$P$30,MONTH(X1926)+2,0)))</f>
        <v>0</v>
      </c>
      <c r="R1926" s="309">
        <f t="shared" si="515"/>
        <v>0</v>
      </c>
      <c r="S1926" s="310">
        <f t="shared" si="516"/>
        <v>0</v>
      </c>
      <c r="T1926" s="555">
        <f t="shared" si="517"/>
        <v>0</v>
      </c>
      <c r="U1926" s="311"/>
      <c r="V1926" s="312"/>
      <c r="W1926" s="299"/>
      <c r="X1926" s="300"/>
      <c r="Y1926" s="299"/>
      <c r="Z1926" s="303"/>
      <c r="AA1926" s="305">
        <f>IF(Z1926=0,0,IF(Y1926="MXN",1/HLOOKUP(YEAR(X1926)+(MONTH(X1926)/100),TC!$5:$37,DAY(X1926)+2,FALSE),VLOOKUP(Y1926,Equivalencia!$1:$23,((MAX(Equivalencia!$3:$3)-YEAR(X1926))*14)+MONTH(X1926)+2,FALSE)))</f>
        <v>0</v>
      </c>
      <c r="AB1926" s="306">
        <f t="shared" si="518"/>
        <v>0</v>
      </c>
      <c r="AC1926" s="305">
        <f>+IF(X1926=0,0,HLOOKUP(YEAR(X1926)+(MONTH(X1926)/100),TC!$5:$37,DAY(X1926)+2,FALSE))</f>
        <v>0</v>
      </c>
      <c r="AD1926" s="307">
        <f t="shared" si="519"/>
        <v>0</v>
      </c>
      <c r="AE1926" s="314">
        <f t="shared" si="520"/>
        <v>0</v>
      </c>
      <c r="AF1926" s="315">
        <f t="shared" si="521"/>
        <v>0</v>
      </c>
      <c r="AG1926" s="316">
        <f t="shared" si="522"/>
        <v>0</v>
      </c>
      <c r="AH1926" s="314">
        <v>1</v>
      </c>
      <c r="AI1926" s="314">
        <f t="shared" si="523"/>
        <v>0</v>
      </c>
      <c r="AJ1926" s="314">
        <f t="shared" si="524"/>
        <v>0</v>
      </c>
      <c r="AK1926" s="317"/>
      <c r="AL1926" s="315">
        <f t="shared" si="525"/>
        <v>0</v>
      </c>
      <c r="AN1926" s="554">
        <f t="shared" si="526"/>
        <v>0</v>
      </c>
      <c r="AO1926" s="314"/>
      <c r="AP1926" s="318"/>
    </row>
    <row r="1927" spans="2:42">
      <c r="B1927" s="296"/>
      <c r="C1927" s="299"/>
      <c r="D1927" s="298"/>
      <c r="E1927" s="299"/>
      <c r="F1927" s="299"/>
      <c r="G1927" s="300"/>
      <c r="H1927" s="303"/>
      <c r="I1927" s="301">
        <f t="shared" si="510"/>
        <v>0</v>
      </c>
      <c r="J1927" s="302">
        <f t="shared" si="511"/>
        <v>0</v>
      </c>
      <c r="K1927" s="304">
        <f t="shared" si="512"/>
        <v>0</v>
      </c>
      <c r="L1927" s="305">
        <f>IF(H1927=0,0,IF(OR(E1927=$AT$5,E1927=$AT$6),AA1927,IF(F1927="MXN",1/HLOOKUP(YEAR(G1927)+(MONTH(G1927)/100),TC!$5:$37,DAY(G1927)+2,FALSE),VLOOKUP(F1927,Equivalencia!$5:$23,((MAX(Equivalencia!$3:$3)-YEAR(G1927))*14)+MONTH(G1927)+2,FALSE))))</f>
        <v>0</v>
      </c>
      <c r="M1927" s="306">
        <f t="shared" si="513"/>
        <v>0</v>
      </c>
      <c r="N1927" s="305">
        <f>IF(G1927=0,0,(IF(OR(E1927=$AT$5,E1927=$AT$6),AC1927,HLOOKUP(YEAR(G1927)+(MONTH(G1927)/100),TC!$5:$37,DAY(G1927)+2,FALSE))))</f>
        <v>0</v>
      </c>
      <c r="O1927" s="307">
        <f t="shared" si="514"/>
        <v>0</v>
      </c>
      <c r="P1927" s="560">
        <f>IF(G1927=0,0,VLOOKUP(YEAR(G1927),INPC!$B$4:$P$30,MONTH(G1927)+2))</f>
        <v>0</v>
      </c>
      <c r="Q1927" s="560">
        <f>IF(X1927=0,0,IF(OR(E1927=$AT$10,E1927=$AT$9),VLOOKUP(YEAR(X1927),INPC!$B$4:$P$30,MONTH(X1927)+1),VLOOKUP(YEAR(X1927),INPC!$B$4:$P$30,MONTH(X1927)+2,0)))</f>
        <v>0</v>
      </c>
      <c r="R1927" s="309">
        <f t="shared" si="515"/>
        <v>0</v>
      </c>
      <c r="S1927" s="310">
        <f t="shared" si="516"/>
        <v>0</v>
      </c>
      <c r="T1927" s="555">
        <f t="shared" si="517"/>
        <v>0</v>
      </c>
      <c r="U1927" s="311"/>
      <c r="V1927" s="312"/>
      <c r="W1927" s="299"/>
      <c r="X1927" s="300"/>
      <c r="Y1927" s="299"/>
      <c r="Z1927" s="303"/>
      <c r="AA1927" s="305">
        <f>IF(Z1927=0,0,IF(Y1927="MXN",1/HLOOKUP(YEAR(X1927)+(MONTH(X1927)/100),TC!$5:$37,DAY(X1927)+2,FALSE),VLOOKUP(Y1927,Equivalencia!$1:$23,((MAX(Equivalencia!$3:$3)-YEAR(X1927))*14)+MONTH(X1927)+2,FALSE)))</f>
        <v>0</v>
      </c>
      <c r="AB1927" s="306">
        <f t="shared" si="518"/>
        <v>0</v>
      </c>
      <c r="AC1927" s="305">
        <f>+IF(X1927=0,0,HLOOKUP(YEAR(X1927)+(MONTH(X1927)/100),TC!$5:$37,DAY(X1927)+2,FALSE))</f>
        <v>0</v>
      </c>
      <c r="AD1927" s="307">
        <f t="shared" si="519"/>
        <v>0</v>
      </c>
      <c r="AE1927" s="314">
        <f t="shared" si="520"/>
        <v>0</v>
      </c>
      <c r="AF1927" s="315">
        <f t="shared" si="521"/>
        <v>0</v>
      </c>
      <c r="AG1927" s="316">
        <f t="shared" si="522"/>
        <v>0</v>
      </c>
      <c r="AH1927" s="314">
        <v>1</v>
      </c>
      <c r="AI1927" s="314">
        <f t="shared" si="523"/>
        <v>0</v>
      </c>
      <c r="AJ1927" s="314">
        <f t="shared" si="524"/>
        <v>0</v>
      </c>
      <c r="AK1927" s="317"/>
      <c r="AL1927" s="315">
        <f t="shared" si="525"/>
        <v>0</v>
      </c>
      <c r="AN1927" s="554">
        <f t="shared" si="526"/>
        <v>0</v>
      </c>
      <c r="AO1927" s="314"/>
      <c r="AP1927" s="318"/>
    </row>
    <row r="1928" spans="2:42">
      <c r="B1928" s="296"/>
      <c r="C1928" s="299"/>
      <c r="D1928" s="298"/>
      <c r="E1928" s="299"/>
      <c r="F1928" s="299"/>
      <c r="G1928" s="300"/>
      <c r="H1928" s="303"/>
      <c r="I1928" s="301">
        <f t="shared" si="510"/>
        <v>0</v>
      </c>
      <c r="J1928" s="302">
        <f t="shared" si="511"/>
        <v>0</v>
      </c>
      <c r="K1928" s="304">
        <f t="shared" si="512"/>
        <v>0</v>
      </c>
      <c r="L1928" s="305">
        <f>IF(H1928=0,0,IF(OR(E1928=$AT$5,E1928=$AT$6),AA1928,IF(F1928="MXN",1/HLOOKUP(YEAR(G1928)+(MONTH(G1928)/100),TC!$5:$37,DAY(G1928)+2,FALSE),VLOOKUP(F1928,Equivalencia!$5:$23,((MAX(Equivalencia!$3:$3)-YEAR(G1928))*14)+MONTH(G1928)+2,FALSE))))</f>
        <v>0</v>
      </c>
      <c r="M1928" s="306">
        <f t="shared" si="513"/>
        <v>0</v>
      </c>
      <c r="N1928" s="305">
        <f>IF(G1928=0,0,(IF(OR(E1928=$AT$5,E1928=$AT$6),AC1928,HLOOKUP(YEAR(G1928)+(MONTH(G1928)/100),TC!$5:$37,DAY(G1928)+2,FALSE))))</f>
        <v>0</v>
      </c>
      <c r="O1928" s="307">
        <f t="shared" si="514"/>
        <v>0</v>
      </c>
      <c r="P1928" s="560">
        <f>IF(G1928=0,0,VLOOKUP(YEAR(G1928),INPC!$B$4:$P$30,MONTH(G1928)+2))</f>
        <v>0</v>
      </c>
      <c r="Q1928" s="560">
        <f>IF(X1928=0,0,IF(OR(E1928=$AT$10,E1928=$AT$9),VLOOKUP(YEAR(X1928),INPC!$B$4:$P$30,MONTH(X1928)+1),VLOOKUP(YEAR(X1928),INPC!$B$4:$P$30,MONTH(X1928)+2,0)))</f>
        <v>0</v>
      </c>
      <c r="R1928" s="309">
        <f t="shared" si="515"/>
        <v>0</v>
      </c>
      <c r="S1928" s="310">
        <f t="shared" si="516"/>
        <v>0</v>
      </c>
      <c r="T1928" s="555">
        <f t="shared" si="517"/>
        <v>0</v>
      </c>
      <c r="U1928" s="311"/>
      <c r="V1928" s="312"/>
      <c r="W1928" s="299"/>
      <c r="X1928" s="300"/>
      <c r="Y1928" s="299"/>
      <c r="Z1928" s="303"/>
      <c r="AA1928" s="305">
        <f>IF(Z1928=0,0,IF(Y1928="MXN",1/HLOOKUP(YEAR(X1928)+(MONTH(X1928)/100),TC!$5:$37,DAY(X1928)+2,FALSE),VLOOKUP(Y1928,Equivalencia!$1:$23,((MAX(Equivalencia!$3:$3)-YEAR(X1928))*14)+MONTH(X1928)+2,FALSE)))</f>
        <v>0</v>
      </c>
      <c r="AB1928" s="306">
        <f t="shared" si="518"/>
        <v>0</v>
      </c>
      <c r="AC1928" s="305">
        <f>+IF(X1928=0,0,HLOOKUP(YEAR(X1928)+(MONTH(X1928)/100),TC!$5:$37,DAY(X1928)+2,FALSE))</f>
        <v>0</v>
      </c>
      <c r="AD1928" s="307">
        <f t="shared" si="519"/>
        <v>0</v>
      </c>
      <c r="AE1928" s="314">
        <f t="shared" si="520"/>
        <v>0</v>
      </c>
      <c r="AF1928" s="315">
        <f t="shared" si="521"/>
        <v>0</v>
      </c>
      <c r="AG1928" s="316">
        <f t="shared" si="522"/>
        <v>0</v>
      </c>
      <c r="AH1928" s="314">
        <v>1</v>
      </c>
      <c r="AI1928" s="314">
        <f t="shared" si="523"/>
        <v>0</v>
      </c>
      <c r="AJ1928" s="314">
        <f t="shared" si="524"/>
        <v>0</v>
      </c>
      <c r="AK1928" s="317"/>
      <c r="AL1928" s="315">
        <f t="shared" si="525"/>
        <v>0</v>
      </c>
      <c r="AN1928" s="554">
        <f t="shared" si="526"/>
        <v>0</v>
      </c>
      <c r="AO1928" s="314"/>
      <c r="AP1928" s="318"/>
    </row>
    <row r="1929" spans="2:42">
      <c r="B1929" s="296"/>
      <c r="C1929" s="299"/>
      <c r="D1929" s="298"/>
      <c r="E1929" s="299"/>
      <c r="F1929" s="299"/>
      <c r="G1929" s="300"/>
      <c r="H1929" s="303"/>
      <c r="I1929" s="301">
        <f t="shared" si="510"/>
        <v>0</v>
      </c>
      <c r="J1929" s="302">
        <f t="shared" si="511"/>
        <v>0</v>
      </c>
      <c r="K1929" s="304">
        <f t="shared" si="512"/>
        <v>0</v>
      </c>
      <c r="L1929" s="305">
        <f>IF(H1929=0,0,IF(OR(E1929=$AT$5,E1929=$AT$6),AA1929,IF(F1929="MXN",1/HLOOKUP(YEAR(G1929)+(MONTH(G1929)/100),TC!$5:$37,DAY(G1929)+2,FALSE),VLOOKUP(F1929,Equivalencia!$5:$23,((MAX(Equivalencia!$3:$3)-YEAR(G1929))*14)+MONTH(G1929)+2,FALSE))))</f>
        <v>0</v>
      </c>
      <c r="M1929" s="306">
        <f t="shared" si="513"/>
        <v>0</v>
      </c>
      <c r="N1929" s="305">
        <f>IF(G1929=0,0,(IF(OR(E1929=$AT$5,E1929=$AT$6),AC1929,HLOOKUP(YEAR(G1929)+(MONTH(G1929)/100),TC!$5:$37,DAY(G1929)+2,FALSE))))</f>
        <v>0</v>
      </c>
      <c r="O1929" s="307">
        <f t="shared" si="514"/>
        <v>0</v>
      </c>
      <c r="P1929" s="560">
        <f>IF(G1929=0,0,VLOOKUP(YEAR(G1929),INPC!$B$4:$P$30,MONTH(G1929)+2))</f>
        <v>0</v>
      </c>
      <c r="Q1929" s="560">
        <f>IF(X1929=0,0,IF(OR(E1929=$AT$10,E1929=$AT$9),VLOOKUP(YEAR(X1929),INPC!$B$4:$P$30,MONTH(X1929)+1),VLOOKUP(YEAR(X1929),INPC!$B$4:$P$30,MONTH(X1929)+2,0)))</f>
        <v>0</v>
      </c>
      <c r="R1929" s="309">
        <f t="shared" si="515"/>
        <v>0</v>
      </c>
      <c r="S1929" s="310">
        <f t="shared" si="516"/>
        <v>0</v>
      </c>
      <c r="T1929" s="555">
        <f t="shared" si="517"/>
        <v>0</v>
      </c>
      <c r="U1929" s="311"/>
      <c r="V1929" s="312"/>
      <c r="W1929" s="299"/>
      <c r="X1929" s="300"/>
      <c r="Y1929" s="299"/>
      <c r="Z1929" s="303"/>
      <c r="AA1929" s="305">
        <f>IF(Z1929=0,0,IF(Y1929="MXN",1/HLOOKUP(YEAR(X1929)+(MONTH(X1929)/100),TC!$5:$37,DAY(X1929)+2,FALSE),VLOOKUP(Y1929,Equivalencia!$1:$23,((MAX(Equivalencia!$3:$3)-YEAR(X1929))*14)+MONTH(X1929)+2,FALSE)))</f>
        <v>0</v>
      </c>
      <c r="AB1929" s="306">
        <f t="shared" si="518"/>
        <v>0</v>
      </c>
      <c r="AC1929" s="305">
        <f>+IF(X1929=0,0,HLOOKUP(YEAR(X1929)+(MONTH(X1929)/100),TC!$5:$37,DAY(X1929)+2,FALSE))</f>
        <v>0</v>
      </c>
      <c r="AD1929" s="307">
        <f t="shared" si="519"/>
        <v>0</v>
      </c>
      <c r="AE1929" s="314">
        <f t="shared" si="520"/>
        <v>0</v>
      </c>
      <c r="AF1929" s="315">
        <f t="shared" si="521"/>
        <v>0</v>
      </c>
      <c r="AG1929" s="316">
        <f t="shared" si="522"/>
        <v>0</v>
      </c>
      <c r="AH1929" s="314">
        <v>1</v>
      </c>
      <c r="AI1929" s="314">
        <f t="shared" si="523"/>
        <v>0</v>
      </c>
      <c r="AJ1929" s="314">
        <f t="shared" si="524"/>
        <v>0</v>
      </c>
      <c r="AK1929" s="317"/>
      <c r="AL1929" s="315">
        <f t="shared" si="525"/>
        <v>0</v>
      </c>
      <c r="AN1929" s="554">
        <f t="shared" si="526"/>
        <v>0</v>
      </c>
      <c r="AO1929" s="314"/>
      <c r="AP1929" s="318"/>
    </row>
    <row r="1930" spans="2:42">
      <c r="B1930" s="296"/>
      <c r="C1930" s="299"/>
      <c r="D1930" s="298"/>
      <c r="E1930" s="299"/>
      <c r="F1930" s="299"/>
      <c r="G1930" s="300"/>
      <c r="H1930" s="303"/>
      <c r="I1930" s="301">
        <f t="shared" si="510"/>
        <v>0</v>
      </c>
      <c r="J1930" s="302">
        <f t="shared" si="511"/>
        <v>0</v>
      </c>
      <c r="K1930" s="304">
        <f t="shared" si="512"/>
        <v>0</v>
      </c>
      <c r="L1930" s="305">
        <f>IF(H1930=0,0,IF(OR(E1930=$AT$5,E1930=$AT$6),AA1930,IF(F1930="MXN",1/HLOOKUP(YEAR(G1930)+(MONTH(G1930)/100),TC!$5:$37,DAY(G1930)+2,FALSE),VLOOKUP(F1930,Equivalencia!$5:$23,((MAX(Equivalencia!$3:$3)-YEAR(G1930))*14)+MONTH(G1930)+2,FALSE))))</f>
        <v>0</v>
      </c>
      <c r="M1930" s="306">
        <f t="shared" si="513"/>
        <v>0</v>
      </c>
      <c r="N1930" s="305">
        <f>IF(G1930=0,0,(IF(OR(E1930=$AT$5,E1930=$AT$6),AC1930,HLOOKUP(YEAR(G1930)+(MONTH(G1930)/100),TC!$5:$37,DAY(G1930)+2,FALSE))))</f>
        <v>0</v>
      </c>
      <c r="O1930" s="307">
        <f t="shared" si="514"/>
        <v>0</v>
      </c>
      <c r="P1930" s="560">
        <f>IF(G1930=0,0,VLOOKUP(YEAR(G1930),INPC!$B$4:$P$30,MONTH(G1930)+2))</f>
        <v>0</v>
      </c>
      <c r="Q1930" s="560">
        <f>IF(X1930=0,0,IF(OR(E1930=$AT$10,E1930=$AT$9),VLOOKUP(YEAR(X1930),INPC!$B$4:$P$30,MONTH(X1930)+1),VLOOKUP(YEAR(X1930),INPC!$B$4:$P$30,MONTH(X1930)+2,0)))</f>
        <v>0</v>
      </c>
      <c r="R1930" s="309">
        <f t="shared" si="515"/>
        <v>0</v>
      </c>
      <c r="S1930" s="310">
        <f t="shared" si="516"/>
        <v>0</v>
      </c>
      <c r="T1930" s="555">
        <f t="shared" si="517"/>
        <v>0</v>
      </c>
      <c r="U1930" s="311"/>
      <c r="V1930" s="312"/>
      <c r="W1930" s="299"/>
      <c r="X1930" s="300"/>
      <c r="Y1930" s="299"/>
      <c r="Z1930" s="303"/>
      <c r="AA1930" s="305">
        <f>IF(Z1930=0,0,IF(Y1930="MXN",1/HLOOKUP(YEAR(X1930)+(MONTH(X1930)/100),TC!$5:$37,DAY(X1930)+2,FALSE),VLOOKUP(Y1930,Equivalencia!$1:$23,((MAX(Equivalencia!$3:$3)-YEAR(X1930))*14)+MONTH(X1930)+2,FALSE)))</f>
        <v>0</v>
      </c>
      <c r="AB1930" s="306">
        <f t="shared" si="518"/>
        <v>0</v>
      </c>
      <c r="AC1930" s="305">
        <f>+IF(X1930=0,0,HLOOKUP(YEAR(X1930)+(MONTH(X1930)/100),TC!$5:$37,DAY(X1930)+2,FALSE))</f>
        <v>0</v>
      </c>
      <c r="AD1930" s="307">
        <f t="shared" si="519"/>
        <v>0</v>
      </c>
      <c r="AE1930" s="314">
        <f t="shared" si="520"/>
        <v>0</v>
      </c>
      <c r="AF1930" s="315">
        <f t="shared" si="521"/>
        <v>0</v>
      </c>
      <c r="AG1930" s="316">
        <f t="shared" si="522"/>
        <v>0</v>
      </c>
      <c r="AH1930" s="314">
        <v>1</v>
      </c>
      <c r="AI1930" s="314">
        <f t="shared" si="523"/>
        <v>0</v>
      </c>
      <c r="AJ1930" s="314">
        <f t="shared" si="524"/>
        <v>0</v>
      </c>
      <c r="AK1930" s="317"/>
      <c r="AL1930" s="315">
        <f t="shared" si="525"/>
        <v>0</v>
      </c>
      <c r="AN1930" s="554">
        <f t="shared" si="526"/>
        <v>0</v>
      </c>
      <c r="AO1930" s="314"/>
      <c r="AP1930" s="318"/>
    </row>
    <row r="1931" spans="2:42">
      <c r="B1931" s="296"/>
      <c r="C1931" s="299"/>
      <c r="D1931" s="298"/>
      <c r="E1931" s="299"/>
      <c r="F1931" s="299"/>
      <c r="G1931" s="300"/>
      <c r="H1931" s="303"/>
      <c r="I1931" s="301">
        <f t="shared" si="510"/>
        <v>0</v>
      </c>
      <c r="J1931" s="302">
        <f t="shared" si="511"/>
        <v>0</v>
      </c>
      <c r="K1931" s="304">
        <f t="shared" si="512"/>
        <v>0</v>
      </c>
      <c r="L1931" s="305">
        <f>IF(H1931=0,0,IF(OR(E1931=$AT$5,E1931=$AT$6),AA1931,IF(F1931="MXN",1/HLOOKUP(YEAR(G1931)+(MONTH(G1931)/100),TC!$5:$37,DAY(G1931)+2,FALSE),VLOOKUP(F1931,Equivalencia!$5:$23,((MAX(Equivalencia!$3:$3)-YEAR(G1931))*14)+MONTH(G1931)+2,FALSE))))</f>
        <v>0</v>
      </c>
      <c r="M1931" s="306">
        <f t="shared" si="513"/>
        <v>0</v>
      </c>
      <c r="N1931" s="305">
        <f>IF(G1931=0,0,(IF(OR(E1931=$AT$5,E1931=$AT$6),AC1931,HLOOKUP(YEAR(G1931)+(MONTH(G1931)/100),TC!$5:$37,DAY(G1931)+2,FALSE))))</f>
        <v>0</v>
      </c>
      <c r="O1931" s="307">
        <f t="shared" si="514"/>
        <v>0</v>
      </c>
      <c r="P1931" s="560">
        <f>IF(G1931=0,0,VLOOKUP(YEAR(G1931),INPC!$B$4:$P$30,MONTH(G1931)+2))</f>
        <v>0</v>
      </c>
      <c r="Q1931" s="560">
        <f>IF(X1931=0,0,IF(OR(E1931=$AT$10,E1931=$AT$9),VLOOKUP(YEAR(X1931),INPC!$B$4:$P$30,MONTH(X1931)+1),VLOOKUP(YEAR(X1931),INPC!$B$4:$P$30,MONTH(X1931)+2,0)))</f>
        <v>0</v>
      </c>
      <c r="R1931" s="309">
        <f t="shared" si="515"/>
        <v>0</v>
      </c>
      <c r="S1931" s="310">
        <f t="shared" si="516"/>
        <v>0</v>
      </c>
      <c r="T1931" s="555">
        <f t="shared" si="517"/>
        <v>0</v>
      </c>
      <c r="U1931" s="311"/>
      <c r="V1931" s="312"/>
      <c r="W1931" s="299"/>
      <c r="X1931" s="300"/>
      <c r="Y1931" s="299"/>
      <c r="Z1931" s="303"/>
      <c r="AA1931" s="305">
        <f>IF(Z1931=0,0,IF(Y1931="MXN",1/HLOOKUP(YEAR(X1931)+(MONTH(X1931)/100),TC!$5:$37,DAY(X1931)+2,FALSE),VLOOKUP(Y1931,Equivalencia!$1:$23,((MAX(Equivalencia!$3:$3)-YEAR(X1931))*14)+MONTH(X1931)+2,FALSE)))</f>
        <v>0</v>
      </c>
      <c r="AB1931" s="306">
        <f t="shared" si="518"/>
        <v>0</v>
      </c>
      <c r="AC1931" s="305">
        <f>+IF(X1931=0,0,HLOOKUP(YEAR(X1931)+(MONTH(X1931)/100),TC!$5:$37,DAY(X1931)+2,FALSE))</f>
        <v>0</v>
      </c>
      <c r="AD1931" s="307">
        <f t="shared" si="519"/>
        <v>0</v>
      </c>
      <c r="AE1931" s="314">
        <f t="shared" si="520"/>
        <v>0</v>
      </c>
      <c r="AF1931" s="315">
        <f t="shared" si="521"/>
        <v>0</v>
      </c>
      <c r="AG1931" s="316">
        <f t="shared" si="522"/>
        <v>0</v>
      </c>
      <c r="AH1931" s="314">
        <v>1</v>
      </c>
      <c r="AI1931" s="314">
        <f t="shared" si="523"/>
        <v>0</v>
      </c>
      <c r="AJ1931" s="314">
        <f t="shared" si="524"/>
        <v>0</v>
      </c>
      <c r="AK1931" s="317"/>
      <c r="AL1931" s="315">
        <f t="shared" si="525"/>
        <v>0</v>
      </c>
      <c r="AN1931" s="554">
        <f t="shared" si="526"/>
        <v>0</v>
      </c>
      <c r="AO1931" s="314"/>
      <c r="AP1931" s="318"/>
    </row>
    <row r="1932" spans="2:42">
      <c r="B1932" s="296"/>
      <c r="C1932" s="299"/>
      <c r="D1932" s="298"/>
      <c r="E1932" s="299"/>
      <c r="F1932" s="299"/>
      <c r="G1932" s="300"/>
      <c r="H1932" s="303"/>
      <c r="I1932" s="301">
        <f t="shared" si="510"/>
        <v>0</v>
      </c>
      <c r="J1932" s="302">
        <f t="shared" si="511"/>
        <v>0</v>
      </c>
      <c r="K1932" s="304">
        <f t="shared" si="512"/>
        <v>0</v>
      </c>
      <c r="L1932" s="305">
        <f>IF(H1932=0,0,IF(OR(E1932=$AT$5,E1932=$AT$6),AA1932,IF(F1932="MXN",1/HLOOKUP(YEAR(G1932)+(MONTH(G1932)/100),TC!$5:$37,DAY(G1932)+2,FALSE),VLOOKUP(F1932,Equivalencia!$5:$23,((MAX(Equivalencia!$3:$3)-YEAR(G1932))*14)+MONTH(G1932)+2,FALSE))))</f>
        <v>0</v>
      </c>
      <c r="M1932" s="306">
        <f t="shared" si="513"/>
        <v>0</v>
      </c>
      <c r="N1932" s="305">
        <f>IF(G1932=0,0,(IF(OR(E1932=$AT$5,E1932=$AT$6),AC1932,HLOOKUP(YEAR(G1932)+(MONTH(G1932)/100),TC!$5:$37,DAY(G1932)+2,FALSE))))</f>
        <v>0</v>
      </c>
      <c r="O1932" s="307">
        <f t="shared" si="514"/>
        <v>0</v>
      </c>
      <c r="P1932" s="560">
        <f>IF(G1932=0,0,VLOOKUP(YEAR(G1932),INPC!$B$4:$P$30,MONTH(G1932)+2))</f>
        <v>0</v>
      </c>
      <c r="Q1932" s="560">
        <f>IF(X1932=0,0,IF(OR(E1932=$AT$10,E1932=$AT$9),VLOOKUP(YEAR(X1932),INPC!$B$4:$P$30,MONTH(X1932)+1),VLOOKUP(YEAR(X1932),INPC!$B$4:$P$30,MONTH(X1932)+2,0)))</f>
        <v>0</v>
      </c>
      <c r="R1932" s="309">
        <f t="shared" si="515"/>
        <v>0</v>
      </c>
      <c r="S1932" s="310">
        <f t="shared" si="516"/>
        <v>0</v>
      </c>
      <c r="T1932" s="555">
        <f t="shared" si="517"/>
        <v>0</v>
      </c>
      <c r="U1932" s="311"/>
      <c r="V1932" s="312"/>
      <c r="W1932" s="299"/>
      <c r="X1932" s="300"/>
      <c r="Y1932" s="299"/>
      <c r="Z1932" s="303"/>
      <c r="AA1932" s="305">
        <f>IF(Z1932=0,0,IF(Y1932="MXN",1/HLOOKUP(YEAR(X1932)+(MONTH(X1932)/100),TC!$5:$37,DAY(X1932)+2,FALSE),VLOOKUP(Y1932,Equivalencia!$1:$23,((MAX(Equivalencia!$3:$3)-YEAR(X1932))*14)+MONTH(X1932)+2,FALSE)))</f>
        <v>0</v>
      </c>
      <c r="AB1932" s="306">
        <f t="shared" si="518"/>
        <v>0</v>
      </c>
      <c r="AC1932" s="305">
        <f>+IF(X1932=0,0,HLOOKUP(YEAR(X1932)+(MONTH(X1932)/100),TC!$5:$37,DAY(X1932)+2,FALSE))</f>
        <v>0</v>
      </c>
      <c r="AD1932" s="307">
        <f t="shared" si="519"/>
        <v>0</v>
      </c>
      <c r="AE1932" s="314">
        <f t="shared" si="520"/>
        <v>0</v>
      </c>
      <c r="AF1932" s="315">
        <f t="shared" si="521"/>
        <v>0</v>
      </c>
      <c r="AG1932" s="316">
        <f t="shared" si="522"/>
        <v>0</v>
      </c>
      <c r="AH1932" s="314">
        <v>1</v>
      </c>
      <c r="AI1932" s="314">
        <f t="shared" si="523"/>
        <v>0</v>
      </c>
      <c r="AJ1932" s="314">
        <f t="shared" si="524"/>
        <v>0</v>
      </c>
      <c r="AK1932" s="317"/>
      <c r="AL1932" s="315">
        <f t="shared" si="525"/>
        <v>0</v>
      </c>
      <c r="AN1932" s="554">
        <f t="shared" si="526"/>
        <v>0</v>
      </c>
      <c r="AO1932" s="314"/>
      <c r="AP1932" s="318"/>
    </row>
    <row r="1933" spans="2:42">
      <c r="B1933" s="296"/>
      <c r="C1933" s="299"/>
      <c r="D1933" s="298"/>
      <c r="E1933" s="299"/>
      <c r="F1933" s="299"/>
      <c r="G1933" s="300"/>
      <c r="H1933" s="303"/>
      <c r="I1933" s="301">
        <f t="shared" si="510"/>
        <v>0</v>
      </c>
      <c r="J1933" s="302">
        <f t="shared" si="511"/>
        <v>0</v>
      </c>
      <c r="K1933" s="304">
        <f t="shared" si="512"/>
        <v>0</v>
      </c>
      <c r="L1933" s="305">
        <f>IF(H1933=0,0,IF(OR(E1933=$AT$5,E1933=$AT$6),AA1933,IF(F1933="MXN",1/HLOOKUP(YEAR(G1933)+(MONTH(G1933)/100),TC!$5:$37,DAY(G1933)+2,FALSE),VLOOKUP(F1933,Equivalencia!$5:$23,((MAX(Equivalencia!$3:$3)-YEAR(G1933))*14)+MONTH(G1933)+2,FALSE))))</f>
        <v>0</v>
      </c>
      <c r="M1933" s="306">
        <f t="shared" si="513"/>
        <v>0</v>
      </c>
      <c r="N1933" s="305">
        <f>IF(G1933=0,0,(IF(OR(E1933=$AT$5,E1933=$AT$6),AC1933,HLOOKUP(YEAR(G1933)+(MONTH(G1933)/100),TC!$5:$37,DAY(G1933)+2,FALSE))))</f>
        <v>0</v>
      </c>
      <c r="O1933" s="307">
        <f t="shared" si="514"/>
        <v>0</v>
      </c>
      <c r="P1933" s="560">
        <f>IF(G1933=0,0,VLOOKUP(YEAR(G1933),INPC!$B$4:$P$30,MONTH(G1933)+2))</f>
        <v>0</v>
      </c>
      <c r="Q1933" s="560">
        <f>IF(X1933=0,0,IF(OR(E1933=$AT$10,E1933=$AT$9),VLOOKUP(YEAR(X1933),INPC!$B$4:$P$30,MONTH(X1933)+1),VLOOKUP(YEAR(X1933),INPC!$B$4:$P$30,MONTH(X1933)+2,0)))</f>
        <v>0</v>
      </c>
      <c r="R1933" s="309">
        <f t="shared" si="515"/>
        <v>0</v>
      </c>
      <c r="S1933" s="310">
        <f t="shared" si="516"/>
        <v>0</v>
      </c>
      <c r="T1933" s="555">
        <f t="shared" si="517"/>
        <v>0</v>
      </c>
      <c r="U1933" s="311"/>
      <c r="V1933" s="312"/>
      <c r="W1933" s="299"/>
      <c r="X1933" s="300"/>
      <c r="Y1933" s="299"/>
      <c r="Z1933" s="303"/>
      <c r="AA1933" s="305">
        <f>IF(Z1933=0,0,IF(Y1933="MXN",1/HLOOKUP(YEAR(X1933)+(MONTH(X1933)/100),TC!$5:$37,DAY(X1933)+2,FALSE),VLOOKUP(Y1933,Equivalencia!$1:$23,((MAX(Equivalencia!$3:$3)-YEAR(X1933))*14)+MONTH(X1933)+2,FALSE)))</f>
        <v>0</v>
      </c>
      <c r="AB1933" s="306">
        <f t="shared" si="518"/>
        <v>0</v>
      </c>
      <c r="AC1933" s="305">
        <f>+IF(X1933=0,0,HLOOKUP(YEAR(X1933)+(MONTH(X1933)/100),TC!$5:$37,DAY(X1933)+2,FALSE))</f>
        <v>0</v>
      </c>
      <c r="AD1933" s="307">
        <f t="shared" si="519"/>
        <v>0</v>
      </c>
      <c r="AE1933" s="314">
        <f t="shared" si="520"/>
        <v>0</v>
      </c>
      <c r="AF1933" s="315">
        <f t="shared" si="521"/>
        <v>0</v>
      </c>
      <c r="AG1933" s="316">
        <f t="shared" si="522"/>
        <v>0</v>
      </c>
      <c r="AH1933" s="314">
        <v>1</v>
      </c>
      <c r="AI1933" s="314">
        <f t="shared" si="523"/>
        <v>0</v>
      </c>
      <c r="AJ1933" s="314">
        <f t="shared" si="524"/>
        <v>0</v>
      </c>
      <c r="AK1933" s="317"/>
      <c r="AL1933" s="315">
        <f t="shared" si="525"/>
        <v>0</v>
      </c>
      <c r="AN1933" s="554">
        <f t="shared" si="526"/>
        <v>0</v>
      </c>
      <c r="AO1933" s="314"/>
      <c r="AP1933" s="318"/>
    </row>
    <row r="1934" spans="2:42">
      <c r="B1934" s="296"/>
      <c r="C1934" s="299"/>
      <c r="D1934" s="298"/>
      <c r="E1934" s="299"/>
      <c r="F1934" s="299"/>
      <c r="G1934" s="300"/>
      <c r="H1934" s="303"/>
      <c r="I1934" s="301">
        <f t="shared" si="510"/>
        <v>0</v>
      </c>
      <c r="J1934" s="302">
        <f t="shared" si="511"/>
        <v>0</v>
      </c>
      <c r="K1934" s="304">
        <f t="shared" si="512"/>
        <v>0</v>
      </c>
      <c r="L1934" s="305">
        <f>IF(H1934=0,0,IF(OR(E1934=$AT$5,E1934=$AT$6),AA1934,IF(F1934="MXN",1/HLOOKUP(YEAR(G1934)+(MONTH(G1934)/100),TC!$5:$37,DAY(G1934)+2,FALSE),VLOOKUP(F1934,Equivalencia!$5:$23,((MAX(Equivalencia!$3:$3)-YEAR(G1934))*14)+MONTH(G1934)+2,FALSE))))</f>
        <v>0</v>
      </c>
      <c r="M1934" s="306">
        <f t="shared" si="513"/>
        <v>0</v>
      </c>
      <c r="N1934" s="305">
        <f>IF(G1934=0,0,(IF(OR(E1934=$AT$5,E1934=$AT$6),AC1934,HLOOKUP(YEAR(G1934)+(MONTH(G1934)/100),TC!$5:$37,DAY(G1934)+2,FALSE))))</f>
        <v>0</v>
      </c>
      <c r="O1934" s="307">
        <f t="shared" si="514"/>
        <v>0</v>
      </c>
      <c r="P1934" s="560">
        <f>IF(G1934=0,0,VLOOKUP(YEAR(G1934),INPC!$B$4:$P$30,MONTH(G1934)+2))</f>
        <v>0</v>
      </c>
      <c r="Q1934" s="560">
        <f>IF(X1934=0,0,IF(OR(E1934=$AT$10,E1934=$AT$9),VLOOKUP(YEAR(X1934),INPC!$B$4:$P$30,MONTH(X1934)+1),VLOOKUP(YEAR(X1934),INPC!$B$4:$P$30,MONTH(X1934)+2,0)))</f>
        <v>0</v>
      </c>
      <c r="R1934" s="309">
        <f t="shared" si="515"/>
        <v>0</v>
      </c>
      <c r="S1934" s="310">
        <f t="shared" si="516"/>
        <v>0</v>
      </c>
      <c r="T1934" s="555">
        <f t="shared" si="517"/>
        <v>0</v>
      </c>
      <c r="U1934" s="311"/>
      <c r="V1934" s="312"/>
      <c r="W1934" s="299"/>
      <c r="X1934" s="300"/>
      <c r="Y1934" s="299"/>
      <c r="Z1934" s="303"/>
      <c r="AA1934" s="305">
        <f>IF(Z1934=0,0,IF(Y1934="MXN",1/HLOOKUP(YEAR(X1934)+(MONTH(X1934)/100),TC!$5:$37,DAY(X1934)+2,FALSE),VLOOKUP(Y1934,Equivalencia!$1:$23,((MAX(Equivalencia!$3:$3)-YEAR(X1934))*14)+MONTH(X1934)+2,FALSE)))</f>
        <v>0</v>
      </c>
      <c r="AB1934" s="306">
        <f t="shared" si="518"/>
        <v>0</v>
      </c>
      <c r="AC1934" s="305">
        <f>+IF(X1934=0,0,HLOOKUP(YEAR(X1934)+(MONTH(X1934)/100),TC!$5:$37,DAY(X1934)+2,FALSE))</f>
        <v>0</v>
      </c>
      <c r="AD1934" s="307">
        <f t="shared" si="519"/>
        <v>0</v>
      </c>
      <c r="AE1934" s="314">
        <f t="shared" si="520"/>
        <v>0</v>
      </c>
      <c r="AF1934" s="315">
        <f t="shared" si="521"/>
        <v>0</v>
      </c>
      <c r="AG1934" s="316">
        <f t="shared" si="522"/>
        <v>0</v>
      </c>
      <c r="AH1934" s="314">
        <v>1</v>
      </c>
      <c r="AI1934" s="314">
        <f t="shared" si="523"/>
        <v>0</v>
      </c>
      <c r="AJ1934" s="314">
        <f t="shared" si="524"/>
        <v>0</v>
      </c>
      <c r="AK1934" s="317"/>
      <c r="AL1934" s="315">
        <f t="shared" si="525"/>
        <v>0</v>
      </c>
      <c r="AN1934" s="554">
        <f t="shared" si="526"/>
        <v>0</v>
      </c>
      <c r="AO1934" s="314"/>
      <c r="AP1934" s="318"/>
    </row>
    <row r="1935" spans="2:42">
      <c r="B1935" s="296"/>
      <c r="C1935" s="299"/>
      <c r="D1935" s="298"/>
      <c r="E1935" s="299"/>
      <c r="F1935" s="299"/>
      <c r="G1935" s="300"/>
      <c r="H1935" s="303"/>
      <c r="I1935" s="301">
        <f t="shared" si="510"/>
        <v>0</v>
      </c>
      <c r="J1935" s="302">
        <f t="shared" si="511"/>
        <v>0</v>
      </c>
      <c r="K1935" s="304">
        <f t="shared" si="512"/>
        <v>0</v>
      </c>
      <c r="L1935" s="305">
        <f>IF(H1935=0,0,IF(OR(E1935=$AT$5,E1935=$AT$6),AA1935,IF(F1935="MXN",1/HLOOKUP(YEAR(G1935)+(MONTH(G1935)/100),TC!$5:$37,DAY(G1935)+2,FALSE),VLOOKUP(F1935,Equivalencia!$5:$23,((MAX(Equivalencia!$3:$3)-YEAR(G1935))*14)+MONTH(G1935)+2,FALSE))))</f>
        <v>0</v>
      </c>
      <c r="M1935" s="306">
        <f t="shared" si="513"/>
        <v>0</v>
      </c>
      <c r="N1935" s="305">
        <f>IF(G1935=0,0,(IF(OR(E1935=$AT$5,E1935=$AT$6),AC1935,HLOOKUP(YEAR(G1935)+(MONTH(G1935)/100),TC!$5:$37,DAY(G1935)+2,FALSE))))</f>
        <v>0</v>
      </c>
      <c r="O1935" s="307">
        <f t="shared" si="514"/>
        <v>0</v>
      </c>
      <c r="P1935" s="560">
        <f>IF(G1935=0,0,VLOOKUP(YEAR(G1935),INPC!$B$4:$P$30,MONTH(G1935)+2))</f>
        <v>0</v>
      </c>
      <c r="Q1935" s="560">
        <f>IF(X1935=0,0,IF(OR(E1935=$AT$10,E1935=$AT$9),VLOOKUP(YEAR(X1935),INPC!$B$4:$P$30,MONTH(X1935)+1),VLOOKUP(YEAR(X1935),INPC!$B$4:$P$30,MONTH(X1935)+2,0)))</f>
        <v>0</v>
      </c>
      <c r="R1935" s="309">
        <f t="shared" si="515"/>
        <v>0</v>
      </c>
      <c r="S1935" s="310">
        <f t="shared" si="516"/>
        <v>0</v>
      </c>
      <c r="T1935" s="555">
        <f t="shared" si="517"/>
        <v>0</v>
      </c>
      <c r="U1935" s="311"/>
      <c r="V1935" s="312"/>
      <c r="W1935" s="299"/>
      <c r="X1935" s="300"/>
      <c r="Y1935" s="299"/>
      <c r="Z1935" s="303"/>
      <c r="AA1935" s="305">
        <f>IF(Z1935=0,0,IF(Y1935="MXN",1/HLOOKUP(YEAR(X1935)+(MONTH(X1935)/100),TC!$5:$37,DAY(X1935)+2,FALSE),VLOOKUP(Y1935,Equivalencia!$1:$23,((MAX(Equivalencia!$3:$3)-YEAR(X1935))*14)+MONTH(X1935)+2,FALSE)))</f>
        <v>0</v>
      </c>
      <c r="AB1935" s="306">
        <f t="shared" si="518"/>
        <v>0</v>
      </c>
      <c r="AC1935" s="305">
        <f>+IF(X1935=0,0,HLOOKUP(YEAR(X1935)+(MONTH(X1935)/100),TC!$5:$37,DAY(X1935)+2,FALSE))</f>
        <v>0</v>
      </c>
      <c r="AD1935" s="307">
        <f t="shared" si="519"/>
        <v>0</v>
      </c>
      <c r="AE1935" s="314">
        <f t="shared" si="520"/>
        <v>0</v>
      </c>
      <c r="AF1935" s="315">
        <f t="shared" si="521"/>
        <v>0</v>
      </c>
      <c r="AG1935" s="316">
        <f t="shared" si="522"/>
        <v>0</v>
      </c>
      <c r="AH1935" s="314">
        <v>1</v>
      </c>
      <c r="AI1935" s="314">
        <f t="shared" si="523"/>
        <v>0</v>
      </c>
      <c r="AJ1935" s="314">
        <f t="shared" si="524"/>
        <v>0</v>
      </c>
      <c r="AK1935" s="317"/>
      <c r="AL1935" s="315">
        <f t="shared" si="525"/>
        <v>0</v>
      </c>
      <c r="AN1935" s="554">
        <f t="shared" si="526"/>
        <v>0</v>
      </c>
      <c r="AO1935" s="314"/>
      <c r="AP1935" s="318"/>
    </row>
    <row r="1936" spans="2:42">
      <c r="B1936" s="296"/>
      <c r="C1936" s="299"/>
      <c r="D1936" s="298"/>
      <c r="E1936" s="299"/>
      <c r="F1936" s="299"/>
      <c r="G1936" s="300"/>
      <c r="H1936" s="303"/>
      <c r="I1936" s="301">
        <f t="shared" si="510"/>
        <v>0</v>
      </c>
      <c r="J1936" s="302">
        <f t="shared" si="511"/>
        <v>0</v>
      </c>
      <c r="K1936" s="304">
        <f t="shared" si="512"/>
        <v>0</v>
      </c>
      <c r="L1936" s="305">
        <f>IF(H1936=0,0,IF(OR(E1936=$AT$5,E1936=$AT$6),AA1936,IF(F1936="MXN",1/HLOOKUP(YEAR(G1936)+(MONTH(G1936)/100),TC!$5:$37,DAY(G1936)+2,FALSE),VLOOKUP(F1936,Equivalencia!$5:$23,((MAX(Equivalencia!$3:$3)-YEAR(G1936))*14)+MONTH(G1936)+2,FALSE))))</f>
        <v>0</v>
      </c>
      <c r="M1936" s="306">
        <f t="shared" si="513"/>
        <v>0</v>
      </c>
      <c r="N1936" s="305">
        <f>IF(G1936=0,0,(IF(OR(E1936=$AT$5,E1936=$AT$6),AC1936,HLOOKUP(YEAR(G1936)+(MONTH(G1936)/100),TC!$5:$37,DAY(G1936)+2,FALSE))))</f>
        <v>0</v>
      </c>
      <c r="O1936" s="307">
        <f t="shared" si="514"/>
        <v>0</v>
      </c>
      <c r="P1936" s="560">
        <f>IF(G1936=0,0,VLOOKUP(YEAR(G1936),INPC!$B$4:$P$30,MONTH(G1936)+2))</f>
        <v>0</v>
      </c>
      <c r="Q1936" s="560">
        <f>IF(X1936=0,0,IF(OR(E1936=$AT$10,E1936=$AT$9),VLOOKUP(YEAR(X1936),INPC!$B$4:$P$30,MONTH(X1936)+1),VLOOKUP(YEAR(X1936),INPC!$B$4:$P$30,MONTH(X1936)+2,0)))</f>
        <v>0</v>
      </c>
      <c r="R1936" s="309">
        <f t="shared" si="515"/>
        <v>0</v>
      </c>
      <c r="S1936" s="310">
        <f t="shared" si="516"/>
        <v>0</v>
      </c>
      <c r="T1936" s="555">
        <f t="shared" si="517"/>
        <v>0</v>
      </c>
      <c r="U1936" s="311"/>
      <c r="V1936" s="312"/>
      <c r="W1936" s="299"/>
      <c r="X1936" s="300"/>
      <c r="Y1936" s="299"/>
      <c r="Z1936" s="303"/>
      <c r="AA1936" s="305">
        <f>IF(Z1936=0,0,IF(Y1936="MXN",1/HLOOKUP(YEAR(X1936)+(MONTH(X1936)/100),TC!$5:$37,DAY(X1936)+2,FALSE),VLOOKUP(Y1936,Equivalencia!$1:$23,((MAX(Equivalencia!$3:$3)-YEAR(X1936))*14)+MONTH(X1936)+2,FALSE)))</f>
        <v>0</v>
      </c>
      <c r="AB1936" s="306">
        <f t="shared" si="518"/>
        <v>0</v>
      </c>
      <c r="AC1936" s="305">
        <f>+IF(X1936=0,0,HLOOKUP(YEAR(X1936)+(MONTH(X1936)/100),TC!$5:$37,DAY(X1936)+2,FALSE))</f>
        <v>0</v>
      </c>
      <c r="AD1936" s="307">
        <f t="shared" si="519"/>
        <v>0</v>
      </c>
      <c r="AE1936" s="314">
        <f t="shared" si="520"/>
        <v>0</v>
      </c>
      <c r="AF1936" s="315">
        <f t="shared" si="521"/>
        <v>0</v>
      </c>
      <c r="AG1936" s="316">
        <f t="shared" si="522"/>
        <v>0</v>
      </c>
      <c r="AH1936" s="314">
        <v>1</v>
      </c>
      <c r="AI1936" s="314">
        <f t="shared" si="523"/>
        <v>0</v>
      </c>
      <c r="AJ1936" s="314">
        <f t="shared" si="524"/>
        <v>0</v>
      </c>
      <c r="AK1936" s="317"/>
      <c r="AL1936" s="315">
        <f t="shared" si="525"/>
        <v>0</v>
      </c>
      <c r="AN1936" s="554">
        <f t="shared" si="526"/>
        <v>0</v>
      </c>
      <c r="AO1936" s="314"/>
      <c r="AP1936" s="318"/>
    </row>
    <row r="1937" spans="2:42">
      <c r="B1937" s="296"/>
      <c r="C1937" s="299"/>
      <c r="D1937" s="298"/>
      <c r="E1937" s="299"/>
      <c r="F1937" s="299"/>
      <c r="G1937" s="300"/>
      <c r="H1937" s="303"/>
      <c r="I1937" s="301">
        <f t="shared" si="510"/>
        <v>0</v>
      </c>
      <c r="J1937" s="302">
        <f t="shared" si="511"/>
        <v>0</v>
      </c>
      <c r="K1937" s="304">
        <f t="shared" si="512"/>
        <v>0</v>
      </c>
      <c r="L1937" s="305">
        <f>IF(H1937=0,0,IF(OR(E1937=$AT$5,E1937=$AT$6),AA1937,IF(F1937="MXN",1/HLOOKUP(YEAR(G1937)+(MONTH(G1937)/100),TC!$5:$37,DAY(G1937)+2,FALSE),VLOOKUP(F1937,Equivalencia!$5:$23,((MAX(Equivalencia!$3:$3)-YEAR(G1937))*14)+MONTH(G1937)+2,FALSE))))</f>
        <v>0</v>
      </c>
      <c r="M1937" s="306">
        <f t="shared" si="513"/>
        <v>0</v>
      </c>
      <c r="N1937" s="305">
        <f>IF(G1937=0,0,(IF(OR(E1937=$AT$5,E1937=$AT$6),AC1937,HLOOKUP(YEAR(G1937)+(MONTH(G1937)/100),TC!$5:$37,DAY(G1937)+2,FALSE))))</f>
        <v>0</v>
      </c>
      <c r="O1937" s="307">
        <f t="shared" si="514"/>
        <v>0</v>
      </c>
      <c r="P1937" s="560">
        <f>IF(G1937=0,0,VLOOKUP(YEAR(G1937),INPC!$B$4:$P$30,MONTH(G1937)+2))</f>
        <v>0</v>
      </c>
      <c r="Q1937" s="560">
        <f>IF(X1937=0,0,IF(OR(E1937=$AT$10,E1937=$AT$9),VLOOKUP(YEAR(X1937),INPC!$B$4:$P$30,MONTH(X1937)+1),VLOOKUP(YEAR(X1937),INPC!$B$4:$P$30,MONTH(X1937)+2,0)))</f>
        <v>0</v>
      </c>
      <c r="R1937" s="309">
        <f t="shared" si="515"/>
        <v>0</v>
      </c>
      <c r="S1937" s="310">
        <f t="shared" si="516"/>
        <v>0</v>
      </c>
      <c r="T1937" s="555">
        <f t="shared" si="517"/>
        <v>0</v>
      </c>
      <c r="U1937" s="311"/>
      <c r="V1937" s="312"/>
      <c r="W1937" s="299"/>
      <c r="X1937" s="300"/>
      <c r="Y1937" s="299"/>
      <c r="Z1937" s="303"/>
      <c r="AA1937" s="305">
        <f>IF(Z1937=0,0,IF(Y1937="MXN",1/HLOOKUP(YEAR(X1937)+(MONTH(X1937)/100),TC!$5:$37,DAY(X1937)+2,FALSE),VLOOKUP(Y1937,Equivalencia!$1:$23,((MAX(Equivalencia!$3:$3)-YEAR(X1937))*14)+MONTH(X1937)+2,FALSE)))</f>
        <v>0</v>
      </c>
      <c r="AB1937" s="306">
        <f t="shared" si="518"/>
        <v>0</v>
      </c>
      <c r="AC1937" s="305">
        <f>+IF(X1937=0,0,HLOOKUP(YEAR(X1937)+(MONTH(X1937)/100),TC!$5:$37,DAY(X1937)+2,FALSE))</f>
        <v>0</v>
      </c>
      <c r="AD1937" s="307">
        <f t="shared" si="519"/>
        <v>0</v>
      </c>
      <c r="AE1937" s="314">
        <f t="shared" si="520"/>
        <v>0</v>
      </c>
      <c r="AF1937" s="315">
        <f t="shared" si="521"/>
        <v>0</v>
      </c>
      <c r="AG1937" s="316">
        <f t="shared" si="522"/>
        <v>0</v>
      </c>
      <c r="AH1937" s="314">
        <v>1</v>
      </c>
      <c r="AI1937" s="314">
        <f t="shared" si="523"/>
        <v>0</v>
      </c>
      <c r="AJ1937" s="314">
        <f t="shared" si="524"/>
        <v>0</v>
      </c>
      <c r="AK1937" s="317"/>
      <c r="AL1937" s="315">
        <f t="shared" si="525"/>
        <v>0</v>
      </c>
      <c r="AN1937" s="554">
        <f t="shared" si="526"/>
        <v>0</v>
      </c>
      <c r="AO1937" s="314"/>
      <c r="AP1937" s="318"/>
    </row>
    <row r="1938" spans="2:42">
      <c r="B1938" s="296"/>
      <c r="C1938" s="299"/>
      <c r="D1938" s="298"/>
      <c r="E1938" s="299"/>
      <c r="F1938" s="299"/>
      <c r="G1938" s="300"/>
      <c r="H1938" s="303"/>
      <c r="I1938" s="301">
        <f t="shared" si="510"/>
        <v>0</v>
      </c>
      <c r="J1938" s="302">
        <f t="shared" si="511"/>
        <v>0</v>
      </c>
      <c r="K1938" s="304">
        <f t="shared" si="512"/>
        <v>0</v>
      </c>
      <c r="L1938" s="305">
        <f>IF(H1938=0,0,IF(OR(E1938=$AT$5,E1938=$AT$6),AA1938,IF(F1938="MXN",1/HLOOKUP(YEAR(G1938)+(MONTH(G1938)/100),TC!$5:$37,DAY(G1938)+2,FALSE),VLOOKUP(F1938,Equivalencia!$5:$23,((MAX(Equivalencia!$3:$3)-YEAR(G1938))*14)+MONTH(G1938)+2,FALSE))))</f>
        <v>0</v>
      </c>
      <c r="M1938" s="306">
        <f t="shared" si="513"/>
        <v>0</v>
      </c>
      <c r="N1938" s="305">
        <f>IF(G1938=0,0,(IF(OR(E1938=$AT$5,E1938=$AT$6),AC1938,HLOOKUP(YEAR(G1938)+(MONTH(G1938)/100),TC!$5:$37,DAY(G1938)+2,FALSE))))</f>
        <v>0</v>
      </c>
      <c r="O1938" s="307">
        <f t="shared" si="514"/>
        <v>0</v>
      </c>
      <c r="P1938" s="560">
        <f>IF(G1938=0,0,VLOOKUP(YEAR(G1938),INPC!$B$4:$P$30,MONTH(G1938)+2))</f>
        <v>0</v>
      </c>
      <c r="Q1938" s="560">
        <f>IF(X1938=0,0,IF(OR(E1938=$AT$10,E1938=$AT$9),VLOOKUP(YEAR(X1938),INPC!$B$4:$P$30,MONTH(X1938)+1),VLOOKUP(YEAR(X1938),INPC!$B$4:$P$30,MONTH(X1938)+2,0)))</f>
        <v>0</v>
      </c>
      <c r="R1938" s="309">
        <f t="shared" si="515"/>
        <v>0</v>
      </c>
      <c r="S1938" s="310">
        <f t="shared" si="516"/>
        <v>0</v>
      </c>
      <c r="T1938" s="555">
        <f t="shared" si="517"/>
        <v>0</v>
      </c>
      <c r="U1938" s="311"/>
      <c r="V1938" s="312"/>
      <c r="W1938" s="299"/>
      <c r="X1938" s="300"/>
      <c r="Y1938" s="299"/>
      <c r="Z1938" s="303"/>
      <c r="AA1938" s="305">
        <f>IF(Z1938=0,0,IF(Y1938="MXN",1/HLOOKUP(YEAR(X1938)+(MONTH(X1938)/100),TC!$5:$37,DAY(X1938)+2,FALSE),VLOOKUP(Y1938,Equivalencia!$1:$23,((MAX(Equivalencia!$3:$3)-YEAR(X1938))*14)+MONTH(X1938)+2,FALSE)))</f>
        <v>0</v>
      </c>
      <c r="AB1938" s="306">
        <f t="shared" si="518"/>
        <v>0</v>
      </c>
      <c r="AC1938" s="305">
        <f>+IF(X1938=0,0,HLOOKUP(YEAR(X1938)+(MONTH(X1938)/100),TC!$5:$37,DAY(X1938)+2,FALSE))</f>
        <v>0</v>
      </c>
      <c r="AD1938" s="307">
        <f t="shared" si="519"/>
        <v>0</v>
      </c>
      <c r="AE1938" s="314">
        <f t="shared" si="520"/>
        <v>0</v>
      </c>
      <c r="AF1938" s="315">
        <f t="shared" si="521"/>
        <v>0</v>
      </c>
      <c r="AG1938" s="316">
        <f t="shared" si="522"/>
        <v>0</v>
      </c>
      <c r="AH1938" s="314">
        <v>1</v>
      </c>
      <c r="AI1938" s="314">
        <f t="shared" si="523"/>
        <v>0</v>
      </c>
      <c r="AJ1938" s="314">
        <f t="shared" si="524"/>
        <v>0</v>
      </c>
      <c r="AK1938" s="317"/>
      <c r="AL1938" s="315">
        <f t="shared" si="525"/>
        <v>0</v>
      </c>
      <c r="AN1938" s="554">
        <f t="shared" si="526"/>
        <v>0</v>
      </c>
      <c r="AO1938" s="314"/>
      <c r="AP1938" s="318"/>
    </row>
    <row r="1939" spans="2:42">
      <c r="B1939" s="296"/>
      <c r="C1939" s="299"/>
      <c r="D1939" s="298"/>
      <c r="E1939" s="299"/>
      <c r="F1939" s="299"/>
      <c r="G1939" s="300"/>
      <c r="H1939" s="303"/>
      <c r="I1939" s="301">
        <f t="shared" si="510"/>
        <v>0</v>
      </c>
      <c r="J1939" s="302">
        <f t="shared" si="511"/>
        <v>0</v>
      </c>
      <c r="K1939" s="304">
        <f t="shared" si="512"/>
        <v>0</v>
      </c>
      <c r="L1939" s="305">
        <f>IF(H1939=0,0,IF(OR(E1939=$AT$5,E1939=$AT$6),AA1939,IF(F1939="MXN",1/HLOOKUP(YEAR(G1939)+(MONTH(G1939)/100),TC!$5:$37,DAY(G1939)+2,FALSE),VLOOKUP(F1939,Equivalencia!$5:$23,((MAX(Equivalencia!$3:$3)-YEAR(G1939))*14)+MONTH(G1939)+2,FALSE))))</f>
        <v>0</v>
      </c>
      <c r="M1939" s="306">
        <f t="shared" si="513"/>
        <v>0</v>
      </c>
      <c r="N1939" s="305">
        <f>IF(G1939=0,0,(IF(OR(E1939=$AT$5,E1939=$AT$6),AC1939,HLOOKUP(YEAR(G1939)+(MONTH(G1939)/100),TC!$5:$37,DAY(G1939)+2,FALSE))))</f>
        <v>0</v>
      </c>
      <c r="O1939" s="307">
        <f t="shared" si="514"/>
        <v>0</v>
      </c>
      <c r="P1939" s="560">
        <f>IF(G1939=0,0,VLOOKUP(YEAR(G1939),INPC!$B$4:$P$30,MONTH(G1939)+2))</f>
        <v>0</v>
      </c>
      <c r="Q1939" s="560">
        <f>IF(X1939=0,0,IF(OR(E1939=$AT$10,E1939=$AT$9),VLOOKUP(YEAR(X1939),INPC!$B$4:$P$30,MONTH(X1939)+1),VLOOKUP(YEAR(X1939),INPC!$B$4:$P$30,MONTH(X1939)+2,0)))</f>
        <v>0</v>
      </c>
      <c r="R1939" s="309">
        <f t="shared" si="515"/>
        <v>0</v>
      </c>
      <c r="S1939" s="310">
        <f t="shared" si="516"/>
        <v>0</v>
      </c>
      <c r="T1939" s="555">
        <f t="shared" si="517"/>
        <v>0</v>
      </c>
      <c r="U1939" s="311"/>
      <c r="V1939" s="312"/>
      <c r="W1939" s="299"/>
      <c r="X1939" s="300"/>
      <c r="Y1939" s="299"/>
      <c r="Z1939" s="303"/>
      <c r="AA1939" s="305">
        <f>IF(Z1939=0,0,IF(Y1939="MXN",1/HLOOKUP(YEAR(X1939)+(MONTH(X1939)/100),TC!$5:$37,DAY(X1939)+2,FALSE),VLOOKUP(Y1939,Equivalencia!$1:$23,((MAX(Equivalencia!$3:$3)-YEAR(X1939))*14)+MONTH(X1939)+2,FALSE)))</f>
        <v>0</v>
      </c>
      <c r="AB1939" s="306">
        <f t="shared" si="518"/>
        <v>0</v>
      </c>
      <c r="AC1939" s="305">
        <f>+IF(X1939=0,0,HLOOKUP(YEAR(X1939)+(MONTH(X1939)/100),TC!$5:$37,DAY(X1939)+2,FALSE))</f>
        <v>0</v>
      </c>
      <c r="AD1939" s="307">
        <f t="shared" si="519"/>
        <v>0</v>
      </c>
      <c r="AE1939" s="314">
        <f t="shared" si="520"/>
        <v>0</v>
      </c>
      <c r="AF1939" s="315">
        <f t="shared" si="521"/>
        <v>0</v>
      </c>
      <c r="AG1939" s="316">
        <f t="shared" si="522"/>
        <v>0</v>
      </c>
      <c r="AH1939" s="314">
        <v>1</v>
      </c>
      <c r="AI1939" s="314">
        <f t="shared" si="523"/>
        <v>0</v>
      </c>
      <c r="AJ1939" s="314">
        <f t="shared" si="524"/>
        <v>0</v>
      </c>
      <c r="AK1939" s="317"/>
      <c r="AL1939" s="315">
        <f t="shared" si="525"/>
        <v>0</v>
      </c>
      <c r="AN1939" s="554">
        <f t="shared" si="526"/>
        <v>0</v>
      </c>
      <c r="AO1939" s="314"/>
      <c r="AP1939" s="318"/>
    </row>
    <row r="1940" spans="2:42">
      <c r="B1940" s="296"/>
      <c r="C1940" s="299"/>
      <c r="D1940" s="298"/>
      <c r="E1940" s="299"/>
      <c r="F1940" s="299"/>
      <c r="G1940" s="300"/>
      <c r="H1940" s="303"/>
      <c r="I1940" s="301">
        <f t="shared" si="510"/>
        <v>0</v>
      </c>
      <c r="J1940" s="302">
        <f t="shared" si="511"/>
        <v>0</v>
      </c>
      <c r="K1940" s="304">
        <f t="shared" si="512"/>
        <v>0</v>
      </c>
      <c r="L1940" s="305">
        <f>IF(H1940=0,0,IF(OR(E1940=$AT$5,E1940=$AT$6),AA1940,IF(F1940="MXN",1/HLOOKUP(YEAR(G1940)+(MONTH(G1940)/100),TC!$5:$37,DAY(G1940)+2,FALSE),VLOOKUP(F1940,Equivalencia!$5:$23,((MAX(Equivalencia!$3:$3)-YEAR(G1940))*14)+MONTH(G1940)+2,FALSE))))</f>
        <v>0</v>
      </c>
      <c r="M1940" s="306">
        <f t="shared" si="513"/>
        <v>0</v>
      </c>
      <c r="N1940" s="305">
        <f>IF(G1940=0,0,(IF(OR(E1940=$AT$5,E1940=$AT$6),AC1940,HLOOKUP(YEAR(G1940)+(MONTH(G1940)/100),TC!$5:$37,DAY(G1940)+2,FALSE))))</f>
        <v>0</v>
      </c>
      <c r="O1940" s="307">
        <f t="shared" si="514"/>
        <v>0</v>
      </c>
      <c r="P1940" s="560">
        <f>IF(G1940=0,0,VLOOKUP(YEAR(G1940),INPC!$B$4:$P$30,MONTH(G1940)+2))</f>
        <v>0</v>
      </c>
      <c r="Q1940" s="560">
        <f>IF(X1940=0,0,IF(OR(E1940=$AT$10,E1940=$AT$9),VLOOKUP(YEAR(X1940),INPC!$B$4:$P$30,MONTH(X1940)+1),VLOOKUP(YEAR(X1940),INPC!$B$4:$P$30,MONTH(X1940)+2,0)))</f>
        <v>0</v>
      </c>
      <c r="R1940" s="309">
        <f t="shared" si="515"/>
        <v>0</v>
      </c>
      <c r="S1940" s="310">
        <f t="shared" si="516"/>
        <v>0</v>
      </c>
      <c r="T1940" s="555">
        <f t="shared" si="517"/>
        <v>0</v>
      </c>
      <c r="U1940" s="311"/>
      <c r="V1940" s="312"/>
      <c r="W1940" s="299"/>
      <c r="X1940" s="300"/>
      <c r="Y1940" s="299"/>
      <c r="Z1940" s="303"/>
      <c r="AA1940" s="305">
        <f>IF(Z1940=0,0,IF(Y1940="MXN",1/HLOOKUP(YEAR(X1940)+(MONTH(X1940)/100),TC!$5:$37,DAY(X1940)+2,FALSE),VLOOKUP(Y1940,Equivalencia!$1:$23,((MAX(Equivalencia!$3:$3)-YEAR(X1940))*14)+MONTH(X1940)+2,FALSE)))</f>
        <v>0</v>
      </c>
      <c r="AB1940" s="306">
        <f t="shared" si="518"/>
        <v>0</v>
      </c>
      <c r="AC1940" s="305">
        <f>+IF(X1940=0,0,HLOOKUP(YEAR(X1940)+(MONTH(X1940)/100),TC!$5:$37,DAY(X1940)+2,FALSE))</f>
        <v>0</v>
      </c>
      <c r="AD1940" s="307">
        <f t="shared" si="519"/>
        <v>0</v>
      </c>
      <c r="AE1940" s="314">
        <f t="shared" si="520"/>
        <v>0</v>
      </c>
      <c r="AF1940" s="315">
        <f t="shared" si="521"/>
        <v>0</v>
      </c>
      <c r="AG1940" s="316">
        <f t="shared" si="522"/>
        <v>0</v>
      </c>
      <c r="AH1940" s="314">
        <v>1</v>
      </c>
      <c r="AI1940" s="314">
        <f t="shared" si="523"/>
        <v>0</v>
      </c>
      <c r="AJ1940" s="314">
        <f t="shared" si="524"/>
        <v>0</v>
      </c>
      <c r="AK1940" s="317"/>
      <c r="AL1940" s="315">
        <f t="shared" si="525"/>
        <v>0</v>
      </c>
      <c r="AN1940" s="554">
        <f t="shared" si="526"/>
        <v>0</v>
      </c>
      <c r="AO1940" s="314"/>
      <c r="AP1940" s="318"/>
    </row>
    <row r="1941" spans="2:42">
      <c r="B1941" s="296"/>
      <c r="C1941" s="299"/>
      <c r="D1941" s="298"/>
      <c r="E1941" s="299"/>
      <c r="F1941" s="299"/>
      <c r="G1941" s="300"/>
      <c r="H1941" s="303"/>
      <c r="I1941" s="301">
        <f t="shared" si="510"/>
        <v>0</v>
      </c>
      <c r="J1941" s="302">
        <f t="shared" si="511"/>
        <v>0</v>
      </c>
      <c r="K1941" s="304">
        <f t="shared" si="512"/>
        <v>0</v>
      </c>
      <c r="L1941" s="305">
        <f>IF(H1941=0,0,IF(OR(E1941=$AT$5,E1941=$AT$6),AA1941,IF(F1941="MXN",1/HLOOKUP(YEAR(G1941)+(MONTH(G1941)/100),TC!$5:$37,DAY(G1941)+2,FALSE),VLOOKUP(F1941,Equivalencia!$5:$23,((MAX(Equivalencia!$3:$3)-YEAR(G1941))*14)+MONTH(G1941)+2,FALSE))))</f>
        <v>0</v>
      </c>
      <c r="M1941" s="306">
        <f t="shared" si="513"/>
        <v>0</v>
      </c>
      <c r="N1941" s="305">
        <f>IF(G1941=0,0,(IF(OR(E1941=$AT$5,E1941=$AT$6),AC1941,HLOOKUP(YEAR(G1941)+(MONTH(G1941)/100),TC!$5:$37,DAY(G1941)+2,FALSE))))</f>
        <v>0</v>
      </c>
      <c r="O1941" s="307">
        <f t="shared" si="514"/>
        <v>0</v>
      </c>
      <c r="P1941" s="560">
        <f>IF(G1941=0,0,VLOOKUP(YEAR(G1941),INPC!$B$4:$P$30,MONTH(G1941)+2))</f>
        <v>0</v>
      </c>
      <c r="Q1941" s="560">
        <f>IF(X1941=0,0,IF(OR(E1941=$AT$10,E1941=$AT$9),VLOOKUP(YEAR(X1941),INPC!$B$4:$P$30,MONTH(X1941)+1),VLOOKUP(YEAR(X1941),INPC!$B$4:$P$30,MONTH(X1941)+2,0)))</f>
        <v>0</v>
      </c>
      <c r="R1941" s="309">
        <f t="shared" si="515"/>
        <v>0</v>
      </c>
      <c r="S1941" s="310">
        <f t="shared" si="516"/>
        <v>0</v>
      </c>
      <c r="T1941" s="555">
        <f t="shared" si="517"/>
        <v>0</v>
      </c>
      <c r="U1941" s="311"/>
      <c r="V1941" s="312"/>
      <c r="W1941" s="299"/>
      <c r="X1941" s="300"/>
      <c r="Y1941" s="299"/>
      <c r="Z1941" s="303"/>
      <c r="AA1941" s="305">
        <f>IF(Z1941=0,0,IF(Y1941="MXN",1/HLOOKUP(YEAR(X1941)+(MONTH(X1941)/100),TC!$5:$37,DAY(X1941)+2,FALSE),VLOOKUP(Y1941,Equivalencia!$1:$23,((MAX(Equivalencia!$3:$3)-YEAR(X1941))*14)+MONTH(X1941)+2,FALSE)))</f>
        <v>0</v>
      </c>
      <c r="AB1941" s="306">
        <f t="shared" si="518"/>
        <v>0</v>
      </c>
      <c r="AC1941" s="305">
        <f>+IF(X1941=0,0,HLOOKUP(YEAR(X1941)+(MONTH(X1941)/100),TC!$5:$37,DAY(X1941)+2,FALSE))</f>
        <v>0</v>
      </c>
      <c r="AD1941" s="307">
        <f t="shared" si="519"/>
        <v>0</v>
      </c>
      <c r="AE1941" s="314">
        <f t="shared" si="520"/>
        <v>0</v>
      </c>
      <c r="AF1941" s="315">
        <f t="shared" si="521"/>
        <v>0</v>
      </c>
      <c r="AG1941" s="316">
        <f t="shared" si="522"/>
        <v>0</v>
      </c>
      <c r="AH1941" s="314">
        <v>1</v>
      </c>
      <c r="AI1941" s="314">
        <f t="shared" si="523"/>
        <v>0</v>
      </c>
      <c r="AJ1941" s="314">
        <f t="shared" si="524"/>
        <v>0</v>
      </c>
      <c r="AK1941" s="317"/>
      <c r="AL1941" s="315">
        <f t="shared" si="525"/>
        <v>0</v>
      </c>
      <c r="AN1941" s="554">
        <f t="shared" si="526"/>
        <v>0</v>
      </c>
      <c r="AO1941" s="314"/>
      <c r="AP1941" s="318"/>
    </row>
    <row r="1942" spans="2:42">
      <c r="B1942" s="296"/>
      <c r="C1942" s="299"/>
      <c r="D1942" s="298"/>
      <c r="E1942" s="299"/>
      <c r="F1942" s="299"/>
      <c r="G1942" s="300"/>
      <c r="H1942" s="303"/>
      <c r="I1942" s="301">
        <f t="shared" si="510"/>
        <v>0</v>
      </c>
      <c r="J1942" s="302">
        <f t="shared" si="511"/>
        <v>0</v>
      </c>
      <c r="K1942" s="304">
        <f t="shared" si="512"/>
        <v>0</v>
      </c>
      <c r="L1942" s="305">
        <f>IF(H1942=0,0,IF(OR(E1942=$AT$5,E1942=$AT$6),AA1942,IF(F1942="MXN",1/HLOOKUP(YEAR(G1942)+(MONTH(G1942)/100),TC!$5:$37,DAY(G1942)+2,FALSE),VLOOKUP(F1942,Equivalencia!$5:$23,((MAX(Equivalencia!$3:$3)-YEAR(G1942))*14)+MONTH(G1942)+2,FALSE))))</f>
        <v>0</v>
      </c>
      <c r="M1942" s="306">
        <f t="shared" si="513"/>
        <v>0</v>
      </c>
      <c r="N1942" s="305">
        <f>IF(G1942=0,0,(IF(OR(E1942=$AT$5,E1942=$AT$6),AC1942,HLOOKUP(YEAR(G1942)+(MONTH(G1942)/100),TC!$5:$37,DAY(G1942)+2,FALSE))))</f>
        <v>0</v>
      </c>
      <c r="O1942" s="307">
        <f t="shared" si="514"/>
        <v>0</v>
      </c>
      <c r="P1942" s="560">
        <f>IF(G1942=0,0,VLOOKUP(YEAR(G1942),INPC!$B$4:$P$30,MONTH(G1942)+2))</f>
        <v>0</v>
      </c>
      <c r="Q1942" s="560">
        <f>IF(X1942=0,0,IF(OR(E1942=$AT$10,E1942=$AT$9),VLOOKUP(YEAR(X1942),INPC!$B$4:$P$30,MONTH(X1942)+1),VLOOKUP(YEAR(X1942),INPC!$B$4:$P$30,MONTH(X1942)+2,0)))</f>
        <v>0</v>
      </c>
      <c r="R1942" s="309">
        <f t="shared" si="515"/>
        <v>0</v>
      </c>
      <c r="S1942" s="310">
        <f t="shared" si="516"/>
        <v>0</v>
      </c>
      <c r="T1942" s="555">
        <f t="shared" si="517"/>
        <v>0</v>
      </c>
      <c r="U1942" s="311"/>
      <c r="V1942" s="312"/>
      <c r="W1942" s="299"/>
      <c r="X1942" s="300"/>
      <c r="Y1942" s="299"/>
      <c r="Z1942" s="303"/>
      <c r="AA1942" s="305">
        <f>IF(Z1942=0,0,IF(Y1942="MXN",1/HLOOKUP(YEAR(X1942)+(MONTH(X1942)/100),TC!$5:$37,DAY(X1942)+2,FALSE),VLOOKUP(Y1942,Equivalencia!$1:$23,((MAX(Equivalencia!$3:$3)-YEAR(X1942))*14)+MONTH(X1942)+2,FALSE)))</f>
        <v>0</v>
      </c>
      <c r="AB1942" s="306">
        <f t="shared" si="518"/>
        <v>0</v>
      </c>
      <c r="AC1942" s="305">
        <f>+IF(X1942=0,0,HLOOKUP(YEAR(X1942)+(MONTH(X1942)/100),TC!$5:$37,DAY(X1942)+2,FALSE))</f>
        <v>0</v>
      </c>
      <c r="AD1942" s="307">
        <f t="shared" si="519"/>
        <v>0</v>
      </c>
      <c r="AE1942" s="314">
        <f t="shared" si="520"/>
        <v>0</v>
      </c>
      <c r="AF1942" s="315">
        <f t="shared" si="521"/>
        <v>0</v>
      </c>
      <c r="AG1942" s="316">
        <f t="shared" si="522"/>
        <v>0</v>
      </c>
      <c r="AH1942" s="314">
        <v>1</v>
      </c>
      <c r="AI1942" s="314">
        <f t="shared" si="523"/>
        <v>0</v>
      </c>
      <c r="AJ1942" s="314">
        <f t="shared" si="524"/>
        <v>0</v>
      </c>
      <c r="AK1942" s="317"/>
      <c r="AL1942" s="315">
        <f t="shared" si="525"/>
        <v>0</v>
      </c>
      <c r="AN1942" s="554">
        <f t="shared" si="526"/>
        <v>0</v>
      </c>
      <c r="AO1942" s="314"/>
      <c r="AP1942" s="318"/>
    </row>
    <row r="1943" spans="2:42">
      <c r="B1943" s="296"/>
      <c r="C1943" s="299"/>
      <c r="D1943" s="298"/>
      <c r="E1943" s="299"/>
      <c r="F1943" s="299"/>
      <c r="G1943" s="300"/>
      <c r="H1943" s="303"/>
      <c r="I1943" s="301">
        <f t="shared" si="510"/>
        <v>0</v>
      </c>
      <c r="J1943" s="302">
        <f t="shared" si="511"/>
        <v>0</v>
      </c>
      <c r="K1943" s="304">
        <f t="shared" si="512"/>
        <v>0</v>
      </c>
      <c r="L1943" s="305">
        <f>IF(H1943=0,0,IF(OR(E1943=$AT$5,E1943=$AT$6),AA1943,IF(F1943="MXN",1/HLOOKUP(YEAR(G1943)+(MONTH(G1943)/100),TC!$5:$37,DAY(G1943)+2,FALSE),VLOOKUP(F1943,Equivalencia!$5:$23,((MAX(Equivalencia!$3:$3)-YEAR(G1943))*14)+MONTH(G1943)+2,FALSE))))</f>
        <v>0</v>
      </c>
      <c r="M1943" s="306">
        <f t="shared" si="513"/>
        <v>0</v>
      </c>
      <c r="N1943" s="305">
        <f>IF(G1943=0,0,(IF(OR(E1943=$AT$5,E1943=$AT$6),AC1943,HLOOKUP(YEAR(G1943)+(MONTH(G1943)/100),TC!$5:$37,DAY(G1943)+2,FALSE))))</f>
        <v>0</v>
      </c>
      <c r="O1943" s="307">
        <f t="shared" si="514"/>
        <v>0</v>
      </c>
      <c r="P1943" s="560">
        <f>IF(G1943=0,0,VLOOKUP(YEAR(G1943),INPC!$B$4:$P$30,MONTH(G1943)+2))</f>
        <v>0</v>
      </c>
      <c r="Q1943" s="560">
        <f>IF(X1943=0,0,IF(OR(E1943=$AT$10,E1943=$AT$9),VLOOKUP(YEAR(X1943),INPC!$B$4:$P$30,MONTH(X1943)+1),VLOOKUP(YEAR(X1943),INPC!$B$4:$P$30,MONTH(X1943)+2,0)))</f>
        <v>0</v>
      </c>
      <c r="R1943" s="309">
        <f t="shared" si="515"/>
        <v>0</v>
      </c>
      <c r="S1943" s="310">
        <f t="shared" si="516"/>
        <v>0</v>
      </c>
      <c r="T1943" s="555">
        <f t="shared" si="517"/>
        <v>0</v>
      </c>
      <c r="U1943" s="311"/>
      <c r="V1943" s="312"/>
      <c r="W1943" s="299"/>
      <c r="X1943" s="300"/>
      <c r="Y1943" s="299"/>
      <c r="Z1943" s="303"/>
      <c r="AA1943" s="305">
        <f>IF(Z1943=0,0,IF(Y1943="MXN",1/HLOOKUP(YEAR(X1943)+(MONTH(X1943)/100),TC!$5:$37,DAY(X1943)+2,FALSE),VLOOKUP(Y1943,Equivalencia!$1:$23,((MAX(Equivalencia!$3:$3)-YEAR(X1943))*14)+MONTH(X1943)+2,FALSE)))</f>
        <v>0</v>
      </c>
      <c r="AB1943" s="306">
        <f t="shared" si="518"/>
        <v>0</v>
      </c>
      <c r="AC1943" s="305">
        <f>+IF(X1943=0,0,HLOOKUP(YEAR(X1943)+(MONTH(X1943)/100),TC!$5:$37,DAY(X1943)+2,FALSE))</f>
        <v>0</v>
      </c>
      <c r="AD1943" s="307">
        <f t="shared" si="519"/>
        <v>0</v>
      </c>
      <c r="AE1943" s="314">
        <f t="shared" si="520"/>
        <v>0</v>
      </c>
      <c r="AF1943" s="315">
        <f t="shared" si="521"/>
        <v>0</v>
      </c>
      <c r="AG1943" s="316">
        <f t="shared" si="522"/>
        <v>0</v>
      </c>
      <c r="AH1943" s="314">
        <v>1</v>
      </c>
      <c r="AI1943" s="314">
        <f t="shared" si="523"/>
        <v>0</v>
      </c>
      <c r="AJ1943" s="314">
        <f t="shared" si="524"/>
        <v>0</v>
      </c>
      <c r="AK1943" s="317"/>
      <c r="AL1943" s="315">
        <f t="shared" si="525"/>
        <v>0</v>
      </c>
      <c r="AN1943" s="554">
        <f t="shared" si="526"/>
        <v>0</v>
      </c>
      <c r="AO1943" s="314"/>
      <c r="AP1943" s="318"/>
    </row>
    <row r="1944" spans="2:42">
      <c r="B1944" s="296"/>
      <c r="C1944" s="299"/>
      <c r="D1944" s="298"/>
      <c r="E1944" s="299"/>
      <c r="F1944" s="299"/>
      <c r="G1944" s="300"/>
      <c r="H1944" s="303"/>
      <c r="I1944" s="301">
        <f t="shared" si="510"/>
        <v>0</v>
      </c>
      <c r="J1944" s="302">
        <f t="shared" si="511"/>
        <v>0</v>
      </c>
      <c r="K1944" s="304">
        <f t="shared" si="512"/>
        <v>0</v>
      </c>
      <c r="L1944" s="305">
        <f>IF(H1944=0,0,IF(OR(E1944=$AT$5,E1944=$AT$6),AA1944,IF(F1944="MXN",1/HLOOKUP(YEAR(G1944)+(MONTH(G1944)/100),TC!$5:$37,DAY(G1944)+2,FALSE),VLOOKUP(F1944,Equivalencia!$5:$23,((MAX(Equivalencia!$3:$3)-YEAR(G1944))*14)+MONTH(G1944)+2,FALSE))))</f>
        <v>0</v>
      </c>
      <c r="M1944" s="306">
        <f t="shared" si="513"/>
        <v>0</v>
      </c>
      <c r="N1944" s="305">
        <f>IF(G1944=0,0,(IF(OR(E1944=$AT$5,E1944=$AT$6),AC1944,HLOOKUP(YEAR(G1944)+(MONTH(G1944)/100),TC!$5:$37,DAY(G1944)+2,FALSE))))</f>
        <v>0</v>
      </c>
      <c r="O1944" s="307">
        <f t="shared" si="514"/>
        <v>0</v>
      </c>
      <c r="P1944" s="560">
        <f>IF(G1944=0,0,VLOOKUP(YEAR(G1944),INPC!$B$4:$P$30,MONTH(G1944)+2))</f>
        <v>0</v>
      </c>
      <c r="Q1944" s="560">
        <f>IF(X1944=0,0,IF(OR(E1944=$AT$10,E1944=$AT$9),VLOOKUP(YEAR(X1944),INPC!$B$4:$P$30,MONTH(X1944)+1),VLOOKUP(YEAR(X1944),INPC!$B$4:$P$30,MONTH(X1944)+2,0)))</f>
        <v>0</v>
      </c>
      <c r="R1944" s="309">
        <f t="shared" si="515"/>
        <v>0</v>
      </c>
      <c r="S1944" s="310">
        <f t="shared" si="516"/>
        <v>0</v>
      </c>
      <c r="T1944" s="555">
        <f t="shared" si="517"/>
        <v>0</v>
      </c>
      <c r="U1944" s="311"/>
      <c r="V1944" s="312"/>
      <c r="W1944" s="299"/>
      <c r="X1944" s="300"/>
      <c r="Y1944" s="299"/>
      <c r="Z1944" s="303"/>
      <c r="AA1944" s="305">
        <f>IF(Z1944=0,0,IF(Y1944="MXN",1/HLOOKUP(YEAR(X1944)+(MONTH(X1944)/100),TC!$5:$37,DAY(X1944)+2,FALSE),VLOOKUP(Y1944,Equivalencia!$1:$23,((MAX(Equivalencia!$3:$3)-YEAR(X1944))*14)+MONTH(X1944)+2,FALSE)))</f>
        <v>0</v>
      </c>
      <c r="AB1944" s="306">
        <f t="shared" si="518"/>
        <v>0</v>
      </c>
      <c r="AC1944" s="305">
        <f>+IF(X1944=0,0,HLOOKUP(YEAR(X1944)+(MONTH(X1944)/100),TC!$5:$37,DAY(X1944)+2,FALSE))</f>
        <v>0</v>
      </c>
      <c r="AD1944" s="307">
        <f t="shared" si="519"/>
        <v>0</v>
      </c>
      <c r="AE1944" s="314">
        <f t="shared" si="520"/>
        <v>0</v>
      </c>
      <c r="AF1944" s="315">
        <f t="shared" si="521"/>
        <v>0</v>
      </c>
      <c r="AG1944" s="316">
        <f t="shared" si="522"/>
        <v>0</v>
      </c>
      <c r="AH1944" s="314">
        <v>1</v>
      </c>
      <c r="AI1944" s="314">
        <f t="shared" si="523"/>
        <v>0</v>
      </c>
      <c r="AJ1944" s="314">
        <f t="shared" si="524"/>
        <v>0</v>
      </c>
      <c r="AK1944" s="317"/>
      <c r="AL1944" s="315">
        <f t="shared" si="525"/>
        <v>0</v>
      </c>
      <c r="AN1944" s="554">
        <f t="shared" si="526"/>
        <v>0</v>
      </c>
      <c r="AO1944" s="314"/>
      <c r="AP1944" s="318"/>
    </row>
    <row r="1945" spans="2:42">
      <c r="B1945" s="296"/>
      <c r="C1945" s="299"/>
      <c r="D1945" s="298"/>
      <c r="E1945" s="299"/>
      <c r="F1945" s="299"/>
      <c r="G1945" s="300"/>
      <c r="H1945" s="303"/>
      <c r="I1945" s="301">
        <f t="shared" si="510"/>
        <v>0</v>
      </c>
      <c r="J1945" s="302">
        <f t="shared" si="511"/>
        <v>0</v>
      </c>
      <c r="K1945" s="304">
        <f t="shared" si="512"/>
        <v>0</v>
      </c>
      <c r="L1945" s="305">
        <f>IF(H1945=0,0,IF(OR(E1945=$AT$5,E1945=$AT$6),AA1945,IF(F1945="MXN",1/HLOOKUP(YEAR(G1945)+(MONTH(G1945)/100),TC!$5:$37,DAY(G1945)+2,FALSE),VLOOKUP(F1945,Equivalencia!$5:$23,((MAX(Equivalencia!$3:$3)-YEAR(G1945))*14)+MONTH(G1945)+2,FALSE))))</f>
        <v>0</v>
      </c>
      <c r="M1945" s="306">
        <f t="shared" si="513"/>
        <v>0</v>
      </c>
      <c r="N1945" s="305">
        <f>IF(G1945=0,0,(IF(OR(E1945=$AT$5,E1945=$AT$6),AC1945,HLOOKUP(YEAR(G1945)+(MONTH(G1945)/100),TC!$5:$37,DAY(G1945)+2,FALSE))))</f>
        <v>0</v>
      </c>
      <c r="O1945" s="307">
        <f t="shared" si="514"/>
        <v>0</v>
      </c>
      <c r="P1945" s="560">
        <f>IF(G1945=0,0,VLOOKUP(YEAR(G1945),INPC!$B$4:$P$30,MONTH(G1945)+2))</f>
        <v>0</v>
      </c>
      <c r="Q1945" s="560">
        <f>IF(X1945=0,0,IF(OR(E1945=$AT$10,E1945=$AT$9),VLOOKUP(YEAR(X1945),INPC!$B$4:$P$30,MONTH(X1945)+1),VLOOKUP(YEAR(X1945),INPC!$B$4:$P$30,MONTH(X1945)+2,0)))</f>
        <v>0</v>
      </c>
      <c r="R1945" s="309">
        <f t="shared" si="515"/>
        <v>0</v>
      </c>
      <c r="S1945" s="310">
        <f t="shared" si="516"/>
        <v>0</v>
      </c>
      <c r="T1945" s="555">
        <f t="shared" si="517"/>
        <v>0</v>
      </c>
      <c r="U1945" s="311"/>
      <c r="V1945" s="312"/>
      <c r="W1945" s="299"/>
      <c r="X1945" s="300"/>
      <c r="Y1945" s="299"/>
      <c r="Z1945" s="303"/>
      <c r="AA1945" s="305">
        <f>IF(Z1945=0,0,IF(Y1945="MXN",1/HLOOKUP(YEAR(X1945)+(MONTH(X1945)/100),TC!$5:$37,DAY(X1945)+2,FALSE),VLOOKUP(Y1945,Equivalencia!$1:$23,((MAX(Equivalencia!$3:$3)-YEAR(X1945))*14)+MONTH(X1945)+2,FALSE)))</f>
        <v>0</v>
      </c>
      <c r="AB1945" s="306">
        <f t="shared" si="518"/>
        <v>0</v>
      </c>
      <c r="AC1945" s="305">
        <f>+IF(X1945=0,0,HLOOKUP(YEAR(X1945)+(MONTH(X1945)/100),TC!$5:$37,DAY(X1945)+2,FALSE))</f>
        <v>0</v>
      </c>
      <c r="AD1945" s="307">
        <f t="shared" si="519"/>
        <v>0</v>
      </c>
      <c r="AE1945" s="314">
        <f t="shared" si="520"/>
        <v>0</v>
      </c>
      <c r="AF1945" s="315">
        <f t="shared" si="521"/>
        <v>0</v>
      </c>
      <c r="AG1945" s="316">
        <f t="shared" si="522"/>
        <v>0</v>
      </c>
      <c r="AH1945" s="314">
        <v>1</v>
      </c>
      <c r="AI1945" s="314">
        <f t="shared" si="523"/>
        <v>0</v>
      </c>
      <c r="AJ1945" s="314">
        <f t="shared" si="524"/>
        <v>0</v>
      </c>
      <c r="AK1945" s="317"/>
      <c r="AL1945" s="315">
        <f t="shared" si="525"/>
        <v>0</v>
      </c>
      <c r="AN1945" s="554">
        <f t="shared" si="526"/>
        <v>0</v>
      </c>
      <c r="AO1945" s="314"/>
      <c r="AP1945" s="318"/>
    </row>
    <row r="1946" spans="2:42">
      <c r="B1946" s="296"/>
      <c r="C1946" s="299"/>
      <c r="D1946" s="298"/>
      <c r="E1946" s="299"/>
      <c r="F1946" s="299"/>
      <c r="G1946" s="300"/>
      <c r="H1946" s="303"/>
      <c r="I1946" s="301">
        <f t="shared" si="510"/>
        <v>0</v>
      </c>
      <c r="J1946" s="302">
        <f t="shared" si="511"/>
        <v>0</v>
      </c>
      <c r="K1946" s="304">
        <f t="shared" si="512"/>
        <v>0</v>
      </c>
      <c r="L1946" s="305">
        <f>IF(H1946=0,0,IF(OR(E1946=$AT$5,E1946=$AT$6),AA1946,IF(F1946="MXN",1/HLOOKUP(YEAR(G1946)+(MONTH(G1946)/100),TC!$5:$37,DAY(G1946)+2,FALSE),VLOOKUP(F1946,Equivalencia!$5:$23,((MAX(Equivalencia!$3:$3)-YEAR(G1946))*14)+MONTH(G1946)+2,FALSE))))</f>
        <v>0</v>
      </c>
      <c r="M1946" s="306">
        <f t="shared" si="513"/>
        <v>0</v>
      </c>
      <c r="N1946" s="305">
        <f>IF(G1946=0,0,(IF(OR(E1946=$AT$5,E1946=$AT$6),AC1946,HLOOKUP(YEAR(G1946)+(MONTH(G1946)/100),TC!$5:$37,DAY(G1946)+2,FALSE))))</f>
        <v>0</v>
      </c>
      <c r="O1946" s="307">
        <f t="shared" si="514"/>
        <v>0</v>
      </c>
      <c r="P1946" s="560">
        <f>IF(G1946=0,0,VLOOKUP(YEAR(G1946),INPC!$B$4:$P$30,MONTH(G1946)+2))</f>
        <v>0</v>
      </c>
      <c r="Q1946" s="560">
        <f>IF(X1946=0,0,IF(OR(E1946=$AT$10,E1946=$AT$9),VLOOKUP(YEAR(X1946),INPC!$B$4:$P$30,MONTH(X1946)+1),VLOOKUP(YEAR(X1946),INPC!$B$4:$P$30,MONTH(X1946)+2,0)))</f>
        <v>0</v>
      </c>
      <c r="R1946" s="309">
        <f t="shared" si="515"/>
        <v>0</v>
      </c>
      <c r="S1946" s="310">
        <f t="shared" si="516"/>
        <v>0</v>
      </c>
      <c r="T1946" s="555">
        <f t="shared" si="517"/>
        <v>0</v>
      </c>
      <c r="U1946" s="311"/>
      <c r="V1946" s="312"/>
      <c r="W1946" s="299"/>
      <c r="X1946" s="300"/>
      <c r="Y1946" s="299"/>
      <c r="Z1946" s="303"/>
      <c r="AA1946" s="305">
        <f>IF(Z1946=0,0,IF(Y1946="MXN",1/HLOOKUP(YEAR(X1946)+(MONTH(X1946)/100),TC!$5:$37,DAY(X1946)+2,FALSE),VLOOKUP(Y1946,Equivalencia!$1:$23,((MAX(Equivalencia!$3:$3)-YEAR(X1946))*14)+MONTH(X1946)+2,FALSE)))</f>
        <v>0</v>
      </c>
      <c r="AB1946" s="306">
        <f t="shared" si="518"/>
        <v>0</v>
      </c>
      <c r="AC1946" s="305">
        <f>+IF(X1946=0,0,HLOOKUP(YEAR(X1946)+(MONTH(X1946)/100),TC!$5:$37,DAY(X1946)+2,FALSE))</f>
        <v>0</v>
      </c>
      <c r="AD1946" s="307">
        <f t="shared" si="519"/>
        <v>0</v>
      </c>
      <c r="AE1946" s="314">
        <f t="shared" si="520"/>
        <v>0</v>
      </c>
      <c r="AF1946" s="315">
        <f t="shared" si="521"/>
        <v>0</v>
      </c>
      <c r="AG1946" s="316">
        <f t="shared" si="522"/>
        <v>0</v>
      </c>
      <c r="AH1946" s="314">
        <v>1</v>
      </c>
      <c r="AI1946" s="314">
        <f t="shared" si="523"/>
        <v>0</v>
      </c>
      <c r="AJ1946" s="314">
        <f t="shared" si="524"/>
        <v>0</v>
      </c>
      <c r="AK1946" s="317"/>
      <c r="AL1946" s="315">
        <f t="shared" si="525"/>
        <v>0</v>
      </c>
      <c r="AN1946" s="554">
        <f t="shared" si="526"/>
        <v>0</v>
      </c>
      <c r="AO1946" s="314"/>
      <c r="AP1946" s="318"/>
    </row>
    <row r="1947" spans="2:42">
      <c r="B1947" s="296"/>
      <c r="C1947" s="299"/>
      <c r="D1947" s="298"/>
      <c r="E1947" s="299"/>
      <c r="F1947" s="299"/>
      <c r="G1947" s="300"/>
      <c r="H1947" s="303"/>
      <c r="I1947" s="301">
        <f t="shared" si="510"/>
        <v>0</v>
      </c>
      <c r="J1947" s="302">
        <f t="shared" si="511"/>
        <v>0</v>
      </c>
      <c r="K1947" s="304">
        <f t="shared" si="512"/>
        <v>0</v>
      </c>
      <c r="L1947" s="305">
        <f>IF(H1947=0,0,IF(OR(E1947=$AT$5,E1947=$AT$6),AA1947,IF(F1947="MXN",1/HLOOKUP(YEAR(G1947)+(MONTH(G1947)/100),TC!$5:$37,DAY(G1947)+2,FALSE),VLOOKUP(F1947,Equivalencia!$5:$23,((MAX(Equivalencia!$3:$3)-YEAR(G1947))*14)+MONTH(G1947)+2,FALSE))))</f>
        <v>0</v>
      </c>
      <c r="M1947" s="306">
        <f t="shared" si="513"/>
        <v>0</v>
      </c>
      <c r="N1947" s="305">
        <f>IF(G1947=0,0,(IF(OR(E1947=$AT$5,E1947=$AT$6),AC1947,HLOOKUP(YEAR(G1947)+(MONTH(G1947)/100),TC!$5:$37,DAY(G1947)+2,FALSE))))</f>
        <v>0</v>
      </c>
      <c r="O1947" s="307">
        <f t="shared" si="514"/>
        <v>0</v>
      </c>
      <c r="P1947" s="560">
        <f>IF(G1947=0,0,VLOOKUP(YEAR(G1947),INPC!$B$4:$P$30,MONTH(G1947)+2))</f>
        <v>0</v>
      </c>
      <c r="Q1947" s="560">
        <f>IF(X1947=0,0,IF(OR(E1947=$AT$10,E1947=$AT$9),VLOOKUP(YEAR(X1947),INPC!$B$4:$P$30,MONTH(X1947)+1),VLOOKUP(YEAR(X1947),INPC!$B$4:$P$30,MONTH(X1947)+2,0)))</f>
        <v>0</v>
      </c>
      <c r="R1947" s="309">
        <f t="shared" si="515"/>
        <v>0</v>
      </c>
      <c r="S1947" s="310">
        <f t="shared" si="516"/>
        <v>0</v>
      </c>
      <c r="T1947" s="555">
        <f t="shared" si="517"/>
        <v>0</v>
      </c>
      <c r="U1947" s="311"/>
      <c r="V1947" s="312"/>
      <c r="W1947" s="299"/>
      <c r="X1947" s="300"/>
      <c r="Y1947" s="299"/>
      <c r="Z1947" s="303"/>
      <c r="AA1947" s="305">
        <f>IF(Z1947=0,0,IF(Y1947="MXN",1/HLOOKUP(YEAR(X1947)+(MONTH(X1947)/100),TC!$5:$37,DAY(X1947)+2,FALSE),VLOOKUP(Y1947,Equivalencia!$1:$23,((MAX(Equivalencia!$3:$3)-YEAR(X1947))*14)+MONTH(X1947)+2,FALSE)))</f>
        <v>0</v>
      </c>
      <c r="AB1947" s="306">
        <f t="shared" si="518"/>
        <v>0</v>
      </c>
      <c r="AC1947" s="305">
        <f>+IF(X1947=0,0,HLOOKUP(YEAR(X1947)+(MONTH(X1947)/100),TC!$5:$37,DAY(X1947)+2,FALSE))</f>
        <v>0</v>
      </c>
      <c r="AD1947" s="307">
        <f t="shared" si="519"/>
        <v>0</v>
      </c>
      <c r="AE1947" s="314">
        <f t="shared" si="520"/>
        <v>0</v>
      </c>
      <c r="AF1947" s="315">
        <f t="shared" si="521"/>
        <v>0</v>
      </c>
      <c r="AG1947" s="316">
        <f t="shared" si="522"/>
        <v>0</v>
      </c>
      <c r="AH1947" s="314">
        <v>1</v>
      </c>
      <c r="AI1947" s="314">
        <f t="shared" si="523"/>
        <v>0</v>
      </c>
      <c r="AJ1947" s="314">
        <f t="shared" si="524"/>
        <v>0</v>
      </c>
      <c r="AK1947" s="317"/>
      <c r="AL1947" s="315">
        <f t="shared" si="525"/>
        <v>0</v>
      </c>
      <c r="AN1947" s="554">
        <f t="shared" si="526"/>
        <v>0</v>
      </c>
      <c r="AO1947" s="314"/>
      <c r="AP1947" s="318"/>
    </row>
    <row r="1948" spans="2:42">
      <c r="B1948" s="296"/>
      <c r="C1948" s="299"/>
      <c r="D1948" s="298"/>
      <c r="E1948" s="299"/>
      <c r="F1948" s="299"/>
      <c r="G1948" s="300"/>
      <c r="H1948" s="303"/>
      <c r="I1948" s="301">
        <f t="shared" si="510"/>
        <v>0</v>
      </c>
      <c r="J1948" s="302">
        <f t="shared" si="511"/>
        <v>0</v>
      </c>
      <c r="K1948" s="304">
        <f t="shared" si="512"/>
        <v>0</v>
      </c>
      <c r="L1948" s="305">
        <f>IF(H1948=0,0,IF(OR(E1948=$AT$5,E1948=$AT$6),AA1948,IF(F1948="MXN",1/HLOOKUP(YEAR(G1948)+(MONTH(G1948)/100),TC!$5:$37,DAY(G1948)+2,FALSE),VLOOKUP(F1948,Equivalencia!$5:$23,((MAX(Equivalencia!$3:$3)-YEAR(G1948))*14)+MONTH(G1948)+2,FALSE))))</f>
        <v>0</v>
      </c>
      <c r="M1948" s="306">
        <f t="shared" si="513"/>
        <v>0</v>
      </c>
      <c r="N1948" s="305">
        <f>IF(G1948=0,0,(IF(OR(E1948=$AT$5,E1948=$AT$6),AC1948,HLOOKUP(YEAR(G1948)+(MONTH(G1948)/100),TC!$5:$37,DAY(G1948)+2,FALSE))))</f>
        <v>0</v>
      </c>
      <c r="O1948" s="307">
        <f t="shared" si="514"/>
        <v>0</v>
      </c>
      <c r="P1948" s="560">
        <f>IF(G1948=0,0,VLOOKUP(YEAR(G1948),INPC!$B$4:$P$30,MONTH(G1948)+2))</f>
        <v>0</v>
      </c>
      <c r="Q1948" s="560">
        <f>IF(X1948=0,0,IF(OR(E1948=$AT$10,E1948=$AT$9),VLOOKUP(YEAR(X1948),INPC!$B$4:$P$30,MONTH(X1948)+1),VLOOKUP(YEAR(X1948),INPC!$B$4:$P$30,MONTH(X1948)+2,0)))</f>
        <v>0</v>
      </c>
      <c r="R1948" s="309">
        <f t="shared" si="515"/>
        <v>0</v>
      </c>
      <c r="S1948" s="310">
        <f t="shared" si="516"/>
        <v>0</v>
      </c>
      <c r="T1948" s="555">
        <f t="shared" si="517"/>
        <v>0</v>
      </c>
      <c r="U1948" s="311"/>
      <c r="V1948" s="312"/>
      <c r="W1948" s="299"/>
      <c r="X1948" s="300"/>
      <c r="Y1948" s="299"/>
      <c r="Z1948" s="303"/>
      <c r="AA1948" s="305">
        <f>IF(Z1948=0,0,IF(Y1948="MXN",1/HLOOKUP(YEAR(X1948)+(MONTH(X1948)/100),TC!$5:$37,DAY(X1948)+2,FALSE),VLOOKUP(Y1948,Equivalencia!$1:$23,((MAX(Equivalencia!$3:$3)-YEAR(X1948))*14)+MONTH(X1948)+2,FALSE)))</f>
        <v>0</v>
      </c>
      <c r="AB1948" s="306">
        <f t="shared" si="518"/>
        <v>0</v>
      </c>
      <c r="AC1948" s="305">
        <f>+IF(X1948=0,0,HLOOKUP(YEAR(X1948)+(MONTH(X1948)/100),TC!$5:$37,DAY(X1948)+2,FALSE))</f>
        <v>0</v>
      </c>
      <c r="AD1948" s="307">
        <f t="shared" si="519"/>
        <v>0</v>
      </c>
      <c r="AE1948" s="314">
        <f t="shared" si="520"/>
        <v>0</v>
      </c>
      <c r="AF1948" s="315">
        <f t="shared" si="521"/>
        <v>0</v>
      </c>
      <c r="AG1948" s="316">
        <f t="shared" si="522"/>
        <v>0</v>
      </c>
      <c r="AH1948" s="314">
        <v>1</v>
      </c>
      <c r="AI1948" s="314">
        <f t="shared" si="523"/>
        <v>0</v>
      </c>
      <c r="AJ1948" s="314">
        <f t="shared" si="524"/>
        <v>0</v>
      </c>
      <c r="AK1948" s="317"/>
      <c r="AL1948" s="315">
        <f t="shared" si="525"/>
        <v>0</v>
      </c>
      <c r="AN1948" s="554">
        <f t="shared" si="526"/>
        <v>0</v>
      </c>
      <c r="AO1948" s="314"/>
      <c r="AP1948" s="318"/>
    </row>
    <row r="1949" spans="2:42">
      <c r="B1949" s="296"/>
      <c r="C1949" s="299"/>
      <c r="D1949" s="298"/>
      <c r="E1949" s="299"/>
      <c r="F1949" s="299"/>
      <c r="G1949" s="300"/>
      <c r="H1949" s="303"/>
      <c r="I1949" s="301">
        <f t="shared" si="510"/>
        <v>0</v>
      </c>
      <c r="J1949" s="302">
        <f t="shared" si="511"/>
        <v>0</v>
      </c>
      <c r="K1949" s="304">
        <f t="shared" si="512"/>
        <v>0</v>
      </c>
      <c r="L1949" s="305">
        <f>IF(H1949=0,0,IF(OR(E1949=$AT$5,E1949=$AT$6),AA1949,IF(F1949="MXN",1/HLOOKUP(YEAR(G1949)+(MONTH(G1949)/100),TC!$5:$37,DAY(G1949)+2,FALSE),VLOOKUP(F1949,Equivalencia!$5:$23,((MAX(Equivalencia!$3:$3)-YEAR(G1949))*14)+MONTH(G1949)+2,FALSE))))</f>
        <v>0</v>
      </c>
      <c r="M1949" s="306">
        <f t="shared" si="513"/>
        <v>0</v>
      </c>
      <c r="N1949" s="305">
        <f>IF(G1949=0,0,(IF(OR(E1949=$AT$5,E1949=$AT$6),AC1949,HLOOKUP(YEAR(G1949)+(MONTH(G1949)/100),TC!$5:$37,DAY(G1949)+2,FALSE))))</f>
        <v>0</v>
      </c>
      <c r="O1949" s="307">
        <f t="shared" si="514"/>
        <v>0</v>
      </c>
      <c r="P1949" s="560">
        <f>IF(G1949=0,0,VLOOKUP(YEAR(G1949),INPC!$B$4:$P$30,MONTH(G1949)+2))</f>
        <v>0</v>
      </c>
      <c r="Q1949" s="560">
        <f>IF(X1949=0,0,IF(OR(E1949=$AT$10,E1949=$AT$9),VLOOKUP(YEAR(X1949),INPC!$B$4:$P$30,MONTH(X1949)+1),VLOOKUP(YEAR(X1949),INPC!$B$4:$P$30,MONTH(X1949)+2,0)))</f>
        <v>0</v>
      </c>
      <c r="R1949" s="309">
        <f t="shared" si="515"/>
        <v>0</v>
      </c>
      <c r="S1949" s="310">
        <f t="shared" si="516"/>
        <v>0</v>
      </c>
      <c r="T1949" s="555">
        <f t="shared" si="517"/>
        <v>0</v>
      </c>
      <c r="U1949" s="311"/>
      <c r="V1949" s="312"/>
      <c r="W1949" s="299"/>
      <c r="X1949" s="300"/>
      <c r="Y1949" s="299"/>
      <c r="Z1949" s="303"/>
      <c r="AA1949" s="305">
        <f>IF(Z1949=0,0,IF(Y1949="MXN",1/HLOOKUP(YEAR(X1949)+(MONTH(X1949)/100),TC!$5:$37,DAY(X1949)+2,FALSE),VLOOKUP(Y1949,Equivalencia!$1:$23,((MAX(Equivalencia!$3:$3)-YEAR(X1949))*14)+MONTH(X1949)+2,FALSE)))</f>
        <v>0</v>
      </c>
      <c r="AB1949" s="306">
        <f t="shared" si="518"/>
        <v>0</v>
      </c>
      <c r="AC1949" s="305">
        <f>+IF(X1949=0,0,HLOOKUP(YEAR(X1949)+(MONTH(X1949)/100),TC!$5:$37,DAY(X1949)+2,FALSE))</f>
        <v>0</v>
      </c>
      <c r="AD1949" s="307">
        <f t="shared" si="519"/>
        <v>0</v>
      </c>
      <c r="AE1949" s="314">
        <f t="shared" si="520"/>
        <v>0</v>
      </c>
      <c r="AF1949" s="315">
        <f t="shared" si="521"/>
        <v>0</v>
      </c>
      <c r="AG1949" s="316">
        <f t="shared" si="522"/>
        <v>0</v>
      </c>
      <c r="AH1949" s="314">
        <v>1</v>
      </c>
      <c r="AI1949" s="314">
        <f t="shared" si="523"/>
        <v>0</v>
      </c>
      <c r="AJ1949" s="314">
        <f t="shared" si="524"/>
        <v>0</v>
      </c>
      <c r="AK1949" s="317"/>
      <c r="AL1949" s="315">
        <f t="shared" si="525"/>
        <v>0</v>
      </c>
      <c r="AN1949" s="554">
        <f t="shared" si="526"/>
        <v>0</v>
      </c>
      <c r="AO1949" s="314"/>
      <c r="AP1949" s="318"/>
    </row>
    <row r="1950" spans="2:42">
      <c r="B1950" s="296"/>
      <c r="C1950" s="299"/>
      <c r="D1950" s="298"/>
      <c r="E1950" s="299"/>
      <c r="F1950" s="299"/>
      <c r="G1950" s="300"/>
      <c r="H1950" s="303"/>
      <c r="I1950" s="301">
        <f t="shared" si="510"/>
        <v>0</v>
      </c>
      <c r="J1950" s="302">
        <f t="shared" si="511"/>
        <v>0</v>
      </c>
      <c r="K1950" s="304">
        <f t="shared" si="512"/>
        <v>0</v>
      </c>
      <c r="L1950" s="305">
        <f>IF(H1950=0,0,IF(OR(E1950=$AT$5,E1950=$AT$6),AA1950,IF(F1950="MXN",1/HLOOKUP(YEAR(G1950)+(MONTH(G1950)/100),TC!$5:$37,DAY(G1950)+2,FALSE),VLOOKUP(F1950,Equivalencia!$5:$23,((MAX(Equivalencia!$3:$3)-YEAR(G1950))*14)+MONTH(G1950)+2,FALSE))))</f>
        <v>0</v>
      </c>
      <c r="M1950" s="306">
        <f t="shared" si="513"/>
        <v>0</v>
      </c>
      <c r="N1950" s="305">
        <f>IF(G1950=0,0,(IF(OR(E1950=$AT$5,E1950=$AT$6),AC1950,HLOOKUP(YEAR(G1950)+(MONTH(G1950)/100),TC!$5:$37,DAY(G1950)+2,FALSE))))</f>
        <v>0</v>
      </c>
      <c r="O1950" s="307">
        <f t="shared" si="514"/>
        <v>0</v>
      </c>
      <c r="P1950" s="560">
        <f>IF(G1950=0,0,VLOOKUP(YEAR(G1950),INPC!$B$4:$P$30,MONTH(G1950)+2))</f>
        <v>0</v>
      </c>
      <c r="Q1950" s="560">
        <f>IF(X1950=0,0,IF(OR(E1950=$AT$10,E1950=$AT$9),VLOOKUP(YEAR(X1950),INPC!$B$4:$P$30,MONTH(X1950)+1),VLOOKUP(YEAR(X1950),INPC!$B$4:$P$30,MONTH(X1950)+2,0)))</f>
        <v>0</v>
      </c>
      <c r="R1950" s="309">
        <f t="shared" si="515"/>
        <v>0</v>
      </c>
      <c r="S1950" s="310">
        <f t="shared" si="516"/>
        <v>0</v>
      </c>
      <c r="T1950" s="555">
        <f t="shared" si="517"/>
        <v>0</v>
      </c>
      <c r="U1950" s="311"/>
      <c r="V1950" s="312"/>
      <c r="W1950" s="299"/>
      <c r="X1950" s="300"/>
      <c r="Y1950" s="299"/>
      <c r="Z1950" s="303"/>
      <c r="AA1950" s="305">
        <f>IF(Z1950=0,0,IF(Y1950="MXN",1/HLOOKUP(YEAR(X1950)+(MONTH(X1950)/100),TC!$5:$37,DAY(X1950)+2,FALSE),VLOOKUP(Y1950,Equivalencia!$1:$23,((MAX(Equivalencia!$3:$3)-YEAR(X1950))*14)+MONTH(X1950)+2,FALSE)))</f>
        <v>0</v>
      </c>
      <c r="AB1950" s="306">
        <f t="shared" si="518"/>
        <v>0</v>
      </c>
      <c r="AC1950" s="305">
        <f>+IF(X1950=0,0,HLOOKUP(YEAR(X1950)+(MONTH(X1950)/100),TC!$5:$37,DAY(X1950)+2,FALSE))</f>
        <v>0</v>
      </c>
      <c r="AD1950" s="307">
        <f t="shared" si="519"/>
        <v>0</v>
      </c>
      <c r="AE1950" s="314">
        <f t="shared" si="520"/>
        <v>0</v>
      </c>
      <c r="AF1950" s="315">
        <f t="shared" si="521"/>
        <v>0</v>
      </c>
      <c r="AG1950" s="316">
        <f t="shared" si="522"/>
        <v>0</v>
      </c>
      <c r="AH1950" s="314">
        <v>1</v>
      </c>
      <c r="AI1950" s="314">
        <f t="shared" si="523"/>
        <v>0</v>
      </c>
      <c r="AJ1950" s="314">
        <f t="shared" si="524"/>
        <v>0</v>
      </c>
      <c r="AK1950" s="317"/>
      <c r="AL1950" s="315">
        <f t="shared" si="525"/>
        <v>0</v>
      </c>
      <c r="AN1950" s="554">
        <f t="shared" si="526"/>
        <v>0</v>
      </c>
      <c r="AO1950" s="314"/>
      <c r="AP1950" s="318"/>
    </row>
    <row r="1951" spans="2:42">
      <c r="B1951" s="296"/>
      <c r="C1951" s="299"/>
      <c r="D1951" s="298"/>
      <c r="E1951" s="299"/>
      <c r="F1951" s="299"/>
      <c r="G1951" s="300"/>
      <c r="H1951" s="303"/>
      <c r="I1951" s="301">
        <f t="shared" si="510"/>
        <v>0</v>
      </c>
      <c r="J1951" s="302">
        <f t="shared" si="511"/>
        <v>0</v>
      </c>
      <c r="K1951" s="304">
        <f t="shared" si="512"/>
        <v>0</v>
      </c>
      <c r="L1951" s="305">
        <f>IF(H1951=0,0,IF(OR(E1951=$AT$5,E1951=$AT$6),AA1951,IF(F1951="MXN",1/HLOOKUP(YEAR(G1951)+(MONTH(G1951)/100),TC!$5:$37,DAY(G1951)+2,FALSE),VLOOKUP(F1951,Equivalencia!$5:$23,((MAX(Equivalencia!$3:$3)-YEAR(G1951))*14)+MONTH(G1951)+2,FALSE))))</f>
        <v>0</v>
      </c>
      <c r="M1951" s="306">
        <f t="shared" si="513"/>
        <v>0</v>
      </c>
      <c r="N1951" s="305">
        <f>IF(G1951=0,0,(IF(OR(E1951=$AT$5,E1951=$AT$6),AC1951,HLOOKUP(YEAR(G1951)+(MONTH(G1951)/100),TC!$5:$37,DAY(G1951)+2,FALSE))))</f>
        <v>0</v>
      </c>
      <c r="O1951" s="307">
        <f t="shared" si="514"/>
        <v>0</v>
      </c>
      <c r="P1951" s="560">
        <f>IF(G1951=0,0,VLOOKUP(YEAR(G1951),INPC!$B$4:$P$30,MONTH(G1951)+2))</f>
        <v>0</v>
      </c>
      <c r="Q1951" s="560">
        <f>IF(X1951=0,0,IF(OR(E1951=$AT$10,E1951=$AT$9),VLOOKUP(YEAR(X1951),INPC!$B$4:$P$30,MONTH(X1951)+1),VLOOKUP(YEAR(X1951),INPC!$B$4:$P$30,MONTH(X1951)+2,0)))</f>
        <v>0</v>
      </c>
      <c r="R1951" s="309">
        <f t="shared" si="515"/>
        <v>0</v>
      </c>
      <c r="S1951" s="310">
        <f t="shared" si="516"/>
        <v>0</v>
      </c>
      <c r="T1951" s="555">
        <f t="shared" si="517"/>
        <v>0</v>
      </c>
      <c r="U1951" s="311"/>
      <c r="V1951" s="312"/>
      <c r="W1951" s="299"/>
      <c r="X1951" s="300"/>
      <c r="Y1951" s="299"/>
      <c r="Z1951" s="303"/>
      <c r="AA1951" s="305">
        <f>IF(Z1951=0,0,IF(Y1951="MXN",1/HLOOKUP(YEAR(X1951)+(MONTH(X1951)/100),TC!$5:$37,DAY(X1951)+2,FALSE),VLOOKUP(Y1951,Equivalencia!$1:$23,((MAX(Equivalencia!$3:$3)-YEAR(X1951))*14)+MONTH(X1951)+2,FALSE)))</f>
        <v>0</v>
      </c>
      <c r="AB1951" s="306">
        <f t="shared" si="518"/>
        <v>0</v>
      </c>
      <c r="AC1951" s="305">
        <f>+IF(X1951=0,0,HLOOKUP(YEAR(X1951)+(MONTH(X1951)/100),TC!$5:$37,DAY(X1951)+2,FALSE))</f>
        <v>0</v>
      </c>
      <c r="AD1951" s="307">
        <f t="shared" si="519"/>
        <v>0</v>
      </c>
      <c r="AE1951" s="314">
        <f t="shared" si="520"/>
        <v>0</v>
      </c>
      <c r="AF1951" s="315">
        <f t="shared" si="521"/>
        <v>0</v>
      </c>
      <c r="AG1951" s="316">
        <f t="shared" si="522"/>
        <v>0</v>
      </c>
      <c r="AH1951" s="314">
        <v>1</v>
      </c>
      <c r="AI1951" s="314">
        <f t="shared" si="523"/>
        <v>0</v>
      </c>
      <c r="AJ1951" s="314">
        <f t="shared" si="524"/>
        <v>0</v>
      </c>
      <c r="AK1951" s="317"/>
      <c r="AL1951" s="315">
        <f t="shared" si="525"/>
        <v>0</v>
      </c>
      <c r="AN1951" s="554">
        <f t="shared" si="526"/>
        <v>0</v>
      </c>
      <c r="AO1951" s="314"/>
      <c r="AP1951" s="318"/>
    </row>
    <row r="1952" spans="2:42">
      <c r="B1952" s="296"/>
      <c r="C1952" s="299"/>
      <c r="D1952" s="298"/>
      <c r="E1952" s="299"/>
      <c r="F1952" s="299"/>
      <c r="G1952" s="300"/>
      <c r="H1952" s="303"/>
      <c r="I1952" s="301">
        <f t="shared" si="510"/>
        <v>0</v>
      </c>
      <c r="J1952" s="302">
        <f t="shared" si="511"/>
        <v>0</v>
      </c>
      <c r="K1952" s="304">
        <f t="shared" si="512"/>
        <v>0</v>
      </c>
      <c r="L1952" s="305">
        <f>IF(H1952=0,0,IF(OR(E1952=$AT$5,E1952=$AT$6),AA1952,IF(F1952="MXN",1/HLOOKUP(YEAR(G1952)+(MONTH(G1952)/100),TC!$5:$37,DAY(G1952)+2,FALSE),VLOOKUP(F1952,Equivalencia!$5:$23,((MAX(Equivalencia!$3:$3)-YEAR(G1952))*14)+MONTH(G1952)+2,FALSE))))</f>
        <v>0</v>
      </c>
      <c r="M1952" s="306">
        <f t="shared" si="513"/>
        <v>0</v>
      </c>
      <c r="N1952" s="305">
        <f>IF(G1952=0,0,(IF(OR(E1952=$AT$5,E1952=$AT$6),AC1952,HLOOKUP(YEAR(G1952)+(MONTH(G1952)/100),TC!$5:$37,DAY(G1952)+2,FALSE))))</f>
        <v>0</v>
      </c>
      <c r="O1952" s="307">
        <f t="shared" si="514"/>
        <v>0</v>
      </c>
      <c r="P1952" s="560">
        <f>IF(G1952=0,0,VLOOKUP(YEAR(G1952),INPC!$B$4:$P$30,MONTH(G1952)+2))</f>
        <v>0</v>
      </c>
      <c r="Q1952" s="560">
        <f>IF(X1952=0,0,IF(OR(E1952=$AT$10,E1952=$AT$9),VLOOKUP(YEAR(X1952),INPC!$B$4:$P$30,MONTH(X1952)+1),VLOOKUP(YEAR(X1952),INPC!$B$4:$P$30,MONTH(X1952)+2,0)))</f>
        <v>0</v>
      </c>
      <c r="R1952" s="309">
        <f t="shared" si="515"/>
        <v>0</v>
      </c>
      <c r="S1952" s="310">
        <f t="shared" si="516"/>
        <v>0</v>
      </c>
      <c r="T1952" s="555">
        <f t="shared" si="517"/>
        <v>0</v>
      </c>
      <c r="U1952" s="311"/>
      <c r="V1952" s="312"/>
      <c r="W1952" s="299"/>
      <c r="X1952" s="300"/>
      <c r="Y1952" s="299"/>
      <c r="Z1952" s="303"/>
      <c r="AA1952" s="305">
        <f>IF(Z1952=0,0,IF(Y1952="MXN",1/HLOOKUP(YEAR(X1952)+(MONTH(X1952)/100),TC!$5:$37,DAY(X1952)+2,FALSE),VLOOKUP(Y1952,Equivalencia!$1:$23,((MAX(Equivalencia!$3:$3)-YEAR(X1952))*14)+MONTH(X1952)+2,FALSE)))</f>
        <v>0</v>
      </c>
      <c r="AB1952" s="306">
        <f t="shared" si="518"/>
        <v>0</v>
      </c>
      <c r="AC1952" s="305">
        <f>+IF(X1952=0,0,HLOOKUP(YEAR(X1952)+(MONTH(X1952)/100),TC!$5:$37,DAY(X1952)+2,FALSE))</f>
        <v>0</v>
      </c>
      <c r="AD1952" s="307">
        <f t="shared" si="519"/>
        <v>0</v>
      </c>
      <c r="AE1952" s="314">
        <f t="shared" si="520"/>
        <v>0</v>
      </c>
      <c r="AF1952" s="315">
        <f t="shared" si="521"/>
        <v>0</v>
      </c>
      <c r="AG1952" s="316">
        <f t="shared" si="522"/>
        <v>0</v>
      </c>
      <c r="AH1952" s="314">
        <v>1</v>
      </c>
      <c r="AI1952" s="314">
        <f t="shared" si="523"/>
        <v>0</v>
      </c>
      <c r="AJ1952" s="314">
        <f t="shared" si="524"/>
        <v>0</v>
      </c>
      <c r="AK1952" s="317"/>
      <c r="AL1952" s="315">
        <f t="shared" si="525"/>
        <v>0</v>
      </c>
      <c r="AN1952" s="554">
        <f t="shared" si="526"/>
        <v>0</v>
      </c>
      <c r="AO1952" s="314"/>
      <c r="AP1952" s="318"/>
    </row>
    <row r="1953" spans="2:42">
      <c r="B1953" s="296"/>
      <c r="C1953" s="299"/>
      <c r="D1953" s="298"/>
      <c r="E1953" s="299"/>
      <c r="F1953" s="299"/>
      <c r="G1953" s="300"/>
      <c r="H1953" s="303"/>
      <c r="I1953" s="301">
        <f t="shared" si="510"/>
        <v>0</v>
      </c>
      <c r="J1953" s="302">
        <f t="shared" si="511"/>
        <v>0</v>
      </c>
      <c r="K1953" s="304">
        <f t="shared" si="512"/>
        <v>0</v>
      </c>
      <c r="L1953" s="305">
        <f>IF(H1953=0,0,IF(OR(E1953=$AT$5,E1953=$AT$6),AA1953,IF(F1953="MXN",1/HLOOKUP(YEAR(G1953)+(MONTH(G1953)/100),TC!$5:$37,DAY(G1953)+2,FALSE),VLOOKUP(F1953,Equivalencia!$5:$23,((MAX(Equivalencia!$3:$3)-YEAR(G1953))*14)+MONTH(G1953)+2,FALSE))))</f>
        <v>0</v>
      </c>
      <c r="M1953" s="306">
        <f t="shared" si="513"/>
        <v>0</v>
      </c>
      <c r="N1953" s="305">
        <f>IF(G1953=0,0,(IF(OR(E1953=$AT$5,E1953=$AT$6),AC1953,HLOOKUP(YEAR(G1953)+(MONTH(G1953)/100),TC!$5:$37,DAY(G1953)+2,FALSE))))</f>
        <v>0</v>
      </c>
      <c r="O1953" s="307">
        <f t="shared" si="514"/>
        <v>0</v>
      </c>
      <c r="P1953" s="560">
        <f>IF(G1953=0,0,VLOOKUP(YEAR(G1953),INPC!$B$4:$P$30,MONTH(G1953)+2))</f>
        <v>0</v>
      </c>
      <c r="Q1953" s="560">
        <f>IF(X1953=0,0,IF(OR(E1953=$AT$10,E1953=$AT$9),VLOOKUP(YEAR(X1953),INPC!$B$4:$P$30,MONTH(X1953)+1),VLOOKUP(YEAR(X1953),INPC!$B$4:$P$30,MONTH(X1953)+2,0)))</f>
        <v>0</v>
      </c>
      <c r="R1953" s="309">
        <f t="shared" si="515"/>
        <v>0</v>
      </c>
      <c r="S1953" s="310">
        <f t="shared" si="516"/>
        <v>0</v>
      </c>
      <c r="T1953" s="555">
        <f t="shared" si="517"/>
        <v>0</v>
      </c>
      <c r="U1953" s="311"/>
      <c r="V1953" s="312"/>
      <c r="W1953" s="299"/>
      <c r="X1953" s="300"/>
      <c r="Y1953" s="299"/>
      <c r="Z1953" s="303"/>
      <c r="AA1953" s="305">
        <f>IF(Z1953=0,0,IF(Y1953="MXN",1/HLOOKUP(YEAR(X1953)+(MONTH(X1953)/100),TC!$5:$37,DAY(X1953)+2,FALSE),VLOOKUP(Y1953,Equivalencia!$1:$23,((MAX(Equivalencia!$3:$3)-YEAR(X1953))*14)+MONTH(X1953)+2,FALSE)))</f>
        <v>0</v>
      </c>
      <c r="AB1953" s="306">
        <f t="shared" si="518"/>
        <v>0</v>
      </c>
      <c r="AC1953" s="305">
        <f>+IF(X1953=0,0,HLOOKUP(YEAR(X1953)+(MONTH(X1953)/100),TC!$5:$37,DAY(X1953)+2,FALSE))</f>
        <v>0</v>
      </c>
      <c r="AD1953" s="307">
        <f t="shared" si="519"/>
        <v>0</v>
      </c>
      <c r="AE1953" s="314">
        <f t="shared" si="520"/>
        <v>0</v>
      </c>
      <c r="AF1953" s="315">
        <f t="shared" si="521"/>
        <v>0</v>
      </c>
      <c r="AG1953" s="316">
        <f t="shared" si="522"/>
        <v>0</v>
      </c>
      <c r="AH1953" s="314">
        <v>1</v>
      </c>
      <c r="AI1953" s="314">
        <f t="shared" si="523"/>
        <v>0</v>
      </c>
      <c r="AJ1953" s="314">
        <f t="shared" si="524"/>
        <v>0</v>
      </c>
      <c r="AK1953" s="317"/>
      <c r="AL1953" s="315">
        <f t="shared" si="525"/>
        <v>0</v>
      </c>
      <c r="AN1953" s="554">
        <f t="shared" si="526"/>
        <v>0</v>
      </c>
      <c r="AO1953" s="314"/>
      <c r="AP1953" s="318"/>
    </row>
    <row r="1954" spans="2:42">
      <c r="B1954" s="296"/>
      <c r="C1954" s="299"/>
      <c r="D1954" s="298"/>
      <c r="E1954" s="299"/>
      <c r="F1954" s="299"/>
      <c r="G1954" s="300"/>
      <c r="H1954" s="303"/>
      <c r="I1954" s="301">
        <f t="shared" si="510"/>
        <v>0</v>
      </c>
      <c r="J1954" s="302">
        <f t="shared" si="511"/>
        <v>0</v>
      </c>
      <c r="K1954" s="304">
        <f t="shared" si="512"/>
        <v>0</v>
      </c>
      <c r="L1954" s="305">
        <f>IF(H1954=0,0,IF(OR(E1954=$AT$5,E1954=$AT$6),AA1954,IF(F1954="MXN",1/HLOOKUP(YEAR(G1954)+(MONTH(G1954)/100),TC!$5:$37,DAY(G1954)+2,FALSE),VLOOKUP(F1954,Equivalencia!$5:$23,((MAX(Equivalencia!$3:$3)-YEAR(G1954))*14)+MONTH(G1954)+2,FALSE))))</f>
        <v>0</v>
      </c>
      <c r="M1954" s="306">
        <f t="shared" si="513"/>
        <v>0</v>
      </c>
      <c r="N1954" s="305">
        <f>IF(G1954=0,0,(IF(OR(E1954=$AT$5,E1954=$AT$6),AC1954,HLOOKUP(YEAR(G1954)+(MONTH(G1954)/100),TC!$5:$37,DAY(G1954)+2,FALSE))))</f>
        <v>0</v>
      </c>
      <c r="O1954" s="307">
        <f t="shared" si="514"/>
        <v>0</v>
      </c>
      <c r="P1954" s="560">
        <f>IF(G1954=0,0,VLOOKUP(YEAR(G1954),INPC!$B$4:$P$30,MONTH(G1954)+2))</f>
        <v>0</v>
      </c>
      <c r="Q1954" s="560">
        <f>IF(X1954=0,0,IF(OR(E1954=$AT$10,E1954=$AT$9),VLOOKUP(YEAR(X1954),INPC!$B$4:$P$30,MONTH(X1954)+1),VLOOKUP(YEAR(X1954),INPC!$B$4:$P$30,MONTH(X1954)+2,0)))</f>
        <v>0</v>
      </c>
      <c r="R1954" s="309">
        <f t="shared" si="515"/>
        <v>0</v>
      </c>
      <c r="S1954" s="310">
        <f t="shared" si="516"/>
        <v>0</v>
      </c>
      <c r="T1954" s="555">
        <f t="shared" si="517"/>
        <v>0</v>
      </c>
      <c r="U1954" s="311"/>
      <c r="V1954" s="312"/>
      <c r="W1954" s="299"/>
      <c r="X1954" s="300"/>
      <c r="Y1954" s="299"/>
      <c r="Z1954" s="303"/>
      <c r="AA1954" s="305">
        <f>IF(Z1954=0,0,IF(Y1954="MXN",1/HLOOKUP(YEAR(X1954)+(MONTH(X1954)/100),TC!$5:$37,DAY(X1954)+2,FALSE),VLOOKUP(Y1954,Equivalencia!$1:$23,((MAX(Equivalencia!$3:$3)-YEAR(X1954))*14)+MONTH(X1954)+2,FALSE)))</f>
        <v>0</v>
      </c>
      <c r="AB1954" s="306">
        <f t="shared" si="518"/>
        <v>0</v>
      </c>
      <c r="AC1954" s="305">
        <f>+IF(X1954=0,0,HLOOKUP(YEAR(X1954)+(MONTH(X1954)/100),TC!$5:$37,DAY(X1954)+2,FALSE))</f>
        <v>0</v>
      </c>
      <c r="AD1954" s="307">
        <f t="shared" si="519"/>
        <v>0</v>
      </c>
      <c r="AE1954" s="314">
        <f t="shared" si="520"/>
        <v>0</v>
      </c>
      <c r="AF1954" s="315">
        <f t="shared" si="521"/>
        <v>0</v>
      </c>
      <c r="AG1954" s="316">
        <f t="shared" si="522"/>
        <v>0</v>
      </c>
      <c r="AH1954" s="314">
        <v>1</v>
      </c>
      <c r="AI1954" s="314">
        <f t="shared" si="523"/>
        <v>0</v>
      </c>
      <c r="AJ1954" s="314">
        <f t="shared" si="524"/>
        <v>0</v>
      </c>
      <c r="AK1954" s="317"/>
      <c r="AL1954" s="315">
        <f t="shared" si="525"/>
        <v>0</v>
      </c>
      <c r="AN1954" s="554">
        <f t="shared" si="526"/>
        <v>0</v>
      </c>
      <c r="AO1954" s="314"/>
      <c r="AP1954" s="318"/>
    </row>
    <row r="1955" spans="2:42">
      <c r="B1955" s="296"/>
      <c r="C1955" s="299"/>
      <c r="D1955" s="298"/>
      <c r="E1955" s="299"/>
      <c r="F1955" s="299"/>
      <c r="G1955" s="300"/>
      <c r="H1955" s="303"/>
      <c r="I1955" s="301">
        <f t="shared" si="510"/>
        <v>0</v>
      </c>
      <c r="J1955" s="302">
        <f t="shared" si="511"/>
        <v>0</v>
      </c>
      <c r="K1955" s="304">
        <f t="shared" si="512"/>
        <v>0</v>
      </c>
      <c r="L1955" s="305">
        <f>IF(H1955=0,0,IF(OR(E1955=$AT$5,E1955=$AT$6),AA1955,IF(F1955="MXN",1/HLOOKUP(YEAR(G1955)+(MONTH(G1955)/100),TC!$5:$37,DAY(G1955)+2,FALSE),VLOOKUP(F1955,Equivalencia!$5:$23,((MAX(Equivalencia!$3:$3)-YEAR(G1955))*14)+MONTH(G1955)+2,FALSE))))</f>
        <v>0</v>
      </c>
      <c r="M1955" s="306">
        <f t="shared" si="513"/>
        <v>0</v>
      </c>
      <c r="N1955" s="305">
        <f>IF(G1955=0,0,(IF(OR(E1955=$AT$5,E1955=$AT$6),AC1955,HLOOKUP(YEAR(G1955)+(MONTH(G1955)/100),TC!$5:$37,DAY(G1955)+2,FALSE))))</f>
        <v>0</v>
      </c>
      <c r="O1955" s="307">
        <f t="shared" si="514"/>
        <v>0</v>
      </c>
      <c r="P1955" s="560">
        <f>IF(G1955=0,0,VLOOKUP(YEAR(G1955),INPC!$B$4:$P$30,MONTH(G1955)+2))</f>
        <v>0</v>
      </c>
      <c r="Q1955" s="560">
        <f>IF(X1955=0,0,IF(OR(E1955=$AT$10,E1955=$AT$9),VLOOKUP(YEAR(X1955),INPC!$B$4:$P$30,MONTH(X1955)+1),VLOOKUP(YEAR(X1955),INPC!$B$4:$P$30,MONTH(X1955)+2,0)))</f>
        <v>0</v>
      </c>
      <c r="R1955" s="309">
        <f t="shared" si="515"/>
        <v>0</v>
      </c>
      <c r="S1955" s="310">
        <f t="shared" si="516"/>
        <v>0</v>
      </c>
      <c r="T1955" s="555">
        <f t="shared" si="517"/>
        <v>0</v>
      </c>
      <c r="U1955" s="311"/>
      <c r="V1955" s="312"/>
      <c r="W1955" s="299"/>
      <c r="X1955" s="300"/>
      <c r="Y1955" s="299"/>
      <c r="Z1955" s="303"/>
      <c r="AA1955" s="305">
        <f>IF(Z1955=0,0,IF(Y1955="MXN",1/HLOOKUP(YEAR(X1955)+(MONTH(X1955)/100),TC!$5:$37,DAY(X1955)+2,FALSE),VLOOKUP(Y1955,Equivalencia!$1:$23,((MAX(Equivalencia!$3:$3)-YEAR(X1955))*14)+MONTH(X1955)+2,FALSE)))</f>
        <v>0</v>
      </c>
      <c r="AB1955" s="306">
        <f t="shared" si="518"/>
        <v>0</v>
      </c>
      <c r="AC1955" s="305">
        <f>+IF(X1955=0,0,HLOOKUP(YEAR(X1955)+(MONTH(X1955)/100),TC!$5:$37,DAY(X1955)+2,FALSE))</f>
        <v>0</v>
      </c>
      <c r="AD1955" s="307">
        <f t="shared" si="519"/>
        <v>0</v>
      </c>
      <c r="AE1955" s="314">
        <f t="shared" si="520"/>
        <v>0</v>
      </c>
      <c r="AF1955" s="315">
        <f t="shared" si="521"/>
        <v>0</v>
      </c>
      <c r="AG1955" s="316">
        <f t="shared" si="522"/>
        <v>0</v>
      </c>
      <c r="AH1955" s="314">
        <v>1</v>
      </c>
      <c r="AI1955" s="314">
        <f t="shared" si="523"/>
        <v>0</v>
      </c>
      <c r="AJ1955" s="314">
        <f t="shared" si="524"/>
        <v>0</v>
      </c>
      <c r="AK1955" s="317"/>
      <c r="AL1955" s="315">
        <f t="shared" si="525"/>
        <v>0</v>
      </c>
      <c r="AN1955" s="554">
        <f t="shared" si="526"/>
        <v>0</v>
      </c>
      <c r="AO1955" s="314"/>
      <c r="AP1955" s="318"/>
    </row>
    <row r="1956" spans="2:42">
      <c r="B1956" s="296"/>
      <c r="C1956" s="299"/>
      <c r="D1956" s="298"/>
      <c r="E1956" s="299"/>
      <c r="F1956" s="299"/>
      <c r="G1956" s="300"/>
      <c r="H1956" s="303"/>
      <c r="I1956" s="301">
        <f t="shared" si="510"/>
        <v>0</v>
      </c>
      <c r="J1956" s="302">
        <f t="shared" si="511"/>
        <v>0</v>
      </c>
      <c r="K1956" s="304">
        <f t="shared" si="512"/>
        <v>0</v>
      </c>
      <c r="L1956" s="305">
        <f>IF(H1956=0,0,IF(OR(E1956=$AT$5,E1956=$AT$6),AA1956,IF(F1956="MXN",1/HLOOKUP(YEAR(G1956)+(MONTH(G1956)/100),TC!$5:$37,DAY(G1956)+2,FALSE),VLOOKUP(F1956,Equivalencia!$5:$23,((MAX(Equivalencia!$3:$3)-YEAR(G1956))*14)+MONTH(G1956)+2,FALSE))))</f>
        <v>0</v>
      </c>
      <c r="M1956" s="306">
        <f t="shared" si="513"/>
        <v>0</v>
      </c>
      <c r="N1956" s="305">
        <f>IF(G1956=0,0,(IF(OR(E1956=$AT$5,E1956=$AT$6),AC1956,HLOOKUP(YEAR(G1956)+(MONTH(G1956)/100),TC!$5:$37,DAY(G1956)+2,FALSE))))</f>
        <v>0</v>
      </c>
      <c r="O1956" s="307">
        <f t="shared" si="514"/>
        <v>0</v>
      </c>
      <c r="P1956" s="560">
        <f>IF(G1956=0,0,VLOOKUP(YEAR(G1956),INPC!$B$4:$P$30,MONTH(G1956)+2))</f>
        <v>0</v>
      </c>
      <c r="Q1956" s="560">
        <f>IF(X1956=0,0,IF(OR(E1956=$AT$10,E1956=$AT$9),VLOOKUP(YEAR(X1956),INPC!$B$4:$P$30,MONTH(X1956)+1),VLOOKUP(YEAR(X1956),INPC!$B$4:$P$30,MONTH(X1956)+2,0)))</f>
        <v>0</v>
      </c>
      <c r="R1956" s="309">
        <f t="shared" si="515"/>
        <v>0</v>
      </c>
      <c r="S1956" s="310">
        <f t="shared" si="516"/>
        <v>0</v>
      </c>
      <c r="T1956" s="555">
        <f t="shared" si="517"/>
        <v>0</v>
      </c>
      <c r="U1956" s="311"/>
      <c r="V1956" s="312"/>
      <c r="W1956" s="299"/>
      <c r="X1956" s="300"/>
      <c r="Y1956" s="299"/>
      <c r="Z1956" s="303"/>
      <c r="AA1956" s="305">
        <f>IF(Z1956=0,0,IF(Y1956="MXN",1/HLOOKUP(YEAR(X1956)+(MONTH(X1956)/100),TC!$5:$37,DAY(X1956)+2,FALSE),VLOOKUP(Y1956,Equivalencia!$1:$23,((MAX(Equivalencia!$3:$3)-YEAR(X1956))*14)+MONTH(X1956)+2,FALSE)))</f>
        <v>0</v>
      </c>
      <c r="AB1956" s="306">
        <f t="shared" si="518"/>
        <v>0</v>
      </c>
      <c r="AC1956" s="305">
        <f>+IF(X1956=0,0,HLOOKUP(YEAR(X1956)+(MONTH(X1956)/100),TC!$5:$37,DAY(X1956)+2,FALSE))</f>
        <v>0</v>
      </c>
      <c r="AD1956" s="307">
        <f t="shared" si="519"/>
        <v>0</v>
      </c>
      <c r="AE1956" s="314">
        <f t="shared" si="520"/>
        <v>0</v>
      </c>
      <c r="AF1956" s="315">
        <f t="shared" si="521"/>
        <v>0</v>
      </c>
      <c r="AG1956" s="316">
        <f t="shared" si="522"/>
        <v>0</v>
      </c>
      <c r="AH1956" s="314">
        <v>1</v>
      </c>
      <c r="AI1956" s="314">
        <f t="shared" si="523"/>
        <v>0</v>
      </c>
      <c r="AJ1956" s="314">
        <f t="shared" si="524"/>
        <v>0</v>
      </c>
      <c r="AK1956" s="317"/>
      <c r="AL1956" s="315">
        <f t="shared" si="525"/>
        <v>0</v>
      </c>
      <c r="AN1956" s="554">
        <f t="shared" si="526"/>
        <v>0</v>
      </c>
      <c r="AO1956" s="314"/>
      <c r="AP1956" s="318"/>
    </row>
    <row r="1957" spans="2:42">
      <c r="B1957" s="296"/>
      <c r="C1957" s="299"/>
      <c r="D1957" s="298"/>
      <c r="E1957" s="299"/>
      <c r="F1957" s="299"/>
      <c r="G1957" s="300"/>
      <c r="H1957" s="303"/>
      <c r="I1957" s="301">
        <f t="shared" si="510"/>
        <v>0</v>
      </c>
      <c r="J1957" s="302">
        <f t="shared" si="511"/>
        <v>0</v>
      </c>
      <c r="K1957" s="304">
        <f t="shared" si="512"/>
        <v>0</v>
      </c>
      <c r="L1957" s="305">
        <f>IF(H1957=0,0,IF(OR(E1957=$AT$5,E1957=$AT$6),AA1957,IF(F1957="MXN",1/HLOOKUP(YEAR(G1957)+(MONTH(G1957)/100),TC!$5:$37,DAY(G1957)+2,FALSE),VLOOKUP(F1957,Equivalencia!$5:$23,((MAX(Equivalencia!$3:$3)-YEAR(G1957))*14)+MONTH(G1957)+2,FALSE))))</f>
        <v>0</v>
      </c>
      <c r="M1957" s="306">
        <f t="shared" si="513"/>
        <v>0</v>
      </c>
      <c r="N1957" s="305">
        <f>IF(G1957=0,0,(IF(OR(E1957=$AT$5,E1957=$AT$6),AC1957,HLOOKUP(YEAR(G1957)+(MONTH(G1957)/100),TC!$5:$37,DAY(G1957)+2,FALSE))))</f>
        <v>0</v>
      </c>
      <c r="O1957" s="307">
        <f t="shared" si="514"/>
        <v>0</v>
      </c>
      <c r="P1957" s="560">
        <f>IF(G1957=0,0,VLOOKUP(YEAR(G1957),INPC!$B$4:$P$30,MONTH(G1957)+2))</f>
        <v>0</v>
      </c>
      <c r="Q1957" s="560">
        <f>IF(X1957=0,0,IF(OR(E1957=$AT$10,E1957=$AT$9),VLOOKUP(YEAR(X1957),INPC!$B$4:$P$30,MONTH(X1957)+1),VLOOKUP(YEAR(X1957),INPC!$B$4:$P$30,MONTH(X1957)+2,0)))</f>
        <v>0</v>
      </c>
      <c r="R1957" s="309">
        <f t="shared" si="515"/>
        <v>0</v>
      </c>
      <c r="S1957" s="310">
        <f t="shared" si="516"/>
        <v>0</v>
      </c>
      <c r="T1957" s="555">
        <f t="shared" si="517"/>
        <v>0</v>
      </c>
      <c r="U1957" s="311"/>
      <c r="V1957" s="312"/>
      <c r="W1957" s="299"/>
      <c r="X1957" s="300"/>
      <c r="Y1957" s="299"/>
      <c r="Z1957" s="303"/>
      <c r="AA1957" s="305">
        <f>IF(Z1957=0,0,IF(Y1957="MXN",1/HLOOKUP(YEAR(X1957)+(MONTH(X1957)/100),TC!$5:$37,DAY(X1957)+2,FALSE),VLOOKUP(Y1957,Equivalencia!$1:$23,((MAX(Equivalencia!$3:$3)-YEAR(X1957))*14)+MONTH(X1957)+2,FALSE)))</f>
        <v>0</v>
      </c>
      <c r="AB1957" s="306">
        <f t="shared" si="518"/>
        <v>0</v>
      </c>
      <c r="AC1957" s="305">
        <f>+IF(X1957=0,0,HLOOKUP(YEAR(X1957)+(MONTH(X1957)/100),TC!$5:$37,DAY(X1957)+2,FALSE))</f>
        <v>0</v>
      </c>
      <c r="AD1957" s="307">
        <f t="shared" si="519"/>
        <v>0</v>
      </c>
      <c r="AE1957" s="314">
        <f t="shared" si="520"/>
        <v>0</v>
      </c>
      <c r="AF1957" s="315">
        <f t="shared" si="521"/>
        <v>0</v>
      </c>
      <c r="AG1957" s="316">
        <f t="shared" si="522"/>
        <v>0</v>
      </c>
      <c r="AH1957" s="314">
        <v>1</v>
      </c>
      <c r="AI1957" s="314">
        <f t="shared" si="523"/>
        <v>0</v>
      </c>
      <c r="AJ1957" s="314">
        <f t="shared" si="524"/>
        <v>0</v>
      </c>
      <c r="AK1957" s="317"/>
      <c r="AL1957" s="315">
        <f t="shared" si="525"/>
        <v>0</v>
      </c>
      <c r="AN1957" s="554">
        <f t="shared" si="526"/>
        <v>0</v>
      </c>
      <c r="AO1957" s="314"/>
      <c r="AP1957" s="318"/>
    </row>
    <row r="1958" spans="2:42">
      <c r="B1958" s="296"/>
      <c r="C1958" s="299"/>
      <c r="D1958" s="298"/>
      <c r="E1958" s="299"/>
      <c r="F1958" s="299"/>
      <c r="G1958" s="300"/>
      <c r="H1958" s="303"/>
      <c r="I1958" s="301">
        <f t="shared" si="510"/>
        <v>0</v>
      </c>
      <c r="J1958" s="302">
        <f t="shared" si="511"/>
        <v>0</v>
      </c>
      <c r="K1958" s="304">
        <f t="shared" si="512"/>
        <v>0</v>
      </c>
      <c r="L1958" s="305">
        <f>IF(H1958=0,0,IF(OR(E1958=$AT$5,E1958=$AT$6),AA1958,IF(F1958="MXN",1/HLOOKUP(YEAR(G1958)+(MONTH(G1958)/100),TC!$5:$37,DAY(G1958)+2,FALSE),VLOOKUP(F1958,Equivalencia!$5:$23,((MAX(Equivalencia!$3:$3)-YEAR(G1958))*14)+MONTH(G1958)+2,FALSE))))</f>
        <v>0</v>
      </c>
      <c r="M1958" s="306">
        <f t="shared" si="513"/>
        <v>0</v>
      </c>
      <c r="N1958" s="305">
        <f>IF(G1958=0,0,(IF(OR(E1958=$AT$5,E1958=$AT$6),AC1958,HLOOKUP(YEAR(G1958)+(MONTH(G1958)/100),TC!$5:$37,DAY(G1958)+2,FALSE))))</f>
        <v>0</v>
      </c>
      <c r="O1958" s="307">
        <f t="shared" si="514"/>
        <v>0</v>
      </c>
      <c r="P1958" s="560">
        <f>IF(G1958=0,0,VLOOKUP(YEAR(G1958),INPC!$B$4:$P$30,MONTH(G1958)+2))</f>
        <v>0</v>
      </c>
      <c r="Q1958" s="560">
        <f>IF(X1958=0,0,IF(OR(E1958=$AT$10,E1958=$AT$9),VLOOKUP(YEAR(X1958),INPC!$B$4:$P$30,MONTH(X1958)+1),VLOOKUP(YEAR(X1958),INPC!$B$4:$P$30,MONTH(X1958)+2,0)))</f>
        <v>0</v>
      </c>
      <c r="R1958" s="309">
        <f t="shared" si="515"/>
        <v>0</v>
      </c>
      <c r="S1958" s="310">
        <f t="shared" si="516"/>
        <v>0</v>
      </c>
      <c r="T1958" s="555">
        <f t="shared" si="517"/>
        <v>0</v>
      </c>
      <c r="U1958" s="311"/>
      <c r="V1958" s="312"/>
      <c r="W1958" s="299"/>
      <c r="X1958" s="300"/>
      <c r="Y1958" s="299"/>
      <c r="Z1958" s="303"/>
      <c r="AA1958" s="305">
        <f>IF(Z1958=0,0,IF(Y1958="MXN",1/HLOOKUP(YEAR(X1958)+(MONTH(X1958)/100),TC!$5:$37,DAY(X1958)+2,FALSE),VLOOKUP(Y1958,Equivalencia!$1:$23,((MAX(Equivalencia!$3:$3)-YEAR(X1958))*14)+MONTH(X1958)+2,FALSE)))</f>
        <v>0</v>
      </c>
      <c r="AB1958" s="306">
        <f t="shared" si="518"/>
        <v>0</v>
      </c>
      <c r="AC1958" s="305">
        <f>+IF(X1958=0,0,HLOOKUP(YEAR(X1958)+(MONTH(X1958)/100),TC!$5:$37,DAY(X1958)+2,FALSE))</f>
        <v>0</v>
      </c>
      <c r="AD1958" s="307">
        <f t="shared" si="519"/>
        <v>0</v>
      </c>
      <c r="AE1958" s="314">
        <f t="shared" si="520"/>
        <v>0</v>
      </c>
      <c r="AF1958" s="315">
        <f t="shared" si="521"/>
        <v>0</v>
      </c>
      <c r="AG1958" s="316">
        <f t="shared" si="522"/>
        <v>0</v>
      </c>
      <c r="AH1958" s="314">
        <v>1</v>
      </c>
      <c r="AI1958" s="314">
        <f t="shared" si="523"/>
        <v>0</v>
      </c>
      <c r="AJ1958" s="314">
        <f t="shared" si="524"/>
        <v>0</v>
      </c>
      <c r="AK1958" s="317"/>
      <c r="AL1958" s="315">
        <f t="shared" si="525"/>
        <v>0</v>
      </c>
      <c r="AN1958" s="554">
        <f t="shared" si="526"/>
        <v>0</v>
      </c>
      <c r="AO1958" s="314"/>
      <c r="AP1958" s="318"/>
    </row>
    <row r="1959" spans="2:42">
      <c r="B1959" s="296"/>
      <c r="C1959" s="299"/>
      <c r="D1959" s="298"/>
      <c r="E1959" s="299"/>
      <c r="F1959" s="299"/>
      <c r="G1959" s="300"/>
      <c r="H1959" s="303"/>
      <c r="I1959" s="301">
        <f t="shared" si="510"/>
        <v>0</v>
      </c>
      <c r="J1959" s="302">
        <f t="shared" si="511"/>
        <v>0</v>
      </c>
      <c r="K1959" s="304">
        <f t="shared" si="512"/>
        <v>0</v>
      </c>
      <c r="L1959" s="305">
        <f>IF(H1959=0,0,IF(OR(E1959=$AT$5,E1959=$AT$6),AA1959,IF(F1959="MXN",1/HLOOKUP(YEAR(G1959)+(MONTH(G1959)/100),TC!$5:$37,DAY(G1959)+2,FALSE),VLOOKUP(F1959,Equivalencia!$5:$23,((MAX(Equivalencia!$3:$3)-YEAR(G1959))*14)+MONTH(G1959)+2,FALSE))))</f>
        <v>0</v>
      </c>
      <c r="M1959" s="306">
        <f t="shared" si="513"/>
        <v>0</v>
      </c>
      <c r="N1959" s="305">
        <f>IF(G1959=0,0,(IF(OR(E1959=$AT$5,E1959=$AT$6),AC1959,HLOOKUP(YEAR(G1959)+(MONTH(G1959)/100),TC!$5:$37,DAY(G1959)+2,FALSE))))</f>
        <v>0</v>
      </c>
      <c r="O1959" s="307">
        <f t="shared" si="514"/>
        <v>0</v>
      </c>
      <c r="P1959" s="560">
        <f>IF(G1959=0,0,VLOOKUP(YEAR(G1959),INPC!$B$4:$P$30,MONTH(G1959)+2))</f>
        <v>0</v>
      </c>
      <c r="Q1959" s="560">
        <f>IF(X1959=0,0,IF(OR(E1959=$AT$10,E1959=$AT$9),VLOOKUP(YEAR(X1959),INPC!$B$4:$P$30,MONTH(X1959)+1),VLOOKUP(YEAR(X1959),INPC!$B$4:$P$30,MONTH(X1959)+2,0)))</f>
        <v>0</v>
      </c>
      <c r="R1959" s="309">
        <f t="shared" si="515"/>
        <v>0</v>
      </c>
      <c r="S1959" s="310">
        <f t="shared" si="516"/>
        <v>0</v>
      </c>
      <c r="T1959" s="555">
        <f t="shared" si="517"/>
        <v>0</v>
      </c>
      <c r="U1959" s="311"/>
      <c r="V1959" s="312"/>
      <c r="W1959" s="299"/>
      <c r="X1959" s="300"/>
      <c r="Y1959" s="299"/>
      <c r="Z1959" s="303"/>
      <c r="AA1959" s="305">
        <f>IF(Z1959=0,0,IF(Y1959="MXN",1/HLOOKUP(YEAR(X1959)+(MONTH(X1959)/100),TC!$5:$37,DAY(X1959)+2,FALSE),VLOOKUP(Y1959,Equivalencia!$1:$23,((MAX(Equivalencia!$3:$3)-YEAR(X1959))*14)+MONTH(X1959)+2,FALSE)))</f>
        <v>0</v>
      </c>
      <c r="AB1959" s="306">
        <f t="shared" si="518"/>
        <v>0</v>
      </c>
      <c r="AC1959" s="305">
        <f>+IF(X1959=0,0,HLOOKUP(YEAR(X1959)+(MONTH(X1959)/100),TC!$5:$37,DAY(X1959)+2,FALSE))</f>
        <v>0</v>
      </c>
      <c r="AD1959" s="307">
        <f t="shared" si="519"/>
        <v>0</v>
      </c>
      <c r="AE1959" s="314">
        <f t="shared" si="520"/>
        <v>0</v>
      </c>
      <c r="AF1959" s="315">
        <f t="shared" si="521"/>
        <v>0</v>
      </c>
      <c r="AG1959" s="316">
        <f t="shared" si="522"/>
        <v>0</v>
      </c>
      <c r="AH1959" s="314">
        <v>1</v>
      </c>
      <c r="AI1959" s="314">
        <f t="shared" si="523"/>
        <v>0</v>
      </c>
      <c r="AJ1959" s="314">
        <f t="shared" si="524"/>
        <v>0</v>
      </c>
      <c r="AK1959" s="317"/>
      <c r="AL1959" s="315">
        <f t="shared" si="525"/>
        <v>0</v>
      </c>
      <c r="AN1959" s="554">
        <f t="shared" si="526"/>
        <v>0</v>
      </c>
      <c r="AO1959" s="314"/>
      <c r="AP1959" s="318"/>
    </row>
    <row r="1960" spans="2:42">
      <c r="B1960" s="296"/>
      <c r="C1960" s="299"/>
      <c r="D1960" s="298"/>
      <c r="E1960" s="299"/>
      <c r="F1960" s="299"/>
      <c r="G1960" s="300"/>
      <c r="H1960" s="303"/>
      <c r="I1960" s="301">
        <f t="shared" si="510"/>
        <v>0</v>
      </c>
      <c r="J1960" s="302">
        <f t="shared" si="511"/>
        <v>0</v>
      </c>
      <c r="K1960" s="304">
        <f t="shared" si="512"/>
        <v>0</v>
      </c>
      <c r="L1960" s="305">
        <f>IF(H1960=0,0,IF(OR(E1960=$AT$5,E1960=$AT$6),AA1960,IF(F1960="MXN",1/HLOOKUP(YEAR(G1960)+(MONTH(G1960)/100),TC!$5:$37,DAY(G1960)+2,FALSE),VLOOKUP(F1960,Equivalencia!$5:$23,((MAX(Equivalencia!$3:$3)-YEAR(G1960))*14)+MONTH(G1960)+2,FALSE))))</f>
        <v>0</v>
      </c>
      <c r="M1960" s="306">
        <f t="shared" si="513"/>
        <v>0</v>
      </c>
      <c r="N1960" s="305">
        <f>IF(G1960=0,0,(IF(OR(E1960=$AT$5,E1960=$AT$6),AC1960,HLOOKUP(YEAR(G1960)+(MONTH(G1960)/100),TC!$5:$37,DAY(G1960)+2,FALSE))))</f>
        <v>0</v>
      </c>
      <c r="O1960" s="307">
        <f t="shared" si="514"/>
        <v>0</v>
      </c>
      <c r="P1960" s="560">
        <f>IF(G1960=0,0,VLOOKUP(YEAR(G1960),INPC!$B$4:$P$30,MONTH(G1960)+2))</f>
        <v>0</v>
      </c>
      <c r="Q1960" s="560">
        <f>IF(X1960=0,0,IF(OR(E1960=$AT$10,E1960=$AT$9),VLOOKUP(YEAR(X1960),INPC!$B$4:$P$30,MONTH(X1960)+1),VLOOKUP(YEAR(X1960),INPC!$B$4:$P$30,MONTH(X1960)+2,0)))</f>
        <v>0</v>
      </c>
      <c r="R1960" s="309">
        <f t="shared" si="515"/>
        <v>0</v>
      </c>
      <c r="S1960" s="310">
        <f t="shared" si="516"/>
        <v>0</v>
      </c>
      <c r="T1960" s="555">
        <f t="shared" si="517"/>
        <v>0</v>
      </c>
      <c r="U1960" s="311"/>
      <c r="V1960" s="312"/>
      <c r="W1960" s="299"/>
      <c r="X1960" s="300"/>
      <c r="Y1960" s="299"/>
      <c r="Z1960" s="303"/>
      <c r="AA1960" s="305">
        <f>IF(Z1960=0,0,IF(Y1960="MXN",1/HLOOKUP(YEAR(X1960)+(MONTH(X1960)/100),TC!$5:$37,DAY(X1960)+2,FALSE),VLOOKUP(Y1960,Equivalencia!$1:$23,((MAX(Equivalencia!$3:$3)-YEAR(X1960))*14)+MONTH(X1960)+2,FALSE)))</f>
        <v>0</v>
      </c>
      <c r="AB1960" s="306">
        <f t="shared" si="518"/>
        <v>0</v>
      </c>
      <c r="AC1960" s="305">
        <f>+IF(X1960=0,0,HLOOKUP(YEAR(X1960)+(MONTH(X1960)/100),TC!$5:$37,DAY(X1960)+2,FALSE))</f>
        <v>0</v>
      </c>
      <c r="AD1960" s="307">
        <f t="shared" si="519"/>
        <v>0</v>
      </c>
      <c r="AE1960" s="314">
        <f t="shared" si="520"/>
        <v>0</v>
      </c>
      <c r="AF1960" s="315">
        <f t="shared" si="521"/>
        <v>0</v>
      </c>
      <c r="AG1960" s="316">
        <f t="shared" si="522"/>
        <v>0</v>
      </c>
      <c r="AH1960" s="314">
        <v>1</v>
      </c>
      <c r="AI1960" s="314">
        <f t="shared" si="523"/>
        <v>0</v>
      </c>
      <c r="AJ1960" s="314">
        <f t="shared" si="524"/>
        <v>0</v>
      </c>
      <c r="AK1960" s="317"/>
      <c r="AL1960" s="315">
        <f t="shared" si="525"/>
        <v>0</v>
      </c>
      <c r="AN1960" s="554">
        <f t="shared" si="526"/>
        <v>0</v>
      </c>
      <c r="AO1960" s="314"/>
      <c r="AP1960" s="318"/>
    </row>
    <row r="1961" spans="2:42">
      <c r="B1961" s="296"/>
      <c r="C1961" s="299"/>
      <c r="D1961" s="298"/>
      <c r="E1961" s="299"/>
      <c r="F1961" s="299"/>
      <c r="G1961" s="300"/>
      <c r="H1961" s="303"/>
      <c r="I1961" s="301">
        <f t="shared" si="510"/>
        <v>0</v>
      </c>
      <c r="J1961" s="302">
        <f t="shared" si="511"/>
        <v>0</v>
      </c>
      <c r="K1961" s="304">
        <f t="shared" si="512"/>
        <v>0</v>
      </c>
      <c r="L1961" s="305">
        <f>IF(H1961=0,0,IF(OR(E1961=$AT$5,E1961=$AT$6),AA1961,IF(F1961="MXN",1/HLOOKUP(YEAR(G1961)+(MONTH(G1961)/100),TC!$5:$37,DAY(G1961)+2,FALSE),VLOOKUP(F1961,Equivalencia!$5:$23,((MAX(Equivalencia!$3:$3)-YEAR(G1961))*14)+MONTH(G1961)+2,FALSE))))</f>
        <v>0</v>
      </c>
      <c r="M1961" s="306">
        <f t="shared" si="513"/>
        <v>0</v>
      </c>
      <c r="N1961" s="305">
        <f>IF(G1961=0,0,(IF(OR(E1961=$AT$5,E1961=$AT$6),AC1961,HLOOKUP(YEAR(G1961)+(MONTH(G1961)/100),TC!$5:$37,DAY(G1961)+2,FALSE))))</f>
        <v>0</v>
      </c>
      <c r="O1961" s="307">
        <f t="shared" si="514"/>
        <v>0</v>
      </c>
      <c r="P1961" s="560">
        <f>IF(G1961=0,0,VLOOKUP(YEAR(G1961),INPC!$B$4:$P$30,MONTH(G1961)+2))</f>
        <v>0</v>
      </c>
      <c r="Q1961" s="560">
        <f>IF(X1961=0,0,IF(OR(E1961=$AT$10,E1961=$AT$9),VLOOKUP(YEAR(X1961),INPC!$B$4:$P$30,MONTH(X1961)+1),VLOOKUP(YEAR(X1961),INPC!$B$4:$P$30,MONTH(X1961)+2,0)))</f>
        <v>0</v>
      </c>
      <c r="R1961" s="309">
        <f t="shared" si="515"/>
        <v>0</v>
      </c>
      <c r="S1961" s="310">
        <f t="shared" si="516"/>
        <v>0</v>
      </c>
      <c r="T1961" s="555">
        <f t="shared" si="517"/>
        <v>0</v>
      </c>
      <c r="U1961" s="311"/>
      <c r="V1961" s="312"/>
      <c r="W1961" s="299"/>
      <c r="X1961" s="300"/>
      <c r="Y1961" s="299"/>
      <c r="Z1961" s="303"/>
      <c r="AA1961" s="305">
        <f>IF(Z1961=0,0,IF(Y1961="MXN",1/HLOOKUP(YEAR(X1961)+(MONTH(X1961)/100),TC!$5:$37,DAY(X1961)+2,FALSE),VLOOKUP(Y1961,Equivalencia!$1:$23,((MAX(Equivalencia!$3:$3)-YEAR(X1961))*14)+MONTH(X1961)+2,FALSE)))</f>
        <v>0</v>
      </c>
      <c r="AB1961" s="306">
        <f t="shared" si="518"/>
        <v>0</v>
      </c>
      <c r="AC1961" s="305">
        <f>+IF(X1961=0,0,HLOOKUP(YEAR(X1961)+(MONTH(X1961)/100),TC!$5:$37,DAY(X1961)+2,FALSE))</f>
        <v>0</v>
      </c>
      <c r="AD1961" s="307">
        <f t="shared" si="519"/>
        <v>0</v>
      </c>
      <c r="AE1961" s="314">
        <f t="shared" si="520"/>
        <v>0</v>
      </c>
      <c r="AF1961" s="315">
        <f t="shared" si="521"/>
        <v>0</v>
      </c>
      <c r="AG1961" s="316">
        <f t="shared" si="522"/>
        <v>0</v>
      </c>
      <c r="AH1961" s="314">
        <v>1</v>
      </c>
      <c r="AI1961" s="314">
        <f t="shared" si="523"/>
        <v>0</v>
      </c>
      <c r="AJ1961" s="314">
        <f t="shared" si="524"/>
        <v>0</v>
      </c>
      <c r="AK1961" s="317"/>
      <c r="AL1961" s="315">
        <f t="shared" si="525"/>
        <v>0</v>
      </c>
      <c r="AN1961" s="554">
        <f t="shared" si="526"/>
        <v>0</v>
      </c>
      <c r="AO1961" s="314"/>
      <c r="AP1961" s="318"/>
    </row>
    <row r="1962" spans="2:42">
      <c r="B1962" s="296"/>
      <c r="C1962" s="299"/>
      <c r="D1962" s="298"/>
      <c r="E1962" s="299"/>
      <c r="F1962" s="299"/>
      <c r="G1962" s="300"/>
      <c r="H1962" s="303"/>
      <c r="I1962" s="301">
        <f t="shared" si="510"/>
        <v>0</v>
      </c>
      <c r="J1962" s="302">
        <f t="shared" si="511"/>
        <v>0</v>
      </c>
      <c r="K1962" s="304">
        <f t="shared" si="512"/>
        <v>0</v>
      </c>
      <c r="L1962" s="305">
        <f>IF(H1962=0,0,IF(OR(E1962=$AT$5,E1962=$AT$6),AA1962,IF(F1962="MXN",1/HLOOKUP(YEAR(G1962)+(MONTH(G1962)/100),TC!$5:$37,DAY(G1962)+2,FALSE),VLOOKUP(F1962,Equivalencia!$5:$23,((MAX(Equivalencia!$3:$3)-YEAR(G1962))*14)+MONTH(G1962)+2,FALSE))))</f>
        <v>0</v>
      </c>
      <c r="M1962" s="306">
        <f t="shared" si="513"/>
        <v>0</v>
      </c>
      <c r="N1962" s="305">
        <f>IF(G1962=0,0,(IF(OR(E1962=$AT$5,E1962=$AT$6),AC1962,HLOOKUP(YEAR(G1962)+(MONTH(G1962)/100),TC!$5:$37,DAY(G1962)+2,FALSE))))</f>
        <v>0</v>
      </c>
      <c r="O1962" s="307">
        <f t="shared" si="514"/>
        <v>0</v>
      </c>
      <c r="P1962" s="560">
        <f>IF(G1962=0,0,VLOOKUP(YEAR(G1962),INPC!$B$4:$P$30,MONTH(G1962)+2))</f>
        <v>0</v>
      </c>
      <c r="Q1962" s="560">
        <f>IF(X1962=0,0,IF(OR(E1962=$AT$10,E1962=$AT$9),VLOOKUP(YEAR(X1962),INPC!$B$4:$P$30,MONTH(X1962)+1),VLOOKUP(YEAR(X1962),INPC!$B$4:$P$30,MONTH(X1962)+2,0)))</f>
        <v>0</v>
      </c>
      <c r="R1962" s="309">
        <f t="shared" si="515"/>
        <v>0</v>
      </c>
      <c r="S1962" s="310">
        <f t="shared" si="516"/>
        <v>0</v>
      </c>
      <c r="T1962" s="555">
        <f t="shared" si="517"/>
        <v>0</v>
      </c>
      <c r="U1962" s="311"/>
      <c r="V1962" s="312"/>
      <c r="W1962" s="299"/>
      <c r="X1962" s="300"/>
      <c r="Y1962" s="299"/>
      <c r="Z1962" s="303"/>
      <c r="AA1962" s="305">
        <f>IF(Z1962=0,0,IF(Y1962="MXN",1/HLOOKUP(YEAR(X1962)+(MONTH(X1962)/100),TC!$5:$37,DAY(X1962)+2,FALSE),VLOOKUP(Y1962,Equivalencia!$1:$23,((MAX(Equivalencia!$3:$3)-YEAR(X1962))*14)+MONTH(X1962)+2,FALSE)))</f>
        <v>0</v>
      </c>
      <c r="AB1962" s="306">
        <f t="shared" si="518"/>
        <v>0</v>
      </c>
      <c r="AC1962" s="305">
        <f>+IF(X1962=0,0,HLOOKUP(YEAR(X1962)+(MONTH(X1962)/100),TC!$5:$37,DAY(X1962)+2,FALSE))</f>
        <v>0</v>
      </c>
      <c r="AD1962" s="307">
        <f t="shared" si="519"/>
        <v>0</v>
      </c>
      <c r="AE1962" s="314">
        <f t="shared" si="520"/>
        <v>0</v>
      </c>
      <c r="AF1962" s="315">
        <f t="shared" si="521"/>
        <v>0</v>
      </c>
      <c r="AG1962" s="316">
        <f t="shared" si="522"/>
        <v>0</v>
      </c>
      <c r="AH1962" s="314">
        <v>1</v>
      </c>
      <c r="AI1962" s="314">
        <f t="shared" si="523"/>
        <v>0</v>
      </c>
      <c r="AJ1962" s="314">
        <f t="shared" si="524"/>
        <v>0</v>
      </c>
      <c r="AK1962" s="317"/>
      <c r="AL1962" s="315">
        <f t="shared" si="525"/>
        <v>0</v>
      </c>
      <c r="AN1962" s="554">
        <f t="shared" si="526"/>
        <v>0</v>
      </c>
      <c r="AO1962" s="314"/>
      <c r="AP1962" s="318"/>
    </row>
    <row r="1963" spans="2:42">
      <c r="B1963" s="296"/>
      <c r="C1963" s="299"/>
      <c r="D1963" s="298"/>
      <c r="E1963" s="299"/>
      <c r="F1963" s="299"/>
      <c r="G1963" s="300"/>
      <c r="H1963" s="303"/>
      <c r="I1963" s="301">
        <f t="shared" si="510"/>
        <v>0</v>
      </c>
      <c r="J1963" s="302">
        <f t="shared" si="511"/>
        <v>0</v>
      </c>
      <c r="K1963" s="304">
        <f t="shared" si="512"/>
        <v>0</v>
      </c>
      <c r="L1963" s="305">
        <f>IF(H1963=0,0,IF(OR(E1963=$AT$5,E1963=$AT$6),AA1963,IF(F1963="MXN",1/HLOOKUP(YEAR(G1963)+(MONTH(G1963)/100),TC!$5:$37,DAY(G1963)+2,FALSE),VLOOKUP(F1963,Equivalencia!$5:$23,((MAX(Equivalencia!$3:$3)-YEAR(G1963))*14)+MONTH(G1963)+2,FALSE))))</f>
        <v>0</v>
      </c>
      <c r="M1963" s="306">
        <f t="shared" si="513"/>
        <v>0</v>
      </c>
      <c r="N1963" s="305">
        <f>IF(G1963=0,0,(IF(OR(E1963=$AT$5,E1963=$AT$6),AC1963,HLOOKUP(YEAR(G1963)+(MONTH(G1963)/100),TC!$5:$37,DAY(G1963)+2,FALSE))))</f>
        <v>0</v>
      </c>
      <c r="O1963" s="307">
        <f t="shared" si="514"/>
        <v>0</v>
      </c>
      <c r="P1963" s="560">
        <f>IF(G1963=0,0,VLOOKUP(YEAR(G1963),INPC!$B$4:$P$30,MONTH(G1963)+2))</f>
        <v>0</v>
      </c>
      <c r="Q1963" s="560">
        <f>IF(X1963=0,0,IF(OR(E1963=$AT$10,E1963=$AT$9),VLOOKUP(YEAR(X1963),INPC!$B$4:$P$30,MONTH(X1963)+1),VLOOKUP(YEAR(X1963),INPC!$B$4:$P$30,MONTH(X1963)+2,0)))</f>
        <v>0</v>
      </c>
      <c r="R1963" s="309">
        <f t="shared" si="515"/>
        <v>0</v>
      </c>
      <c r="S1963" s="310">
        <f t="shared" si="516"/>
        <v>0</v>
      </c>
      <c r="T1963" s="555">
        <f t="shared" si="517"/>
        <v>0</v>
      </c>
      <c r="U1963" s="311"/>
      <c r="V1963" s="312"/>
      <c r="W1963" s="299"/>
      <c r="X1963" s="300"/>
      <c r="Y1963" s="299"/>
      <c r="Z1963" s="303"/>
      <c r="AA1963" s="305">
        <f>IF(Z1963=0,0,IF(Y1963="MXN",1/HLOOKUP(YEAR(X1963)+(MONTH(X1963)/100),TC!$5:$37,DAY(X1963)+2,FALSE),VLOOKUP(Y1963,Equivalencia!$1:$23,((MAX(Equivalencia!$3:$3)-YEAR(X1963))*14)+MONTH(X1963)+2,FALSE)))</f>
        <v>0</v>
      </c>
      <c r="AB1963" s="306">
        <f t="shared" si="518"/>
        <v>0</v>
      </c>
      <c r="AC1963" s="305">
        <f>+IF(X1963=0,0,HLOOKUP(YEAR(X1963)+(MONTH(X1963)/100),TC!$5:$37,DAY(X1963)+2,FALSE))</f>
        <v>0</v>
      </c>
      <c r="AD1963" s="307">
        <f t="shared" si="519"/>
        <v>0</v>
      </c>
      <c r="AE1963" s="314">
        <f t="shared" si="520"/>
        <v>0</v>
      </c>
      <c r="AF1963" s="315">
        <f t="shared" si="521"/>
        <v>0</v>
      </c>
      <c r="AG1963" s="316">
        <f t="shared" si="522"/>
        <v>0</v>
      </c>
      <c r="AH1963" s="314">
        <v>1</v>
      </c>
      <c r="AI1963" s="314">
        <f t="shared" si="523"/>
        <v>0</v>
      </c>
      <c r="AJ1963" s="314">
        <f t="shared" si="524"/>
        <v>0</v>
      </c>
      <c r="AK1963" s="317"/>
      <c r="AL1963" s="315">
        <f t="shared" si="525"/>
        <v>0</v>
      </c>
      <c r="AN1963" s="554">
        <f t="shared" si="526"/>
        <v>0</v>
      </c>
      <c r="AO1963" s="314"/>
      <c r="AP1963" s="318"/>
    </row>
    <row r="1964" spans="2:42">
      <c r="B1964" s="296"/>
      <c r="C1964" s="299"/>
      <c r="D1964" s="298"/>
      <c r="E1964" s="299"/>
      <c r="F1964" s="299"/>
      <c r="G1964" s="300"/>
      <c r="H1964" s="303"/>
      <c r="I1964" s="301">
        <f t="shared" si="510"/>
        <v>0</v>
      </c>
      <c r="J1964" s="302">
        <f t="shared" si="511"/>
        <v>0</v>
      </c>
      <c r="K1964" s="304">
        <f t="shared" si="512"/>
        <v>0</v>
      </c>
      <c r="L1964" s="305">
        <f>IF(H1964=0,0,IF(OR(E1964=$AT$5,E1964=$AT$6),AA1964,IF(F1964="MXN",1/HLOOKUP(YEAR(G1964)+(MONTH(G1964)/100),TC!$5:$37,DAY(G1964)+2,FALSE),VLOOKUP(F1964,Equivalencia!$5:$23,((MAX(Equivalencia!$3:$3)-YEAR(G1964))*14)+MONTH(G1964)+2,FALSE))))</f>
        <v>0</v>
      </c>
      <c r="M1964" s="306">
        <f t="shared" si="513"/>
        <v>0</v>
      </c>
      <c r="N1964" s="305">
        <f>IF(G1964=0,0,(IF(OR(E1964=$AT$5,E1964=$AT$6),AC1964,HLOOKUP(YEAR(G1964)+(MONTH(G1964)/100),TC!$5:$37,DAY(G1964)+2,FALSE))))</f>
        <v>0</v>
      </c>
      <c r="O1964" s="307">
        <f t="shared" si="514"/>
        <v>0</v>
      </c>
      <c r="P1964" s="560">
        <f>IF(G1964=0,0,VLOOKUP(YEAR(G1964),INPC!$B$4:$P$30,MONTH(G1964)+2))</f>
        <v>0</v>
      </c>
      <c r="Q1964" s="560">
        <f>IF(X1964=0,0,IF(OR(E1964=$AT$10,E1964=$AT$9),VLOOKUP(YEAR(X1964),INPC!$B$4:$P$30,MONTH(X1964)+1),VLOOKUP(YEAR(X1964),INPC!$B$4:$P$30,MONTH(X1964)+2,0)))</f>
        <v>0</v>
      </c>
      <c r="R1964" s="309">
        <f t="shared" si="515"/>
        <v>0</v>
      </c>
      <c r="S1964" s="310">
        <f t="shared" si="516"/>
        <v>0</v>
      </c>
      <c r="T1964" s="555">
        <f t="shared" si="517"/>
        <v>0</v>
      </c>
      <c r="U1964" s="311"/>
      <c r="V1964" s="312"/>
      <c r="W1964" s="299"/>
      <c r="X1964" s="300"/>
      <c r="Y1964" s="299"/>
      <c r="Z1964" s="303"/>
      <c r="AA1964" s="305">
        <f>IF(Z1964=0,0,IF(Y1964="MXN",1/HLOOKUP(YEAR(X1964)+(MONTH(X1964)/100),TC!$5:$37,DAY(X1964)+2,FALSE),VLOOKUP(Y1964,Equivalencia!$1:$23,((MAX(Equivalencia!$3:$3)-YEAR(X1964))*14)+MONTH(X1964)+2,FALSE)))</f>
        <v>0</v>
      </c>
      <c r="AB1964" s="306">
        <f t="shared" si="518"/>
        <v>0</v>
      </c>
      <c r="AC1964" s="305">
        <f>+IF(X1964=0,0,HLOOKUP(YEAR(X1964)+(MONTH(X1964)/100),TC!$5:$37,DAY(X1964)+2,FALSE))</f>
        <v>0</v>
      </c>
      <c r="AD1964" s="307">
        <f t="shared" si="519"/>
        <v>0</v>
      </c>
      <c r="AE1964" s="314">
        <f t="shared" si="520"/>
        <v>0</v>
      </c>
      <c r="AF1964" s="315">
        <f t="shared" si="521"/>
        <v>0</v>
      </c>
      <c r="AG1964" s="316">
        <f t="shared" si="522"/>
        <v>0</v>
      </c>
      <c r="AH1964" s="314">
        <v>1</v>
      </c>
      <c r="AI1964" s="314">
        <f t="shared" si="523"/>
        <v>0</v>
      </c>
      <c r="AJ1964" s="314">
        <f t="shared" si="524"/>
        <v>0</v>
      </c>
      <c r="AK1964" s="317"/>
      <c r="AL1964" s="315">
        <f t="shared" si="525"/>
        <v>0</v>
      </c>
      <c r="AN1964" s="554">
        <f t="shared" si="526"/>
        <v>0</v>
      </c>
      <c r="AO1964" s="314"/>
      <c r="AP1964" s="318"/>
    </row>
    <row r="1965" spans="2:42">
      <c r="B1965" s="296"/>
      <c r="C1965" s="299"/>
      <c r="D1965" s="298"/>
      <c r="E1965" s="299"/>
      <c r="F1965" s="299"/>
      <c r="G1965" s="300"/>
      <c r="H1965" s="303"/>
      <c r="I1965" s="301">
        <f t="shared" si="510"/>
        <v>0</v>
      </c>
      <c r="J1965" s="302">
        <f t="shared" si="511"/>
        <v>0</v>
      </c>
      <c r="K1965" s="304">
        <f t="shared" si="512"/>
        <v>0</v>
      </c>
      <c r="L1965" s="305">
        <f>IF(H1965=0,0,IF(OR(E1965=$AT$5,E1965=$AT$6),AA1965,IF(F1965="MXN",1/HLOOKUP(YEAR(G1965)+(MONTH(G1965)/100),TC!$5:$37,DAY(G1965)+2,FALSE),VLOOKUP(F1965,Equivalencia!$5:$23,((MAX(Equivalencia!$3:$3)-YEAR(G1965))*14)+MONTH(G1965)+2,FALSE))))</f>
        <v>0</v>
      </c>
      <c r="M1965" s="306">
        <f t="shared" si="513"/>
        <v>0</v>
      </c>
      <c r="N1965" s="305">
        <f>IF(G1965=0,0,(IF(OR(E1965=$AT$5,E1965=$AT$6),AC1965,HLOOKUP(YEAR(G1965)+(MONTH(G1965)/100),TC!$5:$37,DAY(G1965)+2,FALSE))))</f>
        <v>0</v>
      </c>
      <c r="O1965" s="307">
        <f t="shared" si="514"/>
        <v>0</v>
      </c>
      <c r="P1965" s="560">
        <f>IF(G1965=0,0,VLOOKUP(YEAR(G1965),INPC!$B$4:$P$30,MONTH(G1965)+2))</f>
        <v>0</v>
      </c>
      <c r="Q1965" s="560">
        <f>IF(X1965=0,0,IF(OR(E1965=$AT$10,E1965=$AT$9),VLOOKUP(YEAR(X1965),INPC!$B$4:$P$30,MONTH(X1965)+1),VLOOKUP(YEAR(X1965),INPC!$B$4:$P$30,MONTH(X1965)+2,0)))</f>
        <v>0</v>
      </c>
      <c r="R1965" s="309">
        <f t="shared" si="515"/>
        <v>0</v>
      </c>
      <c r="S1965" s="310">
        <f t="shared" si="516"/>
        <v>0</v>
      </c>
      <c r="T1965" s="555">
        <f t="shared" si="517"/>
        <v>0</v>
      </c>
      <c r="U1965" s="311"/>
      <c r="V1965" s="312"/>
      <c r="W1965" s="299"/>
      <c r="X1965" s="300"/>
      <c r="Y1965" s="299"/>
      <c r="Z1965" s="303"/>
      <c r="AA1965" s="305">
        <f>IF(Z1965=0,0,IF(Y1965="MXN",1/HLOOKUP(YEAR(X1965)+(MONTH(X1965)/100),TC!$5:$37,DAY(X1965)+2,FALSE),VLOOKUP(Y1965,Equivalencia!$1:$23,((MAX(Equivalencia!$3:$3)-YEAR(X1965))*14)+MONTH(X1965)+2,FALSE)))</f>
        <v>0</v>
      </c>
      <c r="AB1965" s="306">
        <f t="shared" si="518"/>
        <v>0</v>
      </c>
      <c r="AC1965" s="305">
        <f>+IF(X1965=0,0,HLOOKUP(YEAR(X1965)+(MONTH(X1965)/100),TC!$5:$37,DAY(X1965)+2,FALSE))</f>
        <v>0</v>
      </c>
      <c r="AD1965" s="307">
        <f t="shared" si="519"/>
        <v>0</v>
      </c>
      <c r="AE1965" s="314">
        <f t="shared" si="520"/>
        <v>0</v>
      </c>
      <c r="AF1965" s="315">
        <f t="shared" si="521"/>
        <v>0</v>
      </c>
      <c r="AG1965" s="316">
        <f t="shared" si="522"/>
        <v>0</v>
      </c>
      <c r="AH1965" s="314">
        <v>1</v>
      </c>
      <c r="AI1965" s="314">
        <f t="shared" si="523"/>
        <v>0</v>
      </c>
      <c r="AJ1965" s="314">
        <f t="shared" si="524"/>
        <v>0</v>
      </c>
      <c r="AK1965" s="317"/>
      <c r="AL1965" s="315">
        <f t="shared" si="525"/>
        <v>0</v>
      </c>
      <c r="AN1965" s="554">
        <f t="shared" si="526"/>
        <v>0</v>
      </c>
      <c r="AO1965" s="314"/>
      <c r="AP1965" s="318"/>
    </row>
    <row r="1966" spans="2:42">
      <c r="B1966" s="296"/>
      <c r="C1966" s="299"/>
      <c r="D1966" s="298"/>
      <c r="E1966" s="299"/>
      <c r="F1966" s="299"/>
      <c r="G1966" s="300"/>
      <c r="H1966" s="303"/>
      <c r="I1966" s="301">
        <f t="shared" si="510"/>
        <v>0</v>
      </c>
      <c r="J1966" s="302">
        <f t="shared" si="511"/>
        <v>0</v>
      </c>
      <c r="K1966" s="304">
        <f t="shared" si="512"/>
        <v>0</v>
      </c>
      <c r="L1966" s="305">
        <f>IF(H1966=0,0,IF(OR(E1966=$AT$5,E1966=$AT$6),AA1966,IF(F1966="MXN",1/HLOOKUP(YEAR(G1966)+(MONTH(G1966)/100),TC!$5:$37,DAY(G1966)+2,FALSE),VLOOKUP(F1966,Equivalencia!$5:$23,((MAX(Equivalencia!$3:$3)-YEAR(G1966))*14)+MONTH(G1966)+2,FALSE))))</f>
        <v>0</v>
      </c>
      <c r="M1966" s="306">
        <f t="shared" si="513"/>
        <v>0</v>
      </c>
      <c r="N1966" s="305">
        <f>IF(G1966=0,0,(IF(OR(E1966=$AT$5,E1966=$AT$6),AC1966,HLOOKUP(YEAR(G1966)+(MONTH(G1966)/100),TC!$5:$37,DAY(G1966)+2,FALSE))))</f>
        <v>0</v>
      </c>
      <c r="O1966" s="307">
        <f t="shared" si="514"/>
        <v>0</v>
      </c>
      <c r="P1966" s="560">
        <f>IF(G1966=0,0,VLOOKUP(YEAR(G1966),INPC!$B$4:$P$30,MONTH(G1966)+2))</f>
        <v>0</v>
      </c>
      <c r="Q1966" s="560">
        <f>IF(X1966=0,0,IF(OR(E1966=$AT$10,E1966=$AT$9),VLOOKUP(YEAR(X1966),INPC!$B$4:$P$30,MONTH(X1966)+1),VLOOKUP(YEAR(X1966),INPC!$B$4:$P$30,MONTH(X1966)+2,0)))</f>
        <v>0</v>
      </c>
      <c r="R1966" s="309">
        <f t="shared" si="515"/>
        <v>0</v>
      </c>
      <c r="S1966" s="310">
        <f t="shared" si="516"/>
        <v>0</v>
      </c>
      <c r="T1966" s="555">
        <f t="shared" si="517"/>
        <v>0</v>
      </c>
      <c r="U1966" s="311"/>
      <c r="V1966" s="312"/>
      <c r="W1966" s="299"/>
      <c r="X1966" s="300"/>
      <c r="Y1966" s="299"/>
      <c r="Z1966" s="303"/>
      <c r="AA1966" s="305">
        <f>IF(Z1966=0,0,IF(Y1966="MXN",1/HLOOKUP(YEAR(X1966)+(MONTH(X1966)/100),TC!$5:$37,DAY(X1966)+2,FALSE),VLOOKUP(Y1966,Equivalencia!$1:$23,((MAX(Equivalencia!$3:$3)-YEAR(X1966))*14)+MONTH(X1966)+2,FALSE)))</f>
        <v>0</v>
      </c>
      <c r="AB1966" s="306">
        <f t="shared" si="518"/>
        <v>0</v>
      </c>
      <c r="AC1966" s="305">
        <f>+IF(X1966=0,0,HLOOKUP(YEAR(X1966)+(MONTH(X1966)/100),TC!$5:$37,DAY(X1966)+2,FALSE))</f>
        <v>0</v>
      </c>
      <c r="AD1966" s="307">
        <f t="shared" si="519"/>
        <v>0</v>
      </c>
      <c r="AE1966" s="314">
        <f t="shared" si="520"/>
        <v>0</v>
      </c>
      <c r="AF1966" s="315">
        <f t="shared" si="521"/>
        <v>0</v>
      </c>
      <c r="AG1966" s="316">
        <f t="shared" si="522"/>
        <v>0</v>
      </c>
      <c r="AH1966" s="314">
        <v>1</v>
      </c>
      <c r="AI1966" s="314">
        <f t="shared" si="523"/>
        <v>0</v>
      </c>
      <c r="AJ1966" s="314">
        <f t="shared" si="524"/>
        <v>0</v>
      </c>
      <c r="AK1966" s="317"/>
      <c r="AL1966" s="315">
        <f t="shared" si="525"/>
        <v>0</v>
      </c>
      <c r="AN1966" s="554">
        <f t="shared" si="526"/>
        <v>0</v>
      </c>
      <c r="AO1966" s="314"/>
      <c r="AP1966" s="318"/>
    </row>
    <row r="1967" spans="2:42">
      <c r="B1967" s="296"/>
      <c r="C1967" s="299"/>
      <c r="D1967" s="298"/>
      <c r="E1967" s="299"/>
      <c r="F1967" s="299"/>
      <c r="G1967" s="300"/>
      <c r="H1967" s="303"/>
      <c r="I1967" s="301">
        <f t="shared" si="510"/>
        <v>0</v>
      </c>
      <c r="J1967" s="302">
        <f t="shared" si="511"/>
        <v>0</v>
      </c>
      <c r="K1967" s="304">
        <f t="shared" si="512"/>
        <v>0</v>
      </c>
      <c r="L1967" s="305">
        <f>IF(H1967=0,0,IF(OR(E1967=$AT$5,E1967=$AT$6),AA1967,IF(F1967="MXN",1/HLOOKUP(YEAR(G1967)+(MONTH(G1967)/100),TC!$5:$37,DAY(G1967)+2,FALSE),VLOOKUP(F1967,Equivalencia!$5:$23,((MAX(Equivalencia!$3:$3)-YEAR(G1967))*14)+MONTH(G1967)+2,FALSE))))</f>
        <v>0</v>
      </c>
      <c r="M1967" s="306">
        <f t="shared" si="513"/>
        <v>0</v>
      </c>
      <c r="N1967" s="305">
        <f>IF(G1967=0,0,(IF(OR(E1967=$AT$5,E1967=$AT$6),AC1967,HLOOKUP(YEAR(G1967)+(MONTH(G1967)/100),TC!$5:$37,DAY(G1967)+2,FALSE))))</f>
        <v>0</v>
      </c>
      <c r="O1967" s="307">
        <f t="shared" si="514"/>
        <v>0</v>
      </c>
      <c r="P1967" s="560">
        <f>IF(G1967=0,0,VLOOKUP(YEAR(G1967),INPC!$B$4:$P$30,MONTH(G1967)+2))</f>
        <v>0</v>
      </c>
      <c r="Q1967" s="560">
        <f>IF(X1967=0,0,IF(OR(E1967=$AT$10,E1967=$AT$9),VLOOKUP(YEAR(X1967),INPC!$B$4:$P$30,MONTH(X1967)+1),VLOOKUP(YEAR(X1967),INPC!$B$4:$P$30,MONTH(X1967)+2,0)))</f>
        <v>0</v>
      </c>
      <c r="R1967" s="309">
        <f t="shared" si="515"/>
        <v>0</v>
      </c>
      <c r="S1967" s="310">
        <f t="shared" si="516"/>
        <v>0</v>
      </c>
      <c r="T1967" s="555">
        <f t="shared" si="517"/>
        <v>0</v>
      </c>
      <c r="U1967" s="311"/>
      <c r="V1967" s="312"/>
      <c r="W1967" s="299"/>
      <c r="X1967" s="300"/>
      <c r="Y1967" s="299"/>
      <c r="Z1967" s="303"/>
      <c r="AA1967" s="305">
        <f>IF(Z1967=0,0,IF(Y1967="MXN",1/HLOOKUP(YEAR(X1967)+(MONTH(X1967)/100),TC!$5:$37,DAY(X1967)+2,FALSE),VLOOKUP(Y1967,Equivalencia!$1:$23,((MAX(Equivalencia!$3:$3)-YEAR(X1967))*14)+MONTH(X1967)+2,FALSE)))</f>
        <v>0</v>
      </c>
      <c r="AB1967" s="306">
        <f t="shared" si="518"/>
        <v>0</v>
      </c>
      <c r="AC1967" s="305">
        <f>+IF(X1967=0,0,HLOOKUP(YEAR(X1967)+(MONTH(X1967)/100),TC!$5:$37,DAY(X1967)+2,FALSE))</f>
        <v>0</v>
      </c>
      <c r="AD1967" s="307">
        <f t="shared" si="519"/>
        <v>0</v>
      </c>
      <c r="AE1967" s="314">
        <f t="shared" si="520"/>
        <v>0</v>
      </c>
      <c r="AF1967" s="315">
        <f t="shared" si="521"/>
        <v>0</v>
      </c>
      <c r="AG1967" s="316">
        <f t="shared" si="522"/>
        <v>0</v>
      </c>
      <c r="AH1967" s="314">
        <v>1</v>
      </c>
      <c r="AI1967" s="314">
        <f t="shared" si="523"/>
        <v>0</v>
      </c>
      <c r="AJ1967" s="314">
        <f t="shared" si="524"/>
        <v>0</v>
      </c>
      <c r="AK1967" s="317"/>
      <c r="AL1967" s="315">
        <f t="shared" si="525"/>
        <v>0</v>
      </c>
      <c r="AN1967" s="554">
        <f t="shared" si="526"/>
        <v>0</v>
      </c>
      <c r="AO1967" s="314"/>
      <c r="AP1967" s="318"/>
    </row>
    <row r="1968" spans="2:42">
      <c r="B1968" s="296"/>
      <c r="C1968" s="299"/>
      <c r="D1968" s="298"/>
      <c r="E1968" s="299"/>
      <c r="F1968" s="299"/>
      <c r="G1968" s="300"/>
      <c r="H1968" s="303"/>
      <c r="I1968" s="301">
        <f t="shared" si="510"/>
        <v>0</v>
      </c>
      <c r="J1968" s="302">
        <f t="shared" si="511"/>
        <v>0</v>
      </c>
      <c r="K1968" s="304">
        <f t="shared" si="512"/>
        <v>0</v>
      </c>
      <c r="L1968" s="305">
        <f>IF(H1968=0,0,IF(OR(E1968=$AT$5,E1968=$AT$6),AA1968,IF(F1968="MXN",1/HLOOKUP(YEAR(G1968)+(MONTH(G1968)/100),TC!$5:$37,DAY(G1968)+2,FALSE),VLOOKUP(F1968,Equivalencia!$5:$23,((MAX(Equivalencia!$3:$3)-YEAR(G1968))*14)+MONTH(G1968)+2,FALSE))))</f>
        <v>0</v>
      </c>
      <c r="M1968" s="306">
        <f t="shared" si="513"/>
        <v>0</v>
      </c>
      <c r="N1968" s="305">
        <f>IF(G1968=0,0,(IF(OR(E1968=$AT$5,E1968=$AT$6),AC1968,HLOOKUP(YEAR(G1968)+(MONTH(G1968)/100),TC!$5:$37,DAY(G1968)+2,FALSE))))</f>
        <v>0</v>
      </c>
      <c r="O1968" s="307">
        <f t="shared" si="514"/>
        <v>0</v>
      </c>
      <c r="P1968" s="560">
        <f>IF(G1968=0,0,VLOOKUP(YEAR(G1968),INPC!$B$4:$P$30,MONTH(G1968)+2))</f>
        <v>0</v>
      </c>
      <c r="Q1968" s="560">
        <f>IF(X1968=0,0,IF(OR(E1968=$AT$10,E1968=$AT$9),VLOOKUP(YEAR(X1968),INPC!$B$4:$P$30,MONTH(X1968)+1),VLOOKUP(YEAR(X1968),INPC!$B$4:$P$30,MONTH(X1968)+2,0)))</f>
        <v>0</v>
      </c>
      <c r="R1968" s="309">
        <f t="shared" si="515"/>
        <v>0</v>
      </c>
      <c r="S1968" s="310">
        <f t="shared" si="516"/>
        <v>0</v>
      </c>
      <c r="T1968" s="555">
        <f t="shared" si="517"/>
        <v>0</v>
      </c>
      <c r="U1968" s="311"/>
      <c r="V1968" s="312"/>
      <c r="W1968" s="299"/>
      <c r="X1968" s="300"/>
      <c r="Y1968" s="299"/>
      <c r="Z1968" s="303"/>
      <c r="AA1968" s="305">
        <f>IF(Z1968=0,0,IF(Y1968="MXN",1/HLOOKUP(YEAR(X1968)+(MONTH(X1968)/100),TC!$5:$37,DAY(X1968)+2,FALSE),VLOOKUP(Y1968,Equivalencia!$1:$23,((MAX(Equivalencia!$3:$3)-YEAR(X1968))*14)+MONTH(X1968)+2,FALSE)))</f>
        <v>0</v>
      </c>
      <c r="AB1968" s="306">
        <f t="shared" si="518"/>
        <v>0</v>
      </c>
      <c r="AC1968" s="305">
        <f>+IF(X1968=0,0,HLOOKUP(YEAR(X1968)+(MONTH(X1968)/100),TC!$5:$37,DAY(X1968)+2,FALSE))</f>
        <v>0</v>
      </c>
      <c r="AD1968" s="307">
        <f t="shared" si="519"/>
        <v>0</v>
      </c>
      <c r="AE1968" s="314">
        <f t="shared" si="520"/>
        <v>0</v>
      </c>
      <c r="AF1968" s="315">
        <f t="shared" si="521"/>
        <v>0</v>
      </c>
      <c r="AG1968" s="316">
        <f t="shared" si="522"/>
        <v>0</v>
      </c>
      <c r="AH1968" s="314">
        <v>1</v>
      </c>
      <c r="AI1968" s="314">
        <f t="shared" si="523"/>
        <v>0</v>
      </c>
      <c r="AJ1968" s="314">
        <f t="shared" si="524"/>
        <v>0</v>
      </c>
      <c r="AK1968" s="317"/>
      <c r="AL1968" s="315">
        <f t="shared" si="525"/>
        <v>0</v>
      </c>
      <c r="AN1968" s="554">
        <f t="shared" si="526"/>
        <v>0</v>
      </c>
      <c r="AO1968" s="314"/>
      <c r="AP1968" s="318"/>
    </row>
    <row r="1969" spans="2:42">
      <c r="B1969" s="296"/>
      <c r="C1969" s="299"/>
      <c r="D1969" s="298"/>
      <c r="E1969" s="299"/>
      <c r="F1969" s="299"/>
      <c r="G1969" s="300"/>
      <c r="H1969" s="303"/>
      <c r="I1969" s="301">
        <f t="shared" si="510"/>
        <v>0</v>
      </c>
      <c r="J1969" s="302">
        <f t="shared" si="511"/>
        <v>0</v>
      </c>
      <c r="K1969" s="304">
        <f t="shared" si="512"/>
        <v>0</v>
      </c>
      <c r="L1969" s="305">
        <f>IF(H1969=0,0,IF(OR(E1969=$AT$5,E1969=$AT$6),AA1969,IF(F1969="MXN",1/HLOOKUP(YEAR(G1969)+(MONTH(G1969)/100),TC!$5:$37,DAY(G1969)+2,FALSE),VLOOKUP(F1969,Equivalencia!$5:$23,((MAX(Equivalencia!$3:$3)-YEAR(G1969))*14)+MONTH(G1969)+2,FALSE))))</f>
        <v>0</v>
      </c>
      <c r="M1969" s="306">
        <f t="shared" si="513"/>
        <v>0</v>
      </c>
      <c r="N1969" s="305">
        <f>IF(G1969=0,0,(IF(OR(E1969=$AT$5,E1969=$AT$6),AC1969,HLOOKUP(YEAR(G1969)+(MONTH(G1969)/100),TC!$5:$37,DAY(G1969)+2,FALSE))))</f>
        <v>0</v>
      </c>
      <c r="O1969" s="307">
        <f t="shared" si="514"/>
        <v>0</v>
      </c>
      <c r="P1969" s="560">
        <f>IF(G1969=0,0,VLOOKUP(YEAR(G1969),INPC!$B$4:$P$30,MONTH(G1969)+2))</f>
        <v>0</v>
      </c>
      <c r="Q1969" s="560">
        <f>IF(X1969=0,0,IF(OR(E1969=$AT$10,E1969=$AT$9),VLOOKUP(YEAR(X1969),INPC!$B$4:$P$30,MONTH(X1969)+1),VLOOKUP(YEAR(X1969),INPC!$B$4:$P$30,MONTH(X1969)+2,0)))</f>
        <v>0</v>
      </c>
      <c r="R1969" s="309">
        <f t="shared" si="515"/>
        <v>0</v>
      </c>
      <c r="S1969" s="310">
        <f t="shared" si="516"/>
        <v>0</v>
      </c>
      <c r="T1969" s="555">
        <f t="shared" si="517"/>
        <v>0</v>
      </c>
      <c r="U1969" s="311"/>
      <c r="V1969" s="312"/>
      <c r="W1969" s="299"/>
      <c r="X1969" s="300"/>
      <c r="Y1969" s="299"/>
      <c r="Z1969" s="303"/>
      <c r="AA1969" s="305">
        <f>IF(Z1969=0,0,IF(Y1969="MXN",1/HLOOKUP(YEAR(X1969)+(MONTH(X1969)/100),TC!$5:$37,DAY(X1969)+2,FALSE),VLOOKUP(Y1969,Equivalencia!$1:$23,((MAX(Equivalencia!$3:$3)-YEAR(X1969))*14)+MONTH(X1969)+2,FALSE)))</f>
        <v>0</v>
      </c>
      <c r="AB1969" s="306">
        <f t="shared" si="518"/>
        <v>0</v>
      </c>
      <c r="AC1969" s="305">
        <f>+IF(X1969=0,0,HLOOKUP(YEAR(X1969)+(MONTH(X1969)/100),TC!$5:$37,DAY(X1969)+2,FALSE))</f>
        <v>0</v>
      </c>
      <c r="AD1969" s="307">
        <f t="shared" si="519"/>
        <v>0</v>
      </c>
      <c r="AE1969" s="314">
        <f t="shared" si="520"/>
        <v>0</v>
      </c>
      <c r="AF1969" s="315">
        <f t="shared" si="521"/>
        <v>0</v>
      </c>
      <c r="AG1969" s="316">
        <f t="shared" si="522"/>
        <v>0</v>
      </c>
      <c r="AH1969" s="314">
        <v>1</v>
      </c>
      <c r="AI1969" s="314">
        <f t="shared" si="523"/>
        <v>0</v>
      </c>
      <c r="AJ1969" s="314">
        <f t="shared" si="524"/>
        <v>0</v>
      </c>
      <c r="AK1969" s="317"/>
      <c r="AL1969" s="315">
        <f t="shared" si="525"/>
        <v>0</v>
      </c>
      <c r="AN1969" s="554">
        <f t="shared" si="526"/>
        <v>0</v>
      </c>
      <c r="AO1969" s="314"/>
      <c r="AP1969" s="318"/>
    </row>
    <row r="1970" spans="2:42">
      <c r="B1970" s="296"/>
      <c r="C1970" s="299"/>
      <c r="D1970" s="298"/>
      <c r="E1970" s="299"/>
      <c r="F1970" s="299"/>
      <c r="G1970" s="300"/>
      <c r="H1970" s="303"/>
      <c r="I1970" s="301">
        <f t="shared" si="510"/>
        <v>0</v>
      </c>
      <c r="J1970" s="302">
        <f t="shared" si="511"/>
        <v>0</v>
      </c>
      <c r="K1970" s="304">
        <f t="shared" si="512"/>
        <v>0</v>
      </c>
      <c r="L1970" s="305">
        <f>IF(H1970=0,0,IF(OR(E1970=$AT$5,E1970=$AT$6),AA1970,IF(F1970="MXN",1/HLOOKUP(YEAR(G1970)+(MONTH(G1970)/100),TC!$5:$37,DAY(G1970)+2,FALSE),VLOOKUP(F1970,Equivalencia!$5:$23,((MAX(Equivalencia!$3:$3)-YEAR(G1970))*14)+MONTH(G1970)+2,FALSE))))</f>
        <v>0</v>
      </c>
      <c r="M1970" s="306">
        <f t="shared" si="513"/>
        <v>0</v>
      </c>
      <c r="N1970" s="305">
        <f>IF(G1970=0,0,(IF(OR(E1970=$AT$5,E1970=$AT$6),AC1970,HLOOKUP(YEAR(G1970)+(MONTH(G1970)/100),TC!$5:$37,DAY(G1970)+2,FALSE))))</f>
        <v>0</v>
      </c>
      <c r="O1970" s="307">
        <f t="shared" si="514"/>
        <v>0</v>
      </c>
      <c r="P1970" s="560">
        <f>IF(G1970=0,0,VLOOKUP(YEAR(G1970),INPC!$B$4:$P$30,MONTH(G1970)+2))</f>
        <v>0</v>
      </c>
      <c r="Q1970" s="560">
        <f>IF(X1970=0,0,IF(OR(E1970=$AT$10,E1970=$AT$9),VLOOKUP(YEAR(X1970),INPC!$B$4:$P$30,MONTH(X1970)+1),VLOOKUP(YEAR(X1970),INPC!$B$4:$P$30,MONTH(X1970)+2,0)))</f>
        <v>0</v>
      </c>
      <c r="R1970" s="309">
        <f t="shared" si="515"/>
        <v>0</v>
      </c>
      <c r="S1970" s="310">
        <f t="shared" si="516"/>
        <v>0</v>
      </c>
      <c r="T1970" s="555">
        <f t="shared" si="517"/>
        <v>0</v>
      </c>
      <c r="U1970" s="311"/>
      <c r="V1970" s="312"/>
      <c r="W1970" s="299"/>
      <c r="X1970" s="300"/>
      <c r="Y1970" s="299"/>
      <c r="Z1970" s="303"/>
      <c r="AA1970" s="305">
        <f>IF(Z1970=0,0,IF(Y1970="MXN",1/HLOOKUP(YEAR(X1970)+(MONTH(X1970)/100),TC!$5:$37,DAY(X1970)+2,FALSE),VLOOKUP(Y1970,Equivalencia!$1:$23,((MAX(Equivalencia!$3:$3)-YEAR(X1970))*14)+MONTH(X1970)+2,FALSE)))</f>
        <v>0</v>
      </c>
      <c r="AB1970" s="306">
        <f t="shared" si="518"/>
        <v>0</v>
      </c>
      <c r="AC1970" s="305">
        <f>+IF(X1970=0,0,HLOOKUP(YEAR(X1970)+(MONTH(X1970)/100),TC!$5:$37,DAY(X1970)+2,FALSE))</f>
        <v>0</v>
      </c>
      <c r="AD1970" s="307">
        <f t="shared" si="519"/>
        <v>0</v>
      </c>
      <c r="AE1970" s="314">
        <f t="shared" si="520"/>
        <v>0</v>
      </c>
      <c r="AF1970" s="315">
        <f t="shared" si="521"/>
        <v>0</v>
      </c>
      <c r="AG1970" s="316">
        <f t="shared" si="522"/>
        <v>0</v>
      </c>
      <c r="AH1970" s="314">
        <v>1</v>
      </c>
      <c r="AI1970" s="314">
        <f t="shared" si="523"/>
        <v>0</v>
      </c>
      <c r="AJ1970" s="314">
        <f t="shared" si="524"/>
        <v>0</v>
      </c>
      <c r="AK1970" s="317"/>
      <c r="AL1970" s="315">
        <f t="shared" si="525"/>
        <v>0</v>
      </c>
      <c r="AN1970" s="554">
        <f t="shared" si="526"/>
        <v>0</v>
      </c>
      <c r="AO1970" s="314"/>
      <c r="AP1970" s="318"/>
    </row>
    <row r="1971" spans="2:42">
      <c r="B1971" s="296"/>
      <c r="C1971" s="299"/>
      <c r="D1971" s="298"/>
      <c r="E1971" s="299"/>
      <c r="F1971" s="299"/>
      <c r="G1971" s="300"/>
      <c r="H1971" s="303"/>
      <c r="I1971" s="301">
        <f t="shared" si="510"/>
        <v>0</v>
      </c>
      <c r="J1971" s="302">
        <f t="shared" si="511"/>
        <v>0</v>
      </c>
      <c r="K1971" s="304">
        <f t="shared" si="512"/>
        <v>0</v>
      </c>
      <c r="L1971" s="305">
        <f>IF(H1971=0,0,IF(OR(E1971=$AT$5,E1971=$AT$6),AA1971,IF(F1971="MXN",1/HLOOKUP(YEAR(G1971)+(MONTH(G1971)/100),TC!$5:$37,DAY(G1971)+2,FALSE),VLOOKUP(F1971,Equivalencia!$5:$23,((MAX(Equivalencia!$3:$3)-YEAR(G1971))*14)+MONTH(G1971)+2,FALSE))))</f>
        <v>0</v>
      </c>
      <c r="M1971" s="306">
        <f t="shared" si="513"/>
        <v>0</v>
      </c>
      <c r="N1971" s="305">
        <f>IF(G1971=0,0,(IF(OR(E1971=$AT$5,E1971=$AT$6),AC1971,HLOOKUP(YEAR(G1971)+(MONTH(G1971)/100),TC!$5:$37,DAY(G1971)+2,FALSE))))</f>
        <v>0</v>
      </c>
      <c r="O1971" s="307">
        <f t="shared" si="514"/>
        <v>0</v>
      </c>
      <c r="P1971" s="560">
        <f>IF(G1971=0,0,VLOOKUP(YEAR(G1971),INPC!$B$4:$P$30,MONTH(G1971)+2))</f>
        <v>0</v>
      </c>
      <c r="Q1971" s="560">
        <f>IF(X1971=0,0,IF(OR(E1971=$AT$10,E1971=$AT$9),VLOOKUP(YEAR(X1971),INPC!$B$4:$P$30,MONTH(X1971)+1),VLOOKUP(YEAR(X1971),INPC!$B$4:$P$30,MONTH(X1971)+2,0)))</f>
        <v>0</v>
      </c>
      <c r="R1971" s="309">
        <f t="shared" si="515"/>
        <v>0</v>
      </c>
      <c r="S1971" s="310">
        <f t="shared" si="516"/>
        <v>0</v>
      </c>
      <c r="T1971" s="555">
        <f t="shared" si="517"/>
        <v>0</v>
      </c>
      <c r="U1971" s="311"/>
      <c r="V1971" s="312"/>
      <c r="W1971" s="299"/>
      <c r="X1971" s="300"/>
      <c r="Y1971" s="299"/>
      <c r="Z1971" s="303"/>
      <c r="AA1971" s="305">
        <f>IF(Z1971=0,0,IF(Y1971="MXN",1/HLOOKUP(YEAR(X1971)+(MONTH(X1971)/100),TC!$5:$37,DAY(X1971)+2,FALSE),VLOOKUP(Y1971,Equivalencia!$1:$23,((MAX(Equivalencia!$3:$3)-YEAR(X1971))*14)+MONTH(X1971)+2,FALSE)))</f>
        <v>0</v>
      </c>
      <c r="AB1971" s="306">
        <f t="shared" si="518"/>
        <v>0</v>
      </c>
      <c r="AC1971" s="305">
        <f>+IF(X1971=0,0,HLOOKUP(YEAR(X1971)+(MONTH(X1971)/100),TC!$5:$37,DAY(X1971)+2,FALSE))</f>
        <v>0</v>
      </c>
      <c r="AD1971" s="307">
        <f t="shared" si="519"/>
        <v>0</v>
      </c>
      <c r="AE1971" s="314">
        <f t="shared" si="520"/>
        <v>0</v>
      </c>
      <c r="AF1971" s="315">
        <f t="shared" si="521"/>
        <v>0</v>
      </c>
      <c r="AG1971" s="316">
        <f t="shared" si="522"/>
        <v>0</v>
      </c>
      <c r="AH1971" s="314">
        <v>1</v>
      </c>
      <c r="AI1971" s="314">
        <f t="shared" si="523"/>
        <v>0</v>
      </c>
      <c r="AJ1971" s="314">
        <f t="shared" si="524"/>
        <v>0</v>
      </c>
      <c r="AK1971" s="317"/>
      <c r="AL1971" s="315">
        <f t="shared" si="525"/>
        <v>0</v>
      </c>
      <c r="AN1971" s="554">
        <f t="shared" si="526"/>
        <v>0</v>
      </c>
      <c r="AO1971" s="314"/>
      <c r="AP1971" s="318"/>
    </row>
    <row r="1972" spans="2:42">
      <c r="B1972" s="296"/>
      <c r="C1972" s="299"/>
      <c r="D1972" s="298"/>
      <c r="E1972" s="299"/>
      <c r="F1972" s="299"/>
      <c r="G1972" s="300"/>
      <c r="H1972" s="303"/>
      <c r="I1972" s="301">
        <f t="shared" si="510"/>
        <v>0</v>
      </c>
      <c r="J1972" s="302">
        <f t="shared" si="511"/>
        <v>0</v>
      </c>
      <c r="K1972" s="304">
        <f t="shared" si="512"/>
        <v>0</v>
      </c>
      <c r="L1972" s="305">
        <f>IF(H1972=0,0,IF(OR(E1972=$AT$5,E1972=$AT$6),AA1972,IF(F1972="MXN",1/HLOOKUP(YEAR(G1972)+(MONTH(G1972)/100),TC!$5:$37,DAY(G1972)+2,FALSE),VLOOKUP(F1972,Equivalencia!$5:$23,((MAX(Equivalencia!$3:$3)-YEAR(G1972))*14)+MONTH(G1972)+2,FALSE))))</f>
        <v>0</v>
      </c>
      <c r="M1972" s="306">
        <f t="shared" si="513"/>
        <v>0</v>
      </c>
      <c r="N1972" s="305">
        <f>IF(G1972=0,0,(IF(OR(E1972=$AT$5,E1972=$AT$6),AC1972,HLOOKUP(YEAR(G1972)+(MONTH(G1972)/100),TC!$5:$37,DAY(G1972)+2,FALSE))))</f>
        <v>0</v>
      </c>
      <c r="O1972" s="307">
        <f t="shared" si="514"/>
        <v>0</v>
      </c>
      <c r="P1972" s="560">
        <f>IF(G1972=0,0,VLOOKUP(YEAR(G1972),INPC!$B$4:$P$30,MONTH(G1972)+2))</f>
        <v>0</v>
      </c>
      <c r="Q1972" s="560">
        <f>IF(X1972=0,0,IF(OR(E1972=$AT$10,E1972=$AT$9),VLOOKUP(YEAR(X1972),INPC!$B$4:$P$30,MONTH(X1972)+1),VLOOKUP(YEAR(X1972),INPC!$B$4:$P$30,MONTH(X1972)+2,0)))</f>
        <v>0</v>
      </c>
      <c r="R1972" s="309">
        <f t="shared" si="515"/>
        <v>0</v>
      </c>
      <c r="S1972" s="310">
        <f t="shared" si="516"/>
        <v>0</v>
      </c>
      <c r="T1972" s="555">
        <f t="shared" si="517"/>
        <v>0</v>
      </c>
      <c r="U1972" s="311"/>
      <c r="V1972" s="312"/>
      <c r="W1972" s="299"/>
      <c r="X1972" s="300"/>
      <c r="Y1972" s="299"/>
      <c r="Z1972" s="303"/>
      <c r="AA1972" s="305">
        <f>IF(Z1972=0,0,IF(Y1972="MXN",1/HLOOKUP(YEAR(X1972)+(MONTH(X1972)/100),TC!$5:$37,DAY(X1972)+2,FALSE),VLOOKUP(Y1972,Equivalencia!$1:$23,((MAX(Equivalencia!$3:$3)-YEAR(X1972))*14)+MONTH(X1972)+2,FALSE)))</f>
        <v>0</v>
      </c>
      <c r="AB1972" s="306">
        <f t="shared" si="518"/>
        <v>0</v>
      </c>
      <c r="AC1972" s="305">
        <f>+IF(X1972=0,0,HLOOKUP(YEAR(X1972)+(MONTH(X1972)/100),TC!$5:$37,DAY(X1972)+2,FALSE))</f>
        <v>0</v>
      </c>
      <c r="AD1972" s="307">
        <f t="shared" si="519"/>
        <v>0</v>
      </c>
      <c r="AE1972" s="314">
        <f t="shared" si="520"/>
        <v>0</v>
      </c>
      <c r="AF1972" s="315">
        <f t="shared" si="521"/>
        <v>0</v>
      </c>
      <c r="AG1972" s="316">
        <f t="shared" si="522"/>
        <v>0</v>
      </c>
      <c r="AH1972" s="314">
        <v>1</v>
      </c>
      <c r="AI1972" s="314">
        <f t="shared" si="523"/>
        <v>0</v>
      </c>
      <c r="AJ1972" s="314">
        <f t="shared" si="524"/>
        <v>0</v>
      </c>
      <c r="AK1972" s="317"/>
      <c r="AL1972" s="315">
        <f t="shared" si="525"/>
        <v>0</v>
      </c>
      <c r="AN1972" s="554">
        <f t="shared" si="526"/>
        <v>0</v>
      </c>
      <c r="AO1972" s="314"/>
      <c r="AP1972" s="318"/>
    </row>
    <row r="1973" spans="2:42">
      <c r="B1973" s="296"/>
      <c r="C1973" s="299"/>
      <c r="D1973" s="298"/>
      <c r="E1973" s="299"/>
      <c r="F1973" s="299"/>
      <c r="G1973" s="300"/>
      <c r="H1973" s="303"/>
      <c r="I1973" s="301">
        <f t="shared" si="510"/>
        <v>0</v>
      </c>
      <c r="J1973" s="302">
        <f t="shared" si="511"/>
        <v>0</v>
      </c>
      <c r="K1973" s="304">
        <f t="shared" si="512"/>
        <v>0</v>
      </c>
      <c r="L1973" s="305">
        <f>IF(H1973=0,0,IF(OR(E1973=$AT$5,E1973=$AT$6),AA1973,IF(F1973="MXN",1/HLOOKUP(YEAR(G1973)+(MONTH(G1973)/100),TC!$5:$37,DAY(G1973)+2,FALSE),VLOOKUP(F1973,Equivalencia!$5:$23,((MAX(Equivalencia!$3:$3)-YEAR(G1973))*14)+MONTH(G1973)+2,FALSE))))</f>
        <v>0</v>
      </c>
      <c r="M1973" s="306">
        <f t="shared" si="513"/>
        <v>0</v>
      </c>
      <c r="N1973" s="305">
        <f>IF(G1973=0,0,(IF(OR(E1973=$AT$5,E1973=$AT$6),AC1973,HLOOKUP(YEAR(G1973)+(MONTH(G1973)/100),TC!$5:$37,DAY(G1973)+2,FALSE))))</f>
        <v>0</v>
      </c>
      <c r="O1973" s="307">
        <f t="shared" si="514"/>
        <v>0</v>
      </c>
      <c r="P1973" s="560">
        <f>IF(G1973=0,0,VLOOKUP(YEAR(G1973),INPC!$B$4:$P$30,MONTH(G1973)+2))</f>
        <v>0</v>
      </c>
      <c r="Q1973" s="560">
        <f>IF(X1973=0,0,IF(OR(E1973=$AT$10,E1973=$AT$9),VLOOKUP(YEAR(X1973),INPC!$B$4:$P$30,MONTH(X1973)+1),VLOOKUP(YEAR(X1973),INPC!$B$4:$P$30,MONTH(X1973)+2,0)))</f>
        <v>0</v>
      </c>
      <c r="R1973" s="309">
        <f t="shared" si="515"/>
        <v>0</v>
      </c>
      <c r="S1973" s="310">
        <f t="shared" si="516"/>
        <v>0</v>
      </c>
      <c r="T1973" s="555">
        <f t="shared" si="517"/>
        <v>0</v>
      </c>
      <c r="U1973" s="311"/>
      <c r="V1973" s="312"/>
      <c r="W1973" s="299"/>
      <c r="X1973" s="300"/>
      <c r="Y1973" s="299"/>
      <c r="Z1973" s="303"/>
      <c r="AA1973" s="305">
        <f>IF(Z1973=0,0,IF(Y1973="MXN",1/HLOOKUP(YEAR(X1973)+(MONTH(X1973)/100),TC!$5:$37,DAY(X1973)+2,FALSE),VLOOKUP(Y1973,Equivalencia!$1:$23,((MAX(Equivalencia!$3:$3)-YEAR(X1973))*14)+MONTH(X1973)+2,FALSE)))</f>
        <v>0</v>
      </c>
      <c r="AB1973" s="306">
        <f t="shared" si="518"/>
        <v>0</v>
      </c>
      <c r="AC1973" s="305">
        <f>+IF(X1973=0,0,HLOOKUP(YEAR(X1973)+(MONTH(X1973)/100),TC!$5:$37,DAY(X1973)+2,FALSE))</f>
        <v>0</v>
      </c>
      <c r="AD1973" s="307">
        <f t="shared" si="519"/>
        <v>0</v>
      </c>
      <c r="AE1973" s="314">
        <f t="shared" si="520"/>
        <v>0</v>
      </c>
      <c r="AF1973" s="315">
        <f t="shared" si="521"/>
        <v>0</v>
      </c>
      <c r="AG1973" s="316">
        <f t="shared" si="522"/>
        <v>0</v>
      </c>
      <c r="AH1973" s="314">
        <v>1</v>
      </c>
      <c r="AI1973" s="314">
        <f t="shared" si="523"/>
        <v>0</v>
      </c>
      <c r="AJ1973" s="314">
        <f t="shared" si="524"/>
        <v>0</v>
      </c>
      <c r="AK1973" s="317"/>
      <c r="AL1973" s="315">
        <f t="shared" si="525"/>
        <v>0</v>
      </c>
      <c r="AN1973" s="554">
        <f t="shared" si="526"/>
        <v>0</v>
      </c>
      <c r="AO1973" s="314"/>
      <c r="AP1973" s="318"/>
    </row>
    <row r="1974" spans="2:42">
      <c r="B1974" s="296"/>
      <c r="C1974" s="299"/>
      <c r="D1974" s="298"/>
      <c r="E1974" s="299"/>
      <c r="F1974" s="299"/>
      <c r="G1974" s="300"/>
      <c r="H1974" s="303"/>
      <c r="I1974" s="301">
        <f t="shared" si="510"/>
        <v>0</v>
      </c>
      <c r="J1974" s="302">
        <f t="shared" si="511"/>
        <v>0</v>
      </c>
      <c r="K1974" s="304">
        <f t="shared" si="512"/>
        <v>0</v>
      </c>
      <c r="L1974" s="305">
        <f>IF(H1974=0,0,IF(OR(E1974=$AT$5,E1974=$AT$6),AA1974,IF(F1974="MXN",1/HLOOKUP(YEAR(G1974)+(MONTH(G1974)/100),TC!$5:$37,DAY(G1974)+2,FALSE),VLOOKUP(F1974,Equivalencia!$5:$23,((MAX(Equivalencia!$3:$3)-YEAR(G1974))*14)+MONTH(G1974)+2,FALSE))))</f>
        <v>0</v>
      </c>
      <c r="M1974" s="306">
        <f t="shared" si="513"/>
        <v>0</v>
      </c>
      <c r="N1974" s="305">
        <f>IF(G1974=0,0,(IF(OR(E1974=$AT$5,E1974=$AT$6),AC1974,HLOOKUP(YEAR(G1974)+(MONTH(G1974)/100),TC!$5:$37,DAY(G1974)+2,FALSE))))</f>
        <v>0</v>
      </c>
      <c r="O1974" s="307">
        <f t="shared" si="514"/>
        <v>0</v>
      </c>
      <c r="P1974" s="560">
        <f>IF(G1974=0,0,VLOOKUP(YEAR(G1974),INPC!$B$4:$P$30,MONTH(G1974)+2))</f>
        <v>0</v>
      </c>
      <c r="Q1974" s="560">
        <f>IF(X1974=0,0,IF(OR(E1974=$AT$10,E1974=$AT$9),VLOOKUP(YEAR(X1974),INPC!$B$4:$P$30,MONTH(X1974)+1),VLOOKUP(YEAR(X1974),INPC!$B$4:$P$30,MONTH(X1974)+2,0)))</f>
        <v>0</v>
      </c>
      <c r="R1974" s="309">
        <f t="shared" si="515"/>
        <v>0</v>
      </c>
      <c r="S1974" s="310">
        <f t="shared" si="516"/>
        <v>0</v>
      </c>
      <c r="T1974" s="555">
        <f t="shared" si="517"/>
        <v>0</v>
      </c>
      <c r="U1974" s="311"/>
      <c r="V1974" s="312"/>
      <c r="W1974" s="299"/>
      <c r="X1974" s="300"/>
      <c r="Y1974" s="299"/>
      <c r="Z1974" s="303"/>
      <c r="AA1974" s="305">
        <f>IF(Z1974=0,0,IF(Y1974="MXN",1/HLOOKUP(YEAR(X1974)+(MONTH(X1974)/100),TC!$5:$37,DAY(X1974)+2,FALSE),VLOOKUP(Y1974,Equivalencia!$1:$23,((MAX(Equivalencia!$3:$3)-YEAR(X1974))*14)+MONTH(X1974)+2,FALSE)))</f>
        <v>0</v>
      </c>
      <c r="AB1974" s="306">
        <f t="shared" si="518"/>
        <v>0</v>
      </c>
      <c r="AC1974" s="305">
        <f>+IF(X1974=0,0,HLOOKUP(YEAR(X1974)+(MONTH(X1974)/100),TC!$5:$37,DAY(X1974)+2,FALSE))</f>
        <v>0</v>
      </c>
      <c r="AD1974" s="307">
        <f t="shared" si="519"/>
        <v>0</v>
      </c>
      <c r="AE1974" s="314">
        <f t="shared" si="520"/>
        <v>0</v>
      </c>
      <c r="AF1974" s="315">
        <f t="shared" si="521"/>
        <v>0</v>
      </c>
      <c r="AG1974" s="316">
        <f t="shared" si="522"/>
        <v>0</v>
      </c>
      <c r="AH1974" s="314">
        <v>1</v>
      </c>
      <c r="AI1974" s="314">
        <f t="shared" si="523"/>
        <v>0</v>
      </c>
      <c r="AJ1974" s="314">
        <f t="shared" si="524"/>
        <v>0</v>
      </c>
      <c r="AK1974" s="317"/>
      <c r="AL1974" s="315">
        <f t="shared" si="525"/>
        <v>0</v>
      </c>
      <c r="AN1974" s="554">
        <f t="shared" si="526"/>
        <v>0</v>
      </c>
      <c r="AO1974" s="314"/>
      <c r="AP1974" s="318"/>
    </row>
    <row r="1975" spans="2:42">
      <c r="B1975" s="296"/>
      <c r="C1975" s="299"/>
      <c r="D1975" s="298"/>
      <c r="E1975" s="299"/>
      <c r="F1975" s="299"/>
      <c r="G1975" s="300"/>
      <c r="H1975" s="303"/>
      <c r="I1975" s="301">
        <f t="shared" si="510"/>
        <v>0</v>
      </c>
      <c r="J1975" s="302">
        <f t="shared" si="511"/>
        <v>0</v>
      </c>
      <c r="K1975" s="304">
        <f t="shared" si="512"/>
        <v>0</v>
      </c>
      <c r="L1975" s="305">
        <f>IF(H1975=0,0,IF(OR(E1975=$AT$5,E1975=$AT$6),AA1975,IF(F1975="MXN",1/HLOOKUP(YEAR(G1975)+(MONTH(G1975)/100),TC!$5:$37,DAY(G1975)+2,FALSE),VLOOKUP(F1975,Equivalencia!$5:$23,((MAX(Equivalencia!$3:$3)-YEAR(G1975))*14)+MONTH(G1975)+2,FALSE))))</f>
        <v>0</v>
      </c>
      <c r="M1975" s="306">
        <f t="shared" si="513"/>
        <v>0</v>
      </c>
      <c r="N1975" s="305">
        <f>IF(G1975=0,0,(IF(OR(E1975=$AT$5,E1975=$AT$6),AC1975,HLOOKUP(YEAR(G1975)+(MONTH(G1975)/100),TC!$5:$37,DAY(G1975)+2,FALSE))))</f>
        <v>0</v>
      </c>
      <c r="O1975" s="307">
        <f t="shared" si="514"/>
        <v>0</v>
      </c>
      <c r="P1975" s="560">
        <f>IF(G1975=0,0,VLOOKUP(YEAR(G1975),INPC!$B$4:$P$30,MONTH(G1975)+2))</f>
        <v>0</v>
      </c>
      <c r="Q1975" s="560">
        <f>IF(X1975=0,0,IF(OR(E1975=$AT$10,E1975=$AT$9),VLOOKUP(YEAR(X1975),INPC!$B$4:$P$30,MONTH(X1975)+1),VLOOKUP(YEAR(X1975),INPC!$B$4:$P$30,MONTH(X1975)+2,0)))</f>
        <v>0</v>
      </c>
      <c r="R1975" s="309">
        <f t="shared" si="515"/>
        <v>0</v>
      </c>
      <c r="S1975" s="310">
        <f t="shared" si="516"/>
        <v>0</v>
      </c>
      <c r="T1975" s="555">
        <f t="shared" si="517"/>
        <v>0</v>
      </c>
      <c r="U1975" s="311"/>
      <c r="V1975" s="312"/>
      <c r="W1975" s="299"/>
      <c r="X1975" s="300"/>
      <c r="Y1975" s="299"/>
      <c r="Z1975" s="303"/>
      <c r="AA1975" s="305">
        <f>IF(Z1975=0,0,IF(Y1975="MXN",1/HLOOKUP(YEAR(X1975)+(MONTH(X1975)/100),TC!$5:$37,DAY(X1975)+2,FALSE),VLOOKUP(Y1975,Equivalencia!$1:$23,((MAX(Equivalencia!$3:$3)-YEAR(X1975))*14)+MONTH(X1975)+2,FALSE)))</f>
        <v>0</v>
      </c>
      <c r="AB1975" s="306">
        <f t="shared" si="518"/>
        <v>0</v>
      </c>
      <c r="AC1975" s="305">
        <f>+IF(X1975=0,0,HLOOKUP(YEAR(X1975)+(MONTH(X1975)/100),TC!$5:$37,DAY(X1975)+2,FALSE))</f>
        <v>0</v>
      </c>
      <c r="AD1975" s="307">
        <f t="shared" si="519"/>
        <v>0</v>
      </c>
      <c r="AE1975" s="314">
        <f t="shared" si="520"/>
        <v>0</v>
      </c>
      <c r="AF1975" s="315">
        <f t="shared" si="521"/>
        <v>0</v>
      </c>
      <c r="AG1975" s="316">
        <f t="shared" si="522"/>
        <v>0</v>
      </c>
      <c r="AH1975" s="314">
        <v>1</v>
      </c>
      <c r="AI1975" s="314">
        <f t="shared" si="523"/>
        <v>0</v>
      </c>
      <c r="AJ1975" s="314">
        <f t="shared" si="524"/>
        <v>0</v>
      </c>
      <c r="AK1975" s="317"/>
      <c r="AL1975" s="315">
        <f t="shared" si="525"/>
        <v>0</v>
      </c>
      <c r="AN1975" s="554">
        <f t="shared" si="526"/>
        <v>0</v>
      </c>
      <c r="AO1975" s="314"/>
      <c r="AP1975" s="318"/>
    </row>
    <row r="1976" spans="2:42">
      <c r="B1976" s="296"/>
      <c r="C1976" s="299"/>
      <c r="D1976" s="298"/>
      <c r="E1976" s="299"/>
      <c r="F1976" s="299"/>
      <c r="G1976" s="300"/>
      <c r="H1976" s="303"/>
      <c r="I1976" s="301">
        <f t="shared" si="510"/>
        <v>0</v>
      </c>
      <c r="J1976" s="302">
        <f t="shared" si="511"/>
        <v>0</v>
      </c>
      <c r="K1976" s="304">
        <f t="shared" si="512"/>
        <v>0</v>
      </c>
      <c r="L1976" s="305">
        <f>IF(H1976=0,0,IF(OR(E1976=$AT$5,E1976=$AT$6),AA1976,IF(F1976="MXN",1/HLOOKUP(YEAR(G1976)+(MONTH(G1976)/100),TC!$5:$37,DAY(G1976)+2,FALSE),VLOOKUP(F1976,Equivalencia!$5:$23,((MAX(Equivalencia!$3:$3)-YEAR(G1976))*14)+MONTH(G1976)+2,FALSE))))</f>
        <v>0</v>
      </c>
      <c r="M1976" s="306">
        <f t="shared" si="513"/>
        <v>0</v>
      </c>
      <c r="N1976" s="305">
        <f>IF(G1976=0,0,(IF(OR(E1976=$AT$5,E1976=$AT$6),AC1976,HLOOKUP(YEAR(G1976)+(MONTH(G1976)/100),TC!$5:$37,DAY(G1976)+2,FALSE))))</f>
        <v>0</v>
      </c>
      <c r="O1976" s="307">
        <f t="shared" si="514"/>
        <v>0</v>
      </c>
      <c r="P1976" s="560">
        <f>IF(G1976=0,0,VLOOKUP(YEAR(G1976),INPC!$B$4:$P$30,MONTH(G1976)+2))</f>
        <v>0</v>
      </c>
      <c r="Q1976" s="560">
        <f>IF(X1976=0,0,IF(OR(E1976=$AT$10,E1976=$AT$9),VLOOKUP(YEAR(X1976),INPC!$B$4:$P$30,MONTH(X1976)+1),VLOOKUP(YEAR(X1976),INPC!$B$4:$P$30,MONTH(X1976)+2,0)))</f>
        <v>0</v>
      </c>
      <c r="R1976" s="309">
        <f t="shared" si="515"/>
        <v>0</v>
      </c>
      <c r="S1976" s="310">
        <f t="shared" si="516"/>
        <v>0</v>
      </c>
      <c r="T1976" s="555">
        <f t="shared" si="517"/>
        <v>0</v>
      </c>
      <c r="U1976" s="311"/>
      <c r="V1976" s="312"/>
      <c r="W1976" s="299"/>
      <c r="X1976" s="300"/>
      <c r="Y1976" s="299"/>
      <c r="Z1976" s="303"/>
      <c r="AA1976" s="305">
        <f>IF(Z1976=0,0,IF(Y1976="MXN",1/HLOOKUP(YEAR(X1976)+(MONTH(X1976)/100),TC!$5:$37,DAY(X1976)+2,FALSE),VLOOKUP(Y1976,Equivalencia!$1:$23,((MAX(Equivalencia!$3:$3)-YEAR(X1976))*14)+MONTH(X1976)+2,FALSE)))</f>
        <v>0</v>
      </c>
      <c r="AB1976" s="306">
        <f t="shared" si="518"/>
        <v>0</v>
      </c>
      <c r="AC1976" s="305">
        <f>+IF(X1976=0,0,HLOOKUP(YEAR(X1976)+(MONTH(X1976)/100),TC!$5:$37,DAY(X1976)+2,FALSE))</f>
        <v>0</v>
      </c>
      <c r="AD1976" s="307">
        <f t="shared" si="519"/>
        <v>0</v>
      </c>
      <c r="AE1976" s="314">
        <f t="shared" si="520"/>
        <v>0</v>
      </c>
      <c r="AF1976" s="315">
        <f t="shared" si="521"/>
        <v>0</v>
      </c>
      <c r="AG1976" s="316">
        <f t="shared" si="522"/>
        <v>0</v>
      </c>
      <c r="AH1976" s="314">
        <v>1</v>
      </c>
      <c r="AI1976" s="314">
        <f t="shared" si="523"/>
        <v>0</v>
      </c>
      <c r="AJ1976" s="314">
        <f t="shared" si="524"/>
        <v>0</v>
      </c>
      <c r="AK1976" s="317"/>
      <c r="AL1976" s="315">
        <f t="shared" si="525"/>
        <v>0</v>
      </c>
      <c r="AN1976" s="554">
        <f t="shared" si="526"/>
        <v>0</v>
      </c>
      <c r="AO1976" s="314"/>
      <c r="AP1976" s="318"/>
    </row>
    <row r="1977" spans="2:42">
      <c r="B1977" s="296"/>
      <c r="C1977" s="299"/>
      <c r="D1977" s="298"/>
      <c r="E1977" s="299"/>
      <c r="F1977" s="299"/>
      <c r="G1977" s="300"/>
      <c r="H1977" s="303"/>
      <c r="I1977" s="301">
        <f t="shared" si="510"/>
        <v>0</v>
      </c>
      <c r="J1977" s="302">
        <f t="shared" si="511"/>
        <v>0</v>
      </c>
      <c r="K1977" s="304">
        <f t="shared" si="512"/>
        <v>0</v>
      </c>
      <c r="L1977" s="305">
        <f>IF(H1977=0,0,IF(OR(E1977=$AT$5,E1977=$AT$6),AA1977,IF(F1977="MXN",1/HLOOKUP(YEAR(G1977)+(MONTH(G1977)/100),TC!$5:$37,DAY(G1977)+2,FALSE),VLOOKUP(F1977,Equivalencia!$5:$23,((MAX(Equivalencia!$3:$3)-YEAR(G1977))*14)+MONTH(G1977)+2,FALSE))))</f>
        <v>0</v>
      </c>
      <c r="M1977" s="306">
        <f t="shared" si="513"/>
        <v>0</v>
      </c>
      <c r="N1977" s="305">
        <f>IF(G1977=0,0,(IF(OR(E1977=$AT$5,E1977=$AT$6),AC1977,HLOOKUP(YEAR(G1977)+(MONTH(G1977)/100),TC!$5:$37,DAY(G1977)+2,FALSE))))</f>
        <v>0</v>
      </c>
      <c r="O1977" s="307">
        <f t="shared" si="514"/>
        <v>0</v>
      </c>
      <c r="P1977" s="560">
        <f>IF(G1977=0,0,VLOOKUP(YEAR(G1977),INPC!$B$4:$P$30,MONTH(G1977)+2))</f>
        <v>0</v>
      </c>
      <c r="Q1977" s="560">
        <f>IF(X1977=0,0,IF(OR(E1977=$AT$10,E1977=$AT$9),VLOOKUP(YEAR(X1977),INPC!$B$4:$P$30,MONTH(X1977)+1),VLOOKUP(YEAR(X1977),INPC!$B$4:$P$30,MONTH(X1977)+2,0)))</f>
        <v>0</v>
      </c>
      <c r="R1977" s="309">
        <f t="shared" si="515"/>
        <v>0</v>
      </c>
      <c r="S1977" s="310">
        <f t="shared" si="516"/>
        <v>0</v>
      </c>
      <c r="T1977" s="555">
        <f t="shared" si="517"/>
        <v>0</v>
      </c>
      <c r="U1977" s="311"/>
      <c r="V1977" s="312"/>
      <c r="W1977" s="299"/>
      <c r="X1977" s="300"/>
      <c r="Y1977" s="299"/>
      <c r="Z1977" s="303"/>
      <c r="AA1977" s="305">
        <f>IF(Z1977=0,0,IF(Y1977="MXN",1/HLOOKUP(YEAR(X1977)+(MONTH(X1977)/100),TC!$5:$37,DAY(X1977)+2,FALSE),VLOOKUP(Y1977,Equivalencia!$1:$23,((MAX(Equivalencia!$3:$3)-YEAR(X1977))*14)+MONTH(X1977)+2,FALSE)))</f>
        <v>0</v>
      </c>
      <c r="AB1977" s="306">
        <f t="shared" si="518"/>
        <v>0</v>
      </c>
      <c r="AC1977" s="305">
        <f>+IF(X1977=0,0,HLOOKUP(YEAR(X1977)+(MONTH(X1977)/100),TC!$5:$37,DAY(X1977)+2,FALSE))</f>
        <v>0</v>
      </c>
      <c r="AD1977" s="307">
        <f t="shared" si="519"/>
        <v>0</v>
      </c>
      <c r="AE1977" s="314">
        <f t="shared" si="520"/>
        <v>0</v>
      </c>
      <c r="AF1977" s="315">
        <f t="shared" si="521"/>
        <v>0</v>
      </c>
      <c r="AG1977" s="316">
        <f t="shared" si="522"/>
        <v>0</v>
      </c>
      <c r="AH1977" s="314">
        <v>1</v>
      </c>
      <c r="AI1977" s="314">
        <f t="shared" si="523"/>
        <v>0</v>
      </c>
      <c r="AJ1977" s="314">
        <f t="shared" si="524"/>
        <v>0</v>
      </c>
      <c r="AK1977" s="317"/>
      <c r="AL1977" s="315">
        <f t="shared" si="525"/>
        <v>0</v>
      </c>
      <c r="AN1977" s="554">
        <f t="shared" si="526"/>
        <v>0</v>
      </c>
      <c r="AO1977" s="314"/>
      <c r="AP1977" s="318"/>
    </row>
    <row r="1978" spans="2:42">
      <c r="B1978" s="296"/>
      <c r="C1978" s="299"/>
      <c r="D1978" s="298"/>
      <c r="E1978" s="299"/>
      <c r="F1978" s="299"/>
      <c r="G1978" s="300"/>
      <c r="H1978" s="303"/>
      <c r="I1978" s="301">
        <f t="shared" si="510"/>
        <v>0</v>
      </c>
      <c r="J1978" s="302">
        <f t="shared" si="511"/>
        <v>0</v>
      </c>
      <c r="K1978" s="304">
        <f t="shared" si="512"/>
        <v>0</v>
      </c>
      <c r="L1978" s="305">
        <f>IF(H1978=0,0,IF(OR(E1978=$AT$5,E1978=$AT$6),AA1978,IF(F1978="MXN",1/HLOOKUP(YEAR(G1978)+(MONTH(G1978)/100),TC!$5:$37,DAY(G1978)+2,FALSE),VLOOKUP(F1978,Equivalencia!$5:$23,((MAX(Equivalencia!$3:$3)-YEAR(G1978))*14)+MONTH(G1978)+2,FALSE))))</f>
        <v>0</v>
      </c>
      <c r="M1978" s="306">
        <f t="shared" si="513"/>
        <v>0</v>
      </c>
      <c r="N1978" s="305">
        <f>IF(G1978=0,0,(IF(OR(E1978=$AT$5,E1978=$AT$6),AC1978,HLOOKUP(YEAR(G1978)+(MONTH(G1978)/100),TC!$5:$37,DAY(G1978)+2,FALSE))))</f>
        <v>0</v>
      </c>
      <c r="O1978" s="307">
        <f t="shared" si="514"/>
        <v>0</v>
      </c>
      <c r="P1978" s="560">
        <f>IF(G1978=0,0,VLOOKUP(YEAR(G1978),INPC!$B$4:$P$30,MONTH(G1978)+2))</f>
        <v>0</v>
      </c>
      <c r="Q1978" s="560">
        <f>IF(X1978=0,0,IF(OR(E1978=$AT$10,E1978=$AT$9),VLOOKUP(YEAR(X1978),INPC!$B$4:$P$30,MONTH(X1978)+1),VLOOKUP(YEAR(X1978),INPC!$B$4:$P$30,MONTH(X1978)+2,0)))</f>
        <v>0</v>
      </c>
      <c r="R1978" s="309">
        <f t="shared" si="515"/>
        <v>0</v>
      </c>
      <c r="S1978" s="310">
        <f t="shared" si="516"/>
        <v>0</v>
      </c>
      <c r="T1978" s="555">
        <f t="shared" si="517"/>
        <v>0</v>
      </c>
      <c r="U1978" s="311"/>
      <c r="V1978" s="312"/>
      <c r="W1978" s="299"/>
      <c r="X1978" s="300"/>
      <c r="Y1978" s="299"/>
      <c r="Z1978" s="303"/>
      <c r="AA1978" s="305">
        <f>IF(Z1978=0,0,IF(Y1978="MXN",1/HLOOKUP(YEAR(X1978)+(MONTH(X1978)/100),TC!$5:$37,DAY(X1978)+2,FALSE),VLOOKUP(Y1978,Equivalencia!$1:$23,((MAX(Equivalencia!$3:$3)-YEAR(X1978))*14)+MONTH(X1978)+2,FALSE)))</f>
        <v>0</v>
      </c>
      <c r="AB1978" s="306">
        <f t="shared" si="518"/>
        <v>0</v>
      </c>
      <c r="AC1978" s="305">
        <f>+IF(X1978=0,0,HLOOKUP(YEAR(X1978)+(MONTH(X1978)/100),TC!$5:$37,DAY(X1978)+2,FALSE))</f>
        <v>0</v>
      </c>
      <c r="AD1978" s="307">
        <f t="shared" si="519"/>
        <v>0</v>
      </c>
      <c r="AE1978" s="314">
        <f t="shared" si="520"/>
        <v>0</v>
      </c>
      <c r="AF1978" s="315">
        <f t="shared" si="521"/>
        <v>0</v>
      </c>
      <c r="AG1978" s="316">
        <f t="shared" si="522"/>
        <v>0</v>
      </c>
      <c r="AH1978" s="314">
        <v>1</v>
      </c>
      <c r="AI1978" s="314">
        <f t="shared" si="523"/>
        <v>0</v>
      </c>
      <c r="AJ1978" s="314">
        <f t="shared" si="524"/>
        <v>0</v>
      </c>
      <c r="AK1978" s="317"/>
      <c r="AL1978" s="315">
        <f t="shared" si="525"/>
        <v>0</v>
      </c>
      <c r="AN1978" s="554">
        <f t="shared" si="526"/>
        <v>0</v>
      </c>
      <c r="AO1978" s="314"/>
      <c r="AP1978" s="318"/>
    </row>
    <row r="1979" spans="2:42">
      <c r="B1979" s="296"/>
      <c r="C1979" s="299"/>
      <c r="D1979" s="298"/>
      <c r="E1979" s="299"/>
      <c r="F1979" s="299"/>
      <c r="G1979" s="300"/>
      <c r="H1979" s="303"/>
      <c r="I1979" s="301">
        <f t="shared" si="510"/>
        <v>0</v>
      </c>
      <c r="J1979" s="302">
        <f t="shared" si="511"/>
        <v>0</v>
      </c>
      <c r="K1979" s="304">
        <f t="shared" si="512"/>
        <v>0</v>
      </c>
      <c r="L1979" s="305">
        <f>IF(H1979=0,0,IF(OR(E1979=$AT$5,E1979=$AT$6),AA1979,IF(F1979="MXN",1/HLOOKUP(YEAR(G1979)+(MONTH(G1979)/100),TC!$5:$37,DAY(G1979)+2,FALSE),VLOOKUP(F1979,Equivalencia!$5:$23,((MAX(Equivalencia!$3:$3)-YEAR(G1979))*14)+MONTH(G1979)+2,FALSE))))</f>
        <v>0</v>
      </c>
      <c r="M1979" s="306">
        <f t="shared" si="513"/>
        <v>0</v>
      </c>
      <c r="N1979" s="305">
        <f>IF(G1979=0,0,(IF(OR(E1979=$AT$5,E1979=$AT$6),AC1979,HLOOKUP(YEAR(G1979)+(MONTH(G1979)/100),TC!$5:$37,DAY(G1979)+2,FALSE))))</f>
        <v>0</v>
      </c>
      <c r="O1979" s="307">
        <f t="shared" si="514"/>
        <v>0</v>
      </c>
      <c r="P1979" s="560">
        <f>IF(G1979=0,0,VLOOKUP(YEAR(G1979),INPC!$B$4:$P$30,MONTH(G1979)+2))</f>
        <v>0</v>
      </c>
      <c r="Q1979" s="560">
        <f>IF(X1979=0,0,IF(OR(E1979=$AT$10,E1979=$AT$9),VLOOKUP(YEAR(X1979),INPC!$B$4:$P$30,MONTH(X1979)+1),VLOOKUP(YEAR(X1979),INPC!$B$4:$P$30,MONTH(X1979)+2,0)))</f>
        <v>0</v>
      </c>
      <c r="R1979" s="309">
        <f t="shared" si="515"/>
        <v>0</v>
      </c>
      <c r="S1979" s="310">
        <f t="shared" si="516"/>
        <v>0</v>
      </c>
      <c r="T1979" s="555">
        <f t="shared" si="517"/>
        <v>0</v>
      </c>
      <c r="U1979" s="311"/>
      <c r="V1979" s="312"/>
      <c r="W1979" s="299"/>
      <c r="X1979" s="300"/>
      <c r="Y1979" s="299"/>
      <c r="Z1979" s="303"/>
      <c r="AA1979" s="305">
        <f>IF(Z1979=0,0,IF(Y1979="MXN",1/HLOOKUP(YEAR(X1979)+(MONTH(X1979)/100),TC!$5:$37,DAY(X1979)+2,FALSE),VLOOKUP(Y1979,Equivalencia!$1:$23,((MAX(Equivalencia!$3:$3)-YEAR(X1979))*14)+MONTH(X1979)+2,FALSE)))</f>
        <v>0</v>
      </c>
      <c r="AB1979" s="306">
        <f t="shared" si="518"/>
        <v>0</v>
      </c>
      <c r="AC1979" s="305">
        <f>+IF(X1979=0,0,HLOOKUP(YEAR(X1979)+(MONTH(X1979)/100),TC!$5:$37,DAY(X1979)+2,FALSE))</f>
        <v>0</v>
      </c>
      <c r="AD1979" s="307">
        <f t="shared" si="519"/>
        <v>0</v>
      </c>
      <c r="AE1979" s="314">
        <f t="shared" si="520"/>
        <v>0</v>
      </c>
      <c r="AF1979" s="315">
        <f t="shared" si="521"/>
        <v>0</v>
      </c>
      <c r="AG1979" s="316">
        <f t="shared" si="522"/>
        <v>0</v>
      </c>
      <c r="AH1979" s="314">
        <v>1</v>
      </c>
      <c r="AI1979" s="314">
        <f t="shared" si="523"/>
        <v>0</v>
      </c>
      <c r="AJ1979" s="314">
        <f t="shared" si="524"/>
        <v>0</v>
      </c>
      <c r="AK1979" s="317"/>
      <c r="AL1979" s="315">
        <f t="shared" si="525"/>
        <v>0</v>
      </c>
      <c r="AN1979" s="554">
        <f t="shared" si="526"/>
        <v>0</v>
      </c>
      <c r="AO1979" s="314"/>
      <c r="AP1979" s="318"/>
    </row>
    <row r="1980" spans="2:42">
      <c r="B1980" s="296"/>
      <c r="C1980" s="299"/>
      <c r="D1980" s="298"/>
      <c r="E1980" s="299"/>
      <c r="F1980" s="299"/>
      <c r="G1980" s="300"/>
      <c r="H1980" s="303"/>
      <c r="I1980" s="301">
        <f t="shared" ref="I1980:I2043" si="527">IF(D1980=0,0,IF(OR(E1980=$AT$9,E1980=$AT$10),"Ingresos Sección II LISR (SIC &amp; BMV)","Ingresos Sección I LISR"))</f>
        <v>0</v>
      </c>
      <c r="J1980" s="302">
        <f t="shared" ref="J1980:J2043" si="528">+V1980</f>
        <v>0</v>
      </c>
      <c r="K1980" s="304">
        <f t="shared" ref="K1980:K2043" si="529">IF(H1980=0,0,H1980/J1980)</f>
        <v>0</v>
      </c>
      <c r="L1980" s="305">
        <f>IF(H1980=0,0,IF(OR(E1980=$AT$5,E1980=$AT$6),AA1980,IF(F1980="MXN",1/HLOOKUP(YEAR(G1980)+(MONTH(G1980)/100),TC!$5:$37,DAY(G1980)+2,FALSE),VLOOKUP(F1980,Equivalencia!$5:$23,((MAX(Equivalencia!$3:$3)-YEAR(G1980))*14)+MONTH(G1980)+2,FALSE))))</f>
        <v>0</v>
      </c>
      <c r="M1980" s="306">
        <f t="shared" ref="M1980:M2043" si="530">+H1980*L1980</f>
        <v>0</v>
      </c>
      <c r="N1980" s="305">
        <f>IF(G1980=0,0,(IF(OR(E1980=$AT$5,E1980=$AT$6),AC1980,HLOOKUP(YEAR(G1980)+(MONTH(G1980)/100),TC!$5:$37,DAY(G1980)+2,FALSE))))</f>
        <v>0</v>
      </c>
      <c r="O1980" s="307">
        <f t="shared" ref="O1980:O2043" si="531">+M1980*N1980</f>
        <v>0</v>
      </c>
      <c r="P1980" s="560">
        <f>IF(G1980=0,0,VLOOKUP(YEAR(G1980),INPC!$B$4:$P$30,MONTH(G1980)+2))</f>
        <v>0</v>
      </c>
      <c r="Q1980" s="560">
        <f>IF(X1980=0,0,IF(OR(E1980=$AT$10,E1980=$AT$9),VLOOKUP(YEAR(X1980),INPC!$B$4:$P$30,MONTH(X1980)+1),VLOOKUP(YEAR(X1980),INPC!$B$4:$P$30,MONTH(X1980)+2,0)))</f>
        <v>0</v>
      </c>
      <c r="R1980" s="309">
        <f t="shared" ref="R1980:R2043" si="532">IF(H1980=0,0,IF(OR(E1980=$AT$5,E1980=$AT$6),1,IF(TRUNC(Q1980/P1980,4)&gt;=1,TRUNC(Q1980/P1980,4),1)))</f>
        <v>0</v>
      </c>
      <c r="S1980" s="310">
        <f t="shared" ref="S1980:S2043" si="533">+R1980*O1980</f>
        <v>0</v>
      </c>
      <c r="T1980" s="555">
        <f t="shared" ref="T1980:T2043" si="534">IF(V1980=0,0,S1980/V1980)</f>
        <v>0</v>
      </c>
      <c r="U1980" s="311"/>
      <c r="V1980" s="312"/>
      <c r="W1980" s="299"/>
      <c r="X1980" s="300"/>
      <c r="Y1980" s="299"/>
      <c r="Z1980" s="303"/>
      <c r="AA1980" s="305">
        <f>IF(Z1980=0,0,IF(Y1980="MXN",1/HLOOKUP(YEAR(X1980)+(MONTH(X1980)/100),TC!$5:$37,DAY(X1980)+2,FALSE),VLOOKUP(Y1980,Equivalencia!$1:$23,((MAX(Equivalencia!$3:$3)-YEAR(X1980))*14)+MONTH(X1980)+2,FALSE)))</f>
        <v>0</v>
      </c>
      <c r="AB1980" s="306">
        <f t="shared" ref="AB1980:AB2043" si="535">+AA1980*Z1980</f>
        <v>0</v>
      </c>
      <c r="AC1980" s="305">
        <f>+IF(X1980=0,0,HLOOKUP(YEAR(X1980)+(MONTH(X1980)/100),TC!$5:$37,DAY(X1980)+2,FALSE))</f>
        <v>0</v>
      </c>
      <c r="AD1980" s="307">
        <f t="shared" ref="AD1980:AD2043" si="536">+AC1980*AB1980</f>
        <v>0</v>
      </c>
      <c r="AE1980" s="314">
        <f t="shared" ref="AE1980:AE2043" si="537">+V1980*T1980</f>
        <v>0</v>
      </c>
      <c r="AF1980" s="315">
        <f t="shared" ref="AF1980:AF2043" si="538">IF(E1980=$AT$11,0,AD1980-AE1980)</f>
        <v>0</v>
      </c>
      <c r="AG1980" s="316">
        <f t="shared" ref="AG1980:AG2043" si="539">+IF(AND(AF1980&lt;0,OR(E1980=$AT$5,E1980=$AT$6)),1,((X1980-G1980)/365))</f>
        <v>0</v>
      </c>
      <c r="AH1980" s="314">
        <v>1</v>
      </c>
      <c r="AI1980" s="314">
        <f t="shared" ref="AI1980:AI2043" si="540">+IF(OR(E1980=$AT$9,E1980=$AT$10),AF1980,+AF1980/AH1980)</f>
        <v>0</v>
      </c>
      <c r="AJ1980" s="314">
        <f t="shared" ref="AJ1980:AJ2043" si="541">+AF1980-AI1980</f>
        <v>0</v>
      </c>
      <c r="AK1980" s="317"/>
      <c r="AL1980" s="315">
        <f t="shared" ref="AL1980:AL2043" si="542">+AB1980-M1980</f>
        <v>0</v>
      </c>
      <c r="AN1980" s="554">
        <f t="shared" ref="AN1980:AN2043" si="543">IF(AL1980=0,0,AL1980/H1980)</f>
        <v>0</v>
      </c>
      <c r="AO1980" s="314"/>
      <c r="AP1980" s="318"/>
    </row>
    <row r="1981" spans="2:42">
      <c r="B1981" s="296"/>
      <c r="C1981" s="299"/>
      <c r="D1981" s="298"/>
      <c r="E1981" s="299"/>
      <c r="F1981" s="299"/>
      <c r="G1981" s="300"/>
      <c r="H1981" s="303"/>
      <c r="I1981" s="301">
        <f t="shared" si="527"/>
        <v>0</v>
      </c>
      <c r="J1981" s="302">
        <f t="shared" si="528"/>
        <v>0</v>
      </c>
      <c r="K1981" s="304">
        <f t="shared" si="529"/>
        <v>0</v>
      </c>
      <c r="L1981" s="305">
        <f>IF(H1981=0,0,IF(OR(E1981=$AT$5,E1981=$AT$6),AA1981,IF(F1981="MXN",1/HLOOKUP(YEAR(G1981)+(MONTH(G1981)/100),TC!$5:$37,DAY(G1981)+2,FALSE),VLOOKUP(F1981,Equivalencia!$5:$23,((MAX(Equivalencia!$3:$3)-YEAR(G1981))*14)+MONTH(G1981)+2,FALSE))))</f>
        <v>0</v>
      </c>
      <c r="M1981" s="306">
        <f t="shared" si="530"/>
        <v>0</v>
      </c>
      <c r="N1981" s="305">
        <f>IF(G1981=0,0,(IF(OR(E1981=$AT$5,E1981=$AT$6),AC1981,HLOOKUP(YEAR(G1981)+(MONTH(G1981)/100),TC!$5:$37,DAY(G1981)+2,FALSE))))</f>
        <v>0</v>
      </c>
      <c r="O1981" s="307">
        <f t="shared" si="531"/>
        <v>0</v>
      </c>
      <c r="P1981" s="560">
        <f>IF(G1981=0,0,VLOOKUP(YEAR(G1981),INPC!$B$4:$P$30,MONTH(G1981)+2))</f>
        <v>0</v>
      </c>
      <c r="Q1981" s="560">
        <f>IF(X1981=0,0,IF(OR(E1981=$AT$10,E1981=$AT$9),VLOOKUP(YEAR(X1981),INPC!$B$4:$P$30,MONTH(X1981)+1),VLOOKUP(YEAR(X1981),INPC!$B$4:$P$30,MONTH(X1981)+2,0)))</f>
        <v>0</v>
      </c>
      <c r="R1981" s="309">
        <f t="shared" si="532"/>
        <v>0</v>
      </c>
      <c r="S1981" s="310">
        <f t="shared" si="533"/>
        <v>0</v>
      </c>
      <c r="T1981" s="555">
        <f t="shared" si="534"/>
        <v>0</v>
      </c>
      <c r="U1981" s="311"/>
      <c r="V1981" s="312"/>
      <c r="W1981" s="299"/>
      <c r="X1981" s="300"/>
      <c r="Y1981" s="299"/>
      <c r="Z1981" s="303"/>
      <c r="AA1981" s="305">
        <f>IF(Z1981=0,0,IF(Y1981="MXN",1/HLOOKUP(YEAR(X1981)+(MONTH(X1981)/100),TC!$5:$37,DAY(X1981)+2,FALSE),VLOOKUP(Y1981,Equivalencia!$1:$23,((MAX(Equivalencia!$3:$3)-YEAR(X1981))*14)+MONTH(X1981)+2,FALSE)))</f>
        <v>0</v>
      </c>
      <c r="AB1981" s="306">
        <f t="shared" si="535"/>
        <v>0</v>
      </c>
      <c r="AC1981" s="305">
        <f>+IF(X1981=0,0,HLOOKUP(YEAR(X1981)+(MONTH(X1981)/100),TC!$5:$37,DAY(X1981)+2,FALSE))</f>
        <v>0</v>
      </c>
      <c r="AD1981" s="307">
        <f t="shared" si="536"/>
        <v>0</v>
      </c>
      <c r="AE1981" s="314">
        <f t="shared" si="537"/>
        <v>0</v>
      </c>
      <c r="AF1981" s="315">
        <f t="shared" si="538"/>
        <v>0</v>
      </c>
      <c r="AG1981" s="316">
        <f t="shared" si="539"/>
        <v>0</v>
      </c>
      <c r="AH1981" s="314">
        <v>1</v>
      </c>
      <c r="AI1981" s="314">
        <f t="shared" si="540"/>
        <v>0</v>
      </c>
      <c r="AJ1981" s="314">
        <f t="shared" si="541"/>
        <v>0</v>
      </c>
      <c r="AK1981" s="317"/>
      <c r="AL1981" s="315">
        <f t="shared" si="542"/>
        <v>0</v>
      </c>
      <c r="AN1981" s="554">
        <f t="shared" si="543"/>
        <v>0</v>
      </c>
      <c r="AO1981" s="314"/>
      <c r="AP1981" s="318"/>
    </row>
    <row r="1982" spans="2:42">
      <c r="B1982" s="296"/>
      <c r="C1982" s="299"/>
      <c r="D1982" s="298"/>
      <c r="E1982" s="299"/>
      <c r="F1982" s="299"/>
      <c r="G1982" s="300"/>
      <c r="H1982" s="303"/>
      <c r="I1982" s="301">
        <f t="shared" si="527"/>
        <v>0</v>
      </c>
      <c r="J1982" s="302">
        <f t="shared" si="528"/>
        <v>0</v>
      </c>
      <c r="K1982" s="304">
        <f t="shared" si="529"/>
        <v>0</v>
      </c>
      <c r="L1982" s="305">
        <f>IF(H1982=0,0,IF(OR(E1982=$AT$5,E1982=$AT$6),AA1982,IF(F1982="MXN",1/HLOOKUP(YEAR(G1982)+(MONTH(G1982)/100),TC!$5:$37,DAY(G1982)+2,FALSE),VLOOKUP(F1982,Equivalencia!$5:$23,((MAX(Equivalencia!$3:$3)-YEAR(G1982))*14)+MONTH(G1982)+2,FALSE))))</f>
        <v>0</v>
      </c>
      <c r="M1982" s="306">
        <f t="shared" si="530"/>
        <v>0</v>
      </c>
      <c r="N1982" s="305">
        <f>IF(G1982=0,0,(IF(OR(E1982=$AT$5,E1982=$AT$6),AC1982,HLOOKUP(YEAR(G1982)+(MONTH(G1982)/100),TC!$5:$37,DAY(G1982)+2,FALSE))))</f>
        <v>0</v>
      </c>
      <c r="O1982" s="307">
        <f t="shared" si="531"/>
        <v>0</v>
      </c>
      <c r="P1982" s="560">
        <f>IF(G1982=0,0,VLOOKUP(YEAR(G1982),INPC!$B$4:$P$30,MONTH(G1982)+2))</f>
        <v>0</v>
      </c>
      <c r="Q1982" s="560">
        <f>IF(X1982=0,0,IF(OR(E1982=$AT$10,E1982=$AT$9),VLOOKUP(YEAR(X1982),INPC!$B$4:$P$30,MONTH(X1982)+1),VLOOKUP(YEAR(X1982),INPC!$B$4:$P$30,MONTH(X1982)+2,0)))</f>
        <v>0</v>
      </c>
      <c r="R1982" s="309">
        <f t="shared" si="532"/>
        <v>0</v>
      </c>
      <c r="S1982" s="310">
        <f t="shared" si="533"/>
        <v>0</v>
      </c>
      <c r="T1982" s="555">
        <f t="shared" si="534"/>
        <v>0</v>
      </c>
      <c r="U1982" s="311"/>
      <c r="V1982" s="312"/>
      <c r="W1982" s="299"/>
      <c r="X1982" s="300"/>
      <c r="Y1982" s="299"/>
      <c r="Z1982" s="303"/>
      <c r="AA1982" s="305">
        <f>IF(Z1982=0,0,IF(Y1982="MXN",1/HLOOKUP(YEAR(X1982)+(MONTH(X1982)/100),TC!$5:$37,DAY(X1982)+2,FALSE),VLOOKUP(Y1982,Equivalencia!$1:$23,((MAX(Equivalencia!$3:$3)-YEAR(X1982))*14)+MONTH(X1982)+2,FALSE)))</f>
        <v>0</v>
      </c>
      <c r="AB1982" s="306">
        <f t="shared" si="535"/>
        <v>0</v>
      </c>
      <c r="AC1982" s="305">
        <f>+IF(X1982=0,0,HLOOKUP(YEAR(X1982)+(MONTH(X1982)/100),TC!$5:$37,DAY(X1982)+2,FALSE))</f>
        <v>0</v>
      </c>
      <c r="AD1982" s="307">
        <f t="shared" si="536"/>
        <v>0</v>
      </c>
      <c r="AE1982" s="314">
        <f t="shared" si="537"/>
        <v>0</v>
      </c>
      <c r="AF1982" s="315">
        <f t="shared" si="538"/>
        <v>0</v>
      </c>
      <c r="AG1982" s="316">
        <f t="shared" si="539"/>
        <v>0</v>
      </c>
      <c r="AH1982" s="314">
        <v>1</v>
      </c>
      <c r="AI1982" s="314">
        <f t="shared" si="540"/>
        <v>0</v>
      </c>
      <c r="AJ1982" s="314">
        <f t="shared" si="541"/>
        <v>0</v>
      </c>
      <c r="AK1982" s="317"/>
      <c r="AL1982" s="315">
        <f t="shared" si="542"/>
        <v>0</v>
      </c>
      <c r="AN1982" s="554">
        <f t="shared" si="543"/>
        <v>0</v>
      </c>
      <c r="AO1982" s="314"/>
      <c r="AP1982" s="318"/>
    </row>
    <row r="1983" spans="2:42">
      <c r="B1983" s="296"/>
      <c r="C1983" s="299"/>
      <c r="D1983" s="298"/>
      <c r="E1983" s="299"/>
      <c r="F1983" s="299"/>
      <c r="G1983" s="300"/>
      <c r="H1983" s="303"/>
      <c r="I1983" s="301">
        <f t="shared" si="527"/>
        <v>0</v>
      </c>
      <c r="J1983" s="302">
        <f t="shared" si="528"/>
        <v>0</v>
      </c>
      <c r="K1983" s="304">
        <f t="shared" si="529"/>
        <v>0</v>
      </c>
      <c r="L1983" s="305">
        <f>IF(H1983=0,0,IF(OR(E1983=$AT$5,E1983=$AT$6),AA1983,IF(F1983="MXN",1/HLOOKUP(YEAR(G1983)+(MONTH(G1983)/100),TC!$5:$37,DAY(G1983)+2,FALSE),VLOOKUP(F1983,Equivalencia!$5:$23,((MAX(Equivalencia!$3:$3)-YEAR(G1983))*14)+MONTH(G1983)+2,FALSE))))</f>
        <v>0</v>
      </c>
      <c r="M1983" s="306">
        <f t="shared" si="530"/>
        <v>0</v>
      </c>
      <c r="N1983" s="305">
        <f>IF(G1983=0,0,(IF(OR(E1983=$AT$5,E1983=$AT$6),AC1983,HLOOKUP(YEAR(G1983)+(MONTH(G1983)/100),TC!$5:$37,DAY(G1983)+2,FALSE))))</f>
        <v>0</v>
      </c>
      <c r="O1983" s="307">
        <f t="shared" si="531"/>
        <v>0</v>
      </c>
      <c r="P1983" s="560">
        <f>IF(G1983=0,0,VLOOKUP(YEAR(G1983),INPC!$B$4:$P$30,MONTH(G1983)+2))</f>
        <v>0</v>
      </c>
      <c r="Q1983" s="560">
        <f>IF(X1983=0,0,IF(OR(E1983=$AT$10,E1983=$AT$9),VLOOKUP(YEAR(X1983),INPC!$B$4:$P$30,MONTH(X1983)+1),VLOOKUP(YEAR(X1983),INPC!$B$4:$P$30,MONTH(X1983)+2,0)))</f>
        <v>0</v>
      </c>
      <c r="R1983" s="309">
        <f t="shared" si="532"/>
        <v>0</v>
      </c>
      <c r="S1983" s="310">
        <f t="shared" si="533"/>
        <v>0</v>
      </c>
      <c r="T1983" s="555">
        <f t="shared" si="534"/>
        <v>0</v>
      </c>
      <c r="U1983" s="311"/>
      <c r="V1983" s="312"/>
      <c r="W1983" s="299"/>
      <c r="X1983" s="300"/>
      <c r="Y1983" s="299"/>
      <c r="Z1983" s="303"/>
      <c r="AA1983" s="305">
        <f>IF(Z1983=0,0,IF(Y1983="MXN",1/HLOOKUP(YEAR(X1983)+(MONTH(X1983)/100),TC!$5:$37,DAY(X1983)+2,FALSE),VLOOKUP(Y1983,Equivalencia!$1:$23,((MAX(Equivalencia!$3:$3)-YEAR(X1983))*14)+MONTH(X1983)+2,FALSE)))</f>
        <v>0</v>
      </c>
      <c r="AB1983" s="306">
        <f t="shared" si="535"/>
        <v>0</v>
      </c>
      <c r="AC1983" s="305">
        <f>+IF(X1983=0,0,HLOOKUP(YEAR(X1983)+(MONTH(X1983)/100),TC!$5:$37,DAY(X1983)+2,FALSE))</f>
        <v>0</v>
      </c>
      <c r="AD1983" s="307">
        <f t="shared" si="536"/>
        <v>0</v>
      </c>
      <c r="AE1983" s="314">
        <f t="shared" si="537"/>
        <v>0</v>
      </c>
      <c r="AF1983" s="315">
        <f t="shared" si="538"/>
        <v>0</v>
      </c>
      <c r="AG1983" s="316">
        <f t="shared" si="539"/>
        <v>0</v>
      </c>
      <c r="AH1983" s="314">
        <v>1</v>
      </c>
      <c r="AI1983" s="314">
        <f t="shared" si="540"/>
        <v>0</v>
      </c>
      <c r="AJ1983" s="314">
        <f t="shared" si="541"/>
        <v>0</v>
      </c>
      <c r="AK1983" s="317"/>
      <c r="AL1983" s="315">
        <f t="shared" si="542"/>
        <v>0</v>
      </c>
      <c r="AN1983" s="554">
        <f t="shared" si="543"/>
        <v>0</v>
      </c>
      <c r="AO1983" s="314"/>
      <c r="AP1983" s="318"/>
    </row>
    <row r="1984" spans="2:42">
      <c r="B1984" s="296"/>
      <c r="C1984" s="299"/>
      <c r="D1984" s="298"/>
      <c r="E1984" s="299"/>
      <c r="F1984" s="299"/>
      <c r="G1984" s="300"/>
      <c r="H1984" s="303"/>
      <c r="I1984" s="301">
        <f t="shared" si="527"/>
        <v>0</v>
      </c>
      <c r="J1984" s="302">
        <f t="shared" si="528"/>
        <v>0</v>
      </c>
      <c r="K1984" s="304">
        <f t="shared" si="529"/>
        <v>0</v>
      </c>
      <c r="L1984" s="305">
        <f>IF(H1984=0,0,IF(OR(E1984=$AT$5,E1984=$AT$6),AA1984,IF(F1984="MXN",1/HLOOKUP(YEAR(G1984)+(MONTH(G1984)/100),TC!$5:$37,DAY(G1984)+2,FALSE),VLOOKUP(F1984,Equivalencia!$5:$23,((MAX(Equivalencia!$3:$3)-YEAR(G1984))*14)+MONTH(G1984)+2,FALSE))))</f>
        <v>0</v>
      </c>
      <c r="M1984" s="306">
        <f t="shared" si="530"/>
        <v>0</v>
      </c>
      <c r="N1984" s="305">
        <f>IF(G1984=0,0,(IF(OR(E1984=$AT$5,E1984=$AT$6),AC1984,HLOOKUP(YEAR(G1984)+(MONTH(G1984)/100),TC!$5:$37,DAY(G1984)+2,FALSE))))</f>
        <v>0</v>
      </c>
      <c r="O1984" s="307">
        <f t="shared" si="531"/>
        <v>0</v>
      </c>
      <c r="P1984" s="560">
        <f>IF(G1984=0,0,VLOOKUP(YEAR(G1984),INPC!$B$4:$P$30,MONTH(G1984)+2))</f>
        <v>0</v>
      </c>
      <c r="Q1984" s="560">
        <f>IF(X1984=0,0,IF(OR(E1984=$AT$10,E1984=$AT$9),VLOOKUP(YEAR(X1984),INPC!$B$4:$P$30,MONTH(X1984)+1),VLOOKUP(YEAR(X1984),INPC!$B$4:$P$30,MONTH(X1984)+2,0)))</f>
        <v>0</v>
      </c>
      <c r="R1984" s="309">
        <f t="shared" si="532"/>
        <v>0</v>
      </c>
      <c r="S1984" s="310">
        <f t="shared" si="533"/>
        <v>0</v>
      </c>
      <c r="T1984" s="555">
        <f t="shared" si="534"/>
        <v>0</v>
      </c>
      <c r="U1984" s="311"/>
      <c r="V1984" s="312"/>
      <c r="W1984" s="299"/>
      <c r="X1984" s="300"/>
      <c r="Y1984" s="299"/>
      <c r="Z1984" s="303"/>
      <c r="AA1984" s="305">
        <f>IF(Z1984=0,0,IF(Y1984="MXN",1/HLOOKUP(YEAR(X1984)+(MONTH(X1984)/100),TC!$5:$37,DAY(X1984)+2,FALSE),VLOOKUP(Y1984,Equivalencia!$1:$23,((MAX(Equivalencia!$3:$3)-YEAR(X1984))*14)+MONTH(X1984)+2,FALSE)))</f>
        <v>0</v>
      </c>
      <c r="AB1984" s="306">
        <f t="shared" si="535"/>
        <v>0</v>
      </c>
      <c r="AC1984" s="305">
        <f>+IF(X1984=0,0,HLOOKUP(YEAR(X1984)+(MONTH(X1984)/100),TC!$5:$37,DAY(X1984)+2,FALSE))</f>
        <v>0</v>
      </c>
      <c r="AD1984" s="307">
        <f t="shared" si="536"/>
        <v>0</v>
      </c>
      <c r="AE1984" s="314">
        <f t="shared" si="537"/>
        <v>0</v>
      </c>
      <c r="AF1984" s="315">
        <f t="shared" si="538"/>
        <v>0</v>
      </c>
      <c r="AG1984" s="316">
        <f t="shared" si="539"/>
        <v>0</v>
      </c>
      <c r="AH1984" s="314">
        <v>1</v>
      </c>
      <c r="AI1984" s="314">
        <f t="shared" si="540"/>
        <v>0</v>
      </c>
      <c r="AJ1984" s="314">
        <f t="shared" si="541"/>
        <v>0</v>
      </c>
      <c r="AK1984" s="317"/>
      <c r="AL1984" s="315">
        <f t="shared" si="542"/>
        <v>0</v>
      </c>
      <c r="AN1984" s="554">
        <f t="shared" si="543"/>
        <v>0</v>
      </c>
      <c r="AO1984" s="314"/>
      <c r="AP1984" s="318"/>
    </row>
    <row r="1985" spans="2:42">
      <c r="B1985" s="296"/>
      <c r="C1985" s="299"/>
      <c r="D1985" s="298"/>
      <c r="E1985" s="299"/>
      <c r="F1985" s="299"/>
      <c r="G1985" s="300"/>
      <c r="H1985" s="303"/>
      <c r="I1985" s="301">
        <f t="shared" si="527"/>
        <v>0</v>
      </c>
      <c r="J1985" s="302">
        <f t="shared" si="528"/>
        <v>0</v>
      </c>
      <c r="K1985" s="304">
        <f t="shared" si="529"/>
        <v>0</v>
      </c>
      <c r="L1985" s="305">
        <f>IF(H1985=0,0,IF(OR(E1985=$AT$5,E1985=$AT$6),AA1985,IF(F1985="MXN",1/HLOOKUP(YEAR(G1985)+(MONTH(G1985)/100),TC!$5:$37,DAY(G1985)+2,FALSE),VLOOKUP(F1985,Equivalencia!$5:$23,((MAX(Equivalencia!$3:$3)-YEAR(G1985))*14)+MONTH(G1985)+2,FALSE))))</f>
        <v>0</v>
      </c>
      <c r="M1985" s="306">
        <f t="shared" si="530"/>
        <v>0</v>
      </c>
      <c r="N1985" s="305">
        <f>IF(G1985=0,0,(IF(OR(E1985=$AT$5,E1985=$AT$6),AC1985,HLOOKUP(YEAR(G1985)+(MONTH(G1985)/100),TC!$5:$37,DAY(G1985)+2,FALSE))))</f>
        <v>0</v>
      </c>
      <c r="O1985" s="307">
        <f t="shared" si="531"/>
        <v>0</v>
      </c>
      <c r="P1985" s="560">
        <f>IF(G1985=0,0,VLOOKUP(YEAR(G1985),INPC!$B$4:$P$30,MONTH(G1985)+2))</f>
        <v>0</v>
      </c>
      <c r="Q1985" s="560">
        <f>IF(X1985=0,0,IF(OR(E1985=$AT$10,E1985=$AT$9),VLOOKUP(YEAR(X1985),INPC!$B$4:$P$30,MONTH(X1985)+1),VLOOKUP(YEAR(X1985),INPC!$B$4:$P$30,MONTH(X1985)+2,0)))</f>
        <v>0</v>
      </c>
      <c r="R1985" s="309">
        <f t="shared" si="532"/>
        <v>0</v>
      </c>
      <c r="S1985" s="310">
        <f t="shared" si="533"/>
        <v>0</v>
      </c>
      <c r="T1985" s="555">
        <f t="shared" si="534"/>
        <v>0</v>
      </c>
      <c r="U1985" s="311"/>
      <c r="V1985" s="312"/>
      <c r="W1985" s="299"/>
      <c r="X1985" s="300"/>
      <c r="Y1985" s="299"/>
      <c r="Z1985" s="303"/>
      <c r="AA1985" s="305">
        <f>IF(Z1985=0,0,IF(Y1985="MXN",1/HLOOKUP(YEAR(X1985)+(MONTH(X1985)/100),TC!$5:$37,DAY(X1985)+2,FALSE),VLOOKUP(Y1985,Equivalencia!$1:$23,((MAX(Equivalencia!$3:$3)-YEAR(X1985))*14)+MONTH(X1985)+2,FALSE)))</f>
        <v>0</v>
      </c>
      <c r="AB1985" s="306">
        <f t="shared" si="535"/>
        <v>0</v>
      </c>
      <c r="AC1985" s="305">
        <f>+IF(X1985=0,0,HLOOKUP(YEAR(X1985)+(MONTH(X1985)/100),TC!$5:$37,DAY(X1985)+2,FALSE))</f>
        <v>0</v>
      </c>
      <c r="AD1985" s="307">
        <f t="shared" si="536"/>
        <v>0</v>
      </c>
      <c r="AE1985" s="314">
        <f t="shared" si="537"/>
        <v>0</v>
      </c>
      <c r="AF1985" s="315">
        <f t="shared" si="538"/>
        <v>0</v>
      </c>
      <c r="AG1985" s="316">
        <f t="shared" si="539"/>
        <v>0</v>
      </c>
      <c r="AH1985" s="314">
        <v>1</v>
      </c>
      <c r="AI1985" s="314">
        <f t="shared" si="540"/>
        <v>0</v>
      </c>
      <c r="AJ1985" s="314">
        <f t="shared" si="541"/>
        <v>0</v>
      </c>
      <c r="AK1985" s="317"/>
      <c r="AL1985" s="315">
        <f t="shared" si="542"/>
        <v>0</v>
      </c>
      <c r="AN1985" s="554">
        <f t="shared" si="543"/>
        <v>0</v>
      </c>
      <c r="AO1985" s="314"/>
      <c r="AP1985" s="318"/>
    </row>
    <row r="1986" spans="2:42">
      <c r="B1986" s="296"/>
      <c r="C1986" s="299"/>
      <c r="D1986" s="298"/>
      <c r="E1986" s="299"/>
      <c r="F1986" s="299"/>
      <c r="G1986" s="300"/>
      <c r="H1986" s="303"/>
      <c r="I1986" s="301">
        <f t="shared" si="527"/>
        <v>0</v>
      </c>
      <c r="J1986" s="302">
        <f t="shared" si="528"/>
        <v>0</v>
      </c>
      <c r="K1986" s="304">
        <f t="shared" si="529"/>
        <v>0</v>
      </c>
      <c r="L1986" s="305">
        <f>IF(H1986=0,0,IF(OR(E1986=$AT$5,E1986=$AT$6),AA1986,IF(F1986="MXN",1/HLOOKUP(YEAR(G1986)+(MONTH(G1986)/100),TC!$5:$37,DAY(G1986)+2,FALSE),VLOOKUP(F1986,Equivalencia!$5:$23,((MAX(Equivalencia!$3:$3)-YEAR(G1986))*14)+MONTH(G1986)+2,FALSE))))</f>
        <v>0</v>
      </c>
      <c r="M1986" s="306">
        <f t="shared" si="530"/>
        <v>0</v>
      </c>
      <c r="N1986" s="305">
        <f>IF(G1986=0,0,(IF(OR(E1986=$AT$5,E1986=$AT$6),AC1986,HLOOKUP(YEAR(G1986)+(MONTH(G1986)/100),TC!$5:$37,DAY(G1986)+2,FALSE))))</f>
        <v>0</v>
      </c>
      <c r="O1986" s="307">
        <f t="shared" si="531"/>
        <v>0</v>
      </c>
      <c r="P1986" s="560">
        <f>IF(G1986=0,0,VLOOKUP(YEAR(G1986),INPC!$B$4:$P$30,MONTH(G1986)+2))</f>
        <v>0</v>
      </c>
      <c r="Q1986" s="560">
        <f>IF(X1986=0,0,IF(OR(E1986=$AT$10,E1986=$AT$9),VLOOKUP(YEAR(X1986),INPC!$B$4:$P$30,MONTH(X1986)+1),VLOOKUP(YEAR(X1986),INPC!$B$4:$P$30,MONTH(X1986)+2,0)))</f>
        <v>0</v>
      </c>
      <c r="R1986" s="309">
        <f t="shared" si="532"/>
        <v>0</v>
      </c>
      <c r="S1986" s="310">
        <f t="shared" si="533"/>
        <v>0</v>
      </c>
      <c r="T1986" s="555">
        <f t="shared" si="534"/>
        <v>0</v>
      </c>
      <c r="U1986" s="311"/>
      <c r="V1986" s="312"/>
      <c r="W1986" s="299"/>
      <c r="X1986" s="300"/>
      <c r="Y1986" s="299"/>
      <c r="Z1986" s="303"/>
      <c r="AA1986" s="305">
        <f>IF(Z1986=0,0,IF(Y1986="MXN",1/HLOOKUP(YEAR(X1986)+(MONTH(X1986)/100),TC!$5:$37,DAY(X1986)+2,FALSE),VLOOKUP(Y1986,Equivalencia!$1:$23,((MAX(Equivalencia!$3:$3)-YEAR(X1986))*14)+MONTH(X1986)+2,FALSE)))</f>
        <v>0</v>
      </c>
      <c r="AB1986" s="306">
        <f t="shared" si="535"/>
        <v>0</v>
      </c>
      <c r="AC1986" s="305">
        <f>+IF(X1986=0,0,HLOOKUP(YEAR(X1986)+(MONTH(X1986)/100),TC!$5:$37,DAY(X1986)+2,FALSE))</f>
        <v>0</v>
      </c>
      <c r="AD1986" s="307">
        <f t="shared" si="536"/>
        <v>0</v>
      </c>
      <c r="AE1986" s="314">
        <f t="shared" si="537"/>
        <v>0</v>
      </c>
      <c r="AF1986" s="315">
        <f t="shared" si="538"/>
        <v>0</v>
      </c>
      <c r="AG1986" s="316">
        <f t="shared" si="539"/>
        <v>0</v>
      </c>
      <c r="AH1986" s="314">
        <v>1</v>
      </c>
      <c r="AI1986" s="314">
        <f t="shared" si="540"/>
        <v>0</v>
      </c>
      <c r="AJ1986" s="314">
        <f t="shared" si="541"/>
        <v>0</v>
      </c>
      <c r="AK1986" s="317"/>
      <c r="AL1986" s="315">
        <f t="shared" si="542"/>
        <v>0</v>
      </c>
      <c r="AN1986" s="554">
        <f t="shared" si="543"/>
        <v>0</v>
      </c>
      <c r="AO1986" s="314"/>
      <c r="AP1986" s="318"/>
    </row>
    <row r="1987" spans="2:42">
      <c r="B1987" s="296"/>
      <c r="C1987" s="299"/>
      <c r="D1987" s="298"/>
      <c r="E1987" s="299"/>
      <c r="F1987" s="299"/>
      <c r="G1987" s="300"/>
      <c r="H1987" s="303"/>
      <c r="I1987" s="301">
        <f t="shared" si="527"/>
        <v>0</v>
      </c>
      <c r="J1987" s="302">
        <f t="shared" si="528"/>
        <v>0</v>
      </c>
      <c r="K1987" s="304">
        <f t="shared" si="529"/>
        <v>0</v>
      </c>
      <c r="L1987" s="305">
        <f>IF(H1987=0,0,IF(OR(E1987=$AT$5,E1987=$AT$6),AA1987,IF(F1987="MXN",1/HLOOKUP(YEAR(G1987)+(MONTH(G1987)/100),TC!$5:$37,DAY(G1987)+2,FALSE),VLOOKUP(F1987,Equivalencia!$5:$23,((MAX(Equivalencia!$3:$3)-YEAR(G1987))*14)+MONTH(G1987)+2,FALSE))))</f>
        <v>0</v>
      </c>
      <c r="M1987" s="306">
        <f t="shared" si="530"/>
        <v>0</v>
      </c>
      <c r="N1987" s="305">
        <f>IF(G1987=0,0,(IF(OR(E1987=$AT$5,E1987=$AT$6),AC1987,HLOOKUP(YEAR(G1987)+(MONTH(G1987)/100),TC!$5:$37,DAY(G1987)+2,FALSE))))</f>
        <v>0</v>
      </c>
      <c r="O1987" s="307">
        <f t="shared" si="531"/>
        <v>0</v>
      </c>
      <c r="P1987" s="560">
        <f>IF(G1987=0,0,VLOOKUP(YEAR(G1987),INPC!$B$4:$P$30,MONTH(G1987)+2))</f>
        <v>0</v>
      </c>
      <c r="Q1987" s="560">
        <f>IF(X1987=0,0,IF(OR(E1987=$AT$10,E1987=$AT$9),VLOOKUP(YEAR(X1987),INPC!$B$4:$P$30,MONTH(X1987)+1),VLOOKUP(YEAR(X1987),INPC!$B$4:$P$30,MONTH(X1987)+2,0)))</f>
        <v>0</v>
      </c>
      <c r="R1987" s="309">
        <f t="shared" si="532"/>
        <v>0</v>
      </c>
      <c r="S1987" s="310">
        <f t="shared" si="533"/>
        <v>0</v>
      </c>
      <c r="T1987" s="555">
        <f t="shared" si="534"/>
        <v>0</v>
      </c>
      <c r="U1987" s="311"/>
      <c r="V1987" s="312"/>
      <c r="W1987" s="299"/>
      <c r="X1987" s="300"/>
      <c r="Y1987" s="299"/>
      <c r="Z1987" s="303"/>
      <c r="AA1987" s="305">
        <f>IF(Z1987=0,0,IF(Y1987="MXN",1/HLOOKUP(YEAR(X1987)+(MONTH(X1987)/100),TC!$5:$37,DAY(X1987)+2,FALSE),VLOOKUP(Y1987,Equivalencia!$1:$23,((MAX(Equivalencia!$3:$3)-YEAR(X1987))*14)+MONTH(X1987)+2,FALSE)))</f>
        <v>0</v>
      </c>
      <c r="AB1987" s="306">
        <f t="shared" si="535"/>
        <v>0</v>
      </c>
      <c r="AC1987" s="305">
        <f>+IF(X1987=0,0,HLOOKUP(YEAR(X1987)+(MONTH(X1987)/100),TC!$5:$37,DAY(X1987)+2,FALSE))</f>
        <v>0</v>
      </c>
      <c r="AD1987" s="307">
        <f t="shared" si="536"/>
        <v>0</v>
      </c>
      <c r="AE1987" s="314">
        <f t="shared" si="537"/>
        <v>0</v>
      </c>
      <c r="AF1987" s="315">
        <f t="shared" si="538"/>
        <v>0</v>
      </c>
      <c r="AG1987" s="316">
        <f t="shared" si="539"/>
        <v>0</v>
      </c>
      <c r="AH1987" s="314">
        <v>1</v>
      </c>
      <c r="AI1987" s="314">
        <f t="shared" si="540"/>
        <v>0</v>
      </c>
      <c r="AJ1987" s="314">
        <f t="shared" si="541"/>
        <v>0</v>
      </c>
      <c r="AK1987" s="317"/>
      <c r="AL1987" s="315">
        <f t="shared" si="542"/>
        <v>0</v>
      </c>
      <c r="AN1987" s="554">
        <f t="shared" si="543"/>
        <v>0</v>
      </c>
      <c r="AO1987" s="314"/>
      <c r="AP1987" s="318"/>
    </row>
    <row r="1988" spans="2:42">
      <c r="B1988" s="296"/>
      <c r="C1988" s="299"/>
      <c r="D1988" s="298"/>
      <c r="E1988" s="299"/>
      <c r="F1988" s="299"/>
      <c r="G1988" s="300"/>
      <c r="H1988" s="303"/>
      <c r="I1988" s="301">
        <f t="shared" si="527"/>
        <v>0</v>
      </c>
      <c r="J1988" s="302">
        <f t="shared" si="528"/>
        <v>0</v>
      </c>
      <c r="K1988" s="304">
        <f t="shared" si="529"/>
        <v>0</v>
      </c>
      <c r="L1988" s="305">
        <f>IF(H1988=0,0,IF(OR(E1988=$AT$5,E1988=$AT$6),AA1988,IF(F1988="MXN",1/HLOOKUP(YEAR(G1988)+(MONTH(G1988)/100),TC!$5:$37,DAY(G1988)+2,FALSE),VLOOKUP(F1988,Equivalencia!$5:$23,((MAX(Equivalencia!$3:$3)-YEAR(G1988))*14)+MONTH(G1988)+2,FALSE))))</f>
        <v>0</v>
      </c>
      <c r="M1988" s="306">
        <f t="shared" si="530"/>
        <v>0</v>
      </c>
      <c r="N1988" s="305">
        <f>IF(G1988=0,0,(IF(OR(E1988=$AT$5,E1988=$AT$6),AC1988,HLOOKUP(YEAR(G1988)+(MONTH(G1988)/100),TC!$5:$37,DAY(G1988)+2,FALSE))))</f>
        <v>0</v>
      </c>
      <c r="O1988" s="307">
        <f t="shared" si="531"/>
        <v>0</v>
      </c>
      <c r="P1988" s="560">
        <f>IF(G1988=0,0,VLOOKUP(YEAR(G1988),INPC!$B$4:$P$30,MONTH(G1988)+2))</f>
        <v>0</v>
      </c>
      <c r="Q1988" s="560">
        <f>IF(X1988=0,0,IF(OR(E1988=$AT$10,E1988=$AT$9),VLOOKUP(YEAR(X1988),INPC!$B$4:$P$30,MONTH(X1988)+1),VLOOKUP(YEAR(X1988),INPC!$B$4:$P$30,MONTH(X1988)+2,0)))</f>
        <v>0</v>
      </c>
      <c r="R1988" s="309">
        <f t="shared" si="532"/>
        <v>0</v>
      </c>
      <c r="S1988" s="310">
        <f t="shared" si="533"/>
        <v>0</v>
      </c>
      <c r="T1988" s="555">
        <f t="shared" si="534"/>
        <v>0</v>
      </c>
      <c r="U1988" s="311"/>
      <c r="V1988" s="312"/>
      <c r="W1988" s="299"/>
      <c r="X1988" s="300"/>
      <c r="Y1988" s="299"/>
      <c r="Z1988" s="303"/>
      <c r="AA1988" s="305">
        <f>IF(Z1988=0,0,IF(Y1988="MXN",1/HLOOKUP(YEAR(X1988)+(MONTH(X1988)/100),TC!$5:$37,DAY(X1988)+2,FALSE),VLOOKUP(Y1988,Equivalencia!$1:$23,((MAX(Equivalencia!$3:$3)-YEAR(X1988))*14)+MONTH(X1988)+2,FALSE)))</f>
        <v>0</v>
      </c>
      <c r="AB1988" s="306">
        <f t="shared" si="535"/>
        <v>0</v>
      </c>
      <c r="AC1988" s="305">
        <f>+IF(X1988=0,0,HLOOKUP(YEAR(X1988)+(MONTH(X1988)/100),TC!$5:$37,DAY(X1988)+2,FALSE))</f>
        <v>0</v>
      </c>
      <c r="AD1988" s="307">
        <f t="shared" si="536"/>
        <v>0</v>
      </c>
      <c r="AE1988" s="314">
        <f t="shared" si="537"/>
        <v>0</v>
      </c>
      <c r="AF1988" s="315">
        <f t="shared" si="538"/>
        <v>0</v>
      </c>
      <c r="AG1988" s="316">
        <f t="shared" si="539"/>
        <v>0</v>
      </c>
      <c r="AH1988" s="314">
        <v>1</v>
      </c>
      <c r="AI1988" s="314">
        <f t="shared" si="540"/>
        <v>0</v>
      </c>
      <c r="AJ1988" s="314">
        <f t="shared" si="541"/>
        <v>0</v>
      </c>
      <c r="AK1988" s="317"/>
      <c r="AL1988" s="315">
        <f t="shared" si="542"/>
        <v>0</v>
      </c>
      <c r="AN1988" s="554">
        <f t="shared" si="543"/>
        <v>0</v>
      </c>
      <c r="AO1988" s="314"/>
      <c r="AP1988" s="318"/>
    </row>
    <row r="1989" spans="2:42">
      <c r="B1989" s="296"/>
      <c r="C1989" s="299"/>
      <c r="D1989" s="298"/>
      <c r="E1989" s="299"/>
      <c r="F1989" s="299"/>
      <c r="G1989" s="300"/>
      <c r="H1989" s="303"/>
      <c r="I1989" s="301">
        <f t="shared" si="527"/>
        <v>0</v>
      </c>
      <c r="J1989" s="302">
        <f t="shared" si="528"/>
        <v>0</v>
      </c>
      <c r="K1989" s="304">
        <f t="shared" si="529"/>
        <v>0</v>
      </c>
      <c r="L1989" s="305">
        <f>IF(H1989=0,0,IF(OR(E1989=$AT$5,E1989=$AT$6),AA1989,IF(F1989="MXN",1/HLOOKUP(YEAR(G1989)+(MONTH(G1989)/100),TC!$5:$37,DAY(G1989)+2,FALSE),VLOOKUP(F1989,Equivalencia!$5:$23,((MAX(Equivalencia!$3:$3)-YEAR(G1989))*14)+MONTH(G1989)+2,FALSE))))</f>
        <v>0</v>
      </c>
      <c r="M1989" s="306">
        <f t="shared" si="530"/>
        <v>0</v>
      </c>
      <c r="N1989" s="305">
        <f>IF(G1989=0,0,(IF(OR(E1989=$AT$5,E1989=$AT$6),AC1989,HLOOKUP(YEAR(G1989)+(MONTH(G1989)/100),TC!$5:$37,DAY(G1989)+2,FALSE))))</f>
        <v>0</v>
      </c>
      <c r="O1989" s="307">
        <f t="shared" si="531"/>
        <v>0</v>
      </c>
      <c r="P1989" s="560">
        <f>IF(G1989=0,0,VLOOKUP(YEAR(G1989),INPC!$B$4:$P$30,MONTH(G1989)+2))</f>
        <v>0</v>
      </c>
      <c r="Q1989" s="560">
        <f>IF(X1989=0,0,IF(OR(E1989=$AT$10,E1989=$AT$9),VLOOKUP(YEAR(X1989),INPC!$B$4:$P$30,MONTH(X1989)+1),VLOOKUP(YEAR(X1989),INPC!$B$4:$P$30,MONTH(X1989)+2,0)))</f>
        <v>0</v>
      </c>
      <c r="R1989" s="309">
        <f t="shared" si="532"/>
        <v>0</v>
      </c>
      <c r="S1989" s="310">
        <f t="shared" si="533"/>
        <v>0</v>
      </c>
      <c r="T1989" s="555">
        <f t="shared" si="534"/>
        <v>0</v>
      </c>
      <c r="U1989" s="311"/>
      <c r="V1989" s="312"/>
      <c r="W1989" s="299"/>
      <c r="X1989" s="300"/>
      <c r="Y1989" s="299"/>
      <c r="Z1989" s="303"/>
      <c r="AA1989" s="305">
        <f>IF(Z1989=0,0,IF(Y1989="MXN",1/HLOOKUP(YEAR(X1989)+(MONTH(X1989)/100),TC!$5:$37,DAY(X1989)+2,FALSE),VLOOKUP(Y1989,Equivalencia!$1:$23,((MAX(Equivalencia!$3:$3)-YEAR(X1989))*14)+MONTH(X1989)+2,FALSE)))</f>
        <v>0</v>
      </c>
      <c r="AB1989" s="306">
        <f t="shared" si="535"/>
        <v>0</v>
      </c>
      <c r="AC1989" s="305">
        <f>+IF(X1989=0,0,HLOOKUP(YEAR(X1989)+(MONTH(X1989)/100),TC!$5:$37,DAY(X1989)+2,FALSE))</f>
        <v>0</v>
      </c>
      <c r="AD1989" s="307">
        <f t="shared" si="536"/>
        <v>0</v>
      </c>
      <c r="AE1989" s="314">
        <f t="shared" si="537"/>
        <v>0</v>
      </c>
      <c r="AF1989" s="315">
        <f t="shared" si="538"/>
        <v>0</v>
      </c>
      <c r="AG1989" s="316">
        <f t="shared" si="539"/>
        <v>0</v>
      </c>
      <c r="AH1989" s="314">
        <v>1</v>
      </c>
      <c r="AI1989" s="314">
        <f t="shared" si="540"/>
        <v>0</v>
      </c>
      <c r="AJ1989" s="314">
        <f t="shared" si="541"/>
        <v>0</v>
      </c>
      <c r="AK1989" s="317"/>
      <c r="AL1989" s="315">
        <f t="shared" si="542"/>
        <v>0</v>
      </c>
      <c r="AN1989" s="554">
        <f t="shared" si="543"/>
        <v>0</v>
      </c>
      <c r="AO1989" s="314"/>
      <c r="AP1989" s="318"/>
    </row>
    <row r="1990" spans="2:42">
      <c r="B1990" s="296"/>
      <c r="C1990" s="299"/>
      <c r="D1990" s="298"/>
      <c r="E1990" s="299"/>
      <c r="F1990" s="299"/>
      <c r="G1990" s="300"/>
      <c r="H1990" s="303"/>
      <c r="I1990" s="301">
        <f t="shared" si="527"/>
        <v>0</v>
      </c>
      <c r="J1990" s="302">
        <f t="shared" si="528"/>
        <v>0</v>
      </c>
      <c r="K1990" s="304">
        <f t="shared" si="529"/>
        <v>0</v>
      </c>
      <c r="L1990" s="305">
        <f>IF(H1990=0,0,IF(OR(E1990=$AT$5,E1990=$AT$6),AA1990,IF(F1990="MXN",1/HLOOKUP(YEAR(G1990)+(MONTH(G1990)/100),TC!$5:$37,DAY(G1990)+2,FALSE),VLOOKUP(F1990,Equivalencia!$5:$23,((MAX(Equivalencia!$3:$3)-YEAR(G1990))*14)+MONTH(G1990)+2,FALSE))))</f>
        <v>0</v>
      </c>
      <c r="M1990" s="306">
        <f t="shared" si="530"/>
        <v>0</v>
      </c>
      <c r="N1990" s="305">
        <f>IF(G1990=0,0,(IF(OR(E1990=$AT$5,E1990=$AT$6),AC1990,HLOOKUP(YEAR(G1990)+(MONTH(G1990)/100),TC!$5:$37,DAY(G1990)+2,FALSE))))</f>
        <v>0</v>
      </c>
      <c r="O1990" s="307">
        <f t="shared" si="531"/>
        <v>0</v>
      </c>
      <c r="P1990" s="560">
        <f>IF(G1990=0,0,VLOOKUP(YEAR(G1990),INPC!$B$4:$P$30,MONTH(G1990)+2))</f>
        <v>0</v>
      </c>
      <c r="Q1990" s="560">
        <f>IF(X1990=0,0,IF(OR(E1990=$AT$10,E1990=$AT$9),VLOOKUP(YEAR(X1990),INPC!$B$4:$P$30,MONTH(X1990)+1),VLOOKUP(YEAR(X1990),INPC!$B$4:$P$30,MONTH(X1990)+2,0)))</f>
        <v>0</v>
      </c>
      <c r="R1990" s="309">
        <f t="shared" si="532"/>
        <v>0</v>
      </c>
      <c r="S1990" s="310">
        <f t="shared" si="533"/>
        <v>0</v>
      </c>
      <c r="T1990" s="555">
        <f t="shared" si="534"/>
        <v>0</v>
      </c>
      <c r="U1990" s="311"/>
      <c r="V1990" s="312"/>
      <c r="W1990" s="299"/>
      <c r="X1990" s="300"/>
      <c r="Y1990" s="299"/>
      <c r="Z1990" s="303"/>
      <c r="AA1990" s="305">
        <f>IF(Z1990=0,0,IF(Y1990="MXN",1/HLOOKUP(YEAR(X1990)+(MONTH(X1990)/100),TC!$5:$37,DAY(X1990)+2,FALSE),VLOOKUP(Y1990,Equivalencia!$1:$23,((MAX(Equivalencia!$3:$3)-YEAR(X1990))*14)+MONTH(X1990)+2,FALSE)))</f>
        <v>0</v>
      </c>
      <c r="AB1990" s="306">
        <f t="shared" si="535"/>
        <v>0</v>
      </c>
      <c r="AC1990" s="305">
        <f>+IF(X1990=0,0,HLOOKUP(YEAR(X1990)+(MONTH(X1990)/100),TC!$5:$37,DAY(X1990)+2,FALSE))</f>
        <v>0</v>
      </c>
      <c r="AD1990" s="307">
        <f t="shared" si="536"/>
        <v>0</v>
      </c>
      <c r="AE1990" s="314">
        <f t="shared" si="537"/>
        <v>0</v>
      </c>
      <c r="AF1990" s="315">
        <f t="shared" si="538"/>
        <v>0</v>
      </c>
      <c r="AG1990" s="316">
        <f t="shared" si="539"/>
        <v>0</v>
      </c>
      <c r="AH1990" s="314">
        <v>1</v>
      </c>
      <c r="AI1990" s="314">
        <f t="shared" si="540"/>
        <v>0</v>
      </c>
      <c r="AJ1990" s="314">
        <f t="shared" si="541"/>
        <v>0</v>
      </c>
      <c r="AK1990" s="317"/>
      <c r="AL1990" s="315">
        <f t="shared" si="542"/>
        <v>0</v>
      </c>
      <c r="AN1990" s="554">
        <f t="shared" si="543"/>
        <v>0</v>
      </c>
      <c r="AO1990" s="314"/>
      <c r="AP1990" s="318"/>
    </row>
    <row r="1991" spans="2:42">
      <c r="B1991" s="296"/>
      <c r="C1991" s="299"/>
      <c r="D1991" s="298"/>
      <c r="E1991" s="299"/>
      <c r="F1991" s="299"/>
      <c r="G1991" s="300"/>
      <c r="H1991" s="303"/>
      <c r="I1991" s="301">
        <f t="shared" si="527"/>
        <v>0</v>
      </c>
      <c r="J1991" s="302">
        <f t="shared" si="528"/>
        <v>0</v>
      </c>
      <c r="K1991" s="304">
        <f t="shared" si="529"/>
        <v>0</v>
      </c>
      <c r="L1991" s="305">
        <f>IF(H1991=0,0,IF(OR(E1991=$AT$5,E1991=$AT$6),AA1991,IF(F1991="MXN",1/HLOOKUP(YEAR(G1991)+(MONTH(G1991)/100),TC!$5:$37,DAY(G1991)+2,FALSE),VLOOKUP(F1991,Equivalencia!$5:$23,((MAX(Equivalencia!$3:$3)-YEAR(G1991))*14)+MONTH(G1991)+2,FALSE))))</f>
        <v>0</v>
      </c>
      <c r="M1991" s="306">
        <f t="shared" si="530"/>
        <v>0</v>
      </c>
      <c r="N1991" s="305">
        <f>IF(G1991=0,0,(IF(OR(E1991=$AT$5,E1991=$AT$6),AC1991,HLOOKUP(YEAR(G1991)+(MONTH(G1991)/100),TC!$5:$37,DAY(G1991)+2,FALSE))))</f>
        <v>0</v>
      </c>
      <c r="O1991" s="307">
        <f t="shared" si="531"/>
        <v>0</v>
      </c>
      <c r="P1991" s="560">
        <f>IF(G1991=0,0,VLOOKUP(YEAR(G1991),INPC!$B$4:$P$30,MONTH(G1991)+2))</f>
        <v>0</v>
      </c>
      <c r="Q1991" s="560">
        <f>IF(X1991=0,0,IF(OR(E1991=$AT$10,E1991=$AT$9),VLOOKUP(YEAR(X1991),INPC!$B$4:$P$30,MONTH(X1991)+1),VLOOKUP(YEAR(X1991),INPC!$B$4:$P$30,MONTH(X1991)+2,0)))</f>
        <v>0</v>
      </c>
      <c r="R1991" s="309">
        <f t="shared" si="532"/>
        <v>0</v>
      </c>
      <c r="S1991" s="310">
        <f t="shared" si="533"/>
        <v>0</v>
      </c>
      <c r="T1991" s="555">
        <f t="shared" si="534"/>
        <v>0</v>
      </c>
      <c r="U1991" s="311"/>
      <c r="V1991" s="312"/>
      <c r="W1991" s="299"/>
      <c r="X1991" s="300"/>
      <c r="Y1991" s="299"/>
      <c r="Z1991" s="303"/>
      <c r="AA1991" s="305">
        <f>IF(Z1991=0,0,IF(Y1991="MXN",1/HLOOKUP(YEAR(X1991)+(MONTH(X1991)/100),TC!$5:$37,DAY(X1991)+2,FALSE),VLOOKUP(Y1991,Equivalencia!$1:$23,((MAX(Equivalencia!$3:$3)-YEAR(X1991))*14)+MONTH(X1991)+2,FALSE)))</f>
        <v>0</v>
      </c>
      <c r="AB1991" s="306">
        <f t="shared" si="535"/>
        <v>0</v>
      </c>
      <c r="AC1991" s="305">
        <f>+IF(X1991=0,0,HLOOKUP(YEAR(X1991)+(MONTH(X1991)/100),TC!$5:$37,DAY(X1991)+2,FALSE))</f>
        <v>0</v>
      </c>
      <c r="AD1991" s="307">
        <f t="shared" si="536"/>
        <v>0</v>
      </c>
      <c r="AE1991" s="314">
        <f t="shared" si="537"/>
        <v>0</v>
      </c>
      <c r="AF1991" s="315">
        <f t="shared" si="538"/>
        <v>0</v>
      </c>
      <c r="AG1991" s="316">
        <f t="shared" si="539"/>
        <v>0</v>
      </c>
      <c r="AH1991" s="314">
        <v>1</v>
      </c>
      <c r="AI1991" s="314">
        <f t="shared" si="540"/>
        <v>0</v>
      </c>
      <c r="AJ1991" s="314">
        <f t="shared" si="541"/>
        <v>0</v>
      </c>
      <c r="AK1991" s="317"/>
      <c r="AL1991" s="315">
        <f t="shared" si="542"/>
        <v>0</v>
      </c>
      <c r="AN1991" s="554">
        <f t="shared" si="543"/>
        <v>0</v>
      </c>
      <c r="AO1991" s="314"/>
      <c r="AP1991" s="318"/>
    </row>
    <row r="1992" spans="2:42">
      <c r="B1992" s="296"/>
      <c r="C1992" s="299"/>
      <c r="D1992" s="298"/>
      <c r="E1992" s="299"/>
      <c r="F1992" s="299"/>
      <c r="G1992" s="300"/>
      <c r="H1992" s="303"/>
      <c r="I1992" s="301">
        <f t="shared" si="527"/>
        <v>0</v>
      </c>
      <c r="J1992" s="302">
        <f t="shared" si="528"/>
        <v>0</v>
      </c>
      <c r="K1992" s="304">
        <f t="shared" si="529"/>
        <v>0</v>
      </c>
      <c r="L1992" s="305">
        <f>IF(H1992=0,0,IF(OR(E1992=$AT$5,E1992=$AT$6),AA1992,IF(F1992="MXN",1/HLOOKUP(YEAR(G1992)+(MONTH(G1992)/100),TC!$5:$37,DAY(G1992)+2,FALSE),VLOOKUP(F1992,Equivalencia!$5:$23,((MAX(Equivalencia!$3:$3)-YEAR(G1992))*14)+MONTH(G1992)+2,FALSE))))</f>
        <v>0</v>
      </c>
      <c r="M1992" s="306">
        <f t="shared" si="530"/>
        <v>0</v>
      </c>
      <c r="N1992" s="305">
        <f>IF(G1992=0,0,(IF(OR(E1992=$AT$5,E1992=$AT$6),AC1992,HLOOKUP(YEAR(G1992)+(MONTH(G1992)/100),TC!$5:$37,DAY(G1992)+2,FALSE))))</f>
        <v>0</v>
      </c>
      <c r="O1992" s="307">
        <f t="shared" si="531"/>
        <v>0</v>
      </c>
      <c r="P1992" s="560">
        <f>IF(G1992=0,0,VLOOKUP(YEAR(G1992),INPC!$B$4:$P$30,MONTH(G1992)+2))</f>
        <v>0</v>
      </c>
      <c r="Q1992" s="560">
        <f>IF(X1992=0,0,IF(OR(E1992=$AT$10,E1992=$AT$9),VLOOKUP(YEAR(X1992),INPC!$B$4:$P$30,MONTH(X1992)+1),VLOOKUP(YEAR(X1992),INPC!$B$4:$P$30,MONTH(X1992)+2,0)))</f>
        <v>0</v>
      </c>
      <c r="R1992" s="309">
        <f t="shared" si="532"/>
        <v>0</v>
      </c>
      <c r="S1992" s="310">
        <f t="shared" si="533"/>
        <v>0</v>
      </c>
      <c r="T1992" s="555">
        <f t="shared" si="534"/>
        <v>0</v>
      </c>
      <c r="U1992" s="311"/>
      <c r="V1992" s="312"/>
      <c r="W1992" s="299"/>
      <c r="X1992" s="300"/>
      <c r="Y1992" s="299"/>
      <c r="Z1992" s="303"/>
      <c r="AA1992" s="305">
        <f>IF(Z1992=0,0,IF(Y1992="MXN",1/HLOOKUP(YEAR(X1992)+(MONTH(X1992)/100),TC!$5:$37,DAY(X1992)+2,FALSE),VLOOKUP(Y1992,Equivalencia!$1:$23,((MAX(Equivalencia!$3:$3)-YEAR(X1992))*14)+MONTH(X1992)+2,FALSE)))</f>
        <v>0</v>
      </c>
      <c r="AB1992" s="306">
        <f t="shared" si="535"/>
        <v>0</v>
      </c>
      <c r="AC1992" s="305">
        <f>+IF(X1992=0,0,HLOOKUP(YEAR(X1992)+(MONTH(X1992)/100),TC!$5:$37,DAY(X1992)+2,FALSE))</f>
        <v>0</v>
      </c>
      <c r="AD1992" s="307">
        <f t="shared" si="536"/>
        <v>0</v>
      </c>
      <c r="AE1992" s="314">
        <f t="shared" si="537"/>
        <v>0</v>
      </c>
      <c r="AF1992" s="315">
        <f t="shared" si="538"/>
        <v>0</v>
      </c>
      <c r="AG1992" s="316">
        <f t="shared" si="539"/>
        <v>0</v>
      </c>
      <c r="AH1992" s="314">
        <v>1</v>
      </c>
      <c r="AI1992" s="314">
        <f t="shared" si="540"/>
        <v>0</v>
      </c>
      <c r="AJ1992" s="314">
        <f t="shared" si="541"/>
        <v>0</v>
      </c>
      <c r="AK1992" s="317"/>
      <c r="AL1992" s="315">
        <f t="shared" si="542"/>
        <v>0</v>
      </c>
      <c r="AN1992" s="554">
        <f t="shared" si="543"/>
        <v>0</v>
      </c>
      <c r="AO1992" s="314"/>
      <c r="AP1992" s="318"/>
    </row>
    <row r="1993" spans="2:42">
      <c r="B1993" s="296"/>
      <c r="C1993" s="299"/>
      <c r="D1993" s="298"/>
      <c r="E1993" s="299"/>
      <c r="F1993" s="299"/>
      <c r="G1993" s="300"/>
      <c r="H1993" s="303"/>
      <c r="I1993" s="301">
        <f t="shared" si="527"/>
        <v>0</v>
      </c>
      <c r="J1993" s="302">
        <f t="shared" si="528"/>
        <v>0</v>
      </c>
      <c r="K1993" s="304">
        <f t="shared" si="529"/>
        <v>0</v>
      </c>
      <c r="L1993" s="305">
        <f>IF(H1993=0,0,IF(OR(E1993=$AT$5,E1993=$AT$6),AA1993,IF(F1993="MXN",1/HLOOKUP(YEAR(G1993)+(MONTH(G1993)/100),TC!$5:$37,DAY(G1993)+2,FALSE),VLOOKUP(F1993,Equivalencia!$5:$23,((MAX(Equivalencia!$3:$3)-YEAR(G1993))*14)+MONTH(G1993)+2,FALSE))))</f>
        <v>0</v>
      </c>
      <c r="M1993" s="306">
        <f t="shared" si="530"/>
        <v>0</v>
      </c>
      <c r="N1993" s="305">
        <f>IF(G1993=0,0,(IF(OR(E1993=$AT$5,E1993=$AT$6),AC1993,HLOOKUP(YEAR(G1993)+(MONTH(G1993)/100),TC!$5:$37,DAY(G1993)+2,FALSE))))</f>
        <v>0</v>
      </c>
      <c r="O1993" s="307">
        <f t="shared" si="531"/>
        <v>0</v>
      </c>
      <c r="P1993" s="560">
        <f>IF(G1993=0,0,VLOOKUP(YEAR(G1993),INPC!$B$4:$P$30,MONTH(G1993)+2))</f>
        <v>0</v>
      </c>
      <c r="Q1993" s="560">
        <f>IF(X1993=0,0,IF(OR(E1993=$AT$10,E1993=$AT$9),VLOOKUP(YEAR(X1993),INPC!$B$4:$P$30,MONTH(X1993)+1),VLOOKUP(YEAR(X1993),INPC!$B$4:$P$30,MONTH(X1993)+2,0)))</f>
        <v>0</v>
      </c>
      <c r="R1993" s="309">
        <f t="shared" si="532"/>
        <v>0</v>
      </c>
      <c r="S1993" s="310">
        <f t="shared" si="533"/>
        <v>0</v>
      </c>
      <c r="T1993" s="555">
        <f t="shared" si="534"/>
        <v>0</v>
      </c>
      <c r="U1993" s="311"/>
      <c r="V1993" s="312"/>
      <c r="W1993" s="299"/>
      <c r="X1993" s="300"/>
      <c r="Y1993" s="299"/>
      <c r="Z1993" s="303"/>
      <c r="AA1993" s="305">
        <f>IF(Z1993=0,0,IF(Y1993="MXN",1/HLOOKUP(YEAR(X1993)+(MONTH(X1993)/100),TC!$5:$37,DAY(X1993)+2,FALSE),VLOOKUP(Y1993,Equivalencia!$1:$23,((MAX(Equivalencia!$3:$3)-YEAR(X1993))*14)+MONTH(X1993)+2,FALSE)))</f>
        <v>0</v>
      </c>
      <c r="AB1993" s="306">
        <f t="shared" si="535"/>
        <v>0</v>
      </c>
      <c r="AC1993" s="305">
        <f>+IF(X1993=0,0,HLOOKUP(YEAR(X1993)+(MONTH(X1993)/100),TC!$5:$37,DAY(X1993)+2,FALSE))</f>
        <v>0</v>
      </c>
      <c r="AD1993" s="307">
        <f t="shared" si="536"/>
        <v>0</v>
      </c>
      <c r="AE1993" s="314">
        <f t="shared" si="537"/>
        <v>0</v>
      </c>
      <c r="AF1993" s="315">
        <f t="shared" si="538"/>
        <v>0</v>
      </c>
      <c r="AG1993" s="316">
        <f t="shared" si="539"/>
        <v>0</v>
      </c>
      <c r="AH1993" s="314">
        <v>1</v>
      </c>
      <c r="AI1993" s="314">
        <f t="shared" si="540"/>
        <v>0</v>
      </c>
      <c r="AJ1993" s="314">
        <f t="shared" si="541"/>
        <v>0</v>
      </c>
      <c r="AK1993" s="317"/>
      <c r="AL1993" s="315">
        <f t="shared" si="542"/>
        <v>0</v>
      </c>
      <c r="AN1993" s="554">
        <f t="shared" si="543"/>
        <v>0</v>
      </c>
      <c r="AO1993" s="314"/>
      <c r="AP1993" s="318"/>
    </row>
    <row r="1994" spans="2:42">
      <c r="B1994" s="296"/>
      <c r="C1994" s="299"/>
      <c r="D1994" s="298"/>
      <c r="E1994" s="299"/>
      <c r="F1994" s="299"/>
      <c r="G1994" s="300"/>
      <c r="H1994" s="303"/>
      <c r="I1994" s="301">
        <f t="shared" si="527"/>
        <v>0</v>
      </c>
      <c r="J1994" s="302">
        <f t="shared" si="528"/>
        <v>0</v>
      </c>
      <c r="K1994" s="304">
        <f t="shared" si="529"/>
        <v>0</v>
      </c>
      <c r="L1994" s="305">
        <f>IF(H1994=0,0,IF(OR(E1994=$AT$5,E1994=$AT$6),AA1994,IF(F1994="MXN",1/HLOOKUP(YEAR(G1994)+(MONTH(G1994)/100),TC!$5:$37,DAY(G1994)+2,FALSE),VLOOKUP(F1994,Equivalencia!$5:$23,((MAX(Equivalencia!$3:$3)-YEAR(G1994))*14)+MONTH(G1994)+2,FALSE))))</f>
        <v>0</v>
      </c>
      <c r="M1994" s="306">
        <f t="shared" si="530"/>
        <v>0</v>
      </c>
      <c r="N1994" s="305">
        <f>IF(G1994=0,0,(IF(OR(E1994=$AT$5,E1994=$AT$6),AC1994,HLOOKUP(YEAR(G1994)+(MONTH(G1994)/100),TC!$5:$37,DAY(G1994)+2,FALSE))))</f>
        <v>0</v>
      </c>
      <c r="O1994" s="307">
        <f t="shared" si="531"/>
        <v>0</v>
      </c>
      <c r="P1994" s="560">
        <f>IF(G1994=0,0,VLOOKUP(YEAR(G1994),INPC!$B$4:$P$30,MONTH(G1994)+2))</f>
        <v>0</v>
      </c>
      <c r="Q1994" s="560">
        <f>IF(X1994=0,0,IF(OR(E1994=$AT$10,E1994=$AT$9),VLOOKUP(YEAR(X1994),INPC!$B$4:$P$30,MONTH(X1994)+1),VLOOKUP(YEAR(X1994),INPC!$B$4:$P$30,MONTH(X1994)+2,0)))</f>
        <v>0</v>
      </c>
      <c r="R1994" s="309">
        <f t="shared" si="532"/>
        <v>0</v>
      </c>
      <c r="S1994" s="310">
        <f t="shared" si="533"/>
        <v>0</v>
      </c>
      <c r="T1994" s="555">
        <f t="shared" si="534"/>
        <v>0</v>
      </c>
      <c r="U1994" s="311"/>
      <c r="V1994" s="312"/>
      <c r="W1994" s="299"/>
      <c r="X1994" s="300"/>
      <c r="Y1994" s="299"/>
      <c r="Z1994" s="303"/>
      <c r="AA1994" s="305">
        <f>IF(Z1994=0,0,IF(Y1994="MXN",1/HLOOKUP(YEAR(X1994)+(MONTH(X1994)/100),TC!$5:$37,DAY(X1994)+2,FALSE),VLOOKUP(Y1994,Equivalencia!$1:$23,((MAX(Equivalencia!$3:$3)-YEAR(X1994))*14)+MONTH(X1994)+2,FALSE)))</f>
        <v>0</v>
      </c>
      <c r="AB1994" s="306">
        <f t="shared" si="535"/>
        <v>0</v>
      </c>
      <c r="AC1994" s="305">
        <f>+IF(X1994=0,0,HLOOKUP(YEAR(X1994)+(MONTH(X1994)/100),TC!$5:$37,DAY(X1994)+2,FALSE))</f>
        <v>0</v>
      </c>
      <c r="AD1994" s="307">
        <f t="shared" si="536"/>
        <v>0</v>
      </c>
      <c r="AE1994" s="314">
        <f t="shared" si="537"/>
        <v>0</v>
      </c>
      <c r="AF1994" s="315">
        <f t="shared" si="538"/>
        <v>0</v>
      </c>
      <c r="AG1994" s="316">
        <f t="shared" si="539"/>
        <v>0</v>
      </c>
      <c r="AH1994" s="314">
        <v>1</v>
      </c>
      <c r="AI1994" s="314">
        <f t="shared" si="540"/>
        <v>0</v>
      </c>
      <c r="AJ1994" s="314">
        <f t="shared" si="541"/>
        <v>0</v>
      </c>
      <c r="AK1994" s="317"/>
      <c r="AL1994" s="315">
        <f t="shared" si="542"/>
        <v>0</v>
      </c>
      <c r="AN1994" s="554">
        <f t="shared" si="543"/>
        <v>0</v>
      </c>
      <c r="AO1994" s="314"/>
      <c r="AP1994" s="318"/>
    </row>
    <row r="1995" spans="2:42">
      <c r="B1995" s="296"/>
      <c r="C1995" s="299"/>
      <c r="D1995" s="298"/>
      <c r="E1995" s="299"/>
      <c r="F1995" s="299"/>
      <c r="G1995" s="300"/>
      <c r="H1995" s="303"/>
      <c r="I1995" s="301">
        <f t="shared" si="527"/>
        <v>0</v>
      </c>
      <c r="J1995" s="302">
        <f t="shared" si="528"/>
        <v>0</v>
      </c>
      <c r="K1995" s="304">
        <f t="shared" si="529"/>
        <v>0</v>
      </c>
      <c r="L1995" s="305">
        <f>IF(H1995=0,0,IF(OR(E1995=$AT$5,E1995=$AT$6),AA1995,IF(F1995="MXN",1/HLOOKUP(YEAR(G1995)+(MONTH(G1995)/100),TC!$5:$37,DAY(G1995)+2,FALSE),VLOOKUP(F1995,Equivalencia!$5:$23,((MAX(Equivalencia!$3:$3)-YEAR(G1995))*14)+MONTH(G1995)+2,FALSE))))</f>
        <v>0</v>
      </c>
      <c r="M1995" s="306">
        <f t="shared" si="530"/>
        <v>0</v>
      </c>
      <c r="N1995" s="305">
        <f>IF(G1995=0,0,(IF(OR(E1995=$AT$5,E1995=$AT$6),AC1995,HLOOKUP(YEAR(G1995)+(MONTH(G1995)/100),TC!$5:$37,DAY(G1995)+2,FALSE))))</f>
        <v>0</v>
      </c>
      <c r="O1995" s="307">
        <f t="shared" si="531"/>
        <v>0</v>
      </c>
      <c r="P1995" s="560">
        <f>IF(G1995=0,0,VLOOKUP(YEAR(G1995),INPC!$B$4:$P$30,MONTH(G1995)+2))</f>
        <v>0</v>
      </c>
      <c r="Q1995" s="560">
        <f>IF(X1995=0,0,IF(OR(E1995=$AT$10,E1995=$AT$9),VLOOKUP(YEAR(X1995),INPC!$B$4:$P$30,MONTH(X1995)+1),VLOOKUP(YEAR(X1995),INPC!$B$4:$P$30,MONTH(X1995)+2,0)))</f>
        <v>0</v>
      </c>
      <c r="R1995" s="309">
        <f t="shared" si="532"/>
        <v>0</v>
      </c>
      <c r="S1995" s="310">
        <f t="shared" si="533"/>
        <v>0</v>
      </c>
      <c r="T1995" s="555">
        <f t="shared" si="534"/>
        <v>0</v>
      </c>
      <c r="U1995" s="311"/>
      <c r="V1995" s="312"/>
      <c r="W1995" s="299"/>
      <c r="X1995" s="300"/>
      <c r="Y1995" s="299"/>
      <c r="Z1995" s="303"/>
      <c r="AA1995" s="305">
        <f>IF(Z1995=0,0,IF(Y1995="MXN",1/HLOOKUP(YEAR(X1995)+(MONTH(X1995)/100),TC!$5:$37,DAY(X1995)+2,FALSE),VLOOKUP(Y1995,Equivalencia!$1:$23,((MAX(Equivalencia!$3:$3)-YEAR(X1995))*14)+MONTH(X1995)+2,FALSE)))</f>
        <v>0</v>
      </c>
      <c r="AB1995" s="306">
        <f t="shared" si="535"/>
        <v>0</v>
      </c>
      <c r="AC1995" s="305">
        <f>+IF(X1995=0,0,HLOOKUP(YEAR(X1995)+(MONTH(X1995)/100),TC!$5:$37,DAY(X1995)+2,FALSE))</f>
        <v>0</v>
      </c>
      <c r="AD1995" s="307">
        <f t="shared" si="536"/>
        <v>0</v>
      </c>
      <c r="AE1995" s="314">
        <f t="shared" si="537"/>
        <v>0</v>
      </c>
      <c r="AF1995" s="315">
        <f t="shared" si="538"/>
        <v>0</v>
      </c>
      <c r="AG1995" s="316">
        <f t="shared" si="539"/>
        <v>0</v>
      </c>
      <c r="AH1995" s="314">
        <v>1</v>
      </c>
      <c r="AI1995" s="314">
        <f t="shared" si="540"/>
        <v>0</v>
      </c>
      <c r="AJ1995" s="314">
        <f t="shared" si="541"/>
        <v>0</v>
      </c>
      <c r="AK1995" s="317"/>
      <c r="AL1995" s="315">
        <f t="shared" si="542"/>
        <v>0</v>
      </c>
      <c r="AN1995" s="554">
        <f t="shared" si="543"/>
        <v>0</v>
      </c>
      <c r="AO1995" s="314"/>
      <c r="AP1995" s="318"/>
    </row>
    <row r="1996" spans="2:42">
      <c r="B1996" s="296"/>
      <c r="C1996" s="299"/>
      <c r="D1996" s="298"/>
      <c r="E1996" s="299"/>
      <c r="F1996" s="299"/>
      <c r="G1996" s="300"/>
      <c r="H1996" s="303"/>
      <c r="I1996" s="301">
        <f t="shared" si="527"/>
        <v>0</v>
      </c>
      <c r="J1996" s="302">
        <f t="shared" si="528"/>
        <v>0</v>
      </c>
      <c r="K1996" s="304">
        <f t="shared" si="529"/>
        <v>0</v>
      </c>
      <c r="L1996" s="305">
        <f>IF(H1996=0,0,IF(OR(E1996=$AT$5,E1996=$AT$6),AA1996,IF(F1996="MXN",1/HLOOKUP(YEAR(G1996)+(MONTH(G1996)/100),TC!$5:$37,DAY(G1996)+2,FALSE),VLOOKUP(F1996,Equivalencia!$5:$23,((MAX(Equivalencia!$3:$3)-YEAR(G1996))*14)+MONTH(G1996)+2,FALSE))))</f>
        <v>0</v>
      </c>
      <c r="M1996" s="306">
        <f t="shared" si="530"/>
        <v>0</v>
      </c>
      <c r="N1996" s="305">
        <f>IF(G1996=0,0,(IF(OR(E1996=$AT$5,E1996=$AT$6),AC1996,HLOOKUP(YEAR(G1996)+(MONTH(G1996)/100),TC!$5:$37,DAY(G1996)+2,FALSE))))</f>
        <v>0</v>
      </c>
      <c r="O1996" s="307">
        <f t="shared" si="531"/>
        <v>0</v>
      </c>
      <c r="P1996" s="560">
        <f>IF(G1996=0,0,VLOOKUP(YEAR(G1996),INPC!$B$4:$P$30,MONTH(G1996)+2))</f>
        <v>0</v>
      </c>
      <c r="Q1996" s="560">
        <f>IF(X1996=0,0,IF(OR(E1996=$AT$10,E1996=$AT$9),VLOOKUP(YEAR(X1996),INPC!$B$4:$P$30,MONTH(X1996)+1),VLOOKUP(YEAR(X1996),INPC!$B$4:$P$30,MONTH(X1996)+2,0)))</f>
        <v>0</v>
      </c>
      <c r="R1996" s="309">
        <f t="shared" si="532"/>
        <v>0</v>
      </c>
      <c r="S1996" s="310">
        <f t="shared" si="533"/>
        <v>0</v>
      </c>
      <c r="T1996" s="555">
        <f t="shared" si="534"/>
        <v>0</v>
      </c>
      <c r="U1996" s="311"/>
      <c r="V1996" s="312"/>
      <c r="W1996" s="299"/>
      <c r="X1996" s="300"/>
      <c r="Y1996" s="299"/>
      <c r="Z1996" s="303"/>
      <c r="AA1996" s="305">
        <f>IF(Z1996=0,0,IF(Y1996="MXN",1/HLOOKUP(YEAR(X1996)+(MONTH(X1996)/100),TC!$5:$37,DAY(X1996)+2,FALSE),VLOOKUP(Y1996,Equivalencia!$1:$23,((MAX(Equivalencia!$3:$3)-YEAR(X1996))*14)+MONTH(X1996)+2,FALSE)))</f>
        <v>0</v>
      </c>
      <c r="AB1996" s="306">
        <f t="shared" si="535"/>
        <v>0</v>
      </c>
      <c r="AC1996" s="305">
        <f>+IF(X1996=0,0,HLOOKUP(YEAR(X1996)+(MONTH(X1996)/100),TC!$5:$37,DAY(X1996)+2,FALSE))</f>
        <v>0</v>
      </c>
      <c r="AD1996" s="307">
        <f t="shared" si="536"/>
        <v>0</v>
      </c>
      <c r="AE1996" s="314">
        <f t="shared" si="537"/>
        <v>0</v>
      </c>
      <c r="AF1996" s="315">
        <f t="shared" si="538"/>
        <v>0</v>
      </c>
      <c r="AG1996" s="316">
        <f t="shared" si="539"/>
        <v>0</v>
      </c>
      <c r="AH1996" s="314">
        <v>1</v>
      </c>
      <c r="AI1996" s="314">
        <f t="shared" si="540"/>
        <v>0</v>
      </c>
      <c r="AJ1996" s="314">
        <f t="shared" si="541"/>
        <v>0</v>
      </c>
      <c r="AK1996" s="317"/>
      <c r="AL1996" s="315">
        <f t="shared" si="542"/>
        <v>0</v>
      </c>
      <c r="AN1996" s="554">
        <f t="shared" si="543"/>
        <v>0</v>
      </c>
      <c r="AO1996" s="314"/>
      <c r="AP1996" s="318"/>
    </row>
    <row r="1997" spans="2:42">
      <c r="B1997" s="296"/>
      <c r="C1997" s="299"/>
      <c r="D1997" s="298"/>
      <c r="E1997" s="299"/>
      <c r="F1997" s="299"/>
      <c r="G1997" s="300"/>
      <c r="H1997" s="303"/>
      <c r="I1997" s="301">
        <f t="shared" si="527"/>
        <v>0</v>
      </c>
      <c r="J1997" s="302">
        <f t="shared" si="528"/>
        <v>0</v>
      </c>
      <c r="K1997" s="304">
        <f t="shared" si="529"/>
        <v>0</v>
      </c>
      <c r="L1997" s="305">
        <f>IF(H1997=0,0,IF(OR(E1997=$AT$5,E1997=$AT$6),AA1997,IF(F1997="MXN",1/HLOOKUP(YEAR(G1997)+(MONTH(G1997)/100),TC!$5:$37,DAY(G1997)+2,FALSE),VLOOKUP(F1997,Equivalencia!$5:$23,((MAX(Equivalencia!$3:$3)-YEAR(G1997))*14)+MONTH(G1997)+2,FALSE))))</f>
        <v>0</v>
      </c>
      <c r="M1997" s="306">
        <f t="shared" si="530"/>
        <v>0</v>
      </c>
      <c r="N1997" s="305">
        <f>IF(G1997=0,0,(IF(OR(E1997=$AT$5,E1997=$AT$6),AC1997,HLOOKUP(YEAR(G1997)+(MONTH(G1997)/100),TC!$5:$37,DAY(G1997)+2,FALSE))))</f>
        <v>0</v>
      </c>
      <c r="O1997" s="307">
        <f t="shared" si="531"/>
        <v>0</v>
      </c>
      <c r="P1997" s="560">
        <f>IF(G1997=0,0,VLOOKUP(YEAR(G1997),INPC!$B$4:$P$30,MONTH(G1997)+2))</f>
        <v>0</v>
      </c>
      <c r="Q1997" s="560">
        <f>IF(X1997=0,0,IF(OR(E1997=$AT$10,E1997=$AT$9),VLOOKUP(YEAR(X1997),INPC!$B$4:$P$30,MONTH(X1997)+1),VLOOKUP(YEAR(X1997),INPC!$B$4:$P$30,MONTH(X1997)+2,0)))</f>
        <v>0</v>
      </c>
      <c r="R1997" s="309">
        <f t="shared" si="532"/>
        <v>0</v>
      </c>
      <c r="S1997" s="310">
        <f t="shared" si="533"/>
        <v>0</v>
      </c>
      <c r="T1997" s="555">
        <f t="shared" si="534"/>
        <v>0</v>
      </c>
      <c r="U1997" s="311"/>
      <c r="V1997" s="312"/>
      <c r="W1997" s="299"/>
      <c r="X1997" s="300"/>
      <c r="Y1997" s="299"/>
      <c r="Z1997" s="303"/>
      <c r="AA1997" s="305">
        <f>IF(Z1997=0,0,IF(Y1997="MXN",1/HLOOKUP(YEAR(X1997)+(MONTH(X1997)/100),TC!$5:$37,DAY(X1997)+2,FALSE),VLOOKUP(Y1997,Equivalencia!$1:$23,((MAX(Equivalencia!$3:$3)-YEAR(X1997))*14)+MONTH(X1997)+2,FALSE)))</f>
        <v>0</v>
      </c>
      <c r="AB1997" s="306">
        <f t="shared" si="535"/>
        <v>0</v>
      </c>
      <c r="AC1997" s="305">
        <f>+IF(X1997=0,0,HLOOKUP(YEAR(X1997)+(MONTH(X1997)/100),TC!$5:$37,DAY(X1997)+2,FALSE))</f>
        <v>0</v>
      </c>
      <c r="AD1997" s="307">
        <f t="shared" si="536"/>
        <v>0</v>
      </c>
      <c r="AE1997" s="314">
        <f t="shared" si="537"/>
        <v>0</v>
      </c>
      <c r="AF1997" s="315">
        <f t="shared" si="538"/>
        <v>0</v>
      </c>
      <c r="AG1997" s="316">
        <f t="shared" si="539"/>
        <v>0</v>
      </c>
      <c r="AH1997" s="314">
        <v>1</v>
      </c>
      <c r="AI1997" s="314">
        <f t="shared" si="540"/>
        <v>0</v>
      </c>
      <c r="AJ1997" s="314">
        <f t="shared" si="541"/>
        <v>0</v>
      </c>
      <c r="AK1997" s="317"/>
      <c r="AL1997" s="315">
        <f t="shared" si="542"/>
        <v>0</v>
      </c>
      <c r="AN1997" s="554">
        <f t="shared" si="543"/>
        <v>0</v>
      </c>
      <c r="AO1997" s="314"/>
      <c r="AP1997" s="318"/>
    </row>
    <row r="1998" spans="2:42">
      <c r="B1998" s="296"/>
      <c r="C1998" s="299"/>
      <c r="D1998" s="298"/>
      <c r="E1998" s="299"/>
      <c r="F1998" s="299"/>
      <c r="G1998" s="300"/>
      <c r="H1998" s="303"/>
      <c r="I1998" s="301">
        <f t="shared" si="527"/>
        <v>0</v>
      </c>
      <c r="J1998" s="302">
        <f t="shared" si="528"/>
        <v>0</v>
      </c>
      <c r="K1998" s="304">
        <f t="shared" si="529"/>
        <v>0</v>
      </c>
      <c r="L1998" s="305">
        <f>IF(H1998=0,0,IF(OR(E1998=$AT$5,E1998=$AT$6),AA1998,IF(F1998="MXN",1/HLOOKUP(YEAR(G1998)+(MONTH(G1998)/100),TC!$5:$37,DAY(G1998)+2,FALSE),VLOOKUP(F1998,Equivalencia!$5:$23,((MAX(Equivalencia!$3:$3)-YEAR(G1998))*14)+MONTH(G1998)+2,FALSE))))</f>
        <v>0</v>
      </c>
      <c r="M1998" s="306">
        <f t="shared" si="530"/>
        <v>0</v>
      </c>
      <c r="N1998" s="305">
        <f>IF(G1998=0,0,(IF(OR(E1998=$AT$5,E1998=$AT$6),AC1998,HLOOKUP(YEAR(G1998)+(MONTH(G1998)/100),TC!$5:$37,DAY(G1998)+2,FALSE))))</f>
        <v>0</v>
      </c>
      <c r="O1998" s="307">
        <f t="shared" si="531"/>
        <v>0</v>
      </c>
      <c r="P1998" s="560">
        <f>IF(G1998=0,0,VLOOKUP(YEAR(G1998),INPC!$B$4:$P$30,MONTH(G1998)+2))</f>
        <v>0</v>
      </c>
      <c r="Q1998" s="560">
        <f>IF(X1998=0,0,IF(OR(E1998=$AT$10,E1998=$AT$9),VLOOKUP(YEAR(X1998),INPC!$B$4:$P$30,MONTH(X1998)+1),VLOOKUP(YEAR(X1998),INPC!$B$4:$P$30,MONTH(X1998)+2,0)))</f>
        <v>0</v>
      </c>
      <c r="R1998" s="309">
        <f t="shared" si="532"/>
        <v>0</v>
      </c>
      <c r="S1998" s="310">
        <f t="shared" si="533"/>
        <v>0</v>
      </c>
      <c r="T1998" s="555">
        <f t="shared" si="534"/>
        <v>0</v>
      </c>
      <c r="U1998" s="311"/>
      <c r="V1998" s="312"/>
      <c r="W1998" s="299"/>
      <c r="X1998" s="300"/>
      <c r="Y1998" s="299"/>
      <c r="Z1998" s="303"/>
      <c r="AA1998" s="305">
        <f>IF(Z1998=0,0,IF(Y1998="MXN",1/HLOOKUP(YEAR(X1998)+(MONTH(X1998)/100),TC!$5:$37,DAY(X1998)+2,FALSE),VLOOKUP(Y1998,Equivalencia!$1:$23,((MAX(Equivalencia!$3:$3)-YEAR(X1998))*14)+MONTH(X1998)+2,FALSE)))</f>
        <v>0</v>
      </c>
      <c r="AB1998" s="306">
        <f t="shared" si="535"/>
        <v>0</v>
      </c>
      <c r="AC1998" s="305">
        <f>+IF(X1998=0,0,HLOOKUP(YEAR(X1998)+(MONTH(X1998)/100),TC!$5:$37,DAY(X1998)+2,FALSE))</f>
        <v>0</v>
      </c>
      <c r="AD1998" s="307">
        <f t="shared" si="536"/>
        <v>0</v>
      </c>
      <c r="AE1998" s="314">
        <f t="shared" si="537"/>
        <v>0</v>
      </c>
      <c r="AF1998" s="315">
        <f t="shared" si="538"/>
        <v>0</v>
      </c>
      <c r="AG1998" s="316">
        <f t="shared" si="539"/>
        <v>0</v>
      </c>
      <c r="AH1998" s="314">
        <v>1</v>
      </c>
      <c r="AI1998" s="314">
        <f t="shared" si="540"/>
        <v>0</v>
      </c>
      <c r="AJ1998" s="314">
        <f t="shared" si="541"/>
        <v>0</v>
      </c>
      <c r="AK1998" s="317"/>
      <c r="AL1998" s="315">
        <f t="shared" si="542"/>
        <v>0</v>
      </c>
      <c r="AN1998" s="554">
        <f t="shared" si="543"/>
        <v>0</v>
      </c>
      <c r="AO1998" s="314"/>
      <c r="AP1998" s="318"/>
    </row>
    <row r="1999" spans="2:42">
      <c r="B1999" s="296"/>
      <c r="C1999" s="299"/>
      <c r="D1999" s="298"/>
      <c r="E1999" s="299"/>
      <c r="F1999" s="299"/>
      <c r="G1999" s="300"/>
      <c r="H1999" s="303"/>
      <c r="I1999" s="301">
        <f t="shared" si="527"/>
        <v>0</v>
      </c>
      <c r="J1999" s="302">
        <f t="shared" si="528"/>
        <v>0</v>
      </c>
      <c r="K1999" s="304">
        <f t="shared" si="529"/>
        <v>0</v>
      </c>
      <c r="L1999" s="305">
        <f>IF(H1999=0,0,IF(OR(E1999=$AT$5,E1999=$AT$6),AA1999,IF(F1999="MXN",1/HLOOKUP(YEAR(G1999)+(MONTH(G1999)/100),TC!$5:$37,DAY(G1999)+2,FALSE),VLOOKUP(F1999,Equivalencia!$5:$23,((MAX(Equivalencia!$3:$3)-YEAR(G1999))*14)+MONTH(G1999)+2,FALSE))))</f>
        <v>0</v>
      </c>
      <c r="M1999" s="306">
        <f t="shared" si="530"/>
        <v>0</v>
      </c>
      <c r="N1999" s="305">
        <f>IF(G1999=0,0,(IF(OR(E1999=$AT$5,E1999=$AT$6),AC1999,HLOOKUP(YEAR(G1999)+(MONTH(G1999)/100),TC!$5:$37,DAY(G1999)+2,FALSE))))</f>
        <v>0</v>
      </c>
      <c r="O1999" s="307">
        <f t="shared" si="531"/>
        <v>0</v>
      </c>
      <c r="P1999" s="560">
        <f>IF(G1999=0,0,VLOOKUP(YEAR(G1999),INPC!$B$4:$P$30,MONTH(G1999)+2))</f>
        <v>0</v>
      </c>
      <c r="Q1999" s="560">
        <f>IF(X1999=0,0,IF(OR(E1999=$AT$10,E1999=$AT$9),VLOOKUP(YEAR(X1999),INPC!$B$4:$P$30,MONTH(X1999)+1),VLOOKUP(YEAR(X1999),INPC!$B$4:$P$30,MONTH(X1999)+2,0)))</f>
        <v>0</v>
      </c>
      <c r="R1999" s="309">
        <f t="shared" si="532"/>
        <v>0</v>
      </c>
      <c r="S1999" s="310">
        <f t="shared" si="533"/>
        <v>0</v>
      </c>
      <c r="T1999" s="555">
        <f t="shared" si="534"/>
        <v>0</v>
      </c>
      <c r="U1999" s="311"/>
      <c r="V1999" s="312"/>
      <c r="W1999" s="299"/>
      <c r="X1999" s="300"/>
      <c r="Y1999" s="299"/>
      <c r="Z1999" s="303"/>
      <c r="AA1999" s="305">
        <f>IF(Z1999=0,0,IF(Y1999="MXN",1/HLOOKUP(YEAR(X1999)+(MONTH(X1999)/100),TC!$5:$37,DAY(X1999)+2,FALSE),VLOOKUP(Y1999,Equivalencia!$1:$23,((MAX(Equivalencia!$3:$3)-YEAR(X1999))*14)+MONTH(X1999)+2,FALSE)))</f>
        <v>0</v>
      </c>
      <c r="AB1999" s="306">
        <f t="shared" si="535"/>
        <v>0</v>
      </c>
      <c r="AC1999" s="305">
        <f>+IF(X1999=0,0,HLOOKUP(YEAR(X1999)+(MONTH(X1999)/100),TC!$5:$37,DAY(X1999)+2,FALSE))</f>
        <v>0</v>
      </c>
      <c r="AD1999" s="307">
        <f t="shared" si="536"/>
        <v>0</v>
      </c>
      <c r="AE1999" s="314">
        <f t="shared" si="537"/>
        <v>0</v>
      </c>
      <c r="AF1999" s="315">
        <f t="shared" si="538"/>
        <v>0</v>
      </c>
      <c r="AG1999" s="316">
        <f t="shared" si="539"/>
        <v>0</v>
      </c>
      <c r="AH1999" s="314">
        <v>1</v>
      </c>
      <c r="AI1999" s="314">
        <f t="shared" si="540"/>
        <v>0</v>
      </c>
      <c r="AJ1999" s="314">
        <f t="shared" si="541"/>
        <v>0</v>
      </c>
      <c r="AK1999" s="317"/>
      <c r="AL1999" s="315">
        <f t="shared" si="542"/>
        <v>0</v>
      </c>
      <c r="AN1999" s="554">
        <f t="shared" si="543"/>
        <v>0</v>
      </c>
      <c r="AO1999" s="314"/>
      <c r="AP1999" s="318"/>
    </row>
    <row r="2000" spans="2:42">
      <c r="B2000" s="296"/>
      <c r="C2000" s="299"/>
      <c r="D2000" s="298"/>
      <c r="E2000" s="299"/>
      <c r="F2000" s="299"/>
      <c r="G2000" s="300"/>
      <c r="H2000" s="303"/>
      <c r="I2000" s="301">
        <f t="shared" si="527"/>
        <v>0</v>
      </c>
      <c r="J2000" s="302">
        <f t="shared" si="528"/>
        <v>0</v>
      </c>
      <c r="K2000" s="304">
        <f t="shared" si="529"/>
        <v>0</v>
      </c>
      <c r="L2000" s="305">
        <f>IF(H2000=0,0,IF(OR(E2000=$AT$5,E2000=$AT$6),AA2000,IF(F2000="MXN",1/HLOOKUP(YEAR(G2000)+(MONTH(G2000)/100),TC!$5:$37,DAY(G2000)+2,FALSE),VLOOKUP(F2000,Equivalencia!$5:$23,((MAX(Equivalencia!$3:$3)-YEAR(G2000))*14)+MONTH(G2000)+2,FALSE))))</f>
        <v>0</v>
      </c>
      <c r="M2000" s="306">
        <f t="shared" si="530"/>
        <v>0</v>
      </c>
      <c r="N2000" s="305">
        <f>IF(G2000=0,0,(IF(OR(E2000=$AT$5,E2000=$AT$6),AC2000,HLOOKUP(YEAR(G2000)+(MONTH(G2000)/100),TC!$5:$37,DAY(G2000)+2,FALSE))))</f>
        <v>0</v>
      </c>
      <c r="O2000" s="307">
        <f t="shared" si="531"/>
        <v>0</v>
      </c>
      <c r="P2000" s="560">
        <f>IF(G2000=0,0,VLOOKUP(YEAR(G2000),INPC!$B$4:$P$30,MONTH(G2000)+2))</f>
        <v>0</v>
      </c>
      <c r="Q2000" s="560">
        <f>IF(X2000=0,0,IF(OR(E2000=$AT$10,E2000=$AT$9),VLOOKUP(YEAR(X2000),INPC!$B$4:$P$30,MONTH(X2000)+1),VLOOKUP(YEAR(X2000),INPC!$B$4:$P$30,MONTH(X2000)+2,0)))</f>
        <v>0</v>
      </c>
      <c r="R2000" s="309">
        <f t="shared" si="532"/>
        <v>0</v>
      </c>
      <c r="S2000" s="310">
        <f t="shared" si="533"/>
        <v>0</v>
      </c>
      <c r="T2000" s="555">
        <f t="shared" si="534"/>
        <v>0</v>
      </c>
      <c r="U2000" s="311"/>
      <c r="V2000" s="312"/>
      <c r="W2000" s="299"/>
      <c r="X2000" s="300"/>
      <c r="Y2000" s="299"/>
      <c r="Z2000" s="303"/>
      <c r="AA2000" s="305">
        <f>IF(Z2000=0,0,IF(Y2000="MXN",1/HLOOKUP(YEAR(X2000)+(MONTH(X2000)/100),TC!$5:$37,DAY(X2000)+2,FALSE),VLOOKUP(Y2000,Equivalencia!$1:$23,((MAX(Equivalencia!$3:$3)-YEAR(X2000))*14)+MONTH(X2000)+2,FALSE)))</f>
        <v>0</v>
      </c>
      <c r="AB2000" s="306">
        <f t="shared" si="535"/>
        <v>0</v>
      </c>
      <c r="AC2000" s="305">
        <f>+IF(X2000=0,0,HLOOKUP(YEAR(X2000)+(MONTH(X2000)/100),TC!$5:$37,DAY(X2000)+2,FALSE))</f>
        <v>0</v>
      </c>
      <c r="AD2000" s="307">
        <f t="shared" si="536"/>
        <v>0</v>
      </c>
      <c r="AE2000" s="314">
        <f t="shared" si="537"/>
        <v>0</v>
      </c>
      <c r="AF2000" s="315">
        <f t="shared" si="538"/>
        <v>0</v>
      </c>
      <c r="AG2000" s="316">
        <f t="shared" si="539"/>
        <v>0</v>
      </c>
      <c r="AH2000" s="314">
        <v>1</v>
      </c>
      <c r="AI2000" s="314">
        <f t="shared" si="540"/>
        <v>0</v>
      </c>
      <c r="AJ2000" s="314">
        <f t="shared" si="541"/>
        <v>0</v>
      </c>
      <c r="AK2000" s="317"/>
      <c r="AL2000" s="315">
        <f t="shared" si="542"/>
        <v>0</v>
      </c>
      <c r="AN2000" s="554">
        <f t="shared" si="543"/>
        <v>0</v>
      </c>
      <c r="AO2000" s="314"/>
      <c r="AP2000" s="318"/>
    </row>
    <row r="2001" spans="2:42">
      <c r="B2001" s="296"/>
      <c r="C2001" s="299"/>
      <c r="D2001" s="298"/>
      <c r="E2001" s="299"/>
      <c r="F2001" s="299"/>
      <c r="G2001" s="300"/>
      <c r="H2001" s="303"/>
      <c r="I2001" s="301">
        <f t="shared" si="527"/>
        <v>0</v>
      </c>
      <c r="J2001" s="302">
        <f t="shared" si="528"/>
        <v>0</v>
      </c>
      <c r="K2001" s="304">
        <f t="shared" si="529"/>
        <v>0</v>
      </c>
      <c r="L2001" s="305">
        <f>IF(H2001=0,0,IF(OR(E2001=$AT$5,E2001=$AT$6),AA2001,IF(F2001="MXN",1/HLOOKUP(YEAR(G2001)+(MONTH(G2001)/100),TC!$5:$37,DAY(G2001)+2,FALSE),VLOOKUP(F2001,Equivalencia!$5:$23,((MAX(Equivalencia!$3:$3)-YEAR(G2001))*14)+MONTH(G2001)+2,FALSE))))</f>
        <v>0</v>
      </c>
      <c r="M2001" s="306">
        <f t="shared" si="530"/>
        <v>0</v>
      </c>
      <c r="N2001" s="305">
        <f>IF(G2001=0,0,(IF(OR(E2001=$AT$5,E2001=$AT$6),AC2001,HLOOKUP(YEAR(G2001)+(MONTH(G2001)/100),TC!$5:$37,DAY(G2001)+2,FALSE))))</f>
        <v>0</v>
      </c>
      <c r="O2001" s="307">
        <f t="shared" si="531"/>
        <v>0</v>
      </c>
      <c r="P2001" s="560">
        <f>IF(G2001=0,0,VLOOKUP(YEAR(G2001),INPC!$B$4:$P$30,MONTH(G2001)+2))</f>
        <v>0</v>
      </c>
      <c r="Q2001" s="560">
        <f>IF(X2001=0,0,IF(OR(E2001=$AT$10,E2001=$AT$9),VLOOKUP(YEAR(X2001),INPC!$B$4:$P$30,MONTH(X2001)+1),VLOOKUP(YEAR(X2001),INPC!$B$4:$P$30,MONTH(X2001)+2,0)))</f>
        <v>0</v>
      </c>
      <c r="R2001" s="309">
        <f t="shared" si="532"/>
        <v>0</v>
      </c>
      <c r="S2001" s="310">
        <f t="shared" si="533"/>
        <v>0</v>
      </c>
      <c r="T2001" s="555">
        <f t="shared" si="534"/>
        <v>0</v>
      </c>
      <c r="U2001" s="311"/>
      <c r="V2001" s="312"/>
      <c r="W2001" s="299"/>
      <c r="X2001" s="300"/>
      <c r="Y2001" s="299"/>
      <c r="Z2001" s="303"/>
      <c r="AA2001" s="305">
        <f>IF(Z2001=0,0,IF(Y2001="MXN",1/HLOOKUP(YEAR(X2001)+(MONTH(X2001)/100),TC!$5:$37,DAY(X2001)+2,FALSE),VLOOKUP(Y2001,Equivalencia!$1:$23,((MAX(Equivalencia!$3:$3)-YEAR(X2001))*14)+MONTH(X2001)+2,FALSE)))</f>
        <v>0</v>
      </c>
      <c r="AB2001" s="306">
        <f t="shared" si="535"/>
        <v>0</v>
      </c>
      <c r="AC2001" s="305">
        <f>+IF(X2001=0,0,HLOOKUP(YEAR(X2001)+(MONTH(X2001)/100),TC!$5:$37,DAY(X2001)+2,FALSE))</f>
        <v>0</v>
      </c>
      <c r="AD2001" s="307">
        <f t="shared" si="536"/>
        <v>0</v>
      </c>
      <c r="AE2001" s="314">
        <f t="shared" si="537"/>
        <v>0</v>
      </c>
      <c r="AF2001" s="315">
        <f t="shared" si="538"/>
        <v>0</v>
      </c>
      <c r="AG2001" s="316">
        <f t="shared" si="539"/>
        <v>0</v>
      </c>
      <c r="AH2001" s="314">
        <v>1</v>
      </c>
      <c r="AI2001" s="314">
        <f t="shared" si="540"/>
        <v>0</v>
      </c>
      <c r="AJ2001" s="314">
        <f t="shared" si="541"/>
        <v>0</v>
      </c>
      <c r="AK2001" s="317"/>
      <c r="AL2001" s="315">
        <f t="shared" si="542"/>
        <v>0</v>
      </c>
      <c r="AN2001" s="554">
        <f t="shared" si="543"/>
        <v>0</v>
      </c>
      <c r="AO2001" s="314"/>
      <c r="AP2001" s="318"/>
    </row>
    <row r="2002" spans="2:42">
      <c r="B2002" s="296"/>
      <c r="C2002" s="299"/>
      <c r="D2002" s="298"/>
      <c r="E2002" s="299"/>
      <c r="F2002" s="299"/>
      <c r="G2002" s="300"/>
      <c r="H2002" s="303"/>
      <c r="I2002" s="301">
        <f t="shared" si="527"/>
        <v>0</v>
      </c>
      <c r="J2002" s="302">
        <f t="shared" si="528"/>
        <v>0</v>
      </c>
      <c r="K2002" s="304">
        <f t="shared" si="529"/>
        <v>0</v>
      </c>
      <c r="L2002" s="305">
        <f>IF(H2002=0,0,IF(OR(E2002=$AT$5,E2002=$AT$6),AA2002,IF(F2002="MXN",1/HLOOKUP(YEAR(G2002)+(MONTH(G2002)/100),TC!$5:$37,DAY(G2002)+2,FALSE),VLOOKUP(F2002,Equivalencia!$5:$23,((MAX(Equivalencia!$3:$3)-YEAR(G2002))*14)+MONTH(G2002)+2,FALSE))))</f>
        <v>0</v>
      </c>
      <c r="M2002" s="306">
        <f t="shared" si="530"/>
        <v>0</v>
      </c>
      <c r="N2002" s="305">
        <f>IF(G2002=0,0,(IF(OR(E2002=$AT$5,E2002=$AT$6),AC2002,HLOOKUP(YEAR(G2002)+(MONTH(G2002)/100),TC!$5:$37,DAY(G2002)+2,FALSE))))</f>
        <v>0</v>
      </c>
      <c r="O2002" s="307">
        <f t="shared" si="531"/>
        <v>0</v>
      </c>
      <c r="P2002" s="560">
        <f>IF(G2002=0,0,VLOOKUP(YEAR(G2002),INPC!$B$4:$P$30,MONTH(G2002)+2))</f>
        <v>0</v>
      </c>
      <c r="Q2002" s="560">
        <f>IF(X2002=0,0,IF(OR(E2002=$AT$10,E2002=$AT$9),VLOOKUP(YEAR(X2002),INPC!$B$4:$P$30,MONTH(X2002)+1),VLOOKUP(YEAR(X2002),INPC!$B$4:$P$30,MONTH(X2002)+2,0)))</f>
        <v>0</v>
      </c>
      <c r="R2002" s="309">
        <f t="shared" si="532"/>
        <v>0</v>
      </c>
      <c r="S2002" s="310">
        <f t="shared" si="533"/>
        <v>0</v>
      </c>
      <c r="T2002" s="555">
        <f t="shared" si="534"/>
        <v>0</v>
      </c>
      <c r="U2002" s="311"/>
      <c r="V2002" s="312"/>
      <c r="W2002" s="299"/>
      <c r="X2002" s="300"/>
      <c r="Y2002" s="299"/>
      <c r="Z2002" s="303"/>
      <c r="AA2002" s="305">
        <f>IF(Z2002=0,0,IF(Y2002="MXN",1/HLOOKUP(YEAR(X2002)+(MONTH(X2002)/100),TC!$5:$37,DAY(X2002)+2,FALSE),VLOOKUP(Y2002,Equivalencia!$1:$23,((MAX(Equivalencia!$3:$3)-YEAR(X2002))*14)+MONTH(X2002)+2,FALSE)))</f>
        <v>0</v>
      </c>
      <c r="AB2002" s="306">
        <f t="shared" si="535"/>
        <v>0</v>
      </c>
      <c r="AC2002" s="305">
        <f>+IF(X2002=0,0,HLOOKUP(YEAR(X2002)+(MONTH(X2002)/100),TC!$5:$37,DAY(X2002)+2,FALSE))</f>
        <v>0</v>
      </c>
      <c r="AD2002" s="307">
        <f t="shared" si="536"/>
        <v>0</v>
      </c>
      <c r="AE2002" s="314">
        <f t="shared" si="537"/>
        <v>0</v>
      </c>
      <c r="AF2002" s="315">
        <f t="shared" si="538"/>
        <v>0</v>
      </c>
      <c r="AG2002" s="316">
        <f t="shared" si="539"/>
        <v>0</v>
      </c>
      <c r="AH2002" s="314">
        <v>1</v>
      </c>
      <c r="AI2002" s="314">
        <f t="shared" si="540"/>
        <v>0</v>
      </c>
      <c r="AJ2002" s="314">
        <f t="shared" si="541"/>
        <v>0</v>
      </c>
      <c r="AK2002" s="317"/>
      <c r="AL2002" s="315">
        <f t="shared" si="542"/>
        <v>0</v>
      </c>
      <c r="AN2002" s="554">
        <f t="shared" si="543"/>
        <v>0</v>
      </c>
      <c r="AO2002" s="314"/>
      <c r="AP2002" s="318"/>
    </row>
    <row r="2003" spans="2:42">
      <c r="B2003" s="296"/>
      <c r="C2003" s="299"/>
      <c r="D2003" s="298"/>
      <c r="E2003" s="299"/>
      <c r="F2003" s="299"/>
      <c r="G2003" s="300"/>
      <c r="H2003" s="303"/>
      <c r="I2003" s="301">
        <f t="shared" si="527"/>
        <v>0</v>
      </c>
      <c r="J2003" s="302">
        <f t="shared" si="528"/>
        <v>0</v>
      </c>
      <c r="K2003" s="304">
        <f t="shared" si="529"/>
        <v>0</v>
      </c>
      <c r="L2003" s="305">
        <f>IF(H2003=0,0,IF(OR(E2003=$AT$5,E2003=$AT$6),AA2003,IF(F2003="MXN",1/HLOOKUP(YEAR(G2003)+(MONTH(G2003)/100),TC!$5:$37,DAY(G2003)+2,FALSE),VLOOKUP(F2003,Equivalencia!$5:$23,((MAX(Equivalencia!$3:$3)-YEAR(G2003))*14)+MONTH(G2003)+2,FALSE))))</f>
        <v>0</v>
      </c>
      <c r="M2003" s="306">
        <f t="shared" si="530"/>
        <v>0</v>
      </c>
      <c r="N2003" s="305">
        <f>IF(G2003=0,0,(IF(OR(E2003=$AT$5,E2003=$AT$6),AC2003,HLOOKUP(YEAR(G2003)+(MONTH(G2003)/100),TC!$5:$37,DAY(G2003)+2,FALSE))))</f>
        <v>0</v>
      </c>
      <c r="O2003" s="307">
        <f t="shared" si="531"/>
        <v>0</v>
      </c>
      <c r="P2003" s="560">
        <f>IF(G2003=0,0,VLOOKUP(YEAR(G2003),INPC!$B$4:$P$30,MONTH(G2003)+2))</f>
        <v>0</v>
      </c>
      <c r="Q2003" s="560">
        <f>IF(X2003=0,0,IF(OR(E2003=$AT$10,E2003=$AT$9),VLOOKUP(YEAR(X2003),INPC!$B$4:$P$30,MONTH(X2003)+1),VLOOKUP(YEAR(X2003),INPC!$B$4:$P$30,MONTH(X2003)+2,0)))</f>
        <v>0</v>
      </c>
      <c r="R2003" s="309">
        <f t="shared" si="532"/>
        <v>0</v>
      </c>
      <c r="S2003" s="310">
        <f t="shared" si="533"/>
        <v>0</v>
      </c>
      <c r="T2003" s="555">
        <f t="shared" si="534"/>
        <v>0</v>
      </c>
      <c r="U2003" s="311"/>
      <c r="V2003" s="312"/>
      <c r="W2003" s="299"/>
      <c r="X2003" s="300"/>
      <c r="Y2003" s="299"/>
      <c r="Z2003" s="303"/>
      <c r="AA2003" s="305">
        <f>IF(Z2003=0,0,IF(Y2003="MXN",1/HLOOKUP(YEAR(X2003)+(MONTH(X2003)/100),TC!$5:$37,DAY(X2003)+2,FALSE),VLOOKUP(Y2003,Equivalencia!$1:$23,((MAX(Equivalencia!$3:$3)-YEAR(X2003))*14)+MONTH(X2003)+2,FALSE)))</f>
        <v>0</v>
      </c>
      <c r="AB2003" s="306">
        <f t="shared" si="535"/>
        <v>0</v>
      </c>
      <c r="AC2003" s="305">
        <f>+IF(X2003=0,0,HLOOKUP(YEAR(X2003)+(MONTH(X2003)/100),TC!$5:$37,DAY(X2003)+2,FALSE))</f>
        <v>0</v>
      </c>
      <c r="AD2003" s="307">
        <f t="shared" si="536"/>
        <v>0</v>
      </c>
      <c r="AE2003" s="314">
        <f t="shared" si="537"/>
        <v>0</v>
      </c>
      <c r="AF2003" s="315">
        <f t="shared" si="538"/>
        <v>0</v>
      </c>
      <c r="AG2003" s="316">
        <f t="shared" si="539"/>
        <v>0</v>
      </c>
      <c r="AH2003" s="314">
        <v>1</v>
      </c>
      <c r="AI2003" s="314">
        <f t="shared" si="540"/>
        <v>0</v>
      </c>
      <c r="AJ2003" s="314">
        <f t="shared" si="541"/>
        <v>0</v>
      </c>
      <c r="AK2003" s="317"/>
      <c r="AL2003" s="315">
        <f t="shared" si="542"/>
        <v>0</v>
      </c>
      <c r="AN2003" s="554">
        <f t="shared" si="543"/>
        <v>0</v>
      </c>
      <c r="AO2003" s="314"/>
      <c r="AP2003" s="318"/>
    </row>
    <row r="2004" spans="2:42">
      <c r="B2004" s="296"/>
      <c r="C2004" s="299"/>
      <c r="D2004" s="298"/>
      <c r="E2004" s="299"/>
      <c r="F2004" s="299"/>
      <c r="G2004" s="300"/>
      <c r="H2004" s="303"/>
      <c r="I2004" s="301">
        <f t="shared" si="527"/>
        <v>0</v>
      </c>
      <c r="J2004" s="302">
        <f t="shared" si="528"/>
        <v>0</v>
      </c>
      <c r="K2004" s="304">
        <f t="shared" si="529"/>
        <v>0</v>
      </c>
      <c r="L2004" s="305">
        <f>IF(H2004=0,0,IF(OR(E2004=$AT$5,E2004=$AT$6),AA2004,IF(F2004="MXN",1/HLOOKUP(YEAR(G2004)+(MONTH(G2004)/100),TC!$5:$37,DAY(G2004)+2,FALSE),VLOOKUP(F2004,Equivalencia!$5:$23,((MAX(Equivalencia!$3:$3)-YEAR(G2004))*14)+MONTH(G2004)+2,FALSE))))</f>
        <v>0</v>
      </c>
      <c r="M2004" s="306">
        <f t="shared" si="530"/>
        <v>0</v>
      </c>
      <c r="N2004" s="305">
        <f>IF(G2004=0,0,(IF(OR(E2004=$AT$5,E2004=$AT$6),AC2004,HLOOKUP(YEAR(G2004)+(MONTH(G2004)/100),TC!$5:$37,DAY(G2004)+2,FALSE))))</f>
        <v>0</v>
      </c>
      <c r="O2004" s="307">
        <f t="shared" si="531"/>
        <v>0</v>
      </c>
      <c r="P2004" s="560">
        <f>IF(G2004=0,0,VLOOKUP(YEAR(G2004),INPC!$B$4:$P$30,MONTH(G2004)+2))</f>
        <v>0</v>
      </c>
      <c r="Q2004" s="560">
        <f>IF(X2004=0,0,IF(OR(E2004=$AT$10,E2004=$AT$9),VLOOKUP(YEAR(X2004),INPC!$B$4:$P$30,MONTH(X2004)+1),VLOOKUP(YEAR(X2004),INPC!$B$4:$P$30,MONTH(X2004)+2,0)))</f>
        <v>0</v>
      </c>
      <c r="R2004" s="309">
        <f t="shared" si="532"/>
        <v>0</v>
      </c>
      <c r="S2004" s="310">
        <f t="shared" si="533"/>
        <v>0</v>
      </c>
      <c r="T2004" s="555">
        <f t="shared" si="534"/>
        <v>0</v>
      </c>
      <c r="U2004" s="311"/>
      <c r="V2004" s="312"/>
      <c r="W2004" s="299"/>
      <c r="X2004" s="300"/>
      <c r="Y2004" s="299"/>
      <c r="Z2004" s="303"/>
      <c r="AA2004" s="305">
        <f>IF(Z2004=0,0,IF(Y2004="MXN",1/HLOOKUP(YEAR(X2004)+(MONTH(X2004)/100),TC!$5:$37,DAY(X2004)+2,FALSE),VLOOKUP(Y2004,Equivalencia!$1:$23,((MAX(Equivalencia!$3:$3)-YEAR(X2004))*14)+MONTH(X2004)+2,FALSE)))</f>
        <v>0</v>
      </c>
      <c r="AB2004" s="306">
        <f t="shared" si="535"/>
        <v>0</v>
      </c>
      <c r="AC2004" s="305">
        <f>+IF(X2004=0,0,HLOOKUP(YEAR(X2004)+(MONTH(X2004)/100),TC!$5:$37,DAY(X2004)+2,FALSE))</f>
        <v>0</v>
      </c>
      <c r="AD2004" s="307">
        <f t="shared" si="536"/>
        <v>0</v>
      </c>
      <c r="AE2004" s="314">
        <f t="shared" si="537"/>
        <v>0</v>
      </c>
      <c r="AF2004" s="315">
        <f t="shared" si="538"/>
        <v>0</v>
      </c>
      <c r="AG2004" s="316">
        <f t="shared" si="539"/>
        <v>0</v>
      </c>
      <c r="AH2004" s="314">
        <v>1</v>
      </c>
      <c r="AI2004" s="314">
        <f t="shared" si="540"/>
        <v>0</v>
      </c>
      <c r="AJ2004" s="314">
        <f t="shared" si="541"/>
        <v>0</v>
      </c>
      <c r="AK2004" s="317"/>
      <c r="AL2004" s="315">
        <f t="shared" si="542"/>
        <v>0</v>
      </c>
      <c r="AN2004" s="554">
        <f t="shared" si="543"/>
        <v>0</v>
      </c>
      <c r="AO2004" s="314"/>
      <c r="AP2004" s="318"/>
    </row>
    <row r="2005" spans="2:42">
      <c r="B2005" s="296"/>
      <c r="C2005" s="299"/>
      <c r="D2005" s="298"/>
      <c r="E2005" s="299"/>
      <c r="F2005" s="299"/>
      <c r="G2005" s="300"/>
      <c r="H2005" s="303"/>
      <c r="I2005" s="301">
        <f t="shared" si="527"/>
        <v>0</v>
      </c>
      <c r="J2005" s="302">
        <f t="shared" si="528"/>
        <v>0</v>
      </c>
      <c r="K2005" s="304">
        <f t="shared" si="529"/>
        <v>0</v>
      </c>
      <c r="L2005" s="305">
        <f>IF(H2005=0,0,IF(OR(E2005=$AT$5,E2005=$AT$6),AA2005,IF(F2005="MXN",1/HLOOKUP(YEAR(G2005)+(MONTH(G2005)/100),TC!$5:$37,DAY(G2005)+2,FALSE),VLOOKUP(F2005,Equivalencia!$5:$23,((MAX(Equivalencia!$3:$3)-YEAR(G2005))*14)+MONTH(G2005)+2,FALSE))))</f>
        <v>0</v>
      </c>
      <c r="M2005" s="306">
        <f t="shared" si="530"/>
        <v>0</v>
      </c>
      <c r="N2005" s="305">
        <f>IF(G2005=0,0,(IF(OR(E2005=$AT$5,E2005=$AT$6),AC2005,HLOOKUP(YEAR(G2005)+(MONTH(G2005)/100),TC!$5:$37,DAY(G2005)+2,FALSE))))</f>
        <v>0</v>
      </c>
      <c r="O2005" s="307">
        <f t="shared" si="531"/>
        <v>0</v>
      </c>
      <c r="P2005" s="560">
        <f>IF(G2005=0,0,VLOOKUP(YEAR(G2005),INPC!$B$4:$P$30,MONTH(G2005)+2))</f>
        <v>0</v>
      </c>
      <c r="Q2005" s="560">
        <f>IF(X2005=0,0,IF(OR(E2005=$AT$10,E2005=$AT$9),VLOOKUP(YEAR(X2005),INPC!$B$4:$P$30,MONTH(X2005)+1),VLOOKUP(YEAR(X2005),INPC!$B$4:$P$30,MONTH(X2005)+2,0)))</f>
        <v>0</v>
      </c>
      <c r="R2005" s="309">
        <f t="shared" si="532"/>
        <v>0</v>
      </c>
      <c r="S2005" s="310">
        <f t="shared" si="533"/>
        <v>0</v>
      </c>
      <c r="T2005" s="555">
        <f t="shared" si="534"/>
        <v>0</v>
      </c>
      <c r="U2005" s="311"/>
      <c r="V2005" s="312"/>
      <c r="W2005" s="299"/>
      <c r="X2005" s="300"/>
      <c r="Y2005" s="299"/>
      <c r="Z2005" s="303"/>
      <c r="AA2005" s="305">
        <f>IF(Z2005=0,0,IF(Y2005="MXN",1/HLOOKUP(YEAR(X2005)+(MONTH(X2005)/100),TC!$5:$37,DAY(X2005)+2,FALSE),VLOOKUP(Y2005,Equivalencia!$1:$23,((MAX(Equivalencia!$3:$3)-YEAR(X2005))*14)+MONTH(X2005)+2,FALSE)))</f>
        <v>0</v>
      </c>
      <c r="AB2005" s="306">
        <f t="shared" si="535"/>
        <v>0</v>
      </c>
      <c r="AC2005" s="305">
        <f>+IF(X2005=0,0,HLOOKUP(YEAR(X2005)+(MONTH(X2005)/100),TC!$5:$37,DAY(X2005)+2,FALSE))</f>
        <v>0</v>
      </c>
      <c r="AD2005" s="307">
        <f t="shared" si="536"/>
        <v>0</v>
      </c>
      <c r="AE2005" s="314">
        <f t="shared" si="537"/>
        <v>0</v>
      </c>
      <c r="AF2005" s="315">
        <f t="shared" si="538"/>
        <v>0</v>
      </c>
      <c r="AG2005" s="316">
        <f t="shared" si="539"/>
        <v>0</v>
      </c>
      <c r="AH2005" s="314">
        <v>1</v>
      </c>
      <c r="AI2005" s="314">
        <f t="shared" si="540"/>
        <v>0</v>
      </c>
      <c r="AJ2005" s="314">
        <f t="shared" si="541"/>
        <v>0</v>
      </c>
      <c r="AK2005" s="317"/>
      <c r="AL2005" s="315">
        <f t="shared" si="542"/>
        <v>0</v>
      </c>
      <c r="AN2005" s="554">
        <f t="shared" si="543"/>
        <v>0</v>
      </c>
      <c r="AO2005" s="314"/>
      <c r="AP2005" s="318"/>
    </row>
    <row r="2006" spans="2:42">
      <c r="B2006" s="296"/>
      <c r="C2006" s="299"/>
      <c r="D2006" s="298"/>
      <c r="E2006" s="299"/>
      <c r="F2006" s="299"/>
      <c r="G2006" s="300"/>
      <c r="H2006" s="303"/>
      <c r="I2006" s="301">
        <f t="shared" si="527"/>
        <v>0</v>
      </c>
      <c r="J2006" s="302">
        <f t="shared" si="528"/>
        <v>0</v>
      </c>
      <c r="K2006" s="304">
        <f t="shared" si="529"/>
        <v>0</v>
      </c>
      <c r="L2006" s="305">
        <f>IF(H2006=0,0,IF(OR(E2006=$AT$5,E2006=$AT$6),AA2006,IF(F2006="MXN",1/HLOOKUP(YEAR(G2006)+(MONTH(G2006)/100),TC!$5:$37,DAY(G2006)+2,FALSE),VLOOKUP(F2006,Equivalencia!$5:$23,((MAX(Equivalencia!$3:$3)-YEAR(G2006))*14)+MONTH(G2006)+2,FALSE))))</f>
        <v>0</v>
      </c>
      <c r="M2006" s="306">
        <f t="shared" si="530"/>
        <v>0</v>
      </c>
      <c r="N2006" s="305">
        <f>IF(G2006=0,0,(IF(OR(E2006=$AT$5,E2006=$AT$6),AC2006,HLOOKUP(YEAR(G2006)+(MONTH(G2006)/100),TC!$5:$37,DAY(G2006)+2,FALSE))))</f>
        <v>0</v>
      </c>
      <c r="O2006" s="307">
        <f t="shared" si="531"/>
        <v>0</v>
      </c>
      <c r="P2006" s="560">
        <f>IF(G2006=0,0,VLOOKUP(YEAR(G2006),INPC!$B$4:$P$30,MONTH(G2006)+2))</f>
        <v>0</v>
      </c>
      <c r="Q2006" s="560">
        <f>IF(X2006=0,0,IF(OR(E2006=$AT$10,E2006=$AT$9),VLOOKUP(YEAR(X2006),INPC!$B$4:$P$30,MONTH(X2006)+1),VLOOKUP(YEAR(X2006),INPC!$B$4:$P$30,MONTH(X2006)+2,0)))</f>
        <v>0</v>
      </c>
      <c r="R2006" s="309">
        <f t="shared" si="532"/>
        <v>0</v>
      </c>
      <c r="S2006" s="310">
        <f t="shared" si="533"/>
        <v>0</v>
      </c>
      <c r="T2006" s="555">
        <f t="shared" si="534"/>
        <v>0</v>
      </c>
      <c r="U2006" s="311"/>
      <c r="V2006" s="312"/>
      <c r="W2006" s="299"/>
      <c r="X2006" s="300"/>
      <c r="Y2006" s="299"/>
      <c r="Z2006" s="303"/>
      <c r="AA2006" s="305">
        <f>IF(Z2006=0,0,IF(Y2006="MXN",1/HLOOKUP(YEAR(X2006)+(MONTH(X2006)/100),TC!$5:$37,DAY(X2006)+2,FALSE),VLOOKUP(Y2006,Equivalencia!$1:$23,((MAX(Equivalencia!$3:$3)-YEAR(X2006))*14)+MONTH(X2006)+2,FALSE)))</f>
        <v>0</v>
      </c>
      <c r="AB2006" s="306">
        <f t="shared" si="535"/>
        <v>0</v>
      </c>
      <c r="AC2006" s="305">
        <f>+IF(X2006=0,0,HLOOKUP(YEAR(X2006)+(MONTH(X2006)/100),TC!$5:$37,DAY(X2006)+2,FALSE))</f>
        <v>0</v>
      </c>
      <c r="AD2006" s="307">
        <f t="shared" si="536"/>
        <v>0</v>
      </c>
      <c r="AE2006" s="314">
        <f t="shared" si="537"/>
        <v>0</v>
      </c>
      <c r="AF2006" s="315">
        <f t="shared" si="538"/>
        <v>0</v>
      </c>
      <c r="AG2006" s="316">
        <f t="shared" si="539"/>
        <v>0</v>
      </c>
      <c r="AH2006" s="314">
        <v>1</v>
      </c>
      <c r="AI2006" s="314">
        <f t="shared" si="540"/>
        <v>0</v>
      </c>
      <c r="AJ2006" s="314">
        <f t="shared" si="541"/>
        <v>0</v>
      </c>
      <c r="AK2006" s="317"/>
      <c r="AL2006" s="315">
        <f t="shared" si="542"/>
        <v>0</v>
      </c>
      <c r="AN2006" s="554">
        <f t="shared" si="543"/>
        <v>0</v>
      </c>
      <c r="AO2006" s="314"/>
      <c r="AP2006" s="318"/>
    </row>
    <row r="2007" spans="2:42">
      <c r="B2007" s="296"/>
      <c r="C2007" s="299"/>
      <c r="D2007" s="298"/>
      <c r="E2007" s="299"/>
      <c r="F2007" s="299"/>
      <c r="G2007" s="300"/>
      <c r="H2007" s="303"/>
      <c r="I2007" s="301">
        <f t="shared" si="527"/>
        <v>0</v>
      </c>
      <c r="J2007" s="302">
        <f t="shared" si="528"/>
        <v>0</v>
      </c>
      <c r="K2007" s="304">
        <f t="shared" si="529"/>
        <v>0</v>
      </c>
      <c r="L2007" s="305">
        <f>IF(H2007=0,0,IF(OR(E2007=$AT$5,E2007=$AT$6),AA2007,IF(F2007="MXN",1/HLOOKUP(YEAR(G2007)+(MONTH(G2007)/100),TC!$5:$37,DAY(G2007)+2,FALSE),VLOOKUP(F2007,Equivalencia!$5:$23,((MAX(Equivalencia!$3:$3)-YEAR(G2007))*14)+MONTH(G2007)+2,FALSE))))</f>
        <v>0</v>
      </c>
      <c r="M2007" s="306">
        <f t="shared" si="530"/>
        <v>0</v>
      </c>
      <c r="N2007" s="305">
        <f>IF(G2007=0,0,(IF(OR(E2007=$AT$5,E2007=$AT$6),AC2007,HLOOKUP(YEAR(G2007)+(MONTH(G2007)/100),TC!$5:$37,DAY(G2007)+2,FALSE))))</f>
        <v>0</v>
      </c>
      <c r="O2007" s="307">
        <f t="shared" si="531"/>
        <v>0</v>
      </c>
      <c r="P2007" s="560">
        <f>IF(G2007=0,0,VLOOKUP(YEAR(G2007),INPC!$B$4:$P$30,MONTH(G2007)+2))</f>
        <v>0</v>
      </c>
      <c r="Q2007" s="560">
        <f>IF(X2007=0,0,IF(OR(E2007=$AT$10,E2007=$AT$9),VLOOKUP(YEAR(X2007),INPC!$B$4:$P$30,MONTH(X2007)+1),VLOOKUP(YEAR(X2007),INPC!$B$4:$P$30,MONTH(X2007)+2,0)))</f>
        <v>0</v>
      </c>
      <c r="R2007" s="309">
        <f t="shared" si="532"/>
        <v>0</v>
      </c>
      <c r="S2007" s="310">
        <f t="shared" si="533"/>
        <v>0</v>
      </c>
      <c r="T2007" s="555">
        <f t="shared" si="534"/>
        <v>0</v>
      </c>
      <c r="U2007" s="311"/>
      <c r="V2007" s="312"/>
      <c r="W2007" s="299"/>
      <c r="X2007" s="300"/>
      <c r="Y2007" s="299"/>
      <c r="Z2007" s="303"/>
      <c r="AA2007" s="305">
        <f>IF(Z2007=0,0,IF(Y2007="MXN",1/HLOOKUP(YEAR(X2007)+(MONTH(X2007)/100),TC!$5:$37,DAY(X2007)+2,FALSE),VLOOKUP(Y2007,Equivalencia!$1:$23,((MAX(Equivalencia!$3:$3)-YEAR(X2007))*14)+MONTH(X2007)+2,FALSE)))</f>
        <v>0</v>
      </c>
      <c r="AB2007" s="306">
        <f t="shared" si="535"/>
        <v>0</v>
      </c>
      <c r="AC2007" s="305">
        <f>+IF(X2007=0,0,HLOOKUP(YEAR(X2007)+(MONTH(X2007)/100),TC!$5:$37,DAY(X2007)+2,FALSE))</f>
        <v>0</v>
      </c>
      <c r="AD2007" s="307">
        <f t="shared" si="536"/>
        <v>0</v>
      </c>
      <c r="AE2007" s="314">
        <f t="shared" si="537"/>
        <v>0</v>
      </c>
      <c r="AF2007" s="315">
        <f t="shared" si="538"/>
        <v>0</v>
      </c>
      <c r="AG2007" s="316">
        <f t="shared" si="539"/>
        <v>0</v>
      </c>
      <c r="AH2007" s="314">
        <v>1</v>
      </c>
      <c r="AI2007" s="314">
        <f t="shared" si="540"/>
        <v>0</v>
      </c>
      <c r="AJ2007" s="314">
        <f t="shared" si="541"/>
        <v>0</v>
      </c>
      <c r="AK2007" s="317"/>
      <c r="AL2007" s="315">
        <f t="shared" si="542"/>
        <v>0</v>
      </c>
      <c r="AN2007" s="554">
        <f t="shared" si="543"/>
        <v>0</v>
      </c>
      <c r="AO2007" s="314"/>
      <c r="AP2007" s="318"/>
    </row>
    <row r="2008" spans="2:42">
      <c r="B2008" s="296"/>
      <c r="C2008" s="299"/>
      <c r="D2008" s="298"/>
      <c r="E2008" s="299"/>
      <c r="F2008" s="299"/>
      <c r="G2008" s="300"/>
      <c r="H2008" s="303"/>
      <c r="I2008" s="301">
        <f t="shared" si="527"/>
        <v>0</v>
      </c>
      <c r="J2008" s="302">
        <f t="shared" si="528"/>
        <v>0</v>
      </c>
      <c r="K2008" s="304">
        <f t="shared" si="529"/>
        <v>0</v>
      </c>
      <c r="L2008" s="305">
        <f>IF(H2008=0,0,IF(OR(E2008=$AT$5,E2008=$AT$6),AA2008,IF(F2008="MXN",1/HLOOKUP(YEAR(G2008)+(MONTH(G2008)/100),TC!$5:$37,DAY(G2008)+2,FALSE),VLOOKUP(F2008,Equivalencia!$5:$23,((MAX(Equivalencia!$3:$3)-YEAR(G2008))*14)+MONTH(G2008)+2,FALSE))))</f>
        <v>0</v>
      </c>
      <c r="M2008" s="306">
        <f t="shared" si="530"/>
        <v>0</v>
      </c>
      <c r="N2008" s="305">
        <f>IF(G2008=0,0,(IF(OR(E2008=$AT$5,E2008=$AT$6),AC2008,HLOOKUP(YEAR(G2008)+(MONTH(G2008)/100),TC!$5:$37,DAY(G2008)+2,FALSE))))</f>
        <v>0</v>
      </c>
      <c r="O2008" s="307">
        <f t="shared" si="531"/>
        <v>0</v>
      </c>
      <c r="P2008" s="560">
        <f>IF(G2008=0,0,VLOOKUP(YEAR(G2008),INPC!$B$4:$P$30,MONTH(G2008)+2))</f>
        <v>0</v>
      </c>
      <c r="Q2008" s="560">
        <f>IF(X2008=0,0,IF(OR(E2008=$AT$10,E2008=$AT$9),VLOOKUP(YEAR(X2008),INPC!$B$4:$P$30,MONTH(X2008)+1),VLOOKUP(YEAR(X2008),INPC!$B$4:$P$30,MONTH(X2008)+2,0)))</f>
        <v>0</v>
      </c>
      <c r="R2008" s="309">
        <f t="shared" si="532"/>
        <v>0</v>
      </c>
      <c r="S2008" s="310">
        <f t="shared" si="533"/>
        <v>0</v>
      </c>
      <c r="T2008" s="555">
        <f t="shared" si="534"/>
        <v>0</v>
      </c>
      <c r="U2008" s="311"/>
      <c r="V2008" s="312"/>
      <c r="W2008" s="299"/>
      <c r="X2008" s="300"/>
      <c r="Y2008" s="299"/>
      <c r="Z2008" s="303"/>
      <c r="AA2008" s="305">
        <f>IF(Z2008=0,0,IF(Y2008="MXN",1/HLOOKUP(YEAR(X2008)+(MONTH(X2008)/100),TC!$5:$37,DAY(X2008)+2,FALSE),VLOOKUP(Y2008,Equivalencia!$1:$23,((MAX(Equivalencia!$3:$3)-YEAR(X2008))*14)+MONTH(X2008)+2,FALSE)))</f>
        <v>0</v>
      </c>
      <c r="AB2008" s="306">
        <f t="shared" si="535"/>
        <v>0</v>
      </c>
      <c r="AC2008" s="305">
        <f>+IF(X2008=0,0,HLOOKUP(YEAR(X2008)+(MONTH(X2008)/100),TC!$5:$37,DAY(X2008)+2,FALSE))</f>
        <v>0</v>
      </c>
      <c r="AD2008" s="307">
        <f t="shared" si="536"/>
        <v>0</v>
      </c>
      <c r="AE2008" s="314">
        <f t="shared" si="537"/>
        <v>0</v>
      </c>
      <c r="AF2008" s="315">
        <f t="shared" si="538"/>
        <v>0</v>
      </c>
      <c r="AG2008" s="316">
        <f t="shared" si="539"/>
        <v>0</v>
      </c>
      <c r="AH2008" s="314">
        <v>1</v>
      </c>
      <c r="AI2008" s="314">
        <f t="shared" si="540"/>
        <v>0</v>
      </c>
      <c r="AJ2008" s="314">
        <f t="shared" si="541"/>
        <v>0</v>
      </c>
      <c r="AK2008" s="317"/>
      <c r="AL2008" s="315">
        <f t="shared" si="542"/>
        <v>0</v>
      </c>
      <c r="AN2008" s="554">
        <f t="shared" si="543"/>
        <v>0</v>
      </c>
      <c r="AO2008" s="314"/>
      <c r="AP2008" s="318"/>
    </row>
    <row r="2009" spans="2:42">
      <c r="B2009" s="296"/>
      <c r="C2009" s="299"/>
      <c r="D2009" s="298"/>
      <c r="E2009" s="299"/>
      <c r="F2009" s="299"/>
      <c r="G2009" s="300"/>
      <c r="H2009" s="303"/>
      <c r="I2009" s="301">
        <f t="shared" si="527"/>
        <v>0</v>
      </c>
      <c r="J2009" s="302">
        <f t="shared" si="528"/>
        <v>0</v>
      </c>
      <c r="K2009" s="304">
        <f t="shared" si="529"/>
        <v>0</v>
      </c>
      <c r="L2009" s="305">
        <f>IF(H2009=0,0,IF(OR(E2009=$AT$5,E2009=$AT$6),AA2009,IF(F2009="MXN",1/HLOOKUP(YEAR(G2009)+(MONTH(G2009)/100),TC!$5:$37,DAY(G2009)+2,FALSE),VLOOKUP(F2009,Equivalencia!$5:$23,((MAX(Equivalencia!$3:$3)-YEAR(G2009))*14)+MONTH(G2009)+2,FALSE))))</f>
        <v>0</v>
      </c>
      <c r="M2009" s="306">
        <f t="shared" si="530"/>
        <v>0</v>
      </c>
      <c r="N2009" s="305">
        <f>IF(G2009=0,0,(IF(OR(E2009=$AT$5,E2009=$AT$6),AC2009,HLOOKUP(YEAR(G2009)+(MONTH(G2009)/100),TC!$5:$37,DAY(G2009)+2,FALSE))))</f>
        <v>0</v>
      </c>
      <c r="O2009" s="307">
        <f t="shared" si="531"/>
        <v>0</v>
      </c>
      <c r="P2009" s="560">
        <f>IF(G2009=0,0,VLOOKUP(YEAR(G2009),INPC!$B$4:$P$30,MONTH(G2009)+2))</f>
        <v>0</v>
      </c>
      <c r="Q2009" s="560">
        <f>IF(X2009=0,0,IF(OR(E2009=$AT$10,E2009=$AT$9),VLOOKUP(YEAR(X2009),INPC!$B$4:$P$30,MONTH(X2009)+1),VLOOKUP(YEAR(X2009),INPC!$B$4:$P$30,MONTH(X2009)+2,0)))</f>
        <v>0</v>
      </c>
      <c r="R2009" s="309">
        <f t="shared" si="532"/>
        <v>0</v>
      </c>
      <c r="S2009" s="310">
        <f t="shared" si="533"/>
        <v>0</v>
      </c>
      <c r="T2009" s="555">
        <f t="shared" si="534"/>
        <v>0</v>
      </c>
      <c r="U2009" s="311"/>
      <c r="V2009" s="312"/>
      <c r="W2009" s="299"/>
      <c r="X2009" s="300"/>
      <c r="Y2009" s="299"/>
      <c r="Z2009" s="303"/>
      <c r="AA2009" s="305">
        <f>IF(Z2009=0,0,IF(Y2009="MXN",1/HLOOKUP(YEAR(X2009)+(MONTH(X2009)/100),TC!$5:$37,DAY(X2009)+2,FALSE),VLOOKUP(Y2009,Equivalencia!$1:$23,((MAX(Equivalencia!$3:$3)-YEAR(X2009))*14)+MONTH(X2009)+2,FALSE)))</f>
        <v>0</v>
      </c>
      <c r="AB2009" s="306">
        <f t="shared" si="535"/>
        <v>0</v>
      </c>
      <c r="AC2009" s="305">
        <f>+IF(X2009=0,0,HLOOKUP(YEAR(X2009)+(MONTH(X2009)/100),TC!$5:$37,DAY(X2009)+2,FALSE))</f>
        <v>0</v>
      </c>
      <c r="AD2009" s="307">
        <f t="shared" si="536"/>
        <v>0</v>
      </c>
      <c r="AE2009" s="314">
        <f t="shared" si="537"/>
        <v>0</v>
      </c>
      <c r="AF2009" s="315">
        <f t="shared" si="538"/>
        <v>0</v>
      </c>
      <c r="AG2009" s="316">
        <f t="shared" si="539"/>
        <v>0</v>
      </c>
      <c r="AH2009" s="314">
        <v>1</v>
      </c>
      <c r="AI2009" s="314">
        <f t="shared" si="540"/>
        <v>0</v>
      </c>
      <c r="AJ2009" s="314">
        <f t="shared" si="541"/>
        <v>0</v>
      </c>
      <c r="AK2009" s="317"/>
      <c r="AL2009" s="315">
        <f t="shared" si="542"/>
        <v>0</v>
      </c>
      <c r="AN2009" s="554">
        <f t="shared" si="543"/>
        <v>0</v>
      </c>
      <c r="AO2009" s="314"/>
      <c r="AP2009" s="318"/>
    </row>
    <row r="2010" spans="2:42">
      <c r="B2010" s="296"/>
      <c r="C2010" s="299"/>
      <c r="D2010" s="298"/>
      <c r="E2010" s="299"/>
      <c r="F2010" s="299"/>
      <c r="G2010" s="300"/>
      <c r="H2010" s="303"/>
      <c r="I2010" s="301">
        <f t="shared" si="527"/>
        <v>0</v>
      </c>
      <c r="J2010" s="302">
        <f t="shared" si="528"/>
        <v>0</v>
      </c>
      <c r="K2010" s="304">
        <f t="shared" si="529"/>
        <v>0</v>
      </c>
      <c r="L2010" s="305">
        <f>IF(H2010=0,0,IF(OR(E2010=$AT$5,E2010=$AT$6),AA2010,IF(F2010="MXN",1/HLOOKUP(YEAR(G2010)+(MONTH(G2010)/100),TC!$5:$37,DAY(G2010)+2,FALSE),VLOOKUP(F2010,Equivalencia!$5:$23,((MAX(Equivalencia!$3:$3)-YEAR(G2010))*14)+MONTH(G2010)+2,FALSE))))</f>
        <v>0</v>
      </c>
      <c r="M2010" s="306">
        <f t="shared" si="530"/>
        <v>0</v>
      </c>
      <c r="N2010" s="305">
        <f>IF(G2010=0,0,(IF(OR(E2010=$AT$5,E2010=$AT$6),AC2010,HLOOKUP(YEAR(G2010)+(MONTH(G2010)/100),TC!$5:$37,DAY(G2010)+2,FALSE))))</f>
        <v>0</v>
      </c>
      <c r="O2010" s="307">
        <f t="shared" si="531"/>
        <v>0</v>
      </c>
      <c r="P2010" s="560">
        <f>IF(G2010=0,0,VLOOKUP(YEAR(G2010),INPC!$B$4:$P$30,MONTH(G2010)+2))</f>
        <v>0</v>
      </c>
      <c r="Q2010" s="560">
        <f>IF(X2010=0,0,IF(OR(E2010=$AT$10,E2010=$AT$9),VLOOKUP(YEAR(X2010),INPC!$B$4:$P$30,MONTH(X2010)+1),VLOOKUP(YEAR(X2010),INPC!$B$4:$P$30,MONTH(X2010)+2,0)))</f>
        <v>0</v>
      </c>
      <c r="R2010" s="309">
        <f t="shared" si="532"/>
        <v>0</v>
      </c>
      <c r="S2010" s="310">
        <f t="shared" si="533"/>
        <v>0</v>
      </c>
      <c r="T2010" s="555">
        <f t="shared" si="534"/>
        <v>0</v>
      </c>
      <c r="U2010" s="311"/>
      <c r="V2010" s="312"/>
      <c r="W2010" s="299"/>
      <c r="X2010" s="300"/>
      <c r="Y2010" s="299"/>
      <c r="Z2010" s="303"/>
      <c r="AA2010" s="305">
        <f>IF(Z2010=0,0,IF(Y2010="MXN",1/HLOOKUP(YEAR(X2010)+(MONTH(X2010)/100),TC!$5:$37,DAY(X2010)+2,FALSE),VLOOKUP(Y2010,Equivalencia!$1:$23,((MAX(Equivalencia!$3:$3)-YEAR(X2010))*14)+MONTH(X2010)+2,FALSE)))</f>
        <v>0</v>
      </c>
      <c r="AB2010" s="306">
        <f t="shared" si="535"/>
        <v>0</v>
      </c>
      <c r="AC2010" s="305">
        <f>+IF(X2010=0,0,HLOOKUP(YEAR(X2010)+(MONTH(X2010)/100),TC!$5:$37,DAY(X2010)+2,FALSE))</f>
        <v>0</v>
      </c>
      <c r="AD2010" s="307">
        <f t="shared" si="536"/>
        <v>0</v>
      </c>
      <c r="AE2010" s="314">
        <f t="shared" si="537"/>
        <v>0</v>
      </c>
      <c r="AF2010" s="315">
        <f t="shared" si="538"/>
        <v>0</v>
      </c>
      <c r="AG2010" s="316">
        <f t="shared" si="539"/>
        <v>0</v>
      </c>
      <c r="AH2010" s="314">
        <v>1</v>
      </c>
      <c r="AI2010" s="314">
        <f t="shared" si="540"/>
        <v>0</v>
      </c>
      <c r="AJ2010" s="314">
        <f t="shared" si="541"/>
        <v>0</v>
      </c>
      <c r="AK2010" s="317"/>
      <c r="AL2010" s="315">
        <f t="shared" si="542"/>
        <v>0</v>
      </c>
      <c r="AN2010" s="554">
        <f t="shared" si="543"/>
        <v>0</v>
      </c>
      <c r="AO2010" s="314"/>
      <c r="AP2010" s="318"/>
    </row>
    <row r="2011" spans="2:42">
      <c r="B2011" s="296"/>
      <c r="C2011" s="299"/>
      <c r="D2011" s="298"/>
      <c r="E2011" s="299"/>
      <c r="F2011" s="299"/>
      <c r="G2011" s="300"/>
      <c r="H2011" s="303"/>
      <c r="I2011" s="301">
        <f t="shared" si="527"/>
        <v>0</v>
      </c>
      <c r="J2011" s="302">
        <f t="shared" si="528"/>
        <v>0</v>
      </c>
      <c r="K2011" s="304">
        <f t="shared" si="529"/>
        <v>0</v>
      </c>
      <c r="L2011" s="305">
        <f>IF(H2011=0,0,IF(OR(E2011=$AT$5,E2011=$AT$6),AA2011,IF(F2011="MXN",1/HLOOKUP(YEAR(G2011)+(MONTH(G2011)/100),TC!$5:$37,DAY(G2011)+2,FALSE),VLOOKUP(F2011,Equivalencia!$5:$23,((MAX(Equivalencia!$3:$3)-YEAR(G2011))*14)+MONTH(G2011)+2,FALSE))))</f>
        <v>0</v>
      </c>
      <c r="M2011" s="306">
        <f t="shared" si="530"/>
        <v>0</v>
      </c>
      <c r="N2011" s="305">
        <f>IF(G2011=0,0,(IF(OR(E2011=$AT$5,E2011=$AT$6),AC2011,HLOOKUP(YEAR(G2011)+(MONTH(G2011)/100),TC!$5:$37,DAY(G2011)+2,FALSE))))</f>
        <v>0</v>
      </c>
      <c r="O2011" s="307">
        <f t="shared" si="531"/>
        <v>0</v>
      </c>
      <c r="P2011" s="560">
        <f>IF(G2011=0,0,VLOOKUP(YEAR(G2011),INPC!$B$4:$P$30,MONTH(G2011)+2))</f>
        <v>0</v>
      </c>
      <c r="Q2011" s="560">
        <f>IF(X2011=0,0,IF(OR(E2011=$AT$10,E2011=$AT$9),VLOOKUP(YEAR(X2011),INPC!$B$4:$P$30,MONTH(X2011)+1),VLOOKUP(YEAR(X2011),INPC!$B$4:$P$30,MONTH(X2011)+2,0)))</f>
        <v>0</v>
      </c>
      <c r="R2011" s="309">
        <f t="shared" si="532"/>
        <v>0</v>
      </c>
      <c r="S2011" s="310">
        <f t="shared" si="533"/>
        <v>0</v>
      </c>
      <c r="T2011" s="555">
        <f t="shared" si="534"/>
        <v>0</v>
      </c>
      <c r="U2011" s="311"/>
      <c r="V2011" s="312"/>
      <c r="W2011" s="299"/>
      <c r="X2011" s="300"/>
      <c r="Y2011" s="299"/>
      <c r="Z2011" s="303"/>
      <c r="AA2011" s="305">
        <f>IF(Z2011=0,0,IF(Y2011="MXN",1/HLOOKUP(YEAR(X2011)+(MONTH(X2011)/100),TC!$5:$37,DAY(X2011)+2,FALSE),VLOOKUP(Y2011,Equivalencia!$1:$23,((MAX(Equivalencia!$3:$3)-YEAR(X2011))*14)+MONTH(X2011)+2,FALSE)))</f>
        <v>0</v>
      </c>
      <c r="AB2011" s="306">
        <f t="shared" si="535"/>
        <v>0</v>
      </c>
      <c r="AC2011" s="305">
        <f>+IF(X2011=0,0,HLOOKUP(YEAR(X2011)+(MONTH(X2011)/100),TC!$5:$37,DAY(X2011)+2,FALSE))</f>
        <v>0</v>
      </c>
      <c r="AD2011" s="307">
        <f t="shared" si="536"/>
        <v>0</v>
      </c>
      <c r="AE2011" s="314">
        <f t="shared" si="537"/>
        <v>0</v>
      </c>
      <c r="AF2011" s="315">
        <f t="shared" si="538"/>
        <v>0</v>
      </c>
      <c r="AG2011" s="316">
        <f t="shared" si="539"/>
        <v>0</v>
      </c>
      <c r="AH2011" s="314">
        <v>1</v>
      </c>
      <c r="AI2011" s="314">
        <f t="shared" si="540"/>
        <v>0</v>
      </c>
      <c r="AJ2011" s="314">
        <f t="shared" si="541"/>
        <v>0</v>
      </c>
      <c r="AK2011" s="317"/>
      <c r="AL2011" s="315">
        <f t="shared" si="542"/>
        <v>0</v>
      </c>
      <c r="AN2011" s="554">
        <f t="shared" si="543"/>
        <v>0</v>
      </c>
      <c r="AO2011" s="314"/>
      <c r="AP2011" s="318"/>
    </row>
    <row r="2012" spans="2:42">
      <c r="B2012" s="296"/>
      <c r="C2012" s="299"/>
      <c r="D2012" s="298"/>
      <c r="E2012" s="299"/>
      <c r="F2012" s="299"/>
      <c r="G2012" s="300"/>
      <c r="H2012" s="303"/>
      <c r="I2012" s="301">
        <f t="shared" si="527"/>
        <v>0</v>
      </c>
      <c r="J2012" s="302">
        <f t="shared" si="528"/>
        <v>0</v>
      </c>
      <c r="K2012" s="304">
        <f t="shared" si="529"/>
        <v>0</v>
      </c>
      <c r="L2012" s="305">
        <f>IF(H2012=0,0,IF(OR(E2012=$AT$5,E2012=$AT$6),AA2012,IF(F2012="MXN",1/HLOOKUP(YEAR(G2012)+(MONTH(G2012)/100),TC!$5:$37,DAY(G2012)+2,FALSE),VLOOKUP(F2012,Equivalencia!$5:$23,((MAX(Equivalencia!$3:$3)-YEAR(G2012))*14)+MONTH(G2012)+2,FALSE))))</f>
        <v>0</v>
      </c>
      <c r="M2012" s="306">
        <f t="shared" si="530"/>
        <v>0</v>
      </c>
      <c r="N2012" s="305">
        <f>IF(G2012=0,0,(IF(OR(E2012=$AT$5,E2012=$AT$6),AC2012,HLOOKUP(YEAR(G2012)+(MONTH(G2012)/100),TC!$5:$37,DAY(G2012)+2,FALSE))))</f>
        <v>0</v>
      </c>
      <c r="O2012" s="307">
        <f t="shared" si="531"/>
        <v>0</v>
      </c>
      <c r="P2012" s="560">
        <f>IF(G2012=0,0,VLOOKUP(YEAR(G2012),INPC!$B$4:$P$30,MONTH(G2012)+2))</f>
        <v>0</v>
      </c>
      <c r="Q2012" s="560">
        <f>IF(X2012=0,0,IF(OR(E2012=$AT$10,E2012=$AT$9),VLOOKUP(YEAR(X2012),INPC!$B$4:$P$30,MONTH(X2012)+1),VLOOKUP(YEAR(X2012),INPC!$B$4:$P$30,MONTH(X2012)+2,0)))</f>
        <v>0</v>
      </c>
      <c r="R2012" s="309">
        <f t="shared" si="532"/>
        <v>0</v>
      </c>
      <c r="S2012" s="310">
        <f t="shared" si="533"/>
        <v>0</v>
      </c>
      <c r="T2012" s="555">
        <f t="shared" si="534"/>
        <v>0</v>
      </c>
      <c r="U2012" s="311"/>
      <c r="V2012" s="312"/>
      <c r="W2012" s="299"/>
      <c r="X2012" s="300"/>
      <c r="Y2012" s="299"/>
      <c r="Z2012" s="303"/>
      <c r="AA2012" s="305">
        <f>IF(Z2012=0,0,IF(Y2012="MXN",1/HLOOKUP(YEAR(X2012)+(MONTH(X2012)/100),TC!$5:$37,DAY(X2012)+2,FALSE),VLOOKUP(Y2012,Equivalencia!$1:$23,((MAX(Equivalencia!$3:$3)-YEAR(X2012))*14)+MONTH(X2012)+2,FALSE)))</f>
        <v>0</v>
      </c>
      <c r="AB2012" s="306">
        <f t="shared" si="535"/>
        <v>0</v>
      </c>
      <c r="AC2012" s="305">
        <f>+IF(X2012=0,0,HLOOKUP(YEAR(X2012)+(MONTH(X2012)/100),TC!$5:$37,DAY(X2012)+2,FALSE))</f>
        <v>0</v>
      </c>
      <c r="AD2012" s="307">
        <f t="shared" si="536"/>
        <v>0</v>
      </c>
      <c r="AE2012" s="314">
        <f t="shared" si="537"/>
        <v>0</v>
      </c>
      <c r="AF2012" s="315">
        <f t="shared" si="538"/>
        <v>0</v>
      </c>
      <c r="AG2012" s="316">
        <f t="shared" si="539"/>
        <v>0</v>
      </c>
      <c r="AH2012" s="314">
        <v>1</v>
      </c>
      <c r="AI2012" s="314">
        <f t="shared" si="540"/>
        <v>0</v>
      </c>
      <c r="AJ2012" s="314">
        <f t="shared" si="541"/>
        <v>0</v>
      </c>
      <c r="AK2012" s="317"/>
      <c r="AL2012" s="315">
        <f t="shared" si="542"/>
        <v>0</v>
      </c>
      <c r="AN2012" s="554">
        <f t="shared" si="543"/>
        <v>0</v>
      </c>
      <c r="AO2012" s="314"/>
      <c r="AP2012" s="318"/>
    </row>
    <row r="2013" spans="2:42">
      <c r="B2013" s="296"/>
      <c r="C2013" s="299"/>
      <c r="D2013" s="298"/>
      <c r="E2013" s="299"/>
      <c r="F2013" s="299"/>
      <c r="G2013" s="300"/>
      <c r="H2013" s="303"/>
      <c r="I2013" s="301">
        <f t="shared" si="527"/>
        <v>0</v>
      </c>
      <c r="J2013" s="302">
        <f t="shared" si="528"/>
        <v>0</v>
      </c>
      <c r="K2013" s="304">
        <f t="shared" si="529"/>
        <v>0</v>
      </c>
      <c r="L2013" s="305">
        <f>IF(H2013=0,0,IF(OR(E2013=$AT$5,E2013=$AT$6),AA2013,IF(F2013="MXN",1/HLOOKUP(YEAR(G2013)+(MONTH(G2013)/100),TC!$5:$37,DAY(G2013)+2,FALSE),VLOOKUP(F2013,Equivalencia!$5:$23,((MAX(Equivalencia!$3:$3)-YEAR(G2013))*14)+MONTH(G2013)+2,FALSE))))</f>
        <v>0</v>
      </c>
      <c r="M2013" s="306">
        <f t="shared" si="530"/>
        <v>0</v>
      </c>
      <c r="N2013" s="305">
        <f>IF(G2013=0,0,(IF(OR(E2013=$AT$5,E2013=$AT$6),AC2013,HLOOKUP(YEAR(G2013)+(MONTH(G2013)/100),TC!$5:$37,DAY(G2013)+2,FALSE))))</f>
        <v>0</v>
      </c>
      <c r="O2013" s="307">
        <f t="shared" si="531"/>
        <v>0</v>
      </c>
      <c r="P2013" s="560">
        <f>IF(G2013=0,0,VLOOKUP(YEAR(G2013),INPC!$B$4:$P$30,MONTH(G2013)+2))</f>
        <v>0</v>
      </c>
      <c r="Q2013" s="560">
        <f>IF(X2013=0,0,IF(OR(E2013=$AT$10,E2013=$AT$9),VLOOKUP(YEAR(X2013),INPC!$B$4:$P$30,MONTH(X2013)+1),VLOOKUP(YEAR(X2013),INPC!$B$4:$P$30,MONTH(X2013)+2,0)))</f>
        <v>0</v>
      </c>
      <c r="R2013" s="309">
        <f t="shared" si="532"/>
        <v>0</v>
      </c>
      <c r="S2013" s="310">
        <f t="shared" si="533"/>
        <v>0</v>
      </c>
      <c r="T2013" s="555">
        <f t="shared" si="534"/>
        <v>0</v>
      </c>
      <c r="U2013" s="311"/>
      <c r="V2013" s="312"/>
      <c r="W2013" s="299"/>
      <c r="X2013" s="300"/>
      <c r="Y2013" s="299"/>
      <c r="Z2013" s="303"/>
      <c r="AA2013" s="305">
        <f>IF(Z2013=0,0,IF(Y2013="MXN",1/HLOOKUP(YEAR(X2013)+(MONTH(X2013)/100),TC!$5:$37,DAY(X2013)+2,FALSE),VLOOKUP(Y2013,Equivalencia!$1:$23,((MAX(Equivalencia!$3:$3)-YEAR(X2013))*14)+MONTH(X2013)+2,FALSE)))</f>
        <v>0</v>
      </c>
      <c r="AB2013" s="306">
        <f t="shared" si="535"/>
        <v>0</v>
      </c>
      <c r="AC2013" s="305">
        <f>+IF(X2013=0,0,HLOOKUP(YEAR(X2013)+(MONTH(X2013)/100),TC!$5:$37,DAY(X2013)+2,FALSE))</f>
        <v>0</v>
      </c>
      <c r="AD2013" s="307">
        <f t="shared" si="536"/>
        <v>0</v>
      </c>
      <c r="AE2013" s="314">
        <f t="shared" si="537"/>
        <v>0</v>
      </c>
      <c r="AF2013" s="315">
        <f t="shared" si="538"/>
        <v>0</v>
      </c>
      <c r="AG2013" s="316">
        <f t="shared" si="539"/>
        <v>0</v>
      </c>
      <c r="AH2013" s="314">
        <v>1</v>
      </c>
      <c r="AI2013" s="314">
        <f t="shared" si="540"/>
        <v>0</v>
      </c>
      <c r="AJ2013" s="314">
        <f t="shared" si="541"/>
        <v>0</v>
      </c>
      <c r="AK2013" s="317"/>
      <c r="AL2013" s="315">
        <f t="shared" si="542"/>
        <v>0</v>
      </c>
      <c r="AN2013" s="554">
        <f t="shared" si="543"/>
        <v>0</v>
      </c>
      <c r="AO2013" s="314"/>
      <c r="AP2013" s="318"/>
    </row>
    <row r="2014" spans="2:42">
      <c r="B2014" s="296"/>
      <c r="C2014" s="299"/>
      <c r="D2014" s="298"/>
      <c r="E2014" s="299"/>
      <c r="F2014" s="299"/>
      <c r="G2014" s="300"/>
      <c r="H2014" s="303"/>
      <c r="I2014" s="301">
        <f t="shared" si="527"/>
        <v>0</v>
      </c>
      <c r="J2014" s="302">
        <f t="shared" si="528"/>
        <v>0</v>
      </c>
      <c r="K2014" s="304">
        <f t="shared" si="529"/>
        <v>0</v>
      </c>
      <c r="L2014" s="305">
        <f>IF(H2014=0,0,IF(OR(E2014=$AT$5,E2014=$AT$6),AA2014,IF(F2014="MXN",1/HLOOKUP(YEAR(G2014)+(MONTH(G2014)/100),TC!$5:$37,DAY(G2014)+2,FALSE),VLOOKUP(F2014,Equivalencia!$5:$23,((MAX(Equivalencia!$3:$3)-YEAR(G2014))*14)+MONTH(G2014)+2,FALSE))))</f>
        <v>0</v>
      </c>
      <c r="M2014" s="306">
        <f t="shared" si="530"/>
        <v>0</v>
      </c>
      <c r="N2014" s="305">
        <f>IF(G2014=0,0,(IF(OR(E2014=$AT$5,E2014=$AT$6),AC2014,HLOOKUP(YEAR(G2014)+(MONTH(G2014)/100),TC!$5:$37,DAY(G2014)+2,FALSE))))</f>
        <v>0</v>
      </c>
      <c r="O2014" s="307">
        <f t="shared" si="531"/>
        <v>0</v>
      </c>
      <c r="P2014" s="560">
        <f>IF(G2014=0,0,VLOOKUP(YEAR(G2014),INPC!$B$4:$P$30,MONTH(G2014)+2))</f>
        <v>0</v>
      </c>
      <c r="Q2014" s="560">
        <f>IF(X2014=0,0,IF(OR(E2014=$AT$10,E2014=$AT$9),VLOOKUP(YEAR(X2014),INPC!$B$4:$P$30,MONTH(X2014)+1),VLOOKUP(YEAR(X2014),INPC!$B$4:$P$30,MONTH(X2014)+2,0)))</f>
        <v>0</v>
      </c>
      <c r="R2014" s="309">
        <f t="shared" si="532"/>
        <v>0</v>
      </c>
      <c r="S2014" s="310">
        <f t="shared" si="533"/>
        <v>0</v>
      </c>
      <c r="T2014" s="555">
        <f t="shared" si="534"/>
        <v>0</v>
      </c>
      <c r="U2014" s="311"/>
      <c r="V2014" s="312"/>
      <c r="W2014" s="299"/>
      <c r="X2014" s="300"/>
      <c r="Y2014" s="299"/>
      <c r="Z2014" s="303"/>
      <c r="AA2014" s="305">
        <f>IF(Z2014=0,0,IF(Y2014="MXN",1/HLOOKUP(YEAR(X2014)+(MONTH(X2014)/100),TC!$5:$37,DAY(X2014)+2,FALSE),VLOOKUP(Y2014,Equivalencia!$1:$23,((MAX(Equivalencia!$3:$3)-YEAR(X2014))*14)+MONTH(X2014)+2,FALSE)))</f>
        <v>0</v>
      </c>
      <c r="AB2014" s="306">
        <f t="shared" si="535"/>
        <v>0</v>
      </c>
      <c r="AC2014" s="305">
        <f>+IF(X2014=0,0,HLOOKUP(YEAR(X2014)+(MONTH(X2014)/100),TC!$5:$37,DAY(X2014)+2,FALSE))</f>
        <v>0</v>
      </c>
      <c r="AD2014" s="307">
        <f t="shared" si="536"/>
        <v>0</v>
      </c>
      <c r="AE2014" s="314">
        <f t="shared" si="537"/>
        <v>0</v>
      </c>
      <c r="AF2014" s="315">
        <f t="shared" si="538"/>
        <v>0</v>
      </c>
      <c r="AG2014" s="316">
        <f t="shared" si="539"/>
        <v>0</v>
      </c>
      <c r="AH2014" s="314">
        <v>1</v>
      </c>
      <c r="AI2014" s="314">
        <f t="shared" si="540"/>
        <v>0</v>
      </c>
      <c r="AJ2014" s="314">
        <f t="shared" si="541"/>
        <v>0</v>
      </c>
      <c r="AK2014" s="317"/>
      <c r="AL2014" s="315">
        <f t="shared" si="542"/>
        <v>0</v>
      </c>
      <c r="AN2014" s="554">
        <f t="shared" si="543"/>
        <v>0</v>
      </c>
      <c r="AO2014" s="314"/>
      <c r="AP2014" s="318"/>
    </row>
    <row r="2015" spans="2:42">
      <c r="B2015" s="296"/>
      <c r="C2015" s="299"/>
      <c r="D2015" s="298"/>
      <c r="E2015" s="299"/>
      <c r="F2015" s="299"/>
      <c r="G2015" s="300"/>
      <c r="H2015" s="303"/>
      <c r="I2015" s="301">
        <f t="shared" si="527"/>
        <v>0</v>
      </c>
      <c r="J2015" s="302">
        <f t="shared" si="528"/>
        <v>0</v>
      </c>
      <c r="K2015" s="304">
        <f t="shared" si="529"/>
        <v>0</v>
      </c>
      <c r="L2015" s="305">
        <f>IF(H2015=0,0,IF(OR(E2015=$AT$5,E2015=$AT$6),AA2015,IF(F2015="MXN",1/HLOOKUP(YEAR(G2015)+(MONTH(G2015)/100),TC!$5:$37,DAY(G2015)+2,FALSE),VLOOKUP(F2015,Equivalencia!$5:$23,((MAX(Equivalencia!$3:$3)-YEAR(G2015))*14)+MONTH(G2015)+2,FALSE))))</f>
        <v>0</v>
      </c>
      <c r="M2015" s="306">
        <f t="shared" si="530"/>
        <v>0</v>
      </c>
      <c r="N2015" s="305">
        <f>IF(G2015=0,0,(IF(OR(E2015=$AT$5,E2015=$AT$6),AC2015,HLOOKUP(YEAR(G2015)+(MONTH(G2015)/100),TC!$5:$37,DAY(G2015)+2,FALSE))))</f>
        <v>0</v>
      </c>
      <c r="O2015" s="307">
        <f t="shared" si="531"/>
        <v>0</v>
      </c>
      <c r="P2015" s="560">
        <f>IF(G2015=0,0,VLOOKUP(YEAR(G2015),INPC!$B$4:$P$30,MONTH(G2015)+2))</f>
        <v>0</v>
      </c>
      <c r="Q2015" s="560">
        <f>IF(X2015=0,0,IF(OR(E2015=$AT$10,E2015=$AT$9),VLOOKUP(YEAR(X2015),INPC!$B$4:$P$30,MONTH(X2015)+1),VLOOKUP(YEAR(X2015),INPC!$B$4:$P$30,MONTH(X2015)+2,0)))</f>
        <v>0</v>
      </c>
      <c r="R2015" s="309">
        <f t="shared" si="532"/>
        <v>0</v>
      </c>
      <c r="S2015" s="310">
        <f t="shared" si="533"/>
        <v>0</v>
      </c>
      <c r="T2015" s="555">
        <f t="shared" si="534"/>
        <v>0</v>
      </c>
      <c r="U2015" s="311"/>
      <c r="V2015" s="312"/>
      <c r="W2015" s="299"/>
      <c r="X2015" s="300"/>
      <c r="Y2015" s="299"/>
      <c r="Z2015" s="303"/>
      <c r="AA2015" s="305">
        <f>IF(Z2015=0,0,IF(Y2015="MXN",1/HLOOKUP(YEAR(X2015)+(MONTH(X2015)/100),TC!$5:$37,DAY(X2015)+2,FALSE),VLOOKUP(Y2015,Equivalencia!$1:$23,((MAX(Equivalencia!$3:$3)-YEAR(X2015))*14)+MONTH(X2015)+2,FALSE)))</f>
        <v>0</v>
      </c>
      <c r="AB2015" s="306">
        <f t="shared" si="535"/>
        <v>0</v>
      </c>
      <c r="AC2015" s="305">
        <f>+IF(X2015=0,0,HLOOKUP(YEAR(X2015)+(MONTH(X2015)/100),TC!$5:$37,DAY(X2015)+2,FALSE))</f>
        <v>0</v>
      </c>
      <c r="AD2015" s="307">
        <f t="shared" si="536"/>
        <v>0</v>
      </c>
      <c r="AE2015" s="314">
        <f t="shared" si="537"/>
        <v>0</v>
      </c>
      <c r="AF2015" s="315">
        <f t="shared" si="538"/>
        <v>0</v>
      </c>
      <c r="AG2015" s="316">
        <f t="shared" si="539"/>
        <v>0</v>
      </c>
      <c r="AH2015" s="314">
        <v>1</v>
      </c>
      <c r="AI2015" s="314">
        <f t="shared" si="540"/>
        <v>0</v>
      </c>
      <c r="AJ2015" s="314">
        <f t="shared" si="541"/>
        <v>0</v>
      </c>
      <c r="AK2015" s="317"/>
      <c r="AL2015" s="315">
        <f t="shared" si="542"/>
        <v>0</v>
      </c>
      <c r="AN2015" s="554">
        <f t="shared" si="543"/>
        <v>0</v>
      </c>
      <c r="AO2015" s="314"/>
      <c r="AP2015" s="318"/>
    </row>
    <row r="2016" spans="2:42">
      <c r="B2016" s="296"/>
      <c r="C2016" s="299"/>
      <c r="D2016" s="298"/>
      <c r="E2016" s="299"/>
      <c r="F2016" s="299"/>
      <c r="G2016" s="300"/>
      <c r="H2016" s="303"/>
      <c r="I2016" s="301">
        <f t="shared" si="527"/>
        <v>0</v>
      </c>
      <c r="J2016" s="302">
        <f t="shared" si="528"/>
        <v>0</v>
      </c>
      <c r="K2016" s="304">
        <f t="shared" si="529"/>
        <v>0</v>
      </c>
      <c r="L2016" s="305">
        <f>IF(H2016=0,0,IF(OR(E2016=$AT$5,E2016=$AT$6),AA2016,IF(F2016="MXN",1/HLOOKUP(YEAR(G2016)+(MONTH(G2016)/100),TC!$5:$37,DAY(G2016)+2,FALSE),VLOOKUP(F2016,Equivalencia!$5:$23,((MAX(Equivalencia!$3:$3)-YEAR(G2016))*14)+MONTH(G2016)+2,FALSE))))</f>
        <v>0</v>
      </c>
      <c r="M2016" s="306">
        <f t="shared" si="530"/>
        <v>0</v>
      </c>
      <c r="N2016" s="305">
        <f>IF(G2016=0,0,(IF(OR(E2016=$AT$5,E2016=$AT$6),AC2016,HLOOKUP(YEAR(G2016)+(MONTH(G2016)/100),TC!$5:$37,DAY(G2016)+2,FALSE))))</f>
        <v>0</v>
      </c>
      <c r="O2016" s="307">
        <f t="shared" si="531"/>
        <v>0</v>
      </c>
      <c r="P2016" s="560">
        <f>IF(G2016=0,0,VLOOKUP(YEAR(G2016),INPC!$B$4:$P$30,MONTH(G2016)+2))</f>
        <v>0</v>
      </c>
      <c r="Q2016" s="560">
        <f>IF(X2016=0,0,IF(OR(E2016=$AT$10,E2016=$AT$9),VLOOKUP(YEAR(X2016),INPC!$B$4:$P$30,MONTH(X2016)+1),VLOOKUP(YEAR(X2016),INPC!$B$4:$P$30,MONTH(X2016)+2,0)))</f>
        <v>0</v>
      </c>
      <c r="R2016" s="309">
        <f t="shared" si="532"/>
        <v>0</v>
      </c>
      <c r="S2016" s="310">
        <f t="shared" si="533"/>
        <v>0</v>
      </c>
      <c r="T2016" s="555">
        <f t="shared" si="534"/>
        <v>0</v>
      </c>
      <c r="U2016" s="311"/>
      <c r="V2016" s="312"/>
      <c r="W2016" s="299"/>
      <c r="X2016" s="300"/>
      <c r="Y2016" s="299"/>
      <c r="Z2016" s="303"/>
      <c r="AA2016" s="305">
        <f>IF(Z2016=0,0,IF(Y2016="MXN",1/HLOOKUP(YEAR(X2016)+(MONTH(X2016)/100),TC!$5:$37,DAY(X2016)+2,FALSE),VLOOKUP(Y2016,Equivalencia!$1:$23,((MAX(Equivalencia!$3:$3)-YEAR(X2016))*14)+MONTH(X2016)+2,FALSE)))</f>
        <v>0</v>
      </c>
      <c r="AB2016" s="306">
        <f t="shared" si="535"/>
        <v>0</v>
      </c>
      <c r="AC2016" s="305">
        <f>+IF(X2016=0,0,HLOOKUP(YEAR(X2016)+(MONTH(X2016)/100),TC!$5:$37,DAY(X2016)+2,FALSE))</f>
        <v>0</v>
      </c>
      <c r="AD2016" s="307">
        <f t="shared" si="536"/>
        <v>0</v>
      </c>
      <c r="AE2016" s="314">
        <f t="shared" si="537"/>
        <v>0</v>
      </c>
      <c r="AF2016" s="315">
        <f t="shared" si="538"/>
        <v>0</v>
      </c>
      <c r="AG2016" s="316">
        <f t="shared" si="539"/>
        <v>0</v>
      </c>
      <c r="AH2016" s="314">
        <v>1</v>
      </c>
      <c r="AI2016" s="314">
        <f t="shared" si="540"/>
        <v>0</v>
      </c>
      <c r="AJ2016" s="314">
        <f t="shared" si="541"/>
        <v>0</v>
      </c>
      <c r="AK2016" s="317"/>
      <c r="AL2016" s="315">
        <f t="shared" si="542"/>
        <v>0</v>
      </c>
      <c r="AN2016" s="554">
        <f t="shared" si="543"/>
        <v>0</v>
      </c>
      <c r="AO2016" s="314"/>
      <c r="AP2016" s="318"/>
    </row>
    <row r="2017" spans="2:42">
      <c r="B2017" s="296"/>
      <c r="C2017" s="299"/>
      <c r="D2017" s="298"/>
      <c r="E2017" s="299"/>
      <c r="F2017" s="299"/>
      <c r="G2017" s="300"/>
      <c r="H2017" s="303"/>
      <c r="I2017" s="301">
        <f t="shared" si="527"/>
        <v>0</v>
      </c>
      <c r="J2017" s="302">
        <f t="shared" si="528"/>
        <v>0</v>
      </c>
      <c r="K2017" s="304">
        <f t="shared" si="529"/>
        <v>0</v>
      </c>
      <c r="L2017" s="305">
        <f>IF(H2017=0,0,IF(OR(E2017=$AT$5,E2017=$AT$6),AA2017,IF(F2017="MXN",1/HLOOKUP(YEAR(G2017)+(MONTH(G2017)/100),TC!$5:$37,DAY(G2017)+2,FALSE),VLOOKUP(F2017,Equivalencia!$5:$23,((MAX(Equivalencia!$3:$3)-YEAR(G2017))*14)+MONTH(G2017)+2,FALSE))))</f>
        <v>0</v>
      </c>
      <c r="M2017" s="306">
        <f t="shared" si="530"/>
        <v>0</v>
      </c>
      <c r="N2017" s="305">
        <f>IF(G2017=0,0,(IF(OR(E2017=$AT$5,E2017=$AT$6),AC2017,HLOOKUP(YEAR(G2017)+(MONTH(G2017)/100),TC!$5:$37,DAY(G2017)+2,FALSE))))</f>
        <v>0</v>
      </c>
      <c r="O2017" s="307">
        <f t="shared" si="531"/>
        <v>0</v>
      </c>
      <c r="P2017" s="560">
        <f>IF(G2017=0,0,VLOOKUP(YEAR(G2017),INPC!$B$4:$P$30,MONTH(G2017)+2))</f>
        <v>0</v>
      </c>
      <c r="Q2017" s="560">
        <f>IF(X2017=0,0,IF(OR(E2017=$AT$10,E2017=$AT$9),VLOOKUP(YEAR(X2017),INPC!$B$4:$P$30,MONTH(X2017)+1),VLOOKUP(YEAR(X2017),INPC!$B$4:$P$30,MONTH(X2017)+2,0)))</f>
        <v>0</v>
      </c>
      <c r="R2017" s="309">
        <f t="shared" si="532"/>
        <v>0</v>
      </c>
      <c r="S2017" s="310">
        <f t="shared" si="533"/>
        <v>0</v>
      </c>
      <c r="T2017" s="555">
        <f t="shared" si="534"/>
        <v>0</v>
      </c>
      <c r="U2017" s="311"/>
      <c r="V2017" s="312"/>
      <c r="W2017" s="299"/>
      <c r="X2017" s="300"/>
      <c r="Y2017" s="299"/>
      <c r="Z2017" s="303"/>
      <c r="AA2017" s="305">
        <f>IF(Z2017=0,0,IF(Y2017="MXN",1/HLOOKUP(YEAR(X2017)+(MONTH(X2017)/100),TC!$5:$37,DAY(X2017)+2,FALSE),VLOOKUP(Y2017,Equivalencia!$1:$23,((MAX(Equivalencia!$3:$3)-YEAR(X2017))*14)+MONTH(X2017)+2,FALSE)))</f>
        <v>0</v>
      </c>
      <c r="AB2017" s="306">
        <f t="shared" si="535"/>
        <v>0</v>
      </c>
      <c r="AC2017" s="305">
        <f>+IF(X2017=0,0,HLOOKUP(YEAR(X2017)+(MONTH(X2017)/100),TC!$5:$37,DAY(X2017)+2,FALSE))</f>
        <v>0</v>
      </c>
      <c r="AD2017" s="307">
        <f t="shared" si="536"/>
        <v>0</v>
      </c>
      <c r="AE2017" s="314">
        <f t="shared" si="537"/>
        <v>0</v>
      </c>
      <c r="AF2017" s="315">
        <f t="shared" si="538"/>
        <v>0</v>
      </c>
      <c r="AG2017" s="316">
        <f t="shared" si="539"/>
        <v>0</v>
      </c>
      <c r="AH2017" s="314">
        <v>1</v>
      </c>
      <c r="AI2017" s="314">
        <f t="shared" si="540"/>
        <v>0</v>
      </c>
      <c r="AJ2017" s="314">
        <f t="shared" si="541"/>
        <v>0</v>
      </c>
      <c r="AK2017" s="317"/>
      <c r="AL2017" s="315">
        <f t="shared" si="542"/>
        <v>0</v>
      </c>
      <c r="AN2017" s="554">
        <f t="shared" si="543"/>
        <v>0</v>
      </c>
      <c r="AO2017" s="314"/>
      <c r="AP2017" s="318"/>
    </row>
    <row r="2018" spans="2:42">
      <c r="B2018" s="296"/>
      <c r="C2018" s="299"/>
      <c r="D2018" s="298"/>
      <c r="E2018" s="299"/>
      <c r="F2018" s="299"/>
      <c r="G2018" s="300"/>
      <c r="H2018" s="303"/>
      <c r="I2018" s="301">
        <f t="shared" si="527"/>
        <v>0</v>
      </c>
      <c r="J2018" s="302">
        <f t="shared" si="528"/>
        <v>0</v>
      </c>
      <c r="K2018" s="304">
        <f t="shared" si="529"/>
        <v>0</v>
      </c>
      <c r="L2018" s="305">
        <f>IF(H2018=0,0,IF(OR(E2018=$AT$5,E2018=$AT$6),AA2018,IF(F2018="MXN",1/HLOOKUP(YEAR(G2018)+(MONTH(G2018)/100),TC!$5:$37,DAY(G2018)+2,FALSE),VLOOKUP(F2018,Equivalencia!$5:$23,((MAX(Equivalencia!$3:$3)-YEAR(G2018))*14)+MONTH(G2018)+2,FALSE))))</f>
        <v>0</v>
      </c>
      <c r="M2018" s="306">
        <f t="shared" si="530"/>
        <v>0</v>
      </c>
      <c r="N2018" s="305">
        <f>IF(G2018=0,0,(IF(OR(E2018=$AT$5,E2018=$AT$6),AC2018,HLOOKUP(YEAR(G2018)+(MONTH(G2018)/100),TC!$5:$37,DAY(G2018)+2,FALSE))))</f>
        <v>0</v>
      </c>
      <c r="O2018" s="307">
        <f t="shared" si="531"/>
        <v>0</v>
      </c>
      <c r="P2018" s="560">
        <f>IF(G2018=0,0,VLOOKUP(YEAR(G2018),INPC!$B$4:$P$30,MONTH(G2018)+2))</f>
        <v>0</v>
      </c>
      <c r="Q2018" s="560">
        <f>IF(X2018=0,0,IF(OR(E2018=$AT$10,E2018=$AT$9),VLOOKUP(YEAR(X2018),INPC!$B$4:$P$30,MONTH(X2018)+1),VLOOKUP(YEAR(X2018),INPC!$B$4:$P$30,MONTH(X2018)+2,0)))</f>
        <v>0</v>
      </c>
      <c r="R2018" s="309">
        <f t="shared" si="532"/>
        <v>0</v>
      </c>
      <c r="S2018" s="310">
        <f t="shared" si="533"/>
        <v>0</v>
      </c>
      <c r="T2018" s="555">
        <f t="shared" si="534"/>
        <v>0</v>
      </c>
      <c r="U2018" s="311"/>
      <c r="V2018" s="312"/>
      <c r="W2018" s="299"/>
      <c r="X2018" s="300"/>
      <c r="Y2018" s="299"/>
      <c r="Z2018" s="303"/>
      <c r="AA2018" s="305">
        <f>IF(Z2018=0,0,IF(Y2018="MXN",1/HLOOKUP(YEAR(X2018)+(MONTH(X2018)/100),TC!$5:$37,DAY(X2018)+2,FALSE),VLOOKUP(Y2018,Equivalencia!$1:$23,((MAX(Equivalencia!$3:$3)-YEAR(X2018))*14)+MONTH(X2018)+2,FALSE)))</f>
        <v>0</v>
      </c>
      <c r="AB2018" s="306">
        <f t="shared" si="535"/>
        <v>0</v>
      </c>
      <c r="AC2018" s="305">
        <f>+IF(X2018=0,0,HLOOKUP(YEAR(X2018)+(MONTH(X2018)/100),TC!$5:$37,DAY(X2018)+2,FALSE))</f>
        <v>0</v>
      </c>
      <c r="AD2018" s="307">
        <f t="shared" si="536"/>
        <v>0</v>
      </c>
      <c r="AE2018" s="314">
        <f t="shared" si="537"/>
        <v>0</v>
      </c>
      <c r="AF2018" s="315">
        <f t="shared" si="538"/>
        <v>0</v>
      </c>
      <c r="AG2018" s="316">
        <f t="shared" si="539"/>
        <v>0</v>
      </c>
      <c r="AH2018" s="314">
        <v>1</v>
      </c>
      <c r="AI2018" s="314">
        <f t="shared" si="540"/>
        <v>0</v>
      </c>
      <c r="AJ2018" s="314">
        <f t="shared" si="541"/>
        <v>0</v>
      </c>
      <c r="AK2018" s="317"/>
      <c r="AL2018" s="315">
        <f t="shared" si="542"/>
        <v>0</v>
      </c>
      <c r="AN2018" s="554">
        <f t="shared" si="543"/>
        <v>0</v>
      </c>
      <c r="AO2018" s="314"/>
      <c r="AP2018" s="318"/>
    </row>
    <row r="2019" spans="2:42">
      <c r="B2019" s="296"/>
      <c r="C2019" s="299"/>
      <c r="D2019" s="298"/>
      <c r="E2019" s="299"/>
      <c r="F2019" s="299"/>
      <c r="G2019" s="300"/>
      <c r="H2019" s="303"/>
      <c r="I2019" s="301">
        <f t="shared" si="527"/>
        <v>0</v>
      </c>
      <c r="J2019" s="302">
        <f t="shared" si="528"/>
        <v>0</v>
      </c>
      <c r="K2019" s="304">
        <f t="shared" si="529"/>
        <v>0</v>
      </c>
      <c r="L2019" s="305">
        <f>IF(H2019=0,0,IF(OR(E2019=$AT$5,E2019=$AT$6),AA2019,IF(F2019="MXN",1/HLOOKUP(YEAR(G2019)+(MONTH(G2019)/100),TC!$5:$37,DAY(G2019)+2,FALSE),VLOOKUP(F2019,Equivalencia!$5:$23,((MAX(Equivalencia!$3:$3)-YEAR(G2019))*14)+MONTH(G2019)+2,FALSE))))</f>
        <v>0</v>
      </c>
      <c r="M2019" s="306">
        <f t="shared" si="530"/>
        <v>0</v>
      </c>
      <c r="N2019" s="305">
        <f>IF(G2019=0,0,(IF(OR(E2019=$AT$5,E2019=$AT$6),AC2019,HLOOKUP(YEAR(G2019)+(MONTH(G2019)/100),TC!$5:$37,DAY(G2019)+2,FALSE))))</f>
        <v>0</v>
      </c>
      <c r="O2019" s="307">
        <f t="shared" si="531"/>
        <v>0</v>
      </c>
      <c r="P2019" s="560">
        <f>IF(G2019=0,0,VLOOKUP(YEAR(G2019),INPC!$B$4:$P$30,MONTH(G2019)+2))</f>
        <v>0</v>
      </c>
      <c r="Q2019" s="560">
        <f>IF(X2019=0,0,IF(OR(E2019=$AT$10,E2019=$AT$9),VLOOKUP(YEAR(X2019),INPC!$B$4:$P$30,MONTH(X2019)+1),VLOOKUP(YEAR(X2019),INPC!$B$4:$P$30,MONTH(X2019)+2,0)))</f>
        <v>0</v>
      </c>
      <c r="R2019" s="309">
        <f t="shared" si="532"/>
        <v>0</v>
      </c>
      <c r="S2019" s="310">
        <f t="shared" si="533"/>
        <v>0</v>
      </c>
      <c r="T2019" s="555">
        <f t="shared" si="534"/>
        <v>0</v>
      </c>
      <c r="U2019" s="311"/>
      <c r="V2019" s="312"/>
      <c r="W2019" s="299"/>
      <c r="X2019" s="300"/>
      <c r="Y2019" s="299"/>
      <c r="Z2019" s="303"/>
      <c r="AA2019" s="305">
        <f>IF(Z2019=0,0,IF(Y2019="MXN",1/HLOOKUP(YEAR(X2019)+(MONTH(X2019)/100),TC!$5:$37,DAY(X2019)+2,FALSE),VLOOKUP(Y2019,Equivalencia!$1:$23,((MAX(Equivalencia!$3:$3)-YEAR(X2019))*14)+MONTH(X2019)+2,FALSE)))</f>
        <v>0</v>
      </c>
      <c r="AB2019" s="306">
        <f t="shared" si="535"/>
        <v>0</v>
      </c>
      <c r="AC2019" s="305">
        <f>+IF(X2019=0,0,HLOOKUP(YEAR(X2019)+(MONTH(X2019)/100),TC!$5:$37,DAY(X2019)+2,FALSE))</f>
        <v>0</v>
      </c>
      <c r="AD2019" s="307">
        <f t="shared" si="536"/>
        <v>0</v>
      </c>
      <c r="AE2019" s="314">
        <f t="shared" si="537"/>
        <v>0</v>
      </c>
      <c r="AF2019" s="315">
        <f t="shared" si="538"/>
        <v>0</v>
      </c>
      <c r="AG2019" s="316">
        <f t="shared" si="539"/>
        <v>0</v>
      </c>
      <c r="AH2019" s="314">
        <v>1</v>
      </c>
      <c r="AI2019" s="314">
        <f t="shared" si="540"/>
        <v>0</v>
      </c>
      <c r="AJ2019" s="314">
        <f t="shared" si="541"/>
        <v>0</v>
      </c>
      <c r="AK2019" s="317"/>
      <c r="AL2019" s="315">
        <f t="shared" si="542"/>
        <v>0</v>
      </c>
      <c r="AN2019" s="554">
        <f t="shared" si="543"/>
        <v>0</v>
      </c>
      <c r="AO2019" s="314"/>
      <c r="AP2019" s="318"/>
    </row>
    <row r="2020" spans="2:42">
      <c r="B2020" s="296"/>
      <c r="C2020" s="299"/>
      <c r="D2020" s="298"/>
      <c r="E2020" s="299"/>
      <c r="F2020" s="299"/>
      <c r="G2020" s="300"/>
      <c r="H2020" s="303"/>
      <c r="I2020" s="301">
        <f t="shared" si="527"/>
        <v>0</v>
      </c>
      <c r="J2020" s="302">
        <f t="shared" si="528"/>
        <v>0</v>
      </c>
      <c r="K2020" s="304">
        <f t="shared" si="529"/>
        <v>0</v>
      </c>
      <c r="L2020" s="305">
        <f>IF(H2020=0,0,IF(OR(E2020=$AT$5,E2020=$AT$6),AA2020,IF(F2020="MXN",1/HLOOKUP(YEAR(G2020)+(MONTH(G2020)/100),TC!$5:$37,DAY(G2020)+2,FALSE),VLOOKUP(F2020,Equivalencia!$5:$23,((MAX(Equivalencia!$3:$3)-YEAR(G2020))*14)+MONTH(G2020)+2,FALSE))))</f>
        <v>0</v>
      </c>
      <c r="M2020" s="306">
        <f t="shared" si="530"/>
        <v>0</v>
      </c>
      <c r="N2020" s="305">
        <f>IF(G2020=0,0,(IF(OR(E2020=$AT$5,E2020=$AT$6),AC2020,HLOOKUP(YEAR(G2020)+(MONTH(G2020)/100),TC!$5:$37,DAY(G2020)+2,FALSE))))</f>
        <v>0</v>
      </c>
      <c r="O2020" s="307">
        <f t="shared" si="531"/>
        <v>0</v>
      </c>
      <c r="P2020" s="560">
        <f>IF(G2020=0,0,VLOOKUP(YEAR(G2020),INPC!$B$4:$P$30,MONTH(G2020)+2))</f>
        <v>0</v>
      </c>
      <c r="Q2020" s="560">
        <f>IF(X2020=0,0,IF(OR(E2020=$AT$10,E2020=$AT$9),VLOOKUP(YEAR(X2020),INPC!$B$4:$P$30,MONTH(X2020)+1),VLOOKUP(YEAR(X2020),INPC!$B$4:$P$30,MONTH(X2020)+2,0)))</f>
        <v>0</v>
      </c>
      <c r="R2020" s="309">
        <f t="shared" si="532"/>
        <v>0</v>
      </c>
      <c r="S2020" s="310">
        <f t="shared" si="533"/>
        <v>0</v>
      </c>
      <c r="T2020" s="555">
        <f t="shared" si="534"/>
        <v>0</v>
      </c>
      <c r="U2020" s="311"/>
      <c r="V2020" s="312"/>
      <c r="W2020" s="299"/>
      <c r="X2020" s="300"/>
      <c r="Y2020" s="299"/>
      <c r="Z2020" s="303"/>
      <c r="AA2020" s="305">
        <f>IF(Z2020=0,0,IF(Y2020="MXN",1/HLOOKUP(YEAR(X2020)+(MONTH(X2020)/100),TC!$5:$37,DAY(X2020)+2,FALSE),VLOOKUP(Y2020,Equivalencia!$1:$23,((MAX(Equivalencia!$3:$3)-YEAR(X2020))*14)+MONTH(X2020)+2,FALSE)))</f>
        <v>0</v>
      </c>
      <c r="AB2020" s="306">
        <f t="shared" si="535"/>
        <v>0</v>
      </c>
      <c r="AC2020" s="305">
        <f>+IF(X2020=0,0,HLOOKUP(YEAR(X2020)+(MONTH(X2020)/100),TC!$5:$37,DAY(X2020)+2,FALSE))</f>
        <v>0</v>
      </c>
      <c r="AD2020" s="307">
        <f t="shared" si="536"/>
        <v>0</v>
      </c>
      <c r="AE2020" s="314">
        <f t="shared" si="537"/>
        <v>0</v>
      </c>
      <c r="AF2020" s="315">
        <f t="shared" si="538"/>
        <v>0</v>
      </c>
      <c r="AG2020" s="316">
        <f t="shared" si="539"/>
        <v>0</v>
      </c>
      <c r="AH2020" s="314">
        <v>1</v>
      </c>
      <c r="AI2020" s="314">
        <f t="shared" si="540"/>
        <v>0</v>
      </c>
      <c r="AJ2020" s="314">
        <f t="shared" si="541"/>
        <v>0</v>
      </c>
      <c r="AK2020" s="317"/>
      <c r="AL2020" s="315">
        <f t="shared" si="542"/>
        <v>0</v>
      </c>
      <c r="AN2020" s="554">
        <f t="shared" si="543"/>
        <v>0</v>
      </c>
      <c r="AO2020" s="314"/>
      <c r="AP2020" s="318"/>
    </row>
    <row r="2021" spans="2:42">
      <c r="B2021" s="296"/>
      <c r="C2021" s="299"/>
      <c r="D2021" s="298"/>
      <c r="E2021" s="299"/>
      <c r="F2021" s="299"/>
      <c r="G2021" s="300"/>
      <c r="H2021" s="303"/>
      <c r="I2021" s="301">
        <f t="shared" si="527"/>
        <v>0</v>
      </c>
      <c r="J2021" s="302">
        <f t="shared" si="528"/>
        <v>0</v>
      </c>
      <c r="K2021" s="304">
        <f t="shared" si="529"/>
        <v>0</v>
      </c>
      <c r="L2021" s="305">
        <f>IF(H2021=0,0,IF(OR(E2021=$AT$5,E2021=$AT$6),AA2021,IF(F2021="MXN",1/HLOOKUP(YEAR(G2021)+(MONTH(G2021)/100),TC!$5:$37,DAY(G2021)+2,FALSE),VLOOKUP(F2021,Equivalencia!$5:$23,((MAX(Equivalencia!$3:$3)-YEAR(G2021))*14)+MONTH(G2021)+2,FALSE))))</f>
        <v>0</v>
      </c>
      <c r="M2021" s="306">
        <f t="shared" si="530"/>
        <v>0</v>
      </c>
      <c r="N2021" s="305">
        <f>IF(G2021=0,0,(IF(OR(E2021=$AT$5,E2021=$AT$6),AC2021,HLOOKUP(YEAR(G2021)+(MONTH(G2021)/100),TC!$5:$37,DAY(G2021)+2,FALSE))))</f>
        <v>0</v>
      </c>
      <c r="O2021" s="307">
        <f t="shared" si="531"/>
        <v>0</v>
      </c>
      <c r="P2021" s="560">
        <f>IF(G2021=0,0,VLOOKUP(YEAR(G2021),INPC!$B$4:$P$30,MONTH(G2021)+2))</f>
        <v>0</v>
      </c>
      <c r="Q2021" s="560">
        <f>IF(X2021=0,0,IF(OR(E2021=$AT$10,E2021=$AT$9),VLOOKUP(YEAR(X2021),INPC!$B$4:$P$30,MONTH(X2021)+1),VLOOKUP(YEAR(X2021),INPC!$B$4:$P$30,MONTH(X2021)+2,0)))</f>
        <v>0</v>
      </c>
      <c r="R2021" s="309">
        <f t="shared" si="532"/>
        <v>0</v>
      </c>
      <c r="S2021" s="310">
        <f t="shared" si="533"/>
        <v>0</v>
      </c>
      <c r="T2021" s="555">
        <f t="shared" si="534"/>
        <v>0</v>
      </c>
      <c r="U2021" s="311"/>
      <c r="V2021" s="312"/>
      <c r="W2021" s="299"/>
      <c r="X2021" s="300"/>
      <c r="Y2021" s="299"/>
      <c r="Z2021" s="303"/>
      <c r="AA2021" s="305">
        <f>IF(Z2021=0,0,IF(Y2021="MXN",1/HLOOKUP(YEAR(X2021)+(MONTH(X2021)/100),TC!$5:$37,DAY(X2021)+2,FALSE),VLOOKUP(Y2021,Equivalencia!$1:$23,((MAX(Equivalencia!$3:$3)-YEAR(X2021))*14)+MONTH(X2021)+2,FALSE)))</f>
        <v>0</v>
      </c>
      <c r="AB2021" s="306">
        <f t="shared" si="535"/>
        <v>0</v>
      </c>
      <c r="AC2021" s="305">
        <f>+IF(X2021=0,0,HLOOKUP(YEAR(X2021)+(MONTH(X2021)/100),TC!$5:$37,DAY(X2021)+2,FALSE))</f>
        <v>0</v>
      </c>
      <c r="AD2021" s="307">
        <f t="shared" si="536"/>
        <v>0</v>
      </c>
      <c r="AE2021" s="314">
        <f t="shared" si="537"/>
        <v>0</v>
      </c>
      <c r="AF2021" s="315">
        <f t="shared" si="538"/>
        <v>0</v>
      </c>
      <c r="AG2021" s="316">
        <f t="shared" si="539"/>
        <v>0</v>
      </c>
      <c r="AH2021" s="314">
        <v>1</v>
      </c>
      <c r="AI2021" s="314">
        <f t="shared" si="540"/>
        <v>0</v>
      </c>
      <c r="AJ2021" s="314">
        <f t="shared" si="541"/>
        <v>0</v>
      </c>
      <c r="AK2021" s="317"/>
      <c r="AL2021" s="315">
        <f t="shared" si="542"/>
        <v>0</v>
      </c>
      <c r="AN2021" s="554">
        <f t="shared" si="543"/>
        <v>0</v>
      </c>
      <c r="AO2021" s="314"/>
      <c r="AP2021" s="318"/>
    </row>
    <row r="2022" spans="2:42">
      <c r="B2022" s="296"/>
      <c r="C2022" s="299"/>
      <c r="D2022" s="298"/>
      <c r="E2022" s="299"/>
      <c r="F2022" s="299"/>
      <c r="G2022" s="300"/>
      <c r="H2022" s="303"/>
      <c r="I2022" s="301">
        <f t="shared" si="527"/>
        <v>0</v>
      </c>
      <c r="J2022" s="302">
        <f t="shared" si="528"/>
        <v>0</v>
      </c>
      <c r="K2022" s="304">
        <f t="shared" si="529"/>
        <v>0</v>
      </c>
      <c r="L2022" s="305">
        <f>IF(H2022=0,0,IF(OR(E2022=$AT$5,E2022=$AT$6),AA2022,IF(F2022="MXN",1/HLOOKUP(YEAR(G2022)+(MONTH(G2022)/100),TC!$5:$37,DAY(G2022)+2,FALSE),VLOOKUP(F2022,Equivalencia!$5:$23,((MAX(Equivalencia!$3:$3)-YEAR(G2022))*14)+MONTH(G2022)+2,FALSE))))</f>
        <v>0</v>
      </c>
      <c r="M2022" s="306">
        <f t="shared" si="530"/>
        <v>0</v>
      </c>
      <c r="N2022" s="305">
        <f>IF(G2022=0,0,(IF(OR(E2022=$AT$5,E2022=$AT$6),AC2022,HLOOKUP(YEAR(G2022)+(MONTH(G2022)/100),TC!$5:$37,DAY(G2022)+2,FALSE))))</f>
        <v>0</v>
      </c>
      <c r="O2022" s="307">
        <f t="shared" si="531"/>
        <v>0</v>
      </c>
      <c r="P2022" s="560">
        <f>IF(G2022=0,0,VLOOKUP(YEAR(G2022),INPC!$B$4:$P$30,MONTH(G2022)+2))</f>
        <v>0</v>
      </c>
      <c r="Q2022" s="560">
        <f>IF(X2022=0,0,IF(OR(E2022=$AT$10,E2022=$AT$9),VLOOKUP(YEAR(X2022),INPC!$B$4:$P$30,MONTH(X2022)+1),VLOOKUP(YEAR(X2022),INPC!$B$4:$P$30,MONTH(X2022)+2,0)))</f>
        <v>0</v>
      </c>
      <c r="R2022" s="309">
        <f t="shared" si="532"/>
        <v>0</v>
      </c>
      <c r="S2022" s="310">
        <f t="shared" si="533"/>
        <v>0</v>
      </c>
      <c r="T2022" s="555">
        <f t="shared" si="534"/>
        <v>0</v>
      </c>
      <c r="U2022" s="311"/>
      <c r="V2022" s="312"/>
      <c r="W2022" s="299"/>
      <c r="X2022" s="300"/>
      <c r="Y2022" s="299"/>
      <c r="Z2022" s="303"/>
      <c r="AA2022" s="305">
        <f>IF(Z2022=0,0,IF(Y2022="MXN",1/HLOOKUP(YEAR(X2022)+(MONTH(X2022)/100),TC!$5:$37,DAY(X2022)+2,FALSE),VLOOKUP(Y2022,Equivalencia!$1:$23,((MAX(Equivalencia!$3:$3)-YEAR(X2022))*14)+MONTH(X2022)+2,FALSE)))</f>
        <v>0</v>
      </c>
      <c r="AB2022" s="306">
        <f t="shared" si="535"/>
        <v>0</v>
      </c>
      <c r="AC2022" s="305">
        <f>+IF(X2022=0,0,HLOOKUP(YEAR(X2022)+(MONTH(X2022)/100),TC!$5:$37,DAY(X2022)+2,FALSE))</f>
        <v>0</v>
      </c>
      <c r="AD2022" s="307">
        <f t="shared" si="536"/>
        <v>0</v>
      </c>
      <c r="AE2022" s="314">
        <f t="shared" si="537"/>
        <v>0</v>
      </c>
      <c r="AF2022" s="315">
        <f t="shared" si="538"/>
        <v>0</v>
      </c>
      <c r="AG2022" s="316">
        <f t="shared" si="539"/>
        <v>0</v>
      </c>
      <c r="AH2022" s="314">
        <v>1</v>
      </c>
      <c r="AI2022" s="314">
        <f t="shared" si="540"/>
        <v>0</v>
      </c>
      <c r="AJ2022" s="314">
        <f t="shared" si="541"/>
        <v>0</v>
      </c>
      <c r="AK2022" s="317"/>
      <c r="AL2022" s="315">
        <f t="shared" si="542"/>
        <v>0</v>
      </c>
      <c r="AN2022" s="554">
        <f t="shared" si="543"/>
        <v>0</v>
      </c>
      <c r="AO2022" s="314"/>
      <c r="AP2022" s="318"/>
    </row>
    <row r="2023" spans="2:42">
      <c r="B2023" s="296"/>
      <c r="C2023" s="299"/>
      <c r="D2023" s="298"/>
      <c r="E2023" s="299"/>
      <c r="F2023" s="299"/>
      <c r="G2023" s="300"/>
      <c r="H2023" s="303"/>
      <c r="I2023" s="301">
        <f t="shared" si="527"/>
        <v>0</v>
      </c>
      <c r="J2023" s="302">
        <f t="shared" si="528"/>
        <v>0</v>
      </c>
      <c r="K2023" s="304">
        <f t="shared" si="529"/>
        <v>0</v>
      </c>
      <c r="L2023" s="305">
        <f>IF(H2023=0,0,IF(OR(E2023=$AT$5,E2023=$AT$6),AA2023,IF(F2023="MXN",1/HLOOKUP(YEAR(G2023)+(MONTH(G2023)/100),TC!$5:$37,DAY(G2023)+2,FALSE),VLOOKUP(F2023,Equivalencia!$5:$23,((MAX(Equivalencia!$3:$3)-YEAR(G2023))*14)+MONTH(G2023)+2,FALSE))))</f>
        <v>0</v>
      </c>
      <c r="M2023" s="306">
        <f t="shared" si="530"/>
        <v>0</v>
      </c>
      <c r="N2023" s="305">
        <f>IF(G2023=0,0,(IF(OR(E2023=$AT$5,E2023=$AT$6),AC2023,HLOOKUP(YEAR(G2023)+(MONTH(G2023)/100),TC!$5:$37,DAY(G2023)+2,FALSE))))</f>
        <v>0</v>
      </c>
      <c r="O2023" s="307">
        <f t="shared" si="531"/>
        <v>0</v>
      </c>
      <c r="P2023" s="560">
        <f>IF(G2023=0,0,VLOOKUP(YEAR(G2023),INPC!$B$4:$P$30,MONTH(G2023)+2))</f>
        <v>0</v>
      </c>
      <c r="Q2023" s="560">
        <f>IF(X2023=0,0,IF(OR(E2023=$AT$10,E2023=$AT$9),VLOOKUP(YEAR(X2023),INPC!$B$4:$P$30,MONTH(X2023)+1),VLOOKUP(YEAR(X2023),INPC!$B$4:$P$30,MONTH(X2023)+2,0)))</f>
        <v>0</v>
      </c>
      <c r="R2023" s="309">
        <f t="shared" si="532"/>
        <v>0</v>
      </c>
      <c r="S2023" s="310">
        <f t="shared" si="533"/>
        <v>0</v>
      </c>
      <c r="T2023" s="555">
        <f t="shared" si="534"/>
        <v>0</v>
      </c>
      <c r="U2023" s="311"/>
      <c r="V2023" s="312"/>
      <c r="W2023" s="299"/>
      <c r="X2023" s="300"/>
      <c r="Y2023" s="299"/>
      <c r="Z2023" s="303"/>
      <c r="AA2023" s="305">
        <f>IF(Z2023=0,0,IF(Y2023="MXN",1/HLOOKUP(YEAR(X2023)+(MONTH(X2023)/100),TC!$5:$37,DAY(X2023)+2,FALSE),VLOOKUP(Y2023,Equivalencia!$1:$23,((MAX(Equivalencia!$3:$3)-YEAR(X2023))*14)+MONTH(X2023)+2,FALSE)))</f>
        <v>0</v>
      </c>
      <c r="AB2023" s="306">
        <f t="shared" si="535"/>
        <v>0</v>
      </c>
      <c r="AC2023" s="305">
        <f>+IF(X2023=0,0,HLOOKUP(YEAR(X2023)+(MONTH(X2023)/100),TC!$5:$37,DAY(X2023)+2,FALSE))</f>
        <v>0</v>
      </c>
      <c r="AD2023" s="307">
        <f t="shared" si="536"/>
        <v>0</v>
      </c>
      <c r="AE2023" s="314">
        <f t="shared" si="537"/>
        <v>0</v>
      </c>
      <c r="AF2023" s="315">
        <f t="shared" si="538"/>
        <v>0</v>
      </c>
      <c r="AG2023" s="316">
        <f t="shared" si="539"/>
        <v>0</v>
      </c>
      <c r="AH2023" s="314">
        <v>1</v>
      </c>
      <c r="AI2023" s="314">
        <f t="shared" si="540"/>
        <v>0</v>
      </c>
      <c r="AJ2023" s="314">
        <f t="shared" si="541"/>
        <v>0</v>
      </c>
      <c r="AK2023" s="317"/>
      <c r="AL2023" s="315">
        <f t="shared" si="542"/>
        <v>0</v>
      </c>
      <c r="AN2023" s="554">
        <f t="shared" si="543"/>
        <v>0</v>
      </c>
      <c r="AO2023" s="314"/>
      <c r="AP2023" s="318"/>
    </row>
    <row r="2024" spans="2:42">
      <c r="B2024" s="296"/>
      <c r="C2024" s="299"/>
      <c r="D2024" s="298"/>
      <c r="E2024" s="299"/>
      <c r="F2024" s="299"/>
      <c r="G2024" s="300"/>
      <c r="H2024" s="303"/>
      <c r="I2024" s="301">
        <f t="shared" si="527"/>
        <v>0</v>
      </c>
      <c r="J2024" s="302">
        <f t="shared" si="528"/>
        <v>0</v>
      </c>
      <c r="K2024" s="304">
        <f t="shared" si="529"/>
        <v>0</v>
      </c>
      <c r="L2024" s="305">
        <f>IF(H2024=0,0,IF(OR(E2024=$AT$5,E2024=$AT$6),AA2024,IF(F2024="MXN",1/HLOOKUP(YEAR(G2024)+(MONTH(G2024)/100),TC!$5:$37,DAY(G2024)+2,FALSE),VLOOKUP(F2024,Equivalencia!$5:$23,((MAX(Equivalencia!$3:$3)-YEAR(G2024))*14)+MONTH(G2024)+2,FALSE))))</f>
        <v>0</v>
      </c>
      <c r="M2024" s="306">
        <f t="shared" si="530"/>
        <v>0</v>
      </c>
      <c r="N2024" s="305">
        <f>IF(G2024=0,0,(IF(OR(E2024=$AT$5,E2024=$AT$6),AC2024,HLOOKUP(YEAR(G2024)+(MONTH(G2024)/100),TC!$5:$37,DAY(G2024)+2,FALSE))))</f>
        <v>0</v>
      </c>
      <c r="O2024" s="307">
        <f t="shared" si="531"/>
        <v>0</v>
      </c>
      <c r="P2024" s="560">
        <f>IF(G2024=0,0,VLOOKUP(YEAR(G2024),INPC!$B$4:$P$30,MONTH(G2024)+2))</f>
        <v>0</v>
      </c>
      <c r="Q2024" s="560">
        <f>IF(X2024=0,0,IF(OR(E2024=$AT$10,E2024=$AT$9),VLOOKUP(YEAR(X2024),INPC!$B$4:$P$30,MONTH(X2024)+1),VLOOKUP(YEAR(X2024),INPC!$B$4:$P$30,MONTH(X2024)+2,0)))</f>
        <v>0</v>
      </c>
      <c r="R2024" s="309">
        <f t="shared" si="532"/>
        <v>0</v>
      </c>
      <c r="S2024" s="310">
        <f t="shared" si="533"/>
        <v>0</v>
      </c>
      <c r="T2024" s="555">
        <f t="shared" si="534"/>
        <v>0</v>
      </c>
      <c r="U2024" s="311"/>
      <c r="V2024" s="312"/>
      <c r="W2024" s="299"/>
      <c r="X2024" s="300"/>
      <c r="Y2024" s="299"/>
      <c r="Z2024" s="303"/>
      <c r="AA2024" s="305">
        <f>IF(Z2024=0,0,IF(Y2024="MXN",1/HLOOKUP(YEAR(X2024)+(MONTH(X2024)/100),TC!$5:$37,DAY(X2024)+2,FALSE),VLOOKUP(Y2024,Equivalencia!$1:$23,((MAX(Equivalencia!$3:$3)-YEAR(X2024))*14)+MONTH(X2024)+2,FALSE)))</f>
        <v>0</v>
      </c>
      <c r="AB2024" s="306">
        <f t="shared" si="535"/>
        <v>0</v>
      </c>
      <c r="AC2024" s="305">
        <f>+IF(X2024=0,0,HLOOKUP(YEAR(X2024)+(MONTH(X2024)/100),TC!$5:$37,DAY(X2024)+2,FALSE))</f>
        <v>0</v>
      </c>
      <c r="AD2024" s="307">
        <f t="shared" si="536"/>
        <v>0</v>
      </c>
      <c r="AE2024" s="314">
        <f t="shared" si="537"/>
        <v>0</v>
      </c>
      <c r="AF2024" s="315">
        <f t="shared" si="538"/>
        <v>0</v>
      </c>
      <c r="AG2024" s="316">
        <f t="shared" si="539"/>
        <v>0</v>
      </c>
      <c r="AH2024" s="314">
        <v>1</v>
      </c>
      <c r="AI2024" s="314">
        <f t="shared" si="540"/>
        <v>0</v>
      </c>
      <c r="AJ2024" s="314">
        <f t="shared" si="541"/>
        <v>0</v>
      </c>
      <c r="AK2024" s="317"/>
      <c r="AL2024" s="315">
        <f t="shared" si="542"/>
        <v>0</v>
      </c>
      <c r="AN2024" s="554">
        <f t="shared" si="543"/>
        <v>0</v>
      </c>
      <c r="AO2024" s="314"/>
      <c r="AP2024" s="318"/>
    </row>
    <row r="2025" spans="2:42">
      <c r="B2025" s="296"/>
      <c r="C2025" s="299"/>
      <c r="D2025" s="298"/>
      <c r="E2025" s="299"/>
      <c r="F2025" s="299"/>
      <c r="G2025" s="300"/>
      <c r="H2025" s="303"/>
      <c r="I2025" s="301">
        <f t="shared" si="527"/>
        <v>0</v>
      </c>
      <c r="J2025" s="302">
        <f t="shared" si="528"/>
        <v>0</v>
      </c>
      <c r="K2025" s="304">
        <f t="shared" si="529"/>
        <v>0</v>
      </c>
      <c r="L2025" s="305">
        <f>IF(H2025=0,0,IF(OR(E2025=$AT$5,E2025=$AT$6),AA2025,IF(F2025="MXN",1/HLOOKUP(YEAR(G2025)+(MONTH(G2025)/100),TC!$5:$37,DAY(G2025)+2,FALSE),VLOOKUP(F2025,Equivalencia!$5:$23,((MAX(Equivalencia!$3:$3)-YEAR(G2025))*14)+MONTH(G2025)+2,FALSE))))</f>
        <v>0</v>
      </c>
      <c r="M2025" s="306">
        <f t="shared" si="530"/>
        <v>0</v>
      </c>
      <c r="N2025" s="305">
        <f>IF(G2025=0,0,(IF(OR(E2025=$AT$5,E2025=$AT$6),AC2025,HLOOKUP(YEAR(G2025)+(MONTH(G2025)/100),TC!$5:$37,DAY(G2025)+2,FALSE))))</f>
        <v>0</v>
      </c>
      <c r="O2025" s="307">
        <f t="shared" si="531"/>
        <v>0</v>
      </c>
      <c r="P2025" s="560">
        <f>IF(G2025=0,0,VLOOKUP(YEAR(G2025),INPC!$B$4:$P$30,MONTH(G2025)+2))</f>
        <v>0</v>
      </c>
      <c r="Q2025" s="560">
        <f>IF(X2025=0,0,IF(OR(E2025=$AT$10,E2025=$AT$9),VLOOKUP(YEAR(X2025),INPC!$B$4:$P$30,MONTH(X2025)+1),VLOOKUP(YEAR(X2025),INPC!$B$4:$P$30,MONTH(X2025)+2,0)))</f>
        <v>0</v>
      </c>
      <c r="R2025" s="309">
        <f t="shared" si="532"/>
        <v>0</v>
      </c>
      <c r="S2025" s="310">
        <f t="shared" si="533"/>
        <v>0</v>
      </c>
      <c r="T2025" s="555">
        <f t="shared" si="534"/>
        <v>0</v>
      </c>
      <c r="U2025" s="311"/>
      <c r="V2025" s="312"/>
      <c r="W2025" s="299"/>
      <c r="X2025" s="300"/>
      <c r="Y2025" s="299"/>
      <c r="Z2025" s="303"/>
      <c r="AA2025" s="305">
        <f>IF(Z2025=0,0,IF(Y2025="MXN",1/HLOOKUP(YEAR(X2025)+(MONTH(X2025)/100),TC!$5:$37,DAY(X2025)+2,FALSE),VLOOKUP(Y2025,Equivalencia!$1:$23,((MAX(Equivalencia!$3:$3)-YEAR(X2025))*14)+MONTH(X2025)+2,FALSE)))</f>
        <v>0</v>
      </c>
      <c r="AB2025" s="306">
        <f t="shared" si="535"/>
        <v>0</v>
      </c>
      <c r="AC2025" s="305">
        <f>+IF(X2025=0,0,HLOOKUP(YEAR(X2025)+(MONTH(X2025)/100),TC!$5:$37,DAY(X2025)+2,FALSE))</f>
        <v>0</v>
      </c>
      <c r="AD2025" s="307">
        <f t="shared" si="536"/>
        <v>0</v>
      </c>
      <c r="AE2025" s="314">
        <f t="shared" si="537"/>
        <v>0</v>
      </c>
      <c r="AF2025" s="315">
        <f t="shared" si="538"/>
        <v>0</v>
      </c>
      <c r="AG2025" s="316">
        <f t="shared" si="539"/>
        <v>0</v>
      </c>
      <c r="AH2025" s="314">
        <v>1</v>
      </c>
      <c r="AI2025" s="314">
        <f t="shared" si="540"/>
        <v>0</v>
      </c>
      <c r="AJ2025" s="314">
        <f t="shared" si="541"/>
        <v>0</v>
      </c>
      <c r="AK2025" s="317"/>
      <c r="AL2025" s="315">
        <f t="shared" si="542"/>
        <v>0</v>
      </c>
      <c r="AN2025" s="554">
        <f t="shared" si="543"/>
        <v>0</v>
      </c>
      <c r="AO2025" s="314"/>
      <c r="AP2025" s="318"/>
    </row>
    <row r="2026" spans="2:42">
      <c r="B2026" s="296"/>
      <c r="C2026" s="299"/>
      <c r="D2026" s="298"/>
      <c r="E2026" s="299"/>
      <c r="F2026" s="299"/>
      <c r="G2026" s="300"/>
      <c r="H2026" s="303"/>
      <c r="I2026" s="301">
        <f t="shared" si="527"/>
        <v>0</v>
      </c>
      <c r="J2026" s="302">
        <f t="shared" si="528"/>
        <v>0</v>
      </c>
      <c r="K2026" s="304">
        <f t="shared" si="529"/>
        <v>0</v>
      </c>
      <c r="L2026" s="305">
        <f>IF(H2026=0,0,IF(OR(E2026=$AT$5,E2026=$AT$6),AA2026,IF(F2026="MXN",1/HLOOKUP(YEAR(G2026)+(MONTH(G2026)/100),TC!$5:$37,DAY(G2026)+2,FALSE),VLOOKUP(F2026,Equivalencia!$5:$23,((MAX(Equivalencia!$3:$3)-YEAR(G2026))*14)+MONTH(G2026)+2,FALSE))))</f>
        <v>0</v>
      </c>
      <c r="M2026" s="306">
        <f t="shared" si="530"/>
        <v>0</v>
      </c>
      <c r="N2026" s="305">
        <f>IF(G2026=0,0,(IF(OR(E2026=$AT$5,E2026=$AT$6),AC2026,HLOOKUP(YEAR(G2026)+(MONTH(G2026)/100),TC!$5:$37,DAY(G2026)+2,FALSE))))</f>
        <v>0</v>
      </c>
      <c r="O2026" s="307">
        <f t="shared" si="531"/>
        <v>0</v>
      </c>
      <c r="P2026" s="560">
        <f>IF(G2026=0,0,VLOOKUP(YEAR(G2026),INPC!$B$4:$P$30,MONTH(G2026)+2))</f>
        <v>0</v>
      </c>
      <c r="Q2026" s="560">
        <f>IF(X2026=0,0,IF(OR(E2026=$AT$10,E2026=$AT$9),VLOOKUP(YEAR(X2026),INPC!$B$4:$P$30,MONTH(X2026)+1),VLOOKUP(YEAR(X2026),INPC!$B$4:$P$30,MONTH(X2026)+2,0)))</f>
        <v>0</v>
      </c>
      <c r="R2026" s="309">
        <f t="shared" si="532"/>
        <v>0</v>
      </c>
      <c r="S2026" s="310">
        <f t="shared" si="533"/>
        <v>0</v>
      </c>
      <c r="T2026" s="555">
        <f t="shared" si="534"/>
        <v>0</v>
      </c>
      <c r="U2026" s="311"/>
      <c r="V2026" s="312"/>
      <c r="W2026" s="299"/>
      <c r="X2026" s="300"/>
      <c r="Y2026" s="299"/>
      <c r="Z2026" s="303"/>
      <c r="AA2026" s="305">
        <f>IF(Z2026=0,0,IF(Y2026="MXN",1/HLOOKUP(YEAR(X2026)+(MONTH(X2026)/100),TC!$5:$37,DAY(X2026)+2,FALSE),VLOOKUP(Y2026,Equivalencia!$1:$23,((MAX(Equivalencia!$3:$3)-YEAR(X2026))*14)+MONTH(X2026)+2,FALSE)))</f>
        <v>0</v>
      </c>
      <c r="AB2026" s="306">
        <f t="shared" si="535"/>
        <v>0</v>
      </c>
      <c r="AC2026" s="305">
        <f>+IF(X2026=0,0,HLOOKUP(YEAR(X2026)+(MONTH(X2026)/100),TC!$5:$37,DAY(X2026)+2,FALSE))</f>
        <v>0</v>
      </c>
      <c r="AD2026" s="307">
        <f t="shared" si="536"/>
        <v>0</v>
      </c>
      <c r="AE2026" s="314">
        <f t="shared" si="537"/>
        <v>0</v>
      </c>
      <c r="AF2026" s="315">
        <f t="shared" si="538"/>
        <v>0</v>
      </c>
      <c r="AG2026" s="316">
        <f t="shared" si="539"/>
        <v>0</v>
      </c>
      <c r="AH2026" s="314">
        <v>1</v>
      </c>
      <c r="AI2026" s="314">
        <f t="shared" si="540"/>
        <v>0</v>
      </c>
      <c r="AJ2026" s="314">
        <f t="shared" si="541"/>
        <v>0</v>
      </c>
      <c r="AK2026" s="317"/>
      <c r="AL2026" s="315">
        <f t="shared" si="542"/>
        <v>0</v>
      </c>
      <c r="AN2026" s="554">
        <f t="shared" si="543"/>
        <v>0</v>
      </c>
      <c r="AO2026" s="314"/>
      <c r="AP2026" s="318"/>
    </row>
    <row r="2027" spans="2:42">
      <c r="B2027" s="296"/>
      <c r="C2027" s="299"/>
      <c r="D2027" s="298"/>
      <c r="E2027" s="299"/>
      <c r="F2027" s="299"/>
      <c r="G2027" s="300"/>
      <c r="H2027" s="303"/>
      <c r="I2027" s="301">
        <f t="shared" si="527"/>
        <v>0</v>
      </c>
      <c r="J2027" s="302">
        <f t="shared" si="528"/>
        <v>0</v>
      </c>
      <c r="K2027" s="304">
        <f t="shared" si="529"/>
        <v>0</v>
      </c>
      <c r="L2027" s="305">
        <f>IF(H2027=0,0,IF(OR(E2027=$AT$5,E2027=$AT$6),AA2027,IF(F2027="MXN",1/HLOOKUP(YEAR(G2027)+(MONTH(G2027)/100),TC!$5:$37,DAY(G2027)+2,FALSE),VLOOKUP(F2027,Equivalencia!$5:$23,((MAX(Equivalencia!$3:$3)-YEAR(G2027))*14)+MONTH(G2027)+2,FALSE))))</f>
        <v>0</v>
      </c>
      <c r="M2027" s="306">
        <f t="shared" si="530"/>
        <v>0</v>
      </c>
      <c r="N2027" s="305">
        <f>IF(G2027=0,0,(IF(OR(E2027=$AT$5,E2027=$AT$6),AC2027,HLOOKUP(YEAR(G2027)+(MONTH(G2027)/100),TC!$5:$37,DAY(G2027)+2,FALSE))))</f>
        <v>0</v>
      </c>
      <c r="O2027" s="307">
        <f t="shared" si="531"/>
        <v>0</v>
      </c>
      <c r="P2027" s="560">
        <f>IF(G2027=0,0,VLOOKUP(YEAR(G2027),INPC!$B$4:$P$30,MONTH(G2027)+2))</f>
        <v>0</v>
      </c>
      <c r="Q2027" s="560">
        <f>IF(X2027=0,0,IF(OR(E2027=$AT$10,E2027=$AT$9),VLOOKUP(YEAR(X2027),INPC!$B$4:$P$30,MONTH(X2027)+1),VLOOKUP(YEAR(X2027),INPC!$B$4:$P$30,MONTH(X2027)+2,0)))</f>
        <v>0</v>
      </c>
      <c r="R2027" s="309">
        <f t="shared" si="532"/>
        <v>0</v>
      </c>
      <c r="S2027" s="310">
        <f t="shared" si="533"/>
        <v>0</v>
      </c>
      <c r="T2027" s="555">
        <f t="shared" si="534"/>
        <v>0</v>
      </c>
      <c r="U2027" s="311"/>
      <c r="V2027" s="312"/>
      <c r="W2027" s="299"/>
      <c r="X2027" s="300"/>
      <c r="Y2027" s="299"/>
      <c r="Z2027" s="303"/>
      <c r="AA2027" s="305">
        <f>IF(Z2027=0,0,IF(Y2027="MXN",1/HLOOKUP(YEAR(X2027)+(MONTH(X2027)/100),TC!$5:$37,DAY(X2027)+2,FALSE),VLOOKUP(Y2027,Equivalencia!$1:$23,((MAX(Equivalencia!$3:$3)-YEAR(X2027))*14)+MONTH(X2027)+2,FALSE)))</f>
        <v>0</v>
      </c>
      <c r="AB2027" s="306">
        <f t="shared" si="535"/>
        <v>0</v>
      </c>
      <c r="AC2027" s="305">
        <f>+IF(X2027=0,0,HLOOKUP(YEAR(X2027)+(MONTH(X2027)/100),TC!$5:$37,DAY(X2027)+2,FALSE))</f>
        <v>0</v>
      </c>
      <c r="AD2027" s="307">
        <f t="shared" si="536"/>
        <v>0</v>
      </c>
      <c r="AE2027" s="314">
        <f t="shared" si="537"/>
        <v>0</v>
      </c>
      <c r="AF2027" s="315">
        <f t="shared" si="538"/>
        <v>0</v>
      </c>
      <c r="AG2027" s="316">
        <f t="shared" si="539"/>
        <v>0</v>
      </c>
      <c r="AH2027" s="314">
        <v>1</v>
      </c>
      <c r="AI2027" s="314">
        <f t="shared" si="540"/>
        <v>0</v>
      </c>
      <c r="AJ2027" s="314">
        <f t="shared" si="541"/>
        <v>0</v>
      </c>
      <c r="AK2027" s="317"/>
      <c r="AL2027" s="315">
        <f t="shared" si="542"/>
        <v>0</v>
      </c>
      <c r="AN2027" s="554">
        <f t="shared" si="543"/>
        <v>0</v>
      </c>
      <c r="AO2027" s="314"/>
      <c r="AP2027" s="318"/>
    </row>
    <row r="2028" spans="2:42">
      <c r="B2028" s="296"/>
      <c r="C2028" s="299"/>
      <c r="D2028" s="298"/>
      <c r="E2028" s="299"/>
      <c r="F2028" s="299"/>
      <c r="G2028" s="300"/>
      <c r="H2028" s="303"/>
      <c r="I2028" s="301">
        <f t="shared" si="527"/>
        <v>0</v>
      </c>
      <c r="J2028" s="302">
        <f t="shared" si="528"/>
        <v>0</v>
      </c>
      <c r="K2028" s="304">
        <f t="shared" si="529"/>
        <v>0</v>
      </c>
      <c r="L2028" s="305">
        <f>IF(H2028=0,0,IF(OR(E2028=$AT$5,E2028=$AT$6),AA2028,IF(F2028="MXN",1/HLOOKUP(YEAR(G2028)+(MONTH(G2028)/100),TC!$5:$37,DAY(G2028)+2,FALSE),VLOOKUP(F2028,Equivalencia!$5:$23,((MAX(Equivalencia!$3:$3)-YEAR(G2028))*14)+MONTH(G2028)+2,FALSE))))</f>
        <v>0</v>
      </c>
      <c r="M2028" s="306">
        <f t="shared" si="530"/>
        <v>0</v>
      </c>
      <c r="N2028" s="305">
        <f>IF(G2028=0,0,(IF(OR(E2028=$AT$5,E2028=$AT$6),AC2028,HLOOKUP(YEAR(G2028)+(MONTH(G2028)/100),TC!$5:$37,DAY(G2028)+2,FALSE))))</f>
        <v>0</v>
      </c>
      <c r="O2028" s="307">
        <f t="shared" si="531"/>
        <v>0</v>
      </c>
      <c r="P2028" s="560">
        <f>IF(G2028=0,0,VLOOKUP(YEAR(G2028),INPC!$B$4:$P$30,MONTH(G2028)+2))</f>
        <v>0</v>
      </c>
      <c r="Q2028" s="560">
        <f>IF(X2028=0,0,IF(OR(E2028=$AT$10,E2028=$AT$9),VLOOKUP(YEAR(X2028),INPC!$B$4:$P$30,MONTH(X2028)+1),VLOOKUP(YEAR(X2028),INPC!$B$4:$P$30,MONTH(X2028)+2,0)))</f>
        <v>0</v>
      </c>
      <c r="R2028" s="309">
        <f t="shared" si="532"/>
        <v>0</v>
      </c>
      <c r="S2028" s="310">
        <f t="shared" si="533"/>
        <v>0</v>
      </c>
      <c r="T2028" s="555">
        <f t="shared" si="534"/>
        <v>0</v>
      </c>
      <c r="U2028" s="311"/>
      <c r="V2028" s="312"/>
      <c r="W2028" s="299"/>
      <c r="X2028" s="300"/>
      <c r="Y2028" s="299"/>
      <c r="Z2028" s="303"/>
      <c r="AA2028" s="305">
        <f>IF(Z2028=0,0,IF(Y2028="MXN",1/HLOOKUP(YEAR(X2028)+(MONTH(X2028)/100),TC!$5:$37,DAY(X2028)+2,FALSE),VLOOKUP(Y2028,Equivalencia!$1:$23,((MAX(Equivalencia!$3:$3)-YEAR(X2028))*14)+MONTH(X2028)+2,FALSE)))</f>
        <v>0</v>
      </c>
      <c r="AB2028" s="306">
        <f t="shared" si="535"/>
        <v>0</v>
      </c>
      <c r="AC2028" s="305">
        <f>+IF(X2028=0,0,HLOOKUP(YEAR(X2028)+(MONTH(X2028)/100),TC!$5:$37,DAY(X2028)+2,FALSE))</f>
        <v>0</v>
      </c>
      <c r="AD2028" s="307">
        <f t="shared" si="536"/>
        <v>0</v>
      </c>
      <c r="AE2028" s="314">
        <f t="shared" si="537"/>
        <v>0</v>
      </c>
      <c r="AF2028" s="315">
        <f t="shared" si="538"/>
        <v>0</v>
      </c>
      <c r="AG2028" s="316">
        <f t="shared" si="539"/>
        <v>0</v>
      </c>
      <c r="AH2028" s="314">
        <v>1</v>
      </c>
      <c r="AI2028" s="314">
        <f t="shared" si="540"/>
        <v>0</v>
      </c>
      <c r="AJ2028" s="314">
        <f t="shared" si="541"/>
        <v>0</v>
      </c>
      <c r="AK2028" s="317"/>
      <c r="AL2028" s="315">
        <f t="shared" si="542"/>
        <v>0</v>
      </c>
      <c r="AN2028" s="554">
        <f t="shared" si="543"/>
        <v>0</v>
      </c>
      <c r="AO2028" s="314"/>
      <c r="AP2028" s="318"/>
    </row>
    <row r="2029" spans="2:42">
      <c r="B2029" s="296"/>
      <c r="C2029" s="299"/>
      <c r="D2029" s="298"/>
      <c r="E2029" s="299"/>
      <c r="F2029" s="299"/>
      <c r="G2029" s="300"/>
      <c r="H2029" s="303"/>
      <c r="I2029" s="301">
        <f t="shared" si="527"/>
        <v>0</v>
      </c>
      <c r="J2029" s="302">
        <f t="shared" si="528"/>
        <v>0</v>
      </c>
      <c r="K2029" s="304">
        <f t="shared" si="529"/>
        <v>0</v>
      </c>
      <c r="L2029" s="305">
        <f>IF(H2029=0,0,IF(OR(E2029=$AT$5,E2029=$AT$6),AA2029,IF(F2029="MXN",1/HLOOKUP(YEAR(G2029)+(MONTH(G2029)/100),TC!$5:$37,DAY(G2029)+2,FALSE),VLOOKUP(F2029,Equivalencia!$5:$23,((MAX(Equivalencia!$3:$3)-YEAR(G2029))*14)+MONTH(G2029)+2,FALSE))))</f>
        <v>0</v>
      </c>
      <c r="M2029" s="306">
        <f t="shared" si="530"/>
        <v>0</v>
      </c>
      <c r="N2029" s="305">
        <f>IF(G2029=0,0,(IF(OR(E2029=$AT$5,E2029=$AT$6),AC2029,HLOOKUP(YEAR(G2029)+(MONTH(G2029)/100),TC!$5:$37,DAY(G2029)+2,FALSE))))</f>
        <v>0</v>
      </c>
      <c r="O2029" s="307">
        <f t="shared" si="531"/>
        <v>0</v>
      </c>
      <c r="P2029" s="560">
        <f>IF(G2029=0,0,VLOOKUP(YEAR(G2029),INPC!$B$4:$P$30,MONTH(G2029)+2))</f>
        <v>0</v>
      </c>
      <c r="Q2029" s="560">
        <f>IF(X2029=0,0,IF(OR(E2029=$AT$10,E2029=$AT$9),VLOOKUP(YEAR(X2029),INPC!$B$4:$P$30,MONTH(X2029)+1),VLOOKUP(YEAR(X2029),INPC!$B$4:$P$30,MONTH(X2029)+2,0)))</f>
        <v>0</v>
      </c>
      <c r="R2029" s="309">
        <f t="shared" si="532"/>
        <v>0</v>
      </c>
      <c r="S2029" s="310">
        <f t="shared" si="533"/>
        <v>0</v>
      </c>
      <c r="T2029" s="555">
        <f t="shared" si="534"/>
        <v>0</v>
      </c>
      <c r="U2029" s="311"/>
      <c r="V2029" s="312"/>
      <c r="W2029" s="299"/>
      <c r="X2029" s="300"/>
      <c r="Y2029" s="299"/>
      <c r="Z2029" s="303"/>
      <c r="AA2029" s="305">
        <f>IF(Z2029=0,0,IF(Y2029="MXN",1/HLOOKUP(YEAR(X2029)+(MONTH(X2029)/100),TC!$5:$37,DAY(X2029)+2,FALSE),VLOOKUP(Y2029,Equivalencia!$1:$23,((MAX(Equivalencia!$3:$3)-YEAR(X2029))*14)+MONTH(X2029)+2,FALSE)))</f>
        <v>0</v>
      </c>
      <c r="AB2029" s="306">
        <f t="shared" si="535"/>
        <v>0</v>
      </c>
      <c r="AC2029" s="305">
        <f>+IF(X2029=0,0,HLOOKUP(YEAR(X2029)+(MONTH(X2029)/100),TC!$5:$37,DAY(X2029)+2,FALSE))</f>
        <v>0</v>
      </c>
      <c r="AD2029" s="307">
        <f t="shared" si="536"/>
        <v>0</v>
      </c>
      <c r="AE2029" s="314">
        <f t="shared" si="537"/>
        <v>0</v>
      </c>
      <c r="AF2029" s="315">
        <f t="shared" si="538"/>
        <v>0</v>
      </c>
      <c r="AG2029" s="316">
        <f t="shared" si="539"/>
        <v>0</v>
      </c>
      <c r="AH2029" s="314">
        <v>1</v>
      </c>
      <c r="AI2029" s="314">
        <f t="shared" si="540"/>
        <v>0</v>
      </c>
      <c r="AJ2029" s="314">
        <f t="shared" si="541"/>
        <v>0</v>
      </c>
      <c r="AK2029" s="317"/>
      <c r="AL2029" s="315">
        <f t="shared" si="542"/>
        <v>0</v>
      </c>
      <c r="AN2029" s="554">
        <f t="shared" si="543"/>
        <v>0</v>
      </c>
      <c r="AO2029" s="314"/>
      <c r="AP2029" s="318"/>
    </row>
    <row r="2030" spans="2:42">
      <c r="B2030" s="296"/>
      <c r="C2030" s="299"/>
      <c r="D2030" s="298"/>
      <c r="E2030" s="299"/>
      <c r="F2030" s="299"/>
      <c r="G2030" s="300"/>
      <c r="H2030" s="303"/>
      <c r="I2030" s="301">
        <f t="shared" si="527"/>
        <v>0</v>
      </c>
      <c r="J2030" s="302">
        <f t="shared" si="528"/>
        <v>0</v>
      </c>
      <c r="K2030" s="304">
        <f t="shared" si="529"/>
        <v>0</v>
      </c>
      <c r="L2030" s="305">
        <f>IF(H2030=0,0,IF(OR(E2030=$AT$5,E2030=$AT$6),AA2030,IF(F2030="MXN",1/HLOOKUP(YEAR(G2030)+(MONTH(G2030)/100),TC!$5:$37,DAY(G2030)+2,FALSE),VLOOKUP(F2030,Equivalencia!$5:$23,((MAX(Equivalencia!$3:$3)-YEAR(G2030))*14)+MONTH(G2030)+2,FALSE))))</f>
        <v>0</v>
      </c>
      <c r="M2030" s="306">
        <f t="shared" si="530"/>
        <v>0</v>
      </c>
      <c r="N2030" s="305">
        <f>IF(G2030=0,0,(IF(OR(E2030=$AT$5,E2030=$AT$6),AC2030,HLOOKUP(YEAR(G2030)+(MONTH(G2030)/100),TC!$5:$37,DAY(G2030)+2,FALSE))))</f>
        <v>0</v>
      </c>
      <c r="O2030" s="307">
        <f t="shared" si="531"/>
        <v>0</v>
      </c>
      <c r="P2030" s="560">
        <f>IF(G2030=0,0,VLOOKUP(YEAR(G2030),INPC!$B$4:$P$30,MONTH(G2030)+2))</f>
        <v>0</v>
      </c>
      <c r="Q2030" s="560">
        <f>IF(X2030=0,0,IF(OR(E2030=$AT$10,E2030=$AT$9),VLOOKUP(YEAR(X2030),INPC!$B$4:$P$30,MONTH(X2030)+1),VLOOKUP(YEAR(X2030),INPC!$B$4:$P$30,MONTH(X2030)+2,0)))</f>
        <v>0</v>
      </c>
      <c r="R2030" s="309">
        <f t="shared" si="532"/>
        <v>0</v>
      </c>
      <c r="S2030" s="310">
        <f t="shared" si="533"/>
        <v>0</v>
      </c>
      <c r="T2030" s="555">
        <f t="shared" si="534"/>
        <v>0</v>
      </c>
      <c r="U2030" s="311"/>
      <c r="V2030" s="312"/>
      <c r="W2030" s="299"/>
      <c r="X2030" s="300"/>
      <c r="Y2030" s="299"/>
      <c r="Z2030" s="303"/>
      <c r="AA2030" s="305">
        <f>IF(Z2030=0,0,IF(Y2030="MXN",1/HLOOKUP(YEAR(X2030)+(MONTH(X2030)/100),TC!$5:$37,DAY(X2030)+2,FALSE),VLOOKUP(Y2030,Equivalencia!$1:$23,((MAX(Equivalencia!$3:$3)-YEAR(X2030))*14)+MONTH(X2030)+2,FALSE)))</f>
        <v>0</v>
      </c>
      <c r="AB2030" s="306">
        <f t="shared" si="535"/>
        <v>0</v>
      </c>
      <c r="AC2030" s="305">
        <f>+IF(X2030=0,0,HLOOKUP(YEAR(X2030)+(MONTH(X2030)/100),TC!$5:$37,DAY(X2030)+2,FALSE))</f>
        <v>0</v>
      </c>
      <c r="AD2030" s="307">
        <f t="shared" si="536"/>
        <v>0</v>
      </c>
      <c r="AE2030" s="314">
        <f t="shared" si="537"/>
        <v>0</v>
      </c>
      <c r="AF2030" s="315">
        <f t="shared" si="538"/>
        <v>0</v>
      </c>
      <c r="AG2030" s="316">
        <f t="shared" si="539"/>
        <v>0</v>
      </c>
      <c r="AH2030" s="314">
        <v>1</v>
      </c>
      <c r="AI2030" s="314">
        <f t="shared" si="540"/>
        <v>0</v>
      </c>
      <c r="AJ2030" s="314">
        <f t="shared" si="541"/>
        <v>0</v>
      </c>
      <c r="AK2030" s="317"/>
      <c r="AL2030" s="315">
        <f t="shared" si="542"/>
        <v>0</v>
      </c>
      <c r="AN2030" s="554">
        <f t="shared" si="543"/>
        <v>0</v>
      </c>
      <c r="AO2030" s="314"/>
      <c r="AP2030" s="318"/>
    </row>
    <row r="2031" spans="2:42">
      <c r="B2031" s="296"/>
      <c r="C2031" s="299"/>
      <c r="D2031" s="298"/>
      <c r="E2031" s="299"/>
      <c r="F2031" s="299"/>
      <c r="G2031" s="300"/>
      <c r="H2031" s="303"/>
      <c r="I2031" s="301">
        <f t="shared" si="527"/>
        <v>0</v>
      </c>
      <c r="J2031" s="302">
        <f t="shared" si="528"/>
        <v>0</v>
      </c>
      <c r="K2031" s="304">
        <f t="shared" si="529"/>
        <v>0</v>
      </c>
      <c r="L2031" s="305">
        <f>IF(H2031=0,0,IF(OR(E2031=$AT$5,E2031=$AT$6),AA2031,IF(F2031="MXN",1/HLOOKUP(YEAR(G2031)+(MONTH(G2031)/100),TC!$5:$37,DAY(G2031)+2,FALSE),VLOOKUP(F2031,Equivalencia!$5:$23,((MAX(Equivalencia!$3:$3)-YEAR(G2031))*14)+MONTH(G2031)+2,FALSE))))</f>
        <v>0</v>
      </c>
      <c r="M2031" s="306">
        <f t="shared" si="530"/>
        <v>0</v>
      </c>
      <c r="N2031" s="305">
        <f>IF(G2031=0,0,(IF(OR(E2031=$AT$5,E2031=$AT$6),AC2031,HLOOKUP(YEAR(G2031)+(MONTH(G2031)/100),TC!$5:$37,DAY(G2031)+2,FALSE))))</f>
        <v>0</v>
      </c>
      <c r="O2031" s="307">
        <f t="shared" si="531"/>
        <v>0</v>
      </c>
      <c r="P2031" s="560">
        <f>IF(G2031=0,0,VLOOKUP(YEAR(G2031),INPC!$B$4:$P$30,MONTH(G2031)+2))</f>
        <v>0</v>
      </c>
      <c r="Q2031" s="560">
        <f>IF(X2031=0,0,IF(OR(E2031=$AT$10,E2031=$AT$9),VLOOKUP(YEAR(X2031),INPC!$B$4:$P$30,MONTH(X2031)+1),VLOOKUP(YEAR(X2031),INPC!$B$4:$P$30,MONTH(X2031)+2,0)))</f>
        <v>0</v>
      </c>
      <c r="R2031" s="309">
        <f t="shared" si="532"/>
        <v>0</v>
      </c>
      <c r="S2031" s="310">
        <f t="shared" si="533"/>
        <v>0</v>
      </c>
      <c r="T2031" s="555">
        <f t="shared" si="534"/>
        <v>0</v>
      </c>
      <c r="U2031" s="311"/>
      <c r="V2031" s="312"/>
      <c r="W2031" s="299"/>
      <c r="X2031" s="300"/>
      <c r="Y2031" s="299"/>
      <c r="Z2031" s="303"/>
      <c r="AA2031" s="305">
        <f>IF(Z2031=0,0,IF(Y2031="MXN",1/HLOOKUP(YEAR(X2031)+(MONTH(X2031)/100),TC!$5:$37,DAY(X2031)+2,FALSE),VLOOKUP(Y2031,Equivalencia!$1:$23,((MAX(Equivalencia!$3:$3)-YEAR(X2031))*14)+MONTH(X2031)+2,FALSE)))</f>
        <v>0</v>
      </c>
      <c r="AB2031" s="306">
        <f t="shared" si="535"/>
        <v>0</v>
      </c>
      <c r="AC2031" s="305">
        <f>+IF(X2031=0,0,HLOOKUP(YEAR(X2031)+(MONTH(X2031)/100),TC!$5:$37,DAY(X2031)+2,FALSE))</f>
        <v>0</v>
      </c>
      <c r="AD2031" s="307">
        <f t="shared" si="536"/>
        <v>0</v>
      </c>
      <c r="AE2031" s="314">
        <f t="shared" si="537"/>
        <v>0</v>
      </c>
      <c r="AF2031" s="315">
        <f t="shared" si="538"/>
        <v>0</v>
      </c>
      <c r="AG2031" s="316">
        <f t="shared" si="539"/>
        <v>0</v>
      </c>
      <c r="AH2031" s="314">
        <v>1</v>
      </c>
      <c r="AI2031" s="314">
        <f t="shared" si="540"/>
        <v>0</v>
      </c>
      <c r="AJ2031" s="314">
        <f t="shared" si="541"/>
        <v>0</v>
      </c>
      <c r="AK2031" s="317"/>
      <c r="AL2031" s="315">
        <f t="shared" si="542"/>
        <v>0</v>
      </c>
      <c r="AN2031" s="554">
        <f t="shared" si="543"/>
        <v>0</v>
      </c>
      <c r="AO2031" s="314"/>
      <c r="AP2031" s="318"/>
    </row>
    <row r="2032" spans="2:42">
      <c r="B2032" s="296"/>
      <c r="C2032" s="299"/>
      <c r="D2032" s="298"/>
      <c r="E2032" s="299"/>
      <c r="F2032" s="299"/>
      <c r="G2032" s="300"/>
      <c r="H2032" s="303"/>
      <c r="I2032" s="301">
        <f t="shared" si="527"/>
        <v>0</v>
      </c>
      <c r="J2032" s="302">
        <f t="shared" si="528"/>
        <v>0</v>
      </c>
      <c r="K2032" s="304">
        <f t="shared" si="529"/>
        <v>0</v>
      </c>
      <c r="L2032" s="305">
        <f>IF(H2032=0,0,IF(OR(E2032=$AT$5,E2032=$AT$6),AA2032,IF(F2032="MXN",1/HLOOKUP(YEAR(G2032)+(MONTH(G2032)/100),TC!$5:$37,DAY(G2032)+2,FALSE),VLOOKUP(F2032,Equivalencia!$5:$23,((MAX(Equivalencia!$3:$3)-YEAR(G2032))*14)+MONTH(G2032)+2,FALSE))))</f>
        <v>0</v>
      </c>
      <c r="M2032" s="306">
        <f t="shared" si="530"/>
        <v>0</v>
      </c>
      <c r="N2032" s="305">
        <f>IF(G2032=0,0,(IF(OR(E2032=$AT$5,E2032=$AT$6),AC2032,HLOOKUP(YEAR(G2032)+(MONTH(G2032)/100),TC!$5:$37,DAY(G2032)+2,FALSE))))</f>
        <v>0</v>
      </c>
      <c r="O2032" s="307">
        <f t="shared" si="531"/>
        <v>0</v>
      </c>
      <c r="P2032" s="560">
        <f>IF(G2032=0,0,VLOOKUP(YEAR(G2032),INPC!$B$4:$P$30,MONTH(G2032)+2))</f>
        <v>0</v>
      </c>
      <c r="Q2032" s="560">
        <f>IF(X2032=0,0,IF(OR(E2032=$AT$10,E2032=$AT$9),VLOOKUP(YEAR(X2032),INPC!$B$4:$P$30,MONTH(X2032)+1),VLOOKUP(YEAR(X2032),INPC!$B$4:$P$30,MONTH(X2032)+2,0)))</f>
        <v>0</v>
      </c>
      <c r="R2032" s="309">
        <f t="shared" si="532"/>
        <v>0</v>
      </c>
      <c r="S2032" s="310">
        <f t="shared" si="533"/>
        <v>0</v>
      </c>
      <c r="T2032" s="555">
        <f t="shared" si="534"/>
        <v>0</v>
      </c>
      <c r="U2032" s="311"/>
      <c r="V2032" s="312"/>
      <c r="W2032" s="299"/>
      <c r="X2032" s="300"/>
      <c r="Y2032" s="299"/>
      <c r="Z2032" s="303"/>
      <c r="AA2032" s="305">
        <f>IF(Z2032=0,0,IF(Y2032="MXN",1/HLOOKUP(YEAR(X2032)+(MONTH(X2032)/100),TC!$5:$37,DAY(X2032)+2,FALSE),VLOOKUP(Y2032,Equivalencia!$1:$23,((MAX(Equivalencia!$3:$3)-YEAR(X2032))*14)+MONTH(X2032)+2,FALSE)))</f>
        <v>0</v>
      </c>
      <c r="AB2032" s="306">
        <f t="shared" si="535"/>
        <v>0</v>
      </c>
      <c r="AC2032" s="305">
        <f>+IF(X2032=0,0,HLOOKUP(YEAR(X2032)+(MONTH(X2032)/100),TC!$5:$37,DAY(X2032)+2,FALSE))</f>
        <v>0</v>
      </c>
      <c r="AD2032" s="307">
        <f t="shared" si="536"/>
        <v>0</v>
      </c>
      <c r="AE2032" s="314">
        <f t="shared" si="537"/>
        <v>0</v>
      </c>
      <c r="AF2032" s="315">
        <f t="shared" si="538"/>
        <v>0</v>
      </c>
      <c r="AG2032" s="316">
        <f t="shared" si="539"/>
        <v>0</v>
      </c>
      <c r="AH2032" s="314">
        <v>1</v>
      </c>
      <c r="AI2032" s="314">
        <f t="shared" si="540"/>
        <v>0</v>
      </c>
      <c r="AJ2032" s="314">
        <f t="shared" si="541"/>
        <v>0</v>
      </c>
      <c r="AK2032" s="317"/>
      <c r="AL2032" s="315">
        <f t="shared" si="542"/>
        <v>0</v>
      </c>
      <c r="AN2032" s="554">
        <f t="shared" si="543"/>
        <v>0</v>
      </c>
      <c r="AO2032" s="314"/>
      <c r="AP2032" s="318"/>
    </row>
    <row r="2033" spans="2:42">
      <c r="B2033" s="296"/>
      <c r="C2033" s="299"/>
      <c r="D2033" s="298"/>
      <c r="E2033" s="299"/>
      <c r="F2033" s="299"/>
      <c r="G2033" s="300"/>
      <c r="H2033" s="303"/>
      <c r="I2033" s="301">
        <f t="shared" si="527"/>
        <v>0</v>
      </c>
      <c r="J2033" s="302">
        <f t="shared" si="528"/>
        <v>0</v>
      </c>
      <c r="K2033" s="304">
        <f t="shared" si="529"/>
        <v>0</v>
      </c>
      <c r="L2033" s="305">
        <f>IF(H2033=0,0,IF(OR(E2033=$AT$5,E2033=$AT$6),AA2033,IF(F2033="MXN",1/HLOOKUP(YEAR(G2033)+(MONTH(G2033)/100),TC!$5:$37,DAY(G2033)+2,FALSE),VLOOKUP(F2033,Equivalencia!$5:$23,((MAX(Equivalencia!$3:$3)-YEAR(G2033))*14)+MONTH(G2033)+2,FALSE))))</f>
        <v>0</v>
      </c>
      <c r="M2033" s="306">
        <f t="shared" si="530"/>
        <v>0</v>
      </c>
      <c r="N2033" s="305">
        <f>IF(G2033=0,0,(IF(OR(E2033=$AT$5,E2033=$AT$6),AC2033,HLOOKUP(YEAR(G2033)+(MONTH(G2033)/100),TC!$5:$37,DAY(G2033)+2,FALSE))))</f>
        <v>0</v>
      </c>
      <c r="O2033" s="307">
        <f t="shared" si="531"/>
        <v>0</v>
      </c>
      <c r="P2033" s="560">
        <f>IF(G2033=0,0,VLOOKUP(YEAR(G2033),INPC!$B$4:$P$30,MONTH(G2033)+2))</f>
        <v>0</v>
      </c>
      <c r="Q2033" s="560">
        <f>IF(X2033=0,0,IF(OR(E2033=$AT$10,E2033=$AT$9),VLOOKUP(YEAR(X2033),INPC!$B$4:$P$30,MONTH(X2033)+1),VLOOKUP(YEAR(X2033),INPC!$B$4:$P$30,MONTH(X2033)+2,0)))</f>
        <v>0</v>
      </c>
      <c r="R2033" s="309">
        <f t="shared" si="532"/>
        <v>0</v>
      </c>
      <c r="S2033" s="310">
        <f t="shared" si="533"/>
        <v>0</v>
      </c>
      <c r="T2033" s="555">
        <f t="shared" si="534"/>
        <v>0</v>
      </c>
      <c r="U2033" s="311"/>
      <c r="V2033" s="312"/>
      <c r="W2033" s="299"/>
      <c r="X2033" s="300"/>
      <c r="Y2033" s="299"/>
      <c r="Z2033" s="303"/>
      <c r="AA2033" s="305">
        <f>IF(Z2033=0,0,IF(Y2033="MXN",1/HLOOKUP(YEAR(X2033)+(MONTH(X2033)/100),TC!$5:$37,DAY(X2033)+2,FALSE),VLOOKUP(Y2033,Equivalencia!$1:$23,((MAX(Equivalencia!$3:$3)-YEAR(X2033))*14)+MONTH(X2033)+2,FALSE)))</f>
        <v>0</v>
      </c>
      <c r="AB2033" s="306">
        <f t="shared" si="535"/>
        <v>0</v>
      </c>
      <c r="AC2033" s="305">
        <f>+IF(X2033=0,0,HLOOKUP(YEAR(X2033)+(MONTH(X2033)/100),TC!$5:$37,DAY(X2033)+2,FALSE))</f>
        <v>0</v>
      </c>
      <c r="AD2033" s="307">
        <f t="shared" si="536"/>
        <v>0</v>
      </c>
      <c r="AE2033" s="314">
        <f t="shared" si="537"/>
        <v>0</v>
      </c>
      <c r="AF2033" s="315">
        <f t="shared" si="538"/>
        <v>0</v>
      </c>
      <c r="AG2033" s="316">
        <f t="shared" si="539"/>
        <v>0</v>
      </c>
      <c r="AH2033" s="314">
        <v>1</v>
      </c>
      <c r="AI2033" s="314">
        <f t="shared" si="540"/>
        <v>0</v>
      </c>
      <c r="AJ2033" s="314">
        <f t="shared" si="541"/>
        <v>0</v>
      </c>
      <c r="AK2033" s="317"/>
      <c r="AL2033" s="315">
        <f t="shared" si="542"/>
        <v>0</v>
      </c>
      <c r="AN2033" s="554">
        <f t="shared" si="543"/>
        <v>0</v>
      </c>
      <c r="AO2033" s="314"/>
      <c r="AP2033" s="318"/>
    </row>
    <row r="2034" spans="2:42">
      <c r="B2034" s="296"/>
      <c r="C2034" s="299"/>
      <c r="D2034" s="298"/>
      <c r="E2034" s="299"/>
      <c r="F2034" s="299"/>
      <c r="G2034" s="300"/>
      <c r="H2034" s="303"/>
      <c r="I2034" s="301">
        <f t="shared" si="527"/>
        <v>0</v>
      </c>
      <c r="J2034" s="302">
        <f t="shared" si="528"/>
        <v>0</v>
      </c>
      <c r="K2034" s="304">
        <f t="shared" si="529"/>
        <v>0</v>
      </c>
      <c r="L2034" s="305">
        <f>IF(H2034=0,0,IF(OR(E2034=$AT$5,E2034=$AT$6),AA2034,IF(F2034="MXN",1/HLOOKUP(YEAR(G2034)+(MONTH(G2034)/100),TC!$5:$37,DAY(G2034)+2,FALSE),VLOOKUP(F2034,Equivalencia!$5:$23,((MAX(Equivalencia!$3:$3)-YEAR(G2034))*14)+MONTH(G2034)+2,FALSE))))</f>
        <v>0</v>
      </c>
      <c r="M2034" s="306">
        <f t="shared" si="530"/>
        <v>0</v>
      </c>
      <c r="N2034" s="305">
        <f>IF(G2034=0,0,(IF(OR(E2034=$AT$5,E2034=$AT$6),AC2034,HLOOKUP(YEAR(G2034)+(MONTH(G2034)/100),TC!$5:$37,DAY(G2034)+2,FALSE))))</f>
        <v>0</v>
      </c>
      <c r="O2034" s="307">
        <f t="shared" si="531"/>
        <v>0</v>
      </c>
      <c r="P2034" s="560">
        <f>IF(G2034=0,0,VLOOKUP(YEAR(G2034),INPC!$B$4:$P$30,MONTH(G2034)+2))</f>
        <v>0</v>
      </c>
      <c r="Q2034" s="560">
        <f>IF(X2034=0,0,IF(OR(E2034=$AT$10,E2034=$AT$9),VLOOKUP(YEAR(X2034),INPC!$B$4:$P$30,MONTH(X2034)+1),VLOOKUP(YEAR(X2034),INPC!$B$4:$P$30,MONTH(X2034)+2,0)))</f>
        <v>0</v>
      </c>
      <c r="R2034" s="309">
        <f t="shared" si="532"/>
        <v>0</v>
      </c>
      <c r="S2034" s="310">
        <f t="shared" si="533"/>
        <v>0</v>
      </c>
      <c r="T2034" s="555">
        <f t="shared" si="534"/>
        <v>0</v>
      </c>
      <c r="U2034" s="311"/>
      <c r="V2034" s="312"/>
      <c r="W2034" s="299"/>
      <c r="X2034" s="300"/>
      <c r="Y2034" s="299"/>
      <c r="Z2034" s="303"/>
      <c r="AA2034" s="305">
        <f>IF(Z2034=0,0,IF(Y2034="MXN",1/HLOOKUP(YEAR(X2034)+(MONTH(X2034)/100),TC!$5:$37,DAY(X2034)+2,FALSE),VLOOKUP(Y2034,Equivalencia!$1:$23,((MAX(Equivalencia!$3:$3)-YEAR(X2034))*14)+MONTH(X2034)+2,FALSE)))</f>
        <v>0</v>
      </c>
      <c r="AB2034" s="306">
        <f t="shared" si="535"/>
        <v>0</v>
      </c>
      <c r="AC2034" s="305">
        <f>+IF(X2034=0,0,HLOOKUP(YEAR(X2034)+(MONTH(X2034)/100),TC!$5:$37,DAY(X2034)+2,FALSE))</f>
        <v>0</v>
      </c>
      <c r="AD2034" s="307">
        <f t="shared" si="536"/>
        <v>0</v>
      </c>
      <c r="AE2034" s="314">
        <f t="shared" si="537"/>
        <v>0</v>
      </c>
      <c r="AF2034" s="315">
        <f t="shared" si="538"/>
        <v>0</v>
      </c>
      <c r="AG2034" s="316">
        <f t="shared" si="539"/>
        <v>0</v>
      </c>
      <c r="AH2034" s="314">
        <v>1</v>
      </c>
      <c r="AI2034" s="314">
        <f t="shared" si="540"/>
        <v>0</v>
      </c>
      <c r="AJ2034" s="314">
        <f t="shared" si="541"/>
        <v>0</v>
      </c>
      <c r="AK2034" s="317"/>
      <c r="AL2034" s="315">
        <f t="shared" si="542"/>
        <v>0</v>
      </c>
      <c r="AN2034" s="554">
        <f t="shared" si="543"/>
        <v>0</v>
      </c>
      <c r="AO2034" s="314"/>
      <c r="AP2034" s="318"/>
    </row>
    <row r="2035" spans="2:42">
      <c r="B2035" s="296"/>
      <c r="C2035" s="299"/>
      <c r="D2035" s="298"/>
      <c r="E2035" s="299"/>
      <c r="F2035" s="299"/>
      <c r="G2035" s="300"/>
      <c r="H2035" s="303"/>
      <c r="I2035" s="301">
        <f t="shared" si="527"/>
        <v>0</v>
      </c>
      <c r="J2035" s="302">
        <f t="shared" si="528"/>
        <v>0</v>
      </c>
      <c r="K2035" s="304">
        <f t="shared" si="529"/>
        <v>0</v>
      </c>
      <c r="L2035" s="305">
        <f>IF(H2035=0,0,IF(OR(E2035=$AT$5,E2035=$AT$6),AA2035,IF(F2035="MXN",1/HLOOKUP(YEAR(G2035)+(MONTH(G2035)/100),TC!$5:$37,DAY(G2035)+2,FALSE),VLOOKUP(F2035,Equivalencia!$5:$23,((MAX(Equivalencia!$3:$3)-YEAR(G2035))*14)+MONTH(G2035)+2,FALSE))))</f>
        <v>0</v>
      </c>
      <c r="M2035" s="306">
        <f t="shared" si="530"/>
        <v>0</v>
      </c>
      <c r="N2035" s="305">
        <f>IF(G2035=0,0,(IF(OR(E2035=$AT$5,E2035=$AT$6),AC2035,HLOOKUP(YEAR(G2035)+(MONTH(G2035)/100),TC!$5:$37,DAY(G2035)+2,FALSE))))</f>
        <v>0</v>
      </c>
      <c r="O2035" s="307">
        <f t="shared" si="531"/>
        <v>0</v>
      </c>
      <c r="P2035" s="560">
        <f>IF(G2035=0,0,VLOOKUP(YEAR(G2035),INPC!$B$4:$P$30,MONTH(G2035)+2))</f>
        <v>0</v>
      </c>
      <c r="Q2035" s="560">
        <f>IF(X2035=0,0,IF(OR(E2035=$AT$10,E2035=$AT$9),VLOOKUP(YEAR(X2035),INPC!$B$4:$P$30,MONTH(X2035)+1),VLOOKUP(YEAR(X2035),INPC!$B$4:$P$30,MONTH(X2035)+2,0)))</f>
        <v>0</v>
      </c>
      <c r="R2035" s="309">
        <f t="shared" si="532"/>
        <v>0</v>
      </c>
      <c r="S2035" s="310">
        <f t="shared" si="533"/>
        <v>0</v>
      </c>
      <c r="T2035" s="555">
        <f t="shared" si="534"/>
        <v>0</v>
      </c>
      <c r="U2035" s="311"/>
      <c r="V2035" s="312"/>
      <c r="W2035" s="299"/>
      <c r="X2035" s="300"/>
      <c r="Y2035" s="299"/>
      <c r="Z2035" s="303"/>
      <c r="AA2035" s="305">
        <f>IF(Z2035=0,0,IF(Y2035="MXN",1/HLOOKUP(YEAR(X2035)+(MONTH(X2035)/100),TC!$5:$37,DAY(X2035)+2,FALSE),VLOOKUP(Y2035,Equivalencia!$1:$23,((MAX(Equivalencia!$3:$3)-YEAR(X2035))*14)+MONTH(X2035)+2,FALSE)))</f>
        <v>0</v>
      </c>
      <c r="AB2035" s="306">
        <f t="shared" si="535"/>
        <v>0</v>
      </c>
      <c r="AC2035" s="305">
        <f>+IF(X2035=0,0,HLOOKUP(YEAR(X2035)+(MONTH(X2035)/100),TC!$5:$37,DAY(X2035)+2,FALSE))</f>
        <v>0</v>
      </c>
      <c r="AD2035" s="307">
        <f t="shared" si="536"/>
        <v>0</v>
      </c>
      <c r="AE2035" s="314">
        <f t="shared" si="537"/>
        <v>0</v>
      </c>
      <c r="AF2035" s="315">
        <f t="shared" si="538"/>
        <v>0</v>
      </c>
      <c r="AG2035" s="316">
        <f t="shared" si="539"/>
        <v>0</v>
      </c>
      <c r="AH2035" s="314">
        <v>1</v>
      </c>
      <c r="AI2035" s="314">
        <f t="shared" si="540"/>
        <v>0</v>
      </c>
      <c r="AJ2035" s="314">
        <f t="shared" si="541"/>
        <v>0</v>
      </c>
      <c r="AK2035" s="317"/>
      <c r="AL2035" s="315">
        <f t="shared" si="542"/>
        <v>0</v>
      </c>
      <c r="AN2035" s="554">
        <f t="shared" si="543"/>
        <v>0</v>
      </c>
      <c r="AO2035" s="314"/>
      <c r="AP2035" s="318"/>
    </row>
    <row r="2036" spans="2:42">
      <c r="B2036" s="296"/>
      <c r="C2036" s="299"/>
      <c r="D2036" s="298"/>
      <c r="E2036" s="299"/>
      <c r="F2036" s="299"/>
      <c r="G2036" s="300"/>
      <c r="H2036" s="303"/>
      <c r="I2036" s="301">
        <f t="shared" si="527"/>
        <v>0</v>
      </c>
      <c r="J2036" s="302">
        <f t="shared" si="528"/>
        <v>0</v>
      </c>
      <c r="K2036" s="304">
        <f t="shared" si="529"/>
        <v>0</v>
      </c>
      <c r="L2036" s="305">
        <f>IF(H2036=0,0,IF(OR(E2036=$AT$5,E2036=$AT$6),AA2036,IF(F2036="MXN",1/HLOOKUP(YEAR(G2036)+(MONTH(G2036)/100),TC!$5:$37,DAY(G2036)+2,FALSE),VLOOKUP(F2036,Equivalencia!$5:$23,((MAX(Equivalencia!$3:$3)-YEAR(G2036))*14)+MONTH(G2036)+2,FALSE))))</f>
        <v>0</v>
      </c>
      <c r="M2036" s="306">
        <f t="shared" si="530"/>
        <v>0</v>
      </c>
      <c r="N2036" s="305">
        <f>IF(G2036=0,0,(IF(OR(E2036=$AT$5,E2036=$AT$6),AC2036,HLOOKUP(YEAR(G2036)+(MONTH(G2036)/100),TC!$5:$37,DAY(G2036)+2,FALSE))))</f>
        <v>0</v>
      </c>
      <c r="O2036" s="307">
        <f t="shared" si="531"/>
        <v>0</v>
      </c>
      <c r="P2036" s="560">
        <f>IF(G2036=0,0,VLOOKUP(YEAR(G2036),INPC!$B$4:$P$30,MONTH(G2036)+2))</f>
        <v>0</v>
      </c>
      <c r="Q2036" s="560">
        <f>IF(X2036=0,0,IF(OR(E2036=$AT$10,E2036=$AT$9),VLOOKUP(YEAR(X2036),INPC!$B$4:$P$30,MONTH(X2036)+1),VLOOKUP(YEAR(X2036),INPC!$B$4:$P$30,MONTH(X2036)+2,0)))</f>
        <v>0</v>
      </c>
      <c r="R2036" s="309">
        <f t="shared" si="532"/>
        <v>0</v>
      </c>
      <c r="S2036" s="310">
        <f t="shared" si="533"/>
        <v>0</v>
      </c>
      <c r="T2036" s="555">
        <f t="shared" si="534"/>
        <v>0</v>
      </c>
      <c r="U2036" s="311"/>
      <c r="V2036" s="312"/>
      <c r="W2036" s="299"/>
      <c r="X2036" s="300"/>
      <c r="Y2036" s="299"/>
      <c r="Z2036" s="303"/>
      <c r="AA2036" s="305">
        <f>IF(Z2036=0,0,IF(Y2036="MXN",1/HLOOKUP(YEAR(X2036)+(MONTH(X2036)/100),TC!$5:$37,DAY(X2036)+2,FALSE),VLOOKUP(Y2036,Equivalencia!$1:$23,((MAX(Equivalencia!$3:$3)-YEAR(X2036))*14)+MONTH(X2036)+2,FALSE)))</f>
        <v>0</v>
      </c>
      <c r="AB2036" s="306">
        <f t="shared" si="535"/>
        <v>0</v>
      </c>
      <c r="AC2036" s="305">
        <f>+IF(X2036=0,0,HLOOKUP(YEAR(X2036)+(MONTH(X2036)/100),TC!$5:$37,DAY(X2036)+2,FALSE))</f>
        <v>0</v>
      </c>
      <c r="AD2036" s="307">
        <f t="shared" si="536"/>
        <v>0</v>
      </c>
      <c r="AE2036" s="314">
        <f t="shared" si="537"/>
        <v>0</v>
      </c>
      <c r="AF2036" s="315">
        <f t="shared" si="538"/>
        <v>0</v>
      </c>
      <c r="AG2036" s="316">
        <f t="shared" si="539"/>
        <v>0</v>
      </c>
      <c r="AH2036" s="314">
        <v>1</v>
      </c>
      <c r="AI2036" s="314">
        <f t="shared" si="540"/>
        <v>0</v>
      </c>
      <c r="AJ2036" s="314">
        <f t="shared" si="541"/>
        <v>0</v>
      </c>
      <c r="AK2036" s="317"/>
      <c r="AL2036" s="315">
        <f t="shared" si="542"/>
        <v>0</v>
      </c>
      <c r="AN2036" s="554">
        <f t="shared" si="543"/>
        <v>0</v>
      </c>
      <c r="AO2036" s="314"/>
      <c r="AP2036" s="318"/>
    </row>
    <row r="2037" spans="2:42">
      <c r="B2037" s="296"/>
      <c r="C2037" s="299"/>
      <c r="D2037" s="298"/>
      <c r="E2037" s="299"/>
      <c r="F2037" s="299"/>
      <c r="G2037" s="300"/>
      <c r="H2037" s="303"/>
      <c r="I2037" s="301">
        <f t="shared" si="527"/>
        <v>0</v>
      </c>
      <c r="J2037" s="302">
        <f t="shared" si="528"/>
        <v>0</v>
      </c>
      <c r="K2037" s="304">
        <f t="shared" si="529"/>
        <v>0</v>
      </c>
      <c r="L2037" s="305">
        <f>IF(H2037=0,0,IF(OR(E2037=$AT$5,E2037=$AT$6),AA2037,IF(F2037="MXN",1/HLOOKUP(YEAR(G2037)+(MONTH(G2037)/100),TC!$5:$37,DAY(G2037)+2,FALSE),VLOOKUP(F2037,Equivalencia!$5:$23,((MAX(Equivalencia!$3:$3)-YEAR(G2037))*14)+MONTH(G2037)+2,FALSE))))</f>
        <v>0</v>
      </c>
      <c r="M2037" s="306">
        <f t="shared" si="530"/>
        <v>0</v>
      </c>
      <c r="N2037" s="305">
        <f>IF(G2037=0,0,(IF(OR(E2037=$AT$5,E2037=$AT$6),AC2037,HLOOKUP(YEAR(G2037)+(MONTH(G2037)/100),TC!$5:$37,DAY(G2037)+2,FALSE))))</f>
        <v>0</v>
      </c>
      <c r="O2037" s="307">
        <f t="shared" si="531"/>
        <v>0</v>
      </c>
      <c r="P2037" s="560">
        <f>IF(G2037=0,0,VLOOKUP(YEAR(G2037),INPC!$B$4:$P$30,MONTH(G2037)+2))</f>
        <v>0</v>
      </c>
      <c r="Q2037" s="560">
        <f>IF(X2037=0,0,IF(OR(E2037=$AT$10,E2037=$AT$9),VLOOKUP(YEAR(X2037),INPC!$B$4:$P$30,MONTH(X2037)+1),VLOOKUP(YEAR(X2037),INPC!$B$4:$P$30,MONTH(X2037)+2,0)))</f>
        <v>0</v>
      </c>
      <c r="R2037" s="309">
        <f t="shared" si="532"/>
        <v>0</v>
      </c>
      <c r="S2037" s="310">
        <f t="shared" si="533"/>
        <v>0</v>
      </c>
      <c r="T2037" s="555">
        <f t="shared" si="534"/>
        <v>0</v>
      </c>
      <c r="U2037" s="311"/>
      <c r="V2037" s="312"/>
      <c r="W2037" s="299"/>
      <c r="X2037" s="300"/>
      <c r="Y2037" s="299"/>
      <c r="Z2037" s="303"/>
      <c r="AA2037" s="305">
        <f>IF(Z2037=0,0,IF(Y2037="MXN",1/HLOOKUP(YEAR(X2037)+(MONTH(X2037)/100),TC!$5:$37,DAY(X2037)+2,FALSE),VLOOKUP(Y2037,Equivalencia!$1:$23,((MAX(Equivalencia!$3:$3)-YEAR(X2037))*14)+MONTH(X2037)+2,FALSE)))</f>
        <v>0</v>
      </c>
      <c r="AB2037" s="306">
        <f t="shared" si="535"/>
        <v>0</v>
      </c>
      <c r="AC2037" s="305">
        <f>+IF(X2037=0,0,HLOOKUP(YEAR(X2037)+(MONTH(X2037)/100),TC!$5:$37,DAY(X2037)+2,FALSE))</f>
        <v>0</v>
      </c>
      <c r="AD2037" s="307">
        <f t="shared" si="536"/>
        <v>0</v>
      </c>
      <c r="AE2037" s="314">
        <f t="shared" si="537"/>
        <v>0</v>
      </c>
      <c r="AF2037" s="315">
        <f t="shared" si="538"/>
        <v>0</v>
      </c>
      <c r="AG2037" s="316">
        <f t="shared" si="539"/>
        <v>0</v>
      </c>
      <c r="AH2037" s="314">
        <v>1</v>
      </c>
      <c r="AI2037" s="314">
        <f t="shared" si="540"/>
        <v>0</v>
      </c>
      <c r="AJ2037" s="314">
        <f t="shared" si="541"/>
        <v>0</v>
      </c>
      <c r="AK2037" s="317"/>
      <c r="AL2037" s="315">
        <f t="shared" si="542"/>
        <v>0</v>
      </c>
      <c r="AN2037" s="554">
        <f t="shared" si="543"/>
        <v>0</v>
      </c>
      <c r="AO2037" s="314"/>
      <c r="AP2037" s="318"/>
    </row>
    <row r="2038" spans="2:42">
      <c r="B2038" s="296"/>
      <c r="C2038" s="299"/>
      <c r="D2038" s="298"/>
      <c r="E2038" s="299"/>
      <c r="F2038" s="299"/>
      <c r="G2038" s="300"/>
      <c r="H2038" s="303"/>
      <c r="I2038" s="301">
        <f t="shared" si="527"/>
        <v>0</v>
      </c>
      <c r="J2038" s="302">
        <f t="shared" si="528"/>
        <v>0</v>
      </c>
      <c r="K2038" s="304">
        <f t="shared" si="529"/>
        <v>0</v>
      </c>
      <c r="L2038" s="305">
        <f>IF(H2038=0,0,IF(OR(E2038=$AT$5,E2038=$AT$6),AA2038,IF(F2038="MXN",1/HLOOKUP(YEAR(G2038)+(MONTH(G2038)/100),TC!$5:$37,DAY(G2038)+2,FALSE),VLOOKUP(F2038,Equivalencia!$5:$23,((MAX(Equivalencia!$3:$3)-YEAR(G2038))*14)+MONTH(G2038)+2,FALSE))))</f>
        <v>0</v>
      </c>
      <c r="M2038" s="306">
        <f t="shared" si="530"/>
        <v>0</v>
      </c>
      <c r="N2038" s="305">
        <f>IF(G2038=0,0,(IF(OR(E2038=$AT$5,E2038=$AT$6),AC2038,HLOOKUP(YEAR(G2038)+(MONTH(G2038)/100),TC!$5:$37,DAY(G2038)+2,FALSE))))</f>
        <v>0</v>
      </c>
      <c r="O2038" s="307">
        <f t="shared" si="531"/>
        <v>0</v>
      </c>
      <c r="P2038" s="560">
        <f>IF(G2038=0,0,VLOOKUP(YEAR(G2038),INPC!$B$4:$P$30,MONTH(G2038)+2))</f>
        <v>0</v>
      </c>
      <c r="Q2038" s="560">
        <f>IF(X2038=0,0,IF(OR(E2038=$AT$10,E2038=$AT$9),VLOOKUP(YEAR(X2038),INPC!$B$4:$P$30,MONTH(X2038)+1),VLOOKUP(YEAR(X2038),INPC!$B$4:$P$30,MONTH(X2038)+2,0)))</f>
        <v>0</v>
      </c>
      <c r="R2038" s="309">
        <f t="shared" si="532"/>
        <v>0</v>
      </c>
      <c r="S2038" s="310">
        <f t="shared" si="533"/>
        <v>0</v>
      </c>
      <c r="T2038" s="555">
        <f t="shared" si="534"/>
        <v>0</v>
      </c>
      <c r="U2038" s="311"/>
      <c r="V2038" s="312"/>
      <c r="W2038" s="299"/>
      <c r="X2038" s="300"/>
      <c r="Y2038" s="299"/>
      <c r="Z2038" s="303"/>
      <c r="AA2038" s="305">
        <f>IF(Z2038=0,0,IF(Y2038="MXN",1/HLOOKUP(YEAR(X2038)+(MONTH(X2038)/100),TC!$5:$37,DAY(X2038)+2,FALSE),VLOOKUP(Y2038,Equivalencia!$1:$23,((MAX(Equivalencia!$3:$3)-YEAR(X2038))*14)+MONTH(X2038)+2,FALSE)))</f>
        <v>0</v>
      </c>
      <c r="AB2038" s="306">
        <f t="shared" si="535"/>
        <v>0</v>
      </c>
      <c r="AC2038" s="305">
        <f>+IF(X2038=0,0,HLOOKUP(YEAR(X2038)+(MONTH(X2038)/100),TC!$5:$37,DAY(X2038)+2,FALSE))</f>
        <v>0</v>
      </c>
      <c r="AD2038" s="307">
        <f t="shared" si="536"/>
        <v>0</v>
      </c>
      <c r="AE2038" s="314">
        <f t="shared" si="537"/>
        <v>0</v>
      </c>
      <c r="AF2038" s="315">
        <f t="shared" si="538"/>
        <v>0</v>
      </c>
      <c r="AG2038" s="316">
        <f t="shared" si="539"/>
        <v>0</v>
      </c>
      <c r="AH2038" s="314">
        <v>1</v>
      </c>
      <c r="AI2038" s="314">
        <f t="shared" si="540"/>
        <v>0</v>
      </c>
      <c r="AJ2038" s="314">
        <f t="shared" si="541"/>
        <v>0</v>
      </c>
      <c r="AK2038" s="317"/>
      <c r="AL2038" s="315">
        <f t="shared" si="542"/>
        <v>0</v>
      </c>
      <c r="AN2038" s="554">
        <f t="shared" si="543"/>
        <v>0</v>
      </c>
      <c r="AO2038" s="314"/>
      <c r="AP2038" s="318"/>
    </row>
    <row r="2039" spans="2:42">
      <c r="B2039" s="296"/>
      <c r="C2039" s="299"/>
      <c r="D2039" s="298"/>
      <c r="E2039" s="299"/>
      <c r="F2039" s="299"/>
      <c r="G2039" s="300"/>
      <c r="H2039" s="303"/>
      <c r="I2039" s="301">
        <f t="shared" si="527"/>
        <v>0</v>
      </c>
      <c r="J2039" s="302">
        <f t="shared" si="528"/>
        <v>0</v>
      </c>
      <c r="K2039" s="304">
        <f t="shared" si="529"/>
        <v>0</v>
      </c>
      <c r="L2039" s="305">
        <f>IF(H2039=0,0,IF(OR(E2039=$AT$5,E2039=$AT$6),AA2039,IF(F2039="MXN",1/HLOOKUP(YEAR(G2039)+(MONTH(G2039)/100),TC!$5:$37,DAY(G2039)+2,FALSE),VLOOKUP(F2039,Equivalencia!$5:$23,((MAX(Equivalencia!$3:$3)-YEAR(G2039))*14)+MONTH(G2039)+2,FALSE))))</f>
        <v>0</v>
      </c>
      <c r="M2039" s="306">
        <f t="shared" si="530"/>
        <v>0</v>
      </c>
      <c r="N2039" s="305">
        <f>IF(G2039=0,0,(IF(OR(E2039=$AT$5,E2039=$AT$6),AC2039,HLOOKUP(YEAR(G2039)+(MONTH(G2039)/100),TC!$5:$37,DAY(G2039)+2,FALSE))))</f>
        <v>0</v>
      </c>
      <c r="O2039" s="307">
        <f t="shared" si="531"/>
        <v>0</v>
      </c>
      <c r="P2039" s="560">
        <f>IF(G2039=0,0,VLOOKUP(YEAR(G2039),INPC!$B$4:$P$30,MONTH(G2039)+2))</f>
        <v>0</v>
      </c>
      <c r="Q2039" s="560">
        <f>IF(X2039=0,0,IF(OR(E2039=$AT$10,E2039=$AT$9),VLOOKUP(YEAR(X2039),INPC!$B$4:$P$30,MONTH(X2039)+1),VLOOKUP(YEAR(X2039),INPC!$B$4:$P$30,MONTH(X2039)+2,0)))</f>
        <v>0</v>
      </c>
      <c r="R2039" s="309">
        <f t="shared" si="532"/>
        <v>0</v>
      </c>
      <c r="S2039" s="310">
        <f t="shared" si="533"/>
        <v>0</v>
      </c>
      <c r="T2039" s="555">
        <f t="shared" si="534"/>
        <v>0</v>
      </c>
      <c r="U2039" s="311"/>
      <c r="V2039" s="312"/>
      <c r="W2039" s="299"/>
      <c r="X2039" s="300"/>
      <c r="Y2039" s="299"/>
      <c r="Z2039" s="303"/>
      <c r="AA2039" s="305">
        <f>IF(Z2039=0,0,IF(Y2039="MXN",1/HLOOKUP(YEAR(X2039)+(MONTH(X2039)/100),TC!$5:$37,DAY(X2039)+2,FALSE),VLOOKUP(Y2039,Equivalencia!$1:$23,((MAX(Equivalencia!$3:$3)-YEAR(X2039))*14)+MONTH(X2039)+2,FALSE)))</f>
        <v>0</v>
      </c>
      <c r="AB2039" s="306">
        <f t="shared" si="535"/>
        <v>0</v>
      </c>
      <c r="AC2039" s="305">
        <f>+IF(X2039=0,0,HLOOKUP(YEAR(X2039)+(MONTH(X2039)/100),TC!$5:$37,DAY(X2039)+2,FALSE))</f>
        <v>0</v>
      </c>
      <c r="AD2039" s="307">
        <f t="shared" si="536"/>
        <v>0</v>
      </c>
      <c r="AE2039" s="314">
        <f t="shared" si="537"/>
        <v>0</v>
      </c>
      <c r="AF2039" s="315">
        <f t="shared" si="538"/>
        <v>0</v>
      </c>
      <c r="AG2039" s="316">
        <f t="shared" si="539"/>
        <v>0</v>
      </c>
      <c r="AH2039" s="314">
        <v>1</v>
      </c>
      <c r="AI2039" s="314">
        <f t="shared" si="540"/>
        <v>0</v>
      </c>
      <c r="AJ2039" s="314">
        <f t="shared" si="541"/>
        <v>0</v>
      </c>
      <c r="AK2039" s="317"/>
      <c r="AL2039" s="315">
        <f t="shared" si="542"/>
        <v>0</v>
      </c>
      <c r="AN2039" s="554">
        <f t="shared" si="543"/>
        <v>0</v>
      </c>
      <c r="AO2039" s="314"/>
      <c r="AP2039" s="318"/>
    </row>
    <row r="2040" spans="2:42">
      <c r="B2040" s="296"/>
      <c r="C2040" s="299"/>
      <c r="D2040" s="298"/>
      <c r="E2040" s="299"/>
      <c r="F2040" s="299"/>
      <c r="G2040" s="300"/>
      <c r="H2040" s="303"/>
      <c r="I2040" s="301">
        <f t="shared" si="527"/>
        <v>0</v>
      </c>
      <c r="J2040" s="302">
        <f t="shared" si="528"/>
        <v>0</v>
      </c>
      <c r="K2040" s="304">
        <f t="shared" si="529"/>
        <v>0</v>
      </c>
      <c r="L2040" s="305">
        <f>IF(H2040=0,0,IF(OR(E2040=$AT$5,E2040=$AT$6),AA2040,IF(F2040="MXN",1/HLOOKUP(YEAR(G2040)+(MONTH(G2040)/100),TC!$5:$37,DAY(G2040)+2,FALSE),VLOOKUP(F2040,Equivalencia!$5:$23,((MAX(Equivalencia!$3:$3)-YEAR(G2040))*14)+MONTH(G2040)+2,FALSE))))</f>
        <v>0</v>
      </c>
      <c r="M2040" s="306">
        <f t="shared" si="530"/>
        <v>0</v>
      </c>
      <c r="N2040" s="305">
        <f>IF(G2040=0,0,(IF(OR(E2040=$AT$5,E2040=$AT$6),AC2040,HLOOKUP(YEAR(G2040)+(MONTH(G2040)/100),TC!$5:$37,DAY(G2040)+2,FALSE))))</f>
        <v>0</v>
      </c>
      <c r="O2040" s="307">
        <f t="shared" si="531"/>
        <v>0</v>
      </c>
      <c r="P2040" s="560">
        <f>IF(G2040=0,0,VLOOKUP(YEAR(G2040),INPC!$B$4:$P$30,MONTH(G2040)+2))</f>
        <v>0</v>
      </c>
      <c r="Q2040" s="560">
        <f>IF(X2040=0,0,IF(OR(E2040=$AT$10,E2040=$AT$9),VLOOKUP(YEAR(X2040),INPC!$B$4:$P$30,MONTH(X2040)+1),VLOOKUP(YEAR(X2040),INPC!$B$4:$P$30,MONTH(X2040)+2,0)))</f>
        <v>0</v>
      </c>
      <c r="R2040" s="309">
        <f t="shared" si="532"/>
        <v>0</v>
      </c>
      <c r="S2040" s="310">
        <f t="shared" si="533"/>
        <v>0</v>
      </c>
      <c r="T2040" s="555">
        <f t="shared" si="534"/>
        <v>0</v>
      </c>
      <c r="U2040" s="311"/>
      <c r="V2040" s="312"/>
      <c r="W2040" s="299"/>
      <c r="X2040" s="300"/>
      <c r="Y2040" s="299"/>
      <c r="Z2040" s="303"/>
      <c r="AA2040" s="305">
        <f>IF(Z2040=0,0,IF(Y2040="MXN",1/HLOOKUP(YEAR(X2040)+(MONTH(X2040)/100),TC!$5:$37,DAY(X2040)+2,FALSE),VLOOKUP(Y2040,Equivalencia!$1:$23,((MAX(Equivalencia!$3:$3)-YEAR(X2040))*14)+MONTH(X2040)+2,FALSE)))</f>
        <v>0</v>
      </c>
      <c r="AB2040" s="306">
        <f t="shared" si="535"/>
        <v>0</v>
      </c>
      <c r="AC2040" s="305">
        <f>+IF(X2040=0,0,HLOOKUP(YEAR(X2040)+(MONTH(X2040)/100),TC!$5:$37,DAY(X2040)+2,FALSE))</f>
        <v>0</v>
      </c>
      <c r="AD2040" s="307">
        <f t="shared" si="536"/>
        <v>0</v>
      </c>
      <c r="AE2040" s="314">
        <f t="shared" si="537"/>
        <v>0</v>
      </c>
      <c r="AF2040" s="315">
        <f t="shared" si="538"/>
        <v>0</v>
      </c>
      <c r="AG2040" s="316">
        <f t="shared" si="539"/>
        <v>0</v>
      </c>
      <c r="AH2040" s="314">
        <v>1</v>
      </c>
      <c r="AI2040" s="314">
        <f t="shared" si="540"/>
        <v>0</v>
      </c>
      <c r="AJ2040" s="314">
        <f t="shared" si="541"/>
        <v>0</v>
      </c>
      <c r="AK2040" s="317"/>
      <c r="AL2040" s="315">
        <f t="shared" si="542"/>
        <v>0</v>
      </c>
      <c r="AN2040" s="554">
        <f t="shared" si="543"/>
        <v>0</v>
      </c>
      <c r="AO2040" s="314"/>
      <c r="AP2040" s="318"/>
    </row>
    <row r="2041" spans="2:42">
      <c r="B2041" s="296"/>
      <c r="C2041" s="299"/>
      <c r="D2041" s="298"/>
      <c r="E2041" s="299"/>
      <c r="F2041" s="299"/>
      <c r="G2041" s="300"/>
      <c r="H2041" s="303"/>
      <c r="I2041" s="301">
        <f t="shared" si="527"/>
        <v>0</v>
      </c>
      <c r="J2041" s="302">
        <f t="shared" si="528"/>
        <v>0</v>
      </c>
      <c r="K2041" s="304">
        <f t="shared" si="529"/>
        <v>0</v>
      </c>
      <c r="L2041" s="305">
        <f>IF(H2041=0,0,IF(OR(E2041=$AT$5,E2041=$AT$6),AA2041,IF(F2041="MXN",1/HLOOKUP(YEAR(G2041)+(MONTH(G2041)/100),TC!$5:$37,DAY(G2041)+2,FALSE),VLOOKUP(F2041,Equivalencia!$5:$23,((MAX(Equivalencia!$3:$3)-YEAR(G2041))*14)+MONTH(G2041)+2,FALSE))))</f>
        <v>0</v>
      </c>
      <c r="M2041" s="306">
        <f t="shared" si="530"/>
        <v>0</v>
      </c>
      <c r="N2041" s="305">
        <f>IF(G2041=0,0,(IF(OR(E2041=$AT$5,E2041=$AT$6),AC2041,HLOOKUP(YEAR(G2041)+(MONTH(G2041)/100),TC!$5:$37,DAY(G2041)+2,FALSE))))</f>
        <v>0</v>
      </c>
      <c r="O2041" s="307">
        <f t="shared" si="531"/>
        <v>0</v>
      </c>
      <c r="P2041" s="560">
        <f>IF(G2041=0,0,VLOOKUP(YEAR(G2041),INPC!$B$4:$P$30,MONTH(G2041)+2))</f>
        <v>0</v>
      </c>
      <c r="Q2041" s="560">
        <f>IF(X2041=0,0,IF(OR(E2041=$AT$10,E2041=$AT$9),VLOOKUP(YEAR(X2041),INPC!$B$4:$P$30,MONTH(X2041)+1),VLOOKUP(YEAR(X2041),INPC!$B$4:$P$30,MONTH(X2041)+2,0)))</f>
        <v>0</v>
      </c>
      <c r="R2041" s="309">
        <f t="shared" si="532"/>
        <v>0</v>
      </c>
      <c r="S2041" s="310">
        <f t="shared" si="533"/>
        <v>0</v>
      </c>
      <c r="T2041" s="555">
        <f t="shared" si="534"/>
        <v>0</v>
      </c>
      <c r="U2041" s="311"/>
      <c r="V2041" s="312"/>
      <c r="W2041" s="299"/>
      <c r="X2041" s="300"/>
      <c r="Y2041" s="299"/>
      <c r="Z2041" s="303"/>
      <c r="AA2041" s="305">
        <f>IF(Z2041=0,0,IF(Y2041="MXN",1/HLOOKUP(YEAR(X2041)+(MONTH(X2041)/100),TC!$5:$37,DAY(X2041)+2,FALSE),VLOOKUP(Y2041,Equivalencia!$1:$23,((MAX(Equivalencia!$3:$3)-YEAR(X2041))*14)+MONTH(X2041)+2,FALSE)))</f>
        <v>0</v>
      </c>
      <c r="AB2041" s="306">
        <f t="shared" si="535"/>
        <v>0</v>
      </c>
      <c r="AC2041" s="305">
        <f>+IF(X2041=0,0,HLOOKUP(YEAR(X2041)+(MONTH(X2041)/100),TC!$5:$37,DAY(X2041)+2,FALSE))</f>
        <v>0</v>
      </c>
      <c r="AD2041" s="307">
        <f t="shared" si="536"/>
        <v>0</v>
      </c>
      <c r="AE2041" s="314">
        <f t="shared" si="537"/>
        <v>0</v>
      </c>
      <c r="AF2041" s="315">
        <f t="shared" si="538"/>
        <v>0</v>
      </c>
      <c r="AG2041" s="316">
        <f t="shared" si="539"/>
        <v>0</v>
      </c>
      <c r="AH2041" s="314">
        <v>1</v>
      </c>
      <c r="AI2041" s="314">
        <f t="shared" si="540"/>
        <v>0</v>
      </c>
      <c r="AJ2041" s="314">
        <f t="shared" si="541"/>
        <v>0</v>
      </c>
      <c r="AK2041" s="317"/>
      <c r="AL2041" s="315">
        <f t="shared" si="542"/>
        <v>0</v>
      </c>
      <c r="AN2041" s="554">
        <f t="shared" si="543"/>
        <v>0</v>
      </c>
      <c r="AO2041" s="314"/>
      <c r="AP2041" s="318"/>
    </row>
    <row r="2042" spans="2:42">
      <c r="B2042" s="296"/>
      <c r="C2042" s="299"/>
      <c r="D2042" s="298"/>
      <c r="E2042" s="299"/>
      <c r="F2042" s="299"/>
      <c r="G2042" s="300"/>
      <c r="H2042" s="303"/>
      <c r="I2042" s="301">
        <f t="shared" si="527"/>
        <v>0</v>
      </c>
      <c r="J2042" s="302">
        <f t="shared" si="528"/>
        <v>0</v>
      </c>
      <c r="K2042" s="304">
        <f t="shared" si="529"/>
        <v>0</v>
      </c>
      <c r="L2042" s="305">
        <f>IF(H2042=0,0,IF(OR(E2042=$AT$5,E2042=$AT$6),AA2042,IF(F2042="MXN",1/HLOOKUP(YEAR(G2042)+(MONTH(G2042)/100),TC!$5:$37,DAY(G2042)+2,FALSE),VLOOKUP(F2042,Equivalencia!$5:$23,((MAX(Equivalencia!$3:$3)-YEAR(G2042))*14)+MONTH(G2042)+2,FALSE))))</f>
        <v>0</v>
      </c>
      <c r="M2042" s="306">
        <f t="shared" si="530"/>
        <v>0</v>
      </c>
      <c r="N2042" s="305">
        <f>IF(G2042=0,0,(IF(OR(E2042=$AT$5,E2042=$AT$6),AC2042,HLOOKUP(YEAR(G2042)+(MONTH(G2042)/100),TC!$5:$37,DAY(G2042)+2,FALSE))))</f>
        <v>0</v>
      </c>
      <c r="O2042" s="307">
        <f t="shared" si="531"/>
        <v>0</v>
      </c>
      <c r="P2042" s="560">
        <f>IF(G2042=0,0,VLOOKUP(YEAR(G2042),INPC!$B$4:$P$30,MONTH(G2042)+2))</f>
        <v>0</v>
      </c>
      <c r="Q2042" s="560">
        <f>IF(X2042=0,0,IF(OR(E2042=$AT$10,E2042=$AT$9),VLOOKUP(YEAR(X2042),INPC!$B$4:$P$30,MONTH(X2042)+1),VLOOKUP(YEAR(X2042),INPC!$B$4:$P$30,MONTH(X2042)+2,0)))</f>
        <v>0</v>
      </c>
      <c r="R2042" s="309">
        <f t="shared" si="532"/>
        <v>0</v>
      </c>
      <c r="S2042" s="310">
        <f t="shared" si="533"/>
        <v>0</v>
      </c>
      <c r="T2042" s="555">
        <f t="shared" si="534"/>
        <v>0</v>
      </c>
      <c r="U2042" s="311"/>
      <c r="V2042" s="312"/>
      <c r="W2042" s="299"/>
      <c r="X2042" s="300"/>
      <c r="Y2042" s="299"/>
      <c r="Z2042" s="303"/>
      <c r="AA2042" s="305">
        <f>IF(Z2042=0,0,IF(Y2042="MXN",1/HLOOKUP(YEAR(X2042)+(MONTH(X2042)/100),TC!$5:$37,DAY(X2042)+2,FALSE),VLOOKUP(Y2042,Equivalencia!$1:$23,((MAX(Equivalencia!$3:$3)-YEAR(X2042))*14)+MONTH(X2042)+2,FALSE)))</f>
        <v>0</v>
      </c>
      <c r="AB2042" s="306">
        <f t="shared" si="535"/>
        <v>0</v>
      </c>
      <c r="AC2042" s="305">
        <f>+IF(X2042=0,0,HLOOKUP(YEAR(X2042)+(MONTH(X2042)/100),TC!$5:$37,DAY(X2042)+2,FALSE))</f>
        <v>0</v>
      </c>
      <c r="AD2042" s="307">
        <f t="shared" si="536"/>
        <v>0</v>
      </c>
      <c r="AE2042" s="314">
        <f t="shared" si="537"/>
        <v>0</v>
      </c>
      <c r="AF2042" s="315">
        <f t="shared" si="538"/>
        <v>0</v>
      </c>
      <c r="AG2042" s="316">
        <f t="shared" si="539"/>
        <v>0</v>
      </c>
      <c r="AH2042" s="314">
        <v>1</v>
      </c>
      <c r="AI2042" s="314">
        <f t="shared" si="540"/>
        <v>0</v>
      </c>
      <c r="AJ2042" s="314">
        <f t="shared" si="541"/>
        <v>0</v>
      </c>
      <c r="AK2042" s="317"/>
      <c r="AL2042" s="315">
        <f t="shared" si="542"/>
        <v>0</v>
      </c>
      <c r="AN2042" s="554">
        <f t="shared" si="543"/>
        <v>0</v>
      </c>
      <c r="AO2042" s="314"/>
      <c r="AP2042" s="318"/>
    </row>
    <row r="2043" spans="2:42">
      <c r="B2043" s="296"/>
      <c r="C2043" s="299"/>
      <c r="D2043" s="298"/>
      <c r="E2043" s="299"/>
      <c r="F2043" s="299"/>
      <c r="G2043" s="300"/>
      <c r="H2043" s="303"/>
      <c r="I2043" s="301">
        <f t="shared" si="527"/>
        <v>0</v>
      </c>
      <c r="J2043" s="302">
        <f t="shared" si="528"/>
        <v>0</v>
      </c>
      <c r="K2043" s="304">
        <f t="shared" si="529"/>
        <v>0</v>
      </c>
      <c r="L2043" s="305">
        <f>IF(H2043=0,0,IF(OR(E2043=$AT$5,E2043=$AT$6),AA2043,IF(F2043="MXN",1/HLOOKUP(YEAR(G2043)+(MONTH(G2043)/100),TC!$5:$37,DAY(G2043)+2,FALSE),VLOOKUP(F2043,Equivalencia!$5:$23,((MAX(Equivalencia!$3:$3)-YEAR(G2043))*14)+MONTH(G2043)+2,FALSE))))</f>
        <v>0</v>
      </c>
      <c r="M2043" s="306">
        <f t="shared" si="530"/>
        <v>0</v>
      </c>
      <c r="N2043" s="305">
        <f>IF(G2043=0,0,(IF(OR(E2043=$AT$5,E2043=$AT$6),AC2043,HLOOKUP(YEAR(G2043)+(MONTH(G2043)/100),TC!$5:$37,DAY(G2043)+2,FALSE))))</f>
        <v>0</v>
      </c>
      <c r="O2043" s="307">
        <f t="shared" si="531"/>
        <v>0</v>
      </c>
      <c r="P2043" s="560">
        <f>IF(G2043=0,0,VLOOKUP(YEAR(G2043),INPC!$B$4:$P$30,MONTH(G2043)+2))</f>
        <v>0</v>
      </c>
      <c r="Q2043" s="560">
        <f>IF(X2043=0,0,IF(OR(E2043=$AT$10,E2043=$AT$9),VLOOKUP(YEAR(X2043),INPC!$B$4:$P$30,MONTH(X2043)+1),VLOOKUP(YEAR(X2043),INPC!$B$4:$P$30,MONTH(X2043)+2,0)))</f>
        <v>0</v>
      </c>
      <c r="R2043" s="309">
        <f t="shared" si="532"/>
        <v>0</v>
      </c>
      <c r="S2043" s="310">
        <f t="shared" si="533"/>
        <v>0</v>
      </c>
      <c r="T2043" s="555">
        <f t="shared" si="534"/>
        <v>0</v>
      </c>
      <c r="U2043" s="311"/>
      <c r="V2043" s="312"/>
      <c r="W2043" s="299"/>
      <c r="X2043" s="300"/>
      <c r="Y2043" s="299"/>
      <c r="Z2043" s="303"/>
      <c r="AA2043" s="305">
        <f>IF(Z2043=0,0,IF(Y2043="MXN",1/HLOOKUP(YEAR(X2043)+(MONTH(X2043)/100),TC!$5:$37,DAY(X2043)+2,FALSE),VLOOKUP(Y2043,Equivalencia!$1:$23,((MAX(Equivalencia!$3:$3)-YEAR(X2043))*14)+MONTH(X2043)+2,FALSE)))</f>
        <v>0</v>
      </c>
      <c r="AB2043" s="306">
        <f t="shared" si="535"/>
        <v>0</v>
      </c>
      <c r="AC2043" s="305">
        <f>+IF(X2043=0,0,HLOOKUP(YEAR(X2043)+(MONTH(X2043)/100),TC!$5:$37,DAY(X2043)+2,FALSE))</f>
        <v>0</v>
      </c>
      <c r="AD2043" s="307">
        <f t="shared" si="536"/>
        <v>0</v>
      </c>
      <c r="AE2043" s="314">
        <f t="shared" si="537"/>
        <v>0</v>
      </c>
      <c r="AF2043" s="315">
        <f t="shared" si="538"/>
        <v>0</v>
      </c>
      <c r="AG2043" s="316">
        <f t="shared" si="539"/>
        <v>0</v>
      </c>
      <c r="AH2043" s="314">
        <v>1</v>
      </c>
      <c r="AI2043" s="314">
        <f t="shared" si="540"/>
        <v>0</v>
      </c>
      <c r="AJ2043" s="314">
        <f t="shared" si="541"/>
        <v>0</v>
      </c>
      <c r="AK2043" s="317"/>
      <c r="AL2043" s="315">
        <f t="shared" si="542"/>
        <v>0</v>
      </c>
      <c r="AN2043" s="554">
        <f t="shared" si="543"/>
        <v>0</v>
      </c>
      <c r="AO2043" s="314"/>
      <c r="AP2043" s="318"/>
    </row>
    <row r="2044" spans="2:42">
      <c r="B2044" s="296"/>
      <c r="C2044" s="299"/>
      <c r="D2044" s="298"/>
      <c r="E2044" s="299"/>
      <c r="F2044" s="299"/>
      <c r="G2044" s="300"/>
      <c r="H2044" s="303"/>
      <c r="I2044" s="301">
        <f t="shared" ref="I2044:I2107" si="544">IF(D2044=0,0,IF(OR(E2044=$AT$9,E2044=$AT$10),"Ingresos Sección II LISR (SIC &amp; BMV)","Ingresos Sección I LISR"))</f>
        <v>0</v>
      </c>
      <c r="J2044" s="302">
        <f t="shared" ref="J2044:J2107" si="545">+V2044</f>
        <v>0</v>
      </c>
      <c r="K2044" s="304">
        <f t="shared" ref="K2044:K2107" si="546">IF(H2044=0,0,H2044/J2044)</f>
        <v>0</v>
      </c>
      <c r="L2044" s="305">
        <f>IF(H2044=0,0,IF(OR(E2044=$AT$5,E2044=$AT$6),AA2044,IF(F2044="MXN",1/HLOOKUP(YEAR(G2044)+(MONTH(G2044)/100),TC!$5:$37,DAY(G2044)+2,FALSE),VLOOKUP(F2044,Equivalencia!$5:$23,((MAX(Equivalencia!$3:$3)-YEAR(G2044))*14)+MONTH(G2044)+2,FALSE))))</f>
        <v>0</v>
      </c>
      <c r="M2044" s="306">
        <f t="shared" ref="M2044:M2107" si="547">+H2044*L2044</f>
        <v>0</v>
      </c>
      <c r="N2044" s="305">
        <f>IF(G2044=0,0,(IF(OR(E2044=$AT$5,E2044=$AT$6),AC2044,HLOOKUP(YEAR(G2044)+(MONTH(G2044)/100),TC!$5:$37,DAY(G2044)+2,FALSE))))</f>
        <v>0</v>
      </c>
      <c r="O2044" s="307">
        <f t="shared" ref="O2044:O2107" si="548">+M2044*N2044</f>
        <v>0</v>
      </c>
      <c r="P2044" s="560">
        <f>IF(G2044=0,0,VLOOKUP(YEAR(G2044),INPC!$B$4:$P$30,MONTH(G2044)+2))</f>
        <v>0</v>
      </c>
      <c r="Q2044" s="560">
        <f>IF(X2044=0,0,IF(OR(E2044=$AT$10,E2044=$AT$9),VLOOKUP(YEAR(X2044),INPC!$B$4:$P$30,MONTH(X2044)+1),VLOOKUP(YEAR(X2044),INPC!$B$4:$P$30,MONTH(X2044)+2,0)))</f>
        <v>0</v>
      </c>
      <c r="R2044" s="309">
        <f t="shared" ref="R2044:R2107" si="549">IF(H2044=0,0,IF(OR(E2044=$AT$5,E2044=$AT$6),1,IF(TRUNC(Q2044/P2044,4)&gt;=1,TRUNC(Q2044/P2044,4),1)))</f>
        <v>0</v>
      </c>
      <c r="S2044" s="310">
        <f t="shared" ref="S2044:S2107" si="550">+R2044*O2044</f>
        <v>0</v>
      </c>
      <c r="T2044" s="555">
        <f t="shared" ref="T2044:T2107" si="551">IF(V2044=0,0,S2044/V2044)</f>
        <v>0</v>
      </c>
      <c r="U2044" s="311"/>
      <c r="V2044" s="312"/>
      <c r="W2044" s="299"/>
      <c r="X2044" s="300"/>
      <c r="Y2044" s="299"/>
      <c r="Z2044" s="303"/>
      <c r="AA2044" s="305">
        <f>IF(Z2044=0,0,IF(Y2044="MXN",1/HLOOKUP(YEAR(X2044)+(MONTH(X2044)/100),TC!$5:$37,DAY(X2044)+2,FALSE),VLOOKUP(Y2044,Equivalencia!$1:$23,((MAX(Equivalencia!$3:$3)-YEAR(X2044))*14)+MONTH(X2044)+2,FALSE)))</f>
        <v>0</v>
      </c>
      <c r="AB2044" s="306">
        <f t="shared" ref="AB2044:AB2107" si="552">+AA2044*Z2044</f>
        <v>0</v>
      </c>
      <c r="AC2044" s="305">
        <f>+IF(X2044=0,0,HLOOKUP(YEAR(X2044)+(MONTH(X2044)/100),TC!$5:$37,DAY(X2044)+2,FALSE))</f>
        <v>0</v>
      </c>
      <c r="AD2044" s="307">
        <f t="shared" ref="AD2044:AD2107" si="553">+AC2044*AB2044</f>
        <v>0</v>
      </c>
      <c r="AE2044" s="314">
        <f t="shared" ref="AE2044:AE2107" si="554">+V2044*T2044</f>
        <v>0</v>
      </c>
      <c r="AF2044" s="315">
        <f t="shared" ref="AF2044:AF2107" si="555">IF(E2044=$AT$11,0,AD2044-AE2044)</f>
        <v>0</v>
      </c>
      <c r="AG2044" s="316">
        <f t="shared" ref="AG2044:AG2107" si="556">+IF(AND(AF2044&lt;0,OR(E2044=$AT$5,E2044=$AT$6)),1,((X2044-G2044)/365))</f>
        <v>0</v>
      </c>
      <c r="AH2044" s="314">
        <v>1</v>
      </c>
      <c r="AI2044" s="314">
        <f t="shared" ref="AI2044:AI2107" si="557">+IF(OR(E2044=$AT$9,E2044=$AT$10),AF2044,+AF2044/AH2044)</f>
        <v>0</v>
      </c>
      <c r="AJ2044" s="314">
        <f t="shared" ref="AJ2044:AJ2107" si="558">+AF2044-AI2044</f>
        <v>0</v>
      </c>
      <c r="AK2044" s="317"/>
      <c r="AL2044" s="315">
        <f t="shared" ref="AL2044:AL2107" si="559">+AB2044-M2044</f>
        <v>0</v>
      </c>
      <c r="AN2044" s="554">
        <f t="shared" ref="AN2044:AN2107" si="560">IF(AL2044=0,0,AL2044/H2044)</f>
        <v>0</v>
      </c>
      <c r="AO2044" s="314"/>
      <c r="AP2044" s="318"/>
    </row>
    <row r="2045" spans="2:42">
      <c r="B2045" s="296"/>
      <c r="C2045" s="299"/>
      <c r="D2045" s="298"/>
      <c r="E2045" s="299"/>
      <c r="F2045" s="299"/>
      <c r="G2045" s="300"/>
      <c r="H2045" s="303"/>
      <c r="I2045" s="301">
        <f t="shared" si="544"/>
        <v>0</v>
      </c>
      <c r="J2045" s="302">
        <f t="shared" si="545"/>
        <v>0</v>
      </c>
      <c r="K2045" s="304">
        <f t="shared" si="546"/>
        <v>0</v>
      </c>
      <c r="L2045" s="305">
        <f>IF(H2045=0,0,IF(OR(E2045=$AT$5,E2045=$AT$6),AA2045,IF(F2045="MXN",1/HLOOKUP(YEAR(G2045)+(MONTH(G2045)/100),TC!$5:$37,DAY(G2045)+2,FALSE),VLOOKUP(F2045,Equivalencia!$5:$23,((MAX(Equivalencia!$3:$3)-YEAR(G2045))*14)+MONTH(G2045)+2,FALSE))))</f>
        <v>0</v>
      </c>
      <c r="M2045" s="306">
        <f t="shared" si="547"/>
        <v>0</v>
      </c>
      <c r="N2045" s="305">
        <f>IF(G2045=0,0,(IF(OR(E2045=$AT$5,E2045=$AT$6),AC2045,HLOOKUP(YEAR(G2045)+(MONTH(G2045)/100),TC!$5:$37,DAY(G2045)+2,FALSE))))</f>
        <v>0</v>
      </c>
      <c r="O2045" s="307">
        <f t="shared" si="548"/>
        <v>0</v>
      </c>
      <c r="P2045" s="560">
        <f>IF(G2045=0,0,VLOOKUP(YEAR(G2045),INPC!$B$4:$P$30,MONTH(G2045)+2))</f>
        <v>0</v>
      </c>
      <c r="Q2045" s="560">
        <f>IF(X2045=0,0,IF(OR(E2045=$AT$10,E2045=$AT$9),VLOOKUP(YEAR(X2045),INPC!$B$4:$P$30,MONTH(X2045)+1),VLOOKUP(YEAR(X2045),INPC!$B$4:$P$30,MONTH(X2045)+2,0)))</f>
        <v>0</v>
      </c>
      <c r="R2045" s="309">
        <f t="shared" si="549"/>
        <v>0</v>
      </c>
      <c r="S2045" s="310">
        <f t="shared" si="550"/>
        <v>0</v>
      </c>
      <c r="T2045" s="555">
        <f t="shared" si="551"/>
        <v>0</v>
      </c>
      <c r="U2045" s="311"/>
      <c r="V2045" s="312"/>
      <c r="W2045" s="299"/>
      <c r="X2045" s="300"/>
      <c r="Y2045" s="299"/>
      <c r="Z2045" s="303"/>
      <c r="AA2045" s="305">
        <f>IF(Z2045=0,0,IF(Y2045="MXN",1/HLOOKUP(YEAR(X2045)+(MONTH(X2045)/100),TC!$5:$37,DAY(X2045)+2,FALSE),VLOOKUP(Y2045,Equivalencia!$1:$23,((MAX(Equivalencia!$3:$3)-YEAR(X2045))*14)+MONTH(X2045)+2,FALSE)))</f>
        <v>0</v>
      </c>
      <c r="AB2045" s="306">
        <f t="shared" si="552"/>
        <v>0</v>
      </c>
      <c r="AC2045" s="305">
        <f>+IF(X2045=0,0,HLOOKUP(YEAR(X2045)+(MONTH(X2045)/100),TC!$5:$37,DAY(X2045)+2,FALSE))</f>
        <v>0</v>
      </c>
      <c r="AD2045" s="307">
        <f t="shared" si="553"/>
        <v>0</v>
      </c>
      <c r="AE2045" s="314">
        <f t="shared" si="554"/>
        <v>0</v>
      </c>
      <c r="AF2045" s="315">
        <f t="shared" si="555"/>
        <v>0</v>
      </c>
      <c r="AG2045" s="316">
        <f t="shared" si="556"/>
        <v>0</v>
      </c>
      <c r="AH2045" s="314">
        <v>1</v>
      </c>
      <c r="AI2045" s="314">
        <f t="shared" si="557"/>
        <v>0</v>
      </c>
      <c r="AJ2045" s="314">
        <f t="shared" si="558"/>
        <v>0</v>
      </c>
      <c r="AK2045" s="317"/>
      <c r="AL2045" s="315">
        <f t="shared" si="559"/>
        <v>0</v>
      </c>
      <c r="AN2045" s="554">
        <f t="shared" si="560"/>
        <v>0</v>
      </c>
      <c r="AO2045" s="314"/>
      <c r="AP2045" s="318"/>
    </row>
    <row r="2046" spans="2:42">
      <c r="B2046" s="296"/>
      <c r="C2046" s="299"/>
      <c r="D2046" s="298"/>
      <c r="E2046" s="299"/>
      <c r="F2046" s="299"/>
      <c r="G2046" s="300"/>
      <c r="H2046" s="303"/>
      <c r="I2046" s="301">
        <f t="shared" si="544"/>
        <v>0</v>
      </c>
      <c r="J2046" s="302">
        <f t="shared" si="545"/>
        <v>0</v>
      </c>
      <c r="K2046" s="304">
        <f t="shared" si="546"/>
        <v>0</v>
      </c>
      <c r="L2046" s="305">
        <f>IF(H2046=0,0,IF(OR(E2046=$AT$5,E2046=$AT$6),AA2046,IF(F2046="MXN",1/HLOOKUP(YEAR(G2046)+(MONTH(G2046)/100),TC!$5:$37,DAY(G2046)+2,FALSE),VLOOKUP(F2046,Equivalencia!$5:$23,((MAX(Equivalencia!$3:$3)-YEAR(G2046))*14)+MONTH(G2046)+2,FALSE))))</f>
        <v>0</v>
      </c>
      <c r="M2046" s="306">
        <f t="shared" si="547"/>
        <v>0</v>
      </c>
      <c r="N2046" s="305">
        <f>IF(G2046=0,0,(IF(OR(E2046=$AT$5,E2046=$AT$6),AC2046,HLOOKUP(YEAR(G2046)+(MONTH(G2046)/100),TC!$5:$37,DAY(G2046)+2,FALSE))))</f>
        <v>0</v>
      </c>
      <c r="O2046" s="307">
        <f t="shared" si="548"/>
        <v>0</v>
      </c>
      <c r="P2046" s="560">
        <f>IF(G2046=0,0,VLOOKUP(YEAR(G2046),INPC!$B$4:$P$30,MONTH(G2046)+2))</f>
        <v>0</v>
      </c>
      <c r="Q2046" s="560">
        <f>IF(X2046=0,0,IF(OR(E2046=$AT$10,E2046=$AT$9),VLOOKUP(YEAR(X2046),INPC!$B$4:$P$30,MONTH(X2046)+1),VLOOKUP(YEAR(X2046),INPC!$B$4:$P$30,MONTH(X2046)+2,0)))</f>
        <v>0</v>
      </c>
      <c r="R2046" s="309">
        <f t="shared" si="549"/>
        <v>0</v>
      </c>
      <c r="S2046" s="310">
        <f t="shared" si="550"/>
        <v>0</v>
      </c>
      <c r="T2046" s="555">
        <f t="shared" si="551"/>
        <v>0</v>
      </c>
      <c r="U2046" s="311"/>
      <c r="V2046" s="312"/>
      <c r="W2046" s="299"/>
      <c r="X2046" s="300"/>
      <c r="Y2046" s="299"/>
      <c r="Z2046" s="303"/>
      <c r="AA2046" s="305">
        <f>IF(Z2046=0,0,IF(Y2046="MXN",1/HLOOKUP(YEAR(X2046)+(MONTH(X2046)/100),TC!$5:$37,DAY(X2046)+2,FALSE),VLOOKUP(Y2046,Equivalencia!$1:$23,((MAX(Equivalencia!$3:$3)-YEAR(X2046))*14)+MONTH(X2046)+2,FALSE)))</f>
        <v>0</v>
      </c>
      <c r="AB2046" s="306">
        <f t="shared" si="552"/>
        <v>0</v>
      </c>
      <c r="AC2046" s="305">
        <f>+IF(X2046=0,0,HLOOKUP(YEAR(X2046)+(MONTH(X2046)/100),TC!$5:$37,DAY(X2046)+2,FALSE))</f>
        <v>0</v>
      </c>
      <c r="AD2046" s="307">
        <f t="shared" si="553"/>
        <v>0</v>
      </c>
      <c r="AE2046" s="314">
        <f t="shared" si="554"/>
        <v>0</v>
      </c>
      <c r="AF2046" s="315">
        <f t="shared" si="555"/>
        <v>0</v>
      </c>
      <c r="AG2046" s="316">
        <f t="shared" si="556"/>
        <v>0</v>
      </c>
      <c r="AH2046" s="314">
        <v>1</v>
      </c>
      <c r="AI2046" s="314">
        <f t="shared" si="557"/>
        <v>0</v>
      </c>
      <c r="AJ2046" s="314">
        <f t="shared" si="558"/>
        <v>0</v>
      </c>
      <c r="AK2046" s="317"/>
      <c r="AL2046" s="315">
        <f t="shared" si="559"/>
        <v>0</v>
      </c>
      <c r="AN2046" s="554">
        <f t="shared" si="560"/>
        <v>0</v>
      </c>
      <c r="AO2046" s="314"/>
      <c r="AP2046" s="318"/>
    </row>
    <row r="2047" spans="2:42">
      <c r="B2047" s="296"/>
      <c r="C2047" s="299"/>
      <c r="D2047" s="298"/>
      <c r="E2047" s="299"/>
      <c r="F2047" s="299"/>
      <c r="G2047" s="300"/>
      <c r="H2047" s="303"/>
      <c r="I2047" s="301">
        <f t="shared" si="544"/>
        <v>0</v>
      </c>
      <c r="J2047" s="302">
        <f t="shared" si="545"/>
        <v>0</v>
      </c>
      <c r="K2047" s="304">
        <f t="shared" si="546"/>
        <v>0</v>
      </c>
      <c r="L2047" s="305">
        <f>IF(H2047=0,0,IF(OR(E2047=$AT$5,E2047=$AT$6),AA2047,IF(F2047="MXN",1/HLOOKUP(YEAR(G2047)+(MONTH(G2047)/100),TC!$5:$37,DAY(G2047)+2,FALSE),VLOOKUP(F2047,Equivalencia!$5:$23,((MAX(Equivalencia!$3:$3)-YEAR(G2047))*14)+MONTH(G2047)+2,FALSE))))</f>
        <v>0</v>
      </c>
      <c r="M2047" s="306">
        <f t="shared" si="547"/>
        <v>0</v>
      </c>
      <c r="N2047" s="305">
        <f>IF(G2047=0,0,(IF(OR(E2047=$AT$5,E2047=$AT$6),AC2047,HLOOKUP(YEAR(G2047)+(MONTH(G2047)/100),TC!$5:$37,DAY(G2047)+2,FALSE))))</f>
        <v>0</v>
      </c>
      <c r="O2047" s="307">
        <f t="shared" si="548"/>
        <v>0</v>
      </c>
      <c r="P2047" s="560">
        <f>IF(G2047=0,0,VLOOKUP(YEAR(G2047),INPC!$B$4:$P$30,MONTH(G2047)+2))</f>
        <v>0</v>
      </c>
      <c r="Q2047" s="560">
        <f>IF(X2047=0,0,IF(OR(E2047=$AT$10,E2047=$AT$9),VLOOKUP(YEAR(X2047),INPC!$B$4:$P$30,MONTH(X2047)+1),VLOOKUP(YEAR(X2047),INPC!$B$4:$P$30,MONTH(X2047)+2,0)))</f>
        <v>0</v>
      </c>
      <c r="R2047" s="309">
        <f t="shared" si="549"/>
        <v>0</v>
      </c>
      <c r="S2047" s="310">
        <f t="shared" si="550"/>
        <v>0</v>
      </c>
      <c r="T2047" s="555">
        <f t="shared" si="551"/>
        <v>0</v>
      </c>
      <c r="U2047" s="311"/>
      <c r="V2047" s="312"/>
      <c r="W2047" s="299"/>
      <c r="X2047" s="300"/>
      <c r="Y2047" s="299"/>
      <c r="Z2047" s="303"/>
      <c r="AA2047" s="305">
        <f>IF(Z2047=0,0,IF(Y2047="MXN",1/HLOOKUP(YEAR(X2047)+(MONTH(X2047)/100),TC!$5:$37,DAY(X2047)+2,FALSE),VLOOKUP(Y2047,Equivalencia!$1:$23,((MAX(Equivalencia!$3:$3)-YEAR(X2047))*14)+MONTH(X2047)+2,FALSE)))</f>
        <v>0</v>
      </c>
      <c r="AB2047" s="306">
        <f t="shared" si="552"/>
        <v>0</v>
      </c>
      <c r="AC2047" s="305">
        <f>+IF(X2047=0,0,HLOOKUP(YEAR(X2047)+(MONTH(X2047)/100),TC!$5:$37,DAY(X2047)+2,FALSE))</f>
        <v>0</v>
      </c>
      <c r="AD2047" s="307">
        <f t="shared" si="553"/>
        <v>0</v>
      </c>
      <c r="AE2047" s="314">
        <f t="shared" si="554"/>
        <v>0</v>
      </c>
      <c r="AF2047" s="315">
        <f t="shared" si="555"/>
        <v>0</v>
      </c>
      <c r="AG2047" s="316">
        <f t="shared" si="556"/>
        <v>0</v>
      </c>
      <c r="AH2047" s="314">
        <v>1</v>
      </c>
      <c r="AI2047" s="314">
        <f t="shared" si="557"/>
        <v>0</v>
      </c>
      <c r="AJ2047" s="314">
        <f t="shared" si="558"/>
        <v>0</v>
      </c>
      <c r="AK2047" s="317"/>
      <c r="AL2047" s="315">
        <f t="shared" si="559"/>
        <v>0</v>
      </c>
      <c r="AN2047" s="554">
        <f t="shared" si="560"/>
        <v>0</v>
      </c>
      <c r="AO2047" s="314"/>
      <c r="AP2047" s="318"/>
    </row>
    <row r="2048" spans="2:42">
      <c r="B2048" s="296"/>
      <c r="C2048" s="299"/>
      <c r="D2048" s="298"/>
      <c r="E2048" s="299"/>
      <c r="F2048" s="299"/>
      <c r="G2048" s="300"/>
      <c r="H2048" s="303"/>
      <c r="I2048" s="301">
        <f t="shared" si="544"/>
        <v>0</v>
      </c>
      <c r="J2048" s="302">
        <f t="shared" si="545"/>
        <v>0</v>
      </c>
      <c r="K2048" s="304">
        <f t="shared" si="546"/>
        <v>0</v>
      </c>
      <c r="L2048" s="305">
        <f>IF(H2048=0,0,IF(OR(E2048=$AT$5,E2048=$AT$6),AA2048,IF(F2048="MXN",1/HLOOKUP(YEAR(G2048)+(MONTH(G2048)/100),TC!$5:$37,DAY(G2048)+2,FALSE),VLOOKUP(F2048,Equivalencia!$5:$23,((MAX(Equivalencia!$3:$3)-YEAR(G2048))*14)+MONTH(G2048)+2,FALSE))))</f>
        <v>0</v>
      </c>
      <c r="M2048" s="306">
        <f t="shared" si="547"/>
        <v>0</v>
      </c>
      <c r="N2048" s="305">
        <f>IF(G2048=0,0,(IF(OR(E2048=$AT$5,E2048=$AT$6),AC2048,HLOOKUP(YEAR(G2048)+(MONTH(G2048)/100),TC!$5:$37,DAY(G2048)+2,FALSE))))</f>
        <v>0</v>
      </c>
      <c r="O2048" s="307">
        <f t="shared" si="548"/>
        <v>0</v>
      </c>
      <c r="P2048" s="560">
        <f>IF(G2048=0,0,VLOOKUP(YEAR(G2048),INPC!$B$4:$P$30,MONTH(G2048)+2))</f>
        <v>0</v>
      </c>
      <c r="Q2048" s="560">
        <f>IF(X2048=0,0,IF(OR(E2048=$AT$10,E2048=$AT$9),VLOOKUP(YEAR(X2048),INPC!$B$4:$P$30,MONTH(X2048)+1),VLOOKUP(YEAR(X2048),INPC!$B$4:$P$30,MONTH(X2048)+2,0)))</f>
        <v>0</v>
      </c>
      <c r="R2048" s="309">
        <f t="shared" si="549"/>
        <v>0</v>
      </c>
      <c r="S2048" s="310">
        <f t="shared" si="550"/>
        <v>0</v>
      </c>
      <c r="T2048" s="555">
        <f t="shared" si="551"/>
        <v>0</v>
      </c>
      <c r="U2048" s="311"/>
      <c r="V2048" s="312"/>
      <c r="W2048" s="299"/>
      <c r="X2048" s="300"/>
      <c r="Y2048" s="299"/>
      <c r="Z2048" s="303"/>
      <c r="AA2048" s="305">
        <f>IF(Z2048=0,0,IF(Y2048="MXN",1/HLOOKUP(YEAR(X2048)+(MONTH(X2048)/100),TC!$5:$37,DAY(X2048)+2,FALSE),VLOOKUP(Y2048,Equivalencia!$1:$23,((MAX(Equivalencia!$3:$3)-YEAR(X2048))*14)+MONTH(X2048)+2,FALSE)))</f>
        <v>0</v>
      </c>
      <c r="AB2048" s="306">
        <f t="shared" si="552"/>
        <v>0</v>
      </c>
      <c r="AC2048" s="305">
        <f>+IF(X2048=0,0,HLOOKUP(YEAR(X2048)+(MONTH(X2048)/100),TC!$5:$37,DAY(X2048)+2,FALSE))</f>
        <v>0</v>
      </c>
      <c r="AD2048" s="307">
        <f t="shared" si="553"/>
        <v>0</v>
      </c>
      <c r="AE2048" s="314">
        <f t="shared" si="554"/>
        <v>0</v>
      </c>
      <c r="AF2048" s="315">
        <f t="shared" si="555"/>
        <v>0</v>
      </c>
      <c r="AG2048" s="316">
        <f t="shared" si="556"/>
        <v>0</v>
      </c>
      <c r="AH2048" s="314">
        <v>1</v>
      </c>
      <c r="AI2048" s="314">
        <f t="shared" si="557"/>
        <v>0</v>
      </c>
      <c r="AJ2048" s="314">
        <f t="shared" si="558"/>
        <v>0</v>
      </c>
      <c r="AK2048" s="317"/>
      <c r="AL2048" s="315">
        <f t="shared" si="559"/>
        <v>0</v>
      </c>
      <c r="AN2048" s="554">
        <f t="shared" si="560"/>
        <v>0</v>
      </c>
      <c r="AO2048" s="314"/>
      <c r="AP2048" s="318"/>
    </row>
    <row r="2049" spans="2:42">
      <c r="B2049" s="296"/>
      <c r="C2049" s="299"/>
      <c r="D2049" s="298"/>
      <c r="E2049" s="299"/>
      <c r="F2049" s="299"/>
      <c r="G2049" s="300"/>
      <c r="H2049" s="303"/>
      <c r="I2049" s="301">
        <f t="shared" si="544"/>
        <v>0</v>
      </c>
      <c r="J2049" s="302">
        <f t="shared" si="545"/>
        <v>0</v>
      </c>
      <c r="K2049" s="304">
        <f t="shared" si="546"/>
        <v>0</v>
      </c>
      <c r="L2049" s="305">
        <f>IF(H2049=0,0,IF(OR(E2049=$AT$5,E2049=$AT$6),AA2049,IF(F2049="MXN",1/HLOOKUP(YEAR(G2049)+(MONTH(G2049)/100),TC!$5:$37,DAY(G2049)+2,FALSE),VLOOKUP(F2049,Equivalencia!$5:$23,((MAX(Equivalencia!$3:$3)-YEAR(G2049))*14)+MONTH(G2049)+2,FALSE))))</f>
        <v>0</v>
      </c>
      <c r="M2049" s="306">
        <f t="shared" si="547"/>
        <v>0</v>
      </c>
      <c r="N2049" s="305">
        <f>IF(G2049=0,0,(IF(OR(E2049=$AT$5,E2049=$AT$6),AC2049,HLOOKUP(YEAR(G2049)+(MONTH(G2049)/100),TC!$5:$37,DAY(G2049)+2,FALSE))))</f>
        <v>0</v>
      </c>
      <c r="O2049" s="307">
        <f t="shared" si="548"/>
        <v>0</v>
      </c>
      <c r="P2049" s="560">
        <f>IF(G2049=0,0,VLOOKUP(YEAR(G2049),INPC!$B$4:$P$30,MONTH(G2049)+2))</f>
        <v>0</v>
      </c>
      <c r="Q2049" s="560">
        <f>IF(X2049=0,0,IF(OR(E2049=$AT$10,E2049=$AT$9),VLOOKUP(YEAR(X2049),INPC!$B$4:$P$30,MONTH(X2049)+1),VLOOKUP(YEAR(X2049),INPC!$B$4:$P$30,MONTH(X2049)+2,0)))</f>
        <v>0</v>
      </c>
      <c r="R2049" s="309">
        <f t="shared" si="549"/>
        <v>0</v>
      </c>
      <c r="S2049" s="310">
        <f t="shared" si="550"/>
        <v>0</v>
      </c>
      <c r="T2049" s="555">
        <f t="shared" si="551"/>
        <v>0</v>
      </c>
      <c r="U2049" s="311"/>
      <c r="V2049" s="312"/>
      <c r="W2049" s="299"/>
      <c r="X2049" s="300"/>
      <c r="Y2049" s="299"/>
      <c r="Z2049" s="303"/>
      <c r="AA2049" s="305">
        <f>IF(Z2049=0,0,IF(Y2049="MXN",1/HLOOKUP(YEAR(X2049)+(MONTH(X2049)/100),TC!$5:$37,DAY(X2049)+2,FALSE),VLOOKUP(Y2049,Equivalencia!$1:$23,((MAX(Equivalencia!$3:$3)-YEAR(X2049))*14)+MONTH(X2049)+2,FALSE)))</f>
        <v>0</v>
      </c>
      <c r="AB2049" s="306">
        <f t="shared" si="552"/>
        <v>0</v>
      </c>
      <c r="AC2049" s="305">
        <f>+IF(X2049=0,0,HLOOKUP(YEAR(X2049)+(MONTH(X2049)/100),TC!$5:$37,DAY(X2049)+2,FALSE))</f>
        <v>0</v>
      </c>
      <c r="AD2049" s="307">
        <f t="shared" si="553"/>
        <v>0</v>
      </c>
      <c r="AE2049" s="314">
        <f t="shared" si="554"/>
        <v>0</v>
      </c>
      <c r="AF2049" s="315">
        <f t="shared" si="555"/>
        <v>0</v>
      </c>
      <c r="AG2049" s="316">
        <f t="shared" si="556"/>
        <v>0</v>
      </c>
      <c r="AH2049" s="314">
        <v>1</v>
      </c>
      <c r="AI2049" s="314">
        <f t="shared" si="557"/>
        <v>0</v>
      </c>
      <c r="AJ2049" s="314">
        <f t="shared" si="558"/>
        <v>0</v>
      </c>
      <c r="AK2049" s="317"/>
      <c r="AL2049" s="315">
        <f t="shared" si="559"/>
        <v>0</v>
      </c>
      <c r="AN2049" s="554">
        <f t="shared" si="560"/>
        <v>0</v>
      </c>
      <c r="AO2049" s="314"/>
      <c r="AP2049" s="318"/>
    </row>
    <row r="2050" spans="2:42">
      <c r="B2050" s="296"/>
      <c r="C2050" s="299"/>
      <c r="D2050" s="298"/>
      <c r="E2050" s="299"/>
      <c r="F2050" s="299"/>
      <c r="G2050" s="300"/>
      <c r="H2050" s="303"/>
      <c r="I2050" s="301">
        <f t="shared" si="544"/>
        <v>0</v>
      </c>
      <c r="J2050" s="302">
        <f t="shared" si="545"/>
        <v>0</v>
      </c>
      <c r="K2050" s="304">
        <f t="shared" si="546"/>
        <v>0</v>
      </c>
      <c r="L2050" s="305">
        <f>IF(H2050=0,0,IF(OR(E2050=$AT$5,E2050=$AT$6),AA2050,IF(F2050="MXN",1/HLOOKUP(YEAR(G2050)+(MONTH(G2050)/100),TC!$5:$37,DAY(G2050)+2,FALSE),VLOOKUP(F2050,Equivalencia!$5:$23,((MAX(Equivalencia!$3:$3)-YEAR(G2050))*14)+MONTH(G2050)+2,FALSE))))</f>
        <v>0</v>
      </c>
      <c r="M2050" s="306">
        <f t="shared" si="547"/>
        <v>0</v>
      </c>
      <c r="N2050" s="305">
        <f>IF(G2050=0,0,(IF(OR(E2050=$AT$5,E2050=$AT$6),AC2050,HLOOKUP(YEAR(G2050)+(MONTH(G2050)/100),TC!$5:$37,DAY(G2050)+2,FALSE))))</f>
        <v>0</v>
      </c>
      <c r="O2050" s="307">
        <f t="shared" si="548"/>
        <v>0</v>
      </c>
      <c r="P2050" s="560">
        <f>IF(G2050=0,0,VLOOKUP(YEAR(G2050),INPC!$B$4:$P$30,MONTH(G2050)+2))</f>
        <v>0</v>
      </c>
      <c r="Q2050" s="560">
        <f>IF(X2050=0,0,IF(OR(E2050=$AT$10,E2050=$AT$9),VLOOKUP(YEAR(X2050),INPC!$B$4:$P$30,MONTH(X2050)+1),VLOOKUP(YEAR(X2050),INPC!$B$4:$P$30,MONTH(X2050)+2,0)))</f>
        <v>0</v>
      </c>
      <c r="R2050" s="309">
        <f t="shared" si="549"/>
        <v>0</v>
      </c>
      <c r="S2050" s="310">
        <f t="shared" si="550"/>
        <v>0</v>
      </c>
      <c r="T2050" s="555">
        <f t="shared" si="551"/>
        <v>0</v>
      </c>
      <c r="U2050" s="311"/>
      <c r="V2050" s="312"/>
      <c r="W2050" s="299"/>
      <c r="X2050" s="300"/>
      <c r="Y2050" s="299"/>
      <c r="Z2050" s="303"/>
      <c r="AA2050" s="305">
        <f>IF(Z2050=0,0,IF(Y2050="MXN",1/HLOOKUP(YEAR(X2050)+(MONTH(X2050)/100),TC!$5:$37,DAY(X2050)+2,FALSE),VLOOKUP(Y2050,Equivalencia!$1:$23,((MAX(Equivalencia!$3:$3)-YEAR(X2050))*14)+MONTH(X2050)+2,FALSE)))</f>
        <v>0</v>
      </c>
      <c r="AB2050" s="306">
        <f t="shared" si="552"/>
        <v>0</v>
      </c>
      <c r="AC2050" s="305">
        <f>+IF(X2050=0,0,HLOOKUP(YEAR(X2050)+(MONTH(X2050)/100),TC!$5:$37,DAY(X2050)+2,FALSE))</f>
        <v>0</v>
      </c>
      <c r="AD2050" s="307">
        <f t="shared" si="553"/>
        <v>0</v>
      </c>
      <c r="AE2050" s="314">
        <f t="shared" si="554"/>
        <v>0</v>
      </c>
      <c r="AF2050" s="315">
        <f t="shared" si="555"/>
        <v>0</v>
      </c>
      <c r="AG2050" s="316">
        <f t="shared" si="556"/>
        <v>0</v>
      </c>
      <c r="AH2050" s="314">
        <v>1</v>
      </c>
      <c r="AI2050" s="314">
        <f t="shared" si="557"/>
        <v>0</v>
      </c>
      <c r="AJ2050" s="314">
        <f t="shared" si="558"/>
        <v>0</v>
      </c>
      <c r="AK2050" s="317"/>
      <c r="AL2050" s="315">
        <f t="shared" si="559"/>
        <v>0</v>
      </c>
      <c r="AN2050" s="554">
        <f t="shared" si="560"/>
        <v>0</v>
      </c>
      <c r="AO2050" s="314"/>
      <c r="AP2050" s="318"/>
    </row>
    <row r="2051" spans="2:42">
      <c r="B2051" s="296"/>
      <c r="C2051" s="299"/>
      <c r="D2051" s="298"/>
      <c r="E2051" s="299"/>
      <c r="F2051" s="299"/>
      <c r="G2051" s="300"/>
      <c r="H2051" s="303"/>
      <c r="I2051" s="301">
        <f t="shared" si="544"/>
        <v>0</v>
      </c>
      <c r="J2051" s="302">
        <f t="shared" si="545"/>
        <v>0</v>
      </c>
      <c r="K2051" s="304">
        <f t="shared" si="546"/>
        <v>0</v>
      </c>
      <c r="L2051" s="305">
        <f>IF(H2051=0,0,IF(OR(E2051=$AT$5,E2051=$AT$6),AA2051,IF(F2051="MXN",1/HLOOKUP(YEAR(G2051)+(MONTH(G2051)/100),TC!$5:$37,DAY(G2051)+2,FALSE),VLOOKUP(F2051,Equivalencia!$5:$23,((MAX(Equivalencia!$3:$3)-YEAR(G2051))*14)+MONTH(G2051)+2,FALSE))))</f>
        <v>0</v>
      </c>
      <c r="M2051" s="306">
        <f t="shared" si="547"/>
        <v>0</v>
      </c>
      <c r="N2051" s="305">
        <f>IF(G2051=0,0,(IF(OR(E2051=$AT$5,E2051=$AT$6),AC2051,HLOOKUP(YEAR(G2051)+(MONTH(G2051)/100),TC!$5:$37,DAY(G2051)+2,FALSE))))</f>
        <v>0</v>
      </c>
      <c r="O2051" s="307">
        <f t="shared" si="548"/>
        <v>0</v>
      </c>
      <c r="P2051" s="560">
        <f>IF(G2051=0,0,VLOOKUP(YEAR(G2051),INPC!$B$4:$P$30,MONTH(G2051)+2))</f>
        <v>0</v>
      </c>
      <c r="Q2051" s="560">
        <f>IF(X2051=0,0,IF(OR(E2051=$AT$10,E2051=$AT$9),VLOOKUP(YEAR(X2051),INPC!$B$4:$P$30,MONTH(X2051)+1),VLOOKUP(YEAR(X2051),INPC!$B$4:$P$30,MONTH(X2051)+2,0)))</f>
        <v>0</v>
      </c>
      <c r="R2051" s="309">
        <f t="shared" si="549"/>
        <v>0</v>
      </c>
      <c r="S2051" s="310">
        <f t="shared" si="550"/>
        <v>0</v>
      </c>
      <c r="T2051" s="555">
        <f t="shared" si="551"/>
        <v>0</v>
      </c>
      <c r="U2051" s="311"/>
      <c r="V2051" s="312"/>
      <c r="W2051" s="299"/>
      <c r="X2051" s="300"/>
      <c r="Y2051" s="299"/>
      <c r="Z2051" s="303"/>
      <c r="AA2051" s="305">
        <f>IF(Z2051=0,0,IF(Y2051="MXN",1/HLOOKUP(YEAR(X2051)+(MONTH(X2051)/100),TC!$5:$37,DAY(X2051)+2,FALSE),VLOOKUP(Y2051,Equivalencia!$1:$23,((MAX(Equivalencia!$3:$3)-YEAR(X2051))*14)+MONTH(X2051)+2,FALSE)))</f>
        <v>0</v>
      </c>
      <c r="AB2051" s="306">
        <f t="shared" si="552"/>
        <v>0</v>
      </c>
      <c r="AC2051" s="305">
        <f>+IF(X2051=0,0,HLOOKUP(YEAR(X2051)+(MONTH(X2051)/100),TC!$5:$37,DAY(X2051)+2,FALSE))</f>
        <v>0</v>
      </c>
      <c r="AD2051" s="307">
        <f t="shared" si="553"/>
        <v>0</v>
      </c>
      <c r="AE2051" s="314">
        <f t="shared" si="554"/>
        <v>0</v>
      </c>
      <c r="AF2051" s="315">
        <f t="shared" si="555"/>
        <v>0</v>
      </c>
      <c r="AG2051" s="316">
        <f t="shared" si="556"/>
        <v>0</v>
      </c>
      <c r="AH2051" s="314">
        <v>1</v>
      </c>
      <c r="AI2051" s="314">
        <f t="shared" si="557"/>
        <v>0</v>
      </c>
      <c r="AJ2051" s="314">
        <f t="shared" si="558"/>
        <v>0</v>
      </c>
      <c r="AK2051" s="317"/>
      <c r="AL2051" s="315">
        <f t="shared" si="559"/>
        <v>0</v>
      </c>
      <c r="AN2051" s="554">
        <f t="shared" si="560"/>
        <v>0</v>
      </c>
      <c r="AO2051" s="314"/>
      <c r="AP2051" s="318"/>
    </row>
    <row r="2052" spans="2:42">
      <c r="B2052" s="296"/>
      <c r="C2052" s="299"/>
      <c r="D2052" s="298"/>
      <c r="E2052" s="299"/>
      <c r="F2052" s="299"/>
      <c r="G2052" s="300"/>
      <c r="H2052" s="303"/>
      <c r="I2052" s="301">
        <f t="shared" si="544"/>
        <v>0</v>
      </c>
      <c r="J2052" s="302">
        <f t="shared" si="545"/>
        <v>0</v>
      </c>
      <c r="K2052" s="304">
        <f t="shared" si="546"/>
        <v>0</v>
      </c>
      <c r="L2052" s="305">
        <f>IF(H2052=0,0,IF(OR(E2052=$AT$5,E2052=$AT$6),AA2052,IF(F2052="MXN",1/HLOOKUP(YEAR(G2052)+(MONTH(G2052)/100),TC!$5:$37,DAY(G2052)+2,FALSE),VLOOKUP(F2052,Equivalencia!$5:$23,((MAX(Equivalencia!$3:$3)-YEAR(G2052))*14)+MONTH(G2052)+2,FALSE))))</f>
        <v>0</v>
      </c>
      <c r="M2052" s="306">
        <f t="shared" si="547"/>
        <v>0</v>
      </c>
      <c r="N2052" s="305">
        <f>IF(G2052=0,0,(IF(OR(E2052=$AT$5,E2052=$AT$6),AC2052,HLOOKUP(YEAR(G2052)+(MONTH(G2052)/100),TC!$5:$37,DAY(G2052)+2,FALSE))))</f>
        <v>0</v>
      </c>
      <c r="O2052" s="307">
        <f t="shared" si="548"/>
        <v>0</v>
      </c>
      <c r="P2052" s="560">
        <f>IF(G2052=0,0,VLOOKUP(YEAR(G2052),INPC!$B$4:$P$30,MONTH(G2052)+2))</f>
        <v>0</v>
      </c>
      <c r="Q2052" s="560">
        <f>IF(X2052=0,0,IF(OR(E2052=$AT$10,E2052=$AT$9),VLOOKUP(YEAR(X2052),INPC!$B$4:$P$30,MONTH(X2052)+1),VLOOKUP(YEAR(X2052),INPC!$B$4:$P$30,MONTH(X2052)+2,0)))</f>
        <v>0</v>
      </c>
      <c r="R2052" s="309">
        <f t="shared" si="549"/>
        <v>0</v>
      </c>
      <c r="S2052" s="310">
        <f t="shared" si="550"/>
        <v>0</v>
      </c>
      <c r="T2052" s="555">
        <f t="shared" si="551"/>
        <v>0</v>
      </c>
      <c r="U2052" s="311"/>
      <c r="V2052" s="312"/>
      <c r="W2052" s="299"/>
      <c r="X2052" s="300"/>
      <c r="Y2052" s="299"/>
      <c r="Z2052" s="303"/>
      <c r="AA2052" s="305">
        <f>IF(Z2052=0,0,IF(Y2052="MXN",1/HLOOKUP(YEAR(X2052)+(MONTH(X2052)/100),TC!$5:$37,DAY(X2052)+2,FALSE),VLOOKUP(Y2052,Equivalencia!$1:$23,((MAX(Equivalencia!$3:$3)-YEAR(X2052))*14)+MONTH(X2052)+2,FALSE)))</f>
        <v>0</v>
      </c>
      <c r="AB2052" s="306">
        <f t="shared" si="552"/>
        <v>0</v>
      </c>
      <c r="AC2052" s="305">
        <f>+IF(X2052=0,0,HLOOKUP(YEAR(X2052)+(MONTH(X2052)/100),TC!$5:$37,DAY(X2052)+2,FALSE))</f>
        <v>0</v>
      </c>
      <c r="AD2052" s="307">
        <f t="shared" si="553"/>
        <v>0</v>
      </c>
      <c r="AE2052" s="314">
        <f t="shared" si="554"/>
        <v>0</v>
      </c>
      <c r="AF2052" s="315">
        <f t="shared" si="555"/>
        <v>0</v>
      </c>
      <c r="AG2052" s="316">
        <f t="shared" si="556"/>
        <v>0</v>
      </c>
      <c r="AH2052" s="314">
        <v>1</v>
      </c>
      <c r="AI2052" s="314">
        <f t="shared" si="557"/>
        <v>0</v>
      </c>
      <c r="AJ2052" s="314">
        <f t="shared" si="558"/>
        <v>0</v>
      </c>
      <c r="AK2052" s="317"/>
      <c r="AL2052" s="315">
        <f t="shared" si="559"/>
        <v>0</v>
      </c>
      <c r="AN2052" s="554">
        <f t="shared" si="560"/>
        <v>0</v>
      </c>
      <c r="AO2052" s="314"/>
      <c r="AP2052" s="318"/>
    </row>
    <row r="2053" spans="2:42">
      <c r="B2053" s="296"/>
      <c r="C2053" s="299"/>
      <c r="D2053" s="298"/>
      <c r="E2053" s="299"/>
      <c r="F2053" s="299"/>
      <c r="G2053" s="300"/>
      <c r="H2053" s="303"/>
      <c r="I2053" s="301">
        <f t="shared" si="544"/>
        <v>0</v>
      </c>
      <c r="J2053" s="302">
        <f t="shared" si="545"/>
        <v>0</v>
      </c>
      <c r="K2053" s="304">
        <f t="shared" si="546"/>
        <v>0</v>
      </c>
      <c r="L2053" s="305">
        <f>IF(H2053=0,0,IF(OR(E2053=$AT$5,E2053=$AT$6),AA2053,IF(F2053="MXN",1/HLOOKUP(YEAR(G2053)+(MONTH(G2053)/100),TC!$5:$37,DAY(G2053)+2,FALSE),VLOOKUP(F2053,Equivalencia!$5:$23,((MAX(Equivalencia!$3:$3)-YEAR(G2053))*14)+MONTH(G2053)+2,FALSE))))</f>
        <v>0</v>
      </c>
      <c r="M2053" s="306">
        <f t="shared" si="547"/>
        <v>0</v>
      </c>
      <c r="N2053" s="305">
        <f>IF(G2053=0,0,(IF(OR(E2053=$AT$5,E2053=$AT$6),AC2053,HLOOKUP(YEAR(G2053)+(MONTH(G2053)/100),TC!$5:$37,DAY(G2053)+2,FALSE))))</f>
        <v>0</v>
      </c>
      <c r="O2053" s="307">
        <f t="shared" si="548"/>
        <v>0</v>
      </c>
      <c r="P2053" s="560">
        <f>IF(G2053=0,0,VLOOKUP(YEAR(G2053),INPC!$B$4:$P$30,MONTH(G2053)+2))</f>
        <v>0</v>
      </c>
      <c r="Q2053" s="560">
        <f>IF(X2053=0,0,IF(OR(E2053=$AT$10,E2053=$AT$9),VLOOKUP(YEAR(X2053),INPC!$B$4:$P$30,MONTH(X2053)+1),VLOOKUP(YEAR(X2053),INPC!$B$4:$P$30,MONTH(X2053)+2,0)))</f>
        <v>0</v>
      </c>
      <c r="R2053" s="309">
        <f t="shared" si="549"/>
        <v>0</v>
      </c>
      <c r="S2053" s="310">
        <f t="shared" si="550"/>
        <v>0</v>
      </c>
      <c r="T2053" s="555">
        <f t="shared" si="551"/>
        <v>0</v>
      </c>
      <c r="U2053" s="311"/>
      <c r="V2053" s="312"/>
      <c r="W2053" s="299"/>
      <c r="X2053" s="300"/>
      <c r="Y2053" s="299"/>
      <c r="Z2053" s="303"/>
      <c r="AA2053" s="305">
        <f>IF(Z2053=0,0,IF(Y2053="MXN",1/HLOOKUP(YEAR(X2053)+(MONTH(X2053)/100),TC!$5:$37,DAY(X2053)+2,FALSE),VLOOKUP(Y2053,Equivalencia!$1:$23,((MAX(Equivalencia!$3:$3)-YEAR(X2053))*14)+MONTH(X2053)+2,FALSE)))</f>
        <v>0</v>
      </c>
      <c r="AB2053" s="306">
        <f t="shared" si="552"/>
        <v>0</v>
      </c>
      <c r="AC2053" s="305">
        <f>+IF(X2053=0,0,HLOOKUP(YEAR(X2053)+(MONTH(X2053)/100),TC!$5:$37,DAY(X2053)+2,FALSE))</f>
        <v>0</v>
      </c>
      <c r="AD2053" s="307">
        <f t="shared" si="553"/>
        <v>0</v>
      </c>
      <c r="AE2053" s="314">
        <f t="shared" si="554"/>
        <v>0</v>
      </c>
      <c r="AF2053" s="315">
        <f t="shared" si="555"/>
        <v>0</v>
      </c>
      <c r="AG2053" s="316">
        <f t="shared" si="556"/>
        <v>0</v>
      </c>
      <c r="AH2053" s="314">
        <v>1</v>
      </c>
      <c r="AI2053" s="314">
        <f t="shared" si="557"/>
        <v>0</v>
      </c>
      <c r="AJ2053" s="314">
        <f t="shared" si="558"/>
        <v>0</v>
      </c>
      <c r="AK2053" s="317"/>
      <c r="AL2053" s="315">
        <f t="shared" si="559"/>
        <v>0</v>
      </c>
      <c r="AN2053" s="554">
        <f t="shared" si="560"/>
        <v>0</v>
      </c>
      <c r="AO2053" s="314"/>
      <c r="AP2053" s="318"/>
    </row>
    <row r="2054" spans="2:42">
      <c r="B2054" s="296"/>
      <c r="C2054" s="299"/>
      <c r="D2054" s="298"/>
      <c r="E2054" s="299"/>
      <c r="F2054" s="299"/>
      <c r="G2054" s="300"/>
      <c r="H2054" s="303"/>
      <c r="I2054" s="301">
        <f t="shared" si="544"/>
        <v>0</v>
      </c>
      <c r="J2054" s="302">
        <f t="shared" si="545"/>
        <v>0</v>
      </c>
      <c r="K2054" s="304">
        <f t="shared" si="546"/>
        <v>0</v>
      </c>
      <c r="L2054" s="305">
        <f>IF(H2054=0,0,IF(OR(E2054=$AT$5,E2054=$AT$6),AA2054,IF(F2054="MXN",1/HLOOKUP(YEAR(G2054)+(MONTH(G2054)/100),TC!$5:$37,DAY(G2054)+2,FALSE),VLOOKUP(F2054,Equivalencia!$5:$23,((MAX(Equivalencia!$3:$3)-YEAR(G2054))*14)+MONTH(G2054)+2,FALSE))))</f>
        <v>0</v>
      </c>
      <c r="M2054" s="306">
        <f t="shared" si="547"/>
        <v>0</v>
      </c>
      <c r="N2054" s="305">
        <f>IF(G2054=0,0,(IF(OR(E2054=$AT$5,E2054=$AT$6),AC2054,HLOOKUP(YEAR(G2054)+(MONTH(G2054)/100),TC!$5:$37,DAY(G2054)+2,FALSE))))</f>
        <v>0</v>
      </c>
      <c r="O2054" s="307">
        <f t="shared" si="548"/>
        <v>0</v>
      </c>
      <c r="P2054" s="560">
        <f>IF(G2054=0,0,VLOOKUP(YEAR(G2054),INPC!$B$4:$P$30,MONTH(G2054)+2))</f>
        <v>0</v>
      </c>
      <c r="Q2054" s="560">
        <f>IF(X2054=0,0,IF(OR(E2054=$AT$10,E2054=$AT$9),VLOOKUP(YEAR(X2054),INPC!$B$4:$P$30,MONTH(X2054)+1),VLOOKUP(YEAR(X2054),INPC!$B$4:$P$30,MONTH(X2054)+2,0)))</f>
        <v>0</v>
      </c>
      <c r="R2054" s="309">
        <f t="shared" si="549"/>
        <v>0</v>
      </c>
      <c r="S2054" s="310">
        <f t="shared" si="550"/>
        <v>0</v>
      </c>
      <c r="T2054" s="555">
        <f t="shared" si="551"/>
        <v>0</v>
      </c>
      <c r="U2054" s="311"/>
      <c r="V2054" s="312"/>
      <c r="W2054" s="299"/>
      <c r="X2054" s="300"/>
      <c r="Y2054" s="299"/>
      <c r="Z2054" s="303"/>
      <c r="AA2054" s="305">
        <f>IF(Z2054=0,0,IF(Y2054="MXN",1/HLOOKUP(YEAR(X2054)+(MONTH(X2054)/100),TC!$5:$37,DAY(X2054)+2,FALSE),VLOOKUP(Y2054,Equivalencia!$1:$23,((MAX(Equivalencia!$3:$3)-YEAR(X2054))*14)+MONTH(X2054)+2,FALSE)))</f>
        <v>0</v>
      </c>
      <c r="AB2054" s="306">
        <f t="shared" si="552"/>
        <v>0</v>
      </c>
      <c r="AC2054" s="305">
        <f>+IF(X2054=0,0,HLOOKUP(YEAR(X2054)+(MONTH(X2054)/100),TC!$5:$37,DAY(X2054)+2,FALSE))</f>
        <v>0</v>
      </c>
      <c r="AD2054" s="307">
        <f t="shared" si="553"/>
        <v>0</v>
      </c>
      <c r="AE2054" s="314">
        <f t="shared" si="554"/>
        <v>0</v>
      </c>
      <c r="AF2054" s="315">
        <f t="shared" si="555"/>
        <v>0</v>
      </c>
      <c r="AG2054" s="316">
        <f t="shared" si="556"/>
        <v>0</v>
      </c>
      <c r="AH2054" s="314">
        <v>1</v>
      </c>
      <c r="AI2054" s="314">
        <f t="shared" si="557"/>
        <v>0</v>
      </c>
      <c r="AJ2054" s="314">
        <f t="shared" si="558"/>
        <v>0</v>
      </c>
      <c r="AK2054" s="317"/>
      <c r="AL2054" s="315">
        <f t="shared" si="559"/>
        <v>0</v>
      </c>
      <c r="AN2054" s="554">
        <f t="shared" si="560"/>
        <v>0</v>
      </c>
      <c r="AO2054" s="314"/>
      <c r="AP2054" s="318"/>
    </row>
    <row r="2055" spans="2:42">
      <c r="B2055" s="296"/>
      <c r="C2055" s="299"/>
      <c r="D2055" s="298"/>
      <c r="E2055" s="299"/>
      <c r="F2055" s="299"/>
      <c r="G2055" s="300"/>
      <c r="H2055" s="303"/>
      <c r="I2055" s="301">
        <f t="shared" si="544"/>
        <v>0</v>
      </c>
      <c r="J2055" s="302">
        <f t="shared" si="545"/>
        <v>0</v>
      </c>
      <c r="K2055" s="304">
        <f t="shared" si="546"/>
        <v>0</v>
      </c>
      <c r="L2055" s="305">
        <f>IF(H2055=0,0,IF(OR(E2055=$AT$5,E2055=$AT$6),AA2055,IF(F2055="MXN",1/HLOOKUP(YEAR(G2055)+(MONTH(G2055)/100),TC!$5:$37,DAY(G2055)+2,FALSE),VLOOKUP(F2055,Equivalencia!$5:$23,((MAX(Equivalencia!$3:$3)-YEAR(G2055))*14)+MONTH(G2055)+2,FALSE))))</f>
        <v>0</v>
      </c>
      <c r="M2055" s="306">
        <f t="shared" si="547"/>
        <v>0</v>
      </c>
      <c r="N2055" s="305">
        <f>IF(G2055=0,0,(IF(OR(E2055=$AT$5,E2055=$AT$6),AC2055,HLOOKUP(YEAR(G2055)+(MONTH(G2055)/100),TC!$5:$37,DAY(G2055)+2,FALSE))))</f>
        <v>0</v>
      </c>
      <c r="O2055" s="307">
        <f t="shared" si="548"/>
        <v>0</v>
      </c>
      <c r="P2055" s="560">
        <f>IF(G2055=0,0,VLOOKUP(YEAR(G2055),INPC!$B$4:$P$30,MONTH(G2055)+2))</f>
        <v>0</v>
      </c>
      <c r="Q2055" s="560">
        <f>IF(X2055=0,0,IF(OR(E2055=$AT$10,E2055=$AT$9),VLOOKUP(YEAR(X2055),INPC!$B$4:$P$30,MONTH(X2055)+1),VLOOKUP(YEAR(X2055),INPC!$B$4:$P$30,MONTH(X2055)+2,0)))</f>
        <v>0</v>
      </c>
      <c r="R2055" s="309">
        <f t="shared" si="549"/>
        <v>0</v>
      </c>
      <c r="S2055" s="310">
        <f t="shared" si="550"/>
        <v>0</v>
      </c>
      <c r="T2055" s="555">
        <f t="shared" si="551"/>
        <v>0</v>
      </c>
      <c r="U2055" s="311"/>
      <c r="V2055" s="312"/>
      <c r="W2055" s="299"/>
      <c r="X2055" s="300"/>
      <c r="Y2055" s="299"/>
      <c r="Z2055" s="303"/>
      <c r="AA2055" s="305">
        <f>IF(Z2055=0,0,IF(Y2055="MXN",1/HLOOKUP(YEAR(X2055)+(MONTH(X2055)/100),TC!$5:$37,DAY(X2055)+2,FALSE),VLOOKUP(Y2055,Equivalencia!$1:$23,((MAX(Equivalencia!$3:$3)-YEAR(X2055))*14)+MONTH(X2055)+2,FALSE)))</f>
        <v>0</v>
      </c>
      <c r="AB2055" s="306">
        <f t="shared" si="552"/>
        <v>0</v>
      </c>
      <c r="AC2055" s="305">
        <f>+IF(X2055=0,0,HLOOKUP(YEAR(X2055)+(MONTH(X2055)/100),TC!$5:$37,DAY(X2055)+2,FALSE))</f>
        <v>0</v>
      </c>
      <c r="AD2055" s="307">
        <f t="shared" si="553"/>
        <v>0</v>
      </c>
      <c r="AE2055" s="314">
        <f t="shared" si="554"/>
        <v>0</v>
      </c>
      <c r="AF2055" s="315">
        <f t="shared" si="555"/>
        <v>0</v>
      </c>
      <c r="AG2055" s="316">
        <f t="shared" si="556"/>
        <v>0</v>
      </c>
      <c r="AH2055" s="314">
        <v>1</v>
      </c>
      <c r="AI2055" s="314">
        <f t="shared" si="557"/>
        <v>0</v>
      </c>
      <c r="AJ2055" s="314">
        <f t="shared" si="558"/>
        <v>0</v>
      </c>
      <c r="AK2055" s="317"/>
      <c r="AL2055" s="315">
        <f t="shared" si="559"/>
        <v>0</v>
      </c>
      <c r="AN2055" s="554">
        <f t="shared" si="560"/>
        <v>0</v>
      </c>
      <c r="AO2055" s="314"/>
      <c r="AP2055" s="318"/>
    </row>
    <row r="2056" spans="2:42">
      <c r="B2056" s="296"/>
      <c r="C2056" s="299"/>
      <c r="D2056" s="298"/>
      <c r="E2056" s="299"/>
      <c r="F2056" s="299"/>
      <c r="G2056" s="300"/>
      <c r="H2056" s="303"/>
      <c r="I2056" s="301">
        <f t="shared" si="544"/>
        <v>0</v>
      </c>
      <c r="J2056" s="302">
        <f t="shared" si="545"/>
        <v>0</v>
      </c>
      <c r="K2056" s="304">
        <f t="shared" si="546"/>
        <v>0</v>
      </c>
      <c r="L2056" s="305">
        <f>IF(H2056=0,0,IF(OR(E2056=$AT$5,E2056=$AT$6),AA2056,IF(F2056="MXN",1/HLOOKUP(YEAR(G2056)+(MONTH(G2056)/100),TC!$5:$37,DAY(G2056)+2,FALSE),VLOOKUP(F2056,Equivalencia!$5:$23,((MAX(Equivalencia!$3:$3)-YEAR(G2056))*14)+MONTH(G2056)+2,FALSE))))</f>
        <v>0</v>
      </c>
      <c r="M2056" s="306">
        <f t="shared" si="547"/>
        <v>0</v>
      </c>
      <c r="N2056" s="305">
        <f>IF(G2056=0,0,(IF(OR(E2056=$AT$5,E2056=$AT$6),AC2056,HLOOKUP(YEAR(G2056)+(MONTH(G2056)/100),TC!$5:$37,DAY(G2056)+2,FALSE))))</f>
        <v>0</v>
      </c>
      <c r="O2056" s="307">
        <f t="shared" si="548"/>
        <v>0</v>
      </c>
      <c r="P2056" s="560">
        <f>IF(G2056=0,0,VLOOKUP(YEAR(G2056),INPC!$B$4:$P$30,MONTH(G2056)+2))</f>
        <v>0</v>
      </c>
      <c r="Q2056" s="560">
        <f>IF(X2056=0,0,IF(OR(E2056=$AT$10,E2056=$AT$9),VLOOKUP(YEAR(X2056),INPC!$B$4:$P$30,MONTH(X2056)+1),VLOOKUP(YEAR(X2056),INPC!$B$4:$P$30,MONTH(X2056)+2,0)))</f>
        <v>0</v>
      </c>
      <c r="R2056" s="309">
        <f t="shared" si="549"/>
        <v>0</v>
      </c>
      <c r="S2056" s="310">
        <f t="shared" si="550"/>
        <v>0</v>
      </c>
      <c r="T2056" s="555">
        <f t="shared" si="551"/>
        <v>0</v>
      </c>
      <c r="U2056" s="311"/>
      <c r="V2056" s="312"/>
      <c r="W2056" s="299"/>
      <c r="X2056" s="300"/>
      <c r="Y2056" s="299"/>
      <c r="Z2056" s="303"/>
      <c r="AA2056" s="305">
        <f>IF(Z2056=0,0,IF(Y2056="MXN",1/HLOOKUP(YEAR(X2056)+(MONTH(X2056)/100),TC!$5:$37,DAY(X2056)+2,FALSE),VLOOKUP(Y2056,Equivalencia!$1:$23,((MAX(Equivalencia!$3:$3)-YEAR(X2056))*14)+MONTH(X2056)+2,FALSE)))</f>
        <v>0</v>
      </c>
      <c r="AB2056" s="306">
        <f t="shared" si="552"/>
        <v>0</v>
      </c>
      <c r="AC2056" s="305">
        <f>+IF(X2056=0,0,HLOOKUP(YEAR(X2056)+(MONTH(X2056)/100),TC!$5:$37,DAY(X2056)+2,FALSE))</f>
        <v>0</v>
      </c>
      <c r="AD2056" s="307">
        <f t="shared" si="553"/>
        <v>0</v>
      </c>
      <c r="AE2056" s="314">
        <f t="shared" si="554"/>
        <v>0</v>
      </c>
      <c r="AF2056" s="315">
        <f t="shared" si="555"/>
        <v>0</v>
      </c>
      <c r="AG2056" s="316">
        <f t="shared" si="556"/>
        <v>0</v>
      </c>
      <c r="AH2056" s="314">
        <v>1</v>
      </c>
      <c r="AI2056" s="314">
        <f t="shared" si="557"/>
        <v>0</v>
      </c>
      <c r="AJ2056" s="314">
        <f t="shared" si="558"/>
        <v>0</v>
      </c>
      <c r="AK2056" s="317"/>
      <c r="AL2056" s="315">
        <f t="shared" si="559"/>
        <v>0</v>
      </c>
      <c r="AN2056" s="554">
        <f t="shared" si="560"/>
        <v>0</v>
      </c>
      <c r="AO2056" s="314"/>
      <c r="AP2056" s="318"/>
    </row>
    <row r="2057" spans="2:42">
      <c r="B2057" s="296"/>
      <c r="C2057" s="299"/>
      <c r="D2057" s="298"/>
      <c r="E2057" s="299"/>
      <c r="F2057" s="299"/>
      <c r="G2057" s="300"/>
      <c r="H2057" s="303"/>
      <c r="I2057" s="301">
        <f t="shared" si="544"/>
        <v>0</v>
      </c>
      <c r="J2057" s="302">
        <f t="shared" si="545"/>
        <v>0</v>
      </c>
      <c r="K2057" s="304">
        <f t="shared" si="546"/>
        <v>0</v>
      </c>
      <c r="L2057" s="305">
        <f>IF(H2057=0,0,IF(OR(E2057=$AT$5,E2057=$AT$6),AA2057,IF(F2057="MXN",1/HLOOKUP(YEAR(G2057)+(MONTH(G2057)/100),TC!$5:$37,DAY(G2057)+2,FALSE),VLOOKUP(F2057,Equivalencia!$5:$23,((MAX(Equivalencia!$3:$3)-YEAR(G2057))*14)+MONTH(G2057)+2,FALSE))))</f>
        <v>0</v>
      </c>
      <c r="M2057" s="306">
        <f t="shared" si="547"/>
        <v>0</v>
      </c>
      <c r="N2057" s="305">
        <f>IF(G2057=0,0,(IF(OR(E2057=$AT$5,E2057=$AT$6),AC2057,HLOOKUP(YEAR(G2057)+(MONTH(G2057)/100),TC!$5:$37,DAY(G2057)+2,FALSE))))</f>
        <v>0</v>
      </c>
      <c r="O2057" s="307">
        <f t="shared" si="548"/>
        <v>0</v>
      </c>
      <c r="P2057" s="560">
        <f>IF(G2057=0,0,VLOOKUP(YEAR(G2057),INPC!$B$4:$P$30,MONTH(G2057)+2))</f>
        <v>0</v>
      </c>
      <c r="Q2057" s="560">
        <f>IF(X2057=0,0,IF(OR(E2057=$AT$10,E2057=$AT$9),VLOOKUP(YEAR(X2057),INPC!$B$4:$P$30,MONTH(X2057)+1),VLOOKUP(YEAR(X2057),INPC!$B$4:$P$30,MONTH(X2057)+2,0)))</f>
        <v>0</v>
      </c>
      <c r="R2057" s="309">
        <f t="shared" si="549"/>
        <v>0</v>
      </c>
      <c r="S2057" s="310">
        <f t="shared" si="550"/>
        <v>0</v>
      </c>
      <c r="T2057" s="555">
        <f t="shared" si="551"/>
        <v>0</v>
      </c>
      <c r="U2057" s="311"/>
      <c r="V2057" s="312"/>
      <c r="W2057" s="299"/>
      <c r="X2057" s="300"/>
      <c r="Y2057" s="299"/>
      <c r="Z2057" s="303"/>
      <c r="AA2057" s="305">
        <f>IF(Z2057=0,0,IF(Y2057="MXN",1/HLOOKUP(YEAR(X2057)+(MONTH(X2057)/100),TC!$5:$37,DAY(X2057)+2,FALSE),VLOOKUP(Y2057,Equivalencia!$1:$23,((MAX(Equivalencia!$3:$3)-YEAR(X2057))*14)+MONTH(X2057)+2,FALSE)))</f>
        <v>0</v>
      </c>
      <c r="AB2057" s="306">
        <f t="shared" si="552"/>
        <v>0</v>
      </c>
      <c r="AC2057" s="305">
        <f>+IF(X2057=0,0,HLOOKUP(YEAR(X2057)+(MONTH(X2057)/100),TC!$5:$37,DAY(X2057)+2,FALSE))</f>
        <v>0</v>
      </c>
      <c r="AD2057" s="307">
        <f t="shared" si="553"/>
        <v>0</v>
      </c>
      <c r="AE2057" s="314">
        <f t="shared" si="554"/>
        <v>0</v>
      </c>
      <c r="AF2057" s="315">
        <f t="shared" si="555"/>
        <v>0</v>
      </c>
      <c r="AG2057" s="316">
        <f t="shared" si="556"/>
        <v>0</v>
      </c>
      <c r="AH2057" s="314">
        <v>1</v>
      </c>
      <c r="AI2057" s="314">
        <f t="shared" si="557"/>
        <v>0</v>
      </c>
      <c r="AJ2057" s="314">
        <f t="shared" si="558"/>
        <v>0</v>
      </c>
      <c r="AK2057" s="317"/>
      <c r="AL2057" s="315">
        <f t="shared" si="559"/>
        <v>0</v>
      </c>
      <c r="AN2057" s="554">
        <f t="shared" si="560"/>
        <v>0</v>
      </c>
      <c r="AO2057" s="314"/>
      <c r="AP2057" s="318"/>
    </row>
    <row r="2058" spans="2:42">
      <c r="B2058" s="296"/>
      <c r="C2058" s="299"/>
      <c r="D2058" s="298"/>
      <c r="E2058" s="299"/>
      <c r="F2058" s="299"/>
      <c r="G2058" s="300"/>
      <c r="H2058" s="303"/>
      <c r="I2058" s="301">
        <f t="shared" si="544"/>
        <v>0</v>
      </c>
      <c r="J2058" s="302">
        <f t="shared" si="545"/>
        <v>0</v>
      </c>
      <c r="K2058" s="304">
        <f t="shared" si="546"/>
        <v>0</v>
      </c>
      <c r="L2058" s="305">
        <f>IF(H2058=0,0,IF(OR(E2058=$AT$5,E2058=$AT$6),AA2058,IF(F2058="MXN",1/HLOOKUP(YEAR(G2058)+(MONTH(G2058)/100),TC!$5:$37,DAY(G2058)+2,FALSE),VLOOKUP(F2058,Equivalencia!$5:$23,((MAX(Equivalencia!$3:$3)-YEAR(G2058))*14)+MONTH(G2058)+2,FALSE))))</f>
        <v>0</v>
      </c>
      <c r="M2058" s="306">
        <f t="shared" si="547"/>
        <v>0</v>
      </c>
      <c r="N2058" s="305">
        <f>IF(G2058=0,0,(IF(OR(E2058=$AT$5,E2058=$AT$6),AC2058,HLOOKUP(YEAR(G2058)+(MONTH(G2058)/100),TC!$5:$37,DAY(G2058)+2,FALSE))))</f>
        <v>0</v>
      </c>
      <c r="O2058" s="307">
        <f t="shared" si="548"/>
        <v>0</v>
      </c>
      <c r="P2058" s="560">
        <f>IF(G2058=0,0,VLOOKUP(YEAR(G2058),INPC!$B$4:$P$30,MONTH(G2058)+2))</f>
        <v>0</v>
      </c>
      <c r="Q2058" s="560">
        <f>IF(X2058=0,0,IF(OR(E2058=$AT$10,E2058=$AT$9),VLOOKUP(YEAR(X2058),INPC!$B$4:$P$30,MONTH(X2058)+1),VLOOKUP(YEAR(X2058),INPC!$B$4:$P$30,MONTH(X2058)+2,0)))</f>
        <v>0</v>
      </c>
      <c r="R2058" s="309">
        <f t="shared" si="549"/>
        <v>0</v>
      </c>
      <c r="S2058" s="310">
        <f t="shared" si="550"/>
        <v>0</v>
      </c>
      <c r="T2058" s="555">
        <f t="shared" si="551"/>
        <v>0</v>
      </c>
      <c r="U2058" s="311"/>
      <c r="V2058" s="312"/>
      <c r="W2058" s="299"/>
      <c r="X2058" s="300"/>
      <c r="Y2058" s="299"/>
      <c r="Z2058" s="303"/>
      <c r="AA2058" s="305">
        <f>IF(Z2058=0,0,IF(Y2058="MXN",1/HLOOKUP(YEAR(X2058)+(MONTH(X2058)/100),TC!$5:$37,DAY(X2058)+2,FALSE),VLOOKUP(Y2058,Equivalencia!$1:$23,((MAX(Equivalencia!$3:$3)-YEAR(X2058))*14)+MONTH(X2058)+2,FALSE)))</f>
        <v>0</v>
      </c>
      <c r="AB2058" s="306">
        <f t="shared" si="552"/>
        <v>0</v>
      </c>
      <c r="AC2058" s="305">
        <f>+IF(X2058=0,0,HLOOKUP(YEAR(X2058)+(MONTH(X2058)/100),TC!$5:$37,DAY(X2058)+2,FALSE))</f>
        <v>0</v>
      </c>
      <c r="AD2058" s="307">
        <f t="shared" si="553"/>
        <v>0</v>
      </c>
      <c r="AE2058" s="314">
        <f t="shared" si="554"/>
        <v>0</v>
      </c>
      <c r="AF2058" s="315">
        <f t="shared" si="555"/>
        <v>0</v>
      </c>
      <c r="AG2058" s="316">
        <f t="shared" si="556"/>
        <v>0</v>
      </c>
      <c r="AH2058" s="314">
        <v>1</v>
      </c>
      <c r="AI2058" s="314">
        <f t="shared" si="557"/>
        <v>0</v>
      </c>
      <c r="AJ2058" s="314">
        <f t="shared" si="558"/>
        <v>0</v>
      </c>
      <c r="AK2058" s="317"/>
      <c r="AL2058" s="315">
        <f t="shared" si="559"/>
        <v>0</v>
      </c>
      <c r="AN2058" s="554">
        <f t="shared" si="560"/>
        <v>0</v>
      </c>
      <c r="AO2058" s="314"/>
      <c r="AP2058" s="318"/>
    </row>
    <row r="2059" spans="2:42">
      <c r="B2059" s="296"/>
      <c r="C2059" s="299"/>
      <c r="D2059" s="298"/>
      <c r="E2059" s="299"/>
      <c r="F2059" s="299"/>
      <c r="G2059" s="300"/>
      <c r="H2059" s="303"/>
      <c r="I2059" s="301">
        <f t="shared" si="544"/>
        <v>0</v>
      </c>
      <c r="J2059" s="302">
        <f t="shared" si="545"/>
        <v>0</v>
      </c>
      <c r="K2059" s="304">
        <f t="shared" si="546"/>
        <v>0</v>
      </c>
      <c r="L2059" s="305">
        <f>IF(H2059=0,0,IF(OR(E2059=$AT$5,E2059=$AT$6),AA2059,IF(F2059="MXN",1/HLOOKUP(YEAR(G2059)+(MONTH(G2059)/100),TC!$5:$37,DAY(G2059)+2,FALSE),VLOOKUP(F2059,Equivalencia!$5:$23,((MAX(Equivalencia!$3:$3)-YEAR(G2059))*14)+MONTH(G2059)+2,FALSE))))</f>
        <v>0</v>
      </c>
      <c r="M2059" s="306">
        <f t="shared" si="547"/>
        <v>0</v>
      </c>
      <c r="N2059" s="305">
        <f>IF(G2059=0,0,(IF(OR(E2059=$AT$5,E2059=$AT$6),AC2059,HLOOKUP(YEAR(G2059)+(MONTH(G2059)/100),TC!$5:$37,DAY(G2059)+2,FALSE))))</f>
        <v>0</v>
      </c>
      <c r="O2059" s="307">
        <f t="shared" si="548"/>
        <v>0</v>
      </c>
      <c r="P2059" s="560">
        <f>IF(G2059=0,0,VLOOKUP(YEAR(G2059),INPC!$B$4:$P$30,MONTH(G2059)+2))</f>
        <v>0</v>
      </c>
      <c r="Q2059" s="560">
        <f>IF(X2059=0,0,IF(OR(E2059=$AT$10,E2059=$AT$9),VLOOKUP(YEAR(X2059),INPC!$B$4:$P$30,MONTH(X2059)+1),VLOOKUP(YEAR(X2059),INPC!$B$4:$P$30,MONTH(X2059)+2,0)))</f>
        <v>0</v>
      </c>
      <c r="R2059" s="309">
        <f t="shared" si="549"/>
        <v>0</v>
      </c>
      <c r="S2059" s="310">
        <f t="shared" si="550"/>
        <v>0</v>
      </c>
      <c r="T2059" s="555">
        <f t="shared" si="551"/>
        <v>0</v>
      </c>
      <c r="U2059" s="311"/>
      <c r="V2059" s="312"/>
      <c r="W2059" s="299"/>
      <c r="X2059" s="300"/>
      <c r="Y2059" s="299"/>
      <c r="Z2059" s="303"/>
      <c r="AA2059" s="305">
        <f>IF(Z2059=0,0,IF(Y2059="MXN",1/HLOOKUP(YEAR(X2059)+(MONTH(X2059)/100),TC!$5:$37,DAY(X2059)+2,FALSE),VLOOKUP(Y2059,Equivalencia!$1:$23,((MAX(Equivalencia!$3:$3)-YEAR(X2059))*14)+MONTH(X2059)+2,FALSE)))</f>
        <v>0</v>
      </c>
      <c r="AB2059" s="306">
        <f t="shared" si="552"/>
        <v>0</v>
      </c>
      <c r="AC2059" s="305">
        <f>+IF(X2059=0,0,HLOOKUP(YEAR(X2059)+(MONTH(X2059)/100),TC!$5:$37,DAY(X2059)+2,FALSE))</f>
        <v>0</v>
      </c>
      <c r="AD2059" s="307">
        <f t="shared" si="553"/>
        <v>0</v>
      </c>
      <c r="AE2059" s="314">
        <f t="shared" si="554"/>
        <v>0</v>
      </c>
      <c r="AF2059" s="315">
        <f t="shared" si="555"/>
        <v>0</v>
      </c>
      <c r="AG2059" s="316">
        <f t="shared" si="556"/>
        <v>0</v>
      </c>
      <c r="AH2059" s="314">
        <v>1</v>
      </c>
      <c r="AI2059" s="314">
        <f t="shared" si="557"/>
        <v>0</v>
      </c>
      <c r="AJ2059" s="314">
        <f t="shared" si="558"/>
        <v>0</v>
      </c>
      <c r="AK2059" s="317"/>
      <c r="AL2059" s="315">
        <f t="shared" si="559"/>
        <v>0</v>
      </c>
      <c r="AN2059" s="554">
        <f t="shared" si="560"/>
        <v>0</v>
      </c>
      <c r="AO2059" s="314"/>
      <c r="AP2059" s="318"/>
    </row>
    <row r="2060" spans="2:42">
      <c r="B2060" s="296"/>
      <c r="C2060" s="299"/>
      <c r="D2060" s="298"/>
      <c r="E2060" s="299"/>
      <c r="F2060" s="299"/>
      <c r="G2060" s="300"/>
      <c r="H2060" s="303"/>
      <c r="I2060" s="301">
        <f t="shared" si="544"/>
        <v>0</v>
      </c>
      <c r="J2060" s="302">
        <f t="shared" si="545"/>
        <v>0</v>
      </c>
      <c r="K2060" s="304">
        <f t="shared" si="546"/>
        <v>0</v>
      </c>
      <c r="L2060" s="305">
        <f>IF(H2060=0,0,IF(OR(E2060=$AT$5,E2060=$AT$6),AA2060,IF(F2060="MXN",1/HLOOKUP(YEAR(G2060)+(MONTH(G2060)/100),TC!$5:$37,DAY(G2060)+2,FALSE),VLOOKUP(F2060,Equivalencia!$5:$23,((MAX(Equivalencia!$3:$3)-YEAR(G2060))*14)+MONTH(G2060)+2,FALSE))))</f>
        <v>0</v>
      </c>
      <c r="M2060" s="306">
        <f t="shared" si="547"/>
        <v>0</v>
      </c>
      <c r="N2060" s="305">
        <f>IF(G2060=0,0,(IF(OR(E2060=$AT$5,E2060=$AT$6),AC2060,HLOOKUP(YEAR(G2060)+(MONTH(G2060)/100),TC!$5:$37,DAY(G2060)+2,FALSE))))</f>
        <v>0</v>
      </c>
      <c r="O2060" s="307">
        <f t="shared" si="548"/>
        <v>0</v>
      </c>
      <c r="P2060" s="560">
        <f>IF(G2060=0,0,VLOOKUP(YEAR(G2060),INPC!$B$4:$P$30,MONTH(G2060)+2))</f>
        <v>0</v>
      </c>
      <c r="Q2060" s="560">
        <f>IF(X2060=0,0,IF(OR(E2060=$AT$10,E2060=$AT$9),VLOOKUP(YEAR(X2060),INPC!$B$4:$P$30,MONTH(X2060)+1),VLOOKUP(YEAR(X2060),INPC!$B$4:$P$30,MONTH(X2060)+2,0)))</f>
        <v>0</v>
      </c>
      <c r="R2060" s="309">
        <f t="shared" si="549"/>
        <v>0</v>
      </c>
      <c r="S2060" s="310">
        <f t="shared" si="550"/>
        <v>0</v>
      </c>
      <c r="T2060" s="555">
        <f t="shared" si="551"/>
        <v>0</v>
      </c>
      <c r="U2060" s="311"/>
      <c r="V2060" s="312"/>
      <c r="W2060" s="299"/>
      <c r="X2060" s="300"/>
      <c r="Y2060" s="299"/>
      <c r="Z2060" s="303"/>
      <c r="AA2060" s="305">
        <f>IF(Z2060=0,0,IF(Y2060="MXN",1/HLOOKUP(YEAR(X2060)+(MONTH(X2060)/100),TC!$5:$37,DAY(X2060)+2,FALSE),VLOOKUP(Y2060,Equivalencia!$1:$23,((MAX(Equivalencia!$3:$3)-YEAR(X2060))*14)+MONTH(X2060)+2,FALSE)))</f>
        <v>0</v>
      </c>
      <c r="AB2060" s="306">
        <f t="shared" si="552"/>
        <v>0</v>
      </c>
      <c r="AC2060" s="305">
        <f>+IF(X2060=0,0,HLOOKUP(YEAR(X2060)+(MONTH(X2060)/100),TC!$5:$37,DAY(X2060)+2,FALSE))</f>
        <v>0</v>
      </c>
      <c r="AD2060" s="307">
        <f t="shared" si="553"/>
        <v>0</v>
      </c>
      <c r="AE2060" s="314">
        <f t="shared" si="554"/>
        <v>0</v>
      </c>
      <c r="AF2060" s="315">
        <f t="shared" si="555"/>
        <v>0</v>
      </c>
      <c r="AG2060" s="316">
        <f t="shared" si="556"/>
        <v>0</v>
      </c>
      <c r="AH2060" s="314">
        <v>1</v>
      </c>
      <c r="AI2060" s="314">
        <f t="shared" si="557"/>
        <v>0</v>
      </c>
      <c r="AJ2060" s="314">
        <f t="shared" si="558"/>
        <v>0</v>
      </c>
      <c r="AK2060" s="317"/>
      <c r="AL2060" s="315">
        <f t="shared" si="559"/>
        <v>0</v>
      </c>
      <c r="AN2060" s="554">
        <f t="shared" si="560"/>
        <v>0</v>
      </c>
      <c r="AO2060" s="314"/>
      <c r="AP2060" s="318"/>
    </row>
    <row r="2061" spans="2:42">
      <c r="B2061" s="296"/>
      <c r="C2061" s="299"/>
      <c r="D2061" s="298"/>
      <c r="E2061" s="299"/>
      <c r="F2061" s="299"/>
      <c r="G2061" s="300"/>
      <c r="H2061" s="303"/>
      <c r="I2061" s="301">
        <f t="shared" si="544"/>
        <v>0</v>
      </c>
      <c r="J2061" s="302">
        <f t="shared" si="545"/>
        <v>0</v>
      </c>
      <c r="K2061" s="304">
        <f t="shared" si="546"/>
        <v>0</v>
      </c>
      <c r="L2061" s="305">
        <f>IF(H2061=0,0,IF(OR(E2061=$AT$5,E2061=$AT$6),AA2061,IF(F2061="MXN",1/HLOOKUP(YEAR(G2061)+(MONTH(G2061)/100),TC!$5:$37,DAY(G2061)+2,FALSE),VLOOKUP(F2061,Equivalencia!$5:$23,((MAX(Equivalencia!$3:$3)-YEAR(G2061))*14)+MONTH(G2061)+2,FALSE))))</f>
        <v>0</v>
      </c>
      <c r="M2061" s="306">
        <f t="shared" si="547"/>
        <v>0</v>
      </c>
      <c r="N2061" s="305">
        <f>IF(G2061=0,0,(IF(OR(E2061=$AT$5,E2061=$AT$6),AC2061,HLOOKUP(YEAR(G2061)+(MONTH(G2061)/100),TC!$5:$37,DAY(G2061)+2,FALSE))))</f>
        <v>0</v>
      </c>
      <c r="O2061" s="307">
        <f t="shared" si="548"/>
        <v>0</v>
      </c>
      <c r="P2061" s="560">
        <f>IF(G2061=0,0,VLOOKUP(YEAR(G2061),INPC!$B$4:$P$30,MONTH(G2061)+2))</f>
        <v>0</v>
      </c>
      <c r="Q2061" s="560">
        <f>IF(X2061=0,0,IF(OR(E2061=$AT$10,E2061=$AT$9),VLOOKUP(YEAR(X2061),INPC!$B$4:$P$30,MONTH(X2061)+1),VLOOKUP(YEAR(X2061),INPC!$B$4:$P$30,MONTH(X2061)+2,0)))</f>
        <v>0</v>
      </c>
      <c r="R2061" s="309">
        <f t="shared" si="549"/>
        <v>0</v>
      </c>
      <c r="S2061" s="310">
        <f t="shared" si="550"/>
        <v>0</v>
      </c>
      <c r="T2061" s="555">
        <f t="shared" si="551"/>
        <v>0</v>
      </c>
      <c r="U2061" s="311"/>
      <c r="V2061" s="312"/>
      <c r="W2061" s="299"/>
      <c r="X2061" s="300"/>
      <c r="Y2061" s="299"/>
      <c r="Z2061" s="303"/>
      <c r="AA2061" s="305">
        <f>IF(Z2061=0,0,IF(Y2061="MXN",1/HLOOKUP(YEAR(X2061)+(MONTH(X2061)/100),TC!$5:$37,DAY(X2061)+2,FALSE),VLOOKUP(Y2061,Equivalencia!$1:$23,((MAX(Equivalencia!$3:$3)-YEAR(X2061))*14)+MONTH(X2061)+2,FALSE)))</f>
        <v>0</v>
      </c>
      <c r="AB2061" s="306">
        <f t="shared" si="552"/>
        <v>0</v>
      </c>
      <c r="AC2061" s="305">
        <f>+IF(X2061=0,0,HLOOKUP(YEAR(X2061)+(MONTH(X2061)/100),TC!$5:$37,DAY(X2061)+2,FALSE))</f>
        <v>0</v>
      </c>
      <c r="AD2061" s="307">
        <f t="shared" si="553"/>
        <v>0</v>
      </c>
      <c r="AE2061" s="314">
        <f t="shared" si="554"/>
        <v>0</v>
      </c>
      <c r="AF2061" s="315">
        <f t="shared" si="555"/>
        <v>0</v>
      </c>
      <c r="AG2061" s="316">
        <f t="shared" si="556"/>
        <v>0</v>
      </c>
      <c r="AH2061" s="314">
        <v>1</v>
      </c>
      <c r="AI2061" s="314">
        <f t="shared" si="557"/>
        <v>0</v>
      </c>
      <c r="AJ2061" s="314">
        <f t="shared" si="558"/>
        <v>0</v>
      </c>
      <c r="AK2061" s="317"/>
      <c r="AL2061" s="315">
        <f t="shared" si="559"/>
        <v>0</v>
      </c>
      <c r="AN2061" s="554">
        <f t="shared" si="560"/>
        <v>0</v>
      </c>
      <c r="AO2061" s="314"/>
      <c r="AP2061" s="318"/>
    </row>
    <row r="2062" spans="2:42">
      <c r="B2062" s="296"/>
      <c r="C2062" s="299"/>
      <c r="D2062" s="298"/>
      <c r="E2062" s="299"/>
      <c r="F2062" s="299"/>
      <c r="G2062" s="300"/>
      <c r="H2062" s="303"/>
      <c r="I2062" s="301">
        <f t="shared" si="544"/>
        <v>0</v>
      </c>
      <c r="J2062" s="302">
        <f t="shared" si="545"/>
        <v>0</v>
      </c>
      <c r="K2062" s="304">
        <f t="shared" si="546"/>
        <v>0</v>
      </c>
      <c r="L2062" s="305">
        <f>IF(H2062=0,0,IF(OR(E2062=$AT$5,E2062=$AT$6),AA2062,IF(F2062="MXN",1/HLOOKUP(YEAR(G2062)+(MONTH(G2062)/100),TC!$5:$37,DAY(G2062)+2,FALSE),VLOOKUP(F2062,Equivalencia!$5:$23,((MAX(Equivalencia!$3:$3)-YEAR(G2062))*14)+MONTH(G2062)+2,FALSE))))</f>
        <v>0</v>
      </c>
      <c r="M2062" s="306">
        <f t="shared" si="547"/>
        <v>0</v>
      </c>
      <c r="N2062" s="305">
        <f>IF(G2062=0,0,(IF(OR(E2062=$AT$5,E2062=$AT$6),AC2062,HLOOKUP(YEAR(G2062)+(MONTH(G2062)/100),TC!$5:$37,DAY(G2062)+2,FALSE))))</f>
        <v>0</v>
      </c>
      <c r="O2062" s="307">
        <f t="shared" si="548"/>
        <v>0</v>
      </c>
      <c r="P2062" s="560">
        <f>IF(G2062=0,0,VLOOKUP(YEAR(G2062),INPC!$B$4:$P$30,MONTH(G2062)+2))</f>
        <v>0</v>
      </c>
      <c r="Q2062" s="560">
        <f>IF(X2062=0,0,IF(OR(E2062=$AT$10,E2062=$AT$9),VLOOKUP(YEAR(X2062),INPC!$B$4:$P$30,MONTH(X2062)+1),VLOOKUP(YEAR(X2062),INPC!$B$4:$P$30,MONTH(X2062)+2,0)))</f>
        <v>0</v>
      </c>
      <c r="R2062" s="309">
        <f t="shared" si="549"/>
        <v>0</v>
      </c>
      <c r="S2062" s="310">
        <f t="shared" si="550"/>
        <v>0</v>
      </c>
      <c r="T2062" s="555">
        <f t="shared" si="551"/>
        <v>0</v>
      </c>
      <c r="U2062" s="311"/>
      <c r="V2062" s="312"/>
      <c r="W2062" s="299"/>
      <c r="X2062" s="300"/>
      <c r="Y2062" s="299"/>
      <c r="Z2062" s="303"/>
      <c r="AA2062" s="305">
        <f>IF(Z2062=0,0,IF(Y2062="MXN",1/HLOOKUP(YEAR(X2062)+(MONTH(X2062)/100),TC!$5:$37,DAY(X2062)+2,FALSE),VLOOKUP(Y2062,Equivalencia!$1:$23,((MAX(Equivalencia!$3:$3)-YEAR(X2062))*14)+MONTH(X2062)+2,FALSE)))</f>
        <v>0</v>
      </c>
      <c r="AB2062" s="306">
        <f t="shared" si="552"/>
        <v>0</v>
      </c>
      <c r="AC2062" s="305">
        <f>+IF(X2062=0,0,HLOOKUP(YEAR(X2062)+(MONTH(X2062)/100),TC!$5:$37,DAY(X2062)+2,FALSE))</f>
        <v>0</v>
      </c>
      <c r="AD2062" s="307">
        <f t="shared" si="553"/>
        <v>0</v>
      </c>
      <c r="AE2062" s="314">
        <f t="shared" si="554"/>
        <v>0</v>
      </c>
      <c r="AF2062" s="315">
        <f t="shared" si="555"/>
        <v>0</v>
      </c>
      <c r="AG2062" s="316">
        <f t="shared" si="556"/>
        <v>0</v>
      </c>
      <c r="AH2062" s="314">
        <v>1</v>
      </c>
      <c r="AI2062" s="314">
        <f t="shared" si="557"/>
        <v>0</v>
      </c>
      <c r="AJ2062" s="314">
        <f t="shared" si="558"/>
        <v>0</v>
      </c>
      <c r="AK2062" s="317"/>
      <c r="AL2062" s="315">
        <f t="shared" si="559"/>
        <v>0</v>
      </c>
      <c r="AN2062" s="554">
        <f t="shared" si="560"/>
        <v>0</v>
      </c>
      <c r="AO2062" s="314"/>
      <c r="AP2062" s="318"/>
    </row>
    <row r="2063" spans="2:42">
      <c r="B2063" s="296"/>
      <c r="C2063" s="299"/>
      <c r="D2063" s="298"/>
      <c r="E2063" s="299"/>
      <c r="F2063" s="299"/>
      <c r="G2063" s="300"/>
      <c r="H2063" s="303"/>
      <c r="I2063" s="301">
        <f t="shared" si="544"/>
        <v>0</v>
      </c>
      <c r="J2063" s="302">
        <f t="shared" si="545"/>
        <v>0</v>
      </c>
      <c r="K2063" s="304">
        <f t="shared" si="546"/>
        <v>0</v>
      </c>
      <c r="L2063" s="305">
        <f>IF(H2063=0,0,IF(OR(E2063=$AT$5,E2063=$AT$6),AA2063,IF(F2063="MXN",1/HLOOKUP(YEAR(G2063)+(MONTH(G2063)/100),TC!$5:$37,DAY(G2063)+2,FALSE),VLOOKUP(F2063,Equivalencia!$5:$23,((MAX(Equivalencia!$3:$3)-YEAR(G2063))*14)+MONTH(G2063)+2,FALSE))))</f>
        <v>0</v>
      </c>
      <c r="M2063" s="306">
        <f t="shared" si="547"/>
        <v>0</v>
      </c>
      <c r="N2063" s="305">
        <f>IF(G2063=0,0,(IF(OR(E2063=$AT$5,E2063=$AT$6),AC2063,HLOOKUP(YEAR(G2063)+(MONTH(G2063)/100),TC!$5:$37,DAY(G2063)+2,FALSE))))</f>
        <v>0</v>
      </c>
      <c r="O2063" s="307">
        <f t="shared" si="548"/>
        <v>0</v>
      </c>
      <c r="P2063" s="560">
        <f>IF(G2063=0,0,VLOOKUP(YEAR(G2063),INPC!$B$4:$P$30,MONTH(G2063)+2))</f>
        <v>0</v>
      </c>
      <c r="Q2063" s="560">
        <f>IF(X2063=0,0,IF(OR(E2063=$AT$10,E2063=$AT$9),VLOOKUP(YEAR(X2063),INPC!$B$4:$P$30,MONTH(X2063)+1),VLOOKUP(YEAR(X2063),INPC!$B$4:$P$30,MONTH(X2063)+2,0)))</f>
        <v>0</v>
      </c>
      <c r="R2063" s="309">
        <f t="shared" si="549"/>
        <v>0</v>
      </c>
      <c r="S2063" s="310">
        <f t="shared" si="550"/>
        <v>0</v>
      </c>
      <c r="T2063" s="555">
        <f t="shared" si="551"/>
        <v>0</v>
      </c>
      <c r="U2063" s="311"/>
      <c r="V2063" s="312"/>
      <c r="W2063" s="299"/>
      <c r="X2063" s="300"/>
      <c r="Y2063" s="299"/>
      <c r="Z2063" s="303"/>
      <c r="AA2063" s="305">
        <f>IF(Z2063=0,0,IF(Y2063="MXN",1/HLOOKUP(YEAR(X2063)+(MONTH(X2063)/100),TC!$5:$37,DAY(X2063)+2,FALSE),VLOOKUP(Y2063,Equivalencia!$1:$23,((MAX(Equivalencia!$3:$3)-YEAR(X2063))*14)+MONTH(X2063)+2,FALSE)))</f>
        <v>0</v>
      </c>
      <c r="AB2063" s="306">
        <f t="shared" si="552"/>
        <v>0</v>
      </c>
      <c r="AC2063" s="305">
        <f>+IF(X2063=0,0,HLOOKUP(YEAR(X2063)+(MONTH(X2063)/100),TC!$5:$37,DAY(X2063)+2,FALSE))</f>
        <v>0</v>
      </c>
      <c r="AD2063" s="307">
        <f t="shared" si="553"/>
        <v>0</v>
      </c>
      <c r="AE2063" s="314">
        <f t="shared" si="554"/>
        <v>0</v>
      </c>
      <c r="AF2063" s="315">
        <f t="shared" si="555"/>
        <v>0</v>
      </c>
      <c r="AG2063" s="316">
        <f t="shared" si="556"/>
        <v>0</v>
      </c>
      <c r="AH2063" s="314">
        <v>1</v>
      </c>
      <c r="AI2063" s="314">
        <f t="shared" si="557"/>
        <v>0</v>
      </c>
      <c r="AJ2063" s="314">
        <f t="shared" si="558"/>
        <v>0</v>
      </c>
      <c r="AK2063" s="317"/>
      <c r="AL2063" s="315">
        <f t="shared" si="559"/>
        <v>0</v>
      </c>
      <c r="AN2063" s="554">
        <f t="shared" si="560"/>
        <v>0</v>
      </c>
      <c r="AO2063" s="314"/>
      <c r="AP2063" s="318"/>
    </row>
    <row r="2064" spans="2:42">
      <c r="B2064" s="296"/>
      <c r="C2064" s="299"/>
      <c r="D2064" s="298"/>
      <c r="E2064" s="299"/>
      <c r="F2064" s="299"/>
      <c r="G2064" s="300"/>
      <c r="H2064" s="303"/>
      <c r="I2064" s="301">
        <f t="shared" si="544"/>
        <v>0</v>
      </c>
      <c r="J2064" s="302">
        <f t="shared" si="545"/>
        <v>0</v>
      </c>
      <c r="K2064" s="304">
        <f t="shared" si="546"/>
        <v>0</v>
      </c>
      <c r="L2064" s="305">
        <f>IF(H2064=0,0,IF(OR(E2064=$AT$5,E2064=$AT$6),AA2064,IF(F2064="MXN",1/HLOOKUP(YEAR(G2064)+(MONTH(G2064)/100),TC!$5:$37,DAY(G2064)+2,FALSE),VLOOKUP(F2064,Equivalencia!$5:$23,((MAX(Equivalencia!$3:$3)-YEAR(G2064))*14)+MONTH(G2064)+2,FALSE))))</f>
        <v>0</v>
      </c>
      <c r="M2064" s="306">
        <f t="shared" si="547"/>
        <v>0</v>
      </c>
      <c r="N2064" s="305">
        <f>IF(G2064=0,0,(IF(OR(E2064=$AT$5,E2064=$AT$6),AC2064,HLOOKUP(YEAR(G2064)+(MONTH(G2064)/100),TC!$5:$37,DAY(G2064)+2,FALSE))))</f>
        <v>0</v>
      </c>
      <c r="O2064" s="307">
        <f t="shared" si="548"/>
        <v>0</v>
      </c>
      <c r="P2064" s="560">
        <f>IF(G2064=0,0,VLOOKUP(YEAR(G2064),INPC!$B$4:$P$30,MONTH(G2064)+2))</f>
        <v>0</v>
      </c>
      <c r="Q2064" s="560">
        <f>IF(X2064=0,0,IF(OR(E2064=$AT$10,E2064=$AT$9),VLOOKUP(YEAR(X2064),INPC!$B$4:$P$30,MONTH(X2064)+1),VLOOKUP(YEAR(X2064),INPC!$B$4:$P$30,MONTH(X2064)+2,0)))</f>
        <v>0</v>
      </c>
      <c r="R2064" s="309">
        <f t="shared" si="549"/>
        <v>0</v>
      </c>
      <c r="S2064" s="310">
        <f t="shared" si="550"/>
        <v>0</v>
      </c>
      <c r="T2064" s="555">
        <f t="shared" si="551"/>
        <v>0</v>
      </c>
      <c r="U2064" s="311"/>
      <c r="V2064" s="312"/>
      <c r="W2064" s="299"/>
      <c r="X2064" s="300"/>
      <c r="Y2064" s="299"/>
      <c r="Z2064" s="303"/>
      <c r="AA2064" s="305">
        <f>IF(Z2064=0,0,IF(Y2064="MXN",1/HLOOKUP(YEAR(X2064)+(MONTH(X2064)/100),TC!$5:$37,DAY(X2064)+2,FALSE),VLOOKUP(Y2064,Equivalencia!$1:$23,((MAX(Equivalencia!$3:$3)-YEAR(X2064))*14)+MONTH(X2064)+2,FALSE)))</f>
        <v>0</v>
      </c>
      <c r="AB2064" s="306">
        <f t="shared" si="552"/>
        <v>0</v>
      </c>
      <c r="AC2064" s="305">
        <f>+IF(X2064=0,0,HLOOKUP(YEAR(X2064)+(MONTH(X2064)/100),TC!$5:$37,DAY(X2064)+2,FALSE))</f>
        <v>0</v>
      </c>
      <c r="AD2064" s="307">
        <f t="shared" si="553"/>
        <v>0</v>
      </c>
      <c r="AE2064" s="314">
        <f t="shared" si="554"/>
        <v>0</v>
      </c>
      <c r="AF2064" s="315">
        <f t="shared" si="555"/>
        <v>0</v>
      </c>
      <c r="AG2064" s="316">
        <f t="shared" si="556"/>
        <v>0</v>
      </c>
      <c r="AH2064" s="314">
        <v>1</v>
      </c>
      <c r="AI2064" s="314">
        <f t="shared" si="557"/>
        <v>0</v>
      </c>
      <c r="AJ2064" s="314">
        <f t="shared" si="558"/>
        <v>0</v>
      </c>
      <c r="AK2064" s="317"/>
      <c r="AL2064" s="315">
        <f t="shared" si="559"/>
        <v>0</v>
      </c>
      <c r="AN2064" s="554">
        <f t="shared" si="560"/>
        <v>0</v>
      </c>
      <c r="AO2064" s="314"/>
      <c r="AP2064" s="318"/>
    </row>
    <row r="2065" spans="2:42">
      <c r="B2065" s="296"/>
      <c r="C2065" s="299"/>
      <c r="D2065" s="298"/>
      <c r="E2065" s="299"/>
      <c r="F2065" s="299"/>
      <c r="G2065" s="300"/>
      <c r="H2065" s="303"/>
      <c r="I2065" s="301">
        <f t="shared" si="544"/>
        <v>0</v>
      </c>
      <c r="J2065" s="302">
        <f t="shared" si="545"/>
        <v>0</v>
      </c>
      <c r="K2065" s="304">
        <f t="shared" si="546"/>
        <v>0</v>
      </c>
      <c r="L2065" s="305">
        <f>IF(H2065=0,0,IF(OR(E2065=$AT$5,E2065=$AT$6),AA2065,IF(F2065="MXN",1/HLOOKUP(YEAR(G2065)+(MONTH(G2065)/100),TC!$5:$37,DAY(G2065)+2,FALSE),VLOOKUP(F2065,Equivalencia!$5:$23,((MAX(Equivalencia!$3:$3)-YEAR(G2065))*14)+MONTH(G2065)+2,FALSE))))</f>
        <v>0</v>
      </c>
      <c r="M2065" s="306">
        <f t="shared" si="547"/>
        <v>0</v>
      </c>
      <c r="N2065" s="305">
        <f>IF(G2065=0,0,(IF(OR(E2065=$AT$5,E2065=$AT$6),AC2065,HLOOKUP(YEAR(G2065)+(MONTH(G2065)/100),TC!$5:$37,DAY(G2065)+2,FALSE))))</f>
        <v>0</v>
      </c>
      <c r="O2065" s="307">
        <f t="shared" si="548"/>
        <v>0</v>
      </c>
      <c r="P2065" s="560">
        <f>IF(G2065=0,0,VLOOKUP(YEAR(G2065),INPC!$B$4:$P$30,MONTH(G2065)+2))</f>
        <v>0</v>
      </c>
      <c r="Q2065" s="560">
        <f>IF(X2065=0,0,IF(OR(E2065=$AT$10,E2065=$AT$9),VLOOKUP(YEAR(X2065),INPC!$B$4:$P$30,MONTH(X2065)+1),VLOOKUP(YEAR(X2065),INPC!$B$4:$P$30,MONTH(X2065)+2,0)))</f>
        <v>0</v>
      </c>
      <c r="R2065" s="309">
        <f t="shared" si="549"/>
        <v>0</v>
      </c>
      <c r="S2065" s="310">
        <f t="shared" si="550"/>
        <v>0</v>
      </c>
      <c r="T2065" s="555">
        <f t="shared" si="551"/>
        <v>0</v>
      </c>
      <c r="U2065" s="311"/>
      <c r="V2065" s="312"/>
      <c r="W2065" s="299"/>
      <c r="X2065" s="300"/>
      <c r="Y2065" s="299"/>
      <c r="Z2065" s="303"/>
      <c r="AA2065" s="305">
        <f>IF(Z2065=0,0,IF(Y2065="MXN",1/HLOOKUP(YEAR(X2065)+(MONTH(X2065)/100),TC!$5:$37,DAY(X2065)+2,FALSE),VLOOKUP(Y2065,Equivalencia!$1:$23,((MAX(Equivalencia!$3:$3)-YEAR(X2065))*14)+MONTH(X2065)+2,FALSE)))</f>
        <v>0</v>
      </c>
      <c r="AB2065" s="306">
        <f t="shared" si="552"/>
        <v>0</v>
      </c>
      <c r="AC2065" s="305">
        <f>+IF(X2065=0,0,HLOOKUP(YEAR(X2065)+(MONTH(X2065)/100),TC!$5:$37,DAY(X2065)+2,FALSE))</f>
        <v>0</v>
      </c>
      <c r="AD2065" s="307">
        <f t="shared" si="553"/>
        <v>0</v>
      </c>
      <c r="AE2065" s="314">
        <f t="shared" si="554"/>
        <v>0</v>
      </c>
      <c r="AF2065" s="315">
        <f t="shared" si="555"/>
        <v>0</v>
      </c>
      <c r="AG2065" s="316">
        <f t="shared" si="556"/>
        <v>0</v>
      </c>
      <c r="AH2065" s="314">
        <v>1</v>
      </c>
      <c r="AI2065" s="314">
        <f t="shared" si="557"/>
        <v>0</v>
      </c>
      <c r="AJ2065" s="314">
        <f t="shared" si="558"/>
        <v>0</v>
      </c>
      <c r="AK2065" s="317"/>
      <c r="AL2065" s="315">
        <f t="shared" si="559"/>
        <v>0</v>
      </c>
      <c r="AN2065" s="554">
        <f t="shared" si="560"/>
        <v>0</v>
      </c>
      <c r="AO2065" s="314"/>
      <c r="AP2065" s="318"/>
    </row>
    <row r="2066" spans="2:42">
      <c r="B2066" s="296"/>
      <c r="C2066" s="299"/>
      <c r="D2066" s="298"/>
      <c r="E2066" s="299"/>
      <c r="F2066" s="299"/>
      <c r="G2066" s="300"/>
      <c r="H2066" s="303"/>
      <c r="I2066" s="301">
        <f t="shared" si="544"/>
        <v>0</v>
      </c>
      <c r="J2066" s="302">
        <f t="shared" si="545"/>
        <v>0</v>
      </c>
      <c r="K2066" s="304">
        <f t="shared" si="546"/>
        <v>0</v>
      </c>
      <c r="L2066" s="305">
        <f>IF(H2066=0,0,IF(OR(E2066=$AT$5,E2066=$AT$6),AA2066,IF(F2066="MXN",1/HLOOKUP(YEAR(G2066)+(MONTH(G2066)/100),TC!$5:$37,DAY(G2066)+2,FALSE),VLOOKUP(F2066,Equivalencia!$5:$23,((MAX(Equivalencia!$3:$3)-YEAR(G2066))*14)+MONTH(G2066)+2,FALSE))))</f>
        <v>0</v>
      </c>
      <c r="M2066" s="306">
        <f t="shared" si="547"/>
        <v>0</v>
      </c>
      <c r="N2066" s="305">
        <f>IF(G2066=0,0,(IF(OR(E2066=$AT$5,E2066=$AT$6),AC2066,HLOOKUP(YEAR(G2066)+(MONTH(G2066)/100),TC!$5:$37,DAY(G2066)+2,FALSE))))</f>
        <v>0</v>
      </c>
      <c r="O2066" s="307">
        <f t="shared" si="548"/>
        <v>0</v>
      </c>
      <c r="P2066" s="560">
        <f>IF(G2066=0,0,VLOOKUP(YEAR(G2066),INPC!$B$4:$P$30,MONTH(G2066)+2))</f>
        <v>0</v>
      </c>
      <c r="Q2066" s="560">
        <f>IF(X2066=0,0,IF(OR(E2066=$AT$10,E2066=$AT$9),VLOOKUP(YEAR(X2066),INPC!$B$4:$P$30,MONTH(X2066)+1),VLOOKUP(YEAR(X2066),INPC!$B$4:$P$30,MONTH(X2066)+2,0)))</f>
        <v>0</v>
      </c>
      <c r="R2066" s="309">
        <f t="shared" si="549"/>
        <v>0</v>
      </c>
      <c r="S2066" s="310">
        <f t="shared" si="550"/>
        <v>0</v>
      </c>
      <c r="T2066" s="555">
        <f t="shared" si="551"/>
        <v>0</v>
      </c>
      <c r="U2066" s="311"/>
      <c r="V2066" s="312"/>
      <c r="W2066" s="299"/>
      <c r="X2066" s="300"/>
      <c r="Y2066" s="299"/>
      <c r="Z2066" s="303"/>
      <c r="AA2066" s="305">
        <f>IF(Z2066=0,0,IF(Y2066="MXN",1/HLOOKUP(YEAR(X2066)+(MONTH(X2066)/100),TC!$5:$37,DAY(X2066)+2,FALSE),VLOOKUP(Y2066,Equivalencia!$1:$23,((MAX(Equivalencia!$3:$3)-YEAR(X2066))*14)+MONTH(X2066)+2,FALSE)))</f>
        <v>0</v>
      </c>
      <c r="AB2066" s="306">
        <f t="shared" si="552"/>
        <v>0</v>
      </c>
      <c r="AC2066" s="305">
        <f>+IF(X2066=0,0,HLOOKUP(YEAR(X2066)+(MONTH(X2066)/100),TC!$5:$37,DAY(X2066)+2,FALSE))</f>
        <v>0</v>
      </c>
      <c r="AD2066" s="307">
        <f t="shared" si="553"/>
        <v>0</v>
      </c>
      <c r="AE2066" s="314">
        <f t="shared" si="554"/>
        <v>0</v>
      </c>
      <c r="AF2066" s="315">
        <f t="shared" si="555"/>
        <v>0</v>
      </c>
      <c r="AG2066" s="316">
        <f t="shared" si="556"/>
        <v>0</v>
      </c>
      <c r="AH2066" s="314">
        <v>1</v>
      </c>
      <c r="AI2066" s="314">
        <f t="shared" si="557"/>
        <v>0</v>
      </c>
      <c r="AJ2066" s="314">
        <f t="shared" si="558"/>
        <v>0</v>
      </c>
      <c r="AK2066" s="317"/>
      <c r="AL2066" s="315">
        <f t="shared" si="559"/>
        <v>0</v>
      </c>
      <c r="AN2066" s="554">
        <f t="shared" si="560"/>
        <v>0</v>
      </c>
      <c r="AO2066" s="314"/>
      <c r="AP2066" s="318"/>
    </row>
    <row r="2067" spans="2:42">
      <c r="B2067" s="296"/>
      <c r="C2067" s="299"/>
      <c r="D2067" s="298"/>
      <c r="E2067" s="299"/>
      <c r="F2067" s="299"/>
      <c r="G2067" s="300"/>
      <c r="H2067" s="303"/>
      <c r="I2067" s="301">
        <f t="shared" si="544"/>
        <v>0</v>
      </c>
      <c r="J2067" s="302">
        <f t="shared" si="545"/>
        <v>0</v>
      </c>
      <c r="K2067" s="304">
        <f t="shared" si="546"/>
        <v>0</v>
      </c>
      <c r="L2067" s="305">
        <f>IF(H2067=0,0,IF(OR(E2067=$AT$5,E2067=$AT$6),AA2067,IF(F2067="MXN",1/HLOOKUP(YEAR(G2067)+(MONTH(G2067)/100),TC!$5:$37,DAY(G2067)+2,FALSE),VLOOKUP(F2067,Equivalencia!$5:$23,((MAX(Equivalencia!$3:$3)-YEAR(G2067))*14)+MONTH(G2067)+2,FALSE))))</f>
        <v>0</v>
      </c>
      <c r="M2067" s="306">
        <f t="shared" si="547"/>
        <v>0</v>
      </c>
      <c r="N2067" s="305">
        <f>IF(G2067=0,0,(IF(OR(E2067=$AT$5,E2067=$AT$6),AC2067,HLOOKUP(YEAR(G2067)+(MONTH(G2067)/100),TC!$5:$37,DAY(G2067)+2,FALSE))))</f>
        <v>0</v>
      </c>
      <c r="O2067" s="307">
        <f t="shared" si="548"/>
        <v>0</v>
      </c>
      <c r="P2067" s="560">
        <f>IF(G2067=0,0,VLOOKUP(YEAR(G2067),INPC!$B$4:$P$30,MONTH(G2067)+2))</f>
        <v>0</v>
      </c>
      <c r="Q2067" s="560">
        <f>IF(X2067=0,0,IF(OR(E2067=$AT$10,E2067=$AT$9),VLOOKUP(YEAR(X2067),INPC!$B$4:$P$30,MONTH(X2067)+1),VLOOKUP(YEAR(X2067),INPC!$B$4:$P$30,MONTH(X2067)+2,0)))</f>
        <v>0</v>
      </c>
      <c r="R2067" s="309">
        <f t="shared" si="549"/>
        <v>0</v>
      </c>
      <c r="S2067" s="310">
        <f t="shared" si="550"/>
        <v>0</v>
      </c>
      <c r="T2067" s="555">
        <f t="shared" si="551"/>
        <v>0</v>
      </c>
      <c r="U2067" s="311"/>
      <c r="V2067" s="312"/>
      <c r="W2067" s="299"/>
      <c r="X2067" s="300"/>
      <c r="Y2067" s="299"/>
      <c r="Z2067" s="303"/>
      <c r="AA2067" s="305">
        <f>IF(Z2067=0,0,IF(Y2067="MXN",1/HLOOKUP(YEAR(X2067)+(MONTH(X2067)/100),TC!$5:$37,DAY(X2067)+2,FALSE),VLOOKUP(Y2067,Equivalencia!$1:$23,((MAX(Equivalencia!$3:$3)-YEAR(X2067))*14)+MONTH(X2067)+2,FALSE)))</f>
        <v>0</v>
      </c>
      <c r="AB2067" s="306">
        <f t="shared" si="552"/>
        <v>0</v>
      </c>
      <c r="AC2067" s="305">
        <f>+IF(X2067=0,0,HLOOKUP(YEAR(X2067)+(MONTH(X2067)/100),TC!$5:$37,DAY(X2067)+2,FALSE))</f>
        <v>0</v>
      </c>
      <c r="AD2067" s="307">
        <f t="shared" si="553"/>
        <v>0</v>
      </c>
      <c r="AE2067" s="314">
        <f t="shared" si="554"/>
        <v>0</v>
      </c>
      <c r="AF2067" s="315">
        <f t="shared" si="555"/>
        <v>0</v>
      </c>
      <c r="AG2067" s="316">
        <f t="shared" si="556"/>
        <v>0</v>
      </c>
      <c r="AH2067" s="314">
        <v>1</v>
      </c>
      <c r="AI2067" s="314">
        <f t="shared" si="557"/>
        <v>0</v>
      </c>
      <c r="AJ2067" s="314">
        <f t="shared" si="558"/>
        <v>0</v>
      </c>
      <c r="AK2067" s="317"/>
      <c r="AL2067" s="315">
        <f t="shared" si="559"/>
        <v>0</v>
      </c>
      <c r="AN2067" s="554">
        <f t="shared" si="560"/>
        <v>0</v>
      </c>
      <c r="AO2067" s="314"/>
      <c r="AP2067" s="318"/>
    </row>
    <row r="2068" spans="2:42">
      <c r="B2068" s="296"/>
      <c r="C2068" s="299"/>
      <c r="D2068" s="298"/>
      <c r="E2068" s="299"/>
      <c r="F2068" s="299"/>
      <c r="G2068" s="300"/>
      <c r="H2068" s="303"/>
      <c r="I2068" s="301">
        <f t="shared" si="544"/>
        <v>0</v>
      </c>
      <c r="J2068" s="302">
        <f t="shared" si="545"/>
        <v>0</v>
      </c>
      <c r="K2068" s="304">
        <f t="shared" si="546"/>
        <v>0</v>
      </c>
      <c r="L2068" s="305">
        <f>IF(H2068=0,0,IF(OR(E2068=$AT$5,E2068=$AT$6),AA2068,IF(F2068="MXN",1/HLOOKUP(YEAR(G2068)+(MONTH(G2068)/100),TC!$5:$37,DAY(G2068)+2,FALSE),VLOOKUP(F2068,Equivalencia!$5:$23,((MAX(Equivalencia!$3:$3)-YEAR(G2068))*14)+MONTH(G2068)+2,FALSE))))</f>
        <v>0</v>
      </c>
      <c r="M2068" s="306">
        <f t="shared" si="547"/>
        <v>0</v>
      </c>
      <c r="N2068" s="305">
        <f>IF(G2068=0,0,(IF(OR(E2068=$AT$5,E2068=$AT$6),AC2068,HLOOKUP(YEAR(G2068)+(MONTH(G2068)/100),TC!$5:$37,DAY(G2068)+2,FALSE))))</f>
        <v>0</v>
      </c>
      <c r="O2068" s="307">
        <f t="shared" si="548"/>
        <v>0</v>
      </c>
      <c r="P2068" s="560">
        <f>IF(G2068=0,0,VLOOKUP(YEAR(G2068),INPC!$B$4:$P$30,MONTH(G2068)+2))</f>
        <v>0</v>
      </c>
      <c r="Q2068" s="560">
        <f>IF(X2068=0,0,IF(OR(E2068=$AT$10,E2068=$AT$9),VLOOKUP(YEAR(X2068),INPC!$B$4:$P$30,MONTH(X2068)+1),VLOOKUP(YEAR(X2068),INPC!$B$4:$P$30,MONTH(X2068)+2,0)))</f>
        <v>0</v>
      </c>
      <c r="R2068" s="309">
        <f t="shared" si="549"/>
        <v>0</v>
      </c>
      <c r="S2068" s="310">
        <f t="shared" si="550"/>
        <v>0</v>
      </c>
      <c r="T2068" s="555">
        <f t="shared" si="551"/>
        <v>0</v>
      </c>
      <c r="U2068" s="311"/>
      <c r="V2068" s="312"/>
      <c r="W2068" s="299"/>
      <c r="X2068" s="300"/>
      <c r="Y2068" s="299"/>
      <c r="Z2068" s="303"/>
      <c r="AA2068" s="305">
        <f>IF(Z2068=0,0,IF(Y2068="MXN",1/HLOOKUP(YEAR(X2068)+(MONTH(X2068)/100),TC!$5:$37,DAY(X2068)+2,FALSE),VLOOKUP(Y2068,Equivalencia!$1:$23,((MAX(Equivalencia!$3:$3)-YEAR(X2068))*14)+MONTH(X2068)+2,FALSE)))</f>
        <v>0</v>
      </c>
      <c r="AB2068" s="306">
        <f t="shared" si="552"/>
        <v>0</v>
      </c>
      <c r="AC2068" s="305">
        <f>+IF(X2068=0,0,HLOOKUP(YEAR(X2068)+(MONTH(X2068)/100),TC!$5:$37,DAY(X2068)+2,FALSE))</f>
        <v>0</v>
      </c>
      <c r="AD2068" s="307">
        <f t="shared" si="553"/>
        <v>0</v>
      </c>
      <c r="AE2068" s="314">
        <f t="shared" si="554"/>
        <v>0</v>
      </c>
      <c r="AF2068" s="315">
        <f t="shared" si="555"/>
        <v>0</v>
      </c>
      <c r="AG2068" s="316">
        <f t="shared" si="556"/>
        <v>0</v>
      </c>
      <c r="AH2068" s="314">
        <v>1</v>
      </c>
      <c r="AI2068" s="314">
        <f t="shared" si="557"/>
        <v>0</v>
      </c>
      <c r="AJ2068" s="314">
        <f t="shared" si="558"/>
        <v>0</v>
      </c>
      <c r="AK2068" s="317"/>
      <c r="AL2068" s="315">
        <f t="shared" si="559"/>
        <v>0</v>
      </c>
      <c r="AN2068" s="554">
        <f t="shared" si="560"/>
        <v>0</v>
      </c>
      <c r="AO2068" s="314"/>
      <c r="AP2068" s="318"/>
    </row>
    <row r="2069" spans="2:42">
      <c r="B2069" s="296"/>
      <c r="C2069" s="299"/>
      <c r="D2069" s="298"/>
      <c r="E2069" s="299"/>
      <c r="F2069" s="299"/>
      <c r="G2069" s="300"/>
      <c r="H2069" s="303"/>
      <c r="I2069" s="301">
        <f t="shared" si="544"/>
        <v>0</v>
      </c>
      <c r="J2069" s="302">
        <f t="shared" si="545"/>
        <v>0</v>
      </c>
      <c r="K2069" s="304">
        <f t="shared" si="546"/>
        <v>0</v>
      </c>
      <c r="L2069" s="305">
        <f>IF(H2069=0,0,IF(OR(E2069=$AT$5,E2069=$AT$6),AA2069,IF(F2069="MXN",1/HLOOKUP(YEAR(G2069)+(MONTH(G2069)/100),TC!$5:$37,DAY(G2069)+2,FALSE),VLOOKUP(F2069,Equivalencia!$5:$23,((MAX(Equivalencia!$3:$3)-YEAR(G2069))*14)+MONTH(G2069)+2,FALSE))))</f>
        <v>0</v>
      </c>
      <c r="M2069" s="306">
        <f t="shared" si="547"/>
        <v>0</v>
      </c>
      <c r="N2069" s="305">
        <f>IF(G2069=0,0,(IF(OR(E2069=$AT$5,E2069=$AT$6),AC2069,HLOOKUP(YEAR(G2069)+(MONTH(G2069)/100),TC!$5:$37,DAY(G2069)+2,FALSE))))</f>
        <v>0</v>
      </c>
      <c r="O2069" s="307">
        <f t="shared" si="548"/>
        <v>0</v>
      </c>
      <c r="P2069" s="560">
        <f>IF(G2069=0,0,VLOOKUP(YEAR(G2069),INPC!$B$4:$P$30,MONTH(G2069)+2))</f>
        <v>0</v>
      </c>
      <c r="Q2069" s="560">
        <f>IF(X2069=0,0,IF(OR(E2069=$AT$10,E2069=$AT$9),VLOOKUP(YEAR(X2069),INPC!$B$4:$P$30,MONTH(X2069)+1),VLOOKUP(YEAR(X2069),INPC!$B$4:$P$30,MONTH(X2069)+2,0)))</f>
        <v>0</v>
      </c>
      <c r="R2069" s="309">
        <f t="shared" si="549"/>
        <v>0</v>
      </c>
      <c r="S2069" s="310">
        <f t="shared" si="550"/>
        <v>0</v>
      </c>
      <c r="T2069" s="555">
        <f t="shared" si="551"/>
        <v>0</v>
      </c>
      <c r="U2069" s="311"/>
      <c r="V2069" s="312"/>
      <c r="W2069" s="299"/>
      <c r="X2069" s="300"/>
      <c r="Y2069" s="299"/>
      <c r="Z2069" s="303"/>
      <c r="AA2069" s="305">
        <f>IF(Z2069=0,0,IF(Y2069="MXN",1/HLOOKUP(YEAR(X2069)+(MONTH(X2069)/100),TC!$5:$37,DAY(X2069)+2,FALSE),VLOOKUP(Y2069,Equivalencia!$1:$23,((MAX(Equivalencia!$3:$3)-YEAR(X2069))*14)+MONTH(X2069)+2,FALSE)))</f>
        <v>0</v>
      </c>
      <c r="AB2069" s="306">
        <f t="shared" si="552"/>
        <v>0</v>
      </c>
      <c r="AC2069" s="305">
        <f>+IF(X2069=0,0,HLOOKUP(YEAR(X2069)+(MONTH(X2069)/100),TC!$5:$37,DAY(X2069)+2,FALSE))</f>
        <v>0</v>
      </c>
      <c r="AD2069" s="307">
        <f t="shared" si="553"/>
        <v>0</v>
      </c>
      <c r="AE2069" s="314">
        <f t="shared" si="554"/>
        <v>0</v>
      </c>
      <c r="AF2069" s="315">
        <f t="shared" si="555"/>
        <v>0</v>
      </c>
      <c r="AG2069" s="316">
        <f t="shared" si="556"/>
        <v>0</v>
      </c>
      <c r="AH2069" s="314">
        <v>1</v>
      </c>
      <c r="AI2069" s="314">
        <f t="shared" si="557"/>
        <v>0</v>
      </c>
      <c r="AJ2069" s="314">
        <f t="shared" si="558"/>
        <v>0</v>
      </c>
      <c r="AK2069" s="317"/>
      <c r="AL2069" s="315">
        <f t="shared" si="559"/>
        <v>0</v>
      </c>
      <c r="AN2069" s="554">
        <f t="shared" si="560"/>
        <v>0</v>
      </c>
      <c r="AO2069" s="314"/>
      <c r="AP2069" s="318"/>
    </row>
    <row r="2070" spans="2:42">
      <c r="B2070" s="296"/>
      <c r="C2070" s="299"/>
      <c r="D2070" s="298"/>
      <c r="E2070" s="299"/>
      <c r="F2070" s="299"/>
      <c r="G2070" s="300"/>
      <c r="H2070" s="303"/>
      <c r="I2070" s="301">
        <f t="shared" si="544"/>
        <v>0</v>
      </c>
      <c r="J2070" s="302">
        <f t="shared" si="545"/>
        <v>0</v>
      </c>
      <c r="K2070" s="304">
        <f t="shared" si="546"/>
        <v>0</v>
      </c>
      <c r="L2070" s="305">
        <f>IF(H2070=0,0,IF(OR(E2070=$AT$5,E2070=$AT$6),AA2070,IF(F2070="MXN",1/HLOOKUP(YEAR(G2070)+(MONTH(G2070)/100),TC!$5:$37,DAY(G2070)+2,FALSE),VLOOKUP(F2070,Equivalencia!$5:$23,((MAX(Equivalencia!$3:$3)-YEAR(G2070))*14)+MONTH(G2070)+2,FALSE))))</f>
        <v>0</v>
      </c>
      <c r="M2070" s="306">
        <f t="shared" si="547"/>
        <v>0</v>
      </c>
      <c r="N2070" s="305">
        <f>IF(G2070=0,0,(IF(OR(E2070=$AT$5,E2070=$AT$6),AC2070,HLOOKUP(YEAR(G2070)+(MONTH(G2070)/100),TC!$5:$37,DAY(G2070)+2,FALSE))))</f>
        <v>0</v>
      </c>
      <c r="O2070" s="307">
        <f t="shared" si="548"/>
        <v>0</v>
      </c>
      <c r="P2070" s="560">
        <f>IF(G2070=0,0,VLOOKUP(YEAR(G2070),INPC!$B$4:$P$30,MONTH(G2070)+2))</f>
        <v>0</v>
      </c>
      <c r="Q2070" s="560">
        <f>IF(X2070=0,0,IF(OR(E2070=$AT$10,E2070=$AT$9),VLOOKUP(YEAR(X2070),INPC!$B$4:$P$30,MONTH(X2070)+1),VLOOKUP(YEAR(X2070),INPC!$B$4:$P$30,MONTH(X2070)+2,0)))</f>
        <v>0</v>
      </c>
      <c r="R2070" s="309">
        <f t="shared" si="549"/>
        <v>0</v>
      </c>
      <c r="S2070" s="310">
        <f t="shared" si="550"/>
        <v>0</v>
      </c>
      <c r="T2070" s="555">
        <f t="shared" si="551"/>
        <v>0</v>
      </c>
      <c r="U2070" s="311"/>
      <c r="V2070" s="312"/>
      <c r="W2070" s="299"/>
      <c r="X2070" s="300"/>
      <c r="Y2070" s="299"/>
      <c r="Z2070" s="303"/>
      <c r="AA2070" s="305">
        <f>IF(Z2070=0,0,IF(Y2070="MXN",1/HLOOKUP(YEAR(X2070)+(MONTH(X2070)/100),TC!$5:$37,DAY(X2070)+2,FALSE),VLOOKUP(Y2070,Equivalencia!$1:$23,((MAX(Equivalencia!$3:$3)-YEAR(X2070))*14)+MONTH(X2070)+2,FALSE)))</f>
        <v>0</v>
      </c>
      <c r="AB2070" s="306">
        <f t="shared" si="552"/>
        <v>0</v>
      </c>
      <c r="AC2070" s="305">
        <f>+IF(X2070=0,0,HLOOKUP(YEAR(X2070)+(MONTH(X2070)/100),TC!$5:$37,DAY(X2070)+2,FALSE))</f>
        <v>0</v>
      </c>
      <c r="AD2070" s="307">
        <f t="shared" si="553"/>
        <v>0</v>
      </c>
      <c r="AE2070" s="314">
        <f t="shared" si="554"/>
        <v>0</v>
      </c>
      <c r="AF2070" s="315">
        <f t="shared" si="555"/>
        <v>0</v>
      </c>
      <c r="AG2070" s="316">
        <f t="shared" si="556"/>
        <v>0</v>
      </c>
      <c r="AH2070" s="314">
        <v>1</v>
      </c>
      <c r="AI2070" s="314">
        <f t="shared" si="557"/>
        <v>0</v>
      </c>
      <c r="AJ2070" s="314">
        <f t="shared" si="558"/>
        <v>0</v>
      </c>
      <c r="AK2070" s="317"/>
      <c r="AL2070" s="315">
        <f t="shared" si="559"/>
        <v>0</v>
      </c>
      <c r="AN2070" s="554">
        <f t="shared" si="560"/>
        <v>0</v>
      </c>
      <c r="AO2070" s="314"/>
      <c r="AP2070" s="318"/>
    </row>
    <row r="2071" spans="2:42">
      <c r="B2071" s="296"/>
      <c r="C2071" s="299"/>
      <c r="D2071" s="298"/>
      <c r="E2071" s="299"/>
      <c r="F2071" s="299"/>
      <c r="G2071" s="300"/>
      <c r="H2071" s="303"/>
      <c r="I2071" s="301">
        <f t="shared" si="544"/>
        <v>0</v>
      </c>
      <c r="J2071" s="302">
        <f t="shared" si="545"/>
        <v>0</v>
      </c>
      <c r="K2071" s="304">
        <f t="shared" si="546"/>
        <v>0</v>
      </c>
      <c r="L2071" s="305">
        <f>IF(H2071=0,0,IF(OR(E2071=$AT$5,E2071=$AT$6),AA2071,IF(F2071="MXN",1/HLOOKUP(YEAR(G2071)+(MONTH(G2071)/100),TC!$5:$37,DAY(G2071)+2,FALSE),VLOOKUP(F2071,Equivalencia!$5:$23,((MAX(Equivalencia!$3:$3)-YEAR(G2071))*14)+MONTH(G2071)+2,FALSE))))</f>
        <v>0</v>
      </c>
      <c r="M2071" s="306">
        <f t="shared" si="547"/>
        <v>0</v>
      </c>
      <c r="N2071" s="305">
        <f>IF(G2071=0,0,(IF(OR(E2071=$AT$5,E2071=$AT$6),AC2071,HLOOKUP(YEAR(G2071)+(MONTH(G2071)/100),TC!$5:$37,DAY(G2071)+2,FALSE))))</f>
        <v>0</v>
      </c>
      <c r="O2071" s="307">
        <f t="shared" si="548"/>
        <v>0</v>
      </c>
      <c r="P2071" s="560">
        <f>IF(G2071=0,0,VLOOKUP(YEAR(G2071),INPC!$B$4:$P$30,MONTH(G2071)+2))</f>
        <v>0</v>
      </c>
      <c r="Q2071" s="560">
        <f>IF(X2071=0,0,IF(OR(E2071=$AT$10,E2071=$AT$9),VLOOKUP(YEAR(X2071),INPC!$B$4:$P$30,MONTH(X2071)+1),VLOOKUP(YEAR(X2071),INPC!$B$4:$P$30,MONTH(X2071)+2,0)))</f>
        <v>0</v>
      </c>
      <c r="R2071" s="309">
        <f t="shared" si="549"/>
        <v>0</v>
      </c>
      <c r="S2071" s="310">
        <f t="shared" si="550"/>
        <v>0</v>
      </c>
      <c r="T2071" s="555">
        <f t="shared" si="551"/>
        <v>0</v>
      </c>
      <c r="U2071" s="311"/>
      <c r="V2071" s="312"/>
      <c r="W2071" s="299"/>
      <c r="X2071" s="300"/>
      <c r="Y2071" s="299"/>
      <c r="Z2071" s="303"/>
      <c r="AA2071" s="305">
        <f>IF(Z2071=0,0,IF(Y2071="MXN",1/HLOOKUP(YEAR(X2071)+(MONTH(X2071)/100),TC!$5:$37,DAY(X2071)+2,FALSE),VLOOKUP(Y2071,Equivalencia!$1:$23,((MAX(Equivalencia!$3:$3)-YEAR(X2071))*14)+MONTH(X2071)+2,FALSE)))</f>
        <v>0</v>
      </c>
      <c r="AB2071" s="306">
        <f t="shared" si="552"/>
        <v>0</v>
      </c>
      <c r="AC2071" s="305">
        <f>+IF(X2071=0,0,HLOOKUP(YEAR(X2071)+(MONTH(X2071)/100),TC!$5:$37,DAY(X2071)+2,FALSE))</f>
        <v>0</v>
      </c>
      <c r="AD2071" s="307">
        <f t="shared" si="553"/>
        <v>0</v>
      </c>
      <c r="AE2071" s="314">
        <f t="shared" si="554"/>
        <v>0</v>
      </c>
      <c r="AF2071" s="315">
        <f t="shared" si="555"/>
        <v>0</v>
      </c>
      <c r="AG2071" s="316">
        <f t="shared" si="556"/>
        <v>0</v>
      </c>
      <c r="AH2071" s="314">
        <v>1</v>
      </c>
      <c r="AI2071" s="314">
        <f t="shared" si="557"/>
        <v>0</v>
      </c>
      <c r="AJ2071" s="314">
        <f t="shared" si="558"/>
        <v>0</v>
      </c>
      <c r="AK2071" s="317"/>
      <c r="AL2071" s="315">
        <f t="shared" si="559"/>
        <v>0</v>
      </c>
      <c r="AN2071" s="554">
        <f t="shared" si="560"/>
        <v>0</v>
      </c>
      <c r="AO2071" s="314"/>
      <c r="AP2071" s="318"/>
    </row>
    <row r="2072" spans="2:42">
      <c r="B2072" s="296"/>
      <c r="C2072" s="299"/>
      <c r="D2072" s="298"/>
      <c r="E2072" s="299"/>
      <c r="F2072" s="299"/>
      <c r="G2072" s="300"/>
      <c r="H2072" s="303"/>
      <c r="I2072" s="301">
        <f t="shared" si="544"/>
        <v>0</v>
      </c>
      <c r="J2072" s="302">
        <f t="shared" si="545"/>
        <v>0</v>
      </c>
      <c r="K2072" s="304">
        <f t="shared" si="546"/>
        <v>0</v>
      </c>
      <c r="L2072" s="305">
        <f>IF(H2072=0,0,IF(OR(E2072=$AT$5,E2072=$AT$6),AA2072,IF(F2072="MXN",1/HLOOKUP(YEAR(G2072)+(MONTH(G2072)/100),TC!$5:$37,DAY(G2072)+2,FALSE),VLOOKUP(F2072,Equivalencia!$5:$23,((MAX(Equivalencia!$3:$3)-YEAR(G2072))*14)+MONTH(G2072)+2,FALSE))))</f>
        <v>0</v>
      </c>
      <c r="M2072" s="306">
        <f t="shared" si="547"/>
        <v>0</v>
      </c>
      <c r="N2072" s="305">
        <f>IF(G2072=0,0,(IF(OR(E2072=$AT$5,E2072=$AT$6),AC2072,HLOOKUP(YEAR(G2072)+(MONTH(G2072)/100),TC!$5:$37,DAY(G2072)+2,FALSE))))</f>
        <v>0</v>
      </c>
      <c r="O2072" s="307">
        <f t="shared" si="548"/>
        <v>0</v>
      </c>
      <c r="P2072" s="560">
        <f>IF(G2072=0,0,VLOOKUP(YEAR(G2072),INPC!$B$4:$P$30,MONTH(G2072)+2))</f>
        <v>0</v>
      </c>
      <c r="Q2072" s="560">
        <f>IF(X2072=0,0,IF(OR(E2072=$AT$10,E2072=$AT$9),VLOOKUP(YEAR(X2072),INPC!$B$4:$P$30,MONTH(X2072)+1),VLOOKUP(YEAR(X2072),INPC!$B$4:$P$30,MONTH(X2072)+2,0)))</f>
        <v>0</v>
      </c>
      <c r="R2072" s="309">
        <f t="shared" si="549"/>
        <v>0</v>
      </c>
      <c r="S2072" s="310">
        <f t="shared" si="550"/>
        <v>0</v>
      </c>
      <c r="T2072" s="555">
        <f t="shared" si="551"/>
        <v>0</v>
      </c>
      <c r="U2072" s="311"/>
      <c r="V2072" s="312"/>
      <c r="W2072" s="299"/>
      <c r="X2072" s="300"/>
      <c r="Y2072" s="299"/>
      <c r="Z2072" s="303"/>
      <c r="AA2072" s="305">
        <f>IF(Z2072=0,0,IF(Y2072="MXN",1/HLOOKUP(YEAR(X2072)+(MONTH(X2072)/100),TC!$5:$37,DAY(X2072)+2,FALSE),VLOOKUP(Y2072,Equivalencia!$1:$23,((MAX(Equivalencia!$3:$3)-YEAR(X2072))*14)+MONTH(X2072)+2,FALSE)))</f>
        <v>0</v>
      </c>
      <c r="AB2072" s="306">
        <f t="shared" si="552"/>
        <v>0</v>
      </c>
      <c r="AC2072" s="305">
        <f>+IF(X2072=0,0,HLOOKUP(YEAR(X2072)+(MONTH(X2072)/100),TC!$5:$37,DAY(X2072)+2,FALSE))</f>
        <v>0</v>
      </c>
      <c r="AD2072" s="307">
        <f t="shared" si="553"/>
        <v>0</v>
      </c>
      <c r="AE2072" s="314">
        <f t="shared" si="554"/>
        <v>0</v>
      </c>
      <c r="AF2072" s="315">
        <f t="shared" si="555"/>
        <v>0</v>
      </c>
      <c r="AG2072" s="316">
        <f t="shared" si="556"/>
        <v>0</v>
      </c>
      <c r="AH2072" s="314">
        <v>1</v>
      </c>
      <c r="AI2072" s="314">
        <f t="shared" si="557"/>
        <v>0</v>
      </c>
      <c r="AJ2072" s="314">
        <f t="shared" si="558"/>
        <v>0</v>
      </c>
      <c r="AK2072" s="317"/>
      <c r="AL2072" s="315">
        <f t="shared" si="559"/>
        <v>0</v>
      </c>
      <c r="AN2072" s="554">
        <f t="shared" si="560"/>
        <v>0</v>
      </c>
      <c r="AO2072" s="314"/>
      <c r="AP2072" s="318"/>
    </row>
    <row r="2073" spans="2:42">
      <c r="B2073" s="296"/>
      <c r="C2073" s="299"/>
      <c r="D2073" s="298"/>
      <c r="E2073" s="299"/>
      <c r="F2073" s="299"/>
      <c r="G2073" s="300"/>
      <c r="H2073" s="303"/>
      <c r="I2073" s="301">
        <f t="shared" si="544"/>
        <v>0</v>
      </c>
      <c r="J2073" s="302">
        <f t="shared" si="545"/>
        <v>0</v>
      </c>
      <c r="K2073" s="304">
        <f t="shared" si="546"/>
        <v>0</v>
      </c>
      <c r="L2073" s="305">
        <f>IF(H2073=0,0,IF(OR(E2073=$AT$5,E2073=$AT$6),AA2073,IF(F2073="MXN",1/HLOOKUP(YEAR(G2073)+(MONTH(G2073)/100),TC!$5:$37,DAY(G2073)+2,FALSE),VLOOKUP(F2073,Equivalencia!$5:$23,((MAX(Equivalencia!$3:$3)-YEAR(G2073))*14)+MONTH(G2073)+2,FALSE))))</f>
        <v>0</v>
      </c>
      <c r="M2073" s="306">
        <f t="shared" si="547"/>
        <v>0</v>
      </c>
      <c r="N2073" s="305">
        <f>IF(G2073=0,0,(IF(OR(E2073=$AT$5,E2073=$AT$6),AC2073,HLOOKUP(YEAR(G2073)+(MONTH(G2073)/100),TC!$5:$37,DAY(G2073)+2,FALSE))))</f>
        <v>0</v>
      </c>
      <c r="O2073" s="307">
        <f t="shared" si="548"/>
        <v>0</v>
      </c>
      <c r="P2073" s="560">
        <f>IF(G2073=0,0,VLOOKUP(YEAR(G2073),INPC!$B$4:$P$30,MONTH(G2073)+2))</f>
        <v>0</v>
      </c>
      <c r="Q2073" s="560">
        <f>IF(X2073=0,0,IF(OR(E2073=$AT$10,E2073=$AT$9),VLOOKUP(YEAR(X2073),INPC!$B$4:$P$30,MONTH(X2073)+1),VLOOKUP(YEAR(X2073),INPC!$B$4:$P$30,MONTH(X2073)+2,0)))</f>
        <v>0</v>
      </c>
      <c r="R2073" s="309">
        <f t="shared" si="549"/>
        <v>0</v>
      </c>
      <c r="S2073" s="310">
        <f t="shared" si="550"/>
        <v>0</v>
      </c>
      <c r="T2073" s="555">
        <f t="shared" si="551"/>
        <v>0</v>
      </c>
      <c r="U2073" s="311"/>
      <c r="V2073" s="312"/>
      <c r="W2073" s="299"/>
      <c r="X2073" s="300"/>
      <c r="Y2073" s="299"/>
      <c r="Z2073" s="303"/>
      <c r="AA2073" s="305">
        <f>IF(Z2073=0,0,IF(Y2073="MXN",1/HLOOKUP(YEAR(X2073)+(MONTH(X2073)/100),TC!$5:$37,DAY(X2073)+2,FALSE),VLOOKUP(Y2073,Equivalencia!$1:$23,((MAX(Equivalencia!$3:$3)-YEAR(X2073))*14)+MONTH(X2073)+2,FALSE)))</f>
        <v>0</v>
      </c>
      <c r="AB2073" s="306">
        <f t="shared" si="552"/>
        <v>0</v>
      </c>
      <c r="AC2073" s="305">
        <f>+IF(X2073=0,0,HLOOKUP(YEAR(X2073)+(MONTH(X2073)/100),TC!$5:$37,DAY(X2073)+2,FALSE))</f>
        <v>0</v>
      </c>
      <c r="AD2073" s="307">
        <f t="shared" si="553"/>
        <v>0</v>
      </c>
      <c r="AE2073" s="314">
        <f t="shared" si="554"/>
        <v>0</v>
      </c>
      <c r="AF2073" s="315">
        <f t="shared" si="555"/>
        <v>0</v>
      </c>
      <c r="AG2073" s="316">
        <f t="shared" si="556"/>
        <v>0</v>
      </c>
      <c r="AH2073" s="314">
        <v>1</v>
      </c>
      <c r="AI2073" s="314">
        <f t="shared" si="557"/>
        <v>0</v>
      </c>
      <c r="AJ2073" s="314">
        <f t="shared" si="558"/>
        <v>0</v>
      </c>
      <c r="AK2073" s="317"/>
      <c r="AL2073" s="315">
        <f t="shared" si="559"/>
        <v>0</v>
      </c>
      <c r="AN2073" s="554">
        <f t="shared" si="560"/>
        <v>0</v>
      </c>
      <c r="AO2073" s="314"/>
      <c r="AP2073" s="318"/>
    </row>
    <row r="2074" spans="2:42">
      <c r="B2074" s="296"/>
      <c r="C2074" s="299"/>
      <c r="D2074" s="298"/>
      <c r="E2074" s="299"/>
      <c r="F2074" s="299"/>
      <c r="G2074" s="300"/>
      <c r="H2074" s="303"/>
      <c r="I2074" s="301">
        <f t="shared" si="544"/>
        <v>0</v>
      </c>
      <c r="J2074" s="302">
        <f t="shared" si="545"/>
        <v>0</v>
      </c>
      <c r="K2074" s="304">
        <f t="shared" si="546"/>
        <v>0</v>
      </c>
      <c r="L2074" s="305">
        <f>IF(H2074=0,0,IF(OR(E2074=$AT$5,E2074=$AT$6),AA2074,IF(F2074="MXN",1/HLOOKUP(YEAR(G2074)+(MONTH(G2074)/100),TC!$5:$37,DAY(G2074)+2,FALSE),VLOOKUP(F2074,Equivalencia!$5:$23,((MAX(Equivalencia!$3:$3)-YEAR(G2074))*14)+MONTH(G2074)+2,FALSE))))</f>
        <v>0</v>
      </c>
      <c r="M2074" s="306">
        <f t="shared" si="547"/>
        <v>0</v>
      </c>
      <c r="N2074" s="305">
        <f>IF(G2074=0,0,(IF(OR(E2074=$AT$5,E2074=$AT$6),AC2074,HLOOKUP(YEAR(G2074)+(MONTH(G2074)/100),TC!$5:$37,DAY(G2074)+2,FALSE))))</f>
        <v>0</v>
      </c>
      <c r="O2074" s="307">
        <f t="shared" si="548"/>
        <v>0</v>
      </c>
      <c r="P2074" s="560">
        <f>IF(G2074=0,0,VLOOKUP(YEAR(G2074),INPC!$B$4:$P$30,MONTH(G2074)+2))</f>
        <v>0</v>
      </c>
      <c r="Q2074" s="560">
        <f>IF(X2074=0,0,IF(OR(E2074=$AT$10,E2074=$AT$9),VLOOKUP(YEAR(X2074),INPC!$B$4:$P$30,MONTH(X2074)+1),VLOOKUP(YEAR(X2074),INPC!$B$4:$P$30,MONTH(X2074)+2,0)))</f>
        <v>0</v>
      </c>
      <c r="R2074" s="309">
        <f t="shared" si="549"/>
        <v>0</v>
      </c>
      <c r="S2074" s="310">
        <f t="shared" si="550"/>
        <v>0</v>
      </c>
      <c r="T2074" s="555">
        <f t="shared" si="551"/>
        <v>0</v>
      </c>
      <c r="U2074" s="311"/>
      <c r="V2074" s="312"/>
      <c r="W2074" s="299"/>
      <c r="X2074" s="300"/>
      <c r="Y2074" s="299"/>
      <c r="Z2074" s="303"/>
      <c r="AA2074" s="305">
        <f>IF(Z2074=0,0,IF(Y2074="MXN",1/HLOOKUP(YEAR(X2074)+(MONTH(X2074)/100),TC!$5:$37,DAY(X2074)+2,FALSE),VLOOKUP(Y2074,Equivalencia!$1:$23,((MAX(Equivalencia!$3:$3)-YEAR(X2074))*14)+MONTH(X2074)+2,FALSE)))</f>
        <v>0</v>
      </c>
      <c r="AB2074" s="306">
        <f t="shared" si="552"/>
        <v>0</v>
      </c>
      <c r="AC2074" s="305">
        <f>+IF(X2074=0,0,HLOOKUP(YEAR(X2074)+(MONTH(X2074)/100),TC!$5:$37,DAY(X2074)+2,FALSE))</f>
        <v>0</v>
      </c>
      <c r="AD2074" s="307">
        <f t="shared" si="553"/>
        <v>0</v>
      </c>
      <c r="AE2074" s="314">
        <f t="shared" si="554"/>
        <v>0</v>
      </c>
      <c r="AF2074" s="315">
        <f t="shared" si="555"/>
        <v>0</v>
      </c>
      <c r="AG2074" s="316">
        <f t="shared" si="556"/>
        <v>0</v>
      </c>
      <c r="AH2074" s="314">
        <v>1</v>
      </c>
      <c r="AI2074" s="314">
        <f t="shared" si="557"/>
        <v>0</v>
      </c>
      <c r="AJ2074" s="314">
        <f t="shared" si="558"/>
        <v>0</v>
      </c>
      <c r="AK2074" s="317"/>
      <c r="AL2074" s="315">
        <f t="shared" si="559"/>
        <v>0</v>
      </c>
      <c r="AN2074" s="554">
        <f t="shared" si="560"/>
        <v>0</v>
      </c>
      <c r="AO2074" s="314"/>
      <c r="AP2074" s="318"/>
    </row>
    <row r="2075" spans="2:42">
      <c r="B2075" s="296"/>
      <c r="C2075" s="299"/>
      <c r="D2075" s="298"/>
      <c r="E2075" s="299"/>
      <c r="F2075" s="299"/>
      <c r="G2075" s="300"/>
      <c r="H2075" s="303"/>
      <c r="I2075" s="301">
        <f t="shared" si="544"/>
        <v>0</v>
      </c>
      <c r="J2075" s="302">
        <f t="shared" si="545"/>
        <v>0</v>
      </c>
      <c r="K2075" s="304">
        <f t="shared" si="546"/>
        <v>0</v>
      </c>
      <c r="L2075" s="305">
        <f>IF(H2075=0,0,IF(OR(E2075=$AT$5,E2075=$AT$6),AA2075,IF(F2075="MXN",1/HLOOKUP(YEAR(G2075)+(MONTH(G2075)/100),TC!$5:$37,DAY(G2075)+2,FALSE),VLOOKUP(F2075,Equivalencia!$5:$23,((MAX(Equivalencia!$3:$3)-YEAR(G2075))*14)+MONTH(G2075)+2,FALSE))))</f>
        <v>0</v>
      </c>
      <c r="M2075" s="306">
        <f t="shared" si="547"/>
        <v>0</v>
      </c>
      <c r="N2075" s="305">
        <f>IF(G2075=0,0,(IF(OR(E2075=$AT$5,E2075=$AT$6),AC2075,HLOOKUP(YEAR(G2075)+(MONTH(G2075)/100),TC!$5:$37,DAY(G2075)+2,FALSE))))</f>
        <v>0</v>
      </c>
      <c r="O2075" s="307">
        <f t="shared" si="548"/>
        <v>0</v>
      </c>
      <c r="P2075" s="560">
        <f>IF(G2075=0,0,VLOOKUP(YEAR(G2075),INPC!$B$4:$P$30,MONTH(G2075)+2))</f>
        <v>0</v>
      </c>
      <c r="Q2075" s="560">
        <f>IF(X2075=0,0,IF(OR(E2075=$AT$10,E2075=$AT$9),VLOOKUP(YEAR(X2075),INPC!$B$4:$P$30,MONTH(X2075)+1),VLOOKUP(YEAR(X2075),INPC!$B$4:$P$30,MONTH(X2075)+2,0)))</f>
        <v>0</v>
      </c>
      <c r="R2075" s="309">
        <f t="shared" si="549"/>
        <v>0</v>
      </c>
      <c r="S2075" s="310">
        <f t="shared" si="550"/>
        <v>0</v>
      </c>
      <c r="T2075" s="555">
        <f t="shared" si="551"/>
        <v>0</v>
      </c>
      <c r="U2075" s="311"/>
      <c r="V2075" s="312"/>
      <c r="W2075" s="299"/>
      <c r="X2075" s="300"/>
      <c r="Y2075" s="299"/>
      <c r="Z2075" s="303"/>
      <c r="AA2075" s="305">
        <f>IF(Z2075=0,0,IF(Y2075="MXN",1/HLOOKUP(YEAR(X2075)+(MONTH(X2075)/100),TC!$5:$37,DAY(X2075)+2,FALSE),VLOOKUP(Y2075,Equivalencia!$1:$23,((MAX(Equivalencia!$3:$3)-YEAR(X2075))*14)+MONTH(X2075)+2,FALSE)))</f>
        <v>0</v>
      </c>
      <c r="AB2075" s="306">
        <f t="shared" si="552"/>
        <v>0</v>
      </c>
      <c r="AC2075" s="305">
        <f>+IF(X2075=0,0,HLOOKUP(YEAR(X2075)+(MONTH(X2075)/100),TC!$5:$37,DAY(X2075)+2,FALSE))</f>
        <v>0</v>
      </c>
      <c r="AD2075" s="307">
        <f t="shared" si="553"/>
        <v>0</v>
      </c>
      <c r="AE2075" s="314">
        <f t="shared" si="554"/>
        <v>0</v>
      </c>
      <c r="AF2075" s="315">
        <f t="shared" si="555"/>
        <v>0</v>
      </c>
      <c r="AG2075" s="316">
        <f t="shared" si="556"/>
        <v>0</v>
      </c>
      <c r="AH2075" s="314">
        <v>1</v>
      </c>
      <c r="AI2075" s="314">
        <f t="shared" si="557"/>
        <v>0</v>
      </c>
      <c r="AJ2075" s="314">
        <f t="shared" si="558"/>
        <v>0</v>
      </c>
      <c r="AK2075" s="317"/>
      <c r="AL2075" s="315">
        <f t="shared" si="559"/>
        <v>0</v>
      </c>
      <c r="AN2075" s="554">
        <f t="shared" si="560"/>
        <v>0</v>
      </c>
      <c r="AO2075" s="314"/>
      <c r="AP2075" s="318"/>
    </row>
    <row r="2076" spans="2:42">
      <c r="B2076" s="296"/>
      <c r="C2076" s="299"/>
      <c r="D2076" s="298"/>
      <c r="E2076" s="299"/>
      <c r="F2076" s="299"/>
      <c r="G2076" s="300"/>
      <c r="H2076" s="303"/>
      <c r="I2076" s="301">
        <f t="shared" si="544"/>
        <v>0</v>
      </c>
      <c r="J2076" s="302">
        <f t="shared" si="545"/>
        <v>0</v>
      </c>
      <c r="K2076" s="304">
        <f t="shared" si="546"/>
        <v>0</v>
      </c>
      <c r="L2076" s="305">
        <f>IF(H2076=0,0,IF(OR(E2076=$AT$5,E2076=$AT$6),AA2076,IF(F2076="MXN",1/HLOOKUP(YEAR(G2076)+(MONTH(G2076)/100),TC!$5:$37,DAY(G2076)+2,FALSE),VLOOKUP(F2076,Equivalencia!$5:$23,((MAX(Equivalencia!$3:$3)-YEAR(G2076))*14)+MONTH(G2076)+2,FALSE))))</f>
        <v>0</v>
      </c>
      <c r="M2076" s="306">
        <f t="shared" si="547"/>
        <v>0</v>
      </c>
      <c r="N2076" s="305">
        <f>IF(G2076=0,0,(IF(OR(E2076=$AT$5,E2076=$AT$6),AC2076,HLOOKUP(YEAR(G2076)+(MONTH(G2076)/100),TC!$5:$37,DAY(G2076)+2,FALSE))))</f>
        <v>0</v>
      </c>
      <c r="O2076" s="307">
        <f t="shared" si="548"/>
        <v>0</v>
      </c>
      <c r="P2076" s="560">
        <f>IF(G2076=0,0,VLOOKUP(YEAR(G2076),INPC!$B$4:$P$30,MONTH(G2076)+2))</f>
        <v>0</v>
      </c>
      <c r="Q2076" s="560">
        <f>IF(X2076=0,0,IF(OR(E2076=$AT$10,E2076=$AT$9),VLOOKUP(YEAR(X2076),INPC!$B$4:$P$30,MONTH(X2076)+1),VLOOKUP(YEAR(X2076),INPC!$B$4:$P$30,MONTH(X2076)+2,0)))</f>
        <v>0</v>
      </c>
      <c r="R2076" s="309">
        <f t="shared" si="549"/>
        <v>0</v>
      </c>
      <c r="S2076" s="310">
        <f t="shared" si="550"/>
        <v>0</v>
      </c>
      <c r="T2076" s="555">
        <f t="shared" si="551"/>
        <v>0</v>
      </c>
      <c r="U2076" s="311"/>
      <c r="V2076" s="312"/>
      <c r="W2076" s="299"/>
      <c r="X2076" s="300"/>
      <c r="Y2076" s="299"/>
      <c r="Z2076" s="303"/>
      <c r="AA2076" s="305">
        <f>IF(Z2076=0,0,IF(Y2076="MXN",1/HLOOKUP(YEAR(X2076)+(MONTH(X2076)/100),TC!$5:$37,DAY(X2076)+2,FALSE),VLOOKUP(Y2076,Equivalencia!$1:$23,((MAX(Equivalencia!$3:$3)-YEAR(X2076))*14)+MONTH(X2076)+2,FALSE)))</f>
        <v>0</v>
      </c>
      <c r="AB2076" s="306">
        <f t="shared" si="552"/>
        <v>0</v>
      </c>
      <c r="AC2076" s="305">
        <f>+IF(X2076=0,0,HLOOKUP(YEAR(X2076)+(MONTH(X2076)/100),TC!$5:$37,DAY(X2076)+2,FALSE))</f>
        <v>0</v>
      </c>
      <c r="AD2076" s="307">
        <f t="shared" si="553"/>
        <v>0</v>
      </c>
      <c r="AE2076" s="314">
        <f t="shared" si="554"/>
        <v>0</v>
      </c>
      <c r="AF2076" s="315">
        <f t="shared" si="555"/>
        <v>0</v>
      </c>
      <c r="AG2076" s="316">
        <f t="shared" si="556"/>
        <v>0</v>
      </c>
      <c r="AH2076" s="314">
        <v>1</v>
      </c>
      <c r="AI2076" s="314">
        <f t="shared" si="557"/>
        <v>0</v>
      </c>
      <c r="AJ2076" s="314">
        <f t="shared" si="558"/>
        <v>0</v>
      </c>
      <c r="AK2076" s="317"/>
      <c r="AL2076" s="315">
        <f t="shared" si="559"/>
        <v>0</v>
      </c>
      <c r="AN2076" s="554">
        <f t="shared" si="560"/>
        <v>0</v>
      </c>
      <c r="AO2076" s="314"/>
      <c r="AP2076" s="318"/>
    </row>
    <row r="2077" spans="2:42">
      <c r="B2077" s="296"/>
      <c r="C2077" s="299"/>
      <c r="D2077" s="298"/>
      <c r="E2077" s="299"/>
      <c r="F2077" s="299"/>
      <c r="G2077" s="300"/>
      <c r="H2077" s="303"/>
      <c r="I2077" s="301">
        <f t="shared" si="544"/>
        <v>0</v>
      </c>
      <c r="J2077" s="302">
        <f t="shared" si="545"/>
        <v>0</v>
      </c>
      <c r="K2077" s="304">
        <f t="shared" si="546"/>
        <v>0</v>
      </c>
      <c r="L2077" s="305">
        <f>IF(H2077=0,0,IF(OR(E2077=$AT$5,E2077=$AT$6),AA2077,IF(F2077="MXN",1/HLOOKUP(YEAR(G2077)+(MONTH(G2077)/100),TC!$5:$37,DAY(G2077)+2,FALSE),VLOOKUP(F2077,Equivalencia!$5:$23,((MAX(Equivalencia!$3:$3)-YEAR(G2077))*14)+MONTH(G2077)+2,FALSE))))</f>
        <v>0</v>
      </c>
      <c r="M2077" s="306">
        <f t="shared" si="547"/>
        <v>0</v>
      </c>
      <c r="N2077" s="305">
        <f>IF(G2077=0,0,(IF(OR(E2077=$AT$5,E2077=$AT$6),AC2077,HLOOKUP(YEAR(G2077)+(MONTH(G2077)/100),TC!$5:$37,DAY(G2077)+2,FALSE))))</f>
        <v>0</v>
      </c>
      <c r="O2077" s="307">
        <f t="shared" si="548"/>
        <v>0</v>
      </c>
      <c r="P2077" s="560">
        <f>IF(G2077=0,0,VLOOKUP(YEAR(G2077),INPC!$B$4:$P$30,MONTH(G2077)+2))</f>
        <v>0</v>
      </c>
      <c r="Q2077" s="560">
        <f>IF(X2077=0,0,IF(OR(E2077=$AT$10,E2077=$AT$9),VLOOKUP(YEAR(X2077),INPC!$B$4:$P$30,MONTH(X2077)+1),VLOOKUP(YEAR(X2077),INPC!$B$4:$P$30,MONTH(X2077)+2,0)))</f>
        <v>0</v>
      </c>
      <c r="R2077" s="309">
        <f t="shared" si="549"/>
        <v>0</v>
      </c>
      <c r="S2077" s="310">
        <f t="shared" si="550"/>
        <v>0</v>
      </c>
      <c r="T2077" s="555">
        <f t="shared" si="551"/>
        <v>0</v>
      </c>
      <c r="U2077" s="311"/>
      <c r="V2077" s="312"/>
      <c r="W2077" s="299"/>
      <c r="X2077" s="300"/>
      <c r="Y2077" s="299"/>
      <c r="Z2077" s="303"/>
      <c r="AA2077" s="305">
        <f>IF(Z2077=0,0,IF(Y2077="MXN",1/HLOOKUP(YEAR(X2077)+(MONTH(X2077)/100),TC!$5:$37,DAY(X2077)+2,FALSE),VLOOKUP(Y2077,Equivalencia!$1:$23,((MAX(Equivalencia!$3:$3)-YEAR(X2077))*14)+MONTH(X2077)+2,FALSE)))</f>
        <v>0</v>
      </c>
      <c r="AB2077" s="306">
        <f t="shared" si="552"/>
        <v>0</v>
      </c>
      <c r="AC2077" s="305">
        <f>+IF(X2077=0,0,HLOOKUP(YEAR(X2077)+(MONTH(X2077)/100),TC!$5:$37,DAY(X2077)+2,FALSE))</f>
        <v>0</v>
      </c>
      <c r="AD2077" s="307">
        <f t="shared" si="553"/>
        <v>0</v>
      </c>
      <c r="AE2077" s="314">
        <f t="shared" si="554"/>
        <v>0</v>
      </c>
      <c r="AF2077" s="315">
        <f t="shared" si="555"/>
        <v>0</v>
      </c>
      <c r="AG2077" s="316">
        <f t="shared" si="556"/>
        <v>0</v>
      </c>
      <c r="AH2077" s="314">
        <v>1</v>
      </c>
      <c r="AI2077" s="314">
        <f t="shared" si="557"/>
        <v>0</v>
      </c>
      <c r="AJ2077" s="314">
        <f t="shared" si="558"/>
        <v>0</v>
      </c>
      <c r="AK2077" s="317"/>
      <c r="AL2077" s="315">
        <f t="shared" si="559"/>
        <v>0</v>
      </c>
      <c r="AN2077" s="554">
        <f t="shared" si="560"/>
        <v>0</v>
      </c>
      <c r="AO2077" s="314"/>
      <c r="AP2077" s="318"/>
    </row>
    <row r="2078" spans="2:42">
      <c r="B2078" s="296"/>
      <c r="C2078" s="299"/>
      <c r="D2078" s="298"/>
      <c r="E2078" s="299"/>
      <c r="F2078" s="299"/>
      <c r="G2078" s="300"/>
      <c r="H2078" s="303"/>
      <c r="I2078" s="301">
        <f t="shared" si="544"/>
        <v>0</v>
      </c>
      <c r="J2078" s="302">
        <f t="shared" si="545"/>
        <v>0</v>
      </c>
      <c r="K2078" s="304">
        <f t="shared" si="546"/>
        <v>0</v>
      </c>
      <c r="L2078" s="305">
        <f>IF(H2078=0,0,IF(OR(E2078=$AT$5,E2078=$AT$6),AA2078,IF(F2078="MXN",1/HLOOKUP(YEAR(G2078)+(MONTH(G2078)/100),TC!$5:$37,DAY(G2078)+2,FALSE),VLOOKUP(F2078,Equivalencia!$5:$23,((MAX(Equivalencia!$3:$3)-YEAR(G2078))*14)+MONTH(G2078)+2,FALSE))))</f>
        <v>0</v>
      </c>
      <c r="M2078" s="306">
        <f t="shared" si="547"/>
        <v>0</v>
      </c>
      <c r="N2078" s="305">
        <f>IF(G2078=0,0,(IF(OR(E2078=$AT$5,E2078=$AT$6),AC2078,HLOOKUP(YEAR(G2078)+(MONTH(G2078)/100),TC!$5:$37,DAY(G2078)+2,FALSE))))</f>
        <v>0</v>
      </c>
      <c r="O2078" s="307">
        <f t="shared" si="548"/>
        <v>0</v>
      </c>
      <c r="P2078" s="560">
        <f>IF(G2078=0,0,VLOOKUP(YEAR(G2078),INPC!$B$4:$P$30,MONTH(G2078)+2))</f>
        <v>0</v>
      </c>
      <c r="Q2078" s="560">
        <f>IF(X2078=0,0,IF(OR(E2078=$AT$10,E2078=$AT$9),VLOOKUP(YEAR(X2078),INPC!$B$4:$P$30,MONTH(X2078)+1),VLOOKUP(YEAR(X2078),INPC!$B$4:$P$30,MONTH(X2078)+2,0)))</f>
        <v>0</v>
      </c>
      <c r="R2078" s="309">
        <f t="shared" si="549"/>
        <v>0</v>
      </c>
      <c r="S2078" s="310">
        <f t="shared" si="550"/>
        <v>0</v>
      </c>
      <c r="T2078" s="555">
        <f t="shared" si="551"/>
        <v>0</v>
      </c>
      <c r="U2078" s="311"/>
      <c r="V2078" s="312"/>
      <c r="W2078" s="299"/>
      <c r="X2078" s="300"/>
      <c r="Y2078" s="299"/>
      <c r="Z2078" s="303"/>
      <c r="AA2078" s="305">
        <f>IF(Z2078=0,0,IF(Y2078="MXN",1/HLOOKUP(YEAR(X2078)+(MONTH(X2078)/100),TC!$5:$37,DAY(X2078)+2,FALSE),VLOOKUP(Y2078,Equivalencia!$1:$23,((MAX(Equivalencia!$3:$3)-YEAR(X2078))*14)+MONTH(X2078)+2,FALSE)))</f>
        <v>0</v>
      </c>
      <c r="AB2078" s="306">
        <f t="shared" si="552"/>
        <v>0</v>
      </c>
      <c r="AC2078" s="305">
        <f>+IF(X2078=0,0,HLOOKUP(YEAR(X2078)+(MONTH(X2078)/100),TC!$5:$37,DAY(X2078)+2,FALSE))</f>
        <v>0</v>
      </c>
      <c r="AD2078" s="307">
        <f t="shared" si="553"/>
        <v>0</v>
      </c>
      <c r="AE2078" s="314">
        <f t="shared" si="554"/>
        <v>0</v>
      </c>
      <c r="AF2078" s="315">
        <f t="shared" si="555"/>
        <v>0</v>
      </c>
      <c r="AG2078" s="316">
        <f t="shared" si="556"/>
        <v>0</v>
      </c>
      <c r="AH2078" s="314">
        <v>1</v>
      </c>
      <c r="AI2078" s="314">
        <f t="shared" si="557"/>
        <v>0</v>
      </c>
      <c r="AJ2078" s="314">
        <f t="shared" si="558"/>
        <v>0</v>
      </c>
      <c r="AK2078" s="317"/>
      <c r="AL2078" s="315">
        <f t="shared" si="559"/>
        <v>0</v>
      </c>
      <c r="AN2078" s="554">
        <f t="shared" si="560"/>
        <v>0</v>
      </c>
      <c r="AO2078" s="314"/>
      <c r="AP2078" s="318"/>
    </row>
    <row r="2079" spans="2:42">
      <c r="B2079" s="296"/>
      <c r="C2079" s="299"/>
      <c r="D2079" s="298"/>
      <c r="E2079" s="299"/>
      <c r="F2079" s="299"/>
      <c r="G2079" s="300"/>
      <c r="H2079" s="303"/>
      <c r="I2079" s="301">
        <f t="shared" si="544"/>
        <v>0</v>
      </c>
      <c r="J2079" s="302">
        <f t="shared" si="545"/>
        <v>0</v>
      </c>
      <c r="K2079" s="304">
        <f t="shared" si="546"/>
        <v>0</v>
      </c>
      <c r="L2079" s="305">
        <f>IF(H2079=0,0,IF(OR(E2079=$AT$5,E2079=$AT$6),AA2079,IF(F2079="MXN",1/HLOOKUP(YEAR(G2079)+(MONTH(G2079)/100),TC!$5:$37,DAY(G2079)+2,FALSE),VLOOKUP(F2079,Equivalencia!$5:$23,((MAX(Equivalencia!$3:$3)-YEAR(G2079))*14)+MONTH(G2079)+2,FALSE))))</f>
        <v>0</v>
      </c>
      <c r="M2079" s="306">
        <f t="shared" si="547"/>
        <v>0</v>
      </c>
      <c r="N2079" s="305">
        <f>IF(G2079=0,0,(IF(OR(E2079=$AT$5,E2079=$AT$6),AC2079,HLOOKUP(YEAR(G2079)+(MONTH(G2079)/100),TC!$5:$37,DAY(G2079)+2,FALSE))))</f>
        <v>0</v>
      </c>
      <c r="O2079" s="307">
        <f t="shared" si="548"/>
        <v>0</v>
      </c>
      <c r="P2079" s="560">
        <f>IF(G2079=0,0,VLOOKUP(YEAR(G2079),INPC!$B$4:$P$30,MONTH(G2079)+2))</f>
        <v>0</v>
      </c>
      <c r="Q2079" s="560">
        <f>IF(X2079=0,0,IF(OR(E2079=$AT$10,E2079=$AT$9),VLOOKUP(YEAR(X2079),INPC!$B$4:$P$30,MONTH(X2079)+1),VLOOKUP(YEAR(X2079),INPC!$B$4:$P$30,MONTH(X2079)+2,0)))</f>
        <v>0</v>
      </c>
      <c r="R2079" s="309">
        <f t="shared" si="549"/>
        <v>0</v>
      </c>
      <c r="S2079" s="310">
        <f t="shared" si="550"/>
        <v>0</v>
      </c>
      <c r="T2079" s="555">
        <f t="shared" si="551"/>
        <v>0</v>
      </c>
      <c r="U2079" s="311"/>
      <c r="V2079" s="312"/>
      <c r="W2079" s="299"/>
      <c r="X2079" s="300"/>
      <c r="Y2079" s="299"/>
      <c r="Z2079" s="303"/>
      <c r="AA2079" s="305">
        <f>IF(Z2079=0,0,IF(Y2079="MXN",1/HLOOKUP(YEAR(X2079)+(MONTH(X2079)/100),TC!$5:$37,DAY(X2079)+2,FALSE),VLOOKUP(Y2079,Equivalencia!$1:$23,((MAX(Equivalencia!$3:$3)-YEAR(X2079))*14)+MONTH(X2079)+2,FALSE)))</f>
        <v>0</v>
      </c>
      <c r="AB2079" s="306">
        <f t="shared" si="552"/>
        <v>0</v>
      </c>
      <c r="AC2079" s="305">
        <f>+IF(X2079=0,0,HLOOKUP(YEAR(X2079)+(MONTH(X2079)/100),TC!$5:$37,DAY(X2079)+2,FALSE))</f>
        <v>0</v>
      </c>
      <c r="AD2079" s="307">
        <f t="shared" si="553"/>
        <v>0</v>
      </c>
      <c r="AE2079" s="314">
        <f t="shared" si="554"/>
        <v>0</v>
      </c>
      <c r="AF2079" s="315">
        <f t="shared" si="555"/>
        <v>0</v>
      </c>
      <c r="AG2079" s="316">
        <f t="shared" si="556"/>
        <v>0</v>
      </c>
      <c r="AH2079" s="314">
        <v>1</v>
      </c>
      <c r="AI2079" s="314">
        <f t="shared" si="557"/>
        <v>0</v>
      </c>
      <c r="AJ2079" s="314">
        <f t="shared" si="558"/>
        <v>0</v>
      </c>
      <c r="AK2079" s="317"/>
      <c r="AL2079" s="315">
        <f t="shared" si="559"/>
        <v>0</v>
      </c>
      <c r="AN2079" s="554">
        <f t="shared" si="560"/>
        <v>0</v>
      </c>
      <c r="AO2079" s="314"/>
      <c r="AP2079" s="318"/>
    </row>
    <row r="2080" spans="2:42">
      <c r="B2080" s="296"/>
      <c r="C2080" s="299"/>
      <c r="D2080" s="298"/>
      <c r="E2080" s="299"/>
      <c r="F2080" s="299"/>
      <c r="G2080" s="300"/>
      <c r="H2080" s="303"/>
      <c r="I2080" s="301">
        <f t="shared" si="544"/>
        <v>0</v>
      </c>
      <c r="J2080" s="302">
        <f t="shared" si="545"/>
        <v>0</v>
      </c>
      <c r="K2080" s="304">
        <f t="shared" si="546"/>
        <v>0</v>
      </c>
      <c r="L2080" s="305">
        <f>IF(H2080=0,0,IF(OR(E2080=$AT$5,E2080=$AT$6),AA2080,IF(F2080="MXN",1/HLOOKUP(YEAR(G2080)+(MONTH(G2080)/100),TC!$5:$37,DAY(G2080)+2,FALSE),VLOOKUP(F2080,Equivalencia!$5:$23,((MAX(Equivalencia!$3:$3)-YEAR(G2080))*14)+MONTH(G2080)+2,FALSE))))</f>
        <v>0</v>
      </c>
      <c r="M2080" s="306">
        <f t="shared" si="547"/>
        <v>0</v>
      </c>
      <c r="N2080" s="305">
        <f>IF(G2080=0,0,(IF(OR(E2080=$AT$5,E2080=$AT$6),AC2080,HLOOKUP(YEAR(G2080)+(MONTH(G2080)/100),TC!$5:$37,DAY(G2080)+2,FALSE))))</f>
        <v>0</v>
      </c>
      <c r="O2080" s="307">
        <f t="shared" si="548"/>
        <v>0</v>
      </c>
      <c r="P2080" s="560">
        <f>IF(G2080=0,0,VLOOKUP(YEAR(G2080),INPC!$B$4:$P$30,MONTH(G2080)+2))</f>
        <v>0</v>
      </c>
      <c r="Q2080" s="560">
        <f>IF(X2080=0,0,IF(OR(E2080=$AT$10,E2080=$AT$9),VLOOKUP(YEAR(X2080),INPC!$B$4:$P$30,MONTH(X2080)+1),VLOOKUP(YEAR(X2080),INPC!$B$4:$P$30,MONTH(X2080)+2,0)))</f>
        <v>0</v>
      </c>
      <c r="R2080" s="309">
        <f t="shared" si="549"/>
        <v>0</v>
      </c>
      <c r="S2080" s="310">
        <f t="shared" si="550"/>
        <v>0</v>
      </c>
      <c r="T2080" s="555">
        <f t="shared" si="551"/>
        <v>0</v>
      </c>
      <c r="U2080" s="311"/>
      <c r="V2080" s="312"/>
      <c r="W2080" s="299"/>
      <c r="X2080" s="300"/>
      <c r="Y2080" s="299"/>
      <c r="Z2080" s="303"/>
      <c r="AA2080" s="305">
        <f>IF(Z2080=0,0,IF(Y2080="MXN",1/HLOOKUP(YEAR(X2080)+(MONTH(X2080)/100),TC!$5:$37,DAY(X2080)+2,FALSE),VLOOKUP(Y2080,Equivalencia!$1:$23,((MAX(Equivalencia!$3:$3)-YEAR(X2080))*14)+MONTH(X2080)+2,FALSE)))</f>
        <v>0</v>
      </c>
      <c r="AB2080" s="306">
        <f t="shared" si="552"/>
        <v>0</v>
      </c>
      <c r="AC2080" s="305">
        <f>+IF(X2080=0,0,HLOOKUP(YEAR(X2080)+(MONTH(X2080)/100),TC!$5:$37,DAY(X2080)+2,FALSE))</f>
        <v>0</v>
      </c>
      <c r="AD2080" s="307">
        <f t="shared" si="553"/>
        <v>0</v>
      </c>
      <c r="AE2080" s="314">
        <f t="shared" si="554"/>
        <v>0</v>
      </c>
      <c r="AF2080" s="315">
        <f t="shared" si="555"/>
        <v>0</v>
      </c>
      <c r="AG2080" s="316">
        <f t="shared" si="556"/>
        <v>0</v>
      </c>
      <c r="AH2080" s="314">
        <v>1</v>
      </c>
      <c r="AI2080" s="314">
        <f t="shared" si="557"/>
        <v>0</v>
      </c>
      <c r="AJ2080" s="314">
        <f t="shared" si="558"/>
        <v>0</v>
      </c>
      <c r="AK2080" s="317"/>
      <c r="AL2080" s="315">
        <f t="shared" si="559"/>
        <v>0</v>
      </c>
      <c r="AN2080" s="554">
        <f t="shared" si="560"/>
        <v>0</v>
      </c>
      <c r="AO2080" s="314"/>
      <c r="AP2080" s="318"/>
    </row>
    <row r="2081" spans="2:42">
      <c r="B2081" s="296"/>
      <c r="C2081" s="299"/>
      <c r="D2081" s="298"/>
      <c r="E2081" s="299"/>
      <c r="F2081" s="299"/>
      <c r="G2081" s="300"/>
      <c r="H2081" s="303"/>
      <c r="I2081" s="301">
        <f t="shared" si="544"/>
        <v>0</v>
      </c>
      <c r="J2081" s="302">
        <f t="shared" si="545"/>
        <v>0</v>
      </c>
      <c r="K2081" s="304">
        <f t="shared" si="546"/>
        <v>0</v>
      </c>
      <c r="L2081" s="305">
        <f>IF(H2081=0,0,IF(OR(E2081=$AT$5,E2081=$AT$6),AA2081,IF(F2081="MXN",1/HLOOKUP(YEAR(G2081)+(MONTH(G2081)/100),TC!$5:$37,DAY(G2081)+2,FALSE),VLOOKUP(F2081,Equivalencia!$5:$23,((MAX(Equivalencia!$3:$3)-YEAR(G2081))*14)+MONTH(G2081)+2,FALSE))))</f>
        <v>0</v>
      </c>
      <c r="M2081" s="306">
        <f t="shared" si="547"/>
        <v>0</v>
      </c>
      <c r="N2081" s="305">
        <f>IF(G2081=0,0,(IF(OR(E2081=$AT$5,E2081=$AT$6),AC2081,HLOOKUP(YEAR(G2081)+(MONTH(G2081)/100),TC!$5:$37,DAY(G2081)+2,FALSE))))</f>
        <v>0</v>
      </c>
      <c r="O2081" s="307">
        <f t="shared" si="548"/>
        <v>0</v>
      </c>
      <c r="P2081" s="560">
        <f>IF(G2081=0,0,VLOOKUP(YEAR(G2081),INPC!$B$4:$P$30,MONTH(G2081)+2))</f>
        <v>0</v>
      </c>
      <c r="Q2081" s="560">
        <f>IF(X2081=0,0,IF(OR(E2081=$AT$10,E2081=$AT$9),VLOOKUP(YEAR(X2081),INPC!$B$4:$P$30,MONTH(X2081)+1),VLOOKUP(YEAR(X2081),INPC!$B$4:$P$30,MONTH(X2081)+2,0)))</f>
        <v>0</v>
      </c>
      <c r="R2081" s="309">
        <f t="shared" si="549"/>
        <v>0</v>
      </c>
      <c r="S2081" s="310">
        <f t="shared" si="550"/>
        <v>0</v>
      </c>
      <c r="T2081" s="555">
        <f t="shared" si="551"/>
        <v>0</v>
      </c>
      <c r="U2081" s="311"/>
      <c r="V2081" s="312"/>
      <c r="W2081" s="299"/>
      <c r="X2081" s="300"/>
      <c r="Y2081" s="299"/>
      <c r="Z2081" s="303"/>
      <c r="AA2081" s="305">
        <f>IF(Z2081=0,0,IF(Y2081="MXN",1/HLOOKUP(YEAR(X2081)+(MONTH(X2081)/100),TC!$5:$37,DAY(X2081)+2,FALSE),VLOOKUP(Y2081,Equivalencia!$1:$23,((MAX(Equivalencia!$3:$3)-YEAR(X2081))*14)+MONTH(X2081)+2,FALSE)))</f>
        <v>0</v>
      </c>
      <c r="AB2081" s="306">
        <f t="shared" si="552"/>
        <v>0</v>
      </c>
      <c r="AC2081" s="305">
        <f>+IF(X2081=0,0,HLOOKUP(YEAR(X2081)+(MONTH(X2081)/100),TC!$5:$37,DAY(X2081)+2,FALSE))</f>
        <v>0</v>
      </c>
      <c r="AD2081" s="307">
        <f t="shared" si="553"/>
        <v>0</v>
      </c>
      <c r="AE2081" s="314">
        <f t="shared" si="554"/>
        <v>0</v>
      </c>
      <c r="AF2081" s="315">
        <f t="shared" si="555"/>
        <v>0</v>
      </c>
      <c r="AG2081" s="316">
        <f t="shared" si="556"/>
        <v>0</v>
      </c>
      <c r="AH2081" s="314">
        <v>1</v>
      </c>
      <c r="AI2081" s="314">
        <f t="shared" si="557"/>
        <v>0</v>
      </c>
      <c r="AJ2081" s="314">
        <f t="shared" si="558"/>
        <v>0</v>
      </c>
      <c r="AK2081" s="317"/>
      <c r="AL2081" s="315">
        <f t="shared" si="559"/>
        <v>0</v>
      </c>
      <c r="AN2081" s="554">
        <f t="shared" si="560"/>
        <v>0</v>
      </c>
      <c r="AO2081" s="314"/>
      <c r="AP2081" s="318"/>
    </row>
    <row r="2082" spans="2:42">
      <c r="B2082" s="296"/>
      <c r="C2082" s="299"/>
      <c r="D2082" s="298"/>
      <c r="E2082" s="299"/>
      <c r="F2082" s="299"/>
      <c r="G2082" s="300"/>
      <c r="H2082" s="303"/>
      <c r="I2082" s="301">
        <f t="shared" si="544"/>
        <v>0</v>
      </c>
      <c r="J2082" s="302">
        <f t="shared" si="545"/>
        <v>0</v>
      </c>
      <c r="K2082" s="304">
        <f t="shared" si="546"/>
        <v>0</v>
      </c>
      <c r="L2082" s="305">
        <f>IF(H2082=0,0,IF(OR(E2082=$AT$5,E2082=$AT$6),AA2082,IF(F2082="MXN",1/HLOOKUP(YEAR(G2082)+(MONTH(G2082)/100),TC!$5:$37,DAY(G2082)+2,FALSE),VLOOKUP(F2082,Equivalencia!$5:$23,((MAX(Equivalencia!$3:$3)-YEAR(G2082))*14)+MONTH(G2082)+2,FALSE))))</f>
        <v>0</v>
      </c>
      <c r="M2082" s="306">
        <f t="shared" si="547"/>
        <v>0</v>
      </c>
      <c r="N2082" s="305">
        <f>IF(G2082=0,0,(IF(OR(E2082=$AT$5,E2082=$AT$6),AC2082,HLOOKUP(YEAR(G2082)+(MONTH(G2082)/100),TC!$5:$37,DAY(G2082)+2,FALSE))))</f>
        <v>0</v>
      </c>
      <c r="O2082" s="307">
        <f t="shared" si="548"/>
        <v>0</v>
      </c>
      <c r="P2082" s="560">
        <f>IF(G2082=0,0,VLOOKUP(YEAR(G2082),INPC!$B$4:$P$30,MONTH(G2082)+2))</f>
        <v>0</v>
      </c>
      <c r="Q2082" s="560">
        <f>IF(X2082=0,0,IF(OR(E2082=$AT$10,E2082=$AT$9),VLOOKUP(YEAR(X2082),INPC!$B$4:$P$30,MONTH(X2082)+1),VLOOKUP(YEAR(X2082),INPC!$B$4:$P$30,MONTH(X2082)+2,0)))</f>
        <v>0</v>
      </c>
      <c r="R2082" s="309">
        <f t="shared" si="549"/>
        <v>0</v>
      </c>
      <c r="S2082" s="310">
        <f t="shared" si="550"/>
        <v>0</v>
      </c>
      <c r="T2082" s="555">
        <f t="shared" si="551"/>
        <v>0</v>
      </c>
      <c r="U2082" s="311"/>
      <c r="V2082" s="312"/>
      <c r="W2082" s="299"/>
      <c r="X2082" s="300"/>
      <c r="Y2082" s="299"/>
      <c r="Z2082" s="303"/>
      <c r="AA2082" s="305">
        <f>IF(Z2082=0,0,IF(Y2082="MXN",1/HLOOKUP(YEAR(X2082)+(MONTH(X2082)/100),TC!$5:$37,DAY(X2082)+2,FALSE),VLOOKUP(Y2082,Equivalencia!$1:$23,((MAX(Equivalencia!$3:$3)-YEAR(X2082))*14)+MONTH(X2082)+2,FALSE)))</f>
        <v>0</v>
      </c>
      <c r="AB2082" s="306">
        <f t="shared" si="552"/>
        <v>0</v>
      </c>
      <c r="AC2082" s="305">
        <f>+IF(X2082=0,0,HLOOKUP(YEAR(X2082)+(MONTH(X2082)/100),TC!$5:$37,DAY(X2082)+2,FALSE))</f>
        <v>0</v>
      </c>
      <c r="AD2082" s="307">
        <f t="shared" si="553"/>
        <v>0</v>
      </c>
      <c r="AE2082" s="314">
        <f t="shared" si="554"/>
        <v>0</v>
      </c>
      <c r="AF2082" s="315">
        <f t="shared" si="555"/>
        <v>0</v>
      </c>
      <c r="AG2082" s="316">
        <f t="shared" si="556"/>
        <v>0</v>
      </c>
      <c r="AH2082" s="314">
        <v>1</v>
      </c>
      <c r="AI2082" s="314">
        <f t="shared" si="557"/>
        <v>0</v>
      </c>
      <c r="AJ2082" s="314">
        <f t="shared" si="558"/>
        <v>0</v>
      </c>
      <c r="AK2082" s="317"/>
      <c r="AL2082" s="315">
        <f t="shared" si="559"/>
        <v>0</v>
      </c>
      <c r="AN2082" s="554">
        <f t="shared" si="560"/>
        <v>0</v>
      </c>
      <c r="AO2082" s="314"/>
      <c r="AP2082" s="318"/>
    </row>
    <row r="2083" spans="2:42">
      <c r="B2083" s="296"/>
      <c r="C2083" s="299"/>
      <c r="D2083" s="298"/>
      <c r="E2083" s="299"/>
      <c r="F2083" s="299"/>
      <c r="G2083" s="300"/>
      <c r="H2083" s="303"/>
      <c r="I2083" s="301">
        <f t="shared" si="544"/>
        <v>0</v>
      </c>
      <c r="J2083" s="302">
        <f t="shared" si="545"/>
        <v>0</v>
      </c>
      <c r="K2083" s="304">
        <f t="shared" si="546"/>
        <v>0</v>
      </c>
      <c r="L2083" s="305">
        <f>IF(H2083=0,0,IF(OR(E2083=$AT$5,E2083=$AT$6),AA2083,IF(F2083="MXN",1/HLOOKUP(YEAR(G2083)+(MONTH(G2083)/100),TC!$5:$37,DAY(G2083)+2,FALSE),VLOOKUP(F2083,Equivalencia!$5:$23,((MAX(Equivalencia!$3:$3)-YEAR(G2083))*14)+MONTH(G2083)+2,FALSE))))</f>
        <v>0</v>
      </c>
      <c r="M2083" s="306">
        <f t="shared" si="547"/>
        <v>0</v>
      </c>
      <c r="N2083" s="305">
        <f>IF(G2083=0,0,(IF(OR(E2083=$AT$5,E2083=$AT$6),AC2083,HLOOKUP(YEAR(G2083)+(MONTH(G2083)/100),TC!$5:$37,DAY(G2083)+2,FALSE))))</f>
        <v>0</v>
      </c>
      <c r="O2083" s="307">
        <f t="shared" si="548"/>
        <v>0</v>
      </c>
      <c r="P2083" s="560">
        <f>IF(G2083=0,0,VLOOKUP(YEAR(G2083),INPC!$B$4:$P$30,MONTH(G2083)+2))</f>
        <v>0</v>
      </c>
      <c r="Q2083" s="560">
        <f>IF(X2083=0,0,IF(OR(E2083=$AT$10,E2083=$AT$9),VLOOKUP(YEAR(X2083),INPC!$B$4:$P$30,MONTH(X2083)+1),VLOOKUP(YEAR(X2083),INPC!$B$4:$P$30,MONTH(X2083)+2,0)))</f>
        <v>0</v>
      </c>
      <c r="R2083" s="309">
        <f t="shared" si="549"/>
        <v>0</v>
      </c>
      <c r="S2083" s="310">
        <f t="shared" si="550"/>
        <v>0</v>
      </c>
      <c r="T2083" s="555">
        <f t="shared" si="551"/>
        <v>0</v>
      </c>
      <c r="U2083" s="311"/>
      <c r="V2083" s="312"/>
      <c r="W2083" s="299"/>
      <c r="X2083" s="300"/>
      <c r="Y2083" s="299"/>
      <c r="Z2083" s="303"/>
      <c r="AA2083" s="305">
        <f>IF(Z2083=0,0,IF(Y2083="MXN",1/HLOOKUP(YEAR(X2083)+(MONTH(X2083)/100),TC!$5:$37,DAY(X2083)+2,FALSE),VLOOKUP(Y2083,Equivalencia!$1:$23,((MAX(Equivalencia!$3:$3)-YEAR(X2083))*14)+MONTH(X2083)+2,FALSE)))</f>
        <v>0</v>
      </c>
      <c r="AB2083" s="306">
        <f t="shared" si="552"/>
        <v>0</v>
      </c>
      <c r="AC2083" s="305">
        <f>+IF(X2083=0,0,HLOOKUP(YEAR(X2083)+(MONTH(X2083)/100),TC!$5:$37,DAY(X2083)+2,FALSE))</f>
        <v>0</v>
      </c>
      <c r="AD2083" s="307">
        <f t="shared" si="553"/>
        <v>0</v>
      </c>
      <c r="AE2083" s="314">
        <f t="shared" si="554"/>
        <v>0</v>
      </c>
      <c r="AF2083" s="315">
        <f t="shared" si="555"/>
        <v>0</v>
      </c>
      <c r="AG2083" s="316">
        <f t="shared" si="556"/>
        <v>0</v>
      </c>
      <c r="AH2083" s="314">
        <v>1</v>
      </c>
      <c r="AI2083" s="314">
        <f t="shared" si="557"/>
        <v>0</v>
      </c>
      <c r="AJ2083" s="314">
        <f t="shared" si="558"/>
        <v>0</v>
      </c>
      <c r="AK2083" s="317"/>
      <c r="AL2083" s="315">
        <f t="shared" si="559"/>
        <v>0</v>
      </c>
      <c r="AN2083" s="554">
        <f t="shared" si="560"/>
        <v>0</v>
      </c>
      <c r="AO2083" s="314"/>
      <c r="AP2083" s="318"/>
    </row>
    <row r="2084" spans="2:42">
      <c r="B2084" s="296"/>
      <c r="C2084" s="299"/>
      <c r="D2084" s="298"/>
      <c r="E2084" s="299"/>
      <c r="F2084" s="299"/>
      <c r="G2084" s="300"/>
      <c r="H2084" s="303"/>
      <c r="I2084" s="301">
        <f t="shared" si="544"/>
        <v>0</v>
      </c>
      <c r="J2084" s="302">
        <f t="shared" si="545"/>
        <v>0</v>
      </c>
      <c r="K2084" s="304">
        <f t="shared" si="546"/>
        <v>0</v>
      </c>
      <c r="L2084" s="305">
        <f>IF(H2084=0,0,IF(OR(E2084=$AT$5,E2084=$AT$6),AA2084,IF(F2084="MXN",1/HLOOKUP(YEAR(G2084)+(MONTH(G2084)/100),TC!$5:$37,DAY(G2084)+2,FALSE),VLOOKUP(F2084,Equivalencia!$5:$23,((MAX(Equivalencia!$3:$3)-YEAR(G2084))*14)+MONTH(G2084)+2,FALSE))))</f>
        <v>0</v>
      </c>
      <c r="M2084" s="306">
        <f t="shared" si="547"/>
        <v>0</v>
      </c>
      <c r="N2084" s="305">
        <f>IF(G2084=0,0,(IF(OR(E2084=$AT$5,E2084=$AT$6),AC2084,HLOOKUP(YEAR(G2084)+(MONTH(G2084)/100),TC!$5:$37,DAY(G2084)+2,FALSE))))</f>
        <v>0</v>
      </c>
      <c r="O2084" s="307">
        <f t="shared" si="548"/>
        <v>0</v>
      </c>
      <c r="P2084" s="560">
        <f>IF(G2084=0,0,VLOOKUP(YEAR(G2084),INPC!$B$4:$P$30,MONTH(G2084)+2))</f>
        <v>0</v>
      </c>
      <c r="Q2084" s="560">
        <f>IF(X2084=0,0,IF(OR(E2084=$AT$10,E2084=$AT$9),VLOOKUP(YEAR(X2084),INPC!$B$4:$P$30,MONTH(X2084)+1),VLOOKUP(YEAR(X2084),INPC!$B$4:$P$30,MONTH(X2084)+2,0)))</f>
        <v>0</v>
      </c>
      <c r="R2084" s="309">
        <f t="shared" si="549"/>
        <v>0</v>
      </c>
      <c r="S2084" s="310">
        <f t="shared" si="550"/>
        <v>0</v>
      </c>
      <c r="T2084" s="555">
        <f t="shared" si="551"/>
        <v>0</v>
      </c>
      <c r="U2084" s="311"/>
      <c r="V2084" s="312"/>
      <c r="W2084" s="299"/>
      <c r="X2084" s="300"/>
      <c r="Y2084" s="299"/>
      <c r="Z2084" s="303"/>
      <c r="AA2084" s="305">
        <f>IF(Z2084=0,0,IF(Y2084="MXN",1/HLOOKUP(YEAR(X2084)+(MONTH(X2084)/100),TC!$5:$37,DAY(X2084)+2,FALSE),VLOOKUP(Y2084,Equivalencia!$1:$23,((MAX(Equivalencia!$3:$3)-YEAR(X2084))*14)+MONTH(X2084)+2,FALSE)))</f>
        <v>0</v>
      </c>
      <c r="AB2084" s="306">
        <f t="shared" si="552"/>
        <v>0</v>
      </c>
      <c r="AC2084" s="305">
        <f>+IF(X2084=0,0,HLOOKUP(YEAR(X2084)+(MONTH(X2084)/100),TC!$5:$37,DAY(X2084)+2,FALSE))</f>
        <v>0</v>
      </c>
      <c r="AD2084" s="307">
        <f t="shared" si="553"/>
        <v>0</v>
      </c>
      <c r="AE2084" s="314">
        <f t="shared" si="554"/>
        <v>0</v>
      </c>
      <c r="AF2084" s="315">
        <f t="shared" si="555"/>
        <v>0</v>
      </c>
      <c r="AG2084" s="316">
        <f t="shared" si="556"/>
        <v>0</v>
      </c>
      <c r="AH2084" s="314">
        <v>1</v>
      </c>
      <c r="AI2084" s="314">
        <f t="shared" si="557"/>
        <v>0</v>
      </c>
      <c r="AJ2084" s="314">
        <f t="shared" si="558"/>
        <v>0</v>
      </c>
      <c r="AK2084" s="317"/>
      <c r="AL2084" s="315">
        <f t="shared" si="559"/>
        <v>0</v>
      </c>
      <c r="AN2084" s="554">
        <f t="shared" si="560"/>
        <v>0</v>
      </c>
      <c r="AO2084" s="314"/>
      <c r="AP2084" s="318"/>
    </row>
    <row r="2085" spans="2:42">
      <c r="B2085" s="296"/>
      <c r="C2085" s="299"/>
      <c r="D2085" s="298"/>
      <c r="E2085" s="299"/>
      <c r="F2085" s="299"/>
      <c r="G2085" s="300"/>
      <c r="H2085" s="303"/>
      <c r="I2085" s="301">
        <f t="shared" si="544"/>
        <v>0</v>
      </c>
      <c r="J2085" s="302">
        <f t="shared" si="545"/>
        <v>0</v>
      </c>
      <c r="K2085" s="304">
        <f t="shared" si="546"/>
        <v>0</v>
      </c>
      <c r="L2085" s="305">
        <f>IF(H2085=0,0,IF(OR(E2085=$AT$5,E2085=$AT$6),AA2085,IF(F2085="MXN",1/HLOOKUP(YEAR(G2085)+(MONTH(G2085)/100),TC!$5:$37,DAY(G2085)+2,FALSE),VLOOKUP(F2085,Equivalencia!$5:$23,((MAX(Equivalencia!$3:$3)-YEAR(G2085))*14)+MONTH(G2085)+2,FALSE))))</f>
        <v>0</v>
      </c>
      <c r="M2085" s="306">
        <f t="shared" si="547"/>
        <v>0</v>
      </c>
      <c r="N2085" s="305">
        <f>IF(G2085=0,0,(IF(OR(E2085=$AT$5,E2085=$AT$6),AC2085,HLOOKUP(YEAR(G2085)+(MONTH(G2085)/100),TC!$5:$37,DAY(G2085)+2,FALSE))))</f>
        <v>0</v>
      </c>
      <c r="O2085" s="307">
        <f t="shared" si="548"/>
        <v>0</v>
      </c>
      <c r="P2085" s="560">
        <f>IF(G2085=0,0,VLOOKUP(YEAR(G2085),INPC!$B$4:$P$30,MONTH(G2085)+2))</f>
        <v>0</v>
      </c>
      <c r="Q2085" s="560">
        <f>IF(X2085=0,0,IF(OR(E2085=$AT$10,E2085=$AT$9),VLOOKUP(YEAR(X2085),INPC!$B$4:$P$30,MONTH(X2085)+1),VLOOKUP(YEAR(X2085),INPC!$B$4:$P$30,MONTH(X2085)+2,0)))</f>
        <v>0</v>
      </c>
      <c r="R2085" s="309">
        <f t="shared" si="549"/>
        <v>0</v>
      </c>
      <c r="S2085" s="310">
        <f t="shared" si="550"/>
        <v>0</v>
      </c>
      <c r="T2085" s="555">
        <f t="shared" si="551"/>
        <v>0</v>
      </c>
      <c r="U2085" s="311"/>
      <c r="V2085" s="312"/>
      <c r="W2085" s="299"/>
      <c r="X2085" s="300"/>
      <c r="Y2085" s="299"/>
      <c r="Z2085" s="303"/>
      <c r="AA2085" s="305">
        <f>IF(Z2085=0,0,IF(Y2085="MXN",1/HLOOKUP(YEAR(X2085)+(MONTH(X2085)/100),TC!$5:$37,DAY(X2085)+2,FALSE),VLOOKUP(Y2085,Equivalencia!$1:$23,((MAX(Equivalencia!$3:$3)-YEAR(X2085))*14)+MONTH(X2085)+2,FALSE)))</f>
        <v>0</v>
      </c>
      <c r="AB2085" s="306">
        <f t="shared" si="552"/>
        <v>0</v>
      </c>
      <c r="AC2085" s="305">
        <f>+IF(X2085=0,0,HLOOKUP(YEAR(X2085)+(MONTH(X2085)/100),TC!$5:$37,DAY(X2085)+2,FALSE))</f>
        <v>0</v>
      </c>
      <c r="AD2085" s="307">
        <f t="shared" si="553"/>
        <v>0</v>
      </c>
      <c r="AE2085" s="314">
        <f t="shared" si="554"/>
        <v>0</v>
      </c>
      <c r="AF2085" s="315">
        <f t="shared" si="555"/>
        <v>0</v>
      </c>
      <c r="AG2085" s="316">
        <f t="shared" si="556"/>
        <v>0</v>
      </c>
      <c r="AH2085" s="314">
        <v>1</v>
      </c>
      <c r="AI2085" s="314">
        <f t="shared" si="557"/>
        <v>0</v>
      </c>
      <c r="AJ2085" s="314">
        <f t="shared" si="558"/>
        <v>0</v>
      </c>
      <c r="AK2085" s="317"/>
      <c r="AL2085" s="315">
        <f t="shared" si="559"/>
        <v>0</v>
      </c>
      <c r="AN2085" s="554">
        <f t="shared" si="560"/>
        <v>0</v>
      </c>
      <c r="AO2085" s="314"/>
      <c r="AP2085" s="318"/>
    </row>
    <row r="2086" spans="2:42">
      <c r="B2086" s="296"/>
      <c r="C2086" s="299"/>
      <c r="D2086" s="298"/>
      <c r="E2086" s="299"/>
      <c r="F2086" s="299"/>
      <c r="G2086" s="300"/>
      <c r="H2086" s="303"/>
      <c r="I2086" s="301">
        <f t="shared" si="544"/>
        <v>0</v>
      </c>
      <c r="J2086" s="302">
        <f t="shared" si="545"/>
        <v>0</v>
      </c>
      <c r="K2086" s="304">
        <f t="shared" si="546"/>
        <v>0</v>
      </c>
      <c r="L2086" s="305">
        <f>IF(H2086=0,0,IF(OR(E2086=$AT$5,E2086=$AT$6),AA2086,IF(F2086="MXN",1/HLOOKUP(YEAR(G2086)+(MONTH(G2086)/100),TC!$5:$37,DAY(G2086)+2,FALSE),VLOOKUP(F2086,Equivalencia!$5:$23,((MAX(Equivalencia!$3:$3)-YEAR(G2086))*14)+MONTH(G2086)+2,FALSE))))</f>
        <v>0</v>
      </c>
      <c r="M2086" s="306">
        <f t="shared" si="547"/>
        <v>0</v>
      </c>
      <c r="N2086" s="305">
        <f>IF(G2086=0,0,(IF(OR(E2086=$AT$5,E2086=$AT$6),AC2086,HLOOKUP(YEAR(G2086)+(MONTH(G2086)/100),TC!$5:$37,DAY(G2086)+2,FALSE))))</f>
        <v>0</v>
      </c>
      <c r="O2086" s="307">
        <f t="shared" si="548"/>
        <v>0</v>
      </c>
      <c r="P2086" s="560">
        <f>IF(G2086=0,0,VLOOKUP(YEAR(G2086),INPC!$B$4:$P$30,MONTH(G2086)+2))</f>
        <v>0</v>
      </c>
      <c r="Q2086" s="560">
        <f>IF(X2086=0,0,IF(OR(E2086=$AT$10,E2086=$AT$9),VLOOKUP(YEAR(X2086),INPC!$B$4:$P$30,MONTH(X2086)+1),VLOOKUP(YEAR(X2086),INPC!$B$4:$P$30,MONTH(X2086)+2,0)))</f>
        <v>0</v>
      </c>
      <c r="R2086" s="309">
        <f t="shared" si="549"/>
        <v>0</v>
      </c>
      <c r="S2086" s="310">
        <f t="shared" si="550"/>
        <v>0</v>
      </c>
      <c r="T2086" s="555">
        <f t="shared" si="551"/>
        <v>0</v>
      </c>
      <c r="U2086" s="311"/>
      <c r="V2086" s="312"/>
      <c r="W2086" s="299"/>
      <c r="X2086" s="300"/>
      <c r="Y2086" s="299"/>
      <c r="Z2086" s="303"/>
      <c r="AA2086" s="305">
        <f>IF(Z2086=0,0,IF(Y2086="MXN",1/HLOOKUP(YEAR(X2086)+(MONTH(X2086)/100),TC!$5:$37,DAY(X2086)+2,FALSE),VLOOKUP(Y2086,Equivalencia!$1:$23,((MAX(Equivalencia!$3:$3)-YEAR(X2086))*14)+MONTH(X2086)+2,FALSE)))</f>
        <v>0</v>
      </c>
      <c r="AB2086" s="306">
        <f t="shared" si="552"/>
        <v>0</v>
      </c>
      <c r="AC2086" s="305">
        <f>+IF(X2086=0,0,HLOOKUP(YEAR(X2086)+(MONTH(X2086)/100),TC!$5:$37,DAY(X2086)+2,FALSE))</f>
        <v>0</v>
      </c>
      <c r="AD2086" s="307">
        <f t="shared" si="553"/>
        <v>0</v>
      </c>
      <c r="AE2086" s="314">
        <f t="shared" si="554"/>
        <v>0</v>
      </c>
      <c r="AF2086" s="315">
        <f t="shared" si="555"/>
        <v>0</v>
      </c>
      <c r="AG2086" s="316">
        <f t="shared" si="556"/>
        <v>0</v>
      </c>
      <c r="AH2086" s="314">
        <v>1</v>
      </c>
      <c r="AI2086" s="314">
        <f t="shared" si="557"/>
        <v>0</v>
      </c>
      <c r="AJ2086" s="314">
        <f t="shared" si="558"/>
        <v>0</v>
      </c>
      <c r="AK2086" s="317"/>
      <c r="AL2086" s="315">
        <f t="shared" si="559"/>
        <v>0</v>
      </c>
      <c r="AN2086" s="554">
        <f t="shared" si="560"/>
        <v>0</v>
      </c>
      <c r="AO2086" s="314"/>
      <c r="AP2086" s="318"/>
    </row>
    <row r="2087" spans="2:42">
      <c r="B2087" s="296"/>
      <c r="C2087" s="299"/>
      <c r="D2087" s="298"/>
      <c r="E2087" s="299"/>
      <c r="F2087" s="299"/>
      <c r="G2087" s="300"/>
      <c r="H2087" s="303"/>
      <c r="I2087" s="301">
        <f t="shared" si="544"/>
        <v>0</v>
      </c>
      <c r="J2087" s="302">
        <f t="shared" si="545"/>
        <v>0</v>
      </c>
      <c r="K2087" s="304">
        <f t="shared" si="546"/>
        <v>0</v>
      </c>
      <c r="L2087" s="305">
        <f>IF(H2087=0,0,IF(OR(E2087=$AT$5,E2087=$AT$6),AA2087,IF(F2087="MXN",1/HLOOKUP(YEAR(G2087)+(MONTH(G2087)/100),TC!$5:$37,DAY(G2087)+2,FALSE),VLOOKUP(F2087,Equivalencia!$5:$23,((MAX(Equivalencia!$3:$3)-YEAR(G2087))*14)+MONTH(G2087)+2,FALSE))))</f>
        <v>0</v>
      </c>
      <c r="M2087" s="306">
        <f t="shared" si="547"/>
        <v>0</v>
      </c>
      <c r="N2087" s="305">
        <f>IF(G2087=0,0,(IF(OR(E2087=$AT$5,E2087=$AT$6),AC2087,HLOOKUP(YEAR(G2087)+(MONTH(G2087)/100),TC!$5:$37,DAY(G2087)+2,FALSE))))</f>
        <v>0</v>
      </c>
      <c r="O2087" s="307">
        <f t="shared" si="548"/>
        <v>0</v>
      </c>
      <c r="P2087" s="560">
        <f>IF(G2087=0,0,VLOOKUP(YEAR(G2087),INPC!$B$4:$P$30,MONTH(G2087)+2))</f>
        <v>0</v>
      </c>
      <c r="Q2087" s="560">
        <f>IF(X2087=0,0,IF(OR(E2087=$AT$10,E2087=$AT$9),VLOOKUP(YEAR(X2087),INPC!$B$4:$P$30,MONTH(X2087)+1),VLOOKUP(YEAR(X2087),INPC!$B$4:$P$30,MONTH(X2087)+2,0)))</f>
        <v>0</v>
      </c>
      <c r="R2087" s="309">
        <f t="shared" si="549"/>
        <v>0</v>
      </c>
      <c r="S2087" s="310">
        <f t="shared" si="550"/>
        <v>0</v>
      </c>
      <c r="T2087" s="555">
        <f t="shared" si="551"/>
        <v>0</v>
      </c>
      <c r="U2087" s="311"/>
      <c r="V2087" s="312"/>
      <c r="W2087" s="299"/>
      <c r="X2087" s="300"/>
      <c r="Y2087" s="299"/>
      <c r="Z2087" s="303"/>
      <c r="AA2087" s="305">
        <f>IF(Z2087=0,0,IF(Y2087="MXN",1/HLOOKUP(YEAR(X2087)+(MONTH(X2087)/100),TC!$5:$37,DAY(X2087)+2,FALSE),VLOOKUP(Y2087,Equivalencia!$1:$23,((MAX(Equivalencia!$3:$3)-YEAR(X2087))*14)+MONTH(X2087)+2,FALSE)))</f>
        <v>0</v>
      </c>
      <c r="AB2087" s="306">
        <f t="shared" si="552"/>
        <v>0</v>
      </c>
      <c r="AC2087" s="305">
        <f>+IF(X2087=0,0,HLOOKUP(YEAR(X2087)+(MONTH(X2087)/100),TC!$5:$37,DAY(X2087)+2,FALSE))</f>
        <v>0</v>
      </c>
      <c r="AD2087" s="307">
        <f t="shared" si="553"/>
        <v>0</v>
      </c>
      <c r="AE2087" s="314">
        <f t="shared" si="554"/>
        <v>0</v>
      </c>
      <c r="AF2087" s="315">
        <f t="shared" si="555"/>
        <v>0</v>
      </c>
      <c r="AG2087" s="316">
        <f t="shared" si="556"/>
        <v>0</v>
      </c>
      <c r="AH2087" s="314">
        <v>1</v>
      </c>
      <c r="AI2087" s="314">
        <f t="shared" si="557"/>
        <v>0</v>
      </c>
      <c r="AJ2087" s="314">
        <f t="shared" si="558"/>
        <v>0</v>
      </c>
      <c r="AK2087" s="317"/>
      <c r="AL2087" s="315">
        <f t="shared" si="559"/>
        <v>0</v>
      </c>
      <c r="AN2087" s="554">
        <f t="shared" si="560"/>
        <v>0</v>
      </c>
      <c r="AO2087" s="314"/>
      <c r="AP2087" s="318"/>
    </row>
    <row r="2088" spans="2:42">
      <c r="B2088" s="296"/>
      <c r="C2088" s="299"/>
      <c r="D2088" s="298"/>
      <c r="E2088" s="299"/>
      <c r="F2088" s="299"/>
      <c r="G2088" s="300"/>
      <c r="H2088" s="303"/>
      <c r="I2088" s="301">
        <f t="shared" si="544"/>
        <v>0</v>
      </c>
      <c r="J2088" s="302">
        <f t="shared" si="545"/>
        <v>0</v>
      </c>
      <c r="K2088" s="304">
        <f t="shared" si="546"/>
        <v>0</v>
      </c>
      <c r="L2088" s="305">
        <f>IF(H2088=0,0,IF(OR(E2088=$AT$5,E2088=$AT$6),AA2088,IF(F2088="MXN",1/HLOOKUP(YEAR(G2088)+(MONTH(G2088)/100),TC!$5:$37,DAY(G2088)+2,FALSE),VLOOKUP(F2088,Equivalencia!$5:$23,((MAX(Equivalencia!$3:$3)-YEAR(G2088))*14)+MONTH(G2088)+2,FALSE))))</f>
        <v>0</v>
      </c>
      <c r="M2088" s="306">
        <f t="shared" si="547"/>
        <v>0</v>
      </c>
      <c r="N2088" s="305">
        <f>IF(G2088=0,0,(IF(OR(E2088=$AT$5,E2088=$AT$6),AC2088,HLOOKUP(YEAR(G2088)+(MONTH(G2088)/100),TC!$5:$37,DAY(G2088)+2,FALSE))))</f>
        <v>0</v>
      </c>
      <c r="O2088" s="307">
        <f t="shared" si="548"/>
        <v>0</v>
      </c>
      <c r="P2088" s="560">
        <f>IF(G2088=0,0,VLOOKUP(YEAR(G2088),INPC!$B$4:$P$30,MONTH(G2088)+2))</f>
        <v>0</v>
      </c>
      <c r="Q2088" s="560">
        <f>IF(X2088=0,0,IF(OR(E2088=$AT$10,E2088=$AT$9),VLOOKUP(YEAR(X2088),INPC!$B$4:$P$30,MONTH(X2088)+1),VLOOKUP(YEAR(X2088),INPC!$B$4:$P$30,MONTH(X2088)+2,0)))</f>
        <v>0</v>
      </c>
      <c r="R2088" s="309">
        <f t="shared" si="549"/>
        <v>0</v>
      </c>
      <c r="S2088" s="310">
        <f t="shared" si="550"/>
        <v>0</v>
      </c>
      <c r="T2088" s="555">
        <f t="shared" si="551"/>
        <v>0</v>
      </c>
      <c r="U2088" s="311"/>
      <c r="V2088" s="312"/>
      <c r="W2088" s="299"/>
      <c r="X2088" s="300"/>
      <c r="Y2088" s="299"/>
      <c r="Z2088" s="303"/>
      <c r="AA2088" s="305">
        <f>IF(Z2088=0,0,IF(Y2088="MXN",1/HLOOKUP(YEAR(X2088)+(MONTH(X2088)/100),TC!$5:$37,DAY(X2088)+2,FALSE),VLOOKUP(Y2088,Equivalencia!$1:$23,((MAX(Equivalencia!$3:$3)-YEAR(X2088))*14)+MONTH(X2088)+2,FALSE)))</f>
        <v>0</v>
      </c>
      <c r="AB2088" s="306">
        <f t="shared" si="552"/>
        <v>0</v>
      </c>
      <c r="AC2088" s="305">
        <f>+IF(X2088=0,0,HLOOKUP(YEAR(X2088)+(MONTH(X2088)/100),TC!$5:$37,DAY(X2088)+2,FALSE))</f>
        <v>0</v>
      </c>
      <c r="AD2088" s="307">
        <f t="shared" si="553"/>
        <v>0</v>
      </c>
      <c r="AE2088" s="314">
        <f t="shared" si="554"/>
        <v>0</v>
      </c>
      <c r="AF2088" s="315">
        <f t="shared" si="555"/>
        <v>0</v>
      </c>
      <c r="AG2088" s="316">
        <f t="shared" si="556"/>
        <v>0</v>
      </c>
      <c r="AH2088" s="314">
        <v>1</v>
      </c>
      <c r="AI2088" s="314">
        <f t="shared" si="557"/>
        <v>0</v>
      </c>
      <c r="AJ2088" s="314">
        <f t="shared" si="558"/>
        <v>0</v>
      </c>
      <c r="AK2088" s="317"/>
      <c r="AL2088" s="315">
        <f t="shared" si="559"/>
        <v>0</v>
      </c>
      <c r="AN2088" s="554">
        <f t="shared" si="560"/>
        <v>0</v>
      </c>
      <c r="AO2088" s="314"/>
      <c r="AP2088" s="318"/>
    </row>
    <row r="2089" spans="2:42">
      <c r="B2089" s="296"/>
      <c r="C2089" s="299"/>
      <c r="D2089" s="298"/>
      <c r="E2089" s="299"/>
      <c r="F2089" s="299"/>
      <c r="G2089" s="300"/>
      <c r="H2089" s="303"/>
      <c r="I2089" s="301">
        <f t="shared" si="544"/>
        <v>0</v>
      </c>
      <c r="J2089" s="302">
        <f t="shared" si="545"/>
        <v>0</v>
      </c>
      <c r="K2089" s="304">
        <f t="shared" si="546"/>
        <v>0</v>
      </c>
      <c r="L2089" s="305">
        <f>IF(H2089=0,0,IF(OR(E2089=$AT$5,E2089=$AT$6),AA2089,IF(F2089="MXN",1/HLOOKUP(YEAR(G2089)+(MONTH(G2089)/100),TC!$5:$37,DAY(G2089)+2,FALSE),VLOOKUP(F2089,Equivalencia!$5:$23,((MAX(Equivalencia!$3:$3)-YEAR(G2089))*14)+MONTH(G2089)+2,FALSE))))</f>
        <v>0</v>
      </c>
      <c r="M2089" s="306">
        <f t="shared" si="547"/>
        <v>0</v>
      </c>
      <c r="N2089" s="305">
        <f>IF(G2089=0,0,(IF(OR(E2089=$AT$5,E2089=$AT$6),AC2089,HLOOKUP(YEAR(G2089)+(MONTH(G2089)/100),TC!$5:$37,DAY(G2089)+2,FALSE))))</f>
        <v>0</v>
      </c>
      <c r="O2089" s="307">
        <f t="shared" si="548"/>
        <v>0</v>
      </c>
      <c r="P2089" s="560">
        <f>IF(G2089=0,0,VLOOKUP(YEAR(G2089),INPC!$B$4:$P$30,MONTH(G2089)+2))</f>
        <v>0</v>
      </c>
      <c r="Q2089" s="560">
        <f>IF(X2089=0,0,IF(OR(E2089=$AT$10,E2089=$AT$9),VLOOKUP(YEAR(X2089),INPC!$B$4:$P$30,MONTH(X2089)+1),VLOOKUP(YEAR(X2089),INPC!$B$4:$P$30,MONTH(X2089)+2,0)))</f>
        <v>0</v>
      </c>
      <c r="R2089" s="309">
        <f t="shared" si="549"/>
        <v>0</v>
      </c>
      <c r="S2089" s="310">
        <f t="shared" si="550"/>
        <v>0</v>
      </c>
      <c r="T2089" s="555">
        <f t="shared" si="551"/>
        <v>0</v>
      </c>
      <c r="U2089" s="311"/>
      <c r="V2089" s="312"/>
      <c r="W2089" s="299"/>
      <c r="X2089" s="300"/>
      <c r="Y2089" s="299"/>
      <c r="Z2089" s="303"/>
      <c r="AA2089" s="305">
        <f>IF(Z2089=0,0,IF(Y2089="MXN",1/HLOOKUP(YEAR(X2089)+(MONTH(X2089)/100),TC!$5:$37,DAY(X2089)+2,FALSE),VLOOKUP(Y2089,Equivalencia!$1:$23,((MAX(Equivalencia!$3:$3)-YEAR(X2089))*14)+MONTH(X2089)+2,FALSE)))</f>
        <v>0</v>
      </c>
      <c r="AB2089" s="306">
        <f t="shared" si="552"/>
        <v>0</v>
      </c>
      <c r="AC2089" s="305">
        <f>+IF(X2089=0,0,HLOOKUP(YEAR(X2089)+(MONTH(X2089)/100),TC!$5:$37,DAY(X2089)+2,FALSE))</f>
        <v>0</v>
      </c>
      <c r="AD2089" s="307">
        <f t="shared" si="553"/>
        <v>0</v>
      </c>
      <c r="AE2089" s="314">
        <f t="shared" si="554"/>
        <v>0</v>
      </c>
      <c r="AF2089" s="315">
        <f t="shared" si="555"/>
        <v>0</v>
      </c>
      <c r="AG2089" s="316">
        <f t="shared" si="556"/>
        <v>0</v>
      </c>
      <c r="AH2089" s="314">
        <v>1</v>
      </c>
      <c r="AI2089" s="314">
        <f t="shared" si="557"/>
        <v>0</v>
      </c>
      <c r="AJ2089" s="314">
        <f t="shared" si="558"/>
        <v>0</v>
      </c>
      <c r="AK2089" s="317"/>
      <c r="AL2089" s="315">
        <f t="shared" si="559"/>
        <v>0</v>
      </c>
      <c r="AN2089" s="554">
        <f t="shared" si="560"/>
        <v>0</v>
      </c>
      <c r="AO2089" s="314"/>
      <c r="AP2089" s="318"/>
    </row>
    <row r="2090" spans="2:42">
      <c r="B2090" s="296"/>
      <c r="C2090" s="299"/>
      <c r="D2090" s="298"/>
      <c r="E2090" s="299"/>
      <c r="F2090" s="299"/>
      <c r="G2090" s="300"/>
      <c r="H2090" s="303"/>
      <c r="I2090" s="301">
        <f t="shared" si="544"/>
        <v>0</v>
      </c>
      <c r="J2090" s="302">
        <f t="shared" si="545"/>
        <v>0</v>
      </c>
      <c r="K2090" s="304">
        <f t="shared" si="546"/>
        <v>0</v>
      </c>
      <c r="L2090" s="305">
        <f>IF(H2090=0,0,IF(OR(E2090=$AT$5,E2090=$AT$6),AA2090,IF(F2090="MXN",1/HLOOKUP(YEAR(G2090)+(MONTH(G2090)/100),TC!$5:$37,DAY(G2090)+2,FALSE),VLOOKUP(F2090,Equivalencia!$5:$23,((MAX(Equivalencia!$3:$3)-YEAR(G2090))*14)+MONTH(G2090)+2,FALSE))))</f>
        <v>0</v>
      </c>
      <c r="M2090" s="306">
        <f t="shared" si="547"/>
        <v>0</v>
      </c>
      <c r="N2090" s="305">
        <f>IF(G2090=0,0,(IF(OR(E2090=$AT$5,E2090=$AT$6),AC2090,HLOOKUP(YEAR(G2090)+(MONTH(G2090)/100),TC!$5:$37,DAY(G2090)+2,FALSE))))</f>
        <v>0</v>
      </c>
      <c r="O2090" s="307">
        <f t="shared" si="548"/>
        <v>0</v>
      </c>
      <c r="P2090" s="560">
        <f>IF(G2090=0,0,VLOOKUP(YEAR(G2090),INPC!$B$4:$P$30,MONTH(G2090)+2))</f>
        <v>0</v>
      </c>
      <c r="Q2090" s="560">
        <f>IF(X2090=0,0,IF(OR(E2090=$AT$10,E2090=$AT$9),VLOOKUP(YEAR(X2090),INPC!$B$4:$P$30,MONTH(X2090)+1),VLOOKUP(YEAR(X2090),INPC!$B$4:$P$30,MONTH(X2090)+2,0)))</f>
        <v>0</v>
      </c>
      <c r="R2090" s="309">
        <f t="shared" si="549"/>
        <v>0</v>
      </c>
      <c r="S2090" s="310">
        <f t="shared" si="550"/>
        <v>0</v>
      </c>
      <c r="T2090" s="555">
        <f t="shared" si="551"/>
        <v>0</v>
      </c>
      <c r="U2090" s="311"/>
      <c r="V2090" s="312"/>
      <c r="W2090" s="299"/>
      <c r="X2090" s="300"/>
      <c r="Y2090" s="299"/>
      <c r="Z2090" s="303"/>
      <c r="AA2090" s="305">
        <f>IF(Z2090=0,0,IF(Y2090="MXN",1/HLOOKUP(YEAR(X2090)+(MONTH(X2090)/100),TC!$5:$37,DAY(X2090)+2,FALSE),VLOOKUP(Y2090,Equivalencia!$1:$23,((MAX(Equivalencia!$3:$3)-YEAR(X2090))*14)+MONTH(X2090)+2,FALSE)))</f>
        <v>0</v>
      </c>
      <c r="AB2090" s="306">
        <f t="shared" si="552"/>
        <v>0</v>
      </c>
      <c r="AC2090" s="305">
        <f>+IF(X2090=0,0,HLOOKUP(YEAR(X2090)+(MONTH(X2090)/100),TC!$5:$37,DAY(X2090)+2,FALSE))</f>
        <v>0</v>
      </c>
      <c r="AD2090" s="307">
        <f t="shared" si="553"/>
        <v>0</v>
      </c>
      <c r="AE2090" s="314">
        <f t="shared" si="554"/>
        <v>0</v>
      </c>
      <c r="AF2090" s="315">
        <f t="shared" si="555"/>
        <v>0</v>
      </c>
      <c r="AG2090" s="316">
        <f t="shared" si="556"/>
        <v>0</v>
      </c>
      <c r="AH2090" s="314">
        <v>1</v>
      </c>
      <c r="AI2090" s="314">
        <f t="shared" si="557"/>
        <v>0</v>
      </c>
      <c r="AJ2090" s="314">
        <f t="shared" si="558"/>
        <v>0</v>
      </c>
      <c r="AK2090" s="317"/>
      <c r="AL2090" s="315">
        <f t="shared" si="559"/>
        <v>0</v>
      </c>
      <c r="AN2090" s="554">
        <f t="shared" si="560"/>
        <v>0</v>
      </c>
      <c r="AO2090" s="314"/>
      <c r="AP2090" s="318"/>
    </row>
    <row r="2091" spans="2:42">
      <c r="B2091" s="296"/>
      <c r="C2091" s="299"/>
      <c r="D2091" s="298"/>
      <c r="E2091" s="299"/>
      <c r="F2091" s="299"/>
      <c r="G2091" s="300"/>
      <c r="H2091" s="303"/>
      <c r="I2091" s="301">
        <f t="shared" si="544"/>
        <v>0</v>
      </c>
      <c r="J2091" s="302">
        <f t="shared" si="545"/>
        <v>0</v>
      </c>
      <c r="K2091" s="304">
        <f t="shared" si="546"/>
        <v>0</v>
      </c>
      <c r="L2091" s="305">
        <f>IF(H2091=0,0,IF(OR(E2091=$AT$5,E2091=$AT$6),AA2091,IF(F2091="MXN",1/HLOOKUP(YEAR(G2091)+(MONTH(G2091)/100),TC!$5:$37,DAY(G2091)+2,FALSE),VLOOKUP(F2091,Equivalencia!$5:$23,((MAX(Equivalencia!$3:$3)-YEAR(G2091))*14)+MONTH(G2091)+2,FALSE))))</f>
        <v>0</v>
      </c>
      <c r="M2091" s="306">
        <f t="shared" si="547"/>
        <v>0</v>
      </c>
      <c r="N2091" s="305">
        <f>IF(G2091=0,0,(IF(OR(E2091=$AT$5,E2091=$AT$6),AC2091,HLOOKUP(YEAR(G2091)+(MONTH(G2091)/100),TC!$5:$37,DAY(G2091)+2,FALSE))))</f>
        <v>0</v>
      </c>
      <c r="O2091" s="307">
        <f t="shared" si="548"/>
        <v>0</v>
      </c>
      <c r="P2091" s="560">
        <f>IF(G2091=0,0,VLOOKUP(YEAR(G2091),INPC!$B$4:$P$30,MONTH(G2091)+2))</f>
        <v>0</v>
      </c>
      <c r="Q2091" s="560">
        <f>IF(X2091=0,0,IF(OR(E2091=$AT$10,E2091=$AT$9),VLOOKUP(YEAR(X2091),INPC!$B$4:$P$30,MONTH(X2091)+1),VLOOKUP(YEAR(X2091),INPC!$B$4:$P$30,MONTH(X2091)+2,0)))</f>
        <v>0</v>
      </c>
      <c r="R2091" s="309">
        <f t="shared" si="549"/>
        <v>0</v>
      </c>
      <c r="S2091" s="310">
        <f t="shared" si="550"/>
        <v>0</v>
      </c>
      <c r="T2091" s="555">
        <f t="shared" si="551"/>
        <v>0</v>
      </c>
      <c r="U2091" s="311"/>
      <c r="V2091" s="312"/>
      <c r="W2091" s="299"/>
      <c r="X2091" s="300"/>
      <c r="Y2091" s="299"/>
      <c r="Z2091" s="303"/>
      <c r="AA2091" s="305">
        <f>IF(Z2091=0,0,IF(Y2091="MXN",1/HLOOKUP(YEAR(X2091)+(MONTH(X2091)/100),TC!$5:$37,DAY(X2091)+2,FALSE),VLOOKUP(Y2091,Equivalencia!$1:$23,((MAX(Equivalencia!$3:$3)-YEAR(X2091))*14)+MONTH(X2091)+2,FALSE)))</f>
        <v>0</v>
      </c>
      <c r="AB2091" s="306">
        <f t="shared" si="552"/>
        <v>0</v>
      </c>
      <c r="AC2091" s="305">
        <f>+IF(X2091=0,0,HLOOKUP(YEAR(X2091)+(MONTH(X2091)/100),TC!$5:$37,DAY(X2091)+2,FALSE))</f>
        <v>0</v>
      </c>
      <c r="AD2091" s="307">
        <f t="shared" si="553"/>
        <v>0</v>
      </c>
      <c r="AE2091" s="314">
        <f t="shared" si="554"/>
        <v>0</v>
      </c>
      <c r="AF2091" s="315">
        <f t="shared" si="555"/>
        <v>0</v>
      </c>
      <c r="AG2091" s="316">
        <f t="shared" si="556"/>
        <v>0</v>
      </c>
      <c r="AH2091" s="314">
        <v>1</v>
      </c>
      <c r="AI2091" s="314">
        <f t="shared" si="557"/>
        <v>0</v>
      </c>
      <c r="AJ2091" s="314">
        <f t="shared" si="558"/>
        <v>0</v>
      </c>
      <c r="AK2091" s="317"/>
      <c r="AL2091" s="315">
        <f t="shared" si="559"/>
        <v>0</v>
      </c>
      <c r="AN2091" s="554">
        <f t="shared" si="560"/>
        <v>0</v>
      </c>
      <c r="AO2091" s="314"/>
      <c r="AP2091" s="318"/>
    </row>
    <row r="2092" spans="2:42">
      <c r="B2092" s="296"/>
      <c r="C2092" s="299"/>
      <c r="D2092" s="298"/>
      <c r="E2092" s="299"/>
      <c r="F2092" s="299"/>
      <c r="G2092" s="300"/>
      <c r="H2092" s="303"/>
      <c r="I2092" s="301">
        <f t="shared" si="544"/>
        <v>0</v>
      </c>
      <c r="J2092" s="302">
        <f t="shared" si="545"/>
        <v>0</v>
      </c>
      <c r="K2092" s="304">
        <f t="shared" si="546"/>
        <v>0</v>
      </c>
      <c r="L2092" s="305">
        <f>IF(H2092=0,0,IF(OR(E2092=$AT$5,E2092=$AT$6),AA2092,IF(F2092="MXN",1/HLOOKUP(YEAR(G2092)+(MONTH(G2092)/100),TC!$5:$37,DAY(G2092)+2,FALSE),VLOOKUP(F2092,Equivalencia!$5:$23,((MAX(Equivalencia!$3:$3)-YEAR(G2092))*14)+MONTH(G2092)+2,FALSE))))</f>
        <v>0</v>
      </c>
      <c r="M2092" s="306">
        <f t="shared" si="547"/>
        <v>0</v>
      </c>
      <c r="N2092" s="305">
        <f>IF(G2092=0,0,(IF(OR(E2092=$AT$5,E2092=$AT$6),AC2092,HLOOKUP(YEAR(G2092)+(MONTH(G2092)/100),TC!$5:$37,DAY(G2092)+2,FALSE))))</f>
        <v>0</v>
      </c>
      <c r="O2092" s="307">
        <f t="shared" si="548"/>
        <v>0</v>
      </c>
      <c r="P2092" s="560">
        <f>IF(G2092=0,0,VLOOKUP(YEAR(G2092),INPC!$B$4:$P$30,MONTH(G2092)+2))</f>
        <v>0</v>
      </c>
      <c r="Q2092" s="560">
        <f>IF(X2092=0,0,IF(OR(E2092=$AT$10,E2092=$AT$9),VLOOKUP(YEAR(X2092),INPC!$B$4:$P$30,MONTH(X2092)+1),VLOOKUP(YEAR(X2092),INPC!$B$4:$P$30,MONTH(X2092)+2,0)))</f>
        <v>0</v>
      </c>
      <c r="R2092" s="309">
        <f t="shared" si="549"/>
        <v>0</v>
      </c>
      <c r="S2092" s="310">
        <f t="shared" si="550"/>
        <v>0</v>
      </c>
      <c r="T2092" s="555">
        <f t="shared" si="551"/>
        <v>0</v>
      </c>
      <c r="U2092" s="311"/>
      <c r="V2092" s="312"/>
      <c r="W2092" s="299"/>
      <c r="X2092" s="300"/>
      <c r="Y2092" s="299"/>
      <c r="Z2092" s="303"/>
      <c r="AA2092" s="305">
        <f>IF(Z2092=0,0,IF(Y2092="MXN",1/HLOOKUP(YEAR(X2092)+(MONTH(X2092)/100),TC!$5:$37,DAY(X2092)+2,FALSE),VLOOKUP(Y2092,Equivalencia!$1:$23,((MAX(Equivalencia!$3:$3)-YEAR(X2092))*14)+MONTH(X2092)+2,FALSE)))</f>
        <v>0</v>
      </c>
      <c r="AB2092" s="306">
        <f t="shared" si="552"/>
        <v>0</v>
      </c>
      <c r="AC2092" s="305">
        <f>+IF(X2092=0,0,HLOOKUP(YEAR(X2092)+(MONTH(X2092)/100),TC!$5:$37,DAY(X2092)+2,FALSE))</f>
        <v>0</v>
      </c>
      <c r="AD2092" s="307">
        <f t="shared" si="553"/>
        <v>0</v>
      </c>
      <c r="AE2092" s="314">
        <f t="shared" si="554"/>
        <v>0</v>
      </c>
      <c r="AF2092" s="315">
        <f t="shared" si="555"/>
        <v>0</v>
      </c>
      <c r="AG2092" s="316">
        <f t="shared" si="556"/>
        <v>0</v>
      </c>
      <c r="AH2092" s="314">
        <v>1</v>
      </c>
      <c r="AI2092" s="314">
        <f t="shared" si="557"/>
        <v>0</v>
      </c>
      <c r="AJ2092" s="314">
        <f t="shared" si="558"/>
        <v>0</v>
      </c>
      <c r="AK2092" s="317"/>
      <c r="AL2092" s="315">
        <f t="shared" si="559"/>
        <v>0</v>
      </c>
      <c r="AN2092" s="554">
        <f t="shared" si="560"/>
        <v>0</v>
      </c>
      <c r="AO2092" s="314"/>
      <c r="AP2092" s="318"/>
    </row>
    <row r="2093" spans="2:42">
      <c r="B2093" s="296"/>
      <c r="C2093" s="299"/>
      <c r="D2093" s="298"/>
      <c r="E2093" s="299"/>
      <c r="F2093" s="299"/>
      <c r="G2093" s="300"/>
      <c r="H2093" s="303"/>
      <c r="I2093" s="301">
        <f t="shared" si="544"/>
        <v>0</v>
      </c>
      <c r="J2093" s="302">
        <f t="shared" si="545"/>
        <v>0</v>
      </c>
      <c r="K2093" s="304">
        <f t="shared" si="546"/>
        <v>0</v>
      </c>
      <c r="L2093" s="305">
        <f>IF(H2093=0,0,IF(OR(E2093=$AT$5,E2093=$AT$6),AA2093,IF(F2093="MXN",1/HLOOKUP(YEAR(G2093)+(MONTH(G2093)/100),TC!$5:$37,DAY(G2093)+2,FALSE),VLOOKUP(F2093,Equivalencia!$5:$23,((MAX(Equivalencia!$3:$3)-YEAR(G2093))*14)+MONTH(G2093)+2,FALSE))))</f>
        <v>0</v>
      </c>
      <c r="M2093" s="306">
        <f t="shared" si="547"/>
        <v>0</v>
      </c>
      <c r="N2093" s="305">
        <f>IF(G2093=0,0,(IF(OR(E2093=$AT$5,E2093=$AT$6),AC2093,HLOOKUP(YEAR(G2093)+(MONTH(G2093)/100),TC!$5:$37,DAY(G2093)+2,FALSE))))</f>
        <v>0</v>
      </c>
      <c r="O2093" s="307">
        <f t="shared" si="548"/>
        <v>0</v>
      </c>
      <c r="P2093" s="560">
        <f>IF(G2093=0,0,VLOOKUP(YEAR(G2093),INPC!$B$4:$P$30,MONTH(G2093)+2))</f>
        <v>0</v>
      </c>
      <c r="Q2093" s="560">
        <f>IF(X2093=0,0,IF(OR(E2093=$AT$10,E2093=$AT$9),VLOOKUP(YEAR(X2093),INPC!$B$4:$P$30,MONTH(X2093)+1),VLOOKUP(YEAR(X2093),INPC!$B$4:$P$30,MONTH(X2093)+2,0)))</f>
        <v>0</v>
      </c>
      <c r="R2093" s="309">
        <f t="shared" si="549"/>
        <v>0</v>
      </c>
      <c r="S2093" s="310">
        <f t="shared" si="550"/>
        <v>0</v>
      </c>
      <c r="T2093" s="555">
        <f t="shared" si="551"/>
        <v>0</v>
      </c>
      <c r="U2093" s="311"/>
      <c r="V2093" s="312"/>
      <c r="W2093" s="299"/>
      <c r="X2093" s="300"/>
      <c r="Y2093" s="299"/>
      <c r="Z2093" s="303"/>
      <c r="AA2093" s="305">
        <f>IF(Z2093=0,0,IF(Y2093="MXN",1/HLOOKUP(YEAR(X2093)+(MONTH(X2093)/100),TC!$5:$37,DAY(X2093)+2,FALSE),VLOOKUP(Y2093,Equivalencia!$1:$23,((MAX(Equivalencia!$3:$3)-YEAR(X2093))*14)+MONTH(X2093)+2,FALSE)))</f>
        <v>0</v>
      </c>
      <c r="AB2093" s="306">
        <f t="shared" si="552"/>
        <v>0</v>
      </c>
      <c r="AC2093" s="305">
        <f>+IF(X2093=0,0,HLOOKUP(YEAR(X2093)+(MONTH(X2093)/100),TC!$5:$37,DAY(X2093)+2,FALSE))</f>
        <v>0</v>
      </c>
      <c r="AD2093" s="307">
        <f t="shared" si="553"/>
        <v>0</v>
      </c>
      <c r="AE2093" s="314">
        <f t="shared" si="554"/>
        <v>0</v>
      </c>
      <c r="AF2093" s="315">
        <f t="shared" si="555"/>
        <v>0</v>
      </c>
      <c r="AG2093" s="316">
        <f t="shared" si="556"/>
        <v>0</v>
      </c>
      <c r="AH2093" s="314">
        <v>1</v>
      </c>
      <c r="AI2093" s="314">
        <f t="shared" si="557"/>
        <v>0</v>
      </c>
      <c r="AJ2093" s="314">
        <f t="shared" si="558"/>
        <v>0</v>
      </c>
      <c r="AK2093" s="317"/>
      <c r="AL2093" s="315">
        <f t="shared" si="559"/>
        <v>0</v>
      </c>
      <c r="AN2093" s="554">
        <f t="shared" si="560"/>
        <v>0</v>
      </c>
      <c r="AO2093" s="314"/>
      <c r="AP2093" s="318"/>
    </row>
    <row r="2094" spans="2:42">
      <c r="B2094" s="296"/>
      <c r="C2094" s="299"/>
      <c r="D2094" s="298"/>
      <c r="E2094" s="299"/>
      <c r="F2094" s="299"/>
      <c r="G2094" s="300"/>
      <c r="H2094" s="303"/>
      <c r="I2094" s="301">
        <f t="shared" si="544"/>
        <v>0</v>
      </c>
      <c r="J2094" s="302">
        <f t="shared" si="545"/>
        <v>0</v>
      </c>
      <c r="K2094" s="304">
        <f t="shared" si="546"/>
        <v>0</v>
      </c>
      <c r="L2094" s="305">
        <f>IF(H2094=0,0,IF(OR(E2094=$AT$5,E2094=$AT$6),AA2094,IF(F2094="MXN",1/HLOOKUP(YEAR(G2094)+(MONTH(G2094)/100),TC!$5:$37,DAY(G2094)+2,FALSE),VLOOKUP(F2094,Equivalencia!$5:$23,((MAX(Equivalencia!$3:$3)-YEAR(G2094))*14)+MONTH(G2094)+2,FALSE))))</f>
        <v>0</v>
      </c>
      <c r="M2094" s="306">
        <f t="shared" si="547"/>
        <v>0</v>
      </c>
      <c r="N2094" s="305">
        <f>IF(G2094=0,0,(IF(OR(E2094=$AT$5,E2094=$AT$6),AC2094,HLOOKUP(YEAR(G2094)+(MONTH(G2094)/100),TC!$5:$37,DAY(G2094)+2,FALSE))))</f>
        <v>0</v>
      </c>
      <c r="O2094" s="307">
        <f t="shared" si="548"/>
        <v>0</v>
      </c>
      <c r="P2094" s="560">
        <f>IF(G2094=0,0,VLOOKUP(YEAR(G2094),INPC!$B$4:$P$30,MONTH(G2094)+2))</f>
        <v>0</v>
      </c>
      <c r="Q2094" s="560">
        <f>IF(X2094=0,0,IF(OR(E2094=$AT$10,E2094=$AT$9),VLOOKUP(YEAR(X2094),INPC!$B$4:$P$30,MONTH(X2094)+1),VLOOKUP(YEAR(X2094),INPC!$B$4:$P$30,MONTH(X2094)+2,0)))</f>
        <v>0</v>
      </c>
      <c r="R2094" s="309">
        <f t="shared" si="549"/>
        <v>0</v>
      </c>
      <c r="S2094" s="310">
        <f t="shared" si="550"/>
        <v>0</v>
      </c>
      <c r="T2094" s="555">
        <f t="shared" si="551"/>
        <v>0</v>
      </c>
      <c r="U2094" s="311"/>
      <c r="V2094" s="312"/>
      <c r="W2094" s="299"/>
      <c r="X2094" s="300"/>
      <c r="Y2094" s="299"/>
      <c r="Z2094" s="303"/>
      <c r="AA2094" s="305">
        <f>IF(Z2094=0,0,IF(Y2094="MXN",1/HLOOKUP(YEAR(X2094)+(MONTH(X2094)/100),TC!$5:$37,DAY(X2094)+2,FALSE),VLOOKUP(Y2094,Equivalencia!$1:$23,((MAX(Equivalencia!$3:$3)-YEAR(X2094))*14)+MONTH(X2094)+2,FALSE)))</f>
        <v>0</v>
      </c>
      <c r="AB2094" s="306">
        <f t="shared" si="552"/>
        <v>0</v>
      </c>
      <c r="AC2094" s="305">
        <f>+IF(X2094=0,0,HLOOKUP(YEAR(X2094)+(MONTH(X2094)/100),TC!$5:$37,DAY(X2094)+2,FALSE))</f>
        <v>0</v>
      </c>
      <c r="AD2094" s="307">
        <f t="shared" si="553"/>
        <v>0</v>
      </c>
      <c r="AE2094" s="314">
        <f t="shared" si="554"/>
        <v>0</v>
      </c>
      <c r="AF2094" s="315">
        <f t="shared" si="555"/>
        <v>0</v>
      </c>
      <c r="AG2094" s="316">
        <f t="shared" si="556"/>
        <v>0</v>
      </c>
      <c r="AH2094" s="314">
        <v>1</v>
      </c>
      <c r="AI2094" s="314">
        <f t="shared" si="557"/>
        <v>0</v>
      </c>
      <c r="AJ2094" s="314">
        <f t="shared" si="558"/>
        <v>0</v>
      </c>
      <c r="AK2094" s="317"/>
      <c r="AL2094" s="315">
        <f t="shared" si="559"/>
        <v>0</v>
      </c>
      <c r="AN2094" s="554">
        <f t="shared" si="560"/>
        <v>0</v>
      </c>
      <c r="AO2094" s="314"/>
      <c r="AP2094" s="318"/>
    </row>
    <row r="2095" spans="2:42">
      <c r="B2095" s="296"/>
      <c r="C2095" s="299"/>
      <c r="D2095" s="298"/>
      <c r="E2095" s="299"/>
      <c r="F2095" s="299"/>
      <c r="G2095" s="300"/>
      <c r="H2095" s="303"/>
      <c r="I2095" s="301">
        <f t="shared" si="544"/>
        <v>0</v>
      </c>
      <c r="J2095" s="302">
        <f t="shared" si="545"/>
        <v>0</v>
      </c>
      <c r="K2095" s="304">
        <f t="shared" si="546"/>
        <v>0</v>
      </c>
      <c r="L2095" s="305">
        <f>IF(H2095=0,0,IF(OR(E2095=$AT$5,E2095=$AT$6),AA2095,IF(F2095="MXN",1/HLOOKUP(YEAR(G2095)+(MONTH(G2095)/100),TC!$5:$37,DAY(G2095)+2,FALSE),VLOOKUP(F2095,Equivalencia!$5:$23,((MAX(Equivalencia!$3:$3)-YEAR(G2095))*14)+MONTH(G2095)+2,FALSE))))</f>
        <v>0</v>
      </c>
      <c r="M2095" s="306">
        <f t="shared" si="547"/>
        <v>0</v>
      </c>
      <c r="N2095" s="305">
        <f>IF(G2095=0,0,(IF(OR(E2095=$AT$5,E2095=$AT$6),AC2095,HLOOKUP(YEAR(G2095)+(MONTH(G2095)/100),TC!$5:$37,DAY(G2095)+2,FALSE))))</f>
        <v>0</v>
      </c>
      <c r="O2095" s="307">
        <f t="shared" si="548"/>
        <v>0</v>
      </c>
      <c r="P2095" s="560">
        <f>IF(G2095=0,0,VLOOKUP(YEAR(G2095),INPC!$B$4:$P$30,MONTH(G2095)+2))</f>
        <v>0</v>
      </c>
      <c r="Q2095" s="560">
        <f>IF(X2095=0,0,IF(OR(E2095=$AT$10,E2095=$AT$9),VLOOKUP(YEAR(X2095),INPC!$B$4:$P$30,MONTH(X2095)+1),VLOOKUP(YEAR(X2095),INPC!$B$4:$P$30,MONTH(X2095)+2,0)))</f>
        <v>0</v>
      </c>
      <c r="R2095" s="309">
        <f t="shared" si="549"/>
        <v>0</v>
      </c>
      <c r="S2095" s="310">
        <f t="shared" si="550"/>
        <v>0</v>
      </c>
      <c r="T2095" s="555">
        <f t="shared" si="551"/>
        <v>0</v>
      </c>
      <c r="U2095" s="311"/>
      <c r="V2095" s="312"/>
      <c r="W2095" s="299"/>
      <c r="X2095" s="300"/>
      <c r="Y2095" s="299"/>
      <c r="Z2095" s="303"/>
      <c r="AA2095" s="305">
        <f>IF(Z2095=0,0,IF(Y2095="MXN",1/HLOOKUP(YEAR(X2095)+(MONTH(X2095)/100),TC!$5:$37,DAY(X2095)+2,FALSE),VLOOKUP(Y2095,Equivalencia!$1:$23,((MAX(Equivalencia!$3:$3)-YEAR(X2095))*14)+MONTH(X2095)+2,FALSE)))</f>
        <v>0</v>
      </c>
      <c r="AB2095" s="306">
        <f t="shared" si="552"/>
        <v>0</v>
      </c>
      <c r="AC2095" s="305">
        <f>+IF(X2095=0,0,HLOOKUP(YEAR(X2095)+(MONTH(X2095)/100),TC!$5:$37,DAY(X2095)+2,FALSE))</f>
        <v>0</v>
      </c>
      <c r="AD2095" s="307">
        <f t="shared" si="553"/>
        <v>0</v>
      </c>
      <c r="AE2095" s="314">
        <f t="shared" si="554"/>
        <v>0</v>
      </c>
      <c r="AF2095" s="315">
        <f t="shared" si="555"/>
        <v>0</v>
      </c>
      <c r="AG2095" s="316">
        <f t="shared" si="556"/>
        <v>0</v>
      </c>
      <c r="AH2095" s="314">
        <v>1</v>
      </c>
      <c r="AI2095" s="314">
        <f t="shared" si="557"/>
        <v>0</v>
      </c>
      <c r="AJ2095" s="314">
        <f t="shared" si="558"/>
        <v>0</v>
      </c>
      <c r="AK2095" s="317"/>
      <c r="AL2095" s="315">
        <f t="shared" si="559"/>
        <v>0</v>
      </c>
      <c r="AN2095" s="554">
        <f t="shared" si="560"/>
        <v>0</v>
      </c>
      <c r="AO2095" s="314"/>
      <c r="AP2095" s="318"/>
    </row>
    <row r="2096" spans="2:42">
      <c r="B2096" s="296"/>
      <c r="C2096" s="299"/>
      <c r="D2096" s="298"/>
      <c r="E2096" s="299"/>
      <c r="F2096" s="299"/>
      <c r="G2096" s="300"/>
      <c r="H2096" s="303"/>
      <c r="I2096" s="301">
        <f t="shared" si="544"/>
        <v>0</v>
      </c>
      <c r="J2096" s="302">
        <f t="shared" si="545"/>
        <v>0</v>
      </c>
      <c r="K2096" s="304">
        <f t="shared" si="546"/>
        <v>0</v>
      </c>
      <c r="L2096" s="305">
        <f>IF(H2096=0,0,IF(OR(E2096=$AT$5,E2096=$AT$6),AA2096,IF(F2096="MXN",1/HLOOKUP(YEAR(G2096)+(MONTH(G2096)/100),TC!$5:$37,DAY(G2096)+2,FALSE),VLOOKUP(F2096,Equivalencia!$5:$23,((MAX(Equivalencia!$3:$3)-YEAR(G2096))*14)+MONTH(G2096)+2,FALSE))))</f>
        <v>0</v>
      </c>
      <c r="M2096" s="306">
        <f t="shared" si="547"/>
        <v>0</v>
      </c>
      <c r="N2096" s="305">
        <f>IF(G2096=0,0,(IF(OR(E2096=$AT$5,E2096=$AT$6),AC2096,HLOOKUP(YEAR(G2096)+(MONTH(G2096)/100),TC!$5:$37,DAY(G2096)+2,FALSE))))</f>
        <v>0</v>
      </c>
      <c r="O2096" s="307">
        <f t="shared" si="548"/>
        <v>0</v>
      </c>
      <c r="P2096" s="560">
        <f>IF(G2096=0,0,VLOOKUP(YEAR(G2096),INPC!$B$4:$P$30,MONTH(G2096)+2))</f>
        <v>0</v>
      </c>
      <c r="Q2096" s="560">
        <f>IF(X2096=0,0,IF(OR(E2096=$AT$10,E2096=$AT$9),VLOOKUP(YEAR(X2096),INPC!$B$4:$P$30,MONTH(X2096)+1),VLOOKUP(YEAR(X2096),INPC!$B$4:$P$30,MONTH(X2096)+2,0)))</f>
        <v>0</v>
      </c>
      <c r="R2096" s="309">
        <f t="shared" si="549"/>
        <v>0</v>
      </c>
      <c r="S2096" s="310">
        <f t="shared" si="550"/>
        <v>0</v>
      </c>
      <c r="T2096" s="555">
        <f t="shared" si="551"/>
        <v>0</v>
      </c>
      <c r="U2096" s="311"/>
      <c r="V2096" s="312"/>
      <c r="W2096" s="299"/>
      <c r="X2096" s="300"/>
      <c r="Y2096" s="299"/>
      <c r="Z2096" s="303"/>
      <c r="AA2096" s="305">
        <f>IF(Z2096=0,0,IF(Y2096="MXN",1/HLOOKUP(YEAR(X2096)+(MONTH(X2096)/100),TC!$5:$37,DAY(X2096)+2,FALSE),VLOOKUP(Y2096,Equivalencia!$1:$23,((MAX(Equivalencia!$3:$3)-YEAR(X2096))*14)+MONTH(X2096)+2,FALSE)))</f>
        <v>0</v>
      </c>
      <c r="AB2096" s="306">
        <f t="shared" si="552"/>
        <v>0</v>
      </c>
      <c r="AC2096" s="305">
        <f>+IF(X2096=0,0,HLOOKUP(YEAR(X2096)+(MONTH(X2096)/100),TC!$5:$37,DAY(X2096)+2,FALSE))</f>
        <v>0</v>
      </c>
      <c r="AD2096" s="307">
        <f t="shared" si="553"/>
        <v>0</v>
      </c>
      <c r="AE2096" s="314">
        <f t="shared" si="554"/>
        <v>0</v>
      </c>
      <c r="AF2096" s="315">
        <f t="shared" si="555"/>
        <v>0</v>
      </c>
      <c r="AG2096" s="316">
        <f t="shared" si="556"/>
        <v>0</v>
      </c>
      <c r="AH2096" s="314">
        <v>1</v>
      </c>
      <c r="AI2096" s="314">
        <f t="shared" si="557"/>
        <v>0</v>
      </c>
      <c r="AJ2096" s="314">
        <f t="shared" si="558"/>
        <v>0</v>
      </c>
      <c r="AK2096" s="317"/>
      <c r="AL2096" s="315">
        <f t="shared" si="559"/>
        <v>0</v>
      </c>
      <c r="AN2096" s="554">
        <f t="shared" si="560"/>
        <v>0</v>
      </c>
      <c r="AO2096" s="314"/>
      <c r="AP2096" s="318"/>
    </row>
    <row r="2097" spans="2:42">
      <c r="B2097" s="296"/>
      <c r="C2097" s="299"/>
      <c r="D2097" s="298"/>
      <c r="E2097" s="299"/>
      <c r="F2097" s="299"/>
      <c r="G2097" s="300"/>
      <c r="H2097" s="303"/>
      <c r="I2097" s="301">
        <f t="shared" si="544"/>
        <v>0</v>
      </c>
      <c r="J2097" s="302">
        <f t="shared" si="545"/>
        <v>0</v>
      </c>
      <c r="K2097" s="304">
        <f t="shared" si="546"/>
        <v>0</v>
      </c>
      <c r="L2097" s="305">
        <f>IF(H2097=0,0,IF(OR(E2097=$AT$5,E2097=$AT$6),AA2097,IF(F2097="MXN",1/HLOOKUP(YEAR(G2097)+(MONTH(G2097)/100),TC!$5:$37,DAY(G2097)+2,FALSE),VLOOKUP(F2097,Equivalencia!$5:$23,((MAX(Equivalencia!$3:$3)-YEAR(G2097))*14)+MONTH(G2097)+2,FALSE))))</f>
        <v>0</v>
      </c>
      <c r="M2097" s="306">
        <f t="shared" si="547"/>
        <v>0</v>
      </c>
      <c r="N2097" s="305">
        <f>IF(G2097=0,0,(IF(OR(E2097=$AT$5,E2097=$AT$6),AC2097,HLOOKUP(YEAR(G2097)+(MONTH(G2097)/100),TC!$5:$37,DAY(G2097)+2,FALSE))))</f>
        <v>0</v>
      </c>
      <c r="O2097" s="307">
        <f t="shared" si="548"/>
        <v>0</v>
      </c>
      <c r="P2097" s="560">
        <f>IF(G2097=0,0,VLOOKUP(YEAR(G2097),INPC!$B$4:$P$30,MONTH(G2097)+2))</f>
        <v>0</v>
      </c>
      <c r="Q2097" s="560">
        <f>IF(X2097=0,0,IF(OR(E2097=$AT$10,E2097=$AT$9),VLOOKUP(YEAR(X2097),INPC!$B$4:$P$30,MONTH(X2097)+1),VLOOKUP(YEAR(X2097),INPC!$B$4:$P$30,MONTH(X2097)+2,0)))</f>
        <v>0</v>
      </c>
      <c r="R2097" s="309">
        <f t="shared" si="549"/>
        <v>0</v>
      </c>
      <c r="S2097" s="310">
        <f t="shared" si="550"/>
        <v>0</v>
      </c>
      <c r="T2097" s="555">
        <f t="shared" si="551"/>
        <v>0</v>
      </c>
      <c r="U2097" s="311"/>
      <c r="V2097" s="312"/>
      <c r="W2097" s="299"/>
      <c r="X2097" s="300"/>
      <c r="Y2097" s="299"/>
      <c r="Z2097" s="303"/>
      <c r="AA2097" s="305">
        <f>IF(Z2097=0,0,IF(Y2097="MXN",1/HLOOKUP(YEAR(X2097)+(MONTH(X2097)/100),TC!$5:$37,DAY(X2097)+2,FALSE),VLOOKUP(Y2097,Equivalencia!$1:$23,((MAX(Equivalencia!$3:$3)-YEAR(X2097))*14)+MONTH(X2097)+2,FALSE)))</f>
        <v>0</v>
      </c>
      <c r="AB2097" s="306">
        <f t="shared" si="552"/>
        <v>0</v>
      </c>
      <c r="AC2097" s="305">
        <f>+IF(X2097=0,0,HLOOKUP(YEAR(X2097)+(MONTH(X2097)/100),TC!$5:$37,DAY(X2097)+2,FALSE))</f>
        <v>0</v>
      </c>
      <c r="AD2097" s="307">
        <f t="shared" si="553"/>
        <v>0</v>
      </c>
      <c r="AE2097" s="314">
        <f t="shared" si="554"/>
        <v>0</v>
      </c>
      <c r="AF2097" s="315">
        <f t="shared" si="555"/>
        <v>0</v>
      </c>
      <c r="AG2097" s="316">
        <f t="shared" si="556"/>
        <v>0</v>
      </c>
      <c r="AH2097" s="314">
        <v>1</v>
      </c>
      <c r="AI2097" s="314">
        <f t="shared" si="557"/>
        <v>0</v>
      </c>
      <c r="AJ2097" s="314">
        <f t="shared" si="558"/>
        <v>0</v>
      </c>
      <c r="AK2097" s="317"/>
      <c r="AL2097" s="315">
        <f t="shared" si="559"/>
        <v>0</v>
      </c>
      <c r="AN2097" s="554">
        <f t="shared" si="560"/>
        <v>0</v>
      </c>
      <c r="AO2097" s="314"/>
      <c r="AP2097" s="318"/>
    </row>
    <row r="2098" spans="2:42">
      <c r="B2098" s="296"/>
      <c r="C2098" s="299"/>
      <c r="D2098" s="298"/>
      <c r="E2098" s="299"/>
      <c r="F2098" s="299"/>
      <c r="G2098" s="300"/>
      <c r="H2098" s="303"/>
      <c r="I2098" s="301">
        <f t="shared" si="544"/>
        <v>0</v>
      </c>
      <c r="J2098" s="302">
        <f t="shared" si="545"/>
        <v>0</v>
      </c>
      <c r="K2098" s="304">
        <f t="shared" si="546"/>
        <v>0</v>
      </c>
      <c r="L2098" s="305">
        <f>IF(H2098=0,0,IF(OR(E2098=$AT$5,E2098=$AT$6),AA2098,IF(F2098="MXN",1/HLOOKUP(YEAR(G2098)+(MONTH(G2098)/100),TC!$5:$37,DAY(G2098)+2,FALSE),VLOOKUP(F2098,Equivalencia!$5:$23,((MAX(Equivalencia!$3:$3)-YEAR(G2098))*14)+MONTH(G2098)+2,FALSE))))</f>
        <v>0</v>
      </c>
      <c r="M2098" s="306">
        <f t="shared" si="547"/>
        <v>0</v>
      </c>
      <c r="N2098" s="305">
        <f>IF(G2098=0,0,(IF(OR(E2098=$AT$5,E2098=$AT$6),AC2098,HLOOKUP(YEAR(G2098)+(MONTH(G2098)/100),TC!$5:$37,DAY(G2098)+2,FALSE))))</f>
        <v>0</v>
      </c>
      <c r="O2098" s="307">
        <f t="shared" si="548"/>
        <v>0</v>
      </c>
      <c r="P2098" s="560">
        <f>IF(G2098=0,0,VLOOKUP(YEAR(G2098),INPC!$B$4:$P$30,MONTH(G2098)+2))</f>
        <v>0</v>
      </c>
      <c r="Q2098" s="560">
        <f>IF(X2098=0,0,IF(OR(E2098=$AT$10,E2098=$AT$9),VLOOKUP(YEAR(X2098),INPC!$B$4:$P$30,MONTH(X2098)+1),VLOOKUP(YEAR(X2098),INPC!$B$4:$P$30,MONTH(X2098)+2,0)))</f>
        <v>0</v>
      </c>
      <c r="R2098" s="309">
        <f t="shared" si="549"/>
        <v>0</v>
      </c>
      <c r="S2098" s="310">
        <f t="shared" si="550"/>
        <v>0</v>
      </c>
      <c r="T2098" s="555">
        <f t="shared" si="551"/>
        <v>0</v>
      </c>
      <c r="U2098" s="311"/>
      <c r="V2098" s="312"/>
      <c r="W2098" s="299"/>
      <c r="X2098" s="300"/>
      <c r="Y2098" s="299"/>
      <c r="Z2098" s="303"/>
      <c r="AA2098" s="305">
        <f>IF(Z2098=0,0,IF(Y2098="MXN",1/HLOOKUP(YEAR(X2098)+(MONTH(X2098)/100),TC!$5:$37,DAY(X2098)+2,FALSE),VLOOKUP(Y2098,Equivalencia!$1:$23,((MAX(Equivalencia!$3:$3)-YEAR(X2098))*14)+MONTH(X2098)+2,FALSE)))</f>
        <v>0</v>
      </c>
      <c r="AB2098" s="306">
        <f t="shared" si="552"/>
        <v>0</v>
      </c>
      <c r="AC2098" s="305">
        <f>+IF(X2098=0,0,HLOOKUP(YEAR(X2098)+(MONTH(X2098)/100),TC!$5:$37,DAY(X2098)+2,FALSE))</f>
        <v>0</v>
      </c>
      <c r="AD2098" s="307">
        <f t="shared" si="553"/>
        <v>0</v>
      </c>
      <c r="AE2098" s="314">
        <f t="shared" si="554"/>
        <v>0</v>
      </c>
      <c r="AF2098" s="315">
        <f t="shared" si="555"/>
        <v>0</v>
      </c>
      <c r="AG2098" s="316">
        <f t="shared" si="556"/>
        <v>0</v>
      </c>
      <c r="AH2098" s="314">
        <v>1</v>
      </c>
      <c r="AI2098" s="314">
        <f t="shared" si="557"/>
        <v>0</v>
      </c>
      <c r="AJ2098" s="314">
        <f t="shared" si="558"/>
        <v>0</v>
      </c>
      <c r="AK2098" s="317"/>
      <c r="AL2098" s="315">
        <f t="shared" si="559"/>
        <v>0</v>
      </c>
      <c r="AN2098" s="554">
        <f t="shared" si="560"/>
        <v>0</v>
      </c>
      <c r="AO2098" s="314"/>
      <c r="AP2098" s="318"/>
    </row>
    <row r="2099" spans="2:42">
      <c r="B2099" s="296"/>
      <c r="C2099" s="299"/>
      <c r="D2099" s="298"/>
      <c r="E2099" s="299"/>
      <c r="F2099" s="299"/>
      <c r="G2099" s="300"/>
      <c r="H2099" s="303"/>
      <c r="I2099" s="301">
        <f t="shared" si="544"/>
        <v>0</v>
      </c>
      <c r="J2099" s="302">
        <f t="shared" si="545"/>
        <v>0</v>
      </c>
      <c r="K2099" s="304">
        <f t="shared" si="546"/>
        <v>0</v>
      </c>
      <c r="L2099" s="305">
        <f>IF(H2099=0,0,IF(OR(E2099=$AT$5,E2099=$AT$6),AA2099,IF(F2099="MXN",1/HLOOKUP(YEAR(G2099)+(MONTH(G2099)/100),TC!$5:$37,DAY(G2099)+2,FALSE),VLOOKUP(F2099,Equivalencia!$5:$23,((MAX(Equivalencia!$3:$3)-YEAR(G2099))*14)+MONTH(G2099)+2,FALSE))))</f>
        <v>0</v>
      </c>
      <c r="M2099" s="306">
        <f t="shared" si="547"/>
        <v>0</v>
      </c>
      <c r="N2099" s="305">
        <f>IF(G2099=0,0,(IF(OR(E2099=$AT$5,E2099=$AT$6),AC2099,HLOOKUP(YEAR(G2099)+(MONTH(G2099)/100),TC!$5:$37,DAY(G2099)+2,FALSE))))</f>
        <v>0</v>
      </c>
      <c r="O2099" s="307">
        <f t="shared" si="548"/>
        <v>0</v>
      </c>
      <c r="P2099" s="560">
        <f>IF(G2099=0,0,VLOOKUP(YEAR(G2099),INPC!$B$4:$P$30,MONTH(G2099)+2))</f>
        <v>0</v>
      </c>
      <c r="Q2099" s="560">
        <f>IF(X2099=0,0,IF(OR(E2099=$AT$10,E2099=$AT$9),VLOOKUP(YEAR(X2099),INPC!$B$4:$P$30,MONTH(X2099)+1),VLOOKUP(YEAR(X2099),INPC!$B$4:$P$30,MONTH(X2099)+2,0)))</f>
        <v>0</v>
      </c>
      <c r="R2099" s="309">
        <f t="shared" si="549"/>
        <v>0</v>
      </c>
      <c r="S2099" s="310">
        <f t="shared" si="550"/>
        <v>0</v>
      </c>
      <c r="T2099" s="555">
        <f t="shared" si="551"/>
        <v>0</v>
      </c>
      <c r="U2099" s="311"/>
      <c r="V2099" s="312"/>
      <c r="W2099" s="299"/>
      <c r="X2099" s="300"/>
      <c r="Y2099" s="299"/>
      <c r="Z2099" s="303"/>
      <c r="AA2099" s="305">
        <f>IF(Z2099=0,0,IF(Y2099="MXN",1/HLOOKUP(YEAR(X2099)+(MONTH(X2099)/100),TC!$5:$37,DAY(X2099)+2,FALSE),VLOOKUP(Y2099,Equivalencia!$1:$23,((MAX(Equivalencia!$3:$3)-YEAR(X2099))*14)+MONTH(X2099)+2,FALSE)))</f>
        <v>0</v>
      </c>
      <c r="AB2099" s="306">
        <f t="shared" si="552"/>
        <v>0</v>
      </c>
      <c r="AC2099" s="305">
        <f>+IF(X2099=0,0,HLOOKUP(YEAR(X2099)+(MONTH(X2099)/100),TC!$5:$37,DAY(X2099)+2,FALSE))</f>
        <v>0</v>
      </c>
      <c r="AD2099" s="307">
        <f t="shared" si="553"/>
        <v>0</v>
      </c>
      <c r="AE2099" s="314">
        <f t="shared" si="554"/>
        <v>0</v>
      </c>
      <c r="AF2099" s="315">
        <f t="shared" si="555"/>
        <v>0</v>
      </c>
      <c r="AG2099" s="316">
        <f t="shared" si="556"/>
        <v>0</v>
      </c>
      <c r="AH2099" s="314">
        <v>1</v>
      </c>
      <c r="AI2099" s="314">
        <f t="shared" si="557"/>
        <v>0</v>
      </c>
      <c r="AJ2099" s="314">
        <f t="shared" si="558"/>
        <v>0</v>
      </c>
      <c r="AK2099" s="317"/>
      <c r="AL2099" s="315">
        <f t="shared" si="559"/>
        <v>0</v>
      </c>
      <c r="AN2099" s="554">
        <f t="shared" si="560"/>
        <v>0</v>
      </c>
      <c r="AO2099" s="314"/>
      <c r="AP2099" s="318"/>
    </row>
    <row r="2100" spans="2:42">
      <c r="B2100" s="296"/>
      <c r="C2100" s="299"/>
      <c r="D2100" s="298"/>
      <c r="E2100" s="299"/>
      <c r="F2100" s="299"/>
      <c r="G2100" s="300"/>
      <c r="H2100" s="303"/>
      <c r="I2100" s="301">
        <f t="shared" si="544"/>
        <v>0</v>
      </c>
      <c r="J2100" s="302">
        <f t="shared" si="545"/>
        <v>0</v>
      </c>
      <c r="K2100" s="304">
        <f t="shared" si="546"/>
        <v>0</v>
      </c>
      <c r="L2100" s="305">
        <f>IF(H2100=0,0,IF(OR(E2100=$AT$5,E2100=$AT$6),AA2100,IF(F2100="MXN",1/HLOOKUP(YEAR(G2100)+(MONTH(G2100)/100),TC!$5:$37,DAY(G2100)+2,FALSE),VLOOKUP(F2100,Equivalencia!$5:$23,((MAX(Equivalencia!$3:$3)-YEAR(G2100))*14)+MONTH(G2100)+2,FALSE))))</f>
        <v>0</v>
      </c>
      <c r="M2100" s="306">
        <f t="shared" si="547"/>
        <v>0</v>
      </c>
      <c r="N2100" s="305">
        <f>IF(G2100=0,0,(IF(OR(E2100=$AT$5,E2100=$AT$6),AC2100,HLOOKUP(YEAR(G2100)+(MONTH(G2100)/100),TC!$5:$37,DAY(G2100)+2,FALSE))))</f>
        <v>0</v>
      </c>
      <c r="O2100" s="307">
        <f t="shared" si="548"/>
        <v>0</v>
      </c>
      <c r="P2100" s="560">
        <f>IF(G2100=0,0,VLOOKUP(YEAR(G2100),INPC!$B$4:$P$30,MONTH(G2100)+2))</f>
        <v>0</v>
      </c>
      <c r="Q2100" s="560">
        <f>IF(X2100=0,0,IF(OR(E2100=$AT$10,E2100=$AT$9),VLOOKUP(YEAR(X2100),INPC!$B$4:$P$30,MONTH(X2100)+1),VLOOKUP(YEAR(X2100),INPC!$B$4:$P$30,MONTH(X2100)+2,0)))</f>
        <v>0</v>
      </c>
      <c r="R2100" s="309">
        <f t="shared" si="549"/>
        <v>0</v>
      </c>
      <c r="S2100" s="310">
        <f t="shared" si="550"/>
        <v>0</v>
      </c>
      <c r="T2100" s="555">
        <f t="shared" si="551"/>
        <v>0</v>
      </c>
      <c r="U2100" s="311"/>
      <c r="V2100" s="312"/>
      <c r="W2100" s="299"/>
      <c r="X2100" s="300"/>
      <c r="Y2100" s="299"/>
      <c r="Z2100" s="303"/>
      <c r="AA2100" s="305">
        <f>IF(Z2100=0,0,IF(Y2100="MXN",1/HLOOKUP(YEAR(X2100)+(MONTH(X2100)/100),TC!$5:$37,DAY(X2100)+2,FALSE),VLOOKUP(Y2100,Equivalencia!$1:$23,((MAX(Equivalencia!$3:$3)-YEAR(X2100))*14)+MONTH(X2100)+2,FALSE)))</f>
        <v>0</v>
      </c>
      <c r="AB2100" s="306">
        <f t="shared" si="552"/>
        <v>0</v>
      </c>
      <c r="AC2100" s="305">
        <f>+IF(X2100=0,0,HLOOKUP(YEAR(X2100)+(MONTH(X2100)/100),TC!$5:$37,DAY(X2100)+2,FALSE))</f>
        <v>0</v>
      </c>
      <c r="AD2100" s="307">
        <f t="shared" si="553"/>
        <v>0</v>
      </c>
      <c r="AE2100" s="314">
        <f t="shared" si="554"/>
        <v>0</v>
      </c>
      <c r="AF2100" s="315">
        <f t="shared" si="555"/>
        <v>0</v>
      </c>
      <c r="AG2100" s="316">
        <f t="shared" si="556"/>
        <v>0</v>
      </c>
      <c r="AH2100" s="314">
        <v>1</v>
      </c>
      <c r="AI2100" s="314">
        <f t="shared" si="557"/>
        <v>0</v>
      </c>
      <c r="AJ2100" s="314">
        <f t="shared" si="558"/>
        <v>0</v>
      </c>
      <c r="AK2100" s="317"/>
      <c r="AL2100" s="315">
        <f t="shared" si="559"/>
        <v>0</v>
      </c>
      <c r="AN2100" s="554">
        <f t="shared" si="560"/>
        <v>0</v>
      </c>
      <c r="AO2100" s="314"/>
      <c r="AP2100" s="318"/>
    </row>
    <row r="2101" spans="2:42">
      <c r="B2101" s="296"/>
      <c r="C2101" s="299"/>
      <c r="D2101" s="298"/>
      <c r="E2101" s="299"/>
      <c r="F2101" s="299"/>
      <c r="G2101" s="300"/>
      <c r="H2101" s="303"/>
      <c r="I2101" s="301">
        <f t="shared" si="544"/>
        <v>0</v>
      </c>
      <c r="J2101" s="302">
        <f t="shared" si="545"/>
        <v>0</v>
      </c>
      <c r="K2101" s="304">
        <f t="shared" si="546"/>
        <v>0</v>
      </c>
      <c r="L2101" s="305">
        <f>IF(H2101=0,0,IF(OR(E2101=$AT$5,E2101=$AT$6),AA2101,IF(F2101="MXN",1/HLOOKUP(YEAR(G2101)+(MONTH(G2101)/100),TC!$5:$37,DAY(G2101)+2,FALSE),VLOOKUP(F2101,Equivalencia!$5:$23,((MAX(Equivalencia!$3:$3)-YEAR(G2101))*14)+MONTH(G2101)+2,FALSE))))</f>
        <v>0</v>
      </c>
      <c r="M2101" s="306">
        <f t="shared" si="547"/>
        <v>0</v>
      </c>
      <c r="N2101" s="305">
        <f>IF(G2101=0,0,(IF(OR(E2101=$AT$5,E2101=$AT$6),AC2101,HLOOKUP(YEAR(G2101)+(MONTH(G2101)/100),TC!$5:$37,DAY(G2101)+2,FALSE))))</f>
        <v>0</v>
      </c>
      <c r="O2101" s="307">
        <f t="shared" si="548"/>
        <v>0</v>
      </c>
      <c r="P2101" s="560">
        <f>IF(G2101=0,0,VLOOKUP(YEAR(G2101),INPC!$B$4:$P$30,MONTH(G2101)+2))</f>
        <v>0</v>
      </c>
      <c r="Q2101" s="560">
        <f>IF(X2101=0,0,IF(OR(E2101=$AT$10,E2101=$AT$9),VLOOKUP(YEAR(X2101),INPC!$B$4:$P$30,MONTH(X2101)+1),VLOOKUP(YEAR(X2101),INPC!$B$4:$P$30,MONTH(X2101)+2,0)))</f>
        <v>0</v>
      </c>
      <c r="R2101" s="309">
        <f t="shared" si="549"/>
        <v>0</v>
      </c>
      <c r="S2101" s="310">
        <f t="shared" si="550"/>
        <v>0</v>
      </c>
      <c r="T2101" s="555">
        <f t="shared" si="551"/>
        <v>0</v>
      </c>
      <c r="U2101" s="311"/>
      <c r="V2101" s="312"/>
      <c r="W2101" s="299"/>
      <c r="X2101" s="300"/>
      <c r="Y2101" s="299"/>
      <c r="Z2101" s="303"/>
      <c r="AA2101" s="305">
        <f>IF(Z2101=0,0,IF(Y2101="MXN",1/HLOOKUP(YEAR(X2101)+(MONTH(X2101)/100),TC!$5:$37,DAY(X2101)+2,FALSE),VLOOKUP(Y2101,Equivalencia!$1:$23,((MAX(Equivalencia!$3:$3)-YEAR(X2101))*14)+MONTH(X2101)+2,FALSE)))</f>
        <v>0</v>
      </c>
      <c r="AB2101" s="306">
        <f t="shared" si="552"/>
        <v>0</v>
      </c>
      <c r="AC2101" s="305">
        <f>+IF(X2101=0,0,HLOOKUP(YEAR(X2101)+(MONTH(X2101)/100),TC!$5:$37,DAY(X2101)+2,FALSE))</f>
        <v>0</v>
      </c>
      <c r="AD2101" s="307">
        <f t="shared" si="553"/>
        <v>0</v>
      </c>
      <c r="AE2101" s="314">
        <f t="shared" si="554"/>
        <v>0</v>
      </c>
      <c r="AF2101" s="315">
        <f t="shared" si="555"/>
        <v>0</v>
      </c>
      <c r="AG2101" s="316">
        <f t="shared" si="556"/>
        <v>0</v>
      </c>
      <c r="AH2101" s="314">
        <v>1</v>
      </c>
      <c r="AI2101" s="314">
        <f t="shared" si="557"/>
        <v>0</v>
      </c>
      <c r="AJ2101" s="314">
        <f t="shared" si="558"/>
        <v>0</v>
      </c>
      <c r="AK2101" s="317"/>
      <c r="AL2101" s="315">
        <f t="shared" si="559"/>
        <v>0</v>
      </c>
      <c r="AN2101" s="554">
        <f t="shared" si="560"/>
        <v>0</v>
      </c>
      <c r="AO2101" s="314"/>
      <c r="AP2101" s="318"/>
    </row>
    <row r="2102" spans="2:42">
      <c r="B2102" s="296"/>
      <c r="C2102" s="299"/>
      <c r="D2102" s="298"/>
      <c r="E2102" s="299"/>
      <c r="F2102" s="299"/>
      <c r="G2102" s="300"/>
      <c r="H2102" s="303"/>
      <c r="I2102" s="301">
        <f t="shared" si="544"/>
        <v>0</v>
      </c>
      <c r="J2102" s="302">
        <f t="shared" si="545"/>
        <v>0</v>
      </c>
      <c r="K2102" s="304">
        <f t="shared" si="546"/>
        <v>0</v>
      </c>
      <c r="L2102" s="305">
        <f>IF(H2102=0,0,IF(OR(E2102=$AT$5,E2102=$AT$6),AA2102,IF(F2102="MXN",1/HLOOKUP(YEAR(G2102)+(MONTH(G2102)/100),TC!$5:$37,DAY(G2102)+2,FALSE),VLOOKUP(F2102,Equivalencia!$5:$23,((MAX(Equivalencia!$3:$3)-YEAR(G2102))*14)+MONTH(G2102)+2,FALSE))))</f>
        <v>0</v>
      </c>
      <c r="M2102" s="306">
        <f t="shared" si="547"/>
        <v>0</v>
      </c>
      <c r="N2102" s="305">
        <f>IF(G2102=0,0,(IF(OR(E2102=$AT$5,E2102=$AT$6),AC2102,HLOOKUP(YEAR(G2102)+(MONTH(G2102)/100),TC!$5:$37,DAY(G2102)+2,FALSE))))</f>
        <v>0</v>
      </c>
      <c r="O2102" s="307">
        <f t="shared" si="548"/>
        <v>0</v>
      </c>
      <c r="P2102" s="560">
        <f>IF(G2102=0,0,VLOOKUP(YEAR(G2102),INPC!$B$4:$P$30,MONTH(G2102)+2))</f>
        <v>0</v>
      </c>
      <c r="Q2102" s="560">
        <f>IF(X2102=0,0,IF(OR(E2102=$AT$10,E2102=$AT$9),VLOOKUP(YEAR(X2102),INPC!$B$4:$P$30,MONTH(X2102)+1),VLOOKUP(YEAR(X2102),INPC!$B$4:$P$30,MONTH(X2102)+2,0)))</f>
        <v>0</v>
      </c>
      <c r="R2102" s="309">
        <f t="shared" si="549"/>
        <v>0</v>
      </c>
      <c r="S2102" s="310">
        <f t="shared" si="550"/>
        <v>0</v>
      </c>
      <c r="T2102" s="555">
        <f t="shared" si="551"/>
        <v>0</v>
      </c>
      <c r="U2102" s="311"/>
      <c r="V2102" s="312"/>
      <c r="W2102" s="299"/>
      <c r="X2102" s="300"/>
      <c r="Y2102" s="299"/>
      <c r="Z2102" s="303"/>
      <c r="AA2102" s="305">
        <f>IF(Z2102=0,0,IF(Y2102="MXN",1/HLOOKUP(YEAR(X2102)+(MONTH(X2102)/100),TC!$5:$37,DAY(X2102)+2,FALSE),VLOOKUP(Y2102,Equivalencia!$1:$23,((MAX(Equivalencia!$3:$3)-YEAR(X2102))*14)+MONTH(X2102)+2,FALSE)))</f>
        <v>0</v>
      </c>
      <c r="AB2102" s="306">
        <f t="shared" si="552"/>
        <v>0</v>
      </c>
      <c r="AC2102" s="305">
        <f>+IF(X2102=0,0,HLOOKUP(YEAR(X2102)+(MONTH(X2102)/100),TC!$5:$37,DAY(X2102)+2,FALSE))</f>
        <v>0</v>
      </c>
      <c r="AD2102" s="307">
        <f t="shared" si="553"/>
        <v>0</v>
      </c>
      <c r="AE2102" s="314">
        <f t="shared" si="554"/>
        <v>0</v>
      </c>
      <c r="AF2102" s="315">
        <f t="shared" si="555"/>
        <v>0</v>
      </c>
      <c r="AG2102" s="316">
        <f t="shared" si="556"/>
        <v>0</v>
      </c>
      <c r="AH2102" s="314">
        <v>1</v>
      </c>
      <c r="AI2102" s="314">
        <f t="shared" si="557"/>
        <v>0</v>
      </c>
      <c r="AJ2102" s="314">
        <f t="shared" si="558"/>
        <v>0</v>
      </c>
      <c r="AK2102" s="317"/>
      <c r="AL2102" s="315">
        <f t="shared" si="559"/>
        <v>0</v>
      </c>
      <c r="AN2102" s="554">
        <f t="shared" si="560"/>
        <v>0</v>
      </c>
      <c r="AO2102" s="314"/>
      <c r="AP2102" s="318"/>
    </row>
    <row r="2103" spans="2:42">
      <c r="B2103" s="296"/>
      <c r="C2103" s="299"/>
      <c r="D2103" s="298"/>
      <c r="E2103" s="299"/>
      <c r="F2103" s="299"/>
      <c r="G2103" s="300"/>
      <c r="H2103" s="303"/>
      <c r="I2103" s="301">
        <f t="shared" si="544"/>
        <v>0</v>
      </c>
      <c r="J2103" s="302">
        <f t="shared" si="545"/>
        <v>0</v>
      </c>
      <c r="K2103" s="304">
        <f t="shared" si="546"/>
        <v>0</v>
      </c>
      <c r="L2103" s="305">
        <f>IF(H2103=0,0,IF(OR(E2103=$AT$5,E2103=$AT$6),AA2103,IF(F2103="MXN",1/HLOOKUP(YEAR(G2103)+(MONTH(G2103)/100),TC!$5:$37,DAY(G2103)+2,FALSE),VLOOKUP(F2103,Equivalencia!$5:$23,((MAX(Equivalencia!$3:$3)-YEAR(G2103))*14)+MONTH(G2103)+2,FALSE))))</f>
        <v>0</v>
      </c>
      <c r="M2103" s="306">
        <f t="shared" si="547"/>
        <v>0</v>
      </c>
      <c r="N2103" s="305">
        <f>IF(G2103=0,0,(IF(OR(E2103=$AT$5,E2103=$AT$6),AC2103,HLOOKUP(YEAR(G2103)+(MONTH(G2103)/100),TC!$5:$37,DAY(G2103)+2,FALSE))))</f>
        <v>0</v>
      </c>
      <c r="O2103" s="307">
        <f t="shared" si="548"/>
        <v>0</v>
      </c>
      <c r="P2103" s="560">
        <f>IF(G2103=0,0,VLOOKUP(YEAR(G2103),INPC!$B$4:$P$30,MONTH(G2103)+2))</f>
        <v>0</v>
      </c>
      <c r="Q2103" s="560">
        <f>IF(X2103=0,0,IF(OR(E2103=$AT$10,E2103=$AT$9),VLOOKUP(YEAR(X2103),INPC!$B$4:$P$30,MONTH(X2103)+1),VLOOKUP(YEAR(X2103),INPC!$B$4:$P$30,MONTH(X2103)+2,0)))</f>
        <v>0</v>
      </c>
      <c r="R2103" s="309">
        <f t="shared" si="549"/>
        <v>0</v>
      </c>
      <c r="S2103" s="310">
        <f t="shared" si="550"/>
        <v>0</v>
      </c>
      <c r="T2103" s="555">
        <f t="shared" si="551"/>
        <v>0</v>
      </c>
      <c r="U2103" s="311"/>
      <c r="V2103" s="312"/>
      <c r="W2103" s="299"/>
      <c r="X2103" s="300"/>
      <c r="Y2103" s="299"/>
      <c r="Z2103" s="303"/>
      <c r="AA2103" s="305">
        <f>IF(Z2103=0,0,IF(Y2103="MXN",1/HLOOKUP(YEAR(X2103)+(MONTH(X2103)/100),TC!$5:$37,DAY(X2103)+2,FALSE),VLOOKUP(Y2103,Equivalencia!$1:$23,((MAX(Equivalencia!$3:$3)-YEAR(X2103))*14)+MONTH(X2103)+2,FALSE)))</f>
        <v>0</v>
      </c>
      <c r="AB2103" s="306">
        <f t="shared" si="552"/>
        <v>0</v>
      </c>
      <c r="AC2103" s="305">
        <f>+IF(X2103=0,0,HLOOKUP(YEAR(X2103)+(MONTH(X2103)/100),TC!$5:$37,DAY(X2103)+2,FALSE))</f>
        <v>0</v>
      </c>
      <c r="AD2103" s="307">
        <f t="shared" si="553"/>
        <v>0</v>
      </c>
      <c r="AE2103" s="314">
        <f t="shared" si="554"/>
        <v>0</v>
      </c>
      <c r="AF2103" s="315">
        <f t="shared" si="555"/>
        <v>0</v>
      </c>
      <c r="AG2103" s="316">
        <f t="shared" si="556"/>
        <v>0</v>
      </c>
      <c r="AH2103" s="314">
        <v>1</v>
      </c>
      <c r="AI2103" s="314">
        <f t="shared" si="557"/>
        <v>0</v>
      </c>
      <c r="AJ2103" s="314">
        <f t="shared" si="558"/>
        <v>0</v>
      </c>
      <c r="AK2103" s="317"/>
      <c r="AL2103" s="315">
        <f t="shared" si="559"/>
        <v>0</v>
      </c>
      <c r="AN2103" s="554">
        <f t="shared" si="560"/>
        <v>0</v>
      </c>
      <c r="AO2103" s="314"/>
      <c r="AP2103" s="318"/>
    </row>
    <row r="2104" spans="2:42">
      <c r="B2104" s="296"/>
      <c r="C2104" s="299"/>
      <c r="D2104" s="298"/>
      <c r="E2104" s="299"/>
      <c r="F2104" s="299"/>
      <c r="G2104" s="300"/>
      <c r="H2104" s="303"/>
      <c r="I2104" s="301">
        <f t="shared" si="544"/>
        <v>0</v>
      </c>
      <c r="J2104" s="302">
        <f t="shared" si="545"/>
        <v>0</v>
      </c>
      <c r="K2104" s="304">
        <f t="shared" si="546"/>
        <v>0</v>
      </c>
      <c r="L2104" s="305">
        <f>IF(H2104=0,0,IF(OR(E2104=$AT$5,E2104=$AT$6),AA2104,IF(F2104="MXN",1/HLOOKUP(YEAR(G2104)+(MONTH(G2104)/100),TC!$5:$37,DAY(G2104)+2,FALSE),VLOOKUP(F2104,Equivalencia!$5:$23,((MAX(Equivalencia!$3:$3)-YEAR(G2104))*14)+MONTH(G2104)+2,FALSE))))</f>
        <v>0</v>
      </c>
      <c r="M2104" s="306">
        <f t="shared" si="547"/>
        <v>0</v>
      </c>
      <c r="N2104" s="305">
        <f>IF(G2104=0,0,(IF(OR(E2104=$AT$5,E2104=$AT$6),AC2104,HLOOKUP(YEAR(G2104)+(MONTH(G2104)/100),TC!$5:$37,DAY(G2104)+2,FALSE))))</f>
        <v>0</v>
      </c>
      <c r="O2104" s="307">
        <f t="shared" si="548"/>
        <v>0</v>
      </c>
      <c r="P2104" s="560">
        <f>IF(G2104=0,0,VLOOKUP(YEAR(G2104),INPC!$B$4:$P$30,MONTH(G2104)+2))</f>
        <v>0</v>
      </c>
      <c r="Q2104" s="560">
        <f>IF(X2104=0,0,IF(OR(E2104=$AT$10,E2104=$AT$9),VLOOKUP(YEAR(X2104),INPC!$B$4:$P$30,MONTH(X2104)+1),VLOOKUP(YEAR(X2104),INPC!$B$4:$P$30,MONTH(X2104)+2,0)))</f>
        <v>0</v>
      </c>
      <c r="R2104" s="309">
        <f t="shared" si="549"/>
        <v>0</v>
      </c>
      <c r="S2104" s="310">
        <f t="shared" si="550"/>
        <v>0</v>
      </c>
      <c r="T2104" s="555">
        <f t="shared" si="551"/>
        <v>0</v>
      </c>
      <c r="U2104" s="311"/>
      <c r="V2104" s="312"/>
      <c r="W2104" s="299"/>
      <c r="X2104" s="300"/>
      <c r="Y2104" s="299"/>
      <c r="Z2104" s="303"/>
      <c r="AA2104" s="305">
        <f>IF(Z2104=0,0,IF(Y2104="MXN",1/HLOOKUP(YEAR(X2104)+(MONTH(X2104)/100),TC!$5:$37,DAY(X2104)+2,FALSE),VLOOKUP(Y2104,Equivalencia!$1:$23,((MAX(Equivalencia!$3:$3)-YEAR(X2104))*14)+MONTH(X2104)+2,FALSE)))</f>
        <v>0</v>
      </c>
      <c r="AB2104" s="306">
        <f t="shared" si="552"/>
        <v>0</v>
      </c>
      <c r="AC2104" s="305">
        <f>+IF(X2104=0,0,HLOOKUP(YEAR(X2104)+(MONTH(X2104)/100),TC!$5:$37,DAY(X2104)+2,FALSE))</f>
        <v>0</v>
      </c>
      <c r="AD2104" s="307">
        <f t="shared" si="553"/>
        <v>0</v>
      </c>
      <c r="AE2104" s="314">
        <f t="shared" si="554"/>
        <v>0</v>
      </c>
      <c r="AF2104" s="315">
        <f t="shared" si="555"/>
        <v>0</v>
      </c>
      <c r="AG2104" s="316">
        <f t="shared" si="556"/>
        <v>0</v>
      </c>
      <c r="AH2104" s="314">
        <v>1</v>
      </c>
      <c r="AI2104" s="314">
        <f t="shared" si="557"/>
        <v>0</v>
      </c>
      <c r="AJ2104" s="314">
        <f t="shared" si="558"/>
        <v>0</v>
      </c>
      <c r="AK2104" s="317"/>
      <c r="AL2104" s="315">
        <f t="shared" si="559"/>
        <v>0</v>
      </c>
      <c r="AN2104" s="554">
        <f t="shared" si="560"/>
        <v>0</v>
      </c>
      <c r="AO2104" s="314"/>
      <c r="AP2104" s="318"/>
    </row>
    <row r="2105" spans="2:42">
      <c r="B2105" s="296"/>
      <c r="C2105" s="299"/>
      <c r="D2105" s="298"/>
      <c r="E2105" s="299"/>
      <c r="F2105" s="299"/>
      <c r="G2105" s="300"/>
      <c r="H2105" s="303"/>
      <c r="I2105" s="301">
        <f t="shared" si="544"/>
        <v>0</v>
      </c>
      <c r="J2105" s="302">
        <f t="shared" si="545"/>
        <v>0</v>
      </c>
      <c r="K2105" s="304">
        <f t="shared" si="546"/>
        <v>0</v>
      </c>
      <c r="L2105" s="305">
        <f>IF(H2105=0,0,IF(OR(E2105=$AT$5,E2105=$AT$6),AA2105,IF(F2105="MXN",1/HLOOKUP(YEAR(G2105)+(MONTH(G2105)/100),TC!$5:$37,DAY(G2105)+2,FALSE),VLOOKUP(F2105,Equivalencia!$5:$23,((MAX(Equivalencia!$3:$3)-YEAR(G2105))*14)+MONTH(G2105)+2,FALSE))))</f>
        <v>0</v>
      </c>
      <c r="M2105" s="306">
        <f t="shared" si="547"/>
        <v>0</v>
      </c>
      <c r="N2105" s="305">
        <f>IF(G2105=0,0,(IF(OR(E2105=$AT$5,E2105=$AT$6),AC2105,HLOOKUP(YEAR(G2105)+(MONTH(G2105)/100),TC!$5:$37,DAY(G2105)+2,FALSE))))</f>
        <v>0</v>
      </c>
      <c r="O2105" s="307">
        <f t="shared" si="548"/>
        <v>0</v>
      </c>
      <c r="P2105" s="560">
        <f>IF(G2105=0,0,VLOOKUP(YEAR(G2105),INPC!$B$4:$P$30,MONTH(G2105)+2))</f>
        <v>0</v>
      </c>
      <c r="Q2105" s="560">
        <f>IF(X2105=0,0,IF(OR(E2105=$AT$10,E2105=$AT$9),VLOOKUP(YEAR(X2105),INPC!$B$4:$P$30,MONTH(X2105)+1),VLOOKUP(YEAR(X2105),INPC!$B$4:$P$30,MONTH(X2105)+2,0)))</f>
        <v>0</v>
      </c>
      <c r="R2105" s="309">
        <f t="shared" si="549"/>
        <v>0</v>
      </c>
      <c r="S2105" s="310">
        <f t="shared" si="550"/>
        <v>0</v>
      </c>
      <c r="T2105" s="555">
        <f t="shared" si="551"/>
        <v>0</v>
      </c>
      <c r="U2105" s="311"/>
      <c r="V2105" s="312"/>
      <c r="W2105" s="299"/>
      <c r="X2105" s="300"/>
      <c r="Y2105" s="299"/>
      <c r="Z2105" s="303"/>
      <c r="AA2105" s="305">
        <f>IF(Z2105=0,0,IF(Y2105="MXN",1/HLOOKUP(YEAR(X2105)+(MONTH(X2105)/100),TC!$5:$37,DAY(X2105)+2,FALSE),VLOOKUP(Y2105,Equivalencia!$1:$23,((MAX(Equivalencia!$3:$3)-YEAR(X2105))*14)+MONTH(X2105)+2,FALSE)))</f>
        <v>0</v>
      </c>
      <c r="AB2105" s="306">
        <f t="shared" si="552"/>
        <v>0</v>
      </c>
      <c r="AC2105" s="305">
        <f>+IF(X2105=0,0,HLOOKUP(YEAR(X2105)+(MONTH(X2105)/100),TC!$5:$37,DAY(X2105)+2,FALSE))</f>
        <v>0</v>
      </c>
      <c r="AD2105" s="307">
        <f t="shared" si="553"/>
        <v>0</v>
      </c>
      <c r="AE2105" s="314">
        <f t="shared" si="554"/>
        <v>0</v>
      </c>
      <c r="AF2105" s="315">
        <f t="shared" si="555"/>
        <v>0</v>
      </c>
      <c r="AG2105" s="316">
        <f t="shared" si="556"/>
        <v>0</v>
      </c>
      <c r="AH2105" s="314">
        <v>1</v>
      </c>
      <c r="AI2105" s="314">
        <f t="shared" si="557"/>
        <v>0</v>
      </c>
      <c r="AJ2105" s="314">
        <f t="shared" si="558"/>
        <v>0</v>
      </c>
      <c r="AK2105" s="317"/>
      <c r="AL2105" s="315">
        <f t="shared" si="559"/>
        <v>0</v>
      </c>
      <c r="AN2105" s="554">
        <f t="shared" si="560"/>
        <v>0</v>
      </c>
      <c r="AO2105" s="314"/>
      <c r="AP2105" s="318"/>
    </row>
    <row r="2106" spans="2:42">
      <c r="B2106" s="296"/>
      <c r="C2106" s="299"/>
      <c r="D2106" s="298"/>
      <c r="E2106" s="299"/>
      <c r="F2106" s="299"/>
      <c r="G2106" s="300"/>
      <c r="H2106" s="303"/>
      <c r="I2106" s="301">
        <f t="shared" si="544"/>
        <v>0</v>
      </c>
      <c r="J2106" s="302">
        <f t="shared" si="545"/>
        <v>0</v>
      </c>
      <c r="K2106" s="304">
        <f t="shared" si="546"/>
        <v>0</v>
      </c>
      <c r="L2106" s="305">
        <f>IF(H2106=0,0,IF(OR(E2106=$AT$5,E2106=$AT$6),AA2106,IF(F2106="MXN",1/HLOOKUP(YEAR(G2106)+(MONTH(G2106)/100),TC!$5:$37,DAY(G2106)+2,FALSE),VLOOKUP(F2106,Equivalencia!$5:$23,((MAX(Equivalencia!$3:$3)-YEAR(G2106))*14)+MONTH(G2106)+2,FALSE))))</f>
        <v>0</v>
      </c>
      <c r="M2106" s="306">
        <f t="shared" si="547"/>
        <v>0</v>
      </c>
      <c r="N2106" s="305">
        <f>IF(G2106=0,0,(IF(OR(E2106=$AT$5,E2106=$AT$6),AC2106,HLOOKUP(YEAR(G2106)+(MONTH(G2106)/100),TC!$5:$37,DAY(G2106)+2,FALSE))))</f>
        <v>0</v>
      </c>
      <c r="O2106" s="307">
        <f t="shared" si="548"/>
        <v>0</v>
      </c>
      <c r="P2106" s="560">
        <f>IF(G2106=0,0,VLOOKUP(YEAR(G2106),INPC!$B$4:$P$30,MONTH(G2106)+2))</f>
        <v>0</v>
      </c>
      <c r="Q2106" s="560">
        <f>IF(X2106=0,0,IF(OR(E2106=$AT$10,E2106=$AT$9),VLOOKUP(YEAR(X2106),INPC!$B$4:$P$30,MONTH(X2106)+1),VLOOKUP(YEAR(X2106),INPC!$B$4:$P$30,MONTH(X2106)+2,0)))</f>
        <v>0</v>
      </c>
      <c r="R2106" s="309">
        <f t="shared" si="549"/>
        <v>0</v>
      </c>
      <c r="S2106" s="310">
        <f t="shared" si="550"/>
        <v>0</v>
      </c>
      <c r="T2106" s="555">
        <f t="shared" si="551"/>
        <v>0</v>
      </c>
      <c r="U2106" s="311"/>
      <c r="V2106" s="312"/>
      <c r="W2106" s="299"/>
      <c r="X2106" s="300"/>
      <c r="Y2106" s="299"/>
      <c r="Z2106" s="303"/>
      <c r="AA2106" s="305">
        <f>IF(Z2106=0,0,IF(Y2106="MXN",1/HLOOKUP(YEAR(X2106)+(MONTH(X2106)/100),TC!$5:$37,DAY(X2106)+2,FALSE),VLOOKUP(Y2106,Equivalencia!$1:$23,((MAX(Equivalencia!$3:$3)-YEAR(X2106))*14)+MONTH(X2106)+2,FALSE)))</f>
        <v>0</v>
      </c>
      <c r="AB2106" s="306">
        <f t="shared" si="552"/>
        <v>0</v>
      </c>
      <c r="AC2106" s="305">
        <f>+IF(X2106=0,0,HLOOKUP(YEAR(X2106)+(MONTH(X2106)/100),TC!$5:$37,DAY(X2106)+2,FALSE))</f>
        <v>0</v>
      </c>
      <c r="AD2106" s="307">
        <f t="shared" si="553"/>
        <v>0</v>
      </c>
      <c r="AE2106" s="314">
        <f t="shared" si="554"/>
        <v>0</v>
      </c>
      <c r="AF2106" s="315">
        <f t="shared" si="555"/>
        <v>0</v>
      </c>
      <c r="AG2106" s="316">
        <f t="shared" si="556"/>
        <v>0</v>
      </c>
      <c r="AH2106" s="314">
        <v>1</v>
      </c>
      <c r="AI2106" s="314">
        <f t="shared" si="557"/>
        <v>0</v>
      </c>
      <c r="AJ2106" s="314">
        <f t="shared" si="558"/>
        <v>0</v>
      </c>
      <c r="AK2106" s="317"/>
      <c r="AL2106" s="315">
        <f t="shared" si="559"/>
        <v>0</v>
      </c>
      <c r="AN2106" s="554">
        <f t="shared" si="560"/>
        <v>0</v>
      </c>
      <c r="AO2106" s="314"/>
      <c r="AP2106" s="318"/>
    </row>
    <row r="2107" spans="2:42">
      <c r="B2107" s="296"/>
      <c r="C2107" s="299"/>
      <c r="D2107" s="298"/>
      <c r="E2107" s="299"/>
      <c r="F2107" s="299"/>
      <c r="G2107" s="300"/>
      <c r="H2107" s="303"/>
      <c r="I2107" s="301">
        <f t="shared" si="544"/>
        <v>0</v>
      </c>
      <c r="J2107" s="302">
        <f t="shared" si="545"/>
        <v>0</v>
      </c>
      <c r="K2107" s="304">
        <f t="shared" si="546"/>
        <v>0</v>
      </c>
      <c r="L2107" s="305">
        <f>IF(H2107=0,0,IF(OR(E2107=$AT$5,E2107=$AT$6),AA2107,IF(F2107="MXN",1/HLOOKUP(YEAR(G2107)+(MONTH(G2107)/100),TC!$5:$37,DAY(G2107)+2,FALSE),VLOOKUP(F2107,Equivalencia!$5:$23,((MAX(Equivalencia!$3:$3)-YEAR(G2107))*14)+MONTH(G2107)+2,FALSE))))</f>
        <v>0</v>
      </c>
      <c r="M2107" s="306">
        <f t="shared" si="547"/>
        <v>0</v>
      </c>
      <c r="N2107" s="305">
        <f>IF(G2107=0,0,(IF(OR(E2107=$AT$5,E2107=$AT$6),AC2107,HLOOKUP(YEAR(G2107)+(MONTH(G2107)/100),TC!$5:$37,DAY(G2107)+2,FALSE))))</f>
        <v>0</v>
      </c>
      <c r="O2107" s="307">
        <f t="shared" si="548"/>
        <v>0</v>
      </c>
      <c r="P2107" s="560">
        <f>IF(G2107=0,0,VLOOKUP(YEAR(G2107),INPC!$B$4:$P$30,MONTH(G2107)+2))</f>
        <v>0</v>
      </c>
      <c r="Q2107" s="560">
        <f>IF(X2107=0,0,IF(OR(E2107=$AT$10,E2107=$AT$9),VLOOKUP(YEAR(X2107),INPC!$B$4:$P$30,MONTH(X2107)+1),VLOOKUP(YEAR(X2107),INPC!$B$4:$P$30,MONTH(X2107)+2,0)))</f>
        <v>0</v>
      </c>
      <c r="R2107" s="309">
        <f t="shared" si="549"/>
        <v>0</v>
      </c>
      <c r="S2107" s="310">
        <f t="shared" si="550"/>
        <v>0</v>
      </c>
      <c r="T2107" s="555">
        <f t="shared" si="551"/>
        <v>0</v>
      </c>
      <c r="U2107" s="311"/>
      <c r="V2107" s="312"/>
      <c r="W2107" s="299"/>
      <c r="X2107" s="300"/>
      <c r="Y2107" s="299"/>
      <c r="Z2107" s="303"/>
      <c r="AA2107" s="305">
        <f>IF(Z2107=0,0,IF(Y2107="MXN",1/HLOOKUP(YEAR(X2107)+(MONTH(X2107)/100),TC!$5:$37,DAY(X2107)+2,FALSE),VLOOKUP(Y2107,Equivalencia!$1:$23,((MAX(Equivalencia!$3:$3)-YEAR(X2107))*14)+MONTH(X2107)+2,FALSE)))</f>
        <v>0</v>
      </c>
      <c r="AB2107" s="306">
        <f t="shared" si="552"/>
        <v>0</v>
      </c>
      <c r="AC2107" s="305">
        <f>+IF(X2107=0,0,HLOOKUP(YEAR(X2107)+(MONTH(X2107)/100),TC!$5:$37,DAY(X2107)+2,FALSE))</f>
        <v>0</v>
      </c>
      <c r="AD2107" s="307">
        <f t="shared" si="553"/>
        <v>0</v>
      </c>
      <c r="AE2107" s="314">
        <f t="shared" si="554"/>
        <v>0</v>
      </c>
      <c r="AF2107" s="315">
        <f t="shared" si="555"/>
        <v>0</v>
      </c>
      <c r="AG2107" s="316">
        <f t="shared" si="556"/>
        <v>0</v>
      </c>
      <c r="AH2107" s="314">
        <v>1</v>
      </c>
      <c r="AI2107" s="314">
        <f t="shared" si="557"/>
        <v>0</v>
      </c>
      <c r="AJ2107" s="314">
        <f t="shared" si="558"/>
        <v>0</v>
      </c>
      <c r="AK2107" s="317"/>
      <c r="AL2107" s="315">
        <f t="shared" si="559"/>
        <v>0</v>
      </c>
      <c r="AN2107" s="554">
        <f t="shared" si="560"/>
        <v>0</v>
      </c>
      <c r="AO2107" s="314"/>
      <c r="AP2107" s="318"/>
    </row>
    <row r="2108" spans="2:42">
      <c r="B2108" s="296"/>
      <c r="C2108" s="299"/>
      <c r="D2108" s="298"/>
      <c r="E2108" s="299"/>
      <c r="F2108" s="299"/>
      <c r="G2108" s="300"/>
      <c r="H2108" s="303"/>
      <c r="I2108" s="301">
        <f t="shared" ref="I2108:I2171" si="561">IF(D2108=0,0,IF(OR(E2108=$AT$9,E2108=$AT$10),"Ingresos Sección II LISR (SIC &amp; BMV)","Ingresos Sección I LISR"))</f>
        <v>0</v>
      </c>
      <c r="J2108" s="302">
        <f t="shared" ref="J2108:J2171" si="562">+V2108</f>
        <v>0</v>
      </c>
      <c r="K2108" s="304">
        <f t="shared" ref="K2108:K2171" si="563">IF(H2108=0,0,H2108/J2108)</f>
        <v>0</v>
      </c>
      <c r="L2108" s="305">
        <f>IF(H2108=0,0,IF(OR(E2108=$AT$5,E2108=$AT$6),AA2108,IF(F2108="MXN",1/HLOOKUP(YEAR(G2108)+(MONTH(G2108)/100),TC!$5:$37,DAY(G2108)+2,FALSE),VLOOKUP(F2108,Equivalencia!$5:$23,((MAX(Equivalencia!$3:$3)-YEAR(G2108))*14)+MONTH(G2108)+2,FALSE))))</f>
        <v>0</v>
      </c>
      <c r="M2108" s="306">
        <f t="shared" ref="M2108:M2171" si="564">+H2108*L2108</f>
        <v>0</v>
      </c>
      <c r="N2108" s="305">
        <f>IF(G2108=0,0,(IF(OR(E2108=$AT$5,E2108=$AT$6),AC2108,HLOOKUP(YEAR(G2108)+(MONTH(G2108)/100),TC!$5:$37,DAY(G2108)+2,FALSE))))</f>
        <v>0</v>
      </c>
      <c r="O2108" s="307">
        <f t="shared" ref="O2108:O2171" si="565">+M2108*N2108</f>
        <v>0</v>
      </c>
      <c r="P2108" s="560">
        <f>IF(G2108=0,0,VLOOKUP(YEAR(G2108),INPC!$B$4:$P$30,MONTH(G2108)+2))</f>
        <v>0</v>
      </c>
      <c r="Q2108" s="560">
        <f>IF(X2108=0,0,IF(OR(E2108=$AT$10,E2108=$AT$9),VLOOKUP(YEAR(X2108),INPC!$B$4:$P$30,MONTH(X2108)+1),VLOOKUP(YEAR(X2108),INPC!$B$4:$P$30,MONTH(X2108)+2,0)))</f>
        <v>0</v>
      </c>
      <c r="R2108" s="309">
        <f t="shared" ref="R2108:R2171" si="566">IF(H2108=0,0,IF(OR(E2108=$AT$5,E2108=$AT$6),1,IF(TRUNC(Q2108/P2108,4)&gt;=1,TRUNC(Q2108/P2108,4),1)))</f>
        <v>0</v>
      </c>
      <c r="S2108" s="310">
        <f t="shared" ref="S2108:S2171" si="567">+R2108*O2108</f>
        <v>0</v>
      </c>
      <c r="T2108" s="555">
        <f t="shared" ref="T2108:T2171" si="568">IF(V2108=0,0,S2108/V2108)</f>
        <v>0</v>
      </c>
      <c r="U2108" s="311"/>
      <c r="V2108" s="312"/>
      <c r="W2108" s="299"/>
      <c r="X2108" s="300"/>
      <c r="Y2108" s="299"/>
      <c r="Z2108" s="303"/>
      <c r="AA2108" s="305">
        <f>IF(Z2108=0,0,IF(Y2108="MXN",1/HLOOKUP(YEAR(X2108)+(MONTH(X2108)/100),TC!$5:$37,DAY(X2108)+2,FALSE),VLOOKUP(Y2108,Equivalencia!$1:$23,((MAX(Equivalencia!$3:$3)-YEAR(X2108))*14)+MONTH(X2108)+2,FALSE)))</f>
        <v>0</v>
      </c>
      <c r="AB2108" s="306">
        <f t="shared" ref="AB2108:AB2171" si="569">+AA2108*Z2108</f>
        <v>0</v>
      </c>
      <c r="AC2108" s="305">
        <f>+IF(X2108=0,0,HLOOKUP(YEAR(X2108)+(MONTH(X2108)/100),TC!$5:$37,DAY(X2108)+2,FALSE))</f>
        <v>0</v>
      </c>
      <c r="AD2108" s="307">
        <f t="shared" ref="AD2108:AD2171" si="570">+AC2108*AB2108</f>
        <v>0</v>
      </c>
      <c r="AE2108" s="314">
        <f t="shared" ref="AE2108:AE2171" si="571">+V2108*T2108</f>
        <v>0</v>
      </c>
      <c r="AF2108" s="315">
        <f t="shared" ref="AF2108:AF2171" si="572">IF(E2108=$AT$11,0,AD2108-AE2108)</f>
        <v>0</v>
      </c>
      <c r="AG2108" s="316">
        <f t="shared" ref="AG2108:AG2171" si="573">+IF(AND(AF2108&lt;0,OR(E2108=$AT$5,E2108=$AT$6)),1,((X2108-G2108)/365))</f>
        <v>0</v>
      </c>
      <c r="AH2108" s="314">
        <v>1</v>
      </c>
      <c r="AI2108" s="314">
        <f t="shared" ref="AI2108:AI2171" si="574">+IF(OR(E2108=$AT$9,E2108=$AT$10),AF2108,+AF2108/AH2108)</f>
        <v>0</v>
      </c>
      <c r="AJ2108" s="314">
        <f t="shared" ref="AJ2108:AJ2171" si="575">+AF2108-AI2108</f>
        <v>0</v>
      </c>
      <c r="AK2108" s="317"/>
      <c r="AL2108" s="315">
        <f t="shared" ref="AL2108:AL2171" si="576">+AB2108-M2108</f>
        <v>0</v>
      </c>
      <c r="AN2108" s="554">
        <f t="shared" ref="AN2108:AN2171" si="577">IF(AL2108=0,0,AL2108/H2108)</f>
        <v>0</v>
      </c>
      <c r="AO2108" s="314"/>
      <c r="AP2108" s="318"/>
    </row>
    <row r="2109" spans="2:42">
      <c r="B2109" s="296"/>
      <c r="C2109" s="299"/>
      <c r="D2109" s="298"/>
      <c r="E2109" s="299"/>
      <c r="F2109" s="299"/>
      <c r="G2109" s="300"/>
      <c r="H2109" s="303"/>
      <c r="I2109" s="301">
        <f t="shared" si="561"/>
        <v>0</v>
      </c>
      <c r="J2109" s="302">
        <f t="shared" si="562"/>
        <v>0</v>
      </c>
      <c r="K2109" s="304">
        <f t="shared" si="563"/>
        <v>0</v>
      </c>
      <c r="L2109" s="305">
        <f>IF(H2109=0,0,IF(OR(E2109=$AT$5,E2109=$AT$6),AA2109,IF(F2109="MXN",1/HLOOKUP(YEAR(G2109)+(MONTH(G2109)/100),TC!$5:$37,DAY(G2109)+2,FALSE),VLOOKUP(F2109,Equivalencia!$5:$23,((MAX(Equivalencia!$3:$3)-YEAR(G2109))*14)+MONTH(G2109)+2,FALSE))))</f>
        <v>0</v>
      </c>
      <c r="M2109" s="306">
        <f t="shared" si="564"/>
        <v>0</v>
      </c>
      <c r="N2109" s="305">
        <f>IF(G2109=0,0,(IF(OR(E2109=$AT$5,E2109=$AT$6),AC2109,HLOOKUP(YEAR(G2109)+(MONTH(G2109)/100),TC!$5:$37,DAY(G2109)+2,FALSE))))</f>
        <v>0</v>
      </c>
      <c r="O2109" s="307">
        <f t="shared" si="565"/>
        <v>0</v>
      </c>
      <c r="P2109" s="560">
        <f>IF(G2109=0,0,VLOOKUP(YEAR(G2109),INPC!$B$4:$P$30,MONTH(G2109)+2))</f>
        <v>0</v>
      </c>
      <c r="Q2109" s="560">
        <f>IF(X2109=0,0,IF(OR(E2109=$AT$10,E2109=$AT$9),VLOOKUP(YEAR(X2109),INPC!$B$4:$P$30,MONTH(X2109)+1),VLOOKUP(YEAR(X2109),INPC!$B$4:$P$30,MONTH(X2109)+2,0)))</f>
        <v>0</v>
      </c>
      <c r="R2109" s="309">
        <f t="shared" si="566"/>
        <v>0</v>
      </c>
      <c r="S2109" s="310">
        <f t="shared" si="567"/>
        <v>0</v>
      </c>
      <c r="T2109" s="555">
        <f t="shared" si="568"/>
        <v>0</v>
      </c>
      <c r="U2109" s="311"/>
      <c r="V2109" s="312"/>
      <c r="W2109" s="299"/>
      <c r="X2109" s="300"/>
      <c r="Y2109" s="299"/>
      <c r="Z2109" s="303"/>
      <c r="AA2109" s="305">
        <f>IF(Z2109=0,0,IF(Y2109="MXN",1/HLOOKUP(YEAR(X2109)+(MONTH(X2109)/100),TC!$5:$37,DAY(X2109)+2,FALSE),VLOOKUP(Y2109,Equivalencia!$1:$23,((MAX(Equivalencia!$3:$3)-YEAR(X2109))*14)+MONTH(X2109)+2,FALSE)))</f>
        <v>0</v>
      </c>
      <c r="AB2109" s="306">
        <f t="shared" si="569"/>
        <v>0</v>
      </c>
      <c r="AC2109" s="305">
        <f>+IF(X2109=0,0,HLOOKUP(YEAR(X2109)+(MONTH(X2109)/100),TC!$5:$37,DAY(X2109)+2,FALSE))</f>
        <v>0</v>
      </c>
      <c r="AD2109" s="307">
        <f t="shared" si="570"/>
        <v>0</v>
      </c>
      <c r="AE2109" s="314">
        <f t="shared" si="571"/>
        <v>0</v>
      </c>
      <c r="AF2109" s="315">
        <f t="shared" si="572"/>
        <v>0</v>
      </c>
      <c r="AG2109" s="316">
        <f t="shared" si="573"/>
        <v>0</v>
      </c>
      <c r="AH2109" s="314">
        <v>1</v>
      </c>
      <c r="AI2109" s="314">
        <f t="shared" si="574"/>
        <v>0</v>
      </c>
      <c r="AJ2109" s="314">
        <f t="shared" si="575"/>
        <v>0</v>
      </c>
      <c r="AK2109" s="317"/>
      <c r="AL2109" s="315">
        <f t="shared" si="576"/>
        <v>0</v>
      </c>
      <c r="AN2109" s="554">
        <f t="shared" si="577"/>
        <v>0</v>
      </c>
      <c r="AO2109" s="314"/>
      <c r="AP2109" s="318"/>
    </row>
    <row r="2110" spans="2:42">
      <c r="B2110" s="296"/>
      <c r="C2110" s="299"/>
      <c r="D2110" s="298"/>
      <c r="E2110" s="299"/>
      <c r="F2110" s="299"/>
      <c r="G2110" s="300"/>
      <c r="H2110" s="303"/>
      <c r="I2110" s="301">
        <f t="shared" si="561"/>
        <v>0</v>
      </c>
      <c r="J2110" s="302">
        <f t="shared" si="562"/>
        <v>0</v>
      </c>
      <c r="K2110" s="304">
        <f t="shared" si="563"/>
        <v>0</v>
      </c>
      <c r="L2110" s="305">
        <f>IF(H2110=0,0,IF(OR(E2110=$AT$5,E2110=$AT$6),AA2110,IF(F2110="MXN",1/HLOOKUP(YEAR(G2110)+(MONTH(G2110)/100),TC!$5:$37,DAY(G2110)+2,FALSE),VLOOKUP(F2110,Equivalencia!$5:$23,((MAX(Equivalencia!$3:$3)-YEAR(G2110))*14)+MONTH(G2110)+2,FALSE))))</f>
        <v>0</v>
      </c>
      <c r="M2110" s="306">
        <f t="shared" si="564"/>
        <v>0</v>
      </c>
      <c r="N2110" s="305">
        <f>IF(G2110=0,0,(IF(OR(E2110=$AT$5,E2110=$AT$6),AC2110,HLOOKUP(YEAR(G2110)+(MONTH(G2110)/100),TC!$5:$37,DAY(G2110)+2,FALSE))))</f>
        <v>0</v>
      </c>
      <c r="O2110" s="307">
        <f t="shared" si="565"/>
        <v>0</v>
      </c>
      <c r="P2110" s="560">
        <f>IF(G2110=0,0,VLOOKUP(YEAR(G2110),INPC!$B$4:$P$30,MONTH(G2110)+2))</f>
        <v>0</v>
      </c>
      <c r="Q2110" s="560">
        <f>IF(X2110=0,0,IF(OR(E2110=$AT$10,E2110=$AT$9),VLOOKUP(YEAR(X2110),INPC!$B$4:$P$30,MONTH(X2110)+1),VLOOKUP(YEAR(X2110),INPC!$B$4:$P$30,MONTH(X2110)+2,0)))</f>
        <v>0</v>
      </c>
      <c r="R2110" s="309">
        <f t="shared" si="566"/>
        <v>0</v>
      </c>
      <c r="S2110" s="310">
        <f t="shared" si="567"/>
        <v>0</v>
      </c>
      <c r="T2110" s="555">
        <f t="shared" si="568"/>
        <v>0</v>
      </c>
      <c r="U2110" s="311"/>
      <c r="V2110" s="312"/>
      <c r="W2110" s="299"/>
      <c r="X2110" s="300"/>
      <c r="Y2110" s="299"/>
      <c r="Z2110" s="303"/>
      <c r="AA2110" s="305">
        <f>IF(Z2110=0,0,IF(Y2110="MXN",1/HLOOKUP(YEAR(X2110)+(MONTH(X2110)/100),TC!$5:$37,DAY(X2110)+2,FALSE),VLOOKUP(Y2110,Equivalencia!$1:$23,((MAX(Equivalencia!$3:$3)-YEAR(X2110))*14)+MONTH(X2110)+2,FALSE)))</f>
        <v>0</v>
      </c>
      <c r="AB2110" s="306">
        <f t="shared" si="569"/>
        <v>0</v>
      </c>
      <c r="AC2110" s="305">
        <f>+IF(X2110=0,0,HLOOKUP(YEAR(X2110)+(MONTH(X2110)/100),TC!$5:$37,DAY(X2110)+2,FALSE))</f>
        <v>0</v>
      </c>
      <c r="AD2110" s="307">
        <f t="shared" si="570"/>
        <v>0</v>
      </c>
      <c r="AE2110" s="314">
        <f t="shared" si="571"/>
        <v>0</v>
      </c>
      <c r="AF2110" s="315">
        <f t="shared" si="572"/>
        <v>0</v>
      </c>
      <c r="AG2110" s="316">
        <f t="shared" si="573"/>
        <v>0</v>
      </c>
      <c r="AH2110" s="314">
        <v>1</v>
      </c>
      <c r="AI2110" s="314">
        <f t="shared" si="574"/>
        <v>0</v>
      </c>
      <c r="AJ2110" s="314">
        <f t="shared" si="575"/>
        <v>0</v>
      </c>
      <c r="AK2110" s="317"/>
      <c r="AL2110" s="315">
        <f t="shared" si="576"/>
        <v>0</v>
      </c>
      <c r="AN2110" s="554">
        <f t="shared" si="577"/>
        <v>0</v>
      </c>
      <c r="AO2110" s="314"/>
      <c r="AP2110" s="318"/>
    </row>
    <row r="2111" spans="2:42">
      <c r="B2111" s="296"/>
      <c r="C2111" s="299"/>
      <c r="D2111" s="298"/>
      <c r="E2111" s="299"/>
      <c r="F2111" s="299"/>
      <c r="G2111" s="300"/>
      <c r="H2111" s="303"/>
      <c r="I2111" s="301">
        <f t="shared" si="561"/>
        <v>0</v>
      </c>
      <c r="J2111" s="302">
        <f t="shared" si="562"/>
        <v>0</v>
      </c>
      <c r="K2111" s="304">
        <f t="shared" si="563"/>
        <v>0</v>
      </c>
      <c r="L2111" s="305">
        <f>IF(H2111=0,0,IF(OR(E2111=$AT$5,E2111=$AT$6),AA2111,IF(F2111="MXN",1/HLOOKUP(YEAR(G2111)+(MONTH(G2111)/100),TC!$5:$37,DAY(G2111)+2,FALSE),VLOOKUP(F2111,Equivalencia!$5:$23,((MAX(Equivalencia!$3:$3)-YEAR(G2111))*14)+MONTH(G2111)+2,FALSE))))</f>
        <v>0</v>
      </c>
      <c r="M2111" s="306">
        <f t="shared" si="564"/>
        <v>0</v>
      </c>
      <c r="N2111" s="305">
        <f>IF(G2111=0,0,(IF(OR(E2111=$AT$5,E2111=$AT$6),AC2111,HLOOKUP(YEAR(G2111)+(MONTH(G2111)/100),TC!$5:$37,DAY(G2111)+2,FALSE))))</f>
        <v>0</v>
      </c>
      <c r="O2111" s="307">
        <f t="shared" si="565"/>
        <v>0</v>
      </c>
      <c r="P2111" s="560">
        <f>IF(G2111=0,0,VLOOKUP(YEAR(G2111),INPC!$B$4:$P$30,MONTH(G2111)+2))</f>
        <v>0</v>
      </c>
      <c r="Q2111" s="560">
        <f>IF(X2111=0,0,IF(OR(E2111=$AT$10,E2111=$AT$9),VLOOKUP(YEAR(X2111),INPC!$B$4:$P$30,MONTH(X2111)+1),VLOOKUP(YEAR(X2111),INPC!$B$4:$P$30,MONTH(X2111)+2,0)))</f>
        <v>0</v>
      </c>
      <c r="R2111" s="309">
        <f t="shared" si="566"/>
        <v>0</v>
      </c>
      <c r="S2111" s="310">
        <f t="shared" si="567"/>
        <v>0</v>
      </c>
      <c r="T2111" s="555">
        <f t="shared" si="568"/>
        <v>0</v>
      </c>
      <c r="U2111" s="311"/>
      <c r="V2111" s="312"/>
      <c r="W2111" s="299"/>
      <c r="X2111" s="300"/>
      <c r="Y2111" s="299"/>
      <c r="Z2111" s="303"/>
      <c r="AA2111" s="305">
        <f>IF(Z2111=0,0,IF(Y2111="MXN",1/HLOOKUP(YEAR(X2111)+(MONTH(X2111)/100),TC!$5:$37,DAY(X2111)+2,FALSE),VLOOKUP(Y2111,Equivalencia!$1:$23,((MAX(Equivalencia!$3:$3)-YEAR(X2111))*14)+MONTH(X2111)+2,FALSE)))</f>
        <v>0</v>
      </c>
      <c r="AB2111" s="306">
        <f t="shared" si="569"/>
        <v>0</v>
      </c>
      <c r="AC2111" s="305">
        <f>+IF(X2111=0,0,HLOOKUP(YEAR(X2111)+(MONTH(X2111)/100),TC!$5:$37,DAY(X2111)+2,FALSE))</f>
        <v>0</v>
      </c>
      <c r="AD2111" s="307">
        <f t="shared" si="570"/>
        <v>0</v>
      </c>
      <c r="AE2111" s="314">
        <f t="shared" si="571"/>
        <v>0</v>
      </c>
      <c r="AF2111" s="315">
        <f t="shared" si="572"/>
        <v>0</v>
      </c>
      <c r="AG2111" s="316">
        <f t="shared" si="573"/>
        <v>0</v>
      </c>
      <c r="AH2111" s="314">
        <v>1</v>
      </c>
      <c r="AI2111" s="314">
        <f t="shared" si="574"/>
        <v>0</v>
      </c>
      <c r="AJ2111" s="314">
        <f t="shared" si="575"/>
        <v>0</v>
      </c>
      <c r="AK2111" s="317"/>
      <c r="AL2111" s="315">
        <f t="shared" si="576"/>
        <v>0</v>
      </c>
      <c r="AN2111" s="554">
        <f t="shared" si="577"/>
        <v>0</v>
      </c>
      <c r="AO2111" s="314"/>
      <c r="AP2111" s="318"/>
    </row>
    <row r="2112" spans="2:42">
      <c r="B2112" s="296"/>
      <c r="C2112" s="299"/>
      <c r="D2112" s="298"/>
      <c r="E2112" s="299"/>
      <c r="F2112" s="299"/>
      <c r="G2112" s="300"/>
      <c r="H2112" s="303"/>
      <c r="I2112" s="301">
        <f t="shared" si="561"/>
        <v>0</v>
      </c>
      <c r="J2112" s="302">
        <f t="shared" si="562"/>
        <v>0</v>
      </c>
      <c r="K2112" s="304">
        <f t="shared" si="563"/>
        <v>0</v>
      </c>
      <c r="L2112" s="305">
        <f>IF(H2112=0,0,IF(OR(E2112=$AT$5,E2112=$AT$6),AA2112,IF(F2112="MXN",1/HLOOKUP(YEAR(G2112)+(MONTH(G2112)/100),TC!$5:$37,DAY(G2112)+2,FALSE),VLOOKUP(F2112,Equivalencia!$5:$23,((MAX(Equivalencia!$3:$3)-YEAR(G2112))*14)+MONTH(G2112)+2,FALSE))))</f>
        <v>0</v>
      </c>
      <c r="M2112" s="306">
        <f t="shared" si="564"/>
        <v>0</v>
      </c>
      <c r="N2112" s="305">
        <f>IF(G2112=0,0,(IF(OR(E2112=$AT$5,E2112=$AT$6),AC2112,HLOOKUP(YEAR(G2112)+(MONTH(G2112)/100),TC!$5:$37,DAY(G2112)+2,FALSE))))</f>
        <v>0</v>
      </c>
      <c r="O2112" s="307">
        <f t="shared" si="565"/>
        <v>0</v>
      </c>
      <c r="P2112" s="560">
        <f>IF(G2112=0,0,VLOOKUP(YEAR(G2112),INPC!$B$4:$P$30,MONTH(G2112)+2))</f>
        <v>0</v>
      </c>
      <c r="Q2112" s="560">
        <f>IF(X2112=0,0,IF(OR(E2112=$AT$10,E2112=$AT$9),VLOOKUP(YEAR(X2112),INPC!$B$4:$P$30,MONTH(X2112)+1),VLOOKUP(YEAR(X2112),INPC!$B$4:$P$30,MONTH(X2112)+2,0)))</f>
        <v>0</v>
      </c>
      <c r="R2112" s="309">
        <f t="shared" si="566"/>
        <v>0</v>
      </c>
      <c r="S2112" s="310">
        <f t="shared" si="567"/>
        <v>0</v>
      </c>
      <c r="T2112" s="555">
        <f t="shared" si="568"/>
        <v>0</v>
      </c>
      <c r="U2112" s="311"/>
      <c r="V2112" s="312"/>
      <c r="W2112" s="299"/>
      <c r="X2112" s="300"/>
      <c r="Y2112" s="299"/>
      <c r="Z2112" s="303"/>
      <c r="AA2112" s="305">
        <f>IF(Z2112=0,0,IF(Y2112="MXN",1/HLOOKUP(YEAR(X2112)+(MONTH(X2112)/100),TC!$5:$37,DAY(X2112)+2,FALSE),VLOOKUP(Y2112,Equivalencia!$1:$23,((MAX(Equivalencia!$3:$3)-YEAR(X2112))*14)+MONTH(X2112)+2,FALSE)))</f>
        <v>0</v>
      </c>
      <c r="AB2112" s="306">
        <f t="shared" si="569"/>
        <v>0</v>
      </c>
      <c r="AC2112" s="305">
        <f>+IF(X2112=0,0,HLOOKUP(YEAR(X2112)+(MONTH(X2112)/100),TC!$5:$37,DAY(X2112)+2,FALSE))</f>
        <v>0</v>
      </c>
      <c r="AD2112" s="307">
        <f t="shared" si="570"/>
        <v>0</v>
      </c>
      <c r="AE2112" s="314">
        <f t="shared" si="571"/>
        <v>0</v>
      </c>
      <c r="AF2112" s="315">
        <f t="shared" si="572"/>
        <v>0</v>
      </c>
      <c r="AG2112" s="316">
        <f t="shared" si="573"/>
        <v>0</v>
      </c>
      <c r="AH2112" s="314">
        <v>1</v>
      </c>
      <c r="AI2112" s="314">
        <f t="shared" si="574"/>
        <v>0</v>
      </c>
      <c r="AJ2112" s="314">
        <f t="shared" si="575"/>
        <v>0</v>
      </c>
      <c r="AK2112" s="317"/>
      <c r="AL2112" s="315">
        <f t="shared" si="576"/>
        <v>0</v>
      </c>
      <c r="AN2112" s="554">
        <f t="shared" si="577"/>
        <v>0</v>
      </c>
      <c r="AO2112" s="314"/>
      <c r="AP2112" s="318"/>
    </row>
    <row r="2113" spans="2:42">
      <c r="B2113" s="296"/>
      <c r="C2113" s="299"/>
      <c r="D2113" s="298"/>
      <c r="E2113" s="299"/>
      <c r="F2113" s="299"/>
      <c r="G2113" s="300"/>
      <c r="H2113" s="303"/>
      <c r="I2113" s="301">
        <f t="shared" si="561"/>
        <v>0</v>
      </c>
      <c r="J2113" s="302">
        <f t="shared" si="562"/>
        <v>0</v>
      </c>
      <c r="K2113" s="304">
        <f t="shared" si="563"/>
        <v>0</v>
      </c>
      <c r="L2113" s="305">
        <f>IF(H2113=0,0,IF(OR(E2113=$AT$5,E2113=$AT$6),AA2113,IF(F2113="MXN",1/HLOOKUP(YEAR(G2113)+(MONTH(G2113)/100),TC!$5:$37,DAY(G2113)+2,FALSE),VLOOKUP(F2113,Equivalencia!$5:$23,((MAX(Equivalencia!$3:$3)-YEAR(G2113))*14)+MONTH(G2113)+2,FALSE))))</f>
        <v>0</v>
      </c>
      <c r="M2113" s="306">
        <f t="shared" si="564"/>
        <v>0</v>
      </c>
      <c r="N2113" s="305">
        <f>IF(G2113=0,0,(IF(OR(E2113=$AT$5,E2113=$AT$6),AC2113,HLOOKUP(YEAR(G2113)+(MONTH(G2113)/100),TC!$5:$37,DAY(G2113)+2,FALSE))))</f>
        <v>0</v>
      </c>
      <c r="O2113" s="307">
        <f t="shared" si="565"/>
        <v>0</v>
      </c>
      <c r="P2113" s="560">
        <f>IF(G2113=0,0,VLOOKUP(YEAR(G2113),INPC!$B$4:$P$30,MONTH(G2113)+2))</f>
        <v>0</v>
      </c>
      <c r="Q2113" s="560">
        <f>IF(X2113=0,0,IF(OR(E2113=$AT$10,E2113=$AT$9),VLOOKUP(YEAR(X2113),INPC!$B$4:$P$30,MONTH(X2113)+1),VLOOKUP(YEAR(X2113),INPC!$B$4:$P$30,MONTH(X2113)+2,0)))</f>
        <v>0</v>
      </c>
      <c r="R2113" s="309">
        <f t="shared" si="566"/>
        <v>0</v>
      </c>
      <c r="S2113" s="310">
        <f t="shared" si="567"/>
        <v>0</v>
      </c>
      <c r="T2113" s="555">
        <f t="shared" si="568"/>
        <v>0</v>
      </c>
      <c r="U2113" s="311"/>
      <c r="V2113" s="312"/>
      <c r="W2113" s="299"/>
      <c r="X2113" s="300"/>
      <c r="Y2113" s="299"/>
      <c r="Z2113" s="303"/>
      <c r="AA2113" s="305">
        <f>IF(Z2113=0,0,IF(Y2113="MXN",1/HLOOKUP(YEAR(X2113)+(MONTH(X2113)/100),TC!$5:$37,DAY(X2113)+2,FALSE),VLOOKUP(Y2113,Equivalencia!$1:$23,((MAX(Equivalencia!$3:$3)-YEAR(X2113))*14)+MONTH(X2113)+2,FALSE)))</f>
        <v>0</v>
      </c>
      <c r="AB2113" s="306">
        <f t="shared" si="569"/>
        <v>0</v>
      </c>
      <c r="AC2113" s="305">
        <f>+IF(X2113=0,0,HLOOKUP(YEAR(X2113)+(MONTH(X2113)/100),TC!$5:$37,DAY(X2113)+2,FALSE))</f>
        <v>0</v>
      </c>
      <c r="AD2113" s="307">
        <f t="shared" si="570"/>
        <v>0</v>
      </c>
      <c r="AE2113" s="314">
        <f t="shared" si="571"/>
        <v>0</v>
      </c>
      <c r="AF2113" s="315">
        <f t="shared" si="572"/>
        <v>0</v>
      </c>
      <c r="AG2113" s="316">
        <f t="shared" si="573"/>
        <v>0</v>
      </c>
      <c r="AH2113" s="314">
        <v>1</v>
      </c>
      <c r="AI2113" s="314">
        <f t="shared" si="574"/>
        <v>0</v>
      </c>
      <c r="AJ2113" s="314">
        <f t="shared" si="575"/>
        <v>0</v>
      </c>
      <c r="AK2113" s="317"/>
      <c r="AL2113" s="315">
        <f t="shared" si="576"/>
        <v>0</v>
      </c>
      <c r="AN2113" s="554">
        <f t="shared" si="577"/>
        <v>0</v>
      </c>
      <c r="AO2113" s="314"/>
      <c r="AP2113" s="318"/>
    </row>
    <row r="2114" spans="2:42">
      <c r="B2114" s="296"/>
      <c r="C2114" s="299"/>
      <c r="D2114" s="298"/>
      <c r="E2114" s="299"/>
      <c r="F2114" s="299"/>
      <c r="G2114" s="300"/>
      <c r="H2114" s="303"/>
      <c r="I2114" s="301">
        <f t="shared" si="561"/>
        <v>0</v>
      </c>
      <c r="J2114" s="302">
        <f t="shared" si="562"/>
        <v>0</v>
      </c>
      <c r="K2114" s="304">
        <f t="shared" si="563"/>
        <v>0</v>
      </c>
      <c r="L2114" s="305">
        <f>IF(H2114=0,0,IF(OR(E2114=$AT$5,E2114=$AT$6),AA2114,IF(F2114="MXN",1/HLOOKUP(YEAR(G2114)+(MONTH(G2114)/100),TC!$5:$37,DAY(G2114)+2,FALSE),VLOOKUP(F2114,Equivalencia!$5:$23,((MAX(Equivalencia!$3:$3)-YEAR(G2114))*14)+MONTH(G2114)+2,FALSE))))</f>
        <v>0</v>
      </c>
      <c r="M2114" s="306">
        <f t="shared" si="564"/>
        <v>0</v>
      </c>
      <c r="N2114" s="305">
        <f>IF(G2114=0,0,(IF(OR(E2114=$AT$5,E2114=$AT$6),AC2114,HLOOKUP(YEAR(G2114)+(MONTH(G2114)/100),TC!$5:$37,DAY(G2114)+2,FALSE))))</f>
        <v>0</v>
      </c>
      <c r="O2114" s="307">
        <f t="shared" si="565"/>
        <v>0</v>
      </c>
      <c r="P2114" s="560">
        <f>IF(G2114=0,0,VLOOKUP(YEAR(G2114),INPC!$B$4:$P$30,MONTH(G2114)+2))</f>
        <v>0</v>
      </c>
      <c r="Q2114" s="560">
        <f>IF(X2114=0,0,IF(OR(E2114=$AT$10,E2114=$AT$9),VLOOKUP(YEAR(X2114),INPC!$B$4:$P$30,MONTH(X2114)+1),VLOOKUP(YEAR(X2114),INPC!$B$4:$P$30,MONTH(X2114)+2,0)))</f>
        <v>0</v>
      </c>
      <c r="R2114" s="309">
        <f t="shared" si="566"/>
        <v>0</v>
      </c>
      <c r="S2114" s="310">
        <f t="shared" si="567"/>
        <v>0</v>
      </c>
      <c r="T2114" s="555">
        <f t="shared" si="568"/>
        <v>0</v>
      </c>
      <c r="U2114" s="311"/>
      <c r="V2114" s="312"/>
      <c r="W2114" s="299"/>
      <c r="X2114" s="300"/>
      <c r="Y2114" s="299"/>
      <c r="Z2114" s="303"/>
      <c r="AA2114" s="305">
        <f>IF(Z2114=0,0,IF(Y2114="MXN",1/HLOOKUP(YEAR(X2114)+(MONTH(X2114)/100),TC!$5:$37,DAY(X2114)+2,FALSE),VLOOKUP(Y2114,Equivalencia!$1:$23,((MAX(Equivalencia!$3:$3)-YEAR(X2114))*14)+MONTH(X2114)+2,FALSE)))</f>
        <v>0</v>
      </c>
      <c r="AB2114" s="306">
        <f t="shared" si="569"/>
        <v>0</v>
      </c>
      <c r="AC2114" s="305">
        <f>+IF(X2114=0,0,HLOOKUP(YEAR(X2114)+(MONTH(X2114)/100),TC!$5:$37,DAY(X2114)+2,FALSE))</f>
        <v>0</v>
      </c>
      <c r="AD2114" s="307">
        <f t="shared" si="570"/>
        <v>0</v>
      </c>
      <c r="AE2114" s="314">
        <f t="shared" si="571"/>
        <v>0</v>
      </c>
      <c r="AF2114" s="315">
        <f t="shared" si="572"/>
        <v>0</v>
      </c>
      <c r="AG2114" s="316">
        <f t="shared" si="573"/>
        <v>0</v>
      </c>
      <c r="AH2114" s="314">
        <v>1</v>
      </c>
      <c r="AI2114" s="314">
        <f t="shared" si="574"/>
        <v>0</v>
      </c>
      <c r="AJ2114" s="314">
        <f t="shared" si="575"/>
        <v>0</v>
      </c>
      <c r="AK2114" s="317"/>
      <c r="AL2114" s="315">
        <f t="shared" si="576"/>
        <v>0</v>
      </c>
      <c r="AN2114" s="554">
        <f t="shared" si="577"/>
        <v>0</v>
      </c>
      <c r="AO2114" s="314"/>
      <c r="AP2114" s="318"/>
    </row>
    <row r="2115" spans="2:42">
      <c r="B2115" s="296"/>
      <c r="C2115" s="299"/>
      <c r="D2115" s="298"/>
      <c r="E2115" s="299"/>
      <c r="F2115" s="299"/>
      <c r="G2115" s="300"/>
      <c r="H2115" s="303"/>
      <c r="I2115" s="301">
        <f t="shared" si="561"/>
        <v>0</v>
      </c>
      <c r="J2115" s="302">
        <f t="shared" si="562"/>
        <v>0</v>
      </c>
      <c r="K2115" s="304">
        <f t="shared" si="563"/>
        <v>0</v>
      </c>
      <c r="L2115" s="305">
        <f>IF(H2115=0,0,IF(OR(E2115=$AT$5,E2115=$AT$6),AA2115,IF(F2115="MXN",1/HLOOKUP(YEAR(G2115)+(MONTH(G2115)/100),TC!$5:$37,DAY(G2115)+2,FALSE),VLOOKUP(F2115,Equivalencia!$5:$23,((MAX(Equivalencia!$3:$3)-YEAR(G2115))*14)+MONTH(G2115)+2,FALSE))))</f>
        <v>0</v>
      </c>
      <c r="M2115" s="306">
        <f t="shared" si="564"/>
        <v>0</v>
      </c>
      <c r="N2115" s="305">
        <f>IF(G2115=0,0,(IF(OR(E2115=$AT$5,E2115=$AT$6),AC2115,HLOOKUP(YEAR(G2115)+(MONTH(G2115)/100),TC!$5:$37,DAY(G2115)+2,FALSE))))</f>
        <v>0</v>
      </c>
      <c r="O2115" s="307">
        <f t="shared" si="565"/>
        <v>0</v>
      </c>
      <c r="P2115" s="560">
        <f>IF(G2115=0,0,VLOOKUP(YEAR(G2115),INPC!$B$4:$P$30,MONTH(G2115)+2))</f>
        <v>0</v>
      </c>
      <c r="Q2115" s="560">
        <f>IF(X2115=0,0,IF(OR(E2115=$AT$10,E2115=$AT$9),VLOOKUP(YEAR(X2115),INPC!$B$4:$P$30,MONTH(X2115)+1),VLOOKUP(YEAR(X2115),INPC!$B$4:$P$30,MONTH(X2115)+2,0)))</f>
        <v>0</v>
      </c>
      <c r="R2115" s="309">
        <f t="shared" si="566"/>
        <v>0</v>
      </c>
      <c r="S2115" s="310">
        <f t="shared" si="567"/>
        <v>0</v>
      </c>
      <c r="T2115" s="555">
        <f t="shared" si="568"/>
        <v>0</v>
      </c>
      <c r="U2115" s="311"/>
      <c r="V2115" s="312"/>
      <c r="W2115" s="299"/>
      <c r="X2115" s="300"/>
      <c r="Y2115" s="299"/>
      <c r="Z2115" s="303"/>
      <c r="AA2115" s="305">
        <f>IF(Z2115=0,0,IF(Y2115="MXN",1/HLOOKUP(YEAR(X2115)+(MONTH(X2115)/100),TC!$5:$37,DAY(X2115)+2,FALSE),VLOOKUP(Y2115,Equivalencia!$1:$23,((MAX(Equivalencia!$3:$3)-YEAR(X2115))*14)+MONTH(X2115)+2,FALSE)))</f>
        <v>0</v>
      </c>
      <c r="AB2115" s="306">
        <f t="shared" si="569"/>
        <v>0</v>
      </c>
      <c r="AC2115" s="305">
        <f>+IF(X2115=0,0,HLOOKUP(YEAR(X2115)+(MONTH(X2115)/100),TC!$5:$37,DAY(X2115)+2,FALSE))</f>
        <v>0</v>
      </c>
      <c r="AD2115" s="307">
        <f t="shared" si="570"/>
        <v>0</v>
      </c>
      <c r="AE2115" s="314">
        <f t="shared" si="571"/>
        <v>0</v>
      </c>
      <c r="AF2115" s="315">
        <f t="shared" si="572"/>
        <v>0</v>
      </c>
      <c r="AG2115" s="316">
        <f t="shared" si="573"/>
        <v>0</v>
      </c>
      <c r="AH2115" s="314">
        <v>1</v>
      </c>
      <c r="AI2115" s="314">
        <f t="shared" si="574"/>
        <v>0</v>
      </c>
      <c r="AJ2115" s="314">
        <f t="shared" si="575"/>
        <v>0</v>
      </c>
      <c r="AK2115" s="317"/>
      <c r="AL2115" s="315">
        <f t="shared" si="576"/>
        <v>0</v>
      </c>
      <c r="AN2115" s="554">
        <f t="shared" si="577"/>
        <v>0</v>
      </c>
      <c r="AO2115" s="314"/>
      <c r="AP2115" s="318"/>
    </row>
    <row r="2116" spans="2:42">
      <c r="B2116" s="296"/>
      <c r="C2116" s="299"/>
      <c r="D2116" s="298"/>
      <c r="E2116" s="299"/>
      <c r="F2116" s="299"/>
      <c r="G2116" s="300"/>
      <c r="H2116" s="303"/>
      <c r="I2116" s="301">
        <f t="shared" si="561"/>
        <v>0</v>
      </c>
      <c r="J2116" s="302">
        <f t="shared" si="562"/>
        <v>0</v>
      </c>
      <c r="K2116" s="304">
        <f t="shared" si="563"/>
        <v>0</v>
      </c>
      <c r="L2116" s="305">
        <f>IF(H2116=0,0,IF(OR(E2116=$AT$5,E2116=$AT$6),AA2116,IF(F2116="MXN",1/HLOOKUP(YEAR(G2116)+(MONTH(G2116)/100),TC!$5:$37,DAY(G2116)+2,FALSE),VLOOKUP(F2116,Equivalencia!$5:$23,((MAX(Equivalencia!$3:$3)-YEAR(G2116))*14)+MONTH(G2116)+2,FALSE))))</f>
        <v>0</v>
      </c>
      <c r="M2116" s="306">
        <f t="shared" si="564"/>
        <v>0</v>
      </c>
      <c r="N2116" s="305">
        <f>IF(G2116=0,0,(IF(OR(E2116=$AT$5,E2116=$AT$6),AC2116,HLOOKUP(YEAR(G2116)+(MONTH(G2116)/100),TC!$5:$37,DAY(G2116)+2,FALSE))))</f>
        <v>0</v>
      </c>
      <c r="O2116" s="307">
        <f t="shared" si="565"/>
        <v>0</v>
      </c>
      <c r="P2116" s="560">
        <f>IF(G2116=0,0,VLOOKUP(YEAR(G2116),INPC!$B$4:$P$30,MONTH(G2116)+2))</f>
        <v>0</v>
      </c>
      <c r="Q2116" s="560">
        <f>IF(X2116=0,0,IF(OR(E2116=$AT$10,E2116=$AT$9),VLOOKUP(YEAR(X2116),INPC!$B$4:$P$30,MONTH(X2116)+1),VLOOKUP(YEAR(X2116),INPC!$B$4:$P$30,MONTH(X2116)+2,0)))</f>
        <v>0</v>
      </c>
      <c r="R2116" s="309">
        <f t="shared" si="566"/>
        <v>0</v>
      </c>
      <c r="S2116" s="310">
        <f t="shared" si="567"/>
        <v>0</v>
      </c>
      <c r="T2116" s="555">
        <f t="shared" si="568"/>
        <v>0</v>
      </c>
      <c r="U2116" s="311"/>
      <c r="V2116" s="312"/>
      <c r="W2116" s="299"/>
      <c r="X2116" s="300"/>
      <c r="Y2116" s="299"/>
      <c r="Z2116" s="303"/>
      <c r="AA2116" s="305">
        <f>IF(Z2116=0,0,IF(Y2116="MXN",1/HLOOKUP(YEAR(X2116)+(MONTH(X2116)/100),TC!$5:$37,DAY(X2116)+2,FALSE),VLOOKUP(Y2116,Equivalencia!$1:$23,((MAX(Equivalencia!$3:$3)-YEAR(X2116))*14)+MONTH(X2116)+2,FALSE)))</f>
        <v>0</v>
      </c>
      <c r="AB2116" s="306">
        <f t="shared" si="569"/>
        <v>0</v>
      </c>
      <c r="AC2116" s="305">
        <f>+IF(X2116=0,0,HLOOKUP(YEAR(X2116)+(MONTH(X2116)/100),TC!$5:$37,DAY(X2116)+2,FALSE))</f>
        <v>0</v>
      </c>
      <c r="AD2116" s="307">
        <f t="shared" si="570"/>
        <v>0</v>
      </c>
      <c r="AE2116" s="314">
        <f t="shared" si="571"/>
        <v>0</v>
      </c>
      <c r="AF2116" s="315">
        <f t="shared" si="572"/>
        <v>0</v>
      </c>
      <c r="AG2116" s="316">
        <f t="shared" si="573"/>
        <v>0</v>
      </c>
      <c r="AH2116" s="314">
        <v>1</v>
      </c>
      <c r="AI2116" s="314">
        <f t="shared" si="574"/>
        <v>0</v>
      </c>
      <c r="AJ2116" s="314">
        <f t="shared" si="575"/>
        <v>0</v>
      </c>
      <c r="AK2116" s="317"/>
      <c r="AL2116" s="315">
        <f t="shared" si="576"/>
        <v>0</v>
      </c>
      <c r="AN2116" s="554">
        <f t="shared" si="577"/>
        <v>0</v>
      </c>
      <c r="AO2116" s="314"/>
      <c r="AP2116" s="318"/>
    </row>
    <row r="2117" spans="2:42">
      <c r="B2117" s="296"/>
      <c r="C2117" s="299"/>
      <c r="D2117" s="298"/>
      <c r="E2117" s="299"/>
      <c r="F2117" s="299"/>
      <c r="G2117" s="300"/>
      <c r="H2117" s="303"/>
      <c r="I2117" s="301">
        <f t="shared" si="561"/>
        <v>0</v>
      </c>
      <c r="J2117" s="302">
        <f t="shared" si="562"/>
        <v>0</v>
      </c>
      <c r="K2117" s="304">
        <f t="shared" si="563"/>
        <v>0</v>
      </c>
      <c r="L2117" s="305">
        <f>IF(H2117=0,0,IF(OR(E2117=$AT$5,E2117=$AT$6),AA2117,IF(F2117="MXN",1/HLOOKUP(YEAR(G2117)+(MONTH(G2117)/100),TC!$5:$37,DAY(G2117)+2,FALSE),VLOOKUP(F2117,Equivalencia!$5:$23,((MAX(Equivalencia!$3:$3)-YEAR(G2117))*14)+MONTH(G2117)+2,FALSE))))</f>
        <v>0</v>
      </c>
      <c r="M2117" s="306">
        <f t="shared" si="564"/>
        <v>0</v>
      </c>
      <c r="N2117" s="305">
        <f>IF(G2117=0,0,(IF(OR(E2117=$AT$5,E2117=$AT$6),AC2117,HLOOKUP(YEAR(G2117)+(MONTH(G2117)/100),TC!$5:$37,DAY(G2117)+2,FALSE))))</f>
        <v>0</v>
      </c>
      <c r="O2117" s="307">
        <f t="shared" si="565"/>
        <v>0</v>
      </c>
      <c r="P2117" s="560">
        <f>IF(G2117=0,0,VLOOKUP(YEAR(G2117),INPC!$B$4:$P$30,MONTH(G2117)+2))</f>
        <v>0</v>
      </c>
      <c r="Q2117" s="560">
        <f>IF(X2117=0,0,IF(OR(E2117=$AT$10,E2117=$AT$9),VLOOKUP(YEAR(X2117),INPC!$B$4:$P$30,MONTH(X2117)+1),VLOOKUP(YEAR(X2117),INPC!$B$4:$P$30,MONTH(X2117)+2,0)))</f>
        <v>0</v>
      </c>
      <c r="R2117" s="309">
        <f t="shared" si="566"/>
        <v>0</v>
      </c>
      <c r="S2117" s="310">
        <f t="shared" si="567"/>
        <v>0</v>
      </c>
      <c r="T2117" s="555">
        <f t="shared" si="568"/>
        <v>0</v>
      </c>
      <c r="U2117" s="311"/>
      <c r="V2117" s="312"/>
      <c r="W2117" s="299"/>
      <c r="X2117" s="300"/>
      <c r="Y2117" s="299"/>
      <c r="Z2117" s="303"/>
      <c r="AA2117" s="305">
        <f>IF(Z2117=0,0,IF(Y2117="MXN",1/HLOOKUP(YEAR(X2117)+(MONTH(X2117)/100),TC!$5:$37,DAY(X2117)+2,FALSE),VLOOKUP(Y2117,Equivalencia!$1:$23,((MAX(Equivalencia!$3:$3)-YEAR(X2117))*14)+MONTH(X2117)+2,FALSE)))</f>
        <v>0</v>
      </c>
      <c r="AB2117" s="306">
        <f t="shared" si="569"/>
        <v>0</v>
      </c>
      <c r="AC2117" s="305">
        <f>+IF(X2117=0,0,HLOOKUP(YEAR(X2117)+(MONTH(X2117)/100),TC!$5:$37,DAY(X2117)+2,FALSE))</f>
        <v>0</v>
      </c>
      <c r="AD2117" s="307">
        <f t="shared" si="570"/>
        <v>0</v>
      </c>
      <c r="AE2117" s="314">
        <f t="shared" si="571"/>
        <v>0</v>
      </c>
      <c r="AF2117" s="315">
        <f t="shared" si="572"/>
        <v>0</v>
      </c>
      <c r="AG2117" s="316">
        <f t="shared" si="573"/>
        <v>0</v>
      </c>
      <c r="AH2117" s="314">
        <v>1</v>
      </c>
      <c r="AI2117" s="314">
        <f t="shared" si="574"/>
        <v>0</v>
      </c>
      <c r="AJ2117" s="314">
        <f t="shared" si="575"/>
        <v>0</v>
      </c>
      <c r="AK2117" s="317"/>
      <c r="AL2117" s="315">
        <f t="shared" si="576"/>
        <v>0</v>
      </c>
      <c r="AN2117" s="554">
        <f t="shared" si="577"/>
        <v>0</v>
      </c>
      <c r="AO2117" s="314"/>
      <c r="AP2117" s="318"/>
    </row>
    <row r="2118" spans="2:42">
      <c r="B2118" s="296"/>
      <c r="C2118" s="299"/>
      <c r="D2118" s="298"/>
      <c r="E2118" s="299"/>
      <c r="F2118" s="299"/>
      <c r="G2118" s="300"/>
      <c r="H2118" s="303"/>
      <c r="I2118" s="301">
        <f t="shared" si="561"/>
        <v>0</v>
      </c>
      <c r="J2118" s="302">
        <f t="shared" si="562"/>
        <v>0</v>
      </c>
      <c r="K2118" s="304">
        <f t="shared" si="563"/>
        <v>0</v>
      </c>
      <c r="L2118" s="305">
        <f>IF(H2118=0,0,IF(OR(E2118=$AT$5,E2118=$AT$6),AA2118,IF(F2118="MXN",1/HLOOKUP(YEAR(G2118)+(MONTH(G2118)/100),TC!$5:$37,DAY(G2118)+2,FALSE),VLOOKUP(F2118,Equivalencia!$5:$23,((MAX(Equivalencia!$3:$3)-YEAR(G2118))*14)+MONTH(G2118)+2,FALSE))))</f>
        <v>0</v>
      </c>
      <c r="M2118" s="306">
        <f t="shared" si="564"/>
        <v>0</v>
      </c>
      <c r="N2118" s="305">
        <f>IF(G2118=0,0,(IF(OR(E2118=$AT$5,E2118=$AT$6),AC2118,HLOOKUP(YEAR(G2118)+(MONTH(G2118)/100),TC!$5:$37,DAY(G2118)+2,FALSE))))</f>
        <v>0</v>
      </c>
      <c r="O2118" s="307">
        <f t="shared" si="565"/>
        <v>0</v>
      </c>
      <c r="P2118" s="560">
        <f>IF(G2118=0,0,VLOOKUP(YEAR(G2118),INPC!$B$4:$P$30,MONTH(G2118)+2))</f>
        <v>0</v>
      </c>
      <c r="Q2118" s="560">
        <f>IF(X2118=0,0,IF(OR(E2118=$AT$10,E2118=$AT$9),VLOOKUP(YEAR(X2118),INPC!$B$4:$P$30,MONTH(X2118)+1),VLOOKUP(YEAR(X2118),INPC!$B$4:$P$30,MONTH(X2118)+2,0)))</f>
        <v>0</v>
      </c>
      <c r="R2118" s="309">
        <f t="shared" si="566"/>
        <v>0</v>
      </c>
      <c r="S2118" s="310">
        <f t="shared" si="567"/>
        <v>0</v>
      </c>
      <c r="T2118" s="555">
        <f t="shared" si="568"/>
        <v>0</v>
      </c>
      <c r="U2118" s="311"/>
      <c r="V2118" s="312"/>
      <c r="W2118" s="299"/>
      <c r="X2118" s="300"/>
      <c r="Y2118" s="299"/>
      <c r="Z2118" s="303"/>
      <c r="AA2118" s="305">
        <f>IF(Z2118=0,0,IF(Y2118="MXN",1/HLOOKUP(YEAR(X2118)+(MONTH(X2118)/100),TC!$5:$37,DAY(X2118)+2,FALSE),VLOOKUP(Y2118,Equivalencia!$1:$23,((MAX(Equivalencia!$3:$3)-YEAR(X2118))*14)+MONTH(X2118)+2,FALSE)))</f>
        <v>0</v>
      </c>
      <c r="AB2118" s="306">
        <f t="shared" si="569"/>
        <v>0</v>
      </c>
      <c r="AC2118" s="305">
        <f>+IF(X2118=0,0,HLOOKUP(YEAR(X2118)+(MONTH(X2118)/100),TC!$5:$37,DAY(X2118)+2,FALSE))</f>
        <v>0</v>
      </c>
      <c r="AD2118" s="307">
        <f t="shared" si="570"/>
        <v>0</v>
      </c>
      <c r="AE2118" s="314">
        <f t="shared" si="571"/>
        <v>0</v>
      </c>
      <c r="AF2118" s="315">
        <f t="shared" si="572"/>
        <v>0</v>
      </c>
      <c r="AG2118" s="316">
        <f t="shared" si="573"/>
        <v>0</v>
      </c>
      <c r="AH2118" s="314">
        <v>1</v>
      </c>
      <c r="AI2118" s="314">
        <f t="shared" si="574"/>
        <v>0</v>
      </c>
      <c r="AJ2118" s="314">
        <f t="shared" si="575"/>
        <v>0</v>
      </c>
      <c r="AK2118" s="317"/>
      <c r="AL2118" s="315">
        <f t="shared" si="576"/>
        <v>0</v>
      </c>
      <c r="AN2118" s="554">
        <f t="shared" si="577"/>
        <v>0</v>
      </c>
      <c r="AO2118" s="314"/>
      <c r="AP2118" s="318"/>
    </row>
    <row r="2119" spans="2:42">
      <c r="B2119" s="296"/>
      <c r="C2119" s="299"/>
      <c r="D2119" s="298"/>
      <c r="E2119" s="299"/>
      <c r="F2119" s="299"/>
      <c r="G2119" s="300"/>
      <c r="H2119" s="303"/>
      <c r="I2119" s="301">
        <f t="shared" si="561"/>
        <v>0</v>
      </c>
      <c r="J2119" s="302">
        <f t="shared" si="562"/>
        <v>0</v>
      </c>
      <c r="K2119" s="304">
        <f t="shared" si="563"/>
        <v>0</v>
      </c>
      <c r="L2119" s="305">
        <f>IF(H2119=0,0,IF(OR(E2119=$AT$5,E2119=$AT$6),AA2119,IF(F2119="MXN",1/HLOOKUP(YEAR(G2119)+(MONTH(G2119)/100),TC!$5:$37,DAY(G2119)+2,FALSE),VLOOKUP(F2119,Equivalencia!$5:$23,((MAX(Equivalencia!$3:$3)-YEAR(G2119))*14)+MONTH(G2119)+2,FALSE))))</f>
        <v>0</v>
      </c>
      <c r="M2119" s="306">
        <f t="shared" si="564"/>
        <v>0</v>
      </c>
      <c r="N2119" s="305">
        <f>IF(G2119=0,0,(IF(OR(E2119=$AT$5,E2119=$AT$6),AC2119,HLOOKUP(YEAR(G2119)+(MONTH(G2119)/100),TC!$5:$37,DAY(G2119)+2,FALSE))))</f>
        <v>0</v>
      </c>
      <c r="O2119" s="307">
        <f t="shared" si="565"/>
        <v>0</v>
      </c>
      <c r="P2119" s="560">
        <f>IF(G2119=0,0,VLOOKUP(YEAR(G2119),INPC!$B$4:$P$30,MONTH(G2119)+2))</f>
        <v>0</v>
      </c>
      <c r="Q2119" s="560">
        <f>IF(X2119=0,0,IF(OR(E2119=$AT$10,E2119=$AT$9),VLOOKUP(YEAR(X2119),INPC!$B$4:$P$30,MONTH(X2119)+1),VLOOKUP(YEAR(X2119),INPC!$B$4:$P$30,MONTH(X2119)+2,0)))</f>
        <v>0</v>
      </c>
      <c r="R2119" s="309">
        <f t="shared" si="566"/>
        <v>0</v>
      </c>
      <c r="S2119" s="310">
        <f t="shared" si="567"/>
        <v>0</v>
      </c>
      <c r="T2119" s="555">
        <f t="shared" si="568"/>
        <v>0</v>
      </c>
      <c r="U2119" s="311"/>
      <c r="V2119" s="312"/>
      <c r="W2119" s="299"/>
      <c r="X2119" s="300"/>
      <c r="Y2119" s="299"/>
      <c r="Z2119" s="303"/>
      <c r="AA2119" s="305">
        <f>IF(Z2119=0,0,IF(Y2119="MXN",1/HLOOKUP(YEAR(X2119)+(MONTH(X2119)/100),TC!$5:$37,DAY(X2119)+2,FALSE),VLOOKUP(Y2119,Equivalencia!$1:$23,((MAX(Equivalencia!$3:$3)-YEAR(X2119))*14)+MONTH(X2119)+2,FALSE)))</f>
        <v>0</v>
      </c>
      <c r="AB2119" s="306">
        <f t="shared" si="569"/>
        <v>0</v>
      </c>
      <c r="AC2119" s="305">
        <f>+IF(X2119=0,0,HLOOKUP(YEAR(X2119)+(MONTH(X2119)/100),TC!$5:$37,DAY(X2119)+2,FALSE))</f>
        <v>0</v>
      </c>
      <c r="AD2119" s="307">
        <f t="shared" si="570"/>
        <v>0</v>
      </c>
      <c r="AE2119" s="314">
        <f t="shared" si="571"/>
        <v>0</v>
      </c>
      <c r="AF2119" s="315">
        <f t="shared" si="572"/>
        <v>0</v>
      </c>
      <c r="AG2119" s="316">
        <f t="shared" si="573"/>
        <v>0</v>
      </c>
      <c r="AH2119" s="314">
        <v>1</v>
      </c>
      <c r="AI2119" s="314">
        <f t="shared" si="574"/>
        <v>0</v>
      </c>
      <c r="AJ2119" s="314">
        <f t="shared" si="575"/>
        <v>0</v>
      </c>
      <c r="AK2119" s="317"/>
      <c r="AL2119" s="315">
        <f t="shared" si="576"/>
        <v>0</v>
      </c>
      <c r="AN2119" s="554">
        <f t="shared" si="577"/>
        <v>0</v>
      </c>
      <c r="AO2119" s="314"/>
      <c r="AP2119" s="318"/>
    </row>
    <row r="2120" spans="2:42">
      <c r="B2120" s="296"/>
      <c r="C2120" s="299"/>
      <c r="D2120" s="298"/>
      <c r="E2120" s="299"/>
      <c r="F2120" s="299"/>
      <c r="G2120" s="300"/>
      <c r="H2120" s="303"/>
      <c r="I2120" s="301">
        <f t="shared" si="561"/>
        <v>0</v>
      </c>
      <c r="J2120" s="302">
        <f t="shared" si="562"/>
        <v>0</v>
      </c>
      <c r="K2120" s="304">
        <f t="shared" si="563"/>
        <v>0</v>
      </c>
      <c r="L2120" s="305">
        <f>IF(H2120=0,0,IF(OR(E2120=$AT$5,E2120=$AT$6),AA2120,IF(F2120="MXN",1/HLOOKUP(YEAR(G2120)+(MONTH(G2120)/100),TC!$5:$37,DAY(G2120)+2,FALSE),VLOOKUP(F2120,Equivalencia!$5:$23,((MAX(Equivalencia!$3:$3)-YEAR(G2120))*14)+MONTH(G2120)+2,FALSE))))</f>
        <v>0</v>
      </c>
      <c r="M2120" s="306">
        <f t="shared" si="564"/>
        <v>0</v>
      </c>
      <c r="N2120" s="305">
        <f>IF(G2120=0,0,(IF(OR(E2120=$AT$5,E2120=$AT$6),AC2120,HLOOKUP(YEAR(G2120)+(MONTH(G2120)/100),TC!$5:$37,DAY(G2120)+2,FALSE))))</f>
        <v>0</v>
      </c>
      <c r="O2120" s="307">
        <f t="shared" si="565"/>
        <v>0</v>
      </c>
      <c r="P2120" s="560">
        <f>IF(G2120=0,0,VLOOKUP(YEAR(G2120),INPC!$B$4:$P$30,MONTH(G2120)+2))</f>
        <v>0</v>
      </c>
      <c r="Q2120" s="560">
        <f>IF(X2120=0,0,IF(OR(E2120=$AT$10,E2120=$AT$9),VLOOKUP(YEAR(X2120),INPC!$B$4:$P$30,MONTH(X2120)+1),VLOOKUP(YEAR(X2120),INPC!$B$4:$P$30,MONTH(X2120)+2,0)))</f>
        <v>0</v>
      </c>
      <c r="R2120" s="309">
        <f t="shared" si="566"/>
        <v>0</v>
      </c>
      <c r="S2120" s="310">
        <f t="shared" si="567"/>
        <v>0</v>
      </c>
      <c r="T2120" s="555">
        <f t="shared" si="568"/>
        <v>0</v>
      </c>
      <c r="U2120" s="311"/>
      <c r="V2120" s="312"/>
      <c r="W2120" s="299"/>
      <c r="X2120" s="300"/>
      <c r="Y2120" s="299"/>
      <c r="Z2120" s="303"/>
      <c r="AA2120" s="305">
        <f>IF(Z2120=0,0,IF(Y2120="MXN",1/HLOOKUP(YEAR(X2120)+(MONTH(X2120)/100),TC!$5:$37,DAY(X2120)+2,FALSE),VLOOKUP(Y2120,Equivalencia!$1:$23,((MAX(Equivalencia!$3:$3)-YEAR(X2120))*14)+MONTH(X2120)+2,FALSE)))</f>
        <v>0</v>
      </c>
      <c r="AB2120" s="306">
        <f t="shared" si="569"/>
        <v>0</v>
      </c>
      <c r="AC2120" s="305">
        <f>+IF(X2120=0,0,HLOOKUP(YEAR(X2120)+(MONTH(X2120)/100),TC!$5:$37,DAY(X2120)+2,FALSE))</f>
        <v>0</v>
      </c>
      <c r="AD2120" s="307">
        <f t="shared" si="570"/>
        <v>0</v>
      </c>
      <c r="AE2120" s="314">
        <f t="shared" si="571"/>
        <v>0</v>
      </c>
      <c r="AF2120" s="315">
        <f t="shared" si="572"/>
        <v>0</v>
      </c>
      <c r="AG2120" s="316">
        <f t="shared" si="573"/>
        <v>0</v>
      </c>
      <c r="AH2120" s="314">
        <v>1</v>
      </c>
      <c r="AI2120" s="314">
        <f t="shared" si="574"/>
        <v>0</v>
      </c>
      <c r="AJ2120" s="314">
        <f t="shared" si="575"/>
        <v>0</v>
      </c>
      <c r="AK2120" s="317"/>
      <c r="AL2120" s="315">
        <f t="shared" si="576"/>
        <v>0</v>
      </c>
      <c r="AN2120" s="554">
        <f t="shared" si="577"/>
        <v>0</v>
      </c>
      <c r="AO2120" s="314"/>
      <c r="AP2120" s="318"/>
    </row>
    <row r="2121" spans="2:42">
      <c r="B2121" s="296"/>
      <c r="C2121" s="299"/>
      <c r="D2121" s="298"/>
      <c r="E2121" s="299"/>
      <c r="F2121" s="299"/>
      <c r="G2121" s="300"/>
      <c r="H2121" s="303"/>
      <c r="I2121" s="301">
        <f t="shared" si="561"/>
        <v>0</v>
      </c>
      <c r="J2121" s="302">
        <f t="shared" si="562"/>
        <v>0</v>
      </c>
      <c r="K2121" s="304">
        <f t="shared" si="563"/>
        <v>0</v>
      </c>
      <c r="L2121" s="305">
        <f>IF(H2121=0,0,IF(OR(E2121=$AT$5,E2121=$AT$6),AA2121,IF(F2121="MXN",1/HLOOKUP(YEAR(G2121)+(MONTH(G2121)/100),TC!$5:$37,DAY(G2121)+2,FALSE),VLOOKUP(F2121,Equivalencia!$5:$23,((MAX(Equivalencia!$3:$3)-YEAR(G2121))*14)+MONTH(G2121)+2,FALSE))))</f>
        <v>0</v>
      </c>
      <c r="M2121" s="306">
        <f t="shared" si="564"/>
        <v>0</v>
      </c>
      <c r="N2121" s="305">
        <f>IF(G2121=0,0,(IF(OR(E2121=$AT$5,E2121=$AT$6),AC2121,HLOOKUP(YEAR(G2121)+(MONTH(G2121)/100),TC!$5:$37,DAY(G2121)+2,FALSE))))</f>
        <v>0</v>
      </c>
      <c r="O2121" s="307">
        <f t="shared" si="565"/>
        <v>0</v>
      </c>
      <c r="P2121" s="560">
        <f>IF(G2121=0,0,VLOOKUP(YEAR(G2121),INPC!$B$4:$P$30,MONTH(G2121)+2))</f>
        <v>0</v>
      </c>
      <c r="Q2121" s="560">
        <f>IF(X2121=0,0,IF(OR(E2121=$AT$10,E2121=$AT$9),VLOOKUP(YEAR(X2121),INPC!$B$4:$P$30,MONTH(X2121)+1),VLOOKUP(YEAR(X2121),INPC!$B$4:$P$30,MONTH(X2121)+2,0)))</f>
        <v>0</v>
      </c>
      <c r="R2121" s="309">
        <f t="shared" si="566"/>
        <v>0</v>
      </c>
      <c r="S2121" s="310">
        <f t="shared" si="567"/>
        <v>0</v>
      </c>
      <c r="T2121" s="555">
        <f t="shared" si="568"/>
        <v>0</v>
      </c>
      <c r="U2121" s="311"/>
      <c r="V2121" s="312"/>
      <c r="W2121" s="299"/>
      <c r="X2121" s="300"/>
      <c r="Y2121" s="299"/>
      <c r="Z2121" s="303"/>
      <c r="AA2121" s="305">
        <f>IF(Z2121=0,0,IF(Y2121="MXN",1/HLOOKUP(YEAR(X2121)+(MONTH(X2121)/100),TC!$5:$37,DAY(X2121)+2,FALSE),VLOOKUP(Y2121,Equivalencia!$1:$23,((MAX(Equivalencia!$3:$3)-YEAR(X2121))*14)+MONTH(X2121)+2,FALSE)))</f>
        <v>0</v>
      </c>
      <c r="AB2121" s="306">
        <f t="shared" si="569"/>
        <v>0</v>
      </c>
      <c r="AC2121" s="305">
        <f>+IF(X2121=0,0,HLOOKUP(YEAR(X2121)+(MONTH(X2121)/100),TC!$5:$37,DAY(X2121)+2,FALSE))</f>
        <v>0</v>
      </c>
      <c r="AD2121" s="307">
        <f t="shared" si="570"/>
        <v>0</v>
      </c>
      <c r="AE2121" s="314">
        <f t="shared" si="571"/>
        <v>0</v>
      </c>
      <c r="AF2121" s="315">
        <f t="shared" si="572"/>
        <v>0</v>
      </c>
      <c r="AG2121" s="316">
        <f t="shared" si="573"/>
        <v>0</v>
      </c>
      <c r="AH2121" s="314">
        <v>1</v>
      </c>
      <c r="AI2121" s="314">
        <f t="shared" si="574"/>
        <v>0</v>
      </c>
      <c r="AJ2121" s="314">
        <f t="shared" si="575"/>
        <v>0</v>
      </c>
      <c r="AK2121" s="317"/>
      <c r="AL2121" s="315">
        <f t="shared" si="576"/>
        <v>0</v>
      </c>
      <c r="AN2121" s="554">
        <f t="shared" si="577"/>
        <v>0</v>
      </c>
      <c r="AO2121" s="314"/>
      <c r="AP2121" s="318"/>
    </row>
    <row r="2122" spans="2:42">
      <c r="B2122" s="296"/>
      <c r="C2122" s="299"/>
      <c r="D2122" s="298"/>
      <c r="E2122" s="299"/>
      <c r="F2122" s="299"/>
      <c r="G2122" s="300"/>
      <c r="H2122" s="303"/>
      <c r="I2122" s="301">
        <f t="shared" si="561"/>
        <v>0</v>
      </c>
      <c r="J2122" s="302">
        <f t="shared" si="562"/>
        <v>0</v>
      </c>
      <c r="K2122" s="304">
        <f t="shared" si="563"/>
        <v>0</v>
      </c>
      <c r="L2122" s="305">
        <f>IF(H2122=0,0,IF(OR(E2122=$AT$5,E2122=$AT$6),AA2122,IF(F2122="MXN",1/HLOOKUP(YEAR(G2122)+(MONTH(G2122)/100),TC!$5:$37,DAY(G2122)+2,FALSE),VLOOKUP(F2122,Equivalencia!$5:$23,((MAX(Equivalencia!$3:$3)-YEAR(G2122))*14)+MONTH(G2122)+2,FALSE))))</f>
        <v>0</v>
      </c>
      <c r="M2122" s="306">
        <f t="shared" si="564"/>
        <v>0</v>
      </c>
      <c r="N2122" s="305">
        <f>IF(G2122=0,0,(IF(OR(E2122=$AT$5,E2122=$AT$6),AC2122,HLOOKUP(YEAR(G2122)+(MONTH(G2122)/100),TC!$5:$37,DAY(G2122)+2,FALSE))))</f>
        <v>0</v>
      </c>
      <c r="O2122" s="307">
        <f t="shared" si="565"/>
        <v>0</v>
      </c>
      <c r="P2122" s="560">
        <f>IF(G2122=0,0,VLOOKUP(YEAR(G2122),INPC!$B$4:$P$30,MONTH(G2122)+2))</f>
        <v>0</v>
      </c>
      <c r="Q2122" s="560">
        <f>IF(X2122=0,0,IF(OR(E2122=$AT$10,E2122=$AT$9),VLOOKUP(YEAR(X2122),INPC!$B$4:$P$30,MONTH(X2122)+1),VLOOKUP(YEAR(X2122),INPC!$B$4:$P$30,MONTH(X2122)+2,0)))</f>
        <v>0</v>
      </c>
      <c r="R2122" s="309">
        <f t="shared" si="566"/>
        <v>0</v>
      </c>
      <c r="S2122" s="310">
        <f t="shared" si="567"/>
        <v>0</v>
      </c>
      <c r="T2122" s="555">
        <f t="shared" si="568"/>
        <v>0</v>
      </c>
      <c r="U2122" s="311"/>
      <c r="V2122" s="312"/>
      <c r="W2122" s="299"/>
      <c r="X2122" s="300"/>
      <c r="Y2122" s="299"/>
      <c r="Z2122" s="303"/>
      <c r="AA2122" s="305">
        <f>IF(Z2122=0,0,IF(Y2122="MXN",1/HLOOKUP(YEAR(X2122)+(MONTH(X2122)/100),TC!$5:$37,DAY(X2122)+2,FALSE),VLOOKUP(Y2122,Equivalencia!$1:$23,((MAX(Equivalencia!$3:$3)-YEAR(X2122))*14)+MONTH(X2122)+2,FALSE)))</f>
        <v>0</v>
      </c>
      <c r="AB2122" s="306">
        <f t="shared" si="569"/>
        <v>0</v>
      </c>
      <c r="AC2122" s="305">
        <f>+IF(X2122=0,0,HLOOKUP(YEAR(X2122)+(MONTH(X2122)/100),TC!$5:$37,DAY(X2122)+2,FALSE))</f>
        <v>0</v>
      </c>
      <c r="AD2122" s="307">
        <f t="shared" si="570"/>
        <v>0</v>
      </c>
      <c r="AE2122" s="314">
        <f t="shared" si="571"/>
        <v>0</v>
      </c>
      <c r="AF2122" s="315">
        <f t="shared" si="572"/>
        <v>0</v>
      </c>
      <c r="AG2122" s="316">
        <f t="shared" si="573"/>
        <v>0</v>
      </c>
      <c r="AH2122" s="314">
        <v>1</v>
      </c>
      <c r="AI2122" s="314">
        <f t="shared" si="574"/>
        <v>0</v>
      </c>
      <c r="AJ2122" s="314">
        <f t="shared" si="575"/>
        <v>0</v>
      </c>
      <c r="AK2122" s="317"/>
      <c r="AL2122" s="315">
        <f t="shared" si="576"/>
        <v>0</v>
      </c>
      <c r="AN2122" s="554">
        <f t="shared" si="577"/>
        <v>0</v>
      </c>
      <c r="AO2122" s="314"/>
      <c r="AP2122" s="318"/>
    </row>
    <row r="2123" spans="2:42">
      <c r="B2123" s="296"/>
      <c r="C2123" s="299"/>
      <c r="D2123" s="298"/>
      <c r="E2123" s="299"/>
      <c r="F2123" s="299"/>
      <c r="G2123" s="300"/>
      <c r="H2123" s="303"/>
      <c r="I2123" s="301">
        <f t="shared" si="561"/>
        <v>0</v>
      </c>
      <c r="J2123" s="302">
        <f t="shared" si="562"/>
        <v>0</v>
      </c>
      <c r="K2123" s="304">
        <f t="shared" si="563"/>
        <v>0</v>
      </c>
      <c r="L2123" s="305">
        <f>IF(H2123=0,0,IF(OR(E2123=$AT$5,E2123=$AT$6),AA2123,IF(F2123="MXN",1/HLOOKUP(YEAR(G2123)+(MONTH(G2123)/100),TC!$5:$37,DAY(G2123)+2,FALSE),VLOOKUP(F2123,Equivalencia!$5:$23,((MAX(Equivalencia!$3:$3)-YEAR(G2123))*14)+MONTH(G2123)+2,FALSE))))</f>
        <v>0</v>
      </c>
      <c r="M2123" s="306">
        <f t="shared" si="564"/>
        <v>0</v>
      </c>
      <c r="N2123" s="305">
        <f>IF(G2123=0,0,(IF(OR(E2123=$AT$5,E2123=$AT$6),AC2123,HLOOKUP(YEAR(G2123)+(MONTH(G2123)/100),TC!$5:$37,DAY(G2123)+2,FALSE))))</f>
        <v>0</v>
      </c>
      <c r="O2123" s="307">
        <f t="shared" si="565"/>
        <v>0</v>
      </c>
      <c r="P2123" s="560">
        <f>IF(G2123=0,0,VLOOKUP(YEAR(G2123),INPC!$B$4:$P$30,MONTH(G2123)+2))</f>
        <v>0</v>
      </c>
      <c r="Q2123" s="560">
        <f>IF(X2123=0,0,IF(OR(E2123=$AT$10,E2123=$AT$9),VLOOKUP(YEAR(X2123),INPC!$B$4:$P$30,MONTH(X2123)+1),VLOOKUP(YEAR(X2123),INPC!$B$4:$P$30,MONTH(X2123)+2,0)))</f>
        <v>0</v>
      </c>
      <c r="R2123" s="309">
        <f t="shared" si="566"/>
        <v>0</v>
      </c>
      <c r="S2123" s="310">
        <f t="shared" si="567"/>
        <v>0</v>
      </c>
      <c r="T2123" s="555">
        <f t="shared" si="568"/>
        <v>0</v>
      </c>
      <c r="U2123" s="311"/>
      <c r="V2123" s="312"/>
      <c r="W2123" s="299"/>
      <c r="X2123" s="300"/>
      <c r="Y2123" s="299"/>
      <c r="Z2123" s="303"/>
      <c r="AA2123" s="305">
        <f>IF(Z2123=0,0,IF(Y2123="MXN",1/HLOOKUP(YEAR(X2123)+(MONTH(X2123)/100),TC!$5:$37,DAY(X2123)+2,FALSE),VLOOKUP(Y2123,Equivalencia!$1:$23,((MAX(Equivalencia!$3:$3)-YEAR(X2123))*14)+MONTH(X2123)+2,FALSE)))</f>
        <v>0</v>
      </c>
      <c r="AB2123" s="306">
        <f t="shared" si="569"/>
        <v>0</v>
      </c>
      <c r="AC2123" s="305">
        <f>+IF(X2123=0,0,HLOOKUP(YEAR(X2123)+(MONTH(X2123)/100),TC!$5:$37,DAY(X2123)+2,FALSE))</f>
        <v>0</v>
      </c>
      <c r="AD2123" s="307">
        <f t="shared" si="570"/>
        <v>0</v>
      </c>
      <c r="AE2123" s="314">
        <f t="shared" si="571"/>
        <v>0</v>
      </c>
      <c r="AF2123" s="315">
        <f t="shared" si="572"/>
        <v>0</v>
      </c>
      <c r="AG2123" s="316">
        <f t="shared" si="573"/>
        <v>0</v>
      </c>
      <c r="AH2123" s="314">
        <v>1</v>
      </c>
      <c r="AI2123" s="314">
        <f t="shared" si="574"/>
        <v>0</v>
      </c>
      <c r="AJ2123" s="314">
        <f t="shared" si="575"/>
        <v>0</v>
      </c>
      <c r="AK2123" s="317"/>
      <c r="AL2123" s="315">
        <f t="shared" si="576"/>
        <v>0</v>
      </c>
      <c r="AN2123" s="554">
        <f t="shared" si="577"/>
        <v>0</v>
      </c>
      <c r="AO2123" s="314"/>
      <c r="AP2123" s="318"/>
    </row>
    <row r="2124" spans="2:42">
      <c r="B2124" s="296"/>
      <c r="C2124" s="299"/>
      <c r="D2124" s="298"/>
      <c r="E2124" s="299"/>
      <c r="F2124" s="299"/>
      <c r="G2124" s="300"/>
      <c r="H2124" s="303"/>
      <c r="I2124" s="301">
        <f t="shared" si="561"/>
        <v>0</v>
      </c>
      <c r="J2124" s="302">
        <f t="shared" si="562"/>
        <v>0</v>
      </c>
      <c r="K2124" s="304">
        <f t="shared" si="563"/>
        <v>0</v>
      </c>
      <c r="L2124" s="305">
        <f>IF(H2124=0,0,IF(OR(E2124=$AT$5,E2124=$AT$6),AA2124,IF(F2124="MXN",1/HLOOKUP(YEAR(G2124)+(MONTH(G2124)/100),TC!$5:$37,DAY(G2124)+2,FALSE),VLOOKUP(F2124,Equivalencia!$5:$23,((MAX(Equivalencia!$3:$3)-YEAR(G2124))*14)+MONTH(G2124)+2,FALSE))))</f>
        <v>0</v>
      </c>
      <c r="M2124" s="306">
        <f t="shared" si="564"/>
        <v>0</v>
      </c>
      <c r="N2124" s="305">
        <f>IF(G2124=0,0,(IF(OR(E2124=$AT$5,E2124=$AT$6),AC2124,HLOOKUP(YEAR(G2124)+(MONTH(G2124)/100),TC!$5:$37,DAY(G2124)+2,FALSE))))</f>
        <v>0</v>
      </c>
      <c r="O2124" s="307">
        <f t="shared" si="565"/>
        <v>0</v>
      </c>
      <c r="P2124" s="560">
        <f>IF(G2124=0,0,VLOOKUP(YEAR(G2124),INPC!$B$4:$P$30,MONTH(G2124)+2))</f>
        <v>0</v>
      </c>
      <c r="Q2124" s="560">
        <f>IF(X2124=0,0,IF(OR(E2124=$AT$10,E2124=$AT$9),VLOOKUP(YEAR(X2124),INPC!$B$4:$P$30,MONTH(X2124)+1),VLOOKUP(YEAR(X2124),INPC!$B$4:$P$30,MONTH(X2124)+2,0)))</f>
        <v>0</v>
      </c>
      <c r="R2124" s="309">
        <f t="shared" si="566"/>
        <v>0</v>
      </c>
      <c r="S2124" s="310">
        <f t="shared" si="567"/>
        <v>0</v>
      </c>
      <c r="T2124" s="555">
        <f t="shared" si="568"/>
        <v>0</v>
      </c>
      <c r="U2124" s="311"/>
      <c r="V2124" s="312"/>
      <c r="W2124" s="299"/>
      <c r="X2124" s="300"/>
      <c r="Y2124" s="299"/>
      <c r="Z2124" s="303"/>
      <c r="AA2124" s="305">
        <f>IF(Z2124=0,0,IF(Y2124="MXN",1/HLOOKUP(YEAR(X2124)+(MONTH(X2124)/100),TC!$5:$37,DAY(X2124)+2,FALSE),VLOOKUP(Y2124,Equivalencia!$1:$23,((MAX(Equivalencia!$3:$3)-YEAR(X2124))*14)+MONTH(X2124)+2,FALSE)))</f>
        <v>0</v>
      </c>
      <c r="AB2124" s="306">
        <f t="shared" si="569"/>
        <v>0</v>
      </c>
      <c r="AC2124" s="305">
        <f>+IF(X2124=0,0,HLOOKUP(YEAR(X2124)+(MONTH(X2124)/100),TC!$5:$37,DAY(X2124)+2,FALSE))</f>
        <v>0</v>
      </c>
      <c r="AD2124" s="307">
        <f t="shared" si="570"/>
        <v>0</v>
      </c>
      <c r="AE2124" s="314">
        <f t="shared" si="571"/>
        <v>0</v>
      </c>
      <c r="AF2124" s="315">
        <f t="shared" si="572"/>
        <v>0</v>
      </c>
      <c r="AG2124" s="316">
        <f t="shared" si="573"/>
        <v>0</v>
      </c>
      <c r="AH2124" s="314">
        <v>1</v>
      </c>
      <c r="AI2124" s="314">
        <f t="shared" si="574"/>
        <v>0</v>
      </c>
      <c r="AJ2124" s="314">
        <f t="shared" si="575"/>
        <v>0</v>
      </c>
      <c r="AK2124" s="317"/>
      <c r="AL2124" s="315">
        <f t="shared" si="576"/>
        <v>0</v>
      </c>
      <c r="AN2124" s="554">
        <f t="shared" si="577"/>
        <v>0</v>
      </c>
      <c r="AO2124" s="314"/>
      <c r="AP2124" s="318"/>
    </row>
    <row r="2125" spans="2:42">
      <c r="B2125" s="296"/>
      <c r="C2125" s="299"/>
      <c r="D2125" s="298"/>
      <c r="E2125" s="299"/>
      <c r="F2125" s="299"/>
      <c r="G2125" s="300"/>
      <c r="H2125" s="303"/>
      <c r="I2125" s="301">
        <f t="shared" si="561"/>
        <v>0</v>
      </c>
      <c r="J2125" s="302">
        <f t="shared" si="562"/>
        <v>0</v>
      </c>
      <c r="K2125" s="304">
        <f t="shared" si="563"/>
        <v>0</v>
      </c>
      <c r="L2125" s="305">
        <f>IF(H2125=0,0,IF(OR(E2125=$AT$5,E2125=$AT$6),AA2125,IF(F2125="MXN",1/HLOOKUP(YEAR(G2125)+(MONTH(G2125)/100),TC!$5:$37,DAY(G2125)+2,FALSE),VLOOKUP(F2125,Equivalencia!$5:$23,((MAX(Equivalencia!$3:$3)-YEAR(G2125))*14)+MONTH(G2125)+2,FALSE))))</f>
        <v>0</v>
      </c>
      <c r="M2125" s="306">
        <f t="shared" si="564"/>
        <v>0</v>
      </c>
      <c r="N2125" s="305">
        <f>IF(G2125=0,0,(IF(OR(E2125=$AT$5,E2125=$AT$6),AC2125,HLOOKUP(YEAR(G2125)+(MONTH(G2125)/100),TC!$5:$37,DAY(G2125)+2,FALSE))))</f>
        <v>0</v>
      </c>
      <c r="O2125" s="307">
        <f t="shared" si="565"/>
        <v>0</v>
      </c>
      <c r="P2125" s="560">
        <f>IF(G2125=0,0,VLOOKUP(YEAR(G2125),INPC!$B$4:$P$30,MONTH(G2125)+2))</f>
        <v>0</v>
      </c>
      <c r="Q2125" s="560">
        <f>IF(X2125=0,0,IF(OR(E2125=$AT$10,E2125=$AT$9),VLOOKUP(YEAR(X2125),INPC!$B$4:$P$30,MONTH(X2125)+1),VLOOKUP(YEAR(X2125),INPC!$B$4:$P$30,MONTH(X2125)+2,0)))</f>
        <v>0</v>
      </c>
      <c r="R2125" s="309">
        <f t="shared" si="566"/>
        <v>0</v>
      </c>
      <c r="S2125" s="310">
        <f t="shared" si="567"/>
        <v>0</v>
      </c>
      <c r="T2125" s="555">
        <f t="shared" si="568"/>
        <v>0</v>
      </c>
      <c r="U2125" s="311"/>
      <c r="V2125" s="312"/>
      <c r="W2125" s="299"/>
      <c r="X2125" s="300"/>
      <c r="Y2125" s="299"/>
      <c r="Z2125" s="303"/>
      <c r="AA2125" s="305">
        <f>IF(Z2125=0,0,IF(Y2125="MXN",1/HLOOKUP(YEAR(X2125)+(MONTH(X2125)/100),TC!$5:$37,DAY(X2125)+2,FALSE),VLOOKUP(Y2125,Equivalencia!$1:$23,((MAX(Equivalencia!$3:$3)-YEAR(X2125))*14)+MONTH(X2125)+2,FALSE)))</f>
        <v>0</v>
      </c>
      <c r="AB2125" s="306">
        <f t="shared" si="569"/>
        <v>0</v>
      </c>
      <c r="AC2125" s="305">
        <f>+IF(X2125=0,0,HLOOKUP(YEAR(X2125)+(MONTH(X2125)/100),TC!$5:$37,DAY(X2125)+2,FALSE))</f>
        <v>0</v>
      </c>
      <c r="AD2125" s="307">
        <f t="shared" si="570"/>
        <v>0</v>
      </c>
      <c r="AE2125" s="314">
        <f t="shared" si="571"/>
        <v>0</v>
      </c>
      <c r="AF2125" s="315">
        <f t="shared" si="572"/>
        <v>0</v>
      </c>
      <c r="AG2125" s="316">
        <f t="shared" si="573"/>
        <v>0</v>
      </c>
      <c r="AH2125" s="314">
        <v>1</v>
      </c>
      <c r="AI2125" s="314">
        <f t="shared" si="574"/>
        <v>0</v>
      </c>
      <c r="AJ2125" s="314">
        <f t="shared" si="575"/>
        <v>0</v>
      </c>
      <c r="AK2125" s="317"/>
      <c r="AL2125" s="315">
        <f t="shared" si="576"/>
        <v>0</v>
      </c>
      <c r="AN2125" s="554">
        <f t="shared" si="577"/>
        <v>0</v>
      </c>
      <c r="AO2125" s="314"/>
      <c r="AP2125" s="318"/>
    </row>
    <row r="2126" spans="2:42">
      <c r="B2126" s="296"/>
      <c r="C2126" s="299"/>
      <c r="D2126" s="298"/>
      <c r="E2126" s="299"/>
      <c r="F2126" s="299"/>
      <c r="G2126" s="300"/>
      <c r="H2126" s="303"/>
      <c r="I2126" s="301">
        <f t="shared" si="561"/>
        <v>0</v>
      </c>
      <c r="J2126" s="302">
        <f t="shared" si="562"/>
        <v>0</v>
      </c>
      <c r="K2126" s="304">
        <f t="shared" si="563"/>
        <v>0</v>
      </c>
      <c r="L2126" s="305">
        <f>IF(H2126=0,0,IF(OR(E2126=$AT$5,E2126=$AT$6),AA2126,IF(F2126="MXN",1/HLOOKUP(YEAR(G2126)+(MONTH(G2126)/100),TC!$5:$37,DAY(G2126)+2,FALSE),VLOOKUP(F2126,Equivalencia!$5:$23,((MAX(Equivalencia!$3:$3)-YEAR(G2126))*14)+MONTH(G2126)+2,FALSE))))</f>
        <v>0</v>
      </c>
      <c r="M2126" s="306">
        <f t="shared" si="564"/>
        <v>0</v>
      </c>
      <c r="N2126" s="305">
        <f>IF(G2126=0,0,(IF(OR(E2126=$AT$5,E2126=$AT$6),AC2126,HLOOKUP(YEAR(G2126)+(MONTH(G2126)/100),TC!$5:$37,DAY(G2126)+2,FALSE))))</f>
        <v>0</v>
      </c>
      <c r="O2126" s="307">
        <f t="shared" si="565"/>
        <v>0</v>
      </c>
      <c r="P2126" s="560">
        <f>IF(G2126=0,0,VLOOKUP(YEAR(G2126),INPC!$B$4:$P$30,MONTH(G2126)+2))</f>
        <v>0</v>
      </c>
      <c r="Q2126" s="560">
        <f>IF(X2126=0,0,IF(OR(E2126=$AT$10,E2126=$AT$9),VLOOKUP(YEAR(X2126),INPC!$B$4:$P$30,MONTH(X2126)+1),VLOOKUP(YEAR(X2126),INPC!$B$4:$P$30,MONTH(X2126)+2,0)))</f>
        <v>0</v>
      </c>
      <c r="R2126" s="309">
        <f t="shared" si="566"/>
        <v>0</v>
      </c>
      <c r="S2126" s="310">
        <f t="shared" si="567"/>
        <v>0</v>
      </c>
      <c r="T2126" s="555">
        <f t="shared" si="568"/>
        <v>0</v>
      </c>
      <c r="U2126" s="311"/>
      <c r="V2126" s="312"/>
      <c r="W2126" s="299"/>
      <c r="X2126" s="300"/>
      <c r="Y2126" s="299"/>
      <c r="Z2126" s="303"/>
      <c r="AA2126" s="305">
        <f>IF(Z2126=0,0,IF(Y2126="MXN",1/HLOOKUP(YEAR(X2126)+(MONTH(X2126)/100),TC!$5:$37,DAY(X2126)+2,FALSE),VLOOKUP(Y2126,Equivalencia!$1:$23,((MAX(Equivalencia!$3:$3)-YEAR(X2126))*14)+MONTH(X2126)+2,FALSE)))</f>
        <v>0</v>
      </c>
      <c r="AB2126" s="306">
        <f t="shared" si="569"/>
        <v>0</v>
      </c>
      <c r="AC2126" s="305">
        <f>+IF(X2126=0,0,HLOOKUP(YEAR(X2126)+(MONTH(X2126)/100),TC!$5:$37,DAY(X2126)+2,FALSE))</f>
        <v>0</v>
      </c>
      <c r="AD2126" s="307">
        <f t="shared" si="570"/>
        <v>0</v>
      </c>
      <c r="AE2126" s="314">
        <f t="shared" si="571"/>
        <v>0</v>
      </c>
      <c r="AF2126" s="315">
        <f t="shared" si="572"/>
        <v>0</v>
      </c>
      <c r="AG2126" s="316">
        <f t="shared" si="573"/>
        <v>0</v>
      </c>
      <c r="AH2126" s="314">
        <v>1</v>
      </c>
      <c r="AI2126" s="314">
        <f t="shared" si="574"/>
        <v>0</v>
      </c>
      <c r="AJ2126" s="314">
        <f t="shared" si="575"/>
        <v>0</v>
      </c>
      <c r="AK2126" s="317"/>
      <c r="AL2126" s="315">
        <f t="shared" si="576"/>
        <v>0</v>
      </c>
      <c r="AN2126" s="554">
        <f t="shared" si="577"/>
        <v>0</v>
      </c>
      <c r="AO2126" s="314"/>
      <c r="AP2126" s="318"/>
    </row>
    <row r="2127" spans="2:42">
      <c r="B2127" s="296"/>
      <c r="C2127" s="299"/>
      <c r="D2127" s="298"/>
      <c r="E2127" s="299"/>
      <c r="F2127" s="299"/>
      <c r="G2127" s="300"/>
      <c r="H2127" s="303"/>
      <c r="I2127" s="301">
        <f t="shared" si="561"/>
        <v>0</v>
      </c>
      <c r="J2127" s="302">
        <f t="shared" si="562"/>
        <v>0</v>
      </c>
      <c r="K2127" s="304">
        <f t="shared" si="563"/>
        <v>0</v>
      </c>
      <c r="L2127" s="305">
        <f>IF(H2127=0,0,IF(OR(E2127=$AT$5,E2127=$AT$6),AA2127,IF(F2127="MXN",1/HLOOKUP(YEAR(G2127)+(MONTH(G2127)/100),TC!$5:$37,DAY(G2127)+2,FALSE),VLOOKUP(F2127,Equivalencia!$5:$23,((MAX(Equivalencia!$3:$3)-YEAR(G2127))*14)+MONTH(G2127)+2,FALSE))))</f>
        <v>0</v>
      </c>
      <c r="M2127" s="306">
        <f t="shared" si="564"/>
        <v>0</v>
      </c>
      <c r="N2127" s="305">
        <f>IF(G2127=0,0,(IF(OR(E2127=$AT$5,E2127=$AT$6),AC2127,HLOOKUP(YEAR(G2127)+(MONTH(G2127)/100),TC!$5:$37,DAY(G2127)+2,FALSE))))</f>
        <v>0</v>
      </c>
      <c r="O2127" s="307">
        <f t="shared" si="565"/>
        <v>0</v>
      </c>
      <c r="P2127" s="560">
        <f>IF(G2127=0,0,VLOOKUP(YEAR(G2127),INPC!$B$4:$P$30,MONTH(G2127)+2))</f>
        <v>0</v>
      </c>
      <c r="Q2127" s="560">
        <f>IF(X2127=0,0,IF(OR(E2127=$AT$10,E2127=$AT$9),VLOOKUP(YEAR(X2127),INPC!$B$4:$P$30,MONTH(X2127)+1),VLOOKUP(YEAR(X2127),INPC!$B$4:$P$30,MONTH(X2127)+2,0)))</f>
        <v>0</v>
      </c>
      <c r="R2127" s="309">
        <f t="shared" si="566"/>
        <v>0</v>
      </c>
      <c r="S2127" s="310">
        <f t="shared" si="567"/>
        <v>0</v>
      </c>
      <c r="T2127" s="555">
        <f t="shared" si="568"/>
        <v>0</v>
      </c>
      <c r="U2127" s="311"/>
      <c r="V2127" s="312"/>
      <c r="W2127" s="299"/>
      <c r="X2127" s="300"/>
      <c r="Y2127" s="299"/>
      <c r="Z2127" s="303"/>
      <c r="AA2127" s="305">
        <f>IF(Z2127=0,0,IF(Y2127="MXN",1/HLOOKUP(YEAR(X2127)+(MONTH(X2127)/100),TC!$5:$37,DAY(X2127)+2,FALSE),VLOOKUP(Y2127,Equivalencia!$1:$23,((MAX(Equivalencia!$3:$3)-YEAR(X2127))*14)+MONTH(X2127)+2,FALSE)))</f>
        <v>0</v>
      </c>
      <c r="AB2127" s="306">
        <f t="shared" si="569"/>
        <v>0</v>
      </c>
      <c r="AC2127" s="305">
        <f>+IF(X2127=0,0,HLOOKUP(YEAR(X2127)+(MONTH(X2127)/100),TC!$5:$37,DAY(X2127)+2,FALSE))</f>
        <v>0</v>
      </c>
      <c r="AD2127" s="307">
        <f t="shared" si="570"/>
        <v>0</v>
      </c>
      <c r="AE2127" s="314">
        <f t="shared" si="571"/>
        <v>0</v>
      </c>
      <c r="AF2127" s="315">
        <f t="shared" si="572"/>
        <v>0</v>
      </c>
      <c r="AG2127" s="316">
        <f t="shared" si="573"/>
        <v>0</v>
      </c>
      <c r="AH2127" s="314">
        <v>1</v>
      </c>
      <c r="AI2127" s="314">
        <f t="shared" si="574"/>
        <v>0</v>
      </c>
      <c r="AJ2127" s="314">
        <f t="shared" si="575"/>
        <v>0</v>
      </c>
      <c r="AK2127" s="317"/>
      <c r="AL2127" s="315">
        <f t="shared" si="576"/>
        <v>0</v>
      </c>
      <c r="AN2127" s="554">
        <f t="shared" si="577"/>
        <v>0</v>
      </c>
      <c r="AO2127" s="314"/>
      <c r="AP2127" s="318"/>
    </row>
    <row r="2128" spans="2:42">
      <c r="B2128" s="296"/>
      <c r="C2128" s="299"/>
      <c r="D2128" s="298"/>
      <c r="E2128" s="299"/>
      <c r="F2128" s="299"/>
      <c r="G2128" s="300"/>
      <c r="H2128" s="303"/>
      <c r="I2128" s="301">
        <f t="shared" si="561"/>
        <v>0</v>
      </c>
      <c r="J2128" s="302">
        <f t="shared" si="562"/>
        <v>0</v>
      </c>
      <c r="K2128" s="304">
        <f t="shared" si="563"/>
        <v>0</v>
      </c>
      <c r="L2128" s="305">
        <f>IF(H2128=0,0,IF(OR(E2128=$AT$5,E2128=$AT$6),AA2128,IF(F2128="MXN",1/HLOOKUP(YEAR(G2128)+(MONTH(G2128)/100),TC!$5:$37,DAY(G2128)+2,FALSE),VLOOKUP(F2128,Equivalencia!$5:$23,((MAX(Equivalencia!$3:$3)-YEAR(G2128))*14)+MONTH(G2128)+2,FALSE))))</f>
        <v>0</v>
      </c>
      <c r="M2128" s="306">
        <f t="shared" si="564"/>
        <v>0</v>
      </c>
      <c r="N2128" s="305">
        <f>IF(G2128=0,0,(IF(OR(E2128=$AT$5,E2128=$AT$6),AC2128,HLOOKUP(YEAR(G2128)+(MONTH(G2128)/100),TC!$5:$37,DAY(G2128)+2,FALSE))))</f>
        <v>0</v>
      </c>
      <c r="O2128" s="307">
        <f t="shared" si="565"/>
        <v>0</v>
      </c>
      <c r="P2128" s="560">
        <f>IF(G2128=0,0,VLOOKUP(YEAR(G2128),INPC!$B$4:$P$30,MONTH(G2128)+2))</f>
        <v>0</v>
      </c>
      <c r="Q2128" s="560">
        <f>IF(X2128=0,0,IF(OR(E2128=$AT$10,E2128=$AT$9),VLOOKUP(YEAR(X2128),INPC!$B$4:$P$30,MONTH(X2128)+1),VLOOKUP(YEAR(X2128),INPC!$B$4:$P$30,MONTH(X2128)+2,0)))</f>
        <v>0</v>
      </c>
      <c r="R2128" s="309">
        <f t="shared" si="566"/>
        <v>0</v>
      </c>
      <c r="S2128" s="310">
        <f t="shared" si="567"/>
        <v>0</v>
      </c>
      <c r="T2128" s="555">
        <f t="shared" si="568"/>
        <v>0</v>
      </c>
      <c r="U2128" s="311"/>
      <c r="V2128" s="312"/>
      <c r="W2128" s="299"/>
      <c r="X2128" s="300"/>
      <c r="Y2128" s="299"/>
      <c r="Z2128" s="303"/>
      <c r="AA2128" s="305">
        <f>IF(Z2128=0,0,IF(Y2128="MXN",1/HLOOKUP(YEAR(X2128)+(MONTH(X2128)/100),TC!$5:$37,DAY(X2128)+2,FALSE),VLOOKUP(Y2128,Equivalencia!$1:$23,((MAX(Equivalencia!$3:$3)-YEAR(X2128))*14)+MONTH(X2128)+2,FALSE)))</f>
        <v>0</v>
      </c>
      <c r="AB2128" s="306">
        <f t="shared" si="569"/>
        <v>0</v>
      </c>
      <c r="AC2128" s="305">
        <f>+IF(X2128=0,0,HLOOKUP(YEAR(X2128)+(MONTH(X2128)/100),TC!$5:$37,DAY(X2128)+2,FALSE))</f>
        <v>0</v>
      </c>
      <c r="AD2128" s="307">
        <f t="shared" si="570"/>
        <v>0</v>
      </c>
      <c r="AE2128" s="314">
        <f t="shared" si="571"/>
        <v>0</v>
      </c>
      <c r="AF2128" s="315">
        <f t="shared" si="572"/>
        <v>0</v>
      </c>
      <c r="AG2128" s="316">
        <f t="shared" si="573"/>
        <v>0</v>
      </c>
      <c r="AH2128" s="314">
        <v>1</v>
      </c>
      <c r="AI2128" s="314">
        <f t="shared" si="574"/>
        <v>0</v>
      </c>
      <c r="AJ2128" s="314">
        <f t="shared" si="575"/>
        <v>0</v>
      </c>
      <c r="AK2128" s="317"/>
      <c r="AL2128" s="315">
        <f t="shared" si="576"/>
        <v>0</v>
      </c>
      <c r="AN2128" s="554">
        <f t="shared" si="577"/>
        <v>0</v>
      </c>
      <c r="AO2128" s="314"/>
      <c r="AP2128" s="318"/>
    </row>
    <row r="2129" spans="2:42">
      <c r="B2129" s="296"/>
      <c r="C2129" s="299"/>
      <c r="D2129" s="298"/>
      <c r="E2129" s="299"/>
      <c r="F2129" s="299"/>
      <c r="G2129" s="300"/>
      <c r="H2129" s="303"/>
      <c r="I2129" s="301">
        <f t="shared" si="561"/>
        <v>0</v>
      </c>
      <c r="J2129" s="302">
        <f t="shared" si="562"/>
        <v>0</v>
      </c>
      <c r="K2129" s="304">
        <f t="shared" si="563"/>
        <v>0</v>
      </c>
      <c r="L2129" s="305">
        <f>IF(H2129=0,0,IF(OR(E2129=$AT$5,E2129=$AT$6),AA2129,IF(F2129="MXN",1/HLOOKUP(YEAR(G2129)+(MONTH(G2129)/100),TC!$5:$37,DAY(G2129)+2,FALSE),VLOOKUP(F2129,Equivalencia!$5:$23,((MAX(Equivalencia!$3:$3)-YEAR(G2129))*14)+MONTH(G2129)+2,FALSE))))</f>
        <v>0</v>
      </c>
      <c r="M2129" s="306">
        <f t="shared" si="564"/>
        <v>0</v>
      </c>
      <c r="N2129" s="305">
        <f>IF(G2129=0,0,(IF(OR(E2129=$AT$5,E2129=$AT$6),AC2129,HLOOKUP(YEAR(G2129)+(MONTH(G2129)/100),TC!$5:$37,DAY(G2129)+2,FALSE))))</f>
        <v>0</v>
      </c>
      <c r="O2129" s="307">
        <f t="shared" si="565"/>
        <v>0</v>
      </c>
      <c r="P2129" s="560">
        <f>IF(G2129=0,0,VLOOKUP(YEAR(G2129),INPC!$B$4:$P$30,MONTH(G2129)+2))</f>
        <v>0</v>
      </c>
      <c r="Q2129" s="560">
        <f>IF(X2129=0,0,IF(OR(E2129=$AT$10,E2129=$AT$9),VLOOKUP(YEAR(X2129),INPC!$B$4:$P$30,MONTH(X2129)+1),VLOOKUP(YEAR(X2129),INPC!$B$4:$P$30,MONTH(X2129)+2,0)))</f>
        <v>0</v>
      </c>
      <c r="R2129" s="309">
        <f t="shared" si="566"/>
        <v>0</v>
      </c>
      <c r="S2129" s="310">
        <f t="shared" si="567"/>
        <v>0</v>
      </c>
      <c r="T2129" s="555">
        <f t="shared" si="568"/>
        <v>0</v>
      </c>
      <c r="U2129" s="311"/>
      <c r="V2129" s="312"/>
      <c r="W2129" s="299"/>
      <c r="X2129" s="300"/>
      <c r="Y2129" s="299"/>
      <c r="Z2129" s="303"/>
      <c r="AA2129" s="305">
        <f>IF(Z2129=0,0,IF(Y2129="MXN",1/HLOOKUP(YEAR(X2129)+(MONTH(X2129)/100),TC!$5:$37,DAY(X2129)+2,FALSE),VLOOKUP(Y2129,Equivalencia!$1:$23,((MAX(Equivalencia!$3:$3)-YEAR(X2129))*14)+MONTH(X2129)+2,FALSE)))</f>
        <v>0</v>
      </c>
      <c r="AB2129" s="306">
        <f t="shared" si="569"/>
        <v>0</v>
      </c>
      <c r="AC2129" s="305">
        <f>+IF(X2129=0,0,HLOOKUP(YEAR(X2129)+(MONTH(X2129)/100),TC!$5:$37,DAY(X2129)+2,FALSE))</f>
        <v>0</v>
      </c>
      <c r="AD2129" s="307">
        <f t="shared" si="570"/>
        <v>0</v>
      </c>
      <c r="AE2129" s="314">
        <f t="shared" si="571"/>
        <v>0</v>
      </c>
      <c r="AF2129" s="315">
        <f t="shared" si="572"/>
        <v>0</v>
      </c>
      <c r="AG2129" s="316">
        <f t="shared" si="573"/>
        <v>0</v>
      </c>
      <c r="AH2129" s="314">
        <v>1</v>
      </c>
      <c r="AI2129" s="314">
        <f t="shared" si="574"/>
        <v>0</v>
      </c>
      <c r="AJ2129" s="314">
        <f t="shared" si="575"/>
        <v>0</v>
      </c>
      <c r="AK2129" s="317"/>
      <c r="AL2129" s="315">
        <f t="shared" si="576"/>
        <v>0</v>
      </c>
      <c r="AN2129" s="554">
        <f t="shared" si="577"/>
        <v>0</v>
      </c>
      <c r="AO2129" s="314"/>
      <c r="AP2129" s="318"/>
    </row>
    <row r="2130" spans="2:42">
      <c r="B2130" s="296"/>
      <c r="C2130" s="299"/>
      <c r="D2130" s="298"/>
      <c r="E2130" s="299"/>
      <c r="F2130" s="299"/>
      <c r="G2130" s="300"/>
      <c r="H2130" s="303"/>
      <c r="I2130" s="301">
        <f t="shared" si="561"/>
        <v>0</v>
      </c>
      <c r="J2130" s="302">
        <f t="shared" si="562"/>
        <v>0</v>
      </c>
      <c r="K2130" s="304">
        <f t="shared" si="563"/>
        <v>0</v>
      </c>
      <c r="L2130" s="305">
        <f>IF(H2130=0,0,IF(OR(E2130=$AT$5,E2130=$AT$6),AA2130,IF(F2130="MXN",1/HLOOKUP(YEAR(G2130)+(MONTH(G2130)/100),TC!$5:$37,DAY(G2130)+2,FALSE),VLOOKUP(F2130,Equivalencia!$5:$23,((MAX(Equivalencia!$3:$3)-YEAR(G2130))*14)+MONTH(G2130)+2,FALSE))))</f>
        <v>0</v>
      </c>
      <c r="M2130" s="306">
        <f t="shared" si="564"/>
        <v>0</v>
      </c>
      <c r="N2130" s="305">
        <f>IF(G2130=0,0,(IF(OR(E2130=$AT$5,E2130=$AT$6),AC2130,HLOOKUP(YEAR(G2130)+(MONTH(G2130)/100),TC!$5:$37,DAY(G2130)+2,FALSE))))</f>
        <v>0</v>
      </c>
      <c r="O2130" s="307">
        <f t="shared" si="565"/>
        <v>0</v>
      </c>
      <c r="P2130" s="560">
        <f>IF(G2130=0,0,VLOOKUP(YEAR(G2130),INPC!$B$4:$P$30,MONTH(G2130)+2))</f>
        <v>0</v>
      </c>
      <c r="Q2130" s="560">
        <f>IF(X2130=0,0,IF(OR(E2130=$AT$10,E2130=$AT$9),VLOOKUP(YEAR(X2130),INPC!$B$4:$P$30,MONTH(X2130)+1),VLOOKUP(YEAR(X2130),INPC!$B$4:$P$30,MONTH(X2130)+2,0)))</f>
        <v>0</v>
      </c>
      <c r="R2130" s="309">
        <f t="shared" si="566"/>
        <v>0</v>
      </c>
      <c r="S2130" s="310">
        <f t="shared" si="567"/>
        <v>0</v>
      </c>
      <c r="T2130" s="555">
        <f t="shared" si="568"/>
        <v>0</v>
      </c>
      <c r="U2130" s="311"/>
      <c r="V2130" s="312"/>
      <c r="W2130" s="299"/>
      <c r="X2130" s="300"/>
      <c r="Y2130" s="299"/>
      <c r="Z2130" s="303"/>
      <c r="AA2130" s="305">
        <f>IF(Z2130=0,0,IF(Y2130="MXN",1/HLOOKUP(YEAR(X2130)+(MONTH(X2130)/100),TC!$5:$37,DAY(X2130)+2,FALSE),VLOOKUP(Y2130,Equivalencia!$1:$23,((MAX(Equivalencia!$3:$3)-YEAR(X2130))*14)+MONTH(X2130)+2,FALSE)))</f>
        <v>0</v>
      </c>
      <c r="AB2130" s="306">
        <f t="shared" si="569"/>
        <v>0</v>
      </c>
      <c r="AC2130" s="305">
        <f>+IF(X2130=0,0,HLOOKUP(YEAR(X2130)+(MONTH(X2130)/100),TC!$5:$37,DAY(X2130)+2,FALSE))</f>
        <v>0</v>
      </c>
      <c r="AD2130" s="307">
        <f t="shared" si="570"/>
        <v>0</v>
      </c>
      <c r="AE2130" s="314">
        <f t="shared" si="571"/>
        <v>0</v>
      </c>
      <c r="AF2130" s="315">
        <f t="shared" si="572"/>
        <v>0</v>
      </c>
      <c r="AG2130" s="316">
        <f t="shared" si="573"/>
        <v>0</v>
      </c>
      <c r="AH2130" s="314">
        <v>1</v>
      </c>
      <c r="AI2130" s="314">
        <f t="shared" si="574"/>
        <v>0</v>
      </c>
      <c r="AJ2130" s="314">
        <f t="shared" si="575"/>
        <v>0</v>
      </c>
      <c r="AK2130" s="317"/>
      <c r="AL2130" s="315">
        <f t="shared" si="576"/>
        <v>0</v>
      </c>
      <c r="AN2130" s="554">
        <f t="shared" si="577"/>
        <v>0</v>
      </c>
      <c r="AO2130" s="314"/>
      <c r="AP2130" s="318"/>
    </row>
    <row r="2131" spans="2:42">
      <c r="B2131" s="296"/>
      <c r="C2131" s="299"/>
      <c r="D2131" s="298"/>
      <c r="E2131" s="299"/>
      <c r="F2131" s="299"/>
      <c r="G2131" s="300"/>
      <c r="H2131" s="303"/>
      <c r="I2131" s="301">
        <f t="shared" si="561"/>
        <v>0</v>
      </c>
      <c r="J2131" s="302">
        <f t="shared" si="562"/>
        <v>0</v>
      </c>
      <c r="K2131" s="304">
        <f t="shared" si="563"/>
        <v>0</v>
      </c>
      <c r="L2131" s="305">
        <f>IF(H2131=0,0,IF(OR(E2131=$AT$5,E2131=$AT$6),AA2131,IF(F2131="MXN",1/HLOOKUP(YEAR(G2131)+(MONTH(G2131)/100),TC!$5:$37,DAY(G2131)+2,FALSE),VLOOKUP(F2131,Equivalencia!$5:$23,((MAX(Equivalencia!$3:$3)-YEAR(G2131))*14)+MONTH(G2131)+2,FALSE))))</f>
        <v>0</v>
      </c>
      <c r="M2131" s="306">
        <f t="shared" si="564"/>
        <v>0</v>
      </c>
      <c r="N2131" s="305">
        <f>IF(G2131=0,0,(IF(OR(E2131=$AT$5,E2131=$AT$6),AC2131,HLOOKUP(YEAR(G2131)+(MONTH(G2131)/100),TC!$5:$37,DAY(G2131)+2,FALSE))))</f>
        <v>0</v>
      </c>
      <c r="O2131" s="307">
        <f t="shared" si="565"/>
        <v>0</v>
      </c>
      <c r="P2131" s="560">
        <f>IF(G2131=0,0,VLOOKUP(YEAR(G2131),INPC!$B$4:$P$30,MONTH(G2131)+2))</f>
        <v>0</v>
      </c>
      <c r="Q2131" s="560">
        <f>IF(X2131=0,0,IF(OR(E2131=$AT$10,E2131=$AT$9),VLOOKUP(YEAR(X2131),INPC!$B$4:$P$30,MONTH(X2131)+1),VLOOKUP(YEAR(X2131),INPC!$B$4:$P$30,MONTH(X2131)+2,0)))</f>
        <v>0</v>
      </c>
      <c r="R2131" s="309">
        <f t="shared" si="566"/>
        <v>0</v>
      </c>
      <c r="S2131" s="310">
        <f t="shared" si="567"/>
        <v>0</v>
      </c>
      <c r="T2131" s="555">
        <f t="shared" si="568"/>
        <v>0</v>
      </c>
      <c r="U2131" s="311"/>
      <c r="V2131" s="312"/>
      <c r="W2131" s="299"/>
      <c r="X2131" s="300"/>
      <c r="Y2131" s="299"/>
      <c r="Z2131" s="303"/>
      <c r="AA2131" s="305">
        <f>IF(Z2131=0,0,IF(Y2131="MXN",1/HLOOKUP(YEAR(X2131)+(MONTH(X2131)/100),TC!$5:$37,DAY(X2131)+2,FALSE),VLOOKUP(Y2131,Equivalencia!$1:$23,((MAX(Equivalencia!$3:$3)-YEAR(X2131))*14)+MONTH(X2131)+2,FALSE)))</f>
        <v>0</v>
      </c>
      <c r="AB2131" s="306">
        <f t="shared" si="569"/>
        <v>0</v>
      </c>
      <c r="AC2131" s="305">
        <f>+IF(X2131=0,0,HLOOKUP(YEAR(X2131)+(MONTH(X2131)/100),TC!$5:$37,DAY(X2131)+2,FALSE))</f>
        <v>0</v>
      </c>
      <c r="AD2131" s="307">
        <f t="shared" si="570"/>
        <v>0</v>
      </c>
      <c r="AE2131" s="314">
        <f t="shared" si="571"/>
        <v>0</v>
      </c>
      <c r="AF2131" s="315">
        <f t="shared" si="572"/>
        <v>0</v>
      </c>
      <c r="AG2131" s="316">
        <f t="shared" si="573"/>
        <v>0</v>
      </c>
      <c r="AH2131" s="314">
        <v>1</v>
      </c>
      <c r="AI2131" s="314">
        <f t="shared" si="574"/>
        <v>0</v>
      </c>
      <c r="AJ2131" s="314">
        <f t="shared" si="575"/>
        <v>0</v>
      </c>
      <c r="AK2131" s="317"/>
      <c r="AL2131" s="315">
        <f t="shared" si="576"/>
        <v>0</v>
      </c>
      <c r="AN2131" s="554">
        <f t="shared" si="577"/>
        <v>0</v>
      </c>
      <c r="AO2131" s="314"/>
      <c r="AP2131" s="318"/>
    </row>
    <row r="2132" spans="2:42">
      <c r="B2132" s="296"/>
      <c r="C2132" s="299"/>
      <c r="D2132" s="298"/>
      <c r="E2132" s="299"/>
      <c r="F2132" s="299"/>
      <c r="G2132" s="300"/>
      <c r="H2132" s="303"/>
      <c r="I2132" s="301">
        <f t="shared" si="561"/>
        <v>0</v>
      </c>
      <c r="J2132" s="302">
        <f t="shared" si="562"/>
        <v>0</v>
      </c>
      <c r="K2132" s="304">
        <f t="shared" si="563"/>
        <v>0</v>
      </c>
      <c r="L2132" s="305">
        <f>IF(H2132=0,0,IF(OR(E2132=$AT$5,E2132=$AT$6),AA2132,IF(F2132="MXN",1/HLOOKUP(YEAR(G2132)+(MONTH(G2132)/100),TC!$5:$37,DAY(G2132)+2,FALSE),VLOOKUP(F2132,Equivalencia!$5:$23,((MAX(Equivalencia!$3:$3)-YEAR(G2132))*14)+MONTH(G2132)+2,FALSE))))</f>
        <v>0</v>
      </c>
      <c r="M2132" s="306">
        <f t="shared" si="564"/>
        <v>0</v>
      </c>
      <c r="N2132" s="305">
        <f>IF(G2132=0,0,(IF(OR(E2132=$AT$5,E2132=$AT$6),AC2132,HLOOKUP(YEAR(G2132)+(MONTH(G2132)/100),TC!$5:$37,DAY(G2132)+2,FALSE))))</f>
        <v>0</v>
      </c>
      <c r="O2132" s="307">
        <f t="shared" si="565"/>
        <v>0</v>
      </c>
      <c r="P2132" s="560">
        <f>IF(G2132=0,0,VLOOKUP(YEAR(G2132),INPC!$B$4:$P$30,MONTH(G2132)+2))</f>
        <v>0</v>
      </c>
      <c r="Q2132" s="560">
        <f>IF(X2132=0,0,IF(OR(E2132=$AT$10,E2132=$AT$9),VLOOKUP(YEAR(X2132),INPC!$B$4:$P$30,MONTH(X2132)+1),VLOOKUP(YEAR(X2132),INPC!$B$4:$P$30,MONTH(X2132)+2,0)))</f>
        <v>0</v>
      </c>
      <c r="R2132" s="309">
        <f t="shared" si="566"/>
        <v>0</v>
      </c>
      <c r="S2132" s="310">
        <f t="shared" si="567"/>
        <v>0</v>
      </c>
      <c r="T2132" s="555">
        <f t="shared" si="568"/>
        <v>0</v>
      </c>
      <c r="U2132" s="311"/>
      <c r="V2132" s="312"/>
      <c r="W2132" s="299"/>
      <c r="X2132" s="300"/>
      <c r="Y2132" s="299"/>
      <c r="Z2132" s="303"/>
      <c r="AA2132" s="305">
        <f>IF(Z2132=0,0,IF(Y2132="MXN",1/HLOOKUP(YEAR(X2132)+(MONTH(X2132)/100),TC!$5:$37,DAY(X2132)+2,FALSE),VLOOKUP(Y2132,Equivalencia!$1:$23,((MAX(Equivalencia!$3:$3)-YEAR(X2132))*14)+MONTH(X2132)+2,FALSE)))</f>
        <v>0</v>
      </c>
      <c r="AB2132" s="306">
        <f t="shared" si="569"/>
        <v>0</v>
      </c>
      <c r="AC2132" s="305">
        <f>+IF(X2132=0,0,HLOOKUP(YEAR(X2132)+(MONTH(X2132)/100),TC!$5:$37,DAY(X2132)+2,FALSE))</f>
        <v>0</v>
      </c>
      <c r="AD2132" s="307">
        <f t="shared" si="570"/>
        <v>0</v>
      </c>
      <c r="AE2132" s="314">
        <f t="shared" si="571"/>
        <v>0</v>
      </c>
      <c r="AF2132" s="315">
        <f t="shared" si="572"/>
        <v>0</v>
      </c>
      <c r="AG2132" s="316">
        <f t="shared" si="573"/>
        <v>0</v>
      </c>
      <c r="AH2132" s="314">
        <v>1</v>
      </c>
      <c r="AI2132" s="314">
        <f t="shared" si="574"/>
        <v>0</v>
      </c>
      <c r="AJ2132" s="314">
        <f t="shared" si="575"/>
        <v>0</v>
      </c>
      <c r="AK2132" s="317"/>
      <c r="AL2132" s="315">
        <f t="shared" si="576"/>
        <v>0</v>
      </c>
      <c r="AN2132" s="554">
        <f t="shared" si="577"/>
        <v>0</v>
      </c>
      <c r="AO2132" s="314"/>
      <c r="AP2132" s="318"/>
    </row>
    <row r="2133" spans="2:42">
      <c r="B2133" s="296"/>
      <c r="C2133" s="299"/>
      <c r="D2133" s="298"/>
      <c r="E2133" s="299"/>
      <c r="F2133" s="299"/>
      <c r="G2133" s="300"/>
      <c r="H2133" s="303"/>
      <c r="I2133" s="301">
        <f t="shared" si="561"/>
        <v>0</v>
      </c>
      <c r="J2133" s="302">
        <f t="shared" si="562"/>
        <v>0</v>
      </c>
      <c r="K2133" s="304">
        <f t="shared" si="563"/>
        <v>0</v>
      </c>
      <c r="L2133" s="305">
        <f>IF(H2133=0,0,IF(OR(E2133=$AT$5,E2133=$AT$6),AA2133,IF(F2133="MXN",1/HLOOKUP(YEAR(G2133)+(MONTH(G2133)/100),TC!$5:$37,DAY(G2133)+2,FALSE),VLOOKUP(F2133,Equivalencia!$5:$23,((MAX(Equivalencia!$3:$3)-YEAR(G2133))*14)+MONTH(G2133)+2,FALSE))))</f>
        <v>0</v>
      </c>
      <c r="M2133" s="306">
        <f t="shared" si="564"/>
        <v>0</v>
      </c>
      <c r="N2133" s="305">
        <f>IF(G2133=0,0,(IF(OR(E2133=$AT$5,E2133=$AT$6),AC2133,HLOOKUP(YEAR(G2133)+(MONTH(G2133)/100),TC!$5:$37,DAY(G2133)+2,FALSE))))</f>
        <v>0</v>
      </c>
      <c r="O2133" s="307">
        <f t="shared" si="565"/>
        <v>0</v>
      </c>
      <c r="P2133" s="560">
        <f>IF(G2133=0,0,VLOOKUP(YEAR(G2133),INPC!$B$4:$P$30,MONTH(G2133)+2))</f>
        <v>0</v>
      </c>
      <c r="Q2133" s="560">
        <f>IF(X2133=0,0,IF(OR(E2133=$AT$10,E2133=$AT$9),VLOOKUP(YEAR(X2133),INPC!$B$4:$P$30,MONTH(X2133)+1),VLOOKUP(YEAR(X2133),INPC!$B$4:$P$30,MONTH(X2133)+2,0)))</f>
        <v>0</v>
      </c>
      <c r="R2133" s="309">
        <f t="shared" si="566"/>
        <v>0</v>
      </c>
      <c r="S2133" s="310">
        <f t="shared" si="567"/>
        <v>0</v>
      </c>
      <c r="T2133" s="555">
        <f t="shared" si="568"/>
        <v>0</v>
      </c>
      <c r="U2133" s="311"/>
      <c r="V2133" s="312"/>
      <c r="W2133" s="299"/>
      <c r="X2133" s="300"/>
      <c r="Y2133" s="299"/>
      <c r="Z2133" s="303"/>
      <c r="AA2133" s="305">
        <f>IF(Z2133=0,0,IF(Y2133="MXN",1/HLOOKUP(YEAR(X2133)+(MONTH(X2133)/100),TC!$5:$37,DAY(X2133)+2,FALSE),VLOOKUP(Y2133,Equivalencia!$1:$23,((MAX(Equivalencia!$3:$3)-YEAR(X2133))*14)+MONTH(X2133)+2,FALSE)))</f>
        <v>0</v>
      </c>
      <c r="AB2133" s="306">
        <f t="shared" si="569"/>
        <v>0</v>
      </c>
      <c r="AC2133" s="305">
        <f>+IF(X2133=0,0,HLOOKUP(YEAR(X2133)+(MONTH(X2133)/100),TC!$5:$37,DAY(X2133)+2,FALSE))</f>
        <v>0</v>
      </c>
      <c r="AD2133" s="307">
        <f t="shared" si="570"/>
        <v>0</v>
      </c>
      <c r="AE2133" s="314">
        <f t="shared" si="571"/>
        <v>0</v>
      </c>
      <c r="AF2133" s="315">
        <f t="shared" si="572"/>
        <v>0</v>
      </c>
      <c r="AG2133" s="316">
        <f t="shared" si="573"/>
        <v>0</v>
      </c>
      <c r="AH2133" s="314">
        <v>1</v>
      </c>
      <c r="AI2133" s="314">
        <f t="shared" si="574"/>
        <v>0</v>
      </c>
      <c r="AJ2133" s="314">
        <f t="shared" si="575"/>
        <v>0</v>
      </c>
      <c r="AK2133" s="317"/>
      <c r="AL2133" s="315">
        <f t="shared" si="576"/>
        <v>0</v>
      </c>
      <c r="AN2133" s="554">
        <f t="shared" si="577"/>
        <v>0</v>
      </c>
      <c r="AO2133" s="314"/>
      <c r="AP2133" s="318"/>
    </row>
    <row r="2134" spans="2:42">
      <c r="B2134" s="296"/>
      <c r="C2134" s="299"/>
      <c r="D2134" s="298"/>
      <c r="E2134" s="299"/>
      <c r="F2134" s="299"/>
      <c r="G2134" s="300"/>
      <c r="H2134" s="303"/>
      <c r="I2134" s="301">
        <f t="shared" si="561"/>
        <v>0</v>
      </c>
      <c r="J2134" s="302">
        <f t="shared" si="562"/>
        <v>0</v>
      </c>
      <c r="K2134" s="304">
        <f t="shared" si="563"/>
        <v>0</v>
      </c>
      <c r="L2134" s="305">
        <f>IF(H2134=0,0,IF(OR(E2134=$AT$5,E2134=$AT$6),AA2134,IF(F2134="MXN",1/HLOOKUP(YEAR(G2134)+(MONTH(G2134)/100),TC!$5:$37,DAY(G2134)+2,FALSE),VLOOKUP(F2134,Equivalencia!$5:$23,((MAX(Equivalencia!$3:$3)-YEAR(G2134))*14)+MONTH(G2134)+2,FALSE))))</f>
        <v>0</v>
      </c>
      <c r="M2134" s="306">
        <f t="shared" si="564"/>
        <v>0</v>
      </c>
      <c r="N2134" s="305">
        <f>IF(G2134=0,0,(IF(OR(E2134=$AT$5,E2134=$AT$6),AC2134,HLOOKUP(YEAR(G2134)+(MONTH(G2134)/100),TC!$5:$37,DAY(G2134)+2,FALSE))))</f>
        <v>0</v>
      </c>
      <c r="O2134" s="307">
        <f t="shared" si="565"/>
        <v>0</v>
      </c>
      <c r="P2134" s="560">
        <f>IF(G2134=0,0,VLOOKUP(YEAR(G2134),INPC!$B$4:$P$30,MONTH(G2134)+2))</f>
        <v>0</v>
      </c>
      <c r="Q2134" s="560">
        <f>IF(X2134=0,0,IF(OR(E2134=$AT$10,E2134=$AT$9),VLOOKUP(YEAR(X2134),INPC!$B$4:$P$30,MONTH(X2134)+1),VLOOKUP(YEAR(X2134),INPC!$B$4:$P$30,MONTH(X2134)+2,0)))</f>
        <v>0</v>
      </c>
      <c r="R2134" s="309">
        <f t="shared" si="566"/>
        <v>0</v>
      </c>
      <c r="S2134" s="310">
        <f t="shared" si="567"/>
        <v>0</v>
      </c>
      <c r="T2134" s="555">
        <f t="shared" si="568"/>
        <v>0</v>
      </c>
      <c r="U2134" s="311"/>
      <c r="V2134" s="312"/>
      <c r="W2134" s="299"/>
      <c r="X2134" s="300"/>
      <c r="Y2134" s="299"/>
      <c r="Z2134" s="303"/>
      <c r="AA2134" s="305">
        <f>IF(Z2134=0,0,IF(Y2134="MXN",1/HLOOKUP(YEAR(X2134)+(MONTH(X2134)/100),TC!$5:$37,DAY(X2134)+2,FALSE),VLOOKUP(Y2134,Equivalencia!$1:$23,((MAX(Equivalencia!$3:$3)-YEAR(X2134))*14)+MONTH(X2134)+2,FALSE)))</f>
        <v>0</v>
      </c>
      <c r="AB2134" s="306">
        <f t="shared" si="569"/>
        <v>0</v>
      </c>
      <c r="AC2134" s="305">
        <f>+IF(X2134=0,0,HLOOKUP(YEAR(X2134)+(MONTH(X2134)/100),TC!$5:$37,DAY(X2134)+2,FALSE))</f>
        <v>0</v>
      </c>
      <c r="AD2134" s="307">
        <f t="shared" si="570"/>
        <v>0</v>
      </c>
      <c r="AE2134" s="314">
        <f t="shared" si="571"/>
        <v>0</v>
      </c>
      <c r="AF2134" s="315">
        <f t="shared" si="572"/>
        <v>0</v>
      </c>
      <c r="AG2134" s="316">
        <f t="shared" si="573"/>
        <v>0</v>
      </c>
      <c r="AH2134" s="314">
        <v>1</v>
      </c>
      <c r="AI2134" s="314">
        <f t="shared" si="574"/>
        <v>0</v>
      </c>
      <c r="AJ2134" s="314">
        <f t="shared" si="575"/>
        <v>0</v>
      </c>
      <c r="AK2134" s="317"/>
      <c r="AL2134" s="315">
        <f t="shared" si="576"/>
        <v>0</v>
      </c>
      <c r="AN2134" s="554">
        <f t="shared" si="577"/>
        <v>0</v>
      </c>
      <c r="AO2134" s="314"/>
      <c r="AP2134" s="318"/>
    </row>
    <row r="2135" spans="2:42">
      <c r="B2135" s="296"/>
      <c r="C2135" s="299"/>
      <c r="D2135" s="298"/>
      <c r="E2135" s="299"/>
      <c r="F2135" s="299"/>
      <c r="G2135" s="300"/>
      <c r="H2135" s="303"/>
      <c r="I2135" s="301">
        <f t="shared" si="561"/>
        <v>0</v>
      </c>
      <c r="J2135" s="302">
        <f t="shared" si="562"/>
        <v>0</v>
      </c>
      <c r="K2135" s="304">
        <f t="shared" si="563"/>
        <v>0</v>
      </c>
      <c r="L2135" s="305">
        <f>IF(H2135=0,0,IF(OR(E2135=$AT$5,E2135=$AT$6),AA2135,IF(F2135="MXN",1/HLOOKUP(YEAR(G2135)+(MONTH(G2135)/100),TC!$5:$37,DAY(G2135)+2,FALSE),VLOOKUP(F2135,Equivalencia!$5:$23,((MAX(Equivalencia!$3:$3)-YEAR(G2135))*14)+MONTH(G2135)+2,FALSE))))</f>
        <v>0</v>
      </c>
      <c r="M2135" s="306">
        <f t="shared" si="564"/>
        <v>0</v>
      </c>
      <c r="N2135" s="305">
        <f>IF(G2135=0,0,(IF(OR(E2135=$AT$5,E2135=$AT$6),AC2135,HLOOKUP(YEAR(G2135)+(MONTH(G2135)/100),TC!$5:$37,DAY(G2135)+2,FALSE))))</f>
        <v>0</v>
      </c>
      <c r="O2135" s="307">
        <f t="shared" si="565"/>
        <v>0</v>
      </c>
      <c r="P2135" s="560">
        <f>IF(G2135=0,0,VLOOKUP(YEAR(G2135),INPC!$B$4:$P$30,MONTH(G2135)+2))</f>
        <v>0</v>
      </c>
      <c r="Q2135" s="560">
        <f>IF(X2135=0,0,IF(OR(E2135=$AT$10,E2135=$AT$9),VLOOKUP(YEAR(X2135),INPC!$B$4:$P$30,MONTH(X2135)+1),VLOOKUP(YEAR(X2135),INPC!$B$4:$P$30,MONTH(X2135)+2,0)))</f>
        <v>0</v>
      </c>
      <c r="R2135" s="309">
        <f t="shared" si="566"/>
        <v>0</v>
      </c>
      <c r="S2135" s="310">
        <f t="shared" si="567"/>
        <v>0</v>
      </c>
      <c r="T2135" s="555">
        <f t="shared" si="568"/>
        <v>0</v>
      </c>
      <c r="U2135" s="311"/>
      <c r="V2135" s="312"/>
      <c r="W2135" s="299"/>
      <c r="X2135" s="300"/>
      <c r="Y2135" s="299"/>
      <c r="Z2135" s="303"/>
      <c r="AA2135" s="305">
        <f>IF(Z2135=0,0,IF(Y2135="MXN",1/HLOOKUP(YEAR(X2135)+(MONTH(X2135)/100),TC!$5:$37,DAY(X2135)+2,FALSE),VLOOKUP(Y2135,Equivalencia!$1:$23,((MAX(Equivalencia!$3:$3)-YEAR(X2135))*14)+MONTH(X2135)+2,FALSE)))</f>
        <v>0</v>
      </c>
      <c r="AB2135" s="306">
        <f t="shared" si="569"/>
        <v>0</v>
      </c>
      <c r="AC2135" s="305">
        <f>+IF(X2135=0,0,HLOOKUP(YEAR(X2135)+(MONTH(X2135)/100),TC!$5:$37,DAY(X2135)+2,FALSE))</f>
        <v>0</v>
      </c>
      <c r="AD2135" s="307">
        <f t="shared" si="570"/>
        <v>0</v>
      </c>
      <c r="AE2135" s="314">
        <f t="shared" si="571"/>
        <v>0</v>
      </c>
      <c r="AF2135" s="315">
        <f t="shared" si="572"/>
        <v>0</v>
      </c>
      <c r="AG2135" s="316">
        <f t="shared" si="573"/>
        <v>0</v>
      </c>
      <c r="AH2135" s="314">
        <v>1</v>
      </c>
      <c r="AI2135" s="314">
        <f t="shared" si="574"/>
        <v>0</v>
      </c>
      <c r="AJ2135" s="314">
        <f t="shared" si="575"/>
        <v>0</v>
      </c>
      <c r="AK2135" s="317"/>
      <c r="AL2135" s="315">
        <f t="shared" si="576"/>
        <v>0</v>
      </c>
      <c r="AN2135" s="554">
        <f t="shared" si="577"/>
        <v>0</v>
      </c>
      <c r="AO2135" s="314"/>
      <c r="AP2135" s="318"/>
    </row>
    <row r="2136" spans="2:42">
      <c r="B2136" s="296"/>
      <c r="C2136" s="299"/>
      <c r="D2136" s="298"/>
      <c r="E2136" s="299"/>
      <c r="F2136" s="299"/>
      <c r="G2136" s="300"/>
      <c r="H2136" s="303"/>
      <c r="I2136" s="301">
        <f t="shared" si="561"/>
        <v>0</v>
      </c>
      <c r="J2136" s="302">
        <f t="shared" si="562"/>
        <v>0</v>
      </c>
      <c r="K2136" s="304">
        <f t="shared" si="563"/>
        <v>0</v>
      </c>
      <c r="L2136" s="305">
        <f>IF(H2136=0,0,IF(OR(E2136=$AT$5,E2136=$AT$6),AA2136,IF(F2136="MXN",1/HLOOKUP(YEAR(G2136)+(MONTH(G2136)/100),TC!$5:$37,DAY(G2136)+2,FALSE),VLOOKUP(F2136,Equivalencia!$5:$23,((MAX(Equivalencia!$3:$3)-YEAR(G2136))*14)+MONTH(G2136)+2,FALSE))))</f>
        <v>0</v>
      </c>
      <c r="M2136" s="306">
        <f t="shared" si="564"/>
        <v>0</v>
      </c>
      <c r="N2136" s="305">
        <f>IF(G2136=0,0,(IF(OR(E2136=$AT$5,E2136=$AT$6),AC2136,HLOOKUP(YEAR(G2136)+(MONTH(G2136)/100),TC!$5:$37,DAY(G2136)+2,FALSE))))</f>
        <v>0</v>
      </c>
      <c r="O2136" s="307">
        <f t="shared" si="565"/>
        <v>0</v>
      </c>
      <c r="P2136" s="560">
        <f>IF(G2136=0,0,VLOOKUP(YEAR(G2136),INPC!$B$4:$P$30,MONTH(G2136)+2))</f>
        <v>0</v>
      </c>
      <c r="Q2136" s="560">
        <f>IF(X2136=0,0,IF(OR(E2136=$AT$10,E2136=$AT$9),VLOOKUP(YEAR(X2136),INPC!$B$4:$P$30,MONTH(X2136)+1),VLOOKUP(YEAR(X2136),INPC!$B$4:$P$30,MONTH(X2136)+2,0)))</f>
        <v>0</v>
      </c>
      <c r="R2136" s="309">
        <f t="shared" si="566"/>
        <v>0</v>
      </c>
      <c r="S2136" s="310">
        <f t="shared" si="567"/>
        <v>0</v>
      </c>
      <c r="T2136" s="555">
        <f t="shared" si="568"/>
        <v>0</v>
      </c>
      <c r="U2136" s="311"/>
      <c r="V2136" s="312"/>
      <c r="W2136" s="299"/>
      <c r="X2136" s="300"/>
      <c r="Y2136" s="299"/>
      <c r="Z2136" s="303"/>
      <c r="AA2136" s="305">
        <f>IF(Z2136=0,0,IF(Y2136="MXN",1/HLOOKUP(YEAR(X2136)+(MONTH(X2136)/100),TC!$5:$37,DAY(X2136)+2,FALSE),VLOOKUP(Y2136,Equivalencia!$1:$23,((MAX(Equivalencia!$3:$3)-YEAR(X2136))*14)+MONTH(X2136)+2,FALSE)))</f>
        <v>0</v>
      </c>
      <c r="AB2136" s="306">
        <f t="shared" si="569"/>
        <v>0</v>
      </c>
      <c r="AC2136" s="305">
        <f>+IF(X2136=0,0,HLOOKUP(YEAR(X2136)+(MONTH(X2136)/100),TC!$5:$37,DAY(X2136)+2,FALSE))</f>
        <v>0</v>
      </c>
      <c r="AD2136" s="307">
        <f t="shared" si="570"/>
        <v>0</v>
      </c>
      <c r="AE2136" s="314">
        <f t="shared" si="571"/>
        <v>0</v>
      </c>
      <c r="AF2136" s="315">
        <f t="shared" si="572"/>
        <v>0</v>
      </c>
      <c r="AG2136" s="316">
        <f t="shared" si="573"/>
        <v>0</v>
      </c>
      <c r="AH2136" s="314">
        <v>1</v>
      </c>
      <c r="AI2136" s="314">
        <f t="shared" si="574"/>
        <v>0</v>
      </c>
      <c r="AJ2136" s="314">
        <f t="shared" si="575"/>
        <v>0</v>
      </c>
      <c r="AK2136" s="317"/>
      <c r="AL2136" s="315">
        <f t="shared" si="576"/>
        <v>0</v>
      </c>
      <c r="AN2136" s="554">
        <f t="shared" si="577"/>
        <v>0</v>
      </c>
      <c r="AO2136" s="314"/>
      <c r="AP2136" s="318"/>
    </row>
    <row r="2137" spans="2:42">
      <c r="B2137" s="296"/>
      <c r="C2137" s="299"/>
      <c r="D2137" s="298"/>
      <c r="E2137" s="299"/>
      <c r="F2137" s="299"/>
      <c r="G2137" s="300"/>
      <c r="H2137" s="303"/>
      <c r="I2137" s="301">
        <f t="shared" si="561"/>
        <v>0</v>
      </c>
      <c r="J2137" s="302">
        <f t="shared" si="562"/>
        <v>0</v>
      </c>
      <c r="K2137" s="304">
        <f t="shared" si="563"/>
        <v>0</v>
      </c>
      <c r="L2137" s="305">
        <f>IF(H2137=0,0,IF(OR(E2137=$AT$5,E2137=$AT$6),AA2137,IF(F2137="MXN",1/HLOOKUP(YEAR(G2137)+(MONTH(G2137)/100),TC!$5:$37,DAY(G2137)+2,FALSE),VLOOKUP(F2137,Equivalencia!$5:$23,((MAX(Equivalencia!$3:$3)-YEAR(G2137))*14)+MONTH(G2137)+2,FALSE))))</f>
        <v>0</v>
      </c>
      <c r="M2137" s="306">
        <f t="shared" si="564"/>
        <v>0</v>
      </c>
      <c r="N2137" s="305">
        <f>IF(G2137=0,0,(IF(OR(E2137=$AT$5,E2137=$AT$6),AC2137,HLOOKUP(YEAR(G2137)+(MONTH(G2137)/100),TC!$5:$37,DAY(G2137)+2,FALSE))))</f>
        <v>0</v>
      </c>
      <c r="O2137" s="307">
        <f t="shared" si="565"/>
        <v>0</v>
      </c>
      <c r="P2137" s="560">
        <f>IF(G2137=0,0,VLOOKUP(YEAR(G2137),INPC!$B$4:$P$30,MONTH(G2137)+2))</f>
        <v>0</v>
      </c>
      <c r="Q2137" s="560">
        <f>IF(X2137=0,0,IF(OR(E2137=$AT$10,E2137=$AT$9),VLOOKUP(YEAR(X2137),INPC!$B$4:$P$30,MONTH(X2137)+1),VLOOKUP(YEAR(X2137),INPC!$B$4:$P$30,MONTH(X2137)+2,0)))</f>
        <v>0</v>
      </c>
      <c r="R2137" s="309">
        <f t="shared" si="566"/>
        <v>0</v>
      </c>
      <c r="S2137" s="310">
        <f t="shared" si="567"/>
        <v>0</v>
      </c>
      <c r="T2137" s="555">
        <f t="shared" si="568"/>
        <v>0</v>
      </c>
      <c r="U2137" s="311"/>
      <c r="V2137" s="312"/>
      <c r="W2137" s="299"/>
      <c r="X2137" s="300"/>
      <c r="Y2137" s="299"/>
      <c r="Z2137" s="303"/>
      <c r="AA2137" s="305">
        <f>IF(Z2137=0,0,IF(Y2137="MXN",1/HLOOKUP(YEAR(X2137)+(MONTH(X2137)/100),TC!$5:$37,DAY(X2137)+2,FALSE),VLOOKUP(Y2137,Equivalencia!$1:$23,((MAX(Equivalencia!$3:$3)-YEAR(X2137))*14)+MONTH(X2137)+2,FALSE)))</f>
        <v>0</v>
      </c>
      <c r="AB2137" s="306">
        <f t="shared" si="569"/>
        <v>0</v>
      </c>
      <c r="AC2137" s="305">
        <f>+IF(X2137=0,0,HLOOKUP(YEAR(X2137)+(MONTH(X2137)/100),TC!$5:$37,DAY(X2137)+2,FALSE))</f>
        <v>0</v>
      </c>
      <c r="AD2137" s="307">
        <f t="shared" si="570"/>
        <v>0</v>
      </c>
      <c r="AE2137" s="314">
        <f t="shared" si="571"/>
        <v>0</v>
      </c>
      <c r="AF2137" s="315">
        <f t="shared" si="572"/>
        <v>0</v>
      </c>
      <c r="AG2137" s="316">
        <f t="shared" si="573"/>
        <v>0</v>
      </c>
      <c r="AH2137" s="314">
        <v>1</v>
      </c>
      <c r="AI2137" s="314">
        <f t="shared" si="574"/>
        <v>0</v>
      </c>
      <c r="AJ2137" s="314">
        <f t="shared" si="575"/>
        <v>0</v>
      </c>
      <c r="AK2137" s="317"/>
      <c r="AL2137" s="315">
        <f t="shared" si="576"/>
        <v>0</v>
      </c>
      <c r="AN2137" s="554">
        <f t="shared" si="577"/>
        <v>0</v>
      </c>
      <c r="AO2137" s="314"/>
      <c r="AP2137" s="318"/>
    </row>
    <row r="2138" spans="2:42">
      <c r="B2138" s="296"/>
      <c r="C2138" s="299"/>
      <c r="D2138" s="298"/>
      <c r="E2138" s="299"/>
      <c r="F2138" s="299"/>
      <c r="G2138" s="300"/>
      <c r="H2138" s="303"/>
      <c r="I2138" s="301">
        <f t="shared" si="561"/>
        <v>0</v>
      </c>
      <c r="J2138" s="302">
        <f t="shared" si="562"/>
        <v>0</v>
      </c>
      <c r="K2138" s="304">
        <f t="shared" si="563"/>
        <v>0</v>
      </c>
      <c r="L2138" s="305">
        <f>IF(H2138=0,0,IF(OR(E2138=$AT$5,E2138=$AT$6),AA2138,IF(F2138="MXN",1/HLOOKUP(YEAR(G2138)+(MONTH(G2138)/100),TC!$5:$37,DAY(G2138)+2,FALSE),VLOOKUP(F2138,Equivalencia!$5:$23,((MAX(Equivalencia!$3:$3)-YEAR(G2138))*14)+MONTH(G2138)+2,FALSE))))</f>
        <v>0</v>
      </c>
      <c r="M2138" s="306">
        <f t="shared" si="564"/>
        <v>0</v>
      </c>
      <c r="N2138" s="305">
        <f>IF(G2138=0,0,(IF(OR(E2138=$AT$5,E2138=$AT$6),AC2138,HLOOKUP(YEAR(G2138)+(MONTH(G2138)/100),TC!$5:$37,DAY(G2138)+2,FALSE))))</f>
        <v>0</v>
      </c>
      <c r="O2138" s="307">
        <f t="shared" si="565"/>
        <v>0</v>
      </c>
      <c r="P2138" s="560">
        <f>IF(G2138=0,0,VLOOKUP(YEAR(G2138),INPC!$B$4:$P$30,MONTH(G2138)+2))</f>
        <v>0</v>
      </c>
      <c r="Q2138" s="560">
        <f>IF(X2138=0,0,IF(OR(E2138=$AT$10,E2138=$AT$9),VLOOKUP(YEAR(X2138),INPC!$B$4:$P$30,MONTH(X2138)+1),VLOOKUP(YEAR(X2138),INPC!$B$4:$P$30,MONTH(X2138)+2,0)))</f>
        <v>0</v>
      </c>
      <c r="R2138" s="309">
        <f t="shared" si="566"/>
        <v>0</v>
      </c>
      <c r="S2138" s="310">
        <f t="shared" si="567"/>
        <v>0</v>
      </c>
      <c r="T2138" s="555">
        <f t="shared" si="568"/>
        <v>0</v>
      </c>
      <c r="U2138" s="311"/>
      <c r="V2138" s="312"/>
      <c r="W2138" s="299"/>
      <c r="X2138" s="300"/>
      <c r="Y2138" s="299"/>
      <c r="Z2138" s="303"/>
      <c r="AA2138" s="305">
        <f>IF(Z2138=0,0,IF(Y2138="MXN",1/HLOOKUP(YEAR(X2138)+(MONTH(X2138)/100),TC!$5:$37,DAY(X2138)+2,FALSE),VLOOKUP(Y2138,Equivalencia!$1:$23,((MAX(Equivalencia!$3:$3)-YEAR(X2138))*14)+MONTH(X2138)+2,FALSE)))</f>
        <v>0</v>
      </c>
      <c r="AB2138" s="306">
        <f t="shared" si="569"/>
        <v>0</v>
      </c>
      <c r="AC2138" s="305">
        <f>+IF(X2138=0,0,HLOOKUP(YEAR(X2138)+(MONTH(X2138)/100),TC!$5:$37,DAY(X2138)+2,FALSE))</f>
        <v>0</v>
      </c>
      <c r="AD2138" s="307">
        <f t="shared" si="570"/>
        <v>0</v>
      </c>
      <c r="AE2138" s="314">
        <f t="shared" si="571"/>
        <v>0</v>
      </c>
      <c r="AF2138" s="315">
        <f t="shared" si="572"/>
        <v>0</v>
      </c>
      <c r="AG2138" s="316">
        <f t="shared" si="573"/>
        <v>0</v>
      </c>
      <c r="AH2138" s="314">
        <v>1</v>
      </c>
      <c r="AI2138" s="314">
        <f t="shared" si="574"/>
        <v>0</v>
      </c>
      <c r="AJ2138" s="314">
        <f t="shared" si="575"/>
        <v>0</v>
      </c>
      <c r="AK2138" s="317"/>
      <c r="AL2138" s="315">
        <f t="shared" si="576"/>
        <v>0</v>
      </c>
      <c r="AN2138" s="554">
        <f t="shared" si="577"/>
        <v>0</v>
      </c>
      <c r="AO2138" s="314"/>
      <c r="AP2138" s="318"/>
    </row>
    <row r="2139" spans="2:42">
      <c r="B2139" s="296"/>
      <c r="C2139" s="299"/>
      <c r="D2139" s="298"/>
      <c r="E2139" s="299"/>
      <c r="F2139" s="299"/>
      <c r="G2139" s="300"/>
      <c r="H2139" s="303"/>
      <c r="I2139" s="301">
        <f t="shared" si="561"/>
        <v>0</v>
      </c>
      <c r="J2139" s="302">
        <f t="shared" si="562"/>
        <v>0</v>
      </c>
      <c r="K2139" s="304">
        <f t="shared" si="563"/>
        <v>0</v>
      </c>
      <c r="L2139" s="305">
        <f>IF(H2139=0,0,IF(OR(E2139=$AT$5,E2139=$AT$6),AA2139,IF(F2139="MXN",1/HLOOKUP(YEAR(G2139)+(MONTH(G2139)/100),TC!$5:$37,DAY(G2139)+2,FALSE),VLOOKUP(F2139,Equivalencia!$5:$23,((MAX(Equivalencia!$3:$3)-YEAR(G2139))*14)+MONTH(G2139)+2,FALSE))))</f>
        <v>0</v>
      </c>
      <c r="M2139" s="306">
        <f t="shared" si="564"/>
        <v>0</v>
      </c>
      <c r="N2139" s="305">
        <f>IF(G2139=0,0,(IF(OR(E2139=$AT$5,E2139=$AT$6),AC2139,HLOOKUP(YEAR(G2139)+(MONTH(G2139)/100),TC!$5:$37,DAY(G2139)+2,FALSE))))</f>
        <v>0</v>
      </c>
      <c r="O2139" s="307">
        <f t="shared" si="565"/>
        <v>0</v>
      </c>
      <c r="P2139" s="560">
        <f>IF(G2139=0,0,VLOOKUP(YEAR(G2139),INPC!$B$4:$P$30,MONTH(G2139)+2))</f>
        <v>0</v>
      </c>
      <c r="Q2139" s="560">
        <f>IF(X2139=0,0,IF(OR(E2139=$AT$10,E2139=$AT$9),VLOOKUP(YEAR(X2139),INPC!$B$4:$P$30,MONTH(X2139)+1),VLOOKUP(YEAR(X2139),INPC!$B$4:$P$30,MONTH(X2139)+2,0)))</f>
        <v>0</v>
      </c>
      <c r="R2139" s="309">
        <f t="shared" si="566"/>
        <v>0</v>
      </c>
      <c r="S2139" s="310">
        <f t="shared" si="567"/>
        <v>0</v>
      </c>
      <c r="T2139" s="555">
        <f t="shared" si="568"/>
        <v>0</v>
      </c>
      <c r="U2139" s="311"/>
      <c r="V2139" s="312"/>
      <c r="W2139" s="299"/>
      <c r="X2139" s="300"/>
      <c r="Y2139" s="299"/>
      <c r="Z2139" s="303"/>
      <c r="AA2139" s="305">
        <f>IF(Z2139=0,0,IF(Y2139="MXN",1/HLOOKUP(YEAR(X2139)+(MONTH(X2139)/100),TC!$5:$37,DAY(X2139)+2,FALSE),VLOOKUP(Y2139,Equivalencia!$1:$23,((MAX(Equivalencia!$3:$3)-YEAR(X2139))*14)+MONTH(X2139)+2,FALSE)))</f>
        <v>0</v>
      </c>
      <c r="AB2139" s="306">
        <f t="shared" si="569"/>
        <v>0</v>
      </c>
      <c r="AC2139" s="305">
        <f>+IF(X2139=0,0,HLOOKUP(YEAR(X2139)+(MONTH(X2139)/100),TC!$5:$37,DAY(X2139)+2,FALSE))</f>
        <v>0</v>
      </c>
      <c r="AD2139" s="307">
        <f t="shared" si="570"/>
        <v>0</v>
      </c>
      <c r="AE2139" s="314">
        <f t="shared" si="571"/>
        <v>0</v>
      </c>
      <c r="AF2139" s="315">
        <f t="shared" si="572"/>
        <v>0</v>
      </c>
      <c r="AG2139" s="316">
        <f t="shared" si="573"/>
        <v>0</v>
      </c>
      <c r="AH2139" s="314">
        <v>1</v>
      </c>
      <c r="AI2139" s="314">
        <f t="shared" si="574"/>
        <v>0</v>
      </c>
      <c r="AJ2139" s="314">
        <f t="shared" si="575"/>
        <v>0</v>
      </c>
      <c r="AK2139" s="317"/>
      <c r="AL2139" s="315">
        <f t="shared" si="576"/>
        <v>0</v>
      </c>
      <c r="AN2139" s="554">
        <f t="shared" si="577"/>
        <v>0</v>
      </c>
      <c r="AO2139" s="314"/>
      <c r="AP2139" s="318"/>
    </row>
    <row r="2140" spans="2:42">
      <c r="B2140" s="296"/>
      <c r="C2140" s="299"/>
      <c r="D2140" s="298"/>
      <c r="E2140" s="299"/>
      <c r="F2140" s="299"/>
      <c r="G2140" s="300"/>
      <c r="H2140" s="303"/>
      <c r="I2140" s="301">
        <f t="shared" si="561"/>
        <v>0</v>
      </c>
      <c r="J2140" s="302">
        <f t="shared" si="562"/>
        <v>0</v>
      </c>
      <c r="K2140" s="304">
        <f t="shared" si="563"/>
        <v>0</v>
      </c>
      <c r="L2140" s="305">
        <f>IF(H2140=0,0,IF(OR(E2140=$AT$5,E2140=$AT$6),AA2140,IF(F2140="MXN",1/HLOOKUP(YEAR(G2140)+(MONTH(G2140)/100),TC!$5:$37,DAY(G2140)+2,FALSE),VLOOKUP(F2140,Equivalencia!$5:$23,((MAX(Equivalencia!$3:$3)-YEAR(G2140))*14)+MONTH(G2140)+2,FALSE))))</f>
        <v>0</v>
      </c>
      <c r="M2140" s="306">
        <f t="shared" si="564"/>
        <v>0</v>
      </c>
      <c r="N2140" s="305">
        <f>IF(G2140=0,0,(IF(OR(E2140=$AT$5,E2140=$AT$6),AC2140,HLOOKUP(YEAR(G2140)+(MONTH(G2140)/100),TC!$5:$37,DAY(G2140)+2,FALSE))))</f>
        <v>0</v>
      </c>
      <c r="O2140" s="307">
        <f t="shared" si="565"/>
        <v>0</v>
      </c>
      <c r="P2140" s="560">
        <f>IF(G2140=0,0,VLOOKUP(YEAR(G2140),INPC!$B$4:$P$30,MONTH(G2140)+2))</f>
        <v>0</v>
      </c>
      <c r="Q2140" s="560">
        <f>IF(X2140=0,0,IF(OR(E2140=$AT$10,E2140=$AT$9),VLOOKUP(YEAR(X2140),INPC!$B$4:$P$30,MONTH(X2140)+1),VLOOKUP(YEAR(X2140),INPC!$B$4:$P$30,MONTH(X2140)+2,0)))</f>
        <v>0</v>
      </c>
      <c r="R2140" s="309">
        <f t="shared" si="566"/>
        <v>0</v>
      </c>
      <c r="S2140" s="310">
        <f t="shared" si="567"/>
        <v>0</v>
      </c>
      <c r="T2140" s="555">
        <f t="shared" si="568"/>
        <v>0</v>
      </c>
      <c r="U2140" s="311"/>
      <c r="V2140" s="312"/>
      <c r="W2140" s="299"/>
      <c r="X2140" s="300"/>
      <c r="Y2140" s="299"/>
      <c r="Z2140" s="303"/>
      <c r="AA2140" s="305">
        <f>IF(Z2140=0,0,IF(Y2140="MXN",1/HLOOKUP(YEAR(X2140)+(MONTH(X2140)/100),TC!$5:$37,DAY(X2140)+2,FALSE),VLOOKUP(Y2140,Equivalencia!$1:$23,((MAX(Equivalencia!$3:$3)-YEAR(X2140))*14)+MONTH(X2140)+2,FALSE)))</f>
        <v>0</v>
      </c>
      <c r="AB2140" s="306">
        <f t="shared" si="569"/>
        <v>0</v>
      </c>
      <c r="AC2140" s="305">
        <f>+IF(X2140=0,0,HLOOKUP(YEAR(X2140)+(MONTH(X2140)/100),TC!$5:$37,DAY(X2140)+2,FALSE))</f>
        <v>0</v>
      </c>
      <c r="AD2140" s="307">
        <f t="shared" si="570"/>
        <v>0</v>
      </c>
      <c r="AE2140" s="314">
        <f t="shared" si="571"/>
        <v>0</v>
      </c>
      <c r="AF2140" s="315">
        <f t="shared" si="572"/>
        <v>0</v>
      </c>
      <c r="AG2140" s="316">
        <f t="shared" si="573"/>
        <v>0</v>
      </c>
      <c r="AH2140" s="314">
        <v>1</v>
      </c>
      <c r="AI2140" s="314">
        <f t="shared" si="574"/>
        <v>0</v>
      </c>
      <c r="AJ2140" s="314">
        <f t="shared" si="575"/>
        <v>0</v>
      </c>
      <c r="AK2140" s="317"/>
      <c r="AL2140" s="315">
        <f t="shared" si="576"/>
        <v>0</v>
      </c>
      <c r="AN2140" s="554">
        <f t="shared" si="577"/>
        <v>0</v>
      </c>
      <c r="AO2140" s="314"/>
      <c r="AP2140" s="318"/>
    </row>
    <row r="2141" spans="2:42">
      <c r="B2141" s="296"/>
      <c r="C2141" s="299"/>
      <c r="D2141" s="298"/>
      <c r="E2141" s="299"/>
      <c r="F2141" s="299"/>
      <c r="G2141" s="300"/>
      <c r="H2141" s="303"/>
      <c r="I2141" s="301">
        <f t="shared" si="561"/>
        <v>0</v>
      </c>
      <c r="J2141" s="302">
        <f t="shared" si="562"/>
        <v>0</v>
      </c>
      <c r="K2141" s="304">
        <f t="shared" si="563"/>
        <v>0</v>
      </c>
      <c r="L2141" s="305">
        <f>IF(H2141=0,0,IF(OR(E2141=$AT$5,E2141=$AT$6),AA2141,IF(F2141="MXN",1/HLOOKUP(YEAR(G2141)+(MONTH(G2141)/100),TC!$5:$37,DAY(G2141)+2,FALSE),VLOOKUP(F2141,Equivalencia!$5:$23,((MAX(Equivalencia!$3:$3)-YEAR(G2141))*14)+MONTH(G2141)+2,FALSE))))</f>
        <v>0</v>
      </c>
      <c r="M2141" s="306">
        <f t="shared" si="564"/>
        <v>0</v>
      </c>
      <c r="N2141" s="305">
        <f>IF(G2141=0,0,(IF(OR(E2141=$AT$5,E2141=$AT$6),AC2141,HLOOKUP(YEAR(G2141)+(MONTH(G2141)/100),TC!$5:$37,DAY(G2141)+2,FALSE))))</f>
        <v>0</v>
      </c>
      <c r="O2141" s="307">
        <f t="shared" si="565"/>
        <v>0</v>
      </c>
      <c r="P2141" s="560">
        <f>IF(G2141=0,0,VLOOKUP(YEAR(G2141),INPC!$B$4:$P$30,MONTH(G2141)+2))</f>
        <v>0</v>
      </c>
      <c r="Q2141" s="560">
        <f>IF(X2141=0,0,IF(OR(E2141=$AT$10,E2141=$AT$9),VLOOKUP(YEAR(X2141),INPC!$B$4:$P$30,MONTH(X2141)+1),VLOOKUP(YEAR(X2141),INPC!$B$4:$P$30,MONTH(X2141)+2,0)))</f>
        <v>0</v>
      </c>
      <c r="R2141" s="309">
        <f t="shared" si="566"/>
        <v>0</v>
      </c>
      <c r="S2141" s="310">
        <f t="shared" si="567"/>
        <v>0</v>
      </c>
      <c r="T2141" s="555">
        <f t="shared" si="568"/>
        <v>0</v>
      </c>
      <c r="U2141" s="311"/>
      <c r="V2141" s="312"/>
      <c r="W2141" s="299"/>
      <c r="X2141" s="300"/>
      <c r="Y2141" s="299"/>
      <c r="Z2141" s="303"/>
      <c r="AA2141" s="305">
        <f>IF(Z2141=0,0,IF(Y2141="MXN",1/HLOOKUP(YEAR(X2141)+(MONTH(X2141)/100),TC!$5:$37,DAY(X2141)+2,FALSE),VLOOKUP(Y2141,Equivalencia!$1:$23,((MAX(Equivalencia!$3:$3)-YEAR(X2141))*14)+MONTH(X2141)+2,FALSE)))</f>
        <v>0</v>
      </c>
      <c r="AB2141" s="306">
        <f t="shared" si="569"/>
        <v>0</v>
      </c>
      <c r="AC2141" s="305">
        <f>+IF(X2141=0,0,HLOOKUP(YEAR(X2141)+(MONTH(X2141)/100),TC!$5:$37,DAY(X2141)+2,FALSE))</f>
        <v>0</v>
      </c>
      <c r="AD2141" s="307">
        <f t="shared" si="570"/>
        <v>0</v>
      </c>
      <c r="AE2141" s="314">
        <f t="shared" si="571"/>
        <v>0</v>
      </c>
      <c r="AF2141" s="315">
        <f t="shared" si="572"/>
        <v>0</v>
      </c>
      <c r="AG2141" s="316">
        <f t="shared" si="573"/>
        <v>0</v>
      </c>
      <c r="AH2141" s="314">
        <v>1</v>
      </c>
      <c r="AI2141" s="314">
        <f t="shared" si="574"/>
        <v>0</v>
      </c>
      <c r="AJ2141" s="314">
        <f t="shared" si="575"/>
        <v>0</v>
      </c>
      <c r="AK2141" s="317"/>
      <c r="AL2141" s="315">
        <f t="shared" si="576"/>
        <v>0</v>
      </c>
      <c r="AN2141" s="554">
        <f t="shared" si="577"/>
        <v>0</v>
      </c>
      <c r="AO2141" s="314"/>
      <c r="AP2141" s="318"/>
    </row>
    <row r="2142" spans="2:42">
      <c r="B2142" s="296"/>
      <c r="C2142" s="299"/>
      <c r="D2142" s="298"/>
      <c r="E2142" s="299"/>
      <c r="F2142" s="299"/>
      <c r="G2142" s="300"/>
      <c r="H2142" s="303"/>
      <c r="I2142" s="301">
        <f t="shared" si="561"/>
        <v>0</v>
      </c>
      <c r="J2142" s="302">
        <f t="shared" si="562"/>
        <v>0</v>
      </c>
      <c r="K2142" s="304">
        <f t="shared" si="563"/>
        <v>0</v>
      </c>
      <c r="L2142" s="305">
        <f>IF(H2142=0,0,IF(OR(E2142=$AT$5,E2142=$AT$6),AA2142,IF(F2142="MXN",1/HLOOKUP(YEAR(G2142)+(MONTH(G2142)/100),TC!$5:$37,DAY(G2142)+2,FALSE),VLOOKUP(F2142,Equivalencia!$5:$23,((MAX(Equivalencia!$3:$3)-YEAR(G2142))*14)+MONTH(G2142)+2,FALSE))))</f>
        <v>0</v>
      </c>
      <c r="M2142" s="306">
        <f t="shared" si="564"/>
        <v>0</v>
      </c>
      <c r="N2142" s="305">
        <f>IF(G2142=0,0,(IF(OR(E2142=$AT$5,E2142=$AT$6),AC2142,HLOOKUP(YEAR(G2142)+(MONTH(G2142)/100),TC!$5:$37,DAY(G2142)+2,FALSE))))</f>
        <v>0</v>
      </c>
      <c r="O2142" s="307">
        <f t="shared" si="565"/>
        <v>0</v>
      </c>
      <c r="P2142" s="560">
        <f>IF(G2142=0,0,VLOOKUP(YEAR(G2142),INPC!$B$4:$P$30,MONTH(G2142)+2))</f>
        <v>0</v>
      </c>
      <c r="Q2142" s="560">
        <f>IF(X2142=0,0,IF(OR(E2142=$AT$10,E2142=$AT$9),VLOOKUP(YEAR(X2142),INPC!$B$4:$P$30,MONTH(X2142)+1),VLOOKUP(YEAR(X2142),INPC!$B$4:$P$30,MONTH(X2142)+2,0)))</f>
        <v>0</v>
      </c>
      <c r="R2142" s="309">
        <f t="shared" si="566"/>
        <v>0</v>
      </c>
      <c r="S2142" s="310">
        <f t="shared" si="567"/>
        <v>0</v>
      </c>
      <c r="T2142" s="555">
        <f t="shared" si="568"/>
        <v>0</v>
      </c>
      <c r="U2142" s="311"/>
      <c r="V2142" s="312"/>
      <c r="W2142" s="299"/>
      <c r="X2142" s="300"/>
      <c r="Y2142" s="299"/>
      <c r="Z2142" s="303"/>
      <c r="AA2142" s="305">
        <f>IF(Z2142=0,0,IF(Y2142="MXN",1/HLOOKUP(YEAR(X2142)+(MONTH(X2142)/100),TC!$5:$37,DAY(X2142)+2,FALSE),VLOOKUP(Y2142,Equivalencia!$1:$23,((MAX(Equivalencia!$3:$3)-YEAR(X2142))*14)+MONTH(X2142)+2,FALSE)))</f>
        <v>0</v>
      </c>
      <c r="AB2142" s="306">
        <f t="shared" si="569"/>
        <v>0</v>
      </c>
      <c r="AC2142" s="305">
        <f>+IF(X2142=0,0,HLOOKUP(YEAR(X2142)+(MONTH(X2142)/100),TC!$5:$37,DAY(X2142)+2,FALSE))</f>
        <v>0</v>
      </c>
      <c r="AD2142" s="307">
        <f t="shared" si="570"/>
        <v>0</v>
      </c>
      <c r="AE2142" s="314">
        <f t="shared" si="571"/>
        <v>0</v>
      </c>
      <c r="AF2142" s="315">
        <f t="shared" si="572"/>
        <v>0</v>
      </c>
      <c r="AG2142" s="316">
        <f t="shared" si="573"/>
        <v>0</v>
      </c>
      <c r="AH2142" s="314">
        <v>1</v>
      </c>
      <c r="AI2142" s="314">
        <f t="shared" si="574"/>
        <v>0</v>
      </c>
      <c r="AJ2142" s="314">
        <f t="shared" si="575"/>
        <v>0</v>
      </c>
      <c r="AK2142" s="317"/>
      <c r="AL2142" s="315">
        <f t="shared" si="576"/>
        <v>0</v>
      </c>
      <c r="AN2142" s="554">
        <f t="shared" si="577"/>
        <v>0</v>
      </c>
      <c r="AO2142" s="314"/>
      <c r="AP2142" s="318"/>
    </row>
    <row r="2143" spans="2:42">
      <c r="B2143" s="296"/>
      <c r="C2143" s="299"/>
      <c r="D2143" s="298"/>
      <c r="E2143" s="299"/>
      <c r="F2143" s="299"/>
      <c r="G2143" s="300"/>
      <c r="H2143" s="303"/>
      <c r="I2143" s="301">
        <f t="shared" si="561"/>
        <v>0</v>
      </c>
      <c r="J2143" s="302">
        <f t="shared" si="562"/>
        <v>0</v>
      </c>
      <c r="K2143" s="304">
        <f t="shared" si="563"/>
        <v>0</v>
      </c>
      <c r="L2143" s="305">
        <f>IF(H2143=0,0,IF(OR(E2143=$AT$5,E2143=$AT$6),AA2143,IF(F2143="MXN",1/HLOOKUP(YEAR(G2143)+(MONTH(G2143)/100),TC!$5:$37,DAY(G2143)+2,FALSE),VLOOKUP(F2143,Equivalencia!$5:$23,((MAX(Equivalencia!$3:$3)-YEAR(G2143))*14)+MONTH(G2143)+2,FALSE))))</f>
        <v>0</v>
      </c>
      <c r="M2143" s="306">
        <f t="shared" si="564"/>
        <v>0</v>
      </c>
      <c r="N2143" s="305">
        <f>IF(G2143=0,0,(IF(OR(E2143=$AT$5,E2143=$AT$6),AC2143,HLOOKUP(YEAR(G2143)+(MONTH(G2143)/100),TC!$5:$37,DAY(G2143)+2,FALSE))))</f>
        <v>0</v>
      </c>
      <c r="O2143" s="307">
        <f t="shared" si="565"/>
        <v>0</v>
      </c>
      <c r="P2143" s="560">
        <f>IF(G2143=0,0,VLOOKUP(YEAR(G2143),INPC!$B$4:$P$30,MONTH(G2143)+2))</f>
        <v>0</v>
      </c>
      <c r="Q2143" s="560">
        <f>IF(X2143=0,0,IF(OR(E2143=$AT$10,E2143=$AT$9),VLOOKUP(YEAR(X2143),INPC!$B$4:$P$30,MONTH(X2143)+1),VLOOKUP(YEAR(X2143),INPC!$B$4:$P$30,MONTH(X2143)+2,0)))</f>
        <v>0</v>
      </c>
      <c r="R2143" s="309">
        <f t="shared" si="566"/>
        <v>0</v>
      </c>
      <c r="S2143" s="310">
        <f t="shared" si="567"/>
        <v>0</v>
      </c>
      <c r="T2143" s="555">
        <f t="shared" si="568"/>
        <v>0</v>
      </c>
      <c r="U2143" s="311"/>
      <c r="V2143" s="312"/>
      <c r="W2143" s="299"/>
      <c r="X2143" s="300"/>
      <c r="Y2143" s="299"/>
      <c r="Z2143" s="303"/>
      <c r="AA2143" s="305">
        <f>IF(Z2143=0,0,IF(Y2143="MXN",1/HLOOKUP(YEAR(X2143)+(MONTH(X2143)/100),TC!$5:$37,DAY(X2143)+2,FALSE),VLOOKUP(Y2143,Equivalencia!$1:$23,((MAX(Equivalencia!$3:$3)-YEAR(X2143))*14)+MONTH(X2143)+2,FALSE)))</f>
        <v>0</v>
      </c>
      <c r="AB2143" s="306">
        <f t="shared" si="569"/>
        <v>0</v>
      </c>
      <c r="AC2143" s="305">
        <f>+IF(X2143=0,0,HLOOKUP(YEAR(X2143)+(MONTH(X2143)/100),TC!$5:$37,DAY(X2143)+2,FALSE))</f>
        <v>0</v>
      </c>
      <c r="AD2143" s="307">
        <f t="shared" si="570"/>
        <v>0</v>
      </c>
      <c r="AE2143" s="314">
        <f t="shared" si="571"/>
        <v>0</v>
      </c>
      <c r="AF2143" s="315">
        <f t="shared" si="572"/>
        <v>0</v>
      </c>
      <c r="AG2143" s="316">
        <f t="shared" si="573"/>
        <v>0</v>
      </c>
      <c r="AH2143" s="314">
        <v>1</v>
      </c>
      <c r="AI2143" s="314">
        <f t="shared" si="574"/>
        <v>0</v>
      </c>
      <c r="AJ2143" s="314">
        <f t="shared" si="575"/>
        <v>0</v>
      </c>
      <c r="AK2143" s="317"/>
      <c r="AL2143" s="315">
        <f t="shared" si="576"/>
        <v>0</v>
      </c>
      <c r="AN2143" s="554">
        <f t="shared" si="577"/>
        <v>0</v>
      </c>
      <c r="AO2143" s="314"/>
      <c r="AP2143" s="318"/>
    </row>
    <row r="2144" spans="2:42">
      <c r="B2144" s="296"/>
      <c r="C2144" s="299"/>
      <c r="D2144" s="298"/>
      <c r="E2144" s="299"/>
      <c r="F2144" s="299"/>
      <c r="G2144" s="300"/>
      <c r="H2144" s="303"/>
      <c r="I2144" s="301">
        <f t="shared" si="561"/>
        <v>0</v>
      </c>
      <c r="J2144" s="302">
        <f t="shared" si="562"/>
        <v>0</v>
      </c>
      <c r="K2144" s="304">
        <f t="shared" si="563"/>
        <v>0</v>
      </c>
      <c r="L2144" s="305">
        <f>IF(H2144=0,0,IF(OR(E2144=$AT$5,E2144=$AT$6),AA2144,IF(F2144="MXN",1/HLOOKUP(YEAR(G2144)+(MONTH(G2144)/100),TC!$5:$37,DAY(G2144)+2,FALSE),VLOOKUP(F2144,Equivalencia!$5:$23,((MAX(Equivalencia!$3:$3)-YEAR(G2144))*14)+MONTH(G2144)+2,FALSE))))</f>
        <v>0</v>
      </c>
      <c r="M2144" s="306">
        <f t="shared" si="564"/>
        <v>0</v>
      </c>
      <c r="N2144" s="305">
        <f>IF(G2144=0,0,(IF(OR(E2144=$AT$5,E2144=$AT$6),AC2144,HLOOKUP(YEAR(G2144)+(MONTH(G2144)/100),TC!$5:$37,DAY(G2144)+2,FALSE))))</f>
        <v>0</v>
      </c>
      <c r="O2144" s="307">
        <f t="shared" si="565"/>
        <v>0</v>
      </c>
      <c r="P2144" s="560">
        <f>IF(G2144=0,0,VLOOKUP(YEAR(G2144),INPC!$B$4:$P$30,MONTH(G2144)+2))</f>
        <v>0</v>
      </c>
      <c r="Q2144" s="560">
        <f>IF(X2144=0,0,IF(OR(E2144=$AT$10,E2144=$AT$9),VLOOKUP(YEAR(X2144),INPC!$B$4:$P$30,MONTH(X2144)+1),VLOOKUP(YEAR(X2144),INPC!$B$4:$P$30,MONTH(X2144)+2,0)))</f>
        <v>0</v>
      </c>
      <c r="R2144" s="309">
        <f t="shared" si="566"/>
        <v>0</v>
      </c>
      <c r="S2144" s="310">
        <f t="shared" si="567"/>
        <v>0</v>
      </c>
      <c r="T2144" s="555">
        <f t="shared" si="568"/>
        <v>0</v>
      </c>
      <c r="U2144" s="311"/>
      <c r="V2144" s="312"/>
      <c r="W2144" s="299"/>
      <c r="X2144" s="300"/>
      <c r="Y2144" s="299"/>
      <c r="Z2144" s="303"/>
      <c r="AA2144" s="305">
        <f>IF(Z2144=0,0,IF(Y2144="MXN",1/HLOOKUP(YEAR(X2144)+(MONTH(X2144)/100),TC!$5:$37,DAY(X2144)+2,FALSE),VLOOKUP(Y2144,Equivalencia!$1:$23,((MAX(Equivalencia!$3:$3)-YEAR(X2144))*14)+MONTH(X2144)+2,FALSE)))</f>
        <v>0</v>
      </c>
      <c r="AB2144" s="306">
        <f t="shared" si="569"/>
        <v>0</v>
      </c>
      <c r="AC2144" s="305">
        <f>+IF(X2144=0,0,HLOOKUP(YEAR(X2144)+(MONTH(X2144)/100),TC!$5:$37,DAY(X2144)+2,FALSE))</f>
        <v>0</v>
      </c>
      <c r="AD2144" s="307">
        <f t="shared" si="570"/>
        <v>0</v>
      </c>
      <c r="AE2144" s="314">
        <f t="shared" si="571"/>
        <v>0</v>
      </c>
      <c r="AF2144" s="315">
        <f t="shared" si="572"/>
        <v>0</v>
      </c>
      <c r="AG2144" s="316">
        <f t="shared" si="573"/>
        <v>0</v>
      </c>
      <c r="AH2144" s="314">
        <v>1</v>
      </c>
      <c r="AI2144" s="314">
        <f t="shared" si="574"/>
        <v>0</v>
      </c>
      <c r="AJ2144" s="314">
        <f t="shared" si="575"/>
        <v>0</v>
      </c>
      <c r="AK2144" s="317"/>
      <c r="AL2144" s="315">
        <f t="shared" si="576"/>
        <v>0</v>
      </c>
      <c r="AN2144" s="554">
        <f t="shared" si="577"/>
        <v>0</v>
      </c>
      <c r="AO2144" s="314"/>
      <c r="AP2144" s="318"/>
    </row>
    <row r="2145" spans="2:42">
      <c r="B2145" s="296"/>
      <c r="C2145" s="299"/>
      <c r="D2145" s="298"/>
      <c r="E2145" s="299"/>
      <c r="F2145" s="299"/>
      <c r="G2145" s="300"/>
      <c r="H2145" s="303"/>
      <c r="I2145" s="301">
        <f t="shared" si="561"/>
        <v>0</v>
      </c>
      <c r="J2145" s="302">
        <f t="shared" si="562"/>
        <v>0</v>
      </c>
      <c r="K2145" s="304">
        <f t="shared" si="563"/>
        <v>0</v>
      </c>
      <c r="L2145" s="305">
        <f>IF(H2145=0,0,IF(OR(E2145=$AT$5,E2145=$AT$6),AA2145,IF(F2145="MXN",1/HLOOKUP(YEAR(G2145)+(MONTH(G2145)/100),TC!$5:$37,DAY(G2145)+2,FALSE),VLOOKUP(F2145,Equivalencia!$5:$23,((MAX(Equivalencia!$3:$3)-YEAR(G2145))*14)+MONTH(G2145)+2,FALSE))))</f>
        <v>0</v>
      </c>
      <c r="M2145" s="306">
        <f t="shared" si="564"/>
        <v>0</v>
      </c>
      <c r="N2145" s="305">
        <f>IF(G2145=0,0,(IF(OR(E2145=$AT$5,E2145=$AT$6),AC2145,HLOOKUP(YEAR(G2145)+(MONTH(G2145)/100),TC!$5:$37,DAY(G2145)+2,FALSE))))</f>
        <v>0</v>
      </c>
      <c r="O2145" s="307">
        <f t="shared" si="565"/>
        <v>0</v>
      </c>
      <c r="P2145" s="560">
        <f>IF(G2145=0,0,VLOOKUP(YEAR(G2145),INPC!$B$4:$P$30,MONTH(G2145)+2))</f>
        <v>0</v>
      </c>
      <c r="Q2145" s="560">
        <f>IF(X2145=0,0,IF(OR(E2145=$AT$10,E2145=$AT$9),VLOOKUP(YEAR(X2145),INPC!$B$4:$P$30,MONTH(X2145)+1),VLOOKUP(YEAR(X2145),INPC!$B$4:$P$30,MONTH(X2145)+2,0)))</f>
        <v>0</v>
      </c>
      <c r="R2145" s="309">
        <f t="shared" si="566"/>
        <v>0</v>
      </c>
      <c r="S2145" s="310">
        <f t="shared" si="567"/>
        <v>0</v>
      </c>
      <c r="T2145" s="555">
        <f t="shared" si="568"/>
        <v>0</v>
      </c>
      <c r="U2145" s="311"/>
      <c r="V2145" s="312"/>
      <c r="W2145" s="299"/>
      <c r="X2145" s="300"/>
      <c r="Y2145" s="299"/>
      <c r="Z2145" s="303"/>
      <c r="AA2145" s="305">
        <f>IF(Z2145=0,0,IF(Y2145="MXN",1/HLOOKUP(YEAR(X2145)+(MONTH(X2145)/100),TC!$5:$37,DAY(X2145)+2,FALSE),VLOOKUP(Y2145,Equivalencia!$1:$23,((MAX(Equivalencia!$3:$3)-YEAR(X2145))*14)+MONTH(X2145)+2,FALSE)))</f>
        <v>0</v>
      </c>
      <c r="AB2145" s="306">
        <f t="shared" si="569"/>
        <v>0</v>
      </c>
      <c r="AC2145" s="305">
        <f>+IF(X2145=0,0,HLOOKUP(YEAR(X2145)+(MONTH(X2145)/100),TC!$5:$37,DAY(X2145)+2,FALSE))</f>
        <v>0</v>
      </c>
      <c r="AD2145" s="307">
        <f t="shared" si="570"/>
        <v>0</v>
      </c>
      <c r="AE2145" s="314">
        <f t="shared" si="571"/>
        <v>0</v>
      </c>
      <c r="AF2145" s="315">
        <f t="shared" si="572"/>
        <v>0</v>
      </c>
      <c r="AG2145" s="316">
        <f t="shared" si="573"/>
        <v>0</v>
      </c>
      <c r="AH2145" s="314">
        <v>1</v>
      </c>
      <c r="AI2145" s="314">
        <f t="shared" si="574"/>
        <v>0</v>
      </c>
      <c r="AJ2145" s="314">
        <f t="shared" si="575"/>
        <v>0</v>
      </c>
      <c r="AK2145" s="317"/>
      <c r="AL2145" s="315">
        <f t="shared" si="576"/>
        <v>0</v>
      </c>
      <c r="AN2145" s="554">
        <f t="shared" si="577"/>
        <v>0</v>
      </c>
      <c r="AO2145" s="314"/>
      <c r="AP2145" s="318"/>
    </row>
    <row r="2146" spans="2:42">
      <c r="B2146" s="296"/>
      <c r="C2146" s="299"/>
      <c r="D2146" s="298"/>
      <c r="E2146" s="299"/>
      <c r="F2146" s="299"/>
      <c r="G2146" s="300"/>
      <c r="H2146" s="303"/>
      <c r="I2146" s="301">
        <f t="shared" si="561"/>
        <v>0</v>
      </c>
      <c r="J2146" s="302">
        <f t="shared" si="562"/>
        <v>0</v>
      </c>
      <c r="K2146" s="304">
        <f t="shared" si="563"/>
        <v>0</v>
      </c>
      <c r="L2146" s="305">
        <f>IF(H2146=0,0,IF(OR(E2146=$AT$5,E2146=$AT$6),AA2146,IF(F2146="MXN",1/HLOOKUP(YEAR(G2146)+(MONTH(G2146)/100),TC!$5:$37,DAY(G2146)+2,FALSE),VLOOKUP(F2146,Equivalencia!$5:$23,((MAX(Equivalencia!$3:$3)-YEAR(G2146))*14)+MONTH(G2146)+2,FALSE))))</f>
        <v>0</v>
      </c>
      <c r="M2146" s="306">
        <f t="shared" si="564"/>
        <v>0</v>
      </c>
      <c r="N2146" s="305">
        <f>IF(G2146=0,0,(IF(OR(E2146=$AT$5,E2146=$AT$6),AC2146,HLOOKUP(YEAR(G2146)+(MONTH(G2146)/100),TC!$5:$37,DAY(G2146)+2,FALSE))))</f>
        <v>0</v>
      </c>
      <c r="O2146" s="307">
        <f t="shared" si="565"/>
        <v>0</v>
      </c>
      <c r="P2146" s="560">
        <f>IF(G2146=0,0,VLOOKUP(YEAR(G2146),INPC!$B$4:$P$30,MONTH(G2146)+2))</f>
        <v>0</v>
      </c>
      <c r="Q2146" s="560">
        <f>IF(X2146=0,0,IF(OR(E2146=$AT$10,E2146=$AT$9),VLOOKUP(YEAR(X2146),INPC!$B$4:$P$30,MONTH(X2146)+1),VLOOKUP(YEAR(X2146),INPC!$B$4:$P$30,MONTH(X2146)+2,0)))</f>
        <v>0</v>
      </c>
      <c r="R2146" s="309">
        <f t="shared" si="566"/>
        <v>0</v>
      </c>
      <c r="S2146" s="310">
        <f t="shared" si="567"/>
        <v>0</v>
      </c>
      <c r="T2146" s="555">
        <f t="shared" si="568"/>
        <v>0</v>
      </c>
      <c r="U2146" s="311"/>
      <c r="V2146" s="312"/>
      <c r="W2146" s="299"/>
      <c r="X2146" s="300"/>
      <c r="Y2146" s="299"/>
      <c r="Z2146" s="303"/>
      <c r="AA2146" s="305">
        <f>IF(Z2146=0,0,IF(Y2146="MXN",1/HLOOKUP(YEAR(X2146)+(MONTH(X2146)/100),TC!$5:$37,DAY(X2146)+2,FALSE),VLOOKUP(Y2146,Equivalencia!$1:$23,((MAX(Equivalencia!$3:$3)-YEAR(X2146))*14)+MONTH(X2146)+2,FALSE)))</f>
        <v>0</v>
      </c>
      <c r="AB2146" s="306">
        <f t="shared" si="569"/>
        <v>0</v>
      </c>
      <c r="AC2146" s="305">
        <f>+IF(X2146=0,0,HLOOKUP(YEAR(X2146)+(MONTH(X2146)/100),TC!$5:$37,DAY(X2146)+2,FALSE))</f>
        <v>0</v>
      </c>
      <c r="AD2146" s="307">
        <f t="shared" si="570"/>
        <v>0</v>
      </c>
      <c r="AE2146" s="314">
        <f t="shared" si="571"/>
        <v>0</v>
      </c>
      <c r="AF2146" s="315">
        <f t="shared" si="572"/>
        <v>0</v>
      </c>
      <c r="AG2146" s="316">
        <f t="shared" si="573"/>
        <v>0</v>
      </c>
      <c r="AH2146" s="314">
        <v>1</v>
      </c>
      <c r="AI2146" s="314">
        <f t="shared" si="574"/>
        <v>0</v>
      </c>
      <c r="AJ2146" s="314">
        <f t="shared" si="575"/>
        <v>0</v>
      </c>
      <c r="AK2146" s="317"/>
      <c r="AL2146" s="315">
        <f t="shared" si="576"/>
        <v>0</v>
      </c>
      <c r="AN2146" s="554">
        <f t="shared" si="577"/>
        <v>0</v>
      </c>
      <c r="AO2146" s="314"/>
      <c r="AP2146" s="318"/>
    </row>
    <row r="2147" spans="2:42">
      <c r="B2147" s="296"/>
      <c r="C2147" s="299"/>
      <c r="D2147" s="298"/>
      <c r="E2147" s="299"/>
      <c r="F2147" s="299"/>
      <c r="G2147" s="300"/>
      <c r="H2147" s="303"/>
      <c r="I2147" s="301">
        <f t="shared" si="561"/>
        <v>0</v>
      </c>
      <c r="J2147" s="302">
        <f t="shared" si="562"/>
        <v>0</v>
      </c>
      <c r="K2147" s="304">
        <f t="shared" si="563"/>
        <v>0</v>
      </c>
      <c r="L2147" s="305">
        <f>IF(H2147=0,0,IF(OR(E2147=$AT$5,E2147=$AT$6),AA2147,IF(F2147="MXN",1/HLOOKUP(YEAR(G2147)+(MONTH(G2147)/100),TC!$5:$37,DAY(G2147)+2,FALSE),VLOOKUP(F2147,Equivalencia!$5:$23,((MAX(Equivalencia!$3:$3)-YEAR(G2147))*14)+MONTH(G2147)+2,FALSE))))</f>
        <v>0</v>
      </c>
      <c r="M2147" s="306">
        <f t="shared" si="564"/>
        <v>0</v>
      </c>
      <c r="N2147" s="305">
        <f>IF(G2147=0,0,(IF(OR(E2147=$AT$5,E2147=$AT$6),AC2147,HLOOKUP(YEAR(G2147)+(MONTH(G2147)/100),TC!$5:$37,DAY(G2147)+2,FALSE))))</f>
        <v>0</v>
      </c>
      <c r="O2147" s="307">
        <f t="shared" si="565"/>
        <v>0</v>
      </c>
      <c r="P2147" s="560">
        <f>IF(G2147=0,0,VLOOKUP(YEAR(G2147),INPC!$B$4:$P$30,MONTH(G2147)+2))</f>
        <v>0</v>
      </c>
      <c r="Q2147" s="560">
        <f>IF(X2147=0,0,IF(OR(E2147=$AT$10,E2147=$AT$9),VLOOKUP(YEAR(X2147),INPC!$B$4:$P$30,MONTH(X2147)+1),VLOOKUP(YEAR(X2147),INPC!$B$4:$P$30,MONTH(X2147)+2,0)))</f>
        <v>0</v>
      </c>
      <c r="R2147" s="309">
        <f t="shared" si="566"/>
        <v>0</v>
      </c>
      <c r="S2147" s="310">
        <f t="shared" si="567"/>
        <v>0</v>
      </c>
      <c r="T2147" s="555">
        <f t="shared" si="568"/>
        <v>0</v>
      </c>
      <c r="U2147" s="311"/>
      <c r="V2147" s="312"/>
      <c r="W2147" s="299"/>
      <c r="X2147" s="300"/>
      <c r="Y2147" s="299"/>
      <c r="Z2147" s="303"/>
      <c r="AA2147" s="305">
        <f>IF(Z2147=0,0,IF(Y2147="MXN",1/HLOOKUP(YEAR(X2147)+(MONTH(X2147)/100),TC!$5:$37,DAY(X2147)+2,FALSE),VLOOKUP(Y2147,Equivalencia!$1:$23,((MAX(Equivalencia!$3:$3)-YEAR(X2147))*14)+MONTH(X2147)+2,FALSE)))</f>
        <v>0</v>
      </c>
      <c r="AB2147" s="306">
        <f t="shared" si="569"/>
        <v>0</v>
      </c>
      <c r="AC2147" s="305">
        <f>+IF(X2147=0,0,HLOOKUP(YEAR(X2147)+(MONTH(X2147)/100),TC!$5:$37,DAY(X2147)+2,FALSE))</f>
        <v>0</v>
      </c>
      <c r="AD2147" s="307">
        <f t="shared" si="570"/>
        <v>0</v>
      </c>
      <c r="AE2147" s="314">
        <f t="shared" si="571"/>
        <v>0</v>
      </c>
      <c r="AF2147" s="315">
        <f t="shared" si="572"/>
        <v>0</v>
      </c>
      <c r="AG2147" s="316">
        <f t="shared" si="573"/>
        <v>0</v>
      </c>
      <c r="AH2147" s="314">
        <v>1</v>
      </c>
      <c r="AI2147" s="314">
        <f t="shared" si="574"/>
        <v>0</v>
      </c>
      <c r="AJ2147" s="314">
        <f t="shared" si="575"/>
        <v>0</v>
      </c>
      <c r="AK2147" s="317"/>
      <c r="AL2147" s="315">
        <f t="shared" si="576"/>
        <v>0</v>
      </c>
      <c r="AN2147" s="554">
        <f t="shared" si="577"/>
        <v>0</v>
      </c>
      <c r="AO2147" s="314"/>
      <c r="AP2147" s="318"/>
    </row>
    <row r="2148" spans="2:42">
      <c r="B2148" s="296"/>
      <c r="C2148" s="299"/>
      <c r="D2148" s="298"/>
      <c r="E2148" s="299"/>
      <c r="F2148" s="299"/>
      <c r="G2148" s="300"/>
      <c r="H2148" s="303"/>
      <c r="I2148" s="301">
        <f t="shared" si="561"/>
        <v>0</v>
      </c>
      <c r="J2148" s="302">
        <f t="shared" si="562"/>
        <v>0</v>
      </c>
      <c r="K2148" s="304">
        <f t="shared" si="563"/>
        <v>0</v>
      </c>
      <c r="L2148" s="305">
        <f>IF(H2148=0,0,IF(OR(E2148=$AT$5,E2148=$AT$6),AA2148,IF(F2148="MXN",1/HLOOKUP(YEAR(G2148)+(MONTH(G2148)/100),TC!$5:$37,DAY(G2148)+2,FALSE),VLOOKUP(F2148,Equivalencia!$5:$23,((MAX(Equivalencia!$3:$3)-YEAR(G2148))*14)+MONTH(G2148)+2,FALSE))))</f>
        <v>0</v>
      </c>
      <c r="M2148" s="306">
        <f t="shared" si="564"/>
        <v>0</v>
      </c>
      <c r="N2148" s="305">
        <f>IF(G2148=0,0,(IF(OR(E2148=$AT$5,E2148=$AT$6),AC2148,HLOOKUP(YEAR(G2148)+(MONTH(G2148)/100),TC!$5:$37,DAY(G2148)+2,FALSE))))</f>
        <v>0</v>
      </c>
      <c r="O2148" s="307">
        <f t="shared" si="565"/>
        <v>0</v>
      </c>
      <c r="P2148" s="560">
        <f>IF(G2148=0,0,VLOOKUP(YEAR(G2148),INPC!$B$4:$P$30,MONTH(G2148)+2))</f>
        <v>0</v>
      </c>
      <c r="Q2148" s="560">
        <f>IF(X2148=0,0,IF(OR(E2148=$AT$10,E2148=$AT$9),VLOOKUP(YEAR(X2148),INPC!$B$4:$P$30,MONTH(X2148)+1),VLOOKUP(YEAR(X2148),INPC!$B$4:$P$30,MONTH(X2148)+2,0)))</f>
        <v>0</v>
      </c>
      <c r="R2148" s="309">
        <f t="shared" si="566"/>
        <v>0</v>
      </c>
      <c r="S2148" s="310">
        <f t="shared" si="567"/>
        <v>0</v>
      </c>
      <c r="T2148" s="555">
        <f t="shared" si="568"/>
        <v>0</v>
      </c>
      <c r="U2148" s="311"/>
      <c r="V2148" s="312"/>
      <c r="W2148" s="299"/>
      <c r="X2148" s="300"/>
      <c r="Y2148" s="299"/>
      <c r="Z2148" s="303"/>
      <c r="AA2148" s="305">
        <f>IF(Z2148=0,0,IF(Y2148="MXN",1/HLOOKUP(YEAR(X2148)+(MONTH(X2148)/100),TC!$5:$37,DAY(X2148)+2,FALSE),VLOOKUP(Y2148,Equivalencia!$1:$23,((MAX(Equivalencia!$3:$3)-YEAR(X2148))*14)+MONTH(X2148)+2,FALSE)))</f>
        <v>0</v>
      </c>
      <c r="AB2148" s="306">
        <f t="shared" si="569"/>
        <v>0</v>
      </c>
      <c r="AC2148" s="305">
        <f>+IF(X2148=0,0,HLOOKUP(YEAR(X2148)+(MONTH(X2148)/100),TC!$5:$37,DAY(X2148)+2,FALSE))</f>
        <v>0</v>
      </c>
      <c r="AD2148" s="307">
        <f t="shared" si="570"/>
        <v>0</v>
      </c>
      <c r="AE2148" s="314">
        <f t="shared" si="571"/>
        <v>0</v>
      </c>
      <c r="AF2148" s="315">
        <f t="shared" si="572"/>
        <v>0</v>
      </c>
      <c r="AG2148" s="316">
        <f t="shared" si="573"/>
        <v>0</v>
      </c>
      <c r="AH2148" s="314">
        <v>1</v>
      </c>
      <c r="AI2148" s="314">
        <f t="shared" si="574"/>
        <v>0</v>
      </c>
      <c r="AJ2148" s="314">
        <f t="shared" si="575"/>
        <v>0</v>
      </c>
      <c r="AK2148" s="317"/>
      <c r="AL2148" s="315">
        <f t="shared" si="576"/>
        <v>0</v>
      </c>
      <c r="AN2148" s="554">
        <f t="shared" si="577"/>
        <v>0</v>
      </c>
      <c r="AO2148" s="314"/>
      <c r="AP2148" s="318"/>
    </row>
    <row r="2149" spans="2:42">
      <c r="B2149" s="296"/>
      <c r="C2149" s="299"/>
      <c r="D2149" s="298"/>
      <c r="E2149" s="299"/>
      <c r="F2149" s="299"/>
      <c r="G2149" s="300"/>
      <c r="H2149" s="303"/>
      <c r="I2149" s="301">
        <f t="shared" si="561"/>
        <v>0</v>
      </c>
      <c r="J2149" s="302">
        <f t="shared" si="562"/>
        <v>0</v>
      </c>
      <c r="K2149" s="304">
        <f t="shared" si="563"/>
        <v>0</v>
      </c>
      <c r="L2149" s="305">
        <f>IF(H2149=0,0,IF(OR(E2149=$AT$5,E2149=$AT$6),AA2149,IF(F2149="MXN",1/HLOOKUP(YEAR(G2149)+(MONTH(G2149)/100),TC!$5:$37,DAY(G2149)+2,FALSE),VLOOKUP(F2149,Equivalencia!$5:$23,((MAX(Equivalencia!$3:$3)-YEAR(G2149))*14)+MONTH(G2149)+2,FALSE))))</f>
        <v>0</v>
      </c>
      <c r="M2149" s="306">
        <f t="shared" si="564"/>
        <v>0</v>
      </c>
      <c r="N2149" s="305">
        <f>IF(G2149=0,0,(IF(OR(E2149=$AT$5,E2149=$AT$6),AC2149,HLOOKUP(YEAR(G2149)+(MONTH(G2149)/100),TC!$5:$37,DAY(G2149)+2,FALSE))))</f>
        <v>0</v>
      </c>
      <c r="O2149" s="307">
        <f t="shared" si="565"/>
        <v>0</v>
      </c>
      <c r="P2149" s="560">
        <f>IF(G2149=0,0,VLOOKUP(YEAR(G2149),INPC!$B$4:$P$30,MONTH(G2149)+2))</f>
        <v>0</v>
      </c>
      <c r="Q2149" s="560">
        <f>IF(X2149=0,0,IF(OR(E2149=$AT$10,E2149=$AT$9),VLOOKUP(YEAR(X2149),INPC!$B$4:$P$30,MONTH(X2149)+1),VLOOKUP(YEAR(X2149),INPC!$B$4:$P$30,MONTH(X2149)+2,0)))</f>
        <v>0</v>
      </c>
      <c r="R2149" s="309">
        <f t="shared" si="566"/>
        <v>0</v>
      </c>
      <c r="S2149" s="310">
        <f t="shared" si="567"/>
        <v>0</v>
      </c>
      <c r="T2149" s="555">
        <f t="shared" si="568"/>
        <v>0</v>
      </c>
      <c r="U2149" s="311"/>
      <c r="V2149" s="312"/>
      <c r="W2149" s="299"/>
      <c r="X2149" s="300"/>
      <c r="Y2149" s="299"/>
      <c r="Z2149" s="303"/>
      <c r="AA2149" s="305">
        <f>IF(Z2149=0,0,IF(Y2149="MXN",1/HLOOKUP(YEAR(X2149)+(MONTH(X2149)/100),TC!$5:$37,DAY(X2149)+2,FALSE),VLOOKUP(Y2149,Equivalencia!$1:$23,((MAX(Equivalencia!$3:$3)-YEAR(X2149))*14)+MONTH(X2149)+2,FALSE)))</f>
        <v>0</v>
      </c>
      <c r="AB2149" s="306">
        <f t="shared" si="569"/>
        <v>0</v>
      </c>
      <c r="AC2149" s="305">
        <f>+IF(X2149=0,0,HLOOKUP(YEAR(X2149)+(MONTH(X2149)/100),TC!$5:$37,DAY(X2149)+2,FALSE))</f>
        <v>0</v>
      </c>
      <c r="AD2149" s="307">
        <f t="shared" si="570"/>
        <v>0</v>
      </c>
      <c r="AE2149" s="314">
        <f t="shared" si="571"/>
        <v>0</v>
      </c>
      <c r="AF2149" s="315">
        <f t="shared" si="572"/>
        <v>0</v>
      </c>
      <c r="AG2149" s="316">
        <f t="shared" si="573"/>
        <v>0</v>
      </c>
      <c r="AH2149" s="314">
        <v>1</v>
      </c>
      <c r="AI2149" s="314">
        <f t="shared" si="574"/>
        <v>0</v>
      </c>
      <c r="AJ2149" s="314">
        <f t="shared" si="575"/>
        <v>0</v>
      </c>
      <c r="AK2149" s="317"/>
      <c r="AL2149" s="315">
        <f t="shared" si="576"/>
        <v>0</v>
      </c>
      <c r="AN2149" s="554">
        <f t="shared" si="577"/>
        <v>0</v>
      </c>
      <c r="AO2149" s="314"/>
      <c r="AP2149" s="318"/>
    </row>
    <row r="2150" spans="2:42">
      <c r="B2150" s="296"/>
      <c r="C2150" s="299"/>
      <c r="D2150" s="298"/>
      <c r="E2150" s="299"/>
      <c r="F2150" s="299"/>
      <c r="G2150" s="300"/>
      <c r="H2150" s="303"/>
      <c r="I2150" s="301">
        <f t="shared" si="561"/>
        <v>0</v>
      </c>
      <c r="J2150" s="302">
        <f t="shared" si="562"/>
        <v>0</v>
      </c>
      <c r="K2150" s="304">
        <f t="shared" si="563"/>
        <v>0</v>
      </c>
      <c r="L2150" s="305">
        <f>IF(H2150=0,0,IF(OR(E2150=$AT$5,E2150=$AT$6),AA2150,IF(F2150="MXN",1/HLOOKUP(YEAR(G2150)+(MONTH(G2150)/100),TC!$5:$37,DAY(G2150)+2,FALSE),VLOOKUP(F2150,Equivalencia!$5:$23,((MAX(Equivalencia!$3:$3)-YEAR(G2150))*14)+MONTH(G2150)+2,FALSE))))</f>
        <v>0</v>
      </c>
      <c r="M2150" s="306">
        <f t="shared" si="564"/>
        <v>0</v>
      </c>
      <c r="N2150" s="305">
        <f>IF(G2150=0,0,(IF(OR(E2150=$AT$5,E2150=$AT$6),AC2150,HLOOKUP(YEAR(G2150)+(MONTH(G2150)/100),TC!$5:$37,DAY(G2150)+2,FALSE))))</f>
        <v>0</v>
      </c>
      <c r="O2150" s="307">
        <f t="shared" si="565"/>
        <v>0</v>
      </c>
      <c r="P2150" s="560">
        <f>IF(G2150=0,0,VLOOKUP(YEAR(G2150),INPC!$B$4:$P$30,MONTH(G2150)+2))</f>
        <v>0</v>
      </c>
      <c r="Q2150" s="560">
        <f>IF(X2150=0,0,IF(OR(E2150=$AT$10,E2150=$AT$9),VLOOKUP(YEAR(X2150),INPC!$B$4:$P$30,MONTH(X2150)+1),VLOOKUP(YEAR(X2150),INPC!$B$4:$P$30,MONTH(X2150)+2,0)))</f>
        <v>0</v>
      </c>
      <c r="R2150" s="309">
        <f t="shared" si="566"/>
        <v>0</v>
      </c>
      <c r="S2150" s="310">
        <f t="shared" si="567"/>
        <v>0</v>
      </c>
      <c r="T2150" s="555">
        <f t="shared" si="568"/>
        <v>0</v>
      </c>
      <c r="U2150" s="311"/>
      <c r="V2150" s="312"/>
      <c r="W2150" s="299"/>
      <c r="X2150" s="300"/>
      <c r="Y2150" s="299"/>
      <c r="Z2150" s="303"/>
      <c r="AA2150" s="305">
        <f>IF(Z2150=0,0,IF(Y2150="MXN",1/HLOOKUP(YEAR(X2150)+(MONTH(X2150)/100),TC!$5:$37,DAY(X2150)+2,FALSE),VLOOKUP(Y2150,Equivalencia!$1:$23,((MAX(Equivalencia!$3:$3)-YEAR(X2150))*14)+MONTH(X2150)+2,FALSE)))</f>
        <v>0</v>
      </c>
      <c r="AB2150" s="306">
        <f t="shared" si="569"/>
        <v>0</v>
      </c>
      <c r="AC2150" s="305">
        <f>+IF(X2150=0,0,HLOOKUP(YEAR(X2150)+(MONTH(X2150)/100),TC!$5:$37,DAY(X2150)+2,FALSE))</f>
        <v>0</v>
      </c>
      <c r="AD2150" s="307">
        <f t="shared" si="570"/>
        <v>0</v>
      </c>
      <c r="AE2150" s="314">
        <f t="shared" si="571"/>
        <v>0</v>
      </c>
      <c r="AF2150" s="315">
        <f t="shared" si="572"/>
        <v>0</v>
      </c>
      <c r="AG2150" s="316">
        <f t="shared" si="573"/>
        <v>0</v>
      </c>
      <c r="AH2150" s="314">
        <v>1</v>
      </c>
      <c r="AI2150" s="314">
        <f t="shared" si="574"/>
        <v>0</v>
      </c>
      <c r="AJ2150" s="314">
        <f t="shared" si="575"/>
        <v>0</v>
      </c>
      <c r="AK2150" s="317"/>
      <c r="AL2150" s="315">
        <f t="shared" si="576"/>
        <v>0</v>
      </c>
      <c r="AN2150" s="554">
        <f t="shared" si="577"/>
        <v>0</v>
      </c>
      <c r="AO2150" s="314"/>
      <c r="AP2150" s="318"/>
    </row>
    <row r="2151" spans="2:42">
      <c r="B2151" s="296"/>
      <c r="C2151" s="299"/>
      <c r="D2151" s="298"/>
      <c r="E2151" s="299"/>
      <c r="F2151" s="299"/>
      <c r="G2151" s="300"/>
      <c r="H2151" s="303"/>
      <c r="I2151" s="301">
        <f t="shared" si="561"/>
        <v>0</v>
      </c>
      <c r="J2151" s="302">
        <f t="shared" si="562"/>
        <v>0</v>
      </c>
      <c r="K2151" s="304">
        <f t="shared" si="563"/>
        <v>0</v>
      </c>
      <c r="L2151" s="305">
        <f>IF(H2151=0,0,IF(OR(E2151=$AT$5,E2151=$AT$6),AA2151,IF(F2151="MXN",1/HLOOKUP(YEAR(G2151)+(MONTH(G2151)/100),TC!$5:$37,DAY(G2151)+2,FALSE),VLOOKUP(F2151,Equivalencia!$5:$23,((MAX(Equivalencia!$3:$3)-YEAR(G2151))*14)+MONTH(G2151)+2,FALSE))))</f>
        <v>0</v>
      </c>
      <c r="M2151" s="306">
        <f t="shared" si="564"/>
        <v>0</v>
      </c>
      <c r="N2151" s="305">
        <f>IF(G2151=0,0,(IF(OR(E2151=$AT$5,E2151=$AT$6),AC2151,HLOOKUP(YEAR(G2151)+(MONTH(G2151)/100),TC!$5:$37,DAY(G2151)+2,FALSE))))</f>
        <v>0</v>
      </c>
      <c r="O2151" s="307">
        <f t="shared" si="565"/>
        <v>0</v>
      </c>
      <c r="P2151" s="560">
        <f>IF(G2151=0,0,VLOOKUP(YEAR(G2151),INPC!$B$4:$P$30,MONTH(G2151)+2))</f>
        <v>0</v>
      </c>
      <c r="Q2151" s="560">
        <f>IF(X2151=0,0,IF(OR(E2151=$AT$10,E2151=$AT$9),VLOOKUP(YEAR(X2151),INPC!$B$4:$P$30,MONTH(X2151)+1),VLOOKUP(YEAR(X2151),INPC!$B$4:$P$30,MONTH(X2151)+2,0)))</f>
        <v>0</v>
      </c>
      <c r="R2151" s="309">
        <f t="shared" si="566"/>
        <v>0</v>
      </c>
      <c r="S2151" s="310">
        <f t="shared" si="567"/>
        <v>0</v>
      </c>
      <c r="T2151" s="555">
        <f t="shared" si="568"/>
        <v>0</v>
      </c>
      <c r="U2151" s="311"/>
      <c r="V2151" s="312"/>
      <c r="W2151" s="299"/>
      <c r="X2151" s="300"/>
      <c r="Y2151" s="299"/>
      <c r="Z2151" s="303"/>
      <c r="AA2151" s="305">
        <f>IF(Z2151=0,0,IF(Y2151="MXN",1/HLOOKUP(YEAR(X2151)+(MONTH(X2151)/100),TC!$5:$37,DAY(X2151)+2,FALSE),VLOOKUP(Y2151,Equivalencia!$1:$23,((MAX(Equivalencia!$3:$3)-YEAR(X2151))*14)+MONTH(X2151)+2,FALSE)))</f>
        <v>0</v>
      </c>
      <c r="AB2151" s="306">
        <f t="shared" si="569"/>
        <v>0</v>
      </c>
      <c r="AC2151" s="305">
        <f>+IF(X2151=0,0,HLOOKUP(YEAR(X2151)+(MONTH(X2151)/100),TC!$5:$37,DAY(X2151)+2,FALSE))</f>
        <v>0</v>
      </c>
      <c r="AD2151" s="307">
        <f t="shared" si="570"/>
        <v>0</v>
      </c>
      <c r="AE2151" s="314">
        <f t="shared" si="571"/>
        <v>0</v>
      </c>
      <c r="AF2151" s="315">
        <f t="shared" si="572"/>
        <v>0</v>
      </c>
      <c r="AG2151" s="316">
        <f t="shared" si="573"/>
        <v>0</v>
      </c>
      <c r="AH2151" s="314">
        <v>1</v>
      </c>
      <c r="AI2151" s="314">
        <f t="shared" si="574"/>
        <v>0</v>
      </c>
      <c r="AJ2151" s="314">
        <f t="shared" si="575"/>
        <v>0</v>
      </c>
      <c r="AK2151" s="317"/>
      <c r="AL2151" s="315">
        <f t="shared" si="576"/>
        <v>0</v>
      </c>
      <c r="AN2151" s="554">
        <f t="shared" si="577"/>
        <v>0</v>
      </c>
      <c r="AO2151" s="314"/>
      <c r="AP2151" s="318"/>
    </row>
    <row r="2152" spans="2:42">
      <c r="B2152" s="296"/>
      <c r="C2152" s="299"/>
      <c r="D2152" s="298"/>
      <c r="E2152" s="299"/>
      <c r="F2152" s="299"/>
      <c r="G2152" s="300"/>
      <c r="H2152" s="303"/>
      <c r="I2152" s="301">
        <f t="shared" si="561"/>
        <v>0</v>
      </c>
      <c r="J2152" s="302">
        <f t="shared" si="562"/>
        <v>0</v>
      </c>
      <c r="K2152" s="304">
        <f t="shared" si="563"/>
        <v>0</v>
      </c>
      <c r="L2152" s="305">
        <f>IF(H2152=0,0,IF(OR(E2152=$AT$5,E2152=$AT$6),AA2152,IF(F2152="MXN",1/HLOOKUP(YEAR(G2152)+(MONTH(G2152)/100),TC!$5:$37,DAY(G2152)+2,FALSE),VLOOKUP(F2152,Equivalencia!$5:$23,((MAX(Equivalencia!$3:$3)-YEAR(G2152))*14)+MONTH(G2152)+2,FALSE))))</f>
        <v>0</v>
      </c>
      <c r="M2152" s="306">
        <f t="shared" si="564"/>
        <v>0</v>
      </c>
      <c r="N2152" s="305">
        <f>IF(G2152=0,0,(IF(OR(E2152=$AT$5,E2152=$AT$6),AC2152,HLOOKUP(YEAR(G2152)+(MONTH(G2152)/100),TC!$5:$37,DAY(G2152)+2,FALSE))))</f>
        <v>0</v>
      </c>
      <c r="O2152" s="307">
        <f t="shared" si="565"/>
        <v>0</v>
      </c>
      <c r="P2152" s="560">
        <f>IF(G2152=0,0,VLOOKUP(YEAR(G2152),INPC!$B$4:$P$30,MONTH(G2152)+2))</f>
        <v>0</v>
      </c>
      <c r="Q2152" s="560">
        <f>IF(X2152=0,0,IF(OR(E2152=$AT$10,E2152=$AT$9),VLOOKUP(YEAR(X2152),INPC!$B$4:$P$30,MONTH(X2152)+1),VLOOKUP(YEAR(X2152),INPC!$B$4:$P$30,MONTH(X2152)+2,0)))</f>
        <v>0</v>
      </c>
      <c r="R2152" s="309">
        <f t="shared" si="566"/>
        <v>0</v>
      </c>
      <c r="S2152" s="310">
        <f t="shared" si="567"/>
        <v>0</v>
      </c>
      <c r="T2152" s="555">
        <f t="shared" si="568"/>
        <v>0</v>
      </c>
      <c r="U2152" s="311"/>
      <c r="V2152" s="312"/>
      <c r="W2152" s="299"/>
      <c r="X2152" s="300"/>
      <c r="Y2152" s="299"/>
      <c r="Z2152" s="303"/>
      <c r="AA2152" s="305">
        <f>IF(Z2152=0,0,IF(Y2152="MXN",1/HLOOKUP(YEAR(X2152)+(MONTH(X2152)/100),TC!$5:$37,DAY(X2152)+2,FALSE),VLOOKUP(Y2152,Equivalencia!$1:$23,((MAX(Equivalencia!$3:$3)-YEAR(X2152))*14)+MONTH(X2152)+2,FALSE)))</f>
        <v>0</v>
      </c>
      <c r="AB2152" s="306">
        <f t="shared" si="569"/>
        <v>0</v>
      </c>
      <c r="AC2152" s="305">
        <f>+IF(X2152=0,0,HLOOKUP(YEAR(X2152)+(MONTH(X2152)/100),TC!$5:$37,DAY(X2152)+2,FALSE))</f>
        <v>0</v>
      </c>
      <c r="AD2152" s="307">
        <f t="shared" si="570"/>
        <v>0</v>
      </c>
      <c r="AE2152" s="314">
        <f t="shared" si="571"/>
        <v>0</v>
      </c>
      <c r="AF2152" s="315">
        <f t="shared" si="572"/>
        <v>0</v>
      </c>
      <c r="AG2152" s="316">
        <f t="shared" si="573"/>
        <v>0</v>
      </c>
      <c r="AH2152" s="314">
        <v>1</v>
      </c>
      <c r="AI2152" s="314">
        <f t="shared" si="574"/>
        <v>0</v>
      </c>
      <c r="AJ2152" s="314">
        <f t="shared" si="575"/>
        <v>0</v>
      </c>
      <c r="AK2152" s="317"/>
      <c r="AL2152" s="315">
        <f t="shared" si="576"/>
        <v>0</v>
      </c>
      <c r="AN2152" s="554">
        <f t="shared" si="577"/>
        <v>0</v>
      </c>
      <c r="AO2152" s="314"/>
      <c r="AP2152" s="318"/>
    </row>
    <row r="2153" spans="2:42">
      <c r="B2153" s="296"/>
      <c r="C2153" s="299"/>
      <c r="D2153" s="298"/>
      <c r="E2153" s="299"/>
      <c r="F2153" s="299"/>
      <c r="G2153" s="300"/>
      <c r="H2153" s="303"/>
      <c r="I2153" s="301">
        <f t="shared" si="561"/>
        <v>0</v>
      </c>
      <c r="J2153" s="302">
        <f t="shared" si="562"/>
        <v>0</v>
      </c>
      <c r="K2153" s="304">
        <f t="shared" si="563"/>
        <v>0</v>
      </c>
      <c r="L2153" s="305">
        <f>IF(H2153=0,0,IF(OR(E2153=$AT$5,E2153=$AT$6),AA2153,IF(F2153="MXN",1/HLOOKUP(YEAR(G2153)+(MONTH(G2153)/100),TC!$5:$37,DAY(G2153)+2,FALSE),VLOOKUP(F2153,Equivalencia!$5:$23,((MAX(Equivalencia!$3:$3)-YEAR(G2153))*14)+MONTH(G2153)+2,FALSE))))</f>
        <v>0</v>
      </c>
      <c r="M2153" s="306">
        <f t="shared" si="564"/>
        <v>0</v>
      </c>
      <c r="N2153" s="305">
        <f>IF(G2153=0,0,(IF(OR(E2153=$AT$5,E2153=$AT$6),AC2153,HLOOKUP(YEAR(G2153)+(MONTH(G2153)/100),TC!$5:$37,DAY(G2153)+2,FALSE))))</f>
        <v>0</v>
      </c>
      <c r="O2153" s="307">
        <f t="shared" si="565"/>
        <v>0</v>
      </c>
      <c r="P2153" s="560">
        <f>IF(G2153=0,0,VLOOKUP(YEAR(G2153),INPC!$B$4:$P$30,MONTH(G2153)+2))</f>
        <v>0</v>
      </c>
      <c r="Q2153" s="560">
        <f>IF(X2153=0,0,IF(OR(E2153=$AT$10,E2153=$AT$9),VLOOKUP(YEAR(X2153),INPC!$B$4:$P$30,MONTH(X2153)+1),VLOOKUP(YEAR(X2153),INPC!$B$4:$P$30,MONTH(X2153)+2,0)))</f>
        <v>0</v>
      </c>
      <c r="R2153" s="309">
        <f t="shared" si="566"/>
        <v>0</v>
      </c>
      <c r="S2153" s="310">
        <f t="shared" si="567"/>
        <v>0</v>
      </c>
      <c r="T2153" s="555">
        <f t="shared" si="568"/>
        <v>0</v>
      </c>
      <c r="U2153" s="311"/>
      <c r="V2153" s="312"/>
      <c r="W2153" s="299"/>
      <c r="X2153" s="300"/>
      <c r="Y2153" s="299"/>
      <c r="Z2153" s="303"/>
      <c r="AA2153" s="305">
        <f>IF(Z2153=0,0,IF(Y2153="MXN",1/HLOOKUP(YEAR(X2153)+(MONTH(X2153)/100),TC!$5:$37,DAY(X2153)+2,FALSE),VLOOKUP(Y2153,Equivalencia!$1:$23,((MAX(Equivalencia!$3:$3)-YEAR(X2153))*14)+MONTH(X2153)+2,FALSE)))</f>
        <v>0</v>
      </c>
      <c r="AB2153" s="306">
        <f t="shared" si="569"/>
        <v>0</v>
      </c>
      <c r="AC2153" s="305">
        <f>+IF(X2153=0,0,HLOOKUP(YEAR(X2153)+(MONTH(X2153)/100),TC!$5:$37,DAY(X2153)+2,FALSE))</f>
        <v>0</v>
      </c>
      <c r="AD2153" s="307">
        <f t="shared" si="570"/>
        <v>0</v>
      </c>
      <c r="AE2153" s="314">
        <f t="shared" si="571"/>
        <v>0</v>
      </c>
      <c r="AF2153" s="315">
        <f t="shared" si="572"/>
        <v>0</v>
      </c>
      <c r="AG2153" s="316">
        <f t="shared" si="573"/>
        <v>0</v>
      </c>
      <c r="AH2153" s="314">
        <v>1</v>
      </c>
      <c r="AI2153" s="314">
        <f t="shared" si="574"/>
        <v>0</v>
      </c>
      <c r="AJ2153" s="314">
        <f t="shared" si="575"/>
        <v>0</v>
      </c>
      <c r="AK2153" s="317"/>
      <c r="AL2153" s="315">
        <f t="shared" si="576"/>
        <v>0</v>
      </c>
      <c r="AN2153" s="554">
        <f t="shared" si="577"/>
        <v>0</v>
      </c>
      <c r="AO2153" s="314"/>
      <c r="AP2153" s="318"/>
    </row>
    <row r="2154" spans="2:42">
      <c r="B2154" s="296"/>
      <c r="C2154" s="299"/>
      <c r="D2154" s="298"/>
      <c r="E2154" s="299"/>
      <c r="F2154" s="299"/>
      <c r="G2154" s="300"/>
      <c r="H2154" s="303"/>
      <c r="I2154" s="301">
        <f t="shared" si="561"/>
        <v>0</v>
      </c>
      <c r="J2154" s="302">
        <f t="shared" si="562"/>
        <v>0</v>
      </c>
      <c r="K2154" s="304">
        <f t="shared" si="563"/>
        <v>0</v>
      </c>
      <c r="L2154" s="305">
        <f>IF(H2154=0,0,IF(OR(E2154=$AT$5,E2154=$AT$6),AA2154,IF(F2154="MXN",1/HLOOKUP(YEAR(G2154)+(MONTH(G2154)/100),TC!$5:$37,DAY(G2154)+2,FALSE),VLOOKUP(F2154,Equivalencia!$5:$23,((MAX(Equivalencia!$3:$3)-YEAR(G2154))*14)+MONTH(G2154)+2,FALSE))))</f>
        <v>0</v>
      </c>
      <c r="M2154" s="306">
        <f t="shared" si="564"/>
        <v>0</v>
      </c>
      <c r="N2154" s="305">
        <f>IF(G2154=0,0,(IF(OR(E2154=$AT$5,E2154=$AT$6),AC2154,HLOOKUP(YEAR(G2154)+(MONTH(G2154)/100),TC!$5:$37,DAY(G2154)+2,FALSE))))</f>
        <v>0</v>
      </c>
      <c r="O2154" s="307">
        <f t="shared" si="565"/>
        <v>0</v>
      </c>
      <c r="P2154" s="560">
        <f>IF(G2154=0,0,VLOOKUP(YEAR(G2154),INPC!$B$4:$P$30,MONTH(G2154)+2))</f>
        <v>0</v>
      </c>
      <c r="Q2154" s="560">
        <f>IF(X2154=0,0,IF(OR(E2154=$AT$10,E2154=$AT$9),VLOOKUP(YEAR(X2154),INPC!$B$4:$P$30,MONTH(X2154)+1),VLOOKUP(YEAR(X2154),INPC!$B$4:$P$30,MONTH(X2154)+2,0)))</f>
        <v>0</v>
      </c>
      <c r="R2154" s="309">
        <f t="shared" si="566"/>
        <v>0</v>
      </c>
      <c r="S2154" s="310">
        <f t="shared" si="567"/>
        <v>0</v>
      </c>
      <c r="T2154" s="555">
        <f t="shared" si="568"/>
        <v>0</v>
      </c>
      <c r="U2154" s="311"/>
      <c r="V2154" s="312"/>
      <c r="W2154" s="299"/>
      <c r="X2154" s="300"/>
      <c r="Y2154" s="299"/>
      <c r="Z2154" s="303"/>
      <c r="AA2154" s="305">
        <f>IF(Z2154=0,0,IF(Y2154="MXN",1/HLOOKUP(YEAR(X2154)+(MONTH(X2154)/100),TC!$5:$37,DAY(X2154)+2,FALSE),VLOOKUP(Y2154,Equivalencia!$1:$23,((MAX(Equivalencia!$3:$3)-YEAR(X2154))*14)+MONTH(X2154)+2,FALSE)))</f>
        <v>0</v>
      </c>
      <c r="AB2154" s="306">
        <f t="shared" si="569"/>
        <v>0</v>
      </c>
      <c r="AC2154" s="305">
        <f>+IF(X2154=0,0,HLOOKUP(YEAR(X2154)+(MONTH(X2154)/100),TC!$5:$37,DAY(X2154)+2,FALSE))</f>
        <v>0</v>
      </c>
      <c r="AD2154" s="307">
        <f t="shared" si="570"/>
        <v>0</v>
      </c>
      <c r="AE2154" s="314">
        <f t="shared" si="571"/>
        <v>0</v>
      </c>
      <c r="AF2154" s="315">
        <f t="shared" si="572"/>
        <v>0</v>
      </c>
      <c r="AG2154" s="316">
        <f t="shared" si="573"/>
        <v>0</v>
      </c>
      <c r="AH2154" s="314">
        <v>1</v>
      </c>
      <c r="AI2154" s="314">
        <f t="shared" si="574"/>
        <v>0</v>
      </c>
      <c r="AJ2154" s="314">
        <f t="shared" si="575"/>
        <v>0</v>
      </c>
      <c r="AK2154" s="317"/>
      <c r="AL2154" s="315">
        <f t="shared" si="576"/>
        <v>0</v>
      </c>
      <c r="AN2154" s="554">
        <f t="shared" si="577"/>
        <v>0</v>
      </c>
      <c r="AO2154" s="314"/>
      <c r="AP2154" s="318"/>
    </row>
    <row r="2155" spans="2:42">
      <c r="B2155" s="296"/>
      <c r="C2155" s="299"/>
      <c r="D2155" s="298"/>
      <c r="E2155" s="299"/>
      <c r="F2155" s="299"/>
      <c r="G2155" s="300"/>
      <c r="H2155" s="303"/>
      <c r="I2155" s="301">
        <f t="shared" si="561"/>
        <v>0</v>
      </c>
      <c r="J2155" s="302">
        <f t="shared" si="562"/>
        <v>0</v>
      </c>
      <c r="K2155" s="304">
        <f t="shared" si="563"/>
        <v>0</v>
      </c>
      <c r="L2155" s="305">
        <f>IF(H2155=0,0,IF(OR(E2155=$AT$5,E2155=$AT$6),AA2155,IF(F2155="MXN",1/HLOOKUP(YEAR(G2155)+(MONTH(G2155)/100),TC!$5:$37,DAY(G2155)+2,FALSE),VLOOKUP(F2155,Equivalencia!$5:$23,((MAX(Equivalencia!$3:$3)-YEAR(G2155))*14)+MONTH(G2155)+2,FALSE))))</f>
        <v>0</v>
      </c>
      <c r="M2155" s="306">
        <f t="shared" si="564"/>
        <v>0</v>
      </c>
      <c r="N2155" s="305">
        <f>IF(G2155=0,0,(IF(OR(E2155=$AT$5,E2155=$AT$6),AC2155,HLOOKUP(YEAR(G2155)+(MONTH(G2155)/100),TC!$5:$37,DAY(G2155)+2,FALSE))))</f>
        <v>0</v>
      </c>
      <c r="O2155" s="307">
        <f t="shared" si="565"/>
        <v>0</v>
      </c>
      <c r="P2155" s="560">
        <f>IF(G2155=0,0,VLOOKUP(YEAR(G2155),INPC!$B$4:$P$30,MONTH(G2155)+2))</f>
        <v>0</v>
      </c>
      <c r="Q2155" s="560">
        <f>IF(X2155=0,0,IF(OR(E2155=$AT$10,E2155=$AT$9),VLOOKUP(YEAR(X2155),INPC!$B$4:$P$30,MONTH(X2155)+1),VLOOKUP(YEAR(X2155),INPC!$B$4:$P$30,MONTH(X2155)+2,0)))</f>
        <v>0</v>
      </c>
      <c r="R2155" s="309">
        <f t="shared" si="566"/>
        <v>0</v>
      </c>
      <c r="S2155" s="310">
        <f t="shared" si="567"/>
        <v>0</v>
      </c>
      <c r="T2155" s="555">
        <f t="shared" si="568"/>
        <v>0</v>
      </c>
      <c r="U2155" s="311"/>
      <c r="V2155" s="312"/>
      <c r="W2155" s="299"/>
      <c r="X2155" s="300"/>
      <c r="Y2155" s="299"/>
      <c r="Z2155" s="303"/>
      <c r="AA2155" s="305">
        <f>IF(Z2155=0,0,IF(Y2155="MXN",1/HLOOKUP(YEAR(X2155)+(MONTH(X2155)/100),TC!$5:$37,DAY(X2155)+2,FALSE),VLOOKUP(Y2155,Equivalencia!$1:$23,((MAX(Equivalencia!$3:$3)-YEAR(X2155))*14)+MONTH(X2155)+2,FALSE)))</f>
        <v>0</v>
      </c>
      <c r="AB2155" s="306">
        <f t="shared" si="569"/>
        <v>0</v>
      </c>
      <c r="AC2155" s="305">
        <f>+IF(X2155=0,0,HLOOKUP(YEAR(X2155)+(MONTH(X2155)/100),TC!$5:$37,DAY(X2155)+2,FALSE))</f>
        <v>0</v>
      </c>
      <c r="AD2155" s="307">
        <f t="shared" si="570"/>
        <v>0</v>
      </c>
      <c r="AE2155" s="314">
        <f t="shared" si="571"/>
        <v>0</v>
      </c>
      <c r="AF2155" s="315">
        <f t="shared" si="572"/>
        <v>0</v>
      </c>
      <c r="AG2155" s="316">
        <f t="shared" si="573"/>
        <v>0</v>
      </c>
      <c r="AH2155" s="314">
        <v>1</v>
      </c>
      <c r="AI2155" s="314">
        <f t="shared" si="574"/>
        <v>0</v>
      </c>
      <c r="AJ2155" s="314">
        <f t="shared" si="575"/>
        <v>0</v>
      </c>
      <c r="AK2155" s="317"/>
      <c r="AL2155" s="315">
        <f t="shared" si="576"/>
        <v>0</v>
      </c>
      <c r="AN2155" s="554">
        <f t="shared" si="577"/>
        <v>0</v>
      </c>
      <c r="AO2155" s="314"/>
      <c r="AP2155" s="318"/>
    </row>
    <row r="2156" spans="2:42">
      <c r="B2156" s="296"/>
      <c r="C2156" s="299"/>
      <c r="D2156" s="298"/>
      <c r="E2156" s="299"/>
      <c r="F2156" s="299"/>
      <c r="G2156" s="300"/>
      <c r="H2156" s="303"/>
      <c r="I2156" s="301">
        <f t="shared" si="561"/>
        <v>0</v>
      </c>
      <c r="J2156" s="302">
        <f t="shared" si="562"/>
        <v>0</v>
      </c>
      <c r="K2156" s="304">
        <f t="shared" si="563"/>
        <v>0</v>
      </c>
      <c r="L2156" s="305">
        <f>IF(H2156=0,0,IF(OR(E2156=$AT$5,E2156=$AT$6),AA2156,IF(F2156="MXN",1/HLOOKUP(YEAR(G2156)+(MONTH(G2156)/100),TC!$5:$37,DAY(G2156)+2,FALSE),VLOOKUP(F2156,Equivalencia!$5:$23,((MAX(Equivalencia!$3:$3)-YEAR(G2156))*14)+MONTH(G2156)+2,FALSE))))</f>
        <v>0</v>
      </c>
      <c r="M2156" s="306">
        <f t="shared" si="564"/>
        <v>0</v>
      </c>
      <c r="N2156" s="305">
        <f>IF(G2156=0,0,(IF(OR(E2156=$AT$5,E2156=$AT$6),AC2156,HLOOKUP(YEAR(G2156)+(MONTH(G2156)/100),TC!$5:$37,DAY(G2156)+2,FALSE))))</f>
        <v>0</v>
      </c>
      <c r="O2156" s="307">
        <f t="shared" si="565"/>
        <v>0</v>
      </c>
      <c r="P2156" s="560">
        <f>IF(G2156=0,0,VLOOKUP(YEAR(G2156),INPC!$B$4:$P$30,MONTH(G2156)+2))</f>
        <v>0</v>
      </c>
      <c r="Q2156" s="560">
        <f>IF(X2156=0,0,IF(OR(E2156=$AT$10,E2156=$AT$9),VLOOKUP(YEAR(X2156),INPC!$B$4:$P$30,MONTH(X2156)+1),VLOOKUP(YEAR(X2156),INPC!$B$4:$P$30,MONTH(X2156)+2,0)))</f>
        <v>0</v>
      </c>
      <c r="R2156" s="309">
        <f t="shared" si="566"/>
        <v>0</v>
      </c>
      <c r="S2156" s="310">
        <f t="shared" si="567"/>
        <v>0</v>
      </c>
      <c r="T2156" s="555">
        <f t="shared" si="568"/>
        <v>0</v>
      </c>
      <c r="U2156" s="311"/>
      <c r="V2156" s="312"/>
      <c r="W2156" s="299"/>
      <c r="X2156" s="300"/>
      <c r="Y2156" s="299"/>
      <c r="Z2156" s="303"/>
      <c r="AA2156" s="305">
        <f>IF(Z2156=0,0,IF(Y2156="MXN",1/HLOOKUP(YEAR(X2156)+(MONTH(X2156)/100),TC!$5:$37,DAY(X2156)+2,FALSE),VLOOKUP(Y2156,Equivalencia!$1:$23,((MAX(Equivalencia!$3:$3)-YEAR(X2156))*14)+MONTH(X2156)+2,FALSE)))</f>
        <v>0</v>
      </c>
      <c r="AB2156" s="306">
        <f t="shared" si="569"/>
        <v>0</v>
      </c>
      <c r="AC2156" s="305">
        <f>+IF(X2156=0,0,HLOOKUP(YEAR(X2156)+(MONTH(X2156)/100),TC!$5:$37,DAY(X2156)+2,FALSE))</f>
        <v>0</v>
      </c>
      <c r="AD2156" s="307">
        <f t="shared" si="570"/>
        <v>0</v>
      </c>
      <c r="AE2156" s="314">
        <f t="shared" si="571"/>
        <v>0</v>
      </c>
      <c r="AF2156" s="315">
        <f t="shared" si="572"/>
        <v>0</v>
      </c>
      <c r="AG2156" s="316">
        <f t="shared" si="573"/>
        <v>0</v>
      </c>
      <c r="AH2156" s="314">
        <v>1</v>
      </c>
      <c r="AI2156" s="314">
        <f t="shared" si="574"/>
        <v>0</v>
      </c>
      <c r="AJ2156" s="314">
        <f t="shared" si="575"/>
        <v>0</v>
      </c>
      <c r="AK2156" s="317"/>
      <c r="AL2156" s="315">
        <f t="shared" si="576"/>
        <v>0</v>
      </c>
      <c r="AN2156" s="554">
        <f t="shared" si="577"/>
        <v>0</v>
      </c>
      <c r="AO2156" s="314"/>
      <c r="AP2156" s="318"/>
    </row>
    <row r="2157" spans="2:42">
      <c r="B2157" s="296"/>
      <c r="C2157" s="299"/>
      <c r="D2157" s="298"/>
      <c r="E2157" s="299"/>
      <c r="F2157" s="299"/>
      <c r="G2157" s="300"/>
      <c r="H2157" s="303"/>
      <c r="I2157" s="301">
        <f t="shared" si="561"/>
        <v>0</v>
      </c>
      <c r="J2157" s="302">
        <f t="shared" si="562"/>
        <v>0</v>
      </c>
      <c r="K2157" s="304">
        <f t="shared" si="563"/>
        <v>0</v>
      </c>
      <c r="L2157" s="305">
        <f>IF(H2157=0,0,IF(OR(E2157=$AT$5,E2157=$AT$6),AA2157,IF(F2157="MXN",1/HLOOKUP(YEAR(G2157)+(MONTH(G2157)/100),TC!$5:$37,DAY(G2157)+2,FALSE),VLOOKUP(F2157,Equivalencia!$5:$23,((MAX(Equivalencia!$3:$3)-YEAR(G2157))*14)+MONTH(G2157)+2,FALSE))))</f>
        <v>0</v>
      </c>
      <c r="M2157" s="306">
        <f t="shared" si="564"/>
        <v>0</v>
      </c>
      <c r="N2157" s="305">
        <f>IF(G2157=0,0,(IF(OR(E2157=$AT$5,E2157=$AT$6),AC2157,HLOOKUP(YEAR(G2157)+(MONTH(G2157)/100),TC!$5:$37,DAY(G2157)+2,FALSE))))</f>
        <v>0</v>
      </c>
      <c r="O2157" s="307">
        <f t="shared" si="565"/>
        <v>0</v>
      </c>
      <c r="P2157" s="560">
        <f>IF(G2157=0,0,VLOOKUP(YEAR(G2157),INPC!$B$4:$P$30,MONTH(G2157)+2))</f>
        <v>0</v>
      </c>
      <c r="Q2157" s="560">
        <f>IF(X2157=0,0,IF(OR(E2157=$AT$10,E2157=$AT$9),VLOOKUP(YEAR(X2157),INPC!$B$4:$P$30,MONTH(X2157)+1),VLOOKUP(YEAR(X2157),INPC!$B$4:$P$30,MONTH(X2157)+2,0)))</f>
        <v>0</v>
      </c>
      <c r="R2157" s="309">
        <f t="shared" si="566"/>
        <v>0</v>
      </c>
      <c r="S2157" s="310">
        <f t="shared" si="567"/>
        <v>0</v>
      </c>
      <c r="T2157" s="555">
        <f t="shared" si="568"/>
        <v>0</v>
      </c>
      <c r="U2157" s="311"/>
      <c r="V2157" s="312"/>
      <c r="W2157" s="299"/>
      <c r="X2157" s="300"/>
      <c r="Y2157" s="299"/>
      <c r="Z2157" s="303"/>
      <c r="AA2157" s="305">
        <f>IF(Z2157=0,0,IF(Y2157="MXN",1/HLOOKUP(YEAR(X2157)+(MONTH(X2157)/100),TC!$5:$37,DAY(X2157)+2,FALSE),VLOOKUP(Y2157,Equivalencia!$1:$23,((MAX(Equivalencia!$3:$3)-YEAR(X2157))*14)+MONTH(X2157)+2,FALSE)))</f>
        <v>0</v>
      </c>
      <c r="AB2157" s="306">
        <f t="shared" si="569"/>
        <v>0</v>
      </c>
      <c r="AC2157" s="305">
        <f>+IF(X2157=0,0,HLOOKUP(YEAR(X2157)+(MONTH(X2157)/100),TC!$5:$37,DAY(X2157)+2,FALSE))</f>
        <v>0</v>
      </c>
      <c r="AD2157" s="307">
        <f t="shared" si="570"/>
        <v>0</v>
      </c>
      <c r="AE2157" s="314">
        <f t="shared" si="571"/>
        <v>0</v>
      </c>
      <c r="AF2157" s="315">
        <f t="shared" si="572"/>
        <v>0</v>
      </c>
      <c r="AG2157" s="316">
        <f t="shared" si="573"/>
        <v>0</v>
      </c>
      <c r="AH2157" s="314">
        <v>1</v>
      </c>
      <c r="AI2157" s="314">
        <f t="shared" si="574"/>
        <v>0</v>
      </c>
      <c r="AJ2157" s="314">
        <f t="shared" si="575"/>
        <v>0</v>
      </c>
      <c r="AK2157" s="317"/>
      <c r="AL2157" s="315">
        <f t="shared" si="576"/>
        <v>0</v>
      </c>
      <c r="AN2157" s="554">
        <f t="shared" si="577"/>
        <v>0</v>
      </c>
      <c r="AO2157" s="314"/>
      <c r="AP2157" s="318"/>
    </row>
    <row r="2158" spans="2:42">
      <c r="B2158" s="296"/>
      <c r="C2158" s="299"/>
      <c r="D2158" s="298"/>
      <c r="E2158" s="299"/>
      <c r="F2158" s="299"/>
      <c r="G2158" s="300"/>
      <c r="H2158" s="303"/>
      <c r="I2158" s="301">
        <f t="shared" si="561"/>
        <v>0</v>
      </c>
      <c r="J2158" s="302">
        <f t="shared" si="562"/>
        <v>0</v>
      </c>
      <c r="K2158" s="304">
        <f t="shared" si="563"/>
        <v>0</v>
      </c>
      <c r="L2158" s="305">
        <f>IF(H2158=0,0,IF(OR(E2158=$AT$5,E2158=$AT$6),AA2158,IF(F2158="MXN",1/HLOOKUP(YEAR(G2158)+(MONTH(G2158)/100),TC!$5:$37,DAY(G2158)+2,FALSE),VLOOKUP(F2158,Equivalencia!$5:$23,((MAX(Equivalencia!$3:$3)-YEAR(G2158))*14)+MONTH(G2158)+2,FALSE))))</f>
        <v>0</v>
      </c>
      <c r="M2158" s="306">
        <f t="shared" si="564"/>
        <v>0</v>
      </c>
      <c r="N2158" s="305">
        <f>IF(G2158=0,0,(IF(OR(E2158=$AT$5,E2158=$AT$6),AC2158,HLOOKUP(YEAR(G2158)+(MONTH(G2158)/100),TC!$5:$37,DAY(G2158)+2,FALSE))))</f>
        <v>0</v>
      </c>
      <c r="O2158" s="307">
        <f t="shared" si="565"/>
        <v>0</v>
      </c>
      <c r="P2158" s="560">
        <f>IF(G2158=0,0,VLOOKUP(YEAR(G2158),INPC!$B$4:$P$30,MONTH(G2158)+2))</f>
        <v>0</v>
      </c>
      <c r="Q2158" s="560">
        <f>IF(X2158=0,0,IF(OR(E2158=$AT$10,E2158=$AT$9),VLOOKUP(YEAR(X2158),INPC!$B$4:$P$30,MONTH(X2158)+1),VLOOKUP(YEAR(X2158),INPC!$B$4:$P$30,MONTH(X2158)+2,0)))</f>
        <v>0</v>
      </c>
      <c r="R2158" s="309">
        <f t="shared" si="566"/>
        <v>0</v>
      </c>
      <c r="S2158" s="310">
        <f t="shared" si="567"/>
        <v>0</v>
      </c>
      <c r="T2158" s="555">
        <f t="shared" si="568"/>
        <v>0</v>
      </c>
      <c r="U2158" s="311"/>
      <c r="V2158" s="312"/>
      <c r="W2158" s="299"/>
      <c r="X2158" s="300"/>
      <c r="Y2158" s="299"/>
      <c r="Z2158" s="303"/>
      <c r="AA2158" s="305">
        <f>IF(Z2158=0,0,IF(Y2158="MXN",1/HLOOKUP(YEAR(X2158)+(MONTH(X2158)/100),TC!$5:$37,DAY(X2158)+2,FALSE),VLOOKUP(Y2158,Equivalencia!$1:$23,((MAX(Equivalencia!$3:$3)-YEAR(X2158))*14)+MONTH(X2158)+2,FALSE)))</f>
        <v>0</v>
      </c>
      <c r="AB2158" s="306">
        <f t="shared" si="569"/>
        <v>0</v>
      </c>
      <c r="AC2158" s="305">
        <f>+IF(X2158=0,0,HLOOKUP(YEAR(X2158)+(MONTH(X2158)/100),TC!$5:$37,DAY(X2158)+2,FALSE))</f>
        <v>0</v>
      </c>
      <c r="AD2158" s="307">
        <f t="shared" si="570"/>
        <v>0</v>
      </c>
      <c r="AE2158" s="314">
        <f t="shared" si="571"/>
        <v>0</v>
      </c>
      <c r="AF2158" s="315">
        <f t="shared" si="572"/>
        <v>0</v>
      </c>
      <c r="AG2158" s="316">
        <f t="shared" si="573"/>
        <v>0</v>
      </c>
      <c r="AH2158" s="314">
        <v>1</v>
      </c>
      <c r="AI2158" s="314">
        <f t="shared" si="574"/>
        <v>0</v>
      </c>
      <c r="AJ2158" s="314">
        <f t="shared" si="575"/>
        <v>0</v>
      </c>
      <c r="AK2158" s="317"/>
      <c r="AL2158" s="315">
        <f t="shared" si="576"/>
        <v>0</v>
      </c>
      <c r="AN2158" s="554">
        <f t="shared" si="577"/>
        <v>0</v>
      </c>
      <c r="AO2158" s="314"/>
      <c r="AP2158" s="318"/>
    </row>
    <row r="2159" spans="2:42">
      <c r="B2159" s="296"/>
      <c r="C2159" s="299"/>
      <c r="D2159" s="298"/>
      <c r="E2159" s="299"/>
      <c r="F2159" s="299"/>
      <c r="G2159" s="300"/>
      <c r="H2159" s="303"/>
      <c r="I2159" s="301">
        <f t="shared" si="561"/>
        <v>0</v>
      </c>
      <c r="J2159" s="302">
        <f t="shared" si="562"/>
        <v>0</v>
      </c>
      <c r="K2159" s="304">
        <f t="shared" si="563"/>
        <v>0</v>
      </c>
      <c r="L2159" s="305">
        <f>IF(H2159=0,0,IF(OR(E2159=$AT$5,E2159=$AT$6),AA2159,IF(F2159="MXN",1/HLOOKUP(YEAR(G2159)+(MONTH(G2159)/100),TC!$5:$37,DAY(G2159)+2,FALSE),VLOOKUP(F2159,Equivalencia!$5:$23,((MAX(Equivalencia!$3:$3)-YEAR(G2159))*14)+MONTH(G2159)+2,FALSE))))</f>
        <v>0</v>
      </c>
      <c r="M2159" s="306">
        <f t="shared" si="564"/>
        <v>0</v>
      </c>
      <c r="N2159" s="305">
        <f>IF(G2159=0,0,(IF(OR(E2159=$AT$5,E2159=$AT$6),AC2159,HLOOKUP(YEAR(G2159)+(MONTH(G2159)/100),TC!$5:$37,DAY(G2159)+2,FALSE))))</f>
        <v>0</v>
      </c>
      <c r="O2159" s="307">
        <f t="shared" si="565"/>
        <v>0</v>
      </c>
      <c r="P2159" s="560">
        <f>IF(G2159=0,0,VLOOKUP(YEAR(G2159),INPC!$B$4:$P$30,MONTH(G2159)+2))</f>
        <v>0</v>
      </c>
      <c r="Q2159" s="560">
        <f>IF(X2159=0,0,IF(OR(E2159=$AT$10,E2159=$AT$9),VLOOKUP(YEAR(X2159),INPC!$B$4:$P$30,MONTH(X2159)+1),VLOOKUP(YEAR(X2159),INPC!$B$4:$P$30,MONTH(X2159)+2,0)))</f>
        <v>0</v>
      </c>
      <c r="R2159" s="309">
        <f t="shared" si="566"/>
        <v>0</v>
      </c>
      <c r="S2159" s="310">
        <f t="shared" si="567"/>
        <v>0</v>
      </c>
      <c r="T2159" s="555">
        <f t="shared" si="568"/>
        <v>0</v>
      </c>
      <c r="U2159" s="311"/>
      <c r="V2159" s="312"/>
      <c r="W2159" s="299"/>
      <c r="X2159" s="300"/>
      <c r="Y2159" s="299"/>
      <c r="Z2159" s="303"/>
      <c r="AA2159" s="305">
        <f>IF(Z2159=0,0,IF(Y2159="MXN",1/HLOOKUP(YEAR(X2159)+(MONTH(X2159)/100),TC!$5:$37,DAY(X2159)+2,FALSE),VLOOKUP(Y2159,Equivalencia!$1:$23,((MAX(Equivalencia!$3:$3)-YEAR(X2159))*14)+MONTH(X2159)+2,FALSE)))</f>
        <v>0</v>
      </c>
      <c r="AB2159" s="306">
        <f t="shared" si="569"/>
        <v>0</v>
      </c>
      <c r="AC2159" s="305">
        <f>+IF(X2159=0,0,HLOOKUP(YEAR(X2159)+(MONTH(X2159)/100),TC!$5:$37,DAY(X2159)+2,FALSE))</f>
        <v>0</v>
      </c>
      <c r="AD2159" s="307">
        <f t="shared" si="570"/>
        <v>0</v>
      </c>
      <c r="AE2159" s="314">
        <f t="shared" si="571"/>
        <v>0</v>
      </c>
      <c r="AF2159" s="315">
        <f t="shared" si="572"/>
        <v>0</v>
      </c>
      <c r="AG2159" s="316">
        <f t="shared" si="573"/>
        <v>0</v>
      </c>
      <c r="AH2159" s="314">
        <v>1</v>
      </c>
      <c r="AI2159" s="314">
        <f t="shared" si="574"/>
        <v>0</v>
      </c>
      <c r="AJ2159" s="314">
        <f t="shared" si="575"/>
        <v>0</v>
      </c>
      <c r="AK2159" s="317"/>
      <c r="AL2159" s="315">
        <f t="shared" si="576"/>
        <v>0</v>
      </c>
      <c r="AN2159" s="554">
        <f t="shared" si="577"/>
        <v>0</v>
      </c>
      <c r="AO2159" s="314"/>
      <c r="AP2159" s="318"/>
    </row>
    <row r="2160" spans="2:42">
      <c r="B2160" s="296"/>
      <c r="C2160" s="299"/>
      <c r="D2160" s="298"/>
      <c r="E2160" s="299"/>
      <c r="F2160" s="299"/>
      <c r="G2160" s="300"/>
      <c r="H2160" s="303"/>
      <c r="I2160" s="301">
        <f t="shared" si="561"/>
        <v>0</v>
      </c>
      <c r="J2160" s="302">
        <f t="shared" si="562"/>
        <v>0</v>
      </c>
      <c r="K2160" s="304">
        <f t="shared" si="563"/>
        <v>0</v>
      </c>
      <c r="L2160" s="305">
        <f>IF(H2160=0,0,IF(OR(E2160=$AT$5,E2160=$AT$6),AA2160,IF(F2160="MXN",1/HLOOKUP(YEAR(G2160)+(MONTH(G2160)/100),TC!$5:$37,DAY(G2160)+2,FALSE),VLOOKUP(F2160,Equivalencia!$5:$23,((MAX(Equivalencia!$3:$3)-YEAR(G2160))*14)+MONTH(G2160)+2,FALSE))))</f>
        <v>0</v>
      </c>
      <c r="M2160" s="306">
        <f t="shared" si="564"/>
        <v>0</v>
      </c>
      <c r="N2160" s="305">
        <f>IF(G2160=0,0,(IF(OR(E2160=$AT$5,E2160=$AT$6),AC2160,HLOOKUP(YEAR(G2160)+(MONTH(G2160)/100),TC!$5:$37,DAY(G2160)+2,FALSE))))</f>
        <v>0</v>
      </c>
      <c r="O2160" s="307">
        <f t="shared" si="565"/>
        <v>0</v>
      </c>
      <c r="P2160" s="560">
        <f>IF(G2160=0,0,VLOOKUP(YEAR(G2160),INPC!$B$4:$P$30,MONTH(G2160)+2))</f>
        <v>0</v>
      </c>
      <c r="Q2160" s="560">
        <f>IF(X2160=0,0,IF(OR(E2160=$AT$10,E2160=$AT$9),VLOOKUP(YEAR(X2160),INPC!$B$4:$P$30,MONTH(X2160)+1),VLOOKUP(YEAR(X2160),INPC!$B$4:$P$30,MONTH(X2160)+2,0)))</f>
        <v>0</v>
      </c>
      <c r="R2160" s="309">
        <f t="shared" si="566"/>
        <v>0</v>
      </c>
      <c r="S2160" s="310">
        <f t="shared" si="567"/>
        <v>0</v>
      </c>
      <c r="T2160" s="555">
        <f t="shared" si="568"/>
        <v>0</v>
      </c>
      <c r="U2160" s="311"/>
      <c r="V2160" s="312"/>
      <c r="W2160" s="299"/>
      <c r="X2160" s="300"/>
      <c r="Y2160" s="299"/>
      <c r="Z2160" s="303"/>
      <c r="AA2160" s="305">
        <f>IF(Z2160=0,0,IF(Y2160="MXN",1/HLOOKUP(YEAR(X2160)+(MONTH(X2160)/100),TC!$5:$37,DAY(X2160)+2,FALSE),VLOOKUP(Y2160,Equivalencia!$1:$23,((MAX(Equivalencia!$3:$3)-YEAR(X2160))*14)+MONTH(X2160)+2,FALSE)))</f>
        <v>0</v>
      </c>
      <c r="AB2160" s="306">
        <f t="shared" si="569"/>
        <v>0</v>
      </c>
      <c r="AC2160" s="305">
        <f>+IF(X2160=0,0,HLOOKUP(YEAR(X2160)+(MONTH(X2160)/100),TC!$5:$37,DAY(X2160)+2,FALSE))</f>
        <v>0</v>
      </c>
      <c r="AD2160" s="307">
        <f t="shared" si="570"/>
        <v>0</v>
      </c>
      <c r="AE2160" s="314">
        <f t="shared" si="571"/>
        <v>0</v>
      </c>
      <c r="AF2160" s="315">
        <f t="shared" si="572"/>
        <v>0</v>
      </c>
      <c r="AG2160" s="316">
        <f t="shared" si="573"/>
        <v>0</v>
      </c>
      <c r="AH2160" s="314">
        <v>1</v>
      </c>
      <c r="AI2160" s="314">
        <f t="shared" si="574"/>
        <v>0</v>
      </c>
      <c r="AJ2160" s="314">
        <f t="shared" si="575"/>
        <v>0</v>
      </c>
      <c r="AK2160" s="317"/>
      <c r="AL2160" s="315">
        <f t="shared" si="576"/>
        <v>0</v>
      </c>
      <c r="AN2160" s="554">
        <f t="shared" si="577"/>
        <v>0</v>
      </c>
      <c r="AO2160" s="314"/>
      <c r="AP2160" s="318"/>
    </row>
    <row r="2161" spans="2:42">
      <c r="B2161" s="296"/>
      <c r="C2161" s="299"/>
      <c r="D2161" s="298"/>
      <c r="E2161" s="299"/>
      <c r="F2161" s="299"/>
      <c r="G2161" s="300"/>
      <c r="H2161" s="303"/>
      <c r="I2161" s="301">
        <f t="shared" si="561"/>
        <v>0</v>
      </c>
      <c r="J2161" s="302">
        <f t="shared" si="562"/>
        <v>0</v>
      </c>
      <c r="K2161" s="304">
        <f t="shared" si="563"/>
        <v>0</v>
      </c>
      <c r="L2161" s="305">
        <f>IF(H2161=0,0,IF(OR(E2161=$AT$5,E2161=$AT$6),AA2161,IF(F2161="MXN",1/HLOOKUP(YEAR(G2161)+(MONTH(G2161)/100),TC!$5:$37,DAY(G2161)+2,FALSE),VLOOKUP(F2161,Equivalencia!$5:$23,((MAX(Equivalencia!$3:$3)-YEAR(G2161))*14)+MONTH(G2161)+2,FALSE))))</f>
        <v>0</v>
      </c>
      <c r="M2161" s="306">
        <f t="shared" si="564"/>
        <v>0</v>
      </c>
      <c r="N2161" s="305">
        <f>IF(G2161=0,0,(IF(OR(E2161=$AT$5,E2161=$AT$6),AC2161,HLOOKUP(YEAR(G2161)+(MONTH(G2161)/100),TC!$5:$37,DAY(G2161)+2,FALSE))))</f>
        <v>0</v>
      </c>
      <c r="O2161" s="307">
        <f t="shared" si="565"/>
        <v>0</v>
      </c>
      <c r="P2161" s="560">
        <f>IF(G2161=0,0,VLOOKUP(YEAR(G2161),INPC!$B$4:$P$30,MONTH(G2161)+2))</f>
        <v>0</v>
      </c>
      <c r="Q2161" s="560">
        <f>IF(X2161=0,0,IF(OR(E2161=$AT$10,E2161=$AT$9),VLOOKUP(YEAR(X2161),INPC!$B$4:$P$30,MONTH(X2161)+1),VLOOKUP(YEAR(X2161),INPC!$B$4:$P$30,MONTH(X2161)+2,0)))</f>
        <v>0</v>
      </c>
      <c r="R2161" s="309">
        <f t="shared" si="566"/>
        <v>0</v>
      </c>
      <c r="S2161" s="310">
        <f t="shared" si="567"/>
        <v>0</v>
      </c>
      <c r="T2161" s="555">
        <f t="shared" si="568"/>
        <v>0</v>
      </c>
      <c r="U2161" s="311"/>
      <c r="V2161" s="312"/>
      <c r="W2161" s="299"/>
      <c r="X2161" s="300"/>
      <c r="Y2161" s="299"/>
      <c r="Z2161" s="303"/>
      <c r="AA2161" s="305">
        <f>IF(Z2161=0,0,IF(Y2161="MXN",1/HLOOKUP(YEAR(X2161)+(MONTH(X2161)/100),TC!$5:$37,DAY(X2161)+2,FALSE),VLOOKUP(Y2161,Equivalencia!$1:$23,((MAX(Equivalencia!$3:$3)-YEAR(X2161))*14)+MONTH(X2161)+2,FALSE)))</f>
        <v>0</v>
      </c>
      <c r="AB2161" s="306">
        <f t="shared" si="569"/>
        <v>0</v>
      </c>
      <c r="AC2161" s="305">
        <f>+IF(X2161=0,0,HLOOKUP(YEAR(X2161)+(MONTH(X2161)/100),TC!$5:$37,DAY(X2161)+2,FALSE))</f>
        <v>0</v>
      </c>
      <c r="AD2161" s="307">
        <f t="shared" si="570"/>
        <v>0</v>
      </c>
      <c r="AE2161" s="314">
        <f t="shared" si="571"/>
        <v>0</v>
      </c>
      <c r="AF2161" s="315">
        <f t="shared" si="572"/>
        <v>0</v>
      </c>
      <c r="AG2161" s="316">
        <f t="shared" si="573"/>
        <v>0</v>
      </c>
      <c r="AH2161" s="314">
        <v>1</v>
      </c>
      <c r="AI2161" s="314">
        <f t="shared" si="574"/>
        <v>0</v>
      </c>
      <c r="AJ2161" s="314">
        <f t="shared" si="575"/>
        <v>0</v>
      </c>
      <c r="AK2161" s="317"/>
      <c r="AL2161" s="315">
        <f t="shared" si="576"/>
        <v>0</v>
      </c>
      <c r="AN2161" s="554">
        <f t="shared" si="577"/>
        <v>0</v>
      </c>
      <c r="AO2161" s="314"/>
      <c r="AP2161" s="318"/>
    </row>
    <row r="2162" spans="2:42">
      <c r="B2162" s="296"/>
      <c r="C2162" s="299"/>
      <c r="D2162" s="298"/>
      <c r="E2162" s="299"/>
      <c r="F2162" s="299"/>
      <c r="G2162" s="300"/>
      <c r="H2162" s="303"/>
      <c r="I2162" s="301">
        <f t="shared" si="561"/>
        <v>0</v>
      </c>
      <c r="J2162" s="302">
        <f t="shared" si="562"/>
        <v>0</v>
      </c>
      <c r="K2162" s="304">
        <f t="shared" si="563"/>
        <v>0</v>
      </c>
      <c r="L2162" s="305">
        <f>IF(H2162=0,0,IF(OR(E2162=$AT$5,E2162=$AT$6),AA2162,IF(F2162="MXN",1/HLOOKUP(YEAR(G2162)+(MONTH(G2162)/100),TC!$5:$37,DAY(G2162)+2,FALSE),VLOOKUP(F2162,Equivalencia!$5:$23,((MAX(Equivalencia!$3:$3)-YEAR(G2162))*14)+MONTH(G2162)+2,FALSE))))</f>
        <v>0</v>
      </c>
      <c r="M2162" s="306">
        <f t="shared" si="564"/>
        <v>0</v>
      </c>
      <c r="N2162" s="305">
        <f>IF(G2162=0,0,(IF(OR(E2162=$AT$5,E2162=$AT$6),AC2162,HLOOKUP(YEAR(G2162)+(MONTH(G2162)/100),TC!$5:$37,DAY(G2162)+2,FALSE))))</f>
        <v>0</v>
      </c>
      <c r="O2162" s="307">
        <f t="shared" si="565"/>
        <v>0</v>
      </c>
      <c r="P2162" s="560">
        <f>IF(G2162=0,0,VLOOKUP(YEAR(G2162),INPC!$B$4:$P$30,MONTH(G2162)+2))</f>
        <v>0</v>
      </c>
      <c r="Q2162" s="560">
        <f>IF(X2162=0,0,IF(OR(E2162=$AT$10,E2162=$AT$9),VLOOKUP(YEAR(X2162),INPC!$B$4:$P$30,MONTH(X2162)+1),VLOOKUP(YEAR(X2162),INPC!$B$4:$P$30,MONTH(X2162)+2,0)))</f>
        <v>0</v>
      </c>
      <c r="R2162" s="309">
        <f t="shared" si="566"/>
        <v>0</v>
      </c>
      <c r="S2162" s="310">
        <f t="shared" si="567"/>
        <v>0</v>
      </c>
      <c r="T2162" s="555">
        <f t="shared" si="568"/>
        <v>0</v>
      </c>
      <c r="U2162" s="311"/>
      <c r="V2162" s="312"/>
      <c r="W2162" s="299"/>
      <c r="X2162" s="300"/>
      <c r="Y2162" s="299"/>
      <c r="Z2162" s="303"/>
      <c r="AA2162" s="305">
        <f>IF(Z2162=0,0,IF(Y2162="MXN",1/HLOOKUP(YEAR(X2162)+(MONTH(X2162)/100),TC!$5:$37,DAY(X2162)+2,FALSE),VLOOKUP(Y2162,Equivalencia!$1:$23,((MAX(Equivalencia!$3:$3)-YEAR(X2162))*14)+MONTH(X2162)+2,FALSE)))</f>
        <v>0</v>
      </c>
      <c r="AB2162" s="306">
        <f t="shared" si="569"/>
        <v>0</v>
      </c>
      <c r="AC2162" s="305">
        <f>+IF(X2162=0,0,HLOOKUP(YEAR(X2162)+(MONTH(X2162)/100),TC!$5:$37,DAY(X2162)+2,FALSE))</f>
        <v>0</v>
      </c>
      <c r="AD2162" s="307">
        <f t="shared" si="570"/>
        <v>0</v>
      </c>
      <c r="AE2162" s="314">
        <f t="shared" si="571"/>
        <v>0</v>
      </c>
      <c r="AF2162" s="315">
        <f t="shared" si="572"/>
        <v>0</v>
      </c>
      <c r="AG2162" s="316">
        <f t="shared" si="573"/>
        <v>0</v>
      </c>
      <c r="AH2162" s="314">
        <v>1</v>
      </c>
      <c r="AI2162" s="314">
        <f t="shared" si="574"/>
        <v>0</v>
      </c>
      <c r="AJ2162" s="314">
        <f t="shared" si="575"/>
        <v>0</v>
      </c>
      <c r="AK2162" s="317"/>
      <c r="AL2162" s="315">
        <f t="shared" si="576"/>
        <v>0</v>
      </c>
      <c r="AN2162" s="554">
        <f t="shared" si="577"/>
        <v>0</v>
      </c>
      <c r="AO2162" s="314"/>
      <c r="AP2162" s="318"/>
    </row>
    <row r="2163" spans="2:42">
      <c r="B2163" s="296"/>
      <c r="C2163" s="299"/>
      <c r="D2163" s="298"/>
      <c r="E2163" s="299"/>
      <c r="F2163" s="299"/>
      <c r="G2163" s="300"/>
      <c r="H2163" s="303"/>
      <c r="I2163" s="301">
        <f t="shared" si="561"/>
        <v>0</v>
      </c>
      <c r="J2163" s="302">
        <f t="shared" si="562"/>
        <v>0</v>
      </c>
      <c r="K2163" s="304">
        <f t="shared" si="563"/>
        <v>0</v>
      </c>
      <c r="L2163" s="305">
        <f>IF(H2163=0,0,IF(OR(E2163=$AT$5,E2163=$AT$6),AA2163,IF(F2163="MXN",1/HLOOKUP(YEAR(G2163)+(MONTH(G2163)/100),TC!$5:$37,DAY(G2163)+2,FALSE),VLOOKUP(F2163,Equivalencia!$5:$23,((MAX(Equivalencia!$3:$3)-YEAR(G2163))*14)+MONTH(G2163)+2,FALSE))))</f>
        <v>0</v>
      </c>
      <c r="M2163" s="306">
        <f t="shared" si="564"/>
        <v>0</v>
      </c>
      <c r="N2163" s="305">
        <f>IF(G2163=0,0,(IF(OR(E2163=$AT$5,E2163=$AT$6),AC2163,HLOOKUP(YEAR(G2163)+(MONTH(G2163)/100),TC!$5:$37,DAY(G2163)+2,FALSE))))</f>
        <v>0</v>
      </c>
      <c r="O2163" s="307">
        <f t="shared" si="565"/>
        <v>0</v>
      </c>
      <c r="P2163" s="560">
        <f>IF(G2163=0,0,VLOOKUP(YEAR(G2163),INPC!$B$4:$P$30,MONTH(G2163)+2))</f>
        <v>0</v>
      </c>
      <c r="Q2163" s="560">
        <f>IF(X2163=0,0,IF(OR(E2163=$AT$10,E2163=$AT$9),VLOOKUP(YEAR(X2163),INPC!$B$4:$P$30,MONTH(X2163)+1),VLOOKUP(YEAR(X2163),INPC!$B$4:$P$30,MONTH(X2163)+2,0)))</f>
        <v>0</v>
      </c>
      <c r="R2163" s="309">
        <f t="shared" si="566"/>
        <v>0</v>
      </c>
      <c r="S2163" s="310">
        <f t="shared" si="567"/>
        <v>0</v>
      </c>
      <c r="T2163" s="555">
        <f t="shared" si="568"/>
        <v>0</v>
      </c>
      <c r="U2163" s="311"/>
      <c r="V2163" s="312"/>
      <c r="W2163" s="299"/>
      <c r="X2163" s="300"/>
      <c r="Y2163" s="299"/>
      <c r="Z2163" s="303"/>
      <c r="AA2163" s="305">
        <f>IF(Z2163=0,0,IF(Y2163="MXN",1/HLOOKUP(YEAR(X2163)+(MONTH(X2163)/100),TC!$5:$37,DAY(X2163)+2,FALSE),VLOOKUP(Y2163,Equivalencia!$1:$23,((MAX(Equivalencia!$3:$3)-YEAR(X2163))*14)+MONTH(X2163)+2,FALSE)))</f>
        <v>0</v>
      </c>
      <c r="AB2163" s="306">
        <f t="shared" si="569"/>
        <v>0</v>
      </c>
      <c r="AC2163" s="305">
        <f>+IF(X2163=0,0,HLOOKUP(YEAR(X2163)+(MONTH(X2163)/100),TC!$5:$37,DAY(X2163)+2,FALSE))</f>
        <v>0</v>
      </c>
      <c r="AD2163" s="307">
        <f t="shared" si="570"/>
        <v>0</v>
      </c>
      <c r="AE2163" s="314">
        <f t="shared" si="571"/>
        <v>0</v>
      </c>
      <c r="AF2163" s="315">
        <f t="shared" si="572"/>
        <v>0</v>
      </c>
      <c r="AG2163" s="316">
        <f t="shared" si="573"/>
        <v>0</v>
      </c>
      <c r="AH2163" s="314">
        <v>1</v>
      </c>
      <c r="AI2163" s="314">
        <f t="shared" si="574"/>
        <v>0</v>
      </c>
      <c r="AJ2163" s="314">
        <f t="shared" si="575"/>
        <v>0</v>
      </c>
      <c r="AK2163" s="317"/>
      <c r="AL2163" s="315">
        <f t="shared" si="576"/>
        <v>0</v>
      </c>
      <c r="AN2163" s="554">
        <f t="shared" si="577"/>
        <v>0</v>
      </c>
      <c r="AO2163" s="314"/>
      <c r="AP2163" s="318"/>
    </row>
    <row r="2164" spans="2:42">
      <c r="B2164" s="296"/>
      <c r="C2164" s="299"/>
      <c r="D2164" s="298"/>
      <c r="E2164" s="299"/>
      <c r="F2164" s="299"/>
      <c r="G2164" s="300"/>
      <c r="H2164" s="303"/>
      <c r="I2164" s="301">
        <f t="shared" si="561"/>
        <v>0</v>
      </c>
      <c r="J2164" s="302">
        <f t="shared" si="562"/>
        <v>0</v>
      </c>
      <c r="K2164" s="304">
        <f t="shared" si="563"/>
        <v>0</v>
      </c>
      <c r="L2164" s="305">
        <f>IF(H2164=0,0,IF(OR(E2164=$AT$5,E2164=$AT$6),AA2164,IF(F2164="MXN",1/HLOOKUP(YEAR(G2164)+(MONTH(G2164)/100),TC!$5:$37,DAY(G2164)+2,FALSE),VLOOKUP(F2164,Equivalencia!$5:$23,((MAX(Equivalencia!$3:$3)-YEAR(G2164))*14)+MONTH(G2164)+2,FALSE))))</f>
        <v>0</v>
      </c>
      <c r="M2164" s="306">
        <f t="shared" si="564"/>
        <v>0</v>
      </c>
      <c r="N2164" s="305">
        <f>IF(G2164=0,0,(IF(OR(E2164=$AT$5,E2164=$AT$6),AC2164,HLOOKUP(YEAR(G2164)+(MONTH(G2164)/100),TC!$5:$37,DAY(G2164)+2,FALSE))))</f>
        <v>0</v>
      </c>
      <c r="O2164" s="307">
        <f t="shared" si="565"/>
        <v>0</v>
      </c>
      <c r="P2164" s="560">
        <f>IF(G2164=0,0,VLOOKUP(YEAR(G2164),INPC!$B$4:$P$30,MONTH(G2164)+2))</f>
        <v>0</v>
      </c>
      <c r="Q2164" s="560">
        <f>IF(X2164=0,0,IF(OR(E2164=$AT$10,E2164=$AT$9),VLOOKUP(YEAR(X2164),INPC!$B$4:$P$30,MONTH(X2164)+1),VLOOKUP(YEAR(X2164),INPC!$B$4:$P$30,MONTH(X2164)+2,0)))</f>
        <v>0</v>
      </c>
      <c r="R2164" s="309">
        <f t="shared" si="566"/>
        <v>0</v>
      </c>
      <c r="S2164" s="310">
        <f t="shared" si="567"/>
        <v>0</v>
      </c>
      <c r="T2164" s="555">
        <f t="shared" si="568"/>
        <v>0</v>
      </c>
      <c r="U2164" s="311"/>
      <c r="V2164" s="312"/>
      <c r="W2164" s="299"/>
      <c r="X2164" s="300"/>
      <c r="Y2164" s="299"/>
      <c r="Z2164" s="303"/>
      <c r="AA2164" s="305">
        <f>IF(Z2164=0,0,IF(Y2164="MXN",1/HLOOKUP(YEAR(X2164)+(MONTH(X2164)/100),TC!$5:$37,DAY(X2164)+2,FALSE),VLOOKUP(Y2164,Equivalencia!$1:$23,((MAX(Equivalencia!$3:$3)-YEAR(X2164))*14)+MONTH(X2164)+2,FALSE)))</f>
        <v>0</v>
      </c>
      <c r="AB2164" s="306">
        <f t="shared" si="569"/>
        <v>0</v>
      </c>
      <c r="AC2164" s="305">
        <f>+IF(X2164=0,0,HLOOKUP(YEAR(X2164)+(MONTH(X2164)/100),TC!$5:$37,DAY(X2164)+2,FALSE))</f>
        <v>0</v>
      </c>
      <c r="AD2164" s="307">
        <f t="shared" si="570"/>
        <v>0</v>
      </c>
      <c r="AE2164" s="314">
        <f t="shared" si="571"/>
        <v>0</v>
      </c>
      <c r="AF2164" s="315">
        <f t="shared" si="572"/>
        <v>0</v>
      </c>
      <c r="AG2164" s="316">
        <f t="shared" si="573"/>
        <v>0</v>
      </c>
      <c r="AH2164" s="314">
        <v>1</v>
      </c>
      <c r="AI2164" s="314">
        <f t="shared" si="574"/>
        <v>0</v>
      </c>
      <c r="AJ2164" s="314">
        <f t="shared" si="575"/>
        <v>0</v>
      </c>
      <c r="AK2164" s="317"/>
      <c r="AL2164" s="315">
        <f t="shared" si="576"/>
        <v>0</v>
      </c>
      <c r="AN2164" s="554">
        <f t="shared" si="577"/>
        <v>0</v>
      </c>
      <c r="AO2164" s="314"/>
      <c r="AP2164" s="318"/>
    </row>
    <row r="2165" spans="2:42">
      <c r="B2165" s="296"/>
      <c r="C2165" s="299"/>
      <c r="D2165" s="298"/>
      <c r="E2165" s="299"/>
      <c r="F2165" s="299"/>
      <c r="G2165" s="300"/>
      <c r="H2165" s="303"/>
      <c r="I2165" s="301">
        <f t="shared" si="561"/>
        <v>0</v>
      </c>
      <c r="J2165" s="302">
        <f t="shared" si="562"/>
        <v>0</v>
      </c>
      <c r="K2165" s="304">
        <f t="shared" si="563"/>
        <v>0</v>
      </c>
      <c r="L2165" s="305">
        <f>IF(H2165=0,0,IF(OR(E2165=$AT$5,E2165=$AT$6),AA2165,IF(F2165="MXN",1/HLOOKUP(YEAR(G2165)+(MONTH(G2165)/100),TC!$5:$37,DAY(G2165)+2,FALSE),VLOOKUP(F2165,Equivalencia!$5:$23,((MAX(Equivalencia!$3:$3)-YEAR(G2165))*14)+MONTH(G2165)+2,FALSE))))</f>
        <v>0</v>
      </c>
      <c r="M2165" s="306">
        <f t="shared" si="564"/>
        <v>0</v>
      </c>
      <c r="N2165" s="305">
        <f>IF(G2165=0,0,(IF(OR(E2165=$AT$5,E2165=$AT$6),AC2165,HLOOKUP(YEAR(G2165)+(MONTH(G2165)/100),TC!$5:$37,DAY(G2165)+2,FALSE))))</f>
        <v>0</v>
      </c>
      <c r="O2165" s="307">
        <f t="shared" si="565"/>
        <v>0</v>
      </c>
      <c r="P2165" s="560">
        <f>IF(G2165=0,0,VLOOKUP(YEAR(G2165),INPC!$B$4:$P$30,MONTH(G2165)+2))</f>
        <v>0</v>
      </c>
      <c r="Q2165" s="560">
        <f>IF(X2165=0,0,IF(OR(E2165=$AT$10,E2165=$AT$9),VLOOKUP(YEAR(X2165),INPC!$B$4:$P$30,MONTH(X2165)+1),VLOOKUP(YEAR(X2165),INPC!$B$4:$P$30,MONTH(X2165)+2,0)))</f>
        <v>0</v>
      </c>
      <c r="R2165" s="309">
        <f t="shared" si="566"/>
        <v>0</v>
      </c>
      <c r="S2165" s="310">
        <f t="shared" si="567"/>
        <v>0</v>
      </c>
      <c r="T2165" s="555">
        <f t="shared" si="568"/>
        <v>0</v>
      </c>
      <c r="U2165" s="311"/>
      <c r="V2165" s="312"/>
      <c r="W2165" s="299"/>
      <c r="X2165" s="300"/>
      <c r="Y2165" s="299"/>
      <c r="Z2165" s="303"/>
      <c r="AA2165" s="305">
        <f>IF(Z2165=0,0,IF(Y2165="MXN",1/HLOOKUP(YEAR(X2165)+(MONTH(X2165)/100),TC!$5:$37,DAY(X2165)+2,FALSE),VLOOKUP(Y2165,Equivalencia!$1:$23,((MAX(Equivalencia!$3:$3)-YEAR(X2165))*14)+MONTH(X2165)+2,FALSE)))</f>
        <v>0</v>
      </c>
      <c r="AB2165" s="306">
        <f t="shared" si="569"/>
        <v>0</v>
      </c>
      <c r="AC2165" s="305">
        <f>+IF(X2165=0,0,HLOOKUP(YEAR(X2165)+(MONTH(X2165)/100),TC!$5:$37,DAY(X2165)+2,FALSE))</f>
        <v>0</v>
      </c>
      <c r="AD2165" s="307">
        <f t="shared" si="570"/>
        <v>0</v>
      </c>
      <c r="AE2165" s="314">
        <f t="shared" si="571"/>
        <v>0</v>
      </c>
      <c r="AF2165" s="315">
        <f t="shared" si="572"/>
        <v>0</v>
      </c>
      <c r="AG2165" s="316">
        <f t="shared" si="573"/>
        <v>0</v>
      </c>
      <c r="AH2165" s="314">
        <v>1</v>
      </c>
      <c r="AI2165" s="314">
        <f t="shared" si="574"/>
        <v>0</v>
      </c>
      <c r="AJ2165" s="314">
        <f t="shared" si="575"/>
        <v>0</v>
      </c>
      <c r="AK2165" s="317"/>
      <c r="AL2165" s="315">
        <f t="shared" si="576"/>
        <v>0</v>
      </c>
      <c r="AN2165" s="554">
        <f t="shared" si="577"/>
        <v>0</v>
      </c>
      <c r="AO2165" s="314"/>
      <c r="AP2165" s="318"/>
    </row>
    <row r="2166" spans="2:42">
      <c r="B2166" s="296"/>
      <c r="C2166" s="299"/>
      <c r="D2166" s="298"/>
      <c r="E2166" s="299"/>
      <c r="F2166" s="299"/>
      <c r="G2166" s="300"/>
      <c r="H2166" s="303"/>
      <c r="I2166" s="301">
        <f t="shared" si="561"/>
        <v>0</v>
      </c>
      <c r="J2166" s="302">
        <f t="shared" si="562"/>
        <v>0</v>
      </c>
      <c r="K2166" s="304">
        <f t="shared" si="563"/>
        <v>0</v>
      </c>
      <c r="L2166" s="305">
        <f>IF(H2166=0,0,IF(OR(E2166=$AT$5,E2166=$AT$6),AA2166,IF(F2166="MXN",1/HLOOKUP(YEAR(G2166)+(MONTH(G2166)/100),TC!$5:$37,DAY(G2166)+2,FALSE),VLOOKUP(F2166,Equivalencia!$5:$23,((MAX(Equivalencia!$3:$3)-YEAR(G2166))*14)+MONTH(G2166)+2,FALSE))))</f>
        <v>0</v>
      </c>
      <c r="M2166" s="306">
        <f t="shared" si="564"/>
        <v>0</v>
      </c>
      <c r="N2166" s="305">
        <f>IF(G2166=0,0,(IF(OR(E2166=$AT$5,E2166=$AT$6),AC2166,HLOOKUP(YEAR(G2166)+(MONTH(G2166)/100),TC!$5:$37,DAY(G2166)+2,FALSE))))</f>
        <v>0</v>
      </c>
      <c r="O2166" s="307">
        <f t="shared" si="565"/>
        <v>0</v>
      </c>
      <c r="P2166" s="560">
        <f>IF(G2166=0,0,VLOOKUP(YEAR(G2166),INPC!$B$4:$P$30,MONTH(G2166)+2))</f>
        <v>0</v>
      </c>
      <c r="Q2166" s="560">
        <f>IF(X2166=0,0,IF(OR(E2166=$AT$10,E2166=$AT$9),VLOOKUP(YEAR(X2166),INPC!$B$4:$P$30,MONTH(X2166)+1),VLOOKUP(YEAR(X2166),INPC!$B$4:$P$30,MONTH(X2166)+2,0)))</f>
        <v>0</v>
      </c>
      <c r="R2166" s="309">
        <f t="shared" si="566"/>
        <v>0</v>
      </c>
      <c r="S2166" s="310">
        <f t="shared" si="567"/>
        <v>0</v>
      </c>
      <c r="T2166" s="555">
        <f t="shared" si="568"/>
        <v>0</v>
      </c>
      <c r="U2166" s="311"/>
      <c r="V2166" s="312"/>
      <c r="W2166" s="299"/>
      <c r="X2166" s="300"/>
      <c r="Y2166" s="299"/>
      <c r="Z2166" s="303"/>
      <c r="AA2166" s="305">
        <f>IF(Z2166=0,0,IF(Y2166="MXN",1/HLOOKUP(YEAR(X2166)+(MONTH(X2166)/100),TC!$5:$37,DAY(X2166)+2,FALSE),VLOOKUP(Y2166,Equivalencia!$1:$23,((MAX(Equivalencia!$3:$3)-YEAR(X2166))*14)+MONTH(X2166)+2,FALSE)))</f>
        <v>0</v>
      </c>
      <c r="AB2166" s="306">
        <f t="shared" si="569"/>
        <v>0</v>
      </c>
      <c r="AC2166" s="305">
        <f>+IF(X2166=0,0,HLOOKUP(YEAR(X2166)+(MONTH(X2166)/100),TC!$5:$37,DAY(X2166)+2,FALSE))</f>
        <v>0</v>
      </c>
      <c r="AD2166" s="307">
        <f t="shared" si="570"/>
        <v>0</v>
      </c>
      <c r="AE2166" s="314">
        <f t="shared" si="571"/>
        <v>0</v>
      </c>
      <c r="AF2166" s="315">
        <f t="shared" si="572"/>
        <v>0</v>
      </c>
      <c r="AG2166" s="316">
        <f t="shared" si="573"/>
        <v>0</v>
      </c>
      <c r="AH2166" s="314">
        <v>1</v>
      </c>
      <c r="AI2166" s="314">
        <f t="shared" si="574"/>
        <v>0</v>
      </c>
      <c r="AJ2166" s="314">
        <f t="shared" si="575"/>
        <v>0</v>
      </c>
      <c r="AK2166" s="317"/>
      <c r="AL2166" s="315">
        <f t="shared" si="576"/>
        <v>0</v>
      </c>
      <c r="AN2166" s="554">
        <f t="shared" si="577"/>
        <v>0</v>
      </c>
      <c r="AO2166" s="314"/>
      <c r="AP2166" s="318"/>
    </row>
    <row r="2167" spans="2:42">
      <c r="B2167" s="296"/>
      <c r="C2167" s="299"/>
      <c r="D2167" s="298"/>
      <c r="E2167" s="299"/>
      <c r="F2167" s="299"/>
      <c r="G2167" s="300"/>
      <c r="H2167" s="303"/>
      <c r="I2167" s="301">
        <f t="shared" si="561"/>
        <v>0</v>
      </c>
      <c r="J2167" s="302">
        <f t="shared" si="562"/>
        <v>0</v>
      </c>
      <c r="K2167" s="304">
        <f t="shared" si="563"/>
        <v>0</v>
      </c>
      <c r="L2167" s="305">
        <f>IF(H2167=0,0,IF(OR(E2167=$AT$5,E2167=$AT$6),AA2167,IF(F2167="MXN",1/HLOOKUP(YEAR(G2167)+(MONTH(G2167)/100),TC!$5:$37,DAY(G2167)+2,FALSE),VLOOKUP(F2167,Equivalencia!$5:$23,((MAX(Equivalencia!$3:$3)-YEAR(G2167))*14)+MONTH(G2167)+2,FALSE))))</f>
        <v>0</v>
      </c>
      <c r="M2167" s="306">
        <f t="shared" si="564"/>
        <v>0</v>
      </c>
      <c r="N2167" s="305">
        <f>IF(G2167=0,0,(IF(OR(E2167=$AT$5,E2167=$AT$6),AC2167,HLOOKUP(YEAR(G2167)+(MONTH(G2167)/100),TC!$5:$37,DAY(G2167)+2,FALSE))))</f>
        <v>0</v>
      </c>
      <c r="O2167" s="307">
        <f t="shared" si="565"/>
        <v>0</v>
      </c>
      <c r="P2167" s="560">
        <f>IF(G2167=0,0,VLOOKUP(YEAR(G2167),INPC!$B$4:$P$30,MONTH(G2167)+2))</f>
        <v>0</v>
      </c>
      <c r="Q2167" s="560">
        <f>IF(X2167=0,0,IF(OR(E2167=$AT$10,E2167=$AT$9),VLOOKUP(YEAR(X2167),INPC!$B$4:$P$30,MONTH(X2167)+1),VLOOKUP(YEAR(X2167),INPC!$B$4:$P$30,MONTH(X2167)+2,0)))</f>
        <v>0</v>
      </c>
      <c r="R2167" s="309">
        <f t="shared" si="566"/>
        <v>0</v>
      </c>
      <c r="S2167" s="310">
        <f t="shared" si="567"/>
        <v>0</v>
      </c>
      <c r="T2167" s="555">
        <f t="shared" si="568"/>
        <v>0</v>
      </c>
      <c r="U2167" s="311"/>
      <c r="V2167" s="312"/>
      <c r="W2167" s="299"/>
      <c r="X2167" s="300"/>
      <c r="Y2167" s="299"/>
      <c r="Z2167" s="303"/>
      <c r="AA2167" s="305">
        <f>IF(Z2167=0,0,IF(Y2167="MXN",1/HLOOKUP(YEAR(X2167)+(MONTH(X2167)/100),TC!$5:$37,DAY(X2167)+2,FALSE),VLOOKUP(Y2167,Equivalencia!$1:$23,((MAX(Equivalencia!$3:$3)-YEAR(X2167))*14)+MONTH(X2167)+2,FALSE)))</f>
        <v>0</v>
      </c>
      <c r="AB2167" s="306">
        <f t="shared" si="569"/>
        <v>0</v>
      </c>
      <c r="AC2167" s="305">
        <f>+IF(X2167=0,0,HLOOKUP(YEAR(X2167)+(MONTH(X2167)/100),TC!$5:$37,DAY(X2167)+2,FALSE))</f>
        <v>0</v>
      </c>
      <c r="AD2167" s="307">
        <f t="shared" si="570"/>
        <v>0</v>
      </c>
      <c r="AE2167" s="314">
        <f t="shared" si="571"/>
        <v>0</v>
      </c>
      <c r="AF2167" s="315">
        <f t="shared" si="572"/>
        <v>0</v>
      </c>
      <c r="AG2167" s="316">
        <f t="shared" si="573"/>
        <v>0</v>
      </c>
      <c r="AH2167" s="314">
        <v>1</v>
      </c>
      <c r="AI2167" s="314">
        <f t="shared" si="574"/>
        <v>0</v>
      </c>
      <c r="AJ2167" s="314">
        <f t="shared" si="575"/>
        <v>0</v>
      </c>
      <c r="AK2167" s="317"/>
      <c r="AL2167" s="315">
        <f t="shared" si="576"/>
        <v>0</v>
      </c>
      <c r="AN2167" s="554">
        <f t="shared" si="577"/>
        <v>0</v>
      </c>
      <c r="AO2167" s="314"/>
      <c r="AP2167" s="318"/>
    </row>
    <row r="2168" spans="2:42">
      <c r="B2168" s="296"/>
      <c r="C2168" s="299"/>
      <c r="D2168" s="298"/>
      <c r="E2168" s="299"/>
      <c r="F2168" s="299"/>
      <c r="G2168" s="300"/>
      <c r="H2168" s="303"/>
      <c r="I2168" s="301">
        <f t="shared" si="561"/>
        <v>0</v>
      </c>
      <c r="J2168" s="302">
        <f t="shared" si="562"/>
        <v>0</v>
      </c>
      <c r="K2168" s="304">
        <f t="shared" si="563"/>
        <v>0</v>
      </c>
      <c r="L2168" s="305">
        <f>IF(H2168=0,0,IF(OR(E2168=$AT$5,E2168=$AT$6),AA2168,IF(F2168="MXN",1/HLOOKUP(YEAR(G2168)+(MONTH(G2168)/100),TC!$5:$37,DAY(G2168)+2,FALSE),VLOOKUP(F2168,Equivalencia!$5:$23,((MAX(Equivalencia!$3:$3)-YEAR(G2168))*14)+MONTH(G2168)+2,FALSE))))</f>
        <v>0</v>
      </c>
      <c r="M2168" s="306">
        <f t="shared" si="564"/>
        <v>0</v>
      </c>
      <c r="N2168" s="305">
        <f>IF(G2168=0,0,(IF(OR(E2168=$AT$5,E2168=$AT$6),AC2168,HLOOKUP(YEAR(G2168)+(MONTH(G2168)/100),TC!$5:$37,DAY(G2168)+2,FALSE))))</f>
        <v>0</v>
      </c>
      <c r="O2168" s="307">
        <f t="shared" si="565"/>
        <v>0</v>
      </c>
      <c r="P2168" s="560">
        <f>IF(G2168=0,0,VLOOKUP(YEAR(G2168),INPC!$B$4:$P$30,MONTH(G2168)+2))</f>
        <v>0</v>
      </c>
      <c r="Q2168" s="560">
        <f>IF(X2168=0,0,IF(OR(E2168=$AT$10,E2168=$AT$9),VLOOKUP(YEAR(X2168),INPC!$B$4:$P$30,MONTH(X2168)+1),VLOOKUP(YEAR(X2168),INPC!$B$4:$P$30,MONTH(X2168)+2,0)))</f>
        <v>0</v>
      </c>
      <c r="R2168" s="309">
        <f t="shared" si="566"/>
        <v>0</v>
      </c>
      <c r="S2168" s="310">
        <f t="shared" si="567"/>
        <v>0</v>
      </c>
      <c r="T2168" s="555">
        <f t="shared" si="568"/>
        <v>0</v>
      </c>
      <c r="U2168" s="311"/>
      <c r="V2168" s="312"/>
      <c r="W2168" s="299"/>
      <c r="X2168" s="300"/>
      <c r="Y2168" s="299"/>
      <c r="Z2168" s="303"/>
      <c r="AA2168" s="305">
        <f>IF(Z2168=0,0,IF(Y2168="MXN",1/HLOOKUP(YEAR(X2168)+(MONTH(X2168)/100),TC!$5:$37,DAY(X2168)+2,FALSE),VLOOKUP(Y2168,Equivalencia!$1:$23,((MAX(Equivalencia!$3:$3)-YEAR(X2168))*14)+MONTH(X2168)+2,FALSE)))</f>
        <v>0</v>
      </c>
      <c r="AB2168" s="306">
        <f t="shared" si="569"/>
        <v>0</v>
      </c>
      <c r="AC2168" s="305">
        <f>+IF(X2168=0,0,HLOOKUP(YEAR(X2168)+(MONTH(X2168)/100),TC!$5:$37,DAY(X2168)+2,FALSE))</f>
        <v>0</v>
      </c>
      <c r="AD2168" s="307">
        <f t="shared" si="570"/>
        <v>0</v>
      </c>
      <c r="AE2168" s="314">
        <f t="shared" si="571"/>
        <v>0</v>
      </c>
      <c r="AF2168" s="315">
        <f t="shared" si="572"/>
        <v>0</v>
      </c>
      <c r="AG2168" s="316">
        <f t="shared" si="573"/>
        <v>0</v>
      </c>
      <c r="AH2168" s="314">
        <v>1</v>
      </c>
      <c r="AI2168" s="314">
        <f t="shared" si="574"/>
        <v>0</v>
      </c>
      <c r="AJ2168" s="314">
        <f t="shared" si="575"/>
        <v>0</v>
      </c>
      <c r="AK2168" s="317"/>
      <c r="AL2168" s="315">
        <f t="shared" si="576"/>
        <v>0</v>
      </c>
      <c r="AN2168" s="554">
        <f t="shared" si="577"/>
        <v>0</v>
      </c>
      <c r="AO2168" s="314"/>
      <c r="AP2168" s="318"/>
    </row>
    <row r="2169" spans="2:42">
      <c r="B2169" s="296"/>
      <c r="C2169" s="299"/>
      <c r="D2169" s="298"/>
      <c r="E2169" s="299"/>
      <c r="F2169" s="299"/>
      <c r="G2169" s="300"/>
      <c r="H2169" s="303"/>
      <c r="I2169" s="301">
        <f t="shared" si="561"/>
        <v>0</v>
      </c>
      <c r="J2169" s="302">
        <f t="shared" si="562"/>
        <v>0</v>
      </c>
      <c r="K2169" s="304">
        <f t="shared" si="563"/>
        <v>0</v>
      </c>
      <c r="L2169" s="305">
        <f>IF(H2169=0,0,IF(OR(E2169=$AT$5,E2169=$AT$6),AA2169,IF(F2169="MXN",1/HLOOKUP(YEAR(G2169)+(MONTH(G2169)/100),TC!$5:$37,DAY(G2169)+2,FALSE),VLOOKUP(F2169,Equivalencia!$5:$23,((MAX(Equivalencia!$3:$3)-YEAR(G2169))*14)+MONTH(G2169)+2,FALSE))))</f>
        <v>0</v>
      </c>
      <c r="M2169" s="306">
        <f t="shared" si="564"/>
        <v>0</v>
      </c>
      <c r="N2169" s="305">
        <f>IF(G2169=0,0,(IF(OR(E2169=$AT$5,E2169=$AT$6),AC2169,HLOOKUP(YEAR(G2169)+(MONTH(G2169)/100),TC!$5:$37,DAY(G2169)+2,FALSE))))</f>
        <v>0</v>
      </c>
      <c r="O2169" s="307">
        <f t="shared" si="565"/>
        <v>0</v>
      </c>
      <c r="P2169" s="560">
        <f>IF(G2169=0,0,VLOOKUP(YEAR(G2169),INPC!$B$4:$P$30,MONTH(G2169)+2))</f>
        <v>0</v>
      </c>
      <c r="Q2169" s="560">
        <f>IF(X2169=0,0,IF(OR(E2169=$AT$10,E2169=$AT$9),VLOOKUP(YEAR(X2169),INPC!$B$4:$P$30,MONTH(X2169)+1),VLOOKUP(YEAR(X2169),INPC!$B$4:$P$30,MONTH(X2169)+2,0)))</f>
        <v>0</v>
      </c>
      <c r="R2169" s="309">
        <f t="shared" si="566"/>
        <v>0</v>
      </c>
      <c r="S2169" s="310">
        <f t="shared" si="567"/>
        <v>0</v>
      </c>
      <c r="T2169" s="555">
        <f t="shared" si="568"/>
        <v>0</v>
      </c>
      <c r="U2169" s="311"/>
      <c r="V2169" s="312"/>
      <c r="W2169" s="299"/>
      <c r="X2169" s="300"/>
      <c r="Y2169" s="299"/>
      <c r="Z2169" s="303"/>
      <c r="AA2169" s="305">
        <f>IF(Z2169=0,0,IF(Y2169="MXN",1/HLOOKUP(YEAR(X2169)+(MONTH(X2169)/100),TC!$5:$37,DAY(X2169)+2,FALSE),VLOOKUP(Y2169,Equivalencia!$1:$23,((MAX(Equivalencia!$3:$3)-YEAR(X2169))*14)+MONTH(X2169)+2,FALSE)))</f>
        <v>0</v>
      </c>
      <c r="AB2169" s="306">
        <f t="shared" si="569"/>
        <v>0</v>
      </c>
      <c r="AC2169" s="305">
        <f>+IF(X2169=0,0,HLOOKUP(YEAR(X2169)+(MONTH(X2169)/100),TC!$5:$37,DAY(X2169)+2,FALSE))</f>
        <v>0</v>
      </c>
      <c r="AD2169" s="307">
        <f t="shared" si="570"/>
        <v>0</v>
      </c>
      <c r="AE2169" s="314">
        <f t="shared" si="571"/>
        <v>0</v>
      </c>
      <c r="AF2169" s="315">
        <f t="shared" si="572"/>
        <v>0</v>
      </c>
      <c r="AG2169" s="316">
        <f t="shared" si="573"/>
        <v>0</v>
      </c>
      <c r="AH2169" s="314">
        <v>1</v>
      </c>
      <c r="AI2169" s="314">
        <f t="shared" si="574"/>
        <v>0</v>
      </c>
      <c r="AJ2169" s="314">
        <f t="shared" si="575"/>
        <v>0</v>
      </c>
      <c r="AK2169" s="317"/>
      <c r="AL2169" s="315">
        <f t="shared" si="576"/>
        <v>0</v>
      </c>
      <c r="AN2169" s="554">
        <f t="shared" si="577"/>
        <v>0</v>
      </c>
      <c r="AO2169" s="314"/>
      <c r="AP2169" s="318"/>
    </row>
    <row r="2170" spans="2:42">
      <c r="B2170" s="296"/>
      <c r="C2170" s="299"/>
      <c r="D2170" s="298"/>
      <c r="E2170" s="299"/>
      <c r="F2170" s="299"/>
      <c r="G2170" s="300"/>
      <c r="H2170" s="303"/>
      <c r="I2170" s="301">
        <f t="shared" si="561"/>
        <v>0</v>
      </c>
      <c r="J2170" s="302">
        <f t="shared" si="562"/>
        <v>0</v>
      </c>
      <c r="K2170" s="304">
        <f t="shared" si="563"/>
        <v>0</v>
      </c>
      <c r="L2170" s="305">
        <f>IF(H2170=0,0,IF(OR(E2170=$AT$5,E2170=$AT$6),AA2170,IF(F2170="MXN",1/HLOOKUP(YEAR(G2170)+(MONTH(G2170)/100),TC!$5:$37,DAY(G2170)+2,FALSE),VLOOKUP(F2170,Equivalencia!$5:$23,((MAX(Equivalencia!$3:$3)-YEAR(G2170))*14)+MONTH(G2170)+2,FALSE))))</f>
        <v>0</v>
      </c>
      <c r="M2170" s="306">
        <f t="shared" si="564"/>
        <v>0</v>
      </c>
      <c r="N2170" s="305">
        <f>IF(G2170=0,0,(IF(OR(E2170=$AT$5,E2170=$AT$6),AC2170,HLOOKUP(YEAR(G2170)+(MONTH(G2170)/100),TC!$5:$37,DAY(G2170)+2,FALSE))))</f>
        <v>0</v>
      </c>
      <c r="O2170" s="307">
        <f t="shared" si="565"/>
        <v>0</v>
      </c>
      <c r="P2170" s="560">
        <f>IF(G2170=0,0,VLOOKUP(YEAR(G2170),INPC!$B$4:$P$30,MONTH(G2170)+2))</f>
        <v>0</v>
      </c>
      <c r="Q2170" s="560">
        <f>IF(X2170=0,0,IF(OR(E2170=$AT$10,E2170=$AT$9),VLOOKUP(YEAR(X2170),INPC!$B$4:$P$30,MONTH(X2170)+1),VLOOKUP(YEAR(X2170),INPC!$B$4:$P$30,MONTH(X2170)+2,0)))</f>
        <v>0</v>
      </c>
      <c r="R2170" s="309">
        <f t="shared" si="566"/>
        <v>0</v>
      </c>
      <c r="S2170" s="310">
        <f t="shared" si="567"/>
        <v>0</v>
      </c>
      <c r="T2170" s="555">
        <f t="shared" si="568"/>
        <v>0</v>
      </c>
      <c r="U2170" s="311"/>
      <c r="V2170" s="312"/>
      <c r="W2170" s="299"/>
      <c r="X2170" s="300"/>
      <c r="Y2170" s="299"/>
      <c r="Z2170" s="303"/>
      <c r="AA2170" s="305">
        <f>IF(Z2170=0,0,IF(Y2170="MXN",1/HLOOKUP(YEAR(X2170)+(MONTH(X2170)/100),TC!$5:$37,DAY(X2170)+2,FALSE),VLOOKUP(Y2170,Equivalencia!$1:$23,((MAX(Equivalencia!$3:$3)-YEAR(X2170))*14)+MONTH(X2170)+2,FALSE)))</f>
        <v>0</v>
      </c>
      <c r="AB2170" s="306">
        <f t="shared" si="569"/>
        <v>0</v>
      </c>
      <c r="AC2170" s="305">
        <f>+IF(X2170=0,0,HLOOKUP(YEAR(X2170)+(MONTH(X2170)/100),TC!$5:$37,DAY(X2170)+2,FALSE))</f>
        <v>0</v>
      </c>
      <c r="AD2170" s="307">
        <f t="shared" si="570"/>
        <v>0</v>
      </c>
      <c r="AE2170" s="314">
        <f t="shared" si="571"/>
        <v>0</v>
      </c>
      <c r="AF2170" s="315">
        <f t="shared" si="572"/>
        <v>0</v>
      </c>
      <c r="AG2170" s="316">
        <f t="shared" si="573"/>
        <v>0</v>
      </c>
      <c r="AH2170" s="314">
        <v>1</v>
      </c>
      <c r="AI2170" s="314">
        <f t="shared" si="574"/>
        <v>0</v>
      </c>
      <c r="AJ2170" s="314">
        <f t="shared" si="575"/>
        <v>0</v>
      </c>
      <c r="AK2170" s="317"/>
      <c r="AL2170" s="315">
        <f t="shared" si="576"/>
        <v>0</v>
      </c>
      <c r="AN2170" s="554">
        <f t="shared" si="577"/>
        <v>0</v>
      </c>
      <c r="AO2170" s="314"/>
      <c r="AP2170" s="318"/>
    </row>
    <row r="2171" spans="2:42">
      <c r="B2171" s="296"/>
      <c r="C2171" s="299"/>
      <c r="D2171" s="298"/>
      <c r="E2171" s="299"/>
      <c r="F2171" s="299"/>
      <c r="G2171" s="300"/>
      <c r="H2171" s="303"/>
      <c r="I2171" s="301">
        <f t="shared" si="561"/>
        <v>0</v>
      </c>
      <c r="J2171" s="302">
        <f t="shared" si="562"/>
        <v>0</v>
      </c>
      <c r="K2171" s="304">
        <f t="shared" si="563"/>
        <v>0</v>
      </c>
      <c r="L2171" s="305">
        <f>IF(H2171=0,0,IF(OR(E2171=$AT$5,E2171=$AT$6),AA2171,IF(F2171="MXN",1/HLOOKUP(YEAR(G2171)+(MONTH(G2171)/100),TC!$5:$37,DAY(G2171)+2,FALSE),VLOOKUP(F2171,Equivalencia!$5:$23,((MAX(Equivalencia!$3:$3)-YEAR(G2171))*14)+MONTH(G2171)+2,FALSE))))</f>
        <v>0</v>
      </c>
      <c r="M2171" s="306">
        <f t="shared" si="564"/>
        <v>0</v>
      </c>
      <c r="N2171" s="305">
        <f>IF(G2171=0,0,(IF(OR(E2171=$AT$5,E2171=$AT$6),AC2171,HLOOKUP(YEAR(G2171)+(MONTH(G2171)/100),TC!$5:$37,DAY(G2171)+2,FALSE))))</f>
        <v>0</v>
      </c>
      <c r="O2171" s="307">
        <f t="shared" si="565"/>
        <v>0</v>
      </c>
      <c r="P2171" s="560">
        <f>IF(G2171=0,0,VLOOKUP(YEAR(G2171),INPC!$B$4:$P$30,MONTH(G2171)+2))</f>
        <v>0</v>
      </c>
      <c r="Q2171" s="560">
        <f>IF(X2171=0,0,IF(OR(E2171=$AT$10,E2171=$AT$9),VLOOKUP(YEAR(X2171),INPC!$B$4:$P$30,MONTH(X2171)+1),VLOOKUP(YEAR(X2171),INPC!$B$4:$P$30,MONTH(X2171)+2,0)))</f>
        <v>0</v>
      </c>
      <c r="R2171" s="309">
        <f t="shared" si="566"/>
        <v>0</v>
      </c>
      <c r="S2171" s="310">
        <f t="shared" si="567"/>
        <v>0</v>
      </c>
      <c r="T2171" s="555">
        <f t="shared" si="568"/>
        <v>0</v>
      </c>
      <c r="U2171" s="311"/>
      <c r="V2171" s="312"/>
      <c r="W2171" s="299"/>
      <c r="X2171" s="300"/>
      <c r="Y2171" s="299"/>
      <c r="Z2171" s="303"/>
      <c r="AA2171" s="305">
        <f>IF(Z2171=0,0,IF(Y2171="MXN",1/HLOOKUP(YEAR(X2171)+(MONTH(X2171)/100),TC!$5:$37,DAY(X2171)+2,FALSE),VLOOKUP(Y2171,Equivalencia!$1:$23,((MAX(Equivalencia!$3:$3)-YEAR(X2171))*14)+MONTH(X2171)+2,FALSE)))</f>
        <v>0</v>
      </c>
      <c r="AB2171" s="306">
        <f t="shared" si="569"/>
        <v>0</v>
      </c>
      <c r="AC2171" s="305">
        <f>+IF(X2171=0,0,HLOOKUP(YEAR(X2171)+(MONTH(X2171)/100),TC!$5:$37,DAY(X2171)+2,FALSE))</f>
        <v>0</v>
      </c>
      <c r="AD2171" s="307">
        <f t="shared" si="570"/>
        <v>0</v>
      </c>
      <c r="AE2171" s="314">
        <f t="shared" si="571"/>
        <v>0</v>
      </c>
      <c r="AF2171" s="315">
        <f t="shared" si="572"/>
        <v>0</v>
      </c>
      <c r="AG2171" s="316">
        <f t="shared" si="573"/>
        <v>0</v>
      </c>
      <c r="AH2171" s="314">
        <v>1</v>
      </c>
      <c r="AI2171" s="314">
        <f t="shared" si="574"/>
        <v>0</v>
      </c>
      <c r="AJ2171" s="314">
        <f t="shared" si="575"/>
        <v>0</v>
      </c>
      <c r="AK2171" s="317"/>
      <c r="AL2171" s="315">
        <f t="shared" si="576"/>
        <v>0</v>
      </c>
      <c r="AN2171" s="554">
        <f t="shared" si="577"/>
        <v>0</v>
      </c>
      <c r="AO2171" s="314"/>
      <c r="AP2171" s="318"/>
    </row>
    <row r="2172" spans="2:42">
      <c r="B2172" s="296"/>
      <c r="C2172" s="299"/>
      <c r="D2172" s="298"/>
      <c r="E2172" s="299"/>
      <c r="F2172" s="299"/>
      <c r="G2172" s="300"/>
      <c r="H2172" s="303"/>
      <c r="I2172" s="301">
        <f t="shared" ref="I2172:I2235" si="578">IF(D2172=0,0,IF(OR(E2172=$AT$9,E2172=$AT$10),"Ingresos Sección II LISR (SIC &amp; BMV)","Ingresos Sección I LISR"))</f>
        <v>0</v>
      </c>
      <c r="J2172" s="302">
        <f t="shared" ref="J2172:J2235" si="579">+V2172</f>
        <v>0</v>
      </c>
      <c r="K2172" s="304">
        <f t="shared" ref="K2172:K2235" si="580">IF(H2172=0,0,H2172/J2172)</f>
        <v>0</v>
      </c>
      <c r="L2172" s="305">
        <f>IF(H2172=0,0,IF(OR(E2172=$AT$5,E2172=$AT$6),AA2172,IF(F2172="MXN",1/HLOOKUP(YEAR(G2172)+(MONTH(G2172)/100),TC!$5:$37,DAY(G2172)+2,FALSE),VLOOKUP(F2172,Equivalencia!$5:$23,((MAX(Equivalencia!$3:$3)-YEAR(G2172))*14)+MONTH(G2172)+2,FALSE))))</f>
        <v>0</v>
      </c>
      <c r="M2172" s="306">
        <f t="shared" ref="M2172:M2235" si="581">+H2172*L2172</f>
        <v>0</v>
      </c>
      <c r="N2172" s="305">
        <f>IF(G2172=0,0,(IF(OR(E2172=$AT$5,E2172=$AT$6),AC2172,HLOOKUP(YEAR(G2172)+(MONTH(G2172)/100),TC!$5:$37,DAY(G2172)+2,FALSE))))</f>
        <v>0</v>
      </c>
      <c r="O2172" s="307">
        <f t="shared" ref="O2172:O2235" si="582">+M2172*N2172</f>
        <v>0</v>
      </c>
      <c r="P2172" s="560">
        <f>IF(G2172=0,0,VLOOKUP(YEAR(G2172),INPC!$B$4:$P$30,MONTH(G2172)+2))</f>
        <v>0</v>
      </c>
      <c r="Q2172" s="560">
        <f>IF(X2172=0,0,IF(OR(E2172=$AT$10,E2172=$AT$9),VLOOKUP(YEAR(X2172),INPC!$B$4:$P$30,MONTH(X2172)+1),VLOOKUP(YEAR(X2172),INPC!$B$4:$P$30,MONTH(X2172)+2,0)))</f>
        <v>0</v>
      </c>
      <c r="R2172" s="309">
        <f t="shared" ref="R2172:R2235" si="583">IF(H2172=0,0,IF(OR(E2172=$AT$5,E2172=$AT$6),1,IF(TRUNC(Q2172/P2172,4)&gt;=1,TRUNC(Q2172/P2172,4),1)))</f>
        <v>0</v>
      </c>
      <c r="S2172" s="310">
        <f t="shared" ref="S2172:S2235" si="584">+R2172*O2172</f>
        <v>0</v>
      </c>
      <c r="T2172" s="555">
        <f t="shared" ref="T2172:T2235" si="585">IF(V2172=0,0,S2172/V2172)</f>
        <v>0</v>
      </c>
      <c r="U2172" s="311"/>
      <c r="V2172" s="312"/>
      <c r="W2172" s="299"/>
      <c r="X2172" s="300"/>
      <c r="Y2172" s="299"/>
      <c r="Z2172" s="303"/>
      <c r="AA2172" s="305">
        <f>IF(Z2172=0,0,IF(Y2172="MXN",1/HLOOKUP(YEAR(X2172)+(MONTH(X2172)/100),TC!$5:$37,DAY(X2172)+2,FALSE),VLOOKUP(Y2172,Equivalencia!$1:$23,((MAX(Equivalencia!$3:$3)-YEAR(X2172))*14)+MONTH(X2172)+2,FALSE)))</f>
        <v>0</v>
      </c>
      <c r="AB2172" s="306">
        <f t="shared" ref="AB2172:AB2235" si="586">+AA2172*Z2172</f>
        <v>0</v>
      </c>
      <c r="AC2172" s="305">
        <f>+IF(X2172=0,0,HLOOKUP(YEAR(X2172)+(MONTH(X2172)/100),TC!$5:$37,DAY(X2172)+2,FALSE))</f>
        <v>0</v>
      </c>
      <c r="AD2172" s="307">
        <f t="shared" ref="AD2172:AD2235" si="587">+AC2172*AB2172</f>
        <v>0</v>
      </c>
      <c r="AE2172" s="314">
        <f t="shared" ref="AE2172:AE2235" si="588">+V2172*T2172</f>
        <v>0</v>
      </c>
      <c r="AF2172" s="315">
        <f t="shared" ref="AF2172:AF2235" si="589">IF(E2172=$AT$11,0,AD2172-AE2172)</f>
        <v>0</v>
      </c>
      <c r="AG2172" s="316">
        <f t="shared" ref="AG2172:AG2235" si="590">+IF(AND(AF2172&lt;0,OR(E2172=$AT$5,E2172=$AT$6)),1,((X2172-G2172)/365))</f>
        <v>0</v>
      </c>
      <c r="AH2172" s="314">
        <v>1</v>
      </c>
      <c r="AI2172" s="314">
        <f t="shared" ref="AI2172:AI2235" si="591">+IF(OR(E2172=$AT$9,E2172=$AT$10),AF2172,+AF2172/AH2172)</f>
        <v>0</v>
      </c>
      <c r="AJ2172" s="314">
        <f t="shared" ref="AJ2172:AJ2235" si="592">+AF2172-AI2172</f>
        <v>0</v>
      </c>
      <c r="AK2172" s="317"/>
      <c r="AL2172" s="315">
        <f t="shared" ref="AL2172:AL2235" si="593">+AB2172-M2172</f>
        <v>0</v>
      </c>
      <c r="AN2172" s="554">
        <f t="shared" ref="AN2172:AN2235" si="594">IF(AL2172=0,0,AL2172/H2172)</f>
        <v>0</v>
      </c>
      <c r="AO2172" s="314"/>
      <c r="AP2172" s="318"/>
    </row>
    <row r="2173" spans="2:42">
      <c r="B2173" s="296"/>
      <c r="C2173" s="299"/>
      <c r="D2173" s="298"/>
      <c r="E2173" s="299"/>
      <c r="F2173" s="299"/>
      <c r="G2173" s="300"/>
      <c r="H2173" s="303"/>
      <c r="I2173" s="301">
        <f t="shared" si="578"/>
        <v>0</v>
      </c>
      <c r="J2173" s="302">
        <f t="shared" si="579"/>
        <v>0</v>
      </c>
      <c r="K2173" s="304">
        <f t="shared" si="580"/>
        <v>0</v>
      </c>
      <c r="L2173" s="305">
        <f>IF(H2173=0,0,IF(OR(E2173=$AT$5,E2173=$AT$6),AA2173,IF(F2173="MXN",1/HLOOKUP(YEAR(G2173)+(MONTH(G2173)/100),TC!$5:$37,DAY(G2173)+2,FALSE),VLOOKUP(F2173,Equivalencia!$5:$23,((MAX(Equivalencia!$3:$3)-YEAR(G2173))*14)+MONTH(G2173)+2,FALSE))))</f>
        <v>0</v>
      </c>
      <c r="M2173" s="306">
        <f t="shared" si="581"/>
        <v>0</v>
      </c>
      <c r="N2173" s="305">
        <f>IF(G2173=0,0,(IF(OR(E2173=$AT$5,E2173=$AT$6),AC2173,HLOOKUP(YEAR(G2173)+(MONTH(G2173)/100),TC!$5:$37,DAY(G2173)+2,FALSE))))</f>
        <v>0</v>
      </c>
      <c r="O2173" s="307">
        <f t="shared" si="582"/>
        <v>0</v>
      </c>
      <c r="P2173" s="560">
        <f>IF(G2173=0,0,VLOOKUP(YEAR(G2173),INPC!$B$4:$P$30,MONTH(G2173)+2))</f>
        <v>0</v>
      </c>
      <c r="Q2173" s="560">
        <f>IF(X2173=0,0,IF(OR(E2173=$AT$10,E2173=$AT$9),VLOOKUP(YEAR(X2173),INPC!$B$4:$P$30,MONTH(X2173)+1),VLOOKUP(YEAR(X2173),INPC!$B$4:$P$30,MONTH(X2173)+2,0)))</f>
        <v>0</v>
      </c>
      <c r="R2173" s="309">
        <f t="shared" si="583"/>
        <v>0</v>
      </c>
      <c r="S2173" s="310">
        <f t="shared" si="584"/>
        <v>0</v>
      </c>
      <c r="T2173" s="555">
        <f t="shared" si="585"/>
        <v>0</v>
      </c>
      <c r="U2173" s="311"/>
      <c r="V2173" s="312"/>
      <c r="W2173" s="299"/>
      <c r="X2173" s="300"/>
      <c r="Y2173" s="299"/>
      <c r="Z2173" s="303"/>
      <c r="AA2173" s="305">
        <f>IF(Z2173=0,0,IF(Y2173="MXN",1/HLOOKUP(YEAR(X2173)+(MONTH(X2173)/100),TC!$5:$37,DAY(X2173)+2,FALSE),VLOOKUP(Y2173,Equivalencia!$1:$23,((MAX(Equivalencia!$3:$3)-YEAR(X2173))*14)+MONTH(X2173)+2,FALSE)))</f>
        <v>0</v>
      </c>
      <c r="AB2173" s="306">
        <f t="shared" si="586"/>
        <v>0</v>
      </c>
      <c r="AC2173" s="305">
        <f>+IF(X2173=0,0,HLOOKUP(YEAR(X2173)+(MONTH(X2173)/100),TC!$5:$37,DAY(X2173)+2,FALSE))</f>
        <v>0</v>
      </c>
      <c r="AD2173" s="307">
        <f t="shared" si="587"/>
        <v>0</v>
      </c>
      <c r="AE2173" s="314">
        <f t="shared" si="588"/>
        <v>0</v>
      </c>
      <c r="AF2173" s="315">
        <f t="shared" si="589"/>
        <v>0</v>
      </c>
      <c r="AG2173" s="316">
        <f t="shared" si="590"/>
        <v>0</v>
      </c>
      <c r="AH2173" s="314">
        <v>1</v>
      </c>
      <c r="AI2173" s="314">
        <f t="shared" si="591"/>
        <v>0</v>
      </c>
      <c r="AJ2173" s="314">
        <f t="shared" si="592"/>
        <v>0</v>
      </c>
      <c r="AK2173" s="317"/>
      <c r="AL2173" s="315">
        <f t="shared" si="593"/>
        <v>0</v>
      </c>
      <c r="AN2173" s="554">
        <f t="shared" si="594"/>
        <v>0</v>
      </c>
      <c r="AO2173" s="314"/>
      <c r="AP2173" s="318"/>
    </row>
    <row r="2174" spans="2:42">
      <c r="B2174" s="296"/>
      <c r="C2174" s="299"/>
      <c r="D2174" s="298"/>
      <c r="E2174" s="299"/>
      <c r="F2174" s="299"/>
      <c r="G2174" s="300"/>
      <c r="H2174" s="303"/>
      <c r="I2174" s="301">
        <f t="shared" si="578"/>
        <v>0</v>
      </c>
      <c r="J2174" s="302">
        <f t="shared" si="579"/>
        <v>0</v>
      </c>
      <c r="K2174" s="304">
        <f t="shared" si="580"/>
        <v>0</v>
      </c>
      <c r="L2174" s="305">
        <f>IF(H2174=0,0,IF(OR(E2174=$AT$5,E2174=$AT$6),AA2174,IF(F2174="MXN",1/HLOOKUP(YEAR(G2174)+(MONTH(G2174)/100),TC!$5:$37,DAY(G2174)+2,FALSE),VLOOKUP(F2174,Equivalencia!$5:$23,((MAX(Equivalencia!$3:$3)-YEAR(G2174))*14)+MONTH(G2174)+2,FALSE))))</f>
        <v>0</v>
      </c>
      <c r="M2174" s="306">
        <f t="shared" si="581"/>
        <v>0</v>
      </c>
      <c r="N2174" s="305">
        <f>IF(G2174=0,0,(IF(OR(E2174=$AT$5,E2174=$AT$6),AC2174,HLOOKUP(YEAR(G2174)+(MONTH(G2174)/100),TC!$5:$37,DAY(G2174)+2,FALSE))))</f>
        <v>0</v>
      </c>
      <c r="O2174" s="307">
        <f t="shared" si="582"/>
        <v>0</v>
      </c>
      <c r="P2174" s="560">
        <f>IF(G2174=0,0,VLOOKUP(YEAR(G2174),INPC!$B$4:$P$30,MONTH(G2174)+2))</f>
        <v>0</v>
      </c>
      <c r="Q2174" s="560">
        <f>IF(X2174=0,0,IF(OR(E2174=$AT$10,E2174=$AT$9),VLOOKUP(YEAR(X2174),INPC!$B$4:$P$30,MONTH(X2174)+1),VLOOKUP(YEAR(X2174),INPC!$B$4:$P$30,MONTH(X2174)+2,0)))</f>
        <v>0</v>
      </c>
      <c r="R2174" s="309">
        <f t="shared" si="583"/>
        <v>0</v>
      </c>
      <c r="S2174" s="310">
        <f t="shared" si="584"/>
        <v>0</v>
      </c>
      <c r="T2174" s="555">
        <f t="shared" si="585"/>
        <v>0</v>
      </c>
      <c r="U2174" s="311"/>
      <c r="V2174" s="312"/>
      <c r="W2174" s="299"/>
      <c r="X2174" s="300"/>
      <c r="Y2174" s="299"/>
      <c r="Z2174" s="303"/>
      <c r="AA2174" s="305">
        <f>IF(Z2174=0,0,IF(Y2174="MXN",1/HLOOKUP(YEAR(X2174)+(MONTH(X2174)/100),TC!$5:$37,DAY(X2174)+2,FALSE),VLOOKUP(Y2174,Equivalencia!$1:$23,((MAX(Equivalencia!$3:$3)-YEAR(X2174))*14)+MONTH(X2174)+2,FALSE)))</f>
        <v>0</v>
      </c>
      <c r="AB2174" s="306">
        <f t="shared" si="586"/>
        <v>0</v>
      </c>
      <c r="AC2174" s="305">
        <f>+IF(X2174=0,0,HLOOKUP(YEAR(X2174)+(MONTH(X2174)/100),TC!$5:$37,DAY(X2174)+2,FALSE))</f>
        <v>0</v>
      </c>
      <c r="AD2174" s="307">
        <f t="shared" si="587"/>
        <v>0</v>
      </c>
      <c r="AE2174" s="314">
        <f t="shared" si="588"/>
        <v>0</v>
      </c>
      <c r="AF2174" s="315">
        <f t="shared" si="589"/>
        <v>0</v>
      </c>
      <c r="AG2174" s="316">
        <f t="shared" si="590"/>
        <v>0</v>
      </c>
      <c r="AH2174" s="314">
        <v>1</v>
      </c>
      <c r="AI2174" s="314">
        <f t="shared" si="591"/>
        <v>0</v>
      </c>
      <c r="AJ2174" s="314">
        <f t="shared" si="592"/>
        <v>0</v>
      </c>
      <c r="AK2174" s="317"/>
      <c r="AL2174" s="315">
        <f t="shared" si="593"/>
        <v>0</v>
      </c>
      <c r="AN2174" s="554">
        <f t="shared" si="594"/>
        <v>0</v>
      </c>
      <c r="AO2174" s="314"/>
      <c r="AP2174" s="318"/>
    </row>
    <row r="2175" spans="2:42">
      <c r="B2175" s="296"/>
      <c r="C2175" s="299"/>
      <c r="D2175" s="298"/>
      <c r="E2175" s="299"/>
      <c r="F2175" s="299"/>
      <c r="G2175" s="300"/>
      <c r="H2175" s="303"/>
      <c r="I2175" s="301">
        <f t="shared" si="578"/>
        <v>0</v>
      </c>
      <c r="J2175" s="302">
        <f t="shared" si="579"/>
        <v>0</v>
      </c>
      <c r="K2175" s="304">
        <f t="shared" si="580"/>
        <v>0</v>
      </c>
      <c r="L2175" s="305">
        <f>IF(H2175=0,0,IF(OR(E2175=$AT$5,E2175=$AT$6),AA2175,IF(F2175="MXN",1/HLOOKUP(YEAR(G2175)+(MONTH(G2175)/100),TC!$5:$37,DAY(G2175)+2,FALSE),VLOOKUP(F2175,Equivalencia!$5:$23,((MAX(Equivalencia!$3:$3)-YEAR(G2175))*14)+MONTH(G2175)+2,FALSE))))</f>
        <v>0</v>
      </c>
      <c r="M2175" s="306">
        <f t="shared" si="581"/>
        <v>0</v>
      </c>
      <c r="N2175" s="305">
        <f>IF(G2175=0,0,(IF(OR(E2175=$AT$5,E2175=$AT$6),AC2175,HLOOKUP(YEAR(G2175)+(MONTH(G2175)/100),TC!$5:$37,DAY(G2175)+2,FALSE))))</f>
        <v>0</v>
      </c>
      <c r="O2175" s="307">
        <f t="shared" si="582"/>
        <v>0</v>
      </c>
      <c r="P2175" s="560">
        <f>IF(G2175=0,0,VLOOKUP(YEAR(G2175),INPC!$B$4:$P$30,MONTH(G2175)+2))</f>
        <v>0</v>
      </c>
      <c r="Q2175" s="560">
        <f>IF(X2175=0,0,IF(OR(E2175=$AT$10,E2175=$AT$9),VLOOKUP(YEAR(X2175),INPC!$B$4:$P$30,MONTH(X2175)+1),VLOOKUP(YEAR(X2175),INPC!$B$4:$P$30,MONTH(X2175)+2,0)))</f>
        <v>0</v>
      </c>
      <c r="R2175" s="309">
        <f t="shared" si="583"/>
        <v>0</v>
      </c>
      <c r="S2175" s="310">
        <f t="shared" si="584"/>
        <v>0</v>
      </c>
      <c r="T2175" s="555">
        <f t="shared" si="585"/>
        <v>0</v>
      </c>
      <c r="U2175" s="311"/>
      <c r="V2175" s="312"/>
      <c r="W2175" s="299"/>
      <c r="X2175" s="300"/>
      <c r="Y2175" s="299"/>
      <c r="Z2175" s="303"/>
      <c r="AA2175" s="305">
        <f>IF(Z2175=0,0,IF(Y2175="MXN",1/HLOOKUP(YEAR(X2175)+(MONTH(X2175)/100),TC!$5:$37,DAY(X2175)+2,FALSE),VLOOKUP(Y2175,Equivalencia!$1:$23,((MAX(Equivalencia!$3:$3)-YEAR(X2175))*14)+MONTH(X2175)+2,FALSE)))</f>
        <v>0</v>
      </c>
      <c r="AB2175" s="306">
        <f t="shared" si="586"/>
        <v>0</v>
      </c>
      <c r="AC2175" s="305">
        <f>+IF(X2175=0,0,HLOOKUP(YEAR(X2175)+(MONTH(X2175)/100),TC!$5:$37,DAY(X2175)+2,FALSE))</f>
        <v>0</v>
      </c>
      <c r="AD2175" s="307">
        <f t="shared" si="587"/>
        <v>0</v>
      </c>
      <c r="AE2175" s="314">
        <f t="shared" si="588"/>
        <v>0</v>
      </c>
      <c r="AF2175" s="315">
        <f t="shared" si="589"/>
        <v>0</v>
      </c>
      <c r="AG2175" s="316">
        <f t="shared" si="590"/>
        <v>0</v>
      </c>
      <c r="AH2175" s="314">
        <v>1</v>
      </c>
      <c r="AI2175" s="314">
        <f t="shared" si="591"/>
        <v>0</v>
      </c>
      <c r="AJ2175" s="314">
        <f t="shared" si="592"/>
        <v>0</v>
      </c>
      <c r="AK2175" s="317"/>
      <c r="AL2175" s="315">
        <f t="shared" si="593"/>
        <v>0</v>
      </c>
      <c r="AN2175" s="554">
        <f t="shared" si="594"/>
        <v>0</v>
      </c>
      <c r="AO2175" s="314"/>
      <c r="AP2175" s="318"/>
    </row>
    <row r="2176" spans="2:42">
      <c r="B2176" s="296"/>
      <c r="C2176" s="299"/>
      <c r="D2176" s="298"/>
      <c r="E2176" s="299"/>
      <c r="F2176" s="299"/>
      <c r="G2176" s="300"/>
      <c r="H2176" s="303"/>
      <c r="I2176" s="301">
        <f t="shared" si="578"/>
        <v>0</v>
      </c>
      <c r="J2176" s="302">
        <f t="shared" si="579"/>
        <v>0</v>
      </c>
      <c r="K2176" s="304">
        <f t="shared" si="580"/>
        <v>0</v>
      </c>
      <c r="L2176" s="305">
        <f>IF(H2176=0,0,IF(OR(E2176=$AT$5,E2176=$AT$6),AA2176,IF(F2176="MXN",1/HLOOKUP(YEAR(G2176)+(MONTH(G2176)/100),TC!$5:$37,DAY(G2176)+2,FALSE),VLOOKUP(F2176,Equivalencia!$5:$23,((MAX(Equivalencia!$3:$3)-YEAR(G2176))*14)+MONTH(G2176)+2,FALSE))))</f>
        <v>0</v>
      </c>
      <c r="M2176" s="306">
        <f t="shared" si="581"/>
        <v>0</v>
      </c>
      <c r="N2176" s="305">
        <f>IF(G2176=0,0,(IF(OR(E2176=$AT$5,E2176=$AT$6),AC2176,HLOOKUP(YEAR(G2176)+(MONTH(G2176)/100),TC!$5:$37,DAY(G2176)+2,FALSE))))</f>
        <v>0</v>
      </c>
      <c r="O2176" s="307">
        <f t="shared" si="582"/>
        <v>0</v>
      </c>
      <c r="P2176" s="560">
        <f>IF(G2176=0,0,VLOOKUP(YEAR(G2176),INPC!$B$4:$P$30,MONTH(G2176)+2))</f>
        <v>0</v>
      </c>
      <c r="Q2176" s="560">
        <f>IF(X2176=0,0,IF(OR(E2176=$AT$10,E2176=$AT$9),VLOOKUP(YEAR(X2176),INPC!$B$4:$P$30,MONTH(X2176)+1),VLOOKUP(YEAR(X2176),INPC!$B$4:$P$30,MONTH(X2176)+2,0)))</f>
        <v>0</v>
      </c>
      <c r="R2176" s="309">
        <f t="shared" si="583"/>
        <v>0</v>
      </c>
      <c r="S2176" s="310">
        <f t="shared" si="584"/>
        <v>0</v>
      </c>
      <c r="T2176" s="555">
        <f t="shared" si="585"/>
        <v>0</v>
      </c>
      <c r="U2176" s="311"/>
      <c r="V2176" s="312"/>
      <c r="W2176" s="299"/>
      <c r="X2176" s="300"/>
      <c r="Y2176" s="299"/>
      <c r="Z2176" s="303"/>
      <c r="AA2176" s="305">
        <f>IF(Z2176=0,0,IF(Y2176="MXN",1/HLOOKUP(YEAR(X2176)+(MONTH(X2176)/100),TC!$5:$37,DAY(X2176)+2,FALSE),VLOOKUP(Y2176,Equivalencia!$1:$23,((MAX(Equivalencia!$3:$3)-YEAR(X2176))*14)+MONTH(X2176)+2,FALSE)))</f>
        <v>0</v>
      </c>
      <c r="AB2176" s="306">
        <f t="shared" si="586"/>
        <v>0</v>
      </c>
      <c r="AC2176" s="305">
        <f>+IF(X2176=0,0,HLOOKUP(YEAR(X2176)+(MONTH(X2176)/100),TC!$5:$37,DAY(X2176)+2,FALSE))</f>
        <v>0</v>
      </c>
      <c r="AD2176" s="307">
        <f t="shared" si="587"/>
        <v>0</v>
      </c>
      <c r="AE2176" s="314">
        <f t="shared" si="588"/>
        <v>0</v>
      </c>
      <c r="AF2176" s="315">
        <f t="shared" si="589"/>
        <v>0</v>
      </c>
      <c r="AG2176" s="316">
        <f t="shared" si="590"/>
        <v>0</v>
      </c>
      <c r="AH2176" s="314">
        <v>1</v>
      </c>
      <c r="AI2176" s="314">
        <f t="shared" si="591"/>
        <v>0</v>
      </c>
      <c r="AJ2176" s="314">
        <f t="shared" si="592"/>
        <v>0</v>
      </c>
      <c r="AK2176" s="317"/>
      <c r="AL2176" s="315">
        <f t="shared" si="593"/>
        <v>0</v>
      </c>
      <c r="AN2176" s="554">
        <f t="shared" si="594"/>
        <v>0</v>
      </c>
      <c r="AO2176" s="314"/>
      <c r="AP2176" s="318"/>
    </row>
    <row r="2177" spans="2:42">
      <c r="B2177" s="296"/>
      <c r="C2177" s="299"/>
      <c r="D2177" s="298"/>
      <c r="E2177" s="299"/>
      <c r="F2177" s="299"/>
      <c r="G2177" s="300"/>
      <c r="H2177" s="303"/>
      <c r="I2177" s="301">
        <f t="shared" si="578"/>
        <v>0</v>
      </c>
      <c r="J2177" s="302">
        <f t="shared" si="579"/>
        <v>0</v>
      </c>
      <c r="K2177" s="304">
        <f t="shared" si="580"/>
        <v>0</v>
      </c>
      <c r="L2177" s="305">
        <f>IF(H2177=0,0,IF(OR(E2177=$AT$5,E2177=$AT$6),AA2177,IF(F2177="MXN",1/HLOOKUP(YEAR(G2177)+(MONTH(G2177)/100),TC!$5:$37,DAY(G2177)+2,FALSE),VLOOKUP(F2177,Equivalencia!$5:$23,((MAX(Equivalencia!$3:$3)-YEAR(G2177))*14)+MONTH(G2177)+2,FALSE))))</f>
        <v>0</v>
      </c>
      <c r="M2177" s="306">
        <f t="shared" si="581"/>
        <v>0</v>
      </c>
      <c r="N2177" s="305">
        <f>IF(G2177=0,0,(IF(OR(E2177=$AT$5,E2177=$AT$6),AC2177,HLOOKUP(YEAR(G2177)+(MONTH(G2177)/100),TC!$5:$37,DAY(G2177)+2,FALSE))))</f>
        <v>0</v>
      </c>
      <c r="O2177" s="307">
        <f t="shared" si="582"/>
        <v>0</v>
      </c>
      <c r="P2177" s="560">
        <f>IF(G2177=0,0,VLOOKUP(YEAR(G2177),INPC!$B$4:$P$30,MONTH(G2177)+2))</f>
        <v>0</v>
      </c>
      <c r="Q2177" s="560">
        <f>IF(X2177=0,0,IF(OR(E2177=$AT$10,E2177=$AT$9),VLOOKUP(YEAR(X2177),INPC!$B$4:$P$30,MONTH(X2177)+1),VLOOKUP(YEAR(X2177),INPC!$B$4:$P$30,MONTH(X2177)+2,0)))</f>
        <v>0</v>
      </c>
      <c r="R2177" s="309">
        <f t="shared" si="583"/>
        <v>0</v>
      </c>
      <c r="S2177" s="310">
        <f t="shared" si="584"/>
        <v>0</v>
      </c>
      <c r="T2177" s="555">
        <f t="shared" si="585"/>
        <v>0</v>
      </c>
      <c r="U2177" s="311"/>
      <c r="V2177" s="312"/>
      <c r="W2177" s="299"/>
      <c r="X2177" s="300"/>
      <c r="Y2177" s="299"/>
      <c r="Z2177" s="303"/>
      <c r="AA2177" s="305">
        <f>IF(Z2177=0,0,IF(Y2177="MXN",1/HLOOKUP(YEAR(X2177)+(MONTH(X2177)/100),TC!$5:$37,DAY(X2177)+2,FALSE),VLOOKUP(Y2177,Equivalencia!$1:$23,((MAX(Equivalencia!$3:$3)-YEAR(X2177))*14)+MONTH(X2177)+2,FALSE)))</f>
        <v>0</v>
      </c>
      <c r="AB2177" s="306">
        <f t="shared" si="586"/>
        <v>0</v>
      </c>
      <c r="AC2177" s="305">
        <f>+IF(X2177=0,0,HLOOKUP(YEAR(X2177)+(MONTH(X2177)/100),TC!$5:$37,DAY(X2177)+2,FALSE))</f>
        <v>0</v>
      </c>
      <c r="AD2177" s="307">
        <f t="shared" si="587"/>
        <v>0</v>
      </c>
      <c r="AE2177" s="314">
        <f t="shared" si="588"/>
        <v>0</v>
      </c>
      <c r="AF2177" s="315">
        <f t="shared" si="589"/>
        <v>0</v>
      </c>
      <c r="AG2177" s="316">
        <f t="shared" si="590"/>
        <v>0</v>
      </c>
      <c r="AH2177" s="314">
        <v>1</v>
      </c>
      <c r="AI2177" s="314">
        <f t="shared" si="591"/>
        <v>0</v>
      </c>
      <c r="AJ2177" s="314">
        <f t="shared" si="592"/>
        <v>0</v>
      </c>
      <c r="AK2177" s="317"/>
      <c r="AL2177" s="315">
        <f t="shared" si="593"/>
        <v>0</v>
      </c>
      <c r="AN2177" s="554">
        <f t="shared" si="594"/>
        <v>0</v>
      </c>
      <c r="AO2177" s="314"/>
      <c r="AP2177" s="318"/>
    </row>
    <row r="2178" spans="2:42">
      <c r="B2178" s="296"/>
      <c r="C2178" s="299"/>
      <c r="D2178" s="298"/>
      <c r="E2178" s="299"/>
      <c r="F2178" s="299"/>
      <c r="G2178" s="300"/>
      <c r="H2178" s="303"/>
      <c r="I2178" s="301">
        <f t="shared" si="578"/>
        <v>0</v>
      </c>
      <c r="J2178" s="302">
        <f t="shared" si="579"/>
        <v>0</v>
      </c>
      <c r="K2178" s="304">
        <f t="shared" si="580"/>
        <v>0</v>
      </c>
      <c r="L2178" s="305">
        <f>IF(H2178=0,0,IF(OR(E2178=$AT$5,E2178=$AT$6),AA2178,IF(F2178="MXN",1/HLOOKUP(YEAR(G2178)+(MONTH(G2178)/100),TC!$5:$37,DAY(G2178)+2,FALSE),VLOOKUP(F2178,Equivalencia!$5:$23,((MAX(Equivalencia!$3:$3)-YEAR(G2178))*14)+MONTH(G2178)+2,FALSE))))</f>
        <v>0</v>
      </c>
      <c r="M2178" s="306">
        <f t="shared" si="581"/>
        <v>0</v>
      </c>
      <c r="N2178" s="305">
        <f>IF(G2178=0,0,(IF(OR(E2178=$AT$5,E2178=$AT$6),AC2178,HLOOKUP(YEAR(G2178)+(MONTH(G2178)/100),TC!$5:$37,DAY(G2178)+2,FALSE))))</f>
        <v>0</v>
      </c>
      <c r="O2178" s="307">
        <f t="shared" si="582"/>
        <v>0</v>
      </c>
      <c r="P2178" s="560">
        <f>IF(G2178=0,0,VLOOKUP(YEAR(G2178),INPC!$B$4:$P$30,MONTH(G2178)+2))</f>
        <v>0</v>
      </c>
      <c r="Q2178" s="560">
        <f>IF(X2178=0,0,IF(OR(E2178=$AT$10,E2178=$AT$9),VLOOKUP(YEAR(X2178),INPC!$B$4:$P$30,MONTH(X2178)+1),VLOOKUP(YEAR(X2178),INPC!$B$4:$P$30,MONTH(X2178)+2,0)))</f>
        <v>0</v>
      </c>
      <c r="R2178" s="309">
        <f t="shared" si="583"/>
        <v>0</v>
      </c>
      <c r="S2178" s="310">
        <f t="shared" si="584"/>
        <v>0</v>
      </c>
      <c r="T2178" s="555">
        <f t="shared" si="585"/>
        <v>0</v>
      </c>
      <c r="U2178" s="311"/>
      <c r="V2178" s="312"/>
      <c r="W2178" s="299"/>
      <c r="X2178" s="300"/>
      <c r="Y2178" s="299"/>
      <c r="Z2178" s="303"/>
      <c r="AA2178" s="305">
        <f>IF(Z2178=0,0,IF(Y2178="MXN",1/HLOOKUP(YEAR(X2178)+(MONTH(X2178)/100),TC!$5:$37,DAY(X2178)+2,FALSE),VLOOKUP(Y2178,Equivalencia!$1:$23,((MAX(Equivalencia!$3:$3)-YEAR(X2178))*14)+MONTH(X2178)+2,FALSE)))</f>
        <v>0</v>
      </c>
      <c r="AB2178" s="306">
        <f t="shared" si="586"/>
        <v>0</v>
      </c>
      <c r="AC2178" s="305">
        <f>+IF(X2178=0,0,HLOOKUP(YEAR(X2178)+(MONTH(X2178)/100),TC!$5:$37,DAY(X2178)+2,FALSE))</f>
        <v>0</v>
      </c>
      <c r="AD2178" s="307">
        <f t="shared" si="587"/>
        <v>0</v>
      </c>
      <c r="AE2178" s="314">
        <f t="shared" si="588"/>
        <v>0</v>
      </c>
      <c r="AF2178" s="315">
        <f t="shared" si="589"/>
        <v>0</v>
      </c>
      <c r="AG2178" s="316">
        <f t="shared" si="590"/>
        <v>0</v>
      </c>
      <c r="AH2178" s="314">
        <v>1</v>
      </c>
      <c r="AI2178" s="314">
        <f t="shared" si="591"/>
        <v>0</v>
      </c>
      <c r="AJ2178" s="314">
        <f t="shared" si="592"/>
        <v>0</v>
      </c>
      <c r="AK2178" s="317"/>
      <c r="AL2178" s="315">
        <f t="shared" si="593"/>
        <v>0</v>
      </c>
      <c r="AN2178" s="554">
        <f t="shared" si="594"/>
        <v>0</v>
      </c>
      <c r="AO2178" s="314"/>
      <c r="AP2178" s="318"/>
    </row>
    <row r="2179" spans="2:42">
      <c r="B2179" s="296"/>
      <c r="C2179" s="299"/>
      <c r="D2179" s="298"/>
      <c r="E2179" s="299"/>
      <c r="F2179" s="299"/>
      <c r="G2179" s="300"/>
      <c r="H2179" s="303"/>
      <c r="I2179" s="301">
        <f t="shared" si="578"/>
        <v>0</v>
      </c>
      <c r="J2179" s="302">
        <f t="shared" si="579"/>
        <v>0</v>
      </c>
      <c r="K2179" s="304">
        <f t="shared" si="580"/>
        <v>0</v>
      </c>
      <c r="L2179" s="305">
        <f>IF(H2179=0,0,IF(OR(E2179=$AT$5,E2179=$AT$6),AA2179,IF(F2179="MXN",1/HLOOKUP(YEAR(G2179)+(MONTH(G2179)/100),TC!$5:$37,DAY(G2179)+2,FALSE),VLOOKUP(F2179,Equivalencia!$5:$23,((MAX(Equivalencia!$3:$3)-YEAR(G2179))*14)+MONTH(G2179)+2,FALSE))))</f>
        <v>0</v>
      </c>
      <c r="M2179" s="306">
        <f t="shared" si="581"/>
        <v>0</v>
      </c>
      <c r="N2179" s="305">
        <f>IF(G2179=0,0,(IF(OR(E2179=$AT$5,E2179=$AT$6),AC2179,HLOOKUP(YEAR(G2179)+(MONTH(G2179)/100),TC!$5:$37,DAY(G2179)+2,FALSE))))</f>
        <v>0</v>
      </c>
      <c r="O2179" s="307">
        <f t="shared" si="582"/>
        <v>0</v>
      </c>
      <c r="P2179" s="560">
        <f>IF(G2179=0,0,VLOOKUP(YEAR(G2179),INPC!$B$4:$P$30,MONTH(G2179)+2))</f>
        <v>0</v>
      </c>
      <c r="Q2179" s="560">
        <f>IF(X2179=0,0,IF(OR(E2179=$AT$10,E2179=$AT$9),VLOOKUP(YEAR(X2179),INPC!$B$4:$P$30,MONTH(X2179)+1),VLOOKUP(YEAR(X2179),INPC!$B$4:$P$30,MONTH(X2179)+2,0)))</f>
        <v>0</v>
      </c>
      <c r="R2179" s="309">
        <f t="shared" si="583"/>
        <v>0</v>
      </c>
      <c r="S2179" s="310">
        <f t="shared" si="584"/>
        <v>0</v>
      </c>
      <c r="T2179" s="555">
        <f t="shared" si="585"/>
        <v>0</v>
      </c>
      <c r="U2179" s="311"/>
      <c r="V2179" s="312"/>
      <c r="W2179" s="299"/>
      <c r="X2179" s="300"/>
      <c r="Y2179" s="299"/>
      <c r="Z2179" s="303"/>
      <c r="AA2179" s="305">
        <f>IF(Z2179=0,0,IF(Y2179="MXN",1/HLOOKUP(YEAR(X2179)+(MONTH(X2179)/100),TC!$5:$37,DAY(X2179)+2,FALSE),VLOOKUP(Y2179,Equivalencia!$1:$23,((MAX(Equivalencia!$3:$3)-YEAR(X2179))*14)+MONTH(X2179)+2,FALSE)))</f>
        <v>0</v>
      </c>
      <c r="AB2179" s="306">
        <f t="shared" si="586"/>
        <v>0</v>
      </c>
      <c r="AC2179" s="305">
        <f>+IF(X2179=0,0,HLOOKUP(YEAR(X2179)+(MONTH(X2179)/100),TC!$5:$37,DAY(X2179)+2,FALSE))</f>
        <v>0</v>
      </c>
      <c r="AD2179" s="307">
        <f t="shared" si="587"/>
        <v>0</v>
      </c>
      <c r="AE2179" s="314">
        <f t="shared" si="588"/>
        <v>0</v>
      </c>
      <c r="AF2179" s="315">
        <f t="shared" si="589"/>
        <v>0</v>
      </c>
      <c r="AG2179" s="316">
        <f t="shared" si="590"/>
        <v>0</v>
      </c>
      <c r="AH2179" s="314">
        <v>1</v>
      </c>
      <c r="AI2179" s="314">
        <f t="shared" si="591"/>
        <v>0</v>
      </c>
      <c r="AJ2179" s="314">
        <f t="shared" si="592"/>
        <v>0</v>
      </c>
      <c r="AK2179" s="317"/>
      <c r="AL2179" s="315">
        <f t="shared" si="593"/>
        <v>0</v>
      </c>
      <c r="AN2179" s="554">
        <f t="shared" si="594"/>
        <v>0</v>
      </c>
      <c r="AO2179" s="314"/>
      <c r="AP2179" s="318"/>
    </row>
    <row r="2180" spans="2:42">
      <c r="B2180" s="296"/>
      <c r="C2180" s="299"/>
      <c r="D2180" s="298"/>
      <c r="E2180" s="299"/>
      <c r="F2180" s="299"/>
      <c r="G2180" s="300"/>
      <c r="H2180" s="303"/>
      <c r="I2180" s="301">
        <f t="shared" si="578"/>
        <v>0</v>
      </c>
      <c r="J2180" s="302">
        <f t="shared" si="579"/>
        <v>0</v>
      </c>
      <c r="K2180" s="304">
        <f t="shared" si="580"/>
        <v>0</v>
      </c>
      <c r="L2180" s="305">
        <f>IF(H2180=0,0,IF(OR(E2180=$AT$5,E2180=$AT$6),AA2180,IF(F2180="MXN",1/HLOOKUP(YEAR(G2180)+(MONTH(G2180)/100),TC!$5:$37,DAY(G2180)+2,FALSE),VLOOKUP(F2180,Equivalencia!$5:$23,((MAX(Equivalencia!$3:$3)-YEAR(G2180))*14)+MONTH(G2180)+2,FALSE))))</f>
        <v>0</v>
      </c>
      <c r="M2180" s="306">
        <f t="shared" si="581"/>
        <v>0</v>
      </c>
      <c r="N2180" s="305">
        <f>IF(G2180=0,0,(IF(OR(E2180=$AT$5,E2180=$AT$6),AC2180,HLOOKUP(YEAR(G2180)+(MONTH(G2180)/100),TC!$5:$37,DAY(G2180)+2,FALSE))))</f>
        <v>0</v>
      </c>
      <c r="O2180" s="307">
        <f t="shared" si="582"/>
        <v>0</v>
      </c>
      <c r="P2180" s="560">
        <f>IF(G2180=0,0,VLOOKUP(YEAR(G2180),INPC!$B$4:$P$30,MONTH(G2180)+2))</f>
        <v>0</v>
      </c>
      <c r="Q2180" s="560">
        <f>IF(X2180=0,0,IF(OR(E2180=$AT$10,E2180=$AT$9),VLOOKUP(YEAR(X2180),INPC!$B$4:$P$30,MONTH(X2180)+1),VLOOKUP(YEAR(X2180),INPC!$B$4:$P$30,MONTH(X2180)+2,0)))</f>
        <v>0</v>
      </c>
      <c r="R2180" s="309">
        <f t="shared" si="583"/>
        <v>0</v>
      </c>
      <c r="S2180" s="310">
        <f t="shared" si="584"/>
        <v>0</v>
      </c>
      <c r="T2180" s="555">
        <f t="shared" si="585"/>
        <v>0</v>
      </c>
      <c r="U2180" s="311"/>
      <c r="V2180" s="312"/>
      <c r="W2180" s="299"/>
      <c r="X2180" s="300"/>
      <c r="Y2180" s="299"/>
      <c r="Z2180" s="303"/>
      <c r="AA2180" s="305">
        <f>IF(Z2180=0,0,IF(Y2180="MXN",1/HLOOKUP(YEAR(X2180)+(MONTH(X2180)/100),TC!$5:$37,DAY(X2180)+2,FALSE),VLOOKUP(Y2180,Equivalencia!$1:$23,((MAX(Equivalencia!$3:$3)-YEAR(X2180))*14)+MONTH(X2180)+2,FALSE)))</f>
        <v>0</v>
      </c>
      <c r="AB2180" s="306">
        <f t="shared" si="586"/>
        <v>0</v>
      </c>
      <c r="AC2180" s="305">
        <f>+IF(X2180=0,0,HLOOKUP(YEAR(X2180)+(MONTH(X2180)/100),TC!$5:$37,DAY(X2180)+2,FALSE))</f>
        <v>0</v>
      </c>
      <c r="AD2180" s="307">
        <f t="shared" si="587"/>
        <v>0</v>
      </c>
      <c r="AE2180" s="314">
        <f t="shared" si="588"/>
        <v>0</v>
      </c>
      <c r="AF2180" s="315">
        <f t="shared" si="589"/>
        <v>0</v>
      </c>
      <c r="AG2180" s="316">
        <f t="shared" si="590"/>
        <v>0</v>
      </c>
      <c r="AH2180" s="314">
        <v>1</v>
      </c>
      <c r="AI2180" s="314">
        <f t="shared" si="591"/>
        <v>0</v>
      </c>
      <c r="AJ2180" s="314">
        <f t="shared" si="592"/>
        <v>0</v>
      </c>
      <c r="AK2180" s="317"/>
      <c r="AL2180" s="315">
        <f t="shared" si="593"/>
        <v>0</v>
      </c>
      <c r="AN2180" s="554">
        <f t="shared" si="594"/>
        <v>0</v>
      </c>
      <c r="AO2180" s="314"/>
      <c r="AP2180" s="318"/>
    </row>
    <row r="2181" spans="2:42">
      <c r="B2181" s="296"/>
      <c r="C2181" s="299"/>
      <c r="D2181" s="298"/>
      <c r="E2181" s="299"/>
      <c r="F2181" s="299"/>
      <c r="G2181" s="300"/>
      <c r="H2181" s="303"/>
      <c r="I2181" s="301">
        <f t="shared" si="578"/>
        <v>0</v>
      </c>
      <c r="J2181" s="302">
        <f t="shared" si="579"/>
        <v>0</v>
      </c>
      <c r="K2181" s="304">
        <f t="shared" si="580"/>
        <v>0</v>
      </c>
      <c r="L2181" s="305">
        <f>IF(H2181=0,0,IF(OR(E2181=$AT$5,E2181=$AT$6),AA2181,IF(F2181="MXN",1/HLOOKUP(YEAR(G2181)+(MONTH(G2181)/100),TC!$5:$37,DAY(G2181)+2,FALSE),VLOOKUP(F2181,Equivalencia!$5:$23,((MAX(Equivalencia!$3:$3)-YEAR(G2181))*14)+MONTH(G2181)+2,FALSE))))</f>
        <v>0</v>
      </c>
      <c r="M2181" s="306">
        <f t="shared" si="581"/>
        <v>0</v>
      </c>
      <c r="N2181" s="305">
        <f>IF(G2181=0,0,(IF(OR(E2181=$AT$5,E2181=$AT$6),AC2181,HLOOKUP(YEAR(G2181)+(MONTH(G2181)/100),TC!$5:$37,DAY(G2181)+2,FALSE))))</f>
        <v>0</v>
      </c>
      <c r="O2181" s="307">
        <f t="shared" si="582"/>
        <v>0</v>
      </c>
      <c r="P2181" s="560">
        <f>IF(G2181=0,0,VLOOKUP(YEAR(G2181),INPC!$B$4:$P$30,MONTH(G2181)+2))</f>
        <v>0</v>
      </c>
      <c r="Q2181" s="560">
        <f>IF(X2181=0,0,IF(OR(E2181=$AT$10,E2181=$AT$9),VLOOKUP(YEAR(X2181),INPC!$B$4:$P$30,MONTH(X2181)+1),VLOOKUP(YEAR(X2181),INPC!$B$4:$P$30,MONTH(X2181)+2,0)))</f>
        <v>0</v>
      </c>
      <c r="R2181" s="309">
        <f t="shared" si="583"/>
        <v>0</v>
      </c>
      <c r="S2181" s="310">
        <f t="shared" si="584"/>
        <v>0</v>
      </c>
      <c r="T2181" s="555">
        <f t="shared" si="585"/>
        <v>0</v>
      </c>
      <c r="U2181" s="311"/>
      <c r="V2181" s="312"/>
      <c r="W2181" s="299"/>
      <c r="X2181" s="300"/>
      <c r="Y2181" s="299"/>
      <c r="Z2181" s="303"/>
      <c r="AA2181" s="305">
        <f>IF(Z2181=0,0,IF(Y2181="MXN",1/HLOOKUP(YEAR(X2181)+(MONTH(X2181)/100),TC!$5:$37,DAY(X2181)+2,FALSE),VLOOKUP(Y2181,Equivalencia!$1:$23,((MAX(Equivalencia!$3:$3)-YEAR(X2181))*14)+MONTH(X2181)+2,FALSE)))</f>
        <v>0</v>
      </c>
      <c r="AB2181" s="306">
        <f t="shared" si="586"/>
        <v>0</v>
      </c>
      <c r="AC2181" s="305">
        <f>+IF(X2181=0,0,HLOOKUP(YEAR(X2181)+(MONTH(X2181)/100),TC!$5:$37,DAY(X2181)+2,FALSE))</f>
        <v>0</v>
      </c>
      <c r="AD2181" s="307">
        <f t="shared" si="587"/>
        <v>0</v>
      </c>
      <c r="AE2181" s="314">
        <f t="shared" si="588"/>
        <v>0</v>
      </c>
      <c r="AF2181" s="315">
        <f t="shared" si="589"/>
        <v>0</v>
      </c>
      <c r="AG2181" s="316">
        <f t="shared" si="590"/>
        <v>0</v>
      </c>
      <c r="AH2181" s="314">
        <v>1</v>
      </c>
      <c r="AI2181" s="314">
        <f t="shared" si="591"/>
        <v>0</v>
      </c>
      <c r="AJ2181" s="314">
        <f t="shared" si="592"/>
        <v>0</v>
      </c>
      <c r="AK2181" s="317"/>
      <c r="AL2181" s="315">
        <f t="shared" si="593"/>
        <v>0</v>
      </c>
      <c r="AN2181" s="554">
        <f t="shared" si="594"/>
        <v>0</v>
      </c>
      <c r="AO2181" s="314"/>
      <c r="AP2181" s="318"/>
    </row>
    <row r="2182" spans="2:42">
      <c r="B2182" s="296"/>
      <c r="C2182" s="299"/>
      <c r="D2182" s="298"/>
      <c r="E2182" s="299"/>
      <c r="F2182" s="299"/>
      <c r="G2182" s="300"/>
      <c r="H2182" s="303"/>
      <c r="I2182" s="301">
        <f t="shared" si="578"/>
        <v>0</v>
      </c>
      <c r="J2182" s="302">
        <f t="shared" si="579"/>
        <v>0</v>
      </c>
      <c r="K2182" s="304">
        <f t="shared" si="580"/>
        <v>0</v>
      </c>
      <c r="L2182" s="305">
        <f>IF(H2182=0,0,IF(OR(E2182=$AT$5,E2182=$AT$6),AA2182,IF(F2182="MXN",1/HLOOKUP(YEAR(G2182)+(MONTH(G2182)/100),TC!$5:$37,DAY(G2182)+2,FALSE),VLOOKUP(F2182,Equivalencia!$5:$23,((MAX(Equivalencia!$3:$3)-YEAR(G2182))*14)+MONTH(G2182)+2,FALSE))))</f>
        <v>0</v>
      </c>
      <c r="M2182" s="306">
        <f t="shared" si="581"/>
        <v>0</v>
      </c>
      <c r="N2182" s="305">
        <f>IF(G2182=0,0,(IF(OR(E2182=$AT$5,E2182=$AT$6),AC2182,HLOOKUP(YEAR(G2182)+(MONTH(G2182)/100),TC!$5:$37,DAY(G2182)+2,FALSE))))</f>
        <v>0</v>
      </c>
      <c r="O2182" s="307">
        <f t="shared" si="582"/>
        <v>0</v>
      </c>
      <c r="P2182" s="560">
        <f>IF(G2182=0,0,VLOOKUP(YEAR(G2182),INPC!$B$4:$P$30,MONTH(G2182)+2))</f>
        <v>0</v>
      </c>
      <c r="Q2182" s="560">
        <f>IF(X2182=0,0,IF(OR(E2182=$AT$10,E2182=$AT$9),VLOOKUP(YEAR(X2182),INPC!$B$4:$P$30,MONTH(X2182)+1),VLOOKUP(YEAR(X2182),INPC!$B$4:$P$30,MONTH(X2182)+2,0)))</f>
        <v>0</v>
      </c>
      <c r="R2182" s="309">
        <f t="shared" si="583"/>
        <v>0</v>
      </c>
      <c r="S2182" s="310">
        <f t="shared" si="584"/>
        <v>0</v>
      </c>
      <c r="T2182" s="555">
        <f t="shared" si="585"/>
        <v>0</v>
      </c>
      <c r="U2182" s="311"/>
      <c r="V2182" s="312"/>
      <c r="W2182" s="299"/>
      <c r="X2182" s="300"/>
      <c r="Y2182" s="299"/>
      <c r="Z2182" s="303"/>
      <c r="AA2182" s="305">
        <f>IF(Z2182=0,0,IF(Y2182="MXN",1/HLOOKUP(YEAR(X2182)+(MONTH(X2182)/100),TC!$5:$37,DAY(X2182)+2,FALSE),VLOOKUP(Y2182,Equivalencia!$1:$23,((MAX(Equivalencia!$3:$3)-YEAR(X2182))*14)+MONTH(X2182)+2,FALSE)))</f>
        <v>0</v>
      </c>
      <c r="AB2182" s="306">
        <f t="shared" si="586"/>
        <v>0</v>
      </c>
      <c r="AC2182" s="305">
        <f>+IF(X2182=0,0,HLOOKUP(YEAR(X2182)+(MONTH(X2182)/100),TC!$5:$37,DAY(X2182)+2,FALSE))</f>
        <v>0</v>
      </c>
      <c r="AD2182" s="307">
        <f t="shared" si="587"/>
        <v>0</v>
      </c>
      <c r="AE2182" s="314">
        <f t="shared" si="588"/>
        <v>0</v>
      </c>
      <c r="AF2182" s="315">
        <f t="shared" si="589"/>
        <v>0</v>
      </c>
      <c r="AG2182" s="316">
        <f t="shared" si="590"/>
        <v>0</v>
      </c>
      <c r="AH2182" s="314">
        <v>1</v>
      </c>
      <c r="AI2182" s="314">
        <f t="shared" si="591"/>
        <v>0</v>
      </c>
      <c r="AJ2182" s="314">
        <f t="shared" si="592"/>
        <v>0</v>
      </c>
      <c r="AK2182" s="317"/>
      <c r="AL2182" s="315">
        <f t="shared" si="593"/>
        <v>0</v>
      </c>
      <c r="AN2182" s="554">
        <f t="shared" si="594"/>
        <v>0</v>
      </c>
      <c r="AO2182" s="314"/>
      <c r="AP2182" s="318"/>
    </row>
    <row r="2183" spans="2:42">
      <c r="B2183" s="296"/>
      <c r="C2183" s="299"/>
      <c r="D2183" s="298"/>
      <c r="E2183" s="299"/>
      <c r="F2183" s="299"/>
      <c r="G2183" s="300"/>
      <c r="H2183" s="303"/>
      <c r="I2183" s="301">
        <f t="shared" si="578"/>
        <v>0</v>
      </c>
      <c r="J2183" s="302">
        <f t="shared" si="579"/>
        <v>0</v>
      </c>
      <c r="K2183" s="304">
        <f t="shared" si="580"/>
        <v>0</v>
      </c>
      <c r="L2183" s="305">
        <f>IF(H2183=0,0,IF(OR(E2183=$AT$5,E2183=$AT$6),AA2183,IF(F2183="MXN",1/HLOOKUP(YEAR(G2183)+(MONTH(G2183)/100),TC!$5:$37,DAY(G2183)+2,FALSE),VLOOKUP(F2183,Equivalencia!$5:$23,((MAX(Equivalencia!$3:$3)-YEAR(G2183))*14)+MONTH(G2183)+2,FALSE))))</f>
        <v>0</v>
      </c>
      <c r="M2183" s="306">
        <f t="shared" si="581"/>
        <v>0</v>
      </c>
      <c r="N2183" s="305">
        <f>IF(G2183=0,0,(IF(OR(E2183=$AT$5,E2183=$AT$6),AC2183,HLOOKUP(YEAR(G2183)+(MONTH(G2183)/100),TC!$5:$37,DAY(G2183)+2,FALSE))))</f>
        <v>0</v>
      </c>
      <c r="O2183" s="307">
        <f t="shared" si="582"/>
        <v>0</v>
      </c>
      <c r="P2183" s="560">
        <f>IF(G2183=0,0,VLOOKUP(YEAR(G2183),INPC!$B$4:$P$30,MONTH(G2183)+2))</f>
        <v>0</v>
      </c>
      <c r="Q2183" s="560">
        <f>IF(X2183=0,0,IF(OR(E2183=$AT$10,E2183=$AT$9),VLOOKUP(YEAR(X2183),INPC!$B$4:$P$30,MONTH(X2183)+1),VLOOKUP(YEAR(X2183),INPC!$B$4:$P$30,MONTH(X2183)+2,0)))</f>
        <v>0</v>
      </c>
      <c r="R2183" s="309">
        <f t="shared" si="583"/>
        <v>0</v>
      </c>
      <c r="S2183" s="310">
        <f t="shared" si="584"/>
        <v>0</v>
      </c>
      <c r="T2183" s="555">
        <f t="shared" si="585"/>
        <v>0</v>
      </c>
      <c r="U2183" s="311"/>
      <c r="V2183" s="312"/>
      <c r="W2183" s="299"/>
      <c r="X2183" s="300"/>
      <c r="Y2183" s="299"/>
      <c r="Z2183" s="303"/>
      <c r="AA2183" s="305">
        <f>IF(Z2183=0,0,IF(Y2183="MXN",1/HLOOKUP(YEAR(X2183)+(MONTH(X2183)/100),TC!$5:$37,DAY(X2183)+2,FALSE),VLOOKUP(Y2183,Equivalencia!$1:$23,((MAX(Equivalencia!$3:$3)-YEAR(X2183))*14)+MONTH(X2183)+2,FALSE)))</f>
        <v>0</v>
      </c>
      <c r="AB2183" s="306">
        <f t="shared" si="586"/>
        <v>0</v>
      </c>
      <c r="AC2183" s="305">
        <f>+IF(X2183=0,0,HLOOKUP(YEAR(X2183)+(MONTH(X2183)/100),TC!$5:$37,DAY(X2183)+2,FALSE))</f>
        <v>0</v>
      </c>
      <c r="AD2183" s="307">
        <f t="shared" si="587"/>
        <v>0</v>
      </c>
      <c r="AE2183" s="314">
        <f t="shared" si="588"/>
        <v>0</v>
      </c>
      <c r="AF2183" s="315">
        <f t="shared" si="589"/>
        <v>0</v>
      </c>
      <c r="AG2183" s="316">
        <f t="shared" si="590"/>
        <v>0</v>
      </c>
      <c r="AH2183" s="314">
        <v>1</v>
      </c>
      <c r="AI2183" s="314">
        <f t="shared" si="591"/>
        <v>0</v>
      </c>
      <c r="AJ2183" s="314">
        <f t="shared" si="592"/>
        <v>0</v>
      </c>
      <c r="AK2183" s="317"/>
      <c r="AL2183" s="315">
        <f t="shared" si="593"/>
        <v>0</v>
      </c>
      <c r="AN2183" s="554">
        <f t="shared" si="594"/>
        <v>0</v>
      </c>
      <c r="AO2183" s="314"/>
      <c r="AP2183" s="318"/>
    </row>
    <row r="2184" spans="2:42">
      <c r="B2184" s="296"/>
      <c r="C2184" s="299"/>
      <c r="D2184" s="298"/>
      <c r="E2184" s="299"/>
      <c r="F2184" s="299"/>
      <c r="G2184" s="300"/>
      <c r="H2184" s="303"/>
      <c r="I2184" s="301">
        <f t="shared" si="578"/>
        <v>0</v>
      </c>
      <c r="J2184" s="302">
        <f t="shared" si="579"/>
        <v>0</v>
      </c>
      <c r="K2184" s="304">
        <f t="shared" si="580"/>
        <v>0</v>
      </c>
      <c r="L2184" s="305">
        <f>IF(H2184=0,0,IF(OR(E2184=$AT$5,E2184=$AT$6),AA2184,IF(F2184="MXN",1/HLOOKUP(YEAR(G2184)+(MONTH(G2184)/100),TC!$5:$37,DAY(G2184)+2,FALSE),VLOOKUP(F2184,Equivalencia!$5:$23,((MAX(Equivalencia!$3:$3)-YEAR(G2184))*14)+MONTH(G2184)+2,FALSE))))</f>
        <v>0</v>
      </c>
      <c r="M2184" s="306">
        <f t="shared" si="581"/>
        <v>0</v>
      </c>
      <c r="N2184" s="305">
        <f>IF(G2184=0,0,(IF(OR(E2184=$AT$5,E2184=$AT$6),AC2184,HLOOKUP(YEAR(G2184)+(MONTH(G2184)/100),TC!$5:$37,DAY(G2184)+2,FALSE))))</f>
        <v>0</v>
      </c>
      <c r="O2184" s="307">
        <f t="shared" si="582"/>
        <v>0</v>
      </c>
      <c r="P2184" s="560">
        <f>IF(G2184=0,0,VLOOKUP(YEAR(G2184),INPC!$B$4:$P$30,MONTH(G2184)+2))</f>
        <v>0</v>
      </c>
      <c r="Q2184" s="560">
        <f>IF(X2184=0,0,IF(OR(E2184=$AT$10,E2184=$AT$9),VLOOKUP(YEAR(X2184),INPC!$B$4:$P$30,MONTH(X2184)+1),VLOOKUP(YEAR(X2184),INPC!$B$4:$P$30,MONTH(X2184)+2,0)))</f>
        <v>0</v>
      </c>
      <c r="R2184" s="309">
        <f t="shared" si="583"/>
        <v>0</v>
      </c>
      <c r="S2184" s="310">
        <f t="shared" si="584"/>
        <v>0</v>
      </c>
      <c r="T2184" s="555">
        <f t="shared" si="585"/>
        <v>0</v>
      </c>
      <c r="U2184" s="311"/>
      <c r="V2184" s="312"/>
      <c r="W2184" s="299"/>
      <c r="X2184" s="300"/>
      <c r="Y2184" s="299"/>
      <c r="Z2184" s="303"/>
      <c r="AA2184" s="305">
        <f>IF(Z2184=0,0,IF(Y2184="MXN",1/HLOOKUP(YEAR(X2184)+(MONTH(X2184)/100),TC!$5:$37,DAY(X2184)+2,FALSE),VLOOKUP(Y2184,Equivalencia!$1:$23,((MAX(Equivalencia!$3:$3)-YEAR(X2184))*14)+MONTH(X2184)+2,FALSE)))</f>
        <v>0</v>
      </c>
      <c r="AB2184" s="306">
        <f t="shared" si="586"/>
        <v>0</v>
      </c>
      <c r="AC2184" s="305">
        <f>+IF(X2184=0,0,HLOOKUP(YEAR(X2184)+(MONTH(X2184)/100),TC!$5:$37,DAY(X2184)+2,FALSE))</f>
        <v>0</v>
      </c>
      <c r="AD2184" s="307">
        <f t="shared" si="587"/>
        <v>0</v>
      </c>
      <c r="AE2184" s="314">
        <f t="shared" si="588"/>
        <v>0</v>
      </c>
      <c r="AF2184" s="315">
        <f t="shared" si="589"/>
        <v>0</v>
      </c>
      <c r="AG2184" s="316">
        <f t="shared" si="590"/>
        <v>0</v>
      </c>
      <c r="AH2184" s="314">
        <v>1</v>
      </c>
      <c r="AI2184" s="314">
        <f t="shared" si="591"/>
        <v>0</v>
      </c>
      <c r="AJ2184" s="314">
        <f t="shared" si="592"/>
        <v>0</v>
      </c>
      <c r="AK2184" s="317"/>
      <c r="AL2184" s="315">
        <f t="shared" si="593"/>
        <v>0</v>
      </c>
      <c r="AN2184" s="554">
        <f t="shared" si="594"/>
        <v>0</v>
      </c>
      <c r="AO2184" s="314"/>
      <c r="AP2184" s="318"/>
    </row>
    <row r="2185" spans="2:42">
      <c r="B2185" s="296"/>
      <c r="C2185" s="299"/>
      <c r="D2185" s="298"/>
      <c r="E2185" s="299"/>
      <c r="F2185" s="299"/>
      <c r="G2185" s="300"/>
      <c r="H2185" s="303"/>
      <c r="I2185" s="301">
        <f t="shared" si="578"/>
        <v>0</v>
      </c>
      <c r="J2185" s="302">
        <f t="shared" si="579"/>
        <v>0</v>
      </c>
      <c r="K2185" s="304">
        <f t="shared" si="580"/>
        <v>0</v>
      </c>
      <c r="L2185" s="305">
        <f>IF(H2185=0,0,IF(OR(E2185=$AT$5,E2185=$AT$6),AA2185,IF(F2185="MXN",1/HLOOKUP(YEAR(G2185)+(MONTH(G2185)/100),TC!$5:$37,DAY(G2185)+2,FALSE),VLOOKUP(F2185,Equivalencia!$5:$23,((MAX(Equivalencia!$3:$3)-YEAR(G2185))*14)+MONTH(G2185)+2,FALSE))))</f>
        <v>0</v>
      </c>
      <c r="M2185" s="306">
        <f t="shared" si="581"/>
        <v>0</v>
      </c>
      <c r="N2185" s="305">
        <f>IF(G2185=0,0,(IF(OR(E2185=$AT$5,E2185=$AT$6),AC2185,HLOOKUP(YEAR(G2185)+(MONTH(G2185)/100),TC!$5:$37,DAY(G2185)+2,FALSE))))</f>
        <v>0</v>
      </c>
      <c r="O2185" s="307">
        <f t="shared" si="582"/>
        <v>0</v>
      </c>
      <c r="P2185" s="560">
        <f>IF(G2185=0,0,VLOOKUP(YEAR(G2185),INPC!$B$4:$P$30,MONTH(G2185)+2))</f>
        <v>0</v>
      </c>
      <c r="Q2185" s="560">
        <f>IF(X2185=0,0,IF(OR(E2185=$AT$10,E2185=$AT$9),VLOOKUP(YEAR(X2185),INPC!$B$4:$P$30,MONTH(X2185)+1),VLOOKUP(YEAR(X2185),INPC!$B$4:$P$30,MONTH(X2185)+2,0)))</f>
        <v>0</v>
      </c>
      <c r="R2185" s="309">
        <f t="shared" si="583"/>
        <v>0</v>
      </c>
      <c r="S2185" s="310">
        <f t="shared" si="584"/>
        <v>0</v>
      </c>
      <c r="T2185" s="555">
        <f t="shared" si="585"/>
        <v>0</v>
      </c>
      <c r="U2185" s="311"/>
      <c r="V2185" s="312"/>
      <c r="W2185" s="299"/>
      <c r="X2185" s="300"/>
      <c r="Y2185" s="299"/>
      <c r="Z2185" s="303"/>
      <c r="AA2185" s="305">
        <f>IF(Z2185=0,0,IF(Y2185="MXN",1/HLOOKUP(YEAR(X2185)+(MONTH(X2185)/100),TC!$5:$37,DAY(X2185)+2,FALSE),VLOOKUP(Y2185,Equivalencia!$1:$23,((MAX(Equivalencia!$3:$3)-YEAR(X2185))*14)+MONTH(X2185)+2,FALSE)))</f>
        <v>0</v>
      </c>
      <c r="AB2185" s="306">
        <f t="shared" si="586"/>
        <v>0</v>
      </c>
      <c r="AC2185" s="305">
        <f>+IF(X2185=0,0,HLOOKUP(YEAR(X2185)+(MONTH(X2185)/100),TC!$5:$37,DAY(X2185)+2,FALSE))</f>
        <v>0</v>
      </c>
      <c r="AD2185" s="307">
        <f t="shared" si="587"/>
        <v>0</v>
      </c>
      <c r="AE2185" s="314">
        <f t="shared" si="588"/>
        <v>0</v>
      </c>
      <c r="AF2185" s="315">
        <f t="shared" si="589"/>
        <v>0</v>
      </c>
      <c r="AG2185" s="316">
        <f t="shared" si="590"/>
        <v>0</v>
      </c>
      <c r="AH2185" s="314">
        <v>1</v>
      </c>
      <c r="AI2185" s="314">
        <f t="shared" si="591"/>
        <v>0</v>
      </c>
      <c r="AJ2185" s="314">
        <f t="shared" si="592"/>
        <v>0</v>
      </c>
      <c r="AK2185" s="317"/>
      <c r="AL2185" s="315">
        <f t="shared" si="593"/>
        <v>0</v>
      </c>
      <c r="AN2185" s="554">
        <f t="shared" si="594"/>
        <v>0</v>
      </c>
      <c r="AO2185" s="314"/>
      <c r="AP2185" s="318"/>
    </row>
    <row r="2186" spans="2:42">
      <c r="B2186" s="296"/>
      <c r="C2186" s="299"/>
      <c r="D2186" s="298"/>
      <c r="E2186" s="299"/>
      <c r="F2186" s="299"/>
      <c r="G2186" s="300"/>
      <c r="H2186" s="303"/>
      <c r="I2186" s="301">
        <f t="shared" si="578"/>
        <v>0</v>
      </c>
      <c r="J2186" s="302">
        <f t="shared" si="579"/>
        <v>0</v>
      </c>
      <c r="K2186" s="304">
        <f t="shared" si="580"/>
        <v>0</v>
      </c>
      <c r="L2186" s="305">
        <f>IF(H2186=0,0,IF(OR(E2186=$AT$5,E2186=$AT$6),AA2186,IF(F2186="MXN",1/HLOOKUP(YEAR(G2186)+(MONTH(G2186)/100),TC!$5:$37,DAY(G2186)+2,FALSE),VLOOKUP(F2186,Equivalencia!$5:$23,((MAX(Equivalencia!$3:$3)-YEAR(G2186))*14)+MONTH(G2186)+2,FALSE))))</f>
        <v>0</v>
      </c>
      <c r="M2186" s="306">
        <f t="shared" si="581"/>
        <v>0</v>
      </c>
      <c r="N2186" s="305">
        <f>IF(G2186=0,0,(IF(OR(E2186=$AT$5,E2186=$AT$6),AC2186,HLOOKUP(YEAR(G2186)+(MONTH(G2186)/100),TC!$5:$37,DAY(G2186)+2,FALSE))))</f>
        <v>0</v>
      </c>
      <c r="O2186" s="307">
        <f t="shared" si="582"/>
        <v>0</v>
      </c>
      <c r="P2186" s="560">
        <f>IF(G2186=0,0,VLOOKUP(YEAR(G2186),INPC!$B$4:$P$30,MONTH(G2186)+2))</f>
        <v>0</v>
      </c>
      <c r="Q2186" s="560">
        <f>IF(X2186=0,0,IF(OR(E2186=$AT$10,E2186=$AT$9),VLOOKUP(YEAR(X2186),INPC!$B$4:$P$30,MONTH(X2186)+1),VLOOKUP(YEAR(X2186),INPC!$B$4:$P$30,MONTH(X2186)+2,0)))</f>
        <v>0</v>
      </c>
      <c r="R2186" s="309">
        <f t="shared" si="583"/>
        <v>0</v>
      </c>
      <c r="S2186" s="310">
        <f t="shared" si="584"/>
        <v>0</v>
      </c>
      <c r="T2186" s="555">
        <f t="shared" si="585"/>
        <v>0</v>
      </c>
      <c r="U2186" s="311"/>
      <c r="V2186" s="312"/>
      <c r="W2186" s="299"/>
      <c r="X2186" s="300"/>
      <c r="Y2186" s="299"/>
      <c r="Z2186" s="303"/>
      <c r="AA2186" s="305">
        <f>IF(Z2186=0,0,IF(Y2186="MXN",1/HLOOKUP(YEAR(X2186)+(MONTH(X2186)/100),TC!$5:$37,DAY(X2186)+2,FALSE),VLOOKUP(Y2186,Equivalencia!$1:$23,((MAX(Equivalencia!$3:$3)-YEAR(X2186))*14)+MONTH(X2186)+2,FALSE)))</f>
        <v>0</v>
      </c>
      <c r="AB2186" s="306">
        <f t="shared" si="586"/>
        <v>0</v>
      </c>
      <c r="AC2186" s="305">
        <f>+IF(X2186=0,0,HLOOKUP(YEAR(X2186)+(MONTH(X2186)/100),TC!$5:$37,DAY(X2186)+2,FALSE))</f>
        <v>0</v>
      </c>
      <c r="AD2186" s="307">
        <f t="shared" si="587"/>
        <v>0</v>
      </c>
      <c r="AE2186" s="314">
        <f t="shared" si="588"/>
        <v>0</v>
      </c>
      <c r="AF2186" s="315">
        <f t="shared" si="589"/>
        <v>0</v>
      </c>
      <c r="AG2186" s="316">
        <f t="shared" si="590"/>
        <v>0</v>
      </c>
      <c r="AH2186" s="314">
        <v>1</v>
      </c>
      <c r="AI2186" s="314">
        <f t="shared" si="591"/>
        <v>0</v>
      </c>
      <c r="AJ2186" s="314">
        <f t="shared" si="592"/>
        <v>0</v>
      </c>
      <c r="AK2186" s="317"/>
      <c r="AL2186" s="315">
        <f t="shared" si="593"/>
        <v>0</v>
      </c>
      <c r="AN2186" s="554">
        <f t="shared" si="594"/>
        <v>0</v>
      </c>
      <c r="AO2186" s="314"/>
      <c r="AP2186" s="318"/>
    </row>
    <row r="2187" spans="2:42">
      <c r="B2187" s="296"/>
      <c r="C2187" s="299"/>
      <c r="D2187" s="298"/>
      <c r="E2187" s="299"/>
      <c r="F2187" s="299"/>
      <c r="G2187" s="300"/>
      <c r="H2187" s="303"/>
      <c r="I2187" s="301">
        <f t="shared" si="578"/>
        <v>0</v>
      </c>
      <c r="J2187" s="302">
        <f t="shared" si="579"/>
        <v>0</v>
      </c>
      <c r="K2187" s="304">
        <f t="shared" si="580"/>
        <v>0</v>
      </c>
      <c r="L2187" s="305">
        <f>IF(H2187=0,0,IF(OR(E2187=$AT$5,E2187=$AT$6),AA2187,IF(F2187="MXN",1/HLOOKUP(YEAR(G2187)+(MONTH(G2187)/100),TC!$5:$37,DAY(G2187)+2,FALSE),VLOOKUP(F2187,Equivalencia!$5:$23,((MAX(Equivalencia!$3:$3)-YEAR(G2187))*14)+MONTH(G2187)+2,FALSE))))</f>
        <v>0</v>
      </c>
      <c r="M2187" s="306">
        <f t="shared" si="581"/>
        <v>0</v>
      </c>
      <c r="N2187" s="305">
        <f>IF(G2187=0,0,(IF(OR(E2187=$AT$5,E2187=$AT$6),AC2187,HLOOKUP(YEAR(G2187)+(MONTH(G2187)/100),TC!$5:$37,DAY(G2187)+2,FALSE))))</f>
        <v>0</v>
      </c>
      <c r="O2187" s="307">
        <f t="shared" si="582"/>
        <v>0</v>
      </c>
      <c r="P2187" s="560">
        <f>IF(G2187=0,0,VLOOKUP(YEAR(G2187),INPC!$B$4:$P$30,MONTH(G2187)+2))</f>
        <v>0</v>
      </c>
      <c r="Q2187" s="560">
        <f>IF(X2187=0,0,IF(OR(E2187=$AT$10,E2187=$AT$9),VLOOKUP(YEAR(X2187),INPC!$B$4:$P$30,MONTH(X2187)+1),VLOOKUP(YEAR(X2187),INPC!$B$4:$P$30,MONTH(X2187)+2,0)))</f>
        <v>0</v>
      </c>
      <c r="R2187" s="309">
        <f t="shared" si="583"/>
        <v>0</v>
      </c>
      <c r="S2187" s="310">
        <f t="shared" si="584"/>
        <v>0</v>
      </c>
      <c r="T2187" s="555">
        <f t="shared" si="585"/>
        <v>0</v>
      </c>
      <c r="U2187" s="311"/>
      <c r="V2187" s="312"/>
      <c r="W2187" s="299"/>
      <c r="X2187" s="300"/>
      <c r="Y2187" s="299"/>
      <c r="Z2187" s="303"/>
      <c r="AA2187" s="305">
        <f>IF(Z2187=0,0,IF(Y2187="MXN",1/HLOOKUP(YEAR(X2187)+(MONTH(X2187)/100),TC!$5:$37,DAY(X2187)+2,FALSE),VLOOKUP(Y2187,Equivalencia!$1:$23,((MAX(Equivalencia!$3:$3)-YEAR(X2187))*14)+MONTH(X2187)+2,FALSE)))</f>
        <v>0</v>
      </c>
      <c r="AB2187" s="306">
        <f t="shared" si="586"/>
        <v>0</v>
      </c>
      <c r="AC2187" s="305">
        <f>+IF(X2187=0,0,HLOOKUP(YEAR(X2187)+(MONTH(X2187)/100),TC!$5:$37,DAY(X2187)+2,FALSE))</f>
        <v>0</v>
      </c>
      <c r="AD2187" s="307">
        <f t="shared" si="587"/>
        <v>0</v>
      </c>
      <c r="AE2187" s="314">
        <f t="shared" si="588"/>
        <v>0</v>
      </c>
      <c r="AF2187" s="315">
        <f t="shared" si="589"/>
        <v>0</v>
      </c>
      <c r="AG2187" s="316">
        <f t="shared" si="590"/>
        <v>0</v>
      </c>
      <c r="AH2187" s="314">
        <v>1</v>
      </c>
      <c r="AI2187" s="314">
        <f t="shared" si="591"/>
        <v>0</v>
      </c>
      <c r="AJ2187" s="314">
        <f t="shared" si="592"/>
        <v>0</v>
      </c>
      <c r="AK2187" s="317"/>
      <c r="AL2187" s="315">
        <f t="shared" si="593"/>
        <v>0</v>
      </c>
      <c r="AN2187" s="554">
        <f t="shared" si="594"/>
        <v>0</v>
      </c>
      <c r="AO2187" s="314"/>
      <c r="AP2187" s="318"/>
    </row>
    <row r="2188" spans="2:42">
      <c r="B2188" s="296"/>
      <c r="C2188" s="299"/>
      <c r="D2188" s="298"/>
      <c r="E2188" s="299"/>
      <c r="F2188" s="299"/>
      <c r="G2188" s="300"/>
      <c r="H2188" s="303"/>
      <c r="I2188" s="301">
        <f t="shared" si="578"/>
        <v>0</v>
      </c>
      <c r="J2188" s="302">
        <f t="shared" si="579"/>
        <v>0</v>
      </c>
      <c r="K2188" s="304">
        <f t="shared" si="580"/>
        <v>0</v>
      </c>
      <c r="L2188" s="305">
        <f>IF(H2188=0,0,IF(OR(E2188=$AT$5,E2188=$AT$6),AA2188,IF(F2188="MXN",1/HLOOKUP(YEAR(G2188)+(MONTH(G2188)/100),TC!$5:$37,DAY(G2188)+2,FALSE),VLOOKUP(F2188,Equivalencia!$5:$23,((MAX(Equivalencia!$3:$3)-YEAR(G2188))*14)+MONTH(G2188)+2,FALSE))))</f>
        <v>0</v>
      </c>
      <c r="M2188" s="306">
        <f t="shared" si="581"/>
        <v>0</v>
      </c>
      <c r="N2188" s="305">
        <f>IF(G2188=0,0,(IF(OR(E2188=$AT$5,E2188=$AT$6),AC2188,HLOOKUP(YEAR(G2188)+(MONTH(G2188)/100),TC!$5:$37,DAY(G2188)+2,FALSE))))</f>
        <v>0</v>
      </c>
      <c r="O2188" s="307">
        <f t="shared" si="582"/>
        <v>0</v>
      </c>
      <c r="P2188" s="560">
        <f>IF(G2188=0,0,VLOOKUP(YEAR(G2188),INPC!$B$4:$P$30,MONTH(G2188)+2))</f>
        <v>0</v>
      </c>
      <c r="Q2188" s="560">
        <f>IF(X2188=0,0,IF(OR(E2188=$AT$10,E2188=$AT$9),VLOOKUP(YEAR(X2188),INPC!$B$4:$P$30,MONTH(X2188)+1),VLOOKUP(YEAR(X2188),INPC!$B$4:$P$30,MONTH(X2188)+2,0)))</f>
        <v>0</v>
      </c>
      <c r="R2188" s="309">
        <f t="shared" si="583"/>
        <v>0</v>
      </c>
      <c r="S2188" s="310">
        <f t="shared" si="584"/>
        <v>0</v>
      </c>
      <c r="T2188" s="555">
        <f t="shared" si="585"/>
        <v>0</v>
      </c>
      <c r="U2188" s="311"/>
      <c r="V2188" s="312"/>
      <c r="W2188" s="299"/>
      <c r="X2188" s="300"/>
      <c r="Y2188" s="299"/>
      <c r="Z2188" s="303"/>
      <c r="AA2188" s="305">
        <f>IF(Z2188=0,0,IF(Y2188="MXN",1/HLOOKUP(YEAR(X2188)+(MONTH(X2188)/100),TC!$5:$37,DAY(X2188)+2,FALSE),VLOOKUP(Y2188,Equivalencia!$1:$23,((MAX(Equivalencia!$3:$3)-YEAR(X2188))*14)+MONTH(X2188)+2,FALSE)))</f>
        <v>0</v>
      </c>
      <c r="AB2188" s="306">
        <f t="shared" si="586"/>
        <v>0</v>
      </c>
      <c r="AC2188" s="305">
        <f>+IF(X2188=0,0,HLOOKUP(YEAR(X2188)+(MONTH(X2188)/100),TC!$5:$37,DAY(X2188)+2,FALSE))</f>
        <v>0</v>
      </c>
      <c r="AD2188" s="307">
        <f t="shared" si="587"/>
        <v>0</v>
      </c>
      <c r="AE2188" s="314">
        <f t="shared" si="588"/>
        <v>0</v>
      </c>
      <c r="AF2188" s="315">
        <f t="shared" si="589"/>
        <v>0</v>
      </c>
      <c r="AG2188" s="316">
        <f t="shared" si="590"/>
        <v>0</v>
      </c>
      <c r="AH2188" s="314">
        <v>1</v>
      </c>
      <c r="AI2188" s="314">
        <f t="shared" si="591"/>
        <v>0</v>
      </c>
      <c r="AJ2188" s="314">
        <f t="shared" si="592"/>
        <v>0</v>
      </c>
      <c r="AK2188" s="317"/>
      <c r="AL2188" s="315">
        <f t="shared" si="593"/>
        <v>0</v>
      </c>
      <c r="AN2188" s="554">
        <f t="shared" si="594"/>
        <v>0</v>
      </c>
      <c r="AO2188" s="314"/>
      <c r="AP2188" s="318"/>
    </row>
    <row r="2189" spans="2:42">
      <c r="B2189" s="296"/>
      <c r="C2189" s="299"/>
      <c r="D2189" s="298"/>
      <c r="E2189" s="299"/>
      <c r="F2189" s="299"/>
      <c r="G2189" s="300"/>
      <c r="H2189" s="303"/>
      <c r="I2189" s="301">
        <f t="shared" si="578"/>
        <v>0</v>
      </c>
      <c r="J2189" s="302">
        <f t="shared" si="579"/>
        <v>0</v>
      </c>
      <c r="K2189" s="304">
        <f t="shared" si="580"/>
        <v>0</v>
      </c>
      <c r="L2189" s="305">
        <f>IF(H2189=0,0,IF(OR(E2189=$AT$5,E2189=$AT$6),AA2189,IF(F2189="MXN",1/HLOOKUP(YEAR(G2189)+(MONTH(G2189)/100),TC!$5:$37,DAY(G2189)+2,FALSE),VLOOKUP(F2189,Equivalencia!$5:$23,((MAX(Equivalencia!$3:$3)-YEAR(G2189))*14)+MONTH(G2189)+2,FALSE))))</f>
        <v>0</v>
      </c>
      <c r="M2189" s="306">
        <f t="shared" si="581"/>
        <v>0</v>
      </c>
      <c r="N2189" s="305">
        <f>IF(G2189=0,0,(IF(OR(E2189=$AT$5,E2189=$AT$6),AC2189,HLOOKUP(YEAR(G2189)+(MONTH(G2189)/100),TC!$5:$37,DAY(G2189)+2,FALSE))))</f>
        <v>0</v>
      </c>
      <c r="O2189" s="307">
        <f t="shared" si="582"/>
        <v>0</v>
      </c>
      <c r="P2189" s="560">
        <f>IF(G2189=0,0,VLOOKUP(YEAR(G2189),INPC!$B$4:$P$30,MONTH(G2189)+2))</f>
        <v>0</v>
      </c>
      <c r="Q2189" s="560">
        <f>IF(X2189=0,0,IF(OR(E2189=$AT$10,E2189=$AT$9),VLOOKUP(YEAR(X2189),INPC!$B$4:$P$30,MONTH(X2189)+1),VLOOKUP(YEAR(X2189),INPC!$B$4:$P$30,MONTH(X2189)+2,0)))</f>
        <v>0</v>
      </c>
      <c r="R2189" s="309">
        <f t="shared" si="583"/>
        <v>0</v>
      </c>
      <c r="S2189" s="310">
        <f t="shared" si="584"/>
        <v>0</v>
      </c>
      <c r="T2189" s="555">
        <f t="shared" si="585"/>
        <v>0</v>
      </c>
      <c r="U2189" s="311"/>
      <c r="V2189" s="312"/>
      <c r="W2189" s="299"/>
      <c r="X2189" s="300"/>
      <c r="Y2189" s="299"/>
      <c r="Z2189" s="303"/>
      <c r="AA2189" s="305">
        <f>IF(Z2189=0,0,IF(Y2189="MXN",1/HLOOKUP(YEAR(X2189)+(MONTH(X2189)/100),TC!$5:$37,DAY(X2189)+2,FALSE),VLOOKUP(Y2189,Equivalencia!$1:$23,((MAX(Equivalencia!$3:$3)-YEAR(X2189))*14)+MONTH(X2189)+2,FALSE)))</f>
        <v>0</v>
      </c>
      <c r="AB2189" s="306">
        <f t="shared" si="586"/>
        <v>0</v>
      </c>
      <c r="AC2189" s="305">
        <f>+IF(X2189=0,0,HLOOKUP(YEAR(X2189)+(MONTH(X2189)/100),TC!$5:$37,DAY(X2189)+2,FALSE))</f>
        <v>0</v>
      </c>
      <c r="AD2189" s="307">
        <f t="shared" si="587"/>
        <v>0</v>
      </c>
      <c r="AE2189" s="314">
        <f t="shared" si="588"/>
        <v>0</v>
      </c>
      <c r="AF2189" s="315">
        <f t="shared" si="589"/>
        <v>0</v>
      </c>
      <c r="AG2189" s="316">
        <f t="shared" si="590"/>
        <v>0</v>
      </c>
      <c r="AH2189" s="314">
        <v>1</v>
      </c>
      <c r="AI2189" s="314">
        <f t="shared" si="591"/>
        <v>0</v>
      </c>
      <c r="AJ2189" s="314">
        <f t="shared" si="592"/>
        <v>0</v>
      </c>
      <c r="AK2189" s="317"/>
      <c r="AL2189" s="315">
        <f t="shared" si="593"/>
        <v>0</v>
      </c>
      <c r="AN2189" s="554">
        <f t="shared" si="594"/>
        <v>0</v>
      </c>
      <c r="AO2189" s="314"/>
      <c r="AP2189" s="318"/>
    </row>
    <row r="2190" spans="2:42">
      <c r="B2190" s="296"/>
      <c r="C2190" s="299"/>
      <c r="D2190" s="298"/>
      <c r="E2190" s="299"/>
      <c r="F2190" s="299"/>
      <c r="G2190" s="300"/>
      <c r="H2190" s="303"/>
      <c r="I2190" s="301">
        <f t="shared" si="578"/>
        <v>0</v>
      </c>
      <c r="J2190" s="302">
        <f t="shared" si="579"/>
        <v>0</v>
      </c>
      <c r="K2190" s="304">
        <f t="shared" si="580"/>
        <v>0</v>
      </c>
      <c r="L2190" s="305">
        <f>IF(H2190=0,0,IF(OR(E2190=$AT$5,E2190=$AT$6),AA2190,IF(F2190="MXN",1/HLOOKUP(YEAR(G2190)+(MONTH(G2190)/100),TC!$5:$37,DAY(G2190)+2,FALSE),VLOOKUP(F2190,Equivalencia!$5:$23,((MAX(Equivalencia!$3:$3)-YEAR(G2190))*14)+MONTH(G2190)+2,FALSE))))</f>
        <v>0</v>
      </c>
      <c r="M2190" s="306">
        <f t="shared" si="581"/>
        <v>0</v>
      </c>
      <c r="N2190" s="305">
        <f>IF(G2190=0,0,(IF(OR(E2190=$AT$5,E2190=$AT$6),AC2190,HLOOKUP(YEAR(G2190)+(MONTH(G2190)/100),TC!$5:$37,DAY(G2190)+2,FALSE))))</f>
        <v>0</v>
      </c>
      <c r="O2190" s="307">
        <f t="shared" si="582"/>
        <v>0</v>
      </c>
      <c r="P2190" s="560">
        <f>IF(G2190=0,0,VLOOKUP(YEAR(G2190),INPC!$B$4:$P$30,MONTH(G2190)+2))</f>
        <v>0</v>
      </c>
      <c r="Q2190" s="560">
        <f>IF(X2190=0,0,IF(OR(E2190=$AT$10,E2190=$AT$9),VLOOKUP(YEAR(X2190),INPC!$B$4:$P$30,MONTH(X2190)+1),VLOOKUP(YEAR(X2190),INPC!$B$4:$P$30,MONTH(X2190)+2,0)))</f>
        <v>0</v>
      </c>
      <c r="R2190" s="309">
        <f t="shared" si="583"/>
        <v>0</v>
      </c>
      <c r="S2190" s="310">
        <f t="shared" si="584"/>
        <v>0</v>
      </c>
      <c r="T2190" s="555">
        <f t="shared" si="585"/>
        <v>0</v>
      </c>
      <c r="U2190" s="311"/>
      <c r="V2190" s="312"/>
      <c r="W2190" s="299"/>
      <c r="X2190" s="300"/>
      <c r="Y2190" s="299"/>
      <c r="Z2190" s="303"/>
      <c r="AA2190" s="305">
        <f>IF(Z2190=0,0,IF(Y2190="MXN",1/HLOOKUP(YEAR(X2190)+(MONTH(X2190)/100),TC!$5:$37,DAY(X2190)+2,FALSE),VLOOKUP(Y2190,Equivalencia!$1:$23,((MAX(Equivalencia!$3:$3)-YEAR(X2190))*14)+MONTH(X2190)+2,FALSE)))</f>
        <v>0</v>
      </c>
      <c r="AB2190" s="306">
        <f t="shared" si="586"/>
        <v>0</v>
      </c>
      <c r="AC2190" s="305">
        <f>+IF(X2190=0,0,HLOOKUP(YEAR(X2190)+(MONTH(X2190)/100),TC!$5:$37,DAY(X2190)+2,FALSE))</f>
        <v>0</v>
      </c>
      <c r="AD2190" s="307">
        <f t="shared" si="587"/>
        <v>0</v>
      </c>
      <c r="AE2190" s="314">
        <f t="shared" si="588"/>
        <v>0</v>
      </c>
      <c r="AF2190" s="315">
        <f t="shared" si="589"/>
        <v>0</v>
      </c>
      <c r="AG2190" s="316">
        <f t="shared" si="590"/>
        <v>0</v>
      </c>
      <c r="AH2190" s="314">
        <v>1</v>
      </c>
      <c r="AI2190" s="314">
        <f t="shared" si="591"/>
        <v>0</v>
      </c>
      <c r="AJ2190" s="314">
        <f t="shared" si="592"/>
        <v>0</v>
      </c>
      <c r="AK2190" s="317"/>
      <c r="AL2190" s="315">
        <f t="shared" si="593"/>
        <v>0</v>
      </c>
      <c r="AN2190" s="554">
        <f t="shared" si="594"/>
        <v>0</v>
      </c>
      <c r="AO2190" s="314"/>
      <c r="AP2190" s="318"/>
    </row>
    <row r="2191" spans="2:42">
      <c r="B2191" s="296"/>
      <c r="C2191" s="299"/>
      <c r="D2191" s="298"/>
      <c r="E2191" s="299"/>
      <c r="F2191" s="299"/>
      <c r="G2191" s="300"/>
      <c r="H2191" s="303"/>
      <c r="I2191" s="301">
        <f t="shared" si="578"/>
        <v>0</v>
      </c>
      <c r="J2191" s="302">
        <f t="shared" si="579"/>
        <v>0</v>
      </c>
      <c r="K2191" s="304">
        <f t="shared" si="580"/>
        <v>0</v>
      </c>
      <c r="L2191" s="305">
        <f>IF(H2191=0,0,IF(OR(E2191=$AT$5,E2191=$AT$6),AA2191,IF(F2191="MXN",1/HLOOKUP(YEAR(G2191)+(MONTH(G2191)/100),TC!$5:$37,DAY(G2191)+2,FALSE),VLOOKUP(F2191,Equivalencia!$5:$23,((MAX(Equivalencia!$3:$3)-YEAR(G2191))*14)+MONTH(G2191)+2,FALSE))))</f>
        <v>0</v>
      </c>
      <c r="M2191" s="306">
        <f t="shared" si="581"/>
        <v>0</v>
      </c>
      <c r="N2191" s="305">
        <f>IF(G2191=0,0,(IF(OR(E2191=$AT$5,E2191=$AT$6),AC2191,HLOOKUP(YEAR(G2191)+(MONTH(G2191)/100),TC!$5:$37,DAY(G2191)+2,FALSE))))</f>
        <v>0</v>
      </c>
      <c r="O2191" s="307">
        <f t="shared" si="582"/>
        <v>0</v>
      </c>
      <c r="P2191" s="560">
        <f>IF(G2191=0,0,VLOOKUP(YEAR(G2191),INPC!$B$4:$P$30,MONTH(G2191)+2))</f>
        <v>0</v>
      </c>
      <c r="Q2191" s="560">
        <f>IF(X2191=0,0,IF(OR(E2191=$AT$10,E2191=$AT$9),VLOOKUP(YEAR(X2191),INPC!$B$4:$P$30,MONTH(X2191)+1),VLOOKUP(YEAR(X2191),INPC!$B$4:$P$30,MONTH(X2191)+2,0)))</f>
        <v>0</v>
      </c>
      <c r="R2191" s="309">
        <f t="shared" si="583"/>
        <v>0</v>
      </c>
      <c r="S2191" s="310">
        <f t="shared" si="584"/>
        <v>0</v>
      </c>
      <c r="T2191" s="555">
        <f t="shared" si="585"/>
        <v>0</v>
      </c>
      <c r="U2191" s="311"/>
      <c r="V2191" s="312"/>
      <c r="W2191" s="299"/>
      <c r="X2191" s="300"/>
      <c r="Y2191" s="299"/>
      <c r="Z2191" s="303"/>
      <c r="AA2191" s="305">
        <f>IF(Z2191=0,0,IF(Y2191="MXN",1/HLOOKUP(YEAR(X2191)+(MONTH(X2191)/100),TC!$5:$37,DAY(X2191)+2,FALSE),VLOOKUP(Y2191,Equivalencia!$1:$23,((MAX(Equivalencia!$3:$3)-YEAR(X2191))*14)+MONTH(X2191)+2,FALSE)))</f>
        <v>0</v>
      </c>
      <c r="AB2191" s="306">
        <f t="shared" si="586"/>
        <v>0</v>
      </c>
      <c r="AC2191" s="305">
        <f>+IF(X2191=0,0,HLOOKUP(YEAR(X2191)+(MONTH(X2191)/100),TC!$5:$37,DAY(X2191)+2,FALSE))</f>
        <v>0</v>
      </c>
      <c r="AD2191" s="307">
        <f t="shared" si="587"/>
        <v>0</v>
      </c>
      <c r="AE2191" s="314">
        <f t="shared" si="588"/>
        <v>0</v>
      </c>
      <c r="AF2191" s="315">
        <f t="shared" si="589"/>
        <v>0</v>
      </c>
      <c r="AG2191" s="316">
        <f t="shared" si="590"/>
        <v>0</v>
      </c>
      <c r="AH2191" s="314">
        <v>1</v>
      </c>
      <c r="AI2191" s="314">
        <f t="shared" si="591"/>
        <v>0</v>
      </c>
      <c r="AJ2191" s="314">
        <f t="shared" si="592"/>
        <v>0</v>
      </c>
      <c r="AK2191" s="317"/>
      <c r="AL2191" s="315">
        <f t="shared" si="593"/>
        <v>0</v>
      </c>
      <c r="AN2191" s="554">
        <f t="shared" si="594"/>
        <v>0</v>
      </c>
      <c r="AO2191" s="314"/>
      <c r="AP2191" s="318"/>
    </row>
    <row r="2192" spans="2:42">
      <c r="B2192" s="296"/>
      <c r="C2192" s="299"/>
      <c r="D2192" s="298"/>
      <c r="E2192" s="299"/>
      <c r="F2192" s="299"/>
      <c r="G2192" s="300"/>
      <c r="H2192" s="303"/>
      <c r="I2192" s="301">
        <f t="shared" si="578"/>
        <v>0</v>
      </c>
      <c r="J2192" s="302">
        <f t="shared" si="579"/>
        <v>0</v>
      </c>
      <c r="K2192" s="304">
        <f t="shared" si="580"/>
        <v>0</v>
      </c>
      <c r="L2192" s="305">
        <f>IF(H2192=0,0,IF(OR(E2192=$AT$5,E2192=$AT$6),AA2192,IF(F2192="MXN",1/HLOOKUP(YEAR(G2192)+(MONTH(G2192)/100),TC!$5:$37,DAY(G2192)+2,FALSE),VLOOKUP(F2192,Equivalencia!$5:$23,((MAX(Equivalencia!$3:$3)-YEAR(G2192))*14)+MONTH(G2192)+2,FALSE))))</f>
        <v>0</v>
      </c>
      <c r="M2192" s="306">
        <f t="shared" si="581"/>
        <v>0</v>
      </c>
      <c r="N2192" s="305">
        <f>IF(G2192=0,0,(IF(OR(E2192=$AT$5,E2192=$AT$6),AC2192,HLOOKUP(YEAR(G2192)+(MONTH(G2192)/100),TC!$5:$37,DAY(G2192)+2,FALSE))))</f>
        <v>0</v>
      </c>
      <c r="O2192" s="307">
        <f t="shared" si="582"/>
        <v>0</v>
      </c>
      <c r="P2192" s="560">
        <f>IF(G2192=0,0,VLOOKUP(YEAR(G2192),INPC!$B$4:$P$30,MONTH(G2192)+2))</f>
        <v>0</v>
      </c>
      <c r="Q2192" s="560">
        <f>IF(X2192=0,0,IF(OR(E2192=$AT$10,E2192=$AT$9),VLOOKUP(YEAR(X2192),INPC!$B$4:$P$30,MONTH(X2192)+1),VLOOKUP(YEAR(X2192),INPC!$B$4:$P$30,MONTH(X2192)+2,0)))</f>
        <v>0</v>
      </c>
      <c r="R2192" s="309">
        <f t="shared" si="583"/>
        <v>0</v>
      </c>
      <c r="S2192" s="310">
        <f t="shared" si="584"/>
        <v>0</v>
      </c>
      <c r="T2192" s="555">
        <f t="shared" si="585"/>
        <v>0</v>
      </c>
      <c r="U2192" s="311"/>
      <c r="V2192" s="312"/>
      <c r="W2192" s="299"/>
      <c r="X2192" s="300"/>
      <c r="Y2192" s="299"/>
      <c r="Z2192" s="303"/>
      <c r="AA2192" s="305">
        <f>IF(Z2192=0,0,IF(Y2192="MXN",1/HLOOKUP(YEAR(X2192)+(MONTH(X2192)/100),TC!$5:$37,DAY(X2192)+2,FALSE),VLOOKUP(Y2192,Equivalencia!$1:$23,((MAX(Equivalencia!$3:$3)-YEAR(X2192))*14)+MONTH(X2192)+2,FALSE)))</f>
        <v>0</v>
      </c>
      <c r="AB2192" s="306">
        <f t="shared" si="586"/>
        <v>0</v>
      </c>
      <c r="AC2192" s="305">
        <f>+IF(X2192=0,0,HLOOKUP(YEAR(X2192)+(MONTH(X2192)/100),TC!$5:$37,DAY(X2192)+2,FALSE))</f>
        <v>0</v>
      </c>
      <c r="AD2192" s="307">
        <f t="shared" si="587"/>
        <v>0</v>
      </c>
      <c r="AE2192" s="314">
        <f t="shared" si="588"/>
        <v>0</v>
      </c>
      <c r="AF2192" s="315">
        <f t="shared" si="589"/>
        <v>0</v>
      </c>
      <c r="AG2192" s="316">
        <f t="shared" si="590"/>
        <v>0</v>
      </c>
      <c r="AH2192" s="314">
        <v>1</v>
      </c>
      <c r="AI2192" s="314">
        <f t="shared" si="591"/>
        <v>0</v>
      </c>
      <c r="AJ2192" s="314">
        <f t="shared" si="592"/>
        <v>0</v>
      </c>
      <c r="AK2192" s="317"/>
      <c r="AL2192" s="315">
        <f t="shared" si="593"/>
        <v>0</v>
      </c>
      <c r="AN2192" s="554">
        <f t="shared" si="594"/>
        <v>0</v>
      </c>
      <c r="AO2192" s="314"/>
      <c r="AP2192" s="318"/>
    </row>
    <row r="2193" spans="2:42">
      <c r="B2193" s="296"/>
      <c r="C2193" s="299"/>
      <c r="D2193" s="298"/>
      <c r="E2193" s="299"/>
      <c r="F2193" s="299"/>
      <c r="G2193" s="300"/>
      <c r="H2193" s="303"/>
      <c r="I2193" s="301">
        <f t="shared" si="578"/>
        <v>0</v>
      </c>
      <c r="J2193" s="302">
        <f t="shared" si="579"/>
        <v>0</v>
      </c>
      <c r="K2193" s="304">
        <f t="shared" si="580"/>
        <v>0</v>
      </c>
      <c r="L2193" s="305">
        <f>IF(H2193=0,0,IF(OR(E2193=$AT$5,E2193=$AT$6),AA2193,IF(F2193="MXN",1/HLOOKUP(YEAR(G2193)+(MONTH(G2193)/100),TC!$5:$37,DAY(G2193)+2,FALSE),VLOOKUP(F2193,Equivalencia!$5:$23,((MAX(Equivalencia!$3:$3)-YEAR(G2193))*14)+MONTH(G2193)+2,FALSE))))</f>
        <v>0</v>
      </c>
      <c r="M2193" s="306">
        <f t="shared" si="581"/>
        <v>0</v>
      </c>
      <c r="N2193" s="305">
        <f>IF(G2193=0,0,(IF(OR(E2193=$AT$5,E2193=$AT$6),AC2193,HLOOKUP(YEAR(G2193)+(MONTH(G2193)/100),TC!$5:$37,DAY(G2193)+2,FALSE))))</f>
        <v>0</v>
      </c>
      <c r="O2193" s="307">
        <f t="shared" si="582"/>
        <v>0</v>
      </c>
      <c r="P2193" s="560">
        <f>IF(G2193=0,0,VLOOKUP(YEAR(G2193),INPC!$B$4:$P$30,MONTH(G2193)+2))</f>
        <v>0</v>
      </c>
      <c r="Q2193" s="560">
        <f>IF(X2193=0,0,IF(OR(E2193=$AT$10,E2193=$AT$9),VLOOKUP(YEAR(X2193),INPC!$B$4:$P$30,MONTH(X2193)+1),VLOOKUP(YEAR(X2193),INPC!$B$4:$P$30,MONTH(X2193)+2,0)))</f>
        <v>0</v>
      </c>
      <c r="R2193" s="309">
        <f t="shared" si="583"/>
        <v>0</v>
      </c>
      <c r="S2193" s="310">
        <f t="shared" si="584"/>
        <v>0</v>
      </c>
      <c r="T2193" s="555">
        <f t="shared" si="585"/>
        <v>0</v>
      </c>
      <c r="U2193" s="311"/>
      <c r="V2193" s="312"/>
      <c r="W2193" s="299"/>
      <c r="X2193" s="300"/>
      <c r="Y2193" s="299"/>
      <c r="Z2193" s="303"/>
      <c r="AA2193" s="305">
        <f>IF(Z2193=0,0,IF(Y2193="MXN",1/HLOOKUP(YEAR(X2193)+(MONTH(X2193)/100),TC!$5:$37,DAY(X2193)+2,FALSE),VLOOKUP(Y2193,Equivalencia!$1:$23,((MAX(Equivalencia!$3:$3)-YEAR(X2193))*14)+MONTH(X2193)+2,FALSE)))</f>
        <v>0</v>
      </c>
      <c r="AB2193" s="306">
        <f t="shared" si="586"/>
        <v>0</v>
      </c>
      <c r="AC2193" s="305">
        <f>+IF(X2193=0,0,HLOOKUP(YEAR(X2193)+(MONTH(X2193)/100),TC!$5:$37,DAY(X2193)+2,FALSE))</f>
        <v>0</v>
      </c>
      <c r="AD2193" s="307">
        <f t="shared" si="587"/>
        <v>0</v>
      </c>
      <c r="AE2193" s="314">
        <f t="shared" si="588"/>
        <v>0</v>
      </c>
      <c r="AF2193" s="315">
        <f t="shared" si="589"/>
        <v>0</v>
      </c>
      <c r="AG2193" s="316">
        <f t="shared" si="590"/>
        <v>0</v>
      </c>
      <c r="AH2193" s="314">
        <v>1</v>
      </c>
      <c r="AI2193" s="314">
        <f t="shared" si="591"/>
        <v>0</v>
      </c>
      <c r="AJ2193" s="314">
        <f t="shared" si="592"/>
        <v>0</v>
      </c>
      <c r="AK2193" s="317"/>
      <c r="AL2193" s="315">
        <f t="shared" si="593"/>
        <v>0</v>
      </c>
      <c r="AN2193" s="554">
        <f t="shared" si="594"/>
        <v>0</v>
      </c>
      <c r="AO2193" s="314"/>
      <c r="AP2193" s="318"/>
    </row>
    <row r="2194" spans="2:42">
      <c r="B2194" s="296"/>
      <c r="C2194" s="299"/>
      <c r="D2194" s="298"/>
      <c r="E2194" s="299"/>
      <c r="F2194" s="299"/>
      <c r="G2194" s="300"/>
      <c r="H2194" s="303"/>
      <c r="I2194" s="301">
        <f t="shared" si="578"/>
        <v>0</v>
      </c>
      <c r="J2194" s="302">
        <f t="shared" si="579"/>
        <v>0</v>
      </c>
      <c r="K2194" s="304">
        <f t="shared" si="580"/>
        <v>0</v>
      </c>
      <c r="L2194" s="305">
        <f>IF(H2194=0,0,IF(OR(E2194=$AT$5,E2194=$AT$6),AA2194,IF(F2194="MXN",1/HLOOKUP(YEAR(G2194)+(MONTH(G2194)/100),TC!$5:$37,DAY(G2194)+2,FALSE),VLOOKUP(F2194,Equivalencia!$5:$23,((MAX(Equivalencia!$3:$3)-YEAR(G2194))*14)+MONTH(G2194)+2,FALSE))))</f>
        <v>0</v>
      </c>
      <c r="M2194" s="306">
        <f t="shared" si="581"/>
        <v>0</v>
      </c>
      <c r="N2194" s="305">
        <f>IF(G2194=0,0,(IF(OR(E2194=$AT$5,E2194=$AT$6),AC2194,HLOOKUP(YEAR(G2194)+(MONTH(G2194)/100),TC!$5:$37,DAY(G2194)+2,FALSE))))</f>
        <v>0</v>
      </c>
      <c r="O2194" s="307">
        <f t="shared" si="582"/>
        <v>0</v>
      </c>
      <c r="P2194" s="560">
        <f>IF(G2194=0,0,VLOOKUP(YEAR(G2194),INPC!$B$4:$P$30,MONTH(G2194)+2))</f>
        <v>0</v>
      </c>
      <c r="Q2194" s="560">
        <f>IF(X2194=0,0,IF(OR(E2194=$AT$10,E2194=$AT$9),VLOOKUP(YEAR(X2194),INPC!$B$4:$P$30,MONTH(X2194)+1),VLOOKUP(YEAR(X2194),INPC!$B$4:$P$30,MONTH(X2194)+2,0)))</f>
        <v>0</v>
      </c>
      <c r="R2194" s="309">
        <f t="shared" si="583"/>
        <v>0</v>
      </c>
      <c r="S2194" s="310">
        <f t="shared" si="584"/>
        <v>0</v>
      </c>
      <c r="T2194" s="555">
        <f t="shared" si="585"/>
        <v>0</v>
      </c>
      <c r="U2194" s="311"/>
      <c r="V2194" s="312"/>
      <c r="W2194" s="299"/>
      <c r="X2194" s="300"/>
      <c r="Y2194" s="299"/>
      <c r="Z2194" s="303"/>
      <c r="AA2194" s="305">
        <f>IF(Z2194=0,0,IF(Y2194="MXN",1/HLOOKUP(YEAR(X2194)+(MONTH(X2194)/100),TC!$5:$37,DAY(X2194)+2,FALSE),VLOOKUP(Y2194,Equivalencia!$1:$23,((MAX(Equivalencia!$3:$3)-YEAR(X2194))*14)+MONTH(X2194)+2,FALSE)))</f>
        <v>0</v>
      </c>
      <c r="AB2194" s="306">
        <f t="shared" si="586"/>
        <v>0</v>
      </c>
      <c r="AC2194" s="305">
        <f>+IF(X2194=0,0,HLOOKUP(YEAR(X2194)+(MONTH(X2194)/100),TC!$5:$37,DAY(X2194)+2,FALSE))</f>
        <v>0</v>
      </c>
      <c r="AD2194" s="307">
        <f t="shared" si="587"/>
        <v>0</v>
      </c>
      <c r="AE2194" s="314">
        <f t="shared" si="588"/>
        <v>0</v>
      </c>
      <c r="AF2194" s="315">
        <f t="shared" si="589"/>
        <v>0</v>
      </c>
      <c r="AG2194" s="316">
        <f t="shared" si="590"/>
        <v>0</v>
      </c>
      <c r="AH2194" s="314">
        <v>1</v>
      </c>
      <c r="AI2194" s="314">
        <f t="shared" si="591"/>
        <v>0</v>
      </c>
      <c r="AJ2194" s="314">
        <f t="shared" si="592"/>
        <v>0</v>
      </c>
      <c r="AK2194" s="317"/>
      <c r="AL2194" s="315">
        <f t="shared" si="593"/>
        <v>0</v>
      </c>
      <c r="AN2194" s="554">
        <f t="shared" si="594"/>
        <v>0</v>
      </c>
      <c r="AO2194" s="314"/>
      <c r="AP2194" s="318"/>
    </row>
    <row r="2195" spans="2:42">
      <c r="B2195" s="296"/>
      <c r="C2195" s="299"/>
      <c r="D2195" s="298"/>
      <c r="E2195" s="299"/>
      <c r="F2195" s="299"/>
      <c r="G2195" s="300"/>
      <c r="H2195" s="303"/>
      <c r="I2195" s="301">
        <f t="shared" si="578"/>
        <v>0</v>
      </c>
      <c r="J2195" s="302">
        <f t="shared" si="579"/>
        <v>0</v>
      </c>
      <c r="K2195" s="304">
        <f t="shared" si="580"/>
        <v>0</v>
      </c>
      <c r="L2195" s="305">
        <f>IF(H2195=0,0,IF(OR(E2195=$AT$5,E2195=$AT$6),AA2195,IF(F2195="MXN",1/HLOOKUP(YEAR(G2195)+(MONTH(G2195)/100),TC!$5:$37,DAY(G2195)+2,FALSE),VLOOKUP(F2195,Equivalencia!$5:$23,((MAX(Equivalencia!$3:$3)-YEAR(G2195))*14)+MONTH(G2195)+2,FALSE))))</f>
        <v>0</v>
      </c>
      <c r="M2195" s="306">
        <f t="shared" si="581"/>
        <v>0</v>
      </c>
      <c r="N2195" s="305">
        <f>IF(G2195=0,0,(IF(OR(E2195=$AT$5,E2195=$AT$6),AC2195,HLOOKUP(YEAR(G2195)+(MONTH(G2195)/100),TC!$5:$37,DAY(G2195)+2,FALSE))))</f>
        <v>0</v>
      </c>
      <c r="O2195" s="307">
        <f t="shared" si="582"/>
        <v>0</v>
      </c>
      <c r="P2195" s="560">
        <f>IF(G2195=0,0,VLOOKUP(YEAR(G2195),INPC!$B$4:$P$30,MONTH(G2195)+2))</f>
        <v>0</v>
      </c>
      <c r="Q2195" s="560">
        <f>IF(X2195=0,0,IF(OR(E2195=$AT$10,E2195=$AT$9),VLOOKUP(YEAR(X2195),INPC!$B$4:$P$30,MONTH(X2195)+1),VLOOKUP(YEAR(X2195),INPC!$B$4:$P$30,MONTH(X2195)+2,0)))</f>
        <v>0</v>
      </c>
      <c r="R2195" s="309">
        <f t="shared" si="583"/>
        <v>0</v>
      </c>
      <c r="S2195" s="310">
        <f t="shared" si="584"/>
        <v>0</v>
      </c>
      <c r="T2195" s="555">
        <f t="shared" si="585"/>
        <v>0</v>
      </c>
      <c r="U2195" s="311"/>
      <c r="V2195" s="312"/>
      <c r="W2195" s="299"/>
      <c r="X2195" s="300"/>
      <c r="Y2195" s="299"/>
      <c r="Z2195" s="303"/>
      <c r="AA2195" s="305">
        <f>IF(Z2195=0,0,IF(Y2195="MXN",1/HLOOKUP(YEAR(X2195)+(MONTH(X2195)/100),TC!$5:$37,DAY(X2195)+2,FALSE),VLOOKUP(Y2195,Equivalencia!$1:$23,((MAX(Equivalencia!$3:$3)-YEAR(X2195))*14)+MONTH(X2195)+2,FALSE)))</f>
        <v>0</v>
      </c>
      <c r="AB2195" s="306">
        <f t="shared" si="586"/>
        <v>0</v>
      </c>
      <c r="AC2195" s="305">
        <f>+IF(X2195=0,0,HLOOKUP(YEAR(X2195)+(MONTH(X2195)/100),TC!$5:$37,DAY(X2195)+2,FALSE))</f>
        <v>0</v>
      </c>
      <c r="AD2195" s="307">
        <f t="shared" si="587"/>
        <v>0</v>
      </c>
      <c r="AE2195" s="314">
        <f t="shared" si="588"/>
        <v>0</v>
      </c>
      <c r="AF2195" s="315">
        <f t="shared" si="589"/>
        <v>0</v>
      </c>
      <c r="AG2195" s="316">
        <f t="shared" si="590"/>
        <v>0</v>
      </c>
      <c r="AH2195" s="314">
        <v>1</v>
      </c>
      <c r="AI2195" s="314">
        <f t="shared" si="591"/>
        <v>0</v>
      </c>
      <c r="AJ2195" s="314">
        <f t="shared" si="592"/>
        <v>0</v>
      </c>
      <c r="AK2195" s="317"/>
      <c r="AL2195" s="315">
        <f t="shared" si="593"/>
        <v>0</v>
      </c>
      <c r="AN2195" s="554">
        <f t="shared" si="594"/>
        <v>0</v>
      </c>
      <c r="AO2195" s="314"/>
      <c r="AP2195" s="318"/>
    </row>
    <row r="2196" spans="2:42">
      <c r="B2196" s="296"/>
      <c r="C2196" s="299"/>
      <c r="D2196" s="298"/>
      <c r="E2196" s="299"/>
      <c r="F2196" s="299"/>
      <c r="G2196" s="300"/>
      <c r="H2196" s="303"/>
      <c r="I2196" s="301">
        <f t="shared" si="578"/>
        <v>0</v>
      </c>
      <c r="J2196" s="302">
        <f t="shared" si="579"/>
        <v>0</v>
      </c>
      <c r="K2196" s="304">
        <f t="shared" si="580"/>
        <v>0</v>
      </c>
      <c r="L2196" s="305">
        <f>IF(H2196=0,0,IF(OR(E2196=$AT$5,E2196=$AT$6),AA2196,IF(F2196="MXN",1/HLOOKUP(YEAR(G2196)+(MONTH(G2196)/100),TC!$5:$37,DAY(G2196)+2,FALSE),VLOOKUP(F2196,Equivalencia!$5:$23,((MAX(Equivalencia!$3:$3)-YEAR(G2196))*14)+MONTH(G2196)+2,FALSE))))</f>
        <v>0</v>
      </c>
      <c r="M2196" s="306">
        <f t="shared" si="581"/>
        <v>0</v>
      </c>
      <c r="N2196" s="305">
        <f>IF(G2196=0,0,(IF(OR(E2196=$AT$5,E2196=$AT$6),AC2196,HLOOKUP(YEAR(G2196)+(MONTH(G2196)/100),TC!$5:$37,DAY(G2196)+2,FALSE))))</f>
        <v>0</v>
      </c>
      <c r="O2196" s="307">
        <f t="shared" si="582"/>
        <v>0</v>
      </c>
      <c r="P2196" s="560">
        <f>IF(G2196=0,0,VLOOKUP(YEAR(G2196),INPC!$B$4:$P$30,MONTH(G2196)+2))</f>
        <v>0</v>
      </c>
      <c r="Q2196" s="560">
        <f>IF(X2196=0,0,IF(OR(E2196=$AT$10,E2196=$AT$9),VLOOKUP(YEAR(X2196),INPC!$B$4:$P$30,MONTH(X2196)+1),VLOOKUP(YEAR(X2196),INPC!$B$4:$P$30,MONTH(X2196)+2,0)))</f>
        <v>0</v>
      </c>
      <c r="R2196" s="309">
        <f t="shared" si="583"/>
        <v>0</v>
      </c>
      <c r="S2196" s="310">
        <f t="shared" si="584"/>
        <v>0</v>
      </c>
      <c r="T2196" s="555">
        <f t="shared" si="585"/>
        <v>0</v>
      </c>
      <c r="U2196" s="311"/>
      <c r="V2196" s="312"/>
      <c r="W2196" s="299"/>
      <c r="X2196" s="300"/>
      <c r="Y2196" s="299"/>
      <c r="Z2196" s="303"/>
      <c r="AA2196" s="305">
        <f>IF(Z2196=0,0,IF(Y2196="MXN",1/HLOOKUP(YEAR(X2196)+(MONTH(X2196)/100),TC!$5:$37,DAY(X2196)+2,FALSE),VLOOKUP(Y2196,Equivalencia!$1:$23,((MAX(Equivalencia!$3:$3)-YEAR(X2196))*14)+MONTH(X2196)+2,FALSE)))</f>
        <v>0</v>
      </c>
      <c r="AB2196" s="306">
        <f t="shared" si="586"/>
        <v>0</v>
      </c>
      <c r="AC2196" s="305">
        <f>+IF(X2196=0,0,HLOOKUP(YEAR(X2196)+(MONTH(X2196)/100),TC!$5:$37,DAY(X2196)+2,FALSE))</f>
        <v>0</v>
      </c>
      <c r="AD2196" s="307">
        <f t="shared" si="587"/>
        <v>0</v>
      </c>
      <c r="AE2196" s="314">
        <f t="shared" si="588"/>
        <v>0</v>
      </c>
      <c r="AF2196" s="315">
        <f t="shared" si="589"/>
        <v>0</v>
      </c>
      <c r="AG2196" s="316">
        <f t="shared" si="590"/>
        <v>0</v>
      </c>
      <c r="AH2196" s="314">
        <v>1</v>
      </c>
      <c r="AI2196" s="314">
        <f t="shared" si="591"/>
        <v>0</v>
      </c>
      <c r="AJ2196" s="314">
        <f t="shared" si="592"/>
        <v>0</v>
      </c>
      <c r="AK2196" s="317"/>
      <c r="AL2196" s="315">
        <f t="shared" si="593"/>
        <v>0</v>
      </c>
      <c r="AN2196" s="554">
        <f t="shared" si="594"/>
        <v>0</v>
      </c>
      <c r="AO2196" s="314"/>
      <c r="AP2196" s="318"/>
    </row>
    <row r="2197" spans="2:42">
      <c r="B2197" s="296"/>
      <c r="C2197" s="299"/>
      <c r="D2197" s="298"/>
      <c r="E2197" s="299"/>
      <c r="F2197" s="299"/>
      <c r="G2197" s="300"/>
      <c r="H2197" s="303"/>
      <c r="I2197" s="301">
        <f t="shared" si="578"/>
        <v>0</v>
      </c>
      <c r="J2197" s="302">
        <f t="shared" si="579"/>
        <v>0</v>
      </c>
      <c r="K2197" s="304">
        <f t="shared" si="580"/>
        <v>0</v>
      </c>
      <c r="L2197" s="305">
        <f>IF(H2197=0,0,IF(OR(E2197=$AT$5,E2197=$AT$6),AA2197,IF(F2197="MXN",1/HLOOKUP(YEAR(G2197)+(MONTH(G2197)/100),TC!$5:$37,DAY(G2197)+2,FALSE),VLOOKUP(F2197,Equivalencia!$5:$23,((MAX(Equivalencia!$3:$3)-YEAR(G2197))*14)+MONTH(G2197)+2,FALSE))))</f>
        <v>0</v>
      </c>
      <c r="M2197" s="306">
        <f t="shared" si="581"/>
        <v>0</v>
      </c>
      <c r="N2197" s="305">
        <f>IF(G2197=0,0,(IF(OR(E2197=$AT$5,E2197=$AT$6),AC2197,HLOOKUP(YEAR(G2197)+(MONTH(G2197)/100),TC!$5:$37,DAY(G2197)+2,FALSE))))</f>
        <v>0</v>
      </c>
      <c r="O2197" s="307">
        <f t="shared" si="582"/>
        <v>0</v>
      </c>
      <c r="P2197" s="560">
        <f>IF(G2197=0,0,VLOOKUP(YEAR(G2197),INPC!$B$4:$P$30,MONTH(G2197)+2))</f>
        <v>0</v>
      </c>
      <c r="Q2197" s="560">
        <f>IF(X2197=0,0,IF(OR(E2197=$AT$10,E2197=$AT$9),VLOOKUP(YEAR(X2197),INPC!$B$4:$P$30,MONTH(X2197)+1),VLOOKUP(YEAR(X2197),INPC!$B$4:$P$30,MONTH(X2197)+2,0)))</f>
        <v>0</v>
      </c>
      <c r="R2197" s="309">
        <f t="shared" si="583"/>
        <v>0</v>
      </c>
      <c r="S2197" s="310">
        <f t="shared" si="584"/>
        <v>0</v>
      </c>
      <c r="T2197" s="555">
        <f t="shared" si="585"/>
        <v>0</v>
      </c>
      <c r="U2197" s="311"/>
      <c r="V2197" s="312"/>
      <c r="W2197" s="299"/>
      <c r="X2197" s="300"/>
      <c r="Y2197" s="299"/>
      <c r="Z2197" s="303"/>
      <c r="AA2197" s="305">
        <f>IF(Z2197=0,0,IF(Y2197="MXN",1/HLOOKUP(YEAR(X2197)+(MONTH(X2197)/100),TC!$5:$37,DAY(X2197)+2,FALSE),VLOOKUP(Y2197,Equivalencia!$1:$23,((MAX(Equivalencia!$3:$3)-YEAR(X2197))*14)+MONTH(X2197)+2,FALSE)))</f>
        <v>0</v>
      </c>
      <c r="AB2197" s="306">
        <f t="shared" si="586"/>
        <v>0</v>
      </c>
      <c r="AC2197" s="305">
        <f>+IF(X2197=0,0,HLOOKUP(YEAR(X2197)+(MONTH(X2197)/100),TC!$5:$37,DAY(X2197)+2,FALSE))</f>
        <v>0</v>
      </c>
      <c r="AD2197" s="307">
        <f t="shared" si="587"/>
        <v>0</v>
      </c>
      <c r="AE2197" s="314">
        <f t="shared" si="588"/>
        <v>0</v>
      </c>
      <c r="AF2197" s="315">
        <f t="shared" si="589"/>
        <v>0</v>
      </c>
      <c r="AG2197" s="316">
        <f t="shared" si="590"/>
        <v>0</v>
      </c>
      <c r="AH2197" s="314">
        <v>1</v>
      </c>
      <c r="AI2197" s="314">
        <f t="shared" si="591"/>
        <v>0</v>
      </c>
      <c r="AJ2197" s="314">
        <f t="shared" si="592"/>
        <v>0</v>
      </c>
      <c r="AK2197" s="317"/>
      <c r="AL2197" s="315">
        <f t="shared" si="593"/>
        <v>0</v>
      </c>
      <c r="AN2197" s="554">
        <f t="shared" si="594"/>
        <v>0</v>
      </c>
      <c r="AO2197" s="314"/>
      <c r="AP2197" s="318"/>
    </row>
    <row r="2198" spans="2:42">
      <c r="B2198" s="296"/>
      <c r="C2198" s="299"/>
      <c r="D2198" s="298"/>
      <c r="E2198" s="299"/>
      <c r="F2198" s="299"/>
      <c r="G2198" s="300"/>
      <c r="H2198" s="303"/>
      <c r="I2198" s="301">
        <f t="shared" si="578"/>
        <v>0</v>
      </c>
      <c r="J2198" s="302">
        <f t="shared" si="579"/>
        <v>0</v>
      </c>
      <c r="K2198" s="304">
        <f t="shared" si="580"/>
        <v>0</v>
      </c>
      <c r="L2198" s="305">
        <f>IF(H2198=0,0,IF(OR(E2198=$AT$5,E2198=$AT$6),AA2198,IF(F2198="MXN",1/HLOOKUP(YEAR(G2198)+(MONTH(G2198)/100),TC!$5:$37,DAY(G2198)+2,FALSE),VLOOKUP(F2198,Equivalencia!$5:$23,((MAX(Equivalencia!$3:$3)-YEAR(G2198))*14)+MONTH(G2198)+2,FALSE))))</f>
        <v>0</v>
      </c>
      <c r="M2198" s="306">
        <f t="shared" si="581"/>
        <v>0</v>
      </c>
      <c r="N2198" s="305">
        <f>IF(G2198=0,0,(IF(OR(E2198=$AT$5,E2198=$AT$6),AC2198,HLOOKUP(YEAR(G2198)+(MONTH(G2198)/100),TC!$5:$37,DAY(G2198)+2,FALSE))))</f>
        <v>0</v>
      </c>
      <c r="O2198" s="307">
        <f t="shared" si="582"/>
        <v>0</v>
      </c>
      <c r="P2198" s="560">
        <f>IF(G2198=0,0,VLOOKUP(YEAR(G2198),INPC!$B$4:$P$30,MONTH(G2198)+2))</f>
        <v>0</v>
      </c>
      <c r="Q2198" s="560">
        <f>IF(X2198=0,0,IF(OR(E2198=$AT$10,E2198=$AT$9),VLOOKUP(YEAR(X2198),INPC!$B$4:$P$30,MONTH(X2198)+1),VLOOKUP(YEAR(X2198),INPC!$B$4:$P$30,MONTH(X2198)+2,0)))</f>
        <v>0</v>
      </c>
      <c r="R2198" s="309">
        <f t="shared" si="583"/>
        <v>0</v>
      </c>
      <c r="S2198" s="310">
        <f t="shared" si="584"/>
        <v>0</v>
      </c>
      <c r="T2198" s="555">
        <f t="shared" si="585"/>
        <v>0</v>
      </c>
      <c r="U2198" s="311"/>
      <c r="V2198" s="312"/>
      <c r="W2198" s="299"/>
      <c r="X2198" s="300"/>
      <c r="Y2198" s="299"/>
      <c r="Z2198" s="303"/>
      <c r="AA2198" s="305">
        <f>IF(Z2198=0,0,IF(Y2198="MXN",1/HLOOKUP(YEAR(X2198)+(MONTH(X2198)/100),TC!$5:$37,DAY(X2198)+2,FALSE),VLOOKUP(Y2198,Equivalencia!$1:$23,((MAX(Equivalencia!$3:$3)-YEAR(X2198))*14)+MONTH(X2198)+2,FALSE)))</f>
        <v>0</v>
      </c>
      <c r="AB2198" s="306">
        <f t="shared" si="586"/>
        <v>0</v>
      </c>
      <c r="AC2198" s="305">
        <f>+IF(X2198=0,0,HLOOKUP(YEAR(X2198)+(MONTH(X2198)/100),TC!$5:$37,DAY(X2198)+2,FALSE))</f>
        <v>0</v>
      </c>
      <c r="AD2198" s="307">
        <f t="shared" si="587"/>
        <v>0</v>
      </c>
      <c r="AE2198" s="314">
        <f t="shared" si="588"/>
        <v>0</v>
      </c>
      <c r="AF2198" s="315">
        <f t="shared" si="589"/>
        <v>0</v>
      </c>
      <c r="AG2198" s="316">
        <f t="shared" si="590"/>
        <v>0</v>
      </c>
      <c r="AH2198" s="314">
        <v>1</v>
      </c>
      <c r="AI2198" s="314">
        <f t="shared" si="591"/>
        <v>0</v>
      </c>
      <c r="AJ2198" s="314">
        <f t="shared" si="592"/>
        <v>0</v>
      </c>
      <c r="AK2198" s="317"/>
      <c r="AL2198" s="315">
        <f t="shared" si="593"/>
        <v>0</v>
      </c>
      <c r="AN2198" s="554">
        <f t="shared" si="594"/>
        <v>0</v>
      </c>
      <c r="AO2198" s="314"/>
      <c r="AP2198" s="318"/>
    </row>
    <row r="2199" spans="2:42">
      <c r="B2199" s="296"/>
      <c r="C2199" s="299"/>
      <c r="D2199" s="298"/>
      <c r="E2199" s="299"/>
      <c r="F2199" s="299"/>
      <c r="G2199" s="300"/>
      <c r="H2199" s="303"/>
      <c r="I2199" s="301">
        <f t="shared" si="578"/>
        <v>0</v>
      </c>
      <c r="J2199" s="302">
        <f t="shared" si="579"/>
        <v>0</v>
      </c>
      <c r="K2199" s="304">
        <f t="shared" si="580"/>
        <v>0</v>
      </c>
      <c r="L2199" s="305">
        <f>IF(H2199=0,0,IF(OR(E2199=$AT$5,E2199=$AT$6),AA2199,IF(F2199="MXN",1/HLOOKUP(YEAR(G2199)+(MONTH(G2199)/100),TC!$5:$37,DAY(G2199)+2,FALSE),VLOOKUP(F2199,Equivalencia!$5:$23,((MAX(Equivalencia!$3:$3)-YEAR(G2199))*14)+MONTH(G2199)+2,FALSE))))</f>
        <v>0</v>
      </c>
      <c r="M2199" s="306">
        <f t="shared" si="581"/>
        <v>0</v>
      </c>
      <c r="N2199" s="305">
        <f>IF(G2199=0,0,(IF(OR(E2199=$AT$5,E2199=$AT$6),AC2199,HLOOKUP(YEAR(G2199)+(MONTH(G2199)/100),TC!$5:$37,DAY(G2199)+2,FALSE))))</f>
        <v>0</v>
      </c>
      <c r="O2199" s="307">
        <f t="shared" si="582"/>
        <v>0</v>
      </c>
      <c r="P2199" s="560">
        <f>IF(G2199=0,0,VLOOKUP(YEAR(G2199),INPC!$B$4:$P$30,MONTH(G2199)+2))</f>
        <v>0</v>
      </c>
      <c r="Q2199" s="560">
        <f>IF(X2199=0,0,IF(OR(E2199=$AT$10,E2199=$AT$9),VLOOKUP(YEAR(X2199),INPC!$B$4:$P$30,MONTH(X2199)+1),VLOOKUP(YEAR(X2199),INPC!$B$4:$P$30,MONTH(X2199)+2,0)))</f>
        <v>0</v>
      </c>
      <c r="R2199" s="309">
        <f t="shared" si="583"/>
        <v>0</v>
      </c>
      <c r="S2199" s="310">
        <f t="shared" si="584"/>
        <v>0</v>
      </c>
      <c r="T2199" s="555">
        <f t="shared" si="585"/>
        <v>0</v>
      </c>
      <c r="U2199" s="311"/>
      <c r="V2199" s="312"/>
      <c r="W2199" s="299"/>
      <c r="X2199" s="300"/>
      <c r="Y2199" s="299"/>
      <c r="Z2199" s="303"/>
      <c r="AA2199" s="305">
        <f>IF(Z2199=0,0,IF(Y2199="MXN",1/HLOOKUP(YEAR(X2199)+(MONTH(X2199)/100),TC!$5:$37,DAY(X2199)+2,FALSE),VLOOKUP(Y2199,Equivalencia!$1:$23,((MAX(Equivalencia!$3:$3)-YEAR(X2199))*14)+MONTH(X2199)+2,FALSE)))</f>
        <v>0</v>
      </c>
      <c r="AB2199" s="306">
        <f t="shared" si="586"/>
        <v>0</v>
      </c>
      <c r="AC2199" s="305">
        <f>+IF(X2199=0,0,HLOOKUP(YEAR(X2199)+(MONTH(X2199)/100),TC!$5:$37,DAY(X2199)+2,FALSE))</f>
        <v>0</v>
      </c>
      <c r="AD2199" s="307">
        <f t="shared" si="587"/>
        <v>0</v>
      </c>
      <c r="AE2199" s="314">
        <f t="shared" si="588"/>
        <v>0</v>
      </c>
      <c r="AF2199" s="315">
        <f t="shared" si="589"/>
        <v>0</v>
      </c>
      <c r="AG2199" s="316">
        <f t="shared" si="590"/>
        <v>0</v>
      </c>
      <c r="AH2199" s="314">
        <v>1</v>
      </c>
      <c r="AI2199" s="314">
        <f t="shared" si="591"/>
        <v>0</v>
      </c>
      <c r="AJ2199" s="314">
        <f t="shared" si="592"/>
        <v>0</v>
      </c>
      <c r="AK2199" s="317"/>
      <c r="AL2199" s="315">
        <f t="shared" si="593"/>
        <v>0</v>
      </c>
      <c r="AN2199" s="554">
        <f t="shared" si="594"/>
        <v>0</v>
      </c>
      <c r="AO2199" s="314"/>
      <c r="AP2199" s="318"/>
    </row>
    <row r="2200" spans="2:42">
      <c r="B2200" s="296"/>
      <c r="C2200" s="299"/>
      <c r="D2200" s="298"/>
      <c r="E2200" s="299"/>
      <c r="F2200" s="299"/>
      <c r="G2200" s="300"/>
      <c r="H2200" s="303"/>
      <c r="I2200" s="301">
        <f t="shared" si="578"/>
        <v>0</v>
      </c>
      <c r="J2200" s="302">
        <f t="shared" si="579"/>
        <v>0</v>
      </c>
      <c r="K2200" s="304">
        <f t="shared" si="580"/>
        <v>0</v>
      </c>
      <c r="L2200" s="305">
        <f>IF(H2200=0,0,IF(OR(E2200=$AT$5,E2200=$AT$6),AA2200,IF(F2200="MXN",1/HLOOKUP(YEAR(G2200)+(MONTH(G2200)/100),TC!$5:$37,DAY(G2200)+2,FALSE),VLOOKUP(F2200,Equivalencia!$5:$23,((MAX(Equivalencia!$3:$3)-YEAR(G2200))*14)+MONTH(G2200)+2,FALSE))))</f>
        <v>0</v>
      </c>
      <c r="M2200" s="306">
        <f t="shared" si="581"/>
        <v>0</v>
      </c>
      <c r="N2200" s="305">
        <f>IF(G2200=0,0,(IF(OR(E2200=$AT$5,E2200=$AT$6),AC2200,HLOOKUP(YEAR(G2200)+(MONTH(G2200)/100),TC!$5:$37,DAY(G2200)+2,FALSE))))</f>
        <v>0</v>
      </c>
      <c r="O2200" s="307">
        <f t="shared" si="582"/>
        <v>0</v>
      </c>
      <c r="P2200" s="560">
        <f>IF(G2200=0,0,VLOOKUP(YEAR(G2200),INPC!$B$4:$P$30,MONTH(G2200)+2))</f>
        <v>0</v>
      </c>
      <c r="Q2200" s="560">
        <f>IF(X2200=0,0,IF(OR(E2200=$AT$10,E2200=$AT$9),VLOOKUP(YEAR(X2200),INPC!$B$4:$P$30,MONTH(X2200)+1),VLOOKUP(YEAR(X2200),INPC!$B$4:$P$30,MONTH(X2200)+2,0)))</f>
        <v>0</v>
      </c>
      <c r="R2200" s="309">
        <f t="shared" si="583"/>
        <v>0</v>
      </c>
      <c r="S2200" s="310">
        <f t="shared" si="584"/>
        <v>0</v>
      </c>
      <c r="T2200" s="555">
        <f t="shared" si="585"/>
        <v>0</v>
      </c>
      <c r="U2200" s="311"/>
      <c r="V2200" s="312"/>
      <c r="W2200" s="299"/>
      <c r="X2200" s="300"/>
      <c r="Y2200" s="299"/>
      <c r="Z2200" s="303"/>
      <c r="AA2200" s="305">
        <f>IF(Z2200=0,0,IF(Y2200="MXN",1/HLOOKUP(YEAR(X2200)+(MONTH(X2200)/100),TC!$5:$37,DAY(X2200)+2,FALSE),VLOOKUP(Y2200,Equivalencia!$1:$23,((MAX(Equivalencia!$3:$3)-YEAR(X2200))*14)+MONTH(X2200)+2,FALSE)))</f>
        <v>0</v>
      </c>
      <c r="AB2200" s="306">
        <f t="shared" si="586"/>
        <v>0</v>
      </c>
      <c r="AC2200" s="305">
        <f>+IF(X2200=0,0,HLOOKUP(YEAR(X2200)+(MONTH(X2200)/100),TC!$5:$37,DAY(X2200)+2,FALSE))</f>
        <v>0</v>
      </c>
      <c r="AD2200" s="307">
        <f t="shared" si="587"/>
        <v>0</v>
      </c>
      <c r="AE2200" s="314">
        <f t="shared" si="588"/>
        <v>0</v>
      </c>
      <c r="AF2200" s="315">
        <f t="shared" si="589"/>
        <v>0</v>
      </c>
      <c r="AG2200" s="316">
        <f t="shared" si="590"/>
        <v>0</v>
      </c>
      <c r="AH2200" s="314">
        <v>1</v>
      </c>
      <c r="AI2200" s="314">
        <f t="shared" si="591"/>
        <v>0</v>
      </c>
      <c r="AJ2200" s="314">
        <f t="shared" si="592"/>
        <v>0</v>
      </c>
      <c r="AK2200" s="317"/>
      <c r="AL2200" s="315">
        <f t="shared" si="593"/>
        <v>0</v>
      </c>
      <c r="AN2200" s="554">
        <f t="shared" si="594"/>
        <v>0</v>
      </c>
      <c r="AO2200" s="314"/>
      <c r="AP2200" s="318"/>
    </row>
    <row r="2201" spans="2:42">
      <c r="B2201" s="296"/>
      <c r="C2201" s="299"/>
      <c r="D2201" s="298"/>
      <c r="E2201" s="299"/>
      <c r="F2201" s="299"/>
      <c r="G2201" s="300"/>
      <c r="H2201" s="303"/>
      <c r="I2201" s="301">
        <f t="shared" si="578"/>
        <v>0</v>
      </c>
      <c r="J2201" s="302">
        <f t="shared" si="579"/>
        <v>0</v>
      </c>
      <c r="K2201" s="304">
        <f t="shared" si="580"/>
        <v>0</v>
      </c>
      <c r="L2201" s="305">
        <f>IF(H2201=0,0,IF(OR(E2201=$AT$5,E2201=$AT$6),AA2201,IF(F2201="MXN",1/HLOOKUP(YEAR(G2201)+(MONTH(G2201)/100),TC!$5:$37,DAY(G2201)+2,FALSE),VLOOKUP(F2201,Equivalencia!$5:$23,((MAX(Equivalencia!$3:$3)-YEAR(G2201))*14)+MONTH(G2201)+2,FALSE))))</f>
        <v>0</v>
      </c>
      <c r="M2201" s="306">
        <f t="shared" si="581"/>
        <v>0</v>
      </c>
      <c r="N2201" s="305">
        <f>IF(G2201=0,0,(IF(OR(E2201=$AT$5,E2201=$AT$6),AC2201,HLOOKUP(YEAR(G2201)+(MONTH(G2201)/100),TC!$5:$37,DAY(G2201)+2,FALSE))))</f>
        <v>0</v>
      </c>
      <c r="O2201" s="307">
        <f t="shared" si="582"/>
        <v>0</v>
      </c>
      <c r="P2201" s="560">
        <f>IF(G2201=0,0,VLOOKUP(YEAR(G2201),INPC!$B$4:$P$30,MONTH(G2201)+2))</f>
        <v>0</v>
      </c>
      <c r="Q2201" s="560">
        <f>IF(X2201=0,0,IF(OR(E2201=$AT$10,E2201=$AT$9),VLOOKUP(YEAR(X2201),INPC!$B$4:$P$30,MONTH(X2201)+1),VLOOKUP(YEAR(X2201),INPC!$B$4:$P$30,MONTH(X2201)+2,0)))</f>
        <v>0</v>
      </c>
      <c r="R2201" s="309">
        <f t="shared" si="583"/>
        <v>0</v>
      </c>
      <c r="S2201" s="310">
        <f t="shared" si="584"/>
        <v>0</v>
      </c>
      <c r="T2201" s="555">
        <f t="shared" si="585"/>
        <v>0</v>
      </c>
      <c r="U2201" s="311"/>
      <c r="V2201" s="312"/>
      <c r="W2201" s="299"/>
      <c r="X2201" s="300"/>
      <c r="Y2201" s="299"/>
      <c r="Z2201" s="303"/>
      <c r="AA2201" s="305">
        <f>IF(Z2201=0,0,IF(Y2201="MXN",1/HLOOKUP(YEAR(X2201)+(MONTH(X2201)/100),TC!$5:$37,DAY(X2201)+2,FALSE),VLOOKUP(Y2201,Equivalencia!$1:$23,((MAX(Equivalencia!$3:$3)-YEAR(X2201))*14)+MONTH(X2201)+2,FALSE)))</f>
        <v>0</v>
      </c>
      <c r="AB2201" s="306">
        <f t="shared" si="586"/>
        <v>0</v>
      </c>
      <c r="AC2201" s="305">
        <f>+IF(X2201=0,0,HLOOKUP(YEAR(X2201)+(MONTH(X2201)/100),TC!$5:$37,DAY(X2201)+2,FALSE))</f>
        <v>0</v>
      </c>
      <c r="AD2201" s="307">
        <f t="shared" si="587"/>
        <v>0</v>
      </c>
      <c r="AE2201" s="314">
        <f t="shared" si="588"/>
        <v>0</v>
      </c>
      <c r="AF2201" s="315">
        <f t="shared" si="589"/>
        <v>0</v>
      </c>
      <c r="AG2201" s="316">
        <f t="shared" si="590"/>
        <v>0</v>
      </c>
      <c r="AH2201" s="314">
        <v>1</v>
      </c>
      <c r="AI2201" s="314">
        <f t="shared" si="591"/>
        <v>0</v>
      </c>
      <c r="AJ2201" s="314">
        <f t="shared" si="592"/>
        <v>0</v>
      </c>
      <c r="AK2201" s="317"/>
      <c r="AL2201" s="315">
        <f t="shared" si="593"/>
        <v>0</v>
      </c>
      <c r="AN2201" s="554">
        <f t="shared" si="594"/>
        <v>0</v>
      </c>
      <c r="AO2201" s="314"/>
      <c r="AP2201" s="318"/>
    </row>
    <row r="2202" spans="2:42">
      <c r="B2202" s="296"/>
      <c r="C2202" s="299"/>
      <c r="D2202" s="298"/>
      <c r="E2202" s="299"/>
      <c r="F2202" s="299"/>
      <c r="G2202" s="300"/>
      <c r="H2202" s="303"/>
      <c r="I2202" s="301">
        <f t="shared" si="578"/>
        <v>0</v>
      </c>
      <c r="J2202" s="302">
        <f t="shared" si="579"/>
        <v>0</v>
      </c>
      <c r="K2202" s="304">
        <f t="shared" si="580"/>
        <v>0</v>
      </c>
      <c r="L2202" s="305">
        <f>IF(H2202=0,0,IF(OR(E2202=$AT$5,E2202=$AT$6),AA2202,IF(F2202="MXN",1/HLOOKUP(YEAR(G2202)+(MONTH(G2202)/100),TC!$5:$37,DAY(G2202)+2,FALSE),VLOOKUP(F2202,Equivalencia!$5:$23,((MAX(Equivalencia!$3:$3)-YEAR(G2202))*14)+MONTH(G2202)+2,FALSE))))</f>
        <v>0</v>
      </c>
      <c r="M2202" s="306">
        <f t="shared" si="581"/>
        <v>0</v>
      </c>
      <c r="N2202" s="305">
        <f>IF(G2202=0,0,(IF(OR(E2202=$AT$5,E2202=$AT$6),AC2202,HLOOKUP(YEAR(G2202)+(MONTH(G2202)/100),TC!$5:$37,DAY(G2202)+2,FALSE))))</f>
        <v>0</v>
      </c>
      <c r="O2202" s="307">
        <f t="shared" si="582"/>
        <v>0</v>
      </c>
      <c r="P2202" s="560">
        <f>IF(G2202=0,0,VLOOKUP(YEAR(G2202),INPC!$B$4:$P$30,MONTH(G2202)+2))</f>
        <v>0</v>
      </c>
      <c r="Q2202" s="560">
        <f>IF(X2202=0,0,IF(OR(E2202=$AT$10,E2202=$AT$9),VLOOKUP(YEAR(X2202),INPC!$B$4:$P$30,MONTH(X2202)+1),VLOOKUP(YEAR(X2202),INPC!$B$4:$P$30,MONTH(X2202)+2,0)))</f>
        <v>0</v>
      </c>
      <c r="R2202" s="309">
        <f t="shared" si="583"/>
        <v>0</v>
      </c>
      <c r="S2202" s="310">
        <f t="shared" si="584"/>
        <v>0</v>
      </c>
      <c r="T2202" s="555">
        <f t="shared" si="585"/>
        <v>0</v>
      </c>
      <c r="U2202" s="311"/>
      <c r="V2202" s="312"/>
      <c r="W2202" s="299"/>
      <c r="X2202" s="300"/>
      <c r="Y2202" s="299"/>
      <c r="Z2202" s="303"/>
      <c r="AA2202" s="305">
        <f>IF(Z2202=0,0,IF(Y2202="MXN",1/HLOOKUP(YEAR(X2202)+(MONTH(X2202)/100),TC!$5:$37,DAY(X2202)+2,FALSE),VLOOKUP(Y2202,Equivalencia!$1:$23,((MAX(Equivalencia!$3:$3)-YEAR(X2202))*14)+MONTH(X2202)+2,FALSE)))</f>
        <v>0</v>
      </c>
      <c r="AB2202" s="306">
        <f t="shared" si="586"/>
        <v>0</v>
      </c>
      <c r="AC2202" s="305">
        <f>+IF(X2202=0,0,HLOOKUP(YEAR(X2202)+(MONTH(X2202)/100),TC!$5:$37,DAY(X2202)+2,FALSE))</f>
        <v>0</v>
      </c>
      <c r="AD2202" s="307">
        <f t="shared" si="587"/>
        <v>0</v>
      </c>
      <c r="AE2202" s="314">
        <f t="shared" si="588"/>
        <v>0</v>
      </c>
      <c r="AF2202" s="315">
        <f t="shared" si="589"/>
        <v>0</v>
      </c>
      <c r="AG2202" s="316">
        <f t="shared" si="590"/>
        <v>0</v>
      </c>
      <c r="AH2202" s="314">
        <v>1</v>
      </c>
      <c r="AI2202" s="314">
        <f t="shared" si="591"/>
        <v>0</v>
      </c>
      <c r="AJ2202" s="314">
        <f t="shared" si="592"/>
        <v>0</v>
      </c>
      <c r="AK2202" s="317"/>
      <c r="AL2202" s="315">
        <f t="shared" si="593"/>
        <v>0</v>
      </c>
      <c r="AN2202" s="554">
        <f t="shared" si="594"/>
        <v>0</v>
      </c>
      <c r="AO2202" s="314"/>
      <c r="AP2202" s="318"/>
    </row>
    <row r="2203" spans="2:42">
      <c r="B2203" s="296"/>
      <c r="C2203" s="299"/>
      <c r="D2203" s="298"/>
      <c r="E2203" s="299"/>
      <c r="F2203" s="299"/>
      <c r="G2203" s="300"/>
      <c r="H2203" s="303"/>
      <c r="I2203" s="301">
        <f t="shared" si="578"/>
        <v>0</v>
      </c>
      <c r="J2203" s="302">
        <f t="shared" si="579"/>
        <v>0</v>
      </c>
      <c r="K2203" s="304">
        <f t="shared" si="580"/>
        <v>0</v>
      </c>
      <c r="L2203" s="305">
        <f>IF(H2203=0,0,IF(OR(E2203=$AT$5,E2203=$AT$6),AA2203,IF(F2203="MXN",1/HLOOKUP(YEAR(G2203)+(MONTH(G2203)/100),TC!$5:$37,DAY(G2203)+2,FALSE),VLOOKUP(F2203,Equivalencia!$5:$23,((MAX(Equivalencia!$3:$3)-YEAR(G2203))*14)+MONTH(G2203)+2,FALSE))))</f>
        <v>0</v>
      </c>
      <c r="M2203" s="306">
        <f t="shared" si="581"/>
        <v>0</v>
      </c>
      <c r="N2203" s="305">
        <f>IF(G2203=0,0,(IF(OR(E2203=$AT$5,E2203=$AT$6),AC2203,HLOOKUP(YEAR(G2203)+(MONTH(G2203)/100),TC!$5:$37,DAY(G2203)+2,FALSE))))</f>
        <v>0</v>
      </c>
      <c r="O2203" s="307">
        <f t="shared" si="582"/>
        <v>0</v>
      </c>
      <c r="P2203" s="560">
        <f>IF(G2203=0,0,VLOOKUP(YEAR(G2203),INPC!$B$4:$P$30,MONTH(G2203)+2))</f>
        <v>0</v>
      </c>
      <c r="Q2203" s="560">
        <f>IF(X2203=0,0,IF(OR(E2203=$AT$10,E2203=$AT$9),VLOOKUP(YEAR(X2203),INPC!$B$4:$P$30,MONTH(X2203)+1),VLOOKUP(YEAR(X2203),INPC!$B$4:$P$30,MONTH(X2203)+2,0)))</f>
        <v>0</v>
      </c>
      <c r="R2203" s="309">
        <f t="shared" si="583"/>
        <v>0</v>
      </c>
      <c r="S2203" s="310">
        <f t="shared" si="584"/>
        <v>0</v>
      </c>
      <c r="T2203" s="555">
        <f t="shared" si="585"/>
        <v>0</v>
      </c>
      <c r="U2203" s="311"/>
      <c r="V2203" s="312"/>
      <c r="W2203" s="299"/>
      <c r="X2203" s="300"/>
      <c r="Y2203" s="299"/>
      <c r="Z2203" s="303"/>
      <c r="AA2203" s="305">
        <f>IF(Z2203=0,0,IF(Y2203="MXN",1/HLOOKUP(YEAR(X2203)+(MONTH(X2203)/100),TC!$5:$37,DAY(X2203)+2,FALSE),VLOOKUP(Y2203,Equivalencia!$1:$23,((MAX(Equivalencia!$3:$3)-YEAR(X2203))*14)+MONTH(X2203)+2,FALSE)))</f>
        <v>0</v>
      </c>
      <c r="AB2203" s="306">
        <f t="shared" si="586"/>
        <v>0</v>
      </c>
      <c r="AC2203" s="305">
        <f>+IF(X2203=0,0,HLOOKUP(YEAR(X2203)+(MONTH(X2203)/100),TC!$5:$37,DAY(X2203)+2,FALSE))</f>
        <v>0</v>
      </c>
      <c r="AD2203" s="307">
        <f t="shared" si="587"/>
        <v>0</v>
      </c>
      <c r="AE2203" s="314">
        <f t="shared" si="588"/>
        <v>0</v>
      </c>
      <c r="AF2203" s="315">
        <f t="shared" si="589"/>
        <v>0</v>
      </c>
      <c r="AG2203" s="316">
        <f t="shared" si="590"/>
        <v>0</v>
      </c>
      <c r="AH2203" s="314">
        <v>1</v>
      </c>
      <c r="AI2203" s="314">
        <f t="shared" si="591"/>
        <v>0</v>
      </c>
      <c r="AJ2203" s="314">
        <f t="shared" si="592"/>
        <v>0</v>
      </c>
      <c r="AK2203" s="317"/>
      <c r="AL2203" s="315">
        <f t="shared" si="593"/>
        <v>0</v>
      </c>
      <c r="AN2203" s="554">
        <f t="shared" si="594"/>
        <v>0</v>
      </c>
      <c r="AO2203" s="314"/>
      <c r="AP2203" s="318"/>
    </row>
    <row r="2204" spans="2:42">
      <c r="B2204" s="296"/>
      <c r="C2204" s="299"/>
      <c r="D2204" s="298"/>
      <c r="E2204" s="299"/>
      <c r="F2204" s="299"/>
      <c r="G2204" s="300"/>
      <c r="H2204" s="303"/>
      <c r="I2204" s="301">
        <f t="shared" si="578"/>
        <v>0</v>
      </c>
      <c r="J2204" s="302">
        <f t="shared" si="579"/>
        <v>0</v>
      </c>
      <c r="K2204" s="304">
        <f t="shared" si="580"/>
        <v>0</v>
      </c>
      <c r="L2204" s="305">
        <f>IF(H2204=0,0,IF(OR(E2204=$AT$5,E2204=$AT$6),AA2204,IF(F2204="MXN",1/HLOOKUP(YEAR(G2204)+(MONTH(G2204)/100),TC!$5:$37,DAY(G2204)+2,FALSE),VLOOKUP(F2204,Equivalencia!$5:$23,((MAX(Equivalencia!$3:$3)-YEAR(G2204))*14)+MONTH(G2204)+2,FALSE))))</f>
        <v>0</v>
      </c>
      <c r="M2204" s="306">
        <f t="shared" si="581"/>
        <v>0</v>
      </c>
      <c r="N2204" s="305">
        <f>IF(G2204=0,0,(IF(OR(E2204=$AT$5,E2204=$AT$6),AC2204,HLOOKUP(YEAR(G2204)+(MONTH(G2204)/100),TC!$5:$37,DAY(G2204)+2,FALSE))))</f>
        <v>0</v>
      </c>
      <c r="O2204" s="307">
        <f t="shared" si="582"/>
        <v>0</v>
      </c>
      <c r="P2204" s="560">
        <f>IF(G2204=0,0,VLOOKUP(YEAR(G2204),INPC!$B$4:$P$30,MONTH(G2204)+2))</f>
        <v>0</v>
      </c>
      <c r="Q2204" s="560">
        <f>IF(X2204=0,0,IF(OR(E2204=$AT$10,E2204=$AT$9),VLOOKUP(YEAR(X2204),INPC!$B$4:$P$30,MONTH(X2204)+1),VLOOKUP(YEAR(X2204),INPC!$B$4:$P$30,MONTH(X2204)+2,0)))</f>
        <v>0</v>
      </c>
      <c r="R2204" s="309">
        <f t="shared" si="583"/>
        <v>0</v>
      </c>
      <c r="S2204" s="310">
        <f t="shared" si="584"/>
        <v>0</v>
      </c>
      <c r="T2204" s="555">
        <f t="shared" si="585"/>
        <v>0</v>
      </c>
      <c r="U2204" s="311"/>
      <c r="V2204" s="312"/>
      <c r="W2204" s="299"/>
      <c r="X2204" s="300"/>
      <c r="Y2204" s="299"/>
      <c r="Z2204" s="303"/>
      <c r="AA2204" s="305">
        <f>IF(Z2204=0,0,IF(Y2204="MXN",1/HLOOKUP(YEAR(X2204)+(MONTH(X2204)/100),TC!$5:$37,DAY(X2204)+2,FALSE),VLOOKUP(Y2204,Equivalencia!$1:$23,((MAX(Equivalencia!$3:$3)-YEAR(X2204))*14)+MONTH(X2204)+2,FALSE)))</f>
        <v>0</v>
      </c>
      <c r="AB2204" s="306">
        <f t="shared" si="586"/>
        <v>0</v>
      </c>
      <c r="AC2204" s="305">
        <f>+IF(X2204=0,0,HLOOKUP(YEAR(X2204)+(MONTH(X2204)/100),TC!$5:$37,DAY(X2204)+2,FALSE))</f>
        <v>0</v>
      </c>
      <c r="AD2204" s="307">
        <f t="shared" si="587"/>
        <v>0</v>
      </c>
      <c r="AE2204" s="314">
        <f t="shared" si="588"/>
        <v>0</v>
      </c>
      <c r="AF2204" s="315">
        <f t="shared" si="589"/>
        <v>0</v>
      </c>
      <c r="AG2204" s="316">
        <f t="shared" si="590"/>
        <v>0</v>
      </c>
      <c r="AH2204" s="314">
        <v>1</v>
      </c>
      <c r="AI2204" s="314">
        <f t="shared" si="591"/>
        <v>0</v>
      </c>
      <c r="AJ2204" s="314">
        <f t="shared" si="592"/>
        <v>0</v>
      </c>
      <c r="AK2204" s="317"/>
      <c r="AL2204" s="315">
        <f t="shared" si="593"/>
        <v>0</v>
      </c>
      <c r="AN2204" s="554">
        <f t="shared" si="594"/>
        <v>0</v>
      </c>
      <c r="AO2204" s="314"/>
      <c r="AP2204" s="318"/>
    </row>
    <row r="2205" spans="2:42">
      <c r="B2205" s="296"/>
      <c r="C2205" s="299"/>
      <c r="D2205" s="298"/>
      <c r="E2205" s="299"/>
      <c r="F2205" s="299"/>
      <c r="G2205" s="300"/>
      <c r="H2205" s="303"/>
      <c r="I2205" s="301">
        <f t="shared" si="578"/>
        <v>0</v>
      </c>
      <c r="J2205" s="302">
        <f t="shared" si="579"/>
        <v>0</v>
      </c>
      <c r="K2205" s="304">
        <f t="shared" si="580"/>
        <v>0</v>
      </c>
      <c r="L2205" s="305">
        <f>IF(H2205=0,0,IF(OR(E2205=$AT$5,E2205=$AT$6),AA2205,IF(F2205="MXN",1/HLOOKUP(YEAR(G2205)+(MONTH(G2205)/100),TC!$5:$37,DAY(G2205)+2,FALSE),VLOOKUP(F2205,Equivalencia!$5:$23,((MAX(Equivalencia!$3:$3)-YEAR(G2205))*14)+MONTH(G2205)+2,FALSE))))</f>
        <v>0</v>
      </c>
      <c r="M2205" s="306">
        <f t="shared" si="581"/>
        <v>0</v>
      </c>
      <c r="N2205" s="305">
        <f>IF(G2205=0,0,(IF(OR(E2205=$AT$5,E2205=$AT$6),AC2205,HLOOKUP(YEAR(G2205)+(MONTH(G2205)/100),TC!$5:$37,DAY(G2205)+2,FALSE))))</f>
        <v>0</v>
      </c>
      <c r="O2205" s="307">
        <f t="shared" si="582"/>
        <v>0</v>
      </c>
      <c r="P2205" s="560">
        <f>IF(G2205=0,0,VLOOKUP(YEAR(G2205),INPC!$B$4:$P$30,MONTH(G2205)+2))</f>
        <v>0</v>
      </c>
      <c r="Q2205" s="560">
        <f>IF(X2205=0,0,IF(OR(E2205=$AT$10,E2205=$AT$9),VLOOKUP(YEAR(X2205),INPC!$B$4:$P$30,MONTH(X2205)+1),VLOOKUP(YEAR(X2205),INPC!$B$4:$P$30,MONTH(X2205)+2,0)))</f>
        <v>0</v>
      </c>
      <c r="R2205" s="309">
        <f t="shared" si="583"/>
        <v>0</v>
      </c>
      <c r="S2205" s="310">
        <f t="shared" si="584"/>
        <v>0</v>
      </c>
      <c r="T2205" s="555">
        <f t="shared" si="585"/>
        <v>0</v>
      </c>
      <c r="U2205" s="311"/>
      <c r="V2205" s="312"/>
      <c r="W2205" s="299"/>
      <c r="X2205" s="300"/>
      <c r="Y2205" s="299"/>
      <c r="Z2205" s="303"/>
      <c r="AA2205" s="305">
        <f>IF(Z2205=0,0,IF(Y2205="MXN",1/HLOOKUP(YEAR(X2205)+(MONTH(X2205)/100),TC!$5:$37,DAY(X2205)+2,FALSE),VLOOKUP(Y2205,Equivalencia!$1:$23,((MAX(Equivalencia!$3:$3)-YEAR(X2205))*14)+MONTH(X2205)+2,FALSE)))</f>
        <v>0</v>
      </c>
      <c r="AB2205" s="306">
        <f t="shared" si="586"/>
        <v>0</v>
      </c>
      <c r="AC2205" s="305">
        <f>+IF(X2205=0,0,HLOOKUP(YEAR(X2205)+(MONTH(X2205)/100),TC!$5:$37,DAY(X2205)+2,FALSE))</f>
        <v>0</v>
      </c>
      <c r="AD2205" s="307">
        <f t="shared" si="587"/>
        <v>0</v>
      </c>
      <c r="AE2205" s="314">
        <f t="shared" si="588"/>
        <v>0</v>
      </c>
      <c r="AF2205" s="315">
        <f t="shared" si="589"/>
        <v>0</v>
      </c>
      <c r="AG2205" s="316">
        <f t="shared" si="590"/>
        <v>0</v>
      </c>
      <c r="AH2205" s="314">
        <v>1</v>
      </c>
      <c r="AI2205" s="314">
        <f t="shared" si="591"/>
        <v>0</v>
      </c>
      <c r="AJ2205" s="314">
        <f t="shared" si="592"/>
        <v>0</v>
      </c>
      <c r="AK2205" s="317"/>
      <c r="AL2205" s="315">
        <f t="shared" si="593"/>
        <v>0</v>
      </c>
      <c r="AN2205" s="554">
        <f t="shared" si="594"/>
        <v>0</v>
      </c>
      <c r="AO2205" s="314"/>
      <c r="AP2205" s="318"/>
    </row>
    <row r="2206" spans="2:42">
      <c r="B2206" s="296"/>
      <c r="C2206" s="299"/>
      <c r="D2206" s="298"/>
      <c r="E2206" s="299"/>
      <c r="F2206" s="299"/>
      <c r="G2206" s="300"/>
      <c r="H2206" s="303"/>
      <c r="I2206" s="301">
        <f t="shared" si="578"/>
        <v>0</v>
      </c>
      <c r="J2206" s="302">
        <f t="shared" si="579"/>
        <v>0</v>
      </c>
      <c r="K2206" s="304">
        <f t="shared" si="580"/>
        <v>0</v>
      </c>
      <c r="L2206" s="305">
        <f>IF(H2206=0,0,IF(OR(E2206=$AT$5,E2206=$AT$6),AA2206,IF(F2206="MXN",1/HLOOKUP(YEAR(G2206)+(MONTH(G2206)/100),TC!$5:$37,DAY(G2206)+2,FALSE),VLOOKUP(F2206,Equivalencia!$5:$23,((MAX(Equivalencia!$3:$3)-YEAR(G2206))*14)+MONTH(G2206)+2,FALSE))))</f>
        <v>0</v>
      </c>
      <c r="M2206" s="306">
        <f t="shared" si="581"/>
        <v>0</v>
      </c>
      <c r="N2206" s="305">
        <f>IF(G2206=0,0,(IF(OR(E2206=$AT$5,E2206=$AT$6),AC2206,HLOOKUP(YEAR(G2206)+(MONTH(G2206)/100),TC!$5:$37,DAY(G2206)+2,FALSE))))</f>
        <v>0</v>
      </c>
      <c r="O2206" s="307">
        <f t="shared" si="582"/>
        <v>0</v>
      </c>
      <c r="P2206" s="560">
        <f>IF(G2206=0,0,VLOOKUP(YEAR(G2206),INPC!$B$4:$P$30,MONTH(G2206)+2))</f>
        <v>0</v>
      </c>
      <c r="Q2206" s="560">
        <f>IF(X2206=0,0,IF(OR(E2206=$AT$10,E2206=$AT$9),VLOOKUP(YEAR(X2206),INPC!$B$4:$P$30,MONTH(X2206)+1),VLOOKUP(YEAR(X2206),INPC!$B$4:$P$30,MONTH(X2206)+2,0)))</f>
        <v>0</v>
      </c>
      <c r="R2206" s="309">
        <f t="shared" si="583"/>
        <v>0</v>
      </c>
      <c r="S2206" s="310">
        <f t="shared" si="584"/>
        <v>0</v>
      </c>
      <c r="T2206" s="555">
        <f t="shared" si="585"/>
        <v>0</v>
      </c>
      <c r="U2206" s="311"/>
      <c r="V2206" s="312"/>
      <c r="W2206" s="299"/>
      <c r="X2206" s="300"/>
      <c r="Y2206" s="299"/>
      <c r="Z2206" s="303"/>
      <c r="AA2206" s="305">
        <f>IF(Z2206=0,0,IF(Y2206="MXN",1/HLOOKUP(YEAR(X2206)+(MONTH(X2206)/100),TC!$5:$37,DAY(X2206)+2,FALSE),VLOOKUP(Y2206,Equivalencia!$1:$23,((MAX(Equivalencia!$3:$3)-YEAR(X2206))*14)+MONTH(X2206)+2,FALSE)))</f>
        <v>0</v>
      </c>
      <c r="AB2206" s="306">
        <f t="shared" si="586"/>
        <v>0</v>
      </c>
      <c r="AC2206" s="305">
        <f>+IF(X2206=0,0,HLOOKUP(YEAR(X2206)+(MONTH(X2206)/100),TC!$5:$37,DAY(X2206)+2,FALSE))</f>
        <v>0</v>
      </c>
      <c r="AD2206" s="307">
        <f t="shared" si="587"/>
        <v>0</v>
      </c>
      <c r="AE2206" s="314">
        <f t="shared" si="588"/>
        <v>0</v>
      </c>
      <c r="AF2206" s="315">
        <f t="shared" si="589"/>
        <v>0</v>
      </c>
      <c r="AG2206" s="316">
        <f t="shared" si="590"/>
        <v>0</v>
      </c>
      <c r="AH2206" s="314">
        <v>1</v>
      </c>
      <c r="AI2206" s="314">
        <f t="shared" si="591"/>
        <v>0</v>
      </c>
      <c r="AJ2206" s="314">
        <f t="shared" si="592"/>
        <v>0</v>
      </c>
      <c r="AK2206" s="317"/>
      <c r="AL2206" s="315">
        <f t="shared" si="593"/>
        <v>0</v>
      </c>
      <c r="AN2206" s="554">
        <f t="shared" si="594"/>
        <v>0</v>
      </c>
      <c r="AO2206" s="314"/>
      <c r="AP2206" s="318"/>
    </row>
    <row r="2207" spans="2:42">
      <c r="B2207" s="296"/>
      <c r="C2207" s="299"/>
      <c r="D2207" s="298"/>
      <c r="E2207" s="299"/>
      <c r="F2207" s="299"/>
      <c r="G2207" s="300"/>
      <c r="H2207" s="303"/>
      <c r="I2207" s="301">
        <f t="shared" si="578"/>
        <v>0</v>
      </c>
      <c r="J2207" s="302">
        <f t="shared" si="579"/>
        <v>0</v>
      </c>
      <c r="K2207" s="304">
        <f t="shared" si="580"/>
        <v>0</v>
      </c>
      <c r="L2207" s="305">
        <f>IF(H2207=0,0,IF(OR(E2207=$AT$5,E2207=$AT$6),AA2207,IF(F2207="MXN",1/HLOOKUP(YEAR(G2207)+(MONTH(G2207)/100),TC!$5:$37,DAY(G2207)+2,FALSE),VLOOKUP(F2207,Equivalencia!$5:$23,((MAX(Equivalencia!$3:$3)-YEAR(G2207))*14)+MONTH(G2207)+2,FALSE))))</f>
        <v>0</v>
      </c>
      <c r="M2207" s="306">
        <f t="shared" si="581"/>
        <v>0</v>
      </c>
      <c r="N2207" s="305">
        <f>IF(G2207=0,0,(IF(OR(E2207=$AT$5,E2207=$AT$6),AC2207,HLOOKUP(YEAR(G2207)+(MONTH(G2207)/100),TC!$5:$37,DAY(G2207)+2,FALSE))))</f>
        <v>0</v>
      </c>
      <c r="O2207" s="307">
        <f t="shared" si="582"/>
        <v>0</v>
      </c>
      <c r="P2207" s="560">
        <f>IF(G2207=0,0,VLOOKUP(YEAR(G2207),INPC!$B$4:$P$30,MONTH(G2207)+2))</f>
        <v>0</v>
      </c>
      <c r="Q2207" s="560">
        <f>IF(X2207=0,0,IF(OR(E2207=$AT$10,E2207=$AT$9),VLOOKUP(YEAR(X2207),INPC!$B$4:$P$30,MONTH(X2207)+1),VLOOKUP(YEAR(X2207),INPC!$B$4:$P$30,MONTH(X2207)+2,0)))</f>
        <v>0</v>
      </c>
      <c r="R2207" s="309">
        <f t="shared" si="583"/>
        <v>0</v>
      </c>
      <c r="S2207" s="310">
        <f t="shared" si="584"/>
        <v>0</v>
      </c>
      <c r="T2207" s="555">
        <f t="shared" si="585"/>
        <v>0</v>
      </c>
      <c r="U2207" s="311"/>
      <c r="V2207" s="312"/>
      <c r="W2207" s="299"/>
      <c r="X2207" s="300"/>
      <c r="Y2207" s="299"/>
      <c r="Z2207" s="303"/>
      <c r="AA2207" s="305">
        <f>IF(Z2207=0,0,IF(Y2207="MXN",1/HLOOKUP(YEAR(X2207)+(MONTH(X2207)/100),TC!$5:$37,DAY(X2207)+2,FALSE),VLOOKUP(Y2207,Equivalencia!$1:$23,((MAX(Equivalencia!$3:$3)-YEAR(X2207))*14)+MONTH(X2207)+2,FALSE)))</f>
        <v>0</v>
      </c>
      <c r="AB2207" s="306">
        <f t="shared" si="586"/>
        <v>0</v>
      </c>
      <c r="AC2207" s="305">
        <f>+IF(X2207=0,0,HLOOKUP(YEAR(X2207)+(MONTH(X2207)/100),TC!$5:$37,DAY(X2207)+2,FALSE))</f>
        <v>0</v>
      </c>
      <c r="AD2207" s="307">
        <f t="shared" si="587"/>
        <v>0</v>
      </c>
      <c r="AE2207" s="314">
        <f t="shared" si="588"/>
        <v>0</v>
      </c>
      <c r="AF2207" s="315">
        <f t="shared" si="589"/>
        <v>0</v>
      </c>
      <c r="AG2207" s="316">
        <f t="shared" si="590"/>
        <v>0</v>
      </c>
      <c r="AH2207" s="314">
        <v>1</v>
      </c>
      <c r="AI2207" s="314">
        <f t="shared" si="591"/>
        <v>0</v>
      </c>
      <c r="AJ2207" s="314">
        <f t="shared" si="592"/>
        <v>0</v>
      </c>
      <c r="AK2207" s="317"/>
      <c r="AL2207" s="315">
        <f t="shared" si="593"/>
        <v>0</v>
      </c>
      <c r="AN2207" s="554">
        <f t="shared" si="594"/>
        <v>0</v>
      </c>
      <c r="AO2207" s="314"/>
      <c r="AP2207" s="318"/>
    </row>
    <row r="2208" spans="2:42">
      <c r="B2208" s="296"/>
      <c r="C2208" s="299"/>
      <c r="D2208" s="298"/>
      <c r="E2208" s="299"/>
      <c r="F2208" s="299"/>
      <c r="G2208" s="300"/>
      <c r="H2208" s="303"/>
      <c r="I2208" s="301">
        <f t="shared" si="578"/>
        <v>0</v>
      </c>
      <c r="J2208" s="302">
        <f t="shared" si="579"/>
        <v>0</v>
      </c>
      <c r="K2208" s="304">
        <f t="shared" si="580"/>
        <v>0</v>
      </c>
      <c r="L2208" s="305">
        <f>IF(H2208=0,0,IF(OR(E2208=$AT$5,E2208=$AT$6),AA2208,IF(F2208="MXN",1/HLOOKUP(YEAR(G2208)+(MONTH(G2208)/100),TC!$5:$37,DAY(G2208)+2,FALSE),VLOOKUP(F2208,Equivalencia!$5:$23,((MAX(Equivalencia!$3:$3)-YEAR(G2208))*14)+MONTH(G2208)+2,FALSE))))</f>
        <v>0</v>
      </c>
      <c r="M2208" s="306">
        <f t="shared" si="581"/>
        <v>0</v>
      </c>
      <c r="N2208" s="305">
        <f>IF(G2208=0,0,(IF(OR(E2208=$AT$5,E2208=$AT$6),AC2208,HLOOKUP(YEAR(G2208)+(MONTH(G2208)/100),TC!$5:$37,DAY(G2208)+2,FALSE))))</f>
        <v>0</v>
      </c>
      <c r="O2208" s="307">
        <f t="shared" si="582"/>
        <v>0</v>
      </c>
      <c r="P2208" s="560">
        <f>IF(G2208=0,0,VLOOKUP(YEAR(G2208),INPC!$B$4:$P$30,MONTH(G2208)+2))</f>
        <v>0</v>
      </c>
      <c r="Q2208" s="560">
        <f>IF(X2208=0,0,IF(OR(E2208=$AT$10,E2208=$AT$9),VLOOKUP(YEAR(X2208),INPC!$B$4:$P$30,MONTH(X2208)+1),VLOOKUP(YEAR(X2208),INPC!$B$4:$P$30,MONTH(X2208)+2,0)))</f>
        <v>0</v>
      </c>
      <c r="R2208" s="309">
        <f t="shared" si="583"/>
        <v>0</v>
      </c>
      <c r="S2208" s="310">
        <f t="shared" si="584"/>
        <v>0</v>
      </c>
      <c r="T2208" s="555">
        <f t="shared" si="585"/>
        <v>0</v>
      </c>
      <c r="U2208" s="311"/>
      <c r="V2208" s="312"/>
      <c r="W2208" s="299"/>
      <c r="X2208" s="300"/>
      <c r="Y2208" s="299"/>
      <c r="Z2208" s="303"/>
      <c r="AA2208" s="305">
        <f>IF(Z2208=0,0,IF(Y2208="MXN",1/HLOOKUP(YEAR(X2208)+(MONTH(X2208)/100),TC!$5:$37,DAY(X2208)+2,FALSE),VLOOKUP(Y2208,Equivalencia!$1:$23,((MAX(Equivalencia!$3:$3)-YEAR(X2208))*14)+MONTH(X2208)+2,FALSE)))</f>
        <v>0</v>
      </c>
      <c r="AB2208" s="306">
        <f t="shared" si="586"/>
        <v>0</v>
      </c>
      <c r="AC2208" s="305">
        <f>+IF(X2208=0,0,HLOOKUP(YEAR(X2208)+(MONTH(X2208)/100),TC!$5:$37,DAY(X2208)+2,FALSE))</f>
        <v>0</v>
      </c>
      <c r="AD2208" s="307">
        <f t="shared" si="587"/>
        <v>0</v>
      </c>
      <c r="AE2208" s="314">
        <f t="shared" si="588"/>
        <v>0</v>
      </c>
      <c r="AF2208" s="315">
        <f t="shared" si="589"/>
        <v>0</v>
      </c>
      <c r="AG2208" s="316">
        <f t="shared" si="590"/>
        <v>0</v>
      </c>
      <c r="AH2208" s="314">
        <v>1</v>
      </c>
      <c r="AI2208" s="314">
        <f t="shared" si="591"/>
        <v>0</v>
      </c>
      <c r="AJ2208" s="314">
        <f t="shared" si="592"/>
        <v>0</v>
      </c>
      <c r="AK2208" s="317"/>
      <c r="AL2208" s="315">
        <f t="shared" si="593"/>
        <v>0</v>
      </c>
      <c r="AN2208" s="554">
        <f t="shared" si="594"/>
        <v>0</v>
      </c>
      <c r="AO2208" s="314"/>
      <c r="AP2208" s="318"/>
    </row>
    <row r="2209" spans="2:42">
      <c r="B2209" s="296"/>
      <c r="C2209" s="299"/>
      <c r="D2209" s="298"/>
      <c r="E2209" s="299"/>
      <c r="F2209" s="299"/>
      <c r="G2209" s="300"/>
      <c r="H2209" s="303"/>
      <c r="I2209" s="301">
        <f t="shared" si="578"/>
        <v>0</v>
      </c>
      <c r="J2209" s="302">
        <f t="shared" si="579"/>
        <v>0</v>
      </c>
      <c r="K2209" s="304">
        <f t="shared" si="580"/>
        <v>0</v>
      </c>
      <c r="L2209" s="305">
        <f>IF(H2209=0,0,IF(OR(E2209=$AT$5,E2209=$AT$6),AA2209,IF(F2209="MXN",1/HLOOKUP(YEAR(G2209)+(MONTH(G2209)/100),TC!$5:$37,DAY(G2209)+2,FALSE),VLOOKUP(F2209,Equivalencia!$5:$23,((MAX(Equivalencia!$3:$3)-YEAR(G2209))*14)+MONTH(G2209)+2,FALSE))))</f>
        <v>0</v>
      </c>
      <c r="M2209" s="306">
        <f t="shared" si="581"/>
        <v>0</v>
      </c>
      <c r="N2209" s="305">
        <f>IF(G2209=0,0,(IF(OR(E2209=$AT$5,E2209=$AT$6),AC2209,HLOOKUP(YEAR(G2209)+(MONTH(G2209)/100),TC!$5:$37,DAY(G2209)+2,FALSE))))</f>
        <v>0</v>
      </c>
      <c r="O2209" s="307">
        <f t="shared" si="582"/>
        <v>0</v>
      </c>
      <c r="P2209" s="560">
        <f>IF(G2209=0,0,VLOOKUP(YEAR(G2209),INPC!$B$4:$P$30,MONTH(G2209)+2))</f>
        <v>0</v>
      </c>
      <c r="Q2209" s="560">
        <f>IF(X2209=0,0,IF(OR(E2209=$AT$10,E2209=$AT$9),VLOOKUP(YEAR(X2209),INPC!$B$4:$P$30,MONTH(X2209)+1),VLOOKUP(YEAR(X2209),INPC!$B$4:$P$30,MONTH(X2209)+2,0)))</f>
        <v>0</v>
      </c>
      <c r="R2209" s="309">
        <f t="shared" si="583"/>
        <v>0</v>
      </c>
      <c r="S2209" s="310">
        <f t="shared" si="584"/>
        <v>0</v>
      </c>
      <c r="T2209" s="555">
        <f t="shared" si="585"/>
        <v>0</v>
      </c>
      <c r="U2209" s="311"/>
      <c r="V2209" s="312"/>
      <c r="W2209" s="299"/>
      <c r="X2209" s="300"/>
      <c r="Y2209" s="299"/>
      <c r="Z2209" s="303"/>
      <c r="AA2209" s="305">
        <f>IF(Z2209=0,0,IF(Y2209="MXN",1/HLOOKUP(YEAR(X2209)+(MONTH(X2209)/100),TC!$5:$37,DAY(X2209)+2,FALSE),VLOOKUP(Y2209,Equivalencia!$1:$23,((MAX(Equivalencia!$3:$3)-YEAR(X2209))*14)+MONTH(X2209)+2,FALSE)))</f>
        <v>0</v>
      </c>
      <c r="AB2209" s="306">
        <f t="shared" si="586"/>
        <v>0</v>
      </c>
      <c r="AC2209" s="305">
        <f>+IF(X2209=0,0,HLOOKUP(YEAR(X2209)+(MONTH(X2209)/100),TC!$5:$37,DAY(X2209)+2,FALSE))</f>
        <v>0</v>
      </c>
      <c r="AD2209" s="307">
        <f t="shared" si="587"/>
        <v>0</v>
      </c>
      <c r="AE2209" s="314">
        <f t="shared" si="588"/>
        <v>0</v>
      </c>
      <c r="AF2209" s="315">
        <f t="shared" si="589"/>
        <v>0</v>
      </c>
      <c r="AG2209" s="316">
        <f t="shared" si="590"/>
        <v>0</v>
      </c>
      <c r="AH2209" s="314">
        <v>1</v>
      </c>
      <c r="AI2209" s="314">
        <f t="shared" si="591"/>
        <v>0</v>
      </c>
      <c r="AJ2209" s="314">
        <f t="shared" si="592"/>
        <v>0</v>
      </c>
      <c r="AK2209" s="317"/>
      <c r="AL2209" s="315">
        <f t="shared" si="593"/>
        <v>0</v>
      </c>
      <c r="AN2209" s="554">
        <f t="shared" si="594"/>
        <v>0</v>
      </c>
      <c r="AO2209" s="314"/>
      <c r="AP2209" s="318"/>
    </row>
    <row r="2210" spans="2:42">
      <c r="B2210" s="296"/>
      <c r="C2210" s="299"/>
      <c r="D2210" s="298"/>
      <c r="E2210" s="299"/>
      <c r="F2210" s="299"/>
      <c r="G2210" s="300"/>
      <c r="H2210" s="303"/>
      <c r="I2210" s="301">
        <f t="shared" si="578"/>
        <v>0</v>
      </c>
      <c r="J2210" s="302">
        <f t="shared" si="579"/>
        <v>0</v>
      </c>
      <c r="K2210" s="304">
        <f t="shared" si="580"/>
        <v>0</v>
      </c>
      <c r="L2210" s="305">
        <f>IF(H2210=0,0,IF(OR(E2210=$AT$5,E2210=$AT$6),AA2210,IF(F2210="MXN",1/HLOOKUP(YEAR(G2210)+(MONTH(G2210)/100),TC!$5:$37,DAY(G2210)+2,FALSE),VLOOKUP(F2210,Equivalencia!$5:$23,((MAX(Equivalencia!$3:$3)-YEAR(G2210))*14)+MONTH(G2210)+2,FALSE))))</f>
        <v>0</v>
      </c>
      <c r="M2210" s="306">
        <f t="shared" si="581"/>
        <v>0</v>
      </c>
      <c r="N2210" s="305">
        <f>IF(G2210=0,0,(IF(OR(E2210=$AT$5,E2210=$AT$6),AC2210,HLOOKUP(YEAR(G2210)+(MONTH(G2210)/100),TC!$5:$37,DAY(G2210)+2,FALSE))))</f>
        <v>0</v>
      </c>
      <c r="O2210" s="307">
        <f t="shared" si="582"/>
        <v>0</v>
      </c>
      <c r="P2210" s="560">
        <f>IF(G2210=0,0,VLOOKUP(YEAR(G2210),INPC!$B$4:$P$30,MONTH(G2210)+2))</f>
        <v>0</v>
      </c>
      <c r="Q2210" s="560">
        <f>IF(X2210=0,0,IF(OR(E2210=$AT$10,E2210=$AT$9),VLOOKUP(YEAR(X2210),INPC!$B$4:$P$30,MONTH(X2210)+1),VLOOKUP(YEAR(X2210),INPC!$B$4:$P$30,MONTH(X2210)+2,0)))</f>
        <v>0</v>
      </c>
      <c r="R2210" s="309">
        <f t="shared" si="583"/>
        <v>0</v>
      </c>
      <c r="S2210" s="310">
        <f t="shared" si="584"/>
        <v>0</v>
      </c>
      <c r="T2210" s="555">
        <f t="shared" si="585"/>
        <v>0</v>
      </c>
      <c r="U2210" s="311"/>
      <c r="V2210" s="312"/>
      <c r="W2210" s="299"/>
      <c r="X2210" s="300"/>
      <c r="Y2210" s="299"/>
      <c r="Z2210" s="303"/>
      <c r="AA2210" s="305">
        <f>IF(Z2210=0,0,IF(Y2210="MXN",1/HLOOKUP(YEAR(X2210)+(MONTH(X2210)/100),TC!$5:$37,DAY(X2210)+2,FALSE),VLOOKUP(Y2210,Equivalencia!$1:$23,((MAX(Equivalencia!$3:$3)-YEAR(X2210))*14)+MONTH(X2210)+2,FALSE)))</f>
        <v>0</v>
      </c>
      <c r="AB2210" s="306">
        <f t="shared" si="586"/>
        <v>0</v>
      </c>
      <c r="AC2210" s="305">
        <f>+IF(X2210=0,0,HLOOKUP(YEAR(X2210)+(MONTH(X2210)/100),TC!$5:$37,DAY(X2210)+2,FALSE))</f>
        <v>0</v>
      </c>
      <c r="AD2210" s="307">
        <f t="shared" si="587"/>
        <v>0</v>
      </c>
      <c r="AE2210" s="314">
        <f t="shared" si="588"/>
        <v>0</v>
      </c>
      <c r="AF2210" s="315">
        <f t="shared" si="589"/>
        <v>0</v>
      </c>
      <c r="AG2210" s="316">
        <f t="shared" si="590"/>
        <v>0</v>
      </c>
      <c r="AH2210" s="314">
        <v>1</v>
      </c>
      <c r="AI2210" s="314">
        <f t="shared" si="591"/>
        <v>0</v>
      </c>
      <c r="AJ2210" s="314">
        <f t="shared" si="592"/>
        <v>0</v>
      </c>
      <c r="AK2210" s="317"/>
      <c r="AL2210" s="315">
        <f t="shared" si="593"/>
        <v>0</v>
      </c>
      <c r="AN2210" s="554">
        <f t="shared" si="594"/>
        <v>0</v>
      </c>
      <c r="AO2210" s="314"/>
      <c r="AP2210" s="318"/>
    </row>
    <row r="2211" spans="2:42">
      <c r="B2211" s="296"/>
      <c r="C2211" s="299"/>
      <c r="D2211" s="298"/>
      <c r="E2211" s="299"/>
      <c r="F2211" s="299"/>
      <c r="G2211" s="300"/>
      <c r="H2211" s="303"/>
      <c r="I2211" s="301">
        <f t="shared" si="578"/>
        <v>0</v>
      </c>
      <c r="J2211" s="302">
        <f t="shared" si="579"/>
        <v>0</v>
      </c>
      <c r="K2211" s="304">
        <f t="shared" si="580"/>
        <v>0</v>
      </c>
      <c r="L2211" s="305">
        <f>IF(H2211=0,0,IF(OR(E2211=$AT$5,E2211=$AT$6),AA2211,IF(F2211="MXN",1/HLOOKUP(YEAR(G2211)+(MONTH(G2211)/100),TC!$5:$37,DAY(G2211)+2,FALSE),VLOOKUP(F2211,Equivalencia!$5:$23,((MAX(Equivalencia!$3:$3)-YEAR(G2211))*14)+MONTH(G2211)+2,FALSE))))</f>
        <v>0</v>
      </c>
      <c r="M2211" s="306">
        <f t="shared" si="581"/>
        <v>0</v>
      </c>
      <c r="N2211" s="305">
        <f>IF(G2211=0,0,(IF(OR(E2211=$AT$5,E2211=$AT$6),AC2211,HLOOKUP(YEAR(G2211)+(MONTH(G2211)/100),TC!$5:$37,DAY(G2211)+2,FALSE))))</f>
        <v>0</v>
      </c>
      <c r="O2211" s="307">
        <f t="shared" si="582"/>
        <v>0</v>
      </c>
      <c r="P2211" s="560">
        <f>IF(G2211=0,0,VLOOKUP(YEAR(G2211),INPC!$B$4:$P$30,MONTH(G2211)+2))</f>
        <v>0</v>
      </c>
      <c r="Q2211" s="560">
        <f>IF(X2211=0,0,IF(OR(E2211=$AT$10,E2211=$AT$9),VLOOKUP(YEAR(X2211),INPC!$B$4:$P$30,MONTH(X2211)+1),VLOOKUP(YEAR(X2211),INPC!$B$4:$P$30,MONTH(X2211)+2,0)))</f>
        <v>0</v>
      </c>
      <c r="R2211" s="309">
        <f t="shared" si="583"/>
        <v>0</v>
      </c>
      <c r="S2211" s="310">
        <f t="shared" si="584"/>
        <v>0</v>
      </c>
      <c r="T2211" s="555">
        <f t="shared" si="585"/>
        <v>0</v>
      </c>
      <c r="U2211" s="311"/>
      <c r="V2211" s="312"/>
      <c r="W2211" s="299"/>
      <c r="X2211" s="300"/>
      <c r="Y2211" s="299"/>
      <c r="Z2211" s="303"/>
      <c r="AA2211" s="305">
        <f>IF(Z2211=0,0,IF(Y2211="MXN",1/HLOOKUP(YEAR(X2211)+(MONTH(X2211)/100),TC!$5:$37,DAY(X2211)+2,FALSE),VLOOKUP(Y2211,Equivalencia!$1:$23,((MAX(Equivalencia!$3:$3)-YEAR(X2211))*14)+MONTH(X2211)+2,FALSE)))</f>
        <v>0</v>
      </c>
      <c r="AB2211" s="306">
        <f t="shared" si="586"/>
        <v>0</v>
      </c>
      <c r="AC2211" s="305">
        <f>+IF(X2211=0,0,HLOOKUP(YEAR(X2211)+(MONTH(X2211)/100),TC!$5:$37,DAY(X2211)+2,FALSE))</f>
        <v>0</v>
      </c>
      <c r="AD2211" s="307">
        <f t="shared" si="587"/>
        <v>0</v>
      </c>
      <c r="AE2211" s="314">
        <f t="shared" si="588"/>
        <v>0</v>
      </c>
      <c r="AF2211" s="315">
        <f t="shared" si="589"/>
        <v>0</v>
      </c>
      <c r="AG2211" s="316">
        <f t="shared" si="590"/>
        <v>0</v>
      </c>
      <c r="AH2211" s="314">
        <v>1</v>
      </c>
      <c r="AI2211" s="314">
        <f t="shared" si="591"/>
        <v>0</v>
      </c>
      <c r="AJ2211" s="314">
        <f t="shared" si="592"/>
        <v>0</v>
      </c>
      <c r="AK2211" s="317"/>
      <c r="AL2211" s="315">
        <f t="shared" si="593"/>
        <v>0</v>
      </c>
      <c r="AN2211" s="554">
        <f t="shared" si="594"/>
        <v>0</v>
      </c>
      <c r="AO2211" s="314"/>
      <c r="AP2211" s="318"/>
    </row>
    <row r="2212" spans="2:42">
      <c r="B2212" s="296"/>
      <c r="C2212" s="299"/>
      <c r="D2212" s="298"/>
      <c r="E2212" s="299"/>
      <c r="F2212" s="299"/>
      <c r="G2212" s="300"/>
      <c r="H2212" s="303"/>
      <c r="I2212" s="301">
        <f t="shared" si="578"/>
        <v>0</v>
      </c>
      <c r="J2212" s="302">
        <f t="shared" si="579"/>
        <v>0</v>
      </c>
      <c r="K2212" s="304">
        <f t="shared" si="580"/>
        <v>0</v>
      </c>
      <c r="L2212" s="305">
        <f>IF(H2212=0,0,IF(OR(E2212=$AT$5,E2212=$AT$6),AA2212,IF(F2212="MXN",1/HLOOKUP(YEAR(G2212)+(MONTH(G2212)/100),TC!$5:$37,DAY(G2212)+2,FALSE),VLOOKUP(F2212,Equivalencia!$5:$23,((MAX(Equivalencia!$3:$3)-YEAR(G2212))*14)+MONTH(G2212)+2,FALSE))))</f>
        <v>0</v>
      </c>
      <c r="M2212" s="306">
        <f t="shared" si="581"/>
        <v>0</v>
      </c>
      <c r="N2212" s="305">
        <f>IF(G2212=0,0,(IF(OR(E2212=$AT$5,E2212=$AT$6),AC2212,HLOOKUP(YEAR(G2212)+(MONTH(G2212)/100),TC!$5:$37,DAY(G2212)+2,FALSE))))</f>
        <v>0</v>
      </c>
      <c r="O2212" s="307">
        <f t="shared" si="582"/>
        <v>0</v>
      </c>
      <c r="P2212" s="560">
        <f>IF(G2212=0,0,VLOOKUP(YEAR(G2212),INPC!$B$4:$P$30,MONTH(G2212)+2))</f>
        <v>0</v>
      </c>
      <c r="Q2212" s="560">
        <f>IF(X2212=0,0,IF(OR(E2212=$AT$10,E2212=$AT$9),VLOOKUP(YEAR(X2212),INPC!$B$4:$P$30,MONTH(X2212)+1),VLOOKUP(YEAR(X2212),INPC!$B$4:$P$30,MONTH(X2212)+2,0)))</f>
        <v>0</v>
      </c>
      <c r="R2212" s="309">
        <f t="shared" si="583"/>
        <v>0</v>
      </c>
      <c r="S2212" s="310">
        <f t="shared" si="584"/>
        <v>0</v>
      </c>
      <c r="T2212" s="555">
        <f t="shared" si="585"/>
        <v>0</v>
      </c>
      <c r="U2212" s="311"/>
      <c r="V2212" s="312"/>
      <c r="W2212" s="299"/>
      <c r="X2212" s="300"/>
      <c r="Y2212" s="299"/>
      <c r="Z2212" s="303"/>
      <c r="AA2212" s="305">
        <f>IF(Z2212=0,0,IF(Y2212="MXN",1/HLOOKUP(YEAR(X2212)+(MONTH(X2212)/100),TC!$5:$37,DAY(X2212)+2,FALSE),VLOOKUP(Y2212,Equivalencia!$1:$23,((MAX(Equivalencia!$3:$3)-YEAR(X2212))*14)+MONTH(X2212)+2,FALSE)))</f>
        <v>0</v>
      </c>
      <c r="AB2212" s="306">
        <f t="shared" si="586"/>
        <v>0</v>
      </c>
      <c r="AC2212" s="305">
        <f>+IF(X2212=0,0,HLOOKUP(YEAR(X2212)+(MONTH(X2212)/100),TC!$5:$37,DAY(X2212)+2,FALSE))</f>
        <v>0</v>
      </c>
      <c r="AD2212" s="307">
        <f t="shared" si="587"/>
        <v>0</v>
      </c>
      <c r="AE2212" s="314">
        <f t="shared" si="588"/>
        <v>0</v>
      </c>
      <c r="AF2212" s="315">
        <f t="shared" si="589"/>
        <v>0</v>
      </c>
      <c r="AG2212" s="316">
        <f t="shared" si="590"/>
        <v>0</v>
      </c>
      <c r="AH2212" s="314">
        <v>1</v>
      </c>
      <c r="AI2212" s="314">
        <f t="shared" si="591"/>
        <v>0</v>
      </c>
      <c r="AJ2212" s="314">
        <f t="shared" si="592"/>
        <v>0</v>
      </c>
      <c r="AK2212" s="317"/>
      <c r="AL2212" s="315">
        <f t="shared" si="593"/>
        <v>0</v>
      </c>
      <c r="AN2212" s="554">
        <f t="shared" si="594"/>
        <v>0</v>
      </c>
      <c r="AO2212" s="314"/>
      <c r="AP2212" s="318"/>
    </row>
    <row r="2213" spans="2:42">
      <c r="B2213" s="296"/>
      <c r="C2213" s="299"/>
      <c r="D2213" s="298"/>
      <c r="E2213" s="299"/>
      <c r="F2213" s="299"/>
      <c r="G2213" s="300"/>
      <c r="H2213" s="303"/>
      <c r="I2213" s="301">
        <f t="shared" si="578"/>
        <v>0</v>
      </c>
      <c r="J2213" s="302">
        <f t="shared" si="579"/>
        <v>0</v>
      </c>
      <c r="K2213" s="304">
        <f t="shared" si="580"/>
        <v>0</v>
      </c>
      <c r="L2213" s="305">
        <f>IF(H2213=0,0,IF(OR(E2213=$AT$5,E2213=$AT$6),AA2213,IF(F2213="MXN",1/HLOOKUP(YEAR(G2213)+(MONTH(G2213)/100),TC!$5:$37,DAY(G2213)+2,FALSE),VLOOKUP(F2213,Equivalencia!$5:$23,((MAX(Equivalencia!$3:$3)-YEAR(G2213))*14)+MONTH(G2213)+2,FALSE))))</f>
        <v>0</v>
      </c>
      <c r="M2213" s="306">
        <f t="shared" si="581"/>
        <v>0</v>
      </c>
      <c r="N2213" s="305">
        <f>IF(G2213=0,0,(IF(OR(E2213=$AT$5,E2213=$AT$6),AC2213,HLOOKUP(YEAR(G2213)+(MONTH(G2213)/100),TC!$5:$37,DAY(G2213)+2,FALSE))))</f>
        <v>0</v>
      </c>
      <c r="O2213" s="307">
        <f t="shared" si="582"/>
        <v>0</v>
      </c>
      <c r="P2213" s="560">
        <f>IF(G2213=0,0,VLOOKUP(YEAR(G2213),INPC!$B$4:$P$30,MONTH(G2213)+2))</f>
        <v>0</v>
      </c>
      <c r="Q2213" s="560">
        <f>IF(X2213=0,0,IF(OR(E2213=$AT$10,E2213=$AT$9),VLOOKUP(YEAR(X2213),INPC!$B$4:$P$30,MONTH(X2213)+1),VLOOKUP(YEAR(X2213),INPC!$B$4:$P$30,MONTH(X2213)+2,0)))</f>
        <v>0</v>
      </c>
      <c r="R2213" s="309">
        <f t="shared" si="583"/>
        <v>0</v>
      </c>
      <c r="S2213" s="310">
        <f t="shared" si="584"/>
        <v>0</v>
      </c>
      <c r="T2213" s="555">
        <f t="shared" si="585"/>
        <v>0</v>
      </c>
      <c r="U2213" s="311"/>
      <c r="V2213" s="312"/>
      <c r="W2213" s="299"/>
      <c r="X2213" s="300"/>
      <c r="Y2213" s="299"/>
      <c r="Z2213" s="303"/>
      <c r="AA2213" s="305">
        <f>IF(Z2213=0,0,IF(Y2213="MXN",1/HLOOKUP(YEAR(X2213)+(MONTH(X2213)/100),TC!$5:$37,DAY(X2213)+2,FALSE),VLOOKUP(Y2213,Equivalencia!$1:$23,((MAX(Equivalencia!$3:$3)-YEAR(X2213))*14)+MONTH(X2213)+2,FALSE)))</f>
        <v>0</v>
      </c>
      <c r="AB2213" s="306">
        <f t="shared" si="586"/>
        <v>0</v>
      </c>
      <c r="AC2213" s="305">
        <f>+IF(X2213=0,0,HLOOKUP(YEAR(X2213)+(MONTH(X2213)/100),TC!$5:$37,DAY(X2213)+2,FALSE))</f>
        <v>0</v>
      </c>
      <c r="AD2213" s="307">
        <f t="shared" si="587"/>
        <v>0</v>
      </c>
      <c r="AE2213" s="314">
        <f t="shared" si="588"/>
        <v>0</v>
      </c>
      <c r="AF2213" s="315">
        <f t="shared" si="589"/>
        <v>0</v>
      </c>
      <c r="AG2213" s="316">
        <f t="shared" si="590"/>
        <v>0</v>
      </c>
      <c r="AH2213" s="314">
        <v>1</v>
      </c>
      <c r="AI2213" s="314">
        <f t="shared" si="591"/>
        <v>0</v>
      </c>
      <c r="AJ2213" s="314">
        <f t="shared" si="592"/>
        <v>0</v>
      </c>
      <c r="AK2213" s="317"/>
      <c r="AL2213" s="315">
        <f t="shared" si="593"/>
        <v>0</v>
      </c>
      <c r="AN2213" s="554">
        <f t="shared" si="594"/>
        <v>0</v>
      </c>
      <c r="AO2213" s="314"/>
      <c r="AP2213" s="318"/>
    </row>
    <row r="2214" spans="2:42">
      <c r="B2214" s="296"/>
      <c r="C2214" s="299"/>
      <c r="D2214" s="298"/>
      <c r="E2214" s="299"/>
      <c r="F2214" s="299"/>
      <c r="G2214" s="300"/>
      <c r="H2214" s="303"/>
      <c r="I2214" s="301">
        <f t="shared" si="578"/>
        <v>0</v>
      </c>
      <c r="J2214" s="302">
        <f t="shared" si="579"/>
        <v>0</v>
      </c>
      <c r="K2214" s="304">
        <f t="shared" si="580"/>
        <v>0</v>
      </c>
      <c r="L2214" s="305">
        <f>IF(H2214=0,0,IF(OR(E2214=$AT$5,E2214=$AT$6),AA2214,IF(F2214="MXN",1/HLOOKUP(YEAR(G2214)+(MONTH(G2214)/100),TC!$5:$37,DAY(G2214)+2,FALSE),VLOOKUP(F2214,Equivalencia!$5:$23,((MAX(Equivalencia!$3:$3)-YEAR(G2214))*14)+MONTH(G2214)+2,FALSE))))</f>
        <v>0</v>
      </c>
      <c r="M2214" s="306">
        <f t="shared" si="581"/>
        <v>0</v>
      </c>
      <c r="N2214" s="305">
        <f>IF(G2214=0,0,(IF(OR(E2214=$AT$5,E2214=$AT$6),AC2214,HLOOKUP(YEAR(G2214)+(MONTH(G2214)/100),TC!$5:$37,DAY(G2214)+2,FALSE))))</f>
        <v>0</v>
      </c>
      <c r="O2214" s="307">
        <f t="shared" si="582"/>
        <v>0</v>
      </c>
      <c r="P2214" s="560">
        <f>IF(G2214=0,0,VLOOKUP(YEAR(G2214),INPC!$B$4:$P$30,MONTH(G2214)+2))</f>
        <v>0</v>
      </c>
      <c r="Q2214" s="560">
        <f>IF(X2214=0,0,IF(OR(E2214=$AT$10,E2214=$AT$9),VLOOKUP(YEAR(X2214),INPC!$B$4:$P$30,MONTH(X2214)+1),VLOOKUP(YEAR(X2214),INPC!$B$4:$P$30,MONTH(X2214)+2,0)))</f>
        <v>0</v>
      </c>
      <c r="R2214" s="309">
        <f t="shared" si="583"/>
        <v>0</v>
      </c>
      <c r="S2214" s="310">
        <f t="shared" si="584"/>
        <v>0</v>
      </c>
      <c r="T2214" s="555">
        <f t="shared" si="585"/>
        <v>0</v>
      </c>
      <c r="U2214" s="311"/>
      <c r="V2214" s="312"/>
      <c r="W2214" s="299"/>
      <c r="X2214" s="300"/>
      <c r="Y2214" s="299"/>
      <c r="Z2214" s="303"/>
      <c r="AA2214" s="305">
        <f>IF(Z2214=0,0,IF(Y2214="MXN",1/HLOOKUP(YEAR(X2214)+(MONTH(X2214)/100),TC!$5:$37,DAY(X2214)+2,FALSE),VLOOKUP(Y2214,Equivalencia!$1:$23,((MAX(Equivalencia!$3:$3)-YEAR(X2214))*14)+MONTH(X2214)+2,FALSE)))</f>
        <v>0</v>
      </c>
      <c r="AB2214" s="306">
        <f t="shared" si="586"/>
        <v>0</v>
      </c>
      <c r="AC2214" s="305">
        <f>+IF(X2214=0,0,HLOOKUP(YEAR(X2214)+(MONTH(X2214)/100),TC!$5:$37,DAY(X2214)+2,FALSE))</f>
        <v>0</v>
      </c>
      <c r="AD2214" s="307">
        <f t="shared" si="587"/>
        <v>0</v>
      </c>
      <c r="AE2214" s="314">
        <f t="shared" si="588"/>
        <v>0</v>
      </c>
      <c r="AF2214" s="315">
        <f t="shared" si="589"/>
        <v>0</v>
      </c>
      <c r="AG2214" s="316">
        <f t="shared" si="590"/>
        <v>0</v>
      </c>
      <c r="AH2214" s="314">
        <v>1</v>
      </c>
      <c r="AI2214" s="314">
        <f t="shared" si="591"/>
        <v>0</v>
      </c>
      <c r="AJ2214" s="314">
        <f t="shared" si="592"/>
        <v>0</v>
      </c>
      <c r="AK2214" s="317"/>
      <c r="AL2214" s="315">
        <f t="shared" si="593"/>
        <v>0</v>
      </c>
      <c r="AN2214" s="554">
        <f t="shared" si="594"/>
        <v>0</v>
      </c>
      <c r="AO2214" s="314"/>
      <c r="AP2214" s="318"/>
    </row>
    <row r="2215" spans="2:42">
      <c r="B2215" s="296"/>
      <c r="C2215" s="299"/>
      <c r="D2215" s="298"/>
      <c r="E2215" s="299"/>
      <c r="F2215" s="299"/>
      <c r="G2215" s="300"/>
      <c r="H2215" s="303"/>
      <c r="I2215" s="301">
        <f t="shared" si="578"/>
        <v>0</v>
      </c>
      <c r="J2215" s="302">
        <f t="shared" si="579"/>
        <v>0</v>
      </c>
      <c r="K2215" s="304">
        <f t="shared" si="580"/>
        <v>0</v>
      </c>
      <c r="L2215" s="305">
        <f>IF(H2215=0,0,IF(OR(E2215=$AT$5,E2215=$AT$6),AA2215,IF(F2215="MXN",1/HLOOKUP(YEAR(G2215)+(MONTH(G2215)/100),TC!$5:$37,DAY(G2215)+2,FALSE),VLOOKUP(F2215,Equivalencia!$5:$23,((MAX(Equivalencia!$3:$3)-YEAR(G2215))*14)+MONTH(G2215)+2,FALSE))))</f>
        <v>0</v>
      </c>
      <c r="M2215" s="306">
        <f t="shared" si="581"/>
        <v>0</v>
      </c>
      <c r="N2215" s="305">
        <f>IF(G2215=0,0,(IF(OR(E2215=$AT$5,E2215=$AT$6),AC2215,HLOOKUP(YEAR(G2215)+(MONTH(G2215)/100),TC!$5:$37,DAY(G2215)+2,FALSE))))</f>
        <v>0</v>
      </c>
      <c r="O2215" s="307">
        <f t="shared" si="582"/>
        <v>0</v>
      </c>
      <c r="P2215" s="560">
        <f>IF(G2215=0,0,VLOOKUP(YEAR(G2215),INPC!$B$4:$P$30,MONTH(G2215)+2))</f>
        <v>0</v>
      </c>
      <c r="Q2215" s="560">
        <f>IF(X2215=0,0,IF(OR(E2215=$AT$10,E2215=$AT$9),VLOOKUP(YEAR(X2215),INPC!$B$4:$P$30,MONTH(X2215)+1),VLOOKUP(YEAR(X2215),INPC!$B$4:$P$30,MONTH(X2215)+2,0)))</f>
        <v>0</v>
      </c>
      <c r="R2215" s="309">
        <f t="shared" si="583"/>
        <v>0</v>
      </c>
      <c r="S2215" s="310">
        <f t="shared" si="584"/>
        <v>0</v>
      </c>
      <c r="T2215" s="555">
        <f t="shared" si="585"/>
        <v>0</v>
      </c>
      <c r="U2215" s="311"/>
      <c r="V2215" s="312"/>
      <c r="W2215" s="299"/>
      <c r="X2215" s="300"/>
      <c r="Y2215" s="299"/>
      <c r="Z2215" s="303"/>
      <c r="AA2215" s="305">
        <f>IF(Z2215=0,0,IF(Y2215="MXN",1/HLOOKUP(YEAR(X2215)+(MONTH(X2215)/100),TC!$5:$37,DAY(X2215)+2,FALSE),VLOOKUP(Y2215,Equivalencia!$1:$23,((MAX(Equivalencia!$3:$3)-YEAR(X2215))*14)+MONTH(X2215)+2,FALSE)))</f>
        <v>0</v>
      </c>
      <c r="AB2215" s="306">
        <f t="shared" si="586"/>
        <v>0</v>
      </c>
      <c r="AC2215" s="305">
        <f>+IF(X2215=0,0,HLOOKUP(YEAR(X2215)+(MONTH(X2215)/100),TC!$5:$37,DAY(X2215)+2,FALSE))</f>
        <v>0</v>
      </c>
      <c r="AD2215" s="307">
        <f t="shared" si="587"/>
        <v>0</v>
      </c>
      <c r="AE2215" s="314">
        <f t="shared" si="588"/>
        <v>0</v>
      </c>
      <c r="AF2215" s="315">
        <f t="shared" si="589"/>
        <v>0</v>
      </c>
      <c r="AG2215" s="316">
        <f t="shared" si="590"/>
        <v>0</v>
      </c>
      <c r="AH2215" s="314">
        <v>1</v>
      </c>
      <c r="AI2215" s="314">
        <f t="shared" si="591"/>
        <v>0</v>
      </c>
      <c r="AJ2215" s="314">
        <f t="shared" si="592"/>
        <v>0</v>
      </c>
      <c r="AK2215" s="317"/>
      <c r="AL2215" s="315">
        <f t="shared" si="593"/>
        <v>0</v>
      </c>
      <c r="AN2215" s="554">
        <f t="shared" si="594"/>
        <v>0</v>
      </c>
      <c r="AO2215" s="314"/>
      <c r="AP2215" s="318"/>
    </row>
    <row r="2216" spans="2:42">
      <c r="B2216" s="296"/>
      <c r="C2216" s="299"/>
      <c r="D2216" s="298"/>
      <c r="E2216" s="299"/>
      <c r="F2216" s="299"/>
      <c r="G2216" s="300"/>
      <c r="H2216" s="303"/>
      <c r="I2216" s="301">
        <f t="shared" si="578"/>
        <v>0</v>
      </c>
      <c r="J2216" s="302">
        <f t="shared" si="579"/>
        <v>0</v>
      </c>
      <c r="K2216" s="304">
        <f t="shared" si="580"/>
        <v>0</v>
      </c>
      <c r="L2216" s="305">
        <f>IF(H2216=0,0,IF(OR(E2216=$AT$5,E2216=$AT$6),AA2216,IF(F2216="MXN",1/HLOOKUP(YEAR(G2216)+(MONTH(G2216)/100),TC!$5:$37,DAY(G2216)+2,FALSE),VLOOKUP(F2216,Equivalencia!$5:$23,((MAX(Equivalencia!$3:$3)-YEAR(G2216))*14)+MONTH(G2216)+2,FALSE))))</f>
        <v>0</v>
      </c>
      <c r="M2216" s="306">
        <f t="shared" si="581"/>
        <v>0</v>
      </c>
      <c r="N2216" s="305">
        <f>IF(G2216=0,0,(IF(OR(E2216=$AT$5,E2216=$AT$6),AC2216,HLOOKUP(YEAR(G2216)+(MONTH(G2216)/100),TC!$5:$37,DAY(G2216)+2,FALSE))))</f>
        <v>0</v>
      </c>
      <c r="O2216" s="307">
        <f t="shared" si="582"/>
        <v>0</v>
      </c>
      <c r="P2216" s="560">
        <f>IF(G2216=0,0,VLOOKUP(YEAR(G2216),INPC!$B$4:$P$30,MONTH(G2216)+2))</f>
        <v>0</v>
      </c>
      <c r="Q2216" s="560">
        <f>IF(X2216=0,0,IF(OR(E2216=$AT$10,E2216=$AT$9),VLOOKUP(YEAR(X2216),INPC!$B$4:$P$30,MONTH(X2216)+1),VLOOKUP(YEAR(X2216),INPC!$B$4:$P$30,MONTH(X2216)+2,0)))</f>
        <v>0</v>
      </c>
      <c r="R2216" s="309">
        <f t="shared" si="583"/>
        <v>0</v>
      </c>
      <c r="S2216" s="310">
        <f t="shared" si="584"/>
        <v>0</v>
      </c>
      <c r="T2216" s="555">
        <f t="shared" si="585"/>
        <v>0</v>
      </c>
      <c r="U2216" s="311"/>
      <c r="V2216" s="312"/>
      <c r="W2216" s="299"/>
      <c r="X2216" s="300"/>
      <c r="Y2216" s="299"/>
      <c r="Z2216" s="303"/>
      <c r="AA2216" s="305">
        <f>IF(Z2216=0,0,IF(Y2216="MXN",1/HLOOKUP(YEAR(X2216)+(MONTH(X2216)/100),TC!$5:$37,DAY(X2216)+2,FALSE),VLOOKUP(Y2216,Equivalencia!$1:$23,((MAX(Equivalencia!$3:$3)-YEAR(X2216))*14)+MONTH(X2216)+2,FALSE)))</f>
        <v>0</v>
      </c>
      <c r="AB2216" s="306">
        <f t="shared" si="586"/>
        <v>0</v>
      </c>
      <c r="AC2216" s="305">
        <f>+IF(X2216=0,0,HLOOKUP(YEAR(X2216)+(MONTH(X2216)/100),TC!$5:$37,DAY(X2216)+2,FALSE))</f>
        <v>0</v>
      </c>
      <c r="AD2216" s="307">
        <f t="shared" si="587"/>
        <v>0</v>
      </c>
      <c r="AE2216" s="314">
        <f t="shared" si="588"/>
        <v>0</v>
      </c>
      <c r="AF2216" s="315">
        <f t="shared" si="589"/>
        <v>0</v>
      </c>
      <c r="AG2216" s="316">
        <f t="shared" si="590"/>
        <v>0</v>
      </c>
      <c r="AH2216" s="314">
        <v>1</v>
      </c>
      <c r="AI2216" s="314">
        <f t="shared" si="591"/>
        <v>0</v>
      </c>
      <c r="AJ2216" s="314">
        <f t="shared" si="592"/>
        <v>0</v>
      </c>
      <c r="AK2216" s="317"/>
      <c r="AL2216" s="315">
        <f t="shared" si="593"/>
        <v>0</v>
      </c>
      <c r="AN2216" s="554">
        <f t="shared" si="594"/>
        <v>0</v>
      </c>
      <c r="AO2216" s="314"/>
      <c r="AP2216" s="318"/>
    </row>
    <row r="2217" spans="2:42">
      <c r="B2217" s="296"/>
      <c r="C2217" s="299"/>
      <c r="D2217" s="298"/>
      <c r="E2217" s="299"/>
      <c r="F2217" s="299"/>
      <c r="G2217" s="300"/>
      <c r="H2217" s="303"/>
      <c r="I2217" s="301">
        <f t="shared" si="578"/>
        <v>0</v>
      </c>
      <c r="J2217" s="302">
        <f t="shared" si="579"/>
        <v>0</v>
      </c>
      <c r="K2217" s="304">
        <f t="shared" si="580"/>
        <v>0</v>
      </c>
      <c r="L2217" s="305">
        <f>IF(H2217=0,0,IF(OR(E2217=$AT$5,E2217=$AT$6),AA2217,IF(F2217="MXN",1/HLOOKUP(YEAR(G2217)+(MONTH(G2217)/100),TC!$5:$37,DAY(G2217)+2,FALSE),VLOOKUP(F2217,Equivalencia!$5:$23,((MAX(Equivalencia!$3:$3)-YEAR(G2217))*14)+MONTH(G2217)+2,FALSE))))</f>
        <v>0</v>
      </c>
      <c r="M2217" s="306">
        <f t="shared" si="581"/>
        <v>0</v>
      </c>
      <c r="N2217" s="305">
        <f>IF(G2217=0,0,(IF(OR(E2217=$AT$5,E2217=$AT$6),AC2217,HLOOKUP(YEAR(G2217)+(MONTH(G2217)/100),TC!$5:$37,DAY(G2217)+2,FALSE))))</f>
        <v>0</v>
      </c>
      <c r="O2217" s="307">
        <f t="shared" si="582"/>
        <v>0</v>
      </c>
      <c r="P2217" s="560">
        <f>IF(G2217=0,0,VLOOKUP(YEAR(G2217),INPC!$B$4:$P$30,MONTH(G2217)+2))</f>
        <v>0</v>
      </c>
      <c r="Q2217" s="560">
        <f>IF(X2217=0,0,IF(OR(E2217=$AT$10,E2217=$AT$9),VLOOKUP(YEAR(X2217),INPC!$B$4:$P$30,MONTH(X2217)+1),VLOOKUP(YEAR(X2217),INPC!$B$4:$P$30,MONTH(X2217)+2,0)))</f>
        <v>0</v>
      </c>
      <c r="R2217" s="309">
        <f t="shared" si="583"/>
        <v>0</v>
      </c>
      <c r="S2217" s="310">
        <f t="shared" si="584"/>
        <v>0</v>
      </c>
      <c r="T2217" s="555">
        <f t="shared" si="585"/>
        <v>0</v>
      </c>
      <c r="U2217" s="311"/>
      <c r="V2217" s="312"/>
      <c r="W2217" s="299"/>
      <c r="X2217" s="300"/>
      <c r="Y2217" s="299"/>
      <c r="Z2217" s="303"/>
      <c r="AA2217" s="305">
        <f>IF(Z2217=0,0,IF(Y2217="MXN",1/HLOOKUP(YEAR(X2217)+(MONTH(X2217)/100),TC!$5:$37,DAY(X2217)+2,FALSE),VLOOKUP(Y2217,Equivalencia!$1:$23,((MAX(Equivalencia!$3:$3)-YEAR(X2217))*14)+MONTH(X2217)+2,FALSE)))</f>
        <v>0</v>
      </c>
      <c r="AB2217" s="306">
        <f t="shared" si="586"/>
        <v>0</v>
      </c>
      <c r="AC2217" s="305">
        <f>+IF(X2217=0,0,HLOOKUP(YEAR(X2217)+(MONTH(X2217)/100),TC!$5:$37,DAY(X2217)+2,FALSE))</f>
        <v>0</v>
      </c>
      <c r="AD2217" s="307">
        <f t="shared" si="587"/>
        <v>0</v>
      </c>
      <c r="AE2217" s="314">
        <f t="shared" si="588"/>
        <v>0</v>
      </c>
      <c r="AF2217" s="315">
        <f t="shared" si="589"/>
        <v>0</v>
      </c>
      <c r="AG2217" s="316">
        <f t="shared" si="590"/>
        <v>0</v>
      </c>
      <c r="AH2217" s="314">
        <v>1</v>
      </c>
      <c r="AI2217" s="314">
        <f t="shared" si="591"/>
        <v>0</v>
      </c>
      <c r="AJ2217" s="314">
        <f t="shared" si="592"/>
        <v>0</v>
      </c>
      <c r="AK2217" s="317"/>
      <c r="AL2217" s="315">
        <f t="shared" si="593"/>
        <v>0</v>
      </c>
      <c r="AN2217" s="554">
        <f t="shared" si="594"/>
        <v>0</v>
      </c>
      <c r="AO2217" s="314"/>
      <c r="AP2217" s="318"/>
    </row>
    <row r="2218" spans="2:42">
      <c r="B2218" s="296"/>
      <c r="C2218" s="299"/>
      <c r="D2218" s="298"/>
      <c r="E2218" s="299"/>
      <c r="F2218" s="299"/>
      <c r="G2218" s="300"/>
      <c r="H2218" s="303"/>
      <c r="I2218" s="301">
        <f t="shared" si="578"/>
        <v>0</v>
      </c>
      <c r="J2218" s="302">
        <f t="shared" si="579"/>
        <v>0</v>
      </c>
      <c r="K2218" s="304">
        <f t="shared" si="580"/>
        <v>0</v>
      </c>
      <c r="L2218" s="305">
        <f>IF(H2218=0,0,IF(OR(E2218=$AT$5,E2218=$AT$6),AA2218,IF(F2218="MXN",1/HLOOKUP(YEAR(G2218)+(MONTH(G2218)/100),TC!$5:$37,DAY(G2218)+2,FALSE),VLOOKUP(F2218,Equivalencia!$5:$23,((MAX(Equivalencia!$3:$3)-YEAR(G2218))*14)+MONTH(G2218)+2,FALSE))))</f>
        <v>0</v>
      </c>
      <c r="M2218" s="306">
        <f t="shared" si="581"/>
        <v>0</v>
      </c>
      <c r="N2218" s="305">
        <f>IF(G2218=0,0,(IF(OR(E2218=$AT$5,E2218=$AT$6),AC2218,HLOOKUP(YEAR(G2218)+(MONTH(G2218)/100),TC!$5:$37,DAY(G2218)+2,FALSE))))</f>
        <v>0</v>
      </c>
      <c r="O2218" s="307">
        <f t="shared" si="582"/>
        <v>0</v>
      </c>
      <c r="P2218" s="560">
        <f>IF(G2218=0,0,VLOOKUP(YEAR(G2218),INPC!$B$4:$P$30,MONTH(G2218)+2))</f>
        <v>0</v>
      </c>
      <c r="Q2218" s="560">
        <f>IF(X2218=0,0,IF(OR(E2218=$AT$10,E2218=$AT$9),VLOOKUP(YEAR(X2218),INPC!$B$4:$P$30,MONTH(X2218)+1),VLOOKUP(YEAR(X2218),INPC!$B$4:$P$30,MONTH(X2218)+2,0)))</f>
        <v>0</v>
      </c>
      <c r="R2218" s="309">
        <f t="shared" si="583"/>
        <v>0</v>
      </c>
      <c r="S2218" s="310">
        <f t="shared" si="584"/>
        <v>0</v>
      </c>
      <c r="T2218" s="555">
        <f t="shared" si="585"/>
        <v>0</v>
      </c>
      <c r="U2218" s="311"/>
      <c r="V2218" s="312"/>
      <c r="W2218" s="299"/>
      <c r="X2218" s="300"/>
      <c r="Y2218" s="299"/>
      <c r="Z2218" s="303"/>
      <c r="AA2218" s="305">
        <f>IF(Z2218=0,0,IF(Y2218="MXN",1/HLOOKUP(YEAR(X2218)+(MONTH(X2218)/100),TC!$5:$37,DAY(X2218)+2,FALSE),VLOOKUP(Y2218,Equivalencia!$1:$23,((MAX(Equivalencia!$3:$3)-YEAR(X2218))*14)+MONTH(X2218)+2,FALSE)))</f>
        <v>0</v>
      </c>
      <c r="AB2218" s="306">
        <f t="shared" si="586"/>
        <v>0</v>
      </c>
      <c r="AC2218" s="305">
        <f>+IF(X2218=0,0,HLOOKUP(YEAR(X2218)+(MONTH(X2218)/100),TC!$5:$37,DAY(X2218)+2,FALSE))</f>
        <v>0</v>
      </c>
      <c r="AD2218" s="307">
        <f t="shared" si="587"/>
        <v>0</v>
      </c>
      <c r="AE2218" s="314">
        <f t="shared" si="588"/>
        <v>0</v>
      </c>
      <c r="AF2218" s="315">
        <f t="shared" si="589"/>
        <v>0</v>
      </c>
      <c r="AG2218" s="316">
        <f t="shared" si="590"/>
        <v>0</v>
      </c>
      <c r="AH2218" s="314">
        <v>1</v>
      </c>
      <c r="AI2218" s="314">
        <f t="shared" si="591"/>
        <v>0</v>
      </c>
      <c r="AJ2218" s="314">
        <f t="shared" si="592"/>
        <v>0</v>
      </c>
      <c r="AK2218" s="317"/>
      <c r="AL2218" s="315">
        <f t="shared" si="593"/>
        <v>0</v>
      </c>
      <c r="AN2218" s="554">
        <f t="shared" si="594"/>
        <v>0</v>
      </c>
      <c r="AO2218" s="314"/>
      <c r="AP2218" s="318"/>
    </row>
    <row r="2219" spans="2:42">
      <c r="B2219" s="296"/>
      <c r="C2219" s="299"/>
      <c r="D2219" s="298"/>
      <c r="E2219" s="299"/>
      <c r="F2219" s="299"/>
      <c r="G2219" s="300"/>
      <c r="H2219" s="303"/>
      <c r="I2219" s="301">
        <f t="shared" si="578"/>
        <v>0</v>
      </c>
      <c r="J2219" s="302">
        <f t="shared" si="579"/>
        <v>0</v>
      </c>
      <c r="K2219" s="304">
        <f t="shared" si="580"/>
        <v>0</v>
      </c>
      <c r="L2219" s="305">
        <f>IF(H2219=0,0,IF(OR(E2219=$AT$5,E2219=$AT$6),AA2219,IF(F2219="MXN",1/HLOOKUP(YEAR(G2219)+(MONTH(G2219)/100),TC!$5:$37,DAY(G2219)+2,FALSE),VLOOKUP(F2219,Equivalencia!$5:$23,((MAX(Equivalencia!$3:$3)-YEAR(G2219))*14)+MONTH(G2219)+2,FALSE))))</f>
        <v>0</v>
      </c>
      <c r="M2219" s="306">
        <f t="shared" si="581"/>
        <v>0</v>
      </c>
      <c r="N2219" s="305">
        <f>IF(G2219=0,0,(IF(OR(E2219=$AT$5,E2219=$AT$6),AC2219,HLOOKUP(YEAR(G2219)+(MONTH(G2219)/100),TC!$5:$37,DAY(G2219)+2,FALSE))))</f>
        <v>0</v>
      </c>
      <c r="O2219" s="307">
        <f t="shared" si="582"/>
        <v>0</v>
      </c>
      <c r="P2219" s="560">
        <f>IF(G2219=0,0,VLOOKUP(YEAR(G2219),INPC!$B$4:$P$30,MONTH(G2219)+2))</f>
        <v>0</v>
      </c>
      <c r="Q2219" s="560">
        <f>IF(X2219=0,0,IF(OR(E2219=$AT$10,E2219=$AT$9),VLOOKUP(YEAR(X2219),INPC!$B$4:$P$30,MONTH(X2219)+1),VLOOKUP(YEAR(X2219),INPC!$B$4:$P$30,MONTH(X2219)+2,0)))</f>
        <v>0</v>
      </c>
      <c r="R2219" s="309">
        <f t="shared" si="583"/>
        <v>0</v>
      </c>
      <c r="S2219" s="310">
        <f t="shared" si="584"/>
        <v>0</v>
      </c>
      <c r="T2219" s="555">
        <f t="shared" si="585"/>
        <v>0</v>
      </c>
      <c r="U2219" s="311"/>
      <c r="V2219" s="312"/>
      <c r="W2219" s="299"/>
      <c r="X2219" s="300"/>
      <c r="Y2219" s="299"/>
      <c r="Z2219" s="303"/>
      <c r="AA2219" s="305">
        <f>IF(Z2219=0,0,IF(Y2219="MXN",1/HLOOKUP(YEAR(X2219)+(MONTH(X2219)/100),TC!$5:$37,DAY(X2219)+2,FALSE),VLOOKUP(Y2219,Equivalencia!$1:$23,((MAX(Equivalencia!$3:$3)-YEAR(X2219))*14)+MONTH(X2219)+2,FALSE)))</f>
        <v>0</v>
      </c>
      <c r="AB2219" s="306">
        <f t="shared" si="586"/>
        <v>0</v>
      </c>
      <c r="AC2219" s="305">
        <f>+IF(X2219=0,0,HLOOKUP(YEAR(X2219)+(MONTH(X2219)/100),TC!$5:$37,DAY(X2219)+2,FALSE))</f>
        <v>0</v>
      </c>
      <c r="AD2219" s="307">
        <f t="shared" si="587"/>
        <v>0</v>
      </c>
      <c r="AE2219" s="314">
        <f t="shared" si="588"/>
        <v>0</v>
      </c>
      <c r="AF2219" s="315">
        <f t="shared" si="589"/>
        <v>0</v>
      </c>
      <c r="AG2219" s="316">
        <f t="shared" si="590"/>
        <v>0</v>
      </c>
      <c r="AH2219" s="314">
        <v>1</v>
      </c>
      <c r="AI2219" s="314">
        <f t="shared" si="591"/>
        <v>0</v>
      </c>
      <c r="AJ2219" s="314">
        <f t="shared" si="592"/>
        <v>0</v>
      </c>
      <c r="AK2219" s="317"/>
      <c r="AL2219" s="315">
        <f t="shared" si="593"/>
        <v>0</v>
      </c>
      <c r="AN2219" s="554">
        <f t="shared" si="594"/>
        <v>0</v>
      </c>
      <c r="AO2219" s="314"/>
      <c r="AP2219" s="318"/>
    </row>
    <row r="2220" spans="2:42">
      <c r="B2220" s="296"/>
      <c r="C2220" s="299"/>
      <c r="D2220" s="298"/>
      <c r="E2220" s="299"/>
      <c r="F2220" s="299"/>
      <c r="G2220" s="300"/>
      <c r="H2220" s="303"/>
      <c r="I2220" s="301">
        <f t="shared" si="578"/>
        <v>0</v>
      </c>
      <c r="J2220" s="302">
        <f t="shared" si="579"/>
        <v>0</v>
      </c>
      <c r="K2220" s="304">
        <f t="shared" si="580"/>
        <v>0</v>
      </c>
      <c r="L2220" s="305">
        <f>IF(H2220=0,0,IF(OR(E2220=$AT$5,E2220=$AT$6),AA2220,IF(F2220="MXN",1/HLOOKUP(YEAR(G2220)+(MONTH(G2220)/100),TC!$5:$37,DAY(G2220)+2,FALSE),VLOOKUP(F2220,Equivalencia!$5:$23,((MAX(Equivalencia!$3:$3)-YEAR(G2220))*14)+MONTH(G2220)+2,FALSE))))</f>
        <v>0</v>
      </c>
      <c r="M2220" s="306">
        <f t="shared" si="581"/>
        <v>0</v>
      </c>
      <c r="N2220" s="305">
        <f>IF(G2220=0,0,(IF(OR(E2220=$AT$5,E2220=$AT$6),AC2220,HLOOKUP(YEAR(G2220)+(MONTH(G2220)/100),TC!$5:$37,DAY(G2220)+2,FALSE))))</f>
        <v>0</v>
      </c>
      <c r="O2220" s="307">
        <f t="shared" si="582"/>
        <v>0</v>
      </c>
      <c r="P2220" s="560">
        <f>IF(G2220=0,0,VLOOKUP(YEAR(G2220),INPC!$B$4:$P$30,MONTH(G2220)+2))</f>
        <v>0</v>
      </c>
      <c r="Q2220" s="560">
        <f>IF(X2220=0,0,IF(OR(E2220=$AT$10,E2220=$AT$9),VLOOKUP(YEAR(X2220),INPC!$B$4:$P$30,MONTH(X2220)+1),VLOOKUP(YEAR(X2220),INPC!$B$4:$P$30,MONTH(X2220)+2,0)))</f>
        <v>0</v>
      </c>
      <c r="R2220" s="309">
        <f t="shared" si="583"/>
        <v>0</v>
      </c>
      <c r="S2220" s="310">
        <f t="shared" si="584"/>
        <v>0</v>
      </c>
      <c r="T2220" s="555">
        <f t="shared" si="585"/>
        <v>0</v>
      </c>
      <c r="U2220" s="311"/>
      <c r="V2220" s="312"/>
      <c r="W2220" s="299"/>
      <c r="X2220" s="300"/>
      <c r="Y2220" s="299"/>
      <c r="Z2220" s="303"/>
      <c r="AA2220" s="305">
        <f>IF(Z2220=0,0,IF(Y2220="MXN",1/HLOOKUP(YEAR(X2220)+(MONTH(X2220)/100),TC!$5:$37,DAY(X2220)+2,FALSE),VLOOKUP(Y2220,Equivalencia!$1:$23,((MAX(Equivalencia!$3:$3)-YEAR(X2220))*14)+MONTH(X2220)+2,FALSE)))</f>
        <v>0</v>
      </c>
      <c r="AB2220" s="306">
        <f t="shared" si="586"/>
        <v>0</v>
      </c>
      <c r="AC2220" s="305">
        <f>+IF(X2220=0,0,HLOOKUP(YEAR(X2220)+(MONTH(X2220)/100),TC!$5:$37,DAY(X2220)+2,FALSE))</f>
        <v>0</v>
      </c>
      <c r="AD2220" s="307">
        <f t="shared" si="587"/>
        <v>0</v>
      </c>
      <c r="AE2220" s="314">
        <f t="shared" si="588"/>
        <v>0</v>
      </c>
      <c r="AF2220" s="315">
        <f t="shared" si="589"/>
        <v>0</v>
      </c>
      <c r="AG2220" s="316">
        <f t="shared" si="590"/>
        <v>0</v>
      </c>
      <c r="AH2220" s="314">
        <v>1</v>
      </c>
      <c r="AI2220" s="314">
        <f t="shared" si="591"/>
        <v>0</v>
      </c>
      <c r="AJ2220" s="314">
        <f t="shared" si="592"/>
        <v>0</v>
      </c>
      <c r="AK2220" s="317"/>
      <c r="AL2220" s="315">
        <f t="shared" si="593"/>
        <v>0</v>
      </c>
      <c r="AN2220" s="554">
        <f t="shared" si="594"/>
        <v>0</v>
      </c>
      <c r="AO2220" s="314"/>
      <c r="AP2220" s="318"/>
    </row>
    <row r="2221" spans="2:42">
      <c r="B2221" s="296"/>
      <c r="C2221" s="299"/>
      <c r="D2221" s="298"/>
      <c r="E2221" s="299"/>
      <c r="F2221" s="299"/>
      <c r="G2221" s="300"/>
      <c r="H2221" s="303"/>
      <c r="I2221" s="301">
        <f t="shared" si="578"/>
        <v>0</v>
      </c>
      <c r="J2221" s="302">
        <f t="shared" si="579"/>
        <v>0</v>
      </c>
      <c r="K2221" s="304">
        <f t="shared" si="580"/>
        <v>0</v>
      </c>
      <c r="L2221" s="305">
        <f>IF(H2221=0,0,IF(OR(E2221=$AT$5,E2221=$AT$6),AA2221,IF(F2221="MXN",1/HLOOKUP(YEAR(G2221)+(MONTH(G2221)/100),TC!$5:$37,DAY(G2221)+2,FALSE),VLOOKUP(F2221,Equivalencia!$5:$23,((MAX(Equivalencia!$3:$3)-YEAR(G2221))*14)+MONTH(G2221)+2,FALSE))))</f>
        <v>0</v>
      </c>
      <c r="M2221" s="306">
        <f t="shared" si="581"/>
        <v>0</v>
      </c>
      <c r="N2221" s="305">
        <f>IF(G2221=0,0,(IF(OR(E2221=$AT$5,E2221=$AT$6),AC2221,HLOOKUP(YEAR(G2221)+(MONTH(G2221)/100),TC!$5:$37,DAY(G2221)+2,FALSE))))</f>
        <v>0</v>
      </c>
      <c r="O2221" s="307">
        <f t="shared" si="582"/>
        <v>0</v>
      </c>
      <c r="P2221" s="560">
        <f>IF(G2221=0,0,VLOOKUP(YEAR(G2221),INPC!$B$4:$P$30,MONTH(G2221)+2))</f>
        <v>0</v>
      </c>
      <c r="Q2221" s="560">
        <f>IF(X2221=0,0,IF(OR(E2221=$AT$10,E2221=$AT$9),VLOOKUP(YEAR(X2221),INPC!$B$4:$P$30,MONTH(X2221)+1),VLOOKUP(YEAR(X2221),INPC!$B$4:$P$30,MONTH(X2221)+2,0)))</f>
        <v>0</v>
      </c>
      <c r="R2221" s="309">
        <f t="shared" si="583"/>
        <v>0</v>
      </c>
      <c r="S2221" s="310">
        <f t="shared" si="584"/>
        <v>0</v>
      </c>
      <c r="T2221" s="555">
        <f t="shared" si="585"/>
        <v>0</v>
      </c>
      <c r="U2221" s="311"/>
      <c r="V2221" s="312"/>
      <c r="W2221" s="299"/>
      <c r="X2221" s="300"/>
      <c r="Y2221" s="299"/>
      <c r="Z2221" s="303"/>
      <c r="AA2221" s="305">
        <f>IF(Z2221=0,0,IF(Y2221="MXN",1/HLOOKUP(YEAR(X2221)+(MONTH(X2221)/100),TC!$5:$37,DAY(X2221)+2,FALSE),VLOOKUP(Y2221,Equivalencia!$1:$23,((MAX(Equivalencia!$3:$3)-YEAR(X2221))*14)+MONTH(X2221)+2,FALSE)))</f>
        <v>0</v>
      </c>
      <c r="AB2221" s="306">
        <f t="shared" si="586"/>
        <v>0</v>
      </c>
      <c r="AC2221" s="305">
        <f>+IF(X2221=0,0,HLOOKUP(YEAR(X2221)+(MONTH(X2221)/100),TC!$5:$37,DAY(X2221)+2,FALSE))</f>
        <v>0</v>
      </c>
      <c r="AD2221" s="307">
        <f t="shared" si="587"/>
        <v>0</v>
      </c>
      <c r="AE2221" s="314">
        <f t="shared" si="588"/>
        <v>0</v>
      </c>
      <c r="AF2221" s="315">
        <f t="shared" si="589"/>
        <v>0</v>
      </c>
      <c r="AG2221" s="316">
        <f t="shared" si="590"/>
        <v>0</v>
      </c>
      <c r="AH2221" s="314">
        <v>1</v>
      </c>
      <c r="AI2221" s="314">
        <f t="shared" si="591"/>
        <v>0</v>
      </c>
      <c r="AJ2221" s="314">
        <f t="shared" si="592"/>
        <v>0</v>
      </c>
      <c r="AK2221" s="317"/>
      <c r="AL2221" s="315">
        <f t="shared" si="593"/>
        <v>0</v>
      </c>
      <c r="AN2221" s="554">
        <f t="shared" si="594"/>
        <v>0</v>
      </c>
      <c r="AO2221" s="314"/>
      <c r="AP2221" s="318"/>
    </row>
    <row r="2222" spans="2:42">
      <c r="B2222" s="296"/>
      <c r="C2222" s="299"/>
      <c r="D2222" s="298"/>
      <c r="E2222" s="299"/>
      <c r="F2222" s="299"/>
      <c r="G2222" s="300"/>
      <c r="H2222" s="303"/>
      <c r="I2222" s="301">
        <f t="shared" si="578"/>
        <v>0</v>
      </c>
      <c r="J2222" s="302">
        <f t="shared" si="579"/>
        <v>0</v>
      </c>
      <c r="K2222" s="304">
        <f t="shared" si="580"/>
        <v>0</v>
      </c>
      <c r="L2222" s="305">
        <f>IF(H2222=0,0,IF(OR(E2222=$AT$5,E2222=$AT$6),AA2222,IF(F2222="MXN",1/HLOOKUP(YEAR(G2222)+(MONTH(G2222)/100),TC!$5:$37,DAY(G2222)+2,FALSE),VLOOKUP(F2222,Equivalencia!$5:$23,((MAX(Equivalencia!$3:$3)-YEAR(G2222))*14)+MONTH(G2222)+2,FALSE))))</f>
        <v>0</v>
      </c>
      <c r="M2222" s="306">
        <f t="shared" si="581"/>
        <v>0</v>
      </c>
      <c r="N2222" s="305">
        <f>IF(G2222=0,0,(IF(OR(E2222=$AT$5,E2222=$AT$6),AC2222,HLOOKUP(YEAR(G2222)+(MONTH(G2222)/100),TC!$5:$37,DAY(G2222)+2,FALSE))))</f>
        <v>0</v>
      </c>
      <c r="O2222" s="307">
        <f t="shared" si="582"/>
        <v>0</v>
      </c>
      <c r="P2222" s="560">
        <f>IF(G2222=0,0,VLOOKUP(YEAR(G2222),INPC!$B$4:$P$30,MONTH(G2222)+2))</f>
        <v>0</v>
      </c>
      <c r="Q2222" s="560">
        <f>IF(X2222=0,0,IF(OR(E2222=$AT$10,E2222=$AT$9),VLOOKUP(YEAR(X2222),INPC!$B$4:$P$30,MONTH(X2222)+1),VLOOKUP(YEAR(X2222),INPC!$B$4:$P$30,MONTH(X2222)+2,0)))</f>
        <v>0</v>
      </c>
      <c r="R2222" s="309">
        <f t="shared" si="583"/>
        <v>0</v>
      </c>
      <c r="S2222" s="310">
        <f t="shared" si="584"/>
        <v>0</v>
      </c>
      <c r="T2222" s="555">
        <f t="shared" si="585"/>
        <v>0</v>
      </c>
      <c r="U2222" s="311"/>
      <c r="V2222" s="312"/>
      <c r="W2222" s="299"/>
      <c r="X2222" s="300"/>
      <c r="Y2222" s="299"/>
      <c r="Z2222" s="303"/>
      <c r="AA2222" s="305">
        <f>IF(Z2222=0,0,IF(Y2222="MXN",1/HLOOKUP(YEAR(X2222)+(MONTH(X2222)/100),TC!$5:$37,DAY(X2222)+2,FALSE),VLOOKUP(Y2222,Equivalencia!$1:$23,((MAX(Equivalencia!$3:$3)-YEAR(X2222))*14)+MONTH(X2222)+2,FALSE)))</f>
        <v>0</v>
      </c>
      <c r="AB2222" s="306">
        <f t="shared" si="586"/>
        <v>0</v>
      </c>
      <c r="AC2222" s="305">
        <f>+IF(X2222=0,0,HLOOKUP(YEAR(X2222)+(MONTH(X2222)/100),TC!$5:$37,DAY(X2222)+2,FALSE))</f>
        <v>0</v>
      </c>
      <c r="AD2222" s="307">
        <f t="shared" si="587"/>
        <v>0</v>
      </c>
      <c r="AE2222" s="314">
        <f t="shared" si="588"/>
        <v>0</v>
      </c>
      <c r="AF2222" s="315">
        <f t="shared" si="589"/>
        <v>0</v>
      </c>
      <c r="AG2222" s="316">
        <f t="shared" si="590"/>
        <v>0</v>
      </c>
      <c r="AH2222" s="314">
        <v>1</v>
      </c>
      <c r="AI2222" s="314">
        <f t="shared" si="591"/>
        <v>0</v>
      </c>
      <c r="AJ2222" s="314">
        <f t="shared" si="592"/>
        <v>0</v>
      </c>
      <c r="AK2222" s="317"/>
      <c r="AL2222" s="315">
        <f t="shared" si="593"/>
        <v>0</v>
      </c>
      <c r="AN2222" s="554">
        <f t="shared" si="594"/>
        <v>0</v>
      </c>
      <c r="AO2222" s="314"/>
      <c r="AP2222" s="318"/>
    </row>
    <row r="2223" spans="2:42">
      <c r="B2223" s="296"/>
      <c r="C2223" s="299"/>
      <c r="D2223" s="298"/>
      <c r="E2223" s="299"/>
      <c r="F2223" s="299"/>
      <c r="G2223" s="300"/>
      <c r="H2223" s="303"/>
      <c r="I2223" s="301">
        <f t="shared" si="578"/>
        <v>0</v>
      </c>
      <c r="J2223" s="302">
        <f t="shared" si="579"/>
        <v>0</v>
      </c>
      <c r="K2223" s="304">
        <f t="shared" si="580"/>
        <v>0</v>
      </c>
      <c r="L2223" s="305">
        <f>IF(H2223=0,0,IF(OR(E2223=$AT$5,E2223=$AT$6),AA2223,IF(F2223="MXN",1/HLOOKUP(YEAR(G2223)+(MONTH(G2223)/100),TC!$5:$37,DAY(G2223)+2,FALSE),VLOOKUP(F2223,Equivalencia!$5:$23,((MAX(Equivalencia!$3:$3)-YEAR(G2223))*14)+MONTH(G2223)+2,FALSE))))</f>
        <v>0</v>
      </c>
      <c r="M2223" s="306">
        <f t="shared" si="581"/>
        <v>0</v>
      </c>
      <c r="N2223" s="305">
        <f>IF(G2223=0,0,(IF(OR(E2223=$AT$5,E2223=$AT$6),AC2223,HLOOKUP(YEAR(G2223)+(MONTH(G2223)/100),TC!$5:$37,DAY(G2223)+2,FALSE))))</f>
        <v>0</v>
      </c>
      <c r="O2223" s="307">
        <f t="shared" si="582"/>
        <v>0</v>
      </c>
      <c r="P2223" s="560">
        <f>IF(G2223=0,0,VLOOKUP(YEAR(G2223),INPC!$B$4:$P$30,MONTH(G2223)+2))</f>
        <v>0</v>
      </c>
      <c r="Q2223" s="560">
        <f>IF(X2223=0,0,IF(OR(E2223=$AT$10,E2223=$AT$9),VLOOKUP(YEAR(X2223),INPC!$B$4:$P$30,MONTH(X2223)+1),VLOOKUP(YEAR(X2223),INPC!$B$4:$P$30,MONTH(X2223)+2,0)))</f>
        <v>0</v>
      </c>
      <c r="R2223" s="309">
        <f t="shared" si="583"/>
        <v>0</v>
      </c>
      <c r="S2223" s="310">
        <f t="shared" si="584"/>
        <v>0</v>
      </c>
      <c r="T2223" s="555">
        <f t="shared" si="585"/>
        <v>0</v>
      </c>
      <c r="U2223" s="311"/>
      <c r="V2223" s="312"/>
      <c r="W2223" s="299"/>
      <c r="X2223" s="300"/>
      <c r="Y2223" s="299"/>
      <c r="Z2223" s="303"/>
      <c r="AA2223" s="305">
        <f>IF(Z2223=0,0,IF(Y2223="MXN",1/HLOOKUP(YEAR(X2223)+(MONTH(X2223)/100),TC!$5:$37,DAY(X2223)+2,FALSE),VLOOKUP(Y2223,Equivalencia!$1:$23,((MAX(Equivalencia!$3:$3)-YEAR(X2223))*14)+MONTH(X2223)+2,FALSE)))</f>
        <v>0</v>
      </c>
      <c r="AB2223" s="306">
        <f t="shared" si="586"/>
        <v>0</v>
      </c>
      <c r="AC2223" s="305">
        <f>+IF(X2223=0,0,HLOOKUP(YEAR(X2223)+(MONTH(X2223)/100),TC!$5:$37,DAY(X2223)+2,FALSE))</f>
        <v>0</v>
      </c>
      <c r="AD2223" s="307">
        <f t="shared" si="587"/>
        <v>0</v>
      </c>
      <c r="AE2223" s="314">
        <f t="shared" si="588"/>
        <v>0</v>
      </c>
      <c r="AF2223" s="315">
        <f t="shared" si="589"/>
        <v>0</v>
      </c>
      <c r="AG2223" s="316">
        <f t="shared" si="590"/>
        <v>0</v>
      </c>
      <c r="AH2223" s="314">
        <v>1</v>
      </c>
      <c r="AI2223" s="314">
        <f t="shared" si="591"/>
        <v>0</v>
      </c>
      <c r="AJ2223" s="314">
        <f t="shared" si="592"/>
        <v>0</v>
      </c>
      <c r="AK2223" s="317"/>
      <c r="AL2223" s="315">
        <f t="shared" si="593"/>
        <v>0</v>
      </c>
      <c r="AN2223" s="554">
        <f t="shared" si="594"/>
        <v>0</v>
      </c>
      <c r="AO2223" s="314"/>
      <c r="AP2223" s="318"/>
    </row>
    <row r="2224" spans="2:42">
      <c r="B2224" s="296"/>
      <c r="C2224" s="299"/>
      <c r="D2224" s="298"/>
      <c r="E2224" s="299"/>
      <c r="F2224" s="299"/>
      <c r="G2224" s="300"/>
      <c r="H2224" s="303"/>
      <c r="I2224" s="301">
        <f t="shared" si="578"/>
        <v>0</v>
      </c>
      <c r="J2224" s="302">
        <f t="shared" si="579"/>
        <v>0</v>
      </c>
      <c r="K2224" s="304">
        <f t="shared" si="580"/>
        <v>0</v>
      </c>
      <c r="L2224" s="305">
        <f>IF(H2224=0,0,IF(OR(E2224=$AT$5,E2224=$AT$6),AA2224,IF(F2224="MXN",1/HLOOKUP(YEAR(G2224)+(MONTH(G2224)/100),TC!$5:$37,DAY(G2224)+2,FALSE),VLOOKUP(F2224,Equivalencia!$5:$23,((MAX(Equivalencia!$3:$3)-YEAR(G2224))*14)+MONTH(G2224)+2,FALSE))))</f>
        <v>0</v>
      </c>
      <c r="M2224" s="306">
        <f t="shared" si="581"/>
        <v>0</v>
      </c>
      <c r="N2224" s="305">
        <f>IF(G2224=0,0,(IF(OR(E2224=$AT$5,E2224=$AT$6),AC2224,HLOOKUP(YEAR(G2224)+(MONTH(G2224)/100),TC!$5:$37,DAY(G2224)+2,FALSE))))</f>
        <v>0</v>
      </c>
      <c r="O2224" s="307">
        <f t="shared" si="582"/>
        <v>0</v>
      </c>
      <c r="P2224" s="560">
        <f>IF(G2224=0,0,VLOOKUP(YEAR(G2224),INPC!$B$4:$P$30,MONTH(G2224)+2))</f>
        <v>0</v>
      </c>
      <c r="Q2224" s="560">
        <f>IF(X2224=0,0,IF(OR(E2224=$AT$10,E2224=$AT$9),VLOOKUP(YEAR(X2224),INPC!$B$4:$P$30,MONTH(X2224)+1),VLOOKUP(YEAR(X2224),INPC!$B$4:$P$30,MONTH(X2224)+2,0)))</f>
        <v>0</v>
      </c>
      <c r="R2224" s="309">
        <f t="shared" si="583"/>
        <v>0</v>
      </c>
      <c r="S2224" s="310">
        <f t="shared" si="584"/>
        <v>0</v>
      </c>
      <c r="T2224" s="555">
        <f t="shared" si="585"/>
        <v>0</v>
      </c>
      <c r="U2224" s="311"/>
      <c r="V2224" s="312"/>
      <c r="W2224" s="299"/>
      <c r="X2224" s="300"/>
      <c r="Y2224" s="299"/>
      <c r="Z2224" s="303"/>
      <c r="AA2224" s="305">
        <f>IF(Z2224=0,0,IF(Y2224="MXN",1/HLOOKUP(YEAR(X2224)+(MONTH(X2224)/100),TC!$5:$37,DAY(X2224)+2,FALSE),VLOOKUP(Y2224,Equivalencia!$1:$23,((MAX(Equivalencia!$3:$3)-YEAR(X2224))*14)+MONTH(X2224)+2,FALSE)))</f>
        <v>0</v>
      </c>
      <c r="AB2224" s="306">
        <f t="shared" si="586"/>
        <v>0</v>
      </c>
      <c r="AC2224" s="305">
        <f>+IF(X2224=0,0,HLOOKUP(YEAR(X2224)+(MONTH(X2224)/100),TC!$5:$37,DAY(X2224)+2,FALSE))</f>
        <v>0</v>
      </c>
      <c r="AD2224" s="307">
        <f t="shared" si="587"/>
        <v>0</v>
      </c>
      <c r="AE2224" s="314">
        <f t="shared" si="588"/>
        <v>0</v>
      </c>
      <c r="AF2224" s="315">
        <f t="shared" si="589"/>
        <v>0</v>
      </c>
      <c r="AG2224" s="316">
        <f t="shared" si="590"/>
        <v>0</v>
      </c>
      <c r="AH2224" s="314">
        <v>1</v>
      </c>
      <c r="AI2224" s="314">
        <f t="shared" si="591"/>
        <v>0</v>
      </c>
      <c r="AJ2224" s="314">
        <f t="shared" si="592"/>
        <v>0</v>
      </c>
      <c r="AK2224" s="317"/>
      <c r="AL2224" s="315">
        <f t="shared" si="593"/>
        <v>0</v>
      </c>
      <c r="AN2224" s="554">
        <f t="shared" si="594"/>
        <v>0</v>
      </c>
      <c r="AO2224" s="314"/>
      <c r="AP2224" s="318"/>
    </row>
    <row r="2225" spans="2:42">
      <c r="B2225" s="296"/>
      <c r="C2225" s="299"/>
      <c r="D2225" s="298"/>
      <c r="E2225" s="299"/>
      <c r="F2225" s="299"/>
      <c r="G2225" s="300"/>
      <c r="H2225" s="303"/>
      <c r="I2225" s="301">
        <f t="shared" si="578"/>
        <v>0</v>
      </c>
      <c r="J2225" s="302">
        <f t="shared" si="579"/>
        <v>0</v>
      </c>
      <c r="K2225" s="304">
        <f t="shared" si="580"/>
        <v>0</v>
      </c>
      <c r="L2225" s="305">
        <f>IF(H2225=0,0,IF(OR(E2225=$AT$5,E2225=$AT$6),AA2225,IF(F2225="MXN",1/HLOOKUP(YEAR(G2225)+(MONTH(G2225)/100),TC!$5:$37,DAY(G2225)+2,FALSE),VLOOKUP(F2225,Equivalencia!$5:$23,((MAX(Equivalencia!$3:$3)-YEAR(G2225))*14)+MONTH(G2225)+2,FALSE))))</f>
        <v>0</v>
      </c>
      <c r="M2225" s="306">
        <f t="shared" si="581"/>
        <v>0</v>
      </c>
      <c r="N2225" s="305">
        <f>IF(G2225=0,0,(IF(OR(E2225=$AT$5,E2225=$AT$6),AC2225,HLOOKUP(YEAR(G2225)+(MONTH(G2225)/100),TC!$5:$37,DAY(G2225)+2,FALSE))))</f>
        <v>0</v>
      </c>
      <c r="O2225" s="307">
        <f t="shared" si="582"/>
        <v>0</v>
      </c>
      <c r="P2225" s="560">
        <f>IF(G2225=0,0,VLOOKUP(YEAR(G2225),INPC!$B$4:$P$30,MONTH(G2225)+2))</f>
        <v>0</v>
      </c>
      <c r="Q2225" s="560">
        <f>IF(X2225=0,0,IF(OR(E2225=$AT$10,E2225=$AT$9),VLOOKUP(YEAR(X2225),INPC!$B$4:$P$30,MONTH(X2225)+1),VLOOKUP(YEAR(X2225),INPC!$B$4:$P$30,MONTH(X2225)+2,0)))</f>
        <v>0</v>
      </c>
      <c r="R2225" s="309">
        <f t="shared" si="583"/>
        <v>0</v>
      </c>
      <c r="S2225" s="310">
        <f t="shared" si="584"/>
        <v>0</v>
      </c>
      <c r="T2225" s="555">
        <f t="shared" si="585"/>
        <v>0</v>
      </c>
      <c r="U2225" s="311"/>
      <c r="V2225" s="312"/>
      <c r="W2225" s="299"/>
      <c r="X2225" s="300"/>
      <c r="Y2225" s="299"/>
      <c r="Z2225" s="303"/>
      <c r="AA2225" s="305">
        <f>IF(Z2225=0,0,IF(Y2225="MXN",1/HLOOKUP(YEAR(X2225)+(MONTH(X2225)/100),TC!$5:$37,DAY(X2225)+2,FALSE),VLOOKUP(Y2225,Equivalencia!$1:$23,((MAX(Equivalencia!$3:$3)-YEAR(X2225))*14)+MONTH(X2225)+2,FALSE)))</f>
        <v>0</v>
      </c>
      <c r="AB2225" s="306">
        <f t="shared" si="586"/>
        <v>0</v>
      </c>
      <c r="AC2225" s="305">
        <f>+IF(X2225=0,0,HLOOKUP(YEAR(X2225)+(MONTH(X2225)/100),TC!$5:$37,DAY(X2225)+2,FALSE))</f>
        <v>0</v>
      </c>
      <c r="AD2225" s="307">
        <f t="shared" si="587"/>
        <v>0</v>
      </c>
      <c r="AE2225" s="314">
        <f t="shared" si="588"/>
        <v>0</v>
      </c>
      <c r="AF2225" s="315">
        <f t="shared" si="589"/>
        <v>0</v>
      </c>
      <c r="AG2225" s="316">
        <f t="shared" si="590"/>
        <v>0</v>
      </c>
      <c r="AH2225" s="314">
        <v>1</v>
      </c>
      <c r="AI2225" s="314">
        <f t="shared" si="591"/>
        <v>0</v>
      </c>
      <c r="AJ2225" s="314">
        <f t="shared" si="592"/>
        <v>0</v>
      </c>
      <c r="AK2225" s="317"/>
      <c r="AL2225" s="315">
        <f t="shared" si="593"/>
        <v>0</v>
      </c>
      <c r="AN2225" s="554">
        <f t="shared" si="594"/>
        <v>0</v>
      </c>
      <c r="AO2225" s="314"/>
      <c r="AP2225" s="318"/>
    </row>
    <row r="2226" spans="2:42">
      <c r="B2226" s="296"/>
      <c r="C2226" s="299"/>
      <c r="D2226" s="298"/>
      <c r="E2226" s="299"/>
      <c r="F2226" s="299"/>
      <c r="G2226" s="300"/>
      <c r="H2226" s="303"/>
      <c r="I2226" s="301">
        <f t="shared" si="578"/>
        <v>0</v>
      </c>
      <c r="J2226" s="302">
        <f t="shared" si="579"/>
        <v>0</v>
      </c>
      <c r="K2226" s="304">
        <f t="shared" si="580"/>
        <v>0</v>
      </c>
      <c r="L2226" s="305">
        <f>IF(H2226=0,0,IF(OR(E2226=$AT$5,E2226=$AT$6),AA2226,IF(F2226="MXN",1/HLOOKUP(YEAR(G2226)+(MONTH(G2226)/100),TC!$5:$37,DAY(G2226)+2,FALSE),VLOOKUP(F2226,Equivalencia!$5:$23,((MAX(Equivalencia!$3:$3)-YEAR(G2226))*14)+MONTH(G2226)+2,FALSE))))</f>
        <v>0</v>
      </c>
      <c r="M2226" s="306">
        <f t="shared" si="581"/>
        <v>0</v>
      </c>
      <c r="N2226" s="305">
        <f>IF(G2226=0,0,(IF(OR(E2226=$AT$5,E2226=$AT$6),AC2226,HLOOKUP(YEAR(G2226)+(MONTH(G2226)/100),TC!$5:$37,DAY(G2226)+2,FALSE))))</f>
        <v>0</v>
      </c>
      <c r="O2226" s="307">
        <f t="shared" si="582"/>
        <v>0</v>
      </c>
      <c r="P2226" s="560">
        <f>IF(G2226=0,0,VLOOKUP(YEAR(G2226),INPC!$B$4:$P$30,MONTH(G2226)+2))</f>
        <v>0</v>
      </c>
      <c r="Q2226" s="560">
        <f>IF(X2226=0,0,IF(OR(E2226=$AT$10,E2226=$AT$9),VLOOKUP(YEAR(X2226),INPC!$B$4:$P$30,MONTH(X2226)+1),VLOOKUP(YEAR(X2226),INPC!$B$4:$P$30,MONTH(X2226)+2,0)))</f>
        <v>0</v>
      </c>
      <c r="R2226" s="309">
        <f t="shared" si="583"/>
        <v>0</v>
      </c>
      <c r="S2226" s="310">
        <f t="shared" si="584"/>
        <v>0</v>
      </c>
      <c r="T2226" s="555">
        <f t="shared" si="585"/>
        <v>0</v>
      </c>
      <c r="U2226" s="311"/>
      <c r="V2226" s="312"/>
      <c r="W2226" s="299"/>
      <c r="X2226" s="300"/>
      <c r="Y2226" s="299"/>
      <c r="Z2226" s="303"/>
      <c r="AA2226" s="305">
        <f>IF(Z2226=0,0,IF(Y2226="MXN",1/HLOOKUP(YEAR(X2226)+(MONTH(X2226)/100),TC!$5:$37,DAY(X2226)+2,FALSE),VLOOKUP(Y2226,Equivalencia!$1:$23,((MAX(Equivalencia!$3:$3)-YEAR(X2226))*14)+MONTH(X2226)+2,FALSE)))</f>
        <v>0</v>
      </c>
      <c r="AB2226" s="306">
        <f t="shared" si="586"/>
        <v>0</v>
      </c>
      <c r="AC2226" s="305">
        <f>+IF(X2226=0,0,HLOOKUP(YEAR(X2226)+(MONTH(X2226)/100),TC!$5:$37,DAY(X2226)+2,FALSE))</f>
        <v>0</v>
      </c>
      <c r="AD2226" s="307">
        <f t="shared" si="587"/>
        <v>0</v>
      </c>
      <c r="AE2226" s="314">
        <f t="shared" si="588"/>
        <v>0</v>
      </c>
      <c r="AF2226" s="315">
        <f t="shared" si="589"/>
        <v>0</v>
      </c>
      <c r="AG2226" s="316">
        <f t="shared" si="590"/>
        <v>0</v>
      </c>
      <c r="AH2226" s="314">
        <v>1</v>
      </c>
      <c r="AI2226" s="314">
        <f t="shared" si="591"/>
        <v>0</v>
      </c>
      <c r="AJ2226" s="314">
        <f t="shared" si="592"/>
        <v>0</v>
      </c>
      <c r="AK2226" s="317"/>
      <c r="AL2226" s="315">
        <f t="shared" si="593"/>
        <v>0</v>
      </c>
      <c r="AN2226" s="554">
        <f t="shared" si="594"/>
        <v>0</v>
      </c>
      <c r="AO2226" s="314"/>
      <c r="AP2226" s="318"/>
    </row>
    <row r="2227" spans="2:42">
      <c r="B2227" s="296"/>
      <c r="C2227" s="299"/>
      <c r="D2227" s="298"/>
      <c r="E2227" s="299"/>
      <c r="F2227" s="299"/>
      <c r="G2227" s="300"/>
      <c r="H2227" s="303"/>
      <c r="I2227" s="301">
        <f t="shared" si="578"/>
        <v>0</v>
      </c>
      <c r="J2227" s="302">
        <f t="shared" si="579"/>
        <v>0</v>
      </c>
      <c r="K2227" s="304">
        <f t="shared" si="580"/>
        <v>0</v>
      </c>
      <c r="L2227" s="305">
        <f>IF(H2227=0,0,IF(OR(E2227=$AT$5,E2227=$AT$6),AA2227,IF(F2227="MXN",1/HLOOKUP(YEAR(G2227)+(MONTH(G2227)/100),TC!$5:$37,DAY(G2227)+2,FALSE),VLOOKUP(F2227,Equivalencia!$5:$23,((MAX(Equivalencia!$3:$3)-YEAR(G2227))*14)+MONTH(G2227)+2,FALSE))))</f>
        <v>0</v>
      </c>
      <c r="M2227" s="306">
        <f t="shared" si="581"/>
        <v>0</v>
      </c>
      <c r="N2227" s="305">
        <f>IF(G2227=0,0,(IF(OR(E2227=$AT$5,E2227=$AT$6),AC2227,HLOOKUP(YEAR(G2227)+(MONTH(G2227)/100),TC!$5:$37,DAY(G2227)+2,FALSE))))</f>
        <v>0</v>
      </c>
      <c r="O2227" s="307">
        <f t="shared" si="582"/>
        <v>0</v>
      </c>
      <c r="P2227" s="560">
        <f>IF(G2227=0,0,VLOOKUP(YEAR(G2227),INPC!$B$4:$P$30,MONTH(G2227)+2))</f>
        <v>0</v>
      </c>
      <c r="Q2227" s="560">
        <f>IF(X2227=0,0,IF(OR(E2227=$AT$10,E2227=$AT$9),VLOOKUP(YEAR(X2227),INPC!$B$4:$P$30,MONTH(X2227)+1),VLOOKUP(YEAR(X2227),INPC!$B$4:$P$30,MONTH(X2227)+2,0)))</f>
        <v>0</v>
      </c>
      <c r="R2227" s="309">
        <f t="shared" si="583"/>
        <v>0</v>
      </c>
      <c r="S2227" s="310">
        <f t="shared" si="584"/>
        <v>0</v>
      </c>
      <c r="T2227" s="555">
        <f t="shared" si="585"/>
        <v>0</v>
      </c>
      <c r="U2227" s="311"/>
      <c r="V2227" s="312"/>
      <c r="W2227" s="299"/>
      <c r="X2227" s="300"/>
      <c r="Y2227" s="299"/>
      <c r="Z2227" s="303"/>
      <c r="AA2227" s="305">
        <f>IF(Z2227=0,0,IF(Y2227="MXN",1/HLOOKUP(YEAR(X2227)+(MONTH(X2227)/100),TC!$5:$37,DAY(X2227)+2,FALSE),VLOOKUP(Y2227,Equivalencia!$1:$23,((MAX(Equivalencia!$3:$3)-YEAR(X2227))*14)+MONTH(X2227)+2,FALSE)))</f>
        <v>0</v>
      </c>
      <c r="AB2227" s="306">
        <f t="shared" si="586"/>
        <v>0</v>
      </c>
      <c r="AC2227" s="305">
        <f>+IF(X2227=0,0,HLOOKUP(YEAR(X2227)+(MONTH(X2227)/100),TC!$5:$37,DAY(X2227)+2,FALSE))</f>
        <v>0</v>
      </c>
      <c r="AD2227" s="307">
        <f t="shared" si="587"/>
        <v>0</v>
      </c>
      <c r="AE2227" s="314">
        <f t="shared" si="588"/>
        <v>0</v>
      </c>
      <c r="AF2227" s="315">
        <f t="shared" si="589"/>
        <v>0</v>
      </c>
      <c r="AG2227" s="316">
        <f t="shared" si="590"/>
        <v>0</v>
      </c>
      <c r="AH2227" s="314">
        <v>1</v>
      </c>
      <c r="AI2227" s="314">
        <f t="shared" si="591"/>
        <v>0</v>
      </c>
      <c r="AJ2227" s="314">
        <f t="shared" si="592"/>
        <v>0</v>
      </c>
      <c r="AK2227" s="317"/>
      <c r="AL2227" s="315">
        <f t="shared" si="593"/>
        <v>0</v>
      </c>
      <c r="AN2227" s="554">
        <f t="shared" si="594"/>
        <v>0</v>
      </c>
      <c r="AO2227" s="314"/>
      <c r="AP2227" s="318"/>
    </row>
    <row r="2228" spans="2:42">
      <c r="B2228" s="296"/>
      <c r="C2228" s="299"/>
      <c r="D2228" s="298"/>
      <c r="E2228" s="299"/>
      <c r="F2228" s="299"/>
      <c r="G2228" s="300"/>
      <c r="H2228" s="303"/>
      <c r="I2228" s="301">
        <f t="shared" si="578"/>
        <v>0</v>
      </c>
      <c r="J2228" s="302">
        <f t="shared" si="579"/>
        <v>0</v>
      </c>
      <c r="K2228" s="304">
        <f t="shared" si="580"/>
        <v>0</v>
      </c>
      <c r="L2228" s="305">
        <f>IF(H2228=0,0,IF(OR(E2228=$AT$5,E2228=$AT$6),AA2228,IF(F2228="MXN",1/HLOOKUP(YEAR(G2228)+(MONTH(G2228)/100),TC!$5:$37,DAY(G2228)+2,FALSE),VLOOKUP(F2228,Equivalencia!$5:$23,((MAX(Equivalencia!$3:$3)-YEAR(G2228))*14)+MONTH(G2228)+2,FALSE))))</f>
        <v>0</v>
      </c>
      <c r="M2228" s="306">
        <f t="shared" si="581"/>
        <v>0</v>
      </c>
      <c r="N2228" s="305">
        <f>IF(G2228=0,0,(IF(OR(E2228=$AT$5,E2228=$AT$6),AC2228,HLOOKUP(YEAR(G2228)+(MONTH(G2228)/100),TC!$5:$37,DAY(G2228)+2,FALSE))))</f>
        <v>0</v>
      </c>
      <c r="O2228" s="307">
        <f t="shared" si="582"/>
        <v>0</v>
      </c>
      <c r="P2228" s="560">
        <f>IF(G2228=0,0,VLOOKUP(YEAR(G2228),INPC!$B$4:$P$30,MONTH(G2228)+2))</f>
        <v>0</v>
      </c>
      <c r="Q2228" s="560">
        <f>IF(X2228=0,0,IF(OR(E2228=$AT$10,E2228=$AT$9),VLOOKUP(YEAR(X2228),INPC!$B$4:$P$30,MONTH(X2228)+1),VLOOKUP(YEAR(X2228),INPC!$B$4:$P$30,MONTH(X2228)+2,0)))</f>
        <v>0</v>
      </c>
      <c r="R2228" s="309">
        <f t="shared" si="583"/>
        <v>0</v>
      </c>
      <c r="S2228" s="310">
        <f t="shared" si="584"/>
        <v>0</v>
      </c>
      <c r="T2228" s="555">
        <f t="shared" si="585"/>
        <v>0</v>
      </c>
      <c r="U2228" s="311"/>
      <c r="V2228" s="312"/>
      <c r="W2228" s="299"/>
      <c r="X2228" s="300"/>
      <c r="Y2228" s="299"/>
      <c r="Z2228" s="303"/>
      <c r="AA2228" s="305">
        <f>IF(Z2228=0,0,IF(Y2228="MXN",1/HLOOKUP(YEAR(X2228)+(MONTH(X2228)/100),TC!$5:$37,DAY(X2228)+2,FALSE),VLOOKUP(Y2228,Equivalencia!$1:$23,((MAX(Equivalencia!$3:$3)-YEAR(X2228))*14)+MONTH(X2228)+2,FALSE)))</f>
        <v>0</v>
      </c>
      <c r="AB2228" s="306">
        <f t="shared" si="586"/>
        <v>0</v>
      </c>
      <c r="AC2228" s="305">
        <f>+IF(X2228=0,0,HLOOKUP(YEAR(X2228)+(MONTH(X2228)/100),TC!$5:$37,DAY(X2228)+2,FALSE))</f>
        <v>0</v>
      </c>
      <c r="AD2228" s="307">
        <f t="shared" si="587"/>
        <v>0</v>
      </c>
      <c r="AE2228" s="314">
        <f t="shared" si="588"/>
        <v>0</v>
      </c>
      <c r="AF2228" s="315">
        <f t="shared" si="589"/>
        <v>0</v>
      </c>
      <c r="AG2228" s="316">
        <f t="shared" si="590"/>
        <v>0</v>
      </c>
      <c r="AH2228" s="314">
        <v>1</v>
      </c>
      <c r="AI2228" s="314">
        <f t="shared" si="591"/>
        <v>0</v>
      </c>
      <c r="AJ2228" s="314">
        <f t="shared" si="592"/>
        <v>0</v>
      </c>
      <c r="AK2228" s="317"/>
      <c r="AL2228" s="315">
        <f t="shared" si="593"/>
        <v>0</v>
      </c>
      <c r="AN2228" s="554">
        <f t="shared" si="594"/>
        <v>0</v>
      </c>
      <c r="AO2228" s="314"/>
      <c r="AP2228" s="318"/>
    </row>
    <row r="2229" spans="2:42">
      <c r="B2229" s="296"/>
      <c r="C2229" s="299"/>
      <c r="D2229" s="298"/>
      <c r="E2229" s="299"/>
      <c r="F2229" s="299"/>
      <c r="G2229" s="300"/>
      <c r="H2229" s="303"/>
      <c r="I2229" s="301">
        <f t="shared" si="578"/>
        <v>0</v>
      </c>
      <c r="J2229" s="302">
        <f t="shared" si="579"/>
        <v>0</v>
      </c>
      <c r="K2229" s="304">
        <f t="shared" si="580"/>
        <v>0</v>
      </c>
      <c r="L2229" s="305">
        <f>IF(H2229=0,0,IF(OR(E2229=$AT$5,E2229=$AT$6),AA2229,IF(F2229="MXN",1/HLOOKUP(YEAR(G2229)+(MONTH(G2229)/100),TC!$5:$37,DAY(G2229)+2,FALSE),VLOOKUP(F2229,Equivalencia!$5:$23,((MAX(Equivalencia!$3:$3)-YEAR(G2229))*14)+MONTH(G2229)+2,FALSE))))</f>
        <v>0</v>
      </c>
      <c r="M2229" s="306">
        <f t="shared" si="581"/>
        <v>0</v>
      </c>
      <c r="N2229" s="305">
        <f>IF(G2229=0,0,(IF(OR(E2229=$AT$5,E2229=$AT$6),AC2229,HLOOKUP(YEAR(G2229)+(MONTH(G2229)/100),TC!$5:$37,DAY(G2229)+2,FALSE))))</f>
        <v>0</v>
      </c>
      <c r="O2229" s="307">
        <f t="shared" si="582"/>
        <v>0</v>
      </c>
      <c r="P2229" s="560">
        <f>IF(G2229=0,0,VLOOKUP(YEAR(G2229),INPC!$B$4:$P$30,MONTH(G2229)+2))</f>
        <v>0</v>
      </c>
      <c r="Q2229" s="560">
        <f>IF(X2229=0,0,IF(OR(E2229=$AT$10,E2229=$AT$9),VLOOKUP(YEAR(X2229),INPC!$B$4:$P$30,MONTH(X2229)+1),VLOOKUP(YEAR(X2229),INPC!$B$4:$P$30,MONTH(X2229)+2,0)))</f>
        <v>0</v>
      </c>
      <c r="R2229" s="309">
        <f t="shared" si="583"/>
        <v>0</v>
      </c>
      <c r="S2229" s="310">
        <f t="shared" si="584"/>
        <v>0</v>
      </c>
      <c r="T2229" s="555">
        <f t="shared" si="585"/>
        <v>0</v>
      </c>
      <c r="U2229" s="311"/>
      <c r="V2229" s="312"/>
      <c r="W2229" s="299"/>
      <c r="X2229" s="300"/>
      <c r="Y2229" s="299"/>
      <c r="Z2229" s="303"/>
      <c r="AA2229" s="305">
        <f>IF(Z2229=0,0,IF(Y2229="MXN",1/HLOOKUP(YEAR(X2229)+(MONTH(X2229)/100),TC!$5:$37,DAY(X2229)+2,FALSE),VLOOKUP(Y2229,Equivalencia!$1:$23,((MAX(Equivalencia!$3:$3)-YEAR(X2229))*14)+MONTH(X2229)+2,FALSE)))</f>
        <v>0</v>
      </c>
      <c r="AB2229" s="306">
        <f t="shared" si="586"/>
        <v>0</v>
      </c>
      <c r="AC2229" s="305">
        <f>+IF(X2229=0,0,HLOOKUP(YEAR(X2229)+(MONTH(X2229)/100),TC!$5:$37,DAY(X2229)+2,FALSE))</f>
        <v>0</v>
      </c>
      <c r="AD2229" s="307">
        <f t="shared" si="587"/>
        <v>0</v>
      </c>
      <c r="AE2229" s="314">
        <f t="shared" si="588"/>
        <v>0</v>
      </c>
      <c r="AF2229" s="315">
        <f t="shared" si="589"/>
        <v>0</v>
      </c>
      <c r="AG2229" s="316">
        <f t="shared" si="590"/>
        <v>0</v>
      </c>
      <c r="AH2229" s="314">
        <v>1</v>
      </c>
      <c r="AI2229" s="314">
        <f t="shared" si="591"/>
        <v>0</v>
      </c>
      <c r="AJ2229" s="314">
        <f t="shared" si="592"/>
        <v>0</v>
      </c>
      <c r="AK2229" s="317"/>
      <c r="AL2229" s="315">
        <f t="shared" si="593"/>
        <v>0</v>
      </c>
      <c r="AN2229" s="554">
        <f t="shared" si="594"/>
        <v>0</v>
      </c>
      <c r="AO2229" s="314"/>
      <c r="AP2229" s="318"/>
    </row>
    <row r="2230" spans="2:42">
      <c r="B2230" s="296"/>
      <c r="C2230" s="299"/>
      <c r="D2230" s="298"/>
      <c r="E2230" s="299"/>
      <c r="F2230" s="299"/>
      <c r="G2230" s="300"/>
      <c r="H2230" s="303"/>
      <c r="I2230" s="301">
        <f t="shared" si="578"/>
        <v>0</v>
      </c>
      <c r="J2230" s="302">
        <f t="shared" si="579"/>
        <v>0</v>
      </c>
      <c r="K2230" s="304">
        <f t="shared" si="580"/>
        <v>0</v>
      </c>
      <c r="L2230" s="305">
        <f>IF(H2230=0,0,IF(OR(E2230=$AT$5,E2230=$AT$6),AA2230,IF(F2230="MXN",1/HLOOKUP(YEAR(G2230)+(MONTH(G2230)/100),TC!$5:$37,DAY(G2230)+2,FALSE),VLOOKUP(F2230,Equivalencia!$5:$23,((MAX(Equivalencia!$3:$3)-YEAR(G2230))*14)+MONTH(G2230)+2,FALSE))))</f>
        <v>0</v>
      </c>
      <c r="M2230" s="306">
        <f t="shared" si="581"/>
        <v>0</v>
      </c>
      <c r="N2230" s="305">
        <f>IF(G2230=0,0,(IF(OR(E2230=$AT$5,E2230=$AT$6),AC2230,HLOOKUP(YEAR(G2230)+(MONTH(G2230)/100),TC!$5:$37,DAY(G2230)+2,FALSE))))</f>
        <v>0</v>
      </c>
      <c r="O2230" s="307">
        <f t="shared" si="582"/>
        <v>0</v>
      </c>
      <c r="P2230" s="560">
        <f>IF(G2230=0,0,VLOOKUP(YEAR(G2230),INPC!$B$4:$P$30,MONTH(G2230)+2))</f>
        <v>0</v>
      </c>
      <c r="Q2230" s="560">
        <f>IF(X2230=0,0,IF(OR(E2230=$AT$10,E2230=$AT$9),VLOOKUP(YEAR(X2230),INPC!$B$4:$P$30,MONTH(X2230)+1),VLOOKUP(YEAR(X2230),INPC!$B$4:$P$30,MONTH(X2230)+2,0)))</f>
        <v>0</v>
      </c>
      <c r="R2230" s="309">
        <f t="shared" si="583"/>
        <v>0</v>
      </c>
      <c r="S2230" s="310">
        <f t="shared" si="584"/>
        <v>0</v>
      </c>
      <c r="T2230" s="555">
        <f t="shared" si="585"/>
        <v>0</v>
      </c>
      <c r="U2230" s="311"/>
      <c r="V2230" s="312"/>
      <c r="W2230" s="299"/>
      <c r="X2230" s="300"/>
      <c r="Y2230" s="299"/>
      <c r="Z2230" s="303"/>
      <c r="AA2230" s="305">
        <f>IF(Z2230=0,0,IF(Y2230="MXN",1/HLOOKUP(YEAR(X2230)+(MONTH(X2230)/100),TC!$5:$37,DAY(X2230)+2,FALSE),VLOOKUP(Y2230,Equivalencia!$1:$23,((MAX(Equivalencia!$3:$3)-YEAR(X2230))*14)+MONTH(X2230)+2,FALSE)))</f>
        <v>0</v>
      </c>
      <c r="AB2230" s="306">
        <f t="shared" si="586"/>
        <v>0</v>
      </c>
      <c r="AC2230" s="305">
        <f>+IF(X2230=0,0,HLOOKUP(YEAR(X2230)+(MONTH(X2230)/100),TC!$5:$37,DAY(X2230)+2,FALSE))</f>
        <v>0</v>
      </c>
      <c r="AD2230" s="307">
        <f t="shared" si="587"/>
        <v>0</v>
      </c>
      <c r="AE2230" s="314">
        <f t="shared" si="588"/>
        <v>0</v>
      </c>
      <c r="AF2230" s="315">
        <f t="shared" si="589"/>
        <v>0</v>
      </c>
      <c r="AG2230" s="316">
        <f t="shared" si="590"/>
        <v>0</v>
      </c>
      <c r="AH2230" s="314">
        <v>1</v>
      </c>
      <c r="AI2230" s="314">
        <f t="shared" si="591"/>
        <v>0</v>
      </c>
      <c r="AJ2230" s="314">
        <f t="shared" si="592"/>
        <v>0</v>
      </c>
      <c r="AK2230" s="317"/>
      <c r="AL2230" s="315">
        <f t="shared" si="593"/>
        <v>0</v>
      </c>
      <c r="AN2230" s="554">
        <f t="shared" si="594"/>
        <v>0</v>
      </c>
      <c r="AO2230" s="314"/>
      <c r="AP2230" s="318"/>
    </row>
    <row r="2231" spans="2:42">
      <c r="B2231" s="296"/>
      <c r="C2231" s="299"/>
      <c r="D2231" s="298"/>
      <c r="E2231" s="299"/>
      <c r="F2231" s="299"/>
      <c r="G2231" s="300"/>
      <c r="H2231" s="303"/>
      <c r="I2231" s="301">
        <f t="shared" si="578"/>
        <v>0</v>
      </c>
      <c r="J2231" s="302">
        <f t="shared" si="579"/>
        <v>0</v>
      </c>
      <c r="K2231" s="304">
        <f t="shared" si="580"/>
        <v>0</v>
      </c>
      <c r="L2231" s="305">
        <f>IF(H2231=0,0,IF(OR(E2231=$AT$5,E2231=$AT$6),AA2231,IF(F2231="MXN",1/HLOOKUP(YEAR(G2231)+(MONTH(G2231)/100),TC!$5:$37,DAY(G2231)+2,FALSE),VLOOKUP(F2231,Equivalencia!$5:$23,((MAX(Equivalencia!$3:$3)-YEAR(G2231))*14)+MONTH(G2231)+2,FALSE))))</f>
        <v>0</v>
      </c>
      <c r="M2231" s="306">
        <f t="shared" si="581"/>
        <v>0</v>
      </c>
      <c r="N2231" s="305">
        <f>IF(G2231=0,0,(IF(OR(E2231=$AT$5,E2231=$AT$6),AC2231,HLOOKUP(YEAR(G2231)+(MONTH(G2231)/100),TC!$5:$37,DAY(G2231)+2,FALSE))))</f>
        <v>0</v>
      </c>
      <c r="O2231" s="307">
        <f t="shared" si="582"/>
        <v>0</v>
      </c>
      <c r="P2231" s="560">
        <f>IF(G2231=0,0,VLOOKUP(YEAR(G2231),INPC!$B$4:$P$30,MONTH(G2231)+2))</f>
        <v>0</v>
      </c>
      <c r="Q2231" s="560">
        <f>IF(X2231=0,0,IF(OR(E2231=$AT$10,E2231=$AT$9),VLOOKUP(YEAR(X2231),INPC!$B$4:$P$30,MONTH(X2231)+1),VLOOKUP(YEAR(X2231),INPC!$B$4:$P$30,MONTH(X2231)+2,0)))</f>
        <v>0</v>
      </c>
      <c r="R2231" s="309">
        <f t="shared" si="583"/>
        <v>0</v>
      </c>
      <c r="S2231" s="310">
        <f t="shared" si="584"/>
        <v>0</v>
      </c>
      <c r="T2231" s="555">
        <f t="shared" si="585"/>
        <v>0</v>
      </c>
      <c r="U2231" s="311"/>
      <c r="V2231" s="312"/>
      <c r="W2231" s="299"/>
      <c r="X2231" s="300"/>
      <c r="Y2231" s="299"/>
      <c r="Z2231" s="303"/>
      <c r="AA2231" s="305">
        <f>IF(Z2231=0,0,IF(Y2231="MXN",1/HLOOKUP(YEAR(X2231)+(MONTH(X2231)/100),TC!$5:$37,DAY(X2231)+2,FALSE),VLOOKUP(Y2231,Equivalencia!$1:$23,((MAX(Equivalencia!$3:$3)-YEAR(X2231))*14)+MONTH(X2231)+2,FALSE)))</f>
        <v>0</v>
      </c>
      <c r="AB2231" s="306">
        <f t="shared" si="586"/>
        <v>0</v>
      </c>
      <c r="AC2231" s="305">
        <f>+IF(X2231=0,0,HLOOKUP(YEAR(X2231)+(MONTH(X2231)/100),TC!$5:$37,DAY(X2231)+2,FALSE))</f>
        <v>0</v>
      </c>
      <c r="AD2231" s="307">
        <f t="shared" si="587"/>
        <v>0</v>
      </c>
      <c r="AE2231" s="314">
        <f t="shared" si="588"/>
        <v>0</v>
      </c>
      <c r="AF2231" s="315">
        <f t="shared" si="589"/>
        <v>0</v>
      </c>
      <c r="AG2231" s="316">
        <f t="shared" si="590"/>
        <v>0</v>
      </c>
      <c r="AH2231" s="314">
        <v>1</v>
      </c>
      <c r="AI2231" s="314">
        <f t="shared" si="591"/>
        <v>0</v>
      </c>
      <c r="AJ2231" s="314">
        <f t="shared" si="592"/>
        <v>0</v>
      </c>
      <c r="AK2231" s="317"/>
      <c r="AL2231" s="315">
        <f t="shared" si="593"/>
        <v>0</v>
      </c>
      <c r="AN2231" s="554">
        <f t="shared" si="594"/>
        <v>0</v>
      </c>
      <c r="AO2231" s="314"/>
      <c r="AP2231" s="318"/>
    </row>
    <row r="2232" spans="2:42">
      <c r="B2232" s="296"/>
      <c r="C2232" s="299"/>
      <c r="D2232" s="298"/>
      <c r="E2232" s="299"/>
      <c r="F2232" s="299"/>
      <c r="G2232" s="300"/>
      <c r="H2232" s="303"/>
      <c r="I2232" s="301">
        <f t="shared" si="578"/>
        <v>0</v>
      </c>
      <c r="J2232" s="302">
        <f t="shared" si="579"/>
        <v>0</v>
      </c>
      <c r="K2232" s="304">
        <f t="shared" si="580"/>
        <v>0</v>
      </c>
      <c r="L2232" s="305">
        <f>IF(H2232=0,0,IF(OR(E2232=$AT$5,E2232=$AT$6),AA2232,IF(F2232="MXN",1/HLOOKUP(YEAR(G2232)+(MONTH(G2232)/100),TC!$5:$37,DAY(G2232)+2,FALSE),VLOOKUP(F2232,Equivalencia!$5:$23,((MAX(Equivalencia!$3:$3)-YEAR(G2232))*14)+MONTH(G2232)+2,FALSE))))</f>
        <v>0</v>
      </c>
      <c r="M2232" s="306">
        <f t="shared" si="581"/>
        <v>0</v>
      </c>
      <c r="N2232" s="305">
        <f>IF(G2232=0,0,(IF(OR(E2232=$AT$5,E2232=$AT$6),AC2232,HLOOKUP(YEAR(G2232)+(MONTH(G2232)/100),TC!$5:$37,DAY(G2232)+2,FALSE))))</f>
        <v>0</v>
      </c>
      <c r="O2232" s="307">
        <f t="shared" si="582"/>
        <v>0</v>
      </c>
      <c r="P2232" s="560">
        <f>IF(G2232=0,0,VLOOKUP(YEAR(G2232),INPC!$B$4:$P$30,MONTH(G2232)+2))</f>
        <v>0</v>
      </c>
      <c r="Q2232" s="560">
        <f>IF(X2232=0,0,IF(OR(E2232=$AT$10,E2232=$AT$9),VLOOKUP(YEAR(X2232),INPC!$B$4:$P$30,MONTH(X2232)+1),VLOOKUP(YEAR(X2232),INPC!$B$4:$P$30,MONTH(X2232)+2,0)))</f>
        <v>0</v>
      </c>
      <c r="R2232" s="309">
        <f t="shared" si="583"/>
        <v>0</v>
      </c>
      <c r="S2232" s="310">
        <f t="shared" si="584"/>
        <v>0</v>
      </c>
      <c r="T2232" s="555">
        <f t="shared" si="585"/>
        <v>0</v>
      </c>
      <c r="U2232" s="311"/>
      <c r="V2232" s="312"/>
      <c r="W2232" s="299"/>
      <c r="X2232" s="300"/>
      <c r="Y2232" s="299"/>
      <c r="Z2232" s="303"/>
      <c r="AA2232" s="305">
        <f>IF(Z2232=0,0,IF(Y2232="MXN",1/HLOOKUP(YEAR(X2232)+(MONTH(X2232)/100),TC!$5:$37,DAY(X2232)+2,FALSE),VLOOKUP(Y2232,Equivalencia!$1:$23,((MAX(Equivalencia!$3:$3)-YEAR(X2232))*14)+MONTH(X2232)+2,FALSE)))</f>
        <v>0</v>
      </c>
      <c r="AB2232" s="306">
        <f t="shared" si="586"/>
        <v>0</v>
      </c>
      <c r="AC2232" s="305">
        <f>+IF(X2232=0,0,HLOOKUP(YEAR(X2232)+(MONTH(X2232)/100),TC!$5:$37,DAY(X2232)+2,FALSE))</f>
        <v>0</v>
      </c>
      <c r="AD2232" s="307">
        <f t="shared" si="587"/>
        <v>0</v>
      </c>
      <c r="AE2232" s="314">
        <f t="shared" si="588"/>
        <v>0</v>
      </c>
      <c r="AF2232" s="315">
        <f t="shared" si="589"/>
        <v>0</v>
      </c>
      <c r="AG2232" s="316">
        <f t="shared" si="590"/>
        <v>0</v>
      </c>
      <c r="AH2232" s="314">
        <v>1</v>
      </c>
      <c r="AI2232" s="314">
        <f t="shared" si="591"/>
        <v>0</v>
      </c>
      <c r="AJ2232" s="314">
        <f t="shared" si="592"/>
        <v>0</v>
      </c>
      <c r="AK2232" s="317"/>
      <c r="AL2232" s="315">
        <f t="shared" si="593"/>
        <v>0</v>
      </c>
      <c r="AN2232" s="554">
        <f t="shared" si="594"/>
        <v>0</v>
      </c>
      <c r="AO2232" s="314"/>
      <c r="AP2232" s="318"/>
    </row>
    <row r="2233" spans="2:42">
      <c r="B2233" s="296"/>
      <c r="C2233" s="299"/>
      <c r="D2233" s="298"/>
      <c r="E2233" s="299"/>
      <c r="F2233" s="299"/>
      <c r="G2233" s="300"/>
      <c r="H2233" s="303"/>
      <c r="I2233" s="301">
        <f t="shared" si="578"/>
        <v>0</v>
      </c>
      <c r="J2233" s="302">
        <f t="shared" si="579"/>
        <v>0</v>
      </c>
      <c r="K2233" s="304">
        <f t="shared" si="580"/>
        <v>0</v>
      </c>
      <c r="L2233" s="305">
        <f>IF(H2233=0,0,IF(OR(E2233=$AT$5,E2233=$AT$6),AA2233,IF(F2233="MXN",1/HLOOKUP(YEAR(G2233)+(MONTH(G2233)/100),TC!$5:$37,DAY(G2233)+2,FALSE),VLOOKUP(F2233,Equivalencia!$5:$23,((MAX(Equivalencia!$3:$3)-YEAR(G2233))*14)+MONTH(G2233)+2,FALSE))))</f>
        <v>0</v>
      </c>
      <c r="M2233" s="306">
        <f t="shared" si="581"/>
        <v>0</v>
      </c>
      <c r="N2233" s="305">
        <f>IF(G2233=0,0,(IF(OR(E2233=$AT$5,E2233=$AT$6),AC2233,HLOOKUP(YEAR(G2233)+(MONTH(G2233)/100),TC!$5:$37,DAY(G2233)+2,FALSE))))</f>
        <v>0</v>
      </c>
      <c r="O2233" s="307">
        <f t="shared" si="582"/>
        <v>0</v>
      </c>
      <c r="P2233" s="560">
        <f>IF(G2233=0,0,VLOOKUP(YEAR(G2233),INPC!$B$4:$P$30,MONTH(G2233)+2))</f>
        <v>0</v>
      </c>
      <c r="Q2233" s="560">
        <f>IF(X2233=0,0,IF(OR(E2233=$AT$10,E2233=$AT$9),VLOOKUP(YEAR(X2233),INPC!$B$4:$P$30,MONTH(X2233)+1),VLOOKUP(YEAR(X2233),INPC!$B$4:$P$30,MONTH(X2233)+2,0)))</f>
        <v>0</v>
      </c>
      <c r="R2233" s="309">
        <f t="shared" si="583"/>
        <v>0</v>
      </c>
      <c r="S2233" s="310">
        <f t="shared" si="584"/>
        <v>0</v>
      </c>
      <c r="T2233" s="555">
        <f t="shared" si="585"/>
        <v>0</v>
      </c>
      <c r="U2233" s="311"/>
      <c r="V2233" s="312"/>
      <c r="W2233" s="299"/>
      <c r="X2233" s="300"/>
      <c r="Y2233" s="299"/>
      <c r="Z2233" s="303"/>
      <c r="AA2233" s="305">
        <f>IF(Z2233=0,0,IF(Y2233="MXN",1/HLOOKUP(YEAR(X2233)+(MONTH(X2233)/100),TC!$5:$37,DAY(X2233)+2,FALSE),VLOOKUP(Y2233,Equivalencia!$1:$23,((MAX(Equivalencia!$3:$3)-YEAR(X2233))*14)+MONTH(X2233)+2,FALSE)))</f>
        <v>0</v>
      </c>
      <c r="AB2233" s="306">
        <f t="shared" si="586"/>
        <v>0</v>
      </c>
      <c r="AC2233" s="305">
        <f>+IF(X2233=0,0,HLOOKUP(YEAR(X2233)+(MONTH(X2233)/100),TC!$5:$37,DAY(X2233)+2,FALSE))</f>
        <v>0</v>
      </c>
      <c r="AD2233" s="307">
        <f t="shared" si="587"/>
        <v>0</v>
      </c>
      <c r="AE2233" s="314">
        <f t="shared" si="588"/>
        <v>0</v>
      </c>
      <c r="AF2233" s="315">
        <f t="shared" si="589"/>
        <v>0</v>
      </c>
      <c r="AG2233" s="316">
        <f t="shared" si="590"/>
        <v>0</v>
      </c>
      <c r="AH2233" s="314">
        <v>1</v>
      </c>
      <c r="AI2233" s="314">
        <f t="shared" si="591"/>
        <v>0</v>
      </c>
      <c r="AJ2233" s="314">
        <f t="shared" si="592"/>
        <v>0</v>
      </c>
      <c r="AK2233" s="317"/>
      <c r="AL2233" s="315">
        <f t="shared" si="593"/>
        <v>0</v>
      </c>
      <c r="AN2233" s="554">
        <f t="shared" si="594"/>
        <v>0</v>
      </c>
      <c r="AO2233" s="314"/>
      <c r="AP2233" s="318"/>
    </row>
    <row r="2234" spans="2:42">
      <c r="B2234" s="296"/>
      <c r="C2234" s="299"/>
      <c r="D2234" s="298"/>
      <c r="E2234" s="299"/>
      <c r="F2234" s="299"/>
      <c r="G2234" s="300"/>
      <c r="H2234" s="303"/>
      <c r="I2234" s="301">
        <f t="shared" si="578"/>
        <v>0</v>
      </c>
      <c r="J2234" s="302">
        <f t="shared" si="579"/>
        <v>0</v>
      </c>
      <c r="K2234" s="304">
        <f t="shared" si="580"/>
        <v>0</v>
      </c>
      <c r="L2234" s="305">
        <f>IF(H2234=0,0,IF(OR(E2234=$AT$5,E2234=$AT$6),AA2234,IF(F2234="MXN",1/HLOOKUP(YEAR(G2234)+(MONTH(G2234)/100),TC!$5:$37,DAY(G2234)+2,FALSE),VLOOKUP(F2234,Equivalencia!$5:$23,((MAX(Equivalencia!$3:$3)-YEAR(G2234))*14)+MONTH(G2234)+2,FALSE))))</f>
        <v>0</v>
      </c>
      <c r="M2234" s="306">
        <f t="shared" si="581"/>
        <v>0</v>
      </c>
      <c r="N2234" s="305">
        <f>IF(G2234=0,0,(IF(OR(E2234=$AT$5,E2234=$AT$6),AC2234,HLOOKUP(YEAR(G2234)+(MONTH(G2234)/100),TC!$5:$37,DAY(G2234)+2,FALSE))))</f>
        <v>0</v>
      </c>
      <c r="O2234" s="307">
        <f t="shared" si="582"/>
        <v>0</v>
      </c>
      <c r="P2234" s="560">
        <f>IF(G2234=0,0,VLOOKUP(YEAR(G2234),INPC!$B$4:$P$30,MONTH(G2234)+2))</f>
        <v>0</v>
      </c>
      <c r="Q2234" s="560">
        <f>IF(X2234=0,0,IF(OR(E2234=$AT$10,E2234=$AT$9),VLOOKUP(YEAR(X2234),INPC!$B$4:$P$30,MONTH(X2234)+1),VLOOKUP(YEAR(X2234),INPC!$B$4:$P$30,MONTH(X2234)+2,0)))</f>
        <v>0</v>
      </c>
      <c r="R2234" s="309">
        <f t="shared" si="583"/>
        <v>0</v>
      </c>
      <c r="S2234" s="310">
        <f t="shared" si="584"/>
        <v>0</v>
      </c>
      <c r="T2234" s="555">
        <f t="shared" si="585"/>
        <v>0</v>
      </c>
      <c r="U2234" s="311"/>
      <c r="V2234" s="312"/>
      <c r="W2234" s="299"/>
      <c r="X2234" s="300"/>
      <c r="Y2234" s="299"/>
      <c r="Z2234" s="303"/>
      <c r="AA2234" s="305">
        <f>IF(Z2234=0,0,IF(Y2234="MXN",1/HLOOKUP(YEAR(X2234)+(MONTH(X2234)/100),TC!$5:$37,DAY(X2234)+2,FALSE),VLOOKUP(Y2234,Equivalencia!$1:$23,((MAX(Equivalencia!$3:$3)-YEAR(X2234))*14)+MONTH(X2234)+2,FALSE)))</f>
        <v>0</v>
      </c>
      <c r="AB2234" s="306">
        <f t="shared" si="586"/>
        <v>0</v>
      </c>
      <c r="AC2234" s="305">
        <f>+IF(X2234=0,0,HLOOKUP(YEAR(X2234)+(MONTH(X2234)/100),TC!$5:$37,DAY(X2234)+2,FALSE))</f>
        <v>0</v>
      </c>
      <c r="AD2234" s="307">
        <f t="shared" si="587"/>
        <v>0</v>
      </c>
      <c r="AE2234" s="314">
        <f t="shared" si="588"/>
        <v>0</v>
      </c>
      <c r="AF2234" s="315">
        <f t="shared" si="589"/>
        <v>0</v>
      </c>
      <c r="AG2234" s="316">
        <f t="shared" si="590"/>
        <v>0</v>
      </c>
      <c r="AH2234" s="314">
        <v>1</v>
      </c>
      <c r="AI2234" s="314">
        <f t="shared" si="591"/>
        <v>0</v>
      </c>
      <c r="AJ2234" s="314">
        <f t="shared" si="592"/>
        <v>0</v>
      </c>
      <c r="AK2234" s="317"/>
      <c r="AL2234" s="315">
        <f t="shared" si="593"/>
        <v>0</v>
      </c>
      <c r="AN2234" s="554">
        <f t="shared" si="594"/>
        <v>0</v>
      </c>
      <c r="AO2234" s="314"/>
      <c r="AP2234" s="318"/>
    </row>
    <row r="2235" spans="2:42">
      <c r="B2235" s="296"/>
      <c r="C2235" s="299"/>
      <c r="D2235" s="298"/>
      <c r="E2235" s="299"/>
      <c r="F2235" s="299"/>
      <c r="G2235" s="300"/>
      <c r="H2235" s="303"/>
      <c r="I2235" s="301">
        <f t="shared" si="578"/>
        <v>0</v>
      </c>
      <c r="J2235" s="302">
        <f t="shared" si="579"/>
        <v>0</v>
      </c>
      <c r="K2235" s="304">
        <f t="shared" si="580"/>
        <v>0</v>
      </c>
      <c r="L2235" s="305">
        <f>IF(H2235=0,0,IF(OR(E2235=$AT$5,E2235=$AT$6),AA2235,IF(F2235="MXN",1/HLOOKUP(YEAR(G2235)+(MONTH(G2235)/100),TC!$5:$37,DAY(G2235)+2,FALSE),VLOOKUP(F2235,Equivalencia!$5:$23,((MAX(Equivalencia!$3:$3)-YEAR(G2235))*14)+MONTH(G2235)+2,FALSE))))</f>
        <v>0</v>
      </c>
      <c r="M2235" s="306">
        <f t="shared" si="581"/>
        <v>0</v>
      </c>
      <c r="N2235" s="305">
        <f>IF(G2235=0,0,(IF(OR(E2235=$AT$5,E2235=$AT$6),AC2235,HLOOKUP(YEAR(G2235)+(MONTH(G2235)/100),TC!$5:$37,DAY(G2235)+2,FALSE))))</f>
        <v>0</v>
      </c>
      <c r="O2235" s="307">
        <f t="shared" si="582"/>
        <v>0</v>
      </c>
      <c r="P2235" s="560">
        <f>IF(G2235=0,0,VLOOKUP(YEAR(G2235),INPC!$B$4:$P$30,MONTH(G2235)+2))</f>
        <v>0</v>
      </c>
      <c r="Q2235" s="560">
        <f>IF(X2235=0,0,IF(OR(E2235=$AT$10,E2235=$AT$9),VLOOKUP(YEAR(X2235),INPC!$B$4:$P$30,MONTH(X2235)+1),VLOOKUP(YEAR(X2235),INPC!$B$4:$P$30,MONTH(X2235)+2,0)))</f>
        <v>0</v>
      </c>
      <c r="R2235" s="309">
        <f t="shared" si="583"/>
        <v>0</v>
      </c>
      <c r="S2235" s="310">
        <f t="shared" si="584"/>
        <v>0</v>
      </c>
      <c r="T2235" s="555">
        <f t="shared" si="585"/>
        <v>0</v>
      </c>
      <c r="U2235" s="311"/>
      <c r="V2235" s="312"/>
      <c r="W2235" s="299"/>
      <c r="X2235" s="300"/>
      <c r="Y2235" s="299"/>
      <c r="Z2235" s="303"/>
      <c r="AA2235" s="305">
        <f>IF(Z2235=0,0,IF(Y2235="MXN",1/HLOOKUP(YEAR(X2235)+(MONTH(X2235)/100),TC!$5:$37,DAY(X2235)+2,FALSE),VLOOKUP(Y2235,Equivalencia!$1:$23,((MAX(Equivalencia!$3:$3)-YEAR(X2235))*14)+MONTH(X2235)+2,FALSE)))</f>
        <v>0</v>
      </c>
      <c r="AB2235" s="306">
        <f t="shared" si="586"/>
        <v>0</v>
      </c>
      <c r="AC2235" s="305">
        <f>+IF(X2235=0,0,HLOOKUP(YEAR(X2235)+(MONTH(X2235)/100),TC!$5:$37,DAY(X2235)+2,FALSE))</f>
        <v>0</v>
      </c>
      <c r="AD2235" s="307">
        <f t="shared" si="587"/>
        <v>0</v>
      </c>
      <c r="AE2235" s="314">
        <f t="shared" si="588"/>
        <v>0</v>
      </c>
      <c r="AF2235" s="315">
        <f t="shared" si="589"/>
        <v>0</v>
      </c>
      <c r="AG2235" s="316">
        <f t="shared" si="590"/>
        <v>0</v>
      </c>
      <c r="AH2235" s="314">
        <v>1</v>
      </c>
      <c r="AI2235" s="314">
        <f t="shared" si="591"/>
        <v>0</v>
      </c>
      <c r="AJ2235" s="314">
        <f t="shared" si="592"/>
        <v>0</v>
      </c>
      <c r="AK2235" s="317"/>
      <c r="AL2235" s="315">
        <f t="shared" si="593"/>
        <v>0</v>
      </c>
      <c r="AN2235" s="554">
        <f t="shared" si="594"/>
        <v>0</v>
      </c>
      <c r="AO2235" s="314"/>
      <c r="AP2235" s="318"/>
    </row>
    <row r="2236" spans="2:42">
      <c r="B2236" s="296"/>
      <c r="C2236" s="299"/>
      <c r="D2236" s="298"/>
      <c r="E2236" s="299"/>
      <c r="F2236" s="299"/>
      <c r="G2236" s="300"/>
      <c r="H2236" s="303"/>
      <c r="I2236" s="301">
        <f t="shared" ref="I2236:I2259" si="595">IF(D2236=0,0,IF(OR(E2236=$AT$9,E2236=$AT$10),"Ingresos Sección II LISR (SIC &amp; BMV)","Ingresos Sección I LISR"))</f>
        <v>0</v>
      </c>
      <c r="J2236" s="302">
        <f t="shared" ref="J2236:J2259" si="596">+V2236</f>
        <v>0</v>
      </c>
      <c r="K2236" s="304">
        <f t="shared" ref="K2236:K2259" si="597">IF(H2236=0,0,H2236/J2236)</f>
        <v>0</v>
      </c>
      <c r="L2236" s="305">
        <f>IF(H2236=0,0,IF(OR(E2236=$AT$5,E2236=$AT$6),AA2236,IF(F2236="MXN",1/HLOOKUP(YEAR(G2236)+(MONTH(G2236)/100),TC!$5:$37,DAY(G2236)+2,FALSE),VLOOKUP(F2236,Equivalencia!$5:$23,((MAX(Equivalencia!$3:$3)-YEAR(G2236))*14)+MONTH(G2236)+2,FALSE))))</f>
        <v>0</v>
      </c>
      <c r="M2236" s="306">
        <f t="shared" ref="M2236:M2259" si="598">+H2236*L2236</f>
        <v>0</v>
      </c>
      <c r="N2236" s="305">
        <f>IF(G2236=0,0,(IF(OR(E2236=$AT$5,E2236=$AT$6),AC2236,HLOOKUP(YEAR(G2236)+(MONTH(G2236)/100),TC!$5:$37,DAY(G2236)+2,FALSE))))</f>
        <v>0</v>
      </c>
      <c r="O2236" s="307">
        <f t="shared" ref="O2236:O2259" si="599">+M2236*N2236</f>
        <v>0</v>
      </c>
      <c r="P2236" s="560">
        <f>IF(G2236=0,0,VLOOKUP(YEAR(G2236),INPC!$B$4:$P$30,MONTH(G2236)+2))</f>
        <v>0</v>
      </c>
      <c r="Q2236" s="560">
        <f>IF(X2236=0,0,IF(OR(E2236=$AT$10,E2236=$AT$9),VLOOKUP(YEAR(X2236),INPC!$B$4:$P$30,MONTH(X2236)+1),VLOOKUP(YEAR(X2236),INPC!$B$4:$P$30,MONTH(X2236)+2,0)))</f>
        <v>0</v>
      </c>
      <c r="R2236" s="309">
        <f t="shared" ref="R2236:R2259" si="600">IF(H2236=0,0,IF(OR(E2236=$AT$5,E2236=$AT$6),1,IF(TRUNC(Q2236/P2236,4)&gt;=1,TRUNC(Q2236/P2236,4),1)))</f>
        <v>0</v>
      </c>
      <c r="S2236" s="310">
        <f t="shared" ref="S2236:S2259" si="601">+R2236*O2236</f>
        <v>0</v>
      </c>
      <c r="T2236" s="555">
        <f t="shared" ref="T2236:T2259" si="602">IF(V2236=0,0,S2236/V2236)</f>
        <v>0</v>
      </c>
      <c r="U2236" s="311"/>
      <c r="V2236" s="312"/>
      <c r="W2236" s="299"/>
      <c r="X2236" s="300"/>
      <c r="Y2236" s="299"/>
      <c r="Z2236" s="303"/>
      <c r="AA2236" s="305">
        <f>IF(Z2236=0,0,IF(Y2236="MXN",1/HLOOKUP(YEAR(X2236)+(MONTH(X2236)/100),TC!$5:$37,DAY(X2236)+2,FALSE),VLOOKUP(Y2236,Equivalencia!$1:$23,((MAX(Equivalencia!$3:$3)-YEAR(X2236))*14)+MONTH(X2236)+2,FALSE)))</f>
        <v>0</v>
      </c>
      <c r="AB2236" s="306">
        <f t="shared" ref="AB2236:AB2259" si="603">+AA2236*Z2236</f>
        <v>0</v>
      </c>
      <c r="AC2236" s="305">
        <f>+IF(X2236=0,0,HLOOKUP(YEAR(X2236)+(MONTH(X2236)/100),TC!$5:$37,DAY(X2236)+2,FALSE))</f>
        <v>0</v>
      </c>
      <c r="AD2236" s="307">
        <f t="shared" ref="AD2236:AD2259" si="604">+AC2236*AB2236</f>
        <v>0</v>
      </c>
      <c r="AE2236" s="314">
        <f t="shared" ref="AE2236:AE2259" si="605">+V2236*T2236</f>
        <v>0</v>
      </c>
      <c r="AF2236" s="315">
        <f t="shared" ref="AF2236:AF2259" si="606">IF(E2236=$AT$11,0,AD2236-AE2236)</f>
        <v>0</v>
      </c>
      <c r="AG2236" s="316">
        <f t="shared" ref="AG2236:AG2259" si="607">+IF(AND(AF2236&lt;0,OR(E2236=$AT$5,E2236=$AT$6)),1,((X2236-G2236)/365))</f>
        <v>0</v>
      </c>
      <c r="AH2236" s="314">
        <v>1</v>
      </c>
      <c r="AI2236" s="314">
        <f t="shared" ref="AI2236:AI2259" si="608">+IF(OR(E2236=$AT$9,E2236=$AT$10),AF2236,+AF2236/AH2236)</f>
        <v>0</v>
      </c>
      <c r="AJ2236" s="314">
        <f t="shared" ref="AJ2236:AJ2259" si="609">+AF2236-AI2236</f>
        <v>0</v>
      </c>
      <c r="AK2236" s="317"/>
      <c r="AL2236" s="315">
        <f t="shared" ref="AL2236:AL2259" si="610">+AB2236-M2236</f>
        <v>0</v>
      </c>
      <c r="AN2236" s="554">
        <f t="shared" ref="AN2236:AN2259" si="611">IF(AL2236=0,0,AL2236/H2236)</f>
        <v>0</v>
      </c>
      <c r="AO2236" s="314"/>
      <c r="AP2236" s="318"/>
    </row>
    <row r="2237" spans="2:42">
      <c r="B2237" s="296"/>
      <c r="C2237" s="299"/>
      <c r="D2237" s="298"/>
      <c r="E2237" s="299"/>
      <c r="F2237" s="299"/>
      <c r="G2237" s="300"/>
      <c r="H2237" s="303"/>
      <c r="I2237" s="301">
        <f t="shared" si="595"/>
        <v>0</v>
      </c>
      <c r="J2237" s="302">
        <f t="shared" si="596"/>
        <v>0</v>
      </c>
      <c r="K2237" s="304">
        <f t="shared" si="597"/>
        <v>0</v>
      </c>
      <c r="L2237" s="305">
        <f>IF(H2237=0,0,IF(OR(E2237=$AT$5,E2237=$AT$6),AA2237,IF(F2237="MXN",1/HLOOKUP(YEAR(G2237)+(MONTH(G2237)/100),TC!$5:$37,DAY(G2237)+2,FALSE),VLOOKUP(F2237,Equivalencia!$5:$23,((MAX(Equivalencia!$3:$3)-YEAR(G2237))*14)+MONTH(G2237)+2,FALSE))))</f>
        <v>0</v>
      </c>
      <c r="M2237" s="306">
        <f t="shared" si="598"/>
        <v>0</v>
      </c>
      <c r="N2237" s="305">
        <f>IF(G2237=0,0,(IF(OR(E2237=$AT$5,E2237=$AT$6),AC2237,HLOOKUP(YEAR(G2237)+(MONTH(G2237)/100),TC!$5:$37,DAY(G2237)+2,FALSE))))</f>
        <v>0</v>
      </c>
      <c r="O2237" s="307">
        <f t="shared" si="599"/>
        <v>0</v>
      </c>
      <c r="P2237" s="560">
        <f>IF(G2237=0,0,VLOOKUP(YEAR(G2237),INPC!$B$4:$P$30,MONTH(G2237)+2))</f>
        <v>0</v>
      </c>
      <c r="Q2237" s="560">
        <f>IF(X2237=0,0,IF(OR(E2237=$AT$10,E2237=$AT$9),VLOOKUP(YEAR(X2237),INPC!$B$4:$P$30,MONTH(X2237)+1),VLOOKUP(YEAR(X2237),INPC!$B$4:$P$30,MONTH(X2237)+2,0)))</f>
        <v>0</v>
      </c>
      <c r="R2237" s="309">
        <f t="shared" si="600"/>
        <v>0</v>
      </c>
      <c r="S2237" s="310">
        <f t="shared" si="601"/>
        <v>0</v>
      </c>
      <c r="T2237" s="555">
        <f t="shared" si="602"/>
        <v>0</v>
      </c>
      <c r="U2237" s="311"/>
      <c r="V2237" s="312"/>
      <c r="W2237" s="299"/>
      <c r="X2237" s="300"/>
      <c r="Y2237" s="299"/>
      <c r="Z2237" s="303"/>
      <c r="AA2237" s="305">
        <f>IF(Z2237=0,0,IF(Y2237="MXN",1/HLOOKUP(YEAR(X2237)+(MONTH(X2237)/100),TC!$5:$37,DAY(X2237)+2,FALSE),VLOOKUP(Y2237,Equivalencia!$1:$23,((MAX(Equivalencia!$3:$3)-YEAR(X2237))*14)+MONTH(X2237)+2,FALSE)))</f>
        <v>0</v>
      </c>
      <c r="AB2237" s="306">
        <f t="shared" si="603"/>
        <v>0</v>
      </c>
      <c r="AC2237" s="305">
        <f>+IF(X2237=0,0,HLOOKUP(YEAR(X2237)+(MONTH(X2237)/100),TC!$5:$37,DAY(X2237)+2,FALSE))</f>
        <v>0</v>
      </c>
      <c r="AD2237" s="307">
        <f t="shared" si="604"/>
        <v>0</v>
      </c>
      <c r="AE2237" s="314">
        <f t="shared" si="605"/>
        <v>0</v>
      </c>
      <c r="AF2237" s="315">
        <f t="shared" si="606"/>
        <v>0</v>
      </c>
      <c r="AG2237" s="316">
        <f t="shared" si="607"/>
        <v>0</v>
      </c>
      <c r="AH2237" s="314">
        <v>1</v>
      </c>
      <c r="AI2237" s="314">
        <f t="shared" si="608"/>
        <v>0</v>
      </c>
      <c r="AJ2237" s="314">
        <f t="shared" si="609"/>
        <v>0</v>
      </c>
      <c r="AK2237" s="317"/>
      <c r="AL2237" s="315">
        <f t="shared" si="610"/>
        <v>0</v>
      </c>
      <c r="AN2237" s="554">
        <f t="shared" si="611"/>
        <v>0</v>
      </c>
      <c r="AO2237" s="314"/>
      <c r="AP2237" s="318"/>
    </row>
    <row r="2238" spans="2:42">
      <c r="B2238" s="296"/>
      <c r="C2238" s="299"/>
      <c r="D2238" s="298"/>
      <c r="E2238" s="299"/>
      <c r="F2238" s="299"/>
      <c r="G2238" s="300"/>
      <c r="H2238" s="303"/>
      <c r="I2238" s="301">
        <f t="shared" si="595"/>
        <v>0</v>
      </c>
      <c r="J2238" s="302">
        <f t="shared" si="596"/>
        <v>0</v>
      </c>
      <c r="K2238" s="304">
        <f t="shared" si="597"/>
        <v>0</v>
      </c>
      <c r="L2238" s="305">
        <f>IF(H2238=0,0,IF(OR(E2238=$AT$5,E2238=$AT$6),AA2238,IF(F2238="MXN",1/HLOOKUP(YEAR(G2238)+(MONTH(G2238)/100),TC!$5:$37,DAY(G2238)+2,FALSE),VLOOKUP(F2238,Equivalencia!$5:$23,((MAX(Equivalencia!$3:$3)-YEAR(G2238))*14)+MONTH(G2238)+2,FALSE))))</f>
        <v>0</v>
      </c>
      <c r="M2238" s="306">
        <f t="shared" si="598"/>
        <v>0</v>
      </c>
      <c r="N2238" s="305">
        <f>IF(G2238=0,0,(IF(OR(E2238=$AT$5,E2238=$AT$6),AC2238,HLOOKUP(YEAR(G2238)+(MONTH(G2238)/100),TC!$5:$37,DAY(G2238)+2,FALSE))))</f>
        <v>0</v>
      </c>
      <c r="O2238" s="307">
        <f t="shared" si="599"/>
        <v>0</v>
      </c>
      <c r="P2238" s="560">
        <f>IF(G2238=0,0,VLOOKUP(YEAR(G2238),INPC!$B$4:$P$30,MONTH(G2238)+2))</f>
        <v>0</v>
      </c>
      <c r="Q2238" s="560">
        <f>IF(X2238=0,0,IF(OR(E2238=$AT$10,E2238=$AT$9),VLOOKUP(YEAR(X2238),INPC!$B$4:$P$30,MONTH(X2238)+1),VLOOKUP(YEAR(X2238),INPC!$B$4:$P$30,MONTH(X2238)+2,0)))</f>
        <v>0</v>
      </c>
      <c r="R2238" s="309">
        <f t="shared" si="600"/>
        <v>0</v>
      </c>
      <c r="S2238" s="310">
        <f t="shared" si="601"/>
        <v>0</v>
      </c>
      <c r="T2238" s="555">
        <f t="shared" si="602"/>
        <v>0</v>
      </c>
      <c r="U2238" s="311"/>
      <c r="V2238" s="312"/>
      <c r="W2238" s="299"/>
      <c r="X2238" s="300"/>
      <c r="Y2238" s="299"/>
      <c r="Z2238" s="303"/>
      <c r="AA2238" s="305">
        <f>IF(Z2238=0,0,IF(Y2238="MXN",1/HLOOKUP(YEAR(X2238)+(MONTH(X2238)/100),TC!$5:$37,DAY(X2238)+2,FALSE),VLOOKUP(Y2238,Equivalencia!$1:$23,((MAX(Equivalencia!$3:$3)-YEAR(X2238))*14)+MONTH(X2238)+2,FALSE)))</f>
        <v>0</v>
      </c>
      <c r="AB2238" s="306">
        <f t="shared" si="603"/>
        <v>0</v>
      </c>
      <c r="AC2238" s="305">
        <f>+IF(X2238=0,0,HLOOKUP(YEAR(X2238)+(MONTH(X2238)/100),TC!$5:$37,DAY(X2238)+2,FALSE))</f>
        <v>0</v>
      </c>
      <c r="AD2238" s="307">
        <f t="shared" si="604"/>
        <v>0</v>
      </c>
      <c r="AE2238" s="314">
        <f t="shared" si="605"/>
        <v>0</v>
      </c>
      <c r="AF2238" s="315">
        <f t="shared" si="606"/>
        <v>0</v>
      </c>
      <c r="AG2238" s="316">
        <f t="shared" si="607"/>
        <v>0</v>
      </c>
      <c r="AH2238" s="314">
        <v>1</v>
      </c>
      <c r="AI2238" s="314">
        <f t="shared" si="608"/>
        <v>0</v>
      </c>
      <c r="AJ2238" s="314">
        <f t="shared" si="609"/>
        <v>0</v>
      </c>
      <c r="AK2238" s="317"/>
      <c r="AL2238" s="315">
        <f t="shared" si="610"/>
        <v>0</v>
      </c>
      <c r="AN2238" s="554">
        <f t="shared" si="611"/>
        <v>0</v>
      </c>
      <c r="AO2238" s="314"/>
      <c r="AP2238" s="318"/>
    </row>
    <row r="2239" spans="2:42">
      <c r="B2239" s="296"/>
      <c r="C2239" s="299"/>
      <c r="D2239" s="298"/>
      <c r="E2239" s="299"/>
      <c r="F2239" s="299"/>
      <c r="G2239" s="300"/>
      <c r="H2239" s="303"/>
      <c r="I2239" s="301">
        <f t="shared" si="595"/>
        <v>0</v>
      </c>
      <c r="J2239" s="302">
        <f t="shared" si="596"/>
        <v>0</v>
      </c>
      <c r="K2239" s="304">
        <f t="shared" si="597"/>
        <v>0</v>
      </c>
      <c r="L2239" s="305">
        <f>IF(H2239=0,0,IF(OR(E2239=$AT$5,E2239=$AT$6),AA2239,IF(F2239="MXN",1/HLOOKUP(YEAR(G2239)+(MONTH(G2239)/100),TC!$5:$37,DAY(G2239)+2,FALSE),VLOOKUP(F2239,Equivalencia!$5:$23,((MAX(Equivalencia!$3:$3)-YEAR(G2239))*14)+MONTH(G2239)+2,FALSE))))</f>
        <v>0</v>
      </c>
      <c r="M2239" s="306">
        <f t="shared" si="598"/>
        <v>0</v>
      </c>
      <c r="N2239" s="305">
        <f>IF(G2239=0,0,(IF(OR(E2239=$AT$5,E2239=$AT$6),AC2239,HLOOKUP(YEAR(G2239)+(MONTH(G2239)/100),TC!$5:$37,DAY(G2239)+2,FALSE))))</f>
        <v>0</v>
      </c>
      <c r="O2239" s="307">
        <f t="shared" si="599"/>
        <v>0</v>
      </c>
      <c r="P2239" s="560">
        <f>IF(G2239=0,0,VLOOKUP(YEAR(G2239),INPC!$B$4:$P$30,MONTH(G2239)+2))</f>
        <v>0</v>
      </c>
      <c r="Q2239" s="560">
        <f>IF(X2239=0,0,IF(OR(E2239=$AT$10,E2239=$AT$9),VLOOKUP(YEAR(X2239),INPC!$B$4:$P$30,MONTH(X2239)+1),VLOOKUP(YEAR(X2239),INPC!$B$4:$P$30,MONTH(X2239)+2,0)))</f>
        <v>0</v>
      </c>
      <c r="R2239" s="309">
        <f t="shared" si="600"/>
        <v>0</v>
      </c>
      <c r="S2239" s="310">
        <f t="shared" si="601"/>
        <v>0</v>
      </c>
      <c r="T2239" s="555">
        <f t="shared" si="602"/>
        <v>0</v>
      </c>
      <c r="U2239" s="311"/>
      <c r="V2239" s="312"/>
      <c r="W2239" s="299"/>
      <c r="X2239" s="300"/>
      <c r="Y2239" s="299"/>
      <c r="Z2239" s="303"/>
      <c r="AA2239" s="305">
        <f>IF(Z2239=0,0,IF(Y2239="MXN",1/HLOOKUP(YEAR(X2239)+(MONTH(X2239)/100),TC!$5:$37,DAY(X2239)+2,FALSE),VLOOKUP(Y2239,Equivalencia!$1:$23,((MAX(Equivalencia!$3:$3)-YEAR(X2239))*14)+MONTH(X2239)+2,FALSE)))</f>
        <v>0</v>
      </c>
      <c r="AB2239" s="306">
        <f t="shared" si="603"/>
        <v>0</v>
      </c>
      <c r="AC2239" s="305">
        <f>+IF(X2239=0,0,HLOOKUP(YEAR(X2239)+(MONTH(X2239)/100),TC!$5:$37,DAY(X2239)+2,FALSE))</f>
        <v>0</v>
      </c>
      <c r="AD2239" s="307">
        <f t="shared" si="604"/>
        <v>0</v>
      </c>
      <c r="AE2239" s="314">
        <f t="shared" si="605"/>
        <v>0</v>
      </c>
      <c r="AF2239" s="315">
        <f t="shared" si="606"/>
        <v>0</v>
      </c>
      <c r="AG2239" s="316">
        <f t="shared" si="607"/>
        <v>0</v>
      </c>
      <c r="AH2239" s="314">
        <v>1</v>
      </c>
      <c r="AI2239" s="314">
        <f t="shared" si="608"/>
        <v>0</v>
      </c>
      <c r="AJ2239" s="314">
        <f t="shared" si="609"/>
        <v>0</v>
      </c>
      <c r="AK2239" s="317"/>
      <c r="AL2239" s="315">
        <f t="shared" si="610"/>
        <v>0</v>
      </c>
      <c r="AN2239" s="554">
        <f t="shared" si="611"/>
        <v>0</v>
      </c>
      <c r="AO2239" s="314"/>
      <c r="AP2239" s="318"/>
    </row>
    <row r="2240" spans="2:42">
      <c r="B2240" s="296"/>
      <c r="C2240" s="299"/>
      <c r="D2240" s="298"/>
      <c r="E2240" s="299"/>
      <c r="F2240" s="299"/>
      <c r="G2240" s="300"/>
      <c r="H2240" s="303"/>
      <c r="I2240" s="301">
        <f t="shared" si="595"/>
        <v>0</v>
      </c>
      <c r="J2240" s="302">
        <f t="shared" si="596"/>
        <v>0</v>
      </c>
      <c r="K2240" s="304">
        <f t="shared" si="597"/>
        <v>0</v>
      </c>
      <c r="L2240" s="305">
        <f>IF(H2240=0,0,IF(OR(E2240=$AT$5,E2240=$AT$6),AA2240,IF(F2240="MXN",1/HLOOKUP(YEAR(G2240)+(MONTH(G2240)/100),TC!$5:$37,DAY(G2240)+2,FALSE),VLOOKUP(F2240,Equivalencia!$5:$23,((MAX(Equivalencia!$3:$3)-YEAR(G2240))*14)+MONTH(G2240)+2,FALSE))))</f>
        <v>0</v>
      </c>
      <c r="M2240" s="306">
        <f t="shared" si="598"/>
        <v>0</v>
      </c>
      <c r="N2240" s="305">
        <f>IF(G2240=0,0,(IF(OR(E2240=$AT$5,E2240=$AT$6),AC2240,HLOOKUP(YEAR(G2240)+(MONTH(G2240)/100),TC!$5:$37,DAY(G2240)+2,FALSE))))</f>
        <v>0</v>
      </c>
      <c r="O2240" s="307">
        <f t="shared" si="599"/>
        <v>0</v>
      </c>
      <c r="P2240" s="560">
        <f>IF(G2240=0,0,VLOOKUP(YEAR(G2240),INPC!$B$4:$P$30,MONTH(G2240)+2))</f>
        <v>0</v>
      </c>
      <c r="Q2240" s="560">
        <f>IF(X2240=0,0,IF(OR(E2240=$AT$10,E2240=$AT$9),VLOOKUP(YEAR(X2240),INPC!$B$4:$P$30,MONTH(X2240)+1),VLOOKUP(YEAR(X2240),INPC!$B$4:$P$30,MONTH(X2240)+2,0)))</f>
        <v>0</v>
      </c>
      <c r="R2240" s="309">
        <f t="shared" si="600"/>
        <v>0</v>
      </c>
      <c r="S2240" s="310">
        <f t="shared" si="601"/>
        <v>0</v>
      </c>
      <c r="T2240" s="555">
        <f t="shared" si="602"/>
        <v>0</v>
      </c>
      <c r="U2240" s="311"/>
      <c r="V2240" s="312"/>
      <c r="W2240" s="299"/>
      <c r="X2240" s="300"/>
      <c r="Y2240" s="299"/>
      <c r="Z2240" s="303"/>
      <c r="AA2240" s="305">
        <f>IF(Z2240=0,0,IF(Y2240="MXN",1/HLOOKUP(YEAR(X2240)+(MONTH(X2240)/100),TC!$5:$37,DAY(X2240)+2,FALSE),VLOOKUP(Y2240,Equivalencia!$1:$23,((MAX(Equivalencia!$3:$3)-YEAR(X2240))*14)+MONTH(X2240)+2,FALSE)))</f>
        <v>0</v>
      </c>
      <c r="AB2240" s="306">
        <f t="shared" si="603"/>
        <v>0</v>
      </c>
      <c r="AC2240" s="305">
        <f>+IF(X2240=0,0,HLOOKUP(YEAR(X2240)+(MONTH(X2240)/100),TC!$5:$37,DAY(X2240)+2,FALSE))</f>
        <v>0</v>
      </c>
      <c r="AD2240" s="307">
        <f t="shared" si="604"/>
        <v>0</v>
      </c>
      <c r="AE2240" s="314">
        <f t="shared" si="605"/>
        <v>0</v>
      </c>
      <c r="AF2240" s="315">
        <f t="shared" si="606"/>
        <v>0</v>
      </c>
      <c r="AG2240" s="316">
        <f t="shared" si="607"/>
        <v>0</v>
      </c>
      <c r="AH2240" s="314">
        <v>1</v>
      </c>
      <c r="AI2240" s="314">
        <f t="shared" si="608"/>
        <v>0</v>
      </c>
      <c r="AJ2240" s="314">
        <f t="shared" si="609"/>
        <v>0</v>
      </c>
      <c r="AK2240" s="317"/>
      <c r="AL2240" s="315">
        <f t="shared" si="610"/>
        <v>0</v>
      </c>
      <c r="AN2240" s="554">
        <f t="shared" si="611"/>
        <v>0</v>
      </c>
      <c r="AO2240" s="314"/>
      <c r="AP2240" s="318"/>
    </row>
    <row r="2241" spans="2:42">
      <c r="B2241" s="296"/>
      <c r="C2241" s="299"/>
      <c r="D2241" s="298"/>
      <c r="E2241" s="299"/>
      <c r="F2241" s="299"/>
      <c r="G2241" s="300"/>
      <c r="H2241" s="303"/>
      <c r="I2241" s="301">
        <f t="shared" si="595"/>
        <v>0</v>
      </c>
      <c r="J2241" s="302">
        <f t="shared" si="596"/>
        <v>0</v>
      </c>
      <c r="K2241" s="304">
        <f t="shared" si="597"/>
        <v>0</v>
      </c>
      <c r="L2241" s="305">
        <f>IF(H2241=0,0,IF(OR(E2241=$AT$5,E2241=$AT$6),AA2241,IF(F2241="MXN",1/HLOOKUP(YEAR(G2241)+(MONTH(G2241)/100),TC!$5:$37,DAY(G2241)+2,FALSE),VLOOKUP(F2241,Equivalencia!$5:$23,((MAX(Equivalencia!$3:$3)-YEAR(G2241))*14)+MONTH(G2241)+2,FALSE))))</f>
        <v>0</v>
      </c>
      <c r="M2241" s="306">
        <f t="shared" si="598"/>
        <v>0</v>
      </c>
      <c r="N2241" s="305">
        <f>IF(G2241=0,0,(IF(OR(E2241=$AT$5,E2241=$AT$6),AC2241,HLOOKUP(YEAR(G2241)+(MONTH(G2241)/100),TC!$5:$37,DAY(G2241)+2,FALSE))))</f>
        <v>0</v>
      </c>
      <c r="O2241" s="307">
        <f t="shared" si="599"/>
        <v>0</v>
      </c>
      <c r="P2241" s="560">
        <f>IF(G2241=0,0,VLOOKUP(YEAR(G2241),INPC!$B$4:$P$30,MONTH(G2241)+2))</f>
        <v>0</v>
      </c>
      <c r="Q2241" s="560">
        <f>IF(X2241=0,0,IF(OR(E2241=$AT$10,E2241=$AT$9),VLOOKUP(YEAR(X2241),INPC!$B$4:$P$30,MONTH(X2241)+1),VLOOKUP(YEAR(X2241),INPC!$B$4:$P$30,MONTH(X2241)+2,0)))</f>
        <v>0</v>
      </c>
      <c r="R2241" s="309">
        <f t="shared" si="600"/>
        <v>0</v>
      </c>
      <c r="S2241" s="310">
        <f t="shared" si="601"/>
        <v>0</v>
      </c>
      <c r="T2241" s="555">
        <f t="shared" si="602"/>
        <v>0</v>
      </c>
      <c r="U2241" s="311"/>
      <c r="V2241" s="312"/>
      <c r="W2241" s="299"/>
      <c r="X2241" s="300"/>
      <c r="Y2241" s="299"/>
      <c r="Z2241" s="303"/>
      <c r="AA2241" s="305">
        <f>IF(Z2241=0,0,IF(Y2241="MXN",1/HLOOKUP(YEAR(X2241)+(MONTH(X2241)/100),TC!$5:$37,DAY(X2241)+2,FALSE),VLOOKUP(Y2241,Equivalencia!$1:$23,((MAX(Equivalencia!$3:$3)-YEAR(X2241))*14)+MONTH(X2241)+2,FALSE)))</f>
        <v>0</v>
      </c>
      <c r="AB2241" s="306">
        <f t="shared" si="603"/>
        <v>0</v>
      </c>
      <c r="AC2241" s="305">
        <f>+IF(X2241=0,0,HLOOKUP(YEAR(X2241)+(MONTH(X2241)/100),TC!$5:$37,DAY(X2241)+2,FALSE))</f>
        <v>0</v>
      </c>
      <c r="AD2241" s="307">
        <f t="shared" si="604"/>
        <v>0</v>
      </c>
      <c r="AE2241" s="314">
        <f t="shared" si="605"/>
        <v>0</v>
      </c>
      <c r="AF2241" s="315">
        <f t="shared" si="606"/>
        <v>0</v>
      </c>
      <c r="AG2241" s="316">
        <f t="shared" si="607"/>
        <v>0</v>
      </c>
      <c r="AH2241" s="314">
        <v>1</v>
      </c>
      <c r="AI2241" s="314">
        <f t="shared" si="608"/>
        <v>0</v>
      </c>
      <c r="AJ2241" s="314">
        <f t="shared" si="609"/>
        <v>0</v>
      </c>
      <c r="AK2241" s="317"/>
      <c r="AL2241" s="315">
        <f t="shared" si="610"/>
        <v>0</v>
      </c>
      <c r="AN2241" s="554">
        <f t="shared" si="611"/>
        <v>0</v>
      </c>
      <c r="AO2241" s="314"/>
      <c r="AP2241" s="318"/>
    </row>
    <row r="2242" spans="2:42">
      <c r="B2242" s="296"/>
      <c r="C2242" s="299"/>
      <c r="D2242" s="298"/>
      <c r="E2242" s="299"/>
      <c r="F2242" s="299"/>
      <c r="G2242" s="300"/>
      <c r="H2242" s="303"/>
      <c r="I2242" s="301">
        <f t="shared" si="595"/>
        <v>0</v>
      </c>
      <c r="J2242" s="302">
        <f t="shared" si="596"/>
        <v>0</v>
      </c>
      <c r="K2242" s="304">
        <f t="shared" si="597"/>
        <v>0</v>
      </c>
      <c r="L2242" s="305">
        <f>IF(H2242=0,0,IF(OR(E2242=$AT$5,E2242=$AT$6),AA2242,IF(F2242="MXN",1/HLOOKUP(YEAR(G2242)+(MONTH(G2242)/100),TC!$5:$37,DAY(G2242)+2,FALSE),VLOOKUP(F2242,Equivalencia!$5:$23,((MAX(Equivalencia!$3:$3)-YEAR(G2242))*14)+MONTH(G2242)+2,FALSE))))</f>
        <v>0</v>
      </c>
      <c r="M2242" s="306">
        <f t="shared" si="598"/>
        <v>0</v>
      </c>
      <c r="N2242" s="305">
        <f>IF(G2242=0,0,(IF(OR(E2242=$AT$5,E2242=$AT$6),AC2242,HLOOKUP(YEAR(G2242)+(MONTH(G2242)/100),TC!$5:$37,DAY(G2242)+2,FALSE))))</f>
        <v>0</v>
      </c>
      <c r="O2242" s="307">
        <f t="shared" si="599"/>
        <v>0</v>
      </c>
      <c r="P2242" s="560">
        <f>IF(G2242=0,0,VLOOKUP(YEAR(G2242),INPC!$B$4:$P$30,MONTH(G2242)+2))</f>
        <v>0</v>
      </c>
      <c r="Q2242" s="560">
        <f>IF(X2242=0,0,IF(OR(E2242=$AT$10,E2242=$AT$9),VLOOKUP(YEAR(X2242),INPC!$B$4:$P$30,MONTH(X2242)+1),VLOOKUP(YEAR(X2242),INPC!$B$4:$P$30,MONTH(X2242)+2,0)))</f>
        <v>0</v>
      </c>
      <c r="R2242" s="309">
        <f t="shared" si="600"/>
        <v>0</v>
      </c>
      <c r="S2242" s="310">
        <f t="shared" si="601"/>
        <v>0</v>
      </c>
      <c r="T2242" s="555">
        <f t="shared" si="602"/>
        <v>0</v>
      </c>
      <c r="U2242" s="311"/>
      <c r="V2242" s="312"/>
      <c r="W2242" s="299"/>
      <c r="X2242" s="300"/>
      <c r="Y2242" s="299"/>
      <c r="Z2242" s="303"/>
      <c r="AA2242" s="305">
        <f>IF(Z2242=0,0,IF(Y2242="MXN",1/HLOOKUP(YEAR(X2242)+(MONTH(X2242)/100),TC!$5:$37,DAY(X2242)+2,FALSE),VLOOKUP(Y2242,Equivalencia!$1:$23,((MAX(Equivalencia!$3:$3)-YEAR(X2242))*14)+MONTH(X2242)+2,FALSE)))</f>
        <v>0</v>
      </c>
      <c r="AB2242" s="306">
        <f t="shared" si="603"/>
        <v>0</v>
      </c>
      <c r="AC2242" s="305">
        <f>+IF(X2242=0,0,HLOOKUP(YEAR(X2242)+(MONTH(X2242)/100),TC!$5:$37,DAY(X2242)+2,FALSE))</f>
        <v>0</v>
      </c>
      <c r="AD2242" s="307">
        <f t="shared" si="604"/>
        <v>0</v>
      </c>
      <c r="AE2242" s="314">
        <f t="shared" si="605"/>
        <v>0</v>
      </c>
      <c r="AF2242" s="315">
        <f t="shared" si="606"/>
        <v>0</v>
      </c>
      <c r="AG2242" s="316">
        <f t="shared" si="607"/>
        <v>0</v>
      </c>
      <c r="AH2242" s="314">
        <v>1</v>
      </c>
      <c r="AI2242" s="314">
        <f t="shared" si="608"/>
        <v>0</v>
      </c>
      <c r="AJ2242" s="314">
        <f t="shared" si="609"/>
        <v>0</v>
      </c>
      <c r="AK2242" s="317"/>
      <c r="AL2242" s="315">
        <f t="shared" si="610"/>
        <v>0</v>
      </c>
      <c r="AN2242" s="554">
        <f t="shared" si="611"/>
        <v>0</v>
      </c>
      <c r="AO2242" s="314"/>
      <c r="AP2242" s="318"/>
    </row>
    <row r="2243" spans="2:42">
      <c r="B2243" s="296"/>
      <c r="C2243" s="299"/>
      <c r="D2243" s="298"/>
      <c r="E2243" s="299"/>
      <c r="F2243" s="299"/>
      <c r="G2243" s="300"/>
      <c r="H2243" s="303"/>
      <c r="I2243" s="301">
        <f t="shared" si="595"/>
        <v>0</v>
      </c>
      <c r="J2243" s="302">
        <f t="shared" si="596"/>
        <v>0</v>
      </c>
      <c r="K2243" s="304">
        <f t="shared" si="597"/>
        <v>0</v>
      </c>
      <c r="L2243" s="305">
        <f>IF(H2243=0,0,IF(OR(E2243=$AT$5,E2243=$AT$6),AA2243,IF(F2243="MXN",1/HLOOKUP(YEAR(G2243)+(MONTH(G2243)/100),TC!$5:$37,DAY(G2243)+2,FALSE),VLOOKUP(F2243,Equivalencia!$5:$23,((MAX(Equivalencia!$3:$3)-YEAR(G2243))*14)+MONTH(G2243)+2,FALSE))))</f>
        <v>0</v>
      </c>
      <c r="M2243" s="306">
        <f t="shared" si="598"/>
        <v>0</v>
      </c>
      <c r="N2243" s="305">
        <f>IF(G2243=0,0,(IF(OR(E2243=$AT$5,E2243=$AT$6),AC2243,HLOOKUP(YEAR(G2243)+(MONTH(G2243)/100),TC!$5:$37,DAY(G2243)+2,FALSE))))</f>
        <v>0</v>
      </c>
      <c r="O2243" s="307">
        <f t="shared" si="599"/>
        <v>0</v>
      </c>
      <c r="P2243" s="560">
        <f>IF(G2243=0,0,VLOOKUP(YEAR(G2243),INPC!$B$4:$P$30,MONTH(G2243)+2))</f>
        <v>0</v>
      </c>
      <c r="Q2243" s="560">
        <f>IF(X2243=0,0,IF(OR(E2243=$AT$10,E2243=$AT$9),VLOOKUP(YEAR(X2243),INPC!$B$4:$P$30,MONTH(X2243)+1),VLOOKUP(YEAR(X2243),INPC!$B$4:$P$30,MONTH(X2243)+2,0)))</f>
        <v>0</v>
      </c>
      <c r="R2243" s="309">
        <f t="shared" si="600"/>
        <v>0</v>
      </c>
      <c r="S2243" s="310">
        <f t="shared" si="601"/>
        <v>0</v>
      </c>
      <c r="T2243" s="555">
        <f t="shared" si="602"/>
        <v>0</v>
      </c>
      <c r="U2243" s="311"/>
      <c r="V2243" s="312"/>
      <c r="W2243" s="299"/>
      <c r="X2243" s="300"/>
      <c r="Y2243" s="299"/>
      <c r="Z2243" s="303"/>
      <c r="AA2243" s="305">
        <f>IF(Z2243=0,0,IF(Y2243="MXN",1/HLOOKUP(YEAR(X2243)+(MONTH(X2243)/100),TC!$5:$37,DAY(X2243)+2,FALSE),VLOOKUP(Y2243,Equivalencia!$1:$23,((MAX(Equivalencia!$3:$3)-YEAR(X2243))*14)+MONTH(X2243)+2,FALSE)))</f>
        <v>0</v>
      </c>
      <c r="AB2243" s="306">
        <f t="shared" si="603"/>
        <v>0</v>
      </c>
      <c r="AC2243" s="305">
        <f>+IF(X2243=0,0,HLOOKUP(YEAR(X2243)+(MONTH(X2243)/100),TC!$5:$37,DAY(X2243)+2,FALSE))</f>
        <v>0</v>
      </c>
      <c r="AD2243" s="307">
        <f t="shared" si="604"/>
        <v>0</v>
      </c>
      <c r="AE2243" s="314">
        <f t="shared" si="605"/>
        <v>0</v>
      </c>
      <c r="AF2243" s="315">
        <f t="shared" si="606"/>
        <v>0</v>
      </c>
      <c r="AG2243" s="316">
        <f t="shared" si="607"/>
        <v>0</v>
      </c>
      <c r="AH2243" s="314">
        <v>1</v>
      </c>
      <c r="AI2243" s="314">
        <f t="shared" si="608"/>
        <v>0</v>
      </c>
      <c r="AJ2243" s="314">
        <f t="shared" si="609"/>
        <v>0</v>
      </c>
      <c r="AK2243" s="317"/>
      <c r="AL2243" s="315">
        <f t="shared" si="610"/>
        <v>0</v>
      </c>
      <c r="AN2243" s="554">
        <f t="shared" si="611"/>
        <v>0</v>
      </c>
      <c r="AO2243" s="314"/>
      <c r="AP2243" s="318"/>
    </row>
    <row r="2244" spans="2:42">
      <c r="B2244" s="296"/>
      <c r="C2244" s="299"/>
      <c r="D2244" s="298"/>
      <c r="E2244" s="299"/>
      <c r="F2244" s="299"/>
      <c r="G2244" s="300"/>
      <c r="H2244" s="303"/>
      <c r="I2244" s="301">
        <f t="shared" si="595"/>
        <v>0</v>
      </c>
      <c r="J2244" s="302">
        <f t="shared" si="596"/>
        <v>0</v>
      </c>
      <c r="K2244" s="304">
        <f t="shared" si="597"/>
        <v>0</v>
      </c>
      <c r="L2244" s="305">
        <f>IF(H2244=0,0,IF(OR(E2244=$AT$5,E2244=$AT$6),AA2244,IF(F2244="MXN",1/HLOOKUP(YEAR(G2244)+(MONTH(G2244)/100),TC!$5:$37,DAY(G2244)+2,FALSE),VLOOKUP(F2244,Equivalencia!$5:$23,((MAX(Equivalencia!$3:$3)-YEAR(G2244))*14)+MONTH(G2244)+2,FALSE))))</f>
        <v>0</v>
      </c>
      <c r="M2244" s="306">
        <f t="shared" si="598"/>
        <v>0</v>
      </c>
      <c r="N2244" s="305">
        <f>IF(G2244=0,0,(IF(OR(E2244=$AT$5,E2244=$AT$6),AC2244,HLOOKUP(YEAR(G2244)+(MONTH(G2244)/100),TC!$5:$37,DAY(G2244)+2,FALSE))))</f>
        <v>0</v>
      </c>
      <c r="O2244" s="307">
        <f t="shared" si="599"/>
        <v>0</v>
      </c>
      <c r="P2244" s="560">
        <f>IF(G2244=0,0,VLOOKUP(YEAR(G2244),INPC!$B$4:$P$30,MONTH(G2244)+2))</f>
        <v>0</v>
      </c>
      <c r="Q2244" s="560">
        <f>IF(X2244=0,0,IF(OR(E2244=$AT$10,E2244=$AT$9),VLOOKUP(YEAR(X2244),INPC!$B$4:$P$30,MONTH(X2244)+1),VLOOKUP(YEAR(X2244),INPC!$B$4:$P$30,MONTH(X2244)+2,0)))</f>
        <v>0</v>
      </c>
      <c r="R2244" s="309">
        <f t="shared" si="600"/>
        <v>0</v>
      </c>
      <c r="S2244" s="310">
        <f t="shared" si="601"/>
        <v>0</v>
      </c>
      <c r="T2244" s="555">
        <f t="shared" si="602"/>
        <v>0</v>
      </c>
      <c r="U2244" s="311"/>
      <c r="V2244" s="312"/>
      <c r="W2244" s="299"/>
      <c r="X2244" s="300"/>
      <c r="Y2244" s="299"/>
      <c r="Z2244" s="303"/>
      <c r="AA2244" s="305">
        <f>IF(Z2244=0,0,IF(Y2244="MXN",1/HLOOKUP(YEAR(X2244)+(MONTH(X2244)/100),TC!$5:$37,DAY(X2244)+2,FALSE),VLOOKUP(Y2244,Equivalencia!$1:$23,((MAX(Equivalencia!$3:$3)-YEAR(X2244))*14)+MONTH(X2244)+2,FALSE)))</f>
        <v>0</v>
      </c>
      <c r="AB2244" s="306">
        <f t="shared" si="603"/>
        <v>0</v>
      </c>
      <c r="AC2244" s="305">
        <f>+IF(X2244=0,0,HLOOKUP(YEAR(X2244)+(MONTH(X2244)/100),TC!$5:$37,DAY(X2244)+2,FALSE))</f>
        <v>0</v>
      </c>
      <c r="AD2244" s="307">
        <f t="shared" si="604"/>
        <v>0</v>
      </c>
      <c r="AE2244" s="314">
        <f t="shared" si="605"/>
        <v>0</v>
      </c>
      <c r="AF2244" s="315">
        <f t="shared" si="606"/>
        <v>0</v>
      </c>
      <c r="AG2244" s="316">
        <f t="shared" si="607"/>
        <v>0</v>
      </c>
      <c r="AH2244" s="314">
        <v>1</v>
      </c>
      <c r="AI2244" s="314">
        <f t="shared" si="608"/>
        <v>0</v>
      </c>
      <c r="AJ2244" s="314">
        <f t="shared" si="609"/>
        <v>0</v>
      </c>
      <c r="AK2244" s="317"/>
      <c r="AL2244" s="315">
        <f t="shared" si="610"/>
        <v>0</v>
      </c>
      <c r="AN2244" s="554">
        <f t="shared" si="611"/>
        <v>0</v>
      </c>
      <c r="AO2244" s="314"/>
      <c r="AP2244" s="318"/>
    </row>
    <row r="2245" spans="2:42">
      <c r="B2245" s="296"/>
      <c r="C2245" s="299"/>
      <c r="D2245" s="298"/>
      <c r="E2245" s="299"/>
      <c r="F2245" s="299"/>
      <c r="G2245" s="300"/>
      <c r="H2245" s="303"/>
      <c r="I2245" s="301">
        <f t="shared" si="595"/>
        <v>0</v>
      </c>
      <c r="J2245" s="302">
        <f t="shared" si="596"/>
        <v>0</v>
      </c>
      <c r="K2245" s="304">
        <f t="shared" si="597"/>
        <v>0</v>
      </c>
      <c r="L2245" s="305">
        <f>IF(H2245=0,0,IF(OR(E2245=$AT$5,E2245=$AT$6),AA2245,IF(F2245="MXN",1/HLOOKUP(YEAR(G2245)+(MONTH(G2245)/100),TC!$5:$37,DAY(G2245)+2,FALSE),VLOOKUP(F2245,Equivalencia!$5:$23,((MAX(Equivalencia!$3:$3)-YEAR(G2245))*14)+MONTH(G2245)+2,FALSE))))</f>
        <v>0</v>
      </c>
      <c r="M2245" s="306">
        <f t="shared" si="598"/>
        <v>0</v>
      </c>
      <c r="N2245" s="305">
        <f>IF(G2245=0,0,(IF(OR(E2245=$AT$5,E2245=$AT$6),AC2245,HLOOKUP(YEAR(G2245)+(MONTH(G2245)/100),TC!$5:$37,DAY(G2245)+2,FALSE))))</f>
        <v>0</v>
      </c>
      <c r="O2245" s="307">
        <f t="shared" si="599"/>
        <v>0</v>
      </c>
      <c r="P2245" s="560">
        <f>IF(G2245=0,0,VLOOKUP(YEAR(G2245),INPC!$B$4:$P$30,MONTH(G2245)+2))</f>
        <v>0</v>
      </c>
      <c r="Q2245" s="560">
        <f>IF(X2245=0,0,IF(OR(E2245=$AT$10,E2245=$AT$9),VLOOKUP(YEAR(X2245),INPC!$B$4:$P$30,MONTH(X2245)+1),VLOOKUP(YEAR(X2245),INPC!$B$4:$P$30,MONTH(X2245)+2,0)))</f>
        <v>0</v>
      </c>
      <c r="R2245" s="309">
        <f t="shared" si="600"/>
        <v>0</v>
      </c>
      <c r="S2245" s="310">
        <f t="shared" si="601"/>
        <v>0</v>
      </c>
      <c r="T2245" s="555">
        <f t="shared" si="602"/>
        <v>0</v>
      </c>
      <c r="U2245" s="311"/>
      <c r="V2245" s="312"/>
      <c r="W2245" s="299"/>
      <c r="X2245" s="300"/>
      <c r="Y2245" s="299"/>
      <c r="Z2245" s="303"/>
      <c r="AA2245" s="305">
        <f>IF(Z2245=0,0,IF(Y2245="MXN",1/HLOOKUP(YEAR(X2245)+(MONTH(X2245)/100),TC!$5:$37,DAY(X2245)+2,FALSE),VLOOKUP(Y2245,Equivalencia!$1:$23,((MAX(Equivalencia!$3:$3)-YEAR(X2245))*14)+MONTH(X2245)+2,FALSE)))</f>
        <v>0</v>
      </c>
      <c r="AB2245" s="306">
        <f t="shared" si="603"/>
        <v>0</v>
      </c>
      <c r="AC2245" s="305">
        <f>+IF(X2245=0,0,HLOOKUP(YEAR(X2245)+(MONTH(X2245)/100),TC!$5:$37,DAY(X2245)+2,FALSE))</f>
        <v>0</v>
      </c>
      <c r="AD2245" s="307">
        <f t="shared" si="604"/>
        <v>0</v>
      </c>
      <c r="AE2245" s="314">
        <f t="shared" si="605"/>
        <v>0</v>
      </c>
      <c r="AF2245" s="315">
        <f t="shared" si="606"/>
        <v>0</v>
      </c>
      <c r="AG2245" s="316">
        <f t="shared" si="607"/>
        <v>0</v>
      </c>
      <c r="AH2245" s="314">
        <v>1</v>
      </c>
      <c r="AI2245" s="314">
        <f t="shared" si="608"/>
        <v>0</v>
      </c>
      <c r="AJ2245" s="314">
        <f t="shared" si="609"/>
        <v>0</v>
      </c>
      <c r="AK2245" s="317"/>
      <c r="AL2245" s="315">
        <f t="shared" si="610"/>
        <v>0</v>
      </c>
      <c r="AN2245" s="554">
        <f t="shared" si="611"/>
        <v>0</v>
      </c>
      <c r="AO2245" s="314"/>
      <c r="AP2245" s="318"/>
    </row>
    <row r="2246" spans="2:42">
      <c r="B2246" s="296"/>
      <c r="C2246" s="299"/>
      <c r="D2246" s="298"/>
      <c r="E2246" s="299"/>
      <c r="F2246" s="299"/>
      <c r="G2246" s="300"/>
      <c r="H2246" s="303"/>
      <c r="I2246" s="301">
        <f t="shared" si="595"/>
        <v>0</v>
      </c>
      <c r="J2246" s="302">
        <f t="shared" si="596"/>
        <v>0</v>
      </c>
      <c r="K2246" s="304">
        <f t="shared" si="597"/>
        <v>0</v>
      </c>
      <c r="L2246" s="305">
        <f>IF(H2246=0,0,IF(OR(E2246=$AT$5,E2246=$AT$6),AA2246,IF(F2246="MXN",1/HLOOKUP(YEAR(G2246)+(MONTH(G2246)/100),TC!$5:$37,DAY(G2246)+2,FALSE),VLOOKUP(F2246,Equivalencia!$5:$23,((MAX(Equivalencia!$3:$3)-YEAR(G2246))*14)+MONTH(G2246)+2,FALSE))))</f>
        <v>0</v>
      </c>
      <c r="M2246" s="306">
        <f t="shared" si="598"/>
        <v>0</v>
      </c>
      <c r="N2246" s="305">
        <f>IF(G2246=0,0,(IF(OR(E2246=$AT$5,E2246=$AT$6),AC2246,HLOOKUP(YEAR(G2246)+(MONTH(G2246)/100),TC!$5:$37,DAY(G2246)+2,FALSE))))</f>
        <v>0</v>
      </c>
      <c r="O2246" s="307">
        <f t="shared" si="599"/>
        <v>0</v>
      </c>
      <c r="P2246" s="560">
        <f>IF(G2246=0,0,VLOOKUP(YEAR(G2246),INPC!$B$4:$P$30,MONTH(G2246)+2))</f>
        <v>0</v>
      </c>
      <c r="Q2246" s="560">
        <f>IF(X2246=0,0,IF(OR(E2246=$AT$10,E2246=$AT$9),VLOOKUP(YEAR(X2246),INPC!$B$4:$P$30,MONTH(X2246)+1),VLOOKUP(YEAR(X2246),INPC!$B$4:$P$30,MONTH(X2246)+2,0)))</f>
        <v>0</v>
      </c>
      <c r="R2246" s="309">
        <f t="shared" si="600"/>
        <v>0</v>
      </c>
      <c r="S2246" s="310">
        <f t="shared" si="601"/>
        <v>0</v>
      </c>
      <c r="T2246" s="555">
        <f t="shared" si="602"/>
        <v>0</v>
      </c>
      <c r="U2246" s="311"/>
      <c r="V2246" s="312"/>
      <c r="W2246" s="299"/>
      <c r="X2246" s="300"/>
      <c r="Y2246" s="299"/>
      <c r="Z2246" s="303"/>
      <c r="AA2246" s="305">
        <f>IF(Z2246=0,0,IF(Y2246="MXN",1/HLOOKUP(YEAR(X2246)+(MONTH(X2246)/100),TC!$5:$37,DAY(X2246)+2,FALSE),VLOOKUP(Y2246,Equivalencia!$1:$23,((MAX(Equivalencia!$3:$3)-YEAR(X2246))*14)+MONTH(X2246)+2,FALSE)))</f>
        <v>0</v>
      </c>
      <c r="AB2246" s="306">
        <f t="shared" si="603"/>
        <v>0</v>
      </c>
      <c r="AC2246" s="305">
        <f>+IF(X2246=0,0,HLOOKUP(YEAR(X2246)+(MONTH(X2246)/100),TC!$5:$37,DAY(X2246)+2,FALSE))</f>
        <v>0</v>
      </c>
      <c r="AD2246" s="307">
        <f t="shared" si="604"/>
        <v>0</v>
      </c>
      <c r="AE2246" s="314">
        <f t="shared" si="605"/>
        <v>0</v>
      </c>
      <c r="AF2246" s="315">
        <f t="shared" si="606"/>
        <v>0</v>
      </c>
      <c r="AG2246" s="316">
        <f t="shared" si="607"/>
        <v>0</v>
      </c>
      <c r="AH2246" s="314">
        <v>1</v>
      </c>
      <c r="AI2246" s="314">
        <f t="shared" si="608"/>
        <v>0</v>
      </c>
      <c r="AJ2246" s="314">
        <f t="shared" si="609"/>
        <v>0</v>
      </c>
      <c r="AK2246" s="317"/>
      <c r="AL2246" s="315">
        <f t="shared" si="610"/>
        <v>0</v>
      </c>
      <c r="AN2246" s="554">
        <f t="shared" si="611"/>
        <v>0</v>
      </c>
      <c r="AO2246" s="314"/>
      <c r="AP2246" s="318"/>
    </row>
    <row r="2247" spans="2:42">
      <c r="B2247" s="296"/>
      <c r="C2247" s="299"/>
      <c r="D2247" s="298"/>
      <c r="E2247" s="299"/>
      <c r="F2247" s="299"/>
      <c r="G2247" s="300"/>
      <c r="H2247" s="303"/>
      <c r="I2247" s="301">
        <f t="shared" si="595"/>
        <v>0</v>
      </c>
      <c r="J2247" s="302">
        <f t="shared" si="596"/>
        <v>0</v>
      </c>
      <c r="K2247" s="304">
        <f t="shared" si="597"/>
        <v>0</v>
      </c>
      <c r="L2247" s="305">
        <f>IF(H2247=0,0,IF(OR(E2247=$AT$5,E2247=$AT$6),AA2247,IF(F2247="MXN",1/HLOOKUP(YEAR(G2247)+(MONTH(G2247)/100),TC!$5:$37,DAY(G2247)+2,FALSE),VLOOKUP(F2247,Equivalencia!$5:$23,((MAX(Equivalencia!$3:$3)-YEAR(G2247))*14)+MONTH(G2247)+2,FALSE))))</f>
        <v>0</v>
      </c>
      <c r="M2247" s="306">
        <f t="shared" si="598"/>
        <v>0</v>
      </c>
      <c r="N2247" s="305">
        <f>IF(G2247=0,0,(IF(OR(E2247=$AT$5,E2247=$AT$6),AC2247,HLOOKUP(YEAR(G2247)+(MONTH(G2247)/100),TC!$5:$37,DAY(G2247)+2,FALSE))))</f>
        <v>0</v>
      </c>
      <c r="O2247" s="307">
        <f t="shared" si="599"/>
        <v>0</v>
      </c>
      <c r="P2247" s="560">
        <f>IF(G2247=0,0,VLOOKUP(YEAR(G2247),INPC!$B$4:$P$30,MONTH(G2247)+2))</f>
        <v>0</v>
      </c>
      <c r="Q2247" s="560">
        <f>IF(X2247=0,0,IF(OR(E2247=$AT$10,E2247=$AT$9),VLOOKUP(YEAR(X2247),INPC!$B$4:$P$30,MONTH(X2247)+1),VLOOKUP(YEAR(X2247),INPC!$B$4:$P$30,MONTH(X2247)+2,0)))</f>
        <v>0</v>
      </c>
      <c r="R2247" s="309">
        <f t="shared" si="600"/>
        <v>0</v>
      </c>
      <c r="S2247" s="310">
        <f t="shared" si="601"/>
        <v>0</v>
      </c>
      <c r="T2247" s="555">
        <f t="shared" si="602"/>
        <v>0</v>
      </c>
      <c r="U2247" s="311"/>
      <c r="V2247" s="312"/>
      <c r="W2247" s="299"/>
      <c r="X2247" s="300"/>
      <c r="Y2247" s="299"/>
      <c r="Z2247" s="303"/>
      <c r="AA2247" s="305">
        <f>IF(Z2247=0,0,IF(Y2247="MXN",1/HLOOKUP(YEAR(X2247)+(MONTH(X2247)/100),TC!$5:$37,DAY(X2247)+2,FALSE),VLOOKUP(Y2247,Equivalencia!$1:$23,((MAX(Equivalencia!$3:$3)-YEAR(X2247))*14)+MONTH(X2247)+2,FALSE)))</f>
        <v>0</v>
      </c>
      <c r="AB2247" s="306">
        <f t="shared" si="603"/>
        <v>0</v>
      </c>
      <c r="AC2247" s="305">
        <f>+IF(X2247=0,0,HLOOKUP(YEAR(X2247)+(MONTH(X2247)/100),TC!$5:$37,DAY(X2247)+2,FALSE))</f>
        <v>0</v>
      </c>
      <c r="AD2247" s="307">
        <f t="shared" si="604"/>
        <v>0</v>
      </c>
      <c r="AE2247" s="314">
        <f t="shared" si="605"/>
        <v>0</v>
      </c>
      <c r="AF2247" s="315">
        <f t="shared" si="606"/>
        <v>0</v>
      </c>
      <c r="AG2247" s="316">
        <f t="shared" si="607"/>
        <v>0</v>
      </c>
      <c r="AH2247" s="314">
        <v>1</v>
      </c>
      <c r="AI2247" s="314">
        <f t="shared" si="608"/>
        <v>0</v>
      </c>
      <c r="AJ2247" s="314">
        <f t="shared" si="609"/>
        <v>0</v>
      </c>
      <c r="AK2247" s="317"/>
      <c r="AL2247" s="315">
        <f t="shared" si="610"/>
        <v>0</v>
      </c>
      <c r="AN2247" s="554">
        <f t="shared" si="611"/>
        <v>0</v>
      </c>
      <c r="AO2247" s="314"/>
      <c r="AP2247" s="318"/>
    </row>
    <row r="2248" spans="2:42">
      <c r="B2248" s="296"/>
      <c r="C2248" s="299"/>
      <c r="D2248" s="298"/>
      <c r="E2248" s="299"/>
      <c r="F2248" s="299"/>
      <c r="G2248" s="300"/>
      <c r="H2248" s="303"/>
      <c r="I2248" s="301">
        <f t="shared" si="595"/>
        <v>0</v>
      </c>
      <c r="J2248" s="302">
        <f t="shared" si="596"/>
        <v>0</v>
      </c>
      <c r="K2248" s="304">
        <f t="shared" si="597"/>
        <v>0</v>
      </c>
      <c r="L2248" s="305">
        <f>IF(H2248=0,0,IF(OR(E2248=$AT$5,E2248=$AT$6),AA2248,IF(F2248="MXN",1/HLOOKUP(YEAR(G2248)+(MONTH(G2248)/100),TC!$5:$37,DAY(G2248)+2,FALSE),VLOOKUP(F2248,Equivalencia!$5:$23,((MAX(Equivalencia!$3:$3)-YEAR(G2248))*14)+MONTH(G2248)+2,FALSE))))</f>
        <v>0</v>
      </c>
      <c r="M2248" s="306">
        <f t="shared" si="598"/>
        <v>0</v>
      </c>
      <c r="N2248" s="305">
        <f>IF(G2248=0,0,(IF(OR(E2248=$AT$5,E2248=$AT$6),AC2248,HLOOKUP(YEAR(G2248)+(MONTH(G2248)/100),TC!$5:$37,DAY(G2248)+2,FALSE))))</f>
        <v>0</v>
      </c>
      <c r="O2248" s="307">
        <f t="shared" si="599"/>
        <v>0</v>
      </c>
      <c r="P2248" s="560">
        <f>IF(G2248=0,0,VLOOKUP(YEAR(G2248),INPC!$B$4:$P$30,MONTH(G2248)+2))</f>
        <v>0</v>
      </c>
      <c r="Q2248" s="560">
        <f>IF(X2248=0,0,IF(OR(E2248=$AT$10,E2248=$AT$9),VLOOKUP(YEAR(X2248),INPC!$B$4:$P$30,MONTH(X2248)+1),VLOOKUP(YEAR(X2248),INPC!$B$4:$P$30,MONTH(X2248)+2,0)))</f>
        <v>0</v>
      </c>
      <c r="R2248" s="309">
        <f t="shared" si="600"/>
        <v>0</v>
      </c>
      <c r="S2248" s="310">
        <f t="shared" si="601"/>
        <v>0</v>
      </c>
      <c r="T2248" s="555">
        <f t="shared" si="602"/>
        <v>0</v>
      </c>
      <c r="U2248" s="311"/>
      <c r="V2248" s="312"/>
      <c r="W2248" s="299"/>
      <c r="X2248" s="300"/>
      <c r="Y2248" s="299"/>
      <c r="Z2248" s="303"/>
      <c r="AA2248" s="305">
        <f>IF(Z2248=0,0,IF(Y2248="MXN",1/HLOOKUP(YEAR(X2248)+(MONTH(X2248)/100),TC!$5:$37,DAY(X2248)+2,FALSE),VLOOKUP(Y2248,Equivalencia!$1:$23,((MAX(Equivalencia!$3:$3)-YEAR(X2248))*14)+MONTH(X2248)+2,FALSE)))</f>
        <v>0</v>
      </c>
      <c r="AB2248" s="306">
        <f t="shared" si="603"/>
        <v>0</v>
      </c>
      <c r="AC2248" s="305">
        <f>+IF(X2248=0,0,HLOOKUP(YEAR(X2248)+(MONTH(X2248)/100),TC!$5:$37,DAY(X2248)+2,FALSE))</f>
        <v>0</v>
      </c>
      <c r="AD2248" s="307">
        <f t="shared" si="604"/>
        <v>0</v>
      </c>
      <c r="AE2248" s="314">
        <f t="shared" si="605"/>
        <v>0</v>
      </c>
      <c r="AF2248" s="315">
        <f t="shared" si="606"/>
        <v>0</v>
      </c>
      <c r="AG2248" s="316">
        <f t="shared" si="607"/>
        <v>0</v>
      </c>
      <c r="AH2248" s="314">
        <v>1</v>
      </c>
      <c r="AI2248" s="314">
        <f t="shared" si="608"/>
        <v>0</v>
      </c>
      <c r="AJ2248" s="314">
        <f t="shared" si="609"/>
        <v>0</v>
      </c>
      <c r="AK2248" s="317"/>
      <c r="AL2248" s="315">
        <f t="shared" si="610"/>
        <v>0</v>
      </c>
      <c r="AN2248" s="554">
        <f t="shared" si="611"/>
        <v>0</v>
      </c>
      <c r="AO2248" s="314"/>
      <c r="AP2248" s="318"/>
    </row>
    <row r="2249" spans="2:42">
      <c r="B2249" s="296"/>
      <c r="C2249" s="299"/>
      <c r="D2249" s="298"/>
      <c r="E2249" s="299"/>
      <c r="F2249" s="299"/>
      <c r="G2249" s="300"/>
      <c r="H2249" s="303"/>
      <c r="I2249" s="301">
        <f t="shared" si="595"/>
        <v>0</v>
      </c>
      <c r="J2249" s="302">
        <f t="shared" si="596"/>
        <v>0</v>
      </c>
      <c r="K2249" s="304">
        <f t="shared" si="597"/>
        <v>0</v>
      </c>
      <c r="L2249" s="305">
        <f>IF(H2249=0,0,IF(OR(E2249=$AT$5,E2249=$AT$6),AA2249,IF(F2249="MXN",1/HLOOKUP(YEAR(G2249)+(MONTH(G2249)/100),TC!$5:$37,DAY(G2249)+2,FALSE),VLOOKUP(F2249,Equivalencia!$5:$23,((MAX(Equivalencia!$3:$3)-YEAR(G2249))*14)+MONTH(G2249)+2,FALSE))))</f>
        <v>0</v>
      </c>
      <c r="M2249" s="306">
        <f t="shared" si="598"/>
        <v>0</v>
      </c>
      <c r="N2249" s="305">
        <f>IF(G2249=0,0,(IF(OR(E2249=$AT$5,E2249=$AT$6),AC2249,HLOOKUP(YEAR(G2249)+(MONTH(G2249)/100),TC!$5:$37,DAY(G2249)+2,FALSE))))</f>
        <v>0</v>
      </c>
      <c r="O2249" s="307">
        <f t="shared" si="599"/>
        <v>0</v>
      </c>
      <c r="P2249" s="560">
        <f>IF(G2249=0,0,VLOOKUP(YEAR(G2249),INPC!$B$4:$P$30,MONTH(G2249)+2))</f>
        <v>0</v>
      </c>
      <c r="Q2249" s="560">
        <f>IF(X2249=0,0,IF(OR(E2249=$AT$10,E2249=$AT$9),VLOOKUP(YEAR(X2249),INPC!$B$4:$P$30,MONTH(X2249)+1),VLOOKUP(YEAR(X2249),INPC!$B$4:$P$30,MONTH(X2249)+2,0)))</f>
        <v>0</v>
      </c>
      <c r="R2249" s="309">
        <f t="shared" si="600"/>
        <v>0</v>
      </c>
      <c r="S2249" s="310">
        <f t="shared" si="601"/>
        <v>0</v>
      </c>
      <c r="T2249" s="555">
        <f t="shared" si="602"/>
        <v>0</v>
      </c>
      <c r="U2249" s="311"/>
      <c r="V2249" s="312"/>
      <c r="W2249" s="299"/>
      <c r="X2249" s="300"/>
      <c r="Y2249" s="299"/>
      <c r="Z2249" s="303"/>
      <c r="AA2249" s="305">
        <f>IF(Z2249=0,0,IF(Y2249="MXN",1/HLOOKUP(YEAR(X2249)+(MONTH(X2249)/100),TC!$5:$37,DAY(X2249)+2,FALSE),VLOOKUP(Y2249,Equivalencia!$1:$23,((MAX(Equivalencia!$3:$3)-YEAR(X2249))*14)+MONTH(X2249)+2,FALSE)))</f>
        <v>0</v>
      </c>
      <c r="AB2249" s="306">
        <f t="shared" si="603"/>
        <v>0</v>
      </c>
      <c r="AC2249" s="305">
        <f>+IF(X2249=0,0,HLOOKUP(YEAR(X2249)+(MONTH(X2249)/100),TC!$5:$37,DAY(X2249)+2,FALSE))</f>
        <v>0</v>
      </c>
      <c r="AD2249" s="307">
        <f t="shared" si="604"/>
        <v>0</v>
      </c>
      <c r="AE2249" s="314">
        <f t="shared" si="605"/>
        <v>0</v>
      </c>
      <c r="AF2249" s="315">
        <f t="shared" si="606"/>
        <v>0</v>
      </c>
      <c r="AG2249" s="316">
        <f t="shared" si="607"/>
        <v>0</v>
      </c>
      <c r="AH2249" s="314">
        <v>1</v>
      </c>
      <c r="AI2249" s="314">
        <f t="shared" si="608"/>
        <v>0</v>
      </c>
      <c r="AJ2249" s="314">
        <f t="shared" si="609"/>
        <v>0</v>
      </c>
      <c r="AK2249" s="317"/>
      <c r="AL2249" s="315">
        <f t="shared" si="610"/>
        <v>0</v>
      </c>
      <c r="AN2249" s="554">
        <f t="shared" si="611"/>
        <v>0</v>
      </c>
      <c r="AO2249" s="314"/>
      <c r="AP2249" s="318"/>
    </row>
    <row r="2250" spans="2:42">
      <c r="B2250" s="296"/>
      <c r="C2250" s="299"/>
      <c r="D2250" s="298"/>
      <c r="E2250" s="299"/>
      <c r="F2250" s="299"/>
      <c r="G2250" s="300"/>
      <c r="H2250" s="303"/>
      <c r="I2250" s="301">
        <f t="shared" si="595"/>
        <v>0</v>
      </c>
      <c r="J2250" s="302">
        <f t="shared" si="596"/>
        <v>0</v>
      </c>
      <c r="K2250" s="304">
        <f t="shared" si="597"/>
        <v>0</v>
      </c>
      <c r="L2250" s="305">
        <f>IF(H2250=0,0,IF(OR(E2250=$AT$5,E2250=$AT$6),AA2250,IF(F2250="MXN",1/HLOOKUP(YEAR(G2250)+(MONTH(G2250)/100),TC!$5:$37,DAY(G2250)+2,FALSE),VLOOKUP(F2250,Equivalencia!$5:$23,((MAX(Equivalencia!$3:$3)-YEAR(G2250))*14)+MONTH(G2250)+2,FALSE))))</f>
        <v>0</v>
      </c>
      <c r="M2250" s="306">
        <f t="shared" si="598"/>
        <v>0</v>
      </c>
      <c r="N2250" s="305">
        <f>IF(G2250=0,0,(IF(OR(E2250=$AT$5,E2250=$AT$6),AC2250,HLOOKUP(YEAR(G2250)+(MONTH(G2250)/100),TC!$5:$37,DAY(G2250)+2,FALSE))))</f>
        <v>0</v>
      </c>
      <c r="O2250" s="307">
        <f t="shared" si="599"/>
        <v>0</v>
      </c>
      <c r="P2250" s="560">
        <f>IF(G2250=0,0,VLOOKUP(YEAR(G2250),INPC!$B$4:$P$30,MONTH(G2250)+2))</f>
        <v>0</v>
      </c>
      <c r="Q2250" s="560">
        <f>IF(X2250=0,0,IF(OR(E2250=$AT$10,E2250=$AT$9),VLOOKUP(YEAR(X2250),INPC!$B$4:$P$30,MONTH(X2250)+1),VLOOKUP(YEAR(X2250),INPC!$B$4:$P$30,MONTH(X2250)+2,0)))</f>
        <v>0</v>
      </c>
      <c r="R2250" s="309">
        <f t="shared" si="600"/>
        <v>0</v>
      </c>
      <c r="S2250" s="310">
        <f t="shared" si="601"/>
        <v>0</v>
      </c>
      <c r="T2250" s="555">
        <f t="shared" si="602"/>
        <v>0</v>
      </c>
      <c r="U2250" s="311"/>
      <c r="V2250" s="312"/>
      <c r="W2250" s="299"/>
      <c r="X2250" s="300"/>
      <c r="Y2250" s="299"/>
      <c r="Z2250" s="303"/>
      <c r="AA2250" s="305">
        <f>IF(Z2250=0,0,IF(Y2250="MXN",1/HLOOKUP(YEAR(X2250)+(MONTH(X2250)/100),TC!$5:$37,DAY(X2250)+2,FALSE),VLOOKUP(Y2250,Equivalencia!$1:$23,((MAX(Equivalencia!$3:$3)-YEAR(X2250))*14)+MONTH(X2250)+2,FALSE)))</f>
        <v>0</v>
      </c>
      <c r="AB2250" s="306">
        <f t="shared" si="603"/>
        <v>0</v>
      </c>
      <c r="AC2250" s="305">
        <f>+IF(X2250=0,0,HLOOKUP(YEAR(X2250)+(MONTH(X2250)/100),TC!$5:$37,DAY(X2250)+2,FALSE))</f>
        <v>0</v>
      </c>
      <c r="AD2250" s="307">
        <f t="shared" si="604"/>
        <v>0</v>
      </c>
      <c r="AE2250" s="314">
        <f t="shared" si="605"/>
        <v>0</v>
      </c>
      <c r="AF2250" s="315">
        <f t="shared" si="606"/>
        <v>0</v>
      </c>
      <c r="AG2250" s="316">
        <f t="shared" si="607"/>
        <v>0</v>
      </c>
      <c r="AH2250" s="314">
        <v>1</v>
      </c>
      <c r="AI2250" s="314">
        <f t="shared" si="608"/>
        <v>0</v>
      </c>
      <c r="AJ2250" s="314">
        <f t="shared" si="609"/>
        <v>0</v>
      </c>
      <c r="AK2250" s="317"/>
      <c r="AL2250" s="315">
        <f t="shared" si="610"/>
        <v>0</v>
      </c>
      <c r="AN2250" s="554">
        <f t="shared" si="611"/>
        <v>0</v>
      </c>
      <c r="AO2250" s="314"/>
      <c r="AP2250" s="318"/>
    </row>
    <row r="2251" spans="2:42">
      <c r="B2251" s="296"/>
      <c r="C2251" s="299"/>
      <c r="D2251" s="298"/>
      <c r="E2251" s="299"/>
      <c r="F2251" s="299"/>
      <c r="G2251" s="300"/>
      <c r="H2251" s="303"/>
      <c r="I2251" s="301">
        <f t="shared" si="595"/>
        <v>0</v>
      </c>
      <c r="J2251" s="302">
        <f t="shared" si="596"/>
        <v>0</v>
      </c>
      <c r="K2251" s="304">
        <f t="shared" si="597"/>
        <v>0</v>
      </c>
      <c r="L2251" s="305">
        <f>IF(H2251=0,0,IF(OR(E2251=$AT$5,E2251=$AT$6),AA2251,IF(F2251="MXN",1/HLOOKUP(YEAR(G2251)+(MONTH(G2251)/100),TC!$5:$37,DAY(G2251)+2,FALSE),VLOOKUP(F2251,Equivalencia!$5:$23,((MAX(Equivalencia!$3:$3)-YEAR(G2251))*14)+MONTH(G2251)+2,FALSE))))</f>
        <v>0</v>
      </c>
      <c r="M2251" s="306">
        <f t="shared" si="598"/>
        <v>0</v>
      </c>
      <c r="N2251" s="305">
        <f>IF(G2251=0,0,(IF(OR(E2251=$AT$5,E2251=$AT$6),AC2251,HLOOKUP(YEAR(G2251)+(MONTH(G2251)/100),TC!$5:$37,DAY(G2251)+2,FALSE))))</f>
        <v>0</v>
      </c>
      <c r="O2251" s="307">
        <f t="shared" si="599"/>
        <v>0</v>
      </c>
      <c r="P2251" s="560">
        <f>IF(G2251=0,0,VLOOKUP(YEAR(G2251),INPC!$B$4:$P$30,MONTH(G2251)+2))</f>
        <v>0</v>
      </c>
      <c r="Q2251" s="560">
        <f>IF(X2251=0,0,IF(OR(E2251=$AT$10,E2251=$AT$9),VLOOKUP(YEAR(X2251),INPC!$B$4:$P$30,MONTH(X2251)+1),VLOOKUP(YEAR(X2251),INPC!$B$4:$P$30,MONTH(X2251)+2,0)))</f>
        <v>0</v>
      </c>
      <c r="R2251" s="309">
        <f t="shared" si="600"/>
        <v>0</v>
      </c>
      <c r="S2251" s="310">
        <f t="shared" si="601"/>
        <v>0</v>
      </c>
      <c r="T2251" s="555">
        <f t="shared" si="602"/>
        <v>0</v>
      </c>
      <c r="U2251" s="311"/>
      <c r="V2251" s="312"/>
      <c r="W2251" s="299"/>
      <c r="X2251" s="300"/>
      <c r="Y2251" s="299"/>
      <c r="Z2251" s="303"/>
      <c r="AA2251" s="305">
        <f>IF(Z2251=0,0,IF(Y2251="MXN",1/HLOOKUP(YEAR(X2251)+(MONTH(X2251)/100),TC!$5:$37,DAY(X2251)+2,FALSE),VLOOKUP(Y2251,Equivalencia!$1:$23,((MAX(Equivalencia!$3:$3)-YEAR(X2251))*14)+MONTH(X2251)+2,FALSE)))</f>
        <v>0</v>
      </c>
      <c r="AB2251" s="306">
        <f t="shared" si="603"/>
        <v>0</v>
      </c>
      <c r="AC2251" s="305">
        <f>+IF(X2251=0,0,HLOOKUP(YEAR(X2251)+(MONTH(X2251)/100),TC!$5:$37,DAY(X2251)+2,FALSE))</f>
        <v>0</v>
      </c>
      <c r="AD2251" s="307">
        <f t="shared" si="604"/>
        <v>0</v>
      </c>
      <c r="AE2251" s="314">
        <f t="shared" si="605"/>
        <v>0</v>
      </c>
      <c r="AF2251" s="315">
        <f t="shared" si="606"/>
        <v>0</v>
      </c>
      <c r="AG2251" s="316">
        <f t="shared" si="607"/>
        <v>0</v>
      </c>
      <c r="AH2251" s="314">
        <v>1</v>
      </c>
      <c r="AI2251" s="314">
        <f t="shared" si="608"/>
        <v>0</v>
      </c>
      <c r="AJ2251" s="314">
        <f t="shared" si="609"/>
        <v>0</v>
      </c>
      <c r="AK2251" s="317"/>
      <c r="AL2251" s="315">
        <f t="shared" si="610"/>
        <v>0</v>
      </c>
      <c r="AN2251" s="554">
        <f t="shared" si="611"/>
        <v>0</v>
      </c>
      <c r="AO2251" s="314"/>
      <c r="AP2251" s="318"/>
    </row>
    <row r="2252" spans="2:42">
      <c r="B2252" s="296"/>
      <c r="C2252" s="299"/>
      <c r="D2252" s="298"/>
      <c r="E2252" s="299"/>
      <c r="F2252" s="299"/>
      <c r="G2252" s="300"/>
      <c r="H2252" s="303"/>
      <c r="I2252" s="301">
        <f t="shared" si="595"/>
        <v>0</v>
      </c>
      <c r="J2252" s="302">
        <f t="shared" si="596"/>
        <v>0</v>
      </c>
      <c r="K2252" s="304">
        <f t="shared" si="597"/>
        <v>0</v>
      </c>
      <c r="L2252" s="305">
        <f>IF(H2252=0,0,IF(OR(E2252=$AT$5,E2252=$AT$6),AA2252,IF(F2252="MXN",1/HLOOKUP(YEAR(G2252)+(MONTH(G2252)/100),TC!$5:$37,DAY(G2252)+2,FALSE),VLOOKUP(F2252,Equivalencia!$5:$23,((MAX(Equivalencia!$3:$3)-YEAR(G2252))*14)+MONTH(G2252)+2,FALSE))))</f>
        <v>0</v>
      </c>
      <c r="M2252" s="306">
        <f t="shared" si="598"/>
        <v>0</v>
      </c>
      <c r="N2252" s="305">
        <f>IF(G2252=0,0,(IF(OR(E2252=$AT$5,E2252=$AT$6),AC2252,HLOOKUP(YEAR(G2252)+(MONTH(G2252)/100),TC!$5:$37,DAY(G2252)+2,FALSE))))</f>
        <v>0</v>
      </c>
      <c r="O2252" s="307">
        <f t="shared" si="599"/>
        <v>0</v>
      </c>
      <c r="P2252" s="560">
        <f>IF(G2252=0,0,VLOOKUP(YEAR(G2252),INPC!$B$4:$P$30,MONTH(G2252)+2))</f>
        <v>0</v>
      </c>
      <c r="Q2252" s="560">
        <f>IF(X2252=0,0,IF(OR(E2252=$AT$10,E2252=$AT$9),VLOOKUP(YEAR(X2252),INPC!$B$4:$P$30,MONTH(X2252)+1),VLOOKUP(YEAR(X2252),INPC!$B$4:$P$30,MONTH(X2252)+2,0)))</f>
        <v>0</v>
      </c>
      <c r="R2252" s="309">
        <f t="shared" si="600"/>
        <v>0</v>
      </c>
      <c r="S2252" s="310">
        <f t="shared" si="601"/>
        <v>0</v>
      </c>
      <c r="T2252" s="555">
        <f t="shared" si="602"/>
        <v>0</v>
      </c>
      <c r="U2252" s="311"/>
      <c r="V2252" s="312"/>
      <c r="W2252" s="299"/>
      <c r="X2252" s="300"/>
      <c r="Y2252" s="299"/>
      <c r="Z2252" s="303"/>
      <c r="AA2252" s="305">
        <f>IF(Z2252=0,0,IF(Y2252="MXN",1/HLOOKUP(YEAR(X2252)+(MONTH(X2252)/100),TC!$5:$37,DAY(X2252)+2,FALSE),VLOOKUP(Y2252,Equivalencia!$1:$23,((MAX(Equivalencia!$3:$3)-YEAR(X2252))*14)+MONTH(X2252)+2,FALSE)))</f>
        <v>0</v>
      </c>
      <c r="AB2252" s="306">
        <f t="shared" si="603"/>
        <v>0</v>
      </c>
      <c r="AC2252" s="305">
        <f>+IF(X2252=0,0,HLOOKUP(YEAR(X2252)+(MONTH(X2252)/100),TC!$5:$37,DAY(X2252)+2,FALSE))</f>
        <v>0</v>
      </c>
      <c r="AD2252" s="307">
        <f t="shared" si="604"/>
        <v>0</v>
      </c>
      <c r="AE2252" s="314">
        <f t="shared" si="605"/>
        <v>0</v>
      </c>
      <c r="AF2252" s="315">
        <f t="shared" si="606"/>
        <v>0</v>
      </c>
      <c r="AG2252" s="316">
        <f t="shared" si="607"/>
        <v>0</v>
      </c>
      <c r="AH2252" s="314">
        <v>1</v>
      </c>
      <c r="AI2252" s="314">
        <f t="shared" si="608"/>
        <v>0</v>
      </c>
      <c r="AJ2252" s="314">
        <f t="shared" si="609"/>
        <v>0</v>
      </c>
      <c r="AK2252" s="317"/>
      <c r="AL2252" s="315">
        <f t="shared" si="610"/>
        <v>0</v>
      </c>
      <c r="AN2252" s="554">
        <f t="shared" si="611"/>
        <v>0</v>
      </c>
      <c r="AO2252" s="314"/>
      <c r="AP2252" s="318"/>
    </row>
    <row r="2253" spans="2:42">
      <c r="B2253" s="296"/>
      <c r="C2253" s="299"/>
      <c r="D2253" s="298"/>
      <c r="E2253" s="299"/>
      <c r="F2253" s="299"/>
      <c r="G2253" s="300"/>
      <c r="H2253" s="303"/>
      <c r="I2253" s="301">
        <f t="shared" si="595"/>
        <v>0</v>
      </c>
      <c r="J2253" s="302">
        <f t="shared" si="596"/>
        <v>0</v>
      </c>
      <c r="K2253" s="304">
        <f t="shared" si="597"/>
        <v>0</v>
      </c>
      <c r="L2253" s="305">
        <f>IF(H2253=0,0,IF(OR(E2253=$AT$5,E2253=$AT$6),AA2253,IF(F2253="MXN",1/HLOOKUP(YEAR(G2253)+(MONTH(G2253)/100),TC!$5:$37,DAY(G2253)+2,FALSE),VLOOKUP(F2253,Equivalencia!$5:$23,((MAX(Equivalencia!$3:$3)-YEAR(G2253))*14)+MONTH(G2253)+2,FALSE))))</f>
        <v>0</v>
      </c>
      <c r="M2253" s="306">
        <f t="shared" si="598"/>
        <v>0</v>
      </c>
      <c r="N2253" s="305">
        <f>IF(G2253=0,0,(IF(OR(E2253=$AT$5,E2253=$AT$6),AC2253,HLOOKUP(YEAR(G2253)+(MONTH(G2253)/100),TC!$5:$37,DAY(G2253)+2,FALSE))))</f>
        <v>0</v>
      </c>
      <c r="O2253" s="307">
        <f t="shared" si="599"/>
        <v>0</v>
      </c>
      <c r="P2253" s="560">
        <f>IF(G2253=0,0,VLOOKUP(YEAR(G2253),INPC!$B$4:$P$30,MONTH(G2253)+2))</f>
        <v>0</v>
      </c>
      <c r="Q2253" s="560">
        <f>IF(X2253=0,0,IF(OR(E2253=$AT$10,E2253=$AT$9),VLOOKUP(YEAR(X2253),INPC!$B$4:$P$30,MONTH(X2253)+1),VLOOKUP(YEAR(X2253),INPC!$B$4:$P$30,MONTH(X2253)+2,0)))</f>
        <v>0</v>
      </c>
      <c r="R2253" s="309">
        <f t="shared" si="600"/>
        <v>0</v>
      </c>
      <c r="S2253" s="310">
        <f t="shared" si="601"/>
        <v>0</v>
      </c>
      <c r="T2253" s="555">
        <f t="shared" si="602"/>
        <v>0</v>
      </c>
      <c r="U2253" s="311"/>
      <c r="V2253" s="312"/>
      <c r="W2253" s="299"/>
      <c r="X2253" s="300"/>
      <c r="Y2253" s="299"/>
      <c r="Z2253" s="303"/>
      <c r="AA2253" s="305">
        <f>IF(Z2253=0,0,IF(Y2253="MXN",1/HLOOKUP(YEAR(X2253)+(MONTH(X2253)/100),TC!$5:$37,DAY(X2253)+2,FALSE),VLOOKUP(Y2253,Equivalencia!$1:$23,((MAX(Equivalencia!$3:$3)-YEAR(X2253))*14)+MONTH(X2253)+2,FALSE)))</f>
        <v>0</v>
      </c>
      <c r="AB2253" s="306">
        <f t="shared" si="603"/>
        <v>0</v>
      </c>
      <c r="AC2253" s="305">
        <f>+IF(X2253=0,0,HLOOKUP(YEAR(X2253)+(MONTH(X2253)/100),TC!$5:$37,DAY(X2253)+2,FALSE))</f>
        <v>0</v>
      </c>
      <c r="AD2253" s="307">
        <f t="shared" si="604"/>
        <v>0</v>
      </c>
      <c r="AE2253" s="314">
        <f t="shared" si="605"/>
        <v>0</v>
      </c>
      <c r="AF2253" s="315">
        <f t="shared" si="606"/>
        <v>0</v>
      </c>
      <c r="AG2253" s="316">
        <f t="shared" si="607"/>
        <v>0</v>
      </c>
      <c r="AH2253" s="314">
        <v>1</v>
      </c>
      <c r="AI2253" s="314">
        <f t="shared" si="608"/>
        <v>0</v>
      </c>
      <c r="AJ2253" s="314">
        <f t="shared" si="609"/>
        <v>0</v>
      </c>
      <c r="AK2253" s="317"/>
      <c r="AL2253" s="315">
        <f t="shared" si="610"/>
        <v>0</v>
      </c>
      <c r="AN2253" s="554">
        <f t="shared" si="611"/>
        <v>0</v>
      </c>
      <c r="AO2253" s="314"/>
      <c r="AP2253" s="318"/>
    </row>
    <row r="2254" spans="2:42">
      <c r="B2254" s="296"/>
      <c r="C2254" s="299"/>
      <c r="D2254" s="298"/>
      <c r="E2254" s="299"/>
      <c r="F2254" s="299"/>
      <c r="G2254" s="300"/>
      <c r="H2254" s="303"/>
      <c r="I2254" s="301">
        <f t="shared" si="595"/>
        <v>0</v>
      </c>
      <c r="J2254" s="302">
        <f t="shared" si="596"/>
        <v>0</v>
      </c>
      <c r="K2254" s="304">
        <f t="shared" si="597"/>
        <v>0</v>
      </c>
      <c r="L2254" s="305">
        <f>IF(H2254=0,0,IF(OR(E2254=$AT$5,E2254=$AT$6),AA2254,IF(F2254="MXN",1/HLOOKUP(YEAR(G2254)+(MONTH(G2254)/100),TC!$5:$37,DAY(G2254)+2,FALSE),VLOOKUP(F2254,Equivalencia!$5:$23,((MAX(Equivalencia!$3:$3)-YEAR(G2254))*14)+MONTH(G2254)+2,FALSE))))</f>
        <v>0</v>
      </c>
      <c r="M2254" s="306">
        <f t="shared" si="598"/>
        <v>0</v>
      </c>
      <c r="N2254" s="305">
        <f>IF(G2254=0,0,(IF(OR(E2254=$AT$5,E2254=$AT$6),AC2254,HLOOKUP(YEAR(G2254)+(MONTH(G2254)/100),TC!$5:$37,DAY(G2254)+2,FALSE))))</f>
        <v>0</v>
      </c>
      <c r="O2254" s="307">
        <f t="shared" si="599"/>
        <v>0</v>
      </c>
      <c r="P2254" s="560">
        <f>IF(G2254=0,0,VLOOKUP(YEAR(G2254),INPC!$B$4:$P$30,MONTH(G2254)+2))</f>
        <v>0</v>
      </c>
      <c r="Q2254" s="560">
        <f>IF(X2254=0,0,IF(OR(E2254=$AT$10,E2254=$AT$9),VLOOKUP(YEAR(X2254),INPC!$B$4:$P$30,MONTH(X2254)+1),VLOOKUP(YEAR(X2254),INPC!$B$4:$P$30,MONTH(X2254)+2,0)))</f>
        <v>0</v>
      </c>
      <c r="R2254" s="309">
        <f t="shared" si="600"/>
        <v>0</v>
      </c>
      <c r="S2254" s="310">
        <f t="shared" si="601"/>
        <v>0</v>
      </c>
      <c r="T2254" s="555">
        <f t="shared" si="602"/>
        <v>0</v>
      </c>
      <c r="U2254" s="311"/>
      <c r="V2254" s="312"/>
      <c r="W2254" s="299"/>
      <c r="X2254" s="300"/>
      <c r="Y2254" s="299"/>
      <c r="Z2254" s="303"/>
      <c r="AA2254" s="305">
        <f>IF(Z2254=0,0,IF(Y2254="MXN",1/HLOOKUP(YEAR(X2254)+(MONTH(X2254)/100),TC!$5:$37,DAY(X2254)+2,FALSE),VLOOKUP(Y2254,Equivalencia!$1:$23,((MAX(Equivalencia!$3:$3)-YEAR(X2254))*14)+MONTH(X2254)+2,FALSE)))</f>
        <v>0</v>
      </c>
      <c r="AB2254" s="306">
        <f t="shared" si="603"/>
        <v>0</v>
      </c>
      <c r="AC2254" s="305">
        <f>+IF(X2254=0,0,HLOOKUP(YEAR(X2254)+(MONTH(X2254)/100),TC!$5:$37,DAY(X2254)+2,FALSE))</f>
        <v>0</v>
      </c>
      <c r="AD2254" s="307">
        <f t="shared" si="604"/>
        <v>0</v>
      </c>
      <c r="AE2254" s="314">
        <f t="shared" si="605"/>
        <v>0</v>
      </c>
      <c r="AF2254" s="315">
        <f t="shared" si="606"/>
        <v>0</v>
      </c>
      <c r="AG2254" s="316">
        <f t="shared" si="607"/>
        <v>0</v>
      </c>
      <c r="AH2254" s="314">
        <v>1</v>
      </c>
      <c r="AI2254" s="314">
        <f t="shared" si="608"/>
        <v>0</v>
      </c>
      <c r="AJ2254" s="314">
        <f t="shared" si="609"/>
        <v>0</v>
      </c>
      <c r="AK2254" s="317"/>
      <c r="AL2254" s="315">
        <f t="shared" si="610"/>
        <v>0</v>
      </c>
      <c r="AN2254" s="554">
        <f t="shared" si="611"/>
        <v>0</v>
      </c>
      <c r="AO2254" s="314"/>
      <c r="AP2254" s="318"/>
    </row>
    <row r="2255" spans="2:42">
      <c r="B2255" s="296"/>
      <c r="C2255" s="299"/>
      <c r="D2255" s="298"/>
      <c r="E2255" s="299"/>
      <c r="F2255" s="299"/>
      <c r="G2255" s="300"/>
      <c r="H2255" s="303"/>
      <c r="I2255" s="301">
        <f t="shared" si="595"/>
        <v>0</v>
      </c>
      <c r="J2255" s="302">
        <f t="shared" si="596"/>
        <v>0</v>
      </c>
      <c r="K2255" s="304">
        <f t="shared" si="597"/>
        <v>0</v>
      </c>
      <c r="L2255" s="305">
        <f>IF(H2255=0,0,IF(OR(E2255=$AT$5,E2255=$AT$6),AA2255,IF(F2255="MXN",1/HLOOKUP(YEAR(G2255)+(MONTH(G2255)/100),TC!$5:$37,DAY(G2255)+2,FALSE),VLOOKUP(F2255,Equivalencia!$5:$23,((MAX(Equivalencia!$3:$3)-YEAR(G2255))*14)+MONTH(G2255)+2,FALSE))))</f>
        <v>0</v>
      </c>
      <c r="M2255" s="306">
        <f t="shared" si="598"/>
        <v>0</v>
      </c>
      <c r="N2255" s="305">
        <f>IF(G2255=0,0,(IF(OR(E2255=$AT$5,E2255=$AT$6),AC2255,HLOOKUP(YEAR(G2255)+(MONTH(G2255)/100),TC!$5:$37,DAY(G2255)+2,FALSE))))</f>
        <v>0</v>
      </c>
      <c r="O2255" s="307">
        <f t="shared" si="599"/>
        <v>0</v>
      </c>
      <c r="P2255" s="560">
        <f>IF(G2255=0,0,VLOOKUP(YEAR(G2255),INPC!$B$4:$P$30,MONTH(G2255)+2))</f>
        <v>0</v>
      </c>
      <c r="Q2255" s="560">
        <f>IF(X2255=0,0,IF(OR(E2255=$AT$10,E2255=$AT$9),VLOOKUP(YEAR(X2255),INPC!$B$4:$P$30,MONTH(X2255)+1),VLOOKUP(YEAR(X2255),INPC!$B$4:$P$30,MONTH(X2255)+2,0)))</f>
        <v>0</v>
      </c>
      <c r="R2255" s="309">
        <f t="shared" si="600"/>
        <v>0</v>
      </c>
      <c r="S2255" s="310">
        <f t="shared" si="601"/>
        <v>0</v>
      </c>
      <c r="T2255" s="555">
        <f t="shared" si="602"/>
        <v>0</v>
      </c>
      <c r="U2255" s="311"/>
      <c r="V2255" s="312"/>
      <c r="W2255" s="299"/>
      <c r="X2255" s="300"/>
      <c r="Y2255" s="299"/>
      <c r="Z2255" s="303"/>
      <c r="AA2255" s="305">
        <f>IF(Z2255=0,0,IF(Y2255="MXN",1/HLOOKUP(YEAR(X2255)+(MONTH(X2255)/100),TC!$5:$37,DAY(X2255)+2,FALSE),VLOOKUP(Y2255,Equivalencia!$1:$23,((MAX(Equivalencia!$3:$3)-YEAR(X2255))*14)+MONTH(X2255)+2,FALSE)))</f>
        <v>0</v>
      </c>
      <c r="AB2255" s="306">
        <f t="shared" si="603"/>
        <v>0</v>
      </c>
      <c r="AC2255" s="305">
        <f>+IF(X2255=0,0,HLOOKUP(YEAR(X2255)+(MONTH(X2255)/100),TC!$5:$37,DAY(X2255)+2,FALSE))</f>
        <v>0</v>
      </c>
      <c r="AD2255" s="307">
        <f t="shared" si="604"/>
        <v>0</v>
      </c>
      <c r="AE2255" s="314">
        <f t="shared" si="605"/>
        <v>0</v>
      </c>
      <c r="AF2255" s="315">
        <f t="shared" si="606"/>
        <v>0</v>
      </c>
      <c r="AG2255" s="316">
        <f t="shared" si="607"/>
        <v>0</v>
      </c>
      <c r="AH2255" s="314">
        <v>1</v>
      </c>
      <c r="AI2255" s="314">
        <f t="shared" si="608"/>
        <v>0</v>
      </c>
      <c r="AJ2255" s="314">
        <f t="shared" si="609"/>
        <v>0</v>
      </c>
      <c r="AK2255" s="317"/>
      <c r="AL2255" s="315">
        <f t="shared" si="610"/>
        <v>0</v>
      </c>
      <c r="AN2255" s="554">
        <f t="shared" si="611"/>
        <v>0</v>
      </c>
      <c r="AO2255" s="314"/>
      <c r="AP2255" s="318"/>
    </row>
    <row r="2256" spans="2:42">
      <c r="B2256" s="296"/>
      <c r="C2256" s="299"/>
      <c r="D2256" s="298"/>
      <c r="E2256" s="299"/>
      <c r="F2256" s="299"/>
      <c r="G2256" s="300"/>
      <c r="H2256" s="303"/>
      <c r="I2256" s="301">
        <f t="shared" si="595"/>
        <v>0</v>
      </c>
      <c r="J2256" s="302">
        <f t="shared" si="596"/>
        <v>0</v>
      </c>
      <c r="K2256" s="304">
        <f t="shared" si="597"/>
        <v>0</v>
      </c>
      <c r="L2256" s="305">
        <f>IF(H2256=0,0,IF(OR(E2256=$AT$5,E2256=$AT$6),AA2256,IF(F2256="MXN",1/HLOOKUP(YEAR(G2256)+(MONTH(G2256)/100),TC!$5:$37,DAY(G2256)+2,FALSE),VLOOKUP(F2256,Equivalencia!$5:$23,((MAX(Equivalencia!$3:$3)-YEAR(G2256))*14)+MONTH(G2256)+2,FALSE))))</f>
        <v>0</v>
      </c>
      <c r="M2256" s="306">
        <f t="shared" si="598"/>
        <v>0</v>
      </c>
      <c r="N2256" s="305">
        <f>IF(G2256=0,0,(IF(OR(E2256=$AT$5,E2256=$AT$6),AC2256,HLOOKUP(YEAR(G2256)+(MONTH(G2256)/100),TC!$5:$37,DAY(G2256)+2,FALSE))))</f>
        <v>0</v>
      </c>
      <c r="O2256" s="307">
        <f t="shared" si="599"/>
        <v>0</v>
      </c>
      <c r="P2256" s="560">
        <f>IF(G2256=0,0,VLOOKUP(YEAR(G2256),INPC!$B$4:$P$30,MONTH(G2256)+2))</f>
        <v>0</v>
      </c>
      <c r="Q2256" s="560">
        <f>IF(X2256=0,0,IF(OR(E2256=$AT$10,E2256=$AT$9),VLOOKUP(YEAR(X2256),INPC!$B$4:$P$30,MONTH(X2256)+1),VLOOKUP(YEAR(X2256),INPC!$B$4:$P$30,MONTH(X2256)+2,0)))</f>
        <v>0</v>
      </c>
      <c r="R2256" s="309">
        <f t="shared" si="600"/>
        <v>0</v>
      </c>
      <c r="S2256" s="310">
        <f t="shared" si="601"/>
        <v>0</v>
      </c>
      <c r="T2256" s="555">
        <f t="shared" si="602"/>
        <v>0</v>
      </c>
      <c r="U2256" s="311"/>
      <c r="V2256" s="312"/>
      <c r="W2256" s="299"/>
      <c r="X2256" s="300"/>
      <c r="Y2256" s="299"/>
      <c r="Z2256" s="303"/>
      <c r="AA2256" s="305">
        <f>IF(Z2256=0,0,IF(Y2256="MXN",1/HLOOKUP(YEAR(X2256)+(MONTH(X2256)/100),TC!$5:$37,DAY(X2256)+2,FALSE),VLOOKUP(Y2256,Equivalencia!$1:$23,((MAX(Equivalencia!$3:$3)-YEAR(X2256))*14)+MONTH(X2256)+2,FALSE)))</f>
        <v>0</v>
      </c>
      <c r="AB2256" s="306">
        <f t="shared" si="603"/>
        <v>0</v>
      </c>
      <c r="AC2256" s="305">
        <f>+IF(X2256=0,0,HLOOKUP(YEAR(X2256)+(MONTH(X2256)/100),TC!$5:$37,DAY(X2256)+2,FALSE))</f>
        <v>0</v>
      </c>
      <c r="AD2256" s="307">
        <f t="shared" si="604"/>
        <v>0</v>
      </c>
      <c r="AE2256" s="314">
        <f t="shared" si="605"/>
        <v>0</v>
      </c>
      <c r="AF2256" s="315">
        <f t="shared" si="606"/>
        <v>0</v>
      </c>
      <c r="AG2256" s="316">
        <f t="shared" si="607"/>
        <v>0</v>
      </c>
      <c r="AH2256" s="314">
        <v>1</v>
      </c>
      <c r="AI2256" s="314">
        <f t="shared" si="608"/>
        <v>0</v>
      </c>
      <c r="AJ2256" s="314">
        <f t="shared" si="609"/>
        <v>0</v>
      </c>
      <c r="AK2256" s="317"/>
      <c r="AL2256" s="315">
        <f t="shared" si="610"/>
        <v>0</v>
      </c>
      <c r="AN2256" s="554">
        <f t="shared" si="611"/>
        <v>0</v>
      </c>
      <c r="AO2256" s="314"/>
      <c r="AP2256" s="318"/>
    </row>
    <row r="2257" spans="2:42">
      <c r="B2257" s="296"/>
      <c r="C2257" s="299"/>
      <c r="D2257" s="298"/>
      <c r="E2257" s="299"/>
      <c r="F2257" s="299"/>
      <c r="G2257" s="300"/>
      <c r="H2257" s="303"/>
      <c r="I2257" s="301">
        <f t="shared" si="595"/>
        <v>0</v>
      </c>
      <c r="J2257" s="302">
        <f t="shared" si="596"/>
        <v>0</v>
      </c>
      <c r="K2257" s="304">
        <f t="shared" si="597"/>
        <v>0</v>
      </c>
      <c r="L2257" s="305">
        <f>IF(H2257=0,0,IF(OR(E2257=$AT$5,E2257=$AT$6),AA2257,IF(F2257="MXN",1/HLOOKUP(YEAR(G2257)+(MONTH(G2257)/100),TC!$5:$37,DAY(G2257)+2,FALSE),VLOOKUP(F2257,Equivalencia!$5:$23,((MAX(Equivalencia!$3:$3)-YEAR(G2257))*14)+MONTH(G2257)+2,FALSE))))</f>
        <v>0</v>
      </c>
      <c r="M2257" s="306">
        <f t="shared" si="598"/>
        <v>0</v>
      </c>
      <c r="N2257" s="305">
        <f>IF(G2257=0,0,(IF(OR(E2257=$AT$5,E2257=$AT$6),AC2257,HLOOKUP(YEAR(G2257)+(MONTH(G2257)/100),TC!$5:$37,DAY(G2257)+2,FALSE))))</f>
        <v>0</v>
      </c>
      <c r="O2257" s="307">
        <f t="shared" si="599"/>
        <v>0</v>
      </c>
      <c r="P2257" s="560">
        <f>IF(G2257=0,0,VLOOKUP(YEAR(G2257),INPC!$B$4:$P$30,MONTH(G2257)+2))</f>
        <v>0</v>
      </c>
      <c r="Q2257" s="560">
        <f>IF(X2257=0,0,IF(OR(E2257=$AT$10,E2257=$AT$9),VLOOKUP(YEAR(X2257),INPC!$B$4:$P$30,MONTH(X2257)+1),VLOOKUP(YEAR(X2257),INPC!$B$4:$P$30,MONTH(X2257)+2,0)))</f>
        <v>0</v>
      </c>
      <c r="R2257" s="309">
        <f t="shared" si="600"/>
        <v>0</v>
      </c>
      <c r="S2257" s="310">
        <f t="shared" si="601"/>
        <v>0</v>
      </c>
      <c r="T2257" s="555">
        <f t="shared" si="602"/>
        <v>0</v>
      </c>
      <c r="U2257" s="311"/>
      <c r="V2257" s="312"/>
      <c r="W2257" s="299"/>
      <c r="X2257" s="300"/>
      <c r="Y2257" s="299"/>
      <c r="Z2257" s="303"/>
      <c r="AA2257" s="305">
        <f>IF(Z2257=0,0,IF(Y2257="MXN",1/HLOOKUP(YEAR(X2257)+(MONTH(X2257)/100),TC!$5:$37,DAY(X2257)+2,FALSE),VLOOKUP(Y2257,Equivalencia!$1:$23,((MAX(Equivalencia!$3:$3)-YEAR(X2257))*14)+MONTH(X2257)+2,FALSE)))</f>
        <v>0</v>
      </c>
      <c r="AB2257" s="306">
        <f t="shared" si="603"/>
        <v>0</v>
      </c>
      <c r="AC2257" s="305">
        <f>+IF(X2257=0,0,HLOOKUP(YEAR(X2257)+(MONTH(X2257)/100),TC!$5:$37,DAY(X2257)+2,FALSE))</f>
        <v>0</v>
      </c>
      <c r="AD2257" s="307">
        <f t="shared" si="604"/>
        <v>0</v>
      </c>
      <c r="AE2257" s="314">
        <f t="shared" si="605"/>
        <v>0</v>
      </c>
      <c r="AF2257" s="315">
        <f t="shared" si="606"/>
        <v>0</v>
      </c>
      <c r="AG2257" s="316">
        <f t="shared" si="607"/>
        <v>0</v>
      </c>
      <c r="AH2257" s="314">
        <v>1</v>
      </c>
      <c r="AI2257" s="314">
        <f t="shared" si="608"/>
        <v>0</v>
      </c>
      <c r="AJ2257" s="314">
        <f t="shared" si="609"/>
        <v>0</v>
      </c>
      <c r="AK2257" s="317"/>
      <c r="AL2257" s="315">
        <f t="shared" si="610"/>
        <v>0</v>
      </c>
      <c r="AN2257" s="554">
        <f t="shared" si="611"/>
        <v>0</v>
      </c>
      <c r="AO2257" s="314"/>
      <c r="AP2257" s="318"/>
    </row>
    <row r="2258" spans="2:42">
      <c r="B2258" s="296"/>
      <c r="C2258" s="299"/>
      <c r="D2258" s="298"/>
      <c r="E2258" s="299"/>
      <c r="F2258" s="299"/>
      <c r="G2258" s="300"/>
      <c r="H2258" s="303"/>
      <c r="I2258" s="301">
        <f t="shared" si="595"/>
        <v>0</v>
      </c>
      <c r="J2258" s="302">
        <f t="shared" si="596"/>
        <v>0</v>
      </c>
      <c r="K2258" s="304">
        <f t="shared" si="597"/>
        <v>0</v>
      </c>
      <c r="L2258" s="305">
        <f>IF(H2258=0,0,IF(OR(E2258=$AT$5,E2258=$AT$6),AA2258,IF(F2258="MXN",1/HLOOKUP(YEAR(G2258)+(MONTH(G2258)/100),TC!$5:$37,DAY(G2258)+2,FALSE),VLOOKUP(F2258,Equivalencia!$5:$23,((MAX(Equivalencia!$3:$3)-YEAR(G2258))*14)+MONTH(G2258)+2,FALSE))))</f>
        <v>0</v>
      </c>
      <c r="M2258" s="306">
        <f t="shared" si="598"/>
        <v>0</v>
      </c>
      <c r="N2258" s="305">
        <f>IF(G2258=0,0,(IF(OR(E2258=$AT$5,E2258=$AT$6),AC2258,HLOOKUP(YEAR(G2258)+(MONTH(G2258)/100),TC!$5:$37,DAY(G2258)+2,FALSE))))</f>
        <v>0</v>
      </c>
      <c r="O2258" s="307">
        <f t="shared" si="599"/>
        <v>0</v>
      </c>
      <c r="P2258" s="560">
        <f>IF(G2258=0,0,VLOOKUP(YEAR(G2258),INPC!$B$4:$P$30,MONTH(G2258)+2))</f>
        <v>0</v>
      </c>
      <c r="Q2258" s="560">
        <f>IF(X2258=0,0,IF(OR(E2258=$AT$10,E2258=$AT$9),VLOOKUP(YEAR(X2258),INPC!$B$4:$P$30,MONTH(X2258)+1),VLOOKUP(YEAR(X2258),INPC!$B$4:$P$30,MONTH(X2258)+2,0)))</f>
        <v>0</v>
      </c>
      <c r="R2258" s="309">
        <f t="shared" si="600"/>
        <v>0</v>
      </c>
      <c r="S2258" s="310">
        <f t="shared" si="601"/>
        <v>0</v>
      </c>
      <c r="T2258" s="555">
        <f t="shared" si="602"/>
        <v>0</v>
      </c>
      <c r="U2258" s="311"/>
      <c r="V2258" s="312"/>
      <c r="W2258" s="299"/>
      <c r="X2258" s="300"/>
      <c r="Y2258" s="299"/>
      <c r="Z2258" s="303"/>
      <c r="AA2258" s="305">
        <f>IF(Z2258=0,0,IF(Y2258="MXN",1/HLOOKUP(YEAR(X2258)+(MONTH(X2258)/100),TC!$5:$37,DAY(X2258)+2,FALSE),VLOOKUP(Y2258,Equivalencia!$1:$23,((MAX(Equivalencia!$3:$3)-YEAR(X2258))*14)+MONTH(X2258)+2,FALSE)))</f>
        <v>0</v>
      </c>
      <c r="AB2258" s="306">
        <f t="shared" si="603"/>
        <v>0</v>
      </c>
      <c r="AC2258" s="305">
        <f>+IF(X2258=0,0,HLOOKUP(YEAR(X2258)+(MONTH(X2258)/100),TC!$5:$37,DAY(X2258)+2,FALSE))</f>
        <v>0</v>
      </c>
      <c r="AD2258" s="307">
        <f t="shared" si="604"/>
        <v>0</v>
      </c>
      <c r="AE2258" s="314">
        <f t="shared" si="605"/>
        <v>0</v>
      </c>
      <c r="AF2258" s="315">
        <f t="shared" si="606"/>
        <v>0</v>
      </c>
      <c r="AG2258" s="316">
        <f t="shared" si="607"/>
        <v>0</v>
      </c>
      <c r="AH2258" s="314">
        <v>1</v>
      </c>
      <c r="AI2258" s="314">
        <f t="shared" si="608"/>
        <v>0</v>
      </c>
      <c r="AJ2258" s="314">
        <f t="shared" si="609"/>
        <v>0</v>
      </c>
      <c r="AK2258" s="317"/>
      <c r="AL2258" s="315">
        <f t="shared" si="610"/>
        <v>0</v>
      </c>
      <c r="AN2258" s="554">
        <f t="shared" si="611"/>
        <v>0</v>
      </c>
      <c r="AO2258" s="314"/>
      <c r="AP2258" s="318"/>
    </row>
    <row r="2259" spans="2:42">
      <c r="B2259" s="296"/>
      <c r="C2259" s="299"/>
      <c r="D2259" s="298"/>
      <c r="E2259" s="299"/>
      <c r="F2259" s="299"/>
      <c r="G2259" s="300"/>
      <c r="H2259" s="303"/>
      <c r="I2259" s="301">
        <f t="shared" si="595"/>
        <v>0</v>
      </c>
      <c r="J2259" s="302">
        <f t="shared" si="596"/>
        <v>0</v>
      </c>
      <c r="K2259" s="304">
        <f t="shared" si="597"/>
        <v>0</v>
      </c>
      <c r="L2259" s="305">
        <f>IF(H2259=0,0,IF(OR(E2259=$AT$5,E2259=$AT$6),AA2259,IF(F2259="MXN",1/HLOOKUP(YEAR(G2259)+(MONTH(G2259)/100),TC!$5:$37,DAY(G2259)+2,FALSE),VLOOKUP(F2259,Equivalencia!$5:$23,((MAX(Equivalencia!$3:$3)-YEAR(G2259))*14)+MONTH(G2259)+2,FALSE))))</f>
        <v>0</v>
      </c>
      <c r="M2259" s="306">
        <f t="shared" si="598"/>
        <v>0</v>
      </c>
      <c r="N2259" s="305">
        <f>IF(G2259=0,0,(IF(OR(E2259=$AT$5,E2259=$AT$6),AC2259,HLOOKUP(YEAR(G2259)+(MONTH(G2259)/100),TC!$5:$37,DAY(G2259)+2,FALSE))))</f>
        <v>0</v>
      </c>
      <c r="O2259" s="307">
        <f t="shared" si="599"/>
        <v>0</v>
      </c>
      <c r="P2259" s="560">
        <f>IF(G2259=0,0,VLOOKUP(YEAR(G2259),INPC!$B$4:$P$30,MONTH(G2259)+2))</f>
        <v>0</v>
      </c>
      <c r="Q2259" s="560">
        <f>IF(X2259=0,0,IF(OR(E2259=$AT$10,E2259=$AT$9),VLOOKUP(YEAR(X2259),INPC!$B$4:$P$30,MONTH(X2259)+1),VLOOKUP(YEAR(X2259),INPC!$B$4:$P$30,MONTH(X2259)+2,0)))</f>
        <v>0</v>
      </c>
      <c r="R2259" s="309">
        <f t="shared" si="600"/>
        <v>0</v>
      </c>
      <c r="S2259" s="310">
        <f t="shared" si="601"/>
        <v>0</v>
      </c>
      <c r="T2259" s="555">
        <f t="shared" si="602"/>
        <v>0</v>
      </c>
      <c r="U2259" s="311"/>
      <c r="V2259" s="312"/>
      <c r="W2259" s="299"/>
      <c r="X2259" s="300"/>
      <c r="Y2259" s="299"/>
      <c r="Z2259" s="303"/>
      <c r="AA2259" s="305">
        <f>IF(Z2259=0,0,IF(Y2259="MXN",1/HLOOKUP(YEAR(X2259)+(MONTH(X2259)/100),TC!$5:$37,DAY(X2259)+2,FALSE),VLOOKUP(Y2259,Equivalencia!$1:$23,((MAX(Equivalencia!$3:$3)-YEAR(X2259))*14)+MONTH(X2259)+2,FALSE)))</f>
        <v>0</v>
      </c>
      <c r="AB2259" s="306">
        <f t="shared" si="603"/>
        <v>0</v>
      </c>
      <c r="AC2259" s="305">
        <f>+IF(X2259=0,0,HLOOKUP(YEAR(X2259)+(MONTH(X2259)/100),TC!$5:$37,DAY(X2259)+2,FALSE))</f>
        <v>0</v>
      </c>
      <c r="AD2259" s="307">
        <f t="shared" si="604"/>
        <v>0</v>
      </c>
      <c r="AE2259" s="314">
        <f t="shared" si="605"/>
        <v>0</v>
      </c>
      <c r="AF2259" s="315">
        <f t="shared" si="606"/>
        <v>0</v>
      </c>
      <c r="AG2259" s="316">
        <f t="shared" si="607"/>
        <v>0</v>
      </c>
      <c r="AH2259" s="314">
        <v>1</v>
      </c>
      <c r="AI2259" s="314">
        <f t="shared" si="608"/>
        <v>0</v>
      </c>
      <c r="AJ2259" s="314">
        <f t="shared" si="609"/>
        <v>0</v>
      </c>
      <c r="AK2259" s="317"/>
      <c r="AL2259" s="315">
        <f t="shared" si="610"/>
        <v>0</v>
      </c>
      <c r="AN2259" s="554">
        <f t="shared" si="611"/>
        <v>0</v>
      </c>
      <c r="AO2259" s="314"/>
      <c r="AP2259" s="318"/>
    </row>
  </sheetData>
  <sheetProtection algorithmName="SHA-512" hashValue="y36GyG/oWUe5kTD0YHHNQvhOdSmp64LBHmIV5a5XLvgG9hBMRNjogaOqD0aJvEQACvUEeHgJSwTpF63xCdU+fQ==" saltValue="+eRVL9HM3GnHbrcl7PZbmg==" spinCount="100000" sheet="1" formatCells="0" formatColumns="0" formatRows="0" insertColumns="0" insertRows="0" insertHyperlinks="0" deleteColumns="0" deleteRows="0" sort="0" autoFilter="0" pivotTables="0"/>
  <autoFilter ref="B1:AW2259" xr:uid="{CD41FCC3-53BE-A049-8AB3-663CAFFBE117}"/>
  <dataConsolidate/>
  <phoneticPr fontId="8" type="noConversion"/>
  <dataValidations count="3">
    <dataValidation type="list" allowBlank="1" showInputMessage="1" showErrorMessage="1" promptTitle="OJO:" prompt="Selecciona una opción" sqref="W2:W2259" xr:uid="{00000000-0002-0000-0F00-000000000000}">
      <formula1>Operaciones</formula1>
    </dataValidation>
    <dataValidation type="list" allowBlank="1" showInputMessage="1" showErrorMessage="1" sqref="E2:E2259" xr:uid="{00000000-0002-0000-0F00-000001000000}">
      <formula1>$AT$3:$AT$14</formula1>
    </dataValidation>
    <dataValidation type="list" allowBlank="1" showInputMessage="1" showErrorMessage="1" sqref="E2:E2259 C2:C2259" xr:uid="{2691462A-0B94-8749-86AA-E6644276E28D}">
      <formula1>$AU$3:$AU$19</formula1>
    </dataValidation>
  </dataValidations>
  <pageMargins left="0.7" right="0.7" top="0.75" bottom="0.75" header="0.3" footer="0.3"/>
  <pageSetup orientation="portrait" horizontalDpi="1200" verticalDpi="1200" r:id="rId1"/>
  <extLst>
    <ext xmlns:x14="http://schemas.microsoft.com/office/spreadsheetml/2009/9/main" uri="{CCE6A557-97BC-4b89-ADB6-D9C93CAAB3DF}">
      <x14:dataValidations xmlns:xm="http://schemas.microsoft.com/office/excel/2006/main" count="2">
        <x14:dataValidation type="list" showInputMessage="1" showErrorMessage="1" promptTitle="Instrucciones" prompt="Selecciona una moneda" xr:uid="{00000000-0002-0000-0F00-000002000000}">
          <x14:formula1>
            <xm:f>Equivalencia!$A$4:$A$23</xm:f>
          </x14:formula1>
          <xm:sqref>Y2:Y2259</xm:sqref>
        </x14:dataValidation>
        <x14:dataValidation type="list" allowBlank="1" showInputMessage="1" showErrorMessage="1" xr:uid="{20C868F7-10F5-6041-B5FD-53473A47963A}">
          <x14:formula1>
            <xm:f>Equivalencia!$A$4:$A$23</xm:f>
          </x14:formula1>
          <xm:sqref>F2:F2259</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4B862-D8EE-9142-8585-F0064E47E329}">
  <dimension ref="B1:AS500"/>
  <sheetViews>
    <sheetView topLeftCell="E1" zoomScaleNormal="100" workbookViewId="0">
      <pane ySplit="1" topLeftCell="A2" activePane="bottomLeft" state="frozen"/>
      <selection activeCell="C1" sqref="C1"/>
      <selection pane="bottomLeft" activeCell="V19" sqref="V19"/>
    </sheetView>
  </sheetViews>
  <sheetFormatPr baseColWidth="10" defaultColWidth="11.5" defaultRowHeight="16"/>
  <cols>
    <col min="1" max="1" width="11.5" style="191"/>
    <col min="2" max="6" width="22.6640625" style="320" customWidth="1"/>
    <col min="7" max="7" width="22.6640625" style="297" customWidth="1"/>
    <col min="8" max="8" width="22.6640625" style="298" customWidth="1"/>
    <col min="9" max="9" width="22.6640625" style="320" customWidth="1"/>
    <col min="10" max="10" width="22.6640625" style="320" hidden="1" customWidth="1"/>
    <col min="11" max="18" width="22.6640625" style="191" hidden="1" customWidth="1"/>
    <col min="19" max="19" width="11.6640625" style="191" hidden="1" customWidth="1"/>
    <col min="20" max="20" width="21.33203125" style="191" customWidth="1"/>
    <col min="21" max="21" width="22.6640625" style="321" customWidth="1"/>
    <col min="22" max="25" width="22.6640625" style="320" customWidth="1"/>
    <col min="26" max="31" width="22.6640625" style="191" customWidth="1"/>
    <col min="32" max="35" width="22.6640625" style="191" hidden="1" customWidth="1"/>
    <col min="36" max="36" width="2.33203125" style="191" customWidth="1"/>
    <col min="37" max="37" width="22.83203125" style="191" customWidth="1"/>
    <col min="38" max="38" width="2.83203125" style="311" customWidth="1"/>
    <col min="39" max="41" width="22.83203125" style="294" customWidth="1"/>
    <col min="42" max="42" width="23.83203125" style="191" customWidth="1"/>
    <col min="43" max="43" width="30" style="319" customWidth="1"/>
    <col min="44" max="44" width="23.33203125" style="319" customWidth="1"/>
    <col min="45" max="45" width="18.6640625" style="191" customWidth="1"/>
    <col min="46" max="16384" width="11.5" style="191"/>
  </cols>
  <sheetData>
    <row r="1" spans="2:45" ht="51">
      <c r="B1" s="286" t="s">
        <v>178</v>
      </c>
      <c r="C1" s="286" t="s">
        <v>275</v>
      </c>
      <c r="D1" s="286" t="s">
        <v>294</v>
      </c>
      <c r="E1" s="286" t="s">
        <v>274</v>
      </c>
      <c r="F1" s="286" t="s">
        <v>673</v>
      </c>
      <c r="G1" s="286" t="s">
        <v>300</v>
      </c>
      <c r="H1" s="288" t="s">
        <v>301</v>
      </c>
      <c r="I1" s="288" t="s">
        <v>295</v>
      </c>
      <c r="J1" s="286" t="s">
        <v>273</v>
      </c>
      <c r="K1" s="287" t="s">
        <v>333</v>
      </c>
      <c r="L1" s="287" t="s">
        <v>296</v>
      </c>
      <c r="M1" s="287" t="s">
        <v>302</v>
      </c>
      <c r="N1" s="287" t="s">
        <v>297</v>
      </c>
      <c r="O1" s="287" t="s">
        <v>303</v>
      </c>
      <c r="P1" s="287" t="s">
        <v>304</v>
      </c>
      <c r="Q1" s="287" t="s">
        <v>97</v>
      </c>
      <c r="R1" s="290" t="s">
        <v>305</v>
      </c>
      <c r="S1" s="287" t="s">
        <v>292</v>
      </c>
      <c r="T1" s="566" t="s">
        <v>668</v>
      </c>
      <c r="U1" s="288" t="s">
        <v>334</v>
      </c>
      <c r="V1" s="286" t="s">
        <v>306</v>
      </c>
      <c r="W1" s="286" t="s">
        <v>293</v>
      </c>
      <c r="X1" s="286" t="s">
        <v>674</v>
      </c>
      <c r="Y1" s="286" t="s">
        <v>307</v>
      </c>
      <c r="Z1" s="287" t="s">
        <v>56</v>
      </c>
      <c r="AA1" s="287" t="s">
        <v>308</v>
      </c>
      <c r="AB1" s="287" t="s">
        <v>309</v>
      </c>
      <c r="AC1" s="287" t="s">
        <v>310</v>
      </c>
      <c r="AD1" s="290" t="s">
        <v>305</v>
      </c>
      <c r="AE1" s="290" t="s">
        <v>288</v>
      </c>
      <c r="AF1" s="287" t="s">
        <v>99</v>
      </c>
      <c r="AG1" s="287" t="s">
        <v>100</v>
      </c>
      <c r="AH1" s="290" t="s">
        <v>101</v>
      </c>
      <c r="AI1" s="290" t="s">
        <v>102</v>
      </c>
      <c r="AJ1" s="291" t="s">
        <v>103</v>
      </c>
      <c r="AK1" s="290" t="s">
        <v>104</v>
      </c>
      <c r="AL1" s="293" t="s">
        <v>632</v>
      </c>
      <c r="AM1" s="287" t="s">
        <v>633</v>
      </c>
      <c r="AN1" s="287" t="s">
        <v>4</v>
      </c>
      <c r="AO1" s="286" t="s">
        <v>5</v>
      </c>
      <c r="AP1" s="294"/>
      <c r="AQ1" s="295" t="s">
        <v>199</v>
      </c>
      <c r="AR1" s="295" t="s">
        <v>200</v>
      </c>
      <c r="AS1" s="295" t="s">
        <v>335</v>
      </c>
    </row>
    <row r="2" spans="2:45">
      <c r="B2" s="296"/>
      <c r="C2" s="299"/>
      <c r="D2" s="296"/>
      <c r="E2" s="298"/>
      <c r="F2" s="299"/>
      <c r="G2" s="300"/>
      <c r="H2" s="303"/>
      <c r="I2" s="303"/>
      <c r="J2" s="322">
        <f t="shared" ref="J2:J65" si="0">IF(E2=0,0,IF(OR(C2=$AQ$5,C2=$AQ$6),"Derivados Cap IV, Sec II - SIC &amp; BMV","Derivados Cap IX - No SIC"))</f>
        <v>0</v>
      </c>
      <c r="K2" s="305" t="e">
        <f>IF(F2="MXN",1/HLOOKUP(YEAR(G2)+(MONTH(G2)/100),TC!$5:$37,DAY(G2)+2,FALSE),VLOOKUP(F2,Equivalencia!$5:$23,((MAX(Equivalencia!$3:$3)-YEAR(G2))*14)+MONTH(G2)+2,FALSE))</f>
        <v>#N/A</v>
      </c>
      <c r="L2" s="306" t="e">
        <f>+I2*K2</f>
        <v>#N/A</v>
      </c>
      <c r="M2" s="305">
        <f>IF(G2=0,0,HLOOKUP(YEAR(G2)+(MONTH(G2)/100),TC!$5:$37,DAY(G2)+2,FALSE))</f>
        <v>0</v>
      </c>
      <c r="N2" s="306" t="e">
        <f>+L2*M2</f>
        <v>#N/A</v>
      </c>
      <c r="O2" s="308">
        <f>IF(G2=0,0,VLOOKUP(YEAR(G2),INPC!$B$4:$P$30,MONTH(G2)+2))</f>
        <v>0</v>
      </c>
      <c r="P2" s="308">
        <f>IF(W2=0,0,IF(OR(C2=$AQ$5,C2=AQ6),VLOOKUP(YEAR(W2),INPC!$B$4:$P$30,MONTH(W2)+1),VLOOKUP(YEAR(W2),INPC!$B$4:$P$30,MONTH(W2)+2)))</f>
        <v>0</v>
      </c>
      <c r="Q2" s="309">
        <f>IF(W2=0,0,IF(TRUNC(P2/O2,4)&gt;=1,TRUNC(P2/O2,4),1))</f>
        <v>0</v>
      </c>
      <c r="R2" s="310" t="e">
        <f>+Q2*N2</f>
        <v>#N/A</v>
      </c>
      <c r="S2" s="310">
        <f>IF(U2=0,0,R2/U2)</f>
        <v>0</v>
      </c>
      <c r="T2" s="567" t="str">
        <f>+IF(W2=0,"NO","SI")</f>
        <v>NO</v>
      </c>
      <c r="U2" s="323"/>
      <c r="V2" s="299"/>
      <c r="W2" s="300"/>
      <c r="X2" s="299"/>
      <c r="Y2" s="303"/>
      <c r="Z2" s="305">
        <f>IF(Y2=0,0,IF(X2="MXN",1/HLOOKUP(YEAR(W2)+(MONTH(W2)/100),TC!$5:$37,DAY(W2)+2,FALSE),VLOOKUP(X2,Equivalencia!$1:$23,((MAX(Equivalencia!$3:$3)-YEAR(W2))*14)+MONTH(W2)+2,FALSE)))</f>
        <v>0</v>
      </c>
      <c r="AA2" s="306">
        <f t="shared" ref="AA2:AA9" si="1">+Z2*Y2</f>
        <v>0</v>
      </c>
      <c r="AB2" s="305">
        <f>+IF(W2=0,0,HLOOKUP(YEAR(W2)+(MONTH(W2)/100),TC!$5:$37,DAY(W2)+2,FALSE))</f>
        <v>0</v>
      </c>
      <c r="AC2" s="306">
        <f t="shared" ref="AC2:AC7" si="2">+AB2*AA2</f>
        <v>0</v>
      </c>
      <c r="AD2" s="314">
        <f>+U2*S2</f>
        <v>0</v>
      </c>
      <c r="AE2" s="315">
        <f>AC2+AD2</f>
        <v>0</v>
      </c>
      <c r="AF2" s="316">
        <f t="shared" ref="AF2:AF65" si="3">+IF(OR(C2=$AQ$5,C2=$AQ$6),1,((W2-G2)/365))</f>
        <v>0</v>
      </c>
      <c r="AG2" s="314">
        <v>1</v>
      </c>
      <c r="AH2" s="314">
        <f>(AE2/AG2)</f>
        <v>0</v>
      </c>
      <c r="AI2" s="314">
        <f>+AE2-AH2</f>
        <v>0</v>
      </c>
      <c r="AJ2" s="317"/>
      <c r="AK2" s="315" t="e">
        <f>+AA2+L2</f>
        <v>#N/A</v>
      </c>
      <c r="AL2" s="293"/>
      <c r="AM2" s="561"/>
      <c r="AN2" s="561"/>
      <c r="AO2" s="561"/>
      <c r="AP2" s="294"/>
      <c r="AS2" s="319"/>
    </row>
    <row r="3" spans="2:45">
      <c r="B3" s="296"/>
      <c r="C3" s="299"/>
      <c r="D3" s="296"/>
      <c r="E3" s="298"/>
      <c r="F3" s="299"/>
      <c r="G3" s="300"/>
      <c r="H3" s="303"/>
      <c r="I3" s="303"/>
      <c r="J3" s="322">
        <f t="shared" si="0"/>
        <v>0</v>
      </c>
      <c r="K3" s="305" t="e">
        <f>IF(F3="MXN",1/HLOOKUP(YEAR(G3)+(MONTH(G3)/100),TC!$5:$37,DAY(G3)+2,FALSE),VLOOKUP(F3,Equivalencia!$5:$23,((MAX(Equivalencia!$3:$3)-YEAR(G3))*14)+MONTH(G3)+2,FALSE))</f>
        <v>#N/A</v>
      </c>
      <c r="L3" s="306" t="e">
        <f t="shared" ref="L3:L66" si="4">+I3*K3</f>
        <v>#N/A</v>
      </c>
      <c r="M3" s="305">
        <f>IF(G3=0,0,HLOOKUP(YEAR(G3)+(MONTH(G3)/100),TC!$5:$37,DAY(G3)+2,FALSE))</f>
        <v>0</v>
      </c>
      <c r="N3" s="306" t="e">
        <f t="shared" ref="N3:N66" si="5">+L3*M3</f>
        <v>#N/A</v>
      </c>
      <c r="O3" s="308">
        <f>IF(G3=0,0,VLOOKUP(YEAR(G3),INPC!$B$4:$P$30,MONTH(G3)+2))</f>
        <v>0</v>
      </c>
      <c r="P3" s="308">
        <f>IF(W3=0,0,IF(OR(C3=$AQ$5,C3=AQ7),VLOOKUP(YEAR(W3),INPC!$B$4:$P$30,MONTH(W3)+1),VLOOKUP(YEAR(W3),INPC!$B$4:$P$30,MONTH(W3)+2)))</f>
        <v>0</v>
      </c>
      <c r="Q3" s="309">
        <f t="shared" ref="Q3:Q66" si="6">IF(W3=0,0,IF(TRUNC(P3/O3,4)&gt;=1,TRUNC(P3/O3,4),1))</f>
        <v>0</v>
      </c>
      <c r="R3" s="310" t="e">
        <f t="shared" ref="R3:R66" si="7">+Q3*N3</f>
        <v>#N/A</v>
      </c>
      <c r="S3" s="310">
        <f t="shared" ref="S3:S66" si="8">IF(U3=0,0,R3/U3)</f>
        <v>0</v>
      </c>
      <c r="T3" s="567" t="str">
        <f t="shared" ref="T3:T66" si="9">+IF(W3=0,"NO","SI")</f>
        <v>NO</v>
      </c>
      <c r="U3" s="323"/>
      <c r="V3" s="299"/>
      <c r="W3" s="300"/>
      <c r="X3" s="299"/>
      <c r="Y3" s="303"/>
      <c r="Z3" s="305">
        <f>IF(Y3=0,0,IF(X3="MXN",1/HLOOKUP(YEAR(W3)+(MONTH(W3)/100),TC!$5:$37,DAY(W3)+2,FALSE),VLOOKUP(X3,Equivalencia!$1:$23,((MAX(Equivalencia!$3:$3)-YEAR(W3))*14)+MONTH(W3)+2,FALSE)))</f>
        <v>0</v>
      </c>
      <c r="AA3" s="306">
        <f t="shared" si="1"/>
        <v>0</v>
      </c>
      <c r="AB3" s="305">
        <f>+IF(W3=0,0,HLOOKUP(YEAR(W3)+(MONTH(W3)/100),TC!$5:$37,DAY(W3)+2,FALSE))</f>
        <v>0</v>
      </c>
      <c r="AC3" s="306">
        <f t="shared" si="2"/>
        <v>0</v>
      </c>
      <c r="AD3" s="314">
        <f t="shared" ref="AD3:AD65" si="10">+U3*S3</f>
        <v>0</v>
      </c>
      <c r="AE3" s="315">
        <f t="shared" ref="AE3:AE66" si="11">AC3+AD3</f>
        <v>0</v>
      </c>
      <c r="AF3" s="316">
        <f t="shared" si="3"/>
        <v>0</v>
      </c>
      <c r="AG3" s="314">
        <v>1</v>
      </c>
      <c r="AH3" s="314">
        <f t="shared" ref="AH3:AH66" si="12">(AE3/AG3)</f>
        <v>0</v>
      </c>
      <c r="AI3" s="314">
        <f t="shared" ref="AI3:AI66" si="13">+AE3-AH3</f>
        <v>0</v>
      </c>
      <c r="AJ3" s="317"/>
      <c r="AK3" s="315" t="e">
        <f t="shared" ref="AK3:AK66" si="14">+AA3+L3</f>
        <v>#N/A</v>
      </c>
      <c r="AL3" s="293"/>
      <c r="AM3" s="561"/>
      <c r="AN3" s="561"/>
      <c r="AO3" s="561"/>
      <c r="AP3" s="294"/>
      <c r="AQ3" s="297" t="s">
        <v>109</v>
      </c>
      <c r="AR3" s="297" t="s">
        <v>266</v>
      </c>
      <c r="AS3" s="297" t="s">
        <v>336</v>
      </c>
    </row>
    <row r="4" spans="2:45">
      <c r="B4" s="296"/>
      <c r="C4" s="299"/>
      <c r="D4" s="296"/>
      <c r="E4" s="298"/>
      <c r="F4" s="299"/>
      <c r="G4" s="300"/>
      <c r="H4" s="303"/>
      <c r="I4" s="303"/>
      <c r="J4" s="322">
        <f t="shared" si="0"/>
        <v>0</v>
      </c>
      <c r="K4" s="305" t="e">
        <f>IF(F4="MXN",1/HLOOKUP(YEAR(G4)+(MONTH(G4)/100),TC!$5:$37,DAY(G4)+2,FALSE),VLOOKUP(F4,Equivalencia!$5:$23,((MAX(Equivalencia!$3:$3)-YEAR(G4))*14)+MONTH(G4)+2,FALSE))</f>
        <v>#N/A</v>
      </c>
      <c r="L4" s="306" t="e">
        <f t="shared" si="4"/>
        <v>#N/A</v>
      </c>
      <c r="M4" s="305">
        <f>IF(G4=0,0,HLOOKUP(YEAR(G4)+(MONTH(G4)/100),TC!$5:$37,DAY(G4)+2,FALSE))</f>
        <v>0</v>
      </c>
      <c r="N4" s="306" t="e">
        <f t="shared" si="5"/>
        <v>#N/A</v>
      </c>
      <c r="O4" s="308">
        <f>IF(G4=0,0,VLOOKUP(YEAR(G4),INPC!$B$4:$P$30,MONTH(G4)+2))</f>
        <v>0</v>
      </c>
      <c r="P4" s="308">
        <f>IF(W4=0,0,IF(OR(C4=$AQ$5,C4=AQ8),VLOOKUP(YEAR(W4),INPC!$B$4:$P$30,MONTH(W4)+1),VLOOKUP(YEAR(W4),INPC!$B$4:$P$30,MONTH(W4)+2)))</f>
        <v>0</v>
      </c>
      <c r="Q4" s="309">
        <f t="shared" si="6"/>
        <v>0</v>
      </c>
      <c r="R4" s="310" t="e">
        <f t="shared" si="7"/>
        <v>#N/A</v>
      </c>
      <c r="S4" s="310">
        <f t="shared" si="8"/>
        <v>0</v>
      </c>
      <c r="T4" s="567" t="str">
        <f t="shared" si="9"/>
        <v>NO</v>
      </c>
      <c r="U4" s="323"/>
      <c r="V4" s="299"/>
      <c r="W4" s="300"/>
      <c r="X4" s="299"/>
      <c r="Y4" s="303"/>
      <c r="Z4" s="305">
        <f>IF(Y4=0,0,IF(X4="MXN",1/HLOOKUP(YEAR(W4)+(MONTH(W4)/100),TC!$5:$37,DAY(W4)+2,FALSE),VLOOKUP(X4,Equivalencia!$1:$23,((MAX(Equivalencia!$3:$3)-YEAR(W4))*14)+MONTH(W4)+2,FALSE)))</f>
        <v>0</v>
      </c>
      <c r="AA4" s="306">
        <f t="shared" si="1"/>
        <v>0</v>
      </c>
      <c r="AB4" s="305">
        <f>+IF(W4=0,0,HLOOKUP(YEAR(W4)+(MONTH(W4)/100),TC!$5:$37,DAY(W4)+2,FALSE))</f>
        <v>0</v>
      </c>
      <c r="AC4" s="306">
        <f t="shared" si="2"/>
        <v>0</v>
      </c>
      <c r="AD4" s="314">
        <f t="shared" si="10"/>
        <v>0</v>
      </c>
      <c r="AE4" s="315">
        <f t="shared" si="11"/>
        <v>0</v>
      </c>
      <c r="AF4" s="316">
        <f t="shared" si="3"/>
        <v>0</v>
      </c>
      <c r="AG4" s="314">
        <v>1</v>
      </c>
      <c r="AH4" s="314">
        <f t="shared" si="12"/>
        <v>0</v>
      </c>
      <c r="AI4" s="314">
        <f t="shared" si="13"/>
        <v>0</v>
      </c>
      <c r="AJ4" s="317"/>
      <c r="AK4" s="315" t="e">
        <f t="shared" si="14"/>
        <v>#N/A</v>
      </c>
      <c r="AL4" s="293"/>
      <c r="AM4" s="561"/>
      <c r="AN4" s="561"/>
      <c r="AO4" s="561"/>
      <c r="AP4" s="294"/>
      <c r="AQ4" s="297" t="s">
        <v>110</v>
      </c>
      <c r="AR4" s="297" t="s">
        <v>267</v>
      </c>
      <c r="AS4" s="299"/>
    </row>
    <row r="5" spans="2:45">
      <c r="B5" s="296"/>
      <c r="C5" s="299"/>
      <c r="D5" s="296"/>
      <c r="E5" s="298"/>
      <c r="F5" s="299"/>
      <c r="G5" s="300"/>
      <c r="H5" s="303"/>
      <c r="I5" s="303"/>
      <c r="J5" s="322">
        <f t="shared" si="0"/>
        <v>0</v>
      </c>
      <c r="K5" s="305" t="e">
        <f>IF(F5="MXN",1/HLOOKUP(YEAR(G5)+(MONTH(G5)/100),TC!$5:$37,DAY(G5)+2,FALSE),VLOOKUP(F5,Equivalencia!$5:$23,((MAX(Equivalencia!$3:$3)-YEAR(G5))*14)+MONTH(G5)+2,FALSE))</f>
        <v>#N/A</v>
      </c>
      <c r="L5" s="306" t="e">
        <f t="shared" si="4"/>
        <v>#N/A</v>
      </c>
      <c r="M5" s="305">
        <f>IF(G5=0,0,HLOOKUP(YEAR(G5)+(MONTH(G5)/100),TC!$5:$37,DAY(G5)+2,FALSE))</f>
        <v>0</v>
      </c>
      <c r="N5" s="306" t="e">
        <f t="shared" si="5"/>
        <v>#N/A</v>
      </c>
      <c r="O5" s="308">
        <f>IF(G5=0,0,VLOOKUP(YEAR(G5),INPC!$B$4:$P$30,MONTH(G5)+2))</f>
        <v>0</v>
      </c>
      <c r="P5" s="308">
        <f>IF(W5=0,0,IF(OR(C5=$AQ$5,C5=AQ9),VLOOKUP(YEAR(W5),INPC!$B$4:$P$30,MONTH(W5)+1),VLOOKUP(YEAR(W5),INPC!$B$4:$P$30,MONTH(W5)+2)))</f>
        <v>0</v>
      </c>
      <c r="Q5" s="309">
        <f t="shared" si="6"/>
        <v>0</v>
      </c>
      <c r="R5" s="310" t="e">
        <f t="shared" si="7"/>
        <v>#N/A</v>
      </c>
      <c r="S5" s="310">
        <f t="shared" si="8"/>
        <v>0</v>
      </c>
      <c r="T5" s="567" t="str">
        <f t="shared" si="9"/>
        <v>NO</v>
      </c>
      <c r="U5" s="323"/>
      <c r="V5" s="299"/>
      <c r="W5" s="300"/>
      <c r="X5" s="299"/>
      <c r="Y5" s="303"/>
      <c r="Z5" s="305">
        <f>IF(Y5=0,0,IF(X5="MXN",1/HLOOKUP(YEAR(W5)+(MONTH(W5)/100),TC!$5:$37,DAY(W5)+2,FALSE),VLOOKUP(X5,Equivalencia!$1:$23,((MAX(Equivalencia!$3:$3)-YEAR(W5))*14)+MONTH(W5)+2,FALSE)))</f>
        <v>0</v>
      </c>
      <c r="AA5" s="306">
        <f t="shared" si="1"/>
        <v>0</v>
      </c>
      <c r="AB5" s="305">
        <f>+IF(W5=0,0,HLOOKUP(YEAR(W5)+(MONTH(W5)/100),TC!$5:$37,DAY(W5)+2,FALSE))</f>
        <v>0</v>
      </c>
      <c r="AC5" s="306">
        <f t="shared" si="2"/>
        <v>0</v>
      </c>
      <c r="AD5" s="314">
        <f t="shared" si="10"/>
        <v>0</v>
      </c>
      <c r="AE5" s="315">
        <f t="shared" si="11"/>
        <v>0</v>
      </c>
      <c r="AF5" s="316">
        <f t="shared" si="3"/>
        <v>0</v>
      </c>
      <c r="AG5" s="314">
        <v>1</v>
      </c>
      <c r="AH5" s="314">
        <f t="shared" si="12"/>
        <v>0</v>
      </c>
      <c r="AI5" s="314">
        <f t="shared" si="13"/>
        <v>0</v>
      </c>
      <c r="AJ5" s="317"/>
      <c r="AK5" s="315" t="e">
        <f t="shared" si="14"/>
        <v>#N/A</v>
      </c>
      <c r="AL5" s="293"/>
      <c r="AM5" s="561"/>
      <c r="AN5" s="561"/>
      <c r="AO5" s="561"/>
      <c r="AP5" s="294"/>
      <c r="AQ5" s="297" t="s">
        <v>265</v>
      </c>
      <c r="AR5" s="297" t="s">
        <v>268</v>
      </c>
      <c r="AS5" s="299"/>
    </row>
    <row r="6" spans="2:45">
      <c r="B6" s="296"/>
      <c r="C6" s="299"/>
      <c r="D6" s="296"/>
      <c r="E6" s="298"/>
      <c r="F6" s="299"/>
      <c r="G6" s="300"/>
      <c r="H6" s="303"/>
      <c r="I6" s="303"/>
      <c r="J6" s="322">
        <f t="shared" si="0"/>
        <v>0</v>
      </c>
      <c r="K6" s="305" t="e">
        <f>IF(F6="MXN",1/HLOOKUP(YEAR(G6)+(MONTH(G6)/100),TC!$5:$37,DAY(G6)+2,FALSE),VLOOKUP(F6,Equivalencia!$5:$23,((MAX(Equivalencia!$3:$3)-YEAR(G6))*14)+MONTH(G6)+2,FALSE))</f>
        <v>#N/A</v>
      </c>
      <c r="L6" s="306" t="e">
        <f t="shared" si="4"/>
        <v>#N/A</v>
      </c>
      <c r="M6" s="305">
        <f>IF(G6=0,0,HLOOKUP(YEAR(G6)+(MONTH(G6)/100),TC!$5:$37,DAY(G6)+2,FALSE))</f>
        <v>0</v>
      </c>
      <c r="N6" s="306" t="e">
        <f t="shared" si="5"/>
        <v>#N/A</v>
      </c>
      <c r="O6" s="308">
        <f>IF(G6=0,0,VLOOKUP(YEAR(G6),INPC!$B$4:$P$30,MONTH(G6)+2))</f>
        <v>0</v>
      </c>
      <c r="P6" s="308">
        <f>IF(W6=0,0,IF(OR(C6=$AQ$5,C6=AQ10),VLOOKUP(YEAR(W6),INPC!$B$4:$P$30,MONTH(W6)+1),VLOOKUP(YEAR(W6),INPC!$B$4:$P$30,MONTH(W6)+2)))</f>
        <v>0</v>
      </c>
      <c r="Q6" s="309">
        <f t="shared" si="6"/>
        <v>0</v>
      </c>
      <c r="R6" s="310" t="e">
        <f t="shared" si="7"/>
        <v>#N/A</v>
      </c>
      <c r="S6" s="310">
        <f t="shared" si="8"/>
        <v>0</v>
      </c>
      <c r="T6" s="567" t="str">
        <f t="shared" si="9"/>
        <v>NO</v>
      </c>
      <c r="U6" s="323"/>
      <c r="V6" s="299"/>
      <c r="W6" s="300"/>
      <c r="X6" s="299"/>
      <c r="Y6" s="303"/>
      <c r="Z6" s="305">
        <f>IF(Y6=0,0,IF(X6="MXN",1/HLOOKUP(YEAR(W6)+(MONTH(W6)/100),TC!$5:$37,DAY(W6)+2,FALSE),VLOOKUP(X6,Equivalencia!$1:$23,((MAX(Equivalencia!$3:$3)-YEAR(W6))*14)+MONTH(W6)+2,FALSE)))</f>
        <v>0</v>
      </c>
      <c r="AA6" s="306">
        <f t="shared" si="1"/>
        <v>0</v>
      </c>
      <c r="AB6" s="305">
        <f>+IF(W6=0,0,HLOOKUP(YEAR(W6)+(MONTH(W6)/100),TC!$5:$37,DAY(W6)+2,FALSE))</f>
        <v>0</v>
      </c>
      <c r="AC6" s="306">
        <f t="shared" si="2"/>
        <v>0</v>
      </c>
      <c r="AD6" s="314">
        <f t="shared" si="10"/>
        <v>0</v>
      </c>
      <c r="AE6" s="315">
        <f t="shared" si="11"/>
        <v>0</v>
      </c>
      <c r="AF6" s="316">
        <f t="shared" si="3"/>
        <v>0</v>
      </c>
      <c r="AG6" s="314">
        <v>1</v>
      </c>
      <c r="AH6" s="314">
        <f t="shared" si="12"/>
        <v>0</v>
      </c>
      <c r="AI6" s="314">
        <f t="shared" si="13"/>
        <v>0</v>
      </c>
      <c r="AJ6" s="317"/>
      <c r="AK6" s="315" t="e">
        <f t="shared" si="14"/>
        <v>#N/A</v>
      </c>
      <c r="AL6" s="293"/>
      <c r="AM6" s="561"/>
      <c r="AN6" s="561"/>
      <c r="AO6" s="561"/>
      <c r="AP6" s="294"/>
      <c r="AQ6" s="297" t="s">
        <v>114</v>
      </c>
      <c r="AR6" s="297" t="s">
        <v>269</v>
      </c>
      <c r="AS6" s="299"/>
    </row>
    <row r="7" spans="2:45">
      <c r="B7" s="296"/>
      <c r="C7" s="299"/>
      <c r="D7" s="296"/>
      <c r="E7" s="298"/>
      <c r="F7" s="299"/>
      <c r="G7" s="300"/>
      <c r="H7" s="303"/>
      <c r="I7" s="303"/>
      <c r="J7" s="322">
        <f t="shared" si="0"/>
        <v>0</v>
      </c>
      <c r="K7" s="305" t="e">
        <f>IF(F7="MXN",1/HLOOKUP(YEAR(G7)+(MONTH(G7)/100),TC!$5:$37,DAY(G7)+2,FALSE),VLOOKUP(F7,Equivalencia!$5:$23,((MAX(Equivalencia!$3:$3)-YEAR(G7))*14)+MONTH(G7)+2,FALSE))</f>
        <v>#N/A</v>
      </c>
      <c r="L7" s="306" t="e">
        <f t="shared" si="4"/>
        <v>#N/A</v>
      </c>
      <c r="M7" s="305">
        <f>IF(G7=0,0,HLOOKUP(YEAR(G7)+(MONTH(G7)/100),TC!$5:$37,DAY(G7)+2,FALSE))</f>
        <v>0</v>
      </c>
      <c r="N7" s="306" t="e">
        <f t="shared" si="5"/>
        <v>#N/A</v>
      </c>
      <c r="O7" s="308">
        <f>IF(G7=0,0,VLOOKUP(YEAR(G7),INPC!$B$4:$P$30,MONTH(G7)+2))</f>
        <v>0</v>
      </c>
      <c r="P7" s="308">
        <f>IF(W7=0,0,IF(OR(C7=$AQ$5,C7=AQ11),VLOOKUP(YEAR(W7),INPC!$B$4:$P$30,MONTH(W7)+1),VLOOKUP(YEAR(W7),INPC!$B$4:$P$30,MONTH(W7)+2)))</f>
        <v>0</v>
      </c>
      <c r="Q7" s="309">
        <f t="shared" si="6"/>
        <v>0</v>
      </c>
      <c r="R7" s="310" t="e">
        <f t="shared" si="7"/>
        <v>#N/A</v>
      </c>
      <c r="S7" s="310">
        <f t="shared" si="8"/>
        <v>0</v>
      </c>
      <c r="T7" s="567" t="str">
        <f t="shared" si="9"/>
        <v>NO</v>
      </c>
      <c r="U7" s="323"/>
      <c r="V7" s="299"/>
      <c r="W7" s="300"/>
      <c r="X7" s="299"/>
      <c r="Y7" s="303"/>
      <c r="Z7" s="305">
        <f>IF(Y7=0,0,IF(X7="MXN",1/HLOOKUP(YEAR(W7)+(MONTH(W7)/100),TC!$5:$37,DAY(W7)+2,FALSE),VLOOKUP(X7,Equivalencia!$1:$23,((MAX(Equivalencia!$3:$3)-YEAR(W7))*14)+MONTH(W7)+2,FALSE)))</f>
        <v>0</v>
      </c>
      <c r="AA7" s="306">
        <f t="shared" si="1"/>
        <v>0</v>
      </c>
      <c r="AB7" s="305">
        <f>+IF(W7=0,0,HLOOKUP(YEAR(W7)+(MONTH(W7)/100),TC!$5:$37,DAY(W7)+2,FALSE))</f>
        <v>0</v>
      </c>
      <c r="AC7" s="306">
        <f t="shared" si="2"/>
        <v>0</v>
      </c>
      <c r="AD7" s="314">
        <f t="shared" si="10"/>
        <v>0</v>
      </c>
      <c r="AE7" s="315">
        <f t="shared" si="11"/>
        <v>0</v>
      </c>
      <c r="AF7" s="316">
        <f t="shared" si="3"/>
        <v>0</v>
      </c>
      <c r="AG7" s="314">
        <v>1</v>
      </c>
      <c r="AH7" s="314">
        <f t="shared" si="12"/>
        <v>0</v>
      </c>
      <c r="AI7" s="314">
        <f t="shared" si="13"/>
        <v>0</v>
      </c>
      <c r="AJ7" s="317"/>
      <c r="AK7" s="315" t="e">
        <f t="shared" si="14"/>
        <v>#N/A</v>
      </c>
      <c r="AL7" s="293"/>
      <c r="AM7" s="561"/>
      <c r="AN7" s="561"/>
      <c r="AO7" s="561"/>
      <c r="AP7" s="294"/>
      <c r="AQ7" s="299"/>
      <c r="AR7" s="297" t="s">
        <v>270</v>
      </c>
      <c r="AS7" s="299"/>
    </row>
    <row r="8" spans="2:45">
      <c r="B8" s="296"/>
      <c r="C8" s="299"/>
      <c r="D8" s="296"/>
      <c r="E8" s="298"/>
      <c r="F8" s="299"/>
      <c r="G8" s="300"/>
      <c r="H8" s="303"/>
      <c r="I8" s="303"/>
      <c r="J8" s="322">
        <f t="shared" si="0"/>
        <v>0</v>
      </c>
      <c r="K8" s="305" t="e">
        <f>IF(F8="MXN",1/HLOOKUP(YEAR(G8)+(MONTH(G8)/100),TC!$5:$37,DAY(G8)+2,FALSE),VLOOKUP(F8,Equivalencia!$5:$23,((MAX(Equivalencia!$3:$3)-YEAR(G8))*14)+MONTH(G8)+2,FALSE))</f>
        <v>#N/A</v>
      </c>
      <c r="L8" s="306" t="e">
        <f t="shared" si="4"/>
        <v>#N/A</v>
      </c>
      <c r="M8" s="305">
        <f>IF(G8=0,0,HLOOKUP(YEAR(G8)+(MONTH(G8)/100),TC!$5:$37,DAY(G8)+2,FALSE))</f>
        <v>0</v>
      </c>
      <c r="N8" s="306" t="e">
        <f t="shared" si="5"/>
        <v>#N/A</v>
      </c>
      <c r="O8" s="308">
        <f>IF(G8=0,0,VLOOKUP(YEAR(G8),INPC!$B$4:$P$30,MONTH(G8)+2))</f>
        <v>0</v>
      </c>
      <c r="P8" s="308">
        <f>IF(W8=0,0,IF(OR(C8=$AQ$5,C8=AQ12),VLOOKUP(YEAR(W8),INPC!$B$4:$P$30,MONTH(W8)+1),VLOOKUP(YEAR(W8),INPC!$B$4:$P$30,MONTH(W8)+2)))</f>
        <v>0</v>
      </c>
      <c r="Q8" s="309">
        <f t="shared" si="6"/>
        <v>0</v>
      </c>
      <c r="R8" s="310" t="e">
        <f t="shared" si="7"/>
        <v>#N/A</v>
      </c>
      <c r="S8" s="310">
        <f t="shared" si="8"/>
        <v>0</v>
      </c>
      <c r="T8" s="567" t="str">
        <f t="shared" si="9"/>
        <v>NO</v>
      </c>
      <c r="U8" s="323"/>
      <c r="V8" s="299"/>
      <c r="W8" s="300"/>
      <c r="X8" s="299"/>
      <c r="Y8" s="303"/>
      <c r="Z8" s="305">
        <f>IF(Y8=0,0,IF(X8="MXN",1/HLOOKUP(YEAR(W8)+(MONTH(W8)/100),TC!$5:$37,DAY(W8)+2,FALSE),VLOOKUP(X8,Equivalencia!$1:$23,((MAX(Equivalencia!$3:$3)-YEAR(W8))*14)+MONTH(W8)+2,FALSE)))</f>
        <v>0</v>
      </c>
      <c r="AA8" s="306">
        <f t="shared" si="1"/>
        <v>0</v>
      </c>
      <c r="AB8" s="305">
        <f>+IF(W8=0,0,HLOOKUP(YEAR(W8)+(MONTH(W8)/100),TC!$5:$37,DAY(W8)+2,FALSE))</f>
        <v>0</v>
      </c>
      <c r="AC8" s="306">
        <f t="shared" ref="AC8:AC66" si="15">+AB8*AA8</f>
        <v>0</v>
      </c>
      <c r="AD8" s="314">
        <f t="shared" si="10"/>
        <v>0</v>
      </c>
      <c r="AE8" s="315">
        <f t="shared" si="11"/>
        <v>0</v>
      </c>
      <c r="AF8" s="316">
        <f t="shared" si="3"/>
        <v>0</v>
      </c>
      <c r="AG8" s="314">
        <v>1</v>
      </c>
      <c r="AH8" s="314">
        <f t="shared" si="12"/>
        <v>0</v>
      </c>
      <c r="AI8" s="314">
        <f t="shared" si="13"/>
        <v>0</v>
      </c>
      <c r="AJ8" s="317"/>
      <c r="AK8" s="315" t="e">
        <f t="shared" si="14"/>
        <v>#N/A</v>
      </c>
      <c r="AL8" s="293"/>
      <c r="AM8" s="561"/>
      <c r="AN8" s="561"/>
      <c r="AO8" s="561"/>
      <c r="AP8" s="294"/>
      <c r="AQ8" s="299"/>
      <c r="AR8" s="297" t="s">
        <v>271</v>
      </c>
      <c r="AS8" s="299"/>
    </row>
    <row r="9" spans="2:45">
      <c r="B9" s="296"/>
      <c r="C9" s="299"/>
      <c r="D9" s="296"/>
      <c r="E9" s="298"/>
      <c r="F9" s="299"/>
      <c r="G9" s="300"/>
      <c r="H9" s="303"/>
      <c r="I9" s="303"/>
      <c r="J9" s="322">
        <f t="shared" si="0"/>
        <v>0</v>
      </c>
      <c r="K9" s="305" t="e">
        <f>IF(F9="MXN",1/HLOOKUP(YEAR(G9)+(MONTH(G9)/100),TC!$5:$37,DAY(G9)+2,FALSE),VLOOKUP(F9,Equivalencia!$5:$23,((MAX(Equivalencia!$3:$3)-YEAR(G9))*14)+MONTH(G9)+2,FALSE))</f>
        <v>#N/A</v>
      </c>
      <c r="L9" s="306" t="e">
        <f t="shared" si="4"/>
        <v>#N/A</v>
      </c>
      <c r="M9" s="305">
        <f>IF(G9=0,0,HLOOKUP(YEAR(G9)+(MONTH(G9)/100),TC!$5:$37,DAY(G9)+2,FALSE))</f>
        <v>0</v>
      </c>
      <c r="N9" s="306" t="e">
        <f t="shared" si="5"/>
        <v>#N/A</v>
      </c>
      <c r="O9" s="308">
        <f>IF(G9=0,0,VLOOKUP(YEAR(G9),INPC!$B$4:$P$30,MONTH(G9)+2))</f>
        <v>0</v>
      </c>
      <c r="P9" s="308">
        <f>IF(W9=0,0,IF(OR(C9=$AQ$5,C9=AQ13),VLOOKUP(YEAR(W9),INPC!$B$4:$P$30,MONTH(W9)+1),VLOOKUP(YEAR(W9),INPC!$B$4:$P$30,MONTH(W9)+2)))</f>
        <v>0</v>
      </c>
      <c r="Q9" s="309">
        <f t="shared" si="6"/>
        <v>0</v>
      </c>
      <c r="R9" s="310" t="e">
        <f t="shared" si="7"/>
        <v>#N/A</v>
      </c>
      <c r="S9" s="310">
        <f t="shared" si="8"/>
        <v>0</v>
      </c>
      <c r="T9" s="567" t="str">
        <f t="shared" si="9"/>
        <v>NO</v>
      </c>
      <c r="U9" s="323"/>
      <c r="V9" s="299"/>
      <c r="W9" s="300"/>
      <c r="X9" s="299"/>
      <c r="Y9" s="303"/>
      <c r="Z9" s="305">
        <f>IF(Y9=0,0,IF(X9="MXN",1/HLOOKUP(YEAR(W9)+(MONTH(W9)/100),TC!$5:$37,DAY(W9)+2,FALSE),VLOOKUP(X9,Equivalencia!$1:$23,((MAX(Equivalencia!$3:$3)-YEAR(W9))*14)+MONTH(W9)+2,FALSE)))</f>
        <v>0</v>
      </c>
      <c r="AA9" s="306">
        <f t="shared" si="1"/>
        <v>0</v>
      </c>
      <c r="AB9" s="305">
        <f>+IF(W9=0,0,HLOOKUP(YEAR(W9)+(MONTH(W9)/100),TC!$5:$37,DAY(W9)+2,FALSE))</f>
        <v>0</v>
      </c>
      <c r="AC9" s="306">
        <f t="shared" si="15"/>
        <v>0</v>
      </c>
      <c r="AD9" s="314">
        <f t="shared" si="10"/>
        <v>0</v>
      </c>
      <c r="AE9" s="315">
        <f t="shared" si="11"/>
        <v>0</v>
      </c>
      <c r="AF9" s="316">
        <f t="shared" si="3"/>
        <v>0</v>
      </c>
      <c r="AG9" s="314">
        <v>1</v>
      </c>
      <c r="AH9" s="314">
        <f t="shared" si="12"/>
        <v>0</v>
      </c>
      <c r="AI9" s="314">
        <f t="shared" si="13"/>
        <v>0</v>
      </c>
      <c r="AJ9" s="317"/>
      <c r="AK9" s="315" t="e">
        <f t="shared" si="14"/>
        <v>#N/A</v>
      </c>
      <c r="AL9" s="293"/>
      <c r="AM9" s="561"/>
      <c r="AN9" s="561"/>
      <c r="AO9" s="561"/>
      <c r="AP9" s="294"/>
      <c r="AQ9" s="299"/>
      <c r="AR9" s="299"/>
      <c r="AS9" s="299"/>
    </row>
    <row r="10" spans="2:45">
      <c r="B10" s="296"/>
      <c r="C10" s="299"/>
      <c r="D10" s="296"/>
      <c r="E10" s="298"/>
      <c r="F10" s="299"/>
      <c r="G10" s="300"/>
      <c r="H10" s="303"/>
      <c r="I10" s="303"/>
      <c r="J10" s="322">
        <f t="shared" si="0"/>
        <v>0</v>
      </c>
      <c r="K10" s="305" t="e">
        <f>IF(F10="MXN",1/HLOOKUP(YEAR(G10)+(MONTH(G10)/100),TC!$5:$37,DAY(G10)+2,FALSE),VLOOKUP(F10,Equivalencia!$5:$23,((MAX(Equivalencia!$3:$3)-YEAR(G10))*14)+MONTH(G10)+2,FALSE))</f>
        <v>#N/A</v>
      </c>
      <c r="L10" s="306" t="e">
        <f t="shared" si="4"/>
        <v>#N/A</v>
      </c>
      <c r="M10" s="305">
        <f>IF(G10=0,0,HLOOKUP(YEAR(G10)+(MONTH(G10)/100),TC!$5:$37,DAY(G10)+2,FALSE))</f>
        <v>0</v>
      </c>
      <c r="N10" s="306" t="e">
        <f t="shared" si="5"/>
        <v>#N/A</v>
      </c>
      <c r="O10" s="308">
        <f>IF(G10=0,0,VLOOKUP(YEAR(G10),INPC!$B$4:$P$30,MONTH(G10)+2))</f>
        <v>0</v>
      </c>
      <c r="P10" s="308">
        <f>IF(W10=0,0,IF(OR(C10=$AQ$5,C10=AQ14),VLOOKUP(YEAR(W10),INPC!$B$4:$P$30,MONTH(W10)+1),VLOOKUP(YEAR(W10),INPC!$B$4:$P$30,MONTH(W10)+2)))</f>
        <v>0</v>
      </c>
      <c r="Q10" s="309">
        <f t="shared" si="6"/>
        <v>0</v>
      </c>
      <c r="R10" s="310" t="e">
        <f t="shared" si="7"/>
        <v>#N/A</v>
      </c>
      <c r="S10" s="310">
        <f t="shared" si="8"/>
        <v>0</v>
      </c>
      <c r="T10" s="567" t="str">
        <f t="shared" si="9"/>
        <v>NO</v>
      </c>
      <c r="U10" s="323"/>
      <c r="V10" s="299"/>
      <c r="W10" s="300"/>
      <c r="X10" s="299"/>
      <c r="Y10" s="303"/>
      <c r="Z10" s="305">
        <f>IF(Y10=0,0,IF(X10="MXN",1/HLOOKUP(YEAR(W10)+(MONTH(W10)/100),TC!$5:$37,DAY(W10)+2,FALSE),VLOOKUP(X10,Equivalencia!$1:$23,((MAX(Equivalencia!$3:$3)-YEAR(W10))*14)+MONTH(W10)+2,FALSE)))</f>
        <v>0</v>
      </c>
      <c r="AA10" s="306">
        <f t="shared" ref="AA10:AA66" si="16">+Z10*Y10</f>
        <v>0</v>
      </c>
      <c r="AB10" s="305">
        <f>+IF(W10=0,0,HLOOKUP(YEAR(W10)+(MONTH(W10)/100),TC!$5:$37,DAY(W10)+2,FALSE))</f>
        <v>0</v>
      </c>
      <c r="AC10" s="306">
        <f t="shared" si="15"/>
        <v>0</v>
      </c>
      <c r="AD10" s="314">
        <f t="shared" si="10"/>
        <v>0</v>
      </c>
      <c r="AE10" s="315">
        <f t="shared" si="11"/>
        <v>0</v>
      </c>
      <c r="AF10" s="316">
        <f t="shared" si="3"/>
        <v>0</v>
      </c>
      <c r="AG10" s="314">
        <v>1</v>
      </c>
      <c r="AH10" s="314">
        <f t="shared" si="12"/>
        <v>0</v>
      </c>
      <c r="AI10" s="314">
        <f t="shared" si="13"/>
        <v>0</v>
      </c>
      <c r="AJ10" s="317"/>
      <c r="AK10" s="315" t="e">
        <f t="shared" si="14"/>
        <v>#N/A</v>
      </c>
      <c r="AL10" s="293"/>
      <c r="AM10" s="561"/>
      <c r="AN10" s="561"/>
      <c r="AO10" s="561"/>
      <c r="AP10" s="294"/>
      <c r="AQ10" s="299"/>
      <c r="AR10" s="299"/>
      <c r="AS10" s="299"/>
    </row>
    <row r="11" spans="2:45">
      <c r="B11" s="296"/>
      <c r="C11" s="299"/>
      <c r="D11" s="296"/>
      <c r="E11" s="298"/>
      <c r="F11" s="299"/>
      <c r="G11" s="300"/>
      <c r="H11" s="303"/>
      <c r="I11" s="303"/>
      <c r="J11" s="322">
        <f t="shared" si="0"/>
        <v>0</v>
      </c>
      <c r="K11" s="305" t="e">
        <f>IF(F11="MXN",1/HLOOKUP(YEAR(G11)+(MONTH(G11)/100),TC!$5:$37,DAY(G11)+2,FALSE),VLOOKUP(F11,Equivalencia!$5:$23,((MAX(Equivalencia!$3:$3)-YEAR(G11))*14)+MONTH(G11)+2,FALSE))</f>
        <v>#N/A</v>
      </c>
      <c r="L11" s="306" t="e">
        <f t="shared" si="4"/>
        <v>#N/A</v>
      </c>
      <c r="M11" s="305">
        <f>IF(G11=0,0,HLOOKUP(YEAR(G11)+(MONTH(G11)/100),TC!$5:$37,DAY(G11)+2,FALSE))</f>
        <v>0</v>
      </c>
      <c r="N11" s="306" t="e">
        <f t="shared" si="5"/>
        <v>#N/A</v>
      </c>
      <c r="O11" s="308">
        <f>IF(G11=0,0,VLOOKUP(YEAR(G11),INPC!$B$4:$P$30,MONTH(G11)+2))</f>
        <v>0</v>
      </c>
      <c r="P11" s="308">
        <f>IF(W11=0,0,IF(OR(C11=$AQ$5,C11=AQ15),VLOOKUP(YEAR(W11),INPC!$B$4:$P$30,MONTH(W11)+1),VLOOKUP(YEAR(W11),INPC!$B$4:$P$30,MONTH(W11)+2)))</f>
        <v>0</v>
      </c>
      <c r="Q11" s="309">
        <f t="shared" si="6"/>
        <v>0</v>
      </c>
      <c r="R11" s="310" t="e">
        <f t="shared" si="7"/>
        <v>#N/A</v>
      </c>
      <c r="S11" s="310">
        <f t="shared" si="8"/>
        <v>0</v>
      </c>
      <c r="T11" s="567" t="str">
        <f t="shared" si="9"/>
        <v>NO</v>
      </c>
      <c r="U11" s="323"/>
      <c r="V11" s="299"/>
      <c r="W11" s="300"/>
      <c r="X11" s="299"/>
      <c r="Y11" s="303"/>
      <c r="Z11" s="305">
        <f>IF(Y11=0,0,IF(X11="MXN",1/HLOOKUP(YEAR(W11)+(MONTH(W11)/100),TC!$5:$37,DAY(W11)+2,FALSE),VLOOKUP(X11,Equivalencia!$1:$23,((MAX(Equivalencia!$3:$3)-YEAR(W11))*14)+MONTH(W11)+2,FALSE)))</f>
        <v>0</v>
      </c>
      <c r="AA11" s="306">
        <f t="shared" si="16"/>
        <v>0</v>
      </c>
      <c r="AB11" s="305">
        <f>+IF(W11=0,0,HLOOKUP(YEAR(W11)+(MONTH(W11)/100),TC!$5:$37,DAY(W11)+2,FALSE))</f>
        <v>0</v>
      </c>
      <c r="AC11" s="306">
        <f t="shared" si="15"/>
        <v>0</v>
      </c>
      <c r="AD11" s="314">
        <f t="shared" si="10"/>
        <v>0</v>
      </c>
      <c r="AE11" s="315">
        <f t="shared" si="11"/>
        <v>0</v>
      </c>
      <c r="AF11" s="316">
        <f t="shared" si="3"/>
        <v>0</v>
      </c>
      <c r="AG11" s="314">
        <v>1</v>
      </c>
      <c r="AH11" s="314">
        <f t="shared" si="12"/>
        <v>0</v>
      </c>
      <c r="AI11" s="314">
        <f t="shared" si="13"/>
        <v>0</v>
      </c>
      <c r="AJ11" s="317"/>
      <c r="AK11" s="315" t="e">
        <f t="shared" si="14"/>
        <v>#N/A</v>
      </c>
      <c r="AL11" s="293"/>
      <c r="AM11" s="561"/>
      <c r="AN11" s="561"/>
      <c r="AO11" s="561"/>
      <c r="AP11" s="294"/>
      <c r="AQ11" s="299"/>
      <c r="AR11" s="299"/>
      <c r="AS11" s="299"/>
    </row>
    <row r="12" spans="2:45">
      <c r="B12" s="296"/>
      <c r="C12" s="299"/>
      <c r="D12" s="296"/>
      <c r="E12" s="298"/>
      <c r="F12" s="299"/>
      <c r="G12" s="300"/>
      <c r="H12" s="303"/>
      <c r="I12" s="303"/>
      <c r="J12" s="322">
        <f t="shared" si="0"/>
        <v>0</v>
      </c>
      <c r="K12" s="305" t="e">
        <f>IF(F12="MXN",1/HLOOKUP(YEAR(G12)+(MONTH(G12)/100),TC!$5:$37,DAY(G12)+2,FALSE),VLOOKUP(F12,Equivalencia!$5:$23,((MAX(Equivalencia!$3:$3)-YEAR(G12))*14)+MONTH(G12)+2,FALSE))</f>
        <v>#N/A</v>
      </c>
      <c r="L12" s="306" t="e">
        <f t="shared" si="4"/>
        <v>#N/A</v>
      </c>
      <c r="M12" s="305">
        <f>IF(G12=0,0,HLOOKUP(YEAR(G12)+(MONTH(G12)/100),TC!$5:$37,DAY(G12)+2,FALSE))</f>
        <v>0</v>
      </c>
      <c r="N12" s="306" t="e">
        <f t="shared" si="5"/>
        <v>#N/A</v>
      </c>
      <c r="O12" s="308">
        <f>IF(G12=0,0,VLOOKUP(YEAR(G12),INPC!$B$4:$P$30,MONTH(G12)+2))</f>
        <v>0</v>
      </c>
      <c r="P12" s="308">
        <f>IF(W12=0,0,IF(OR(C12=$AQ$5,C12=AQ16),VLOOKUP(YEAR(W12),INPC!$B$4:$P$30,MONTH(W12)+1),VLOOKUP(YEAR(W12),INPC!$B$4:$P$30,MONTH(W12)+2)))</f>
        <v>0</v>
      </c>
      <c r="Q12" s="309">
        <f t="shared" si="6"/>
        <v>0</v>
      </c>
      <c r="R12" s="310" t="e">
        <f t="shared" si="7"/>
        <v>#N/A</v>
      </c>
      <c r="S12" s="310">
        <f t="shared" si="8"/>
        <v>0</v>
      </c>
      <c r="T12" s="567" t="str">
        <f t="shared" si="9"/>
        <v>NO</v>
      </c>
      <c r="U12" s="323"/>
      <c r="V12" s="299"/>
      <c r="W12" s="300"/>
      <c r="X12" s="299"/>
      <c r="Y12" s="303"/>
      <c r="Z12" s="305">
        <f>IF(Y12=0,0,IF(X12="MXN",1/HLOOKUP(YEAR(W12)+(MONTH(W12)/100),TC!$5:$37,DAY(W12)+2,FALSE),VLOOKUP(X12,Equivalencia!$1:$23,((MAX(Equivalencia!$3:$3)-YEAR(W12))*14)+MONTH(W12)+2,FALSE)))</f>
        <v>0</v>
      </c>
      <c r="AA12" s="306">
        <f t="shared" si="16"/>
        <v>0</v>
      </c>
      <c r="AB12" s="305">
        <f>+IF(W12=0,0,HLOOKUP(YEAR(W12)+(MONTH(W12)/100),TC!$5:$37,DAY(W12)+2,FALSE))</f>
        <v>0</v>
      </c>
      <c r="AC12" s="306">
        <f t="shared" si="15"/>
        <v>0</v>
      </c>
      <c r="AD12" s="314">
        <f t="shared" si="10"/>
        <v>0</v>
      </c>
      <c r="AE12" s="315">
        <f t="shared" si="11"/>
        <v>0</v>
      </c>
      <c r="AF12" s="316">
        <f t="shared" si="3"/>
        <v>0</v>
      </c>
      <c r="AG12" s="314">
        <v>1</v>
      </c>
      <c r="AH12" s="314">
        <f t="shared" si="12"/>
        <v>0</v>
      </c>
      <c r="AI12" s="314">
        <f t="shared" si="13"/>
        <v>0</v>
      </c>
      <c r="AJ12" s="317"/>
      <c r="AK12" s="315" t="e">
        <f t="shared" si="14"/>
        <v>#N/A</v>
      </c>
      <c r="AL12" s="293"/>
      <c r="AM12" s="561"/>
      <c r="AN12" s="561"/>
      <c r="AO12" s="561"/>
      <c r="AP12" s="294"/>
      <c r="AQ12" s="299"/>
      <c r="AR12" s="299"/>
      <c r="AS12" s="299"/>
    </row>
    <row r="13" spans="2:45">
      <c r="B13" s="296"/>
      <c r="C13" s="299"/>
      <c r="D13" s="296"/>
      <c r="E13" s="298"/>
      <c r="F13" s="299"/>
      <c r="G13" s="300"/>
      <c r="H13" s="303"/>
      <c r="I13" s="303"/>
      <c r="J13" s="322">
        <f t="shared" si="0"/>
        <v>0</v>
      </c>
      <c r="K13" s="305" t="e">
        <f>IF(F13="MXN",1/HLOOKUP(YEAR(G13)+(MONTH(G13)/100),TC!$5:$37,DAY(G13)+2,FALSE),VLOOKUP(F13,Equivalencia!$5:$23,((MAX(Equivalencia!$3:$3)-YEAR(G13))*14)+MONTH(G13)+2,FALSE))</f>
        <v>#N/A</v>
      </c>
      <c r="L13" s="306" t="e">
        <f t="shared" si="4"/>
        <v>#N/A</v>
      </c>
      <c r="M13" s="305">
        <f>IF(G13=0,0,HLOOKUP(YEAR(G13)+(MONTH(G13)/100),TC!$5:$37,DAY(G13)+2,FALSE))</f>
        <v>0</v>
      </c>
      <c r="N13" s="306" t="e">
        <f t="shared" si="5"/>
        <v>#N/A</v>
      </c>
      <c r="O13" s="308">
        <f>IF(G13=0,0,VLOOKUP(YEAR(G13),INPC!$B$4:$P$30,MONTH(G13)+2))</f>
        <v>0</v>
      </c>
      <c r="P13" s="308">
        <f>IF(W13=0,0,IF(OR(C13=$AQ$5,C13=AQ17),VLOOKUP(YEAR(W13),INPC!$B$4:$P$30,MONTH(W13)+1),VLOOKUP(YEAR(W13),INPC!$B$4:$P$30,MONTH(W13)+2)))</f>
        <v>0</v>
      </c>
      <c r="Q13" s="309">
        <f t="shared" si="6"/>
        <v>0</v>
      </c>
      <c r="R13" s="310" t="e">
        <f t="shared" si="7"/>
        <v>#N/A</v>
      </c>
      <c r="S13" s="310">
        <f t="shared" si="8"/>
        <v>0</v>
      </c>
      <c r="T13" s="567" t="str">
        <f t="shared" si="9"/>
        <v>NO</v>
      </c>
      <c r="U13" s="323"/>
      <c r="V13" s="299"/>
      <c r="W13" s="300"/>
      <c r="X13" s="299"/>
      <c r="Y13" s="303"/>
      <c r="Z13" s="305">
        <f>IF(Y13=0,0,IF(X13="MXN",1/HLOOKUP(YEAR(W13)+(MONTH(W13)/100),TC!$5:$37,DAY(W13)+2,FALSE),VLOOKUP(X13,Equivalencia!$1:$23,((MAX(Equivalencia!$3:$3)-YEAR(W13))*14)+MONTH(W13)+2,FALSE)))</f>
        <v>0</v>
      </c>
      <c r="AA13" s="306">
        <f t="shared" si="16"/>
        <v>0</v>
      </c>
      <c r="AB13" s="305">
        <f>+IF(W13=0,0,HLOOKUP(YEAR(W13)+(MONTH(W13)/100),TC!$5:$37,DAY(W13)+2,FALSE))</f>
        <v>0</v>
      </c>
      <c r="AC13" s="306">
        <f t="shared" si="15"/>
        <v>0</v>
      </c>
      <c r="AD13" s="314">
        <f t="shared" si="10"/>
        <v>0</v>
      </c>
      <c r="AE13" s="315">
        <f t="shared" si="11"/>
        <v>0</v>
      </c>
      <c r="AF13" s="316">
        <f t="shared" si="3"/>
        <v>0</v>
      </c>
      <c r="AG13" s="314">
        <v>1</v>
      </c>
      <c r="AH13" s="314">
        <f t="shared" si="12"/>
        <v>0</v>
      </c>
      <c r="AI13" s="314">
        <f t="shared" si="13"/>
        <v>0</v>
      </c>
      <c r="AJ13" s="317"/>
      <c r="AK13" s="315" t="e">
        <f t="shared" si="14"/>
        <v>#N/A</v>
      </c>
      <c r="AL13" s="293"/>
      <c r="AM13" s="561"/>
      <c r="AN13" s="561"/>
      <c r="AO13" s="561"/>
      <c r="AP13" s="294"/>
      <c r="AQ13" s="299"/>
      <c r="AR13" s="299"/>
      <c r="AS13" s="299"/>
    </row>
    <row r="14" spans="2:45">
      <c r="B14" s="296"/>
      <c r="C14" s="299"/>
      <c r="D14" s="296"/>
      <c r="E14" s="298"/>
      <c r="F14" s="299"/>
      <c r="G14" s="300"/>
      <c r="H14" s="303"/>
      <c r="I14" s="303"/>
      <c r="J14" s="322">
        <f t="shared" si="0"/>
        <v>0</v>
      </c>
      <c r="K14" s="305" t="e">
        <f>IF(F14="MXN",1/HLOOKUP(YEAR(G14)+(MONTH(G14)/100),TC!$5:$37,DAY(G14)+2,FALSE),VLOOKUP(F14,Equivalencia!$5:$23,((MAX(Equivalencia!$3:$3)-YEAR(G14))*14)+MONTH(G14)+2,FALSE))</f>
        <v>#N/A</v>
      </c>
      <c r="L14" s="306" t="e">
        <f t="shared" si="4"/>
        <v>#N/A</v>
      </c>
      <c r="M14" s="305">
        <f>IF(G14=0,0,HLOOKUP(YEAR(G14)+(MONTH(G14)/100),TC!$5:$37,DAY(G14)+2,FALSE))</f>
        <v>0</v>
      </c>
      <c r="N14" s="306" t="e">
        <f t="shared" si="5"/>
        <v>#N/A</v>
      </c>
      <c r="O14" s="308">
        <f>IF(G14=0,0,VLOOKUP(YEAR(G14),INPC!$B$4:$P$30,MONTH(G14)+2))</f>
        <v>0</v>
      </c>
      <c r="P14" s="308">
        <f>IF(W14=0,0,IF(OR(C14=$AQ$5,C14=AQ18),VLOOKUP(YEAR(W14),INPC!$B$4:$P$30,MONTH(W14)+1),VLOOKUP(YEAR(W14),INPC!$B$4:$P$30,MONTH(W14)+2)))</f>
        <v>0</v>
      </c>
      <c r="Q14" s="309">
        <f t="shared" si="6"/>
        <v>0</v>
      </c>
      <c r="R14" s="310" t="e">
        <f t="shared" si="7"/>
        <v>#N/A</v>
      </c>
      <c r="S14" s="310">
        <f t="shared" si="8"/>
        <v>0</v>
      </c>
      <c r="T14" s="567" t="str">
        <f t="shared" si="9"/>
        <v>NO</v>
      </c>
      <c r="U14" s="323"/>
      <c r="V14" s="299"/>
      <c r="W14" s="300"/>
      <c r="X14" s="299"/>
      <c r="Y14" s="303"/>
      <c r="Z14" s="305">
        <f>IF(Y14=0,0,IF(X14="MXN",1/HLOOKUP(YEAR(W14)+(MONTH(W14)/100),TC!$5:$37,DAY(W14)+2,FALSE),VLOOKUP(X14,Equivalencia!$1:$23,((MAX(Equivalencia!$3:$3)-YEAR(W14))*14)+MONTH(W14)+2,FALSE)))</f>
        <v>0</v>
      </c>
      <c r="AA14" s="306">
        <f t="shared" si="16"/>
        <v>0</v>
      </c>
      <c r="AB14" s="305">
        <f>+IF(W14=0,0,HLOOKUP(YEAR(W14)+(MONTH(W14)/100),TC!$5:$37,DAY(W14)+2,FALSE))</f>
        <v>0</v>
      </c>
      <c r="AC14" s="306">
        <f t="shared" si="15"/>
        <v>0</v>
      </c>
      <c r="AD14" s="314">
        <f t="shared" si="10"/>
        <v>0</v>
      </c>
      <c r="AE14" s="315">
        <f t="shared" si="11"/>
        <v>0</v>
      </c>
      <c r="AF14" s="316">
        <f t="shared" si="3"/>
        <v>0</v>
      </c>
      <c r="AG14" s="314">
        <v>1</v>
      </c>
      <c r="AH14" s="314">
        <f t="shared" si="12"/>
        <v>0</v>
      </c>
      <c r="AI14" s="314">
        <f t="shared" si="13"/>
        <v>0</v>
      </c>
      <c r="AJ14" s="317"/>
      <c r="AK14" s="315" t="e">
        <f t="shared" si="14"/>
        <v>#N/A</v>
      </c>
      <c r="AL14" s="293"/>
      <c r="AM14" s="561"/>
      <c r="AN14" s="561"/>
      <c r="AO14" s="561"/>
      <c r="AP14" s="294"/>
      <c r="AQ14" s="299"/>
      <c r="AR14" s="299"/>
      <c r="AS14" s="299"/>
    </row>
    <row r="15" spans="2:45">
      <c r="B15" s="296"/>
      <c r="C15" s="299"/>
      <c r="D15" s="296"/>
      <c r="E15" s="298"/>
      <c r="F15" s="299"/>
      <c r="G15" s="300"/>
      <c r="H15" s="303"/>
      <c r="I15" s="303"/>
      <c r="J15" s="322">
        <f t="shared" si="0"/>
        <v>0</v>
      </c>
      <c r="K15" s="305" t="e">
        <f>IF(F15="MXN",1/HLOOKUP(YEAR(G15)+(MONTH(G15)/100),TC!$5:$37,DAY(G15)+2,FALSE),VLOOKUP(F15,Equivalencia!$5:$23,((MAX(Equivalencia!$3:$3)-YEAR(G15))*14)+MONTH(G15)+2,FALSE))</f>
        <v>#N/A</v>
      </c>
      <c r="L15" s="306" t="e">
        <f t="shared" si="4"/>
        <v>#N/A</v>
      </c>
      <c r="M15" s="305">
        <f>IF(G15=0,0,HLOOKUP(YEAR(G15)+(MONTH(G15)/100),TC!$5:$37,DAY(G15)+2,FALSE))</f>
        <v>0</v>
      </c>
      <c r="N15" s="306" t="e">
        <f t="shared" si="5"/>
        <v>#N/A</v>
      </c>
      <c r="O15" s="308">
        <f>IF(G15=0,0,VLOOKUP(YEAR(G15),INPC!$B$4:$P$30,MONTH(G15)+2))</f>
        <v>0</v>
      </c>
      <c r="P15" s="308">
        <f>IF(W15=0,0,IF(OR(C15=$AQ$5,C15=AQ19),VLOOKUP(YEAR(W15),INPC!$B$4:$P$30,MONTH(W15)+1),VLOOKUP(YEAR(W15),INPC!$B$4:$P$30,MONTH(W15)+2)))</f>
        <v>0</v>
      </c>
      <c r="Q15" s="309">
        <f t="shared" si="6"/>
        <v>0</v>
      </c>
      <c r="R15" s="310" t="e">
        <f t="shared" si="7"/>
        <v>#N/A</v>
      </c>
      <c r="S15" s="310">
        <f t="shared" si="8"/>
        <v>0</v>
      </c>
      <c r="T15" s="567" t="str">
        <f t="shared" si="9"/>
        <v>NO</v>
      </c>
      <c r="U15" s="323"/>
      <c r="V15" s="299"/>
      <c r="W15" s="300"/>
      <c r="X15" s="299"/>
      <c r="Y15" s="303"/>
      <c r="Z15" s="305">
        <f>IF(Y15=0,0,IF(X15="MXN",1/HLOOKUP(YEAR(W15)+(MONTH(W15)/100),TC!$5:$37,DAY(W15)+2,FALSE),VLOOKUP(X15,Equivalencia!$1:$23,((MAX(Equivalencia!$3:$3)-YEAR(W15))*14)+MONTH(W15)+2,FALSE)))</f>
        <v>0</v>
      </c>
      <c r="AA15" s="306">
        <f t="shared" si="16"/>
        <v>0</v>
      </c>
      <c r="AB15" s="305">
        <f>+IF(W15=0,0,HLOOKUP(YEAR(W15)+(MONTH(W15)/100),TC!$5:$37,DAY(W15)+2,FALSE))</f>
        <v>0</v>
      </c>
      <c r="AC15" s="306">
        <f t="shared" si="15"/>
        <v>0</v>
      </c>
      <c r="AD15" s="314">
        <f t="shared" si="10"/>
        <v>0</v>
      </c>
      <c r="AE15" s="315">
        <f t="shared" si="11"/>
        <v>0</v>
      </c>
      <c r="AF15" s="316">
        <f t="shared" si="3"/>
        <v>0</v>
      </c>
      <c r="AG15" s="314">
        <v>1</v>
      </c>
      <c r="AH15" s="314">
        <f t="shared" si="12"/>
        <v>0</v>
      </c>
      <c r="AI15" s="314">
        <f t="shared" si="13"/>
        <v>0</v>
      </c>
      <c r="AJ15" s="317"/>
      <c r="AK15" s="315" t="e">
        <f t="shared" si="14"/>
        <v>#N/A</v>
      </c>
      <c r="AM15" s="561"/>
      <c r="AN15" s="561"/>
      <c r="AO15" s="561"/>
      <c r="AQ15" s="299"/>
      <c r="AR15" s="299"/>
      <c r="AS15" s="299"/>
    </row>
    <row r="16" spans="2:45">
      <c r="B16" s="296"/>
      <c r="C16" s="299"/>
      <c r="D16" s="296"/>
      <c r="E16" s="298"/>
      <c r="F16" s="299"/>
      <c r="G16" s="300"/>
      <c r="H16" s="303"/>
      <c r="I16" s="303"/>
      <c r="J16" s="322">
        <f t="shared" si="0"/>
        <v>0</v>
      </c>
      <c r="K16" s="305" t="e">
        <f>IF(F16="MXN",1/HLOOKUP(YEAR(G16)+(MONTH(G16)/100),TC!$5:$37,DAY(G16)+2,FALSE),VLOOKUP(F16,Equivalencia!$5:$23,((MAX(Equivalencia!$3:$3)-YEAR(G16))*14)+MONTH(G16)+2,FALSE))</f>
        <v>#N/A</v>
      </c>
      <c r="L16" s="306" t="e">
        <f t="shared" si="4"/>
        <v>#N/A</v>
      </c>
      <c r="M16" s="305">
        <f>IF(G16=0,0,HLOOKUP(YEAR(G16)+(MONTH(G16)/100),TC!$5:$37,DAY(G16)+2,FALSE))</f>
        <v>0</v>
      </c>
      <c r="N16" s="306" t="e">
        <f t="shared" si="5"/>
        <v>#N/A</v>
      </c>
      <c r="O16" s="308">
        <f>IF(G16=0,0,VLOOKUP(YEAR(G16),INPC!$B$4:$P$30,MONTH(G16)+2))</f>
        <v>0</v>
      </c>
      <c r="P16" s="308">
        <f>IF(W16=0,0,IF(OR(C16=$AQ$5,C16=AQ20),VLOOKUP(YEAR(W16),INPC!$B$4:$P$30,MONTH(W16)+1),VLOOKUP(YEAR(W16),INPC!$B$4:$P$30,MONTH(W16)+2)))</f>
        <v>0</v>
      </c>
      <c r="Q16" s="309">
        <f t="shared" si="6"/>
        <v>0</v>
      </c>
      <c r="R16" s="310" t="e">
        <f t="shared" si="7"/>
        <v>#N/A</v>
      </c>
      <c r="S16" s="310">
        <f t="shared" si="8"/>
        <v>0</v>
      </c>
      <c r="T16" s="567" t="str">
        <f t="shared" si="9"/>
        <v>NO</v>
      </c>
      <c r="U16" s="323"/>
      <c r="V16" s="299"/>
      <c r="W16" s="300"/>
      <c r="X16" s="299"/>
      <c r="Y16" s="303"/>
      <c r="Z16" s="305">
        <f>IF(Y16=0,0,IF(X16="MXN",1/HLOOKUP(YEAR(W16)+(MONTH(W16)/100),TC!$5:$37,DAY(W16)+2,FALSE),VLOOKUP(X16,Equivalencia!$1:$23,((MAX(Equivalencia!$3:$3)-YEAR(W16))*14)+MONTH(W16)+2,FALSE)))</f>
        <v>0</v>
      </c>
      <c r="AA16" s="306">
        <f t="shared" si="16"/>
        <v>0</v>
      </c>
      <c r="AB16" s="305">
        <f>+IF(W16=0,0,HLOOKUP(YEAR(W16)+(MONTH(W16)/100),TC!$5:$37,DAY(W16)+2,FALSE))</f>
        <v>0</v>
      </c>
      <c r="AC16" s="306">
        <f t="shared" si="15"/>
        <v>0</v>
      </c>
      <c r="AD16" s="314">
        <f t="shared" si="10"/>
        <v>0</v>
      </c>
      <c r="AE16" s="315">
        <f t="shared" si="11"/>
        <v>0</v>
      </c>
      <c r="AF16" s="316">
        <f t="shared" si="3"/>
        <v>0</v>
      </c>
      <c r="AG16" s="314">
        <v>1</v>
      </c>
      <c r="AH16" s="314">
        <f t="shared" si="12"/>
        <v>0</v>
      </c>
      <c r="AI16" s="314">
        <f t="shared" si="13"/>
        <v>0</v>
      </c>
      <c r="AJ16" s="317"/>
      <c r="AK16" s="315" t="e">
        <f t="shared" si="14"/>
        <v>#N/A</v>
      </c>
      <c r="AM16" s="561"/>
      <c r="AN16" s="561"/>
      <c r="AO16" s="561"/>
      <c r="AQ16" s="299"/>
      <c r="AR16" s="299"/>
      <c r="AS16" s="299"/>
    </row>
    <row r="17" spans="2:45">
      <c r="B17" s="296"/>
      <c r="C17" s="299"/>
      <c r="D17" s="296"/>
      <c r="E17" s="298"/>
      <c r="F17" s="299"/>
      <c r="G17" s="300"/>
      <c r="H17" s="303"/>
      <c r="I17" s="303"/>
      <c r="J17" s="322">
        <f t="shared" si="0"/>
        <v>0</v>
      </c>
      <c r="K17" s="305" t="e">
        <f>IF(F17="MXN",1/HLOOKUP(YEAR(G17)+(MONTH(G17)/100),TC!$5:$37,DAY(G17)+2,FALSE),VLOOKUP(F17,Equivalencia!$5:$23,((MAX(Equivalencia!$3:$3)-YEAR(G17))*14)+MONTH(G17)+2,FALSE))</f>
        <v>#N/A</v>
      </c>
      <c r="L17" s="306" t="e">
        <f t="shared" si="4"/>
        <v>#N/A</v>
      </c>
      <c r="M17" s="305">
        <f>IF(G17=0,0,HLOOKUP(YEAR(G17)+(MONTH(G17)/100),TC!$5:$37,DAY(G17)+2,FALSE))</f>
        <v>0</v>
      </c>
      <c r="N17" s="306" t="e">
        <f t="shared" si="5"/>
        <v>#N/A</v>
      </c>
      <c r="O17" s="308">
        <f>IF(G17=0,0,VLOOKUP(YEAR(G17),INPC!$B$4:$P$30,MONTH(G17)+2))</f>
        <v>0</v>
      </c>
      <c r="P17" s="308">
        <f>IF(W17=0,0,IF(OR(C17=$AQ$5,C17=AQ21),VLOOKUP(YEAR(W17),INPC!$B$4:$P$30,MONTH(W17)+1),VLOOKUP(YEAR(W17),INPC!$B$4:$P$30,MONTH(W17)+2)))</f>
        <v>0</v>
      </c>
      <c r="Q17" s="309">
        <f t="shared" si="6"/>
        <v>0</v>
      </c>
      <c r="R17" s="310" t="e">
        <f t="shared" si="7"/>
        <v>#N/A</v>
      </c>
      <c r="S17" s="310">
        <f t="shared" si="8"/>
        <v>0</v>
      </c>
      <c r="T17" s="567" t="str">
        <f t="shared" si="9"/>
        <v>NO</v>
      </c>
      <c r="U17" s="323"/>
      <c r="V17" s="299"/>
      <c r="W17" s="300"/>
      <c r="X17" s="299"/>
      <c r="Y17" s="303"/>
      <c r="Z17" s="305">
        <f>IF(Y17=0,0,IF(X17="MXN",1/HLOOKUP(YEAR(W17)+(MONTH(W17)/100),TC!$5:$37,DAY(W17)+2,FALSE),VLOOKUP(X17,Equivalencia!$1:$23,((MAX(Equivalencia!$3:$3)-YEAR(W17))*14)+MONTH(W17)+2,FALSE)))</f>
        <v>0</v>
      </c>
      <c r="AA17" s="306">
        <f t="shared" si="16"/>
        <v>0</v>
      </c>
      <c r="AB17" s="305">
        <f>+IF(W17=0,0,HLOOKUP(YEAR(W17)+(MONTH(W17)/100),TC!$5:$37,DAY(W17)+2,FALSE))</f>
        <v>0</v>
      </c>
      <c r="AC17" s="306">
        <f t="shared" si="15"/>
        <v>0</v>
      </c>
      <c r="AD17" s="314">
        <f t="shared" si="10"/>
        <v>0</v>
      </c>
      <c r="AE17" s="315">
        <f t="shared" si="11"/>
        <v>0</v>
      </c>
      <c r="AF17" s="316">
        <f t="shared" si="3"/>
        <v>0</v>
      </c>
      <c r="AG17" s="314">
        <v>1</v>
      </c>
      <c r="AH17" s="314">
        <f t="shared" si="12"/>
        <v>0</v>
      </c>
      <c r="AI17" s="314">
        <f t="shared" si="13"/>
        <v>0</v>
      </c>
      <c r="AJ17" s="317"/>
      <c r="AK17" s="315" t="e">
        <f t="shared" si="14"/>
        <v>#N/A</v>
      </c>
      <c r="AM17" s="561"/>
      <c r="AN17" s="561"/>
      <c r="AO17" s="561"/>
      <c r="AQ17" s="299"/>
      <c r="AR17" s="299"/>
      <c r="AS17" s="299"/>
    </row>
    <row r="18" spans="2:45">
      <c r="B18" s="296"/>
      <c r="C18" s="299"/>
      <c r="D18" s="296"/>
      <c r="E18" s="298"/>
      <c r="F18" s="299"/>
      <c r="G18" s="300"/>
      <c r="H18" s="303"/>
      <c r="I18" s="303"/>
      <c r="J18" s="322">
        <f t="shared" si="0"/>
        <v>0</v>
      </c>
      <c r="K18" s="305" t="e">
        <f>IF(F18="MXN",1/HLOOKUP(YEAR(G18)+(MONTH(G18)/100),TC!$5:$37,DAY(G18)+2,FALSE),VLOOKUP(F18,Equivalencia!$5:$23,((MAX(Equivalencia!$3:$3)-YEAR(G18))*14)+MONTH(G18)+2,FALSE))</f>
        <v>#N/A</v>
      </c>
      <c r="L18" s="306" t="e">
        <f t="shared" si="4"/>
        <v>#N/A</v>
      </c>
      <c r="M18" s="305">
        <f>IF(G18=0,0,HLOOKUP(YEAR(G18)+(MONTH(G18)/100),TC!$5:$37,DAY(G18)+2,FALSE))</f>
        <v>0</v>
      </c>
      <c r="N18" s="306" t="e">
        <f t="shared" si="5"/>
        <v>#N/A</v>
      </c>
      <c r="O18" s="308">
        <f>IF(G18=0,0,VLOOKUP(YEAR(G18),INPC!$B$4:$P$30,MONTH(G18)+2))</f>
        <v>0</v>
      </c>
      <c r="P18" s="308">
        <f>IF(W18=0,0,IF(OR(C18=$AQ$5,C18=AQ22),VLOOKUP(YEAR(W18),INPC!$B$4:$P$30,MONTH(W18)+1),VLOOKUP(YEAR(W18),INPC!$B$4:$P$30,MONTH(W18)+2)))</f>
        <v>0</v>
      </c>
      <c r="Q18" s="309">
        <f t="shared" si="6"/>
        <v>0</v>
      </c>
      <c r="R18" s="310" t="e">
        <f t="shared" si="7"/>
        <v>#N/A</v>
      </c>
      <c r="S18" s="310">
        <f t="shared" si="8"/>
        <v>0</v>
      </c>
      <c r="T18" s="567" t="str">
        <f t="shared" si="9"/>
        <v>NO</v>
      </c>
      <c r="U18" s="323"/>
      <c r="V18" s="299"/>
      <c r="W18" s="300"/>
      <c r="X18" s="299"/>
      <c r="Y18" s="303"/>
      <c r="Z18" s="305">
        <f>IF(Y18=0,0,IF(X18="MXN",1/HLOOKUP(YEAR(W18)+(MONTH(W18)/100),TC!$5:$37,DAY(W18)+2,FALSE),VLOOKUP(X18,Equivalencia!$1:$23,((MAX(Equivalencia!$3:$3)-YEAR(W18))*14)+MONTH(W18)+2,FALSE)))</f>
        <v>0</v>
      </c>
      <c r="AA18" s="306">
        <f t="shared" si="16"/>
        <v>0</v>
      </c>
      <c r="AB18" s="305">
        <f>+IF(W18=0,0,HLOOKUP(YEAR(W18)+(MONTH(W18)/100),TC!$5:$37,DAY(W18)+2,FALSE))</f>
        <v>0</v>
      </c>
      <c r="AC18" s="306">
        <f t="shared" si="15"/>
        <v>0</v>
      </c>
      <c r="AD18" s="314">
        <f t="shared" si="10"/>
        <v>0</v>
      </c>
      <c r="AE18" s="315">
        <f t="shared" si="11"/>
        <v>0</v>
      </c>
      <c r="AF18" s="316">
        <f t="shared" si="3"/>
        <v>0</v>
      </c>
      <c r="AG18" s="314">
        <v>1</v>
      </c>
      <c r="AH18" s="314">
        <f t="shared" si="12"/>
        <v>0</v>
      </c>
      <c r="AI18" s="314">
        <f t="shared" si="13"/>
        <v>0</v>
      </c>
      <c r="AJ18" s="317"/>
      <c r="AK18" s="315" t="e">
        <f t="shared" si="14"/>
        <v>#N/A</v>
      </c>
      <c r="AM18" s="561"/>
      <c r="AN18" s="561"/>
      <c r="AO18" s="561"/>
      <c r="AQ18" s="299"/>
      <c r="AR18" s="299"/>
      <c r="AS18" s="299"/>
    </row>
    <row r="19" spans="2:45">
      <c r="B19" s="296"/>
      <c r="C19" s="299"/>
      <c r="D19" s="296"/>
      <c r="E19" s="298"/>
      <c r="F19" s="299"/>
      <c r="G19" s="300"/>
      <c r="H19" s="303"/>
      <c r="I19" s="303"/>
      <c r="J19" s="322">
        <f t="shared" si="0"/>
        <v>0</v>
      </c>
      <c r="K19" s="305" t="e">
        <f>IF(F19="MXN",1/HLOOKUP(YEAR(G19)+(MONTH(G19)/100),TC!$5:$37,DAY(G19)+2,FALSE),VLOOKUP(F19,Equivalencia!$5:$23,((MAX(Equivalencia!$3:$3)-YEAR(G19))*14)+MONTH(G19)+2,FALSE))</f>
        <v>#N/A</v>
      </c>
      <c r="L19" s="306" t="e">
        <f t="shared" si="4"/>
        <v>#N/A</v>
      </c>
      <c r="M19" s="305">
        <f>IF(G19=0,0,HLOOKUP(YEAR(G19)+(MONTH(G19)/100),TC!$5:$37,DAY(G19)+2,FALSE))</f>
        <v>0</v>
      </c>
      <c r="N19" s="306" t="e">
        <f t="shared" si="5"/>
        <v>#N/A</v>
      </c>
      <c r="O19" s="308">
        <f>IF(G19=0,0,VLOOKUP(YEAR(G19),INPC!$B$4:$P$30,MONTH(G19)+2))</f>
        <v>0</v>
      </c>
      <c r="P19" s="308">
        <f>IF(W19=0,0,IF(OR(C19=$AQ$5,C19=AQ23),VLOOKUP(YEAR(W19),INPC!$B$4:$P$30,MONTH(W19)+1),VLOOKUP(YEAR(W19),INPC!$B$4:$P$30,MONTH(W19)+2)))</f>
        <v>0</v>
      </c>
      <c r="Q19" s="309">
        <f t="shared" si="6"/>
        <v>0</v>
      </c>
      <c r="R19" s="310" t="e">
        <f t="shared" si="7"/>
        <v>#N/A</v>
      </c>
      <c r="S19" s="310">
        <f t="shared" si="8"/>
        <v>0</v>
      </c>
      <c r="T19" s="567" t="str">
        <f t="shared" si="9"/>
        <v>NO</v>
      </c>
      <c r="U19" s="323"/>
      <c r="V19" s="299"/>
      <c r="W19" s="300"/>
      <c r="X19" s="299"/>
      <c r="Y19" s="303"/>
      <c r="Z19" s="305">
        <f>IF(Y19=0,0,IF(X19="MXN",1/HLOOKUP(YEAR(W19)+(MONTH(W19)/100),TC!$5:$37,DAY(W19)+2,FALSE),VLOOKUP(X19,Equivalencia!$1:$23,((MAX(Equivalencia!$3:$3)-YEAR(W19))*14)+MONTH(W19)+2,FALSE)))</f>
        <v>0</v>
      </c>
      <c r="AA19" s="306">
        <f t="shared" si="16"/>
        <v>0</v>
      </c>
      <c r="AB19" s="305">
        <f>+IF(W19=0,0,HLOOKUP(YEAR(W19)+(MONTH(W19)/100),TC!$5:$37,DAY(W19)+2,FALSE))</f>
        <v>0</v>
      </c>
      <c r="AC19" s="306">
        <f t="shared" si="15"/>
        <v>0</v>
      </c>
      <c r="AD19" s="314">
        <f t="shared" si="10"/>
        <v>0</v>
      </c>
      <c r="AE19" s="315">
        <f t="shared" si="11"/>
        <v>0</v>
      </c>
      <c r="AF19" s="316">
        <f t="shared" si="3"/>
        <v>0</v>
      </c>
      <c r="AG19" s="314">
        <v>1</v>
      </c>
      <c r="AH19" s="314">
        <f t="shared" si="12"/>
        <v>0</v>
      </c>
      <c r="AI19" s="314">
        <f t="shared" si="13"/>
        <v>0</v>
      </c>
      <c r="AJ19" s="317"/>
      <c r="AK19" s="315" t="e">
        <f t="shared" si="14"/>
        <v>#N/A</v>
      </c>
      <c r="AM19" s="561"/>
      <c r="AN19" s="561"/>
      <c r="AO19" s="561"/>
      <c r="AQ19" s="299"/>
      <c r="AR19" s="299"/>
      <c r="AS19" s="299"/>
    </row>
    <row r="20" spans="2:45">
      <c r="B20" s="296"/>
      <c r="C20" s="299"/>
      <c r="D20" s="296"/>
      <c r="E20" s="298"/>
      <c r="F20" s="299"/>
      <c r="G20" s="300"/>
      <c r="H20" s="303"/>
      <c r="I20" s="303"/>
      <c r="J20" s="322">
        <f t="shared" si="0"/>
        <v>0</v>
      </c>
      <c r="K20" s="305" t="e">
        <f>IF(F20="MXN",1/HLOOKUP(YEAR(G20)+(MONTH(G20)/100),TC!$5:$37,DAY(G20)+2,FALSE),VLOOKUP(F20,Equivalencia!$5:$23,((MAX(Equivalencia!$3:$3)-YEAR(G20))*14)+MONTH(G20)+2,FALSE))</f>
        <v>#N/A</v>
      </c>
      <c r="L20" s="306" t="e">
        <f t="shared" si="4"/>
        <v>#N/A</v>
      </c>
      <c r="M20" s="305">
        <f>IF(G20=0,0,HLOOKUP(YEAR(G20)+(MONTH(G20)/100),TC!$5:$37,DAY(G20)+2,FALSE))</f>
        <v>0</v>
      </c>
      <c r="N20" s="306" t="e">
        <f t="shared" si="5"/>
        <v>#N/A</v>
      </c>
      <c r="O20" s="308">
        <f>IF(G20=0,0,VLOOKUP(YEAR(G20),INPC!$B$4:$P$30,MONTH(G20)+2))</f>
        <v>0</v>
      </c>
      <c r="P20" s="308">
        <f>IF(W20=0,0,IF(OR(C20=$AQ$5,C20=AQ24),VLOOKUP(YEAR(W20),INPC!$B$4:$P$30,MONTH(W20)+1),VLOOKUP(YEAR(W20),INPC!$B$4:$P$30,MONTH(W20)+2)))</f>
        <v>0</v>
      </c>
      <c r="Q20" s="309">
        <f t="shared" si="6"/>
        <v>0</v>
      </c>
      <c r="R20" s="310" t="e">
        <f t="shared" si="7"/>
        <v>#N/A</v>
      </c>
      <c r="S20" s="310">
        <f t="shared" si="8"/>
        <v>0</v>
      </c>
      <c r="T20" s="567" t="str">
        <f t="shared" si="9"/>
        <v>NO</v>
      </c>
      <c r="U20" s="323"/>
      <c r="V20" s="299"/>
      <c r="W20" s="300"/>
      <c r="X20" s="299"/>
      <c r="Y20" s="303"/>
      <c r="Z20" s="305">
        <f>IF(Y20=0,0,IF(X20="MXN",1/HLOOKUP(YEAR(W20)+(MONTH(W20)/100),TC!$5:$37,DAY(W20)+2,FALSE),VLOOKUP(X20,Equivalencia!$1:$23,((MAX(Equivalencia!$3:$3)-YEAR(W20))*14)+MONTH(W20)+2,FALSE)))</f>
        <v>0</v>
      </c>
      <c r="AA20" s="306">
        <f t="shared" si="16"/>
        <v>0</v>
      </c>
      <c r="AB20" s="305">
        <f>+IF(W20=0,0,HLOOKUP(YEAR(W20)+(MONTH(W20)/100),TC!$5:$37,DAY(W20)+2,FALSE))</f>
        <v>0</v>
      </c>
      <c r="AC20" s="306">
        <f t="shared" si="15"/>
        <v>0</v>
      </c>
      <c r="AD20" s="314">
        <f t="shared" si="10"/>
        <v>0</v>
      </c>
      <c r="AE20" s="315">
        <f t="shared" si="11"/>
        <v>0</v>
      </c>
      <c r="AF20" s="316">
        <f t="shared" si="3"/>
        <v>0</v>
      </c>
      <c r="AG20" s="314">
        <v>1</v>
      </c>
      <c r="AH20" s="314">
        <f t="shared" si="12"/>
        <v>0</v>
      </c>
      <c r="AI20" s="314">
        <f t="shared" si="13"/>
        <v>0</v>
      </c>
      <c r="AJ20" s="317"/>
      <c r="AK20" s="315" t="e">
        <f t="shared" si="14"/>
        <v>#N/A</v>
      </c>
      <c r="AM20" s="561"/>
      <c r="AN20" s="561"/>
      <c r="AO20" s="561"/>
    </row>
    <row r="21" spans="2:45">
      <c r="B21" s="296"/>
      <c r="C21" s="299"/>
      <c r="D21" s="296"/>
      <c r="E21" s="298"/>
      <c r="F21" s="299"/>
      <c r="G21" s="300"/>
      <c r="H21" s="303"/>
      <c r="I21" s="303"/>
      <c r="J21" s="322">
        <f t="shared" si="0"/>
        <v>0</v>
      </c>
      <c r="K21" s="305" t="e">
        <f>IF(F21="MXN",1/HLOOKUP(YEAR(G21)+(MONTH(G21)/100),TC!$5:$37,DAY(G21)+2,FALSE),VLOOKUP(F21,Equivalencia!$5:$23,((MAX(Equivalencia!$3:$3)-YEAR(G21))*14)+MONTH(G21)+2,FALSE))</f>
        <v>#N/A</v>
      </c>
      <c r="L21" s="306" t="e">
        <f t="shared" si="4"/>
        <v>#N/A</v>
      </c>
      <c r="M21" s="305">
        <f>IF(G21=0,0,HLOOKUP(YEAR(G21)+(MONTH(G21)/100),TC!$5:$37,DAY(G21)+2,FALSE))</f>
        <v>0</v>
      </c>
      <c r="N21" s="306" t="e">
        <f t="shared" si="5"/>
        <v>#N/A</v>
      </c>
      <c r="O21" s="308">
        <f>IF(G21=0,0,VLOOKUP(YEAR(G21),INPC!$B$4:$P$30,MONTH(G21)+2))</f>
        <v>0</v>
      </c>
      <c r="P21" s="308">
        <f>IF(W21=0,0,IF(OR(C21=$AQ$5,C21=AQ25),VLOOKUP(YEAR(W21),INPC!$B$4:$P$30,MONTH(W21)+1),VLOOKUP(YEAR(W21),INPC!$B$4:$P$30,MONTH(W21)+2)))</f>
        <v>0</v>
      </c>
      <c r="Q21" s="309">
        <f t="shared" si="6"/>
        <v>0</v>
      </c>
      <c r="R21" s="310" t="e">
        <f t="shared" si="7"/>
        <v>#N/A</v>
      </c>
      <c r="S21" s="310">
        <f t="shared" si="8"/>
        <v>0</v>
      </c>
      <c r="T21" s="567" t="str">
        <f t="shared" si="9"/>
        <v>NO</v>
      </c>
      <c r="U21" s="323"/>
      <c r="V21" s="299"/>
      <c r="W21" s="300"/>
      <c r="X21" s="299"/>
      <c r="Y21" s="303"/>
      <c r="Z21" s="305">
        <f>IF(Y21=0,0,IF(X21="MXN",1/HLOOKUP(YEAR(W21)+(MONTH(W21)/100),TC!$5:$37,DAY(W21)+2,FALSE),VLOOKUP(X21,Equivalencia!$1:$23,((MAX(Equivalencia!$3:$3)-YEAR(W21))*14)+MONTH(W21)+2,FALSE)))</f>
        <v>0</v>
      </c>
      <c r="AA21" s="306">
        <f t="shared" si="16"/>
        <v>0</v>
      </c>
      <c r="AB21" s="305">
        <f>+IF(W21=0,0,HLOOKUP(YEAR(W21)+(MONTH(W21)/100),TC!$5:$37,DAY(W21)+2,FALSE))</f>
        <v>0</v>
      </c>
      <c r="AC21" s="306">
        <f t="shared" si="15"/>
        <v>0</v>
      </c>
      <c r="AD21" s="314">
        <f t="shared" si="10"/>
        <v>0</v>
      </c>
      <c r="AE21" s="315">
        <f t="shared" si="11"/>
        <v>0</v>
      </c>
      <c r="AF21" s="316">
        <f t="shared" si="3"/>
        <v>0</v>
      </c>
      <c r="AG21" s="314">
        <v>1</v>
      </c>
      <c r="AH21" s="314">
        <f t="shared" si="12"/>
        <v>0</v>
      </c>
      <c r="AI21" s="314">
        <f t="shared" si="13"/>
        <v>0</v>
      </c>
      <c r="AJ21" s="317"/>
      <c r="AK21" s="315" t="e">
        <f t="shared" si="14"/>
        <v>#N/A</v>
      </c>
      <c r="AM21" s="561"/>
      <c r="AN21" s="561"/>
      <c r="AO21" s="561"/>
    </row>
    <row r="22" spans="2:45">
      <c r="B22" s="296"/>
      <c r="C22" s="299"/>
      <c r="D22" s="296"/>
      <c r="E22" s="298"/>
      <c r="F22" s="299"/>
      <c r="G22" s="300"/>
      <c r="H22" s="303"/>
      <c r="I22" s="303"/>
      <c r="J22" s="322">
        <f t="shared" si="0"/>
        <v>0</v>
      </c>
      <c r="K22" s="305" t="e">
        <f>IF(F22="MXN",1/HLOOKUP(YEAR(G22)+(MONTH(G22)/100),TC!$5:$37,DAY(G22)+2,FALSE),VLOOKUP(F22,Equivalencia!$5:$23,((MAX(Equivalencia!$3:$3)-YEAR(G22))*14)+MONTH(G22)+2,FALSE))</f>
        <v>#N/A</v>
      </c>
      <c r="L22" s="306" t="e">
        <f t="shared" si="4"/>
        <v>#N/A</v>
      </c>
      <c r="M22" s="305">
        <f>IF(G22=0,0,HLOOKUP(YEAR(G22)+(MONTH(G22)/100),TC!$5:$37,DAY(G22)+2,FALSE))</f>
        <v>0</v>
      </c>
      <c r="N22" s="306" t="e">
        <f t="shared" si="5"/>
        <v>#N/A</v>
      </c>
      <c r="O22" s="308">
        <f>IF(G22=0,0,VLOOKUP(YEAR(G22),INPC!$B$4:$P$30,MONTH(G22)+2))</f>
        <v>0</v>
      </c>
      <c r="P22" s="308">
        <f>IF(W22=0,0,IF(OR(C22=$AQ$5,C22=AQ26),VLOOKUP(YEAR(W22),INPC!$B$4:$P$30,MONTH(W22)+1),VLOOKUP(YEAR(W22),INPC!$B$4:$P$30,MONTH(W22)+2)))</f>
        <v>0</v>
      </c>
      <c r="Q22" s="309">
        <f t="shared" si="6"/>
        <v>0</v>
      </c>
      <c r="R22" s="310" t="e">
        <f t="shared" si="7"/>
        <v>#N/A</v>
      </c>
      <c r="S22" s="310">
        <f t="shared" si="8"/>
        <v>0</v>
      </c>
      <c r="T22" s="567" t="str">
        <f t="shared" si="9"/>
        <v>NO</v>
      </c>
      <c r="U22" s="323"/>
      <c r="V22" s="299"/>
      <c r="W22" s="300"/>
      <c r="X22" s="299"/>
      <c r="Y22" s="303"/>
      <c r="Z22" s="305">
        <f>IF(Y22=0,0,IF(X22="MXN",1/HLOOKUP(YEAR(W22)+(MONTH(W22)/100),TC!$5:$37,DAY(W22)+2,FALSE),VLOOKUP(X22,Equivalencia!$1:$23,((MAX(Equivalencia!$3:$3)-YEAR(W22))*14)+MONTH(W22)+2,FALSE)))</f>
        <v>0</v>
      </c>
      <c r="AA22" s="306">
        <f t="shared" si="16"/>
        <v>0</v>
      </c>
      <c r="AB22" s="305">
        <f>+IF(W22=0,0,HLOOKUP(YEAR(W22)+(MONTH(W22)/100),TC!$5:$37,DAY(W22)+2,FALSE))</f>
        <v>0</v>
      </c>
      <c r="AC22" s="306">
        <f t="shared" si="15"/>
        <v>0</v>
      </c>
      <c r="AD22" s="314">
        <f t="shared" si="10"/>
        <v>0</v>
      </c>
      <c r="AE22" s="315">
        <f t="shared" si="11"/>
        <v>0</v>
      </c>
      <c r="AF22" s="316">
        <f t="shared" si="3"/>
        <v>0</v>
      </c>
      <c r="AG22" s="314">
        <v>1</v>
      </c>
      <c r="AH22" s="314">
        <f t="shared" si="12"/>
        <v>0</v>
      </c>
      <c r="AI22" s="314">
        <f t="shared" si="13"/>
        <v>0</v>
      </c>
      <c r="AJ22" s="317"/>
      <c r="AK22" s="315" t="e">
        <f t="shared" si="14"/>
        <v>#N/A</v>
      </c>
      <c r="AM22" s="561"/>
      <c r="AN22" s="561"/>
      <c r="AO22" s="561"/>
    </row>
    <row r="23" spans="2:45">
      <c r="B23" s="296"/>
      <c r="C23" s="299"/>
      <c r="D23" s="296"/>
      <c r="E23" s="298"/>
      <c r="F23" s="299"/>
      <c r="G23" s="300"/>
      <c r="H23" s="303"/>
      <c r="I23" s="303"/>
      <c r="J23" s="322">
        <f t="shared" si="0"/>
        <v>0</v>
      </c>
      <c r="K23" s="305" t="e">
        <f>IF(F23="MXN",1/HLOOKUP(YEAR(G23)+(MONTH(G23)/100),TC!$5:$37,DAY(G23)+2,FALSE),VLOOKUP(F23,Equivalencia!$5:$23,((MAX(Equivalencia!$3:$3)-YEAR(G23))*14)+MONTH(G23)+2,FALSE))</f>
        <v>#N/A</v>
      </c>
      <c r="L23" s="306" t="e">
        <f t="shared" si="4"/>
        <v>#N/A</v>
      </c>
      <c r="M23" s="305">
        <f>IF(G23=0,0,HLOOKUP(YEAR(G23)+(MONTH(G23)/100),TC!$5:$37,DAY(G23)+2,FALSE))</f>
        <v>0</v>
      </c>
      <c r="N23" s="306" t="e">
        <f t="shared" si="5"/>
        <v>#N/A</v>
      </c>
      <c r="O23" s="308">
        <f>IF(G23=0,0,VLOOKUP(YEAR(G23),INPC!$B$4:$P$30,MONTH(G23)+2))</f>
        <v>0</v>
      </c>
      <c r="P23" s="308">
        <f>IF(W23=0,0,IF(OR(C23=$AQ$5,C23=AQ27),VLOOKUP(YEAR(W23),INPC!$B$4:$P$30,MONTH(W23)+1),VLOOKUP(YEAR(W23),INPC!$B$4:$P$30,MONTH(W23)+2)))</f>
        <v>0</v>
      </c>
      <c r="Q23" s="309">
        <f t="shared" si="6"/>
        <v>0</v>
      </c>
      <c r="R23" s="310" t="e">
        <f t="shared" si="7"/>
        <v>#N/A</v>
      </c>
      <c r="S23" s="310">
        <f t="shared" si="8"/>
        <v>0</v>
      </c>
      <c r="T23" s="567" t="str">
        <f t="shared" si="9"/>
        <v>NO</v>
      </c>
      <c r="U23" s="323"/>
      <c r="V23" s="299"/>
      <c r="W23" s="300"/>
      <c r="X23" s="299"/>
      <c r="Y23" s="303"/>
      <c r="Z23" s="305">
        <f>IF(Y23=0,0,IF(X23="MXN",1/HLOOKUP(YEAR(W23)+(MONTH(W23)/100),TC!$5:$37,DAY(W23)+2,FALSE),VLOOKUP(X23,Equivalencia!$1:$23,((MAX(Equivalencia!$3:$3)-YEAR(W23))*14)+MONTH(W23)+2,FALSE)))</f>
        <v>0</v>
      </c>
      <c r="AA23" s="306">
        <f t="shared" si="16"/>
        <v>0</v>
      </c>
      <c r="AB23" s="305">
        <f>+IF(W23=0,0,HLOOKUP(YEAR(W23)+(MONTH(W23)/100),TC!$5:$37,DAY(W23)+2,FALSE))</f>
        <v>0</v>
      </c>
      <c r="AC23" s="306">
        <f t="shared" si="15"/>
        <v>0</v>
      </c>
      <c r="AD23" s="314">
        <f t="shared" si="10"/>
        <v>0</v>
      </c>
      <c r="AE23" s="315">
        <f t="shared" si="11"/>
        <v>0</v>
      </c>
      <c r="AF23" s="316">
        <f t="shared" si="3"/>
        <v>0</v>
      </c>
      <c r="AG23" s="314">
        <v>1</v>
      </c>
      <c r="AH23" s="314">
        <f t="shared" si="12"/>
        <v>0</v>
      </c>
      <c r="AI23" s="314">
        <f t="shared" si="13"/>
        <v>0</v>
      </c>
      <c r="AJ23" s="317"/>
      <c r="AK23" s="315" t="e">
        <f t="shared" si="14"/>
        <v>#N/A</v>
      </c>
      <c r="AM23" s="561"/>
      <c r="AN23" s="561"/>
      <c r="AO23" s="561"/>
    </row>
    <row r="24" spans="2:45">
      <c r="B24" s="296"/>
      <c r="C24" s="299"/>
      <c r="D24" s="296"/>
      <c r="E24" s="298"/>
      <c r="F24" s="299"/>
      <c r="G24" s="300"/>
      <c r="H24" s="303"/>
      <c r="I24" s="303"/>
      <c r="J24" s="322">
        <f t="shared" si="0"/>
        <v>0</v>
      </c>
      <c r="K24" s="305" t="e">
        <f>IF(F24="MXN",1/HLOOKUP(YEAR(G24)+(MONTH(G24)/100),TC!$5:$37,DAY(G24)+2,FALSE),VLOOKUP(F24,Equivalencia!$5:$23,((MAX(Equivalencia!$3:$3)-YEAR(G24))*14)+MONTH(G24)+2,FALSE))</f>
        <v>#N/A</v>
      </c>
      <c r="L24" s="306" t="e">
        <f t="shared" si="4"/>
        <v>#N/A</v>
      </c>
      <c r="M24" s="305">
        <f>IF(G24=0,0,HLOOKUP(YEAR(G24)+(MONTH(G24)/100),TC!$5:$37,DAY(G24)+2,FALSE))</f>
        <v>0</v>
      </c>
      <c r="N24" s="306" t="e">
        <f t="shared" si="5"/>
        <v>#N/A</v>
      </c>
      <c r="O24" s="308">
        <f>IF(G24=0,0,VLOOKUP(YEAR(G24),INPC!$B$4:$P$30,MONTH(G24)+2))</f>
        <v>0</v>
      </c>
      <c r="P24" s="308">
        <f>IF(W24=0,0,IF(OR(C24=$AQ$5,C24=AQ28),VLOOKUP(YEAR(W24),INPC!$B$4:$P$30,MONTH(W24)+1),VLOOKUP(YEAR(W24),INPC!$B$4:$P$30,MONTH(W24)+2)))</f>
        <v>0</v>
      </c>
      <c r="Q24" s="309">
        <f t="shared" si="6"/>
        <v>0</v>
      </c>
      <c r="R24" s="310" t="e">
        <f t="shared" si="7"/>
        <v>#N/A</v>
      </c>
      <c r="S24" s="310">
        <f t="shared" si="8"/>
        <v>0</v>
      </c>
      <c r="T24" s="567" t="str">
        <f t="shared" si="9"/>
        <v>NO</v>
      </c>
      <c r="U24" s="323"/>
      <c r="V24" s="299"/>
      <c r="W24" s="300"/>
      <c r="X24" s="299"/>
      <c r="Y24" s="303"/>
      <c r="Z24" s="305">
        <f>IF(Y24=0,0,IF(X24="MXN",1/HLOOKUP(YEAR(W24)+(MONTH(W24)/100),TC!$5:$37,DAY(W24)+2,FALSE),VLOOKUP(X24,Equivalencia!$1:$23,((MAX(Equivalencia!$3:$3)-YEAR(W24))*14)+MONTH(W24)+2,FALSE)))</f>
        <v>0</v>
      </c>
      <c r="AA24" s="306">
        <f t="shared" si="16"/>
        <v>0</v>
      </c>
      <c r="AB24" s="305">
        <f>+IF(W24=0,0,HLOOKUP(YEAR(W24)+(MONTH(W24)/100),TC!$5:$37,DAY(W24)+2,FALSE))</f>
        <v>0</v>
      </c>
      <c r="AC24" s="306">
        <f t="shared" si="15"/>
        <v>0</v>
      </c>
      <c r="AD24" s="314">
        <f t="shared" si="10"/>
        <v>0</v>
      </c>
      <c r="AE24" s="315">
        <f t="shared" si="11"/>
        <v>0</v>
      </c>
      <c r="AF24" s="316">
        <f t="shared" si="3"/>
        <v>0</v>
      </c>
      <c r="AG24" s="314">
        <v>1</v>
      </c>
      <c r="AH24" s="314">
        <f t="shared" si="12"/>
        <v>0</v>
      </c>
      <c r="AI24" s="314">
        <f t="shared" si="13"/>
        <v>0</v>
      </c>
      <c r="AJ24" s="317"/>
      <c r="AK24" s="315" t="e">
        <f t="shared" si="14"/>
        <v>#N/A</v>
      </c>
      <c r="AM24" s="561"/>
      <c r="AN24" s="561"/>
      <c r="AO24" s="561"/>
    </row>
    <row r="25" spans="2:45">
      <c r="B25" s="296"/>
      <c r="C25" s="299"/>
      <c r="D25" s="296"/>
      <c r="E25" s="298"/>
      <c r="F25" s="299"/>
      <c r="G25" s="300"/>
      <c r="H25" s="303"/>
      <c r="I25" s="303"/>
      <c r="J25" s="322">
        <f t="shared" si="0"/>
        <v>0</v>
      </c>
      <c r="K25" s="305" t="e">
        <f>IF(F25="MXN",1/HLOOKUP(YEAR(G25)+(MONTH(G25)/100),TC!$5:$37,DAY(G25)+2,FALSE),VLOOKUP(F25,Equivalencia!$5:$23,((MAX(Equivalencia!$3:$3)-YEAR(G25))*14)+MONTH(G25)+2,FALSE))</f>
        <v>#N/A</v>
      </c>
      <c r="L25" s="306" t="e">
        <f t="shared" si="4"/>
        <v>#N/A</v>
      </c>
      <c r="M25" s="305">
        <f>IF(G25=0,0,HLOOKUP(YEAR(G25)+(MONTH(G25)/100),TC!$5:$37,DAY(G25)+2,FALSE))</f>
        <v>0</v>
      </c>
      <c r="N25" s="306" t="e">
        <f t="shared" si="5"/>
        <v>#N/A</v>
      </c>
      <c r="O25" s="308">
        <f>IF(G25=0,0,VLOOKUP(YEAR(G25),INPC!$B$4:$P$30,MONTH(G25)+2))</f>
        <v>0</v>
      </c>
      <c r="P25" s="308">
        <f>IF(W25=0,0,IF(OR(C25=$AQ$5,C25=AQ29),VLOOKUP(YEAR(W25),INPC!$B$4:$P$30,MONTH(W25)+1),VLOOKUP(YEAR(W25),INPC!$B$4:$P$30,MONTH(W25)+2)))</f>
        <v>0</v>
      </c>
      <c r="Q25" s="309">
        <f t="shared" si="6"/>
        <v>0</v>
      </c>
      <c r="R25" s="310" t="e">
        <f t="shared" si="7"/>
        <v>#N/A</v>
      </c>
      <c r="S25" s="310">
        <f t="shared" si="8"/>
        <v>0</v>
      </c>
      <c r="T25" s="567" t="str">
        <f t="shared" si="9"/>
        <v>NO</v>
      </c>
      <c r="U25" s="323"/>
      <c r="V25" s="299"/>
      <c r="W25" s="300"/>
      <c r="X25" s="299"/>
      <c r="Y25" s="303"/>
      <c r="Z25" s="305">
        <f>IF(Y25=0,0,IF(X25="MXN",1/HLOOKUP(YEAR(W25)+(MONTH(W25)/100),TC!$5:$37,DAY(W25)+2,FALSE),VLOOKUP(X25,Equivalencia!$1:$23,((MAX(Equivalencia!$3:$3)-YEAR(W25))*14)+MONTH(W25)+2,FALSE)))</f>
        <v>0</v>
      </c>
      <c r="AA25" s="306">
        <f t="shared" si="16"/>
        <v>0</v>
      </c>
      <c r="AB25" s="305">
        <f>+IF(W25=0,0,HLOOKUP(YEAR(W25)+(MONTH(W25)/100),TC!$5:$37,DAY(W25)+2,FALSE))</f>
        <v>0</v>
      </c>
      <c r="AC25" s="306">
        <f t="shared" si="15"/>
        <v>0</v>
      </c>
      <c r="AD25" s="314">
        <f t="shared" si="10"/>
        <v>0</v>
      </c>
      <c r="AE25" s="315">
        <f t="shared" si="11"/>
        <v>0</v>
      </c>
      <c r="AF25" s="316">
        <f t="shared" si="3"/>
        <v>0</v>
      </c>
      <c r="AG25" s="314">
        <v>1</v>
      </c>
      <c r="AH25" s="314">
        <f t="shared" si="12"/>
        <v>0</v>
      </c>
      <c r="AI25" s="314">
        <f t="shared" si="13"/>
        <v>0</v>
      </c>
      <c r="AJ25" s="317"/>
      <c r="AK25" s="315" t="e">
        <f t="shared" si="14"/>
        <v>#N/A</v>
      </c>
      <c r="AM25" s="561"/>
      <c r="AN25" s="561"/>
      <c r="AO25" s="561"/>
    </row>
    <row r="26" spans="2:45">
      <c r="B26" s="296"/>
      <c r="C26" s="299"/>
      <c r="D26" s="296"/>
      <c r="E26" s="298"/>
      <c r="F26" s="299"/>
      <c r="G26" s="300"/>
      <c r="H26" s="303"/>
      <c r="I26" s="303"/>
      <c r="J26" s="322">
        <f t="shared" si="0"/>
        <v>0</v>
      </c>
      <c r="K26" s="305" t="e">
        <f>IF(F26="MXN",1/HLOOKUP(YEAR(G26)+(MONTH(G26)/100),TC!$5:$37,DAY(G26)+2,FALSE),VLOOKUP(F26,Equivalencia!$5:$23,((MAX(Equivalencia!$3:$3)-YEAR(G26))*14)+MONTH(G26)+2,FALSE))</f>
        <v>#N/A</v>
      </c>
      <c r="L26" s="306" t="e">
        <f t="shared" si="4"/>
        <v>#N/A</v>
      </c>
      <c r="M26" s="305">
        <f>IF(G26=0,0,HLOOKUP(YEAR(G26)+(MONTH(G26)/100),TC!$5:$37,DAY(G26)+2,FALSE))</f>
        <v>0</v>
      </c>
      <c r="N26" s="306" t="e">
        <f t="shared" si="5"/>
        <v>#N/A</v>
      </c>
      <c r="O26" s="308">
        <f>IF(G26=0,0,VLOOKUP(YEAR(G26),INPC!$B$4:$P$30,MONTH(G26)+2))</f>
        <v>0</v>
      </c>
      <c r="P26" s="308">
        <f>IF(W26=0,0,IF(OR(C26=$AQ$5,C26=AQ30),VLOOKUP(YEAR(W26),INPC!$B$4:$P$30,MONTH(W26)+1),VLOOKUP(YEAR(W26),INPC!$B$4:$P$30,MONTH(W26)+2)))</f>
        <v>0</v>
      </c>
      <c r="Q26" s="309">
        <f t="shared" si="6"/>
        <v>0</v>
      </c>
      <c r="R26" s="310" t="e">
        <f t="shared" si="7"/>
        <v>#N/A</v>
      </c>
      <c r="S26" s="310">
        <f t="shared" si="8"/>
        <v>0</v>
      </c>
      <c r="T26" s="567" t="str">
        <f t="shared" si="9"/>
        <v>NO</v>
      </c>
      <c r="U26" s="323"/>
      <c r="V26" s="299"/>
      <c r="W26" s="300"/>
      <c r="X26" s="299"/>
      <c r="Y26" s="303"/>
      <c r="Z26" s="305">
        <f>IF(Y26=0,0,IF(X26="MXN",1/HLOOKUP(YEAR(W26)+(MONTH(W26)/100),TC!$5:$37,DAY(W26)+2,FALSE),VLOOKUP(X26,Equivalencia!$1:$23,((MAX(Equivalencia!$3:$3)-YEAR(W26))*14)+MONTH(W26)+2,FALSE)))</f>
        <v>0</v>
      </c>
      <c r="AA26" s="306">
        <f t="shared" si="16"/>
        <v>0</v>
      </c>
      <c r="AB26" s="305">
        <f>+IF(W26=0,0,HLOOKUP(YEAR(W26)+(MONTH(W26)/100),TC!$5:$37,DAY(W26)+2,FALSE))</f>
        <v>0</v>
      </c>
      <c r="AC26" s="306">
        <f t="shared" si="15"/>
        <v>0</v>
      </c>
      <c r="AD26" s="314">
        <f t="shared" si="10"/>
        <v>0</v>
      </c>
      <c r="AE26" s="315">
        <f t="shared" si="11"/>
        <v>0</v>
      </c>
      <c r="AF26" s="316">
        <f t="shared" si="3"/>
        <v>0</v>
      </c>
      <c r="AG26" s="314">
        <v>1</v>
      </c>
      <c r="AH26" s="314">
        <f t="shared" si="12"/>
        <v>0</v>
      </c>
      <c r="AI26" s="314">
        <f t="shared" si="13"/>
        <v>0</v>
      </c>
      <c r="AJ26" s="317"/>
      <c r="AK26" s="315" t="e">
        <f t="shared" si="14"/>
        <v>#N/A</v>
      </c>
      <c r="AM26" s="561"/>
      <c r="AN26" s="561"/>
      <c r="AO26" s="561"/>
    </row>
    <row r="27" spans="2:45">
      <c r="B27" s="296"/>
      <c r="C27" s="299"/>
      <c r="D27" s="296"/>
      <c r="E27" s="298"/>
      <c r="F27" s="299"/>
      <c r="G27" s="300"/>
      <c r="H27" s="303"/>
      <c r="I27" s="303"/>
      <c r="J27" s="322">
        <f t="shared" si="0"/>
        <v>0</v>
      </c>
      <c r="K27" s="305" t="e">
        <f>IF(F27="MXN",1/HLOOKUP(YEAR(G27)+(MONTH(G27)/100),TC!$5:$37,DAY(G27)+2,FALSE),VLOOKUP(F27,Equivalencia!$5:$23,((MAX(Equivalencia!$3:$3)-YEAR(G27))*14)+MONTH(G27)+2,FALSE))</f>
        <v>#N/A</v>
      </c>
      <c r="L27" s="306" t="e">
        <f t="shared" si="4"/>
        <v>#N/A</v>
      </c>
      <c r="M27" s="305">
        <f>IF(G27=0,0,HLOOKUP(YEAR(G27)+(MONTH(G27)/100),TC!$5:$37,DAY(G27)+2,FALSE))</f>
        <v>0</v>
      </c>
      <c r="N27" s="306" t="e">
        <f t="shared" si="5"/>
        <v>#N/A</v>
      </c>
      <c r="O27" s="308">
        <f>IF(G27=0,0,VLOOKUP(YEAR(G27),INPC!$B$4:$P$30,MONTH(G27)+2))</f>
        <v>0</v>
      </c>
      <c r="P27" s="308">
        <f>IF(W27=0,0,IF(OR(C27=$AQ$5,C27=AQ31),VLOOKUP(YEAR(W27),INPC!$B$4:$P$30,MONTH(W27)+1),VLOOKUP(YEAR(W27),INPC!$B$4:$P$30,MONTH(W27)+2)))</f>
        <v>0</v>
      </c>
      <c r="Q27" s="309">
        <f t="shared" si="6"/>
        <v>0</v>
      </c>
      <c r="R27" s="310" t="e">
        <f t="shared" si="7"/>
        <v>#N/A</v>
      </c>
      <c r="S27" s="310">
        <f t="shared" si="8"/>
        <v>0</v>
      </c>
      <c r="T27" s="567" t="str">
        <f t="shared" si="9"/>
        <v>NO</v>
      </c>
      <c r="U27" s="323"/>
      <c r="V27" s="299"/>
      <c r="W27" s="300"/>
      <c r="X27" s="299"/>
      <c r="Y27" s="303"/>
      <c r="Z27" s="305">
        <f>IF(Y27=0,0,IF(X27="MXN",1/HLOOKUP(YEAR(W27)+(MONTH(W27)/100),TC!$5:$37,DAY(W27)+2,FALSE),VLOOKUP(X27,Equivalencia!$1:$23,((MAX(Equivalencia!$3:$3)-YEAR(W27))*14)+MONTH(W27)+2,FALSE)))</f>
        <v>0</v>
      </c>
      <c r="AA27" s="306">
        <f t="shared" si="16"/>
        <v>0</v>
      </c>
      <c r="AB27" s="305">
        <f>+IF(W27=0,0,HLOOKUP(YEAR(W27)+(MONTH(W27)/100),TC!$5:$37,DAY(W27)+2,FALSE))</f>
        <v>0</v>
      </c>
      <c r="AC27" s="306">
        <f t="shared" si="15"/>
        <v>0</v>
      </c>
      <c r="AD27" s="314">
        <f t="shared" si="10"/>
        <v>0</v>
      </c>
      <c r="AE27" s="315">
        <f t="shared" si="11"/>
        <v>0</v>
      </c>
      <c r="AF27" s="316">
        <f t="shared" si="3"/>
        <v>0</v>
      </c>
      <c r="AG27" s="314">
        <v>1</v>
      </c>
      <c r="AH27" s="314">
        <f t="shared" si="12"/>
        <v>0</v>
      </c>
      <c r="AI27" s="314">
        <f t="shared" si="13"/>
        <v>0</v>
      </c>
      <c r="AJ27" s="317"/>
      <c r="AK27" s="315" t="e">
        <f t="shared" si="14"/>
        <v>#N/A</v>
      </c>
      <c r="AM27" s="561"/>
      <c r="AN27" s="561"/>
      <c r="AO27" s="561"/>
    </row>
    <row r="28" spans="2:45">
      <c r="B28" s="296"/>
      <c r="C28" s="299"/>
      <c r="D28" s="296"/>
      <c r="E28" s="298"/>
      <c r="F28" s="299"/>
      <c r="G28" s="300"/>
      <c r="H28" s="303"/>
      <c r="I28" s="303"/>
      <c r="J28" s="322">
        <f t="shared" si="0"/>
        <v>0</v>
      </c>
      <c r="K28" s="305" t="e">
        <f>IF(F28="MXN",1/HLOOKUP(YEAR(G28)+(MONTH(G28)/100),TC!$5:$37,DAY(G28)+2,FALSE),VLOOKUP(F28,Equivalencia!$5:$23,((MAX(Equivalencia!$3:$3)-YEAR(G28))*14)+MONTH(G28)+2,FALSE))</f>
        <v>#N/A</v>
      </c>
      <c r="L28" s="306" t="e">
        <f t="shared" si="4"/>
        <v>#N/A</v>
      </c>
      <c r="M28" s="305">
        <f>IF(G28=0,0,HLOOKUP(YEAR(G28)+(MONTH(G28)/100),TC!$5:$37,DAY(G28)+2,FALSE))</f>
        <v>0</v>
      </c>
      <c r="N28" s="306" t="e">
        <f t="shared" si="5"/>
        <v>#N/A</v>
      </c>
      <c r="O28" s="308">
        <f>IF(G28=0,0,VLOOKUP(YEAR(G28),INPC!$B$4:$P$30,MONTH(G28)+2))</f>
        <v>0</v>
      </c>
      <c r="P28" s="308">
        <f>IF(W28=0,0,IF(OR(C28=$AQ$5,C28=AQ32),VLOOKUP(YEAR(W28),INPC!$B$4:$P$30,MONTH(W28)+1),VLOOKUP(YEAR(W28),INPC!$B$4:$P$30,MONTH(W28)+2)))</f>
        <v>0</v>
      </c>
      <c r="Q28" s="309">
        <f t="shared" si="6"/>
        <v>0</v>
      </c>
      <c r="R28" s="310" t="e">
        <f t="shared" si="7"/>
        <v>#N/A</v>
      </c>
      <c r="S28" s="310">
        <f t="shared" si="8"/>
        <v>0</v>
      </c>
      <c r="T28" s="567" t="str">
        <f t="shared" si="9"/>
        <v>NO</v>
      </c>
      <c r="U28" s="323"/>
      <c r="V28" s="299"/>
      <c r="W28" s="300"/>
      <c r="X28" s="299"/>
      <c r="Y28" s="303"/>
      <c r="Z28" s="305">
        <f>IF(Y28=0,0,IF(X28="MXN",1/HLOOKUP(YEAR(W28)+(MONTH(W28)/100),TC!$5:$37,DAY(W28)+2,FALSE),VLOOKUP(X28,Equivalencia!$1:$23,((MAX(Equivalencia!$3:$3)-YEAR(W28))*14)+MONTH(W28)+2,FALSE)))</f>
        <v>0</v>
      </c>
      <c r="AA28" s="306">
        <f t="shared" si="16"/>
        <v>0</v>
      </c>
      <c r="AB28" s="305">
        <f>+IF(W28=0,0,HLOOKUP(YEAR(W28)+(MONTH(W28)/100),TC!$5:$37,DAY(W28)+2,FALSE))</f>
        <v>0</v>
      </c>
      <c r="AC28" s="306">
        <f t="shared" si="15"/>
        <v>0</v>
      </c>
      <c r="AD28" s="314">
        <f t="shared" si="10"/>
        <v>0</v>
      </c>
      <c r="AE28" s="315">
        <f t="shared" si="11"/>
        <v>0</v>
      </c>
      <c r="AF28" s="316">
        <f t="shared" si="3"/>
        <v>0</v>
      </c>
      <c r="AG28" s="314">
        <v>1</v>
      </c>
      <c r="AH28" s="314">
        <f t="shared" si="12"/>
        <v>0</v>
      </c>
      <c r="AI28" s="314">
        <f t="shared" si="13"/>
        <v>0</v>
      </c>
      <c r="AJ28" s="317"/>
      <c r="AK28" s="315" t="e">
        <f t="shared" si="14"/>
        <v>#N/A</v>
      </c>
      <c r="AM28" s="561"/>
      <c r="AN28" s="561"/>
      <c r="AO28" s="561"/>
    </row>
    <row r="29" spans="2:45">
      <c r="B29" s="296"/>
      <c r="C29" s="299"/>
      <c r="D29" s="296"/>
      <c r="E29" s="298"/>
      <c r="F29" s="299"/>
      <c r="G29" s="300"/>
      <c r="H29" s="303"/>
      <c r="I29" s="303"/>
      <c r="J29" s="322">
        <f t="shared" si="0"/>
        <v>0</v>
      </c>
      <c r="K29" s="305" t="e">
        <f>IF(F29="MXN",1/HLOOKUP(YEAR(G29)+(MONTH(G29)/100),TC!$5:$37,DAY(G29)+2,FALSE),VLOOKUP(F29,Equivalencia!$5:$23,((MAX(Equivalencia!$3:$3)-YEAR(G29))*14)+MONTH(G29)+2,FALSE))</f>
        <v>#N/A</v>
      </c>
      <c r="L29" s="306" t="e">
        <f t="shared" si="4"/>
        <v>#N/A</v>
      </c>
      <c r="M29" s="305">
        <f>IF(G29=0,0,HLOOKUP(YEAR(G29)+(MONTH(G29)/100),TC!$5:$37,DAY(G29)+2,FALSE))</f>
        <v>0</v>
      </c>
      <c r="N29" s="306" t="e">
        <f t="shared" si="5"/>
        <v>#N/A</v>
      </c>
      <c r="O29" s="308">
        <f>IF(G29=0,0,VLOOKUP(YEAR(G29),INPC!$B$4:$P$30,MONTH(G29)+2))</f>
        <v>0</v>
      </c>
      <c r="P29" s="308">
        <f>IF(W29=0,0,IF(OR(C29=$AQ$5,C29=AQ33),VLOOKUP(YEAR(W29),INPC!$B$4:$P$30,MONTH(W29)+1),VLOOKUP(YEAR(W29),INPC!$B$4:$P$30,MONTH(W29)+2)))</f>
        <v>0</v>
      </c>
      <c r="Q29" s="309">
        <f t="shared" si="6"/>
        <v>0</v>
      </c>
      <c r="R29" s="310" t="e">
        <f t="shared" si="7"/>
        <v>#N/A</v>
      </c>
      <c r="S29" s="310">
        <f t="shared" si="8"/>
        <v>0</v>
      </c>
      <c r="T29" s="567" t="str">
        <f t="shared" si="9"/>
        <v>NO</v>
      </c>
      <c r="U29" s="323"/>
      <c r="V29" s="299"/>
      <c r="W29" s="300"/>
      <c r="X29" s="299"/>
      <c r="Y29" s="303"/>
      <c r="Z29" s="305">
        <f>IF(Y29=0,0,IF(X29="MXN",1/HLOOKUP(YEAR(W29)+(MONTH(W29)/100),TC!$5:$37,DAY(W29)+2,FALSE),VLOOKUP(X29,Equivalencia!$1:$23,((MAX(Equivalencia!$3:$3)-YEAR(W29))*14)+MONTH(W29)+2,FALSE)))</f>
        <v>0</v>
      </c>
      <c r="AA29" s="306">
        <f t="shared" si="16"/>
        <v>0</v>
      </c>
      <c r="AB29" s="305">
        <f>+IF(W29=0,0,HLOOKUP(YEAR(W29)+(MONTH(W29)/100),TC!$5:$37,DAY(W29)+2,FALSE))</f>
        <v>0</v>
      </c>
      <c r="AC29" s="306">
        <f t="shared" si="15"/>
        <v>0</v>
      </c>
      <c r="AD29" s="314">
        <f t="shared" si="10"/>
        <v>0</v>
      </c>
      <c r="AE29" s="315">
        <f t="shared" si="11"/>
        <v>0</v>
      </c>
      <c r="AF29" s="316">
        <f t="shared" si="3"/>
        <v>0</v>
      </c>
      <c r="AG29" s="314">
        <v>1</v>
      </c>
      <c r="AH29" s="314">
        <f t="shared" si="12"/>
        <v>0</v>
      </c>
      <c r="AI29" s="314">
        <f t="shared" si="13"/>
        <v>0</v>
      </c>
      <c r="AJ29" s="317"/>
      <c r="AK29" s="315" t="e">
        <f t="shared" si="14"/>
        <v>#N/A</v>
      </c>
      <c r="AM29" s="561"/>
      <c r="AN29" s="561"/>
      <c r="AO29" s="561"/>
    </row>
    <row r="30" spans="2:45">
      <c r="B30" s="296"/>
      <c r="C30" s="299"/>
      <c r="D30" s="296"/>
      <c r="E30" s="298"/>
      <c r="F30" s="299"/>
      <c r="G30" s="300"/>
      <c r="H30" s="303"/>
      <c r="I30" s="303"/>
      <c r="J30" s="322">
        <f t="shared" si="0"/>
        <v>0</v>
      </c>
      <c r="K30" s="305" t="e">
        <f>IF(F30="MXN",1/HLOOKUP(YEAR(G30)+(MONTH(G30)/100),TC!$5:$37,DAY(G30)+2,FALSE),VLOOKUP(F30,Equivalencia!$5:$23,((MAX(Equivalencia!$3:$3)-YEAR(G30))*14)+MONTH(G30)+2,FALSE))</f>
        <v>#N/A</v>
      </c>
      <c r="L30" s="306" t="e">
        <f t="shared" si="4"/>
        <v>#N/A</v>
      </c>
      <c r="M30" s="305">
        <f>IF(G30=0,0,HLOOKUP(YEAR(G30)+(MONTH(G30)/100),TC!$5:$37,DAY(G30)+2,FALSE))</f>
        <v>0</v>
      </c>
      <c r="N30" s="306" t="e">
        <f t="shared" si="5"/>
        <v>#N/A</v>
      </c>
      <c r="O30" s="308">
        <f>IF(G30=0,0,VLOOKUP(YEAR(G30),INPC!$B$4:$P$30,MONTH(G30)+2))</f>
        <v>0</v>
      </c>
      <c r="P30" s="308">
        <f>IF(W30=0,0,IF(OR(C30=$AQ$5,C30=AQ34),VLOOKUP(YEAR(W30),INPC!$B$4:$P$30,MONTH(W30)+1),VLOOKUP(YEAR(W30),INPC!$B$4:$P$30,MONTH(W30)+2)))</f>
        <v>0</v>
      </c>
      <c r="Q30" s="309">
        <f t="shared" si="6"/>
        <v>0</v>
      </c>
      <c r="R30" s="310" t="e">
        <f t="shared" si="7"/>
        <v>#N/A</v>
      </c>
      <c r="S30" s="310">
        <f t="shared" si="8"/>
        <v>0</v>
      </c>
      <c r="T30" s="567" t="str">
        <f t="shared" si="9"/>
        <v>NO</v>
      </c>
      <c r="U30" s="323"/>
      <c r="V30" s="299"/>
      <c r="W30" s="300"/>
      <c r="X30" s="299"/>
      <c r="Y30" s="303"/>
      <c r="Z30" s="305">
        <f>IF(Y30=0,0,IF(X30="MXN",1/HLOOKUP(YEAR(W30)+(MONTH(W30)/100),TC!$5:$37,DAY(W30)+2,FALSE),VLOOKUP(X30,Equivalencia!$1:$23,((MAX(Equivalencia!$3:$3)-YEAR(W30))*14)+MONTH(W30)+2,FALSE)))</f>
        <v>0</v>
      </c>
      <c r="AA30" s="306">
        <f t="shared" si="16"/>
        <v>0</v>
      </c>
      <c r="AB30" s="305">
        <f>+IF(W30=0,0,HLOOKUP(YEAR(W30)+(MONTH(W30)/100),TC!$5:$37,DAY(W30)+2,FALSE))</f>
        <v>0</v>
      </c>
      <c r="AC30" s="306">
        <f t="shared" si="15"/>
        <v>0</v>
      </c>
      <c r="AD30" s="314">
        <f t="shared" si="10"/>
        <v>0</v>
      </c>
      <c r="AE30" s="315">
        <f t="shared" si="11"/>
        <v>0</v>
      </c>
      <c r="AF30" s="316">
        <f t="shared" si="3"/>
        <v>0</v>
      </c>
      <c r="AG30" s="314">
        <v>1</v>
      </c>
      <c r="AH30" s="314">
        <f t="shared" si="12"/>
        <v>0</v>
      </c>
      <c r="AI30" s="314">
        <f t="shared" si="13"/>
        <v>0</v>
      </c>
      <c r="AJ30" s="317"/>
      <c r="AK30" s="315" t="e">
        <f t="shared" si="14"/>
        <v>#N/A</v>
      </c>
      <c r="AM30" s="561"/>
      <c r="AN30" s="561"/>
      <c r="AO30" s="561"/>
    </row>
    <row r="31" spans="2:45">
      <c r="B31" s="296"/>
      <c r="C31" s="299"/>
      <c r="D31" s="296"/>
      <c r="E31" s="298"/>
      <c r="F31" s="299"/>
      <c r="G31" s="300"/>
      <c r="H31" s="303"/>
      <c r="I31" s="303"/>
      <c r="J31" s="322">
        <f t="shared" si="0"/>
        <v>0</v>
      </c>
      <c r="K31" s="305" t="e">
        <f>IF(F31="MXN",1/HLOOKUP(YEAR(G31)+(MONTH(G31)/100),TC!$5:$37,DAY(G31)+2,FALSE),VLOOKUP(F31,Equivalencia!$5:$23,((MAX(Equivalencia!$3:$3)-YEAR(G31))*14)+MONTH(G31)+2,FALSE))</f>
        <v>#N/A</v>
      </c>
      <c r="L31" s="306" t="e">
        <f t="shared" si="4"/>
        <v>#N/A</v>
      </c>
      <c r="M31" s="305">
        <f>IF(G31=0,0,HLOOKUP(YEAR(G31)+(MONTH(G31)/100),TC!$5:$37,DAY(G31)+2,FALSE))</f>
        <v>0</v>
      </c>
      <c r="N31" s="306" t="e">
        <f t="shared" si="5"/>
        <v>#N/A</v>
      </c>
      <c r="O31" s="308">
        <f>IF(G31=0,0,VLOOKUP(YEAR(G31),INPC!$B$4:$P$30,MONTH(G31)+2))</f>
        <v>0</v>
      </c>
      <c r="P31" s="308">
        <f>IF(W31=0,0,IF(OR(C31=$AQ$5,C31=AQ35),VLOOKUP(YEAR(W31),INPC!$B$4:$P$30,MONTH(W31)+1),VLOOKUP(YEAR(W31),INPC!$B$4:$P$30,MONTH(W31)+2)))</f>
        <v>0</v>
      </c>
      <c r="Q31" s="309">
        <f t="shared" si="6"/>
        <v>0</v>
      </c>
      <c r="R31" s="310" t="e">
        <f t="shared" si="7"/>
        <v>#N/A</v>
      </c>
      <c r="S31" s="310">
        <f t="shared" si="8"/>
        <v>0</v>
      </c>
      <c r="T31" s="567" t="str">
        <f t="shared" si="9"/>
        <v>NO</v>
      </c>
      <c r="U31" s="323"/>
      <c r="V31" s="299"/>
      <c r="W31" s="300"/>
      <c r="X31" s="299"/>
      <c r="Y31" s="303"/>
      <c r="Z31" s="305">
        <f>IF(Y31=0,0,IF(X31="MXN",1/HLOOKUP(YEAR(W31)+(MONTH(W31)/100),TC!$5:$37,DAY(W31)+2,FALSE),VLOOKUP(X31,Equivalencia!$1:$23,((MAX(Equivalencia!$3:$3)-YEAR(W31))*14)+MONTH(W31)+2,FALSE)))</f>
        <v>0</v>
      </c>
      <c r="AA31" s="306">
        <f t="shared" si="16"/>
        <v>0</v>
      </c>
      <c r="AB31" s="305">
        <f>+IF(W31=0,0,HLOOKUP(YEAR(W31)+(MONTH(W31)/100),TC!$5:$37,DAY(W31)+2,FALSE))</f>
        <v>0</v>
      </c>
      <c r="AC31" s="306">
        <f t="shared" si="15"/>
        <v>0</v>
      </c>
      <c r="AD31" s="314">
        <f t="shared" si="10"/>
        <v>0</v>
      </c>
      <c r="AE31" s="315">
        <f t="shared" si="11"/>
        <v>0</v>
      </c>
      <c r="AF31" s="316">
        <f t="shared" si="3"/>
        <v>0</v>
      </c>
      <c r="AG31" s="314">
        <v>1</v>
      </c>
      <c r="AH31" s="314">
        <f t="shared" si="12"/>
        <v>0</v>
      </c>
      <c r="AI31" s="314">
        <f t="shared" si="13"/>
        <v>0</v>
      </c>
      <c r="AJ31" s="317"/>
      <c r="AK31" s="315" t="e">
        <f t="shared" si="14"/>
        <v>#N/A</v>
      </c>
      <c r="AM31" s="561"/>
      <c r="AN31" s="561"/>
      <c r="AO31" s="561"/>
    </row>
    <row r="32" spans="2:45">
      <c r="B32" s="296"/>
      <c r="C32" s="299"/>
      <c r="D32" s="296"/>
      <c r="E32" s="298"/>
      <c r="F32" s="299"/>
      <c r="G32" s="300"/>
      <c r="H32" s="303"/>
      <c r="I32" s="303"/>
      <c r="J32" s="322">
        <f t="shared" si="0"/>
        <v>0</v>
      </c>
      <c r="K32" s="305" t="e">
        <f>IF(F32="MXN",1/HLOOKUP(YEAR(G32)+(MONTH(G32)/100),TC!$5:$37,DAY(G32)+2,FALSE),VLOOKUP(F32,Equivalencia!$5:$23,((MAX(Equivalencia!$3:$3)-YEAR(G32))*14)+MONTH(G32)+2,FALSE))</f>
        <v>#N/A</v>
      </c>
      <c r="L32" s="306" t="e">
        <f t="shared" si="4"/>
        <v>#N/A</v>
      </c>
      <c r="M32" s="305">
        <f>IF(G32=0,0,HLOOKUP(YEAR(G32)+(MONTH(G32)/100),TC!$5:$37,DAY(G32)+2,FALSE))</f>
        <v>0</v>
      </c>
      <c r="N32" s="306" t="e">
        <f t="shared" si="5"/>
        <v>#N/A</v>
      </c>
      <c r="O32" s="308">
        <f>IF(G32=0,0,VLOOKUP(YEAR(G32),INPC!$B$4:$P$30,MONTH(G32)+2))</f>
        <v>0</v>
      </c>
      <c r="P32" s="308">
        <f>IF(W32=0,0,IF(OR(C32=$AQ$5,C32=AQ36),VLOOKUP(YEAR(W32),INPC!$B$4:$P$30,MONTH(W32)+1),VLOOKUP(YEAR(W32),INPC!$B$4:$P$30,MONTH(W32)+2)))</f>
        <v>0</v>
      </c>
      <c r="Q32" s="309">
        <f t="shared" si="6"/>
        <v>0</v>
      </c>
      <c r="R32" s="310" t="e">
        <f t="shared" si="7"/>
        <v>#N/A</v>
      </c>
      <c r="S32" s="310">
        <f t="shared" si="8"/>
        <v>0</v>
      </c>
      <c r="T32" s="567" t="str">
        <f t="shared" si="9"/>
        <v>NO</v>
      </c>
      <c r="U32" s="323"/>
      <c r="V32" s="299"/>
      <c r="W32" s="300"/>
      <c r="X32" s="299"/>
      <c r="Y32" s="303"/>
      <c r="Z32" s="305">
        <f>IF(Y32=0,0,IF(X32="MXN",1/HLOOKUP(YEAR(W32)+(MONTH(W32)/100),TC!$5:$37,DAY(W32)+2,FALSE),VLOOKUP(X32,Equivalencia!$1:$23,((MAX(Equivalencia!$3:$3)-YEAR(W32))*14)+MONTH(W32)+2,FALSE)))</f>
        <v>0</v>
      </c>
      <c r="AA32" s="306">
        <f t="shared" si="16"/>
        <v>0</v>
      </c>
      <c r="AB32" s="305">
        <f>+IF(W32=0,0,HLOOKUP(YEAR(W32)+(MONTH(W32)/100),TC!$5:$37,DAY(W32)+2,FALSE))</f>
        <v>0</v>
      </c>
      <c r="AC32" s="306">
        <f t="shared" si="15"/>
        <v>0</v>
      </c>
      <c r="AD32" s="314">
        <f t="shared" si="10"/>
        <v>0</v>
      </c>
      <c r="AE32" s="315">
        <f t="shared" si="11"/>
        <v>0</v>
      </c>
      <c r="AF32" s="316">
        <f t="shared" si="3"/>
        <v>0</v>
      </c>
      <c r="AG32" s="314">
        <v>1</v>
      </c>
      <c r="AH32" s="314">
        <f t="shared" si="12"/>
        <v>0</v>
      </c>
      <c r="AI32" s="314">
        <f t="shared" si="13"/>
        <v>0</v>
      </c>
      <c r="AJ32" s="317"/>
      <c r="AK32" s="315" t="e">
        <f t="shared" si="14"/>
        <v>#N/A</v>
      </c>
      <c r="AM32" s="561"/>
      <c r="AN32" s="561"/>
      <c r="AO32" s="561"/>
    </row>
    <row r="33" spans="2:41">
      <c r="B33" s="296"/>
      <c r="C33" s="299"/>
      <c r="D33" s="296"/>
      <c r="E33" s="298"/>
      <c r="F33" s="299"/>
      <c r="G33" s="300"/>
      <c r="H33" s="303"/>
      <c r="I33" s="303"/>
      <c r="J33" s="322">
        <f t="shared" si="0"/>
        <v>0</v>
      </c>
      <c r="K33" s="305" t="e">
        <f>IF(F33="MXN",1/HLOOKUP(YEAR(G33)+(MONTH(G33)/100),TC!$5:$37,DAY(G33)+2,FALSE),VLOOKUP(F33,Equivalencia!$5:$23,((MAX(Equivalencia!$3:$3)-YEAR(G33))*14)+MONTH(G33)+2,FALSE))</f>
        <v>#N/A</v>
      </c>
      <c r="L33" s="306" t="e">
        <f t="shared" si="4"/>
        <v>#N/A</v>
      </c>
      <c r="M33" s="305">
        <f>IF(G33=0,0,HLOOKUP(YEAR(G33)+(MONTH(G33)/100),TC!$5:$37,DAY(G33)+2,FALSE))</f>
        <v>0</v>
      </c>
      <c r="N33" s="306" t="e">
        <f t="shared" si="5"/>
        <v>#N/A</v>
      </c>
      <c r="O33" s="308">
        <f>IF(G33=0,0,VLOOKUP(YEAR(G33),INPC!$B$4:$P$30,MONTH(G33)+2))</f>
        <v>0</v>
      </c>
      <c r="P33" s="308">
        <f>IF(W33=0,0,IF(OR(C33=$AQ$5,C33=AQ37),VLOOKUP(YEAR(W33),INPC!$B$4:$P$30,MONTH(W33)+1),VLOOKUP(YEAR(W33),INPC!$B$4:$P$30,MONTH(W33)+2)))</f>
        <v>0</v>
      </c>
      <c r="Q33" s="309">
        <f t="shared" si="6"/>
        <v>0</v>
      </c>
      <c r="R33" s="310" t="e">
        <f t="shared" si="7"/>
        <v>#N/A</v>
      </c>
      <c r="S33" s="310">
        <f t="shared" si="8"/>
        <v>0</v>
      </c>
      <c r="T33" s="567" t="str">
        <f t="shared" si="9"/>
        <v>NO</v>
      </c>
      <c r="U33" s="323"/>
      <c r="V33" s="299"/>
      <c r="W33" s="300"/>
      <c r="X33" s="299"/>
      <c r="Y33" s="303"/>
      <c r="Z33" s="305">
        <f>IF(Y33=0,0,IF(X33="MXN",1/HLOOKUP(YEAR(W33)+(MONTH(W33)/100),TC!$5:$37,DAY(W33)+2,FALSE),VLOOKUP(X33,Equivalencia!$1:$23,((MAX(Equivalencia!$3:$3)-YEAR(W33))*14)+MONTH(W33)+2,FALSE)))</f>
        <v>0</v>
      </c>
      <c r="AA33" s="306">
        <f t="shared" si="16"/>
        <v>0</v>
      </c>
      <c r="AB33" s="305">
        <f>+IF(W33=0,0,HLOOKUP(YEAR(W33)+(MONTH(W33)/100),TC!$5:$37,DAY(W33)+2,FALSE))</f>
        <v>0</v>
      </c>
      <c r="AC33" s="306">
        <f t="shared" si="15"/>
        <v>0</v>
      </c>
      <c r="AD33" s="314">
        <f t="shared" si="10"/>
        <v>0</v>
      </c>
      <c r="AE33" s="315">
        <f t="shared" si="11"/>
        <v>0</v>
      </c>
      <c r="AF33" s="316">
        <f t="shared" si="3"/>
        <v>0</v>
      </c>
      <c r="AG33" s="314">
        <v>1</v>
      </c>
      <c r="AH33" s="314">
        <f t="shared" si="12"/>
        <v>0</v>
      </c>
      <c r="AI33" s="314">
        <f t="shared" si="13"/>
        <v>0</v>
      </c>
      <c r="AJ33" s="317"/>
      <c r="AK33" s="315" t="e">
        <f t="shared" si="14"/>
        <v>#N/A</v>
      </c>
      <c r="AM33" s="561"/>
      <c r="AN33" s="561"/>
      <c r="AO33" s="561"/>
    </row>
    <row r="34" spans="2:41">
      <c r="B34" s="296"/>
      <c r="C34" s="299"/>
      <c r="D34" s="296"/>
      <c r="E34" s="298"/>
      <c r="F34" s="299"/>
      <c r="G34" s="300"/>
      <c r="H34" s="303"/>
      <c r="I34" s="303"/>
      <c r="J34" s="322">
        <f t="shared" si="0"/>
        <v>0</v>
      </c>
      <c r="K34" s="305" t="e">
        <f>IF(F34="MXN",1/HLOOKUP(YEAR(G34)+(MONTH(G34)/100),TC!$5:$37,DAY(G34)+2,FALSE),VLOOKUP(F34,Equivalencia!$5:$23,((MAX(Equivalencia!$3:$3)-YEAR(G34))*14)+MONTH(G34)+2,FALSE))</f>
        <v>#N/A</v>
      </c>
      <c r="L34" s="306" t="e">
        <f t="shared" si="4"/>
        <v>#N/A</v>
      </c>
      <c r="M34" s="305">
        <f>IF(G34=0,0,HLOOKUP(YEAR(G34)+(MONTH(G34)/100),TC!$5:$37,DAY(G34)+2,FALSE))</f>
        <v>0</v>
      </c>
      <c r="N34" s="306" t="e">
        <f t="shared" si="5"/>
        <v>#N/A</v>
      </c>
      <c r="O34" s="308">
        <f>IF(G34=0,0,VLOOKUP(YEAR(G34),INPC!$B$4:$P$30,MONTH(G34)+2))</f>
        <v>0</v>
      </c>
      <c r="P34" s="308">
        <f>IF(W34=0,0,IF(OR(C34=$AQ$5,C34=AQ38),VLOOKUP(YEAR(W34),INPC!$B$4:$P$30,MONTH(W34)+1),VLOOKUP(YEAR(W34),INPC!$B$4:$P$30,MONTH(W34)+2)))</f>
        <v>0</v>
      </c>
      <c r="Q34" s="309">
        <f t="shared" si="6"/>
        <v>0</v>
      </c>
      <c r="R34" s="310" t="e">
        <f t="shared" si="7"/>
        <v>#N/A</v>
      </c>
      <c r="S34" s="310">
        <f t="shared" si="8"/>
        <v>0</v>
      </c>
      <c r="T34" s="567" t="str">
        <f t="shared" si="9"/>
        <v>NO</v>
      </c>
      <c r="U34" s="323"/>
      <c r="V34" s="299"/>
      <c r="W34" s="300"/>
      <c r="X34" s="299"/>
      <c r="Y34" s="303"/>
      <c r="Z34" s="305">
        <f>IF(Y34=0,0,IF(X34="MXN",1/HLOOKUP(YEAR(W34)+(MONTH(W34)/100),TC!$5:$37,DAY(W34)+2,FALSE),VLOOKUP(X34,Equivalencia!$1:$23,((MAX(Equivalencia!$3:$3)-YEAR(W34))*14)+MONTH(W34)+2,FALSE)))</f>
        <v>0</v>
      </c>
      <c r="AA34" s="306">
        <f t="shared" si="16"/>
        <v>0</v>
      </c>
      <c r="AB34" s="305">
        <f>+IF(W34=0,0,HLOOKUP(YEAR(W34)+(MONTH(W34)/100),TC!$5:$37,DAY(W34)+2,FALSE))</f>
        <v>0</v>
      </c>
      <c r="AC34" s="306">
        <f t="shared" si="15"/>
        <v>0</v>
      </c>
      <c r="AD34" s="314">
        <f t="shared" si="10"/>
        <v>0</v>
      </c>
      <c r="AE34" s="315">
        <f t="shared" si="11"/>
        <v>0</v>
      </c>
      <c r="AF34" s="316">
        <f t="shared" si="3"/>
        <v>0</v>
      </c>
      <c r="AG34" s="314">
        <v>1</v>
      </c>
      <c r="AH34" s="314">
        <f t="shared" si="12"/>
        <v>0</v>
      </c>
      <c r="AI34" s="314">
        <f t="shared" si="13"/>
        <v>0</v>
      </c>
      <c r="AJ34" s="317"/>
      <c r="AK34" s="315" t="e">
        <f t="shared" si="14"/>
        <v>#N/A</v>
      </c>
      <c r="AM34" s="561"/>
      <c r="AN34" s="561"/>
      <c r="AO34" s="561"/>
    </row>
    <row r="35" spans="2:41">
      <c r="B35" s="296"/>
      <c r="C35" s="299"/>
      <c r="D35" s="296"/>
      <c r="E35" s="298"/>
      <c r="F35" s="299"/>
      <c r="G35" s="300"/>
      <c r="H35" s="303"/>
      <c r="I35" s="303"/>
      <c r="J35" s="322">
        <f t="shared" si="0"/>
        <v>0</v>
      </c>
      <c r="K35" s="305" t="e">
        <f>IF(F35="MXN",1/HLOOKUP(YEAR(G35)+(MONTH(G35)/100),TC!$5:$37,DAY(G35)+2,FALSE),VLOOKUP(F35,Equivalencia!$5:$23,((MAX(Equivalencia!$3:$3)-YEAR(G35))*14)+MONTH(G35)+2,FALSE))</f>
        <v>#N/A</v>
      </c>
      <c r="L35" s="306" t="e">
        <f t="shared" si="4"/>
        <v>#N/A</v>
      </c>
      <c r="M35" s="305">
        <f>IF(G35=0,0,HLOOKUP(YEAR(G35)+(MONTH(G35)/100),TC!$5:$37,DAY(G35)+2,FALSE))</f>
        <v>0</v>
      </c>
      <c r="N35" s="306" t="e">
        <f t="shared" si="5"/>
        <v>#N/A</v>
      </c>
      <c r="O35" s="308">
        <f>IF(G35=0,0,VLOOKUP(YEAR(G35),INPC!$B$4:$P$30,MONTH(G35)+2))</f>
        <v>0</v>
      </c>
      <c r="P35" s="308">
        <f>IF(W35=0,0,IF(OR(C35=$AQ$5,C35=AQ39),VLOOKUP(YEAR(W35),INPC!$B$4:$P$30,MONTH(W35)+1),VLOOKUP(YEAR(W35),INPC!$B$4:$P$30,MONTH(W35)+2)))</f>
        <v>0</v>
      </c>
      <c r="Q35" s="309">
        <f t="shared" si="6"/>
        <v>0</v>
      </c>
      <c r="R35" s="310" t="e">
        <f t="shared" si="7"/>
        <v>#N/A</v>
      </c>
      <c r="S35" s="310">
        <f t="shared" si="8"/>
        <v>0</v>
      </c>
      <c r="T35" s="567" t="str">
        <f t="shared" si="9"/>
        <v>NO</v>
      </c>
      <c r="U35" s="323"/>
      <c r="V35" s="299"/>
      <c r="W35" s="300"/>
      <c r="X35" s="299"/>
      <c r="Y35" s="303"/>
      <c r="Z35" s="305">
        <f>IF(Y35=0,0,IF(X35="MXN",1/HLOOKUP(YEAR(W35)+(MONTH(W35)/100),TC!$5:$37,DAY(W35)+2,FALSE),VLOOKUP(X35,Equivalencia!$1:$23,((MAX(Equivalencia!$3:$3)-YEAR(W35))*14)+MONTH(W35)+2,FALSE)))</f>
        <v>0</v>
      </c>
      <c r="AA35" s="306">
        <f t="shared" si="16"/>
        <v>0</v>
      </c>
      <c r="AB35" s="305">
        <f>+IF(W35=0,0,HLOOKUP(YEAR(W35)+(MONTH(W35)/100),TC!$5:$37,DAY(W35)+2,FALSE))</f>
        <v>0</v>
      </c>
      <c r="AC35" s="306">
        <f t="shared" si="15"/>
        <v>0</v>
      </c>
      <c r="AD35" s="314">
        <f t="shared" si="10"/>
        <v>0</v>
      </c>
      <c r="AE35" s="315">
        <f t="shared" si="11"/>
        <v>0</v>
      </c>
      <c r="AF35" s="316">
        <f t="shared" si="3"/>
        <v>0</v>
      </c>
      <c r="AG35" s="314">
        <v>1</v>
      </c>
      <c r="AH35" s="314">
        <f t="shared" si="12"/>
        <v>0</v>
      </c>
      <c r="AI35" s="314">
        <f t="shared" si="13"/>
        <v>0</v>
      </c>
      <c r="AJ35" s="317"/>
      <c r="AK35" s="315" t="e">
        <f t="shared" si="14"/>
        <v>#N/A</v>
      </c>
      <c r="AM35" s="561"/>
      <c r="AN35" s="561"/>
      <c r="AO35" s="561"/>
    </row>
    <row r="36" spans="2:41">
      <c r="B36" s="296"/>
      <c r="C36" s="299"/>
      <c r="D36" s="296"/>
      <c r="E36" s="298"/>
      <c r="F36" s="299"/>
      <c r="G36" s="300"/>
      <c r="H36" s="303"/>
      <c r="I36" s="303"/>
      <c r="J36" s="322">
        <f t="shared" si="0"/>
        <v>0</v>
      </c>
      <c r="K36" s="305" t="e">
        <f>IF(F36="MXN",1/HLOOKUP(YEAR(G36)+(MONTH(G36)/100),TC!$5:$37,DAY(G36)+2,FALSE),VLOOKUP(F36,Equivalencia!$5:$23,((MAX(Equivalencia!$3:$3)-YEAR(G36))*14)+MONTH(G36)+2,FALSE))</f>
        <v>#N/A</v>
      </c>
      <c r="L36" s="306" t="e">
        <f t="shared" si="4"/>
        <v>#N/A</v>
      </c>
      <c r="M36" s="305">
        <f>IF(G36=0,0,HLOOKUP(YEAR(G36)+(MONTH(G36)/100),TC!$5:$37,DAY(G36)+2,FALSE))</f>
        <v>0</v>
      </c>
      <c r="N36" s="306" t="e">
        <f t="shared" si="5"/>
        <v>#N/A</v>
      </c>
      <c r="O36" s="308">
        <f>IF(G36=0,0,VLOOKUP(YEAR(G36),INPC!$B$4:$P$30,MONTH(G36)+2))</f>
        <v>0</v>
      </c>
      <c r="P36" s="308">
        <f>IF(W36=0,0,IF(OR(C36=$AQ$5,C36=AQ40),VLOOKUP(YEAR(W36),INPC!$B$4:$P$30,MONTH(W36)+1),VLOOKUP(YEAR(W36),INPC!$B$4:$P$30,MONTH(W36)+2)))</f>
        <v>0</v>
      </c>
      <c r="Q36" s="309">
        <f t="shared" si="6"/>
        <v>0</v>
      </c>
      <c r="R36" s="310" t="e">
        <f t="shared" si="7"/>
        <v>#N/A</v>
      </c>
      <c r="S36" s="310">
        <f t="shared" si="8"/>
        <v>0</v>
      </c>
      <c r="T36" s="567" t="str">
        <f t="shared" si="9"/>
        <v>NO</v>
      </c>
      <c r="U36" s="323"/>
      <c r="V36" s="299"/>
      <c r="W36" s="300"/>
      <c r="X36" s="299"/>
      <c r="Y36" s="303"/>
      <c r="Z36" s="305">
        <f>IF(Y36=0,0,IF(X36="MXN",1/HLOOKUP(YEAR(W36)+(MONTH(W36)/100),TC!$5:$37,DAY(W36)+2,FALSE),VLOOKUP(X36,Equivalencia!$1:$23,((MAX(Equivalencia!$3:$3)-YEAR(W36))*14)+MONTH(W36)+2,FALSE)))</f>
        <v>0</v>
      </c>
      <c r="AA36" s="306">
        <f t="shared" si="16"/>
        <v>0</v>
      </c>
      <c r="AB36" s="305">
        <f>+IF(W36=0,0,HLOOKUP(YEAR(W36)+(MONTH(W36)/100),TC!$5:$37,DAY(W36)+2,FALSE))</f>
        <v>0</v>
      </c>
      <c r="AC36" s="306">
        <f t="shared" si="15"/>
        <v>0</v>
      </c>
      <c r="AD36" s="314">
        <f t="shared" si="10"/>
        <v>0</v>
      </c>
      <c r="AE36" s="315">
        <f t="shared" si="11"/>
        <v>0</v>
      </c>
      <c r="AF36" s="316">
        <f t="shared" si="3"/>
        <v>0</v>
      </c>
      <c r="AG36" s="314">
        <v>1</v>
      </c>
      <c r="AH36" s="314">
        <f t="shared" si="12"/>
        <v>0</v>
      </c>
      <c r="AI36" s="314">
        <f t="shared" si="13"/>
        <v>0</v>
      </c>
      <c r="AJ36" s="317"/>
      <c r="AK36" s="315" t="e">
        <f t="shared" si="14"/>
        <v>#N/A</v>
      </c>
      <c r="AM36" s="561"/>
      <c r="AN36" s="561"/>
      <c r="AO36" s="561"/>
    </row>
    <row r="37" spans="2:41">
      <c r="B37" s="296"/>
      <c r="C37" s="299"/>
      <c r="D37" s="296"/>
      <c r="E37" s="298"/>
      <c r="F37" s="299"/>
      <c r="G37" s="300"/>
      <c r="H37" s="303"/>
      <c r="I37" s="303"/>
      <c r="J37" s="322">
        <f t="shared" si="0"/>
        <v>0</v>
      </c>
      <c r="K37" s="305" t="e">
        <f>IF(F37="MXN",1/HLOOKUP(YEAR(G37)+(MONTH(G37)/100),TC!$5:$37,DAY(G37)+2,FALSE),VLOOKUP(F37,Equivalencia!$5:$23,((MAX(Equivalencia!$3:$3)-YEAR(G37))*14)+MONTH(G37)+2,FALSE))</f>
        <v>#N/A</v>
      </c>
      <c r="L37" s="306" t="e">
        <f t="shared" si="4"/>
        <v>#N/A</v>
      </c>
      <c r="M37" s="305">
        <f>IF(G37=0,0,HLOOKUP(YEAR(G37)+(MONTH(G37)/100),TC!$5:$37,DAY(G37)+2,FALSE))</f>
        <v>0</v>
      </c>
      <c r="N37" s="306" t="e">
        <f t="shared" si="5"/>
        <v>#N/A</v>
      </c>
      <c r="O37" s="308">
        <f>IF(G37=0,0,VLOOKUP(YEAR(G37),INPC!$B$4:$P$30,MONTH(G37)+2))</f>
        <v>0</v>
      </c>
      <c r="P37" s="308">
        <f>IF(W37=0,0,IF(OR(C37=$AQ$5,C37=AQ41),VLOOKUP(YEAR(W37),INPC!$B$4:$P$30,MONTH(W37)+1),VLOOKUP(YEAR(W37),INPC!$B$4:$P$30,MONTH(W37)+2)))</f>
        <v>0</v>
      </c>
      <c r="Q37" s="309">
        <f t="shared" si="6"/>
        <v>0</v>
      </c>
      <c r="R37" s="310" t="e">
        <f t="shared" si="7"/>
        <v>#N/A</v>
      </c>
      <c r="S37" s="310">
        <f t="shared" si="8"/>
        <v>0</v>
      </c>
      <c r="T37" s="567" t="str">
        <f t="shared" si="9"/>
        <v>NO</v>
      </c>
      <c r="U37" s="323"/>
      <c r="V37" s="299"/>
      <c r="W37" s="300"/>
      <c r="X37" s="299"/>
      <c r="Y37" s="303"/>
      <c r="Z37" s="305">
        <f>IF(Y37=0,0,IF(X37="MXN",1/HLOOKUP(YEAR(W37)+(MONTH(W37)/100),TC!$5:$37,DAY(W37)+2,FALSE),VLOOKUP(X37,Equivalencia!$1:$23,((MAX(Equivalencia!$3:$3)-YEAR(W37))*14)+MONTH(W37)+2,FALSE)))</f>
        <v>0</v>
      </c>
      <c r="AA37" s="306">
        <f t="shared" si="16"/>
        <v>0</v>
      </c>
      <c r="AB37" s="305">
        <f>+IF(W37=0,0,HLOOKUP(YEAR(W37)+(MONTH(W37)/100),TC!$5:$37,DAY(W37)+2,FALSE))</f>
        <v>0</v>
      </c>
      <c r="AC37" s="306">
        <f t="shared" si="15"/>
        <v>0</v>
      </c>
      <c r="AD37" s="314">
        <f t="shared" si="10"/>
        <v>0</v>
      </c>
      <c r="AE37" s="315">
        <f t="shared" si="11"/>
        <v>0</v>
      </c>
      <c r="AF37" s="316">
        <f t="shared" si="3"/>
        <v>0</v>
      </c>
      <c r="AG37" s="314">
        <v>1</v>
      </c>
      <c r="AH37" s="314">
        <f t="shared" si="12"/>
        <v>0</v>
      </c>
      <c r="AI37" s="314">
        <f t="shared" si="13"/>
        <v>0</v>
      </c>
      <c r="AJ37" s="317"/>
      <c r="AK37" s="315" t="e">
        <f t="shared" si="14"/>
        <v>#N/A</v>
      </c>
      <c r="AM37" s="561"/>
      <c r="AN37" s="561"/>
      <c r="AO37" s="561"/>
    </row>
    <row r="38" spans="2:41">
      <c r="B38" s="296"/>
      <c r="C38" s="299"/>
      <c r="D38" s="296"/>
      <c r="E38" s="298"/>
      <c r="F38" s="299"/>
      <c r="G38" s="300"/>
      <c r="H38" s="303"/>
      <c r="I38" s="303"/>
      <c r="J38" s="322">
        <f t="shared" si="0"/>
        <v>0</v>
      </c>
      <c r="K38" s="305" t="e">
        <f>IF(F38="MXN",1/HLOOKUP(YEAR(G38)+(MONTH(G38)/100),TC!$5:$37,DAY(G38)+2,FALSE),VLOOKUP(F38,Equivalencia!$5:$23,((MAX(Equivalencia!$3:$3)-YEAR(G38))*14)+MONTH(G38)+2,FALSE))</f>
        <v>#N/A</v>
      </c>
      <c r="L38" s="306" t="e">
        <f t="shared" si="4"/>
        <v>#N/A</v>
      </c>
      <c r="M38" s="305">
        <f>IF(G38=0,0,HLOOKUP(YEAR(G38)+(MONTH(G38)/100),TC!$5:$37,DAY(G38)+2,FALSE))</f>
        <v>0</v>
      </c>
      <c r="N38" s="306" t="e">
        <f t="shared" si="5"/>
        <v>#N/A</v>
      </c>
      <c r="O38" s="308">
        <f>IF(G38=0,0,VLOOKUP(YEAR(G38),INPC!$B$4:$P$30,MONTH(G38)+2))</f>
        <v>0</v>
      </c>
      <c r="P38" s="308">
        <f>IF(W38=0,0,IF(OR(C38=$AQ$5,C38=AQ42),VLOOKUP(YEAR(W38),INPC!$B$4:$P$30,MONTH(W38)+1),VLOOKUP(YEAR(W38),INPC!$B$4:$P$30,MONTH(W38)+2)))</f>
        <v>0</v>
      </c>
      <c r="Q38" s="309">
        <f t="shared" si="6"/>
        <v>0</v>
      </c>
      <c r="R38" s="310" t="e">
        <f t="shared" si="7"/>
        <v>#N/A</v>
      </c>
      <c r="S38" s="310">
        <f t="shared" si="8"/>
        <v>0</v>
      </c>
      <c r="T38" s="567" t="str">
        <f t="shared" si="9"/>
        <v>NO</v>
      </c>
      <c r="U38" s="323"/>
      <c r="V38" s="299"/>
      <c r="W38" s="300"/>
      <c r="X38" s="299"/>
      <c r="Y38" s="303"/>
      <c r="Z38" s="305">
        <f>IF(Y38=0,0,IF(X38="MXN",1/HLOOKUP(YEAR(W38)+(MONTH(W38)/100),TC!$5:$37,DAY(W38)+2,FALSE),VLOOKUP(X38,Equivalencia!$1:$23,((MAX(Equivalencia!$3:$3)-YEAR(W38))*14)+MONTH(W38)+2,FALSE)))</f>
        <v>0</v>
      </c>
      <c r="AA38" s="306">
        <f t="shared" si="16"/>
        <v>0</v>
      </c>
      <c r="AB38" s="305">
        <f>+IF(W38=0,0,HLOOKUP(YEAR(W38)+(MONTH(W38)/100),TC!$5:$37,DAY(W38)+2,FALSE))</f>
        <v>0</v>
      </c>
      <c r="AC38" s="306">
        <f t="shared" si="15"/>
        <v>0</v>
      </c>
      <c r="AD38" s="314">
        <f t="shared" si="10"/>
        <v>0</v>
      </c>
      <c r="AE38" s="315">
        <f t="shared" si="11"/>
        <v>0</v>
      </c>
      <c r="AF38" s="316">
        <f t="shared" si="3"/>
        <v>0</v>
      </c>
      <c r="AG38" s="314">
        <v>1</v>
      </c>
      <c r="AH38" s="314">
        <f t="shared" si="12"/>
        <v>0</v>
      </c>
      <c r="AI38" s="314">
        <f t="shared" si="13"/>
        <v>0</v>
      </c>
      <c r="AJ38" s="317"/>
      <c r="AK38" s="315" t="e">
        <f t="shared" si="14"/>
        <v>#N/A</v>
      </c>
      <c r="AM38" s="561"/>
      <c r="AN38" s="561"/>
      <c r="AO38" s="561"/>
    </row>
    <row r="39" spans="2:41">
      <c r="B39" s="296"/>
      <c r="C39" s="299"/>
      <c r="D39" s="296"/>
      <c r="E39" s="298"/>
      <c r="F39" s="299"/>
      <c r="G39" s="300"/>
      <c r="H39" s="303"/>
      <c r="I39" s="303"/>
      <c r="J39" s="322">
        <f t="shared" si="0"/>
        <v>0</v>
      </c>
      <c r="K39" s="305" t="e">
        <f>IF(F39="MXN",1/HLOOKUP(YEAR(G39)+(MONTH(G39)/100),TC!$5:$37,DAY(G39)+2,FALSE),VLOOKUP(F39,Equivalencia!$5:$23,((MAX(Equivalencia!$3:$3)-YEAR(G39))*14)+MONTH(G39)+2,FALSE))</f>
        <v>#N/A</v>
      </c>
      <c r="L39" s="306" t="e">
        <f t="shared" si="4"/>
        <v>#N/A</v>
      </c>
      <c r="M39" s="305">
        <f>IF(G39=0,0,HLOOKUP(YEAR(G39)+(MONTH(G39)/100),TC!$5:$37,DAY(G39)+2,FALSE))</f>
        <v>0</v>
      </c>
      <c r="N39" s="306" t="e">
        <f t="shared" si="5"/>
        <v>#N/A</v>
      </c>
      <c r="O39" s="308">
        <f>IF(G39=0,0,VLOOKUP(YEAR(G39),INPC!$B$4:$P$30,MONTH(G39)+2))</f>
        <v>0</v>
      </c>
      <c r="P39" s="308">
        <f>IF(W39=0,0,IF(OR(C39=$AQ$5,C39=AQ43),VLOOKUP(YEAR(W39),INPC!$B$4:$P$30,MONTH(W39)+1),VLOOKUP(YEAR(W39),INPC!$B$4:$P$30,MONTH(W39)+2)))</f>
        <v>0</v>
      </c>
      <c r="Q39" s="309">
        <f t="shared" si="6"/>
        <v>0</v>
      </c>
      <c r="R39" s="310" t="e">
        <f t="shared" si="7"/>
        <v>#N/A</v>
      </c>
      <c r="S39" s="310">
        <f t="shared" si="8"/>
        <v>0</v>
      </c>
      <c r="T39" s="567" t="str">
        <f t="shared" si="9"/>
        <v>NO</v>
      </c>
      <c r="U39" s="323"/>
      <c r="V39" s="299"/>
      <c r="W39" s="300"/>
      <c r="X39" s="299"/>
      <c r="Y39" s="303"/>
      <c r="Z39" s="305">
        <f>IF(Y39=0,0,IF(X39="MXN",1/HLOOKUP(YEAR(W39)+(MONTH(W39)/100),TC!$5:$37,DAY(W39)+2,FALSE),VLOOKUP(X39,Equivalencia!$1:$23,((MAX(Equivalencia!$3:$3)-YEAR(W39))*14)+MONTH(W39)+2,FALSE)))</f>
        <v>0</v>
      </c>
      <c r="AA39" s="306">
        <f t="shared" si="16"/>
        <v>0</v>
      </c>
      <c r="AB39" s="305">
        <f>+IF(W39=0,0,HLOOKUP(YEAR(W39)+(MONTH(W39)/100),TC!$5:$37,DAY(W39)+2,FALSE))</f>
        <v>0</v>
      </c>
      <c r="AC39" s="306">
        <f t="shared" si="15"/>
        <v>0</v>
      </c>
      <c r="AD39" s="314">
        <f t="shared" si="10"/>
        <v>0</v>
      </c>
      <c r="AE39" s="315">
        <f t="shared" si="11"/>
        <v>0</v>
      </c>
      <c r="AF39" s="316">
        <f t="shared" si="3"/>
        <v>0</v>
      </c>
      <c r="AG39" s="314">
        <v>1</v>
      </c>
      <c r="AH39" s="314">
        <f t="shared" si="12"/>
        <v>0</v>
      </c>
      <c r="AI39" s="314">
        <f t="shared" si="13"/>
        <v>0</v>
      </c>
      <c r="AJ39" s="317"/>
      <c r="AK39" s="315" t="e">
        <f t="shared" si="14"/>
        <v>#N/A</v>
      </c>
      <c r="AM39" s="561"/>
      <c r="AN39" s="561"/>
      <c r="AO39" s="561"/>
    </row>
    <row r="40" spans="2:41">
      <c r="B40" s="296"/>
      <c r="C40" s="299"/>
      <c r="D40" s="296"/>
      <c r="E40" s="298"/>
      <c r="F40" s="299"/>
      <c r="G40" s="300"/>
      <c r="H40" s="303"/>
      <c r="I40" s="303"/>
      <c r="J40" s="322">
        <f t="shared" si="0"/>
        <v>0</v>
      </c>
      <c r="K40" s="305" t="e">
        <f>IF(F40="MXN",1/HLOOKUP(YEAR(G40)+(MONTH(G40)/100),TC!$5:$37,DAY(G40)+2,FALSE),VLOOKUP(F40,Equivalencia!$5:$23,((MAX(Equivalencia!$3:$3)-YEAR(G40))*14)+MONTH(G40)+2,FALSE))</f>
        <v>#N/A</v>
      </c>
      <c r="L40" s="306" t="e">
        <f t="shared" si="4"/>
        <v>#N/A</v>
      </c>
      <c r="M40" s="305">
        <f>IF(G40=0,0,HLOOKUP(YEAR(G40)+(MONTH(G40)/100),TC!$5:$37,DAY(G40)+2,FALSE))</f>
        <v>0</v>
      </c>
      <c r="N40" s="306" t="e">
        <f t="shared" si="5"/>
        <v>#N/A</v>
      </c>
      <c r="O40" s="308">
        <f>IF(G40=0,0,VLOOKUP(YEAR(G40),INPC!$B$4:$P$30,MONTH(G40)+2))</f>
        <v>0</v>
      </c>
      <c r="P40" s="308">
        <f>IF(W40=0,0,IF(OR(C40=$AQ$5,C40=AQ44),VLOOKUP(YEAR(W40),INPC!$B$4:$P$30,MONTH(W40)+1),VLOOKUP(YEAR(W40),INPC!$B$4:$P$30,MONTH(W40)+2)))</f>
        <v>0</v>
      </c>
      <c r="Q40" s="309">
        <f t="shared" si="6"/>
        <v>0</v>
      </c>
      <c r="R40" s="310" t="e">
        <f t="shared" si="7"/>
        <v>#N/A</v>
      </c>
      <c r="S40" s="310">
        <f t="shared" si="8"/>
        <v>0</v>
      </c>
      <c r="T40" s="567" t="str">
        <f t="shared" si="9"/>
        <v>NO</v>
      </c>
      <c r="U40" s="323"/>
      <c r="V40" s="299"/>
      <c r="W40" s="300"/>
      <c r="X40" s="299"/>
      <c r="Y40" s="303"/>
      <c r="Z40" s="305">
        <f>IF(Y40=0,0,IF(X40="MXN",1/HLOOKUP(YEAR(W40)+(MONTH(W40)/100),TC!$5:$37,DAY(W40)+2,FALSE),VLOOKUP(X40,Equivalencia!$1:$23,((MAX(Equivalencia!$3:$3)-YEAR(W40))*14)+MONTH(W40)+2,FALSE)))</f>
        <v>0</v>
      </c>
      <c r="AA40" s="306">
        <f t="shared" si="16"/>
        <v>0</v>
      </c>
      <c r="AB40" s="305">
        <f>+IF(W40=0,0,HLOOKUP(YEAR(W40)+(MONTH(W40)/100),TC!$5:$37,DAY(W40)+2,FALSE))</f>
        <v>0</v>
      </c>
      <c r="AC40" s="306">
        <f t="shared" si="15"/>
        <v>0</v>
      </c>
      <c r="AD40" s="314">
        <f t="shared" si="10"/>
        <v>0</v>
      </c>
      <c r="AE40" s="315">
        <f t="shared" si="11"/>
        <v>0</v>
      </c>
      <c r="AF40" s="316">
        <f t="shared" si="3"/>
        <v>0</v>
      </c>
      <c r="AG40" s="314">
        <v>1</v>
      </c>
      <c r="AH40" s="314">
        <f t="shared" si="12"/>
        <v>0</v>
      </c>
      <c r="AI40" s="314">
        <f t="shared" si="13"/>
        <v>0</v>
      </c>
      <c r="AJ40" s="317"/>
      <c r="AK40" s="315" t="e">
        <f t="shared" si="14"/>
        <v>#N/A</v>
      </c>
      <c r="AM40" s="561"/>
      <c r="AN40" s="561"/>
      <c r="AO40" s="561"/>
    </row>
    <row r="41" spans="2:41">
      <c r="B41" s="296"/>
      <c r="C41" s="299"/>
      <c r="D41" s="296"/>
      <c r="E41" s="298"/>
      <c r="F41" s="299"/>
      <c r="G41" s="300"/>
      <c r="H41" s="303"/>
      <c r="I41" s="303"/>
      <c r="J41" s="322">
        <f t="shared" si="0"/>
        <v>0</v>
      </c>
      <c r="K41" s="305" t="e">
        <f>IF(F41="MXN",1/HLOOKUP(YEAR(G41)+(MONTH(G41)/100),TC!$5:$37,DAY(G41)+2,FALSE),VLOOKUP(F41,Equivalencia!$5:$23,((MAX(Equivalencia!$3:$3)-YEAR(G41))*14)+MONTH(G41)+2,FALSE))</f>
        <v>#N/A</v>
      </c>
      <c r="L41" s="306" t="e">
        <f t="shared" si="4"/>
        <v>#N/A</v>
      </c>
      <c r="M41" s="305">
        <f>IF(G41=0,0,HLOOKUP(YEAR(G41)+(MONTH(G41)/100),TC!$5:$37,DAY(G41)+2,FALSE))</f>
        <v>0</v>
      </c>
      <c r="N41" s="306" t="e">
        <f t="shared" si="5"/>
        <v>#N/A</v>
      </c>
      <c r="O41" s="308">
        <f>IF(G41=0,0,VLOOKUP(YEAR(G41),INPC!$B$4:$P$30,MONTH(G41)+2))</f>
        <v>0</v>
      </c>
      <c r="P41" s="308">
        <f>IF(W41=0,0,IF(OR(C41=$AQ$5,C41=AQ45),VLOOKUP(YEAR(W41),INPC!$B$4:$P$30,MONTH(W41)+1),VLOOKUP(YEAR(W41),INPC!$B$4:$P$30,MONTH(W41)+2)))</f>
        <v>0</v>
      </c>
      <c r="Q41" s="309">
        <f t="shared" si="6"/>
        <v>0</v>
      </c>
      <c r="R41" s="310" t="e">
        <f t="shared" si="7"/>
        <v>#N/A</v>
      </c>
      <c r="S41" s="310">
        <f t="shared" si="8"/>
        <v>0</v>
      </c>
      <c r="T41" s="567" t="str">
        <f t="shared" si="9"/>
        <v>NO</v>
      </c>
      <c r="U41" s="323"/>
      <c r="V41" s="299"/>
      <c r="W41" s="300"/>
      <c r="X41" s="299"/>
      <c r="Y41" s="303"/>
      <c r="Z41" s="305">
        <f>IF(Y41=0,0,IF(X41="MXN",1/HLOOKUP(YEAR(W41)+(MONTH(W41)/100),TC!$5:$37,DAY(W41)+2,FALSE),VLOOKUP(X41,Equivalencia!$1:$23,((MAX(Equivalencia!$3:$3)-YEAR(W41))*14)+MONTH(W41)+2,FALSE)))</f>
        <v>0</v>
      </c>
      <c r="AA41" s="306">
        <f t="shared" si="16"/>
        <v>0</v>
      </c>
      <c r="AB41" s="305">
        <f>+IF(W41=0,0,HLOOKUP(YEAR(W41)+(MONTH(W41)/100),TC!$5:$37,DAY(W41)+2,FALSE))</f>
        <v>0</v>
      </c>
      <c r="AC41" s="306">
        <f t="shared" si="15"/>
        <v>0</v>
      </c>
      <c r="AD41" s="314">
        <f t="shared" si="10"/>
        <v>0</v>
      </c>
      <c r="AE41" s="315">
        <f t="shared" si="11"/>
        <v>0</v>
      </c>
      <c r="AF41" s="316">
        <f t="shared" si="3"/>
        <v>0</v>
      </c>
      <c r="AG41" s="314">
        <v>1</v>
      </c>
      <c r="AH41" s="314">
        <f t="shared" si="12"/>
        <v>0</v>
      </c>
      <c r="AI41" s="314">
        <f t="shared" si="13"/>
        <v>0</v>
      </c>
      <c r="AJ41" s="317"/>
      <c r="AK41" s="315" t="e">
        <f t="shared" si="14"/>
        <v>#N/A</v>
      </c>
      <c r="AM41" s="561"/>
      <c r="AN41" s="561"/>
      <c r="AO41" s="561"/>
    </row>
    <row r="42" spans="2:41">
      <c r="B42" s="296"/>
      <c r="C42" s="299"/>
      <c r="D42" s="296"/>
      <c r="E42" s="298"/>
      <c r="F42" s="299"/>
      <c r="G42" s="300"/>
      <c r="H42" s="303"/>
      <c r="I42" s="303"/>
      <c r="J42" s="322">
        <f t="shared" si="0"/>
        <v>0</v>
      </c>
      <c r="K42" s="305" t="e">
        <f>IF(F42="MXN",1/HLOOKUP(YEAR(G42)+(MONTH(G42)/100),TC!$5:$37,DAY(G42)+2,FALSE),VLOOKUP(F42,Equivalencia!$5:$23,((MAX(Equivalencia!$3:$3)-YEAR(G42))*14)+MONTH(G42)+2,FALSE))</f>
        <v>#N/A</v>
      </c>
      <c r="L42" s="306" t="e">
        <f t="shared" si="4"/>
        <v>#N/A</v>
      </c>
      <c r="M42" s="305">
        <f>IF(G42=0,0,HLOOKUP(YEAR(G42)+(MONTH(G42)/100),TC!$5:$37,DAY(G42)+2,FALSE))</f>
        <v>0</v>
      </c>
      <c r="N42" s="306" t="e">
        <f t="shared" si="5"/>
        <v>#N/A</v>
      </c>
      <c r="O42" s="308">
        <f>IF(G42=0,0,VLOOKUP(YEAR(G42),INPC!$B$4:$P$30,MONTH(G42)+2))</f>
        <v>0</v>
      </c>
      <c r="P42" s="308">
        <f>IF(W42=0,0,IF(OR(C42=$AQ$5,C42=AQ46),VLOOKUP(YEAR(W42),INPC!$B$4:$P$30,MONTH(W42)+1),VLOOKUP(YEAR(W42),INPC!$B$4:$P$30,MONTH(W42)+2)))</f>
        <v>0</v>
      </c>
      <c r="Q42" s="309">
        <f t="shared" si="6"/>
        <v>0</v>
      </c>
      <c r="R42" s="310" t="e">
        <f t="shared" si="7"/>
        <v>#N/A</v>
      </c>
      <c r="S42" s="310">
        <f t="shared" si="8"/>
        <v>0</v>
      </c>
      <c r="T42" s="567" t="str">
        <f t="shared" si="9"/>
        <v>NO</v>
      </c>
      <c r="U42" s="323"/>
      <c r="V42" s="299"/>
      <c r="W42" s="300"/>
      <c r="X42" s="299"/>
      <c r="Y42" s="303"/>
      <c r="Z42" s="305">
        <f>IF(Y42=0,0,IF(X42="MXN",1/HLOOKUP(YEAR(W42)+(MONTH(W42)/100),TC!$5:$37,DAY(W42)+2,FALSE),VLOOKUP(X42,Equivalencia!$1:$23,((MAX(Equivalencia!$3:$3)-YEAR(W42))*14)+MONTH(W42)+2,FALSE)))</f>
        <v>0</v>
      </c>
      <c r="AA42" s="306">
        <f t="shared" si="16"/>
        <v>0</v>
      </c>
      <c r="AB42" s="305">
        <f>+IF(W42=0,0,HLOOKUP(YEAR(W42)+(MONTH(W42)/100),TC!$5:$37,DAY(W42)+2,FALSE))</f>
        <v>0</v>
      </c>
      <c r="AC42" s="306">
        <f t="shared" si="15"/>
        <v>0</v>
      </c>
      <c r="AD42" s="314">
        <f t="shared" si="10"/>
        <v>0</v>
      </c>
      <c r="AE42" s="315">
        <f t="shared" si="11"/>
        <v>0</v>
      </c>
      <c r="AF42" s="316">
        <f t="shared" si="3"/>
        <v>0</v>
      </c>
      <c r="AG42" s="314">
        <v>1</v>
      </c>
      <c r="AH42" s="314">
        <f t="shared" si="12"/>
        <v>0</v>
      </c>
      <c r="AI42" s="314">
        <f t="shared" si="13"/>
        <v>0</v>
      </c>
      <c r="AJ42" s="317"/>
      <c r="AK42" s="315" t="e">
        <f t="shared" si="14"/>
        <v>#N/A</v>
      </c>
      <c r="AM42" s="561"/>
      <c r="AN42" s="561"/>
      <c r="AO42" s="561"/>
    </row>
    <row r="43" spans="2:41">
      <c r="B43" s="296"/>
      <c r="C43" s="299"/>
      <c r="D43" s="296"/>
      <c r="E43" s="298"/>
      <c r="F43" s="299"/>
      <c r="G43" s="300"/>
      <c r="H43" s="303"/>
      <c r="I43" s="303"/>
      <c r="J43" s="322">
        <f t="shared" si="0"/>
        <v>0</v>
      </c>
      <c r="K43" s="305" t="e">
        <f>IF(F43="MXN",1/HLOOKUP(YEAR(G43)+(MONTH(G43)/100),TC!$5:$37,DAY(G43)+2,FALSE),VLOOKUP(F43,Equivalencia!$5:$23,((MAX(Equivalencia!$3:$3)-YEAR(G43))*14)+MONTH(G43)+2,FALSE))</f>
        <v>#N/A</v>
      </c>
      <c r="L43" s="306" t="e">
        <f t="shared" si="4"/>
        <v>#N/A</v>
      </c>
      <c r="M43" s="305">
        <f>IF(G43=0,0,HLOOKUP(YEAR(G43)+(MONTH(G43)/100),TC!$5:$37,DAY(G43)+2,FALSE))</f>
        <v>0</v>
      </c>
      <c r="N43" s="306" t="e">
        <f t="shared" si="5"/>
        <v>#N/A</v>
      </c>
      <c r="O43" s="308">
        <f>IF(G43=0,0,VLOOKUP(YEAR(G43),INPC!$B$4:$P$30,MONTH(G43)+2))</f>
        <v>0</v>
      </c>
      <c r="P43" s="308">
        <f>IF(W43=0,0,IF(OR(C43=$AQ$5,C43=AQ47),VLOOKUP(YEAR(W43),INPC!$B$4:$P$30,MONTH(W43)+1),VLOOKUP(YEAR(W43),INPC!$B$4:$P$30,MONTH(W43)+2)))</f>
        <v>0</v>
      </c>
      <c r="Q43" s="309">
        <f t="shared" si="6"/>
        <v>0</v>
      </c>
      <c r="R43" s="310" t="e">
        <f t="shared" si="7"/>
        <v>#N/A</v>
      </c>
      <c r="S43" s="310">
        <f t="shared" si="8"/>
        <v>0</v>
      </c>
      <c r="T43" s="567" t="str">
        <f t="shared" si="9"/>
        <v>NO</v>
      </c>
      <c r="U43" s="323"/>
      <c r="V43" s="299"/>
      <c r="W43" s="300"/>
      <c r="X43" s="299"/>
      <c r="Y43" s="303"/>
      <c r="Z43" s="305">
        <f>IF(Y43=0,0,IF(X43="MXN",1/HLOOKUP(YEAR(W43)+(MONTH(W43)/100),TC!$5:$37,DAY(W43)+2,FALSE),VLOOKUP(X43,Equivalencia!$1:$23,((MAX(Equivalencia!$3:$3)-YEAR(W43))*14)+MONTH(W43)+2,FALSE)))</f>
        <v>0</v>
      </c>
      <c r="AA43" s="306">
        <f t="shared" si="16"/>
        <v>0</v>
      </c>
      <c r="AB43" s="305">
        <f>+IF(W43=0,0,HLOOKUP(YEAR(W43)+(MONTH(W43)/100),TC!$5:$37,DAY(W43)+2,FALSE))</f>
        <v>0</v>
      </c>
      <c r="AC43" s="306">
        <f t="shared" si="15"/>
        <v>0</v>
      </c>
      <c r="AD43" s="314">
        <f t="shared" si="10"/>
        <v>0</v>
      </c>
      <c r="AE43" s="315">
        <f t="shared" si="11"/>
        <v>0</v>
      </c>
      <c r="AF43" s="316">
        <f t="shared" si="3"/>
        <v>0</v>
      </c>
      <c r="AG43" s="314">
        <v>1</v>
      </c>
      <c r="AH43" s="314">
        <f t="shared" si="12"/>
        <v>0</v>
      </c>
      <c r="AI43" s="314">
        <f t="shared" si="13"/>
        <v>0</v>
      </c>
      <c r="AJ43" s="317"/>
      <c r="AK43" s="315" t="e">
        <f t="shared" si="14"/>
        <v>#N/A</v>
      </c>
      <c r="AM43" s="561"/>
      <c r="AN43" s="561"/>
      <c r="AO43" s="561"/>
    </row>
    <row r="44" spans="2:41">
      <c r="B44" s="296"/>
      <c r="C44" s="299"/>
      <c r="D44" s="296"/>
      <c r="E44" s="298"/>
      <c r="F44" s="299"/>
      <c r="G44" s="300"/>
      <c r="H44" s="303"/>
      <c r="I44" s="303"/>
      <c r="J44" s="322">
        <f t="shared" si="0"/>
        <v>0</v>
      </c>
      <c r="K44" s="305" t="e">
        <f>IF(F44="MXN",1/HLOOKUP(YEAR(G44)+(MONTH(G44)/100),TC!$5:$37,DAY(G44)+2,FALSE),VLOOKUP(F44,Equivalencia!$5:$23,((MAX(Equivalencia!$3:$3)-YEAR(G44))*14)+MONTH(G44)+2,FALSE))</f>
        <v>#N/A</v>
      </c>
      <c r="L44" s="306" t="e">
        <f t="shared" si="4"/>
        <v>#N/A</v>
      </c>
      <c r="M44" s="305">
        <f>IF(G44=0,0,HLOOKUP(YEAR(G44)+(MONTH(G44)/100),TC!$5:$37,DAY(G44)+2,FALSE))</f>
        <v>0</v>
      </c>
      <c r="N44" s="306" t="e">
        <f t="shared" si="5"/>
        <v>#N/A</v>
      </c>
      <c r="O44" s="308">
        <f>IF(G44=0,0,VLOOKUP(YEAR(G44),INPC!$B$4:$P$30,MONTH(G44)+2))</f>
        <v>0</v>
      </c>
      <c r="P44" s="308">
        <f>IF(W44=0,0,IF(OR(C44=$AQ$5,C44=AQ48),VLOOKUP(YEAR(W44),INPC!$B$4:$P$30,MONTH(W44)+1),VLOOKUP(YEAR(W44),INPC!$B$4:$P$30,MONTH(W44)+2)))</f>
        <v>0</v>
      </c>
      <c r="Q44" s="309">
        <f t="shared" si="6"/>
        <v>0</v>
      </c>
      <c r="R44" s="310" t="e">
        <f t="shared" si="7"/>
        <v>#N/A</v>
      </c>
      <c r="S44" s="310">
        <f t="shared" si="8"/>
        <v>0</v>
      </c>
      <c r="T44" s="567" t="str">
        <f t="shared" si="9"/>
        <v>NO</v>
      </c>
      <c r="U44" s="323"/>
      <c r="V44" s="299"/>
      <c r="W44" s="300"/>
      <c r="X44" s="299"/>
      <c r="Y44" s="303"/>
      <c r="Z44" s="305">
        <f>IF(Y44=0,0,IF(X44="MXN",1/HLOOKUP(YEAR(W44)+(MONTH(W44)/100),TC!$5:$37,DAY(W44)+2,FALSE),VLOOKUP(X44,Equivalencia!$1:$23,((MAX(Equivalencia!$3:$3)-YEAR(W44))*14)+MONTH(W44)+2,FALSE)))</f>
        <v>0</v>
      </c>
      <c r="AA44" s="306">
        <f t="shared" si="16"/>
        <v>0</v>
      </c>
      <c r="AB44" s="305">
        <f>+IF(W44=0,0,HLOOKUP(YEAR(W44)+(MONTH(W44)/100),TC!$5:$37,DAY(W44)+2,FALSE))</f>
        <v>0</v>
      </c>
      <c r="AC44" s="306">
        <f t="shared" si="15"/>
        <v>0</v>
      </c>
      <c r="AD44" s="314">
        <f t="shared" si="10"/>
        <v>0</v>
      </c>
      <c r="AE44" s="315">
        <f t="shared" si="11"/>
        <v>0</v>
      </c>
      <c r="AF44" s="316">
        <f t="shared" si="3"/>
        <v>0</v>
      </c>
      <c r="AG44" s="314">
        <v>1</v>
      </c>
      <c r="AH44" s="314">
        <f t="shared" si="12"/>
        <v>0</v>
      </c>
      <c r="AI44" s="314">
        <f t="shared" si="13"/>
        <v>0</v>
      </c>
      <c r="AJ44" s="317"/>
      <c r="AK44" s="315" t="e">
        <f t="shared" si="14"/>
        <v>#N/A</v>
      </c>
      <c r="AM44" s="561"/>
      <c r="AN44" s="561"/>
      <c r="AO44" s="561"/>
    </row>
    <row r="45" spans="2:41">
      <c r="B45" s="296"/>
      <c r="C45" s="299"/>
      <c r="D45" s="296"/>
      <c r="E45" s="298"/>
      <c r="F45" s="299"/>
      <c r="G45" s="300"/>
      <c r="H45" s="303"/>
      <c r="I45" s="303"/>
      <c r="J45" s="322">
        <f t="shared" si="0"/>
        <v>0</v>
      </c>
      <c r="K45" s="305" t="e">
        <f>IF(F45="MXN",1/HLOOKUP(YEAR(G45)+(MONTH(G45)/100),TC!$5:$37,DAY(G45)+2,FALSE),VLOOKUP(F45,Equivalencia!$5:$23,((MAX(Equivalencia!$3:$3)-YEAR(G45))*14)+MONTH(G45)+2,FALSE))</f>
        <v>#N/A</v>
      </c>
      <c r="L45" s="306" t="e">
        <f t="shared" si="4"/>
        <v>#N/A</v>
      </c>
      <c r="M45" s="305">
        <f>IF(G45=0,0,HLOOKUP(YEAR(G45)+(MONTH(G45)/100),TC!$5:$37,DAY(G45)+2,FALSE))</f>
        <v>0</v>
      </c>
      <c r="N45" s="306" t="e">
        <f t="shared" si="5"/>
        <v>#N/A</v>
      </c>
      <c r="O45" s="308">
        <f>IF(G45=0,0,VLOOKUP(YEAR(G45),INPC!$B$4:$P$30,MONTH(G45)+2))</f>
        <v>0</v>
      </c>
      <c r="P45" s="308">
        <f>IF(W45=0,0,IF(OR(C45=$AQ$5,C45=AQ49),VLOOKUP(YEAR(W45),INPC!$B$4:$P$30,MONTH(W45)+1),VLOOKUP(YEAR(W45),INPC!$B$4:$P$30,MONTH(W45)+2)))</f>
        <v>0</v>
      </c>
      <c r="Q45" s="309">
        <f t="shared" si="6"/>
        <v>0</v>
      </c>
      <c r="R45" s="310" t="e">
        <f t="shared" si="7"/>
        <v>#N/A</v>
      </c>
      <c r="S45" s="310">
        <f t="shared" si="8"/>
        <v>0</v>
      </c>
      <c r="T45" s="567" t="str">
        <f t="shared" si="9"/>
        <v>NO</v>
      </c>
      <c r="U45" s="323"/>
      <c r="V45" s="299"/>
      <c r="W45" s="300"/>
      <c r="X45" s="299"/>
      <c r="Y45" s="303"/>
      <c r="Z45" s="305">
        <f>IF(Y45=0,0,IF(X45="MXN",1/HLOOKUP(YEAR(W45)+(MONTH(W45)/100),TC!$5:$37,DAY(W45)+2,FALSE),VLOOKUP(X45,Equivalencia!$1:$23,((MAX(Equivalencia!$3:$3)-YEAR(W45))*14)+MONTH(W45)+2,FALSE)))</f>
        <v>0</v>
      </c>
      <c r="AA45" s="306">
        <f t="shared" si="16"/>
        <v>0</v>
      </c>
      <c r="AB45" s="305">
        <f>+IF(W45=0,0,HLOOKUP(YEAR(W45)+(MONTH(W45)/100),TC!$5:$37,DAY(W45)+2,FALSE))</f>
        <v>0</v>
      </c>
      <c r="AC45" s="306">
        <f t="shared" si="15"/>
        <v>0</v>
      </c>
      <c r="AD45" s="314">
        <f t="shared" si="10"/>
        <v>0</v>
      </c>
      <c r="AE45" s="315">
        <f t="shared" si="11"/>
        <v>0</v>
      </c>
      <c r="AF45" s="316">
        <f t="shared" si="3"/>
        <v>0</v>
      </c>
      <c r="AG45" s="314">
        <v>1</v>
      </c>
      <c r="AH45" s="314">
        <f t="shared" si="12"/>
        <v>0</v>
      </c>
      <c r="AI45" s="314">
        <f t="shared" si="13"/>
        <v>0</v>
      </c>
      <c r="AJ45" s="317"/>
      <c r="AK45" s="315" t="e">
        <f t="shared" si="14"/>
        <v>#N/A</v>
      </c>
      <c r="AM45" s="561"/>
      <c r="AN45" s="561"/>
      <c r="AO45" s="561"/>
    </row>
    <row r="46" spans="2:41">
      <c r="B46" s="296"/>
      <c r="C46" s="299"/>
      <c r="D46" s="296"/>
      <c r="E46" s="298"/>
      <c r="F46" s="299"/>
      <c r="G46" s="300"/>
      <c r="H46" s="303"/>
      <c r="I46" s="303"/>
      <c r="J46" s="322">
        <f t="shared" si="0"/>
        <v>0</v>
      </c>
      <c r="K46" s="305" t="e">
        <f>IF(F46="MXN",1/HLOOKUP(YEAR(G46)+(MONTH(G46)/100),TC!$5:$37,DAY(G46)+2,FALSE),VLOOKUP(F46,Equivalencia!$5:$23,((MAX(Equivalencia!$3:$3)-YEAR(G46))*14)+MONTH(G46)+2,FALSE))</f>
        <v>#N/A</v>
      </c>
      <c r="L46" s="306" t="e">
        <f t="shared" si="4"/>
        <v>#N/A</v>
      </c>
      <c r="M46" s="305">
        <f>IF(G46=0,0,HLOOKUP(YEAR(G46)+(MONTH(G46)/100),TC!$5:$37,DAY(G46)+2,FALSE))</f>
        <v>0</v>
      </c>
      <c r="N46" s="306" t="e">
        <f t="shared" si="5"/>
        <v>#N/A</v>
      </c>
      <c r="O46" s="308">
        <f>IF(G46=0,0,VLOOKUP(YEAR(G46),INPC!$B$4:$P$30,MONTH(G46)+2))</f>
        <v>0</v>
      </c>
      <c r="P46" s="308">
        <f>IF(W46=0,0,IF(OR(C46=$AQ$5,C46=AQ50),VLOOKUP(YEAR(W46),INPC!$B$4:$P$30,MONTH(W46)+1),VLOOKUP(YEAR(W46),INPC!$B$4:$P$30,MONTH(W46)+2)))</f>
        <v>0</v>
      </c>
      <c r="Q46" s="309">
        <f t="shared" si="6"/>
        <v>0</v>
      </c>
      <c r="R46" s="310" t="e">
        <f t="shared" si="7"/>
        <v>#N/A</v>
      </c>
      <c r="S46" s="310">
        <f t="shared" si="8"/>
        <v>0</v>
      </c>
      <c r="T46" s="567" t="str">
        <f t="shared" si="9"/>
        <v>NO</v>
      </c>
      <c r="U46" s="323"/>
      <c r="V46" s="299"/>
      <c r="W46" s="300"/>
      <c r="X46" s="299"/>
      <c r="Y46" s="303"/>
      <c r="Z46" s="305">
        <f>IF(Y46=0,0,IF(X46="MXN",1/HLOOKUP(YEAR(W46)+(MONTH(W46)/100),TC!$5:$37,DAY(W46)+2,FALSE),VLOOKUP(X46,Equivalencia!$1:$23,((MAX(Equivalencia!$3:$3)-YEAR(W46))*14)+MONTH(W46)+2,FALSE)))</f>
        <v>0</v>
      </c>
      <c r="AA46" s="306">
        <f t="shared" si="16"/>
        <v>0</v>
      </c>
      <c r="AB46" s="305">
        <f>+IF(W46=0,0,HLOOKUP(YEAR(W46)+(MONTH(W46)/100),TC!$5:$37,DAY(W46)+2,FALSE))</f>
        <v>0</v>
      </c>
      <c r="AC46" s="306">
        <f t="shared" si="15"/>
        <v>0</v>
      </c>
      <c r="AD46" s="314">
        <f t="shared" si="10"/>
        <v>0</v>
      </c>
      <c r="AE46" s="315">
        <f t="shared" si="11"/>
        <v>0</v>
      </c>
      <c r="AF46" s="316">
        <f t="shared" si="3"/>
        <v>0</v>
      </c>
      <c r="AG46" s="314">
        <v>1</v>
      </c>
      <c r="AH46" s="314">
        <f t="shared" si="12"/>
        <v>0</v>
      </c>
      <c r="AI46" s="314">
        <f t="shared" si="13"/>
        <v>0</v>
      </c>
      <c r="AJ46" s="317"/>
      <c r="AK46" s="315" t="e">
        <f t="shared" si="14"/>
        <v>#N/A</v>
      </c>
      <c r="AM46" s="561"/>
      <c r="AN46" s="561"/>
      <c r="AO46" s="561"/>
    </row>
    <row r="47" spans="2:41">
      <c r="B47" s="296"/>
      <c r="C47" s="299"/>
      <c r="D47" s="296"/>
      <c r="E47" s="298"/>
      <c r="F47" s="299"/>
      <c r="G47" s="300"/>
      <c r="H47" s="303"/>
      <c r="I47" s="303"/>
      <c r="J47" s="322">
        <f t="shared" si="0"/>
        <v>0</v>
      </c>
      <c r="K47" s="305" t="e">
        <f>IF(F47="MXN",1/HLOOKUP(YEAR(G47)+(MONTH(G47)/100),TC!$5:$37,DAY(G47)+2,FALSE),VLOOKUP(F47,Equivalencia!$5:$23,((MAX(Equivalencia!$3:$3)-YEAR(G47))*14)+MONTH(G47)+2,FALSE))</f>
        <v>#N/A</v>
      </c>
      <c r="L47" s="306" t="e">
        <f t="shared" si="4"/>
        <v>#N/A</v>
      </c>
      <c r="M47" s="305">
        <f>IF(G47=0,0,HLOOKUP(YEAR(G47)+(MONTH(G47)/100),TC!$5:$37,DAY(G47)+2,FALSE))</f>
        <v>0</v>
      </c>
      <c r="N47" s="306" t="e">
        <f t="shared" si="5"/>
        <v>#N/A</v>
      </c>
      <c r="O47" s="308">
        <f>IF(G47=0,0,VLOOKUP(YEAR(G47),INPC!$B$4:$P$30,MONTH(G47)+2))</f>
        <v>0</v>
      </c>
      <c r="P47" s="308">
        <f>IF(W47=0,0,IF(OR(C47=$AQ$5,C47=AQ51),VLOOKUP(YEAR(W47),INPC!$B$4:$P$30,MONTH(W47)+1),VLOOKUP(YEAR(W47),INPC!$B$4:$P$30,MONTH(W47)+2)))</f>
        <v>0</v>
      </c>
      <c r="Q47" s="309">
        <f t="shared" si="6"/>
        <v>0</v>
      </c>
      <c r="R47" s="310" t="e">
        <f t="shared" si="7"/>
        <v>#N/A</v>
      </c>
      <c r="S47" s="310">
        <f t="shared" si="8"/>
        <v>0</v>
      </c>
      <c r="T47" s="567" t="str">
        <f t="shared" si="9"/>
        <v>NO</v>
      </c>
      <c r="U47" s="323"/>
      <c r="V47" s="299"/>
      <c r="W47" s="300"/>
      <c r="X47" s="299"/>
      <c r="Y47" s="303"/>
      <c r="Z47" s="305">
        <f>IF(Y47=0,0,IF(X47="MXN",1/HLOOKUP(YEAR(W47)+(MONTH(W47)/100),TC!$5:$37,DAY(W47)+2,FALSE),VLOOKUP(X47,Equivalencia!$1:$23,((MAX(Equivalencia!$3:$3)-YEAR(W47))*14)+MONTH(W47)+2,FALSE)))</f>
        <v>0</v>
      </c>
      <c r="AA47" s="306">
        <f t="shared" si="16"/>
        <v>0</v>
      </c>
      <c r="AB47" s="305">
        <f>+IF(W47=0,0,HLOOKUP(YEAR(W47)+(MONTH(W47)/100),TC!$5:$37,DAY(W47)+2,FALSE))</f>
        <v>0</v>
      </c>
      <c r="AC47" s="306">
        <f t="shared" si="15"/>
        <v>0</v>
      </c>
      <c r="AD47" s="314">
        <f t="shared" si="10"/>
        <v>0</v>
      </c>
      <c r="AE47" s="315">
        <f t="shared" si="11"/>
        <v>0</v>
      </c>
      <c r="AF47" s="316">
        <f t="shared" si="3"/>
        <v>0</v>
      </c>
      <c r="AG47" s="314">
        <v>1</v>
      </c>
      <c r="AH47" s="314">
        <f t="shared" si="12"/>
        <v>0</v>
      </c>
      <c r="AI47" s="314">
        <f t="shared" si="13"/>
        <v>0</v>
      </c>
      <c r="AJ47" s="317"/>
      <c r="AK47" s="315" t="e">
        <f t="shared" si="14"/>
        <v>#N/A</v>
      </c>
      <c r="AM47" s="561"/>
      <c r="AN47" s="561"/>
      <c r="AO47" s="561"/>
    </row>
    <row r="48" spans="2:41">
      <c r="B48" s="296"/>
      <c r="C48" s="299"/>
      <c r="D48" s="296"/>
      <c r="E48" s="298"/>
      <c r="F48" s="299"/>
      <c r="G48" s="300"/>
      <c r="H48" s="303"/>
      <c r="I48" s="303"/>
      <c r="J48" s="322">
        <f t="shared" si="0"/>
        <v>0</v>
      </c>
      <c r="K48" s="305" t="e">
        <f>IF(F48="MXN",1/HLOOKUP(YEAR(G48)+(MONTH(G48)/100),TC!$5:$37,DAY(G48)+2,FALSE),VLOOKUP(F48,Equivalencia!$5:$23,((MAX(Equivalencia!$3:$3)-YEAR(G48))*14)+MONTH(G48)+2,FALSE))</f>
        <v>#N/A</v>
      </c>
      <c r="L48" s="306" t="e">
        <f t="shared" si="4"/>
        <v>#N/A</v>
      </c>
      <c r="M48" s="305">
        <f>IF(G48=0,0,HLOOKUP(YEAR(G48)+(MONTH(G48)/100),TC!$5:$37,DAY(G48)+2,FALSE))</f>
        <v>0</v>
      </c>
      <c r="N48" s="306" t="e">
        <f t="shared" si="5"/>
        <v>#N/A</v>
      </c>
      <c r="O48" s="308">
        <f>IF(G48=0,0,VLOOKUP(YEAR(G48),INPC!$B$4:$P$30,MONTH(G48)+2))</f>
        <v>0</v>
      </c>
      <c r="P48" s="308">
        <f>IF(W48=0,0,IF(OR(C48=$AQ$5,C48=AQ52),VLOOKUP(YEAR(W48),INPC!$B$4:$P$30,MONTH(W48)+1),VLOOKUP(YEAR(W48),INPC!$B$4:$P$30,MONTH(W48)+2)))</f>
        <v>0</v>
      </c>
      <c r="Q48" s="309">
        <f t="shared" si="6"/>
        <v>0</v>
      </c>
      <c r="R48" s="310" t="e">
        <f t="shared" si="7"/>
        <v>#N/A</v>
      </c>
      <c r="S48" s="310">
        <f t="shared" si="8"/>
        <v>0</v>
      </c>
      <c r="T48" s="567" t="str">
        <f t="shared" si="9"/>
        <v>NO</v>
      </c>
      <c r="U48" s="323"/>
      <c r="V48" s="299"/>
      <c r="W48" s="300"/>
      <c r="X48" s="299"/>
      <c r="Y48" s="303"/>
      <c r="Z48" s="305">
        <f>IF(Y48=0,0,IF(X48="MXN",1/HLOOKUP(YEAR(W48)+(MONTH(W48)/100),TC!$5:$37,DAY(W48)+2,FALSE),VLOOKUP(X48,Equivalencia!$1:$23,((MAX(Equivalencia!$3:$3)-YEAR(W48))*14)+MONTH(W48)+2,FALSE)))</f>
        <v>0</v>
      </c>
      <c r="AA48" s="306">
        <f t="shared" si="16"/>
        <v>0</v>
      </c>
      <c r="AB48" s="305">
        <f>+IF(W48=0,0,HLOOKUP(YEAR(W48)+(MONTH(W48)/100),TC!$5:$37,DAY(W48)+2,FALSE))</f>
        <v>0</v>
      </c>
      <c r="AC48" s="306">
        <f t="shared" si="15"/>
        <v>0</v>
      </c>
      <c r="AD48" s="314">
        <f t="shared" si="10"/>
        <v>0</v>
      </c>
      <c r="AE48" s="315">
        <f t="shared" si="11"/>
        <v>0</v>
      </c>
      <c r="AF48" s="316">
        <f t="shared" si="3"/>
        <v>0</v>
      </c>
      <c r="AG48" s="314">
        <v>1</v>
      </c>
      <c r="AH48" s="314">
        <f t="shared" si="12"/>
        <v>0</v>
      </c>
      <c r="AI48" s="314">
        <f t="shared" si="13"/>
        <v>0</v>
      </c>
      <c r="AJ48" s="317"/>
      <c r="AK48" s="315" t="e">
        <f t="shared" si="14"/>
        <v>#N/A</v>
      </c>
      <c r="AM48" s="561"/>
      <c r="AN48" s="561"/>
      <c r="AO48" s="561"/>
    </row>
    <row r="49" spans="2:41">
      <c r="B49" s="296"/>
      <c r="C49" s="299"/>
      <c r="D49" s="296"/>
      <c r="E49" s="298"/>
      <c r="F49" s="299"/>
      <c r="G49" s="300"/>
      <c r="H49" s="303"/>
      <c r="I49" s="303"/>
      <c r="J49" s="322">
        <f t="shared" si="0"/>
        <v>0</v>
      </c>
      <c r="K49" s="305" t="e">
        <f>IF(F49="MXN",1/HLOOKUP(YEAR(G49)+(MONTH(G49)/100),TC!$5:$37,DAY(G49)+2,FALSE),VLOOKUP(F49,Equivalencia!$5:$23,((MAX(Equivalencia!$3:$3)-YEAR(G49))*14)+MONTH(G49)+2,FALSE))</f>
        <v>#N/A</v>
      </c>
      <c r="L49" s="306" t="e">
        <f t="shared" si="4"/>
        <v>#N/A</v>
      </c>
      <c r="M49" s="305">
        <f>IF(G49=0,0,HLOOKUP(YEAR(G49)+(MONTH(G49)/100),TC!$5:$37,DAY(G49)+2,FALSE))</f>
        <v>0</v>
      </c>
      <c r="N49" s="306" t="e">
        <f t="shared" si="5"/>
        <v>#N/A</v>
      </c>
      <c r="O49" s="308">
        <f>IF(G49=0,0,VLOOKUP(YEAR(G49),INPC!$B$4:$P$30,MONTH(G49)+2))</f>
        <v>0</v>
      </c>
      <c r="P49" s="308">
        <f>IF(W49=0,0,IF(OR(C49=$AQ$5,C49=AQ53),VLOOKUP(YEAR(W49),INPC!$B$4:$P$30,MONTH(W49)+1),VLOOKUP(YEAR(W49),INPC!$B$4:$P$30,MONTH(W49)+2)))</f>
        <v>0</v>
      </c>
      <c r="Q49" s="309">
        <f t="shared" si="6"/>
        <v>0</v>
      </c>
      <c r="R49" s="310" t="e">
        <f t="shared" si="7"/>
        <v>#N/A</v>
      </c>
      <c r="S49" s="310">
        <f t="shared" si="8"/>
        <v>0</v>
      </c>
      <c r="T49" s="567" t="str">
        <f t="shared" si="9"/>
        <v>NO</v>
      </c>
      <c r="U49" s="323"/>
      <c r="V49" s="299"/>
      <c r="W49" s="300"/>
      <c r="X49" s="299"/>
      <c r="Y49" s="303"/>
      <c r="Z49" s="305">
        <f>IF(Y49=0,0,IF(X49="MXN",1/HLOOKUP(YEAR(W49)+(MONTH(W49)/100),TC!$5:$37,DAY(W49)+2,FALSE),VLOOKUP(X49,Equivalencia!$1:$23,((MAX(Equivalencia!$3:$3)-YEAR(W49))*14)+MONTH(W49)+2,FALSE)))</f>
        <v>0</v>
      </c>
      <c r="AA49" s="306">
        <f t="shared" si="16"/>
        <v>0</v>
      </c>
      <c r="AB49" s="305">
        <f>+IF(W49=0,0,HLOOKUP(YEAR(W49)+(MONTH(W49)/100),TC!$5:$37,DAY(W49)+2,FALSE))</f>
        <v>0</v>
      </c>
      <c r="AC49" s="306">
        <f t="shared" si="15"/>
        <v>0</v>
      </c>
      <c r="AD49" s="314">
        <f t="shared" si="10"/>
        <v>0</v>
      </c>
      <c r="AE49" s="315">
        <f t="shared" si="11"/>
        <v>0</v>
      </c>
      <c r="AF49" s="316">
        <f t="shared" si="3"/>
        <v>0</v>
      </c>
      <c r="AG49" s="314">
        <v>1</v>
      </c>
      <c r="AH49" s="314">
        <f t="shared" si="12"/>
        <v>0</v>
      </c>
      <c r="AI49" s="314">
        <f t="shared" si="13"/>
        <v>0</v>
      </c>
      <c r="AJ49" s="317"/>
      <c r="AK49" s="315" t="e">
        <f t="shared" si="14"/>
        <v>#N/A</v>
      </c>
      <c r="AM49" s="561"/>
      <c r="AN49" s="561"/>
      <c r="AO49" s="561"/>
    </row>
    <row r="50" spans="2:41">
      <c r="B50" s="296"/>
      <c r="C50" s="299"/>
      <c r="D50" s="296"/>
      <c r="E50" s="298"/>
      <c r="F50" s="299"/>
      <c r="G50" s="300"/>
      <c r="H50" s="303"/>
      <c r="I50" s="303"/>
      <c r="J50" s="322">
        <f t="shared" si="0"/>
        <v>0</v>
      </c>
      <c r="K50" s="305" t="e">
        <f>IF(F50="MXN",1/HLOOKUP(YEAR(G50)+(MONTH(G50)/100),TC!$5:$37,DAY(G50)+2,FALSE),VLOOKUP(F50,Equivalencia!$5:$23,((MAX(Equivalencia!$3:$3)-YEAR(G50))*14)+MONTH(G50)+2,FALSE))</f>
        <v>#N/A</v>
      </c>
      <c r="L50" s="306" t="e">
        <f t="shared" si="4"/>
        <v>#N/A</v>
      </c>
      <c r="M50" s="305">
        <f>IF(G50=0,0,HLOOKUP(YEAR(G50)+(MONTH(G50)/100),TC!$5:$37,DAY(G50)+2,FALSE))</f>
        <v>0</v>
      </c>
      <c r="N50" s="306" t="e">
        <f t="shared" si="5"/>
        <v>#N/A</v>
      </c>
      <c r="O50" s="308">
        <f>IF(G50=0,0,VLOOKUP(YEAR(G50),INPC!$B$4:$P$30,MONTH(G50)+2))</f>
        <v>0</v>
      </c>
      <c r="P50" s="308">
        <f>IF(W50=0,0,IF(OR(C50=$AQ$5,C50=AQ54),VLOOKUP(YEAR(W50),INPC!$B$4:$P$30,MONTH(W50)+1),VLOOKUP(YEAR(W50),INPC!$B$4:$P$30,MONTH(W50)+2)))</f>
        <v>0</v>
      </c>
      <c r="Q50" s="309">
        <f t="shared" si="6"/>
        <v>0</v>
      </c>
      <c r="R50" s="310" t="e">
        <f t="shared" si="7"/>
        <v>#N/A</v>
      </c>
      <c r="S50" s="310">
        <f t="shared" si="8"/>
        <v>0</v>
      </c>
      <c r="T50" s="567" t="str">
        <f t="shared" si="9"/>
        <v>NO</v>
      </c>
      <c r="U50" s="323"/>
      <c r="V50" s="299"/>
      <c r="W50" s="300"/>
      <c r="X50" s="299"/>
      <c r="Y50" s="303"/>
      <c r="Z50" s="305">
        <f>IF(Y50=0,0,IF(X50="MXN",1/HLOOKUP(YEAR(W50)+(MONTH(W50)/100),TC!$5:$37,DAY(W50)+2,FALSE),VLOOKUP(X50,Equivalencia!$1:$23,((MAX(Equivalencia!$3:$3)-YEAR(W50))*14)+MONTH(W50)+2,FALSE)))</f>
        <v>0</v>
      </c>
      <c r="AA50" s="306">
        <f t="shared" si="16"/>
        <v>0</v>
      </c>
      <c r="AB50" s="305">
        <f>+IF(W50=0,0,HLOOKUP(YEAR(W50)+(MONTH(W50)/100),TC!$5:$37,DAY(W50)+2,FALSE))</f>
        <v>0</v>
      </c>
      <c r="AC50" s="306">
        <f t="shared" si="15"/>
        <v>0</v>
      </c>
      <c r="AD50" s="314">
        <f t="shared" si="10"/>
        <v>0</v>
      </c>
      <c r="AE50" s="315">
        <f t="shared" si="11"/>
        <v>0</v>
      </c>
      <c r="AF50" s="316">
        <f t="shared" si="3"/>
        <v>0</v>
      </c>
      <c r="AG50" s="314">
        <v>1</v>
      </c>
      <c r="AH50" s="314">
        <f t="shared" si="12"/>
        <v>0</v>
      </c>
      <c r="AI50" s="314">
        <f t="shared" si="13"/>
        <v>0</v>
      </c>
      <c r="AJ50" s="317"/>
      <c r="AK50" s="315" t="e">
        <f t="shared" si="14"/>
        <v>#N/A</v>
      </c>
      <c r="AM50" s="561"/>
      <c r="AN50" s="561"/>
      <c r="AO50" s="561"/>
    </row>
    <row r="51" spans="2:41">
      <c r="B51" s="296"/>
      <c r="C51" s="299"/>
      <c r="D51" s="296"/>
      <c r="E51" s="298"/>
      <c r="F51" s="299"/>
      <c r="G51" s="300"/>
      <c r="H51" s="303"/>
      <c r="I51" s="303"/>
      <c r="J51" s="322">
        <f t="shared" si="0"/>
        <v>0</v>
      </c>
      <c r="K51" s="305" t="e">
        <f>IF(F51="MXN",1/HLOOKUP(YEAR(G51)+(MONTH(G51)/100),TC!$5:$37,DAY(G51)+2,FALSE),VLOOKUP(F51,Equivalencia!$5:$23,((MAX(Equivalencia!$3:$3)-YEAR(G51))*14)+MONTH(G51)+2,FALSE))</f>
        <v>#N/A</v>
      </c>
      <c r="L51" s="306" t="e">
        <f t="shared" si="4"/>
        <v>#N/A</v>
      </c>
      <c r="M51" s="305">
        <f>IF(G51=0,0,HLOOKUP(YEAR(G51)+(MONTH(G51)/100),TC!$5:$37,DAY(G51)+2,FALSE))</f>
        <v>0</v>
      </c>
      <c r="N51" s="306" t="e">
        <f t="shared" si="5"/>
        <v>#N/A</v>
      </c>
      <c r="O51" s="308">
        <f>IF(G51=0,0,VLOOKUP(YEAR(G51),INPC!$B$4:$P$30,MONTH(G51)+2))</f>
        <v>0</v>
      </c>
      <c r="P51" s="308">
        <f>IF(W51=0,0,IF(OR(C51=$AQ$5,C51=AQ55),VLOOKUP(YEAR(W51),INPC!$B$4:$P$30,MONTH(W51)+1),VLOOKUP(YEAR(W51),INPC!$B$4:$P$30,MONTH(W51)+2)))</f>
        <v>0</v>
      </c>
      <c r="Q51" s="309">
        <f t="shared" si="6"/>
        <v>0</v>
      </c>
      <c r="R51" s="310" t="e">
        <f t="shared" si="7"/>
        <v>#N/A</v>
      </c>
      <c r="S51" s="310">
        <f t="shared" si="8"/>
        <v>0</v>
      </c>
      <c r="T51" s="567" t="str">
        <f t="shared" si="9"/>
        <v>NO</v>
      </c>
      <c r="U51" s="323"/>
      <c r="V51" s="299"/>
      <c r="W51" s="300"/>
      <c r="X51" s="299"/>
      <c r="Y51" s="303"/>
      <c r="Z51" s="305">
        <f>IF(Y51=0,0,IF(X51="MXN",1/HLOOKUP(YEAR(W51)+(MONTH(W51)/100),TC!$5:$37,DAY(W51)+2,FALSE),VLOOKUP(X51,Equivalencia!$1:$23,((MAX(Equivalencia!$3:$3)-YEAR(W51))*14)+MONTH(W51)+2,FALSE)))</f>
        <v>0</v>
      </c>
      <c r="AA51" s="306">
        <f t="shared" si="16"/>
        <v>0</v>
      </c>
      <c r="AB51" s="305">
        <f>+IF(W51=0,0,HLOOKUP(YEAR(W51)+(MONTH(W51)/100),TC!$5:$37,DAY(W51)+2,FALSE))</f>
        <v>0</v>
      </c>
      <c r="AC51" s="306">
        <f t="shared" si="15"/>
        <v>0</v>
      </c>
      <c r="AD51" s="314">
        <f t="shared" si="10"/>
        <v>0</v>
      </c>
      <c r="AE51" s="315">
        <f t="shared" si="11"/>
        <v>0</v>
      </c>
      <c r="AF51" s="316">
        <f t="shared" si="3"/>
        <v>0</v>
      </c>
      <c r="AG51" s="314">
        <v>1</v>
      </c>
      <c r="AH51" s="314">
        <f t="shared" si="12"/>
        <v>0</v>
      </c>
      <c r="AI51" s="314">
        <f t="shared" si="13"/>
        <v>0</v>
      </c>
      <c r="AJ51" s="317"/>
      <c r="AK51" s="315" t="e">
        <f t="shared" si="14"/>
        <v>#N/A</v>
      </c>
      <c r="AM51" s="561"/>
      <c r="AN51" s="561"/>
      <c r="AO51" s="561"/>
    </row>
    <row r="52" spans="2:41">
      <c r="B52" s="296"/>
      <c r="C52" s="299"/>
      <c r="D52" s="296"/>
      <c r="E52" s="298"/>
      <c r="F52" s="299"/>
      <c r="G52" s="300"/>
      <c r="H52" s="303"/>
      <c r="I52" s="303"/>
      <c r="J52" s="322">
        <f t="shared" si="0"/>
        <v>0</v>
      </c>
      <c r="K52" s="305" t="e">
        <f>IF(F52="MXN",1/HLOOKUP(YEAR(G52)+(MONTH(G52)/100),TC!$5:$37,DAY(G52)+2,FALSE),VLOOKUP(F52,Equivalencia!$5:$23,((MAX(Equivalencia!$3:$3)-YEAR(G52))*14)+MONTH(G52)+2,FALSE))</f>
        <v>#N/A</v>
      </c>
      <c r="L52" s="306" t="e">
        <f t="shared" si="4"/>
        <v>#N/A</v>
      </c>
      <c r="M52" s="305">
        <f>IF(G52=0,0,HLOOKUP(YEAR(G52)+(MONTH(G52)/100),TC!$5:$37,DAY(G52)+2,FALSE))</f>
        <v>0</v>
      </c>
      <c r="N52" s="306" t="e">
        <f t="shared" si="5"/>
        <v>#N/A</v>
      </c>
      <c r="O52" s="308">
        <f>IF(G52=0,0,VLOOKUP(YEAR(G52),INPC!$B$4:$P$30,MONTH(G52)+2))</f>
        <v>0</v>
      </c>
      <c r="P52" s="308">
        <f>IF(W52=0,0,IF(OR(C52=$AQ$5,C52=AQ56),VLOOKUP(YEAR(W52),INPC!$B$4:$P$30,MONTH(W52)+1),VLOOKUP(YEAR(W52),INPC!$B$4:$P$30,MONTH(W52)+2)))</f>
        <v>0</v>
      </c>
      <c r="Q52" s="309">
        <f t="shared" si="6"/>
        <v>0</v>
      </c>
      <c r="R52" s="310" t="e">
        <f t="shared" si="7"/>
        <v>#N/A</v>
      </c>
      <c r="S52" s="310">
        <f t="shared" si="8"/>
        <v>0</v>
      </c>
      <c r="T52" s="567" t="str">
        <f t="shared" si="9"/>
        <v>NO</v>
      </c>
      <c r="U52" s="323"/>
      <c r="V52" s="299"/>
      <c r="W52" s="300"/>
      <c r="X52" s="299"/>
      <c r="Y52" s="303"/>
      <c r="Z52" s="305">
        <f>IF(Y52=0,0,IF(X52="MXN",1/HLOOKUP(YEAR(W52)+(MONTH(W52)/100),TC!$5:$37,DAY(W52)+2,FALSE),VLOOKUP(X52,Equivalencia!$1:$23,((MAX(Equivalencia!$3:$3)-YEAR(W52))*14)+MONTH(W52)+2,FALSE)))</f>
        <v>0</v>
      </c>
      <c r="AA52" s="306">
        <f t="shared" si="16"/>
        <v>0</v>
      </c>
      <c r="AB52" s="305">
        <f>+IF(W52=0,0,HLOOKUP(YEAR(W52)+(MONTH(W52)/100),TC!$5:$37,DAY(W52)+2,FALSE))</f>
        <v>0</v>
      </c>
      <c r="AC52" s="306">
        <f t="shared" si="15"/>
        <v>0</v>
      </c>
      <c r="AD52" s="314">
        <f t="shared" si="10"/>
        <v>0</v>
      </c>
      <c r="AE52" s="315">
        <f t="shared" si="11"/>
        <v>0</v>
      </c>
      <c r="AF52" s="316">
        <f t="shared" si="3"/>
        <v>0</v>
      </c>
      <c r="AG52" s="314">
        <v>1</v>
      </c>
      <c r="AH52" s="314">
        <f t="shared" si="12"/>
        <v>0</v>
      </c>
      <c r="AI52" s="314">
        <f t="shared" si="13"/>
        <v>0</v>
      </c>
      <c r="AJ52" s="317"/>
      <c r="AK52" s="315" t="e">
        <f t="shared" si="14"/>
        <v>#N/A</v>
      </c>
      <c r="AM52" s="561"/>
      <c r="AN52" s="561"/>
      <c r="AO52" s="561"/>
    </row>
    <row r="53" spans="2:41">
      <c r="B53" s="296"/>
      <c r="C53" s="299"/>
      <c r="D53" s="296"/>
      <c r="E53" s="298"/>
      <c r="F53" s="299"/>
      <c r="G53" s="300"/>
      <c r="H53" s="303"/>
      <c r="I53" s="303"/>
      <c r="J53" s="322">
        <f t="shared" si="0"/>
        <v>0</v>
      </c>
      <c r="K53" s="305" t="e">
        <f>IF(F53="MXN",1/HLOOKUP(YEAR(G53)+(MONTH(G53)/100),TC!$5:$37,DAY(G53)+2,FALSE),VLOOKUP(F53,Equivalencia!$5:$23,((MAX(Equivalencia!$3:$3)-YEAR(G53))*14)+MONTH(G53)+2,FALSE))</f>
        <v>#N/A</v>
      </c>
      <c r="L53" s="306" t="e">
        <f t="shared" si="4"/>
        <v>#N/A</v>
      </c>
      <c r="M53" s="305">
        <f>IF(G53=0,0,HLOOKUP(YEAR(G53)+(MONTH(G53)/100),TC!$5:$37,DAY(G53)+2,FALSE))</f>
        <v>0</v>
      </c>
      <c r="N53" s="306" t="e">
        <f t="shared" si="5"/>
        <v>#N/A</v>
      </c>
      <c r="O53" s="308">
        <f>IF(G53=0,0,VLOOKUP(YEAR(G53),INPC!$B$4:$P$30,MONTH(G53)+2))</f>
        <v>0</v>
      </c>
      <c r="P53" s="308">
        <f>IF(W53=0,0,IF(OR(C53=$AQ$5,C53=AQ57),VLOOKUP(YEAR(W53),INPC!$B$4:$P$30,MONTH(W53)+1),VLOOKUP(YEAR(W53),INPC!$B$4:$P$30,MONTH(W53)+2)))</f>
        <v>0</v>
      </c>
      <c r="Q53" s="309">
        <f t="shared" si="6"/>
        <v>0</v>
      </c>
      <c r="R53" s="310" t="e">
        <f t="shared" si="7"/>
        <v>#N/A</v>
      </c>
      <c r="S53" s="310">
        <f t="shared" si="8"/>
        <v>0</v>
      </c>
      <c r="T53" s="567" t="str">
        <f t="shared" si="9"/>
        <v>NO</v>
      </c>
      <c r="U53" s="323"/>
      <c r="V53" s="299"/>
      <c r="W53" s="300"/>
      <c r="X53" s="299"/>
      <c r="Y53" s="303"/>
      <c r="Z53" s="305">
        <f>IF(Y53=0,0,IF(X53="MXN",1/HLOOKUP(YEAR(W53)+(MONTH(W53)/100),TC!$5:$37,DAY(W53)+2,FALSE),VLOOKUP(X53,Equivalencia!$1:$23,((MAX(Equivalencia!$3:$3)-YEAR(W53))*14)+MONTH(W53)+2,FALSE)))</f>
        <v>0</v>
      </c>
      <c r="AA53" s="306">
        <f t="shared" si="16"/>
        <v>0</v>
      </c>
      <c r="AB53" s="305">
        <f>+IF(W53=0,0,HLOOKUP(YEAR(W53)+(MONTH(W53)/100),TC!$5:$37,DAY(W53)+2,FALSE))</f>
        <v>0</v>
      </c>
      <c r="AC53" s="306">
        <f t="shared" si="15"/>
        <v>0</v>
      </c>
      <c r="AD53" s="314">
        <f t="shared" si="10"/>
        <v>0</v>
      </c>
      <c r="AE53" s="315">
        <f t="shared" si="11"/>
        <v>0</v>
      </c>
      <c r="AF53" s="316">
        <f t="shared" si="3"/>
        <v>0</v>
      </c>
      <c r="AG53" s="314">
        <v>1</v>
      </c>
      <c r="AH53" s="314">
        <f t="shared" si="12"/>
        <v>0</v>
      </c>
      <c r="AI53" s="314">
        <f t="shared" si="13"/>
        <v>0</v>
      </c>
      <c r="AJ53" s="317"/>
      <c r="AK53" s="315" t="e">
        <f t="shared" si="14"/>
        <v>#N/A</v>
      </c>
      <c r="AM53" s="561"/>
      <c r="AN53" s="561"/>
      <c r="AO53" s="561"/>
    </row>
    <row r="54" spans="2:41">
      <c r="B54" s="296"/>
      <c r="C54" s="299"/>
      <c r="D54" s="296"/>
      <c r="E54" s="298"/>
      <c r="F54" s="299"/>
      <c r="G54" s="300"/>
      <c r="H54" s="303"/>
      <c r="I54" s="303"/>
      <c r="J54" s="322">
        <f t="shared" si="0"/>
        <v>0</v>
      </c>
      <c r="K54" s="305" t="e">
        <f>IF(F54="MXN",1/HLOOKUP(YEAR(G54)+(MONTH(G54)/100),TC!$5:$37,DAY(G54)+2,FALSE),VLOOKUP(F54,Equivalencia!$5:$23,((MAX(Equivalencia!$3:$3)-YEAR(G54))*14)+MONTH(G54)+2,FALSE))</f>
        <v>#N/A</v>
      </c>
      <c r="L54" s="306" t="e">
        <f t="shared" si="4"/>
        <v>#N/A</v>
      </c>
      <c r="M54" s="305">
        <f>IF(G54=0,0,HLOOKUP(YEAR(G54)+(MONTH(G54)/100),TC!$5:$37,DAY(G54)+2,FALSE))</f>
        <v>0</v>
      </c>
      <c r="N54" s="306" t="e">
        <f t="shared" si="5"/>
        <v>#N/A</v>
      </c>
      <c r="O54" s="308">
        <f>IF(G54=0,0,VLOOKUP(YEAR(G54),INPC!$B$4:$P$30,MONTH(G54)+2))</f>
        <v>0</v>
      </c>
      <c r="P54" s="308">
        <f>IF(W54=0,0,IF(OR(C54=$AQ$5,C54=AQ58),VLOOKUP(YEAR(W54),INPC!$B$4:$P$30,MONTH(W54)+1),VLOOKUP(YEAR(W54),INPC!$B$4:$P$30,MONTH(W54)+2)))</f>
        <v>0</v>
      </c>
      <c r="Q54" s="309">
        <f t="shared" si="6"/>
        <v>0</v>
      </c>
      <c r="R54" s="310" t="e">
        <f t="shared" si="7"/>
        <v>#N/A</v>
      </c>
      <c r="S54" s="310">
        <f t="shared" si="8"/>
        <v>0</v>
      </c>
      <c r="T54" s="567" t="str">
        <f t="shared" si="9"/>
        <v>NO</v>
      </c>
      <c r="U54" s="323"/>
      <c r="V54" s="299"/>
      <c r="W54" s="300"/>
      <c r="X54" s="299"/>
      <c r="Y54" s="303"/>
      <c r="Z54" s="305">
        <f>IF(Y54=0,0,IF(X54="MXN",1/HLOOKUP(YEAR(W54)+(MONTH(W54)/100),TC!$5:$37,DAY(W54)+2,FALSE),VLOOKUP(X54,Equivalencia!$1:$23,((MAX(Equivalencia!$3:$3)-YEAR(W54))*14)+MONTH(W54)+2,FALSE)))</f>
        <v>0</v>
      </c>
      <c r="AA54" s="306">
        <f t="shared" si="16"/>
        <v>0</v>
      </c>
      <c r="AB54" s="305">
        <f>+IF(W54=0,0,HLOOKUP(YEAR(W54)+(MONTH(W54)/100),TC!$5:$37,DAY(W54)+2,FALSE))</f>
        <v>0</v>
      </c>
      <c r="AC54" s="306">
        <f t="shared" si="15"/>
        <v>0</v>
      </c>
      <c r="AD54" s="314">
        <f t="shared" si="10"/>
        <v>0</v>
      </c>
      <c r="AE54" s="315">
        <f t="shared" si="11"/>
        <v>0</v>
      </c>
      <c r="AF54" s="316">
        <f t="shared" si="3"/>
        <v>0</v>
      </c>
      <c r="AG54" s="314">
        <v>1</v>
      </c>
      <c r="AH54" s="314">
        <f t="shared" si="12"/>
        <v>0</v>
      </c>
      <c r="AI54" s="314">
        <f t="shared" si="13"/>
        <v>0</v>
      </c>
      <c r="AJ54" s="317"/>
      <c r="AK54" s="315" t="e">
        <f t="shared" si="14"/>
        <v>#N/A</v>
      </c>
      <c r="AM54" s="561"/>
      <c r="AN54" s="561"/>
      <c r="AO54" s="561"/>
    </row>
    <row r="55" spans="2:41">
      <c r="B55" s="296"/>
      <c r="C55" s="299"/>
      <c r="D55" s="296"/>
      <c r="E55" s="298"/>
      <c r="F55" s="299"/>
      <c r="G55" s="300"/>
      <c r="H55" s="303"/>
      <c r="I55" s="303"/>
      <c r="J55" s="322">
        <f t="shared" si="0"/>
        <v>0</v>
      </c>
      <c r="K55" s="305" t="e">
        <f>IF(F55="MXN",1/HLOOKUP(YEAR(G55)+(MONTH(G55)/100),TC!$5:$37,DAY(G55)+2,FALSE),VLOOKUP(F55,Equivalencia!$5:$23,((MAX(Equivalencia!$3:$3)-YEAR(G55))*14)+MONTH(G55)+2,FALSE))</f>
        <v>#N/A</v>
      </c>
      <c r="L55" s="306" t="e">
        <f t="shared" si="4"/>
        <v>#N/A</v>
      </c>
      <c r="M55" s="305">
        <f>IF(G55=0,0,HLOOKUP(YEAR(G55)+(MONTH(G55)/100),TC!$5:$37,DAY(G55)+2,FALSE))</f>
        <v>0</v>
      </c>
      <c r="N55" s="306" t="e">
        <f t="shared" si="5"/>
        <v>#N/A</v>
      </c>
      <c r="O55" s="308">
        <f>IF(G55=0,0,VLOOKUP(YEAR(G55),INPC!$B$4:$P$30,MONTH(G55)+2))</f>
        <v>0</v>
      </c>
      <c r="P55" s="308">
        <f>IF(W55=0,0,IF(OR(C55=$AQ$5,C55=AQ59),VLOOKUP(YEAR(W55),INPC!$B$4:$P$30,MONTH(W55)+1),VLOOKUP(YEAR(W55),INPC!$B$4:$P$30,MONTH(W55)+2)))</f>
        <v>0</v>
      </c>
      <c r="Q55" s="309">
        <f t="shared" si="6"/>
        <v>0</v>
      </c>
      <c r="R55" s="310" t="e">
        <f t="shared" si="7"/>
        <v>#N/A</v>
      </c>
      <c r="S55" s="310">
        <f t="shared" si="8"/>
        <v>0</v>
      </c>
      <c r="T55" s="567" t="str">
        <f t="shared" si="9"/>
        <v>NO</v>
      </c>
      <c r="U55" s="323"/>
      <c r="V55" s="299"/>
      <c r="W55" s="300"/>
      <c r="X55" s="299"/>
      <c r="Y55" s="303"/>
      <c r="Z55" s="305">
        <f>IF(Y55=0,0,IF(X55="MXN",1/HLOOKUP(YEAR(W55)+(MONTH(W55)/100),TC!$5:$37,DAY(W55)+2,FALSE),VLOOKUP(X55,Equivalencia!$1:$23,((MAX(Equivalencia!$3:$3)-YEAR(W55))*14)+MONTH(W55)+2,FALSE)))</f>
        <v>0</v>
      </c>
      <c r="AA55" s="306">
        <f t="shared" si="16"/>
        <v>0</v>
      </c>
      <c r="AB55" s="305">
        <f>+IF(W55=0,0,HLOOKUP(YEAR(W55)+(MONTH(W55)/100),TC!$5:$37,DAY(W55)+2,FALSE))</f>
        <v>0</v>
      </c>
      <c r="AC55" s="306">
        <f t="shared" si="15"/>
        <v>0</v>
      </c>
      <c r="AD55" s="314">
        <f t="shared" si="10"/>
        <v>0</v>
      </c>
      <c r="AE55" s="315">
        <f t="shared" si="11"/>
        <v>0</v>
      </c>
      <c r="AF55" s="316">
        <f t="shared" si="3"/>
        <v>0</v>
      </c>
      <c r="AG55" s="314">
        <v>1</v>
      </c>
      <c r="AH55" s="314">
        <f t="shared" si="12"/>
        <v>0</v>
      </c>
      <c r="AI55" s="314">
        <f t="shared" si="13"/>
        <v>0</v>
      </c>
      <c r="AJ55" s="317"/>
      <c r="AK55" s="315" t="e">
        <f t="shared" si="14"/>
        <v>#N/A</v>
      </c>
      <c r="AM55" s="561"/>
      <c r="AN55" s="561"/>
      <c r="AO55" s="561"/>
    </row>
    <row r="56" spans="2:41">
      <c r="B56" s="296"/>
      <c r="C56" s="299"/>
      <c r="D56" s="296"/>
      <c r="E56" s="298"/>
      <c r="F56" s="299"/>
      <c r="G56" s="300"/>
      <c r="H56" s="303"/>
      <c r="I56" s="303"/>
      <c r="J56" s="322">
        <f t="shared" si="0"/>
        <v>0</v>
      </c>
      <c r="K56" s="305" t="e">
        <f>IF(F56="MXN",1/HLOOKUP(YEAR(G56)+(MONTH(G56)/100),TC!$5:$37,DAY(G56)+2,FALSE),VLOOKUP(F56,Equivalencia!$5:$23,((MAX(Equivalencia!$3:$3)-YEAR(G56))*14)+MONTH(G56)+2,FALSE))</f>
        <v>#N/A</v>
      </c>
      <c r="L56" s="306" t="e">
        <f t="shared" si="4"/>
        <v>#N/A</v>
      </c>
      <c r="M56" s="305">
        <f>IF(G56=0,0,HLOOKUP(YEAR(G56)+(MONTH(G56)/100),TC!$5:$37,DAY(G56)+2,FALSE))</f>
        <v>0</v>
      </c>
      <c r="N56" s="306" t="e">
        <f t="shared" si="5"/>
        <v>#N/A</v>
      </c>
      <c r="O56" s="308">
        <f>IF(G56=0,0,VLOOKUP(YEAR(G56),INPC!$B$4:$P$30,MONTH(G56)+2))</f>
        <v>0</v>
      </c>
      <c r="P56" s="308">
        <f>IF(W56=0,0,IF(OR(C56=$AQ$5,C56=AQ60),VLOOKUP(YEAR(W56),INPC!$B$4:$P$30,MONTH(W56)+1),VLOOKUP(YEAR(W56),INPC!$B$4:$P$30,MONTH(W56)+2)))</f>
        <v>0</v>
      </c>
      <c r="Q56" s="309">
        <f t="shared" si="6"/>
        <v>0</v>
      </c>
      <c r="R56" s="310" t="e">
        <f t="shared" si="7"/>
        <v>#N/A</v>
      </c>
      <c r="S56" s="310">
        <f t="shared" si="8"/>
        <v>0</v>
      </c>
      <c r="T56" s="567" t="str">
        <f t="shared" si="9"/>
        <v>NO</v>
      </c>
      <c r="U56" s="323"/>
      <c r="V56" s="299"/>
      <c r="W56" s="300"/>
      <c r="X56" s="299"/>
      <c r="Y56" s="303"/>
      <c r="Z56" s="305">
        <f>IF(Y56=0,0,IF(X56="MXN",1/HLOOKUP(YEAR(W56)+(MONTH(W56)/100),TC!$5:$37,DAY(W56)+2,FALSE),VLOOKUP(X56,Equivalencia!$1:$23,((MAX(Equivalencia!$3:$3)-YEAR(W56))*14)+MONTH(W56)+2,FALSE)))</f>
        <v>0</v>
      </c>
      <c r="AA56" s="306">
        <f t="shared" si="16"/>
        <v>0</v>
      </c>
      <c r="AB56" s="305">
        <f>+IF(W56=0,0,HLOOKUP(YEAR(W56)+(MONTH(W56)/100),TC!$5:$37,DAY(W56)+2,FALSE))</f>
        <v>0</v>
      </c>
      <c r="AC56" s="306">
        <f t="shared" si="15"/>
        <v>0</v>
      </c>
      <c r="AD56" s="314">
        <f t="shared" si="10"/>
        <v>0</v>
      </c>
      <c r="AE56" s="315">
        <f t="shared" si="11"/>
        <v>0</v>
      </c>
      <c r="AF56" s="316">
        <f t="shared" si="3"/>
        <v>0</v>
      </c>
      <c r="AG56" s="314">
        <v>1</v>
      </c>
      <c r="AH56" s="314">
        <f t="shared" si="12"/>
        <v>0</v>
      </c>
      <c r="AI56" s="314">
        <f t="shared" si="13"/>
        <v>0</v>
      </c>
      <c r="AJ56" s="317"/>
      <c r="AK56" s="315" t="e">
        <f t="shared" si="14"/>
        <v>#N/A</v>
      </c>
      <c r="AM56" s="561"/>
      <c r="AN56" s="561"/>
      <c r="AO56" s="561"/>
    </row>
    <row r="57" spans="2:41">
      <c r="B57" s="296"/>
      <c r="C57" s="299"/>
      <c r="D57" s="296"/>
      <c r="E57" s="298"/>
      <c r="F57" s="299"/>
      <c r="G57" s="300"/>
      <c r="H57" s="303"/>
      <c r="I57" s="303"/>
      <c r="J57" s="322">
        <f t="shared" si="0"/>
        <v>0</v>
      </c>
      <c r="K57" s="305" t="e">
        <f>IF(F57="MXN",1/HLOOKUP(YEAR(G57)+(MONTH(G57)/100),TC!$5:$37,DAY(G57)+2,FALSE),VLOOKUP(F57,Equivalencia!$5:$23,((MAX(Equivalencia!$3:$3)-YEAR(G57))*14)+MONTH(G57)+2,FALSE))</f>
        <v>#N/A</v>
      </c>
      <c r="L57" s="306" t="e">
        <f t="shared" si="4"/>
        <v>#N/A</v>
      </c>
      <c r="M57" s="305">
        <f>IF(G57=0,0,HLOOKUP(YEAR(G57)+(MONTH(G57)/100),TC!$5:$37,DAY(G57)+2,FALSE))</f>
        <v>0</v>
      </c>
      <c r="N57" s="306" t="e">
        <f t="shared" si="5"/>
        <v>#N/A</v>
      </c>
      <c r="O57" s="308">
        <f>IF(G57=0,0,VLOOKUP(YEAR(G57),INPC!$B$4:$P$30,MONTH(G57)+2))</f>
        <v>0</v>
      </c>
      <c r="P57" s="308">
        <f>IF(W57=0,0,IF(OR(C57=$AQ$5,C57=AQ61),VLOOKUP(YEAR(W57),INPC!$B$4:$P$30,MONTH(W57)+1),VLOOKUP(YEAR(W57),INPC!$B$4:$P$30,MONTH(W57)+2)))</f>
        <v>0</v>
      </c>
      <c r="Q57" s="309">
        <f t="shared" si="6"/>
        <v>0</v>
      </c>
      <c r="R57" s="310" t="e">
        <f t="shared" si="7"/>
        <v>#N/A</v>
      </c>
      <c r="S57" s="310">
        <f t="shared" si="8"/>
        <v>0</v>
      </c>
      <c r="T57" s="567" t="str">
        <f t="shared" si="9"/>
        <v>NO</v>
      </c>
      <c r="U57" s="323"/>
      <c r="V57" s="299"/>
      <c r="W57" s="300"/>
      <c r="X57" s="299"/>
      <c r="Y57" s="303"/>
      <c r="Z57" s="305">
        <f>IF(Y57=0,0,IF(X57="MXN",1/HLOOKUP(YEAR(W57)+(MONTH(W57)/100),TC!$5:$37,DAY(W57)+2,FALSE),VLOOKUP(X57,Equivalencia!$1:$23,((MAX(Equivalencia!$3:$3)-YEAR(W57))*14)+MONTH(W57)+2,FALSE)))</f>
        <v>0</v>
      </c>
      <c r="AA57" s="306">
        <f t="shared" si="16"/>
        <v>0</v>
      </c>
      <c r="AB57" s="305">
        <f>+IF(W57=0,0,HLOOKUP(YEAR(W57)+(MONTH(W57)/100),TC!$5:$37,DAY(W57)+2,FALSE))</f>
        <v>0</v>
      </c>
      <c r="AC57" s="306">
        <f t="shared" si="15"/>
        <v>0</v>
      </c>
      <c r="AD57" s="314">
        <f t="shared" si="10"/>
        <v>0</v>
      </c>
      <c r="AE57" s="315">
        <f t="shared" si="11"/>
        <v>0</v>
      </c>
      <c r="AF57" s="316">
        <f t="shared" si="3"/>
        <v>0</v>
      </c>
      <c r="AG57" s="314">
        <v>1</v>
      </c>
      <c r="AH57" s="314">
        <f t="shared" si="12"/>
        <v>0</v>
      </c>
      <c r="AI57" s="314">
        <f t="shared" si="13"/>
        <v>0</v>
      </c>
      <c r="AJ57" s="317"/>
      <c r="AK57" s="315" t="e">
        <f t="shared" si="14"/>
        <v>#N/A</v>
      </c>
      <c r="AM57" s="561"/>
      <c r="AN57" s="561"/>
      <c r="AO57" s="561"/>
    </row>
    <row r="58" spans="2:41">
      <c r="B58" s="296"/>
      <c r="C58" s="299"/>
      <c r="D58" s="296"/>
      <c r="E58" s="298"/>
      <c r="F58" s="299"/>
      <c r="G58" s="300"/>
      <c r="H58" s="303"/>
      <c r="I58" s="303"/>
      <c r="J58" s="322">
        <f t="shared" si="0"/>
        <v>0</v>
      </c>
      <c r="K58" s="305" t="e">
        <f>IF(F58="MXN",1/HLOOKUP(YEAR(G58)+(MONTH(G58)/100),TC!$5:$37,DAY(G58)+2,FALSE),VLOOKUP(F58,Equivalencia!$5:$23,((MAX(Equivalencia!$3:$3)-YEAR(G58))*14)+MONTH(G58)+2,FALSE))</f>
        <v>#N/A</v>
      </c>
      <c r="L58" s="306" t="e">
        <f t="shared" si="4"/>
        <v>#N/A</v>
      </c>
      <c r="M58" s="305">
        <f>IF(G58=0,0,HLOOKUP(YEAR(G58)+(MONTH(G58)/100),TC!$5:$37,DAY(G58)+2,FALSE))</f>
        <v>0</v>
      </c>
      <c r="N58" s="306" t="e">
        <f t="shared" si="5"/>
        <v>#N/A</v>
      </c>
      <c r="O58" s="308">
        <f>IF(G58=0,0,VLOOKUP(YEAR(G58),INPC!$B$4:$P$30,MONTH(G58)+2))</f>
        <v>0</v>
      </c>
      <c r="P58" s="308">
        <f>IF(W58=0,0,IF(OR(C58=$AQ$5,C58=AQ62),VLOOKUP(YEAR(W58),INPC!$B$4:$P$30,MONTH(W58)+1),VLOOKUP(YEAR(W58),INPC!$B$4:$P$30,MONTH(W58)+2)))</f>
        <v>0</v>
      </c>
      <c r="Q58" s="309">
        <f t="shared" si="6"/>
        <v>0</v>
      </c>
      <c r="R58" s="310" t="e">
        <f t="shared" si="7"/>
        <v>#N/A</v>
      </c>
      <c r="S58" s="310">
        <f t="shared" si="8"/>
        <v>0</v>
      </c>
      <c r="T58" s="567" t="str">
        <f t="shared" si="9"/>
        <v>NO</v>
      </c>
      <c r="U58" s="323"/>
      <c r="V58" s="299"/>
      <c r="W58" s="300"/>
      <c r="X58" s="299"/>
      <c r="Y58" s="303"/>
      <c r="Z58" s="305">
        <f>IF(Y58=0,0,IF(X58="MXN",1/HLOOKUP(YEAR(W58)+(MONTH(W58)/100),TC!$5:$37,DAY(W58)+2,FALSE),VLOOKUP(X58,Equivalencia!$1:$23,((MAX(Equivalencia!$3:$3)-YEAR(W58))*14)+MONTH(W58)+2,FALSE)))</f>
        <v>0</v>
      </c>
      <c r="AA58" s="306">
        <f t="shared" si="16"/>
        <v>0</v>
      </c>
      <c r="AB58" s="305">
        <f>+IF(W58=0,0,HLOOKUP(YEAR(W58)+(MONTH(W58)/100),TC!$5:$37,DAY(W58)+2,FALSE))</f>
        <v>0</v>
      </c>
      <c r="AC58" s="306">
        <f t="shared" si="15"/>
        <v>0</v>
      </c>
      <c r="AD58" s="314">
        <f t="shared" si="10"/>
        <v>0</v>
      </c>
      <c r="AE58" s="315">
        <f t="shared" si="11"/>
        <v>0</v>
      </c>
      <c r="AF58" s="316">
        <f t="shared" si="3"/>
        <v>0</v>
      </c>
      <c r="AG58" s="314">
        <v>1</v>
      </c>
      <c r="AH58" s="314">
        <f t="shared" si="12"/>
        <v>0</v>
      </c>
      <c r="AI58" s="314">
        <f t="shared" si="13"/>
        <v>0</v>
      </c>
      <c r="AJ58" s="317"/>
      <c r="AK58" s="315" t="e">
        <f t="shared" si="14"/>
        <v>#N/A</v>
      </c>
      <c r="AM58" s="561"/>
      <c r="AN58" s="561"/>
      <c r="AO58" s="561"/>
    </row>
    <row r="59" spans="2:41">
      <c r="B59" s="296"/>
      <c r="C59" s="299"/>
      <c r="D59" s="296"/>
      <c r="E59" s="298"/>
      <c r="F59" s="299"/>
      <c r="G59" s="300"/>
      <c r="H59" s="303"/>
      <c r="I59" s="303"/>
      <c r="J59" s="322">
        <f t="shared" si="0"/>
        <v>0</v>
      </c>
      <c r="K59" s="305" t="e">
        <f>IF(F59="MXN",1/HLOOKUP(YEAR(G59)+(MONTH(G59)/100),TC!$5:$37,DAY(G59)+2,FALSE),VLOOKUP(F59,Equivalencia!$5:$23,((MAX(Equivalencia!$3:$3)-YEAR(G59))*14)+MONTH(G59)+2,FALSE))</f>
        <v>#N/A</v>
      </c>
      <c r="L59" s="306" t="e">
        <f t="shared" si="4"/>
        <v>#N/A</v>
      </c>
      <c r="M59" s="305">
        <f>IF(G59=0,0,HLOOKUP(YEAR(G59)+(MONTH(G59)/100),TC!$5:$37,DAY(G59)+2,FALSE))</f>
        <v>0</v>
      </c>
      <c r="N59" s="306" t="e">
        <f t="shared" si="5"/>
        <v>#N/A</v>
      </c>
      <c r="O59" s="308">
        <f>IF(G59=0,0,VLOOKUP(YEAR(G59),INPC!$B$4:$P$30,MONTH(G59)+2))</f>
        <v>0</v>
      </c>
      <c r="P59" s="308">
        <f>IF(W59=0,0,IF(OR(C59=$AQ$5,C59=AQ63),VLOOKUP(YEAR(W59),INPC!$B$4:$P$30,MONTH(W59)+1),VLOOKUP(YEAR(W59),INPC!$B$4:$P$30,MONTH(W59)+2)))</f>
        <v>0</v>
      </c>
      <c r="Q59" s="309">
        <f t="shared" si="6"/>
        <v>0</v>
      </c>
      <c r="R59" s="310" t="e">
        <f t="shared" si="7"/>
        <v>#N/A</v>
      </c>
      <c r="S59" s="310">
        <f t="shared" si="8"/>
        <v>0</v>
      </c>
      <c r="T59" s="567" t="str">
        <f t="shared" si="9"/>
        <v>NO</v>
      </c>
      <c r="U59" s="323"/>
      <c r="V59" s="299"/>
      <c r="W59" s="300"/>
      <c r="X59" s="299"/>
      <c r="Y59" s="303"/>
      <c r="Z59" s="305">
        <f>IF(Y59=0,0,IF(X59="MXN",1/HLOOKUP(YEAR(W59)+(MONTH(W59)/100),TC!$5:$37,DAY(W59)+2,FALSE),VLOOKUP(X59,Equivalencia!$1:$23,((MAX(Equivalencia!$3:$3)-YEAR(W59))*14)+MONTH(W59)+2,FALSE)))</f>
        <v>0</v>
      </c>
      <c r="AA59" s="306">
        <f t="shared" si="16"/>
        <v>0</v>
      </c>
      <c r="AB59" s="305">
        <f>+IF(W59=0,0,HLOOKUP(YEAR(W59)+(MONTH(W59)/100),TC!$5:$37,DAY(W59)+2,FALSE))</f>
        <v>0</v>
      </c>
      <c r="AC59" s="306">
        <f t="shared" si="15"/>
        <v>0</v>
      </c>
      <c r="AD59" s="314">
        <f t="shared" si="10"/>
        <v>0</v>
      </c>
      <c r="AE59" s="315">
        <f t="shared" si="11"/>
        <v>0</v>
      </c>
      <c r="AF59" s="316">
        <f t="shared" si="3"/>
        <v>0</v>
      </c>
      <c r="AG59" s="314">
        <v>1</v>
      </c>
      <c r="AH59" s="314">
        <f t="shared" si="12"/>
        <v>0</v>
      </c>
      <c r="AI59" s="314">
        <f t="shared" si="13"/>
        <v>0</v>
      </c>
      <c r="AJ59" s="317"/>
      <c r="AK59" s="315" t="e">
        <f t="shared" si="14"/>
        <v>#N/A</v>
      </c>
      <c r="AM59" s="561"/>
      <c r="AN59" s="561"/>
      <c r="AO59" s="561"/>
    </row>
    <row r="60" spans="2:41">
      <c r="B60" s="296"/>
      <c r="C60" s="299"/>
      <c r="D60" s="296"/>
      <c r="E60" s="298"/>
      <c r="F60" s="299"/>
      <c r="G60" s="300"/>
      <c r="H60" s="303"/>
      <c r="I60" s="303"/>
      <c r="J60" s="322">
        <f t="shared" si="0"/>
        <v>0</v>
      </c>
      <c r="K60" s="305" t="e">
        <f>IF(F60="MXN",1/HLOOKUP(YEAR(G60)+(MONTH(G60)/100),TC!$5:$37,DAY(G60)+2,FALSE),VLOOKUP(F60,Equivalencia!$5:$23,((MAX(Equivalencia!$3:$3)-YEAR(G60))*14)+MONTH(G60)+2,FALSE))</f>
        <v>#N/A</v>
      </c>
      <c r="L60" s="306" t="e">
        <f t="shared" si="4"/>
        <v>#N/A</v>
      </c>
      <c r="M60" s="305">
        <f>IF(G60=0,0,HLOOKUP(YEAR(G60)+(MONTH(G60)/100),TC!$5:$37,DAY(G60)+2,FALSE))</f>
        <v>0</v>
      </c>
      <c r="N60" s="306" t="e">
        <f t="shared" si="5"/>
        <v>#N/A</v>
      </c>
      <c r="O60" s="308">
        <f>IF(G60=0,0,VLOOKUP(YEAR(G60),INPC!$B$4:$P$30,MONTH(G60)+2))</f>
        <v>0</v>
      </c>
      <c r="P60" s="308">
        <f>IF(W60=0,0,IF(OR(C60=$AQ$5,C60=AQ64),VLOOKUP(YEAR(W60),INPC!$B$4:$P$30,MONTH(W60)+1),VLOOKUP(YEAR(W60),INPC!$B$4:$P$30,MONTH(W60)+2)))</f>
        <v>0</v>
      </c>
      <c r="Q60" s="309">
        <f t="shared" si="6"/>
        <v>0</v>
      </c>
      <c r="R60" s="310" t="e">
        <f t="shared" si="7"/>
        <v>#N/A</v>
      </c>
      <c r="S60" s="310">
        <f t="shared" si="8"/>
        <v>0</v>
      </c>
      <c r="T60" s="567" t="str">
        <f t="shared" si="9"/>
        <v>NO</v>
      </c>
      <c r="U60" s="323"/>
      <c r="V60" s="299"/>
      <c r="W60" s="300"/>
      <c r="X60" s="299"/>
      <c r="Y60" s="303"/>
      <c r="Z60" s="305">
        <f>IF(Y60=0,0,IF(X60="MXN",1/HLOOKUP(YEAR(W60)+(MONTH(W60)/100),TC!$5:$37,DAY(W60)+2,FALSE),VLOOKUP(X60,Equivalencia!$1:$23,((MAX(Equivalencia!$3:$3)-YEAR(W60))*14)+MONTH(W60)+2,FALSE)))</f>
        <v>0</v>
      </c>
      <c r="AA60" s="306">
        <f t="shared" si="16"/>
        <v>0</v>
      </c>
      <c r="AB60" s="305">
        <f>+IF(W60=0,0,HLOOKUP(YEAR(W60)+(MONTH(W60)/100),TC!$5:$37,DAY(W60)+2,FALSE))</f>
        <v>0</v>
      </c>
      <c r="AC60" s="306">
        <f t="shared" si="15"/>
        <v>0</v>
      </c>
      <c r="AD60" s="314">
        <f t="shared" si="10"/>
        <v>0</v>
      </c>
      <c r="AE60" s="315">
        <f t="shared" si="11"/>
        <v>0</v>
      </c>
      <c r="AF60" s="316">
        <f t="shared" si="3"/>
        <v>0</v>
      </c>
      <c r="AG60" s="314">
        <v>1</v>
      </c>
      <c r="AH60" s="314">
        <f t="shared" si="12"/>
        <v>0</v>
      </c>
      <c r="AI60" s="314">
        <f t="shared" si="13"/>
        <v>0</v>
      </c>
      <c r="AJ60" s="317"/>
      <c r="AK60" s="315" t="e">
        <f t="shared" si="14"/>
        <v>#N/A</v>
      </c>
      <c r="AM60" s="561"/>
      <c r="AN60" s="561"/>
      <c r="AO60" s="561"/>
    </row>
    <row r="61" spans="2:41">
      <c r="B61" s="296"/>
      <c r="C61" s="299"/>
      <c r="D61" s="296"/>
      <c r="E61" s="298"/>
      <c r="F61" s="299"/>
      <c r="G61" s="300"/>
      <c r="H61" s="303"/>
      <c r="I61" s="303"/>
      <c r="J61" s="322">
        <f t="shared" si="0"/>
        <v>0</v>
      </c>
      <c r="K61" s="305" t="e">
        <f>IF(F61="MXN",1/HLOOKUP(YEAR(G61)+(MONTH(G61)/100),TC!$5:$37,DAY(G61)+2,FALSE),VLOOKUP(F61,Equivalencia!$5:$23,((MAX(Equivalencia!$3:$3)-YEAR(G61))*14)+MONTH(G61)+2,FALSE))</f>
        <v>#N/A</v>
      </c>
      <c r="L61" s="306" t="e">
        <f t="shared" si="4"/>
        <v>#N/A</v>
      </c>
      <c r="M61" s="305">
        <f>IF(G61=0,0,HLOOKUP(YEAR(G61)+(MONTH(G61)/100),TC!$5:$37,DAY(G61)+2,FALSE))</f>
        <v>0</v>
      </c>
      <c r="N61" s="306" t="e">
        <f t="shared" si="5"/>
        <v>#N/A</v>
      </c>
      <c r="O61" s="308">
        <f>IF(G61=0,0,VLOOKUP(YEAR(G61),INPC!$B$4:$P$30,MONTH(G61)+2))</f>
        <v>0</v>
      </c>
      <c r="P61" s="308">
        <f>IF(W61=0,0,IF(OR(C61=$AQ$5,C61=AQ65),VLOOKUP(YEAR(W61),INPC!$B$4:$P$30,MONTH(W61)+1),VLOOKUP(YEAR(W61),INPC!$B$4:$P$30,MONTH(W61)+2)))</f>
        <v>0</v>
      </c>
      <c r="Q61" s="309">
        <f t="shared" si="6"/>
        <v>0</v>
      </c>
      <c r="R61" s="310" t="e">
        <f t="shared" si="7"/>
        <v>#N/A</v>
      </c>
      <c r="S61" s="310">
        <f t="shared" si="8"/>
        <v>0</v>
      </c>
      <c r="T61" s="567" t="str">
        <f t="shared" si="9"/>
        <v>NO</v>
      </c>
      <c r="U61" s="323"/>
      <c r="V61" s="299"/>
      <c r="W61" s="300"/>
      <c r="X61" s="299"/>
      <c r="Y61" s="303"/>
      <c r="Z61" s="305">
        <f>IF(Y61=0,0,IF(X61="MXN",1/HLOOKUP(YEAR(W61)+(MONTH(W61)/100),TC!$5:$37,DAY(W61)+2,FALSE),VLOOKUP(X61,Equivalencia!$1:$23,((MAX(Equivalencia!$3:$3)-YEAR(W61))*14)+MONTH(W61)+2,FALSE)))</f>
        <v>0</v>
      </c>
      <c r="AA61" s="306">
        <f t="shared" si="16"/>
        <v>0</v>
      </c>
      <c r="AB61" s="305">
        <f>+IF(W61=0,0,HLOOKUP(YEAR(W61)+(MONTH(W61)/100),TC!$5:$37,DAY(W61)+2,FALSE))</f>
        <v>0</v>
      </c>
      <c r="AC61" s="306">
        <f t="shared" si="15"/>
        <v>0</v>
      </c>
      <c r="AD61" s="314">
        <f t="shared" si="10"/>
        <v>0</v>
      </c>
      <c r="AE61" s="315">
        <f t="shared" si="11"/>
        <v>0</v>
      </c>
      <c r="AF61" s="316">
        <f t="shared" si="3"/>
        <v>0</v>
      </c>
      <c r="AG61" s="314">
        <v>1</v>
      </c>
      <c r="AH61" s="314">
        <f t="shared" si="12"/>
        <v>0</v>
      </c>
      <c r="AI61" s="314">
        <f t="shared" si="13"/>
        <v>0</v>
      </c>
      <c r="AJ61" s="317"/>
      <c r="AK61" s="315" t="e">
        <f t="shared" si="14"/>
        <v>#N/A</v>
      </c>
      <c r="AM61" s="561"/>
      <c r="AN61" s="561"/>
      <c r="AO61" s="561"/>
    </row>
    <row r="62" spans="2:41">
      <c r="B62" s="296"/>
      <c r="C62" s="299"/>
      <c r="D62" s="296"/>
      <c r="E62" s="298"/>
      <c r="F62" s="299"/>
      <c r="G62" s="300"/>
      <c r="H62" s="303"/>
      <c r="I62" s="303"/>
      <c r="J62" s="322">
        <f t="shared" si="0"/>
        <v>0</v>
      </c>
      <c r="K62" s="305" t="e">
        <f>IF(F62="MXN",1/HLOOKUP(YEAR(G62)+(MONTH(G62)/100),TC!$5:$37,DAY(G62)+2,FALSE),VLOOKUP(F62,Equivalencia!$5:$23,((MAX(Equivalencia!$3:$3)-YEAR(G62))*14)+MONTH(G62)+2,FALSE))</f>
        <v>#N/A</v>
      </c>
      <c r="L62" s="306" t="e">
        <f t="shared" si="4"/>
        <v>#N/A</v>
      </c>
      <c r="M62" s="305">
        <f>IF(G62=0,0,HLOOKUP(YEAR(G62)+(MONTH(G62)/100),TC!$5:$37,DAY(G62)+2,FALSE))</f>
        <v>0</v>
      </c>
      <c r="N62" s="306" t="e">
        <f t="shared" si="5"/>
        <v>#N/A</v>
      </c>
      <c r="O62" s="308">
        <f>IF(G62=0,0,VLOOKUP(YEAR(G62),INPC!$B$4:$P$30,MONTH(G62)+2))</f>
        <v>0</v>
      </c>
      <c r="P62" s="308">
        <f>IF(W62=0,0,IF(OR(C62=$AQ$5,C62=AQ66),VLOOKUP(YEAR(W62),INPC!$B$4:$P$30,MONTH(W62)+1),VLOOKUP(YEAR(W62),INPC!$B$4:$P$30,MONTH(W62)+2)))</f>
        <v>0</v>
      </c>
      <c r="Q62" s="309">
        <f t="shared" si="6"/>
        <v>0</v>
      </c>
      <c r="R62" s="310" t="e">
        <f t="shared" si="7"/>
        <v>#N/A</v>
      </c>
      <c r="S62" s="310">
        <f t="shared" si="8"/>
        <v>0</v>
      </c>
      <c r="T62" s="567" t="str">
        <f t="shared" si="9"/>
        <v>NO</v>
      </c>
      <c r="U62" s="323"/>
      <c r="V62" s="299"/>
      <c r="W62" s="300"/>
      <c r="X62" s="299"/>
      <c r="Y62" s="303"/>
      <c r="Z62" s="305">
        <f>IF(Y62=0,0,IF(X62="MXN",1/HLOOKUP(YEAR(W62)+(MONTH(W62)/100),TC!$5:$37,DAY(W62)+2,FALSE),VLOOKUP(X62,Equivalencia!$1:$23,((MAX(Equivalencia!$3:$3)-YEAR(W62))*14)+MONTH(W62)+2,FALSE)))</f>
        <v>0</v>
      </c>
      <c r="AA62" s="306">
        <f t="shared" si="16"/>
        <v>0</v>
      </c>
      <c r="AB62" s="305">
        <f>+IF(W62=0,0,HLOOKUP(YEAR(W62)+(MONTH(W62)/100),TC!$5:$37,DAY(W62)+2,FALSE))</f>
        <v>0</v>
      </c>
      <c r="AC62" s="306">
        <f t="shared" si="15"/>
        <v>0</v>
      </c>
      <c r="AD62" s="314">
        <f t="shared" si="10"/>
        <v>0</v>
      </c>
      <c r="AE62" s="315">
        <f t="shared" si="11"/>
        <v>0</v>
      </c>
      <c r="AF62" s="316">
        <f t="shared" si="3"/>
        <v>0</v>
      </c>
      <c r="AG62" s="314">
        <v>1</v>
      </c>
      <c r="AH62" s="314">
        <f t="shared" si="12"/>
        <v>0</v>
      </c>
      <c r="AI62" s="314">
        <f t="shared" si="13"/>
        <v>0</v>
      </c>
      <c r="AJ62" s="317"/>
      <c r="AK62" s="315" t="e">
        <f t="shared" si="14"/>
        <v>#N/A</v>
      </c>
      <c r="AM62" s="561"/>
      <c r="AN62" s="561"/>
      <c r="AO62" s="561"/>
    </row>
    <row r="63" spans="2:41">
      <c r="B63" s="296"/>
      <c r="C63" s="299"/>
      <c r="D63" s="296"/>
      <c r="E63" s="298"/>
      <c r="F63" s="299"/>
      <c r="G63" s="300"/>
      <c r="H63" s="303"/>
      <c r="I63" s="303"/>
      <c r="J63" s="322">
        <f t="shared" si="0"/>
        <v>0</v>
      </c>
      <c r="K63" s="305" t="e">
        <f>IF(F63="MXN",1/HLOOKUP(YEAR(G63)+(MONTH(G63)/100),TC!$5:$37,DAY(G63)+2,FALSE),VLOOKUP(F63,Equivalencia!$5:$23,((MAX(Equivalencia!$3:$3)-YEAR(G63))*14)+MONTH(G63)+2,FALSE))</f>
        <v>#N/A</v>
      </c>
      <c r="L63" s="306" t="e">
        <f t="shared" si="4"/>
        <v>#N/A</v>
      </c>
      <c r="M63" s="305">
        <f>IF(G63=0,0,HLOOKUP(YEAR(G63)+(MONTH(G63)/100),TC!$5:$37,DAY(G63)+2,FALSE))</f>
        <v>0</v>
      </c>
      <c r="N63" s="306" t="e">
        <f t="shared" si="5"/>
        <v>#N/A</v>
      </c>
      <c r="O63" s="308">
        <f>IF(G63=0,0,VLOOKUP(YEAR(G63),INPC!$B$4:$P$30,MONTH(G63)+2))</f>
        <v>0</v>
      </c>
      <c r="P63" s="308">
        <f>IF(W63=0,0,IF(OR(C63=$AQ$5,C63=AQ67),VLOOKUP(YEAR(W63),INPC!$B$4:$P$30,MONTH(W63)+1),VLOOKUP(YEAR(W63),INPC!$B$4:$P$30,MONTH(W63)+2)))</f>
        <v>0</v>
      </c>
      <c r="Q63" s="309">
        <f t="shared" si="6"/>
        <v>0</v>
      </c>
      <c r="R63" s="310" t="e">
        <f t="shared" si="7"/>
        <v>#N/A</v>
      </c>
      <c r="S63" s="310">
        <f t="shared" si="8"/>
        <v>0</v>
      </c>
      <c r="T63" s="567" t="str">
        <f t="shared" si="9"/>
        <v>NO</v>
      </c>
      <c r="U63" s="323"/>
      <c r="V63" s="299"/>
      <c r="W63" s="300"/>
      <c r="X63" s="299"/>
      <c r="Y63" s="303"/>
      <c r="Z63" s="305">
        <f>IF(Y63=0,0,IF(X63="MXN",1/HLOOKUP(YEAR(W63)+(MONTH(W63)/100),TC!$5:$37,DAY(W63)+2,FALSE),VLOOKUP(X63,Equivalencia!$1:$23,((MAX(Equivalencia!$3:$3)-YEAR(W63))*14)+MONTH(W63)+2,FALSE)))</f>
        <v>0</v>
      </c>
      <c r="AA63" s="306">
        <f t="shared" si="16"/>
        <v>0</v>
      </c>
      <c r="AB63" s="305">
        <f>+IF(W63=0,0,HLOOKUP(YEAR(W63)+(MONTH(W63)/100),TC!$5:$37,DAY(W63)+2,FALSE))</f>
        <v>0</v>
      </c>
      <c r="AC63" s="306">
        <f t="shared" si="15"/>
        <v>0</v>
      </c>
      <c r="AD63" s="314">
        <f t="shared" si="10"/>
        <v>0</v>
      </c>
      <c r="AE63" s="315">
        <f t="shared" si="11"/>
        <v>0</v>
      </c>
      <c r="AF63" s="316">
        <f t="shared" si="3"/>
        <v>0</v>
      </c>
      <c r="AG63" s="314">
        <v>1</v>
      </c>
      <c r="AH63" s="314">
        <f t="shared" si="12"/>
        <v>0</v>
      </c>
      <c r="AI63" s="314">
        <f t="shared" si="13"/>
        <v>0</v>
      </c>
      <c r="AJ63" s="317"/>
      <c r="AK63" s="315" t="e">
        <f t="shared" si="14"/>
        <v>#N/A</v>
      </c>
      <c r="AM63" s="561"/>
      <c r="AN63" s="561"/>
      <c r="AO63" s="561"/>
    </row>
    <row r="64" spans="2:41">
      <c r="B64" s="296"/>
      <c r="C64" s="299"/>
      <c r="D64" s="296"/>
      <c r="E64" s="298"/>
      <c r="F64" s="299"/>
      <c r="G64" s="300"/>
      <c r="H64" s="303"/>
      <c r="I64" s="303"/>
      <c r="J64" s="322">
        <f t="shared" si="0"/>
        <v>0</v>
      </c>
      <c r="K64" s="305" t="e">
        <f>IF(F64="MXN",1/HLOOKUP(YEAR(G64)+(MONTH(G64)/100),TC!$5:$37,DAY(G64)+2,FALSE),VLOOKUP(F64,Equivalencia!$5:$23,((MAX(Equivalencia!$3:$3)-YEAR(G64))*14)+MONTH(G64)+2,FALSE))</f>
        <v>#N/A</v>
      </c>
      <c r="L64" s="306" t="e">
        <f t="shared" si="4"/>
        <v>#N/A</v>
      </c>
      <c r="M64" s="305">
        <f>IF(G64=0,0,HLOOKUP(YEAR(G64)+(MONTH(G64)/100),TC!$5:$37,DAY(G64)+2,FALSE))</f>
        <v>0</v>
      </c>
      <c r="N64" s="306" t="e">
        <f t="shared" si="5"/>
        <v>#N/A</v>
      </c>
      <c r="O64" s="308">
        <f>IF(G64=0,0,VLOOKUP(YEAR(G64),INPC!$B$4:$P$30,MONTH(G64)+2))</f>
        <v>0</v>
      </c>
      <c r="P64" s="308">
        <f>IF(W64=0,0,IF(OR(C64=$AQ$5,C64=AQ68),VLOOKUP(YEAR(W64),INPC!$B$4:$P$30,MONTH(W64)+1),VLOOKUP(YEAR(W64),INPC!$B$4:$P$30,MONTH(W64)+2)))</f>
        <v>0</v>
      </c>
      <c r="Q64" s="309">
        <f t="shared" si="6"/>
        <v>0</v>
      </c>
      <c r="R64" s="310" t="e">
        <f t="shared" si="7"/>
        <v>#N/A</v>
      </c>
      <c r="S64" s="310">
        <f t="shared" si="8"/>
        <v>0</v>
      </c>
      <c r="T64" s="567" t="str">
        <f t="shared" si="9"/>
        <v>NO</v>
      </c>
      <c r="U64" s="323"/>
      <c r="V64" s="299"/>
      <c r="W64" s="300"/>
      <c r="X64" s="299"/>
      <c r="Y64" s="303"/>
      <c r="Z64" s="305">
        <f>IF(Y64=0,0,IF(X64="MXN",1/HLOOKUP(YEAR(W64)+(MONTH(W64)/100),TC!$5:$37,DAY(W64)+2,FALSE),VLOOKUP(X64,Equivalencia!$1:$23,((MAX(Equivalencia!$3:$3)-YEAR(W64))*14)+MONTH(W64)+2,FALSE)))</f>
        <v>0</v>
      </c>
      <c r="AA64" s="306">
        <f t="shared" si="16"/>
        <v>0</v>
      </c>
      <c r="AB64" s="305">
        <f>+IF(W64=0,0,HLOOKUP(YEAR(W64)+(MONTH(W64)/100),TC!$5:$37,DAY(W64)+2,FALSE))</f>
        <v>0</v>
      </c>
      <c r="AC64" s="306">
        <f t="shared" si="15"/>
        <v>0</v>
      </c>
      <c r="AD64" s="314">
        <f t="shared" si="10"/>
        <v>0</v>
      </c>
      <c r="AE64" s="315">
        <f t="shared" si="11"/>
        <v>0</v>
      </c>
      <c r="AF64" s="316">
        <f t="shared" si="3"/>
        <v>0</v>
      </c>
      <c r="AG64" s="314">
        <v>1</v>
      </c>
      <c r="AH64" s="314">
        <f t="shared" si="12"/>
        <v>0</v>
      </c>
      <c r="AI64" s="314">
        <f t="shared" si="13"/>
        <v>0</v>
      </c>
      <c r="AJ64" s="317"/>
      <c r="AK64" s="315" t="e">
        <f t="shared" si="14"/>
        <v>#N/A</v>
      </c>
      <c r="AM64" s="561"/>
      <c r="AN64" s="561"/>
      <c r="AO64" s="561"/>
    </row>
    <row r="65" spans="2:41">
      <c r="B65" s="296"/>
      <c r="C65" s="299"/>
      <c r="D65" s="296"/>
      <c r="E65" s="298"/>
      <c r="F65" s="299"/>
      <c r="G65" s="300"/>
      <c r="H65" s="303"/>
      <c r="I65" s="303"/>
      <c r="J65" s="322">
        <f t="shared" si="0"/>
        <v>0</v>
      </c>
      <c r="K65" s="305" t="e">
        <f>IF(F65="MXN",1/HLOOKUP(YEAR(G65)+(MONTH(G65)/100),TC!$5:$37,DAY(G65)+2,FALSE),VLOOKUP(F65,Equivalencia!$5:$23,((MAX(Equivalencia!$3:$3)-YEAR(G65))*14)+MONTH(G65)+2,FALSE))</f>
        <v>#N/A</v>
      </c>
      <c r="L65" s="306" t="e">
        <f t="shared" si="4"/>
        <v>#N/A</v>
      </c>
      <c r="M65" s="305">
        <f>IF(G65=0,0,HLOOKUP(YEAR(G65)+(MONTH(G65)/100),TC!$5:$37,DAY(G65)+2,FALSE))</f>
        <v>0</v>
      </c>
      <c r="N65" s="306" t="e">
        <f t="shared" si="5"/>
        <v>#N/A</v>
      </c>
      <c r="O65" s="308">
        <f>IF(G65=0,0,VLOOKUP(YEAR(G65),INPC!$B$4:$P$30,MONTH(G65)+2))</f>
        <v>0</v>
      </c>
      <c r="P65" s="308">
        <f>IF(W65=0,0,IF(OR(C65=$AQ$5,C65=AQ69),VLOOKUP(YEAR(W65),INPC!$B$4:$P$30,MONTH(W65)+1),VLOOKUP(YEAR(W65),INPC!$B$4:$P$30,MONTH(W65)+2)))</f>
        <v>0</v>
      </c>
      <c r="Q65" s="309">
        <f t="shared" si="6"/>
        <v>0</v>
      </c>
      <c r="R65" s="310" t="e">
        <f t="shared" si="7"/>
        <v>#N/A</v>
      </c>
      <c r="S65" s="310">
        <f t="shared" si="8"/>
        <v>0</v>
      </c>
      <c r="T65" s="567" t="str">
        <f t="shared" si="9"/>
        <v>NO</v>
      </c>
      <c r="U65" s="323"/>
      <c r="V65" s="299"/>
      <c r="W65" s="300"/>
      <c r="X65" s="299"/>
      <c r="Y65" s="303"/>
      <c r="Z65" s="305">
        <f>IF(Y65=0,0,IF(X65="MXN",1/HLOOKUP(YEAR(W65)+(MONTH(W65)/100),TC!$5:$37,DAY(W65)+2,FALSE),VLOOKUP(X65,Equivalencia!$1:$23,((MAX(Equivalencia!$3:$3)-YEAR(W65))*14)+MONTH(W65)+2,FALSE)))</f>
        <v>0</v>
      </c>
      <c r="AA65" s="306">
        <f t="shared" si="16"/>
        <v>0</v>
      </c>
      <c r="AB65" s="305">
        <f>+IF(W65=0,0,HLOOKUP(YEAR(W65)+(MONTH(W65)/100),TC!$5:$37,DAY(W65)+2,FALSE))</f>
        <v>0</v>
      </c>
      <c r="AC65" s="306">
        <f t="shared" si="15"/>
        <v>0</v>
      </c>
      <c r="AD65" s="314">
        <f t="shared" si="10"/>
        <v>0</v>
      </c>
      <c r="AE65" s="315">
        <f t="shared" si="11"/>
        <v>0</v>
      </c>
      <c r="AF65" s="316">
        <f t="shared" si="3"/>
        <v>0</v>
      </c>
      <c r="AG65" s="314">
        <v>1</v>
      </c>
      <c r="AH65" s="314">
        <f t="shared" si="12"/>
        <v>0</v>
      </c>
      <c r="AI65" s="314">
        <f t="shared" si="13"/>
        <v>0</v>
      </c>
      <c r="AJ65" s="317"/>
      <c r="AK65" s="315" t="e">
        <f t="shared" si="14"/>
        <v>#N/A</v>
      </c>
      <c r="AM65" s="561"/>
      <c r="AN65" s="561"/>
      <c r="AO65" s="561"/>
    </row>
    <row r="66" spans="2:41">
      <c r="B66" s="296"/>
      <c r="C66" s="299"/>
      <c r="D66" s="296"/>
      <c r="E66" s="298"/>
      <c r="F66" s="299"/>
      <c r="G66" s="300"/>
      <c r="H66" s="303"/>
      <c r="I66" s="303"/>
      <c r="J66" s="322">
        <f t="shared" ref="J66:J129" si="17">IF(E66=0,0,IF(OR(C66=$AQ$5,C66=$AQ$6),"Derivados Cap IV, Sec II - SIC &amp; BMV","Derivados Cap IX - No SIC"))</f>
        <v>0</v>
      </c>
      <c r="K66" s="305" t="e">
        <f>IF(F66="MXN",1/HLOOKUP(YEAR(G66)+(MONTH(G66)/100),TC!$5:$37,DAY(G66)+2,FALSE),VLOOKUP(F66,Equivalencia!$5:$23,((MAX(Equivalencia!$3:$3)-YEAR(G66))*14)+MONTH(G66)+2,FALSE))</f>
        <v>#N/A</v>
      </c>
      <c r="L66" s="306" t="e">
        <f t="shared" si="4"/>
        <v>#N/A</v>
      </c>
      <c r="M66" s="305">
        <f>IF(G66=0,0,HLOOKUP(YEAR(G66)+(MONTH(G66)/100),TC!$5:$37,DAY(G66)+2,FALSE))</f>
        <v>0</v>
      </c>
      <c r="N66" s="306" t="e">
        <f t="shared" si="5"/>
        <v>#N/A</v>
      </c>
      <c r="O66" s="308">
        <f>IF(G66=0,0,VLOOKUP(YEAR(G66),INPC!$B$4:$P$30,MONTH(G66)+2))</f>
        <v>0</v>
      </c>
      <c r="P66" s="308">
        <f>IF(W66=0,0,IF(OR(C66=$AQ$5,C66=AQ70),VLOOKUP(YEAR(W66),INPC!$B$4:$P$30,MONTH(W66)+1),VLOOKUP(YEAR(W66),INPC!$B$4:$P$30,MONTH(W66)+2)))</f>
        <v>0</v>
      </c>
      <c r="Q66" s="309">
        <f t="shared" si="6"/>
        <v>0</v>
      </c>
      <c r="R66" s="310" t="e">
        <f t="shared" si="7"/>
        <v>#N/A</v>
      </c>
      <c r="S66" s="310">
        <f t="shared" si="8"/>
        <v>0</v>
      </c>
      <c r="T66" s="567" t="str">
        <f t="shared" si="9"/>
        <v>NO</v>
      </c>
      <c r="U66" s="323"/>
      <c r="V66" s="299"/>
      <c r="W66" s="300"/>
      <c r="X66" s="299"/>
      <c r="Y66" s="303"/>
      <c r="Z66" s="305">
        <f>IF(Y66=0,0,IF(X66="MXN",1/HLOOKUP(YEAR(W66)+(MONTH(W66)/100),TC!$5:$37,DAY(W66)+2,FALSE),VLOOKUP(X66,Equivalencia!$1:$23,((MAX(Equivalencia!$3:$3)-YEAR(W66))*14)+MONTH(W66)+2,FALSE)))</f>
        <v>0</v>
      </c>
      <c r="AA66" s="306">
        <f t="shared" si="16"/>
        <v>0</v>
      </c>
      <c r="AB66" s="305">
        <f>+IF(W66=0,0,HLOOKUP(YEAR(W66)+(MONTH(W66)/100),TC!$5:$37,DAY(W66)+2,FALSE))</f>
        <v>0</v>
      </c>
      <c r="AC66" s="306">
        <f t="shared" si="15"/>
        <v>0</v>
      </c>
      <c r="AD66" s="314">
        <f t="shared" ref="AD66:AD129" si="18">+U66*S66</f>
        <v>0</v>
      </c>
      <c r="AE66" s="315">
        <f t="shared" si="11"/>
        <v>0</v>
      </c>
      <c r="AF66" s="316">
        <f t="shared" ref="AF66:AF129" si="19">+IF(OR(C66=$AQ$5,C66=$AQ$6),1,((W66-G66)/365))</f>
        <v>0</v>
      </c>
      <c r="AG66" s="314">
        <v>1</v>
      </c>
      <c r="AH66" s="314">
        <f t="shared" si="12"/>
        <v>0</v>
      </c>
      <c r="AI66" s="314">
        <f t="shared" si="13"/>
        <v>0</v>
      </c>
      <c r="AJ66" s="317"/>
      <c r="AK66" s="315" t="e">
        <f t="shared" si="14"/>
        <v>#N/A</v>
      </c>
      <c r="AM66" s="561"/>
      <c r="AN66" s="561"/>
      <c r="AO66" s="561"/>
    </row>
    <row r="67" spans="2:41">
      <c r="B67" s="296"/>
      <c r="C67" s="299"/>
      <c r="D67" s="296"/>
      <c r="E67" s="298"/>
      <c r="F67" s="299"/>
      <c r="G67" s="300"/>
      <c r="H67" s="303"/>
      <c r="I67" s="303"/>
      <c r="J67" s="322">
        <f t="shared" si="17"/>
        <v>0</v>
      </c>
      <c r="K67" s="305" t="e">
        <f>IF(F67="MXN",1/HLOOKUP(YEAR(G67)+(MONTH(G67)/100),TC!$5:$37,DAY(G67)+2,FALSE),VLOOKUP(F67,Equivalencia!$5:$23,((MAX(Equivalencia!$3:$3)-YEAR(G67))*14)+MONTH(G67)+2,FALSE))</f>
        <v>#N/A</v>
      </c>
      <c r="L67" s="306" t="e">
        <f t="shared" ref="L67:L130" si="20">+I67*K67</f>
        <v>#N/A</v>
      </c>
      <c r="M67" s="305">
        <f>IF(G67=0,0,HLOOKUP(YEAR(G67)+(MONTH(G67)/100),TC!$5:$37,DAY(G67)+2,FALSE))</f>
        <v>0</v>
      </c>
      <c r="N67" s="306" t="e">
        <f t="shared" ref="N67:N130" si="21">+L67*M67</f>
        <v>#N/A</v>
      </c>
      <c r="O67" s="308">
        <f>IF(G67=0,0,VLOOKUP(YEAR(G67),INPC!$B$4:$P$30,MONTH(G67)+2))</f>
        <v>0</v>
      </c>
      <c r="P67" s="308">
        <f>IF(W67=0,0,IF(OR(C67=$AQ$5,C67=AQ71),VLOOKUP(YEAR(W67),INPC!$B$4:$P$30,MONTH(W67)+1),VLOOKUP(YEAR(W67),INPC!$B$4:$P$30,MONTH(W67)+2)))</f>
        <v>0</v>
      </c>
      <c r="Q67" s="309">
        <f t="shared" ref="Q67:Q130" si="22">IF(W67=0,0,IF(TRUNC(P67/O67,4)&gt;=1,TRUNC(P67/O67,4),1))</f>
        <v>0</v>
      </c>
      <c r="R67" s="310" t="e">
        <f t="shared" ref="R67:R130" si="23">+Q67*N67</f>
        <v>#N/A</v>
      </c>
      <c r="S67" s="310">
        <f t="shared" ref="S67:S130" si="24">IF(U67=0,0,R67/U67)</f>
        <v>0</v>
      </c>
      <c r="T67" s="567" t="str">
        <f t="shared" ref="T67:T130" si="25">+IF(W67=0,"NO","SI")</f>
        <v>NO</v>
      </c>
      <c r="U67" s="323"/>
      <c r="V67" s="299"/>
      <c r="W67" s="300"/>
      <c r="X67" s="299"/>
      <c r="Y67" s="303"/>
      <c r="Z67" s="305">
        <f>IF(Y67=0,0,IF(X67="MXN",1/HLOOKUP(YEAR(W67)+(MONTH(W67)/100),TC!$5:$37,DAY(W67)+2,FALSE),VLOOKUP(X67,Equivalencia!$1:$23,((MAX(Equivalencia!$3:$3)-YEAR(W67))*14)+MONTH(W67)+2,FALSE)))</f>
        <v>0</v>
      </c>
      <c r="AA67" s="306">
        <f t="shared" ref="AA67:AA130" si="26">+Z67*Y67</f>
        <v>0</v>
      </c>
      <c r="AB67" s="305">
        <f>+IF(W67=0,0,HLOOKUP(YEAR(W67)+(MONTH(W67)/100),TC!$5:$37,DAY(W67)+2,FALSE))</f>
        <v>0</v>
      </c>
      <c r="AC67" s="306">
        <f t="shared" ref="AC67:AC130" si="27">+AB67*AA67</f>
        <v>0</v>
      </c>
      <c r="AD67" s="314">
        <f t="shared" si="18"/>
        <v>0</v>
      </c>
      <c r="AE67" s="315">
        <f t="shared" ref="AE67:AE130" si="28">AC67+AD67</f>
        <v>0</v>
      </c>
      <c r="AF67" s="316">
        <f t="shared" si="19"/>
        <v>0</v>
      </c>
      <c r="AG67" s="314">
        <v>1</v>
      </c>
      <c r="AH67" s="314">
        <f t="shared" ref="AH67:AH130" si="29">(AE67/AG67)</f>
        <v>0</v>
      </c>
      <c r="AI67" s="314">
        <f t="shared" ref="AI67:AI130" si="30">+AE67-AH67</f>
        <v>0</v>
      </c>
      <c r="AJ67" s="317"/>
      <c r="AK67" s="315" t="e">
        <f t="shared" ref="AK67:AK130" si="31">+AA67+L67</f>
        <v>#N/A</v>
      </c>
      <c r="AM67" s="561"/>
      <c r="AN67" s="561"/>
      <c r="AO67" s="561"/>
    </row>
    <row r="68" spans="2:41">
      <c r="B68" s="296"/>
      <c r="C68" s="299"/>
      <c r="D68" s="296"/>
      <c r="E68" s="298"/>
      <c r="F68" s="299"/>
      <c r="G68" s="300"/>
      <c r="H68" s="303"/>
      <c r="I68" s="303"/>
      <c r="J68" s="322">
        <f t="shared" si="17"/>
        <v>0</v>
      </c>
      <c r="K68" s="305" t="e">
        <f>IF(F68="MXN",1/HLOOKUP(YEAR(G68)+(MONTH(G68)/100),TC!$5:$37,DAY(G68)+2,FALSE),VLOOKUP(F68,Equivalencia!$5:$23,((MAX(Equivalencia!$3:$3)-YEAR(G68))*14)+MONTH(G68)+2,FALSE))</f>
        <v>#N/A</v>
      </c>
      <c r="L68" s="306" t="e">
        <f t="shared" si="20"/>
        <v>#N/A</v>
      </c>
      <c r="M68" s="305">
        <f>IF(G68=0,0,HLOOKUP(YEAR(G68)+(MONTH(G68)/100),TC!$5:$37,DAY(G68)+2,FALSE))</f>
        <v>0</v>
      </c>
      <c r="N68" s="306" t="e">
        <f t="shared" si="21"/>
        <v>#N/A</v>
      </c>
      <c r="O68" s="308">
        <f>IF(G68=0,0,VLOOKUP(YEAR(G68),INPC!$B$4:$P$30,MONTH(G68)+2))</f>
        <v>0</v>
      </c>
      <c r="P68" s="308">
        <f>IF(W68=0,0,IF(OR(C68=$AQ$5,C68=AQ72),VLOOKUP(YEAR(W68),INPC!$B$4:$P$30,MONTH(W68)+1),VLOOKUP(YEAR(W68),INPC!$B$4:$P$30,MONTH(W68)+2)))</f>
        <v>0</v>
      </c>
      <c r="Q68" s="309">
        <f t="shared" si="22"/>
        <v>0</v>
      </c>
      <c r="R68" s="310" t="e">
        <f t="shared" si="23"/>
        <v>#N/A</v>
      </c>
      <c r="S68" s="310">
        <f t="shared" si="24"/>
        <v>0</v>
      </c>
      <c r="T68" s="567" t="str">
        <f t="shared" si="25"/>
        <v>NO</v>
      </c>
      <c r="U68" s="323"/>
      <c r="V68" s="299"/>
      <c r="W68" s="300"/>
      <c r="X68" s="299"/>
      <c r="Y68" s="303"/>
      <c r="Z68" s="305">
        <f>IF(Y68=0,0,IF(X68="MXN",1/HLOOKUP(YEAR(W68)+(MONTH(W68)/100),TC!$5:$37,DAY(W68)+2,FALSE),VLOOKUP(X68,Equivalencia!$1:$23,((MAX(Equivalencia!$3:$3)-YEAR(W68))*14)+MONTH(W68)+2,FALSE)))</f>
        <v>0</v>
      </c>
      <c r="AA68" s="306">
        <f t="shared" si="26"/>
        <v>0</v>
      </c>
      <c r="AB68" s="305">
        <f>+IF(W68=0,0,HLOOKUP(YEAR(W68)+(MONTH(W68)/100),TC!$5:$37,DAY(W68)+2,FALSE))</f>
        <v>0</v>
      </c>
      <c r="AC68" s="306">
        <f t="shared" si="27"/>
        <v>0</v>
      </c>
      <c r="AD68" s="314">
        <f t="shared" si="18"/>
        <v>0</v>
      </c>
      <c r="AE68" s="315">
        <f t="shared" si="28"/>
        <v>0</v>
      </c>
      <c r="AF68" s="316">
        <f t="shared" si="19"/>
        <v>0</v>
      </c>
      <c r="AG68" s="314">
        <v>1</v>
      </c>
      <c r="AH68" s="314">
        <f t="shared" si="29"/>
        <v>0</v>
      </c>
      <c r="AI68" s="314">
        <f t="shared" si="30"/>
        <v>0</v>
      </c>
      <c r="AJ68" s="317"/>
      <c r="AK68" s="315" t="e">
        <f t="shared" si="31"/>
        <v>#N/A</v>
      </c>
      <c r="AM68" s="561"/>
      <c r="AN68" s="561"/>
      <c r="AO68" s="561"/>
    </row>
    <row r="69" spans="2:41">
      <c r="B69" s="296"/>
      <c r="C69" s="299"/>
      <c r="D69" s="296"/>
      <c r="E69" s="298"/>
      <c r="F69" s="299"/>
      <c r="G69" s="300"/>
      <c r="H69" s="303"/>
      <c r="I69" s="303"/>
      <c r="J69" s="322">
        <f t="shared" si="17"/>
        <v>0</v>
      </c>
      <c r="K69" s="305" t="e">
        <f>IF(F69="MXN",1/HLOOKUP(YEAR(G69)+(MONTH(G69)/100),TC!$5:$37,DAY(G69)+2,FALSE),VLOOKUP(F69,Equivalencia!$5:$23,((MAX(Equivalencia!$3:$3)-YEAR(G69))*14)+MONTH(G69)+2,FALSE))</f>
        <v>#N/A</v>
      </c>
      <c r="L69" s="306" t="e">
        <f t="shared" si="20"/>
        <v>#N/A</v>
      </c>
      <c r="M69" s="305">
        <f>IF(G69=0,0,HLOOKUP(YEAR(G69)+(MONTH(G69)/100),TC!$5:$37,DAY(G69)+2,FALSE))</f>
        <v>0</v>
      </c>
      <c r="N69" s="306" t="e">
        <f t="shared" si="21"/>
        <v>#N/A</v>
      </c>
      <c r="O69" s="308">
        <f>IF(G69=0,0,VLOOKUP(YEAR(G69),INPC!$B$4:$P$30,MONTH(G69)+2))</f>
        <v>0</v>
      </c>
      <c r="P69" s="308">
        <f>IF(W69=0,0,IF(OR(C69=$AQ$5,C69=AQ73),VLOOKUP(YEAR(W69),INPC!$B$4:$P$30,MONTH(W69)+1),VLOOKUP(YEAR(W69),INPC!$B$4:$P$30,MONTH(W69)+2)))</f>
        <v>0</v>
      </c>
      <c r="Q69" s="309">
        <f t="shared" si="22"/>
        <v>0</v>
      </c>
      <c r="R69" s="310" t="e">
        <f t="shared" si="23"/>
        <v>#N/A</v>
      </c>
      <c r="S69" s="310">
        <f t="shared" si="24"/>
        <v>0</v>
      </c>
      <c r="T69" s="567" t="str">
        <f t="shared" si="25"/>
        <v>NO</v>
      </c>
      <c r="U69" s="323"/>
      <c r="V69" s="299"/>
      <c r="W69" s="300"/>
      <c r="X69" s="299"/>
      <c r="Y69" s="303"/>
      <c r="Z69" s="305">
        <f>IF(Y69=0,0,IF(X69="MXN",1/HLOOKUP(YEAR(W69)+(MONTH(W69)/100),TC!$5:$37,DAY(W69)+2,FALSE),VLOOKUP(X69,Equivalencia!$1:$23,((MAX(Equivalencia!$3:$3)-YEAR(W69))*14)+MONTH(W69)+2,FALSE)))</f>
        <v>0</v>
      </c>
      <c r="AA69" s="306">
        <f t="shared" si="26"/>
        <v>0</v>
      </c>
      <c r="AB69" s="305">
        <f>+IF(W69=0,0,HLOOKUP(YEAR(W69)+(MONTH(W69)/100),TC!$5:$37,DAY(W69)+2,FALSE))</f>
        <v>0</v>
      </c>
      <c r="AC69" s="306">
        <f t="shared" si="27"/>
        <v>0</v>
      </c>
      <c r="AD69" s="314">
        <f t="shared" si="18"/>
        <v>0</v>
      </c>
      <c r="AE69" s="315">
        <f t="shared" si="28"/>
        <v>0</v>
      </c>
      <c r="AF69" s="316">
        <f t="shared" si="19"/>
        <v>0</v>
      </c>
      <c r="AG69" s="314">
        <v>1</v>
      </c>
      <c r="AH69" s="314">
        <f t="shared" si="29"/>
        <v>0</v>
      </c>
      <c r="AI69" s="314">
        <f t="shared" si="30"/>
        <v>0</v>
      </c>
      <c r="AJ69" s="317"/>
      <c r="AK69" s="315" t="e">
        <f t="shared" si="31"/>
        <v>#N/A</v>
      </c>
      <c r="AM69" s="561"/>
      <c r="AN69" s="561"/>
      <c r="AO69" s="561"/>
    </row>
    <row r="70" spans="2:41">
      <c r="B70" s="296"/>
      <c r="C70" s="299"/>
      <c r="D70" s="296"/>
      <c r="E70" s="298"/>
      <c r="F70" s="299"/>
      <c r="G70" s="300"/>
      <c r="H70" s="303"/>
      <c r="I70" s="303"/>
      <c r="J70" s="322">
        <f t="shared" si="17"/>
        <v>0</v>
      </c>
      <c r="K70" s="305" t="e">
        <f>IF(F70="MXN",1/HLOOKUP(YEAR(G70)+(MONTH(G70)/100),TC!$5:$37,DAY(G70)+2,FALSE),VLOOKUP(F70,Equivalencia!$5:$23,((MAX(Equivalencia!$3:$3)-YEAR(G70))*14)+MONTH(G70)+2,FALSE))</f>
        <v>#N/A</v>
      </c>
      <c r="L70" s="306" t="e">
        <f t="shared" si="20"/>
        <v>#N/A</v>
      </c>
      <c r="M70" s="305">
        <f>IF(G70=0,0,HLOOKUP(YEAR(G70)+(MONTH(G70)/100),TC!$5:$37,DAY(G70)+2,FALSE))</f>
        <v>0</v>
      </c>
      <c r="N70" s="306" t="e">
        <f t="shared" si="21"/>
        <v>#N/A</v>
      </c>
      <c r="O70" s="308">
        <f>IF(G70=0,0,VLOOKUP(YEAR(G70),INPC!$B$4:$P$30,MONTH(G70)+2))</f>
        <v>0</v>
      </c>
      <c r="P70" s="308">
        <f>IF(W70=0,0,IF(OR(C70=$AQ$5,C70=AQ74),VLOOKUP(YEAR(W70),INPC!$B$4:$P$30,MONTH(W70)+1),VLOOKUP(YEAR(W70),INPC!$B$4:$P$30,MONTH(W70)+2)))</f>
        <v>0</v>
      </c>
      <c r="Q70" s="309">
        <f t="shared" si="22"/>
        <v>0</v>
      </c>
      <c r="R70" s="310" t="e">
        <f t="shared" si="23"/>
        <v>#N/A</v>
      </c>
      <c r="S70" s="310">
        <f t="shared" si="24"/>
        <v>0</v>
      </c>
      <c r="T70" s="567" t="str">
        <f t="shared" si="25"/>
        <v>NO</v>
      </c>
      <c r="U70" s="323"/>
      <c r="V70" s="299"/>
      <c r="W70" s="300"/>
      <c r="X70" s="299"/>
      <c r="Y70" s="303"/>
      <c r="Z70" s="305">
        <f>IF(Y70=0,0,IF(X70="MXN",1/HLOOKUP(YEAR(W70)+(MONTH(W70)/100),TC!$5:$37,DAY(W70)+2,FALSE),VLOOKUP(X70,Equivalencia!$1:$23,((MAX(Equivalencia!$3:$3)-YEAR(W70))*14)+MONTH(W70)+2,FALSE)))</f>
        <v>0</v>
      </c>
      <c r="AA70" s="306">
        <f t="shared" si="26"/>
        <v>0</v>
      </c>
      <c r="AB70" s="305">
        <f>+IF(W70=0,0,HLOOKUP(YEAR(W70)+(MONTH(W70)/100),TC!$5:$37,DAY(W70)+2,FALSE))</f>
        <v>0</v>
      </c>
      <c r="AC70" s="306">
        <f t="shared" si="27"/>
        <v>0</v>
      </c>
      <c r="AD70" s="314">
        <f t="shared" si="18"/>
        <v>0</v>
      </c>
      <c r="AE70" s="315">
        <f t="shared" si="28"/>
        <v>0</v>
      </c>
      <c r="AF70" s="316">
        <f t="shared" si="19"/>
        <v>0</v>
      </c>
      <c r="AG70" s="314">
        <v>1</v>
      </c>
      <c r="AH70" s="314">
        <f t="shared" si="29"/>
        <v>0</v>
      </c>
      <c r="AI70" s="314">
        <f t="shared" si="30"/>
        <v>0</v>
      </c>
      <c r="AJ70" s="317"/>
      <c r="AK70" s="315" t="e">
        <f t="shared" si="31"/>
        <v>#N/A</v>
      </c>
      <c r="AM70" s="561"/>
      <c r="AN70" s="561"/>
      <c r="AO70" s="561"/>
    </row>
    <row r="71" spans="2:41">
      <c r="B71" s="296"/>
      <c r="C71" s="299"/>
      <c r="D71" s="296"/>
      <c r="E71" s="298"/>
      <c r="F71" s="299"/>
      <c r="G71" s="300"/>
      <c r="H71" s="303"/>
      <c r="I71" s="303"/>
      <c r="J71" s="322">
        <f t="shared" si="17"/>
        <v>0</v>
      </c>
      <c r="K71" s="305" t="e">
        <f>IF(F71="MXN",1/HLOOKUP(YEAR(G71)+(MONTH(G71)/100),TC!$5:$37,DAY(G71)+2,FALSE),VLOOKUP(F71,Equivalencia!$5:$23,((MAX(Equivalencia!$3:$3)-YEAR(G71))*14)+MONTH(G71)+2,FALSE))</f>
        <v>#N/A</v>
      </c>
      <c r="L71" s="306" t="e">
        <f t="shared" si="20"/>
        <v>#N/A</v>
      </c>
      <c r="M71" s="305">
        <f>IF(G71=0,0,HLOOKUP(YEAR(G71)+(MONTH(G71)/100),TC!$5:$37,DAY(G71)+2,FALSE))</f>
        <v>0</v>
      </c>
      <c r="N71" s="306" t="e">
        <f t="shared" si="21"/>
        <v>#N/A</v>
      </c>
      <c r="O71" s="308">
        <f>IF(G71=0,0,VLOOKUP(YEAR(G71),INPC!$B$4:$P$30,MONTH(G71)+2))</f>
        <v>0</v>
      </c>
      <c r="P71" s="308">
        <f>IF(W71=0,0,IF(OR(C71=$AQ$5,C71=AQ75),VLOOKUP(YEAR(W71),INPC!$B$4:$P$30,MONTH(W71)+1),VLOOKUP(YEAR(W71),INPC!$B$4:$P$30,MONTH(W71)+2)))</f>
        <v>0</v>
      </c>
      <c r="Q71" s="309">
        <f t="shared" si="22"/>
        <v>0</v>
      </c>
      <c r="R71" s="310" t="e">
        <f t="shared" si="23"/>
        <v>#N/A</v>
      </c>
      <c r="S71" s="310">
        <f t="shared" si="24"/>
        <v>0</v>
      </c>
      <c r="T71" s="567" t="str">
        <f t="shared" si="25"/>
        <v>NO</v>
      </c>
      <c r="U71" s="323"/>
      <c r="V71" s="299"/>
      <c r="W71" s="300"/>
      <c r="X71" s="299"/>
      <c r="Y71" s="303"/>
      <c r="Z71" s="305">
        <f>IF(Y71=0,0,IF(X71="MXN",1/HLOOKUP(YEAR(W71)+(MONTH(W71)/100),TC!$5:$37,DAY(W71)+2,FALSE),VLOOKUP(X71,Equivalencia!$1:$23,((MAX(Equivalencia!$3:$3)-YEAR(W71))*14)+MONTH(W71)+2,FALSE)))</f>
        <v>0</v>
      </c>
      <c r="AA71" s="306">
        <f t="shared" si="26"/>
        <v>0</v>
      </c>
      <c r="AB71" s="305">
        <f>+IF(W71=0,0,HLOOKUP(YEAR(W71)+(MONTH(W71)/100),TC!$5:$37,DAY(W71)+2,FALSE))</f>
        <v>0</v>
      </c>
      <c r="AC71" s="306">
        <f t="shared" si="27"/>
        <v>0</v>
      </c>
      <c r="AD71" s="314">
        <f t="shared" si="18"/>
        <v>0</v>
      </c>
      <c r="AE71" s="315">
        <f t="shared" si="28"/>
        <v>0</v>
      </c>
      <c r="AF71" s="316">
        <f t="shared" si="19"/>
        <v>0</v>
      </c>
      <c r="AG71" s="314">
        <v>1</v>
      </c>
      <c r="AH71" s="314">
        <f t="shared" si="29"/>
        <v>0</v>
      </c>
      <c r="AI71" s="314">
        <f t="shared" si="30"/>
        <v>0</v>
      </c>
      <c r="AJ71" s="317"/>
      <c r="AK71" s="315" t="e">
        <f t="shared" si="31"/>
        <v>#N/A</v>
      </c>
      <c r="AM71" s="561"/>
      <c r="AN71" s="561"/>
      <c r="AO71" s="561"/>
    </row>
    <row r="72" spans="2:41">
      <c r="B72" s="296"/>
      <c r="C72" s="299"/>
      <c r="D72" s="296"/>
      <c r="E72" s="298"/>
      <c r="F72" s="299"/>
      <c r="G72" s="300"/>
      <c r="H72" s="303"/>
      <c r="I72" s="303"/>
      <c r="J72" s="322">
        <f t="shared" si="17"/>
        <v>0</v>
      </c>
      <c r="K72" s="305" t="e">
        <f>IF(F72="MXN",1/HLOOKUP(YEAR(G72)+(MONTH(G72)/100),TC!$5:$37,DAY(G72)+2,FALSE),VLOOKUP(F72,Equivalencia!$5:$23,((MAX(Equivalencia!$3:$3)-YEAR(G72))*14)+MONTH(G72)+2,FALSE))</f>
        <v>#N/A</v>
      </c>
      <c r="L72" s="306" t="e">
        <f t="shared" si="20"/>
        <v>#N/A</v>
      </c>
      <c r="M72" s="305">
        <f>IF(G72=0,0,HLOOKUP(YEAR(G72)+(MONTH(G72)/100),TC!$5:$37,DAY(G72)+2,FALSE))</f>
        <v>0</v>
      </c>
      <c r="N72" s="306" t="e">
        <f t="shared" si="21"/>
        <v>#N/A</v>
      </c>
      <c r="O72" s="308">
        <f>IF(G72=0,0,VLOOKUP(YEAR(G72),INPC!$B$4:$P$30,MONTH(G72)+2))</f>
        <v>0</v>
      </c>
      <c r="P72" s="308">
        <f>IF(W72=0,0,IF(OR(C72=$AQ$5,C72=AQ76),VLOOKUP(YEAR(W72),INPC!$B$4:$P$30,MONTH(W72)+1),VLOOKUP(YEAR(W72),INPC!$B$4:$P$30,MONTH(W72)+2)))</f>
        <v>0</v>
      </c>
      <c r="Q72" s="309">
        <f t="shared" si="22"/>
        <v>0</v>
      </c>
      <c r="R72" s="310" t="e">
        <f t="shared" si="23"/>
        <v>#N/A</v>
      </c>
      <c r="S72" s="310">
        <f t="shared" si="24"/>
        <v>0</v>
      </c>
      <c r="T72" s="567" t="str">
        <f t="shared" si="25"/>
        <v>NO</v>
      </c>
      <c r="U72" s="323"/>
      <c r="V72" s="299"/>
      <c r="W72" s="300"/>
      <c r="X72" s="299"/>
      <c r="Y72" s="303"/>
      <c r="Z72" s="305">
        <f>IF(Y72=0,0,IF(X72="MXN",1/HLOOKUP(YEAR(W72)+(MONTH(W72)/100),TC!$5:$37,DAY(W72)+2,FALSE),VLOOKUP(X72,Equivalencia!$1:$23,((MAX(Equivalencia!$3:$3)-YEAR(W72))*14)+MONTH(W72)+2,FALSE)))</f>
        <v>0</v>
      </c>
      <c r="AA72" s="306">
        <f t="shared" si="26"/>
        <v>0</v>
      </c>
      <c r="AB72" s="305">
        <f>+IF(W72=0,0,HLOOKUP(YEAR(W72)+(MONTH(W72)/100),TC!$5:$37,DAY(W72)+2,FALSE))</f>
        <v>0</v>
      </c>
      <c r="AC72" s="306">
        <f t="shared" si="27"/>
        <v>0</v>
      </c>
      <c r="AD72" s="314">
        <f t="shared" si="18"/>
        <v>0</v>
      </c>
      <c r="AE72" s="315">
        <f t="shared" si="28"/>
        <v>0</v>
      </c>
      <c r="AF72" s="316">
        <f t="shared" si="19"/>
        <v>0</v>
      </c>
      <c r="AG72" s="314">
        <v>1</v>
      </c>
      <c r="AH72" s="314">
        <f t="shared" si="29"/>
        <v>0</v>
      </c>
      <c r="AI72" s="314">
        <f t="shared" si="30"/>
        <v>0</v>
      </c>
      <c r="AJ72" s="317"/>
      <c r="AK72" s="315" t="e">
        <f t="shared" si="31"/>
        <v>#N/A</v>
      </c>
      <c r="AM72" s="561"/>
      <c r="AN72" s="561"/>
      <c r="AO72" s="561"/>
    </row>
    <row r="73" spans="2:41">
      <c r="B73" s="296"/>
      <c r="C73" s="299"/>
      <c r="D73" s="296"/>
      <c r="E73" s="298"/>
      <c r="F73" s="299"/>
      <c r="G73" s="300"/>
      <c r="H73" s="303"/>
      <c r="I73" s="303"/>
      <c r="J73" s="322">
        <f t="shared" si="17"/>
        <v>0</v>
      </c>
      <c r="K73" s="305" t="e">
        <f>IF(F73="MXN",1/HLOOKUP(YEAR(G73)+(MONTH(G73)/100),TC!$5:$37,DAY(G73)+2,FALSE),VLOOKUP(F73,Equivalencia!$5:$23,((MAX(Equivalencia!$3:$3)-YEAR(G73))*14)+MONTH(G73)+2,FALSE))</f>
        <v>#N/A</v>
      </c>
      <c r="L73" s="306" t="e">
        <f t="shared" si="20"/>
        <v>#N/A</v>
      </c>
      <c r="M73" s="305">
        <f>IF(G73=0,0,HLOOKUP(YEAR(G73)+(MONTH(G73)/100),TC!$5:$37,DAY(G73)+2,FALSE))</f>
        <v>0</v>
      </c>
      <c r="N73" s="306" t="e">
        <f t="shared" si="21"/>
        <v>#N/A</v>
      </c>
      <c r="O73" s="308">
        <f>IF(G73=0,0,VLOOKUP(YEAR(G73),INPC!$B$4:$P$30,MONTH(G73)+2))</f>
        <v>0</v>
      </c>
      <c r="P73" s="308">
        <f>IF(W73=0,0,IF(OR(C73=$AQ$5,C73=AQ77),VLOOKUP(YEAR(W73),INPC!$B$4:$P$30,MONTH(W73)+1),VLOOKUP(YEAR(W73),INPC!$B$4:$P$30,MONTH(W73)+2)))</f>
        <v>0</v>
      </c>
      <c r="Q73" s="309">
        <f t="shared" si="22"/>
        <v>0</v>
      </c>
      <c r="R73" s="310" t="e">
        <f t="shared" si="23"/>
        <v>#N/A</v>
      </c>
      <c r="S73" s="310">
        <f t="shared" si="24"/>
        <v>0</v>
      </c>
      <c r="T73" s="567" t="str">
        <f t="shared" si="25"/>
        <v>NO</v>
      </c>
      <c r="U73" s="323"/>
      <c r="V73" s="299"/>
      <c r="W73" s="300"/>
      <c r="X73" s="299"/>
      <c r="Y73" s="303"/>
      <c r="Z73" s="305">
        <f>IF(Y73=0,0,IF(X73="MXN",1/HLOOKUP(YEAR(W73)+(MONTH(W73)/100),TC!$5:$37,DAY(W73)+2,FALSE),VLOOKUP(X73,Equivalencia!$1:$23,((MAX(Equivalencia!$3:$3)-YEAR(W73))*14)+MONTH(W73)+2,FALSE)))</f>
        <v>0</v>
      </c>
      <c r="AA73" s="306">
        <f t="shared" si="26"/>
        <v>0</v>
      </c>
      <c r="AB73" s="305">
        <f>+IF(W73=0,0,HLOOKUP(YEAR(W73)+(MONTH(W73)/100),TC!$5:$37,DAY(W73)+2,FALSE))</f>
        <v>0</v>
      </c>
      <c r="AC73" s="306">
        <f t="shared" si="27"/>
        <v>0</v>
      </c>
      <c r="AD73" s="314">
        <f t="shared" si="18"/>
        <v>0</v>
      </c>
      <c r="AE73" s="315">
        <f t="shared" si="28"/>
        <v>0</v>
      </c>
      <c r="AF73" s="316">
        <f t="shared" si="19"/>
        <v>0</v>
      </c>
      <c r="AG73" s="314">
        <v>1</v>
      </c>
      <c r="AH73" s="314">
        <f t="shared" si="29"/>
        <v>0</v>
      </c>
      <c r="AI73" s="314">
        <f t="shared" si="30"/>
        <v>0</v>
      </c>
      <c r="AJ73" s="317"/>
      <c r="AK73" s="315" t="e">
        <f t="shared" si="31"/>
        <v>#N/A</v>
      </c>
      <c r="AM73" s="561"/>
      <c r="AN73" s="561"/>
      <c r="AO73" s="561"/>
    </row>
    <row r="74" spans="2:41">
      <c r="B74" s="296"/>
      <c r="C74" s="299"/>
      <c r="D74" s="296"/>
      <c r="E74" s="298"/>
      <c r="F74" s="299"/>
      <c r="G74" s="300"/>
      <c r="H74" s="303"/>
      <c r="I74" s="303"/>
      <c r="J74" s="322">
        <f t="shared" si="17"/>
        <v>0</v>
      </c>
      <c r="K74" s="305" t="e">
        <f>IF(F74="MXN",1/HLOOKUP(YEAR(G74)+(MONTH(G74)/100),TC!$5:$37,DAY(G74)+2,FALSE),VLOOKUP(F74,Equivalencia!$5:$23,((MAX(Equivalencia!$3:$3)-YEAR(G74))*14)+MONTH(G74)+2,FALSE))</f>
        <v>#N/A</v>
      </c>
      <c r="L74" s="306" t="e">
        <f t="shared" si="20"/>
        <v>#N/A</v>
      </c>
      <c r="M74" s="305">
        <f>IF(G74=0,0,HLOOKUP(YEAR(G74)+(MONTH(G74)/100),TC!$5:$37,DAY(G74)+2,FALSE))</f>
        <v>0</v>
      </c>
      <c r="N74" s="306" t="e">
        <f t="shared" si="21"/>
        <v>#N/A</v>
      </c>
      <c r="O74" s="308">
        <f>IF(G74=0,0,VLOOKUP(YEAR(G74),INPC!$B$4:$P$30,MONTH(G74)+2))</f>
        <v>0</v>
      </c>
      <c r="P74" s="308">
        <f>IF(W74=0,0,IF(OR(C74=$AQ$5,C74=AQ78),VLOOKUP(YEAR(W74),INPC!$B$4:$P$30,MONTH(W74)+1),VLOOKUP(YEAR(W74),INPC!$B$4:$P$30,MONTH(W74)+2)))</f>
        <v>0</v>
      </c>
      <c r="Q74" s="309">
        <f t="shared" si="22"/>
        <v>0</v>
      </c>
      <c r="R74" s="310" t="e">
        <f t="shared" si="23"/>
        <v>#N/A</v>
      </c>
      <c r="S74" s="310">
        <f t="shared" si="24"/>
        <v>0</v>
      </c>
      <c r="T74" s="567" t="str">
        <f t="shared" si="25"/>
        <v>NO</v>
      </c>
      <c r="U74" s="323"/>
      <c r="V74" s="299"/>
      <c r="W74" s="300"/>
      <c r="X74" s="299"/>
      <c r="Y74" s="303"/>
      <c r="Z74" s="305">
        <f>IF(Y74=0,0,IF(X74="MXN",1/HLOOKUP(YEAR(W74)+(MONTH(W74)/100),TC!$5:$37,DAY(W74)+2,FALSE),VLOOKUP(X74,Equivalencia!$1:$23,((MAX(Equivalencia!$3:$3)-YEAR(W74))*14)+MONTH(W74)+2,FALSE)))</f>
        <v>0</v>
      </c>
      <c r="AA74" s="306">
        <f t="shared" si="26"/>
        <v>0</v>
      </c>
      <c r="AB74" s="305">
        <f>+IF(W74=0,0,HLOOKUP(YEAR(W74)+(MONTH(W74)/100),TC!$5:$37,DAY(W74)+2,FALSE))</f>
        <v>0</v>
      </c>
      <c r="AC74" s="306">
        <f t="shared" si="27"/>
        <v>0</v>
      </c>
      <c r="AD74" s="314">
        <f t="shared" si="18"/>
        <v>0</v>
      </c>
      <c r="AE74" s="315">
        <f t="shared" si="28"/>
        <v>0</v>
      </c>
      <c r="AF74" s="316">
        <f t="shared" si="19"/>
        <v>0</v>
      </c>
      <c r="AG74" s="314">
        <v>1</v>
      </c>
      <c r="AH74" s="314">
        <f t="shared" si="29"/>
        <v>0</v>
      </c>
      <c r="AI74" s="314">
        <f t="shared" si="30"/>
        <v>0</v>
      </c>
      <c r="AJ74" s="317"/>
      <c r="AK74" s="315" t="e">
        <f t="shared" si="31"/>
        <v>#N/A</v>
      </c>
      <c r="AM74" s="561"/>
      <c r="AN74" s="561"/>
      <c r="AO74" s="561"/>
    </row>
    <row r="75" spans="2:41">
      <c r="B75" s="296"/>
      <c r="C75" s="299"/>
      <c r="D75" s="296"/>
      <c r="E75" s="298"/>
      <c r="F75" s="299"/>
      <c r="G75" s="300"/>
      <c r="H75" s="303"/>
      <c r="I75" s="303"/>
      <c r="J75" s="322">
        <f t="shared" si="17"/>
        <v>0</v>
      </c>
      <c r="K75" s="305" t="e">
        <f>IF(F75="MXN",1/HLOOKUP(YEAR(G75)+(MONTH(G75)/100),TC!$5:$37,DAY(G75)+2,FALSE),VLOOKUP(F75,Equivalencia!$5:$23,((MAX(Equivalencia!$3:$3)-YEAR(G75))*14)+MONTH(G75)+2,FALSE))</f>
        <v>#N/A</v>
      </c>
      <c r="L75" s="306" t="e">
        <f t="shared" si="20"/>
        <v>#N/A</v>
      </c>
      <c r="M75" s="305">
        <f>IF(G75=0,0,HLOOKUP(YEAR(G75)+(MONTH(G75)/100),TC!$5:$37,DAY(G75)+2,FALSE))</f>
        <v>0</v>
      </c>
      <c r="N75" s="306" t="e">
        <f t="shared" si="21"/>
        <v>#N/A</v>
      </c>
      <c r="O75" s="308">
        <f>IF(G75=0,0,VLOOKUP(YEAR(G75),INPC!$B$4:$P$30,MONTH(G75)+2))</f>
        <v>0</v>
      </c>
      <c r="P75" s="308">
        <f>IF(W75=0,0,IF(OR(C75=$AQ$5,C75=AQ79),VLOOKUP(YEAR(W75),INPC!$B$4:$P$30,MONTH(W75)+1),VLOOKUP(YEAR(W75),INPC!$B$4:$P$30,MONTH(W75)+2)))</f>
        <v>0</v>
      </c>
      <c r="Q75" s="309">
        <f t="shared" si="22"/>
        <v>0</v>
      </c>
      <c r="R75" s="310" t="e">
        <f t="shared" si="23"/>
        <v>#N/A</v>
      </c>
      <c r="S75" s="310">
        <f t="shared" si="24"/>
        <v>0</v>
      </c>
      <c r="T75" s="567" t="str">
        <f t="shared" si="25"/>
        <v>NO</v>
      </c>
      <c r="U75" s="323"/>
      <c r="V75" s="299"/>
      <c r="W75" s="300"/>
      <c r="X75" s="299"/>
      <c r="Y75" s="303"/>
      <c r="Z75" s="305">
        <f>IF(Y75=0,0,IF(X75="MXN",1/HLOOKUP(YEAR(W75)+(MONTH(W75)/100),TC!$5:$37,DAY(W75)+2,FALSE),VLOOKUP(X75,Equivalencia!$1:$23,((MAX(Equivalencia!$3:$3)-YEAR(W75))*14)+MONTH(W75)+2,FALSE)))</f>
        <v>0</v>
      </c>
      <c r="AA75" s="306">
        <f t="shared" si="26"/>
        <v>0</v>
      </c>
      <c r="AB75" s="305">
        <f>+IF(W75=0,0,HLOOKUP(YEAR(W75)+(MONTH(W75)/100),TC!$5:$37,DAY(W75)+2,FALSE))</f>
        <v>0</v>
      </c>
      <c r="AC75" s="306">
        <f t="shared" si="27"/>
        <v>0</v>
      </c>
      <c r="AD75" s="314">
        <f t="shared" si="18"/>
        <v>0</v>
      </c>
      <c r="AE75" s="315">
        <f t="shared" si="28"/>
        <v>0</v>
      </c>
      <c r="AF75" s="316">
        <f t="shared" si="19"/>
        <v>0</v>
      </c>
      <c r="AG75" s="314">
        <v>1</v>
      </c>
      <c r="AH75" s="314">
        <f t="shared" si="29"/>
        <v>0</v>
      </c>
      <c r="AI75" s="314">
        <f t="shared" si="30"/>
        <v>0</v>
      </c>
      <c r="AJ75" s="317"/>
      <c r="AK75" s="315" t="e">
        <f t="shared" si="31"/>
        <v>#N/A</v>
      </c>
      <c r="AM75" s="561"/>
      <c r="AN75" s="561"/>
      <c r="AO75" s="561"/>
    </row>
    <row r="76" spans="2:41">
      <c r="B76" s="296"/>
      <c r="C76" s="299"/>
      <c r="D76" s="296"/>
      <c r="E76" s="298"/>
      <c r="F76" s="299"/>
      <c r="G76" s="300"/>
      <c r="H76" s="303"/>
      <c r="I76" s="303"/>
      <c r="J76" s="322">
        <f t="shared" si="17"/>
        <v>0</v>
      </c>
      <c r="K76" s="305" t="e">
        <f>IF(F76="MXN",1/HLOOKUP(YEAR(G76)+(MONTH(G76)/100),TC!$5:$37,DAY(G76)+2,FALSE),VLOOKUP(F76,Equivalencia!$5:$23,((MAX(Equivalencia!$3:$3)-YEAR(G76))*14)+MONTH(G76)+2,FALSE))</f>
        <v>#N/A</v>
      </c>
      <c r="L76" s="306" t="e">
        <f t="shared" si="20"/>
        <v>#N/A</v>
      </c>
      <c r="M76" s="305">
        <f>IF(G76=0,0,HLOOKUP(YEAR(G76)+(MONTH(G76)/100),TC!$5:$37,DAY(G76)+2,FALSE))</f>
        <v>0</v>
      </c>
      <c r="N76" s="306" t="e">
        <f t="shared" si="21"/>
        <v>#N/A</v>
      </c>
      <c r="O76" s="308">
        <f>IF(G76=0,0,VLOOKUP(YEAR(G76),INPC!$B$4:$P$30,MONTH(G76)+2))</f>
        <v>0</v>
      </c>
      <c r="P76" s="308">
        <f>IF(W76=0,0,IF(OR(C76=$AQ$5,C76=AQ80),VLOOKUP(YEAR(W76),INPC!$B$4:$P$30,MONTH(W76)+1),VLOOKUP(YEAR(W76),INPC!$B$4:$P$30,MONTH(W76)+2)))</f>
        <v>0</v>
      </c>
      <c r="Q76" s="309">
        <f t="shared" si="22"/>
        <v>0</v>
      </c>
      <c r="R76" s="310" t="e">
        <f t="shared" si="23"/>
        <v>#N/A</v>
      </c>
      <c r="S76" s="310">
        <f t="shared" si="24"/>
        <v>0</v>
      </c>
      <c r="T76" s="567" t="str">
        <f t="shared" si="25"/>
        <v>NO</v>
      </c>
      <c r="U76" s="323"/>
      <c r="V76" s="299"/>
      <c r="W76" s="300"/>
      <c r="X76" s="299"/>
      <c r="Y76" s="303"/>
      <c r="Z76" s="305">
        <f>IF(Y76=0,0,IF(X76="MXN",1/HLOOKUP(YEAR(W76)+(MONTH(W76)/100),TC!$5:$37,DAY(W76)+2,FALSE),VLOOKUP(X76,Equivalencia!$1:$23,((MAX(Equivalencia!$3:$3)-YEAR(W76))*14)+MONTH(W76)+2,FALSE)))</f>
        <v>0</v>
      </c>
      <c r="AA76" s="306">
        <f t="shared" si="26"/>
        <v>0</v>
      </c>
      <c r="AB76" s="305">
        <f>+IF(W76=0,0,HLOOKUP(YEAR(W76)+(MONTH(W76)/100),TC!$5:$37,DAY(W76)+2,FALSE))</f>
        <v>0</v>
      </c>
      <c r="AC76" s="306">
        <f t="shared" si="27"/>
        <v>0</v>
      </c>
      <c r="AD76" s="314">
        <f t="shared" si="18"/>
        <v>0</v>
      </c>
      <c r="AE76" s="315">
        <f t="shared" si="28"/>
        <v>0</v>
      </c>
      <c r="AF76" s="316">
        <f t="shared" si="19"/>
        <v>0</v>
      </c>
      <c r="AG76" s="314">
        <v>1</v>
      </c>
      <c r="AH76" s="314">
        <f t="shared" si="29"/>
        <v>0</v>
      </c>
      <c r="AI76" s="314">
        <f t="shared" si="30"/>
        <v>0</v>
      </c>
      <c r="AJ76" s="317"/>
      <c r="AK76" s="315" t="e">
        <f t="shared" si="31"/>
        <v>#N/A</v>
      </c>
      <c r="AM76" s="561"/>
      <c r="AN76" s="561"/>
      <c r="AO76" s="561"/>
    </row>
    <row r="77" spans="2:41">
      <c r="B77" s="296"/>
      <c r="C77" s="299"/>
      <c r="D77" s="296"/>
      <c r="E77" s="298"/>
      <c r="F77" s="299"/>
      <c r="G77" s="300"/>
      <c r="H77" s="303"/>
      <c r="I77" s="303"/>
      <c r="J77" s="322">
        <f t="shared" si="17"/>
        <v>0</v>
      </c>
      <c r="K77" s="305" t="e">
        <f>IF(F77="MXN",1/HLOOKUP(YEAR(G77)+(MONTH(G77)/100),TC!$5:$37,DAY(G77)+2,FALSE),VLOOKUP(F77,Equivalencia!$5:$23,((MAX(Equivalencia!$3:$3)-YEAR(G77))*14)+MONTH(G77)+2,FALSE))</f>
        <v>#N/A</v>
      </c>
      <c r="L77" s="306" t="e">
        <f t="shared" si="20"/>
        <v>#N/A</v>
      </c>
      <c r="M77" s="305">
        <f>IF(G77=0,0,HLOOKUP(YEAR(G77)+(MONTH(G77)/100),TC!$5:$37,DAY(G77)+2,FALSE))</f>
        <v>0</v>
      </c>
      <c r="N77" s="306" t="e">
        <f t="shared" si="21"/>
        <v>#N/A</v>
      </c>
      <c r="O77" s="308">
        <f>IF(G77=0,0,VLOOKUP(YEAR(G77),INPC!$B$4:$P$30,MONTH(G77)+2))</f>
        <v>0</v>
      </c>
      <c r="P77" s="308">
        <f>IF(W77=0,0,IF(OR(C77=$AQ$5,C77=AQ81),VLOOKUP(YEAR(W77),INPC!$B$4:$P$30,MONTH(W77)+1),VLOOKUP(YEAR(W77),INPC!$B$4:$P$30,MONTH(W77)+2)))</f>
        <v>0</v>
      </c>
      <c r="Q77" s="309">
        <f t="shared" si="22"/>
        <v>0</v>
      </c>
      <c r="R77" s="310" t="e">
        <f t="shared" si="23"/>
        <v>#N/A</v>
      </c>
      <c r="S77" s="310">
        <f t="shared" si="24"/>
        <v>0</v>
      </c>
      <c r="T77" s="567" t="str">
        <f t="shared" si="25"/>
        <v>NO</v>
      </c>
      <c r="U77" s="323"/>
      <c r="V77" s="299"/>
      <c r="W77" s="300"/>
      <c r="X77" s="299"/>
      <c r="Y77" s="303"/>
      <c r="Z77" s="305">
        <f>IF(Y77=0,0,IF(X77="MXN",1/HLOOKUP(YEAR(W77)+(MONTH(W77)/100),TC!$5:$37,DAY(W77)+2,FALSE),VLOOKUP(X77,Equivalencia!$1:$23,((MAX(Equivalencia!$3:$3)-YEAR(W77))*14)+MONTH(W77)+2,FALSE)))</f>
        <v>0</v>
      </c>
      <c r="AA77" s="306">
        <f t="shared" si="26"/>
        <v>0</v>
      </c>
      <c r="AB77" s="305">
        <f>+IF(W77=0,0,HLOOKUP(YEAR(W77)+(MONTH(W77)/100),TC!$5:$37,DAY(W77)+2,FALSE))</f>
        <v>0</v>
      </c>
      <c r="AC77" s="306">
        <f t="shared" si="27"/>
        <v>0</v>
      </c>
      <c r="AD77" s="314">
        <f t="shared" si="18"/>
        <v>0</v>
      </c>
      <c r="AE77" s="315">
        <f t="shared" si="28"/>
        <v>0</v>
      </c>
      <c r="AF77" s="316">
        <f t="shared" si="19"/>
        <v>0</v>
      </c>
      <c r="AG77" s="314">
        <v>1</v>
      </c>
      <c r="AH77" s="314">
        <f t="shared" si="29"/>
        <v>0</v>
      </c>
      <c r="AI77" s="314">
        <f t="shared" si="30"/>
        <v>0</v>
      </c>
      <c r="AJ77" s="317"/>
      <c r="AK77" s="315" t="e">
        <f t="shared" si="31"/>
        <v>#N/A</v>
      </c>
      <c r="AM77" s="561"/>
      <c r="AN77" s="561"/>
      <c r="AO77" s="561"/>
    </row>
    <row r="78" spans="2:41">
      <c r="B78" s="296"/>
      <c r="C78" s="299"/>
      <c r="D78" s="296"/>
      <c r="E78" s="298"/>
      <c r="F78" s="299"/>
      <c r="G78" s="300"/>
      <c r="H78" s="303"/>
      <c r="I78" s="303"/>
      <c r="J78" s="322">
        <f t="shared" si="17"/>
        <v>0</v>
      </c>
      <c r="K78" s="305" t="e">
        <f>IF(F78="MXN",1/HLOOKUP(YEAR(G78)+(MONTH(G78)/100),TC!$5:$37,DAY(G78)+2,FALSE),VLOOKUP(F78,Equivalencia!$5:$23,((MAX(Equivalencia!$3:$3)-YEAR(G78))*14)+MONTH(G78)+2,FALSE))</f>
        <v>#N/A</v>
      </c>
      <c r="L78" s="306" t="e">
        <f t="shared" si="20"/>
        <v>#N/A</v>
      </c>
      <c r="M78" s="305">
        <f>IF(G78=0,0,HLOOKUP(YEAR(G78)+(MONTH(G78)/100),TC!$5:$37,DAY(G78)+2,FALSE))</f>
        <v>0</v>
      </c>
      <c r="N78" s="306" t="e">
        <f t="shared" si="21"/>
        <v>#N/A</v>
      </c>
      <c r="O78" s="308">
        <f>IF(G78=0,0,VLOOKUP(YEAR(G78),INPC!$B$4:$P$30,MONTH(G78)+2))</f>
        <v>0</v>
      </c>
      <c r="P78" s="308">
        <f>IF(W78=0,0,IF(OR(C78=$AQ$5,C78=AQ82),VLOOKUP(YEAR(W78),INPC!$B$4:$P$30,MONTH(W78)+1),VLOOKUP(YEAR(W78),INPC!$B$4:$P$30,MONTH(W78)+2)))</f>
        <v>0</v>
      </c>
      <c r="Q78" s="309">
        <f t="shared" si="22"/>
        <v>0</v>
      </c>
      <c r="R78" s="310" t="e">
        <f t="shared" si="23"/>
        <v>#N/A</v>
      </c>
      <c r="S78" s="310">
        <f t="shared" si="24"/>
        <v>0</v>
      </c>
      <c r="T78" s="567" t="str">
        <f t="shared" si="25"/>
        <v>NO</v>
      </c>
      <c r="U78" s="323"/>
      <c r="V78" s="299"/>
      <c r="W78" s="300"/>
      <c r="X78" s="299"/>
      <c r="Y78" s="303"/>
      <c r="Z78" s="305">
        <f>IF(Y78=0,0,IF(X78="MXN",1/HLOOKUP(YEAR(W78)+(MONTH(W78)/100),TC!$5:$37,DAY(W78)+2,FALSE),VLOOKUP(X78,Equivalencia!$1:$23,((MAX(Equivalencia!$3:$3)-YEAR(W78))*14)+MONTH(W78)+2,FALSE)))</f>
        <v>0</v>
      </c>
      <c r="AA78" s="306">
        <f t="shared" si="26"/>
        <v>0</v>
      </c>
      <c r="AB78" s="305">
        <f>+IF(W78=0,0,HLOOKUP(YEAR(W78)+(MONTH(W78)/100),TC!$5:$37,DAY(W78)+2,FALSE))</f>
        <v>0</v>
      </c>
      <c r="AC78" s="306">
        <f t="shared" si="27"/>
        <v>0</v>
      </c>
      <c r="AD78" s="314">
        <f t="shared" si="18"/>
        <v>0</v>
      </c>
      <c r="AE78" s="315">
        <f t="shared" si="28"/>
        <v>0</v>
      </c>
      <c r="AF78" s="316">
        <f t="shared" si="19"/>
        <v>0</v>
      </c>
      <c r="AG78" s="314">
        <v>1</v>
      </c>
      <c r="AH78" s="314">
        <f t="shared" si="29"/>
        <v>0</v>
      </c>
      <c r="AI78" s="314">
        <f t="shared" si="30"/>
        <v>0</v>
      </c>
      <c r="AJ78" s="317"/>
      <c r="AK78" s="315" t="e">
        <f t="shared" si="31"/>
        <v>#N/A</v>
      </c>
      <c r="AM78" s="561"/>
      <c r="AN78" s="561"/>
      <c r="AO78" s="561"/>
    </row>
    <row r="79" spans="2:41">
      <c r="B79" s="296"/>
      <c r="C79" s="299"/>
      <c r="D79" s="296"/>
      <c r="E79" s="298"/>
      <c r="F79" s="299"/>
      <c r="G79" s="300"/>
      <c r="H79" s="303"/>
      <c r="I79" s="303"/>
      <c r="J79" s="322">
        <f t="shared" si="17"/>
        <v>0</v>
      </c>
      <c r="K79" s="305" t="e">
        <f>IF(F79="MXN",1/HLOOKUP(YEAR(G79)+(MONTH(G79)/100),TC!$5:$37,DAY(G79)+2,FALSE),VLOOKUP(F79,Equivalencia!$5:$23,((MAX(Equivalencia!$3:$3)-YEAR(G79))*14)+MONTH(G79)+2,FALSE))</f>
        <v>#N/A</v>
      </c>
      <c r="L79" s="306" t="e">
        <f t="shared" si="20"/>
        <v>#N/A</v>
      </c>
      <c r="M79" s="305">
        <f>IF(G79=0,0,HLOOKUP(YEAR(G79)+(MONTH(G79)/100),TC!$5:$37,DAY(G79)+2,FALSE))</f>
        <v>0</v>
      </c>
      <c r="N79" s="306" t="e">
        <f t="shared" si="21"/>
        <v>#N/A</v>
      </c>
      <c r="O79" s="308">
        <f>IF(G79=0,0,VLOOKUP(YEAR(G79),INPC!$B$4:$P$30,MONTH(G79)+2))</f>
        <v>0</v>
      </c>
      <c r="P79" s="308">
        <f>IF(W79=0,0,IF(OR(C79=$AQ$5,C79=AQ83),VLOOKUP(YEAR(W79),INPC!$B$4:$P$30,MONTH(W79)+1),VLOOKUP(YEAR(W79),INPC!$B$4:$P$30,MONTH(W79)+2)))</f>
        <v>0</v>
      </c>
      <c r="Q79" s="309">
        <f t="shared" si="22"/>
        <v>0</v>
      </c>
      <c r="R79" s="310" t="e">
        <f t="shared" si="23"/>
        <v>#N/A</v>
      </c>
      <c r="S79" s="310">
        <f t="shared" si="24"/>
        <v>0</v>
      </c>
      <c r="T79" s="567" t="str">
        <f t="shared" si="25"/>
        <v>NO</v>
      </c>
      <c r="U79" s="323"/>
      <c r="V79" s="299"/>
      <c r="W79" s="300"/>
      <c r="X79" s="299"/>
      <c r="Y79" s="303"/>
      <c r="Z79" s="305">
        <f>IF(Y79=0,0,IF(X79="MXN",1/HLOOKUP(YEAR(W79)+(MONTH(W79)/100),TC!$5:$37,DAY(W79)+2,FALSE),VLOOKUP(X79,Equivalencia!$1:$23,((MAX(Equivalencia!$3:$3)-YEAR(W79))*14)+MONTH(W79)+2,FALSE)))</f>
        <v>0</v>
      </c>
      <c r="AA79" s="306">
        <f t="shared" si="26"/>
        <v>0</v>
      </c>
      <c r="AB79" s="305">
        <f>+IF(W79=0,0,HLOOKUP(YEAR(W79)+(MONTH(W79)/100),TC!$5:$37,DAY(W79)+2,FALSE))</f>
        <v>0</v>
      </c>
      <c r="AC79" s="306">
        <f t="shared" si="27"/>
        <v>0</v>
      </c>
      <c r="AD79" s="314">
        <f t="shared" si="18"/>
        <v>0</v>
      </c>
      <c r="AE79" s="315">
        <f t="shared" si="28"/>
        <v>0</v>
      </c>
      <c r="AF79" s="316">
        <f t="shared" si="19"/>
        <v>0</v>
      </c>
      <c r="AG79" s="314">
        <v>1</v>
      </c>
      <c r="AH79" s="314">
        <f t="shared" si="29"/>
        <v>0</v>
      </c>
      <c r="AI79" s="314">
        <f t="shared" si="30"/>
        <v>0</v>
      </c>
      <c r="AJ79" s="317"/>
      <c r="AK79" s="315" t="e">
        <f t="shared" si="31"/>
        <v>#N/A</v>
      </c>
      <c r="AM79" s="561"/>
      <c r="AN79" s="561"/>
      <c r="AO79" s="561"/>
    </row>
    <row r="80" spans="2:41">
      <c r="B80" s="296"/>
      <c r="C80" s="299"/>
      <c r="D80" s="296"/>
      <c r="E80" s="298"/>
      <c r="F80" s="299"/>
      <c r="G80" s="300"/>
      <c r="H80" s="303"/>
      <c r="I80" s="303"/>
      <c r="J80" s="322">
        <f t="shared" si="17"/>
        <v>0</v>
      </c>
      <c r="K80" s="305" t="e">
        <f>IF(F80="MXN",1/HLOOKUP(YEAR(G80)+(MONTH(G80)/100),TC!$5:$37,DAY(G80)+2,FALSE),VLOOKUP(F80,Equivalencia!$5:$23,((MAX(Equivalencia!$3:$3)-YEAR(G80))*14)+MONTH(G80)+2,FALSE))</f>
        <v>#N/A</v>
      </c>
      <c r="L80" s="306" t="e">
        <f t="shared" si="20"/>
        <v>#N/A</v>
      </c>
      <c r="M80" s="305">
        <f>IF(G80=0,0,HLOOKUP(YEAR(G80)+(MONTH(G80)/100),TC!$5:$37,DAY(G80)+2,FALSE))</f>
        <v>0</v>
      </c>
      <c r="N80" s="306" t="e">
        <f t="shared" si="21"/>
        <v>#N/A</v>
      </c>
      <c r="O80" s="308">
        <f>IF(G80=0,0,VLOOKUP(YEAR(G80),INPC!$B$4:$P$30,MONTH(G80)+2))</f>
        <v>0</v>
      </c>
      <c r="P80" s="308">
        <f>IF(W80=0,0,IF(OR(C80=$AQ$5,C80=AQ84),VLOOKUP(YEAR(W80),INPC!$B$4:$P$30,MONTH(W80)+1),VLOOKUP(YEAR(W80),INPC!$B$4:$P$30,MONTH(W80)+2)))</f>
        <v>0</v>
      </c>
      <c r="Q80" s="309">
        <f t="shared" si="22"/>
        <v>0</v>
      </c>
      <c r="R80" s="310" t="e">
        <f t="shared" si="23"/>
        <v>#N/A</v>
      </c>
      <c r="S80" s="310">
        <f t="shared" si="24"/>
        <v>0</v>
      </c>
      <c r="T80" s="567" t="str">
        <f t="shared" si="25"/>
        <v>NO</v>
      </c>
      <c r="U80" s="323"/>
      <c r="V80" s="299"/>
      <c r="W80" s="300"/>
      <c r="X80" s="299"/>
      <c r="Y80" s="303"/>
      <c r="Z80" s="305">
        <f>IF(Y80=0,0,IF(X80="MXN",1/HLOOKUP(YEAR(W80)+(MONTH(W80)/100),TC!$5:$37,DAY(W80)+2,FALSE),VLOOKUP(X80,Equivalencia!$1:$23,((MAX(Equivalencia!$3:$3)-YEAR(W80))*14)+MONTH(W80)+2,FALSE)))</f>
        <v>0</v>
      </c>
      <c r="AA80" s="306">
        <f t="shared" si="26"/>
        <v>0</v>
      </c>
      <c r="AB80" s="305">
        <f>+IF(W80=0,0,HLOOKUP(YEAR(W80)+(MONTH(W80)/100),TC!$5:$37,DAY(W80)+2,FALSE))</f>
        <v>0</v>
      </c>
      <c r="AC80" s="306">
        <f t="shared" si="27"/>
        <v>0</v>
      </c>
      <c r="AD80" s="314">
        <f t="shared" si="18"/>
        <v>0</v>
      </c>
      <c r="AE80" s="315">
        <f t="shared" si="28"/>
        <v>0</v>
      </c>
      <c r="AF80" s="316">
        <f t="shared" si="19"/>
        <v>0</v>
      </c>
      <c r="AG80" s="314">
        <v>1</v>
      </c>
      <c r="AH80" s="314">
        <f t="shared" si="29"/>
        <v>0</v>
      </c>
      <c r="AI80" s="314">
        <f t="shared" si="30"/>
        <v>0</v>
      </c>
      <c r="AJ80" s="317"/>
      <c r="AK80" s="315" t="e">
        <f t="shared" si="31"/>
        <v>#N/A</v>
      </c>
      <c r="AM80" s="561"/>
      <c r="AN80" s="561"/>
      <c r="AO80" s="561"/>
    </row>
    <row r="81" spans="2:41">
      <c r="B81" s="296"/>
      <c r="C81" s="299"/>
      <c r="D81" s="296"/>
      <c r="E81" s="298"/>
      <c r="F81" s="299"/>
      <c r="G81" s="300"/>
      <c r="H81" s="303"/>
      <c r="I81" s="303"/>
      <c r="J81" s="322">
        <f t="shared" si="17"/>
        <v>0</v>
      </c>
      <c r="K81" s="305" t="e">
        <f>IF(F81="MXN",1/HLOOKUP(YEAR(G81)+(MONTH(G81)/100),TC!$5:$37,DAY(G81)+2,FALSE),VLOOKUP(F81,Equivalencia!$5:$23,((MAX(Equivalencia!$3:$3)-YEAR(G81))*14)+MONTH(G81)+2,FALSE))</f>
        <v>#N/A</v>
      </c>
      <c r="L81" s="306" t="e">
        <f t="shared" si="20"/>
        <v>#N/A</v>
      </c>
      <c r="M81" s="305">
        <f>IF(G81=0,0,HLOOKUP(YEAR(G81)+(MONTH(G81)/100),TC!$5:$37,DAY(G81)+2,FALSE))</f>
        <v>0</v>
      </c>
      <c r="N81" s="306" t="e">
        <f t="shared" si="21"/>
        <v>#N/A</v>
      </c>
      <c r="O81" s="308">
        <f>IF(G81=0,0,VLOOKUP(YEAR(G81),INPC!$B$4:$P$30,MONTH(G81)+2))</f>
        <v>0</v>
      </c>
      <c r="P81" s="308">
        <f>IF(W81=0,0,IF(OR(C81=$AQ$5,C81=AQ85),VLOOKUP(YEAR(W81),INPC!$B$4:$P$30,MONTH(W81)+1),VLOOKUP(YEAR(W81),INPC!$B$4:$P$30,MONTH(W81)+2)))</f>
        <v>0</v>
      </c>
      <c r="Q81" s="309">
        <f t="shared" si="22"/>
        <v>0</v>
      </c>
      <c r="R81" s="310" t="e">
        <f t="shared" si="23"/>
        <v>#N/A</v>
      </c>
      <c r="S81" s="310">
        <f t="shared" si="24"/>
        <v>0</v>
      </c>
      <c r="T81" s="567" t="str">
        <f t="shared" si="25"/>
        <v>NO</v>
      </c>
      <c r="U81" s="323"/>
      <c r="V81" s="299"/>
      <c r="W81" s="300"/>
      <c r="X81" s="299"/>
      <c r="Y81" s="303"/>
      <c r="Z81" s="305">
        <f>IF(Y81=0,0,IF(X81="MXN",1/HLOOKUP(YEAR(W81)+(MONTH(W81)/100),TC!$5:$37,DAY(W81)+2,FALSE),VLOOKUP(X81,Equivalencia!$1:$23,((MAX(Equivalencia!$3:$3)-YEAR(W81))*14)+MONTH(W81)+2,FALSE)))</f>
        <v>0</v>
      </c>
      <c r="AA81" s="306">
        <f t="shared" si="26"/>
        <v>0</v>
      </c>
      <c r="AB81" s="305">
        <f>+IF(W81=0,0,HLOOKUP(YEAR(W81)+(MONTH(W81)/100),TC!$5:$37,DAY(W81)+2,FALSE))</f>
        <v>0</v>
      </c>
      <c r="AC81" s="306">
        <f t="shared" si="27"/>
        <v>0</v>
      </c>
      <c r="AD81" s="314">
        <f t="shared" si="18"/>
        <v>0</v>
      </c>
      <c r="AE81" s="315">
        <f t="shared" si="28"/>
        <v>0</v>
      </c>
      <c r="AF81" s="316">
        <f t="shared" si="19"/>
        <v>0</v>
      </c>
      <c r="AG81" s="314">
        <v>1</v>
      </c>
      <c r="AH81" s="314">
        <f t="shared" si="29"/>
        <v>0</v>
      </c>
      <c r="AI81" s="314">
        <f t="shared" si="30"/>
        <v>0</v>
      </c>
      <c r="AJ81" s="317"/>
      <c r="AK81" s="315" t="e">
        <f t="shared" si="31"/>
        <v>#N/A</v>
      </c>
      <c r="AM81" s="561"/>
      <c r="AN81" s="561"/>
      <c r="AO81" s="561"/>
    </row>
    <row r="82" spans="2:41">
      <c r="B82" s="296"/>
      <c r="C82" s="299"/>
      <c r="D82" s="296"/>
      <c r="E82" s="298"/>
      <c r="F82" s="299"/>
      <c r="G82" s="300"/>
      <c r="H82" s="303"/>
      <c r="I82" s="303"/>
      <c r="J82" s="322">
        <f t="shared" si="17"/>
        <v>0</v>
      </c>
      <c r="K82" s="305" t="e">
        <f>IF(F82="MXN",1/HLOOKUP(YEAR(G82)+(MONTH(G82)/100),TC!$5:$37,DAY(G82)+2,FALSE),VLOOKUP(F82,Equivalencia!$5:$23,((MAX(Equivalencia!$3:$3)-YEAR(G82))*14)+MONTH(G82)+2,FALSE))</f>
        <v>#N/A</v>
      </c>
      <c r="L82" s="306" t="e">
        <f t="shared" si="20"/>
        <v>#N/A</v>
      </c>
      <c r="M82" s="305">
        <f>IF(G82=0,0,HLOOKUP(YEAR(G82)+(MONTH(G82)/100),TC!$5:$37,DAY(G82)+2,FALSE))</f>
        <v>0</v>
      </c>
      <c r="N82" s="306" t="e">
        <f t="shared" si="21"/>
        <v>#N/A</v>
      </c>
      <c r="O82" s="308">
        <f>IF(G82=0,0,VLOOKUP(YEAR(G82),INPC!$B$4:$P$30,MONTH(G82)+2))</f>
        <v>0</v>
      </c>
      <c r="P82" s="308">
        <f>IF(W82=0,0,IF(OR(C82=$AQ$5,C82=AQ86),VLOOKUP(YEAR(W82),INPC!$B$4:$P$30,MONTH(W82)+1),VLOOKUP(YEAR(W82),INPC!$B$4:$P$30,MONTH(W82)+2)))</f>
        <v>0</v>
      </c>
      <c r="Q82" s="309">
        <f t="shared" si="22"/>
        <v>0</v>
      </c>
      <c r="R82" s="310" t="e">
        <f t="shared" si="23"/>
        <v>#N/A</v>
      </c>
      <c r="S82" s="310">
        <f t="shared" si="24"/>
        <v>0</v>
      </c>
      <c r="T82" s="567" t="str">
        <f t="shared" si="25"/>
        <v>NO</v>
      </c>
      <c r="U82" s="323"/>
      <c r="V82" s="299"/>
      <c r="W82" s="300"/>
      <c r="X82" s="299"/>
      <c r="Y82" s="303"/>
      <c r="Z82" s="305">
        <f>IF(Y82=0,0,IF(X82="MXN",1/HLOOKUP(YEAR(W82)+(MONTH(W82)/100),TC!$5:$37,DAY(W82)+2,FALSE),VLOOKUP(X82,Equivalencia!$1:$23,((MAX(Equivalencia!$3:$3)-YEAR(W82))*14)+MONTH(W82)+2,FALSE)))</f>
        <v>0</v>
      </c>
      <c r="AA82" s="306">
        <f t="shared" si="26"/>
        <v>0</v>
      </c>
      <c r="AB82" s="305">
        <f>+IF(W82=0,0,HLOOKUP(YEAR(W82)+(MONTH(W82)/100),TC!$5:$37,DAY(W82)+2,FALSE))</f>
        <v>0</v>
      </c>
      <c r="AC82" s="306">
        <f t="shared" si="27"/>
        <v>0</v>
      </c>
      <c r="AD82" s="314">
        <f t="shared" si="18"/>
        <v>0</v>
      </c>
      <c r="AE82" s="315">
        <f t="shared" si="28"/>
        <v>0</v>
      </c>
      <c r="AF82" s="316">
        <f t="shared" si="19"/>
        <v>0</v>
      </c>
      <c r="AG82" s="314">
        <v>1</v>
      </c>
      <c r="AH82" s="314">
        <f t="shared" si="29"/>
        <v>0</v>
      </c>
      <c r="AI82" s="314">
        <f t="shared" si="30"/>
        <v>0</v>
      </c>
      <c r="AJ82" s="317"/>
      <c r="AK82" s="315" t="e">
        <f t="shared" si="31"/>
        <v>#N/A</v>
      </c>
      <c r="AM82" s="561"/>
      <c r="AN82" s="561"/>
      <c r="AO82" s="561"/>
    </row>
    <row r="83" spans="2:41">
      <c r="B83" s="296"/>
      <c r="C83" s="299"/>
      <c r="D83" s="296"/>
      <c r="E83" s="298"/>
      <c r="F83" s="299"/>
      <c r="G83" s="300"/>
      <c r="H83" s="303"/>
      <c r="I83" s="303"/>
      <c r="J83" s="322">
        <f t="shared" si="17"/>
        <v>0</v>
      </c>
      <c r="K83" s="305" t="e">
        <f>IF(F83="MXN",1/HLOOKUP(YEAR(G83)+(MONTH(G83)/100),TC!$5:$37,DAY(G83)+2,FALSE),VLOOKUP(F83,Equivalencia!$5:$23,((MAX(Equivalencia!$3:$3)-YEAR(G83))*14)+MONTH(G83)+2,FALSE))</f>
        <v>#N/A</v>
      </c>
      <c r="L83" s="306" t="e">
        <f t="shared" si="20"/>
        <v>#N/A</v>
      </c>
      <c r="M83" s="305">
        <f>IF(G83=0,0,HLOOKUP(YEAR(G83)+(MONTH(G83)/100),TC!$5:$37,DAY(G83)+2,FALSE))</f>
        <v>0</v>
      </c>
      <c r="N83" s="306" t="e">
        <f t="shared" si="21"/>
        <v>#N/A</v>
      </c>
      <c r="O83" s="308">
        <f>IF(G83=0,0,VLOOKUP(YEAR(G83),INPC!$B$4:$P$30,MONTH(G83)+2))</f>
        <v>0</v>
      </c>
      <c r="P83" s="308">
        <f>IF(W83=0,0,IF(OR(C83=$AQ$5,C83=AQ87),VLOOKUP(YEAR(W83),INPC!$B$4:$P$30,MONTH(W83)+1),VLOOKUP(YEAR(W83),INPC!$B$4:$P$30,MONTH(W83)+2)))</f>
        <v>0</v>
      </c>
      <c r="Q83" s="309">
        <f t="shared" si="22"/>
        <v>0</v>
      </c>
      <c r="R83" s="310" t="e">
        <f t="shared" si="23"/>
        <v>#N/A</v>
      </c>
      <c r="S83" s="310">
        <f t="shared" si="24"/>
        <v>0</v>
      </c>
      <c r="T83" s="567" t="str">
        <f t="shared" si="25"/>
        <v>NO</v>
      </c>
      <c r="U83" s="323"/>
      <c r="V83" s="299"/>
      <c r="W83" s="300"/>
      <c r="X83" s="299"/>
      <c r="Y83" s="303"/>
      <c r="Z83" s="305">
        <f>IF(Y83=0,0,IF(X83="MXN",1/HLOOKUP(YEAR(W83)+(MONTH(W83)/100),TC!$5:$37,DAY(W83)+2,FALSE),VLOOKUP(X83,Equivalencia!$1:$23,((MAX(Equivalencia!$3:$3)-YEAR(W83))*14)+MONTH(W83)+2,FALSE)))</f>
        <v>0</v>
      </c>
      <c r="AA83" s="306">
        <f t="shared" si="26"/>
        <v>0</v>
      </c>
      <c r="AB83" s="305">
        <f>+IF(W83=0,0,HLOOKUP(YEAR(W83)+(MONTH(W83)/100),TC!$5:$37,DAY(W83)+2,FALSE))</f>
        <v>0</v>
      </c>
      <c r="AC83" s="306">
        <f t="shared" si="27"/>
        <v>0</v>
      </c>
      <c r="AD83" s="314">
        <f t="shared" si="18"/>
        <v>0</v>
      </c>
      <c r="AE83" s="315">
        <f t="shared" si="28"/>
        <v>0</v>
      </c>
      <c r="AF83" s="316">
        <f t="shared" si="19"/>
        <v>0</v>
      </c>
      <c r="AG83" s="314">
        <v>1</v>
      </c>
      <c r="AH83" s="314">
        <f t="shared" si="29"/>
        <v>0</v>
      </c>
      <c r="AI83" s="314">
        <f t="shared" si="30"/>
        <v>0</v>
      </c>
      <c r="AJ83" s="317"/>
      <c r="AK83" s="315" t="e">
        <f t="shared" si="31"/>
        <v>#N/A</v>
      </c>
      <c r="AM83" s="561"/>
      <c r="AN83" s="561"/>
      <c r="AO83" s="561"/>
    </row>
    <row r="84" spans="2:41">
      <c r="B84" s="296"/>
      <c r="C84" s="299"/>
      <c r="D84" s="296"/>
      <c r="E84" s="298"/>
      <c r="F84" s="299"/>
      <c r="G84" s="300"/>
      <c r="H84" s="303"/>
      <c r="I84" s="303"/>
      <c r="J84" s="322">
        <f t="shared" si="17"/>
        <v>0</v>
      </c>
      <c r="K84" s="305" t="e">
        <f>IF(F84="MXN",1/HLOOKUP(YEAR(G84)+(MONTH(G84)/100),TC!$5:$37,DAY(G84)+2,FALSE),VLOOKUP(F84,Equivalencia!$5:$23,((MAX(Equivalencia!$3:$3)-YEAR(G84))*14)+MONTH(G84)+2,FALSE))</f>
        <v>#N/A</v>
      </c>
      <c r="L84" s="306" t="e">
        <f t="shared" si="20"/>
        <v>#N/A</v>
      </c>
      <c r="M84" s="305">
        <f>IF(G84=0,0,HLOOKUP(YEAR(G84)+(MONTH(G84)/100),TC!$5:$37,DAY(G84)+2,FALSE))</f>
        <v>0</v>
      </c>
      <c r="N84" s="306" t="e">
        <f t="shared" si="21"/>
        <v>#N/A</v>
      </c>
      <c r="O84" s="308">
        <f>IF(G84=0,0,VLOOKUP(YEAR(G84),INPC!$B$4:$P$30,MONTH(G84)+2))</f>
        <v>0</v>
      </c>
      <c r="P84" s="308">
        <f>IF(W84=0,0,IF(OR(C84=$AQ$5,C84=AQ88),VLOOKUP(YEAR(W84),INPC!$B$4:$P$30,MONTH(W84)+1),VLOOKUP(YEAR(W84),INPC!$B$4:$P$30,MONTH(W84)+2)))</f>
        <v>0</v>
      </c>
      <c r="Q84" s="309">
        <f t="shared" si="22"/>
        <v>0</v>
      </c>
      <c r="R84" s="310" t="e">
        <f t="shared" si="23"/>
        <v>#N/A</v>
      </c>
      <c r="S84" s="310">
        <f t="shared" si="24"/>
        <v>0</v>
      </c>
      <c r="T84" s="567" t="str">
        <f t="shared" si="25"/>
        <v>NO</v>
      </c>
      <c r="U84" s="323"/>
      <c r="V84" s="299"/>
      <c r="W84" s="300"/>
      <c r="X84" s="299"/>
      <c r="Y84" s="303"/>
      <c r="Z84" s="305">
        <f>IF(Y84=0,0,IF(X84="MXN",1/HLOOKUP(YEAR(W84)+(MONTH(W84)/100),TC!$5:$37,DAY(W84)+2,FALSE),VLOOKUP(X84,Equivalencia!$1:$23,((MAX(Equivalencia!$3:$3)-YEAR(W84))*14)+MONTH(W84)+2,FALSE)))</f>
        <v>0</v>
      </c>
      <c r="AA84" s="306">
        <f t="shared" si="26"/>
        <v>0</v>
      </c>
      <c r="AB84" s="305">
        <f>+IF(W84=0,0,HLOOKUP(YEAR(W84)+(MONTH(W84)/100),TC!$5:$37,DAY(W84)+2,FALSE))</f>
        <v>0</v>
      </c>
      <c r="AC84" s="306">
        <f t="shared" si="27"/>
        <v>0</v>
      </c>
      <c r="AD84" s="314">
        <f t="shared" si="18"/>
        <v>0</v>
      </c>
      <c r="AE84" s="315">
        <f t="shared" si="28"/>
        <v>0</v>
      </c>
      <c r="AF84" s="316">
        <f t="shared" si="19"/>
        <v>0</v>
      </c>
      <c r="AG84" s="314">
        <v>1</v>
      </c>
      <c r="AH84" s="314">
        <f t="shared" si="29"/>
        <v>0</v>
      </c>
      <c r="AI84" s="314">
        <f t="shared" si="30"/>
        <v>0</v>
      </c>
      <c r="AJ84" s="317"/>
      <c r="AK84" s="315" t="e">
        <f t="shared" si="31"/>
        <v>#N/A</v>
      </c>
      <c r="AM84" s="561"/>
      <c r="AN84" s="561"/>
      <c r="AO84" s="561"/>
    </row>
    <row r="85" spans="2:41">
      <c r="B85" s="296"/>
      <c r="C85" s="299"/>
      <c r="D85" s="296"/>
      <c r="E85" s="298"/>
      <c r="F85" s="299"/>
      <c r="G85" s="300"/>
      <c r="H85" s="303"/>
      <c r="I85" s="303"/>
      <c r="J85" s="322">
        <f t="shared" si="17"/>
        <v>0</v>
      </c>
      <c r="K85" s="305" t="e">
        <f>IF(F85="MXN",1/HLOOKUP(YEAR(G85)+(MONTH(G85)/100),TC!$5:$37,DAY(G85)+2,FALSE),VLOOKUP(F85,Equivalencia!$5:$23,((MAX(Equivalencia!$3:$3)-YEAR(G85))*14)+MONTH(G85)+2,FALSE))</f>
        <v>#N/A</v>
      </c>
      <c r="L85" s="306" t="e">
        <f t="shared" si="20"/>
        <v>#N/A</v>
      </c>
      <c r="M85" s="305">
        <f>IF(G85=0,0,HLOOKUP(YEAR(G85)+(MONTH(G85)/100),TC!$5:$37,DAY(G85)+2,FALSE))</f>
        <v>0</v>
      </c>
      <c r="N85" s="306" t="e">
        <f t="shared" si="21"/>
        <v>#N/A</v>
      </c>
      <c r="O85" s="308">
        <f>IF(G85=0,0,VLOOKUP(YEAR(G85),INPC!$B$4:$P$30,MONTH(G85)+2))</f>
        <v>0</v>
      </c>
      <c r="P85" s="308">
        <f>IF(W85=0,0,IF(OR(C85=$AQ$5,C85=AQ89),VLOOKUP(YEAR(W85),INPC!$B$4:$P$30,MONTH(W85)+1),VLOOKUP(YEAR(W85),INPC!$B$4:$P$30,MONTH(W85)+2)))</f>
        <v>0</v>
      </c>
      <c r="Q85" s="309">
        <f t="shared" si="22"/>
        <v>0</v>
      </c>
      <c r="R85" s="310" t="e">
        <f t="shared" si="23"/>
        <v>#N/A</v>
      </c>
      <c r="S85" s="310">
        <f t="shared" si="24"/>
        <v>0</v>
      </c>
      <c r="T85" s="567" t="str">
        <f t="shared" si="25"/>
        <v>NO</v>
      </c>
      <c r="U85" s="323"/>
      <c r="V85" s="299"/>
      <c r="W85" s="300"/>
      <c r="X85" s="299"/>
      <c r="Y85" s="303"/>
      <c r="Z85" s="305">
        <f>IF(Y85=0,0,IF(X85="MXN",1/HLOOKUP(YEAR(W85)+(MONTH(W85)/100),TC!$5:$37,DAY(W85)+2,FALSE),VLOOKUP(X85,Equivalencia!$1:$23,((MAX(Equivalencia!$3:$3)-YEAR(W85))*14)+MONTH(W85)+2,FALSE)))</f>
        <v>0</v>
      </c>
      <c r="AA85" s="306">
        <f t="shared" si="26"/>
        <v>0</v>
      </c>
      <c r="AB85" s="305">
        <f>+IF(W85=0,0,HLOOKUP(YEAR(W85)+(MONTH(W85)/100),TC!$5:$37,DAY(W85)+2,FALSE))</f>
        <v>0</v>
      </c>
      <c r="AC85" s="306">
        <f t="shared" si="27"/>
        <v>0</v>
      </c>
      <c r="AD85" s="314">
        <f t="shared" si="18"/>
        <v>0</v>
      </c>
      <c r="AE85" s="315">
        <f t="shared" si="28"/>
        <v>0</v>
      </c>
      <c r="AF85" s="316">
        <f t="shared" si="19"/>
        <v>0</v>
      </c>
      <c r="AG85" s="314">
        <v>1</v>
      </c>
      <c r="AH85" s="314">
        <f t="shared" si="29"/>
        <v>0</v>
      </c>
      <c r="AI85" s="314">
        <f t="shared" si="30"/>
        <v>0</v>
      </c>
      <c r="AJ85" s="317"/>
      <c r="AK85" s="315" t="e">
        <f t="shared" si="31"/>
        <v>#N/A</v>
      </c>
      <c r="AM85" s="561"/>
      <c r="AN85" s="561"/>
      <c r="AO85" s="561"/>
    </row>
    <row r="86" spans="2:41">
      <c r="B86" s="296"/>
      <c r="C86" s="299"/>
      <c r="D86" s="296"/>
      <c r="E86" s="298"/>
      <c r="F86" s="299"/>
      <c r="G86" s="300"/>
      <c r="H86" s="303"/>
      <c r="I86" s="303"/>
      <c r="J86" s="322">
        <f t="shared" si="17"/>
        <v>0</v>
      </c>
      <c r="K86" s="305" t="e">
        <f>IF(F86="MXN",1/HLOOKUP(YEAR(G86)+(MONTH(G86)/100),TC!$5:$37,DAY(G86)+2,FALSE),VLOOKUP(F86,Equivalencia!$5:$23,((MAX(Equivalencia!$3:$3)-YEAR(G86))*14)+MONTH(G86)+2,FALSE))</f>
        <v>#N/A</v>
      </c>
      <c r="L86" s="306" t="e">
        <f t="shared" si="20"/>
        <v>#N/A</v>
      </c>
      <c r="M86" s="305">
        <f>IF(G86=0,0,HLOOKUP(YEAR(G86)+(MONTH(G86)/100),TC!$5:$37,DAY(G86)+2,FALSE))</f>
        <v>0</v>
      </c>
      <c r="N86" s="306" t="e">
        <f t="shared" si="21"/>
        <v>#N/A</v>
      </c>
      <c r="O86" s="308">
        <f>IF(G86=0,0,VLOOKUP(YEAR(G86),INPC!$B$4:$P$30,MONTH(G86)+2))</f>
        <v>0</v>
      </c>
      <c r="P86" s="308">
        <f>IF(W86=0,0,IF(OR(C86=$AQ$5,C86=AQ90),VLOOKUP(YEAR(W86),INPC!$B$4:$P$30,MONTH(W86)+1),VLOOKUP(YEAR(W86),INPC!$B$4:$P$30,MONTH(W86)+2)))</f>
        <v>0</v>
      </c>
      <c r="Q86" s="309">
        <f t="shared" si="22"/>
        <v>0</v>
      </c>
      <c r="R86" s="310" t="e">
        <f t="shared" si="23"/>
        <v>#N/A</v>
      </c>
      <c r="S86" s="310">
        <f t="shared" si="24"/>
        <v>0</v>
      </c>
      <c r="T86" s="567" t="str">
        <f t="shared" si="25"/>
        <v>NO</v>
      </c>
      <c r="U86" s="323"/>
      <c r="V86" s="299"/>
      <c r="W86" s="300"/>
      <c r="X86" s="299"/>
      <c r="Y86" s="303"/>
      <c r="Z86" s="305">
        <f>IF(Y86=0,0,IF(X86="MXN",1/HLOOKUP(YEAR(W86)+(MONTH(W86)/100),TC!$5:$37,DAY(W86)+2,FALSE),VLOOKUP(X86,Equivalencia!$1:$23,((MAX(Equivalencia!$3:$3)-YEAR(W86))*14)+MONTH(W86)+2,FALSE)))</f>
        <v>0</v>
      </c>
      <c r="AA86" s="306">
        <f t="shared" si="26"/>
        <v>0</v>
      </c>
      <c r="AB86" s="305">
        <f>+IF(W86=0,0,HLOOKUP(YEAR(W86)+(MONTH(W86)/100),TC!$5:$37,DAY(W86)+2,FALSE))</f>
        <v>0</v>
      </c>
      <c r="AC86" s="306">
        <f t="shared" si="27"/>
        <v>0</v>
      </c>
      <c r="AD86" s="314">
        <f t="shared" si="18"/>
        <v>0</v>
      </c>
      <c r="AE86" s="315">
        <f t="shared" si="28"/>
        <v>0</v>
      </c>
      <c r="AF86" s="316">
        <f t="shared" si="19"/>
        <v>0</v>
      </c>
      <c r="AG86" s="314">
        <v>1</v>
      </c>
      <c r="AH86" s="314">
        <f t="shared" si="29"/>
        <v>0</v>
      </c>
      <c r="AI86" s="314">
        <f t="shared" si="30"/>
        <v>0</v>
      </c>
      <c r="AJ86" s="317"/>
      <c r="AK86" s="315" t="e">
        <f t="shared" si="31"/>
        <v>#N/A</v>
      </c>
      <c r="AM86" s="561"/>
      <c r="AN86" s="561"/>
      <c r="AO86" s="561"/>
    </row>
    <row r="87" spans="2:41">
      <c r="B87" s="296"/>
      <c r="C87" s="299"/>
      <c r="D87" s="296"/>
      <c r="E87" s="298"/>
      <c r="F87" s="299"/>
      <c r="G87" s="300"/>
      <c r="H87" s="303"/>
      <c r="I87" s="303"/>
      <c r="J87" s="322">
        <f t="shared" si="17"/>
        <v>0</v>
      </c>
      <c r="K87" s="305" t="e">
        <f>IF(F87="MXN",1/HLOOKUP(YEAR(G87)+(MONTH(G87)/100),TC!$5:$37,DAY(G87)+2,FALSE),VLOOKUP(F87,Equivalencia!$5:$23,((MAX(Equivalencia!$3:$3)-YEAR(G87))*14)+MONTH(G87)+2,FALSE))</f>
        <v>#N/A</v>
      </c>
      <c r="L87" s="306" t="e">
        <f t="shared" si="20"/>
        <v>#N/A</v>
      </c>
      <c r="M87" s="305">
        <f>IF(G87=0,0,HLOOKUP(YEAR(G87)+(MONTH(G87)/100),TC!$5:$37,DAY(G87)+2,FALSE))</f>
        <v>0</v>
      </c>
      <c r="N87" s="306" t="e">
        <f t="shared" si="21"/>
        <v>#N/A</v>
      </c>
      <c r="O87" s="308">
        <f>IF(G87=0,0,VLOOKUP(YEAR(G87),INPC!$B$4:$P$30,MONTH(G87)+2))</f>
        <v>0</v>
      </c>
      <c r="P87" s="308">
        <f>IF(W87=0,0,IF(OR(C87=$AQ$5,C87=AQ91),VLOOKUP(YEAR(W87),INPC!$B$4:$P$30,MONTH(W87)+1),VLOOKUP(YEAR(W87),INPC!$B$4:$P$30,MONTH(W87)+2)))</f>
        <v>0</v>
      </c>
      <c r="Q87" s="309">
        <f t="shared" si="22"/>
        <v>0</v>
      </c>
      <c r="R87" s="310" t="e">
        <f t="shared" si="23"/>
        <v>#N/A</v>
      </c>
      <c r="S87" s="310">
        <f t="shared" si="24"/>
        <v>0</v>
      </c>
      <c r="T87" s="567" t="str">
        <f t="shared" si="25"/>
        <v>NO</v>
      </c>
      <c r="U87" s="323"/>
      <c r="V87" s="299"/>
      <c r="W87" s="300"/>
      <c r="X87" s="299"/>
      <c r="Y87" s="303"/>
      <c r="Z87" s="305">
        <f>IF(Y87=0,0,IF(X87="MXN",1/HLOOKUP(YEAR(W87)+(MONTH(W87)/100),TC!$5:$37,DAY(W87)+2,FALSE),VLOOKUP(X87,Equivalencia!$1:$23,((MAX(Equivalencia!$3:$3)-YEAR(W87))*14)+MONTH(W87)+2,FALSE)))</f>
        <v>0</v>
      </c>
      <c r="AA87" s="306">
        <f t="shared" si="26"/>
        <v>0</v>
      </c>
      <c r="AB87" s="305">
        <f>+IF(W87=0,0,HLOOKUP(YEAR(W87)+(MONTH(W87)/100),TC!$5:$37,DAY(W87)+2,FALSE))</f>
        <v>0</v>
      </c>
      <c r="AC87" s="306">
        <f t="shared" si="27"/>
        <v>0</v>
      </c>
      <c r="AD87" s="314">
        <f t="shared" si="18"/>
        <v>0</v>
      </c>
      <c r="AE87" s="315">
        <f t="shared" si="28"/>
        <v>0</v>
      </c>
      <c r="AF87" s="316">
        <f t="shared" si="19"/>
        <v>0</v>
      </c>
      <c r="AG87" s="314">
        <v>1</v>
      </c>
      <c r="AH87" s="314">
        <f t="shared" si="29"/>
        <v>0</v>
      </c>
      <c r="AI87" s="314">
        <f t="shared" si="30"/>
        <v>0</v>
      </c>
      <c r="AJ87" s="317"/>
      <c r="AK87" s="315" t="e">
        <f t="shared" si="31"/>
        <v>#N/A</v>
      </c>
      <c r="AM87" s="561"/>
      <c r="AN87" s="561"/>
      <c r="AO87" s="561"/>
    </row>
    <row r="88" spans="2:41">
      <c r="B88" s="296"/>
      <c r="C88" s="299"/>
      <c r="D88" s="296"/>
      <c r="E88" s="298"/>
      <c r="F88" s="299"/>
      <c r="G88" s="300"/>
      <c r="H88" s="303"/>
      <c r="I88" s="303"/>
      <c r="J88" s="322">
        <f t="shared" si="17"/>
        <v>0</v>
      </c>
      <c r="K88" s="305" t="e">
        <f>IF(F88="MXN",1/HLOOKUP(YEAR(G88)+(MONTH(G88)/100),TC!$5:$37,DAY(G88)+2,FALSE),VLOOKUP(F88,Equivalencia!$5:$23,((MAX(Equivalencia!$3:$3)-YEAR(G88))*14)+MONTH(G88)+2,FALSE))</f>
        <v>#N/A</v>
      </c>
      <c r="L88" s="306" t="e">
        <f t="shared" si="20"/>
        <v>#N/A</v>
      </c>
      <c r="M88" s="305">
        <f>IF(G88=0,0,HLOOKUP(YEAR(G88)+(MONTH(G88)/100),TC!$5:$37,DAY(G88)+2,FALSE))</f>
        <v>0</v>
      </c>
      <c r="N88" s="306" t="e">
        <f t="shared" si="21"/>
        <v>#N/A</v>
      </c>
      <c r="O88" s="308">
        <f>IF(G88=0,0,VLOOKUP(YEAR(G88),INPC!$B$4:$P$30,MONTH(G88)+2))</f>
        <v>0</v>
      </c>
      <c r="P88" s="308">
        <f>IF(W88=0,0,IF(OR(C88=$AQ$5,C88=AQ92),VLOOKUP(YEAR(W88),INPC!$B$4:$P$30,MONTH(W88)+1),VLOOKUP(YEAR(W88),INPC!$B$4:$P$30,MONTH(W88)+2)))</f>
        <v>0</v>
      </c>
      <c r="Q88" s="309">
        <f t="shared" si="22"/>
        <v>0</v>
      </c>
      <c r="R88" s="310" t="e">
        <f t="shared" si="23"/>
        <v>#N/A</v>
      </c>
      <c r="S88" s="310">
        <f t="shared" si="24"/>
        <v>0</v>
      </c>
      <c r="T88" s="567" t="str">
        <f t="shared" si="25"/>
        <v>NO</v>
      </c>
      <c r="U88" s="323"/>
      <c r="V88" s="299"/>
      <c r="W88" s="300"/>
      <c r="X88" s="299"/>
      <c r="Y88" s="303"/>
      <c r="Z88" s="305">
        <f>IF(Y88=0,0,IF(X88="MXN",1/HLOOKUP(YEAR(W88)+(MONTH(W88)/100),TC!$5:$37,DAY(W88)+2,FALSE),VLOOKUP(X88,Equivalencia!$1:$23,((MAX(Equivalencia!$3:$3)-YEAR(W88))*14)+MONTH(W88)+2,FALSE)))</f>
        <v>0</v>
      </c>
      <c r="AA88" s="306">
        <f t="shared" si="26"/>
        <v>0</v>
      </c>
      <c r="AB88" s="305">
        <f>+IF(W88=0,0,HLOOKUP(YEAR(W88)+(MONTH(W88)/100),TC!$5:$37,DAY(W88)+2,FALSE))</f>
        <v>0</v>
      </c>
      <c r="AC88" s="306">
        <f t="shared" si="27"/>
        <v>0</v>
      </c>
      <c r="AD88" s="314">
        <f t="shared" si="18"/>
        <v>0</v>
      </c>
      <c r="AE88" s="315">
        <f t="shared" si="28"/>
        <v>0</v>
      </c>
      <c r="AF88" s="316">
        <f t="shared" si="19"/>
        <v>0</v>
      </c>
      <c r="AG88" s="314">
        <v>1</v>
      </c>
      <c r="AH88" s="314">
        <f t="shared" si="29"/>
        <v>0</v>
      </c>
      <c r="AI88" s="314">
        <f t="shared" si="30"/>
        <v>0</v>
      </c>
      <c r="AJ88" s="317"/>
      <c r="AK88" s="315" t="e">
        <f t="shared" si="31"/>
        <v>#N/A</v>
      </c>
      <c r="AM88" s="561"/>
      <c r="AN88" s="561"/>
      <c r="AO88" s="561"/>
    </row>
    <row r="89" spans="2:41">
      <c r="B89" s="296"/>
      <c r="C89" s="299"/>
      <c r="D89" s="296"/>
      <c r="E89" s="298"/>
      <c r="F89" s="299"/>
      <c r="G89" s="300"/>
      <c r="H89" s="303"/>
      <c r="I89" s="303"/>
      <c r="J89" s="322">
        <f t="shared" si="17"/>
        <v>0</v>
      </c>
      <c r="K89" s="305" t="e">
        <f>IF(F89="MXN",1/HLOOKUP(YEAR(G89)+(MONTH(G89)/100),TC!$5:$37,DAY(G89)+2,FALSE),VLOOKUP(F89,Equivalencia!$5:$23,((MAX(Equivalencia!$3:$3)-YEAR(G89))*14)+MONTH(G89)+2,FALSE))</f>
        <v>#N/A</v>
      </c>
      <c r="L89" s="306" t="e">
        <f t="shared" si="20"/>
        <v>#N/A</v>
      </c>
      <c r="M89" s="305">
        <f>IF(G89=0,0,HLOOKUP(YEAR(G89)+(MONTH(G89)/100),TC!$5:$37,DAY(G89)+2,FALSE))</f>
        <v>0</v>
      </c>
      <c r="N89" s="306" t="e">
        <f t="shared" si="21"/>
        <v>#N/A</v>
      </c>
      <c r="O89" s="308">
        <f>IF(G89=0,0,VLOOKUP(YEAR(G89),INPC!$B$4:$P$30,MONTH(G89)+2))</f>
        <v>0</v>
      </c>
      <c r="P89" s="308">
        <f>IF(W89=0,0,IF(OR(C89=$AQ$5,C89=AQ93),VLOOKUP(YEAR(W89),INPC!$B$4:$P$30,MONTH(W89)+1),VLOOKUP(YEAR(W89),INPC!$B$4:$P$30,MONTH(W89)+2)))</f>
        <v>0</v>
      </c>
      <c r="Q89" s="309">
        <f t="shared" si="22"/>
        <v>0</v>
      </c>
      <c r="R89" s="310" t="e">
        <f t="shared" si="23"/>
        <v>#N/A</v>
      </c>
      <c r="S89" s="310">
        <f t="shared" si="24"/>
        <v>0</v>
      </c>
      <c r="T89" s="567" t="str">
        <f t="shared" si="25"/>
        <v>NO</v>
      </c>
      <c r="U89" s="323"/>
      <c r="V89" s="299"/>
      <c r="W89" s="300"/>
      <c r="X89" s="299"/>
      <c r="Y89" s="303"/>
      <c r="Z89" s="305">
        <f>IF(Y89=0,0,IF(X89="MXN",1/HLOOKUP(YEAR(W89)+(MONTH(W89)/100),TC!$5:$37,DAY(W89)+2,FALSE),VLOOKUP(X89,Equivalencia!$1:$23,((MAX(Equivalencia!$3:$3)-YEAR(W89))*14)+MONTH(W89)+2,FALSE)))</f>
        <v>0</v>
      </c>
      <c r="AA89" s="306">
        <f t="shared" si="26"/>
        <v>0</v>
      </c>
      <c r="AB89" s="305">
        <f>+IF(W89=0,0,HLOOKUP(YEAR(W89)+(MONTH(W89)/100),TC!$5:$37,DAY(W89)+2,FALSE))</f>
        <v>0</v>
      </c>
      <c r="AC89" s="306">
        <f t="shared" si="27"/>
        <v>0</v>
      </c>
      <c r="AD89" s="314">
        <f t="shared" si="18"/>
        <v>0</v>
      </c>
      <c r="AE89" s="315">
        <f t="shared" si="28"/>
        <v>0</v>
      </c>
      <c r="AF89" s="316">
        <f t="shared" si="19"/>
        <v>0</v>
      </c>
      <c r="AG89" s="314">
        <v>1</v>
      </c>
      <c r="AH89" s="314">
        <f t="shared" si="29"/>
        <v>0</v>
      </c>
      <c r="AI89" s="314">
        <f t="shared" si="30"/>
        <v>0</v>
      </c>
      <c r="AJ89" s="317"/>
      <c r="AK89" s="315" t="e">
        <f t="shared" si="31"/>
        <v>#N/A</v>
      </c>
      <c r="AM89" s="561"/>
      <c r="AN89" s="561"/>
      <c r="AO89" s="561"/>
    </row>
    <row r="90" spans="2:41">
      <c r="B90" s="296"/>
      <c r="C90" s="299"/>
      <c r="D90" s="296"/>
      <c r="E90" s="298"/>
      <c r="F90" s="299"/>
      <c r="G90" s="300"/>
      <c r="H90" s="303"/>
      <c r="I90" s="303"/>
      <c r="J90" s="322">
        <f t="shared" si="17"/>
        <v>0</v>
      </c>
      <c r="K90" s="305" t="e">
        <f>IF(F90="MXN",1/HLOOKUP(YEAR(G90)+(MONTH(G90)/100),TC!$5:$37,DAY(G90)+2,FALSE),VLOOKUP(F90,Equivalencia!$5:$23,((MAX(Equivalencia!$3:$3)-YEAR(G90))*14)+MONTH(G90)+2,FALSE))</f>
        <v>#N/A</v>
      </c>
      <c r="L90" s="306" t="e">
        <f t="shared" si="20"/>
        <v>#N/A</v>
      </c>
      <c r="M90" s="305">
        <f>IF(G90=0,0,HLOOKUP(YEAR(G90)+(MONTH(G90)/100),TC!$5:$37,DAY(G90)+2,FALSE))</f>
        <v>0</v>
      </c>
      <c r="N90" s="306" t="e">
        <f t="shared" si="21"/>
        <v>#N/A</v>
      </c>
      <c r="O90" s="308">
        <f>IF(G90=0,0,VLOOKUP(YEAR(G90),INPC!$B$4:$P$30,MONTH(G90)+2))</f>
        <v>0</v>
      </c>
      <c r="P90" s="308">
        <f>IF(W90=0,0,IF(OR(C90=$AQ$5,C90=AQ94),VLOOKUP(YEAR(W90),INPC!$B$4:$P$30,MONTH(W90)+1),VLOOKUP(YEAR(W90),INPC!$B$4:$P$30,MONTH(W90)+2)))</f>
        <v>0</v>
      </c>
      <c r="Q90" s="309">
        <f t="shared" si="22"/>
        <v>0</v>
      </c>
      <c r="R90" s="310" t="e">
        <f t="shared" si="23"/>
        <v>#N/A</v>
      </c>
      <c r="S90" s="310">
        <f t="shared" si="24"/>
        <v>0</v>
      </c>
      <c r="T90" s="567" t="str">
        <f t="shared" si="25"/>
        <v>NO</v>
      </c>
      <c r="U90" s="323"/>
      <c r="V90" s="299"/>
      <c r="W90" s="300"/>
      <c r="X90" s="299"/>
      <c r="Y90" s="303"/>
      <c r="Z90" s="305">
        <f>IF(Y90=0,0,IF(X90="MXN",1/HLOOKUP(YEAR(W90)+(MONTH(W90)/100),TC!$5:$37,DAY(W90)+2,FALSE),VLOOKUP(X90,Equivalencia!$1:$23,((MAX(Equivalencia!$3:$3)-YEAR(W90))*14)+MONTH(W90)+2,FALSE)))</f>
        <v>0</v>
      </c>
      <c r="AA90" s="306">
        <f t="shared" si="26"/>
        <v>0</v>
      </c>
      <c r="AB90" s="305">
        <f>+IF(W90=0,0,HLOOKUP(YEAR(W90)+(MONTH(W90)/100),TC!$5:$37,DAY(W90)+2,FALSE))</f>
        <v>0</v>
      </c>
      <c r="AC90" s="306">
        <f t="shared" si="27"/>
        <v>0</v>
      </c>
      <c r="AD90" s="314">
        <f t="shared" si="18"/>
        <v>0</v>
      </c>
      <c r="AE90" s="315">
        <f t="shared" si="28"/>
        <v>0</v>
      </c>
      <c r="AF90" s="316">
        <f t="shared" si="19"/>
        <v>0</v>
      </c>
      <c r="AG90" s="314">
        <v>1</v>
      </c>
      <c r="AH90" s="314">
        <f t="shared" si="29"/>
        <v>0</v>
      </c>
      <c r="AI90" s="314">
        <f t="shared" si="30"/>
        <v>0</v>
      </c>
      <c r="AJ90" s="317"/>
      <c r="AK90" s="315" t="e">
        <f t="shared" si="31"/>
        <v>#N/A</v>
      </c>
      <c r="AM90" s="561"/>
      <c r="AN90" s="561"/>
      <c r="AO90" s="561"/>
    </row>
    <row r="91" spans="2:41">
      <c r="B91" s="296"/>
      <c r="C91" s="299"/>
      <c r="D91" s="296"/>
      <c r="E91" s="298"/>
      <c r="F91" s="299"/>
      <c r="G91" s="300"/>
      <c r="H91" s="303"/>
      <c r="I91" s="303"/>
      <c r="J91" s="322">
        <f t="shared" si="17"/>
        <v>0</v>
      </c>
      <c r="K91" s="305" t="e">
        <f>IF(F91="MXN",1/HLOOKUP(YEAR(G91)+(MONTH(G91)/100),TC!$5:$37,DAY(G91)+2,FALSE),VLOOKUP(F91,Equivalencia!$5:$23,((MAX(Equivalencia!$3:$3)-YEAR(G91))*14)+MONTH(G91)+2,FALSE))</f>
        <v>#N/A</v>
      </c>
      <c r="L91" s="306" t="e">
        <f t="shared" si="20"/>
        <v>#N/A</v>
      </c>
      <c r="M91" s="305">
        <f>IF(G91=0,0,HLOOKUP(YEAR(G91)+(MONTH(G91)/100),TC!$5:$37,DAY(G91)+2,FALSE))</f>
        <v>0</v>
      </c>
      <c r="N91" s="306" t="e">
        <f t="shared" si="21"/>
        <v>#N/A</v>
      </c>
      <c r="O91" s="308">
        <f>IF(G91=0,0,VLOOKUP(YEAR(G91),INPC!$B$4:$P$30,MONTH(G91)+2))</f>
        <v>0</v>
      </c>
      <c r="P91" s="308">
        <f>IF(W91=0,0,IF(OR(C91=$AQ$5,C91=AQ95),VLOOKUP(YEAR(W91),INPC!$B$4:$P$30,MONTH(W91)+1),VLOOKUP(YEAR(W91),INPC!$B$4:$P$30,MONTH(W91)+2)))</f>
        <v>0</v>
      </c>
      <c r="Q91" s="309">
        <f t="shared" si="22"/>
        <v>0</v>
      </c>
      <c r="R91" s="310" t="e">
        <f t="shared" si="23"/>
        <v>#N/A</v>
      </c>
      <c r="S91" s="310">
        <f t="shared" si="24"/>
        <v>0</v>
      </c>
      <c r="T91" s="567" t="str">
        <f t="shared" si="25"/>
        <v>NO</v>
      </c>
      <c r="U91" s="323"/>
      <c r="V91" s="299"/>
      <c r="W91" s="300"/>
      <c r="X91" s="299"/>
      <c r="Y91" s="303"/>
      <c r="Z91" s="305">
        <f>IF(Y91=0,0,IF(X91="MXN",1/HLOOKUP(YEAR(W91)+(MONTH(W91)/100),TC!$5:$37,DAY(W91)+2,FALSE),VLOOKUP(X91,Equivalencia!$1:$23,((MAX(Equivalencia!$3:$3)-YEAR(W91))*14)+MONTH(W91)+2,FALSE)))</f>
        <v>0</v>
      </c>
      <c r="AA91" s="306">
        <f t="shared" si="26"/>
        <v>0</v>
      </c>
      <c r="AB91" s="305">
        <f>+IF(W91=0,0,HLOOKUP(YEAR(W91)+(MONTH(W91)/100),TC!$5:$37,DAY(W91)+2,FALSE))</f>
        <v>0</v>
      </c>
      <c r="AC91" s="306">
        <f t="shared" si="27"/>
        <v>0</v>
      </c>
      <c r="AD91" s="314">
        <f t="shared" si="18"/>
        <v>0</v>
      </c>
      <c r="AE91" s="315">
        <f t="shared" si="28"/>
        <v>0</v>
      </c>
      <c r="AF91" s="316">
        <f t="shared" si="19"/>
        <v>0</v>
      </c>
      <c r="AG91" s="314">
        <v>1</v>
      </c>
      <c r="AH91" s="314">
        <f t="shared" si="29"/>
        <v>0</v>
      </c>
      <c r="AI91" s="314">
        <f t="shared" si="30"/>
        <v>0</v>
      </c>
      <c r="AJ91" s="317"/>
      <c r="AK91" s="315" t="e">
        <f t="shared" si="31"/>
        <v>#N/A</v>
      </c>
      <c r="AM91" s="561"/>
      <c r="AN91" s="561"/>
      <c r="AO91" s="561"/>
    </row>
    <row r="92" spans="2:41">
      <c r="B92" s="296"/>
      <c r="C92" s="299"/>
      <c r="D92" s="296"/>
      <c r="E92" s="298"/>
      <c r="F92" s="299"/>
      <c r="G92" s="300"/>
      <c r="H92" s="303"/>
      <c r="I92" s="303"/>
      <c r="J92" s="322">
        <f t="shared" si="17"/>
        <v>0</v>
      </c>
      <c r="K92" s="305" t="e">
        <f>IF(F92="MXN",1/HLOOKUP(YEAR(G92)+(MONTH(G92)/100),TC!$5:$37,DAY(G92)+2,FALSE),VLOOKUP(F92,Equivalencia!$5:$23,((MAX(Equivalencia!$3:$3)-YEAR(G92))*14)+MONTH(G92)+2,FALSE))</f>
        <v>#N/A</v>
      </c>
      <c r="L92" s="306" t="e">
        <f t="shared" si="20"/>
        <v>#N/A</v>
      </c>
      <c r="M92" s="305">
        <f>IF(G92=0,0,HLOOKUP(YEAR(G92)+(MONTH(G92)/100),TC!$5:$37,DAY(G92)+2,FALSE))</f>
        <v>0</v>
      </c>
      <c r="N92" s="306" t="e">
        <f t="shared" si="21"/>
        <v>#N/A</v>
      </c>
      <c r="O92" s="308">
        <f>IF(G92=0,0,VLOOKUP(YEAR(G92),INPC!$B$4:$P$30,MONTH(G92)+2))</f>
        <v>0</v>
      </c>
      <c r="P92" s="308">
        <f>IF(W92=0,0,IF(OR(C92=$AQ$5,C92=AQ96),VLOOKUP(YEAR(W92),INPC!$B$4:$P$30,MONTH(W92)+1),VLOOKUP(YEAR(W92),INPC!$B$4:$P$30,MONTH(W92)+2)))</f>
        <v>0</v>
      </c>
      <c r="Q92" s="309">
        <f t="shared" si="22"/>
        <v>0</v>
      </c>
      <c r="R92" s="310" t="e">
        <f t="shared" si="23"/>
        <v>#N/A</v>
      </c>
      <c r="S92" s="310">
        <f t="shared" si="24"/>
        <v>0</v>
      </c>
      <c r="T92" s="567" t="str">
        <f t="shared" si="25"/>
        <v>NO</v>
      </c>
      <c r="U92" s="323"/>
      <c r="V92" s="299"/>
      <c r="W92" s="300"/>
      <c r="X92" s="299"/>
      <c r="Y92" s="303"/>
      <c r="Z92" s="305">
        <f>IF(Y92=0,0,IF(X92="MXN",1/HLOOKUP(YEAR(W92)+(MONTH(W92)/100),TC!$5:$37,DAY(W92)+2,FALSE),VLOOKUP(X92,Equivalencia!$1:$23,((MAX(Equivalencia!$3:$3)-YEAR(W92))*14)+MONTH(W92)+2,FALSE)))</f>
        <v>0</v>
      </c>
      <c r="AA92" s="306">
        <f t="shared" si="26"/>
        <v>0</v>
      </c>
      <c r="AB92" s="305">
        <f>+IF(W92=0,0,HLOOKUP(YEAR(W92)+(MONTH(W92)/100),TC!$5:$37,DAY(W92)+2,FALSE))</f>
        <v>0</v>
      </c>
      <c r="AC92" s="306">
        <f t="shared" si="27"/>
        <v>0</v>
      </c>
      <c r="AD92" s="314">
        <f t="shared" si="18"/>
        <v>0</v>
      </c>
      <c r="AE92" s="315">
        <f t="shared" si="28"/>
        <v>0</v>
      </c>
      <c r="AF92" s="316">
        <f t="shared" si="19"/>
        <v>0</v>
      </c>
      <c r="AG92" s="314">
        <v>1</v>
      </c>
      <c r="AH92" s="314">
        <f t="shared" si="29"/>
        <v>0</v>
      </c>
      <c r="AI92" s="314">
        <f t="shared" si="30"/>
        <v>0</v>
      </c>
      <c r="AJ92" s="317"/>
      <c r="AK92" s="315" t="e">
        <f t="shared" si="31"/>
        <v>#N/A</v>
      </c>
      <c r="AM92" s="561"/>
      <c r="AN92" s="561"/>
      <c r="AO92" s="561"/>
    </row>
    <row r="93" spans="2:41">
      <c r="B93" s="296"/>
      <c r="C93" s="299"/>
      <c r="D93" s="296"/>
      <c r="E93" s="298"/>
      <c r="F93" s="299"/>
      <c r="G93" s="300"/>
      <c r="H93" s="303"/>
      <c r="I93" s="303"/>
      <c r="J93" s="322">
        <f t="shared" si="17"/>
        <v>0</v>
      </c>
      <c r="K93" s="305" t="e">
        <f>IF(F93="MXN",1/HLOOKUP(YEAR(G93)+(MONTH(G93)/100),TC!$5:$37,DAY(G93)+2,FALSE),VLOOKUP(F93,Equivalencia!$5:$23,((MAX(Equivalencia!$3:$3)-YEAR(G93))*14)+MONTH(G93)+2,FALSE))</f>
        <v>#N/A</v>
      </c>
      <c r="L93" s="306" t="e">
        <f t="shared" si="20"/>
        <v>#N/A</v>
      </c>
      <c r="M93" s="305">
        <f>IF(G93=0,0,HLOOKUP(YEAR(G93)+(MONTH(G93)/100),TC!$5:$37,DAY(G93)+2,FALSE))</f>
        <v>0</v>
      </c>
      <c r="N93" s="306" t="e">
        <f t="shared" si="21"/>
        <v>#N/A</v>
      </c>
      <c r="O93" s="308">
        <f>IF(G93=0,0,VLOOKUP(YEAR(G93),INPC!$B$4:$P$30,MONTH(G93)+2))</f>
        <v>0</v>
      </c>
      <c r="P93" s="308">
        <f>IF(W93=0,0,IF(OR(C93=$AQ$5,C93=AQ97),VLOOKUP(YEAR(W93),INPC!$B$4:$P$30,MONTH(W93)+1),VLOOKUP(YEAR(W93),INPC!$B$4:$P$30,MONTH(W93)+2)))</f>
        <v>0</v>
      </c>
      <c r="Q93" s="309">
        <f t="shared" si="22"/>
        <v>0</v>
      </c>
      <c r="R93" s="310" t="e">
        <f t="shared" si="23"/>
        <v>#N/A</v>
      </c>
      <c r="S93" s="310">
        <f t="shared" si="24"/>
        <v>0</v>
      </c>
      <c r="T93" s="567" t="str">
        <f t="shared" si="25"/>
        <v>NO</v>
      </c>
      <c r="U93" s="323"/>
      <c r="V93" s="299"/>
      <c r="W93" s="300"/>
      <c r="X93" s="299"/>
      <c r="Y93" s="303"/>
      <c r="Z93" s="305">
        <f>IF(Y93=0,0,IF(X93="MXN",1/HLOOKUP(YEAR(W93)+(MONTH(W93)/100),TC!$5:$37,DAY(W93)+2,FALSE),VLOOKUP(X93,Equivalencia!$1:$23,((MAX(Equivalencia!$3:$3)-YEAR(W93))*14)+MONTH(W93)+2,FALSE)))</f>
        <v>0</v>
      </c>
      <c r="AA93" s="306">
        <f t="shared" si="26"/>
        <v>0</v>
      </c>
      <c r="AB93" s="305">
        <f>+IF(W93=0,0,HLOOKUP(YEAR(W93)+(MONTH(W93)/100),TC!$5:$37,DAY(W93)+2,FALSE))</f>
        <v>0</v>
      </c>
      <c r="AC93" s="306">
        <f t="shared" si="27"/>
        <v>0</v>
      </c>
      <c r="AD93" s="314">
        <f t="shared" si="18"/>
        <v>0</v>
      </c>
      <c r="AE93" s="315">
        <f t="shared" si="28"/>
        <v>0</v>
      </c>
      <c r="AF93" s="316">
        <f t="shared" si="19"/>
        <v>0</v>
      </c>
      <c r="AG93" s="314">
        <v>1</v>
      </c>
      <c r="AH93" s="314">
        <f t="shared" si="29"/>
        <v>0</v>
      </c>
      <c r="AI93" s="314">
        <f t="shared" si="30"/>
        <v>0</v>
      </c>
      <c r="AJ93" s="317"/>
      <c r="AK93" s="315" t="e">
        <f t="shared" si="31"/>
        <v>#N/A</v>
      </c>
      <c r="AM93" s="561"/>
      <c r="AN93" s="561"/>
      <c r="AO93" s="561"/>
    </row>
    <row r="94" spans="2:41">
      <c r="B94" s="296"/>
      <c r="C94" s="299"/>
      <c r="D94" s="296"/>
      <c r="E94" s="298"/>
      <c r="F94" s="299"/>
      <c r="G94" s="300"/>
      <c r="H94" s="303"/>
      <c r="I94" s="303"/>
      <c r="J94" s="322">
        <f t="shared" si="17"/>
        <v>0</v>
      </c>
      <c r="K94" s="305" t="e">
        <f>IF(F94="MXN",1/HLOOKUP(YEAR(G94)+(MONTH(G94)/100),TC!$5:$37,DAY(G94)+2,FALSE),VLOOKUP(F94,Equivalencia!$5:$23,((MAX(Equivalencia!$3:$3)-YEAR(G94))*14)+MONTH(G94)+2,FALSE))</f>
        <v>#N/A</v>
      </c>
      <c r="L94" s="306" t="e">
        <f t="shared" si="20"/>
        <v>#N/A</v>
      </c>
      <c r="M94" s="305">
        <f>IF(G94=0,0,HLOOKUP(YEAR(G94)+(MONTH(G94)/100),TC!$5:$37,DAY(G94)+2,FALSE))</f>
        <v>0</v>
      </c>
      <c r="N94" s="306" t="e">
        <f t="shared" si="21"/>
        <v>#N/A</v>
      </c>
      <c r="O94" s="308">
        <f>IF(G94=0,0,VLOOKUP(YEAR(G94),INPC!$B$4:$P$30,MONTH(G94)+2))</f>
        <v>0</v>
      </c>
      <c r="P94" s="308">
        <f>IF(W94=0,0,IF(OR(C94=$AQ$5,C94=AQ98),VLOOKUP(YEAR(W94),INPC!$B$4:$P$30,MONTH(W94)+1),VLOOKUP(YEAR(W94),INPC!$B$4:$P$30,MONTH(W94)+2)))</f>
        <v>0</v>
      </c>
      <c r="Q94" s="309">
        <f t="shared" si="22"/>
        <v>0</v>
      </c>
      <c r="R94" s="310" t="e">
        <f t="shared" si="23"/>
        <v>#N/A</v>
      </c>
      <c r="S94" s="310">
        <f t="shared" si="24"/>
        <v>0</v>
      </c>
      <c r="T94" s="567" t="str">
        <f t="shared" si="25"/>
        <v>NO</v>
      </c>
      <c r="U94" s="323"/>
      <c r="V94" s="299"/>
      <c r="W94" s="300"/>
      <c r="X94" s="299"/>
      <c r="Y94" s="303"/>
      <c r="Z94" s="305">
        <f>IF(Y94=0,0,IF(X94="MXN",1/HLOOKUP(YEAR(W94)+(MONTH(W94)/100),TC!$5:$37,DAY(W94)+2,FALSE),VLOOKUP(X94,Equivalencia!$1:$23,((MAX(Equivalencia!$3:$3)-YEAR(W94))*14)+MONTH(W94)+2,FALSE)))</f>
        <v>0</v>
      </c>
      <c r="AA94" s="306">
        <f t="shared" si="26"/>
        <v>0</v>
      </c>
      <c r="AB94" s="305">
        <f>+IF(W94=0,0,HLOOKUP(YEAR(W94)+(MONTH(W94)/100),TC!$5:$37,DAY(W94)+2,FALSE))</f>
        <v>0</v>
      </c>
      <c r="AC94" s="306">
        <f t="shared" si="27"/>
        <v>0</v>
      </c>
      <c r="AD94" s="314">
        <f t="shared" si="18"/>
        <v>0</v>
      </c>
      <c r="AE94" s="315">
        <f t="shared" si="28"/>
        <v>0</v>
      </c>
      <c r="AF94" s="316">
        <f t="shared" si="19"/>
        <v>0</v>
      </c>
      <c r="AG94" s="314">
        <v>1</v>
      </c>
      <c r="AH94" s="314">
        <f t="shared" si="29"/>
        <v>0</v>
      </c>
      <c r="AI94" s="314">
        <f t="shared" si="30"/>
        <v>0</v>
      </c>
      <c r="AJ94" s="317"/>
      <c r="AK94" s="315" t="e">
        <f t="shared" si="31"/>
        <v>#N/A</v>
      </c>
      <c r="AM94" s="561"/>
      <c r="AN94" s="561"/>
      <c r="AO94" s="561"/>
    </row>
    <row r="95" spans="2:41">
      <c r="B95" s="296"/>
      <c r="C95" s="299"/>
      <c r="D95" s="296"/>
      <c r="E95" s="298"/>
      <c r="F95" s="299"/>
      <c r="G95" s="300"/>
      <c r="H95" s="303"/>
      <c r="I95" s="303"/>
      <c r="J95" s="322">
        <f t="shared" si="17"/>
        <v>0</v>
      </c>
      <c r="K95" s="305" t="e">
        <f>IF(F95="MXN",1/HLOOKUP(YEAR(G95)+(MONTH(G95)/100),TC!$5:$37,DAY(G95)+2,FALSE),VLOOKUP(F95,Equivalencia!$5:$23,((MAX(Equivalencia!$3:$3)-YEAR(G95))*14)+MONTH(G95)+2,FALSE))</f>
        <v>#N/A</v>
      </c>
      <c r="L95" s="306" t="e">
        <f t="shared" si="20"/>
        <v>#N/A</v>
      </c>
      <c r="M95" s="305">
        <f>IF(G95=0,0,HLOOKUP(YEAR(G95)+(MONTH(G95)/100),TC!$5:$37,DAY(G95)+2,FALSE))</f>
        <v>0</v>
      </c>
      <c r="N95" s="306" t="e">
        <f t="shared" si="21"/>
        <v>#N/A</v>
      </c>
      <c r="O95" s="308">
        <f>IF(G95=0,0,VLOOKUP(YEAR(G95),INPC!$B$4:$P$30,MONTH(G95)+2))</f>
        <v>0</v>
      </c>
      <c r="P95" s="308">
        <f>IF(W95=0,0,IF(OR(C95=$AQ$5,C95=AQ99),VLOOKUP(YEAR(W95),INPC!$B$4:$P$30,MONTH(W95)+1),VLOOKUP(YEAR(W95),INPC!$B$4:$P$30,MONTH(W95)+2)))</f>
        <v>0</v>
      </c>
      <c r="Q95" s="309">
        <f t="shared" si="22"/>
        <v>0</v>
      </c>
      <c r="R95" s="310" t="e">
        <f t="shared" si="23"/>
        <v>#N/A</v>
      </c>
      <c r="S95" s="310">
        <f t="shared" si="24"/>
        <v>0</v>
      </c>
      <c r="T95" s="567" t="str">
        <f t="shared" si="25"/>
        <v>NO</v>
      </c>
      <c r="U95" s="323"/>
      <c r="V95" s="299"/>
      <c r="W95" s="300"/>
      <c r="X95" s="299"/>
      <c r="Y95" s="303"/>
      <c r="Z95" s="305">
        <f>IF(Y95=0,0,IF(X95="MXN",1/HLOOKUP(YEAR(W95)+(MONTH(W95)/100),TC!$5:$37,DAY(W95)+2,FALSE),VLOOKUP(X95,Equivalencia!$1:$23,((MAX(Equivalencia!$3:$3)-YEAR(W95))*14)+MONTH(W95)+2,FALSE)))</f>
        <v>0</v>
      </c>
      <c r="AA95" s="306">
        <f t="shared" si="26"/>
        <v>0</v>
      </c>
      <c r="AB95" s="305">
        <f>+IF(W95=0,0,HLOOKUP(YEAR(W95)+(MONTH(W95)/100),TC!$5:$37,DAY(W95)+2,FALSE))</f>
        <v>0</v>
      </c>
      <c r="AC95" s="306">
        <f t="shared" si="27"/>
        <v>0</v>
      </c>
      <c r="AD95" s="314">
        <f t="shared" si="18"/>
        <v>0</v>
      </c>
      <c r="AE95" s="315">
        <f t="shared" si="28"/>
        <v>0</v>
      </c>
      <c r="AF95" s="316">
        <f t="shared" si="19"/>
        <v>0</v>
      </c>
      <c r="AG95" s="314">
        <v>1</v>
      </c>
      <c r="AH95" s="314">
        <f t="shared" si="29"/>
        <v>0</v>
      </c>
      <c r="AI95" s="314">
        <f t="shared" si="30"/>
        <v>0</v>
      </c>
      <c r="AJ95" s="317"/>
      <c r="AK95" s="315" t="e">
        <f t="shared" si="31"/>
        <v>#N/A</v>
      </c>
      <c r="AM95" s="561"/>
      <c r="AN95" s="561"/>
      <c r="AO95" s="561"/>
    </row>
    <row r="96" spans="2:41">
      <c r="B96" s="296"/>
      <c r="C96" s="299"/>
      <c r="D96" s="296"/>
      <c r="E96" s="298"/>
      <c r="F96" s="299"/>
      <c r="G96" s="300"/>
      <c r="H96" s="303"/>
      <c r="I96" s="303"/>
      <c r="J96" s="322">
        <f t="shared" si="17"/>
        <v>0</v>
      </c>
      <c r="K96" s="305" t="e">
        <f>IF(F96="MXN",1/HLOOKUP(YEAR(G96)+(MONTH(G96)/100),TC!$5:$37,DAY(G96)+2,FALSE),VLOOKUP(F96,Equivalencia!$5:$23,((MAX(Equivalencia!$3:$3)-YEAR(G96))*14)+MONTH(G96)+2,FALSE))</f>
        <v>#N/A</v>
      </c>
      <c r="L96" s="306" t="e">
        <f t="shared" si="20"/>
        <v>#N/A</v>
      </c>
      <c r="M96" s="305">
        <f>IF(G96=0,0,HLOOKUP(YEAR(G96)+(MONTH(G96)/100),TC!$5:$37,DAY(G96)+2,FALSE))</f>
        <v>0</v>
      </c>
      <c r="N96" s="306" t="e">
        <f t="shared" si="21"/>
        <v>#N/A</v>
      </c>
      <c r="O96" s="308">
        <f>IF(G96=0,0,VLOOKUP(YEAR(G96),INPC!$B$4:$P$30,MONTH(G96)+2))</f>
        <v>0</v>
      </c>
      <c r="P96" s="308">
        <f>IF(W96=0,0,IF(OR(C96=$AQ$5,C96=AQ100),VLOOKUP(YEAR(W96),INPC!$B$4:$P$30,MONTH(W96)+1),VLOOKUP(YEAR(W96),INPC!$B$4:$P$30,MONTH(W96)+2)))</f>
        <v>0</v>
      </c>
      <c r="Q96" s="309">
        <f t="shared" si="22"/>
        <v>0</v>
      </c>
      <c r="R96" s="310" t="e">
        <f t="shared" si="23"/>
        <v>#N/A</v>
      </c>
      <c r="S96" s="310">
        <f t="shared" si="24"/>
        <v>0</v>
      </c>
      <c r="T96" s="567" t="str">
        <f t="shared" si="25"/>
        <v>NO</v>
      </c>
      <c r="U96" s="323"/>
      <c r="V96" s="299"/>
      <c r="W96" s="300"/>
      <c r="X96" s="299"/>
      <c r="Y96" s="303"/>
      <c r="Z96" s="305">
        <f>IF(Y96=0,0,IF(X96="MXN",1/HLOOKUP(YEAR(W96)+(MONTH(W96)/100),TC!$5:$37,DAY(W96)+2,FALSE),VLOOKUP(X96,Equivalencia!$1:$23,((MAX(Equivalencia!$3:$3)-YEAR(W96))*14)+MONTH(W96)+2,FALSE)))</f>
        <v>0</v>
      </c>
      <c r="AA96" s="306">
        <f t="shared" si="26"/>
        <v>0</v>
      </c>
      <c r="AB96" s="305">
        <f>+IF(W96=0,0,HLOOKUP(YEAR(W96)+(MONTH(W96)/100),TC!$5:$37,DAY(W96)+2,FALSE))</f>
        <v>0</v>
      </c>
      <c r="AC96" s="306">
        <f t="shared" si="27"/>
        <v>0</v>
      </c>
      <c r="AD96" s="314">
        <f t="shared" si="18"/>
        <v>0</v>
      </c>
      <c r="AE96" s="315">
        <f t="shared" si="28"/>
        <v>0</v>
      </c>
      <c r="AF96" s="316">
        <f t="shared" si="19"/>
        <v>0</v>
      </c>
      <c r="AG96" s="314">
        <v>1</v>
      </c>
      <c r="AH96" s="314">
        <f t="shared" si="29"/>
        <v>0</v>
      </c>
      <c r="AI96" s="314">
        <f t="shared" si="30"/>
        <v>0</v>
      </c>
      <c r="AJ96" s="317"/>
      <c r="AK96" s="315" t="e">
        <f t="shared" si="31"/>
        <v>#N/A</v>
      </c>
      <c r="AM96" s="561"/>
      <c r="AN96" s="561"/>
      <c r="AO96" s="561"/>
    </row>
    <row r="97" spans="2:41">
      <c r="B97" s="296"/>
      <c r="C97" s="299"/>
      <c r="D97" s="296"/>
      <c r="E97" s="298"/>
      <c r="F97" s="299"/>
      <c r="G97" s="300"/>
      <c r="H97" s="303"/>
      <c r="I97" s="303"/>
      <c r="J97" s="322">
        <f t="shared" si="17"/>
        <v>0</v>
      </c>
      <c r="K97" s="305" t="e">
        <f>IF(F97="MXN",1/HLOOKUP(YEAR(G97)+(MONTH(G97)/100),TC!$5:$37,DAY(G97)+2,FALSE),VLOOKUP(F97,Equivalencia!$5:$23,((MAX(Equivalencia!$3:$3)-YEAR(G97))*14)+MONTH(G97)+2,FALSE))</f>
        <v>#N/A</v>
      </c>
      <c r="L97" s="306" t="e">
        <f t="shared" si="20"/>
        <v>#N/A</v>
      </c>
      <c r="M97" s="305">
        <f>IF(G97=0,0,HLOOKUP(YEAR(G97)+(MONTH(G97)/100),TC!$5:$37,DAY(G97)+2,FALSE))</f>
        <v>0</v>
      </c>
      <c r="N97" s="306" t="e">
        <f t="shared" si="21"/>
        <v>#N/A</v>
      </c>
      <c r="O97" s="308">
        <f>IF(G97=0,0,VLOOKUP(YEAR(G97),INPC!$B$4:$P$30,MONTH(G97)+2))</f>
        <v>0</v>
      </c>
      <c r="P97" s="308">
        <f>IF(W97=0,0,IF(OR(C97=$AQ$5,C97=AQ101),VLOOKUP(YEAR(W97),INPC!$B$4:$P$30,MONTH(W97)+1),VLOOKUP(YEAR(W97),INPC!$B$4:$P$30,MONTH(W97)+2)))</f>
        <v>0</v>
      </c>
      <c r="Q97" s="309">
        <f t="shared" si="22"/>
        <v>0</v>
      </c>
      <c r="R97" s="310" t="e">
        <f t="shared" si="23"/>
        <v>#N/A</v>
      </c>
      <c r="S97" s="310">
        <f t="shared" si="24"/>
        <v>0</v>
      </c>
      <c r="T97" s="567" t="str">
        <f t="shared" si="25"/>
        <v>NO</v>
      </c>
      <c r="U97" s="323"/>
      <c r="V97" s="299"/>
      <c r="W97" s="300"/>
      <c r="X97" s="299"/>
      <c r="Y97" s="303"/>
      <c r="Z97" s="305">
        <f>IF(Y97=0,0,IF(X97="MXN",1/HLOOKUP(YEAR(W97)+(MONTH(W97)/100),TC!$5:$37,DAY(W97)+2,FALSE),VLOOKUP(X97,Equivalencia!$1:$23,((MAX(Equivalencia!$3:$3)-YEAR(W97))*14)+MONTH(W97)+2,FALSE)))</f>
        <v>0</v>
      </c>
      <c r="AA97" s="306">
        <f t="shared" si="26"/>
        <v>0</v>
      </c>
      <c r="AB97" s="305">
        <f>+IF(W97=0,0,HLOOKUP(YEAR(W97)+(MONTH(W97)/100),TC!$5:$37,DAY(W97)+2,FALSE))</f>
        <v>0</v>
      </c>
      <c r="AC97" s="306">
        <f t="shared" si="27"/>
        <v>0</v>
      </c>
      <c r="AD97" s="314">
        <f t="shared" si="18"/>
        <v>0</v>
      </c>
      <c r="AE97" s="315">
        <f t="shared" si="28"/>
        <v>0</v>
      </c>
      <c r="AF97" s="316">
        <f t="shared" si="19"/>
        <v>0</v>
      </c>
      <c r="AG97" s="314">
        <v>1</v>
      </c>
      <c r="AH97" s="314">
        <f t="shared" si="29"/>
        <v>0</v>
      </c>
      <c r="AI97" s="314">
        <f t="shared" si="30"/>
        <v>0</v>
      </c>
      <c r="AJ97" s="317"/>
      <c r="AK97" s="315" t="e">
        <f t="shared" si="31"/>
        <v>#N/A</v>
      </c>
      <c r="AM97" s="561"/>
      <c r="AN97" s="561"/>
      <c r="AO97" s="561"/>
    </row>
    <row r="98" spans="2:41">
      <c r="B98" s="296"/>
      <c r="C98" s="299"/>
      <c r="D98" s="296"/>
      <c r="E98" s="298"/>
      <c r="F98" s="299"/>
      <c r="G98" s="300"/>
      <c r="H98" s="303"/>
      <c r="I98" s="303"/>
      <c r="J98" s="322">
        <f t="shared" si="17"/>
        <v>0</v>
      </c>
      <c r="K98" s="305" t="e">
        <f>IF(F98="MXN",1/HLOOKUP(YEAR(G98)+(MONTH(G98)/100),TC!$5:$37,DAY(G98)+2,FALSE),VLOOKUP(F98,Equivalencia!$5:$23,((MAX(Equivalencia!$3:$3)-YEAR(G98))*14)+MONTH(G98)+2,FALSE))</f>
        <v>#N/A</v>
      </c>
      <c r="L98" s="306" t="e">
        <f t="shared" si="20"/>
        <v>#N/A</v>
      </c>
      <c r="M98" s="305">
        <f>IF(G98=0,0,HLOOKUP(YEAR(G98)+(MONTH(G98)/100),TC!$5:$37,DAY(G98)+2,FALSE))</f>
        <v>0</v>
      </c>
      <c r="N98" s="306" t="e">
        <f t="shared" si="21"/>
        <v>#N/A</v>
      </c>
      <c r="O98" s="308">
        <f>IF(G98=0,0,VLOOKUP(YEAR(G98),INPC!$B$4:$P$30,MONTH(G98)+2))</f>
        <v>0</v>
      </c>
      <c r="P98" s="308">
        <f>IF(W98=0,0,IF(OR(C98=$AQ$5,C98=AQ102),VLOOKUP(YEAR(W98),INPC!$B$4:$P$30,MONTH(W98)+1),VLOOKUP(YEAR(W98),INPC!$B$4:$P$30,MONTH(W98)+2)))</f>
        <v>0</v>
      </c>
      <c r="Q98" s="309">
        <f t="shared" si="22"/>
        <v>0</v>
      </c>
      <c r="R98" s="310" t="e">
        <f t="shared" si="23"/>
        <v>#N/A</v>
      </c>
      <c r="S98" s="310">
        <f t="shared" si="24"/>
        <v>0</v>
      </c>
      <c r="T98" s="567" t="str">
        <f t="shared" si="25"/>
        <v>NO</v>
      </c>
      <c r="U98" s="323"/>
      <c r="V98" s="299"/>
      <c r="W98" s="300"/>
      <c r="X98" s="299"/>
      <c r="Y98" s="303"/>
      <c r="Z98" s="305">
        <f>IF(Y98=0,0,IF(X98="MXN",1/HLOOKUP(YEAR(W98)+(MONTH(W98)/100),TC!$5:$37,DAY(W98)+2,FALSE),VLOOKUP(X98,Equivalencia!$1:$23,((MAX(Equivalencia!$3:$3)-YEAR(W98))*14)+MONTH(W98)+2,FALSE)))</f>
        <v>0</v>
      </c>
      <c r="AA98" s="306">
        <f t="shared" si="26"/>
        <v>0</v>
      </c>
      <c r="AB98" s="305">
        <f>+IF(W98=0,0,HLOOKUP(YEAR(W98)+(MONTH(W98)/100),TC!$5:$37,DAY(W98)+2,FALSE))</f>
        <v>0</v>
      </c>
      <c r="AC98" s="306">
        <f t="shared" si="27"/>
        <v>0</v>
      </c>
      <c r="AD98" s="314">
        <f t="shared" si="18"/>
        <v>0</v>
      </c>
      <c r="AE98" s="315">
        <f t="shared" si="28"/>
        <v>0</v>
      </c>
      <c r="AF98" s="316">
        <f t="shared" si="19"/>
        <v>0</v>
      </c>
      <c r="AG98" s="314">
        <v>1</v>
      </c>
      <c r="AH98" s="314">
        <f t="shared" si="29"/>
        <v>0</v>
      </c>
      <c r="AI98" s="314">
        <f t="shared" si="30"/>
        <v>0</v>
      </c>
      <c r="AJ98" s="317"/>
      <c r="AK98" s="315" t="e">
        <f t="shared" si="31"/>
        <v>#N/A</v>
      </c>
      <c r="AM98" s="561"/>
      <c r="AN98" s="561"/>
      <c r="AO98" s="561"/>
    </row>
    <row r="99" spans="2:41">
      <c r="B99" s="296"/>
      <c r="C99" s="299"/>
      <c r="D99" s="296"/>
      <c r="E99" s="298"/>
      <c r="F99" s="299"/>
      <c r="G99" s="300"/>
      <c r="H99" s="303"/>
      <c r="I99" s="303"/>
      <c r="J99" s="322">
        <f t="shared" si="17"/>
        <v>0</v>
      </c>
      <c r="K99" s="305" t="e">
        <f>IF(F99="MXN",1/HLOOKUP(YEAR(G99)+(MONTH(G99)/100),TC!$5:$37,DAY(G99)+2,FALSE),VLOOKUP(F99,Equivalencia!$5:$23,((MAX(Equivalencia!$3:$3)-YEAR(G99))*14)+MONTH(G99)+2,FALSE))</f>
        <v>#N/A</v>
      </c>
      <c r="L99" s="306" t="e">
        <f t="shared" si="20"/>
        <v>#N/A</v>
      </c>
      <c r="M99" s="305">
        <f>IF(G99=0,0,HLOOKUP(YEAR(G99)+(MONTH(G99)/100),TC!$5:$37,DAY(G99)+2,FALSE))</f>
        <v>0</v>
      </c>
      <c r="N99" s="306" t="e">
        <f t="shared" si="21"/>
        <v>#N/A</v>
      </c>
      <c r="O99" s="308">
        <f>IF(G99=0,0,VLOOKUP(YEAR(G99),INPC!$B$4:$P$30,MONTH(G99)+2))</f>
        <v>0</v>
      </c>
      <c r="P99" s="308">
        <f>IF(W99=0,0,IF(OR(C99=$AQ$5,C99=AQ103),VLOOKUP(YEAR(W99),INPC!$B$4:$P$30,MONTH(W99)+1),VLOOKUP(YEAR(W99),INPC!$B$4:$P$30,MONTH(W99)+2)))</f>
        <v>0</v>
      </c>
      <c r="Q99" s="309">
        <f t="shared" si="22"/>
        <v>0</v>
      </c>
      <c r="R99" s="310" t="e">
        <f t="shared" si="23"/>
        <v>#N/A</v>
      </c>
      <c r="S99" s="310">
        <f t="shared" si="24"/>
        <v>0</v>
      </c>
      <c r="T99" s="567" t="str">
        <f t="shared" si="25"/>
        <v>NO</v>
      </c>
      <c r="U99" s="323"/>
      <c r="V99" s="299"/>
      <c r="W99" s="300"/>
      <c r="X99" s="299"/>
      <c r="Y99" s="303"/>
      <c r="Z99" s="305">
        <f>IF(Y99=0,0,IF(X99="MXN",1/HLOOKUP(YEAR(W99)+(MONTH(W99)/100),TC!$5:$37,DAY(W99)+2,FALSE),VLOOKUP(X99,Equivalencia!$1:$23,((MAX(Equivalencia!$3:$3)-YEAR(W99))*14)+MONTH(W99)+2,FALSE)))</f>
        <v>0</v>
      </c>
      <c r="AA99" s="306">
        <f t="shared" si="26"/>
        <v>0</v>
      </c>
      <c r="AB99" s="305">
        <f>+IF(W99=0,0,HLOOKUP(YEAR(W99)+(MONTH(W99)/100),TC!$5:$37,DAY(W99)+2,FALSE))</f>
        <v>0</v>
      </c>
      <c r="AC99" s="306">
        <f t="shared" si="27"/>
        <v>0</v>
      </c>
      <c r="AD99" s="314">
        <f t="shared" si="18"/>
        <v>0</v>
      </c>
      <c r="AE99" s="315">
        <f t="shared" si="28"/>
        <v>0</v>
      </c>
      <c r="AF99" s="316">
        <f t="shared" si="19"/>
        <v>0</v>
      </c>
      <c r="AG99" s="314">
        <v>1</v>
      </c>
      <c r="AH99" s="314">
        <f t="shared" si="29"/>
        <v>0</v>
      </c>
      <c r="AI99" s="314">
        <f t="shared" si="30"/>
        <v>0</v>
      </c>
      <c r="AJ99" s="317"/>
      <c r="AK99" s="315" t="e">
        <f t="shared" si="31"/>
        <v>#N/A</v>
      </c>
      <c r="AM99" s="561"/>
      <c r="AN99" s="561"/>
      <c r="AO99" s="561"/>
    </row>
    <row r="100" spans="2:41">
      <c r="B100" s="296"/>
      <c r="C100" s="299"/>
      <c r="D100" s="296"/>
      <c r="E100" s="298"/>
      <c r="F100" s="299"/>
      <c r="G100" s="300"/>
      <c r="H100" s="303"/>
      <c r="I100" s="303"/>
      <c r="J100" s="322">
        <f t="shared" si="17"/>
        <v>0</v>
      </c>
      <c r="K100" s="305" t="e">
        <f>IF(F100="MXN",1/HLOOKUP(YEAR(G100)+(MONTH(G100)/100),TC!$5:$37,DAY(G100)+2,FALSE),VLOOKUP(F100,Equivalencia!$5:$23,((MAX(Equivalencia!$3:$3)-YEAR(G100))*14)+MONTH(G100)+2,FALSE))</f>
        <v>#N/A</v>
      </c>
      <c r="L100" s="306" t="e">
        <f t="shared" si="20"/>
        <v>#N/A</v>
      </c>
      <c r="M100" s="305">
        <f>IF(G100=0,0,HLOOKUP(YEAR(G100)+(MONTH(G100)/100),TC!$5:$37,DAY(G100)+2,FALSE))</f>
        <v>0</v>
      </c>
      <c r="N100" s="306" t="e">
        <f t="shared" si="21"/>
        <v>#N/A</v>
      </c>
      <c r="O100" s="308">
        <f>IF(G100=0,0,VLOOKUP(YEAR(G100),INPC!$B$4:$P$30,MONTH(G100)+2))</f>
        <v>0</v>
      </c>
      <c r="P100" s="308">
        <f>IF(W100=0,0,IF(OR(C100=$AQ$5,C100=AQ104),VLOOKUP(YEAR(W100),INPC!$B$4:$P$30,MONTH(W100)+1),VLOOKUP(YEAR(W100),INPC!$B$4:$P$30,MONTH(W100)+2)))</f>
        <v>0</v>
      </c>
      <c r="Q100" s="309">
        <f t="shared" si="22"/>
        <v>0</v>
      </c>
      <c r="R100" s="310" t="e">
        <f t="shared" si="23"/>
        <v>#N/A</v>
      </c>
      <c r="S100" s="310">
        <f t="shared" si="24"/>
        <v>0</v>
      </c>
      <c r="T100" s="567" t="str">
        <f t="shared" si="25"/>
        <v>NO</v>
      </c>
      <c r="U100" s="323"/>
      <c r="V100" s="299"/>
      <c r="W100" s="300"/>
      <c r="X100" s="299"/>
      <c r="Y100" s="303"/>
      <c r="Z100" s="305">
        <f>IF(Y100=0,0,IF(X100="MXN",1/HLOOKUP(YEAR(W100)+(MONTH(W100)/100),TC!$5:$37,DAY(W100)+2,FALSE),VLOOKUP(X100,Equivalencia!$1:$23,((MAX(Equivalencia!$3:$3)-YEAR(W100))*14)+MONTH(W100)+2,FALSE)))</f>
        <v>0</v>
      </c>
      <c r="AA100" s="306">
        <f t="shared" si="26"/>
        <v>0</v>
      </c>
      <c r="AB100" s="305">
        <f>+IF(W100=0,0,HLOOKUP(YEAR(W100)+(MONTH(W100)/100),TC!$5:$37,DAY(W100)+2,FALSE))</f>
        <v>0</v>
      </c>
      <c r="AC100" s="306">
        <f t="shared" si="27"/>
        <v>0</v>
      </c>
      <c r="AD100" s="314">
        <f t="shared" si="18"/>
        <v>0</v>
      </c>
      <c r="AE100" s="315">
        <f t="shared" si="28"/>
        <v>0</v>
      </c>
      <c r="AF100" s="316">
        <f t="shared" si="19"/>
        <v>0</v>
      </c>
      <c r="AG100" s="314">
        <v>1</v>
      </c>
      <c r="AH100" s="314">
        <f t="shared" si="29"/>
        <v>0</v>
      </c>
      <c r="AI100" s="314">
        <f t="shared" si="30"/>
        <v>0</v>
      </c>
      <c r="AJ100" s="317"/>
      <c r="AK100" s="315" t="e">
        <f t="shared" si="31"/>
        <v>#N/A</v>
      </c>
      <c r="AM100" s="561"/>
      <c r="AN100" s="561"/>
      <c r="AO100" s="561"/>
    </row>
    <row r="101" spans="2:41">
      <c r="B101" s="296"/>
      <c r="C101" s="299"/>
      <c r="D101" s="296"/>
      <c r="E101" s="298"/>
      <c r="F101" s="299"/>
      <c r="G101" s="300"/>
      <c r="H101" s="303"/>
      <c r="I101" s="303"/>
      <c r="J101" s="322">
        <f t="shared" si="17"/>
        <v>0</v>
      </c>
      <c r="K101" s="305" t="e">
        <f>IF(F101="MXN",1/HLOOKUP(YEAR(G101)+(MONTH(G101)/100),TC!$5:$37,DAY(G101)+2,FALSE),VLOOKUP(F101,Equivalencia!$5:$23,((MAX(Equivalencia!$3:$3)-YEAR(G101))*14)+MONTH(G101)+2,FALSE))</f>
        <v>#N/A</v>
      </c>
      <c r="L101" s="306" t="e">
        <f t="shared" si="20"/>
        <v>#N/A</v>
      </c>
      <c r="M101" s="305">
        <f>IF(G101=0,0,HLOOKUP(YEAR(G101)+(MONTH(G101)/100),TC!$5:$37,DAY(G101)+2,FALSE))</f>
        <v>0</v>
      </c>
      <c r="N101" s="306" t="e">
        <f t="shared" si="21"/>
        <v>#N/A</v>
      </c>
      <c r="O101" s="308">
        <f>IF(G101=0,0,VLOOKUP(YEAR(G101),INPC!$B$4:$P$30,MONTH(G101)+2))</f>
        <v>0</v>
      </c>
      <c r="P101" s="308">
        <f>IF(W101=0,0,IF(OR(C101=$AQ$5,C101=AQ105),VLOOKUP(YEAR(W101),INPC!$B$4:$P$30,MONTH(W101)+1),VLOOKUP(YEAR(W101),INPC!$B$4:$P$30,MONTH(W101)+2)))</f>
        <v>0</v>
      </c>
      <c r="Q101" s="309">
        <f t="shared" si="22"/>
        <v>0</v>
      </c>
      <c r="R101" s="310" t="e">
        <f t="shared" si="23"/>
        <v>#N/A</v>
      </c>
      <c r="S101" s="310">
        <f t="shared" si="24"/>
        <v>0</v>
      </c>
      <c r="T101" s="567" t="str">
        <f t="shared" si="25"/>
        <v>NO</v>
      </c>
      <c r="U101" s="323"/>
      <c r="V101" s="299"/>
      <c r="W101" s="300"/>
      <c r="X101" s="299"/>
      <c r="Y101" s="303"/>
      <c r="Z101" s="305">
        <f>IF(Y101=0,0,IF(X101="MXN",1/HLOOKUP(YEAR(W101)+(MONTH(W101)/100),TC!$5:$37,DAY(W101)+2,FALSE),VLOOKUP(X101,Equivalencia!$1:$23,((MAX(Equivalencia!$3:$3)-YEAR(W101))*14)+MONTH(W101)+2,FALSE)))</f>
        <v>0</v>
      </c>
      <c r="AA101" s="306">
        <f t="shared" si="26"/>
        <v>0</v>
      </c>
      <c r="AB101" s="305">
        <f>+IF(W101=0,0,HLOOKUP(YEAR(W101)+(MONTH(W101)/100),TC!$5:$37,DAY(W101)+2,FALSE))</f>
        <v>0</v>
      </c>
      <c r="AC101" s="306">
        <f t="shared" si="27"/>
        <v>0</v>
      </c>
      <c r="AD101" s="314">
        <f t="shared" si="18"/>
        <v>0</v>
      </c>
      <c r="AE101" s="315">
        <f t="shared" si="28"/>
        <v>0</v>
      </c>
      <c r="AF101" s="316">
        <f t="shared" si="19"/>
        <v>0</v>
      </c>
      <c r="AG101" s="314">
        <v>1</v>
      </c>
      <c r="AH101" s="314">
        <f t="shared" si="29"/>
        <v>0</v>
      </c>
      <c r="AI101" s="314">
        <f t="shared" si="30"/>
        <v>0</v>
      </c>
      <c r="AJ101" s="317"/>
      <c r="AK101" s="315" t="e">
        <f t="shared" si="31"/>
        <v>#N/A</v>
      </c>
      <c r="AM101" s="561"/>
      <c r="AN101" s="561"/>
      <c r="AO101" s="561"/>
    </row>
    <row r="102" spans="2:41">
      <c r="B102" s="296"/>
      <c r="C102" s="299"/>
      <c r="D102" s="296"/>
      <c r="E102" s="298"/>
      <c r="F102" s="299"/>
      <c r="G102" s="300"/>
      <c r="H102" s="303"/>
      <c r="I102" s="303"/>
      <c r="J102" s="322">
        <f t="shared" si="17"/>
        <v>0</v>
      </c>
      <c r="K102" s="305" t="e">
        <f>IF(F102="MXN",1/HLOOKUP(YEAR(G102)+(MONTH(G102)/100),TC!$5:$37,DAY(G102)+2,FALSE),VLOOKUP(F102,Equivalencia!$5:$23,((MAX(Equivalencia!$3:$3)-YEAR(G102))*14)+MONTH(G102)+2,FALSE))</f>
        <v>#N/A</v>
      </c>
      <c r="L102" s="306" t="e">
        <f t="shared" si="20"/>
        <v>#N/A</v>
      </c>
      <c r="M102" s="305">
        <f>IF(G102=0,0,HLOOKUP(YEAR(G102)+(MONTH(G102)/100),TC!$5:$37,DAY(G102)+2,FALSE))</f>
        <v>0</v>
      </c>
      <c r="N102" s="306" t="e">
        <f t="shared" si="21"/>
        <v>#N/A</v>
      </c>
      <c r="O102" s="308">
        <f>IF(G102=0,0,VLOOKUP(YEAR(G102),INPC!$B$4:$P$30,MONTH(G102)+2))</f>
        <v>0</v>
      </c>
      <c r="P102" s="308">
        <f>IF(W102=0,0,IF(OR(C102=$AQ$5,C102=AQ106),VLOOKUP(YEAR(W102),INPC!$B$4:$P$30,MONTH(W102)+1),VLOOKUP(YEAR(W102),INPC!$B$4:$P$30,MONTH(W102)+2)))</f>
        <v>0</v>
      </c>
      <c r="Q102" s="309">
        <f t="shared" si="22"/>
        <v>0</v>
      </c>
      <c r="R102" s="310" t="e">
        <f t="shared" si="23"/>
        <v>#N/A</v>
      </c>
      <c r="S102" s="310">
        <f t="shared" si="24"/>
        <v>0</v>
      </c>
      <c r="T102" s="567" t="str">
        <f t="shared" si="25"/>
        <v>NO</v>
      </c>
      <c r="U102" s="323"/>
      <c r="V102" s="299"/>
      <c r="W102" s="300"/>
      <c r="X102" s="299"/>
      <c r="Y102" s="303"/>
      <c r="Z102" s="305">
        <f>IF(Y102=0,0,IF(X102="MXN",1/HLOOKUP(YEAR(W102)+(MONTH(W102)/100),TC!$5:$37,DAY(W102)+2,FALSE),VLOOKUP(X102,Equivalencia!$1:$23,((MAX(Equivalencia!$3:$3)-YEAR(W102))*14)+MONTH(W102)+2,FALSE)))</f>
        <v>0</v>
      </c>
      <c r="AA102" s="306">
        <f t="shared" si="26"/>
        <v>0</v>
      </c>
      <c r="AB102" s="305">
        <f>+IF(W102=0,0,HLOOKUP(YEAR(W102)+(MONTH(W102)/100),TC!$5:$37,DAY(W102)+2,FALSE))</f>
        <v>0</v>
      </c>
      <c r="AC102" s="306">
        <f t="shared" si="27"/>
        <v>0</v>
      </c>
      <c r="AD102" s="314">
        <f t="shared" si="18"/>
        <v>0</v>
      </c>
      <c r="AE102" s="315">
        <f t="shared" si="28"/>
        <v>0</v>
      </c>
      <c r="AF102" s="316">
        <f t="shared" si="19"/>
        <v>0</v>
      </c>
      <c r="AG102" s="314">
        <v>1</v>
      </c>
      <c r="AH102" s="314">
        <f t="shared" si="29"/>
        <v>0</v>
      </c>
      <c r="AI102" s="314">
        <f t="shared" si="30"/>
        <v>0</v>
      </c>
      <c r="AJ102" s="317"/>
      <c r="AK102" s="315" t="e">
        <f t="shared" si="31"/>
        <v>#N/A</v>
      </c>
      <c r="AM102" s="561"/>
      <c r="AN102" s="561"/>
      <c r="AO102" s="561"/>
    </row>
    <row r="103" spans="2:41">
      <c r="B103" s="296"/>
      <c r="C103" s="299"/>
      <c r="D103" s="296"/>
      <c r="E103" s="298"/>
      <c r="F103" s="299"/>
      <c r="G103" s="300"/>
      <c r="H103" s="303"/>
      <c r="I103" s="303"/>
      <c r="J103" s="322">
        <f t="shared" si="17"/>
        <v>0</v>
      </c>
      <c r="K103" s="305" t="e">
        <f>IF(F103="MXN",1/HLOOKUP(YEAR(G103)+(MONTH(G103)/100),TC!$5:$37,DAY(G103)+2,FALSE),VLOOKUP(F103,Equivalencia!$5:$23,((MAX(Equivalencia!$3:$3)-YEAR(G103))*14)+MONTH(G103)+2,FALSE))</f>
        <v>#N/A</v>
      </c>
      <c r="L103" s="306" t="e">
        <f t="shared" si="20"/>
        <v>#N/A</v>
      </c>
      <c r="M103" s="305">
        <f>IF(G103=0,0,HLOOKUP(YEAR(G103)+(MONTH(G103)/100),TC!$5:$37,DAY(G103)+2,FALSE))</f>
        <v>0</v>
      </c>
      <c r="N103" s="306" t="e">
        <f t="shared" si="21"/>
        <v>#N/A</v>
      </c>
      <c r="O103" s="308">
        <f>IF(G103=0,0,VLOOKUP(YEAR(G103),INPC!$B$4:$P$30,MONTH(G103)+2))</f>
        <v>0</v>
      </c>
      <c r="P103" s="308">
        <f>IF(W103=0,0,IF(OR(C103=$AQ$5,C103=AQ107),VLOOKUP(YEAR(W103),INPC!$B$4:$P$30,MONTH(W103)+1),VLOOKUP(YEAR(W103),INPC!$B$4:$P$30,MONTH(W103)+2)))</f>
        <v>0</v>
      </c>
      <c r="Q103" s="309">
        <f t="shared" si="22"/>
        <v>0</v>
      </c>
      <c r="R103" s="310" t="e">
        <f t="shared" si="23"/>
        <v>#N/A</v>
      </c>
      <c r="S103" s="310">
        <f t="shared" si="24"/>
        <v>0</v>
      </c>
      <c r="T103" s="567" t="str">
        <f t="shared" si="25"/>
        <v>NO</v>
      </c>
      <c r="U103" s="323"/>
      <c r="V103" s="299"/>
      <c r="W103" s="300"/>
      <c r="X103" s="299"/>
      <c r="Y103" s="303"/>
      <c r="Z103" s="305">
        <f>IF(Y103=0,0,IF(X103="MXN",1/HLOOKUP(YEAR(W103)+(MONTH(W103)/100),TC!$5:$37,DAY(W103)+2,FALSE),VLOOKUP(X103,Equivalencia!$1:$23,((MAX(Equivalencia!$3:$3)-YEAR(W103))*14)+MONTH(W103)+2,FALSE)))</f>
        <v>0</v>
      </c>
      <c r="AA103" s="306">
        <f t="shared" si="26"/>
        <v>0</v>
      </c>
      <c r="AB103" s="305">
        <f>+IF(W103=0,0,HLOOKUP(YEAR(W103)+(MONTH(W103)/100),TC!$5:$37,DAY(W103)+2,FALSE))</f>
        <v>0</v>
      </c>
      <c r="AC103" s="306">
        <f t="shared" si="27"/>
        <v>0</v>
      </c>
      <c r="AD103" s="314">
        <f t="shared" si="18"/>
        <v>0</v>
      </c>
      <c r="AE103" s="315">
        <f t="shared" si="28"/>
        <v>0</v>
      </c>
      <c r="AF103" s="316">
        <f t="shared" si="19"/>
        <v>0</v>
      </c>
      <c r="AG103" s="314">
        <v>1</v>
      </c>
      <c r="AH103" s="314">
        <f t="shared" si="29"/>
        <v>0</v>
      </c>
      <c r="AI103" s="314">
        <f t="shared" si="30"/>
        <v>0</v>
      </c>
      <c r="AJ103" s="317"/>
      <c r="AK103" s="315" t="e">
        <f t="shared" si="31"/>
        <v>#N/A</v>
      </c>
      <c r="AM103" s="561"/>
      <c r="AN103" s="561"/>
      <c r="AO103" s="561"/>
    </row>
    <row r="104" spans="2:41">
      <c r="B104" s="296"/>
      <c r="C104" s="299"/>
      <c r="D104" s="296"/>
      <c r="E104" s="298"/>
      <c r="F104" s="299"/>
      <c r="G104" s="300"/>
      <c r="H104" s="303"/>
      <c r="I104" s="303"/>
      <c r="J104" s="322">
        <f t="shared" si="17"/>
        <v>0</v>
      </c>
      <c r="K104" s="305" t="e">
        <f>IF(F104="MXN",1/HLOOKUP(YEAR(G104)+(MONTH(G104)/100),TC!$5:$37,DAY(G104)+2,FALSE),VLOOKUP(F104,Equivalencia!$5:$23,((MAX(Equivalencia!$3:$3)-YEAR(G104))*14)+MONTH(G104)+2,FALSE))</f>
        <v>#N/A</v>
      </c>
      <c r="L104" s="306" t="e">
        <f t="shared" si="20"/>
        <v>#N/A</v>
      </c>
      <c r="M104" s="305">
        <f>IF(G104=0,0,HLOOKUP(YEAR(G104)+(MONTH(G104)/100),TC!$5:$37,DAY(G104)+2,FALSE))</f>
        <v>0</v>
      </c>
      <c r="N104" s="306" t="e">
        <f t="shared" si="21"/>
        <v>#N/A</v>
      </c>
      <c r="O104" s="308">
        <f>IF(G104=0,0,VLOOKUP(YEAR(G104),INPC!$B$4:$P$30,MONTH(G104)+2))</f>
        <v>0</v>
      </c>
      <c r="P104" s="308">
        <f>IF(W104=0,0,IF(OR(C104=$AQ$5,C104=AQ108),VLOOKUP(YEAR(W104),INPC!$B$4:$P$30,MONTH(W104)+1),VLOOKUP(YEAR(W104),INPC!$B$4:$P$30,MONTH(W104)+2)))</f>
        <v>0</v>
      </c>
      <c r="Q104" s="309">
        <f t="shared" si="22"/>
        <v>0</v>
      </c>
      <c r="R104" s="310" t="e">
        <f t="shared" si="23"/>
        <v>#N/A</v>
      </c>
      <c r="S104" s="310">
        <f t="shared" si="24"/>
        <v>0</v>
      </c>
      <c r="T104" s="567" t="str">
        <f t="shared" si="25"/>
        <v>NO</v>
      </c>
      <c r="U104" s="323"/>
      <c r="V104" s="299"/>
      <c r="W104" s="300"/>
      <c r="X104" s="299"/>
      <c r="Y104" s="303"/>
      <c r="Z104" s="305">
        <f>IF(Y104=0,0,IF(X104="MXN",1/HLOOKUP(YEAR(W104)+(MONTH(W104)/100),TC!$5:$37,DAY(W104)+2,FALSE),VLOOKUP(X104,Equivalencia!$1:$23,((MAX(Equivalencia!$3:$3)-YEAR(W104))*14)+MONTH(W104)+2,FALSE)))</f>
        <v>0</v>
      </c>
      <c r="AA104" s="306">
        <f t="shared" si="26"/>
        <v>0</v>
      </c>
      <c r="AB104" s="305">
        <f>+IF(W104=0,0,HLOOKUP(YEAR(W104)+(MONTH(W104)/100),TC!$5:$37,DAY(W104)+2,FALSE))</f>
        <v>0</v>
      </c>
      <c r="AC104" s="306">
        <f t="shared" si="27"/>
        <v>0</v>
      </c>
      <c r="AD104" s="314">
        <f t="shared" si="18"/>
        <v>0</v>
      </c>
      <c r="AE104" s="315">
        <f t="shared" si="28"/>
        <v>0</v>
      </c>
      <c r="AF104" s="316">
        <f t="shared" si="19"/>
        <v>0</v>
      </c>
      <c r="AG104" s="314">
        <v>1</v>
      </c>
      <c r="AH104" s="314">
        <f t="shared" si="29"/>
        <v>0</v>
      </c>
      <c r="AI104" s="314">
        <f t="shared" si="30"/>
        <v>0</v>
      </c>
      <c r="AJ104" s="317"/>
      <c r="AK104" s="315" t="e">
        <f t="shared" si="31"/>
        <v>#N/A</v>
      </c>
      <c r="AM104" s="561"/>
      <c r="AN104" s="561"/>
      <c r="AO104" s="561"/>
    </row>
    <row r="105" spans="2:41">
      <c r="B105" s="296"/>
      <c r="C105" s="299"/>
      <c r="D105" s="296"/>
      <c r="E105" s="298"/>
      <c r="F105" s="299"/>
      <c r="G105" s="300"/>
      <c r="H105" s="303"/>
      <c r="I105" s="303"/>
      <c r="J105" s="322">
        <f t="shared" si="17"/>
        <v>0</v>
      </c>
      <c r="K105" s="305" t="e">
        <f>IF(F105="MXN",1/HLOOKUP(YEAR(G105)+(MONTH(G105)/100),TC!$5:$37,DAY(G105)+2,FALSE),VLOOKUP(F105,Equivalencia!$5:$23,((MAX(Equivalencia!$3:$3)-YEAR(G105))*14)+MONTH(G105)+2,FALSE))</f>
        <v>#N/A</v>
      </c>
      <c r="L105" s="306" t="e">
        <f t="shared" si="20"/>
        <v>#N/A</v>
      </c>
      <c r="M105" s="305">
        <f>IF(G105=0,0,HLOOKUP(YEAR(G105)+(MONTH(G105)/100),TC!$5:$37,DAY(G105)+2,FALSE))</f>
        <v>0</v>
      </c>
      <c r="N105" s="306" t="e">
        <f t="shared" si="21"/>
        <v>#N/A</v>
      </c>
      <c r="O105" s="308">
        <f>IF(G105=0,0,VLOOKUP(YEAR(G105),INPC!$B$4:$P$30,MONTH(G105)+2))</f>
        <v>0</v>
      </c>
      <c r="P105" s="308">
        <f>IF(W105=0,0,IF(OR(C105=$AQ$5,C105=AQ109),VLOOKUP(YEAR(W105),INPC!$B$4:$P$30,MONTH(W105)+1),VLOOKUP(YEAR(W105),INPC!$B$4:$P$30,MONTH(W105)+2)))</f>
        <v>0</v>
      </c>
      <c r="Q105" s="309">
        <f t="shared" si="22"/>
        <v>0</v>
      </c>
      <c r="R105" s="310" t="e">
        <f t="shared" si="23"/>
        <v>#N/A</v>
      </c>
      <c r="S105" s="310">
        <f t="shared" si="24"/>
        <v>0</v>
      </c>
      <c r="T105" s="567" t="str">
        <f t="shared" si="25"/>
        <v>NO</v>
      </c>
      <c r="U105" s="323"/>
      <c r="V105" s="299"/>
      <c r="W105" s="300"/>
      <c r="X105" s="299"/>
      <c r="Y105" s="303"/>
      <c r="Z105" s="305">
        <f>IF(Y105=0,0,IF(X105="MXN",1/HLOOKUP(YEAR(W105)+(MONTH(W105)/100),TC!$5:$37,DAY(W105)+2,FALSE),VLOOKUP(X105,Equivalencia!$1:$23,((MAX(Equivalencia!$3:$3)-YEAR(W105))*14)+MONTH(W105)+2,FALSE)))</f>
        <v>0</v>
      </c>
      <c r="AA105" s="306">
        <f t="shared" si="26"/>
        <v>0</v>
      </c>
      <c r="AB105" s="305">
        <f>+IF(W105=0,0,HLOOKUP(YEAR(W105)+(MONTH(W105)/100),TC!$5:$37,DAY(W105)+2,FALSE))</f>
        <v>0</v>
      </c>
      <c r="AC105" s="306">
        <f t="shared" si="27"/>
        <v>0</v>
      </c>
      <c r="AD105" s="314">
        <f t="shared" si="18"/>
        <v>0</v>
      </c>
      <c r="AE105" s="315">
        <f t="shared" si="28"/>
        <v>0</v>
      </c>
      <c r="AF105" s="316">
        <f t="shared" si="19"/>
        <v>0</v>
      </c>
      <c r="AG105" s="314">
        <v>1</v>
      </c>
      <c r="AH105" s="314">
        <f t="shared" si="29"/>
        <v>0</v>
      </c>
      <c r="AI105" s="314">
        <f t="shared" si="30"/>
        <v>0</v>
      </c>
      <c r="AJ105" s="317"/>
      <c r="AK105" s="315" t="e">
        <f t="shared" si="31"/>
        <v>#N/A</v>
      </c>
      <c r="AM105" s="561"/>
      <c r="AN105" s="561"/>
      <c r="AO105" s="561"/>
    </row>
    <row r="106" spans="2:41">
      <c r="B106" s="296"/>
      <c r="C106" s="299"/>
      <c r="D106" s="296"/>
      <c r="E106" s="298"/>
      <c r="F106" s="299"/>
      <c r="G106" s="300"/>
      <c r="H106" s="303"/>
      <c r="I106" s="303"/>
      <c r="J106" s="322">
        <f t="shared" si="17"/>
        <v>0</v>
      </c>
      <c r="K106" s="305" t="e">
        <f>IF(F106="MXN",1/HLOOKUP(YEAR(G106)+(MONTH(G106)/100),TC!$5:$37,DAY(G106)+2,FALSE),VLOOKUP(F106,Equivalencia!$5:$23,((MAX(Equivalencia!$3:$3)-YEAR(G106))*14)+MONTH(G106)+2,FALSE))</f>
        <v>#N/A</v>
      </c>
      <c r="L106" s="306" t="e">
        <f t="shared" si="20"/>
        <v>#N/A</v>
      </c>
      <c r="M106" s="305">
        <f>IF(G106=0,0,HLOOKUP(YEAR(G106)+(MONTH(G106)/100),TC!$5:$37,DAY(G106)+2,FALSE))</f>
        <v>0</v>
      </c>
      <c r="N106" s="306" t="e">
        <f t="shared" si="21"/>
        <v>#N/A</v>
      </c>
      <c r="O106" s="308">
        <f>IF(G106=0,0,VLOOKUP(YEAR(G106),INPC!$B$4:$P$30,MONTH(G106)+2))</f>
        <v>0</v>
      </c>
      <c r="P106" s="308">
        <f>IF(W106=0,0,IF(OR(C106=$AQ$5,C106=AQ110),VLOOKUP(YEAR(W106),INPC!$B$4:$P$30,MONTH(W106)+1),VLOOKUP(YEAR(W106),INPC!$B$4:$P$30,MONTH(W106)+2)))</f>
        <v>0</v>
      </c>
      <c r="Q106" s="309">
        <f t="shared" si="22"/>
        <v>0</v>
      </c>
      <c r="R106" s="310" t="e">
        <f t="shared" si="23"/>
        <v>#N/A</v>
      </c>
      <c r="S106" s="310">
        <f t="shared" si="24"/>
        <v>0</v>
      </c>
      <c r="T106" s="567" t="str">
        <f t="shared" si="25"/>
        <v>NO</v>
      </c>
      <c r="U106" s="323"/>
      <c r="V106" s="299"/>
      <c r="W106" s="300"/>
      <c r="X106" s="299"/>
      <c r="Y106" s="303"/>
      <c r="Z106" s="305">
        <f>IF(Y106=0,0,IF(X106="MXN",1/HLOOKUP(YEAR(W106)+(MONTH(W106)/100),TC!$5:$37,DAY(W106)+2,FALSE),VLOOKUP(X106,Equivalencia!$1:$23,((MAX(Equivalencia!$3:$3)-YEAR(W106))*14)+MONTH(W106)+2,FALSE)))</f>
        <v>0</v>
      </c>
      <c r="AA106" s="306">
        <f t="shared" si="26"/>
        <v>0</v>
      </c>
      <c r="AB106" s="305">
        <f>+IF(W106=0,0,HLOOKUP(YEAR(W106)+(MONTH(W106)/100),TC!$5:$37,DAY(W106)+2,FALSE))</f>
        <v>0</v>
      </c>
      <c r="AC106" s="306">
        <f t="shared" si="27"/>
        <v>0</v>
      </c>
      <c r="AD106" s="314">
        <f t="shared" si="18"/>
        <v>0</v>
      </c>
      <c r="AE106" s="315">
        <f t="shared" si="28"/>
        <v>0</v>
      </c>
      <c r="AF106" s="316">
        <f t="shared" si="19"/>
        <v>0</v>
      </c>
      <c r="AG106" s="314">
        <v>1</v>
      </c>
      <c r="AH106" s="314">
        <f t="shared" si="29"/>
        <v>0</v>
      </c>
      <c r="AI106" s="314">
        <f t="shared" si="30"/>
        <v>0</v>
      </c>
      <c r="AJ106" s="317"/>
      <c r="AK106" s="315" t="e">
        <f t="shared" si="31"/>
        <v>#N/A</v>
      </c>
      <c r="AM106" s="561"/>
      <c r="AN106" s="561"/>
      <c r="AO106" s="561"/>
    </row>
    <row r="107" spans="2:41">
      <c r="B107" s="296"/>
      <c r="C107" s="299"/>
      <c r="D107" s="296"/>
      <c r="E107" s="298"/>
      <c r="F107" s="299"/>
      <c r="G107" s="300"/>
      <c r="H107" s="303"/>
      <c r="I107" s="303"/>
      <c r="J107" s="322">
        <f t="shared" si="17"/>
        <v>0</v>
      </c>
      <c r="K107" s="305" t="e">
        <f>IF(F107="MXN",1/HLOOKUP(YEAR(G107)+(MONTH(G107)/100),TC!$5:$37,DAY(G107)+2,FALSE),VLOOKUP(F107,Equivalencia!$5:$23,((MAX(Equivalencia!$3:$3)-YEAR(G107))*14)+MONTH(G107)+2,FALSE))</f>
        <v>#N/A</v>
      </c>
      <c r="L107" s="306" t="e">
        <f t="shared" si="20"/>
        <v>#N/A</v>
      </c>
      <c r="M107" s="305">
        <f>IF(G107=0,0,HLOOKUP(YEAR(G107)+(MONTH(G107)/100),TC!$5:$37,DAY(G107)+2,FALSE))</f>
        <v>0</v>
      </c>
      <c r="N107" s="306" t="e">
        <f t="shared" si="21"/>
        <v>#N/A</v>
      </c>
      <c r="O107" s="308">
        <f>IF(G107=0,0,VLOOKUP(YEAR(G107),INPC!$B$4:$P$30,MONTH(G107)+2))</f>
        <v>0</v>
      </c>
      <c r="P107" s="308">
        <f>IF(W107=0,0,IF(OR(C107=$AQ$5,C107=AQ111),VLOOKUP(YEAR(W107),INPC!$B$4:$P$30,MONTH(W107)+1),VLOOKUP(YEAR(W107),INPC!$B$4:$P$30,MONTH(W107)+2)))</f>
        <v>0</v>
      </c>
      <c r="Q107" s="309">
        <f t="shared" si="22"/>
        <v>0</v>
      </c>
      <c r="R107" s="310" t="e">
        <f t="shared" si="23"/>
        <v>#N/A</v>
      </c>
      <c r="S107" s="310">
        <f t="shared" si="24"/>
        <v>0</v>
      </c>
      <c r="T107" s="567" t="str">
        <f t="shared" si="25"/>
        <v>NO</v>
      </c>
      <c r="U107" s="323"/>
      <c r="V107" s="299"/>
      <c r="W107" s="300"/>
      <c r="X107" s="299"/>
      <c r="Y107" s="303"/>
      <c r="Z107" s="305">
        <f>IF(Y107=0,0,IF(X107="MXN",1/HLOOKUP(YEAR(W107)+(MONTH(W107)/100),TC!$5:$37,DAY(W107)+2,FALSE),VLOOKUP(X107,Equivalencia!$1:$23,((MAX(Equivalencia!$3:$3)-YEAR(W107))*14)+MONTH(W107)+2,FALSE)))</f>
        <v>0</v>
      </c>
      <c r="AA107" s="306">
        <f t="shared" si="26"/>
        <v>0</v>
      </c>
      <c r="AB107" s="305">
        <f>+IF(W107=0,0,HLOOKUP(YEAR(W107)+(MONTH(W107)/100),TC!$5:$37,DAY(W107)+2,FALSE))</f>
        <v>0</v>
      </c>
      <c r="AC107" s="306">
        <f t="shared" si="27"/>
        <v>0</v>
      </c>
      <c r="AD107" s="314">
        <f t="shared" si="18"/>
        <v>0</v>
      </c>
      <c r="AE107" s="315">
        <f t="shared" si="28"/>
        <v>0</v>
      </c>
      <c r="AF107" s="316">
        <f t="shared" si="19"/>
        <v>0</v>
      </c>
      <c r="AG107" s="314">
        <v>1</v>
      </c>
      <c r="AH107" s="314">
        <f t="shared" si="29"/>
        <v>0</v>
      </c>
      <c r="AI107" s="314">
        <f t="shared" si="30"/>
        <v>0</v>
      </c>
      <c r="AJ107" s="317"/>
      <c r="AK107" s="315" t="e">
        <f t="shared" si="31"/>
        <v>#N/A</v>
      </c>
      <c r="AM107" s="561"/>
      <c r="AN107" s="561"/>
      <c r="AO107" s="561"/>
    </row>
    <row r="108" spans="2:41">
      <c r="B108" s="296"/>
      <c r="C108" s="299"/>
      <c r="D108" s="296"/>
      <c r="E108" s="298"/>
      <c r="F108" s="299"/>
      <c r="G108" s="300"/>
      <c r="H108" s="303"/>
      <c r="I108" s="303"/>
      <c r="J108" s="322">
        <f t="shared" si="17"/>
        <v>0</v>
      </c>
      <c r="K108" s="305" t="e">
        <f>IF(F108="MXN",1/HLOOKUP(YEAR(G108)+(MONTH(G108)/100),TC!$5:$37,DAY(G108)+2,FALSE),VLOOKUP(F108,Equivalencia!$5:$23,((MAX(Equivalencia!$3:$3)-YEAR(G108))*14)+MONTH(G108)+2,FALSE))</f>
        <v>#N/A</v>
      </c>
      <c r="L108" s="306" t="e">
        <f t="shared" si="20"/>
        <v>#N/A</v>
      </c>
      <c r="M108" s="305">
        <f>IF(G108=0,0,HLOOKUP(YEAR(G108)+(MONTH(G108)/100),TC!$5:$37,DAY(G108)+2,FALSE))</f>
        <v>0</v>
      </c>
      <c r="N108" s="306" t="e">
        <f t="shared" si="21"/>
        <v>#N/A</v>
      </c>
      <c r="O108" s="308">
        <f>IF(G108=0,0,VLOOKUP(YEAR(G108),INPC!$B$4:$P$30,MONTH(G108)+2))</f>
        <v>0</v>
      </c>
      <c r="P108" s="308">
        <f>IF(W108=0,0,IF(OR(C108=$AQ$5,C108=AQ112),VLOOKUP(YEAR(W108),INPC!$B$4:$P$30,MONTH(W108)+1),VLOOKUP(YEAR(W108),INPC!$B$4:$P$30,MONTH(W108)+2)))</f>
        <v>0</v>
      </c>
      <c r="Q108" s="309">
        <f t="shared" si="22"/>
        <v>0</v>
      </c>
      <c r="R108" s="310" t="e">
        <f t="shared" si="23"/>
        <v>#N/A</v>
      </c>
      <c r="S108" s="310">
        <f t="shared" si="24"/>
        <v>0</v>
      </c>
      <c r="T108" s="567" t="str">
        <f t="shared" si="25"/>
        <v>NO</v>
      </c>
      <c r="U108" s="323"/>
      <c r="V108" s="299"/>
      <c r="W108" s="300"/>
      <c r="X108" s="299"/>
      <c r="Y108" s="303"/>
      <c r="Z108" s="305">
        <f>IF(Y108=0,0,IF(X108="MXN",1/HLOOKUP(YEAR(W108)+(MONTH(W108)/100),TC!$5:$37,DAY(W108)+2,FALSE),VLOOKUP(X108,Equivalencia!$1:$23,((MAX(Equivalencia!$3:$3)-YEAR(W108))*14)+MONTH(W108)+2,FALSE)))</f>
        <v>0</v>
      </c>
      <c r="AA108" s="306">
        <f t="shared" si="26"/>
        <v>0</v>
      </c>
      <c r="AB108" s="305">
        <f>+IF(W108=0,0,HLOOKUP(YEAR(W108)+(MONTH(W108)/100),TC!$5:$37,DAY(W108)+2,FALSE))</f>
        <v>0</v>
      </c>
      <c r="AC108" s="306">
        <f t="shared" si="27"/>
        <v>0</v>
      </c>
      <c r="AD108" s="314">
        <f t="shared" si="18"/>
        <v>0</v>
      </c>
      <c r="AE108" s="315">
        <f t="shared" si="28"/>
        <v>0</v>
      </c>
      <c r="AF108" s="316">
        <f t="shared" si="19"/>
        <v>0</v>
      </c>
      <c r="AG108" s="314">
        <v>1</v>
      </c>
      <c r="AH108" s="314">
        <f t="shared" si="29"/>
        <v>0</v>
      </c>
      <c r="AI108" s="314">
        <f t="shared" si="30"/>
        <v>0</v>
      </c>
      <c r="AJ108" s="317"/>
      <c r="AK108" s="315" t="e">
        <f t="shared" si="31"/>
        <v>#N/A</v>
      </c>
      <c r="AM108" s="561"/>
      <c r="AN108" s="561"/>
      <c r="AO108" s="561"/>
    </row>
    <row r="109" spans="2:41">
      <c r="B109" s="296"/>
      <c r="C109" s="299"/>
      <c r="D109" s="296"/>
      <c r="E109" s="298"/>
      <c r="F109" s="299"/>
      <c r="G109" s="300"/>
      <c r="H109" s="303"/>
      <c r="I109" s="303"/>
      <c r="J109" s="322">
        <f t="shared" si="17"/>
        <v>0</v>
      </c>
      <c r="K109" s="305" t="e">
        <f>IF(F109="MXN",1/HLOOKUP(YEAR(G109)+(MONTH(G109)/100),TC!$5:$37,DAY(G109)+2,FALSE),VLOOKUP(F109,Equivalencia!$5:$23,((MAX(Equivalencia!$3:$3)-YEAR(G109))*14)+MONTH(G109)+2,FALSE))</f>
        <v>#N/A</v>
      </c>
      <c r="L109" s="306" t="e">
        <f t="shared" si="20"/>
        <v>#N/A</v>
      </c>
      <c r="M109" s="305">
        <f>IF(G109=0,0,HLOOKUP(YEAR(G109)+(MONTH(G109)/100),TC!$5:$37,DAY(G109)+2,FALSE))</f>
        <v>0</v>
      </c>
      <c r="N109" s="306" t="e">
        <f t="shared" si="21"/>
        <v>#N/A</v>
      </c>
      <c r="O109" s="308">
        <f>IF(G109=0,0,VLOOKUP(YEAR(G109),INPC!$B$4:$P$30,MONTH(G109)+2))</f>
        <v>0</v>
      </c>
      <c r="P109" s="308">
        <f>IF(W109=0,0,IF(OR(C109=$AQ$5,C109=AQ113),VLOOKUP(YEAR(W109),INPC!$B$4:$P$30,MONTH(W109)+1),VLOOKUP(YEAR(W109),INPC!$B$4:$P$30,MONTH(W109)+2)))</f>
        <v>0</v>
      </c>
      <c r="Q109" s="309">
        <f t="shared" si="22"/>
        <v>0</v>
      </c>
      <c r="R109" s="310" t="e">
        <f t="shared" si="23"/>
        <v>#N/A</v>
      </c>
      <c r="S109" s="310">
        <f t="shared" si="24"/>
        <v>0</v>
      </c>
      <c r="T109" s="567" t="str">
        <f t="shared" si="25"/>
        <v>NO</v>
      </c>
      <c r="U109" s="323"/>
      <c r="V109" s="299"/>
      <c r="W109" s="300"/>
      <c r="X109" s="299"/>
      <c r="Y109" s="303"/>
      <c r="Z109" s="305">
        <f>IF(Y109=0,0,IF(X109="MXN",1/HLOOKUP(YEAR(W109)+(MONTH(W109)/100),TC!$5:$37,DAY(W109)+2,FALSE),VLOOKUP(X109,Equivalencia!$1:$23,((MAX(Equivalencia!$3:$3)-YEAR(W109))*14)+MONTH(W109)+2,FALSE)))</f>
        <v>0</v>
      </c>
      <c r="AA109" s="306">
        <f t="shared" si="26"/>
        <v>0</v>
      </c>
      <c r="AB109" s="305">
        <f>+IF(W109=0,0,HLOOKUP(YEAR(W109)+(MONTH(W109)/100),TC!$5:$37,DAY(W109)+2,FALSE))</f>
        <v>0</v>
      </c>
      <c r="AC109" s="306">
        <f t="shared" si="27"/>
        <v>0</v>
      </c>
      <c r="AD109" s="314">
        <f t="shared" si="18"/>
        <v>0</v>
      </c>
      <c r="AE109" s="315">
        <f t="shared" si="28"/>
        <v>0</v>
      </c>
      <c r="AF109" s="316">
        <f t="shared" si="19"/>
        <v>0</v>
      </c>
      <c r="AG109" s="314">
        <v>1</v>
      </c>
      <c r="AH109" s="314">
        <f t="shared" si="29"/>
        <v>0</v>
      </c>
      <c r="AI109" s="314">
        <f t="shared" si="30"/>
        <v>0</v>
      </c>
      <c r="AJ109" s="317"/>
      <c r="AK109" s="315" t="e">
        <f t="shared" si="31"/>
        <v>#N/A</v>
      </c>
      <c r="AM109" s="561"/>
      <c r="AN109" s="561"/>
      <c r="AO109" s="561"/>
    </row>
    <row r="110" spans="2:41">
      <c r="B110" s="296"/>
      <c r="C110" s="299"/>
      <c r="D110" s="296"/>
      <c r="E110" s="298"/>
      <c r="F110" s="299"/>
      <c r="G110" s="300"/>
      <c r="H110" s="303"/>
      <c r="I110" s="303"/>
      <c r="J110" s="322">
        <f t="shared" si="17"/>
        <v>0</v>
      </c>
      <c r="K110" s="305" t="e">
        <f>IF(F110="MXN",1/HLOOKUP(YEAR(G110)+(MONTH(G110)/100),TC!$5:$37,DAY(G110)+2,FALSE),VLOOKUP(F110,Equivalencia!$5:$23,((MAX(Equivalencia!$3:$3)-YEAR(G110))*14)+MONTH(G110)+2,FALSE))</f>
        <v>#N/A</v>
      </c>
      <c r="L110" s="306" t="e">
        <f t="shared" si="20"/>
        <v>#N/A</v>
      </c>
      <c r="M110" s="305">
        <f>IF(G110=0,0,HLOOKUP(YEAR(G110)+(MONTH(G110)/100),TC!$5:$37,DAY(G110)+2,FALSE))</f>
        <v>0</v>
      </c>
      <c r="N110" s="306" t="e">
        <f t="shared" si="21"/>
        <v>#N/A</v>
      </c>
      <c r="O110" s="308">
        <f>IF(G110=0,0,VLOOKUP(YEAR(G110),INPC!$B$4:$P$30,MONTH(G110)+2))</f>
        <v>0</v>
      </c>
      <c r="P110" s="308">
        <f>IF(W110=0,0,IF(OR(C110=$AQ$5,C110=AQ114),VLOOKUP(YEAR(W110),INPC!$B$4:$P$30,MONTH(W110)+1),VLOOKUP(YEAR(W110),INPC!$B$4:$P$30,MONTH(W110)+2)))</f>
        <v>0</v>
      </c>
      <c r="Q110" s="309">
        <f t="shared" si="22"/>
        <v>0</v>
      </c>
      <c r="R110" s="310" t="e">
        <f t="shared" si="23"/>
        <v>#N/A</v>
      </c>
      <c r="S110" s="310">
        <f t="shared" si="24"/>
        <v>0</v>
      </c>
      <c r="T110" s="567" t="str">
        <f t="shared" si="25"/>
        <v>NO</v>
      </c>
      <c r="U110" s="323"/>
      <c r="V110" s="299"/>
      <c r="W110" s="300"/>
      <c r="X110" s="299"/>
      <c r="Y110" s="303"/>
      <c r="Z110" s="305">
        <f>IF(Y110=0,0,IF(X110="MXN",1/HLOOKUP(YEAR(W110)+(MONTH(W110)/100),TC!$5:$37,DAY(W110)+2,FALSE),VLOOKUP(X110,Equivalencia!$1:$23,((MAX(Equivalencia!$3:$3)-YEAR(W110))*14)+MONTH(W110)+2,FALSE)))</f>
        <v>0</v>
      </c>
      <c r="AA110" s="306">
        <f t="shared" si="26"/>
        <v>0</v>
      </c>
      <c r="AB110" s="305">
        <f>+IF(W110=0,0,HLOOKUP(YEAR(W110)+(MONTH(W110)/100),TC!$5:$37,DAY(W110)+2,FALSE))</f>
        <v>0</v>
      </c>
      <c r="AC110" s="306">
        <f t="shared" si="27"/>
        <v>0</v>
      </c>
      <c r="AD110" s="314">
        <f t="shared" si="18"/>
        <v>0</v>
      </c>
      <c r="AE110" s="315">
        <f t="shared" si="28"/>
        <v>0</v>
      </c>
      <c r="AF110" s="316">
        <f t="shared" si="19"/>
        <v>0</v>
      </c>
      <c r="AG110" s="314">
        <v>1</v>
      </c>
      <c r="AH110" s="314">
        <f t="shared" si="29"/>
        <v>0</v>
      </c>
      <c r="AI110" s="314">
        <f t="shared" si="30"/>
        <v>0</v>
      </c>
      <c r="AJ110" s="317"/>
      <c r="AK110" s="315" t="e">
        <f t="shared" si="31"/>
        <v>#N/A</v>
      </c>
      <c r="AM110" s="561"/>
      <c r="AN110" s="561"/>
      <c r="AO110" s="561"/>
    </row>
    <row r="111" spans="2:41">
      <c r="B111" s="296"/>
      <c r="C111" s="299"/>
      <c r="D111" s="296"/>
      <c r="E111" s="298"/>
      <c r="F111" s="299"/>
      <c r="G111" s="300"/>
      <c r="H111" s="303"/>
      <c r="I111" s="303"/>
      <c r="J111" s="322">
        <f t="shared" si="17"/>
        <v>0</v>
      </c>
      <c r="K111" s="305" t="e">
        <f>IF(F111="MXN",1/HLOOKUP(YEAR(G111)+(MONTH(G111)/100),TC!$5:$37,DAY(G111)+2,FALSE),VLOOKUP(F111,Equivalencia!$5:$23,((MAX(Equivalencia!$3:$3)-YEAR(G111))*14)+MONTH(G111)+2,FALSE))</f>
        <v>#N/A</v>
      </c>
      <c r="L111" s="306" t="e">
        <f t="shared" si="20"/>
        <v>#N/A</v>
      </c>
      <c r="M111" s="305">
        <f>IF(G111=0,0,HLOOKUP(YEAR(G111)+(MONTH(G111)/100),TC!$5:$37,DAY(G111)+2,FALSE))</f>
        <v>0</v>
      </c>
      <c r="N111" s="306" t="e">
        <f t="shared" si="21"/>
        <v>#N/A</v>
      </c>
      <c r="O111" s="308">
        <f>IF(G111=0,0,VLOOKUP(YEAR(G111),INPC!$B$4:$P$30,MONTH(G111)+2))</f>
        <v>0</v>
      </c>
      <c r="P111" s="308">
        <f>IF(W111=0,0,IF(OR(C111=$AQ$5,C111=AQ115),VLOOKUP(YEAR(W111),INPC!$B$4:$P$30,MONTH(W111)+1),VLOOKUP(YEAR(W111),INPC!$B$4:$P$30,MONTH(W111)+2)))</f>
        <v>0</v>
      </c>
      <c r="Q111" s="309">
        <f t="shared" si="22"/>
        <v>0</v>
      </c>
      <c r="R111" s="310" t="e">
        <f t="shared" si="23"/>
        <v>#N/A</v>
      </c>
      <c r="S111" s="310">
        <f t="shared" si="24"/>
        <v>0</v>
      </c>
      <c r="T111" s="567" t="str">
        <f t="shared" si="25"/>
        <v>NO</v>
      </c>
      <c r="U111" s="323"/>
      <c r="V111" s="299"/>
      <c r="W111" s="300"/>
      <c r="X111" s="299"/>
      <c r="Y111" s="303"/>
      <c r="Z111" s="305">
        <f>IF(Y111=0,0,IF(X111="MXN",1/HLOOKUP(YEAR(W111)+(MONTH(W111)/100),TC!$5:$37,DAY(W111)+2,FALSE),VLOOKUP(X111,Equivalencia!$1:$23,((MAX(Equivalencia!$3:$3)-YEAR(W111))*14)+MONTH(W111)+2,FALSE)))</f>
        <v>0</v>
      </c>
      <c r="AA111" s="306">
        <f t="shared" si="26"/>
        <v>0</v>
      </c>
      <c r="AB111" s="305">
        <f>+IF(W111=0,0,HLOOKUP(YEAR(W111)+(MONTH(W111)/100),TC!$5:$37,DAY(W111)+2,FALSE))</f>
        <v>0</v>
      </c>
      <c r="AC111" s="306">
        <f t="shared" si="27"/>
        <v>0</v>
      </c>
      <c r="AD111" s="314">
        <f t="shared" si="18"/>
        <v>0</v>
      </c>
      <c r="AE111" s="315">
        <f t="shared" si="28"/>
        <v>0</v>
      </c>
      <c r="AF111" s="316">
        <f t="shared" si="19"/>
        <v>0</v>
      </c>
      <c r="AG111" s="314">
        <v>1</v>
      </c>
      <c r="AH111" s="314">
        <f t="shared" si="29"/>
        <v>0</v>
      </c>
      <c r="AI111" s="314">
        <f t="shared" si="30"/>
        <v>0</v>
      </c>
      <c r="AJ111" s="317"/>
      <c r="AK111" s="315" t="e">
        <f t="shared" si="31"/>
        <v>#N/A</v>
      </c>
      <c r="AM111" s="561"/>
      <c r="AN111" s="561"/>
      <c r="AO111" s="561"/>
    </row>
    <row r="112" spans="2:41">
      <c r="B112" s="296"/>
      <c r="C112" s="299"/>
      <c r="D112" s="296"/>
      <c r="E112" s="298"/>
      <c r="F112" s="299"/>
      <c r="G112" s="300"/>
      <c r="H112" s="303"/>
      <c r="I112" s="303"/>
      <c r="J112" s="322">
        <f t="shared" si="17"/>
        <v>0</v>
      </c>
      <c r="K112" s="305" t="e">
        <f>IF(F112="MXN",1/HLOOKUP(YEAR(G112)+(MONTH(G112)/100),TC!$5:$37,DAY(G112)+2,FALSE),VLOOKUP(F112,Equivalencia!$5:$23,((MAX(Equivalencia!$3:$3)-YEAR(G112))*14)+MONTH(G112)+2,FALSE))</f>
        <v>#N/A</v>
      </c>
      <c r="L112" s="306" t="e">
        <f t="shared" si="20"/>
        <v>#N/A</v>
      </c>
      <c r="M112" s="305">
        <f>IF(G112=0,0,HLOOKUP(YEAR(G112)+(MONTH(G112)/100),TC!$5:$37,DAY(G112)+2,FALSE))</f>
        <v>0</v>
      </c>
      <c r="N112" s="306" t="e">
        <f t="shared" si="21"/>
        <v>#N/A</v>
      </c>
      <c r="O112" s="308">
        <f>IF(G112=0,0,VLOOKUP(YEAR(G112),INPC!$B$4:$P$30,MONTH(G112)+2))</f>
        <v>0</v>
      </c>
      <c r="P112" s="308">
        <f>IF(W112=0,0,IF(OR(C112=$AQ$5,C112=AQ116),VLOOKUP(YEAR(W112),INPC!$B$4:$P$30,MONTH(W112)+1),VLOOKUP(YEAR(W112),INPC!$B$4:$P$30,MONTH(W112)+2)))</f>
        <v>0</v>
      </c>
      <c r="Q112" s="309">
        <f t="shared" si="22"/>
        <v>0</v>
      </c>
      <c r="R112" s="310" t="e">
        <f t="shared" si="23"/>
        <v>#N/A</v>
      </c>
      <c r="S112" s="310">
        <f t="shared" si="24"/>
        <v>0</v>
      </c>
      <c r="T112" s="567" t="str">
        <f t="shared" si="25"/>
        <v>NO</v>
      </c>
      <c r="U112" s="323"/>
      <c r="V112" s="299"/>
      <c r="W112" s="300"/>
      <c r="X112" s="299"/>
      <c r="Y112" s="303"/>
      <c r="Z112" s="305">
        <f>IF(Y112=0,0,IF(X112="MXN",1/HLOOKUP(YEAR(W112)+(MONTH(W112)/100),TC!$5:$37,DAY(W112)+2,FALSE),VLOOKUP(X112,Equivalencia!$1:$23,((MAX(Equivalencia!$3:$3)-YEAR(W112))*14)+MONTH(W112)+2,FALSE)))</f>
        <v>0</v>
      </c>
      <c r="AA112" s="306">
        <f t="shared" si="26"/>
        <v>0</v>
      </c>
      <c r="AB112" s="305">
        <f>+IF(W112=0,0,HLOOKUP(YEAR(W112)+(MONTH(W112)/100),TC!$5:$37,DAY(W112)+2,FALSE))</f>
        <v>0</v>
      </c>
      <c r="AC112" s="306">
        <f t="shared" si="27"/>
        <v>0</v>
      </c>
      <c r="AD112" s="314">
        <f t="shared" si="18"/>
        <v>0</v>
      </c>
      <c r="AE112" s="315">
        <f t="shared" si="28"/>
        <v>0</v>
      </c>
      <c r="AF112" s="316">
        <f t="shared" si="19"/>
        <v>0</v>
      </c>
      <c r="AG112" s="314">
        <v>1</v>
      </c>
      <c r="AH112" s="314">
        <f t="shared" si="29"/>
        <v>0</v>
      </c>
      <c r="AI112" s="314">
        <f t="shared" si="30"/>
        <v>0</v>
      </c>
      <c r="AJ112" s="317"/>
      <c r="AK112" s="315" t="e">
        <f t="shared" si="31"/>
        <v>#N/A</v>
      </c>
      <c r="AM112" s="561"/>
      <c r="AN112" s="561"/>
      <c r="AO112" s="561"/>
    </row>
    <row r="113" spans="2:41">
      <c r="B113" s="296"/>
      <c r="C113" s="299"/>
      <c r="D113" s="296"/>
      <c r="E113" s="298"/>
      <c r="F113" s="299"/>
      <c r="G113" s="300"/>
      <c r="H113" s="303"/>
      <c r="I113" s="303"/>
      <c r="J113" s="322">
        <f t="shared" si="17"/>
        <v>0</v>
      </c>
      <c r="K113" s="305" t="e">
        <f>IF(F113="MXN",1/HLOOKUP(YEAR(G113)+(MONTH(G113)/100),TC!$5:$37,DAY(G113)+2,FALSE),VLOOKUP(F113,Equivalencia!$5:$23,((MAX(Equivalencia!$3:$3)-YEAR(G113))*14)+MONTH(G113)+2,FALSE))</f>
        <v>#N/A</v>
      </c>
      <c r="L113" s="306" t="e">
        <f t="shared" si="20"/>
        <v>#N/A</v>
      </c>
      <c r="M113" s="305">
        <f>IF(G113=0,0,HLOOKUP(YEAR(G113)+(MONTH(G113)/100),TC!$5:$37,DAY(G113)+2,FALSE))</f>
        <v>0</v>
      </c>
      <c r="N113" s="306" t="e">
        <f t="shared" si="21"/>
        <v>#N/A</v>
      </c>
      <c r="O113" s="308">
        <f>IF(G113=0,0,VLOOKUP(YEAR(G113),INPC!$B$4:$P$30,MONTH(G113)+2))</f>
        <v>0</v>
      </c>
      <c r="P113" s="308">
        <f>IF(W113=0,0,IF(OR(C113=$AQ$5,C113=AQ117),VLOOKUP(YEAR(W113),INPC!$B$4:$P$30,MONTH(W113)+1),VLOOKUP(YEAR(W113),INPC!$B$4:$P$30,MONTH(W113)+2)))</f>
        <v>0</v>
      </c>
      <c r="Q113" s="309">
        <f t="shared" si="22"/>
        <v>0</v>
      </c>
      <c r="R113" s="310" t="e">
        <f t="shared" si="23"/>
        <v>#N/A</v>
      </c>
      <c r="S113" s="310">
        <f t="shared" si="24"/>
        <v>0</v>
      </c>
      <c r="T113" s="567" t="str">
        <f t="shared" si="25"/>
        <v>NO</v>
      </c>
      <c r="U113" s="323"/>
      <c r="V113" s="299"/>
      <c r="W113" s="300"/>
      <c r="X113" s="299"/>
      <c r="Y113" s="303"/>
      <c r="Z113" s="305">
        <f>IF(Y113=0,0,IF(X113="MXN",1/HLOOKUP(YEAR(W113)+(MONTH(W113)/100),TC!$5:$37,DAY(W113)+2,FALSE),VLOOKUP(X113,Equivalencia!$1:$23,((MAX(Equivalencia!$3:$3)-YEAR(W113))*14)+MONTH(W113)+2,FALSE)))</f>
        <v>0</v>
      </c>
      <c r="AA113" s="306">
        <f t="shared" si="26"/>
        <v>0</v>
      </c>
      <c r="AB113" s="305">
        <f>+IF(W113=0,0,HLOOKUP(YEAR(W113)+(MONTH(W113)/100),TC!$5:$37,DAY(W113)+2,FALSE))</f>
        <v>0</v>
      </c>
      <c r="AC113" s="306">
        <f t="shared" si="27"/>
        <v>0</v>
      </c>
      <c r="AD113" s="314">
        <f t="shared" si="18"/>
        <v>0</v>
      </c>
      <c r="AE113" s="315">
        <f t="shared" si="28"/>
        <v>0</v>
      </c>
      <c r="AF113" s="316">
        <f t="shared" si="19"/>
        <v>0</v>
      </c>
      <c r="AG113" s="314">
        <v>1</v>
      </c>
      <c r="AH113" s="314">
        <f t="shared" si="29"/>
        <v>0</v>
      </c>
      <c r="AI113" s="314">
        <f t="shared" si="30"/>
        <v>0</v>
      </c>
      <c r="AJ113" s="317"/>
      <c r="AK113" s="315" t="e">
        <f t="shared" si="31"/>
        <v>#N/A</v>
      </c>
      <c r="AM113" s="561"/>
      <c r="AN113" s="561"/>
      <c r="AO113" s="561"/>
    </row>
    <row r="114" spans="2:41">
      <c r="B114" s="296"/>
      <c r="C114" s="299"/>
      <c r="D114" s="296"/>
      <c r="E114" s="298"/>
      <c r="F114" s="299"/>
      <c r="G114" s="300"/>
      <c r="H114" s="303"/>
      <c r="I114" s="303"/>
      <c r="J114" s="322">
        <f t="shared" si="17"/>
        <v>0</v>
      </c>
      <c r="K114" s="305" t="e">
        <f>IF(F114="MXN",1/HLOOKUP(YEAR(G114)+(MONTH(G114)/100),TC!$5:$37,DAY(G114)+2,FALSE),VLOOKUP(F114,Equivalencia!$5:$23,((MAX(Equivalencia!$3:$3)-YEAR(G114))*14)+MONTH(G114)+2,FALSE))</f>
        <v>#N/A</v>
      </c>
      <c r="L114" s="306" t="e">
        <f t="shared" si="20"/>
        <v>#N/A</v>
      </c>
      <c r="M114" s="305">
        <f>IF(G114=0,0,HLOOKUP(YEAR(G114)+(MONTH(G114)/100),TC!$5:$37,DAY(G114)+2,FALSE))</f>
        <v>0</v>
      </c>
      <c r="N114" s="306" t="e">
        <f t="shared" si="21"/>
        <v>#N/A</v>
      </c>
      <c r="O114" s="308">
        <f>IF(G114=0,0,VLOOKUP(YEAR(G114),INPC!$B$4:$P$30,MONTH(G114)+2))</f>
        <v>0</v>
      </c>
      <c r="P114" s="308">
        <f>IF(W114=0,0,IF(OR(C114=$AQ$5,C114=AQ118),VLOOKUP(YEAR(W114),INPC!$B$4:$P$30,MONTH(W114)+1),VLOOKUP(YEAR(W114),INPC!$B$4:$P$30,MONTH(W114)+2)))</f>
        <v>0</v>
      </c>
      <c r="Q114" s="309">
        <f t="shared" si="22"/>
        <v>0</v>
      </c>
      <c r="R114" s="310" t="e">
        <f t="shared" si="23"/>
        <v>#N/A</v>
      </c>
      <c r="S114" s="310">
        <f t="shared" si="24"/>
        <v>0</v>
      </c>
      <c r="T114" s="567" t="str">
        <f t="shared" si="25"/>
        <v>NO</v>
      </c>
      <c r="U114" s="323"/>
      <c r="V114" s="299"/>
      <c r="W114" s="300"/>
      <c r="X114" s="299"/>
      <c r="Y114" s="303"/>
      <c r="Z114" s="305">
        <f>IF(Y114=0,0,IF(X114="MXN",1/HLOOKUP(YEAR(W114)+(MONTH(W114)/100),TC!$5:$37,DAY(W114)+2,FALSE),VLOOKUP(X114,Equivalencia!$1:$23,((MAX(Equivalencia!$3:$3)-YEAR(W114))*14)+MONTH(W114)+2,FALSE)))</f>
        <v>0</v>
      </c>
      <c r="AA114" s="306">
        <f t="shared" si="26"/>
        <v>0</v>
      </c>
      <c r="AB114" s="305">
        <f>+IF(W114=0,0,HLOOKUP(YEAR(W114)+(MONTH(W114)/100),TC!$5:$37,DAY(W114)+2,FALSE))</f>
        <v>0</v>
      </c>
      <c r="AC114" s="306">
        <f t="shared" si="27"/>
        <v>0</v>
      </c>
      <c r="AD114" s="314">
        <f t="shared" si="18"/>
        <v>0</v>
      </c>
      <c r="AE114" s="315">
        <f t="shared" si="28"/>
        <v>0</v>
      </c>
      <c r="AF114" s="316">
        <f t="shared" si="19"/>
        <v>0</v>
      </c>
      <c r="AG114" s="314">
        <v>1</v>
      </c>
      <c r="AH114" s="314">
        <f t="shared" si="29"/>
        <v>0</v>
      </c>
      <c r="AI114" s="314">
        <f t="shared" si="30"/>
        <v>0</v>
      </c>
      <c r="AJ114" s="317"/>
      <c r="AK114" s="315" t="e">
        <f t="shared" si="31"/>
        <v>#N/A</v>
      </c>
      <c r="AM114" s="561"/>
      <c r="AN114" s="561"/>
      <c r="AO114" s="561"/>
    </row>
    <row r="115" spans="2:41">
      <c r="B115" s="296"/>
      <c r="C115" s="299"/>
      <c r="D115" s="296"/>
      <c r="E115" s="298"/>
      <c r="F115" s="299"/>
      <c r="G115" s="300"/>
      <c r="H115" s="303"/>
      <c r="I115" s="303"/>
      <c r="J115" s="322">
        <f t="shared" si="17"/>
        <v>0</v>
      </c>
      <c r="K115" s="305" t="e">
        <f>IF(F115="MXN",1/HLOOKUP(YEAR(G115)+(MONTH(G115)/100),TC!$5:$37,DAY(G115)+2,FALSE),VLOOKUP(F115,Equivalencia!$5:$23,((MAX(Equivalencia!$3:$3)-YEAR(G115))*14)+MONTH(G115)+2,FALSE))</f>
        <v>#N/A</v>
      </c>
      <c r="L115" s="306" t="e">
        <f t="shared" si="20"/>
        <v>#N/A</v>
      </c>
      <c r="M115" s="305">
        <f>IF(G115=0,0,HLOOKUP(YEAR(G115)+(MONTH(G115)/100),TC!$5:$37,DAY(G115)+2,FALSE))</f>
        <v>0</v>
      </c>
      <c r="N115" s="306" t="e">
        <f t="shared" si="21"/>
        <v>#N/A</v>
      </c>
      <c r="O115" s="308">
        <f>IF(G115=0,0,VLOOKUP(YEAR(G115),INPC!$B$4:$P$30,MONTH(G115)+2))</f>
        <v>0</v>
      </c>
      <c r="P115" s="308">
        <f>IF(W115=0,0,IF(OR(C115=$AQ$5,C115=AQ119),VLOOKUP(YEAR(W115),INPC!$B$4:$P$30,MONTH(W115)+1),VLOOKUP(YEAR(W115),INPC!$B$4:$P$30,MONTH(W115)+2)))</f>
        <v>0</v>
      </c>
      <c r="Q115" s="309">
        <f t="shared" si="22"/>
        <v>0</v>
      </c>
      <c r="R115" s="310" t="e">
        <f t="shared" si="23"/>
        <v>#N/A</v>
      </c>
      <c r="S115" s="310">
        <f t="shared" si="24"/>
        <v>0</v>
      </c>
      <c r="T115" s="567" t="str">
        <f t="shared" si="25"/>
        <v>NO</v>
      </c>
      <c r="U115" s="323"/>
      <c r="V115" s="299"/>
      <c r="W115" s="300"/>
      <c r="X115" s="299"/>
      <c r="Y115" s="303"/>
      <c r="Z115" s="305">
        <f>IF(Y115=0,0,IF(X115="MXN",1/HLOOKUP(YEAR(W115)+(MONTH(W115)/100),TC!$5:$37,DAY(W115)+2,FALSE),VLOOKUP(X115,Equivalencia!$1:$23,((MAX(Equivalencia!$3:$3)-YEAR(W115))*14)+MONTH(W115)+2,FALSE)))</f>
        <v>0</v>
      </c>
      <c r="AA115" s="306">
        <f t="shared" si="26"/>
        <v>0</v>
      </c>
      <c r="AB115" s="305">
        <f>+IF(W115=0,0,HLOOKUP(YEAR(W115)+(MONTH(W115)/100),TC!$5:$37,DAY(W115)+2,FALSE))</f>
        <v>0</v>
      </c>
      <c r="AC115" s="306">
        <f t="shared" si="27"/>
        <v>0</v>
      </c>
      <c r="AD115" s="314">
        <f t="shared" si="18"/>
        <v>0</v>
      </c>
      <c r="AE115" s="315">
        <f t="shared" si="28"/>
        <v>0</v>
      </c>
      <c r="AF115" s="316">
        <f t="shared" si="19"/>
        <v>0</v>
      </c>
      <c r="AG115" s="314">
        <v>1</v>
      </c>
      <c r="AH115" s="314">
        <f t="shared" si="29"/>
        <v>0</v>
      </c>
      <c r="AI115" s="314">
        <f t="shared" si="30"/>
        <v>0</v>
      </c>
      <c r="AJ115" s="317"/>
      <c r="AK115" s="315" t="e">
        <f t="shared" si="31"/>
        <v>#N/A</v>
      </c>
      <c r="AM115" s="561"/>
      <c r="AN115" s="561"/>
      <c r="AO115" s="561"/>
    </row>
    <row r="116" spans="2:41">
      <c r="B116" s="296"/>
      <c r="C116" s="299"/>
      <c r="D116" s="296"/>
      <c r="E116" s="298"/>
      <c r="F116" s="299"/>
      <c r="G116" s="300"/>
      <c r="H116" s="303"/>
      <c r="I116" s="303"/>
      <c r="J116" s="322">
        <f t="shared" si="17"/>
        <v>0</v>
      </c>
      <c r="K116" s="305" t="e">
        <f>IF(F116="MXN",1/HLOOKUP(YEAR(G116)+(MONTH(G116)/100),TC!$5:$37,DAY(G116)+2,FALSE),VLOOKUP(F116,Equivalencia!$5:$23,((MAX(Equivalencia!$3:$3)-YEAR(G116))*14)+MONTH(G116)+2,FALSE))</f>
        <v>#N/A</v>
      </c>
      <c r="L116" s="306" t="e">
        <f t="shared" si="20"/>
        <v>#N/A</v>
      </c>
      <c r="M116" s="305">
        <f>IF(G116=0,0,HLOOKUP(YEAR(G116)+(MONTH(G116)/100),TC!$5:$37,DAY(G116)+2,FALSE))</f>
        <v>0</v>
      </c>
      <c r="N116" s="306" t="e">
        <f t="shared" si="21"/>
        <v>#N/A</v>
      </c>
      <c r="O116" s="308">
        <f>IF(G116=0,0,VLOOKUP(YEAR(G116),INPC!$B$4:$P$30,MONTH(G116)+2))</f>
        <v>0</v>
      </c>
      <c r="P116" s="308">
        <f>IF(W116=0,0,IF(OR(C116=$AQ$5,C116=AQ120),VLOOKUP(YEAR(W116),INPC!$B$4:$P$30,MONTH(W116)+1),VLOOKUP(YEAR(W116),INPC!$B$4:$P$30,MONTH(W116)+2)))</f>
        <v>0</v>
      </c>
      <c r="Q116" s="309">
        <f t="shared" si="22"/>
        <v>0</v>
      </c>
      <c r="R116" s="310" t="e">
        <f t="shared" si="23"/>
        <v>#N/A</v>
      </c>
      <c r="S116" s="310">
        <f t="shared" si="24"/>
        <v>0</v>
      </c>
      <c r="T116" s="567" t="str">
        <f t="shared" si="25"/>
        <v>NO</v>
      </c>
      <c r="U116" s="323"/>
      <c r="V116" s="299"/>
      <c r="W116" s="300"/>
      <c r="X116" s="299"/>
      <c r="Y116" s="303"/>
      <c r="Z116" s="305">
        <f>IF(Y116=0,0,IF(X116="MXN",1/HLOOKUP(YEAR(W116)+(MONTH(W116)/100),TC!$5:$37,DAY(W116)+2,FALSE),VLOOKUP(X116,Equivalencia!$1:$23,((MAX(Equivalencia!$3:$3)-YEAR(W116))*14)+MONTH(W116)+2,FALSE)))</f>
        <v>0</v>
      </c>
      <c r="AA116" s="306">
        <f t="shared" si="26"/>
        <v>0</v>
      </c>
      <c r="AB116" s="305">
        <f>+IF(W116=0,0,HLOOKUP(YEAR(W116)+(MONTH(W116)/100),TC!$5:$37,DAY(W116)+2,FALSE))</f>
        <v>0</v>
      </c>
      <c r="AC116" s="306">
        <f t="shared" si="27"/>
        <v>0</v>
      </c>
      <c r="AD116" s="314">
        <f t="shared" si="18"/>
        <v>0</v>
      </c>
      <c r="AE116" s="315">
        <f t="shared" si="28"/>
        <v>0</v>
      </c>
      <c r="AF116" s="316">
        <f t="shared" si="19"/>
        <v>0</v>
      </c>
      <c r="AG116" s="314">
        <v>1</v>
      </c>
      <c r="AH116" s="314">
        <f t="shared" si="29"/>
        <v>0</v>
      </c>
      <c r="AI116" s="314">
        <f t="shared" si="30"/>
        <v>0</v>
      </c>
      <c r="AJ116" s="317"/>
      <c r="AK116" s="315" t="e">
        <f t="shared" si="31"/>
        <v>#N/A</v>
      </c>
      <c r="AM116" s="561"/>
      <c r="AN116" s="561"/>
      <c r="AO116" s="561"/>
    </row>
    <row r="117" spans="2:41">
      <c r="B117" s="296"/>
      <c r="C117" s="299"/>
      <c r="D117" s="296"/>
      <c r="E117" s="298"/>
      <c r="F117" s="299"/>
      <c r="G117" s="300"/>
      <c r="H117" s="303"/>
      <c r="I117" s="303"/>
      <c r="J117" s="322">
        <f t="shared" si="17"/>
        <v>0</v>
      </c>
      <c r="K117" s="305" t="e">
        <f>IF(F117="MXN",1/HLOOKUP(YEAR(G117)+(MONTH(G117)/100),TC!$5:$37,DAY(G117)+2,FALSE),VLOOKUP(F117,Equivalencia!$5:$23,((MAX(Equivalencia!$3:$3)-YEAR(G117))*14)+MONTH(G117)+2,FALSE))</f>
        <v>#N/A</v>
      </c>
      <c r="L117" s="306" t="e">
        <f t="shared" si="20"/>
        <v>#N/A</v>
      </c>
      <c r="M117" s="305">
        <f>IF(G117=0,0,HLOOKUP(YEAR(G117)+(MONTH(G117)/100),TC!$5:$37,DAY(G117)+2,FALSE))</f>
        <v>0</v>
      </c>
      <c r="N117" s="306" t="e">
        <f t="shared" si="21"/>
        <v>#N/A</v>
      </c>
      <c r="O117" s="308">
        <f>IF(G117=0,0,VLOOKUP(YEAR(G117),INPC!$B$4:$P$30,MONTH(G117)+2))</f>
        <v>0</v>
      </c>
      <c r="P117" s="308">
        <f>IF(W117=0,0,IF(OR(C117=$AQ$5,C117=AQ121),VLOOKUP(YEAR(W117),INPC!$B$4:$P$30,MONTH(W117)+1),VLOOKUP(YEAR(W117),INPC!$B$4:$P$30,MONTH(W117)+2)))</f>
        <v>0</v>
      </c>
      <c r="Q117" s="309">
        <f t="shared" si="22"/>
        <v>0</v>
      </c>
      <c r="R117" s="310" t="e">
        <f t="shared" si="23"/>
        <v>#N/A</v>
      </c>
      <c r="S117" s="310">
        <f t="shared" si="24"/>
        <v>0</v>
      </c>
      <c r="T117" s="567" t="str">
        <f t="shared" si="25"/>
        <v>NO</v>
      </c>
      <c r="U117" s="323"/>
      <c r="V117" s="299"/>
      <c r="W117" s="300"/>
      <c r="X117" s="299"/>
      <c r="Y117" s="303"/>
      <c r="Z117" s="305">
        <f>IF(Y117=0,0,IF(X117="MXN",1/HLOOKUP(YEAR(W117)+(MONTH(W117)/100),TC!$5:$37,DAY(W117)+2,FALSE),VLOOKUP(X117,Equivalencia!$1:$23,((MAX(Equivalencia!$3:$3)-YEAR(W117))*14)+MONTH(W117)+2,FALSE)))</f>
        <v>0</v>
      </c>
      <c r="AA117" s="306">
        <f t="shared" si="26"/>
        <v>0</v>
      </c>
      <c r="AB117" s="305">
        <f>+IF(W117=0,0,HLOOKUP(YEAR(W117)+(MONTH(W117)/100),TC!$5:$37,DAY(W117)+2,FALSE))</f>
        <v>0</v>
      </c>
      <c r="AC117" s="306">
        <f t="shared" si="27"/>
        <v>0</v>
      </c>
      <c r="AD117" s="314">
        <f t="shared" si="18"/>
        <v>0</v>
      </c>
      <c r="AE117" s="315">
        <f t="shared" si="28"/>
        <v>0</v>
      </c>
      <c r="AF117" s="316">
        <f t="shared" si="19"/>
        <v>0</v>
      </c>
      <c r="AG117" s="314">
        <v>1</v>
      </c>
      <c r="AH117" s="314">
        <f t="shared" si="29"/>
        <v>0</v>
      </c>
      <c r="AI117" s="314">
        <f t="shared" si="30"/>
        <v>0</v>
      </c>
      <c r="AJ117" s="317"/>
      <c r="AK117" s="315" t="e">
        <f t="shared" si="31"/>
        <v>#N/A</v>
      </c>
      <c r="AM117" s="561"/>
      <c r="AN117" s="561"/>
      <c r="AO117" s="561"/>
    </row>
    <row r="118" spans="2:41">
      <c r="B118" s="296"/>
      <c r="C118" s="299"/>
      <c r="D118" s="296"/>
      <c r="E118" s="298"/>
      <c r="F118" s="299"/>
      <c r="G118" s="300"/>
      <c r="H118" s="303"/>
      <c r="I118" s="303"/>
      <c r="J118" s="322">
        <f t="shared" si="17"/>
        <v>0</v>
      </c>
      <c r="K118" s="305" t="e">
        <f>IF(F118="MXN",1/HLOOKUP(YEAR(G118)+(MONTH(G118)/100),TC!$5:$37,DAY(G118)+2,FALSE),VLOOKUP(F118,Equivalencia!$5:$23,((MAX(Equivalencia!$3:$3)-YEAR(G118))*14)+MONTH(G118)+2,FALSE))</f>
        <v>#N/A</v>
      </c>
      <c r="L118" s="306" t="e">
        <f t="shared" si="20"/>
        <v>#N/A</v>
      </c>
      <c r="M118" s="305">
        <f>IF(G118=0,0,HLOOKUP(YEAR(G118)+(MONTH(G118)/100),TC!$5:$37,DAY(G118)+2,FALSE))</f>
        <v>0</v>
      </c>
      <c r="N118" s="306" t="e">
        <f t="shared" si="21"/>
        <v>#N/A</v>
      </c>
      <c r="O118" s="308">
        <f>IF(G118=0,0,VLOOKUP(YEAR(G118),INPC!$B$4:$P$30,MONTH(G118)+2))</f>
        <v>0</v>
      </c>
      <c r="P118" s="308">
        <f>IF(W118=0,0,IF(OR(C118=$AQ$5,C118=AQ122),VLOOKUP(YEAR(W118),INPC!$B$4:$P$30,MONTH(W118)+1),VLOOKUP(YEAR(W118),INPC!$B$4:$P$30,MONTH(W118)+2)))</f>
        <v>0</v>
      </c>
      <c r="Q118" s="309">
        <f t="shared" si="22"/>
        <v>0</v>
      </c>
      <c r="R118" s="310" t="e">
        <f t="shared" si="23"/>
        <v>#N/A</v>
      </c>
      <c r="S118" s="310">
        <f t="shared" si="24"/>
        <v>0</v>
      </c>
      <c r="T118" s="567" t="str">
        <f t="shared" si="25"/>
        <v>NO</v>
      </c>
      <c r="U118" s="323"/>
      <c r="V118" s="299"/>
      <c r="W118" s="300"/>
      <c r="X118" s="299"/>
      <c r="Y118" s="303"/>
      <c r="Z118" s="305">
        <f>IF(Y118=0,0,IF(X118="MXN",1/HLOOKUP(YEAR(W118)+(MONTH(W118)/100),TC!$5:$37,DAY(W118)+2,FALSE),VLOOKUP(X118,Equivalencia!$1:$23,((MAX(Equivalencia!$3:$3)-YEAR(W118))*14)+MONTH(W118)+2,FALSE)))</f>
        <v>0</v>
      </c>
      <c r="AA118" s="306">
        <f t="shared" si="26"/>
        <v>0</v>
      </c>
      <c r="AB118" s="305">
        <f>+IF(W118=0,0,HLOOKUP(YEAR(W118)+(MONTH(W118)/100),TC!$5:$37,DAY(W118)+2,FALSE))</f>
        <v>0</v>
      </c>
      <c r="AC118" s="306">
        <f t="shared" si="27"/>
        <v>0</v>
      </c>
      <c r="AD118" s="314">
        <f t="shared" si="18"/>
        <v>0</v>
      </c>
      <c r="AE118" s="315">
        <f t="shared" si="28"/>
        <v>0</v>
      </c>
      <c r="AF118" s="316">
        <f t="shared" si="19"/>
        <v>0</v>
      </c>
      <c r="AG118" s="314">
        <v>1</v>
      </c>
      <c r="AH118" s="314">
        <f t="shared" si="29"/>
        <v>0</v>
      </c>
      <c r="AI118" s="314">
        <f t="shared" si="30"/>
        <v>0</v>
      </c>
      <c r="AJ118" s="317"/>
      <c r="AK118" s="315" t="e">
        <f t="shared" si="31"/>
        <v>#N/A</v>
      </c>
      <c r="AM118" s="561"/>
      <c r="AN118" s="561"/>
      <c r="AO118" s="561"/>
    </row>
    <row r="119" spans="2:41">
      <c r="B119" s="296"/>
      <c r="C119" s="299"/>
      <c r="D119" s="296"/>
      <c r="E119" s="298"/>
      <c r="F119" s="299"/>
      <c r="G119" s="300"/>
      <c r="H119" s="303"/>
      <c r="I119" s="303"/>
      <c r="J119" s="322">
        <f t="shared" si="17"/>
        <v>0</v>
      </c>
      <c r="K119" s="305" t="e">
        <f>IF(F119="MXN",1/HLOOKUP(YEAR(G119)+(MONTH(G119)/100),TC!$5:$37,DAY(G119)+2,FALSE),VLOOKUP(F119,Equivalencia!$5:$23,((MAX(Equivalencia!$3:$3)-YEAR(G119))*14)+MONTH(G119)+2,FALSE))</f>
        <v>#N/A</v>
      </c>
      <c r="L119" s="306" t="e">
        <f t="shared" si="20"/>
        <v>#N/A</v>
      </c>
      <c r="M119" s="305">
        <f>IF(G119=0,0,HLOOKUP(YEAR(G119)+(MONTH(G119)/100),TC!$5:$37,DAY(G119)+2,FALSE))</f>
        <v>0</v>
      </c>
      <c r="N119" s="306" t="e">
        <f t="shared" si="21"/>
        <v>#N/A</v>
      </c>
      <c r="O119" s="308">
        <f>IF(G119=0,0,VLOOKUP(YEAR(G119),INPC!$B$4:$P$30,MONTH(G119)+2))</f>
        <v>0</v>
      </c>
      <c r="P119" s="308">
        <f>IF(W119=0,0,IF(OR(C119=$AQ$5,C119=AQ123),VLOOKUP(YEAR(W119),INPC!$B$4:$P$30,MONTH(W119)+1),VLOOKUP(YEAR(W119),INPC!$B$4:$P$30,MONTH(W119)+2)))</f>
        <v>0</v>
      </c>
      <c r="Q119" s="309">
        <f t="shared" si="22"/>
        <v>0</v>
      </c>
      <c r="R119" s="310" t="e">
        <f t="shared" si="23"/>
        <v>#N/A</v>
      </c>
      <c r="S119" s="310">
        <f t="shared" si="24"/>
        <v>0</v>
      </c>
      <c r="T119" s="567" t="str">
        <f t="shared" si="25"/>
        <v>NO</v>
      </c>
      <c r="U119" s="323"/>
      <c r="V119" s="299"/>
      <c r="W119" s="300"/>
      <c r="X119" s="299"/>
      <c r="Y119" s="303"/>
      <c r="Z119" s="305">
        <f>IF(Y119=0,0,IF(X119="MXN",1/HLOOKUP(YEAR(W119)+(MONTH(W119)/100),TC!$5:$37,DAY(W119)+2,FALSE),VLOOKUP(X119,Equivalencia!$1:$23,((MAX(Equivalencia!$3:$3)-YEAR(W119))*14)+MONTH(W119)+2,FALSE)))</f>
        <v>0</v>
      </c>
      <c r="AA119" s="306">
        <f t="shared" si="26"/>
        <v>0</v>
      </c>
      <c r="AB119" s="305">
        <f>+IF(W119=0,0,HLOOKUP(YEAR(W119)+(MONTH(W119)/100),TC!$5:$37,DAY(W119)+2,FALSE))</f>
        <v>0</v>
      </c>
      <c r="AC119" s="306">
        <f t="shared" si="27"/>
        <v>0</v>
      </c>
      <c r="AD119" s="314">
        <f t="shared" si="18"/>
        <v>0</v>
      </c>
      <c r="AE119" s="315">
        <f t="shared" si="28"/>
        <v>0</v>
      </c>
      <c r="AF119" s="316">
        <f t="shared" si="19"/>
        <v>0</v>
      </c>
      <c r="AG119" s="314">
        <v>1</v>
      </c>
      <c r="AH119" s="314">
        <f t="shared" si="29"/>
        <v>0</v>
      </c>
      <c r="AI119" s="314">
        <f t="shared" si="30"/>
        <v>0</v>
      </c>
      <c r="AJ119" s="317"/>
      <c r="AK119" s="315" t="e">
        <f t="shared" si="31"/>
        <v>#N/A</v>
      </c>
      <c r="AM119" s="561"/>
      <c r="AN119" s="561"/>
      <c r="AO119" s="561"/>
    </row>
    <row r="120" spans="2:41">
      <c r="B120" s="296"/>
      <c r="C120" s="299"/>
      <c r="D120" s="296"/>
      <c r="E120" s="298"/>
      <c r="F120" s="299"/>
      <c r="G120" s="300"/>
      <c r="H120" s="303"/>
      <c r="I120" s="303"/>
      <c r="J120" s="322">
        <f t="shared" si="17"/>
        <v>0</v>
      </c>
      <c r="K120" s="305" t="e">
        <f>IF(F120="MXN",1/HLOOKUP(YEAR(G120)+(MONTH(G120)/100),TC!$5:$37,DAY(G120)+2,FALSE),VLOOKUP(F120,Equivalencia!$5:$23,((MAX(Equivalencia!$3:$3)-YEAR(G120))*14)+MONTH(G120)+2,FALSE))</f>
        <v>#N/A</v>
      </c>
      <c r="L120" s="306" t="e">
        <f t="shared" si="20"/>
        <v>#N/A</v>
      </c>
      <c r="M120" s="305">
        <f>IF(G120=0,0,HLOOKUP(YEAR(G120)+(MONTH(G120)/100),TC!$5:$37,DAY(G120)+2,FALSE))</f>
        <v>0</v>
      </c>
      <c r="N120" s="306" t="e">
        <f t="shared" si="21"/>
        <v>#N/A</v>
      </c>
      <c r="O120" s="308">
        <f>IF(G120=0,0,VLOOKUP(YEAR(G120),INPC!$B$4:$P$30,MONTH(G120)+2))</f>
        <v>0</v>
      </c>
      <c r="P120" s="308">
        <f>IF(W120=0,0,IF(OR(C120=$AQ$5,C120=AQ124),VLOOKUP(YEAR(W120),INPC!$B$4:$P$30,MONTH(W120)+1),VLOOKUP(YEAR(W120),INPC!$B$4:$P$30,MONTH(W120)+2)))</f>
        <v>0</v>
      </c>
      <c r="Q120" s="309">
        <f t="shared" si="22"/>
        <v>0</v>
      </c>
      <c r="R120" s="310" t="e">
        <f t="shared" si="23"/>
        <v>#N/A</v>
      </c>
      <c r="S120" s="310">
        <f t="shared" si="24"/>
        <v>0</v>
      </c>
      <c r="T120" s="567" t="str">
        <f t="shared" si="25"/>
        <v>NO</v>
      </c>
      <c r="U120" s="323"/>
      <c r="V120" s="299"/>
      <c r="W120" s="300"/>
      <c r="X120" s="299"/>
      <c r="Y120" s="303"/>
      <c r="Z120" s="305">
        <f>IF(Y120=0,0,IF(X120="MXN",1/HLOOKUP(YEAR(W120)+(MONTH(W120)/100),TC!$5:$37,DAY(W120)+2,FALSE),VLOOKUP(X120,Equivalencia!$1:$23,((MAX(Equivalencia!$3:$3)-YEAR(W120))*14)+MONTH(W120)+2,FALSE)))</f>
        <v>0</v>
      </c>
      <c r="AA120" s="306">
        <f t="shared" si="26"/>
        <v>0</v>
      </c>
      <c r="AB120" s="305">
        <f>+IF(W120=0,0,HLOOKUP(YEAR(W120)+(MONTH(W120)/100),TC!$5:$37,DAY(W120)+2,FALSE))</f>
        <v>0</v>
      </c>
      <c r="AC120" s="306">
        <f t="shared" si="27"/>
        <v>0</v>
      </c>
      <c r="AD120" s="314">
        <f t="shared" si="18"/>
        <v>0</v>
      </c>
      <c r="AE120" s="315">
        <f t="shared" si="28"/>
        <v>0</v>
      </c>
      <c r="AF120" s="316">
        <f t="shared" si="19"/>
        <v>0</v>
      </c>
      <c r="AG120" s="314">
        <v>1</v>
      </c>
      <c r="AH120" s="314">
        <f t="shared" si="29"/>
        <v>0</v>
      </c>
      <c r="AI120" s="314">
        <f t="shared" si="30"/>
        <v>0</v>
      </c>
      <c r="AJ120" s="317"/>
      <c r="AK120" s="315" t="e">
        <f t="shared" si="31"/>
        <v>#N/A</v>
      </c>
      <c r="AM120" s="561"/>
      <c r="AN120" s="561"/>
      <c r="AO120" s="561"/>
    </row>
    <row r="121" spans="2:41">
      <c r="B121" s="296"/>
      <c r="C121" s="299"/>
      <c r="D121" s="296"/>
      <c r="E121" s="298"/>
      <c r="F121" s="299"/>
      <c r="G121" s="300"/>
      <c r="H121" s="303"/>
      <c r="I121" s="303"/>
      <c r="J121" s="322">
        <f t="shared" si="17"/>
        <v>0</v>
      </c>
      <c r="K121" s="305" t="e">
        <f>IF(F121="MXN",1/HLOOKUP(YEAR(G121)+(MONTH(G121)/100),TC!$5:$37,DAY(G121)+2,FALSE),VLOOKUP(F121,Equivalencia!$5:$23,((MAX(Equivalencia!$3:$3)-YEAR(G121))*14)+MONTH(G121)+2,FALSE))</f>
        <v>#N/A</v>
      </c>
      <c r="L121" s="306" t="e">
        <f t="shared" si="20"/>
        <v>#N/A</v>
      </c>
      <c r="M121" s="305">
        <f>IF(G121=0,0,HLOOKUP(YEAR(G121)+(MONTH(G121)/100),TC!$5:$37,DAY(G121)+2,FALSE))</f>
        <v>0</v>
      </c>
      <c r="N121" s="306" t="e">
        <f t="shared" si="21"/>
        <v>#N/A</v>
      </c>
      <c r="O121" s="308">
        <f>IF(G121=0,0,VLOOKUP(YEAR(G121),INPC!$B$4:$P$30,MONTH(G121)+2))</f>
        <v>0</v>
      </c>
      <c r="P121" s="308">
        <f>IF(W121=0,0,IF(OR(C121=$AQ$5,C121=AQ125),VLOOKUP(YEAR(W121),INPC!$B$4:$P$30,MONTH(W121)+1),VLOOKUP(YEAR(W121),INPC!$B$4:$P$30,MONTH(W121)+2)))</f>
        <v>0</v>
      </c>
      <c r="Q121" s="309">
        <f t="shared" si="22"/>
        <v>0</v>
      </c>
      <c r="R121" s="310" t="e">
        <f t="shared" si="23"/>
        <v>#N/A</v>
      </c>
      <c r="S121" s="310">
        <f t="shared" si="24"/>
        <v>0</v>
      </c>
      <c r="T121" s="567" t="str">
        <f t="shared" si="25"/>
        <v>NO</v>
      </c>
      <c r="U121" s="323"/>
      <c r="V121" s="299"/>
      <c r="W121" s="300"/>
      <c r="X121" s="299"/>
      <c r="Y121" s="303"/>
      <c r="Z121" s="305">
        <f>IF(Y121=0,0,IF(X121="MXN",1/HLOOKUP(YEAR(W121)+(MONTH(W121)/100),TC!$5:$37,DAY(W121)+2,FALSE),VLOOKUP(X121,Equivalencia!$1:$23,((MAX(Equivalencia!$3:$3)-YEAR(W121))*14)+MONTH(W121)+2,FALSE)))</f>
        <v>0</v>
      </c>
      <c r="AA121" s="306">
        <f t="shared" si="26"/>
        <v>0</v>
      </c>
      <c r="AB121" s="305">
        <f>+IF(W121=0,0,HLOOKUP(YEAR(W121)+(MONTH(W121)/100),TC!$5:$37,DAY(W121)+2,FALSE))</f>
        <v>0</v>
      </c>
      <c r="AC121" s="306">
        <f t="shared" si="27"/>
        <v>0</v>
      </c>
      <c r="AD121" s="314">
        <f t="shared" si="18"/>
        <v>0</v>
      </c>
      <c r="AE121" s="315">
        <f t="shared" si="28"/>
        <v>0</v>
      </c>
      <c r="AF121" s="316">
        <f t="shared" si="19"/>
        <v>0</v>
      </c>
      <c r="AG121" s="314">
        <v>1</v>
      </c>
      <c r="AH121" s="314">
        <f t="shared" si="29"/>
        <v>0</v>
      </c>
      <c r="AI121" s="314">
        <f t="shared" si="30"/>
        <v>0</v>
      </c>
      <c r="AJ121" s="317"/>
      <c r="AK121" s="315" t="e">
        <f t="shared" si="31"/>
        <v>#N/A</v>
      </c>
      <c r="AM121" s="561"/>
      <c r="AN121" s="561"/>
      <c r="AO121" s="561"/>
    </row>
    <row r="122" spans="2:41">
      <c r="B122" s="296"/>
      <c r="C122" s="299"/>
      <c r="D122" s="296"/>
      <c r="E122" s="298"/>
      <c r="F122" s="299"/>
      <c r="G122" s="300"/>
      <c r="H122" s="303"/>
      <c r="I122" s="303"/>
      <c r="J122" s="322">
        <f t="shared" si="17"/>
        <v>0</v>
      </c>
      <c r="K122" s="305" t="e">
        <f>IF(F122="MXN",1/HLOOKUP(YEAR(G122)+(MONTH(G122)/100),TC!$5:$37,DAY(G122)+2,FALSE),VLOOKUP(F122,Equivalencia!$5:$23,((MAX(Equivalencia!$3:$3)-YEAR(G122))*14)+MONTH(G122)+2,FALSE))</f>
        <v>#N/A</v>
      </c>
      <c r="L122" s="306" t="e">
        <f t="shared" si="20"/>
        <v>#N/A</v>
      </c>
      <c r="M122" s="305">
        <f>IF(G122=0,0,HLOOKUP(YEAR(G122)+(MONTH(G122)/100),TC!$5:$37,DAY(G122)+2,FALSE))</f>
        <v>0</v>
      </c>
      <c r="N122" s="306" t="e">
        <f t="shared" si="21"/>
        <v>#N/A</v>
      </c>
      <c r="O122" s="308">
        <f>IF(G122=0,0,VLOOKUP(YEAR(G122),INPC!$B$4:$P$30,MONTH(G122)+2))</f>
        <v>0</v>
      </c>
      <c r="P122" s="308">
        <f>IF(W122=0,0,IF(OR(C122=$AQ$5,C122=AQ126),VLOOKUP(YEAR(W122),INPC!$B$4:$P$30,MONTH(W122)+1),VLOOKUP(YEAR(W122),INPC!$B$4:$P$30,MONTH(W122)+2)))</f>
        <v>0</v>
      </c>
      <c r="Q122" s="309">
        <f t="shared" si="22"/>
        <v>0</v>
      </c>
      <c r="R122" s="310" t="e">
        <f t="shared" si="23"/>
        <v>#N/A</v>
      </c>
      <c r="S122" s="310">
        <f t="shared" si="24"/>
        <v>0</v>
      </c>
      <c r="T122" s="567" t="str">
        <f t="shared" si="25"/>
        <v>NO</v>
      </c>
      <c r="U122" s="323"/>
      <c r="V122" s="299"/>
      <c r="W122" s="300"/>
      <c r="X122" s="299"/>
      <c r="Y122" s="303"/>
      <c r="Z122" s="305">
        <f>IF(Y122=0,0,IF(X122="MXN",1/HLOOKUP(YEAR(W122)+(MONTH(W122)/100),TC!$5:$37,DAY(W122)+2,FALSE),VLOOKUP(X122,Equivalencia!$1:$23,((MAX(Equivalencia!$3:$3)-YEAR(W122))*14)+MONTH(W122)+2,FALSE)))</f>
        <v>0</v>
      </c>
      <c r="AA122" s="306">
        <f t="shared" si="26"/>
        <v>0</v>
      </c>
      <c r="AB122" s="305">
        <f>+IF(W122=0,0,HLOOKUP(YEAR(W122)+(MONTH(W122)/100),TC!$5:$37,DAY(W122)+2,FALSE))</f>
        <v>0</v>
      </c>
      <c r="AC122" s="306">
        <f t="shared" si="27"/>
        <v>0</v>
      </c>
      <c r="AD122" s="314">
        <f t="shared" si="18"/>
        <v>0</v>
      </c>
      <c r="AE122" s="315">
        <f t="shared" si="28"/>
        <v>0</v>
      </c>
      <c r="AF122" s="316">
        <f t="shared" si="19"/>
        <v>0</v>
      </c>
      <c r="AG122" s="314">
        <v>1</v>
      </c>
      <c r="AH122" s="314">
        <f t="shared" si="29"/>
        <v>0</v>
      </c>
      <c r="AI122" s="314">
        <f t="shared" si="30"/>
        <v>0</v>
      </c>
      <c r="AJ122" s="317"/>
      <c r="AK122" s="315" t="e">
        <f t="shared" si="31"/>
        <v>#N/A</v>
      </c>
      <c r="AM122" s="561"/>
      <c r="AN122" s="561"/>
      <c r="AO122" s="561"/>
    </row>
    <row r="123" spans="2:41">
      <c r="B123" s="296"/>
      <c r="C123" s="299"/>
      <c r="D123" s="296"/>
      <c r="E123" s="298"/>
      <c r="F123" s="299"/>
      <c r="G123" s="300"/>
      <c r="H123" s="303"/>
      <c r="I123" s="303"/>
      <c r="J123" s="322">
        <f t="shared" si="17"/>
        <v>0</v>
      </c>
      <c r="K123" s="305" t="e">
        <f>IF(F123="MXN",1/HLOOKUP(YEAR(G123)+(MONTH(G123)/100),TC!$5:$37,DAY(G123)+2,FALSE),VLOOKUP(F123,Equivalencia!$5:$23,((MAX(Equivalencia!$3:$3)-YEAR(G123))*14)+MONTH(G123)+2,FALSE))</f>
        <v>#N/A</v>
      </c>
      <c r="L123" s="306" t="e">
        <f t="shared" si="20"/>
        <v>#N/A</v>
      </c>
      <c r="M123" s="305">
        <f>IF(G123=0,0,HLOOKUP(YEAR(G123)+(MONTH(G123)/100),TC!$5:$37,DAY(G123)+2,FALSE))</f>
        <v>0</v>
      </c>
      <c r="N123" s="306" t="e">
        <f t="shared" si="21"/>
        <v>#N/A</v>
      </c>
      <c r="O123" s="308">
        <f>IF(G123=0,0,VLOOKUP(YEAR(G123),INPC!$B$4:$P$30,MONTH(G123)+2))</f>
        <v>0</v>
      </c>
      <c r="P123" s="308">
        <f>IF(W123=0,0,IF(OR(C123=$AQ$5,C123=AQ127),VLOOKUP(YEAR(W123),INPC!$B$4:$P$30,MONTH(W123)+1),VLOOKUP(YEAR(W123),INPC!$B$4:$P$30,MONTH(W123)+2)))</f>
        <v>0</v>
      </c>
      <c r="Q123" s="309">
        <f t="shared" si="22"/>
        <v>0</v>
      </c>
      <c r="R123" s="310" t="e">
        <f t="shared" si="23"/>
        <v>#N/A</v>
      </c>
      <c r="S123" s="310">
        <f t="shared" si="24"/>
        <v>0</v>
      </c>
      <c r="T123" s="567" t="str">
        <f t="shared" si="25"/>
        <v>NO</v>
      </c>
      <c r="U123" s="323"/>
      <c r="V123" s="299"/>
      <c r="W123" s="300"/>
      <c r="X123" s="299"/>
      <c r="Y123" s="303"/>
      <c r="Z123" s="305">
        <f>IF(Y123=0,0,IF(X123="MXN",1/HLOOKUP(YEAR(W123)+(MONTH(W123)/100),TC!$5:$37,DAY(W123)+2,FALSE),VLOOKUP(X123,Equivalencia!$1:$23,((MAX(Equivalencia!$3:$3)-YEAR(W123))*14)+MONTH(W123)+2,FALSE)))</f>
        <v>0</v>
      </c>
      <c r="AA123" s="306">
        <f t="shared" si="26"/>
        <v>0</v>
      </c>
      <c r="AB123" s="305">
        <f>+IF(W123=0,0,HLOOKUP(YEAR(W123)+(MONTH(W123)/100),TC!$5:$37,DAY(W123)+2,FALSE))</f>
        <v>0</v>
      </c>
      <c r="AC123" s="306">
        <f t="shared" si="27"/>
        <v>0</v>
      </c>
      <c r="AD123" s="314">
        <f t="shared" si="18"/>
        <v>0</v>
      </c>
      <c r="AE123" s="315">
        <f t="shared" si="28"/>
        <v>0</v>
      </c>
      <c r="AF123" s="316">
        <f t="shared" si="19"/>
        <v>0</v>
      </c>
      <c r="AG123" s="314">
        <v>1</v>
      </c>
      <c r="AH123" s="314">
        <f t="shared" si="29"/>
        <v>0</v>
      </c>
      <c r="AI123" s="314">
        <f t="shared" si="30"/>
        <v>0</v>
      </c>
      <c r="AJ123" s="317"/>
      <c r="AK123" s="315" t="e">
        <f t="shared" si="31"/>
        <v>#N/A</v>
      </c>
      <c r="AM123" s="561"/>
      <c r="AN123" s="561"/>
      <c r="AO123" s="561"/>
    </row>
    <row r="124" spans="2:41">
      <c r="B124" s="296"/>
      <c r="C124" s="299"/>
      <c r="D124" s="296"/>
      <c r="E124" s="298"/>
      <c r="F124" s="299"/>
      <c r="G124" s="300"/>
      <c r="H124" s="303"/>
      <c r="I124" s="303"/>
      <c r="J124" s="322">
        <f t="shared" si="17"/>
        <v>0</v>
      </c>
      <c r="K124" s="305" t="e">
        <f>IF(F124="MXN",1/HLOOKUP(YEAR(G124)+(MONTH(G124)/100),TC!$5:$37,DAY(G124)+2,FALSE),VLOOKUP(F124,Equivalencia!$5:$23,((MAX(Equivalencia!$3:$3)-YEAR(G124))*14)+MONTH(G124)+2,FALSE))</f>
        <v>#N/A</v>
      </c>
      <c r="L124" s="306" t="e">
        <f t="shared" si="20"/>
        <v>#N/A</v>
      </c>
      <c r="M124" s="305">
        <f>IF(G124=0,0,HLOOKUP(YEAR(G124)+(MONTH(G124)/100),TC!$5:$37,DAY(G124)+2,FALSE))</f>
        <v>0</v>
      </c>
      <c r="N124" s="306" t="e">
        <f t="shared" si="21"/>
        <v>#N/A</v>
      </c>
      <c r="O124" s="308">
        <f>IF(G124=0,0,VLOOKUP(YEAR(G124),INPC!$B$4:$P$30,MONTH(G124)+2))</f>
        <v>0</v>
      </c>
      <c r="P124" s="308">
        <f>IF(W124=0,0,IF(OR(C124=$AQ$5,C124=AQ128),VLOOKUP(YEAR(W124),INPC!$B$4:$P$30,MONTH(W124)+1),VLOOKUP(YEAR(W124),INPC!$B$4:$P$30,MONTH(W124)+2)))</f>
        <v>0</v>
      </c>
      <c r="Q124" s="309">
        <f t="shared" si="22"/>
        <v>0</v>
      </c>
      <c r="R124" s="310" t="e">
        <f t="shared" si="23"/>
        <v>#N/A</v>
      </c>
      <c r="S124" s="310">
        <f t="shared" si="24"/>
        <v>0</v>
      </c>
      <c r="T124" s="567" t="str">
        <f t="shared" si="25"/>
        <v>NO</v>
      </c>
      <c r="U124" s="323"/>
      <c r="V124" s="299"/>
      <c r="W124" s="300"/>
      <c r="X124" s="299"/>
      <c r="Y124" s="303"/>
      <c r="Z124" s="305">
        <f>IF(Y124=0,0,IF(X124="MXN",1/HLOOKUP(YEAR(W124)+(MONTH(W124)/100),TC!$5:$37,DAY(W124)+2,FALSE),VLOOKUP(X124,Equivalencia!$1:$23,((MAX(Equivalencia!$3:$3)-YEAR(W124))*14)+MONTH(W124)+2,FALSE)))</f>
        <v>0</v>
      </c>
      <c r="AA124" s="306">
        <f t="shared" si="26"/>
        <v>0</v>
      </c>
      <c r="AB124" s="305">
        <f>+IF(W124=0,0,HLOOKUP(YEAR(W124)+(MONTH(W124)/100),TC!$5:$37,DAY(W124)+2,FALSE))</f>
        <v>0</v>
      </c>
      <c r="AC124" s="306">
        <f t="shared" si="27"/>
        <v>0</v>
      </c>
      <c r="AD124" s="314">
        <f t="shared" si="18"/>
        <v>0</v>
      </c>
      <c r="AE124" s="315">
        <f t="shared" si="28"/>
        <v>0</v>
      </c>
      <c r="AF124" s="316">
        <f t="shared" si="19"/>
        <v>0</v>
      </c>
      <c r="AG124" s="314">
        <v>1</v>
      </c>
      <c r="AH124" s="314">
        <f t="shared" si="29"/>
        <v>0</v>
      </c>
      <c r="AI124" s="314">
        <f t="shared" si="30"/>
        <v>0</v>
      </c>
      <c r="AJ124" s="317"/>
      <c r="AK124" s="315" t="e">
        <f t="shared" si="31"/>
        <v>#N/A</v>
      </c>
      <c r="AM124" s="561"/>
      <c r="AN124" s="561"/>
      <c r="AO124" s="561"/>
    </row>
    <row r="125" spans="2:41">
      <c r="B125" s="296"/>
      <c r="C125" s="299"/>
      <c r="D125" s="296"/>
      <c r="E125" s="298"/>
      <c r="F125" s="299"/>
      <c r="G125" s="300"/>
      <c r="H125" s="303"/>
      <c r="I125" s="303"/>
      <c r="J125" s="322">
        <f t="shared" si="17"/>
        <v>0</v>
      </c>
      <c r="K125" s="305" t="e">
        <f>IF(F125="MXN",1/HLOOKUP(YEAR(G125)+(MONTH(G125)/100),TC!$5:$37,DAY(G125)+2,FALSE),VLOOKUP(F125,Equivalencia!$5:$23,((MAX(Equivalencia!$3:$3)-YEAR(G125))*14)+MONTH(G125)+2,FALSE))</f>
        <v>#N/A</v>
      </c>
      <c r="L125" s="306" t="e">
        <f t="shared" si="20"/>
        <v>#N/A</v>
      </c>
      <c r="M125" s="305">
        <f>IF(G125=0,0,HLOOKUP(YEAR(G125)+(MONTH(G125)/100),TC!$5:$37,DAY(G125)+2,FALSE))</f>
        <v>0</v>
      </c>
      <c r="N125" s="306" t="e">
        <f t="shared" si="21"/>
        <v>#N/A</v>
      </c>
      <c r="O125" s="308">
        <f>IF(G125=0,0,VLOOKUP(YEAR(G125),INPC!$B$4:$P$30,MONTH(G125)+2))</f>
        <v>0</v>
      </c>
      <c r="P125" s="308">
        <f>IF(W125=0,0,IF(OR(C125=$AQ$5,C125=AQ129),VLOOKUP(YEAR(W125),INPC!$B$4:$P$30,MONTH(W125)+1),VLOOKUP(YEAR(W125),INPC!$B$4:$P$30,MONTH(W125)+2)))</f>
        <v>0</v>
      </c>
      <c r="Q125" s="309">
        <f t="shared" si="22"/>
        <v>0</v>
      </c>
      <c r="R125" s="310" t="e">
        <f t="shared" si="23"/>
        <v>#N/A</v>
      </c>
      <c r="S125" s="310">
        <f t="shared" si="24"/>
        <v>0</v>
      </c>
      <c r="T125" s="567" t="str">
        <f t="shared" si="25"/>
        <v>NO</v>
      </c>
      <c r="U125" s="323"/>
      <c r="V125" s="299"/>
      <c r="W125" s="300"/>
      <c r="X125" s="299"/>
      <c r="Y125" s="303"/>
      <c r="Z125" s="305">
        <f>IF(Y125=0,0,IF(X125="MXN",1/HLOOKUP(YEAR(W125)+(MONTH(W125)/100),TC!$5:$37,DAY(W125)+2,FALSE),VLOOKUP(X125,Equivalencia!$1:$23,((MAX(Equivalencia!$3:$3)-YEAR(W125))*14)+MONTH(W125)+2,FALSE)))</f>
        <v>0</v>
      </c>
      <c r="AA125" s="306">
        <f t="shared" si="26"/>
        <v>0</v>
      </c>
      <c r="AB125" s="305">
        <f>+IF(W125=0,0,HLOOKUP(YEAR(W125)+(MONTH(W125)/100),TC!$5:$37,DAY(W125)+2,FALSE))</f>
        <v>0</v>
      </c>
      <c r="AC125" s="306">
        <f t="shared" si="27"/>
        <v>0</v>
      </c>
      <c r="AD125" s="314">
        <f t="shared" si="18"/>
        <v>0</v>
      </c>
      <c r="AE125" s="315">
        <f t="shared" si="28"/>
        <v>0</v>
      </c>
      <c r="AF125" s="316">
        <f t="shared" si="19"/>
        <v>0</v>
      </c>
      <c r="AG125" s="314">
        <v>1</v>
      </c>
      <c r="AH125" s="314">
        <f t="shared" si="29"/>
        <v>0</v>
      </c>
      <c r="AI125" s="314">
        <f t="shared" si="30"/>
        <v>0</v>
      </c>
      <c r="AJ125" s="317"/>
      <c r="AK125" s="315" t="e">
        <f t="shared" si="31"/>
        <v>#N/A</v>
      </c>
      <c r="AM125" s="561"/>
      <c r="AN125" s="561"/>
      <c r="AO125" s="561"/>
    </row>
    <row r="126" spans="2:41">
      <c r="B126" s="296"/>
      <c r="C126" s="299"/>
      <c r="D126" s="296"/>
      <c r="E126" s="298"/>
      <c r="F126" s="299"/>
      <c r="G126" s="300"/>
      <c r="H126" s="303"/>
      <c r="I126" s="303"/>
      <c r="J126" s="322">
        <f t="shared" si="17"/>
        <v>0</v>
      </c>
      <c r="K126" s="305" t="e">
        <f>IF(F126="MXN",1/HLOOKUP(YEAR(G126)+(MONTH(G126)/100),TC!$5:$37,DAY(G126)+2,FALSE),VLOOKUP(F126,Equivalencia!$5:$23,((MAX(Equivalencia!$3:$3)-YEAR(G126))*14)+MONTH(G126)+2,FALSE))</f>
        <v>#N/A</v>
      </c>
      <c r="L126" s="306" t="e">
        <f t="shared" si="20"/>
        <v>#N/A</v>
      </c>
      <c r="M126" s="305">
        <f>IF(G126=0,0,HLOOKUP(YEAR(G126)+(MONTH(G126)/100),TC!$5:$37,DAY(G126)+2,FALSE))</f>
        <v>0</v>
      </c>
      <c r="N126" s="306" t="e">
        <f t="shared" si="21"/>
        <v>#N/A</v>
      </c>
      <c r="O126" s="308">
        <f>IF(G126=0,0,VLOOKUP(YEAR(G126),INPC!$B$4:$P$30,MONTH(G126)+2))</f>
        <v>0</v>
      </c>
      <c r="P126" s="308">
        <f>IF(W126=0,0,IF(OR(C126=$AQ$5,C126=AQ130),VLOOKUP(YEAR(W126),INPC!$B$4:$P$30,MONTH(W126)+1),VLOOKUP(YEAR(W126),INPC!$B$4:$P$30,MONTH(W126)+2)))</f>
        <v>0</v>
      </c>
      <c r="Q126" s="309">
        <f t="shared" si="22"/>
        <v>0</v>
      </c>
      <c r="R126" s="310" t="e">
        <f t="shared" si="23"/>
        <v>#N/A</v>
      </c>
      <c r="S126" s="310">
        <f t="shared" si="24"/>
        <v>0</v>
      </c>
      <c r="T126" s="567" t="str">
        <f t="shared" si="25"/>
        <v>NO</v>
      </c>
      <c r="U126" s="323"/>
      <c r="V126" s="299"/>
      <c r="W126" s="300"/>
      <c r="X126" s="299"/>
      <c r="Y126" s="303"/>
      <c r="Z126" s="305">
        <f>IF(Y126=0,0,IF(X126="MXN",1/HLOOKUP(YEAR(W126)+(MONTH(W126)/100),TC!$5:$37,DAY(W126)+2,FALSE),VLOOKUP(X126,Equivalencia!$1:$23,((MAX(Equivalencia!$3:$3)-YEAR(W126))*14)+MONTH(W126)+2,FALSE)))</f>
        <v>0</v>
      </c>
      <c r="AA126" s="306">
        <f t="shared" si="26"/>
        <v>0</v>
      </c>
      <c r="AB126" s="305">
        <f>+IF(W126=0,0,HLOOKUP(YEAR(W126)+(MONTH(W126)/100),TC!$5:$37,DAY(W126)+2,FALSE))</f>
        <v>0</v>
      </c>
      <c r="AC126" s="306">
        <f t="shared" si="27"/>
        <v>0</v>
      </c>
      <c r="AD126" s="314">
        <f t="shared" si="18"/>
        <v>0</v>
      </c>
      <c r="AE126" s="315">
        <f t="shared" si="28"/>
        <v>0</v>
      </c>
      <c r="AF126" s="316">
        <f t="shared" si="19"/>
        <v>0</v>
      </c>
      <c r="AG126" s="314">
        <v>1</v>
      </c>
      <c r="AH126" s="314">
        <f t="shared" si="29"/>
        <v>0</v>
      </c>
      <c r="AI126" s="314">
        <f t="shared" si="30"/>
        <v>0</v>
      </c>
      <c r="AJ126" s="317"/>
      <c r="AK126" s="315" t="e">
        <f t="shared" si="31"/>
        <v>#N/A</v>
      </c>
      <c r="AM126" s="561"/>
      <c r="AN126" s="561"/>
      <c r="AO126" s="561"/>
    </row>
    <row r="127" spans="2:41">
      <c r="B127" s="296"/>
      <c r="C127" s="299"/>
      <c r="D127" s="296"/>
      <c r="E127" s="298"/>
      <c r="F127" s="299"/>
      <c r="G127" s="300"/>
      <c r="H127" s="303"/>
      <c r="I127" s="303"/>
      <c r="J127" s="322">
        <f t="shared" si="17"/>
        <v>0</v>
      </c>
      <c r="K127" s="305" t="e">
        <f>IF(F127="MXN",1/HLOOKUP(YEAR(G127)+(MONTH(G127)/100),TC!$5:$37,DAY(G127)+2,FALSE),VLOOKUP(F127,Equivalencia!$5:$23,((MAX(Equivalencia!$3:$3)-YEAR(G127))*14)+MONTH(G127)+2,FALSE))</f>
        <v>#N/A</v>
      </c>
      <c r="L127" s="306" t="e">
        <f t="shared" si="20"/>
        <v>#N/A</v>
      </c>
      <c r="M127" s="305">
        <f>IF(G127=0,0,HLOOKUP(YEAR(G127)+(MONTH(G127)/100),TC!$5:$37,DAY(G127)+2,FALSE))</f>
        <v>0</v>
      </c>
      <c r="N127" s="306" t="e">
        <f t="shared" si="21"/>
        <v>#N/A</v>
      </c>
      <c r="O127" s="308">
        <f>IF(G127=0,0,VLOOKUP(YEAR(G127),INPC!$B$4:$P$30,MONTH(G127)+2))</f>
        <v>0</v>
      </c>
      <c r="P127" s="308">
        <f>IF(W127=0,0,IF(OR(C127=$AQ$5,C127=AQ131),VLOOKUP(YEAR(W127),INPC!$B$4:$P$30,MONTH(W127)+1),VLOOKUP(YEAR(W127),INPC!$B$4:$P$30,MONTH(W127)+2)))</f>
        <v>0</v>
      </c>
      <c r="Q127" s="309">
        <f t="shared" si="22"/>
        <v>0</v>
      </c>
      <c r="R127" s="310" t="e">
        <f t="shared" si="23"/>
        <v>#N/A</v>
      </c>
      <c r="S127" s="310">
        <f t="shared" si="24"/>
        <v>0</v>
      </c>
      <c r="T127" s="567" t="str">
        <f t="shared" si="25"/>
        <v>NO</v>
      </c>
      <c r="U127" s="323"/>
      <c r="V127" s="299"/>
      <c r="W127" s="300"/>
      <c r="X127" s="299"/>
      <c r="Y127" s="303"/>
      <c r="Z127" s="305">
        <f>IF(Y127=0,0,IF(X127="MXN",1/HLOOKUP(YEAR(W127)+(MONTH(W127)/100),TC!$5:$37,DAY(W127)+2,FALSE),VLOOKUP(X127,Equivalencia!$1:$23,((MAX(Equivalencia!$3:$3)-YEAR(W127))*14)+MONTH(W127)+2,FALSE)))</f>
        <v>0</v>
      </c>
      <c r="AA127" s="306">
        <f t="shared" si="26"/>
        <v>0</v>
      </c>
      <c r="AB127" s="305">
        <f>+IF(W127=0,0,HLOOKUP(YEAR(W127)+(MONTH(W127)/100),TC!$5:$37,DAY(W127)+2,FALSE))</f>
        <v>0</v>
      </c>
      <c r="AC127" s="306">
        <f t="shared" si="27"/>
        <v>0</v>
      </c>
      <c r="AD127" s="314">
        <f t="shared" si="18"/>
        <v>0</v>
      </c>
      <c r="AE127" s="315">
        <f t="shared" si="28"/>
        <v>0</v>
      </c>
      <c r="AF127" s="316">
        <f t="shared" si="19"/>
        <v>0</v>
      </c>
      <c r="AG127" s="314">
        <v>1</v>
      </c>
      <c r="AH127" s="314">
        <f t="shared" si="29"/>
        <v>0</v>
      </c>
      <c r="AI127" s="314">
        <f t="shared" si="30"/>
        <v>0</v>
      </c>
      <c r="AJ127" s="317"/>
      <c r="AK127" s="315" t="e">
        <f t="shared" si="31"/>
        <v>#N/A</v>
      </c>
      <c r="AM127" s="561"/>
      <c r="AN127" s="561"/>
      <c r="AO127" s="561"/>
    </row>
    <row r="128" spans="2:41">
      <c r="B128" s="296"/>
      <c r="C128" s="299"/>
      <c r="D128" s="296"/>
      <c r="E128" s="298"/>
      <c r="F128" s="299"/>
      <c r="G128" s="300"/>
      <c r="H128" s="303"/>
      <c r="I128" s="303"/>
      <c r="J128" s="322">
        <f t="shared" si="17"/>
        <v>0</v>
      </c>
      <c r="K128" s="305" t="e">
        <f>IF(F128="MXN",1/HLOOKUP(YEAR(G128)+(MONTH(G128)/100),TC!$5:$37,DAY(G128)+2,FALSE),VLOOKUP(F128,Equivalencia!$5:$23,((MAX(Equivalencia!$3:$3)-YEAR(G128))*14)+MONTH(G128)+2,FALSE))</f>
        <v>#N/A</v>
      </c>
      <c r="L128" s="306" t="e">
        <f t="shared" si="20"/>
        <v>#N/A</v>
      </c>
      <c r="M128" s="305">
        <f>IF(G128=0,0,HLOOKUP(YEAR(G128)+(MONTH(G128)/100),TC!$5:$37,DAY(G128)+2,FALSE))</f>
        <v>0</v>
      </c>
      <c r="N128" s="306" t="e">
        <f t="shared" si="21"/>
        <v>#N/A</v>
      </c>
      <c r="O128" s="308">
        <f>IF(G128=0,0,VLOOKUP(YEAR(G128),INPC!$B$4:$P$30,MONTH(G128)+2))</f>
        <v>0</v>
      </c>
      <c r="P128" s="308">
        <f>IF(W128=0,0,IF(OR(C128=$AQ$5,C128=AQ132),VLOOKUP(YEAR(W128),INPC!$B$4:$P$30,MONTH(W128)+1),VLOOKUP(YEAR(W128),INPC!$B$4:$P$30,MONTH(W128)+2)))</f>
        <v>0</v>
      </c>
      <c r="Q128" s="309">
        <f t="shared" si="22"/>
        <v>0</v>
      </c>
      <c r="R128" s="310" t="e">
        <f t="shared" si="23"/>
        <v>#N/A</v>
      </c>
      <c r="S128" s="310">
        <f t="shared" si="24"/>
        <v>0</v>
      </c>
      <c r="T128" s="567" t="str">
        <f t="shared" si="25"/>
        <v>NO</v>
      </c>
      <c r="U128" s="323"/>
      <c r="V128" s="299"/>
      <c r="W128" s="300"/>
      <c r="X128" s="299"/>
      <c r="Y128" s="303"/>
      <c r="Z128" s="305">
        <f>IF(Y128=0,0,IF(X128="MXN",1/HLOOKUP(YEAR(W128)+(MONTH(W128)/100),TC!$5:$37,DAY(W128)+2,FALSE),VLOOKUP(X128,Equivalencia!$1:$23,((MAX(Equivalencia!$3:$3)-YEAR(W128))*14)+MONTH(W128)+2,FALSE)))</f>
        <v>0</v>
      </c>
      <c r="AA128" s="306">
        <f t="shared" si="26"/>
        <v>0</v>
      </c>
      <c r="AB128" s="305">
        <f>+IF(W128=0,0,HLOOKUP(YEAR(W128)+(MONTH(W128)/100),TC!$5:$37,DAY(W128)+2,FALSE))</f>
        <v>0</v>
      </c>
      <c r="AC128" s="306">
        <f t="shared" si="27"/>
        <v>0</v>
      </c>
      <c r="AD128" s="314">
        <f t="shared" si="18"/>
        <v>0</v>
      </c>
      <c r="AE128" s="315">
        <f t="shared" si="28"/>
        <v>0</v>
      </c>
      <c r="AF128" s="316">
        <f t="shared" si="19"/>
        <v>0</v>
      </c>
      <c r="AG128" s="314">
        <v>1</v>
      </c>
      <c r="AH128" s="314">
        <f t="shared" si="29"/>
        <v>0</v>
      </c>
      <c r="AI128" s="314">
        <f t="shared" si="30"/>
        <v>0</v>
      </c>
      <c r="AJ128" s="317"/>
      <c r="AK128" s="315" t="e">
        <f t="shared" si="31"/>
        <v>#N/A</v>
      </c>
      <c r="AM128" s="561"/>
      <c r="AN128" s="561"/>
      <c r="AO128" s="561"/>
    </row>
    <row r="129" spans="2:41">
      <c r="B129" s="296"/>
      <c r="C129" s="299"/>
      <c r="D129" s="296"/>
      <c r="E129" s="298"/>
      <c r="F129" s="299"/>
      <c r="G129" s="300"/>
      <c r="H129" s="303"/>
      <c r="I129" s="303"/>
      <c r="J129" s="322">
        <f t="shared" si="17"/>
        <v>0</v>
      </c>
      <c r="K129" s="305" t="e">
        <f>IF(F129="MXN",1/HLOOKUP(YEAR(G129)+(MONTH(G129)/100),TC!$5:$37,DAY(G129)+2,FALSE),VLOOKUP(F129,Equivalencia!$5:$23,((MAX(Equivalencia!$3:$3)-YEAR(G129))*14)+MONTH(G129)+2,FALSE))</f>
        <v>#N/A</v>
      </c>
      <c r="L129" s="306" t="e">
        <f t="shared" si="20"/>
        <v>#N/A</v>
      </c>
      <c r="M129" s="305">
        <f>IF(G129=0,0,HLOOKUP(YEAR(G129)+(MONTH(G129)/100),TC!$5:$37,DAY(G129)+2,FALSE))</f>
        <v>0</v>
      </c>
      <c r="N129" s="306" t="e">
        <f t="shared" si="21"/>
        <v>#N/A</v>
      </c>
      <c r="O129" s="308">
        <f>IF(G129=0,0,VLOOKUP(YEAR(G129),INPC!$B$4:$P$30,MONTH(G129)+2))</f>
        <v>0</v>
      </c>
      <c r="P129" s="308">
        <f>IF(W129=0,0,IF(OR(C129=$AQ$5,C129=AQ133),VLOOKUP(YEAR(W129),INPC!$B$4:$P$30,MONTH(W129)+1),VLOOKUP(YEAR(W129),INPC!$B$4:$P$30,MONTH(W129)+2)))</f>
        <v>0</v>
      </c>
      <c r="Q129" s="309">
        <f t="shared" si="22"/>
        <v>0</v>
      </c>
      <c r="R129" s="310" t="e">
        <f t="shared" si="23"/>
        <v>#N/A</v>
      </c>
      <c r="S129" s="310">
        <f t="shared" si="24"/>
        <v>0</v>
      </c>
      <c r="T129" s="567" t="str">
        <f t="shared" si="25"/>
        <v>NO</v>
      </c>
      <c r="U129" s="323"/>
      <c r="V129" s="299"/>
      <c r="W129" s="300"/>
      <c r="X129" s="299"/>
      <c r="Y129" s="303"/>
      <c r="Z129" s="305">
        <f>IF(Y129=0,0,IF(X129="MXN",1/HLOOKUP(YEAR(W129)+(MONTH(W129)/100),TC!$5:$37,DAY(W129)+2,FALSE),VLOOKUP(X129,Equivalencia!$1:$23,((MAX(Equivalencia!$3:$3)-YEAR(W129))*14)+MONTH(W129)+2,FALSE)))</f>
        <v>0</v>
      </c>
      <c r="AA129" s="306">
        <f t="shared" si="26"/>
        <v>0</v>
      </c>
      <c r="AB129" s="305">
        <f>+IF(W129=0,0,HLOOKUP(YEAR(W129)+(MONTH(W129)/100),TC!$5:$37,DAY(W129)+2,FALSE))</f>
        <v>0</v>
      </c>
      <c r="AC129" s="306">
        <f t="shared" si="27"/>
        <v>0</v>
      </c>
      <c r="AD129" s="314">
        <f t="shared" si="18"/>
        <v>0</v>
      </c>
      <c r="AE129" s="315">
        <f t="shared" si="28"/>
        <v>0</v>
      </c>
      <c r="AF129" s="316">
        <f t="shared" si="19"/>
        <v>0</v>
      </c>
      <c r="AG129" s="314">
        <v>1</v>
      </c>
      <c r="AH129" s="314">
        <f t="shared" si="29"/>
        <v>0</v>
      </c>
      <c r="AI129" s="314">
        <f t="shared" si="30"/>
        <v>0</v>
      </c>
      <c r="AJ129" s="317"/>
      <c r="AK129" s="315" t="e">
        <f t="shared" si="31"/>
        <v>#N/A</v>
      </c>
      <c r="AM129" s="561"/>
      <c r="AN129" s="561"/>
      <c r="AO129" s="561"/>
    </row>
    <row r="130" spans="2:41">
      <c r="B130" s="296"/>
      <c r="C130" s="299"/>
      <c r="D130" s="296"/>
      <c r="E130" s="298"/>
      <c r="F130" s="299"/>
      <c r="G130" s="300"/>
      <c r="H130" s="303"/>
      <c r="I130" s="303"/>
      <c r="J130" s="322">
        <f t="shared" ref="J130:J193" si="32">IF(E130=0,0,IF(OR(C130=$AQ$5,C130=$AQ$6),"Derivados Cap IV, Sec II - SIC &amp; BMV","Derivados Cap IX - No SIC"))</f>
        <v>0</v>
      </c>
      <c r="K130" s="305" t="e">
        <f>IF(F130="MXN",1/HLOOKUP(YEAR(G130)+(MONTH(G130)/100),TC!$5:$37,DAY(G130)+2,FALSE),VLOOKUP(F130,Equivalencia!$5:$23,((MAX(Equivalencia!$3:$3)-YEAR(G130))*14)+MONTH(G130)+2,FALSE))</f>
        <v>#N/A</v>
      </c>
      <c r="L130" s="306" t="e">
        <f t="shared" si="20"/>
        <v>#N/A</v>
      </c>
      <c r="M130" s="305">
        <f>IF(G130=0,0,HLOOKUP(YEAR(G130)+(MONTH(G130)/100),TC!$5:$37,DAY(G130)+2,FALSE))</f>
        <v>0</v>
      </c>
      <c r="N130" s="306" t="e">
        <f t="shared" si="21"/>
        <v>#N/A</v>
      </c>
      <c r="O130" s="308">
        <f>IF(G130=0,0,VLOOKUP(YEAR(G130),INPC!$B$4:$P$30,MONTH(G130)+2))</f>
        <v>0</v>
      </c>
      <c r="P130" s="308">
        <f>IF(W130=0,0,IF(OR(C130=$AQ$5,C130=AQ134),VLOOKUP(YEAR(W130),INPC!$B$4:$P$30,MONTH(W130)+1),VLOOKUP(YEAR(W130),INPC!$B$4:$P$30,MONTH(W130)+2)))</f>
        <v>0</v>
      </c>
      <c r="Q130" s="309">
        <f t="shared" si="22"/>
        <v>0</v>
      </c>
      <c r="R130" s="310" t="e">
        <f t="shared" si="23"/>
        <v>#N/A</v>
      </c>
      <c r="S130" s="310">
        <f t="shared" si="24"/>
        <v>0</v>
      </c>
      <c r="T130" s="567" t="str">
        <f t="shared" si="25"/>
        <v>NO</v>
      </c>
      <c r="U130" s="323"/>
      <c r="V130" s="299"/>
      <c r="W130" s="300"/>
      <c r="X130" s="299"/>
      <c r="Y130" s="303"/>
      <c r="Z130" s="305">
        <f>IF(Y130=0,0,IF(X130="MXN",1/HLOOKUP(YEAR(W130)+(MONTH(W130)/100),TC!$5:$37,DAY(W130)+2,FALSE),VLOOKUP(X130,Equivalencia!$1:$23,((MAX(Equivalencia!$3:$3)-YEAR(W130))*14)+MONTH(W130)+2,FALSE)))</f>
        <v>0</v>
      </c>
      <c r="AA130" s="306">
        <f t="shared" si="26"/>
        <v>0</v>
      </c>
      <c r="AB130" s="305">
        <f>+IF(W130=0,0,HLOOKUP(YEAR(W130)+(MONTH(W130)/100),TC!$5:$37,DAY(W130)+2,FALSE))</f>
        <v>0</v>
      </c>
      <c r="AC130" s="306">
        <f t="shared" si="27"/>
        <v>0</v>
      </c>
      <c r="AD130" s="314">
        <f t="shared" ref="AD130:AD193" si="33">+U130*S130</f>
        <v>0</v>
      </c>
      <c r="AE130" s="315">
        <f t="shared" si="28"/>
        <v>0</v>
      </c>
      <c r="AF130" s="316">
        <f t="shared" ref="AF130:AF193" si="34">+IF(OR(C130=$AQ$5,C130=$AQ$6),1,((W130-G130)/365))</f>
        <v>0</v>
      </c>
      <c r="AG130" s="314">
        <v>1</v>
      </c>
      <c r="AH130" s="314">
        <f t="shared" si="29"/>
        <v>0</v>
      </c>
      <c r="AI130" s="314">
        <f t="shared" si="30"/>
        <v>0</v>
      </c>
      <c r="AJ130" s="317"/>
      <c r="AK130" s="315" t="e">
        <f t="shared" si="31"/>
        <v>#N/A</v>
      </c>
      <c r="AM130" s="561"/>
      <c r="AN130" s="561"/>
      <c r="AO130" s="561"/>
    </row>
    <row r="131" spans="2:41">
      <c r="B131" s="296"/>
      <c r="C131" s="299"/>
      <c r="D131" s="296"/>
      <c r="E131" s="298"/>
      <c r="F131" s="299"/>
      <c r="G131" s="300"/>
      <c r="H131" s="303"/>
      <c r="I131" s="303"/>
      <c r="J131" s="322">
        <f t="shared" si="32"/>
        <v>0</v>
      </c>
      <c r="K131" s="305" t="e">
        <f>IF(F131="MXN",1/HLOOKUP(YEAR(G131)+(MONTH(G131)/100),TC!$5:$37,DAY(G131)+2,FALSE),VLOOKUP(F131,Equivalencia!$5:$23,((MAX(Equivalencia!$3:$3)-YEAR(G131))*14)+MONTH(G131)+2,FALSE))</f>
        <v>#N/A</v>
      </c>
      <c r="L131" s="306" t="e">
        <f t="shared" ref="L131:L194" si="35">+I131*K131</f>
        <v>#N/A</v>
      </c>
      <c r="M131" s="305">
        <f>IF(G131=0,0,HLOOKUP(YEAR(G131)+(MONTH(G131)/100),TC!$5:$37,DAY(G131)+2,FALSE))</f>
        <v>0</v>
      </c>
      <c r="N131" s="306" t="e">
        <f t="shared" ref="N131:N194" si="36">+L131*M131</f>
        <v>#N/A</v>
      </c>
      <c r="O131" s="308">
        <f>IF(G131=0,0,VLOOKUP(YEAR(G131),INPC!$B$4:$P$30,MONTH(G131)+2))</f>
        <v>0</v>
      </c>
      <c r="P131" s="308">
        <f>IF(W131=0,0,IF(OR(C131=$AQ$5,C131=AQ135),VLOOKUP(YEAR(W131),INPC!$B$4:$P$30,MONTH(W131)+1),VLOOKUP(YEAR(W131),INPC!$B$4:$P$30,MONTH(W131)+2)))</f>
        <v>0</v>
      </c>
      <c r="Q131" s="309">
        <f t="shared" ref="Q131:Q194" si="37">IF(W131=0,0,IF(TRUNC(P131/O131,4)&gt;=1,TRUNC(P131/O131,4),1))</f>
        <v>0</v>
      </c>
      <c r="R131" s="310" t="e">
        <f t="shared" ref="R131:R194" si="38">+Q131*N131</f>
        <v>#N/A</v>
      </c>
      <c r="S131" s="310">
        <f t="shared" ref="S131:S194" si="39">IF(U131=0,0,R131/U131)</f>
        <v>0</v>
      </c>
      <c r="T131" s="567" t="str">
        <f t="shared" ref="T131:T194" si="40">+IF(W131=0,"NO","SI")</f>
        <v>NO</v>
      </c>
      <c r="U131" s="323"/>
      <c r="V131" s="299"/>
      <c r="W131" s="300"/>
      <c r="X131" s="299"/>
      <c r="Y131" s="303"/>
      <c r="Z131" s="305">
        <f>IF(Y131=0,0,IF(X131="MXN",1/HLOOKUP(YEAR(W131)+(MONTH(W131)/100),TC!$5:$37,DAY(W131)+2,FALSE),VLOOKUP(X131,Equivalencia!$1:$23,((MAX(Equivalencia!$3:$3)-YEAR(W131))*14)+MONTH(W131)+2,FALSE)))</f>
        <v>0</v>
      </c>
      <c r="AA131" s="306">
        <f t="shared" ref="AA131:AA194" si="41">+Z131*Y131</f>
        <v>0</v>
      </c>
      <c r="AB131" s="305">
        <f>+IF(W131=0,0,HLOOKUP(YEAR(W131)+(MONTH(W131)/100),TC!$5:$37,DAY(W131)+2,FALSE))</f>
        <v>0</v>
      </c>
      <c r="AC131" s="306">
        <f t="shared" ref="AC131:AC194" si="42">+AB131*AA131</f>
        <v>0</v>
      </c>
      <c r="AD131" s="314">
        <f t="shared" si="33"/>
        <v>0</v>
      </c>
      <c r="AE131" s="315">
        <f t="shared" ref="AE131:AE194" si="43">AC131+AD131</f>
        <v>0</v>
      </c>
      <c r="AF131" s="316">
        <f t="shared" si="34"/>
        <v>0</v>
      </c>
      <c r="AG131" s="314">
        <v>1</v>
      </c>
      <c r="AH131" s="314">
        <f t="shared" ref="AH131:AH194" si="44">(AE131/AG131)</f>
        <v>0</v>
      </c>
      <c r="AI131" s="314">
        <f t="shared" ref="AI131:AI194" si="45">+AE131-AH131</f>
        <v>0</v>
      </c>
      <c r="AJ131" s="317"/>
      <c r="AK131" s="315" t="e">
        <f t="shared" ref="AK131:AK194" si="46">+AA131+L131</f>
        <v>#N/A</v>
      </c>
      <c r="AM131" s="561"/>
      <c r="AN131" s="561"/>
      <c r="AO131" s="561"/>
    </row>
    <row r="132" spans="2:41">
      <c r="B132" s="296"/>
      <c r="C132" s="299"/>
      <c r="D132" s="296"/>
      <c r="E132" s="298"/>
      <c r="F132" s="299"/>
      <c r="G132" s="300"/>
      <c r="H132" s="303"/>
      <c r="I132" s="303"/>
      <c r="J132" s="322">
        <f t="shared" si="32"/>
        <v>0</v>
      </c>
      <c r="K132" s="305" t="e">
        <f>IF(F132="MXN",1/HLOOKUP(YEAR(G132)+(MONTH(G132)/100),TC!$5:$37,DAY(G132)+2,FALSE),VLOOKUP(F132,Equivalencia!$5:$23,((MAX(Equivalencia!$3:$3)-YEAR(G132))*14)+MONTH(G132)+2,FALSE))</f>
        <v>#N/A</v>
      </c>
      <c r="L132" s="306" t="e">
        <f t="shared" si="35"/>
        <v>#N/A</v>
      </c>
      <c r="M132" s="305">
        <f>IF(G132=0,0,HLOOKUP(YEAR(G132)+(MONTH(G132)/100),TC!$5:$37,DAY(G132)+2,FALSE))</f>
        <v>0</v>
      </c>
      <c r="N132" s="306" t="e">
        <f t="shared" si="36"/>
        <v>#N/A</v>
      </c>
      <c r="O132" s="308">
        <f>IF(G132=0,0,VLOOKUP(YEAR(G132),INPC!$B$4:$P$30,MONTH(G132)+2))</f>
        <v>0</v>
      </c>
      <c r="P132" s="308">
        <f>IF(W132=0,0,IF(OR(C132=$AQ$5,C132=AQ136),VLOOKUP(YEAR(W132),INPC!$B$4:$P$30,MONTH(W132)+1),VLOOKUP(YEAR(W132),INPC!$B$4:$P$30,MONTH(W132)+2)))</f>
        <v>0</v>
      </c>
      <c r="Q132" s="309">
        <f t="shared" si="37"/>
        <v>0</v>
      </c>
      <c r="R132" s="310" t="e">
        <f t="shared" si="38"/>
        <v>#N/A</v>
      </c>
      <c r="S132" s="310">
        <f t="shared" si="39"/>
        <v>0</v>
      </c>
      <c r="T132" s="567" t="str">
        <f t="shared" si="40"/>
        <v>NO</v>
      </c>
      <c r="U132" s="323"/>
      <c r="V132" s="299"/>
      <c r="W132" s="300"/>
      <c r="X132" s="299"/>
      <c r="Y132" s="303"/>
      <c r="Z132" s="305">
        <f>IF(Y132=0,0,IF(X132="MXN",1/HLOOKUP(YEAR(W132)+(MONTH(W132)/100),TC!$5:$37,DAY(W132)+2,FALSE),VLOOKUP(X132,Equivalencia!$1:$23,((MAX(Equivalencia!$3:$3)-YEAR(W132))*14)+MONTH(W132)+2,FALSE)))</f>
        <v>0</v>
      </c>
      <c r="AA132" s="306">
        <f t="shared" si="41"/>
        <v>0</v>
      </c>
      <c r="AB132" s="305">
        <f>+IF(W132=0,0,HLOOKUP(YEAR(W132)+(MONTH(W132)/100),TC!$5:$37,DAY(W132)+2,FALSE))</f>
        <v>0</v>
      </c>
      <c r="AC132" s="306">
        <f t="shared" si="42"/>
        <v>0</v>
      </c>
      <c r="AD132" s="314">
        <f t="shared" si="33"/>
        <v>0</v>
      </c>
      <c r="AE132" s="315">
        <f t="shared" si="43"/>
        <v>0</v>
      </c>
      <c r="AF132" s="316">
        <f t="shared" si="34"/>
        <v>0</v>
      </c>
      <c r="AG132" s="314">
        <v>1</v>
      </c>
      <c r="AH132" s="314">
        <f t="shared" si="44"/>
        <v>0</v>
      </c>
      <c r="AI132" s="314">
        <f t="shared" si="45"/>
        <v>0</v>
      </c>
      <c r="AJ132" s="317"/>
      <c r="AK132" s="315" t="e">
        <f t="shared" si="46"/>
        <v>#N/A</v>
      </c>
      <c r="AM132" s="561"/>
      <c r="AN132" s="561"/>
      <c r="AO132" s="561"/>
    </row>
    <row r="133" spans="2:41">
      <c r="B133" s="296"/>
      <c r="C133" s="299"/>
      <c r="D133" s="296"/>
      <c r="E133" s="298"/>
      <c r="F133" s="299"/>
      <c r="G133" s="300"/>
      <c r="H133" s="303"/>
      <c r="I133" s="303"/>
      <c r="J133" s="322">
        <f t="shared" si="32"/>
        <v>0</v>
      </c>
      <c r="K133" s="305" t="e">
        <f>IF(F133="MXN",1/HLOOKUP(YEAR(G133)+(MONTH(G133)/100),TC!$5:$37,DAY(G133)+2,FALSE),VLOOKUP(F133,Equivalencia!$5:$23,((MAX(Equivalencia!$3:$3)-YEAR(G133))*14)+MONTH(G133)+2,FALSE))</f>
        <v>#N/A</v>
      </c>
      <c r="L133" s="306" t="e">
        <f t="shared" si="35"/>
        <v>#N/A</v>
      </c>
      <c r="M133" s="305">
        <f>IF(G133=0,0,HLOOKUP(YEAR(G133)+(MONTH(G133)/100),TC!$5:$37,DAY(G133)+2,FALSE))</f>
        <v>0</v>
      </c>
      <c r="N133" s="306" t="e">
        <f t="shared" si="36"/>
        <v>#N/A</v>
      </c>
      <c r="O133" s="308">
        <f>IF(G133=0,0,VLOOKUP(YEAR(G133),INPC!$B$4:$P$30,MONTH(G133)+2))</f>
        <v>0</v>
      </c>
      <c r="P133" s="308">
        <f>IF(W133=0,0,IF(OR(C133=$AQ$5,C133=AQ137),VLOOKUP(YEAR(W133),INPC!$B$4:$P$30,MONTH(W133)+1),VLOOKUP(YEAR(W133),INPC!$B$4:$P$30,MONTH(W133)+2)))</f>
        <v>0</v>
      </c>
      <c r="Q133" s="309">
        <f t="shared" si="37"/>
        <v>0</v>
      </c>
      <c r="R133" s="310" t="e">
        <f t="shared" si="38"/>
        <v>#N/A</v>
      </c>
      <c r="S133" s="310">
        <f t="shared" si="39"/>
        <v>0</v>
      </c>
      <c r="T133" s="567" t="str">
        <f t="shared" si="40"/>
        <v>NO</v>
      </c>
      <c r="U133" s="323"/>
      <c r="V133" s="299"/>
      <c r="W133" s="300"/>
      <c r="X133" s="299"/>
      <c r="Y133" s="303"/>
      <c r="Z133" s="305">
        <f>IF(Y133=0,0,IF(X133="MXN",1/HLOOKUP(YEAR(W133)+(MONTH(W133)/100),TC!$5:$37,DAY(W133)+2,FALSE),VLOOKUP(X133,Equivalencia!$1:$23,((MAX(Equivalencia!$3:$3)-YEAR(W133))*14)+MONTH(W133)+2,FALSE)))</f>
        <v>0</v>
      </c>
      <c r="AA133" s="306">
        <f t="shared" si="41"/>
        <v>0</v>
      </c>
      <c r="AB133" s="305">
        <f>+IF(W133=0,0,HLOOKUP(YEAR(W133)+(MONTH(W133)/100),TC!$5:$37,DAY(W133)+2,FALSE))</f>
        <v>0</v>
      </c>
      <c r="AC133" s="306">
        <f t="shared" si="42"/>
        <v>0</v>
      </c>
      <c r="AD133" s="314">
        <f t="shared" si="33"/>
        <v>0</v>
      </c>
      <c r="AE133" s="315">
        <f t="shared" si="43"/>
        <v>0</v>
      </c>
      <c r="AF133" s="316">
        <f t="shared" si="34"/>
        <v>0</v>
      </c>
      <c r="AG133" s="314">
        <v>1</v>
      </c>
      <c r="AH133" s="314">
        <f t="shared" si="44"/>
        <v>0</v>
      </c>
      <c r="AI133" s="314">
        <f t="shared" si="45"/>
        <v>0</v>
      </c>
      <c r="AJ133" s="317"/>
      <c r="AK133" s="315" t="e">
        <f t="shared" si="46"/>
        <v>#N/A</v>
      </c>
      <c r="AM133" s="561"/>
      <c r="AN133" s="561"/>
      <c r="AO133" s="561"/>
    </row>
    <row r="134" spans="2:41">
      <c r="B134" s="296"/>
      <c r="C134" s="299"/>
      <c r="D134" s="296"/>
      <c r="E134" s="298"/>
      <c r="F134" s="299"/>
      <c r="G134" s="300"/>
      <c r="H134" s="303"/>
      <c r="I134" s="303"/>
      <c r="J134" s="322">
        <f t="shared" si="32"/>
        <v>0</v>
      </c>
      <c r="K134" s="305" t="e">
        <f>IF(F134="MXN",1/HLOOKUP(YEAR(G134)+(MONTH(G134)/100),TC!$5:$37,DAY(G134)+2,FALSE),VLOOKUP(F134,Equivalencia!$5:$23,((MAX(Equivalencia!$3:$3)-YEAR(G134))*14)+MONTH(G134)+2,FALSE))</f>
        <v>#N/A</v>
      </c>
      <c r="L134" s="306" t="e">
        <f t="shared" si="35"/>
        <v>#N/A</v>
      </c>
      <c r="M134" s="305">
        <f>IF(G134=0,0,HLOOKUP(YEAR(G134)+(MONTH(G134)/100),TC!$5:$37,DAY(G134)+2,FALSE))</f>
        <v>0</v>
      </c>
      <c r="N134" s="306" t="e">
        <f t="shared" si="36"/>
        <v>#N/A</v>
      </c>
      <c r="O134" s="308">
        <f>IF(G134=0,0,VLOOKUP(YEAR(G134),INPC!$B$4:$P$30,MONTH(G134)+2))</f>
        <v>0</v>
      </c>
      <c r="P134" s="308">
        <f>IF(W134=0,0,IF(OR(C134=$AQ$5,C134=AQ138),VLOOKUP(YEAR(W134),INPC!$B$4:$P$30,MONTH(W134)+1),VLOOKUP(YEAR(W134),INPC!$B$4:$P$30,MONTH(W134)+2)))</f>
        <v>0</v>
      </c>
      <c r="Q134" s="309">
        <f t="shared" si="37"/>
        <v>0</v>
      </c>
      <c r="R134" s="310" t="e">
        <f t="shared" si="38"/>
        <v>#N/A</v>
      </c>
      <c r="S134" s="310">
        <f t="shared" si="39"/>
        <v>0</v>
      </c>
      <c r="T134" s="567" t="str">
        <f t="shared" si="40"/>
        <v>NO</v>
      </c>
      <c r="U134" s="323"/>
      <c r="V134" s="299"/>
      <c r="W134" s="300"/>
      <c r="X134" s="299"/>
      <c r="Y134" s="303"/>
      <c r="Z134" s="305">
        <f>IF(Y134=0,0,IF(X134="MXN",1/HLOOKUP(YEAR(W134)+(MONTH(W134)/100),TC!$5:$37,DAY(W134)+2,FALSE),VLOOKUP(X134,Equivalencia!$1:$23,((MAX(Equivalencia!$3:$3)-YEAR(W134))*14)+MONTH(W134)+2,FALSE)))</f>
        <v>0</v>
      </c>
      <c r="AA134" s="306">
        <f t="shared" si="41"/>
        <v>0</v>
      </c>
      <c r="AB134" s="305">
        <f>+IF(W134=0,0,HLOOKUP(YEAR(W134)+(MONTH(W134)/100),TC!$5:$37,DAY(W134)+2,FALSE))</f>
        <v>0</v>
      </c>
      <c r="AC134" s="306">
        <f t="shared" si="42"/>
        <v>0</v>
      </c>
      <c r="AD134" s="314">
        <f t="shared" si="33"/>
        <v>0</v>
      </c>
      <c r="AE134" s="315">
        <f t="shared" si="43"/>
        <v>0</v>
      </c>
      <c r="AF134" s="316">
        <f t="shared" si="34"/>
        <v>0</v>
      </c>
      <c r="AG134" s="314">
        <v>1</v>
      </c>
      <c r="AH134" s="314">
        <f t="shared" si="44"/>
        <v>0</v>
      </c>
      <c r="AI134" s="314">
        <f t="shared" si="45"/>
        <v>0</v>
      </c>
      <c r="AJ134" s="317"/>
      <c r="AK134" s="315" t="e">
        <f t="shared" si="46"/>
        <v>#N/A</v>
      </c>
      <c r="AM134" s="561"/>
      <c r="AN134" s="561"/>
      <c r="AO134" s="561"/>
    </row>
    <row r="135" spans="2:41">
      <c r="B135" s="296"/>
      <c r="C135" s="299"/>
      <c r="D135" s="296"/>
      <c r="E135" s="298"/>
      <c r="F135" s="299"/>
      <c r="G135" s="300"/>
      <c r="H135" s="303"/>
      <c r="I135" s="303"/>
      <c r="J135" s="322">
        <f t="shared" si="32"/>
        <v>0</v>
      </c>
      <c r="K135" s="305" t="e">
        <f>IF(F135="MXN",1/HLOOKUP(YEAR(G135)+(MONTH(G135)/100),TC!$5:$37,DAY(G135)+2,FALSE),VLOOKUP(F135,Equivalencia!$5:$23,((MAX(Equivalencia!$3:$3)-YEAR(G135))*14)+MONTH(G135)+2,FALSE))</f>
        <v>#N/A</v>
      </c>
      <c r="L135" s="306" t="e">
        <f t="shared" si="35"/>
        <v>#N/A</v>
      </c>
      <c r="M135" s="305">
        <f>IF(G135=0,0,HLOOKUP(YEAR(G135)+(MONTH(G135)/100),TC!$5:$37,DAY(G135)+2,FALSE))</f>
        <v>0</v>
      </c>
      <c r="N135" s="306" t="e">
        <f t="shared" si="36"/>
        <v>#N/A</v>
      </c>
      <c r="O135" s="308">
        <f>IF(G135=0,0,VLOOKUP(YEAR(G135),INPC!$B$4:$P$30,MONTH(G135)+2))</f>
        <v>0</v>
      </c>
      <c r="P135" s="308">
        <f>IF(W135=0,0,IF(OR(C135=$AQ$5,C135=AQ139),VLOOKUP(YEAR(W135),INPC!$B$4:$P$30,MONTH(W135)+1),VLOOKUP(YEAR(W135),INPC!$B$4:$P$30,MONTH(W135)+2)))</f>
        <v>0</v>
      </c>
      <c r="Q135" s="309">
        <f t="shared" si="37"/>
        <v>0</v>
      </c>
      <c r="R135" s="310" t="e">
        <f t="shared" si="38"/>
        <v>#N/A</v>
      </c>
      <c r="S135" s="310">
        <f t="shared" si="39"/>
        <v>0</v>
      </c>
      <c r="T135" s="567" t="str">
        <f t="shared" si="40"/>
        <v>NO</v>
      </c>
      <c r="U135" s="323"/>
      <c r="V135" s="299"/>
      <c r="W135" s="300"/>
      <c r="X135" s="299"/>
      <c r="Y135" s="303"/>
      <c r="Z135" s="305">
        <f>IF(Y135=0,0,IF(X135="MXN",1/HLOOKUP(YEAR(W135)+(MONTH(W135)/100),TC!$5:$37,DAY(W135)+2,FALSE),VLOOKUP(X135,Equivalencia!$1:$23,((MAX(Equivalencia!$3:$3)-YEAR(W135))*14)+MONTH(W135)+2,FALSE)))</f>
        <v>0</v>
      </c>
      <c r="AA135" s="306">
        <f t="shared" si="41"/>
        <v>0</v>
      </c>
      <c r="AB135" s="305">
        <f>+IF(W135=0,0,HLOOKUP(YEAR(W135)+(MONTH(W135)/100),TC!$5:$37,DAY(W135)+2,FALSE))</f>
        <v>0</v>
      </c>
      <c r="AC135" s="306">
        <f t="shared" si="42"/>
        <v>0</v>
      </c>
      <c r="AD135" s="314">
        <f t="shared" si="33"/>
        <v>0</v>
      </c>
      <c r="AE135" s="315">
        <f t="shared" si="43"/>
        <v>0</v>
      </c>
      <c r="AF135" s="316">
        <f t="shared" si="34"/>
        <v>0</v>
      </c>
      <c r="AG135" s="314">
        <v>1</v>
      </c>
      <c r="AH135" s="314">
        <f t="shared" si="44"/>
        <v>0</v>
      </c>
      <c r="AI135" s="314">
        <f t="shared" si="45"/>
        <v>0</v>
      </c>
      <c r="AJ135" s="317"/>
      <c r="AK135" s="315" t="e">
        <f t="shared" si="46"/>
        <v>#N/A</v>
      </c>
      <c r="AM135" s="561"/>
      <c r="AN135" s="561"/>
      <c r="AO135" s="561"/>
    </row>
    <row r="136" spans="2:41">
      <c r="B136" s="296"/>
      <c r="C136" s="299"/>
      <c r="D136" s="296"/>
      <c r="E136" s="298"/>
      <c r="F136" s="299"/>
      <c r="G136" s="300"/>
      <c r="H136" s="303"/>
      <c r="I136" s="303"/>
      <c r="J136" s="322">
        <f t="shared" si="32"/>
        <v>0</v>
      </c>
      <c r="K136" s="305" t="e">
        <f>IF(F136="MXN",1/HLOOKUP(YEAR(G136)+(MONTH(G136)/100),TC!$5:$37,DAY(G136)+2,FALSE),VLOOKUP(F136,Equivalencia!$5:$23,((MAX(Equivalencia!$3:$3)-YEAR(G136))*14)+MONTH(G136)+2,FALSE))</f>
        <v>#N/A</v>
      </c>
      <c r="L136" s="306" t="e">
        <f t="shared" si="35"/>
        <v>#N/A</v>
      </c>
      <c r="M136" s="305">
        <f>IF(G136=0,0,HLOOKUP(YEAR(G136)+(MONTH(G136)/100),TC!$5:$37,DAY(G136)+2,FALSE))</f>
        <v>0</v>
      </c>
      <c r="N136" s="306" t="e">
        <f t="shared" si="36"/>
        <v>#N/A</v>
      </c>
      <c r="O136" s="308">
        <f>IF(G136=0,0,VLOOKUP(YEAR(G136),INPC!$B$4:$P$30,MONTH(G136)+2))</f>
        <v>0</v>
      </c>
      <c r="P136" s="308">
        <f>IF(W136=0,0,IF(OR(C136=$AQ$5,C136=AQ140),VLOOKUP(YEAR(W136),INPC!$B$4:$P$30,MONTH(W136)+1),VLOOKUP(YEAR(W136),INPC!$B$4:$P$30,MONTH(W136)+2)))</f>
        <v>0</v>
      </c>
      <c r="Q136" s="309">
        <f t="shared" si="37"/>
        <v>0</v>
      </c>
      <c r="R136" s="310" t="e">
        <f t="shared" si="38"/>
        <v>#N/A</v>
      </c>
      <c r="S136" s="310">
        <f t="shared" si="39"/>
        <v>0</v>
      </c>
      <c r="T136" s="567" t="str">
        <f t="shared" si="40"/>
        <v>NO</v>
      </c>
      <c r="U136" s="323"/>
      <c r="V136" s="299"/>
      <c r="W136" s="300"/>
      <c r="X136" s="299"/>
      <c r="Y136" s="303"/>
      <c r="Z136" s="305">
        <f>IF(Y136=0,0,IF(X136="MXN",1/HLOOKUP(YEAR(W136)+(MONTH(W136)/100),TC!$5:$37,DAY(W136)+2,FALSE),VLOOKUP(X136,Equivalencia!$1:$23,((MAX(Equivalencia!$3:$3)-YEAR(W136))*14)+MONTH(W136)+2,FALSE)))</f>
        <v>0</v>
      </c>
      <c r="AA136" s="306">
        <f t="shared" si="41"/>
        <v>0</v>
      </c>
      <c r="AB136" s="305">
        <f>+IF(W136=0,0,HLOOKUP(YEAR(W136)+(MONTH(W136)/100),TC!$5:$37,DAY(W136)+2,FALSE))</f>
        <v>0</v>
      </c>
      <c r="AC136" s="306">
        <f t="shared" si="42"/>
        <v>0</v>
      </c>
      <c r="AD136" s="314">
        <f t="shared" si="33"/>
        <v>0</v>
      </c>
      <c r="AE136" s="315">
        <f t="shared" si="43"/>
        <v>0</v>
      </c>
      <c r="AF136" s="316">
        <f t="shared" si="34"/>
        <v>0</v>
      </c>
      <c r="AG136" s="314">
        <v>1</v>
      </c>
      <c r="AH136" s="314">
        <f t="shared" si="44"/>
        <v>0</v>
      </c>
      <c r="AI136" s="314">
        <f t="shared" si="45"/>
        <v>0</v>
      </c>
      <c r="AJ136" s="317"/>
      <c r="AK136" s="315" t="e">
        <f t="shared" si="46"/>
        <v>#N/A</v>
      </c>
      <c r="AM136" s="561"/>
      <c r="AN136" s="561"/>
      <c r="AO136" s="561"/>
    </row>
    <row r="137" spans="2:41">
      <c r="B137" s="296"/>
      <c r="C137" s="299"/>
      <c r="D137" s="296"/>
      <c r="E137" s="298"/>
      <c r="F137" s="299"/>
      <c r="G137" s="300"/>
      <c r="H137" s="303"/>
      <c r="I137" s="303"/>
      <c r="J137" s="322">
        <f t="shared" si="32"/>
        <v>0</v>
      </c>
      <c r="K137" s="305" t="e">
        <f>IF(F137="MXN",1/HLOOKUP(YEAR(G137)+(MONTH(G137)/100),TC!$5:$37,DAY(G137)+2,FALSE),VLOOKUP(F137,Equivalencia!$5:$23,((MAX(Equivalencia!$3:$3)-YEAR(G137))*14)+MONTH(G137)+2,FALSE))</f>
        <v>#N/A</v>
      </c>
      <c r="L137" s="306" t="e">
        <f t="shared" si="35"/>
        <v>#N/A</v>
      </c>
      <c r="M137" s="305">
        <f>IF(G137=0,0,HLOOKUP(YEAR(G137)+(MONTH(G137)/100),TC!$5:$37,DAY(G137)+2,FALSE))</f>
        <v>0</v>
      </c>
      <c r="N137" s="306" t="e">
        <f t="shared" si="36"/>
        <v>#N/A</v>
      </c>
      <c r="O137" s="308">
        <f>IF(G137=0,0,VLOOKUP(YEAR(G137),INPC!$B$4:$P$30,MONTH(G137)+2))</f>
        <v>0</v>
      </c>
      <c r="P137" s="308">
        <f>IF(W137=0,0,IF(OR(C137=$AQ$5,C137=AQ141),VLOOKUP(YEAR(W137),INPC!$B$4:$P$30,MONTH(W137)+1),VLOOKUP(YEAR(W137),INPC!$B$4:$P$30,MONTH(W137)+2)))</f>
        <v>0</v>
      </c>
      <c r="Q137" s="309">
        <f t="shared" si="37"/>
        <v>0</v>
      </c>
      <c r="R137" s="310" t="e">
        <f t="shared" si="38"/>
        <v>#N/A</v>
      </c>
      <c r="S137" s="310">
        <f t="shared" si="39"/>
        <v>0</v>
      </c>
      <c r="T137" s="567" t="str">
        <f t="shared" si="40"/>
        <v>NO</v>
      </c>
      <c r="U137" s="323"/>
      <c r="V137" s="299"/>
      <c r="W137" s="300"/>
      <c r="X137" s="299"/>
      <c r="Y137" s="303"/>
      <c r="Z137" s="305">
        <f>IF(Y137=0,0,IF(X137="MXN",1/HLOOKUP(YEAR(W137)+(MONTH(W137)/100),TC!$5:$37,DAY(W137)+2,FALSE),VLOOKUP(X137,Equivalencia!$1:$23,((MAX(Equivalencia!$3:$3)-YEAR(W137))*14)+MONTH(W137)+2,FALSE)))</f>
        <v>0</v>
      </c>
      <c r="AA137" s="306">
        <f t="shared" si="41"/>
        <v>0</v>
      </c>
      <c r="AB137" s="305">
        <f>+IF(W137=0,0,HLOOKUP(YEAR(W137)+(MONTH(W137)/100),TC!$5:$37,DAY(W137)+2,FALSE))</f>
        <v>0</v>
      </c>
      <c r="AC137" s="306">
        <f t="shared" si="42"/>
        <v>0</v>
      </c>
      <c r="AD137" s="314">
        <f t="shared" si="33"/>
        <v>0</v>
      </c>
      <c r="AE137" s="315">
        <f t="shared" si="43"/>
        <v>0</v>
      </c>
      <c r="AF137" s="316">
        <f t="shared" si="34"/>
        <v>0</v>
      </c>
      <c r="AG137" s="314">
        <v>1</v>
      </c>
      <c r="AH137" s="314">
        <f t="shared" si="44"/>
        <v>0</v>
      </c>
      <c r="AI137" s="314">
        <f t="shared" si="45"/>
        <v>0</v>
      </c>
      <c r="AJ137" s="317"/>
      <c r="AK137" s="315" t="e">
        <f t="shared" si="46"/>
        <v>#N/A</v>
      </c>
      <c r="AM137" s="561"/>
      <c r="AN137" s="561"/>
      <c r="AO137" s="561"/>
    </row>
    <row r="138" spans="2:41">
      <c r="B138" s="296"/>
      <c r="C138" s="299"/>
      <c r="D138" s="296"/>
      <c r="E138" s="298"/>
      <c r="F138" s="299"/>
      <c r="G138" s="300"/>
      <c r="H138" s="303"/>
      <c r="I138" s="303"/>
      <c r="J138" s="322">
        <f t="shared" si="32"/>
        <v>0</v>
      </c>
      <c r="K138" s="305" t="e">
        <f>IF(F138="MXN",1/HLOOKUP(YEAR(G138)+(MONTH(G138)/100),TC!$5:$37,DAY(G138)+2,FALSE),VLOOKUP(F138,Equivalencia!$5:$23,((MAX(Equivalencia!$3:$3)-YEAR(G138))*14)+MONTH(G138)+2,FALSE))</f>
        <v>#N/A</v>
      </c>
      <c r="L138" s="306" t="e">
        <f t="shared" si="35"/>
        <v>#N/A</v>
      </c>
      <c r="M138" s="305">
        <f>IF(G138=0,0,HLOOKUP(YEAR(G138)+(MONTH(G138)/100),TC!$5:$37,DAY(G138)+2,FALSE))</f>
        <v>0</v>
      </c>
      <c r="N138" s="306" t="e">
        <f t="shared" si="36"/>
        <v>#N/A</v>
      </c>
      <c r="O138" s="308">
        <f>IF(G138=0,0,VLOOKUP(YEAR(G138),INPC!$B$4:$P$30,MONTH(G138)+2))</f>
        <v>0</v>
      </c>
      <c r="P138" s="308">
        <f>IF(W138=0,0,IF(OR(C138=$AQ$5,C138=AQ142),VLOOKUP(YEAR(W138),INPC!$B$4:$P$30,MONTH(W138)+1),VLOOKUP(YEAR(W138),INPC!$B$4:$P$30,MONTH(W138)+2)))</f>
        <v>0</v>
      </c>
      <c r="Q138" s="309">
        <f t="shared" si="37"/>
        <v>0</v>
      </c>
      <c r="R138" s="310" t="e">
        <f t="shared" si="38"/>
        <v>#N/A</v>
      </c>
      <c r="S138" s="310">
        <f t="shared" si="39"/>
        <v>0</v>
      </c>
      <c r="T138" s="567" t="str">
        <f t="shared" si="40"/>
        <v>NO</v>
      </c>
      <c r="U138" s="323"/>
      <c r="V138" s="299"/>
      <c r="W138" s="300"/>
      <c r="X138" s="299"/>
      <c r="Y138" s="303"/>
      <c r="Z138" s="305">
        <f>IF(Y138=0,0,IF(X138="MXN",1/HLOOKUP(YEAR(W138)+(MONTH(W138)/100),TC!$5:$37,DAY(W138)+2,FALSE),VLOOKUP(X138,Equivalencia!$1:$23,((MAX(Equivalencia!$3:$3)-YEAR(W138))*14)+MONTH(W138)+2,FALSE)))</f>
        <v>0</v>
      </c>
      <c r="AA138" s="306">
        <f t="shared" si="41"/>
        <v>0</v>
      </c>
      <c r="AB138" s="305">
        <f>+IF(W138=0,0,HLOOKUP(YEAR(W138)+(MONTH(W138)/100),TC!$5:$37,DAY(W138)+2,FALSE))</f>
        <v>0</v>
      </c>
      <c r="AC138" s="306">
        <f t="shared" si="42"/>
        <v>0</v>
      </c>
      <c r="AD138" s="314">
        <f t="shared" si="33"/>
        <v>0</v>
      </c>
      <c r="AE138" s="315">
        <f t="shared" si="43"/>
        <v>0</v>
      </c>
      <c r="AF138" s="316">
        <f t="shared" si="34"/>
        <v>0</v>
      </c>
      <c r="AG138" s="314">
        <v>1</v>
      </c>
      <c r="AH138" s="314">
        <f t="shared" si="44"/>
        <v>0</v>
      </c>
      <c r="AI138" s="314">
        <f t="shared" si="45"/>
        <v>0</v>
      </c>
      <c r="AJ138" s="317"/>
      <c r="AK138" s="315" t="e">
        <f t="shared" si="46"/>
        <v>#N/A</v>
      </c>
      <c r="AM138" s="561"/>
      <c r="AN138" s="561"/>
      <c r="AO138" s="561"/>
    </row>
    <row r="139" spans="2:41">
      <c r="B139" s="296"/>
      <c r="C139" s="299"/>
      <c r="D139" s="296"/>
      <c r="E139" s="298"/>
      <c r="F139" s="299"/>
      <c r="G139" s="300"/>
      <c r="H139" s="303"/>
      <c r="I139" s="303"/>
      <c r="J139" s="322">
        <f t="shared" si="32"/>
        <v>0</v>
      </c>
      <c r="K139" s="305" t="e">
        <f>IF(F139="MXN",1/HLOOKUP(YEAR(G139)+(MONTH(G139)/100),TC!$5:$37,DAY(G139)+2,FALSE),VLOOKUP(F139,Equivalencia!$5:$23,((MAX(Equivalencia!$3:$3)-YEAR(G139))*14)+MONTH(G139)+2,FALSE))</f>
        <v>#N/A</v>
      </c>
      <c r="L139" s="306" t="e">
        <f t="shared" si="35"/>
        <v>#N/A</v>
      </c>
      <c r="M139" s="305">
        <f>IF(G139=0,0,HLOOKUP(YEAR(G139)+(MONTH(G139)/100),TC!$5:$37,DAY(G139)+2,FALSE))</f>
        <v>0</v>
      </c>
      <c r="N139" s="306" t="e">
        <f t="shared" si="36"/>
        <v>#N/A</v>
      </c>
      <c r="O139" s="308">
        <f>IF(G139=0,0,VLOOKUP(YEAR(G139),INPC!$B$4:$P$30,MONTH(G139)+2))</f>
        <v>0</v>
      </c>
      <c r="P139" s="308">
        <f>IF(W139=0,0,IF(OR(C139=$AQ$5,C139=AQ143),VLOOKUP(YEAR(W139),INPC!$B$4:$P$30,MONTH(W139)+1),VLOOKUP(YEAR(W139),INPC!$B$4:$P$30,MONTH(W139)+2)))</f>
        <v>0</v>
      </c>
      <c r="Q139" s="309">
        <f t="shared" si="37"/>
        <v>0</v>
      </c>
      <c r="R139" s="310" t="e">
        <f t="shared" si="38"/>
        <v>#N/A</v>
      </c>
      <c r="S139" s="310">
        <f t="shared" si="39"/>
        <v>0</v>
      </c>
      <c r="T139" s="567" t="str">
        <f t="shared" si="40"/>
        <v>NO</v>
      </c>
      <c r="U139" s="323"/>
      <c r="V139" s="299"/>
      <c r="W139" s="300"/>
      <c r="X139" s="299"/>
      <c r="Y139" s="303"/>
      <c r="Z139" s="305">
        <f>IF(Y139=0,0,IF(X139="MXN",1/HLOOKUP(YEAR(W139)+(MONTH(W139)/100),TC!$5:$37,DAY(W139)+2,FALSE),VLOOKUP(X139,Equivalencia!$1:$23,((MAX(Equivalencia!$3:$3)-YEAR(W139))*14)+MONTH(W139)+2,FALSE)))</f>
        <v>0</v>
      </c>
      <c r="AA139" s="306">
        <f t="shared" si="41"/>
        <v>0</v>
      </c>
      <c r="AB139" s="305">
        <f>+IF(W139=0,0,HLOOKUP(YEAR(W139)+(MONTH(W139)/100),TC!$5:$37,DAY(W139)+2,FALSE))</f>
        <v>0</v>
      </c>
      <c r="AC139" s="306">
        <f t="shared" si="42"/>
        <v>0</v>
      </c>
      <c r="AD139" s="314">
        <f t="shared" si="33"/>
        <v>0</v>
      </c>
      <c r="AE139" s="315">
        <f t="shared" si="43"/>
        <v>0</v>
      </c>
      <c r="AF139" s="316">
        <f t="shared" si="34"/>
        <v>0</v>
      </c>
      <c r="AG139" s="314">
        <v>1</v>
      </c>
      <c r="AH139" s="314">
        <f t="shared" si="44"/>
        <v>0</v>
      </c>
      <c r="AI139" s="314">
        <f t="shared" si="45"/>
        <v>0</v>
      </c>
      <c r="AJ139" s="317"/>
      <c r="AK139" s="315" t="e">
        <f t="shared" si="46"/>
        <v>#N/A</v>
      </c>
      <c r="AM139" s="561"/>
      <c r="AN139" s="561"/>
      <c r="AO139" s="561"/>
    </row>
    <row r="140" spans="2:41">
      <c r="B140" s="296"/>
      <c r="C140" s="299"/>
      <c r="D140" s="296"/>
      <c r="E140" s="298"/>
      <c r="F140" s="299"/>
      <c r="G140" s="300"/>
      <c r="H140" s="303"/>
      <c r="I140" s="303"/>
      <c r="J140" s="322">
        <f t="shared" si="32"/>
        <v>0</v>
      </c>
      <c r="K140" s="305" t="e">
        <f>IF(F140="MXN",1/HLOOKUP(YEAR(G140)+(MONTH(G140)/100),TC!$5:$37,DAY(G140)+2,FALSE),VLOOKUP(F140,Equivalencia!$5:$23,((MAX(Equivalencia!$3:$3)-YEAR(G140))*14)+MONTH(G140)+2,FALSE))</f>
        <v>#N/A</v>
      </c>
      <c r="L140" s="306" t="e">
        <f t="shared" si="35"/>
        <v>#N/A</v>
      </c>
      <c r="M140" s="305">
        <f>IF(G140=0,0,HLOOKUP(YEAR(G140)+(MONTH(G140)/100),TC!$5:$37,DAY(G140)+2,FALSE))</f>
        <v>0</v>
      </c>
      <c r="N140" s="306" t="e">
        <f t="shared" si="36"/>
        <v>#N/A</v>
      </c>
      <c r="O140" s="308">
        <f>IF(G140=0,0,VLOOKUP(YEAR(G140),INPC!$B$4:$P$30,MONTH(G140)+2))</f>
        <v>0</v>
      </c>
      <c r="P140" s="308">
        <f>IF(W140=0,0,IF(OR(C140=$AQ$5,C140=AQ144),VLOOKUP(YEAR(W140),INPC!$B$4:$P$30,MONTH(W140)+1),VLOOKUP(YEAR(W140),INPC!$B$4:$P$30,MONTH(W140)+2)))</f>
        <v>0</v>
      </c>
      <c r="Q140" s="309">
        <f t="shared" si="37"/>
        <v>0</v>
      </c>
      <c r="R140" s="310" t="e">
        <f t="shared" si="38"/>
        <v>#N/A</v>
      </c>
      <c r="S140" s="310">
        <f t="shared" si="39"/>
        <v>0</v>
      </c>
      <c r="T140" s="567" t="str">
        <f t="shared" si="40"/>
        <v>NO</v>
      </c>
      <c r="U140" s="323"/>
      <c r="V140" s="299"/>
      <c r="W140" s="300"/>
      <c r="X140" s="299"/>
      <c r="Y140" s="303"/>
      <c r="Z140" s="305">
        <f>IF(Y140=0,0,IF(X140="MXN",1/HLOOKUP(YEAR(W140)+(MONTH(W140)/100),TC!$5:$37,DAY(W140)+2,FALSE),VLOOKUP(X140,Equivalencia!$1:$23,((MAX(Equivalencia!$3:$3)-YEAR(W140))*14)+MONTH(W140)+2,FALSE)))</f>
        <v>0</v>
      </c>
      <c r="AA140" s="306">
        <f t="shared" si="41"/>
        <v>0</v>
      </c>
      <c r="AB140" s="305">
        <f>+IF(W140=0,0,HLOOKUP(YEAR(W140)+(MONTH(W140)/100),TC!$5:$37,DAY(W140)+2,FALSE))</f>
        <v>0</v>
      </c>
      <c r="AC140" s="306">
        <f t="shared" si="42"/>
        <v>0</v>
      </c>
      <c r="AD140" s="314">
        <f t="shared" si="33"/>
        <v>0</v>
      </c>
      <c r="AE140" s="315">
        <f t="shared" si="43"/>
        <v>0</v>
      </c>
      <c r="AF140" s="316">
        <f t="shared" si="34"/>
        <v>0</v>
      </c>
      <c r="AG140" s="314">
        <v>1</v>
      </c>
      <c r="AH140" s="314">
        <f t="shared" si="44"/>
        <v>0</v>
      </c>
      <c r="AI140" s="314">
        <f t="shared" si="45"/>
        <v>0</v>
      </c>
      <c r="AJ140" s="317"/>
      <c r="AK140" s="315" t="e">
        <f t="shared" si="46"/>
        <v>#N/A</v>
      </c>
      <c r="AM140" s="561"/>
      <c r="AN140" s="561"/>
      <c r="AO140" s="561"/>
    </row>
    <row r="141" spans="2:41">
      <c r="B141" s="296"/>
      <c r="C141" s="299"/>
      <c r="D141" s="296"/>
      <c r="E141" s="298"/>
      <c r="F141" s="299"/>
      <c r="G141" s="300"/>
      <c r="H141" s="303"/>
      <c r="I141" s="303"/>
      <c r="J141" s="322">
        <f t="shared" si="32"/>
        <v>0</v>
      </c>
      <c r="K141" s="305" t="e">
        <f>IF(F141="MXN",1/HLOOKUP(YEAR(G141)+(MONTH(G141)/100),TC!$5:$37,DAY(G141)+2,FALSE),VLOOKUP(F141,Equivalencia!$5:$23,((MAX(Equivalencia!$3:$3)-YEAR(G141))*14)+MONTH(G141)+2,FALSE))</f>
        <v>#N/A</v>
      </c>
      <c r="L141" s="306" t="e">
        <f t="shared" si="35"/>
        <v>#N/A</v>
      </c>
      <c r="M141" s="305">
        <f>IF(G141=0,0,HLOOKUP(YEAR(G141)+(MONTH(G141)/100),TC!$5:$37,DAY(G141)+2,FALSE))</f>
        <v>0</v>
      </c>
      <c r="N141" s="306" t="e">
        <f t="shared" si="36"/>
        <v>#N/A</v>
      </c>
      <c r="O141" s="308">
        <f>IF(G141=0,0,VLOOKUP(YEAR(G141),INPC!$B$4:$P$30,MONTH(G141)+2))</f>
        <v>0</v>
      </c>
      <c r="P141" s="308">
        <f>IF(W141=0,0,IF(OR(C141=$AQ$5,C141=AQ145),VLOOKUP(YEAR(W141),INPC!$B$4:$P$30,MONTH(W141)+1),VLOOKUP(YEAR(W141),INPC!$B$4:$P$30,MONTH(W141)+2)))</f>
        <v>0</v>
      </c>
      <c r="Q141" s="309">
        <f t="shared" si="37"/>
        <v>0</v>
      </c>
      <c r="R141" s="310" t="e">
        <f t="shared" si="38"/>
        <v>#N/A</v>
      </c>
      <c r="S141" s="310">
        <f t="shared" si="39"/>
        <v>0</v>
      </c>
      <c r="T141" s="567" t="str">
        <f t="shared" si="40"/>
        <v>NO</v>
      </c>
      <c r="U141" s="323"/>
      <c r="V141" s="299"/>
      <c r="W141" s="300"/>
      <c r="X141" s="299"/>
      <c r="Y141" s="303"/>
      <c r="Z141" s="305">
        <f>IF(Y141=0,0,IF(X141="MXN",1/HLOOKUP(YEAR(W141)+(MONTH(W141)/100),TC!$5:$37,DAY(W141)+2,FALSE),VLOOKUP(X141,Equivalencia!$1:$23,((MAX(Equivalencia!$3:$3)-YEAR(W141))*14)+MONTH(W141)+2,FALSE)))</f>
        <v>0</v>
      </c>
      <c r="AA141" s="306">
        <f t="shared" si="41"/>
        <v>0</v>
      </c>
      <c r="AB141" s="305">
        <f>+IF(W141=0,0,HLOOKUP(YEAR(W141)+(MONTH(W141)/100),TC!$5:$37,DAY(W141)+2,FALSE))</f>
        <v>0</v>
      </c>
      <c r="AC141" s="306">
        <f t="shared" si="42"/>
        <v>0</v>
      </c>
      <c r="AD141" s="314">
        <f t="shared" si="33"/>
        <v>0</v>
      </c>
      <c r="AE141" s="315">
        <f t="shared" si="43"/>
        <v>0</v>
      </c>
      <c r="AF141" s="316">
        <f t="shared" si="34"/>
        <v>0</v>
      </c>
      <c r="AG141" s="314">
        <v>1</v>
      </c>
      <c r="AH141" s="314">
        <f t="shared" si="44"/>
        <v>0</v>
      </c>
      <c r="AI141" s="314">
        <f t="shared" si="45"/>
        <v>0</v>
      </c>
      <c r="AJ141" s="317"/>
      <c r="AK141" s="315" t="e">
        <f t="shared" si="46"/>
        <v>#N/A</v>
      </c>
      <c r="AM141" s="561"/>
      <c r="AN141" s="561"/>
      <c r="AO141" s="561"/>
    </row>
    <row r="142" spans="2:41">
      <c r="B142" s="296"/>
      <c r="C142" s="299"/>
      <c r="D142" s="296"/>
      <c r="E142" s="298"/>
      <c r="F142" s="299"/>
      <c r="G142" s="300"/>
      <c r="H142" s="303"/>
      <c r="I142" s="303"/>
      <c r="J142" s="322">
        <f t="shared" si="32"/>
        <v>0</v>
      </c>
      <c r="K142" s="305" t="e">
        <f>IF(F142="MXN",1/HLOOKUP(YEAR(G142)+(MONTH(G142)/100),TC!$5:$37,DAY(G142)+2,FALSE),VLOOKUP(F142,Equivalencia!$5:$23,((MAX(Equivalencia!$3:$3)-YEAR(G142))*14)+MONTH(G142)+2,FALSE))</f>
        <v>#N/A</v>
      </c>
      <c r="L142" s="306" t="e">
        <f t="shared" si="35"/>
        <v>#N/A</v>
      </c>
      <c r="M142" s="305">
        <f>IF(G142=0,0,HLOOKUP(YEAR(G142)+(MONTH(G142)/100),TC!$5:$37,DAY(G142)+2,FALSE))</f>
        <v>0</v>
      </c>
      <c r="N142" s="306" t="e">
        <f t="shared" si="36"/>
        <v>#N/A</v>
      </c>
      <c r="O142" s="308">
        <f>IF(G142=0,0,VLOOKUP(YEAR(G142),INPC!$B$4:$P$30,MONTH(G142)+2))</f>
        <v>0</v>
      </c>
      <c r="P142" s="308">
        <f>IF(W142=0,0,IF(OR(C142=$AQ$5,C142=AQ146),VLOOKUP(YEAR(W142),INPC!$B$4:$P$30,MONTH(W142)+1),VLOOKUP(YEAR(W142),INPC!$B$4:$P$30,MONTH(W142)+2)))</f>
        <v>0</v>
      </c>
      <c r="Q142" s="309">
        <f t="shared" si="37"/>
        <v>0</v>
      </c>
      <c r="R142" s="310" t="e">
        <f t="shared" si="38"/>
        <v>#N/A</v>
      </c>
      <c r="S142" s="310">
        <f t="shared" si="39"/>
        <v>0</v>
      </c>
      <c r="T142" s="567" t="str">
        <f t="shared" si="40"/>
        <v>NO</v>
      </c>
      <c r="U142" s="323"/>
      <c r="V142" s="299"/>
      <c r="W142" s="300"/>
      <c r="X142" s="299"/>
      <c r="Y142" s="303"/>
      <c r="Z142" s="305">
        <f>IF(Y142=0,0,IF(X142="MXN",1/HLOOKUP(YEAR(W142)+(MONTH(W142)/100),TC!$5:$37,DAY(W142)+2,FALSE),VLOOKUP(X142,Equivalencia!$1:$23,((MAX(Equivalencia!$3:$3)-YEAR(W142))*14)+MONTH(W142)+2,FALSE)))</f>
        <v>0</v>
      </c>
      <c r="AA142" s="306">
        <f t="shared" si="41"/>
        <v>0</v>
      </c>
      <c r="AB142" s="305">
        <f>+IF(W142=0,0,HLOOKUP(YEAR(W142)+(MONTH(W142)/100),TC!$5:$37,DAY(W142)+2,FALSE))</f>
        <v>0</v>
      </c>
      <c r="AC142" s="306">
        <f t="shared" si="42"/>
        <v>0</v>
      </c>
      <c r="AD142" s="314">
        <f t="shared" si="33"/>
        <v>0</v>
      </c>
      <c r="AE142" s="315">
        <f t="shared" si="43"/>
        <v>0</v>
      </c>
      <c r="AF142" s="316">
        <f t="shared" si="34"/>
        <v>0</v>
      </c>
      <c r="AG142" s="314">
        <v>1</v>
      </c>
      <c r="AH142" s="314">
        <f t="shared" si="44"/>
        <v>0</v>
      </c>
      <c r="AI142" s="314">
        <f t="shared" si="45"/>
        <v>0</v>
      </c>
      <c r="AJ142" s="317"/>
      <c r="AK142" s="315" t="e">
        <f t="shared" si="46"/>
        <v>#N/A</v>
      </c>
      <c r="AM142" s="561"/>
      <c r="AN142" s="561"/>
      <c r="AO142" s="561"/>
    </row>
    <row r="143" spans="2:41">
      <c r="B143" s="296"/>
      <c r="C143" s="299"/>
      <c r="D143" s="296"/>
      <c r="E143" s="298"/>
      <c r="F143" s="299"/>
      <c r="G143" s="300"/>
      <c r="H143" s="303"/>
      <c r="I143" s="303"/>
      <c r="J143" s="322">
        <f t="shared" si="32"/>
        <v>0</v>
      </c>
      <c r="K143" s="305" t="e">
        <f>IF(F143="MXN",1/HLOOKUP(YEAR(G143)+(MONTH(G143)/100),TC!$5:$37,DAY(G143)+2,FALSE),VLOOKUP(F143,Equivalencia!$5:$23,((MAX(Equivalencia!$3:$3)-YEAR(G143))*14)+MONTH(G143)+2,FALSE))</f>
        <v>#N/A</v>
      </c>
      <c r="L143" s="306" t="e">
        <f t="shared" si="35"/>
        <v>#N/A</v>
      </c>
      <c r="M143" s="305">
        <f>IF(G143=0,0,HLOOKUP(YEAR(G143)+(MONTH(G143)/100),TC!$5:$37,DAY(G143)+2,FALSE))</f>
        <v>0</v>
      </c>
      <c r="N143" s="306" t="e">
        <f t="shared" si="36"/>
        <v>#N/A</v>
      </c>
      <c r="O143" s="308">
        <f>IF(G143=0,0,VLOOKUP(YEAR(G143),INPC!$B$4:$P$30,MONTH(G143)+2))</f>
        <v>0</v>
      </c>
      <c r="P143" s="308">
        <f>IF(W143=0,0,IF(OR(C143=$AQ$5,C143=AQ147),VLOOKUP(YEAR(W143),INPC!$B$4:$P$30,MONTH(W143)+1),VLOOKUP(YEAR(W143),INPC!$B$4:$P$30,MONTH(W143)+2)))</f>
        <v>0</v>
      </c>
      <c r="Q143" s="309">
        <f t="shared" si="37"/>
        <v>0</v>
      </c>
      <c r="R143" s="310" t="e">
        <f t="shared" si="38"/>
        <v>#N/A</v>
      </c>
      <c r="S143" s="310">
        <f t="shared" si="39"/>
        <v>0</v>
      </c>
      <c r="T143" s="567" t="str">
        <f t="shared" si="40"/>
        <v>NO</v>
      </c>
      <c r="U143" s="323"/>
      <c r="V143" s="299"/>
      <c r="W143" s="300"/>
      <c r="X143" s="299"/>
      <c r="Y143" s="303"/>
      <c r="Z143" s="305">
        <f>IF(Y143=0,0,IF(X143="MXN",1/HLOOKUP(YEAR(W143)+(MONTH(W143)/100),TC!$5:$37,DAY(W143)+2,FALSE),VLOOKUP(X143,Equivalencia!$1:$23,((MAX(Equivalencia!$3:$3)-YEAR(W143))*14)+MONTH(W143)+2,FALSE)))</f>
        <v>0</v>
      </c>
      <c r="AA143" s="306">
        <f t="shared" si="41"/>
        <v>0</v>
      </c>
      <c r="AB143" s="305">
        <f>+IF(W143=0,0,HLOOKUP(YEAR(W143)+(MONTH(W143)/100),TC!$5:$37,DAY(W143)+2,FALSE))</f>
        <v>0</v>
      </c>
      <c r="AC143" s="306">
        <f t="shared" si="42"/>
        <v>0</v>
      </c>
      <c r="AD143" s="314">
        <f t="shared" si="33"/>
        <v>0</v>
      </c>
      <c r="AE143" s="315">
        <f t="shared" si="43"/>
        <v>0</v>
      </c>
      <c r="AF143" s="316">
        <f t="shared" si="34"/>
        <v>0</v>
      </c>
      <c r="AG143" s="314">
        <v>1</v>
      </c>
      <c r="AH143" s="314">
        <f t="shared" si="44"/>
        <v>0</v>
      </c>
      <c r="AI143" s="314">
        <f t="shared" si="45"/>
        <v>0</v>
      </c>
      <c r="AJ143" s="317"/>
      <c r="AK143" s="315" t="e">
        <f t="shared" si="46"/>
        <v>#N/A</v>
      </c>
      <c r="AM143" s="561"/>
      <c r="AN143" s="561"/>
      <c r="AO143" s="561"/>
    </row>
    <row r="144" spans="2:41">
      <c r="B144" s="296"/>
      <c r="C144" s="299"/>
      <c r="D144" s="296"/>
      <c r="E144" s="298"/>
      <c r="F144" s="299"/>
      <c r="G144" s="300"/>
      <c r="H144" s="303"/>
      <c r="I144" s="303"/>
      <c r="J144" s="322">
        <f t="shared" si="32"/>
        <v>0</v>
      </c>
      <c r="K144" s="305" t="e">
        <f>IF(F144="MXN",1/HLOOKUP(YEAR(G144)+(MONTH(G144)/100),TC!$5:$37,DAY(G144)+2,FALSE),VLOOKUP(F144,Equivalencia!$5:$23,((MAX(Equivalencia!$3:$3)-YEAR(G144))*14)+MONTH(G144)+2,FALSE))</f>
        <v>#N/A</v>
      </c>
      <c r="L144" s="306" t="e">
        <f t="shared" si="35"/>
        <v>#N/A</v>
      </c>
      <c r="M144" s="305">
        <f>IF(G144=0,0,HLOOKUP(YEAR(G144)+(MONTH(G144)/100),TC!$5:$37,DAY(G144)+2,FALSE))</f>
        <v>0</v>
      </c>
      <c r="N144" s="306" t="e">
        <f t="shared" si="36"/>
        <v>#N/A</v>
      </c>
      <c r="O144" s="308">
        <f>IF(G144=0,0,VLOOKUP(YEAR(G144),INPC!$B$4:$P$30,MONTH(G144)+2))</f>
        <v>0</v>
      </c>
      <c r="P144" s="308">
        <f>IF(W144=0,0,IF(OR(C144=$AQ$5,C144=AQ148),VLOOKUP(YEAR(W144),INPC!$B$4:$P$30,MONTH(W144)+1),VLOOKUP(YEAR(W144),INPC!$B$4:$P$30,MONTH(W144)+2)))</f>
        <v>0</v>
      </c>
      <c r="Q144" s="309">
        <f t="shared" si="37"/>
        <v>0</v>
      </c>
      <c r="R144" s="310" t="e">
        <f t="shared" si="38"/>
        <v>#N/A</v>
      </c>
      <c r="S144" s="310">
        <f t="shared" si="39"/>
        <v>0</v>
      </c>
      <c r="T144" s="567" t="str">
        <f t="shared" si="40"/>
        <v>NO</v>
      </c>
      <c r="U144" s="323"/>
      <c r="V144" s="299"/>
      <c r="W144" s="300"/>
      <c r="X144" s="299"/>
      <c r="Y144" s="303"/>
      <c r="Z144" s="305">
        <f>IF(Y144=0,0,IF(X144="MXN",1/HLOOKUP(YEAR(W144)+(MONTH(W144)/100),TC!$5:$37,DAY(W144)+2,FALSE),VLOOKUP(X144,Equivalencia!$1:$23,((MAX(Equivalencia!$3:$3)-YEAR(W144))*14)+MONTH(W144)+2,FALSE)))</f>
        <v>0</v>
      </c>
      <c r="AA144" s="306">
        <f t="shared" si="41"/>
        <v>0</v>
      </c>
      <c r="AB144" s="305">
        <f>+IF(W144=0,0,HLOOKUP(YEAR(W144)+(MONTH(W144)/100),TC!$5:$37,DAY(W144)+2,FALSE))</f>
        <v>0</v>
      </c>
      <c r="AC144" s="306">
        <f t="shared" si="42"/>
        <v>0</v>
      </c>
      <c r="AD144" s="314">
        <f t="shared" si="33"/>
        <v>0</v>
      </c>
      <c r="AE144" s="315">
        <f t="shared" si="43"/>
        <v>0</v>
      </c>
      <c r="AF144" s="316">
        <f t="shared" si="34"/>
        <v>0</v>
      </c>
      <c r="AG144" s="314">
        <v>1</v>
      </c>
      <c r="AH144" s="314">
        <f t="shared" si="44"/>
        <v>0</v>
      </c>
      <c r="AI144" s="314">
        <f t="shared" si="45"/>
        <v>0</v>
      </c>
      <c r="AJ144" s="317"/>
      <c r="AK144" s="315" t="e">
        <f t="shared" si="46"/>
        <v>#N/A</v>
      </c>
      <c r="AM144" s="561"/>
      <c r="AN144" s="561"/>
      <c r="AO144" s="561"/>
    </row>
    <row r="145" spans="2:41">
      <c r="B145" s="296"/>
      <c r="C145" s="299"/>
      <c r="D145" s="296"/>
      <c r="E145" s="298"/>
      <c r="F145" s="299"/>
      <c r="G145" s="300"/>
      <c r="H145" s="303"/>
      <c r="I145" s="303"/>
      <c r="J145" s="322">
        <f t="shared" si="32"/>
        <v>0</v>
      </c>
      <c r="K145" s="305" t="e">
        <f>IF(F145="MXN",1/HLOOKUP(YEAR(G145)+(MONTH(G145)/100),TC!$5:$37,DAY(G145)+2,FALSE),VLOOKUP(F145,Equivalencia!$5:$23,((MAX(Equivalencia!$3:$3)-YEAR(G145))*14)+MONTH(G145)+2,FALSE))</f>
        <v>#N/A</v>
      </c>
      <c r="L145" s="306" t="e">
        <f t="shared" si="35"/>
        <v>#N/A</v>
      </c>
      <c r="M145" s="305">
        <f>IF(G145=0,0,HLOOKUP(YEAR(G145)+(MONTH(G145)/100),TC!$5:$37,DAY(G145)+2,FALSE))</f>
        <v>0</v>
      </c>
      <c r="N145" s="306" t="e">
        <f t="shared" si="36"/>
        <v>#N/A</v>
      </c>
      <c r="O145" s="308">
        <f>IF(G145=0,0,VLOOKUP(YEAR(G145),INPC!$B$4:$P$30,MONTH(G145)+2))</f>
        <v>0</v>
      </c>
      <c r="P145" s="308">
        <f>IF(W145=0,0,IF(OR(C145=$AQ$5,C145=AQ149),VLOOKUP(YEAR(W145),INPC!$B$4:$P$30,MONTH(W145)+1),VLOOKUP(YEAR(W145),INPC!$B$4:$P$30,MONTH(W145)+2)))</f>
        <v>0</v>
      </c>
      <c r="Q145" s="309">
        <f t="shared" si="37"/>
        <v>0</v>
      </c>
      <c r="R145" s="310" t="e">
        <f t="shared" si="38"/>
        <v>#N/A</v>
      </c>
      <c r="S145" s="310">
        <f t="shared" si="39"/>
        <v>0</v>
      </c>
      <c r="T145" s="567" t="str">
        <f t="shared" si="40"/>
        <v>NO</v>
      </c>
      <c r="U145" s="323"/>
      <c r="V145" s="299"/>
      <c r="W145" s="300"/>
      <c r="X145" s="299"/>
      <c r="Y145" s="303"/>
      <c r="Z145" s="305">
        <f>IF(Y145=0,0,IF(X145="MXN",1/HLOOKUP(YEAR(W145)+(MONTH(W145)/100),TC!$5:$37,DAY(W145)+2,FALSE),VLOOKUP(X145,Equivalencia!$1:$23,((MAX(Equivalencia!$3:$3)-YEAR(W145))*14)+MONTH(W145)+2,FALSE)))</f>
        <v>0</v>
      </c>
      <c r="AA145" s="306">
        <f t="shared" si="41"/>
        <v>0</v>
      </c>
      <c r="AB145" s="305">
        <f>+IF(W145=0,0,HLOOKUP(YEAR(W145)+(MONTH(W145)/100),TC!$5:$37,DAY(W145)+2,FALSE))</f>
        <v>0</v>
      </c>
      <c r="AC145" s="306">
        <f t="shared" si="42"/>
        <v>0</v>
      </c>
      <c r="AD145" s="314">
        <f t="shared" si="33"/>
        <v>0</v>
      </c>
      <c r="AE145" s="315">
        <f t="shared" si="43"/>
        <v>0</v>
      </c>
      <c r="AF145" s="316">
        <f t="shared" si="34"/>
        <v>0</v>
      </c>
      <c r="AG145" s="314">
        <v>1</v>
      </c>
      <c r="AH145" s="314">
        <f t="shared" si="44"/>
        <v>0</v>
      </c>
      <c r="AI145" s="314">
        <f t="shared" si="45"/>
        <v>0</v>
      </c>
      <c r="AJ145" s="317"/>
      <c r="AK145" s="315" t="e">
        <f t="shared" si="46"/>
        <v>#N/A</v>
      </c>
      <c r="AM145" s="561"/>
      <c r="AN145" s="561"/>
      <c r="AO145" s="561"/>
    </row>
    <row r="146" spans="2:41">
      <c r="B146" s="296"/>
      <c r="C146" s="299"/>
      <c r="D146" s="296"/>
      <c r="E146" s="298"/>
      <c r="F146" s="299"/>
      <c r="G146" s="300"/>
      <c r="H146" s="303"/>
      <c r="I146" s="303"/>
      <c r="J146" s="322">
        <f t="shared" si="32"/>
        <v>0</v>
      </c>
      <c r="K146" s="305" t="e">
        <f>IF(F146="MXN",1/HLOOKUP(YEAR(G146)+(MONTH(G146)/100),TC!$5:$37,DAY(G146)+2,FALSE),VLOOKUP(F146,Equivalencia!$5:$23,((MAX(Equivalencia!$3:$3)-YEAR(G146))*14)+MONTH(G146)+2,FALSE))</f>
        <v>#N/A</v>
      </c>
      <c r="L146" s="306" t="e">
        <f t="shared" si="35"/>
        <v>#N/A</v>
      </c>
      <c r="M146" s="305">
        <f>IF(G146=0,0,HLOOKUP(YEAR(G146)+(MONTH(G146)/100),TC!$5:$37,DAY(G146)+2,FALSE))</f>
        <v>0</v>
      </c>
      <c r="N146" s="306" t="e">
        <f t="shared" si="36"/>
        <v>#N/A</v>
      </c>
      <c r="O146" s="308">
        <f>IF(G146=0,0,VLOOKUP(YEAR(G146),INPC!$B$4:$P$30,MONTH(G146)+2))</f>
        <v>0</v>
      </c>
      <c r="P146" s="308">
        <f>IF(W146=0,0,IF(OR(C146=$AQ$5,C146=AQ150),VLOOKUP(YEAR(W146),INPC!$B$4:$P$30,MONTH(W146)+1),VLOOKUP(YEAR(W146),INPC!$B$4:$P$30,MONTH(W146)+2)))</f>
        <v>0</v>
      </c>
      <c r="Q146" s="309">
        <f t="shared" si="37"/>
        <v>0</v>
      </c>
      <c r="R146" s="310" t="e">
        <f t="shared" si="38"/>
        <v>#N/A</v>
      </c>
      <c r="S146" s="310">
        <f t="shared" si="39"/>
        <v>0</v>
      </c>
      <c r="T146" s="567" t="str">
        <f t="shared" si="40"/>
        <v>NO</v>
      </c>
      <c r="U146" s="323"/>
      <c r="V146" s="299"/>
      <c r="W146" s="300"/>
      <c r="X146" s="299"/>
      <c r="Y146" s="303"/>
      <c r="Z146" s="305">
        <f>IF(Y146=0,0,IF(X146="MXN",1/HLOOKUP(YEAR(W146)+(MONTH(W146)/100),TC!$5:$37,DAY(W146)+2,FALSE),VLOOKUP(X146,Equivalencia!$1:$23,((MAX(Equivalencia!$3:$3)-YEAR(W146))*14)+MONTH(W146)+2,FALSE)))</f>
        <v>0</v>
      </c>
      <c r="AA146" s="306">
        <f t="shared" si="41"/>
        <v>0</v>
      </c>
      <c r="AB146" s="305">
        <f>+IF(W146=0,0,HLOOKUP(YEAR(W146)+(MONTH(W146)/100),TC!$5:$37,DAY(W146)+2,FALSE))</f>
        <v>0</v>
      </c>
      <c r="AC146" s="306">
        <f t="shared" si="42"/>
        <v>0</v>
      </c>
      <c r="AD146" s="314">
        <f t="shared" si="33"/>
        <v>0</v>
      </c>
      <c r="AE146" s="315">
        <f t="shared" si="43"/>
        <v>0</v>
      </c>
      <c r="AF146" s="316">
        <f t="shared" si="34"/>
        <v>0</v>
      </c>
      <c r="AG146" s="314">
        <v>1</v>
      </c>
      <c r="AH146" s="314">
        <f t="shared" si="44"/>
        <v>0</v>
      </c>
      <c r="AI146" s="314">
        <f t="shared" si="45"/>
        <v>0</v>
      </c>
      <c r="AJ146" s="317"/>
      <c r="AK146" s="315" t="e">
        <f t="shared" si="46"/>
        <v>#N/A</v>
      </c>
      <c r="AM146" s="561"/>
      <c r="AN146" s="561"/>
      <c r="AO146" s="561"/>
    </row>
    <row r="147" spans="2:41">
      <c r="B147" s="296"/>
      <c r="C147" s="299"/>
      <c r="D147" s="296"/>
      <c r="E147" s="298"/>
      <c r="F147" s="299"/>
      <c r="G147" s="300"/>
      <c r="H147" s="303"/>
      <c r="I147" s="303"/>
      <c r="J147" s="322">
        <f t="shared" si="32"/>
        <v>0</v>
      </c>
      <c r="K147" s="305" t="e">
        <f>IF(F147="MXN",1/HLOOKUP(YEAR(G147)+(MONTH(G147)/100),TC!$5:$37,DAY(G147)+2,FALSE),VLOOKUP(F147,Equivalencia!$5:$23,((MAX(Equivalencia!$3:$3)-YEAR(G147))*14)+MONTH(G147)+2,FALSE))</f>
        <v>#N/A</v>
      </c>
      <c r="L147" s="306" t="e">
        <f t="shared" si="35"/>
        <v>#N/A</v>
      </c>
      <c r="M147" s="305">
        <f>IF(G147=0,0,HLOOKUP(YEAR(G147)+(MONTH(G147)/100),TC!$5:$37,DAY(G147)+2,FALSE))</f>
        <v>0</v>
      </c>
      <c r="N147" s="306" t="e">
        <f t="shared" si="36"/>
        <v>#N/A</v>
      </c>
      <c r="O147" s="308">
        <f>IF(G147=0,0,VLOOKUP(YEAR(G147),INPC!$B$4:$P$30,MONTH(G147)+2))</f>
        <v>0</v>
      </c>
      <c r="P147" s="308">
        <f>IF(W147=0,0,IF(OR(C147=$AQ$5,C147=AQ151),VLOOKUP(YEAR(W147),INPC!$B$4:$P$30,MONTH(W147)+1),VLOOKUP(YEAR(W147),INPC!$B$4:$P$30,MONTH(W147)+2)))</f>
        <v>0</v>
      </c>
      <c r="Q147" s="309">
        <f t="shared" si="37"/>
        <v>0</v>
      </c>
      <c r="R147" s="310" t="e">
        <f t="shared" si="38"/>
        <v>#N/A</v>
      </c>
      <c r="S147" s="310">
        <f t="shared" si="39"/>
        <v>0</v>
      </c>
      <c r="T147" s="567" t="str">
        <f t="shared" si="40"/>
        <v>NO</v>
      </c>
      <c r="U147" s="323"/>
      <c r="V147" s="299"/>
      <c r="W147" s="300"/>
      <c r="X147" s="299"/>
      <c r="Y147" s="303"/>
      <c r="Z147" s="305">
        <f>IF(Y147=0,0,IF(X147="MXN",1/HLOOKUP(YEAR(W147)+(MONTH(W147)/100),TC!$5:$37,DAY(W147)+2,FALSE),VLOOKUP(X147,Equivalencia!$1:$23,((MAX(Equivalencia!$3:$3)-YEAR(W147))*14)+MONTH(W147)+2,FALSE)))</f>
        <v>0</v>
      </c>
      <c r="AA147" s="306">
        <f t="shared" si="41"/>
        <v>0</v>
      </c>
      <c r="AB147" s="305">
        <f>+IF(W147=0,0,HLOOKUP(YEAR(W147)+(MONTH(W147)/100),TC!$5:$37,DAY(W147)+2,FALSE))</f>
        <v>0</v>
      </c>
      <c r="AC147" s="306">
        <f t="shared" si="42"/>
        <v>0</v>
      </c>
      <c r="AD147" s="314">
        <f t="shared" si="33"/>
        <v>0</v>
      </c>
      <c r="AE147" s="315">
        <f t="shared" si="43"/>
        <v>0</v>
      </c>
      <c r="AF147" s="316">
        <f t="shared" si="34"/>
        <v>0</v>
      </c>
      <c r="AG147" s="314">
        <v>1</v>
      </c>
      <c r="AH147" s="314">
        <f t="shared" si="44"/>
        <v>0</v>
      </c>
      <c r="AI147" s="314">
        <f t="shared" si="45"/>
        <v>0</v>
      </c>
      <c r="AJ147" s="317"/>
      <c r="AK147" s="315" t="e">
        <f t="shared" si="46"/>
        <v>#N/A</v>
      </c>
      <c r="AM147" s="561"/>
      <c r="AN147" s="561"/>
      <c r="AO147" s="561"/>
    </row>
    <row r="148" spans="2:41">
      <c r="B148" s="296"/>
      <c r="C148" s="299"/>
      <c r="D148" s="296"/>
      <c r="E148" s="298"/>
      <c r="F148" s="299"/>
      <c r="G148" s="300"/>
      <c r="H148" s="303"/>
      <c r="I148" s="303"/>
      <c r="J148" s="322">
        <f t="shared" si="32"/>
        <v>0</v>
      </c>
      <c r="K148" s="305" t="e">
        <f>IF(F148="MXN",1/HLOOKUP(YEAR(G148)+(MONTH(G148)/100),TC!$5:$37,DAY(G148)+2,FALSE),VLOOKUP(F148,Equivalencia!$5:$23,((MAX(Equivalencia!$3:$3)-YEAR(G148))*14)+MONTH(G148)+2,FALSE))</f>
        <v>#N/A</v>
      </c>
      <c r="L148" s="306" t="e">
        <f t="shared" si="35"/>
        <v>#N/A</v>
      </c>
      <c r="M148" s="305">
        <f>IF(G148=0,0,HLOOKUP(YEAR(G148)+(MONTH(G148)/100),TC!$5:$37,DAY(G148)+2,FALSE))</f>
        <v>0</v>
      </c>
      <c r="N148" s="306" t="e">
        <f t="shared" si="36"/>
        <v>#N/A</v>
      </c>
      <c r="O148" s="308">
        <f>IF(G148=0,0,VLOOKUP(YEAR(G148),INPC!$B$4:$P$30,MONTH(G148)+2))</f>
        <v>0</v>
      </c>
      <c r="P148" s="308">
        <f>IF(W148=0,0,IF(OR(C148=$AQ$5,C148=AQ152),VLOOKUP(YEAR(W148),INPC!$B$4:$P$30,MONTH(W148)+1),VLOOKUP(YEAR(W148),INPC!$B$4:$P$30,MONTH(W148)+2)))</f>
        <v>0</v>
      </c>
      <c r="Q148" s="309">
        <f t="shared" si="37"/>
        <v>0</v>
      </c>
      <c r="R148" s="310" t="e">
        <f t="shared" si="38"/>
        <v>#N/A</v>
      </c>
      <c r="S148" s="310">
        <f t="shared" si="39"/>
        <v>0</v>
      </c>
      <c r="T148" s="567" t="str">
        <f t="shared" si="40"/>
        <v>NO</v>
      </c>
      <c r="U148" s="323"/>
      <c r="V148" s="299"/>
      <c r="W148" s="300"/>
      <c r="X148" s="299"/>
      <c r="Y148" s="303"/>
      <c r="Z148" s="305">
        <f>IF(Y148=0,0,IF(X148="MXN",1/HLOOKUP(YEAR(W148)+(MONTH(W148)/100),TC!$5:$37,DAY(W148)+2,FALSE),VLOOKUP(X148,Equivalencia!$1:$23,((MAX(Equivalencia!$3:$3)-YEAR(W148))*14)+MONTH(W148)+2,FALSE)))</f>
        <v>0</v>
      </c>
      <c r="AA148" s="306">
        <f t="shared" si="41"/>
        <v>0</v>
      </c>
      <c r="AB148" s="305">
        <f>+IF(W148=0,0,HLOOKUP(YEAR(W148)+(MONTH(W148)/100),TC!$5:$37,DAY(W148)+2,FALSE))</f>
        <v>0</v>
      </c>
      <c r="AC148" s="306">
        <f t="shared" si="42"/>
        <v>0</v>
      </c>
      <c r="AD148" s="314">
        <f t="shared" si="33"/>
        <v>0</v>
      </c>
      <c r="AE148" s="315">
        <f t="shared" si="43"/>
        <v>0</v>
      </c>
      <c r="AF148" s="316">
        <f t="shared" si="34"/>
        <v>0</v>
      </c>
      <c r="AG148" s="314">
        <v>1</v>
      </c>
      <c r="AH148" s="314">
        <f t="shared" si="44"/>
        <v>0</v>
      </c>
      <c r="AI148" s="314">
        <f t="shared" si="45"/>
        <v>0</v>
      </c>
      <c r="AJ148" s="317"/>
      <c r="AK148" s="315" t="e">
        <f t="shared" si="46"/>
        <v>#N/A</v>
      </c>
      <c r="AM148" s="561"/>
      <c r="AN148" s="561"/>
      <c r="AO148" s="561"/>
    </row>
    <row r="149" spans="2:41">
      <c r="B149" s="296"/>
      <c r="C149" s="299"/>
      <c r="D149" s="296"/>
      <c r="E149" s="298"/>
      <c r="F149" s="299"/>
      <c r="G149" s="300"/>
      <c r="H149" s="303"/>
      <c r="I149" s="303"/>
      <c r="J149" s="322">
        <f t="shared" si="32"/>
        <v>0</v>
      </c>
      <c r="K149" s="305" t="e">
        <f>IF(F149="MXN",1/HLOOKUP(YEAR(G149)+(MONTH(G149)/100),TC!$5:$37,DAY(G149)+2,FALSE),VLOOKUP(F149,Equivalencia!$5:$23,((MAX(Equivalencia!$3:$3)-YEAR(G149))*14)+MONTH(G149)+2,FALSE))</f>
        <v>#N/A</v>
      </c>
      <c r="L149" s="306" t="e">
        <f t="shared" si="35"/>
        <v>#N/A</v>
      </c>
      <c r="M149" s="305">
        <f>IF(G149=0,0,HLOOKUP(YEAR(G149)+(MONTH(G149)/100),TC!$5:$37,DAY(G149)+2,FALSE))</f>
        <v>0</v>
      </c>
      <c r="N149" s="306" t="e">
        <f t="shared" si="36"/>
        <v>#N/A</v>
      </c>
      <c r="O149" s="308">
        <f>IF(G149=0,0,VLOOKUP(YEAR(G149),INPC!$B$4:$P$30,MONTH(G149)+2))</f>
        <v>0</v>
      </c>
      <c r="P149" s="308">
        <f>IF(W149=0,0,IF(OR(C149=$AQ$5,C149=AQ153),VLOOKUP(YEAR(W149),INPC!$B$4:$P$30,MONTH(W149)+1),VLOOKUP(YEAR(W149),INPC!$B$4:$P$30,MONTH(W149)+2)))</f>
        <v>0</v>
      </c>
      <c r="Q149" s="309">
        <f t="shared" si="37"/>
        <v>0</v>
      </c>
      <c r="R149" s="310" t="e">
        <f t="shared" si="38"/>
        <v>#N/A</v>
      </c>
      <c r="S149" s="310">
        <f t="shared" si="39"/>
        <v>0</v>
      </c>
      <c r="T149" s="567" t="str">
        <f t="shared" si="40"/>
        <v>NO</v>
      </c>
      <c r="U149" s="323"/>
      <c r="V149" s="299"/>
      <c r="W149" s="300"/>
      <c r="X149" s="299"/>
      <c r="Y149" s="303"/>
      <c r="Z149" s="305">
        <f>IF(Y149=0,0,IF(X149="MXN",1/HLOOKUP(YEAR(W149)+(MONTH(W149)/100),TC!$5:$37,DAY(W149)+2,FALSE),VLOOKUP(X149,Equivalencia!$1:$23,((MAX(Equivalencia!$3:$3)-YEAR(W149))*14)+MONTH(W149)+2,FALSE)))</f>
        <v>0</v>
      </c>
      <c r="AA149" s="306">
        <f t="shared" si="41"/>
        <v>0</v>
      </c>
      <c r="AB149" s="305">
        <f>+IF(W149=0,0,HLOOKUP(YEAR(W149)+(MONTH(W149)/100),TC!$5:$37,DAY(W149)+2,FALSE))</f>
        <v>0</v>
      </c>
      <c r="AC149" s="306">
        <f t="shared" si="42"/>
        <v>0</v>
      </c>
      <c r="AD149" s="314">
        <f t="shared" si="33"/>
        <v>0</v>
      </c>
      <c r="AE149" s="315">
        <f t="shared" si="43"/>
        <v>0</v>
      </c>
      <c r="AF149" s="316">
        <f t="shared" si="34"/>
        <v>0</v>
      </c>
      <c r="AG149" s="314">
        <v>1</v>
      </c>
      <c r="AH149" s="314">
        <f t="shared" si="44"/>
        <v>0</v>
      </c>
      <c r="AI149" s="314">
        <f t="shared" si="45"/>
        <v>0</v>
      </c>
      <c r="AJ149" s="317"/>
      <c r="AK149" s="315" t="e">
        <f t="shared" si="46"/>
        <v>#N/A</v>
      </c>
      <c r="AM149" s="561"/>
      <c r="AN149" s="561"/>
      <c r="AO149" s="561"/>
    </row>
    <row r="150" spans="2:41">
      <c r="B150" s="296"/>
      <c r="C150" s="299"/>
      <c r="D150" s="296"/>
      <c r="E150" s="298"/>
      <c r="F150" s="299"/>
      <c r="G150" s="300"/>
      <c r="H150" s="303"/>
      <c r="I150" s="303"/>
      <c r="J150" s="322">
        <f t="shared" si="32"/>
        <v>0</v>
      </c>
      <c r="K150" s="305" t="e">
        <f>IF(F150="MXN",1/HLOOKUP(YEAR(G150)+(MONTH(G150)/100),TC!$5:$37,DAY(G150)+2,FALSE),VLOOKUP(F150,Equivalencia!$5:$23,((MAX(Equivalencia!$3:$3)-YEAR(G150))*14)+MONTH(G150)+2,FALSE))</f>
        <v>#N/A</v>
      </c>
      <c r="L150" s="306" t="e">
        <f t="shared" si="35"/>
        <v>#N/A</v>
      </c>
      <c r="M150" s="305">
        <f>IF(G150=0,0,HLOOKUP(YEAR(G150)+(MONTH(G150)/100),TC!$5:$37,DAY(G150)+2,FALSE))</f>
        <v>0</v>
      </c>
      <c r="N150" s="306" t="e">
        <f t="shared" si="36"/>
        <v>#N/A</v>
      </c>
      <c r="O150" s="308">
        <f>IF(G150=0,0,VLOOKUP(YEAR(G150),INPC!$B$4:$P$30,MONTH(G150)+2))</f>
        <v>0</v>
      </c>
      <c r="P150" s="308">
        <f>IF(W150=0,0,IF(OR(C150=$AQ$5,C150=AQ154),VLOOKUP(YEAR(W150),INPC!$B$4:$P$30,MONTH(W150)+1),VLOOKUP(YEAR(W150),INPC!$B$4:$P$30,MONTH(W150)+2)))</f>
        <v>0</v>
      </c>
      <c r="Q150" s="309">
        <f t="shared" si="37"/>
        <v>0</v>
      </c>
      <c r="R150" s="310" t="e">
        <f t="shared" si="38"/>
        <v>#N/A</v>
      </c>
      <c r="S150" s="310">
        <f t="shared" si="39"/>
        <v>0</v>
      </c>
      <c r="T150" s="567" t="str">
        <f t="shared" si="40"/>
        <v>NO</v>
      </c>
      <c r="U150" s="323"/>
      <c r="V150" s="299"/>
      <c r="W150" s="300"/>
      <c r="X150" s="299"/>
      <c r="Y150" s="303"/>
      <c r="Z150" s="305">
        <f>IF(Y150=0,0,IF(X150="MXN",1/HLOOKUP(YEAR(W150)+(MONTH(W150)/100),TC!$5:$37,DAY(W150)+2,FALSE),VLOOKUP(X150,Equivalencia!$1:$23,((MAX(Equivalencia!$3:$3)-YEAR(W150))*14)+MONTH(W150)+2,FALSE)))</f>
        <v>0</v>
      </c>
      <c r="AA150" s="306">
        <f t="shared" si="41"/>
        <v>0</v>
      </c>
      <c r="AB150" s="305">
        <f>+IF(W150=0,0,HLOOKUP(YEAR(W150)+(MONTH(W150)/100),TC!$5:$37,DAY(W150)+2,FALSE))</f>
        <v>0</v>
      </c>
      <c r="AC150" s="306">
        <f t="shared" si="42"/>
        <v>0</v>
      </c>
      <c r="AD150" s="314">
        <f t="shared" si="33"/>
        <v>0</v>
      </c>
      <c r="AE150" s="315">
        <f t="shared" si="43"/>
        <v>0</v>
      </c>
      <c r="AF150" s="316">
        <f t="shared" si="34"/>
        <v>0</v>
      </c>
      <c r="AG150" s="314">
        <v>1</v>
      </c>
      <c r="AH150" s="314">
        <f t="shared" si="44"/>
        <v>0</v>
      </c>
      <c r="AI150" s="314">
        <f t="shared" si="45"/>
        <v>0</v>
      </c>
      <c r="AJ150" s="317"/>
      <c r="AK150" s="315" t="e">
        <f t="shared" si="46"/>
        <v>#N/A</v>
      </c>
      <c r="AM150" s="561"/>
      <c r="AN150" s="561"/>
      <c r="AO150" s="561"/>
    </row>
    <row r="151" spans="2:41">
      <c r="B151" s="296"/>
      <c r="C151" s="299"/>
      <c r="D151" s="296"/>
      <c r="E151" s="298"/>
      <c r="F151" s="299"/>
      <c r="G151" s="300"/>
      <c r="H151" s="303"/>
      <c r="I151" s="303"/>
      <c r="J151" s="322">
        <f t="shared" si="32"/>
        <v>0</v>
      </c>
      <c r="K151" s="305" t="e">
        <f>IF(F151="MXN",1/HLOOKUP(YEAR(G151)+(MONTH(G151)/100),TC!$5:$37,DAY(G151)+2,FALSE),VLOOKUP(F151,Equivalencia!$5:$23,((MAX(Equivalencia!$3:$3)-YEAR(G151))*14)+MONTH(G151)+2,FALSE))</f>
        <v>#N/A</v>
      </c>
      <c r="L151" s="306" t="e">
        <f t="shared" si="35"/>
        <v>#N/A</v>
      </c>
      <c r="M151" s="305">
        <f>IF(G151=0,0,HLOOKUP(YEAR(G151)+(MONTH(G151)/100),TC!$5:$37,DAY(G151)+2,FALSE))</f>
        <v>0</v>
      </c>
      <c r="N151" s="306" t="e">
        <f t="shared" si="36"/>
        <v>#N/A</v>
      </c>
      <c r="O151" s="308">
        <f>IF(G151=0,0,VLOOKUP(YEAR(G151),INPC!$B$4:$P$30,MONTH(G151)+2))</f>
        <v>0</v>
      </c>
      <c r="P151" s="308">
        <f>IF(W151=0,0,IF(OR(C151=$AQ$5,C151=AQ155),VLOOKUP(YEAR(W151),INPC!$B$4:$P$30,MONTH(W151)+1),VLOOKUP(YEAR(W151),INPC!$B$4:$P$30,MONTH(W151)+2)))</f>
        <v>0</v>
      </c>
      <c r="Q151" s="309">
        <f t="shared" si="37"/>
        <v>0</v>
      </c>
      <c r="R151" s="310" t="e">
        <f t="shared" si="38"/>
        <v>#N/A</v>
      </c>
      <c r="S151" s="310">
        <f t="shared" si="39"/>
        <v>0</v>
      </c>
      <c r="T151" s="567" t="str">
        <f t="shared" si="40"/>
        <v>NO</v>
      </c>
      <c r="U151" s="323"/>
      <c r="V151" s="299"/>
      <c r="W151" s="300"/>
      <c r="X151" s="299"/>
      <c r="Y151" s="303"/>
      <c r="Z151" s="305">
        <f>IF(Y151=0,0,IF(X151="MXN",1/HLOOKUP(YEAR(W151)+(MONTH(W151)/100),TC!$5:$37,DAY(W151)+2,FALSE),VLOOKUP(X151,Equivalencia!$1:$23,((MAX(Equivalencia!$3:$3)-YEAR(W151))*14)+MONTH(W151)+2,FALSE)))</f>
        <v>0</v>
      </c>
      <c r="AA151" s="306">
        <f t="shared" si="41"/>
        <v>0</v>
      </c>
      <c r="AB151" s="305">
        <f>+IF(W151=0,0,HLOOKUP(YEAR(W151)+(MONTH(W151)/100),TC!$5:$37,DAY(W151)+2,FALSE))</f>
        <v>0</v>
      </c>
      <c r="AC151" s="306">
        <f t="shared" si="42"/>
        <v>0</v>
      </c>
      <c r="AD151" s="314">
        <f t="shared" si="33"/>
        <v>0</v>
      </c>
      <c r="AE151" s="315">
        <f t="shared" si="43"/>
        <v>0</v>
      </c>
      <c r="AF151" s="316">
        <f t="shared" si="34"/>
        <v>0</v>
      </c>
      <c r="AG151" s="314">
        <v>1</v>
      </c>
      <c r="AH151" s="314">
        <f t="shared" si="44"/>
        <v>0</v>
      </c>
      <c r="AI151" s="314">
        <f t="shared" si="45"/>
        <v>0</v>
      </c>
      <c r="AJ151" s="317"/>
      <c r="AK151" s="315" t="e">
        <f t="shared" si="46"/>
        <v>#N/A</v>
      </c>
      <c r="AM151" s="561"/>
      <c r="AN151" s="561"/>
      <c r="AO151" s="561"/>
    </row>
    <row r="152" spans="2:41">
      <c r="B152" s="296"/>
      <c r="C152" s="299"/>
      <c r="D152" s="296"/>
      <c r="E152" s="298"/>
      <c r="F152" s="299"/>
      <c r="G152" s="300"/>
      <c r="H152" s="303"/>
      <c r="I152" s="303"/>
      <c r="J152" s="322">
        <f t="shared" si="32"/>
        <v>0</v>
      </c>
      <c r="K152" s="305" t="e">
        <f>IF(F152="MXN",1/HLOOKUP(YEAR(G152)+(MONTH(G152)/100),TC!$5:$37,DAY(G152)+2,FALSE),VLOOKUP(F152,Equivalencia!$5:$23,((MAX(Equivalencia!$3:$3)-YEAR(G152))*14)+MONTH(G152)+2,FALSE))</f>
        <v>#N/A</v>
      </c>
      <c r="L152" s="306" t="e">
        <f t="shared" si="35"/>
        <v>#N/A</v>
      </c>
      <c r="M152" s="305">
        <f>IF(G152=0,0,HLOOKUP(YEAR(G152)+(MONTH(G152)/100),TC!$5:$37,DAY(G152)+2,FALSE))</f>
        <v>0</v>
      </c>
      <c r="N152" s="306" t="e">
        <f t="shared" si="36"/>
        <v>#N/A</v>
      </c>
      <c r="O152" s="308">
        <f>IF(G152=0,0,VLOOKUP(YEAR(G152),INPC!$B$4:$P$30,MONTH(G152)+2))</f>
        <v>0</v>
      </c>
      <c r="P152" s="308">
        <f>IF(W152=0,0,IF(OR(C152=$AQ$5,C152=AQ156),VLOOKUP(YEAR(W152),INPC!$B$4:$P$30,MONTH(W152)+1),VLOOKUP(YEAR(W152),INPC!$B$4:$P$30,MONTH(W152)+2)))</f>
        <v>0</v>
      </c>
      <c r="Q152" s="309">
        <f t="shared" si="37"/>
        <v>0</v>
      </c>
      <c r="R152" s="310" t="e">
        <f t="shared" si="38"/>
        <v>#N/A</v>
      </c>
      <c r="S152" s="310">
        <f t="shared" si="39"/>
        <v>0</v>
      </c>
      <c r="T152" s="567" t="str">
        <f t="shared" si="40"/>
        <v>NO</v>
      </c>
      <c r="U152" s="323"/>
      <c r="V152" s="299"/>
      <c r="W152" s="300"/>
      <c r="X152" s="299"/>
      <c r="Y152" s="303"/>
      <c r="Z152" s="305">
        <f>IF(Y152=0,0,IF(X152="MXN",1/HLOOKUP(YEAR(W152)+(MONTH(W152)/100),TC!$5:$37,DAY(W152)+2,FALSE),VLOOKUP(X152,Equivalencia!$1:$23,((MAX(Equivalencia!$3:$3)-YEAR(W152))*14)+MONTH(W152)+2,FALSE)))</f>
        <v>0</v>
      </c>
      <c r="AA152" s="306">
        <f t="shared" si="41"/>
        <v>0</v>
      </c>
      <c r="AB152" s="305">
        <f>+IF(W152=0,0,HLOOKUP(YEAR(W152)+(MONTH(W152)/100),TC!$5:$37,DAY(W152)+2,FALSE))</f>
        <v>0</v>
      </c>
      <c r="AC152" s="306">
        <f t="shared" si="42"/>
        <v>0</v>
      </c>
      <c r="AD152" s="314">
        <f t="shared" si="33"/>
        <v>0</v>
      </c>
      <c r="AE152" s="315">
        <f t="shared" si="43"/>
        <v>0</v>
      </c>
      <c r="AF152" s="316">
        <f t="shared" si="34"/>
        <v>0</v>
      </c>
      <c r="AG152" s="314">
        <v>1</v>
      </c>
      <c r="AH152" s="314">
        <f t="shared" si="44"/>
        <v>0</v>
      </c>
      <c r="AI152" s="314">
        <f t="shared" si="45"/>
        <v>0</v>
      </c>
      <c r="AJ152" s="317"/>
      <c r="AK152" s="315" t="e">
        <f t="shared" si="46"/>
        <v>#N/A</v>
      </c>
      <c r="AM152" s="561"/>
      <c r="AN152" s="561"/>
      <c r="AO152" s="561"/>
    </row>
    <row r="153" spans="2:41">
      <c r="B153" s="296"/>
      <c r="C153" s="299"/>
      <c r="D153" s="296"/>
      <c r="E153" s="298"/>
      <c r="F153" s="299"/>
      <c r="G153" s="300"/>
      <c r="H153" s="303"/>
      <c r="I153" s="303"/>
      <c r="J153" s="322">
        <f t="shared" si="32"/>
        <v>0</v>
      </c>
      <c r="K153" s="305" t="e">
        <f>IF(F153="MXN",1/HLOOKUP(YEAR(G153)+(MONTH(G153)/100),TC!$5:$37,DAY(G153)+2,FALSE),VLOOKUP(F153,Equivalencia!$5:$23,((MAX(Equivalencia!$3:$3)-YEAR(G153))*14)+MONTH(G153)+2,FALSE))</f>
        <v>#N/A</v>
      </c>
      <c r="L153" s="306" t="e">
        <f t="shared" si="35"/>
        <v>#N/A</v>
      </c>
      <c r="M153" s="305">
        <f>IF(G153=0,0,HLOOKUP(YEAR(G153)+(MONTH(G153)/100),TC!$5:$37,DAY(G153)+2,FALSE))</f>
        <v>0</v>
      </c>
      <c r="N153" s="306" t="e">
        <f t="shared" si="36"/>
        <v>#N/A</v>
      </c>
      <c r="O153" s="308">
        <f>IF(G153=0,0,VLOOKUP(YEAR(G153),INPC!$B$4:$P$30,MONTH(G153)+2))</f>
        <v>0</v>
      </c>
      <c r="P153" s="308">
        <f>IF(W153=0,0,IF(OR(C153=$AQ$5,C153=AQ157),VLOOKUP(YEAR(W153),INPC!$B$4:$P$30,MONTH(W153)+1),VLOOKUP(YEAR(W153),INPC!$B$4:$P$30,MONTH(W153)+2)))</f>
        <v>0</v>
      </c>
      <c r="Q153" s="309">
        <f t="shared" si="37"/>
        <v>0</v>
      </c>
      <c r="R153" s="310" t="e">
        <f t="shared" si="38"/>
        <v>#N/A</v>
      </c>
      <c r="S153" s="310">
        <f t="shared" si="39"/>
        <v>0</v>
      </c>
      <c r="T153" s="567" t="str">
        <f t="shared" si="40"/>
        <v>NO</v>
      </c>
      <c r="U153" s="323"/>
      <c r="V153" s="299"/>
      <c r="W153" s="300"/>
      <c r="X153" s="299"/>
      <c r="Y153" s="303"/>
      <c r="Z153" s="305">
        <f>IF(Y153=0,0,IF(X153="MXN",1/HLOOKUP(YEAR(W153)+(MONTH(W153)/100),TC!$5:$37,DAY(W153)+2,FALSE),VLOOKUP(X153,Equivalencia!$1:$23,((MAX(Equivalencia!$3:$3)-YEAR(W153))*14)+MONTH(W153)+2,FALSE)))</f>
        <v>0</v>
      </c>
      <c r="AA153" s="306">
        <f t="shared" si="41"/>
        <v>0</v>
      </c>
      <c r="AB153" s="305">
        <f>+IF(W153=0,0,HLOOKUP(YEAR(W153)+(MONTH(W153)/100),TC!$5:$37,DAY(W153)+2,FALSE))</f>
        <v>0</v>
      </c>
      <c r="AC153" s="306">
        <f t="shared" si="42"/>
        <v>0</v>
      </c>
      <c r="AD153" s="314">
        <f t="shared" si="33"/>
        <v>0</v>
      </c>
      <c r="AE153" s="315">
        <f t="shared" si="43"/>
        <v>0</v>
      </c>
      <c r="AF153" s="316">
        <f t="shared" si="34"/>
        <v>0</v>
      </c>
      <c r="AG153" s="314">
        <v>1</v>
      </c>
      <c r="AH153" s="314">
        <f t="shared" si="44"/>
        <v>0</v>
      </c>
      <c r="AI153" s="314">
        <f t="shared" si="45"/>
        <v>0</v>
      </c>
      <c r="AJ153" s="317"/>
      <c r="AK153" s="315" t="e">
        <f t="shared" si="46"/>
        <v>#N/A</v>
      </c>
      <c r="AM153" s="561"/>
      <c r="AN153" s="561"/>
      <c r="AO153" s="561"/>
    </row>
    <row r="154" spans="2:41">
      <c r="B154" s="296"/>
      <c r="C154" s="299"/>
      <c r="D154" s="296"/>
      <c r="E154" s="298"/>
      <c r="F154" s="299"/>
      <c r="G154" s="300"/>
      <c r="H154" s="303"/>
      <c r="I154" s="303"/>
      <c r="J154" s="322">
        <f t="shared" si="32"/>
        <v>0</v>
      </c>
      <c r="K154" s="305" t="e">
        <f>IF(F154="MXN",1/HLOOKUP(YEAR(G154)+(MONTH(G154)/100),TC!$5:$37,DAY(G154)+2,FALSE),VLOOKUP(F154,Equivalencia!$5:$23,((MAX(Equivalencia!$3:$3)-YEAR(G154))*14)+MONTH(G154)+2,FALSE))</f>
        <v>#N/A</v>
      </c>
      <c r="L154" s="306" t="e">
        <f t="shared" si="35"/>
        <v>#N/A</v>
      </c>
      <c r="M154" s="305">
        <f>IF(G154=0,0,HLOOKUP(YEAR(G154)+(MONTH(G154)/100),TC!$5:$37,DAY(G154)+2,FALSE))</f>
        <v>0</v>
      </c>
      <c r="N154" s="306" t="e">
        <f t="shared" si="36"/>
        <v>#N/A</v>
      </c>
      <c r="O154" s="308">
        <f>IF(G154=0,0,VLOOKUP(YEAR(G154),INPC!$B$4:$P$30,MONTH(G154)+2))</f>
        <v>0</v>
      </c>
      <c r="P154" s="308">
        <f>IF(W154=0,0,IF(OR(C154=$AQ$5,C154=AQ158),VLOOKUP(YEAR(W154),INPC!$B$4:$P$30,MONTH(W154)+1),VLOOKUP(YEAR(W154),INPC!$B$4:$P$30,MONTH(W154)+2)))</f>
        <v>0</v>
      </c>
      <c r="Q154" s="309">
        <f t="shared" si="37"/>
        <v>0</v>
      </c>
      <c r="R154" s="310" t="e">
        <f t="shared" si="38"/>
        <v>#N/A</v>
      </c>
      <c r="S154" s="310">
        <f t="shared" si="39"/>
        <v>0</v>
      </c>
      <c r="T154" s="567" t="str">
        <f t="shared" si="40"/>
        <v>NO</v>
      </c>
      <c r="U154" s="323"/>
      <c r="V154" s="299"/>
      <c r="W154" s="300"/>
      <c r="X154" s="299"/>
      <c r="Y154" s="303"/>
      <c r="Z154" s="305">
        <f>IF(Y154=0,0,IF(X154="MXN",1/HLOOKUP(YEAR(W154)+(MONTH(W154)/100),TC!$5:$37,DAY(W154)+2,FALSE),VLOOKUP(X154,Equivalencia!$1:$23,((MAX(Equivalencia!$3:$3)-YEAR(W154))*14)+MONTH(W154)+2,FALSE)))</f>
        <v>0</v>
      </c>
      <c r="AA154" s="306">
        <f t="shared" si="41"/>
        <v>0</v>
      </c>
      <c r="AB154" s="305">
        <f>+IF(W154=0,0,HLOOKUP(YEAR(W154)+(MONTH(W154)/100),TC!$5:$37,DAY(W154)+2,FALSE))</f>
        <v>0</v>
      </c>
      <c r="AC154" s="306">
        <f t="shared" si="42"/>
        <v>0</v>
      </c>
      <c r="AD154" s="314">
        <f t="shared" si="33"/>
        <v>0</v>
      </c>
      <c r="AE154" s="315">
        <f t="shared" si="43"/>
        <v>0</v>
      </c>
      <c r="AF154" s="316">
        <f t="shared" si="34"/>
        <v>0</v>
      </c>
      <c r="AG154" s="314">
        <v>1</v>
      </c>
      <c r="AH154" s="314">
        <f t="shared" si="44"/>
        <v>0</v>
      </c>
      <c r="AI154" s="314">
        <f t="shared" si="45"/>
        <v>0</v>
      </c>
      <c r="AJ154" s="317"/>
      <c r="AK154" s="315" t="e">
        <f t="shared" si="46"/>
        <v>#N/A</v>
      </c>
      <c r="AM154" s="561"/>
      <c r="AN154" s="561"/>
      <c r="AO154" s="561"/>
    </row>
    <row r="155" spans="2:41">
      <c r="B155" s="296"/>
      <c r="C155" s="299"/>
      <c r="D155" s="296"/>
      <c r="E155" s="298"/>
      <c r="F155" s="299"/>
      <c r="G155" s="300"/>
      <c r="H155" s="303"/>
      <c r="I155" s="303"/>
      <c r="J155" s="322">
        <f t="shared" si="32"/>
        <v>0</v>
      </c>
      <c r="K155" s="305" t="e">
        <f>IF(F155="MXN",1/HLOOKUP(YEAR(G155)+(MONTH(G155)/100),TC!$5:$37,DAY(G155)+2,FALSE),VLOOKUP(F155,Equivalencia!$5:$23,((MAX(Equivalencia!$3:$3)-YEAR(G155))*14)+MONTH(G155)+2,FALSE))</f>
        <v>#N/A</v>
      </c>
      <c r="L155" s="306" t="e">
        <f t="shared" si="35"/>
        <v>#N/A</v>
      </c>
      <c r="M155" s="305">
        <f>IF(G155=0,0,HLOOKUP(YEAR(G155)+(MONTH(G155)/100),TC!$5:$37,DAY(G155)+2,FALSE))</f>
        <v>0</v>
      </c>
      <c r="N155" s="306" t="e">
        <f t="shared" si="36"/>
        <v>#N/A</v>
      </c>
      <c r="O155" s="308">
        <f>IF(G155=0,0,VLOOKUP(YEAR(G155),INPC!$B$4:$P$30,MONTH(G155)+2))</f>
        <v>0</v>
      </c>
      <c r="P155" s="308">
        <f>IF(W155=0,0,IF(OR(C155=$AQ$5,C155=AQ159),VLOOKUP(YEAR(W155),INPC!$B$4:$P$30,MONTH(W155)+1),VLOOKUP(YEAR(W155),INPC!$B$4:$P$30,MONTH(W155)+2)))</f>
        <v>0</v>
      </c>
      <c r="Q155" s="309">
        <f t="shared" si="37"/>
        <v>0</v>
      </c>
      <c r="R155" s="310" t="e">
        <f t="shared" si="38"/>
        <v>#N/A</v>
      </c>
      <c r="S155" s="310">
        <f t="shared" si="39"/>
        <v>0</v>
      </c>
      <c r="T155" s="567" t="str">
        <f t="shared" si="40"/>
        <v>NO</v>
      </c>
      <c r="U155" s="323"/>
      <c r="V155" s="299"/>
      <c r="W155" s="300"/>
      <c r="X155" s="299"/>
      <c r="Y155" s="303"/>
      <c r="Z155" s="305">
        <f>IF(Y155=0,0,IF(X155="MXN",1/HLOOKUP(YEAR(W155)+(MONTH(W155)/100),TC!$5:$37,DAY(W155)+2,FALSE),VLOOKUP(X155,Equivalencia!$1:$23,((MAX(Equivalencia!$3:$3)-YEAR(W155))*14)+MONTH(W155)+2,FALSE)))</f>
        <v>0</v>
      </c>
      <c r="AA155" s="306">
        <f t="shared" si="41"/>
        <v>0</v>
      </c>
      <c r="AB155" s="305">
        <f>+IF(W155=0,0,HLOOKUP(YEAR(W155)+(MONTH(W155)/100),TC!$5:$37,DAY(W155)+2,FALSE))</f>
        <v>0</v>
      </c>
      <c r="AC155" s="306">
        <f t="shared" si="42"/>
        <v>0</v>
      </c>
      <c r="AD155" s="314">
        <f t="shared" si="33"/>
        <v>0</v>
      </c>
      <c r="AE155" s="315">
        <f t="shared" si="43"/>
        <v>0</v>
      </c>
      <c r="AF155" s="316">
        <f t="shared" si="34"/>
        <v>0</v>
      </c>
      <c r="AG155" s="314">
        <v>1</v>
      </c>
      <c r="AH155" s="314">
        <f t="shared" si="44"/>
        <v>0</v>
      </c>
      <c r="AI155" s="314">
        <f t="shared" si="45"/>
        <v>0</v>
      </c>
      <c r="AJ155" s="317"/>
      <c r="AK155" s="315" t="e">
        <f t="shared" si="46"/>
        <v>#N/A</v>
      </c>
      <c r="AM155" s="561"/>
      <c r="AN155" s="561"/>
      <c r="AO155" s="561"/>
    </row>
    <row r="156" spans="2:41">
      <c r="B156" s="296"/>
      <c r="C156" s="299"/>
      <c r="D156" s="296"/>
      <c r="E156" s="298"/>
      <c r="F156" s="299"/>
      <c r="G156" s="300"/>
      <c r="H156" s="303"/>
      <c r="I156" s="303"/>
      <c r="J156" s="322">
        <f t="shared" si="32"/>
        <v>0</v>
      </c>
      <c r="K156" s="305" t="e">
        <f>IF(F156="MXN",1/HLOOKUP(YEAR(G156)+(MONTH(G156)/100),TC!$5:$37,DAY(G156)+2,FALSE),VLOOKUP(F156,Equivalencia!$5:$23,((MAX(Equivalencia!$3:$3)-YEAR(G156))*14)+MONTH(G156)+2,FALSE))</f>
        <v>#N/A</v>
      </c>
      <c r="L156" s="306" t="e">
        <f t="shared" si="35"/>
        <v>#N/A</v>
      </c>
      <c r="M156" s="305">
        <f>IF(G156=0,0,HLOOKUP(YEAR(G156)+(MONTH(G156)/100),TC!$5:$37,DAY(G156)+2,FALSE))</f>
        <v>0</v>
      </c>
      <c r="N156" s="306" t="e">
        <f t="shared" si="36"/>
        <v>#N/A</v>
      </c>
      <c r="O156" s="308">
        <f>IF(G156=0,0,VLOOKUP(YEAR(G156),INPC!$B$4:$P$30,MONTH(G156)+2))</f>
        <v>0</v>
      </c>
      <c r="P156" s="308">
        <f>IF(W156=0,0,IF(OR(C156=$AQ$5,C156=AQ160),VLOOKUP(YEAR(W156),INPC!$B$4:$P$30,MONTH(W156)+1),VLOOKUP(YEAR(W156),INPC!$B$4:$P$30,MONTH(W156)+2)))</f>
        <v>0</v>
      </c>
      <c r="Q156" s="309">
        <f t="shared" si="37"/>
        <v>0</v>
      </c>
      <c r="R156" s="310" t="e">
        <f t="shared" si="38"/>
        <v>#N/A</v>
      </c>
      <c r="S156" s="310">
        <f t="shared" si="39"/>
        <v>0</v>
      </c>
      <c r="T156" s="567" t="str">
        <f t="shared" si="40"/>
        <v>NO</v>
      </c>
      <c r="U156" s="323"/>
      <c r="V156" s="299"/>
      <c r="W156" s="300"/>
      <c r="X156" s="299"/>
      <c r="Y156" s="303"/>
      <c r="Z156" s="305">
        <f>IF(Y156=0,0,IF(X156="MXN",1/HLOOKUP(YEAR(W156)+(MONTH(W156)/100),TC!$5:$37,DAY(W156)+2,FALSE),VLOOKUP(X156,Equivalencia!$1:$23,((MAX(Equivalencia!$3:$3)-YEAR(W156))*14)+MONTH(W156)+2,FALSE)))</f>
        <v>0</v>
      </c>
      <c r="AA156" s="306">
        <f t="shared" si="41"/>
        <v>0</v>
      </c>
      <c r="AB156" s="305">
        <f>+IF(W156=0,0,HLOOKUP(YEAR(W156)+(MONTH(W156)/100),TC!$5:$37,DAY(W156)+2,FALSE))</f>
        <v>0</v>
      </c>
      <c r="AC156" s="306">
        <f t="shared" si="42"/>
        <v>0</v>
      </c>
      <c r="AD156" s="314">
        <f t="shared" si="33"/>
        <v>0</v>
      </c>
      <c r="AE156" s="315">
        <f t="shared" si="43"/>
        <v>0</v>
      </c>
      <c r="AF156" s="316">
        <f t="shared" si="34"/>
        <v>0</v>
      </c>
      <c r="AG156" s="314">
        <v>1</v>
      </c>
      <c r="AH156" s="314">
        <f t="shared" si="44"/>
        <v>0</v>
      </c>
      <c r="AI156" s="314">
        <f t="shared" si="45"/>
        <v>0</v>
      </c>
      <c r="AJ156" s="317"/>
      <c r="AK156" s="315" t="e">
        <f t="shared" si="46"/>
        <v>#N/A</v>
      </c>
      <c r="AM156" s="561"/>
      <c r="AN156" s="561"/>
      <c r="AO156" s="561"/>
    </row>
    <row r="157" spans="2:41">
      <c r="B157" s="296"/>
      <c r="C157" s="299"/>
      <c r="D157" s="296"/>
      <c r="E157" s="298"/>
      <c r="F157" s="299"/>
      <c r="G157" s="300"/>
      <c r="H157" s="303"/>
      <c r="I157" s="303"/>
      <c r="J157" s="322">
        <f t="shared" si="32"/>
        <v>0</v>
      </c>
      <c r="K157" s="305" t="e">
        <f>IF(F157="MXN",1/HLOOKUP(YEAR(G157)+(MONTH(G157)/100),TC!$5:$37,DAY(G157)+2,FALSE),VLOOKUP(F157,Equivalencia!$5:$23,((MAX(Equivalencia!$3:$3)-YEAR(G157))*14)+MONTH(G157)+2,FALSE))</f>
        <v>#N/A</v>
      </c>
      <c r="L157" s="306" t="e">
        <f t="shared" si="35"/>
        <v>#N/A</v>
      </c>
      <c r="M157" s="305">
        <f>IF(G157=0,0,HLOOKUP(YEAR(G157)+(MONTH(G157)/100),TC!$5:$37,DAY(G157)+2,FALSE))</f>
        <v>0</v>
      </c>
      <c r="N157" s="306" t="e">
        <f t="shared" si="36"/>
        <v>#N/A</v>
      </c>
      <c r="O157" s="308">
        <f>IF(G157=0,0,VLOOKUP(YEAR(G157),INPC!$B$4:$P$30,MONTH(G157)+2))</f>
        <v>0</v>
      </c>
      <c r="P157" s="308">
        <f>IF(W157=0,0,IF(OR(C157=$AQ$5,C157=AQ161),VLOOKUP(YEAR(W157),INPC!$B$4:$P$30,MONTH(W157)+1),VLOOKUP(YEAR(W157),INPC!$B$4:$P$30,MONTH(W157)+2)))</f>
        <v>0</v>
      </c>
      <c r="Q157" s="309">
        <f t="shared" si="37"/>
        <v>0</v>
      </c>
      <c r="R157" s="310" t="e">
        <f t="shared" si="38"/>
        <v>#N/A</v>
      </c>
      <c r="S157" s="310">
        <f t="shared" si="39"/>
        <v>0</v>
      </c>
      <c r="T157" s="567" t="str">
        <f t="shared" si="40"/>
        <v>NO</v>
      </c>
      <c r="U157" s="323"/>
      <c r="V157" s="299"/>
      <c r="W157" s="300"/>
      <c r="X157" s="299"/>
      <c r="Y157" s="303"/>
      <c r="Z157" s="305">
        <f>IF(Y157=0,0,IF(X157="MXN",1/HLOOKUP(YEAR(W157)+(MONTH(W157)/100),TC!$5:$37,DAY(W157)+2,FALSE),VLOOKUP(X157,Equivalencia!$1:$23,((MAX(Equivalencia!$3:$3)-YEAR(W157))*14)+MONTH(W157)+2,FALSE)))</f>
        <v>0</v>
      </c>
      <c r="AA157" s="306">
        <f t="shared" si="41"/>
        <v>0</v>
      </c>
      <c r="AB157" s="305">
        <f>+IF(W157=0,0,HLOOKUP(YEAR(W157)+(MONTH(W157)/100),TC!$5:$37,DAY(W157)+2,FALSE))</f>
        <v>0</v>
      </c>
      <c r="AC157" s="306">
        <f t="shared" si="42"/>
        <v>0</v>
      </c>
      <c r="AD157" s="314">
        <f t="shared" si="33"/>
        <v>0</v>
      </c>
      <c r="AE157" s="315">
        <f t="shared" si="43"/>
        <v>0</v>
      </c>
      <c r="AF157" s="316">
        <f t="shared" si="34"/>
        <v>0</v>
      </c>
      <c r="AG157" s="314">
        <v>1</v>
      </c>
      <c r="AH157" s="314">
        <f t="shared" si="44"/>
        <v>0</v>
      </c>
      <c r="AI157" s="314">
        <f t="shared" si="45"/>
        <v>0</v>
      </c>
      <c r="AJ157" s="317"/>
      <c r="AK157" s="315" t="e">
        <f t="shared" si="46"/>
        <v>#N/A</v>
      </c>
      <c r="AM157" s="561"/>
      <c r="AN157" s="561"/>
      <c r="AO157" s="561"/>
    </row>
    <row r="158" spans="2:41">
      <c r="B158" s="296"/>
      <c r="C158" s="299"/>
      <c r="D158" s="296"/>
      <c r="E158" s="298"/>
      <c r="F158" s="299"/>
      <c r="G158" s="300"/>
      <c r="H158" s="303"/>
      <c r="I158" s="303"/>
      <c r="J158" s="322">
        <f t="shared" si="32"/>
        <v>0</v>
      </c>
      <c r="K158" s="305" t="e">
        <f>IF(F158="MXN",1/HLOOKUP(YEAR(G158)+(MONTH(G158)/100),TC!$5:$37,DAY(G158)+2,FALSE),VLOOKUP(F158,Equivalencia!$5:$23,((MAX(Equivalencia!$3:$3)-YEAR(G158))*14)+MONTH(G158)+2,FALSE))</f>
        <v>#N/A</v>
      </c>
      <c r="L158" s="306" t="e">
        <f t="shared" si="35"/>
        <v>#N/A</v>
      </c>
      <c r="M158" s="305">
        <f>IF(G158=0,0,HLOOKUP(YEAR(G158)+(MONTH(G158)/100),TC!$5:$37,DAY(G158)+2,FALSE))</f>
        <v>0</v>
      </c>
      <c r="N158" s="306" t="e">
        <f t="shared" si="36"/>
        <v>#N/A</v>
      </c>
      <c r="O158" s="308">
        <f>IF(G158=0,0,VLOOKUP(YEAR(G158),INPC!$B$4:$P$30,MONTH(G158)+2))</f>
        <v>0</v>
      </c>
      <c r="P158" s="308">
        <f>IF(W158=0,0,IF(OR(C158=$AQ$5,C158=AQ162),VLOOKUP(YEAR(W158),INPC!$B$4:$P$30,MONTH(W158)+1),VLOOKUP(YEAR(W158),INPC!$B$4:$P$30,MONTH(W158)+2)))</f>
        <v>0</v>
      </c>
      <c r="Q158" s="309">
        <f t="shared" si="37"/>
        <v>0</v>
      </c>
      <c r="R158" s="310" t="e">
        <f t="shared" si="38"/>
        <v>#N/A</v>
      </c>
      <c r="S158" s="310">
        <f t="shared" si="39"/>
        <v>0</v>
      </c>
      <c r="T158" s="567" t="str">
        <f t="shared" si="40"/>
        <v>NO</v>
      </c>
      <c r="U158" s="323"/>
      <c r="V158" s="299"/>
      <c r="W158" s="300"/>
      <c r="X158" s="299"/>
      <c r="Y158" s="303"/>
      <c r="Z158" s="305">
        <f>IF(Y158=0,0,IF(X158="MXN",1/HLOOKUP(YEAR(W158)+(MONTH(W158)/100),TC!$5:$37,DAY(W158)+2,FALSE),VLOOKUP(X158,Equivalencia!$1:$23,((MAX(Equivalencia!$3:$3)-YEAR(W158))*14)+MONTH(W158)+2,FALSE)))</f>
        <v>0</v>
      </c>
      <c r="AA158" s="306">
        <f t="shared" si="41"/>
        <v>0</v>
      </c>
      <c r="AB158" s="305">
        <f>+IF(W158=0,0,HLOOKUP(YEAR(W158)+(MONTH(W158)/100),TC!$5:$37,DAY(W158)+2,FALSE))</f>
        <v>0</v>
      </c>
      <c r="AC158" s="306">
        <f t="shared" si="42"/>
        <v>0</v>
      </c>
      <c r="AD158" s="314">
        <f t="shared" si="33"/>
        <v>0</v>
      </c>
      <c r="AE158" s="315">
        <f t="shared" si="43"/>
        <v>0</v>
      </c>
      <c r="AF158" s="316">
        <f t="shared" si="34"/>
        <v>0</v>
      </c>
      <c r="AG158" s="314">
        <v>1</v>
      </c>
      <c r="AH158" s="314">
        <f t="shared" si="44"/>
        <v>0</v>
      </c>
      <c r="AI158" s="314">
        <f t="shared" si="45"/>
        <v>0</v>
      </c>
      <c r="AJ158" s="317"/>
      <c r="AK158" s="315" t="e">
        <f t="shared" si="46"/>
        <v>#N/A</v>
      </c>
      <c r="AM158" s="561"/>
      <c r="AN158" s="561"/>
      <c r="AO158" s="561"/>
    </row>
    <row r="159" spans="2:41">
      <c r="B159" s="296"/>
      <c r="C159" s="299"/>
      <c r="D159" s="296"/>
      <c r="E159" s="298"/>
      <c r="F159" s="299"/>
      <c r="G159" s="300"/>
      <c r="H159" s="303"/>
      <c r="I159" s="303"/>
      <c r="J159" s="322">
        <f t="shared" si="32"/>
        <v>0</v>
      </c>
      <c r="K159" s="305" t="e">
        <f>IF(F159="MXN",1/HLOOKUP(YEAR(G159)+(MONTH(G159)/100),TC!$5:$37,DAY(G159)+2,FALSE),VLOOKUP(F159,Equivalencia!$5:$23,((MAX(Equivalencia!$3:$3)-YEAR(G159))*14)+MONTH(G159)+2,FALSE))</f>
        <v>#N/A</v>
      </c>
      <c r="L159" s="306" t="e">
        <f t="shared" si="35"/>
        <v>#N/A</v>
      </c>
      <c r="M159" s="305">
        <f>IF(G159=0,0,HLOOKUP(YEAR(G159)+(MONTH(G159)/100),TC!$5:$37,DAY(G159)+2,FALSE))</f>
        <v>0</v>
      </c>
      <c r="N159" s="306" t="e">
        <f t="shared" si="36"/>
        <v>#N/A</v>
      </c>
      <c r="O159" s="308">
        <f>IF(G159=0,0,VLOOKUP(YEAR(G159),INPC!$B$4:$P$30,MONTH(G159)+2))</f>
        <v>0</v>
      </c>
      <c r="P159" s="308">
        <f>IF(W159=0,0,IF(OR(C159=$AQ$5,C159=AQ163),VLOOKUP(YEAR(W159),INPC!$B$4:$P$30,MONTH(W159)+1),VLOOKUP(YEAR(W159),INPC!$B$4:$P$30,MONTH(W159)+2)))</f>
        <v>0</v>
      </c>
      <c r="Q159" s="309">
        <f t="shared" si="37"/>
        <v>0</v>
      </c>
      <c r="R159" s="310" t="e">
        <f t="shared" si="38"/>
        <v>#N/A</v>
      </c>
      <c r="S159" s="310">
        <f t="shared" si="39"/>
        <v>0</v>
      </c>
      <c r="T159" s="567" t="str">
        <f t="shared" si="40"/>
        <v>NO</v>
      </c>
      <c r="U159" s="323"/>
      <c r="V159" s="299"/>
      <c r="W159" s="300"/>
      <c r="X159" s="299"/>
      <c r="Y159" s="303"/>
      <c r="Z159" s="305">
        <f>IF(Y159=0,0,IF(X159="MXN",1/HLOOKUP(YEAR(W159)+(MONTH(W159)/100),TC!$5:$37,DAY(W159)+2,FALSE),VLOOKUP(X159,Equivalencia!$1:$23,((MAX(Equivalencia!$3:$3)-YEAR(W159))*14)+MONTH(W159)+2,FALSE)))</f>
        <v>0</v>
      </c>
      <c r="AA159" s="306">
        <f t="shared" si="41"/>
        <v>0</v>
      </c>
      <c r="AB159" s="305">
        <f>+IF(W159=0,0,HLOOKUP(YEAR(W159)+(MONTH(W159)/100),TC!$5:$37,DAY(W159)+2,FALSE))</f>
        <v>0</v>
      </c>
      <c r="AC159" s="306">
        <f t="shared" si="42"/>
        <v>0</v>
      </c>
      <c r="AD159" s="314">
        <f t="shared" si="33"/>
        <v>0</v>
      </c>
      <c r="AE159" s="315">
        <f t="shared" si="43"/>
        <v>0</v>
      </c>
      <c r="AF159" s="316">
        <f t="shared" si="34"/>
        <v>0</v>
      </c>
      <c r="AG159" s="314">
        <v>1</v>
      </c>
      <c r="AH159" s="314">
        <f t="shared" si="44"/>
        <v>0</v>
      </c>
      <c r="AI159" s="314">
        <f t="shared" si="45"/>
        <v>0</v>
      </c>
      <c r="AJ159" s="317"/>
      <c r="AK159" s="315" t="e">
        <f t="shared" si="46"/>
        <v>#N/A</v>
      </c>
      <c r="AM159" s="561"/>
      <c r="AN159" s="561"/>
      <c r="AO159" s="561"/>
    </row>
    <row r="160" spans="2:41">
      <c r="B160" s="296"/>
      <c r="C160" s="299"/>
      <c r="D160" s="296"/>
      <c r="E160" s="298"/>
      <c r="F160" s="299"/>
      <c r="G160" s="300"/>
      <c r="H160" s="303"/>
      <c r="I160" s="303"/>
      <c r="J160" s="322">
        <f t="shared" si="32"/>
        <v>0</v>
      </c>
      <c r="K160" s="305" t="e">
        <f>IF(F160="MXN",1/HLOOKUP(YEAR(G160)+(MONTH(G160)/100),TC!$5:$37,DAY(G160)+2,FALSE),VLOOKUP(F160,Equivalencia!$5:$23,((MAX(Equivalencia!$3:$3)-YEAR(G160))*14)+MONTH(G160)+2,FALSE))</f>
        <v>#N/A</v>
      </c>
      <c r="L160" s="306" t="e">
        <f t="shared" si="35"/>
        <v>#N/A</v>
      </c>
      <c r="M160" s="305">
        <f>IF(G160=0,0,HLOOKUP(YEAR(G160)+(MONTH(G160)/100),TC!$5:$37,DAY(G160)+2,FALSE))</f>
        <v>0</v>
      </c>
      <c r="N160" s="306" t="e">
        <f t="shared" si="36"/>
        <v>#N/A</v>
      </c>
      <c r="O160" s="308">
        <f>IF(G160=0,0,VLOOKUP(YEAR(G160),INPC!$B$4:$P$30,MONTH(G160)+2))</f>
        <v>0</v>
      </c>
      <c r="P160" s="308">
        <f>IF(W160=0,0,IF(OR(C160=$AQ$5,C160=AQ164),VLOOKUP(YEAR(W160),INPC!$B$4:$P$30,MONTH(W160)+1),VLOOKUP(YEAR(W160),INPC!$B$4:$P$30,MONTH(W160)+2)))</f>
        <v>0</v>
      </c>
      <c r="Q160" s="309">
        <f t="shared" si="37"/>
        <v>0</v>
      </c>
      <c r="R160" s="310" t="e">
        <f t="shared" si="38"/>
        <v>#N/A</v>
      </c>
      <c r="S160" s="310">
        <f t="shared" si="39"/>
        <v>0</v>
      </c>
      <c r="T160" s="567" t="str">
        <f t="shared" si="40"/>
        <v>NO</v>
      </c>
      <c r="U160" s="323"/>
      <c r="V160" s="299"/>
      <c r="W160" s="300"/>
      <c r="X160" s="299"/>
      <c r="Y160" s="303"/>
      <c r="Z160" s="305">
        <f>IF(Y160=0,0,IF(X160="MXN",1/HLOOKUP(YEAR(W160)+(MONTH(W160)/100),TC!$5:$37,DAY(W160)+2,FALSE),VLOOKUP(X160,Equivalencia!$1:$23,((MAX(Equivalencia!$3:$3)-YEAR(W160))*14)+MONTH(W160)+2,FALSE)))</f>
        <v>0</v>
      </c>
      <c r="AA160" s="306">
        <f t="shared" si="41"/>
        <v>0</v>
      </c>
      <c r="AB160" s="305">
        <f>+IF(W160=0,0,HLOOKUP(YEAR(W160)+(MONTH(W160)/100),TC!$5:$37,DAY(W160)+2,FALSE))</f>
        <v>0</v>
      </c>
      <c r="AC160" s="306">
        <f t="shared" si="42"/>
        <v>0</v>
      </c>
      <c r="AD160" s="314">
        <f t="shared" si="33"/>
        <v>0</v>
      </c>
      <c r="AE160" s="315">
        <f t="shared" si="43"/>
        <v>0</v>
      </c>
      <c r="AF160" s="316">
        <f t="shared" si="34"/>
        <v>0</v>
      </c>
      <c r="AG160" s="314">
        <v>1</v>
      </c>
      <c r="AH160" s="314">
        <f t="shared" si="44"/>
        <v>0</v>
      </c>
      <c r="AI160" s="314">
        <f t="shared" si="45"/>
        <v>0</v>
      </c>
      <c r="AJ160" s="317"/>
      <c r="AK160" s="315" t="e">
        <f t="shared" si="46"/>
        <v>#N/A</v>
      </c>
      <c r="AM160" s="561"/>
      <c r="AN160" s="561"/>
      <c r="AO160" s="561"/>
    </row>
    <row r="161" spans="2:41">
      <c r="B161" s="296"/>
      <c r="C161" s="299"/>
      <c r="D161" s="296"/>
      <c r="E161" s="298"/>
      <c r="F161" s="299"/>
      <c r="G161" s="300"/>
      <c r="H161" s="303"/>
      <c r="I161" s="303"/>
      <c r="J161" s="322">
        <f t="shared" si="32"/>
        <v>0</v>
      </c>
      <c r="K161" s="305" t="e">
        <f>IF(F161="MXN",1/HLOOKUP(YEAR(G161)+(MONTH(G161)/100),TC!$5:$37,DAY(G161)+2,FALSE),VLOOKUP(F161,Equivalencia!$5:$23,((MAX(Equivalencia!$3:$3)-YEAR(G161))*14)+MONTH(G161)+2,FALSE))</f>
        <v>#N/A</v>
      </c>
      <c r="L161" s="306" t="e">
        <f t="shared" si="35"/>
        <v>#N/A</v>
      </c>
      <c r="M161" s="305">
        <f>IF(G161=0,0,HLOOKUP(YEAR(G161)+(MONTH(G161)/100),TC!$5:$37,DAY(G161)+2,FALSE))</f>
        <v>0</v>
      </c>
      <c r="N161" s="306" t="e">
        <f t="shared" si="36"/>
        <v>#N/A</v>
      </c>
      <c r="O161" s="308">
        <f>IF(G161=0,0,VLOOKUP(YEAR(G161),INPC!$B$4:$P$30,MONTH(G161)+2))</f>
        <v>0</v>
      </c>
      <c r="P161" s="308">
        <f>IF(W161=0,0,IF(OR(C161=$AQ$5,C161=AQ165),VLOOKUP(YEAR(W161),INPC!$B$4:$P$30,MONTH(W161)+1),VLOOKUP(YEAR(W161),INPC!$B$4:$P$30,MONTH(W161)+2)))</f>
        <v>0</v>
      </c>
      <c r="Q161" s="309">
        <f t="shared" si="37"/>
        <v>0</v>
      </c>
      <c r="R161" s="310" t="e">
        <f t="shared" si="38"/>
        <v>#N/A</v>
      </c>
      <c r="S161" s="310">
        <f t="shared" si="39"/>
        <v>0</v>
      </c>
      <c r="T161" s="567" t="str">
        <f t="shared" si="40"/>
        <v>NO</v>
      </c>
      <c r="U161" s="323"/>
      <c r="V161" s="299"/>
      <c r="W161" s="300"/>
      <c r="X161" s="299"/>
      <c r="Y161" s="303"/>
      <c r="Z161" s="305">
        <f>IF(Y161=0,0,IF(X161="MXN",1/HLOOKUP(YEAR(W161)+(MONTH(W161)/100),TC!$5:$37,DAY(W161)+2,FALSE),VLOOKUP(X161,Equivalencia!$1:$23,((MAX(Equivalencia!$3:$3)-YEAR(W161))*14)+MONTH(W161)+2,FALSE)))</f>
        <v>0</v>
      </c>
      <c r="AA161" s="306">
        <f t="shared" si="41"/>
        <v>0</v>
      </c>
      <c r="AB161" s="305">
        <f>+IF(W161=0,0,HLOOKUP(YEAR(W161)+(MONTH(W161)/100),TC!$5:$37,DAY(W161)+2,FALSE))</f>
        <v>0</v>
      </c>
      <c r="AC161" s="306">
        <f t="shared" si="42"/>
        <v>0</v>
      </c>
      <c r="AD161" s="314">
        <f t="shared" si="33"/>
        <v>0</v>
      </c>
      <c r="AE161" s="315">
        <f t="shared" si="43"/>
        <v>0</v>
      </c>
      <c r="AF161" s="316">
        <f t="shared" si="34"/>
        <v>0</v>
      </c>
      <c r="AG161" s="314">
        <v>1</v>
      </c>
      <c r="AH161" s="314">
        <f t="shared" si="44"/>
        <v>0</v>
      </c>
      <c r="AI161" s="314">
        <f t="shared" si="45"/>
        <v>0</v>
      </c>
      <c r="AJ161" s="317"/>
      <c r="AK161" s="315" t="e">
        <f t="shared" si="46"/>
        <v>#N/A</v>
      </c>
      <c r="AM161" s="561"/>
      <c r="AN161" s="561"/>
      <c r="AO161" s="561"/>
    </row>
    <row r="162" spans="2:41">
      <c r="B162" s="296"/>
      <c r="C162" s="299"/>
      <c r="D162" s="296"/>
      <c r="E162" s="298"/>
      <c r="F162" s="299"/>
      <c r="G162" s="300"/>
      <c r="H162" s="303"/>
      <c r="I162" s="303"/>
      <c r="J162" s="322">
        <f t="shared" si="32"/>
        <v>0</v>
      </c>
      <c r="K162" s="305" t="e">
        <f>IF(F162="MXN",1/HLOOKUP(YEAR(G162)+(MONTH(G162)/100),TC!$5:$37,DAY(G162)+2,FALSE),VLOOKUP(F162,Equivalencia!$5:$23,((MAX(Equivalencia!$3:$3)-YEAR(G162))*14)+MONTH(G162)+2,FALSE))</f>
        <v>#N/A</v>
      </c>
      <c r="L162" s="306" t="e">
        <f t="shared" si="35"/>
        <v>#N/A</v>
      </c>
      <c r="M162" s="305">
        <f>IF(G162=0,0,HLOOKUP(YEAR(G162)+(MONTH(G162)/100),TC!$5:$37,DAY(G162)+2,FALSE))</f>
        <v>0</v>
      </c>
      <c r="N162" s="306" t="e">
        <f t="shared" si="36"/>
        <v>#N/A</v>
      </c>
      <c r="O162" s="308">
        <f>IF(G162=0,0,VLOOKUP(YEAR(G162),INPC!$B$4:$P$30,MONTH(G162)+2))</f>
        <v>0</v>
      </c>
      <c r="P162" s="308">
        <f>IF(W162=0,0,IF(OR(C162=$AQ$5,C162=AQ166),VLOOKUP(YEAR(W162),INPC!$B$4:$P$30,MONTH(W162)+1),VLOOKUP(YEAR(W162),INPC!$B$4:$P$30,MONTH(W162)+2)))</f>
        <v>0</v>
      </c>
      <c r="Q162" s="309">
        <f t="shared" si="37"/>
        <v>0</v>
      </c>
      <c r="R162" s="310" t="e">
        <f t="shared" si="38"/>
        <v>#N/A</v>
      </c>
      <c r="S162" s="310">
        <f t="shared" si="39"/>
        <v>0</v>
      </c>
      <c r="T162" s="567" t="str">
        <f t="shared" si="40"/>
        <v>NO</v>
      </c>
      <c r="U162" s="323"/>
      <c r="V162" s="299"/>
      <c r="W162" s="300"/>
      <c r="X162" s="299"/>
      <c r="Y162" s="303"/>
      <c r="Z162" s="305">
        <f>IF(Y162=0,0,IF(X162="MXN",1/HLOOKUP(YEAR(W162)+(MONTH(W162)/100),TC!$5:$37,DAY(W162)+2,FALSE),VLOOKUP(X162,Equivalencia!$1:$23,((MAX(Equivalencia!$3:$3)-YEAR(W162))*14)+MONTH(W162)+2,FALSE)))</f>
        <v>0</v>
      </c>
      <c r="AA162" s="306">
        <f t="shared" si="41"/>
        <v>0</v>
      </c>
      <c r="AB162" s="305">
        <f>+IF(W162=0,0,HLOOKUP(YEAR(W162)+(MONTH(W162)/100),TC!$5:$37,DAY(W162)+2,FALSE))</f>
        <v>0</v>
      </c>
      <c r="AC162" s="306">
        <f t="shared" si="42"/>
        <v>0</v>
      </c>
      <c r="AD162" s="314">
        <f t="shared" si="33"/>
        <v>0</v>
      </c>
      <c r="AE162" s="315">
        <f t="shared" si="43"/>
        <v>0</v>
      </c>
      <c r="AF162" s="316">
        <f t="shared" si="34"/>
        <v>0</v>
      </c>
      <c r="AG162" s="314">
        <v>1</v>
      </c>
      <c r="AH162" s="314">
        <f t="shared" si="44"/>
        <v>0</v>
      </c>
      <c r="AI162" s="314">
        <f t="shared" si="45"/>
        <v>0</v>
      </c>
      <c r="AJ162" s="317"/>
      <c r="AK162" s="315" t="e">
        <f t="shared" si="46"/>
        <v>#N/A</v>
      </c>
      <c r="AM162" s="561"/>
      <c r="AN162" s="561"/>
      <c r="AO162" s="561"/>
    </row>
    <row r="163" spans="2:41">
      <c r="B163" s="296"/>
      <c r="C163" s="299"/>
      <c r="D163" s="296"/>
      <c r="E163" s="298"/>
      <c r="F163" s="299"/>
      <c r="G163" s="300"/>
      <c r="H163" s="303"/>
      <c r="I163" s="303"/>
      <c r="J163" s="322">
        <f t="shared" si="32"/>
        <v>0</v>
      </c>
      <c r="K163" s="305" t="e">
        <f>IF(F163="MXN",1/HLOOKUP(YEAR(G163)+(MONTH(G163)/100),TC!$5:$37,DAY(G163)+2,FALSE),VLOOKUP(F163,Equivalencia!$5:$23,((MAX(Equivalencia!$3:$3)-YEAR(G163))*14)+MONTH(G163)+2,FALSE))</f>
        <v>#N/A</v>
      </c>
      <c r="L163" s="306" t="e">
        <f t="shared" si="35"/>
        <v>#N/A</v>
      </c>
      <c r="M163" s="305">
        <f>IF(G163=0,0,HLOOKUP(YEAR(G163)+(MONTH(G163)/100),TC!$5:$37,DAY(G163)+2,FALSE))</f>
        <v>0</v>
      </c>
      <c r="N163" s="306" t="e">
        <f t="shared" si="36"/>
        <v>#N/A</v>
      </c>
      <c r="O163" s="308">
        <f>IF(G163=0,0,VLOOKUP(YEAR(G163),INPC!$B$4:$P$30,MONTH(G163)+2))</f>
        <v>0</v>
      </c>
      <c r="P163" s="308">
        <f>IF(W163=0,0,IF(OR(C163=$AQ$5,C163=AQ167),VLOOKUP(YEAR(W163),INPC!$B$4:$P$30,MONTH(W163)+1),VLOOKUP(YEAR(W163),INPC!$B$4:$P$30,MONTH(W163)+2)))</f>
        <v>0</v>
      </c>
      <c r="Q163" s="309">
        <f t="shared" si="37"/>
        <v>0</v>
      </c>
      <c r="R163" s="310" t="e">
        <f t="shared" si="38"/>
        <v>#N/A</v>
      </c>
      <c r="S163" s="310">
        <f t="shared" si="39"/>
        <v>0</v>
      </c>
      <c r="T163" s="567" t="str">
        <f t="shared" si="40"/>
        <v>NO</v>
      </c>
      <c r="U163" s="323"/>
      <c r="V163" s="299"/>
      <c r="W163" s="300"/>
      <c r="X163" s="299"/>
      <c r="Y163" s="303"/>
      <c r="Z163" s="305">
        <f>IF(Y163=0,0,IF(X163="MXN",1/HLOOKUP(YEAR(W163)+(MONTH(W163)/100),TC!$5:$37,DAY(W163)+2,FALSE),VLOOKUP(X163,Equivalencia!$1:$23,((MAX(Equivalencia!$3:$3)-YEAR(W163))*14)+MONTH(W163)+2,FALSE)))</f>
        <v>0</v>
      </c>
      <c r="AA163" s="306">
        <f t="shared" si="41"/>
        <v>0</v>
      </c>
      <c r="AB163" s="305">
        <f>+IF(W163=0,0,HLOOKUP(YEAR(W163)+(MONTH(W163)/100),TC!$5:$37,DAY(W163)+2,FALSE))</f>
        <v>0</v>
      </c>
      <c r="AC163" s="306">
        <f t="shared" si="42"/>
        <v>0</v>
      </c>
      <c r="AD163" s="314">
        <f t="shared" si="33"/>
        <v>0</v>
      </c>
      <c r="AE163" s="315">
        <f t="shared" si="43"/>
        <v>0</v>
      </c>
      <c r="AF163" s="316">
        <f t="shared" si="34"/>
        <v>0</v>
      </c>
      <c r="AG163" s="314">
        <v>1</v>
      </c>
      <c r="AH163" s="314">
        <f t="shared" si="44"/>
        <v>0</v>
      </c>
      <c r="AI163" s="314">
        <f t="shared" si="45"/>
        <v>0</v>
      </c>
      <c r="AJ163" s="317"/>
      <c r="AK163" s="315" t="e">
        <f t="shared" si="46"/>
        <v>#N/A</v>
      </c>
      <c r="AM163" s="561"/>
      <c r="AN163" s="561"/>
      <c r="AO163" s="561"/>
    </row>
    <row r="164" spans="2:41">
      <c r="B164" s="296"/>
      <c r="C164" s="299"/>
      <c r="D164" s="296"/>
      <c r="E164" s="298"/>
      <c r="F164" s="299"/>
      <c r="G164" s="300"/>
      <c r="H164" s="303"/>
      <c r="I164" s="303"/>
      <c r="J164" s="322">
        <f t="shared" si="32"/>
        <v>0</v>
      </c>
      <c r="K164" s="305" t="e">
        <f>IF(F164="MXN",1/HLOOKUP(YEAR(G164)+(MONTH(G164)/100),TC!$5:$37,DAY(G164)+2,FALSE),VLOOKUP(F164,Equivalencia!$5:$23,((MAX(Equivalencia!$3:$3)-YEAR(G164))*14)+MONTH(G164)+2,FALSE))</f>
        <v>#N/A</v>
      </c>
      <c r="L164" s="306" t="e">
        <f t="shared" si="35"/>
        <v>#N/A</v>
      </c>
      <c r="M164" s="305">
        <f>IF(G164=0,0,HLOOKUP(YEAR(G164)+(MONTH(G164)/100),TC!$5:$37,DAY(G164)+2,FALSE))</f>
        <v>0</v>
      </c>
      <c r="N164" s="306" t="e">
        <f t="shared" si="36"/>
        <v>#N/A</v>
      </c>
      <c r="O164" s="308">
        <f>IF(G164=0,0,VLOOKUP(YEAR(G164),INPC!$B$4:$P$30,MONTH(G164)+2))</f>
        <v>0</v>
      </c>
      <c r="P164" s="308">
        <f>IF(W164=0,0,IF(OR(C164=$AQ$5,C164=AQ168),VLOOKUP(YEAR(W164),INPC!$B$4:$P$30,MONTH(W164)+1),VLOOKUP(YEAR(W164),INPC!$B$4:$P$30,MONTH(W164)+2)))</f>
        <v>0</v>
      </c>
      <c r="Q164" s="309">
        <f t="shared" si="37"/>
        <v>0</v>
      </c>
      <c r="R164" s="310" t="e">
        <f t="shared" si="38"/>
        <v>#N/A</v>
      </c>
      <c r="S164" s="310">
        <f t="shared" si="39"/>
        <v>0</v>
      </c>
      <c r="T164" s="567" t="str">
        <f t="shared" si="40"/>
        <v>NO</v>
      </c>
      <c r="U164" s="323"/>
      <c r="V164" s="299"/>
      <c r="W164" s="300"/>
      <c r="X164" s="299"/>
      <c r="Y164" s="303"/>
      <c r="Z164" s="305">
        <f>IF(Y164=0,0,IF(X164="MXN",1/HLOOKUP(YEAR(W164)+(MONTH(W164)/100),TC!$5:$37,DAY(W164)+2,FALSE),VLOOKUP(X164,Equivalencia!$1:$23,((MAX(Equivalencia!$3:$3)-YEAR(W164))*14)+MONTH(W164)+2,FALSE)))</f>
        <v>0</v>
      </c>
      <c r="AA164" s="306">
        <f t="shared" si="41"/>
        <v>0</v>
      </c>
      <c r="AB164" s="305">
        <f>+IF(W164=0,0,HLOOKUP(YEAR(W164)+(MONTH(W164)/100),TC!$5:$37,DAY(W164)+2,FALSE))</f>
        <v>0</v>
      </c>
      <c r="AC164" s="306">
        <f t="shared" si="42"/>
        <v>0</v>
      </c>
      <c r="AD164" s="314">
        <f t="shared" si="33"/>
        <v>0</v>
      </c>
      <c r="AE164" s="315">
        <f t="shared" si="43"/>
        <v>0</v>
      </c>
      <c r="AF164" s="316">
        <f t="shared" si="34"/>
        <v>0</v>
      </c>
      <c r="AG164" s="314">
        <v>1</v>
      </c>
      <c r="AH164" s="314">
        <f t="shared" si="44"/>
        <v>0</v>
      </c>
      <c r="AI164" s="314">
        <f t="shared" si="45"/>
        <v>0</v>
      </c>
      <c r="AJ164" s="317"/>
      <c r="AK164" s="315" t="e">
        <f t="shared" si="46"/>
        <v>#N/A</v>
      </c>
      <c r="AM164" s="561"/>
      <c r="AN164" s="561"/>
      <c r="AO164" s="561"/>
    </row>
    <row r="165" spans="2:41">
      <c r="B165" s="296"/>
      <c r="C165" s="299"/>
      <c r="D165" s="296"/>
      <c r="E165" s="298"/>
      <c r="F165" s="299"/>
      <c r="G165" s="300"/>
      <c r="H165" s="303"/>
      <c r="I165" s="303"/>
      <c r="J165" s="322">
        <f t="shared" si="32"/>
        <v>0</v>
      </c>
      <c r="K165" s="305" t="e">
        <f>IF(F165="MXN",1/HLOOKUP(YEAR(G165)+(MONTH(G165)/100),TC!$5:$37,DAY(G165)+2,FALSE),VLOOKUP(F165,Equivalencia!$5:$23,((MAX(Equivalencia!$3:$3)-YEAR(G165))*14)+MONTH(G165)+2,FALSE))</f>
        <v>#N/A</v>
      </c>
      <c r="L165" s="306" t="e">
        <f t="shared" si="35"/>
        <v>#N/A</v>
      </c>
      <c r="M165" s="305">
        <f>IF(G165=0,0,HLOOKUP(YEAR(G165)+(MONTH(G165)/100),TC!$5:$37,DAY(G165)+2,FALSE))</f>
        <v>0</v>
      </c>
      <c r="N165" s="306" t="e">
        <f t="shared" si="36"/>
        <v>#N/A</v>
      </c>
      <c r="O165" s="308">
        <f>IF(G165=0,0,VLOOKUP(YEAR(G165),INPC!$B$4:$P$30,MONTH(G165)+2))</f>
        <v>0</v>
      </c>
      <c r="P165" s="308">
        <f>IF(W165=0,0,IF(OR(C165=$AQ$5,C165=AQ169),VLOOKUP(YEAR(W165),INPC!$B$4:$P$30,MONTH(W165)+1),VLOOKUP(YEAR(W165),INPC!$B$4:$P$30,MONTH(W165)+2)))</f>
        <v>0</v>
      </c>
      <c r="Q165" s="309">
        <f t="shared" si="37"/>
        <v>0</v>
      </c>
      <c r="R165" s="310" t="e">
        <f t="shared" si="38"/>
        <v>#N/A</v>
      </c>
      <c r="S165" s="310">
        <f t="shared" si="39"/>
        <v>0</v>
      </c>
      <c r="T165" s="567" t="str">
        <f t="shared" si="40"/>
        <v>NO</v>
      </c>
      <c r="U165" s="323"/>
      <c r="V165" s="299"/>
      <c r="W165" s="300"/>
      <c r="X165" s="299"/>
      <c r="Y165" s="303"/>
      <c r="Z165" s="305">
        <f>IF(Y165=0,0,IF(X165="MXN",1/HLOOKUP(YEAR(W165)+(MONTH(W165)/100),TC!$5:$37,DAY(W165)+2,FALSE),VLOOKUP(X165,Equivalencia!$1:$23,((MAX(Equivalencia!$3:$3)-YEAR(W165))*14)+MONTH(W165)+2,FALSE)))</f>
        <v>0</v>
      </c>
      <c r="AA165" s="306">
        <f t="shared" si="41"/>
        <v>0</v>
      </c>
      <c r="AB165" s="305">
        <f>+IF(W165=0,0,HLOOKUP(YEAR(W165)+(MONTH(W165)/100),TC!$5:$37,DAY(W165)+2,FALSE))</f>
        <v>0</v>
      </c>
      <c r="AC165" s="306">
        <f t="shared" si="42"/>
        <v>0</v>
      </c>
      <c r="AD165" s="314">
        <f t="shared" si="33"/>
        <v>0</v>
      </c>
      <c r="AE165" s="315">
        <f t="shared" si="43"/>
        <v>0</v>
      </c>
      <c r="AF165" s="316">
        <f t="shared" si="34"/>
        <v>0</v>
      </c>
      <c r="AG165" s="314">
        <v>1</v>
      </c>
      <c r="AH165" s="314">
        <f t="shared" si="44"/>
        <v>0</v>
      </c>
      <c r="AI165" s="314">
        <f t="shared" si="45"/>
        <v>0</v>
      </c>
      <c r="AJ165" s="317"/>
      <c r="AK165" s="315" t="e">
        <f t="shared" si="46"/>
        <v>#N/A</v>
      </c>
      <c r="AM165" s="561"/>
      <c r="AN165" s="561"/>
      <c r="AO165" s="561"/>
    </row>
    <row r="166" spans="2:41">
      <c r="B166" s="296"/>
      <c r="C166" s="299"/>
      <c r="D166" s="296"/>
      <c r="E166" s="298"/>
      <c r="F166" s="299"/>
      <c r="G166" s="300"/>
      <c r="H166" s="303"/>
      <c r="I166" s="303"/>
      <c r="J166" s="322">
        <f t="shared" si="32"/>
        <v>0</v>
      </c>
      <c r="K166" s="305" t="e">
        <f>IF(F166="MXN",1/HLOOKUP(YEAR(G166)+(MONTH(G166)/100),TC!$5:$37,DAY(G166)+2,FALSE),VLOOKUP(F166,Equivalencia!$5:$23,((MAX(Equivalencia!$3:$3)-YEAR(G166))*14)+MONTH(G166)+2,FALSE))</f>
        <v>#N/A</v>
      </c>
      <c r="L166" s="306" t="e">
        <f t="shared" si="35"/>
        <v>#N/A</v>
      </c>
      <c r="M166" s="305">
        <f>IF(G166=0,0,HLOOKUP(YEAR(G166)+(MONTH(G166)/100),TC!$5:$37,DAY(G166)+2,FALSE))</f>
        <v>0</v>
      </c>
      <c r="N166" s="306" t="e">
        <f t="shared" si="36"/>
        <v>#N/A</v>
      </c>
      <c r="O166" s="308">
        <f>IF(G166=0,0,VLOOKUP(YEAR(G166),INPC!$B$4:$P$30,MONTH(G166)+2))</f>
        <v>0</v>
      </c>
      <c r="P166" s="308">
        <f>IF(W166=0,0,IF(OR(C166=$AQ$5,C166=AQ170),VLOOKUP(YEAR(W166),INPC!$B$4:$P$30,MONTH(W166)+1),VLOOKUP(YEAR(W166),INPC!$B$4:$P$30,MONTH(W166)+2)))</f>
        <v>0</v>
      </c>
      <c r="Q166" s="309">
        <f t="shared" si="37"/>
        <v>0</v>
      </c>
      <c r="R166" s="310" t="e">
        <f t="shared" si="38"/>
        <v>#N/A</v>
      </c>
      <c r="S166" s="310">
        <f t="shared" si="39"/>
        <v>0</v>
      </c>
      <c r="T166" s="567" t="str">
        <f t="shared" si="40"/>
        <v>NO</v>
      </c>
      <c r="U166" s="323"/>
      <c r="V166" s="299"/>
      <c r="W166" s="300"/>
      <c r="X166" s="299"/>
      <c r="Y166" s="303"/>
      <c r="Z166" s="305">
        <f>IF(Y166=0,0,IF(X166="MXN",1/HLOOKUP(YEAR(W166)+(MONTH(W166)/100),TC!$5:$37,DAY(W166)+2,FALSE),VLOOKUP(X166,Equivalencia!$1:$23,((MAX(Equivalencia!$3:$3)-YEAR(W166))*14)+MONTH(W166)+2,FALSE)))</f>
        <v>0</v>
      </c>
      <c r="AA166" s="306">
        <f t="shared" si="41"/>
        <v>0</v>
      </c>
      <c r="AB166" s="305">
        <f>+IF(W166=0,0,HLOOKUP(YEAR(W166)+(MONTH(W166)/100),TC!$5:$37,DAY(W166)+2,FALSE))</f>
        <v>0</v>
      </c>
      <c r="AC166" s="306">
        <f t="shared" si="42"/>
        <v>0</v>
      </c>
      <c r="AD166" s="314">
        <f t="shared" si="33"/>
        <v>0</v>
      </c>
      <c r="AE166" s="315">
        <f t="shared" si="43"/>
        <v>0</v>
      </c>
      <c r="AF166" s="316">
        <f t="shared" si="34"/>
        <v>0</v>
      </c>
      <c r="AG166" s="314">
        <v>1</v>
      </c>
      <c r="AH166" s="314">
        <f t="shared" si="44"/>
        <v>0</v>
      </c>
      <c r="AI166" s="314">
        <f t="shared" si="45"/>
        <v>0</v>
      </c>
      <c r="AJ166" s="317"/>
      <c r="AK166" s="315" t="e">
        <f t="shared" si="46"/>
        <v>#N/A</v>
      </c>
      <c r="AM166" s="561"/>
      <c r="AN166" s="561"/>
      <c r="AO166" s="561"/>
    </row>
    <row r="167" spans="2:41">
      <c r="B167" s="296"/>
      <c r="C167" s="299"/>
      <c r="D167" s="296"/>
      <c r="E167" s="298"/>
      <c r="F167" s="299"/>
      <c r="G167" s="300"/>
      <c r="H167" s="303"/>
      <c r="I167" s="303"/>
      <c r="J167" s="322">
        <f t="shared" si="32"/>
        <v>0</v>
      </c>
      <c r="K167" s="305" t="e">
        <f>IF(F167="MXN",1/HLOOKUP(YEAR(G167)+(MONTH(G167)/100),TC!$5:$37,DAY(G167)+2,FALSE),VLOOKUP(F167,Equivalencia!$5:$23,((MAX(Equivalencia!$3:$3)-YEAR(G167))*14)+MONTH(G167)+2,FALSE))</f>
        <v>#N/A</v>
      </c>
      <c r="L167" s="306" t="e">
        <f t="shared" si="35"/>
        <v>#N/A</v>
      </c>
      <c r="M167" s="305">
        <f>IF(G167=0,0,HLOOKUP(YEAR(G167)+(MONTH(G167)/100),TC!$5:$37,DAY(G167)+2,FALSE))</f>
        <v>0</v>
      </c>
      <c r="N167" s="306" t="e">
        <f t="shared" si="36"/>
        <v>#N/A</v>
      </c>
      <c r="O167" s="308">
        <f>IF(G167=0,0,VLOOKUP(YEAR(G167),INPC!$B$4:$P$30,MONTH(G167)+2))</f>
        <v>0</v>
      </c>
      <c r="P167" s="308">
        <f>IF(W167=0,0,IF(OR(C167=$AQ$5,C167=AQ171),VLOOKUP(YEAR(W167),INPC!$B$4:$P$30,MONTH(W167)+1),VLOOKUP(YEAR(W167),INPC!$B$4:$P$30,MONTH(W167)+2)))</f>
        <v>0</v>
      </c>
      <c r="Q167" s="309">
        <f t="shared" si="37"/>
        <v>0</v>
      </c>
      <c r="R167" s="310" t="e">
        <f t="shared" si="38"/>
        <v>#N/A</v>
      </c>
      <c r="S167" s="310">
        <f t="shared" si="39"/>
        <v>0</v>
      </c>
      <c r="T167" s="567" t="str">
        <f t="shared" si="40"/>
        <v>NO</v>
      </c>
      <c r="U167" s="323"/>
      <c r="V167" s="299"/>
      <c r="W167" s="300"/>
      <c r="X167" s="299"/>
      <c r="Y167" s="303"/>
      <c r="Z167" s="305">
        <f>IF(Y167=0,0,IF(X167="MXN",1/HLOOKUP(YEAR(W167)+(MONTH(W167)/100),TC!$5:$37,DAY(W167)+2,FALSE),VLOOKUP(X167,Equivalencia!$1:$23,((MAX(Equivalencia!$3:$3)-YEAR(W167))*14)+MONTH(W167)+2,FALSE)))</f>
        <v>0</v>
      </c>
      <c r="AA167" s="306">
        <f t="shared" si="41"/>
        <v>0</v>
      </c>
      <c r="AB167" s="305">
        <f>+IF(W167=0,0,HLOOKUP(YEAR(W167)+(MONTH(W167)/100),TC!$5:$37,DAY(W167)+2,FALSE))</f>
        <v>0</v>
      </c>
      <c r="AC167" s="306">
        <f t="shared" si="42"/>
        <v>0</v>
      </c>
      <c r="AD167" s="314">
        <f t="shared" si="33"/>
        <v>0</v>
      </c>
      <c r="AE167" s="315">
        <f t="shared" si="43"/>
        <v>0</v>
      </c>
      <c r="AF167" s="316">
        <f t="shared" si="34"/>
        <v>0</v>
      </c>
      <c r="AG167" s="314">
        <v>1</v>
      </c>
      <c r="AH167" s="314">
        <f t="shared" si="44"/>
        <v>0</v>
      </c>
      <c r="AI167" s="314">
        <f t="shared" si="45"/>
        <v>0</v>
      </c>
      <c r="AJ167" s="317"/>
      <c r="AK167" s="315" t="e">
        <f t="shared" si="46"/>
        <v>#N/A</v>
      </c>
      <c r="AM167" s="561"/>
      <c r="AN167" s="561"/>
      <c r="AO167" s="561"/>
    </row>
    <row r="168" spans="2:41">
      <c r="B168" s="296"/>
      <c r="C168" s="299"/>
      <c r="D168" s="296"/>
      <c r="E168" s="298"/>
      <c r="F168" s="299"/>
      <c r="G168" s="300"/>
      <c r="H168" s="303"/>
      <c r="I168" s="303"/>
      <c r="J168" s="322">
        <f t="shared" si="32"/>
        <v>0</v>
      </c>
      <c r="K168" s="305" t="e">
        <f>IF(F168="MXN",1/HLOOKUP(YEAR(G168)+(MONTH(G168)/100),TC!$5:$37,DAY(G168)+2,FALSE),VLOOKUP(F168,Equivalencia!$5:$23,((MAX(Equivalencia!$3:$3)-YEAR(G168))*14)+MONTH(G168)+2,FALSE))</f>
        <v>#N/A</v>
      </c>
      <c r="L168" s="306" t="e">
        <f t="shared" si="35"/>
        <v>#N/A</v>
      </c>
      <c r="M168" s="305">
        <f>IF(G168=0,0,HLOOKUP(YEAR(G168)+(MONTH(G168)/100),TC!$5:$37,DAY(G168)+2,FALSE))</f>
        <v>0</v>
      </c>
      <c r="N168" s="306" t="e">
        <f t="shared" si="36"/>
        <v>#N/A</v>
      </c>
      <c r="O168" s="308">
        <f>IF(G168=0,0,VLOOKUP(YEAR(G168),INPC!$B$4:$P$30,MONTH(G168)+2))</f>
        <v>0</v>
      </c>
      <c r="P168" s="308">
        <f>IF(W168=0,0,IF(OR(C168=$AQ$5,C168=AQ172),VLOOKUP(YEAR(W168),INPC!$B$4:$P$30,MONTH(W168)+1),VLOOKUP(YEAR(W168),INPC!$B$4:$P$30,MONTH(W168)+2)))</f>
        <v>0</v>
      </c>
      <c r="Q168" s="309">
        <f t="shared" si="37"/>
        <v>0</v>
      </c>
      <c r="R168" s="310" t="e">
        <f t="shared" si="38"/>
        <v>#N/A</v>
      </c>
      <c r="S168" s="310">
        <f t="shared" si="39"/>
        <v>0</v>
      </c>
      <c r="T168" s="567" t="str">
        <f t="shared" si="40"/>
        <v>NO</v>
      </c>
      <c r="U168" s="323"/>
      <c r="V168" s="299"/>
      <c r="W168" s="300"/>
      <c r="X168" s="299"/>
      <c r="Y168" s="303"/>
      <c r="Z168" s="305">
        <f>IF(Y168=0,0,IF(X168="MXN",1/HLOOKUP(YEAR(W168)+(MONTH(W168)/100),TC!$5:$37,DAY(W168)+2,FALSE),VLOOKUP(X168,Equivalencia!$1:$23,((MAX(Equivalencia!$3:$3)-YEAR(W168))*14)+MONTH(W168)+2,FALSE)))</f>
        <v>0</v>
      </c>
      <c r="AA168" s="306">
        <f t="shared" si="41"/>
        <v>0</v>
      </c>
      <c r="AB168" s="305">
        <f>+IF(W168=0,0,HLOOKUP(YEAR(W168)+(MONTH(W168)/100),TC!$5:$37,DAY(W168)+2,FALSE))</f>
        <v>0</v>
      </c>
      <c r="AC168" s="306">
        <f t="shared" si="42"/>
        <v>0</v>
      </c>
      <c r="AD168" s="314">
        <f t="shared" si="33"/>
        <v>0</v>
      </c>
      <c r="AE168" s="315">
        <f t="shared" si="43"/>
        <v>0</v>
      </c>
      <c r="AF168" s="316">
        <f t="shared" si="34"/>
        <v>0</v>
      </c>
      <c r="AG168" s="314">
        <v>1</v>
      </c>
      <c r="AH168" s="314">
        <f t="shared" si="44"/>
        <v>0</v>
      </c>
      <c r="AI168" s="314">
        <f t="shared" si="45"/>
        <v>0</v>
      </c>
      <c r="AJ168" s="317"/>
      <c r="AK168" s="315" t="e">
        <f t="shared" si="46"/>
        <v>#N/A</v>
      </c>
      <c r="AM168" s="561"/>
      <c r="AN168" s="561"/>
      <c r="AO168" s="561"/>
    </row>
    <row r="169" spans="2:41">
      <c r="B169" s="296"/>
      <c r="C169" s="299"/>
      <c r="D169" s="296"/>
      <c r="E169" s="298"/>
      <c r="F169" s="299"/>
      <c r="G169" s="300"/>
      <c r="H169" s="303"/>
      <c r="I169" s="303"/>
      <c r="J169" s="322">
        <f t="shared" si="32"/>
        <v>0</v>
      </c>
      <c r="K169" s="305" t="e">
        <f>IF(F169="MXN",1/HLOOKUP(YEAR(G169)+(MONTH(G169)/100),TC!$5:$37,DAY(G169)+2,FALSE),VLOOKUP(F169,Equivalencia!$5:$23,((MAX(Equivalencia!$3:$3)-YEAR(G169))*14)+MONTH(G169)+2,FALSE))</f>
        <v>#N/A</v>
      </c>
      <c r="L169" s="306" t="e">
        <f t="shared" si="35"/>
        <v>#N/A</v>
      </c>
      <c r="M169" s="305">
        <f>IF(G169=0,0,HLOOKUP(YEAR(G169)+(MONTH(G169)/100),TC!$5:$37,DAY(G169)+2,FALSE))</f>
        <v>0</v>
      </c>
      <c r="N169" s="306" t="e">
        <f t="shared" si="36"/>
        <v>#N/A</v>
      </c>
      <c r="O169" s="308">
        <f>IF(G169=0,0,VLOOKUP(YEAR(G169),INPC!$B$4:$P$30,MONTH(G169)+2))</f>
        <v>0</v>
      </c>
      <c r="P169" s="308">
        <f>IF(W169=0,0,IF(OR(C169=$AQ$5,C169=AQ173),VLOOKUP(YEAR(W169),INPC!$B$4:$P$30,MONTH(W169)+1),VLOOKUP(YEAR(W169),INPC!$B$4:$P$30,MONTH(W169)+2)))</f>
        <v>0</v>
      </c>
      <c r="Q169" s="309">
        <f t="shared" si="37"/>
        <v>0</v>
      </c>
      <c r="R169" s="310" t="e">
        <f t="shared" si="38"/>
        <v>#N/A</v>
      </c>
      <c r="S169" s="310">
        <f t="shared" si="39"/>
        <v>0</v>
      </c>
      <c r="T169" s="567" t="str">
        <f t="shared" si="40"/>
        <v>NO</v>
      </c>
      <c r="U169" s="323"/>
      <c r="V169" s="299"/>
      <c r="W169" s="300"/>
      <c r="X169" s="299"/>
      <c r="Y169" s="303"/>
      <c r="Z169" s="305">
        <f>IF(Y169=0,0,IF(X169="MXN",1/HLOOKUP(YEAR(W169)+(MONTH(W169)/100),TC!$5:$37,DAY(W169)+2,FALSE),VLOOKUP(X169,Equivalencia!$1:$23,((MAX(Equivalencia!$3:$3)-YEAR(W169))*14)+MONTH(W169)+2,FALSE)))</f>
        <v>0</v>
      </c>
      <c r="AA169" s="306">
        <f t="shared" si="41"/>
        <v>0</v>
      </c>
      <c r="AB169" s="305">
        <f>+IF(W169=0,0,HLOOKUP(YEAR(W169)+(MONTH(W169)/100),TC!$5:$37,DAY(W169)+2,FALSE))</f>
        <v>0</v>
      </c>
      <c r="AC169" s="306">
        <f t="shared" si="42"/>
        <v>0</v>
      </c>
      <c r="AD169" s="314">
        <f t="shared" si="33"/>
        <v>0</v>
      </c>
      <c r="AE169" s="315">
        <f t="shared" si="43"/>
        <v>0</v>
      </c>
      <c r="AF169" s="316">
        <f t="shared" si="34"/>
        <v>0</v>
      </c>
      <c r="AG169" s="314">
        <v>1</v>
      </c>
      <c r="AH169" s="314">
        <f t="shared" si="44"/>
        <v>0</v>
      </c>
      <c r="AI169" s="314">
        <f t="shared" si="45"/>
        <v>0</v>
      </c>
      <c r="AJ169" s="317"/>
      <c r="AK169" s="315" t="e">
        <f t="shared" si="46"/>
        <v>#N/A</v>
      </c>
      <c r="AM169" s="561"/>
      <c r="AN169" s="561"/>
      <c r="AO169" s="561"/>
    </row>
    <row r="170" spans="2:41">
      <c r="B170" s="296"/>
      <c r="C170" s="299"/>
      <c r="D170" s="296"/>
      <c r="E170" s="298"/>
      <c r="F170" s="299"/>
      <c r="G170" s="300"/>
      <c r="H170" s="303"/>
      <c r="I170" s="303"/>
      <c r="J170" s="322">
        <f t="shared" si="32"/>
        <v>0</v>
      </c>
      <c r="K170" s="305" t="e">
        <f>IF(F170="MXN",1/HLOOKUP(YEAR(G170)+(MONTH(G170)/100),TC!$5:$37,DAY(G170)+2,FALSE),VLOOKUP(F170,Equivalencia!$5:$23,((MAX(Equivalencia!$3:$3)-YEAR(G170))*14)+MONTH(G170)+2,FALSE))</f>
        <v>#N/A</v>
      </c>
      <c r="L170" s="306" t="e">
        <f t="shared" si="35"/>
        <v>#N/A</v>
      </c>
      <c r="M170" s="305">
        <f>IF(G170=0,0,HLOOKUP(YEAR(G170)+(MONTH(G170)/100),TC!$5:$37,DAY(G170)+2,FALSE))</f>
        <v>0</v>
      </c>
      <c r="N170" s="306" t="e">
        <f t="shared" si="36"/>
        <v>#N/A</v>
      </c>
      <c r="O170" s="308">
        <f>IF(G170=0,0,VLOOKUP(YEAR(G170),INPC!$B$4:$P$30,MONTH(G170)+2))</f>
        <v>0</v>
      </c>
      <c r="P170" s="308">
        <f>IF(W170=0,0,IF(OR(C170=$AQ$5,C170=AQ174),VLOOKUP(YEAR(W170),INPC!$B$4:$P$30,MONTH(W170)+1),VLOOKUP(YEAR(W170),INPC!$B$4:$P$30,MONTH(W170)+2)))</f>
        <v>0</v>
      </c>
      <c r="Q170" s="309">
        <f t="shared" si="37"/>
        <v>0</v>
      </c>
      <c r="R170" s="310" t="e">
        <f t="shared" si="38"/>
        <v>#N/A</v>
      </c>
      <c r="S170" s="310">
        <f t="shared" si="39"/>
        <v>0</v>
      </c>
      <c r="T170" s="567" t="str">
        <f t="shared" si="40"/>
        <v>NO</v>
      </c>
      <c r="U170" s="323"/>
      <c r="V170" s="299"/>
      <c r="W170" s="300"/>
      <c r="X170" s="299"/>
      <c r="Y170" s="303"/>
      <c r="Z170" s="305">
        <f>IF(Y170=0,0,IF(X170="MXN",1/HLOOKUP(YEAR(W170)+(MONTH(W170)/100),TC!$5:$37,DAY(W170)+2,FALSE),VLOOKUP(X170,Equivalencia!$1:$23,((MAX(Equivalencia!$3:$3)-YEAR(W170))*14)+MONTH(W170)+2,FALSE)))</f>
        <v>0</v>
      </c>
      <c r="AA170" s="306">
        <f t="shared" si="41"/>
        <v>0</v>
      </c>
      <c r="AB170" s="305">
        <f>+IF(W170=0,0,HLOOKUP(YEAR(W170)+(MONTH(W170)/100),TC!$5:$37,DAY(W170)+2,FALSE))</f>
        <v>0</v>
      </c>
      <c r="AC170" s="306">
        <f t="shared" si="42"/>
        <v>0</v>
      </c>
      <c r="AD170" s="314">
        <f t="shared" si="33"/>
        <v>0</v>
      </c>
      <c r="AE170" s="315">
        <f t="shared" si="43"/>
        <v>0</v>
      </c>
      <c r="AF170" s="316">
        <f t="shared" si="34"/>
        <v>0</v>
      </c>
      <c r="AG170" s="314">
        <v>1</v>
      </c>
      <c r="AH170" s="314">
        <f t="shared" si="44"/>
        <v>0</v>
      </c>
      <c r="AI170" s="314">
        <f t="shared" si="45"/>
        <v>0</v>
      </c>
      <c r="AJ170" s="317"/>
      <c r="AK170" s="315" t="e">
        <f t="shared" si="46"/>
        <v>#N/A</v>
      </c>
      <c r="AM170" s="561"/>
      <c r="AN170" s="561"/>
      <c r="AO170" s="561"/>
    </row>
    <row r="171" spans="2:41">
      <c r="B171" s="296"/>
      <c r="C171" s="299"/>
      <c r="D171" s="296"/>
      <c r="E171" s="298"/>
      <c r="F171" s="299"/>
      <c r="G171" s="300"/>
      <c r="H171" s="303"/>
      <c r="I171" s="303"/>
      <c r="J171" s="322">
        <f t="shared" si="32"/>
        <v>0</v>
      </c>
      <c r="K171" s="305" t="e">
        <f>IF(F171="MXN",1/HLOOKUP(YEAR(G171)+(MONTH(G171)/100),TC!$5:$37,DAY(G171)+2,FALSE),VLOOKUP(F171,Equivalencia!$5:$23,((MAX(Equivalencia!$3:$3)-YEAR(G171))*14)+MONTH(G171)+2,FALSE))</f>
        <v>#N/A</v>
      </c>
      <c r="L171" s="306" t="e">
        <f t="shared" si="35"/>
        <v>#N/A</v>
      </c>
      <c r="M171" s="305">
        <f>IF(G171=0,0,HLOOKUP(YEAR(G171)+(MONTH(G171)/100),TC!$5:$37,DAY(G171)+2,FALSE))</f>
        <v>0</v>
      </c>
      <c r="N171" s="306" t="e">
        <f t="shared" si="36"/>
        <v>#N/A</v>
      </c>
      <c r="O171" s="308">
        <f>IF(G171=0,0,VLOOKUP(YEAR(G171),INPC!$B$4:$P$30,MONTH(G171)+2))</f>
        <v>0</v>
      </c>
      <c r="P171" s="308">
        <f>IF(W171=0,0,IF(OR(C171=$AQ$5,C171=AQ175),VLOOKUP(YEAR(W171),INPC!$B$4:$P$30,MONTH(W171)+1),VLOOKUP(YEAR(W171),INPC!$B$4:$P$30,MONTH(W171)+2)))</f>
        <v>0</v>
      </c>
      <c r="Q171" s="309">
        <f t="shared" si="37"/>
        <v>0</v>
      </c>
      <c r="R171" s="310" t="e">
        <f t="shared" si="38"/>
        <v>#N/A</v>
      </c>
      <c r="S171" s="310">
        <f t="shared" si="39"/>
        <v>0</v>
      </c>
      <c r="T171" s="567" t="str">
        <f t="shared" si="40"/>
        <v>NO</v>
      </c>
      <c r="U171" s="323"/>
      <c r="V171" s="299"/>
      <c r="W171" s="300"/>
      <c r="X171" s="299"/>
      <c r="Y171" s="303"/>
      <c r="Z171" s="305">
        <f>IF(Y171=0,0,IF(X171="MXN",1/HLOOKUP(YEAR(W171)+(MONTH(W171)/100),TC!$5:$37,DAY(W171)+2,FALSE),VLOOKUP(X171,Equivalencia!$1:$23,((MAX(Equivalencia!$3:$3)-YEAR(W171))*14)+MONTH(W171)+2,FALSE)))</f>
        <v>0</v>
      </c>
      <c r="AA171" s="306">
        <f t="shared" si="41"/>
        <v>0</v>
      </c>
      <c r="AB171" s="305">
        <f>+IF(W171=0,0,HLOOKUP(YEAR(W171)+(MONTH(W171)/100),TC!$5:$37,DAY(W171)+2,FALSE))</f>
        <v>0</v>
      </c>
      <c r="AC171" s="306">
        <f t="shared" si="42"/>
        <v>0</v>
      </c>
      <c r="AD171" s="314">
        <f t="shared" si="33"/>
        <v>0</v>
      </c>
      <c r="AE171" s="315">
        <f t="shared" si="43"/>
        <v>0</v>
      </c>
      <c r="AF171" s="316">
        <f t="shared" si="34"/>
        <v>0</v>
      </c>
      <c r="AG171" s="314">
        <v>1</v>
      </c>
      <c r="AH171" s="314">
        <f t="shared" si="44"/>
        <v>0</v>
      </c>
      <c r="AI171" s="314">
        <f t="shared" si="45"/>
        <v>0</v>
      </c>
      <c r="AJ171" s="317"/>
      <c r="AK171" s="315" t="e">
        <f t="shared" si="46"/>
        <v>#N/A</v>
      </c>
      <c r="AM171" s="561"/>
      <c r="AN171" s="561"/>
      <c r="AO171" s="561"/>
    </row>
    <row r="172" spans="2:41">
      <c r="B172" s="296"/>
      <c r="C172" s="299"/>
      <c r="D172" s="296"/>
      <c r="E172" s="298"/>
      <c r="F172" s="299"/>
      <c r="G172" s="300"/>
      <c r="H172" s="303"/>
      <c r="I172" s="303"/>
      <c r="J172" s="322">
        <f t="shared" si="32"/>
        <v>0</v>
      </c>
      <c r="K172" s="305" t="e">
        <f>IF(F172="MXN",1/HLOOKUP(YEAR(G172)+(MONTH(G172)/100),TC!$5:$37,DAY(G172)+2,FALSE),VLOOKUP(F172,Equivalencia!$5:$23,((MAX(Equivalencia!$3:$3)-YEAR(G172))*14)+MONTH(G172)+2,FALSE))</f>
        <v>#N/A</v>
      </c>
      <c r="L172" s="306" t="e">
        <f t="shared" si="35"/>
        <v>#N/A</v>
      </c>
      <c r="M172" s="305">
        <f>IF(G172=0,0,HLOOKUP(YEAR(G172)+(MONTH(G172)/100),TC!$5:$37,DAY(G172)+2,FALSE))</f>
        <v>0</v>
      </c>
      <c r="N172" s="306" t="e">
        <f t="shared" si="36"/>
        <v>#N/A</v>
      </c>
      <c r="O172" s="308">
        <f>IF(G172=0,0,VLOOKUP(YEAR(G172),INPC!$B$4:$P$30,MONTH(G172)+2))</f>
        <v>0</v>
      </c>
      <c r="P172" s="308">
        <f>IF(W172=0,0,IF(OR(C172=$AQ$5,C172=AQ176),VLOOKUP(YEAR(W172),INPC!$B$4:$P$30,MONTH(W172)+1),VLOOKUP(YEAR(W172),INPC!$B$4:$P$30,MONTH(W172)+2)))</f>
        <v>0</v>
      </c>
      <c r="Q172" s="309">
        <f t="shared" si="37"/>
        <v>0</v>
      </c>
      <c r="R172" s="310" t="e">
        <f t="shared" si="38"/>
        <v>#N/A</v>
      </c>
      <c r="S172" s="310">
        <f t="shared" si="39"/>
        <v>0</v>
      </c>
      <c r="T172" s="567" t="str">
        <f t="shared" si="40"/>
        <v>NO</v>
      </c>
      <c r="U172" s="323"/>
      <c r="V172" s="299"/>
      <c r="W172" s="300"/>
      <c r="X172" s="299"/>
      <c r="Y172" s="303"/>
      <c r="Z172" s="305">
        <f>IF(Y172=0,0,IF(X172="MXN",1/HLOOKUP(YEAR(W172)+(MONTH(W172)/100),TC!$5:$37,DAY(W172)+2,FALSE),VLOOKUP(X172,Equivalencia!$1:$23,((MAX(Equivalencia!$3:$3)-YEAR(W172))*14)+MONTH(W172)+2,FALSE)))</f>
        <v>0</v>
      </c>
      <c r="AA172" s="306">
        <f t="shared" si="41"/>
        <v>0</v>
      </c>
      <c r="AB172" s="305">
        <f>+IF(W172=0,0,HLOOKUP(YEAR(W172)+(MONTH(W172)/100),TC!$5:$37,DAY(W172)+2,FALSE))</f>
        <v>0</v>
      </c>
      <c r="AC172" s="306">
        <f t="shared" si="42"/>
        <v>0</v>
      </c>
      <c r="AD172" s="314">
        <f t="shared" si="33"/>
        <v>0</v>
      </c>
      <c r="AE172" s="315">
        <f t="shared" si="43"/>
        <v>0</v>
      </c>
      <c r="AF172" s="316">
        <f t="shared" si="34"/>
        <v>0</v>
      </c>
      <c r="AG172" s="314">
        <v>1</v>
      </c>
      <c r="AH172" s="314">
        <f t="shared" si="44"/>
        <v>0</v>
      </c>
      <c r="AI172" s="314">
        <f t="shared" si="45"/>
        <v>0</v>
      </c>
      <c r="AJ172" s="317"/>
      <c r="AK172" s="315" t="e">
        <f t="shared" si="46"/>
        <v>#N/A</v>
      </c>
      <c r="AM172" s="561"/>
      <c r="AN172" s="561"/>
      <c r="AO172" s="561"/>
    </row>
    <row r="173" spans="2:41">
      <c r="B173" s="296"/>
      <c r="C173" s="299"/>
      <c r="D173" s="296"/>
      <c r="E173" s="298"/>
      <c r="F173" s="299"/>
      <c r="G173" s="300"/>
      <c r="H173" s="303"/>
      <c r="I173" s="303"/>
      <c r="J173" s="322">
        <f t="shared" si="32"/>
        <v>0</v>
      </c>
      <c r="K173" s="305" t="e">
        <f>IF(F173="MXN",1/HLOOKUP(YEAR(G173)+(MONTH(G173)/100),TC!$5:$37,DAY(G173)+2,FALSE),VLOOKUP(F173,Equivalencia!$5:$23,((MAX(Equivalencia!$3:$3)-YEAR(G173))*14)+MONTH(G173)+2,FALSE))</f>
        <v>#N/A</v>
      </c>
      <c r="L173" s="306" t="e">
        <f t="shared" si="35"/>
        <v>#N/A</v>
      </c>
      <c r="M173" s="305">
        <f>IF(G173=0,0,HLOOKUP(YEAR(G173)+(MONTH(G173)/100),TC!$5:$37,DAY(G173)+2,FALSE))</f>
        <v>0</v>
      </c>
      <c r="N173" s="306" t="e">
        <f t="shared" si="36"/>
        <v>#N/A</v>
      </c>
      <c r="O173" s="308">
        <f>IF(G173=0,0,VLOOKUP(YEAR(G173),INPC!$B$4:$P$30,MONTH(G173)+2))</f>
        <v>0</v>
      </c>
      <c r="P173" s="308">
        <f>IF(W173=0,0,IF(OR(C173=$AQ$5,C173=AQ177),VLOOKUP(YEAR(W173),INPC!$B$4:$P$30,MONTH(W173)+1),VLOOKUP(YEAR(W173),INPC!$B$4:$P$30,MONTH(W173)+2)))</f>
        <v>0</v>
      </c>
      <c r="Q173" s="309">
        <f t="shared" si="37"/>
        <v>0</v>
      </c>
      <c r="R173" s="310" t="e">
        <f t="shared" si="38"/>
        <v>#N/A</v>
      </c>
      <c r="S173" s="310">
        <f t="shared" si="39"/>
        <v>0</v>
      </c>
      <c r="T173" s="567" t="str">
        <f t="shared" si="40"/>
        <v>NO</v>
      </c>
      <c r="U173" s="323"/>
      <c r="V173" s="299"/>
      <c r="W173" s="300"/>
      <c r="X173" s="299"/>
      <c r="Y173" s="303"/>
      <c r="Z173" s="305">
        <f>IF(Y173=0,0,IF(X173="MXN",1/HLOOKUP(YEAR(W173)+(MONTH(W173)/100),TC!$5:$37,DAY(W173)+2,FALSE),VLOOKUP(X173,Equivalencia!$1:$23,((MAX(Equivalencia!$3:$3)-YEAR(W173))*14)+MONTH(W173)+2,FALSE)))</f>
        <v>0</v>
      </c>
      <c r="AA173" s="306">
        <f t="shared" si="41"/>
        <v>0</v>
      </c>
      <c r="AB173" s="305">
        <f>+IF(W173=0,0,HLOOKUP(YEAR(W173)+(MONTH(W173)/100),TC!$5:$37,DAY(W173)+2,FALSE))</f>
        <v>0</v>
      </c>
      <c r="AC173" s="306">
        <f t="shared" si="42"/>
        <v>0</v>
      </c>
      <c r="AD173" s="314">
        <f t="shared" si="33"/>
        <v>0</v>
      </c>
      <c r="AE173" s="315">
        <f t="shared" si="43"/>
        <v>0</v>
      </c>
      <c r="AF173" s="316">
        <f t="shared" si="34"/>
        <v>0</v>
      </c>
      <c r="AG173" s="314">
        <v>1</v>
      </c>
      <c r="AH173" s="314">
        <f t="shared" si="44"/>
        <v>0</v>
      </c>
      <c r="AI173" s="314">
        <f t="shared" si="45"/>
        <v>0</v>
      </c>
      <c r="AJ173" s="317"/>
      <c r="AK173" s="315" t="e">
        <f t="shared" si="46"/>
        <v>#N/A</v>
      </c>
      <c r="AM173" s="561"/>
      <c r="AN173" s="561"/>
      <c r="AO173" s="561"/>
    </row>
    <row r="174" spans="2:41">
      <c r="B174" s="296"/>
      <c r="C174" s="299"/>
      <c r="D174" s="296"/>
      <c r="E174" s="298"/>
      <c r="F174" s="299"/>
      <c r="G174" s="300"/>
      <c r="H174" s="303"/>
      <c r="I174" s="303"/>
      <c r="J174" s="322">
        <f t="shared" si="32"/>
        <v>0</v>
      </c>
      <c r="K174" s="305" t="e">
        <f>IF(F174="MXN",1/HLOOKUP(YEAR(G174)+(MONTH(G174)/100),TC!$5:$37,DAY(G174)+2,FALSE),VLOOKUP(F174,Equivalencia!$5:$23,((MAX(Equivalencia!$3:$3)-YEAR(G174))*14)+MONTH(G174)+2,FALSE))</f>
        <v>#N/A</v>
      </c>
      <c r="L174" s="306" t="e">
        <f t="shared" si="35"/>
        <v>#N/A</v>
      </c>
      <c r="M174" s="305">
        <f>IF(G174=0,0,HLOOKUP(YEAR(G174)+(MONTH(G174)/100),TC!$5:$37,DAY(G174)+2,FALSE))</f>
        <v>0</v>
      </c>
      <c r="N174" s="306" t="e">
        <f t="shared" si="36"/>
        <v>#N/A</v>
      </c>
      <c r="O174" s="308">
        <f>IF(G174=0,0,VLOOKUP(YEAR(G174),INPC!$B$4:$P$30,MONTH(G174)+2))</f>
        <v>0</v>
      </c>
      <c r="P174" s="308">
        <f>IF(W174=0,0,IF(OR(C174=$AQ$5,C174=AQ178),VLOOKUP(YEAR(W174),INPC!$B$4:$P$30,MONTH(W174)+1),VLOOKUP(YEAR(W174),INPC!$B$4:$P$30,MONTH(W174)+2)))</f>
        <v>0</v>
      </c>
      <c r="Q174" s="309">
        <f t="shared" si="37"/>
        <v>0</v>
      </c>
      <c r="R174" s="310" t="e">
        <f t="shared" si="38"/>
        <v>#N/A</v>
      </c>
      <c r="S174" s="310">
        <f t="shared" si="39"/>
        <v>0</v>
      </c>
      <c r="T174" s="567" t="str">
        <f t="shared" si="40"/>
        <v>NO</v>
      </c>
      <c r="U174" s="323"/>
      <c r="V174" s="299"/>
      <c r="W174" s="300"/>
      <c r="X174" s="299"/>
      <c r="Y174" s="303"/>
      <c r="Z174" s="305">
        <f>IF(Y174=0,0,IF(X174="MXN",1/HLOOKUP(YEAR(W174)+(MONTH(W174)/100),TC!$5:$37,DAY(W174)+2,FALSE),VLOOKUP(X174,Equivalencia!$1:$23,((MAX(Equivalencia!$3:$3)-YEAR(W174))*14)+MONTH(W174)+2,FALSE)))</f>
        <v>0</v>
      </c>
      <c r="AA174" s="306">
        <f t="shared" si="41"/>
        <v>0</v>
      </c>
      <c r="AB174" s="305">
        <f>+IF(W174=0,0,HLOOKUP(YEAR(W174)+(MONTH(W174)/100),TC!$5:$37,DAY(W174)+2,FALSE))</f>
        <v>0</v>
      </c>
      <c r="AC174" s="306">
        <f t="shared" si="42"/>
        <v>0</v>
      </c>
      <c r="AD174" s="314">
        <f t="shared" si="33"/>
        <v>0</v>
      </c>
      <c r="AE174" s="315">
        <f t="shared" si="43"/>
        <v>0</v>
      </c>
      <c r="AF174" s="316">
        <f t="shared" si="34"/>
        <v>0</v>
      </c>
      <c r="AG174" s="314">
        <v>1</v>
      </c>
      <c r="AH174" s="314">
        <f t="shared" si="44"/>
        <v>0</v>
      </c>
      <c r="AI174" s="314">
        <f t="shared" si="45"/>
        <v>0</v>
      </c>
      <c r="AJ174" s="317"/>
      <c r="AK174" s="315" t="e">
        <f t="shared" si="46"/>
        <v>#N/A</v>
      </c>
      <c r="AM174" s="561"/>
      <c r="AN174" s="561"/>
      <c r="AO174" s="561"/>
    </row>
    <row r="175" spans="2:41">
      <c r="B175" s="296"/>
      <c r="C175" s="299"/>
      <c r="D175" s="296"/>
      <c r="E175" s="298"/>
      <c r="F175" s="299"/>
      <c r="G175" s="300"/>
      <c r="H175" s="303"/>
      <c r="I175" s="303"/>
      <c r="J175" s="322">
        <f t="shared" si="32"/>
        <v>0</v>
      </c>
      <c r="K175" s="305" t="e">
        <f>IF(F175="MXN",1/HLOOKUP(YEAR(G175)+(MONTH(G175)/100),TC!$5:$37,DAY(G175)+2,FALSE),VLOOKUP(F175,Equivalencia!$5:$23,((MAX(Equivalencia!$3:$3)-YEAR(G175))*14)+MONTH(G175)+2,FALSE))</f>
        <v>#N/A</v>
      </c>
      <c r="L175" s="306" t="e">
        <f t="shared" si="35"/>
        <v>#N/A</v>
      </c>
      <c r="M175" s="305">
        <f>IF(G175=0,0,HLOOKUP(YEAR(G175)+(MONTH(G175)/100),TC!$5:$37,DAY(G175)+2,FALSE))</f>
        <v>0</v>
      </c>
      <c r="N175" s="306" t="e">
        <f t="shared" si="36"/>
        <v>#N/A</v>
      </c>
      <c r="O175" s="308">
        <f>IF(G175=0,0,VLOOKUP(YEAR(G175),INPC!$B$4:$P$30,MONTH(G175)+2))</f>
        <v>0</v>
      </c>
      <c r="P175" s="308">
        <f>IF(W175=0,0,IF(OR(C175=$AQ$5,C175=AQ179),VLOOKUP(YEAR(W175),INPC!$B$4:$P$30,MONTH(W175)+1),VLOOKUP(YEAR(W175),INPC!$B$4:$P$30,MONTH(W175)+2)))</f>
        <v>0</v>
      </c>
      <c r="Q175" s="309">
        <f t="shared" si="37"/>
        <v>0</v>
      </c>
      <c r="R175" s="310" t="e">
        <f t="shared" si="38"/>
        <v>#N/A</v>
      </c>
      <c r="S175" s="310">
        <f t="shared" si="39"/>
        <v>0</v>
      </c>
      <c r="T175" s="567" t="str">
        <f t="shared" si="40"/>
        <v>NO</v>
      </c>
      <c r="U175" s="323"/>
      <c r="V175" s="299"/>
      <c r="W175" s="300"/>
      <c r="X175" s="299"/>
      <c r="Y175" s="303"/>
      <c r="Z175" s="305">
        <f>IF(Y175=0,0,IF(X175="MXN",1/HLOOKUP(YEAR(W175)+(MONTH(W175)/100),TC!$5:$37,DAY(W175)+2,FALSE),VLOOKUP(X175,Equivalencia!$1:$23,((MAX(Equivalencia!$3:$3)-YEAR(W175))*14)+MONTH(W175)+2,FALSE)))</f>
        <v>0</v>
      </c>
      <c r="AA175" s="306">
        <f t="shared" si="41"/>
        <v>0</v>
      </c>
      <c r="AB175" s="305">
        <f>+IF(W175=0,0,HLOOKUP(YEAR(W175)+(MONTH(W175)/100),TC!$5:$37,DAY(W175)+2,FALSE))</f>
        <v>0</v>
      </c>
      <c r="AC175" s="306">
        <f t="shared" si="42"/>
        <v>0</v>
      </c>
      <c r="AD175" s="314">
        <f t="shared" si="33"/>
        <v>0</v>
      </c>
      <c r="AE175" s="315">
        <f t="shared" si="43"/>
        <v>0</v>
      </c>
      <c r="AF175" s="316">
        <f t="shared" si="34"/>
        <v>0</v>
      </c>
      <c r="AG175" s="314">
        <v>1</v>
      </c>
      <c r="AH175" s="314">
        <f t="shared" si="44"/>
        <v>0</v>
      </c>
      <c r="AI175" s="314">
        <f t="shared" si="45"/>
        <v>0</v>
      </c>
      <c r="AJ175" s="317"/>
      <c r="AK175" s="315" t="e">
        <f t="shared" si="46"/>
        <v>#N/A</v>
      </c>
      <c r="AM175" s="561"/>
      <c r="AN175" s="561"/>
      <c r="AO175" s="561"/>
    </row>
    <row r="176" spans="2:41">
      <c r="B176" s="296"/>
      <c r="C176" s="299"/>
      <c r="D176" s="296"/>
      <c r="E176" s="298"/>
      <c r="F176" s="299"/>
      <c r="G176" s="300"/>
      <c r="H176" s="303"/>
      <c r="I176" s="303"/>
      <c r="J176" s="322">
        <f t="shared" si="32"/>
        <v>0</v>
      </c>
      <c r="K176" s="305" t="e">
        <f>IF(F176="MXN",1/HLOOKUP(YEAR(G176)+(MONTH(G176)/100),TC!$5:$37,DAY(G176)+2,FALSE),VLOOKUP(F176,Equivalencia!$5:$23,((MAX(Equivalencia!$3:$3)-YEAR(G176))*14)+MONTH(G176)+2,FALSE))</f>
        <v>#N/A</v>
      </c>
      <c r="L176" s="306" t="e">
        <f t="shared" si="35"/>
        <v>#N/A</v>
      </c>
      <c r="M176" s="305">
        <f>IF(G176=0,0,HLOOKUP(YEAR(G176)+(MONTH(G176)/100),TC!$5:$37,DAY(G176)+2,FALSE))</f>
        <v>0</v>
      </c>
      <c r="N176" s="306" t="e">
        <f t="shared" si="36"/>
        <v>#N/A</v>
      </c>
      <c r="O176" s="308">
        <f>IF(G176=0,0,VLOOKUP(YEAR(G176),INPC!$B$4:$P$30,MONTH(G176)+2))</f>
        <v>0</v>
      </c>
      <c r="P176" s="308">
        <f>IF(W176=0,0,IF(OR(C176=$AQ$5,C176=AQ180),VLOOKUP(YEAR(W176),INPC!$B$4:$P$30,MONTH(W176)+1),VLOOKUP(YEAR(W176),INPC!$B$4:$P$30,MONTH(W176)+2)))</f>
        <v>0</v>
      </c>
      <c r="Q176" s="309">
        <f t="shared" si="37"/>
        <v>0</v>
      </c>
      <c r="R176" s="310" t="e">
        <f t="shared" si="38"/>
        <v>#N/A</v>
      </c>
      <c r="S176" s="310">
        <f t="shared" si="39"/>
        <v>0</v>
      </c>
      <c r="T176" s="567" t="str">
        <f t="shared" si="40"/>
        <v>NO</v>
      </c>
      <c r="U176" s="323"/>
      <c r="V176" s="299"/>
      <c r="W176" s="300"/>
      <c r="X176" s="299"/>
      <c r="Y176" s="303"/>
      <c r="Z176" s="305">
        <f>IF(Y176=0,0,IF(X176="MXN",1/HLOOKUP(YEAR(W176)+(MONTH(W176)/100),TC!$5:$37,DAY(W176)+2,FALSE),VLOOKUP(X176,Equivalencia!$1:$23,((MAX(Equivalencia!$3:$3)-YEAR(W176))*14)+MONTH(W176)+2,FALSE)))</f>
        <v>0</v>
      </c>
      <c r="AA176" s="306">
        <f t="shared" si="41"/>
        <v>0</v>
      </c>
      <c r="AB176" s="305">
        <f>+IF(W176=0,0,HLOOKUP(YEAR(W176)+(MONTH(W176)/100),TC!$5:$37,DAY(W176)+2,FALSE))</f>
        <v>0</v>
      </c>
      <c r="AC176" s="306">
        <f t="shared" si="42"/>
        <v>0</v>
      </c>
      <c r="AD176" s="314">
        <f t="shared" si="33"/>
        <v>0</v>
      </c>
      <c r="AE176" s="315">
        <f t="shared" si="43"/>
        <v>0</v>
      </c>
      <c r="AF176" s="316">
        <f t="shared" si="34"/>
        <v>0</v>
      </c>
      <c r="AG176" s="314">
        <v>1</v>
      </c>
      <c r="AH176" s="314">
        <f t="shared" si="44"/>
        <v>0</v>
      </c>
      <c r="AI176" s="314">
        <f t="shared" si="45"/>
        <v>0</v>
      </c>
      <c r="AJ176" s="317"/>
      <c r="AK176" s="315" t="e">
        <f t="shared" si="46"/>
        <v>#N/A</v>
      </c>
      <c r="AM176" s="561"/>
      <c r="AN176" s="561"/>
      <c r="AO176" s="561"/>
    </row>
    <row r="177" spans="2:41">
      <c r="B177" s="296"/>
      <c r="C177" s="299"/>
      <c r="D177" s="296"/>
      <c r="E177" s="298"/>
      <c r="F177" s="299"/>
      <c r="G177" s="300"/>
      <c r="H177" s="303"/>
      <c r="I177" s="303"/>
      <c r="J177" s="322">
        <f t="shared" si="32"/>
        <v>0</v>
      </c>
      <c r="K177" s="305" t="e">
        <f>IF(F177="MXN",1/HLOOKUP(YEAR(G177)+(MONTH(G177)/100),TC!$5:$37,DAY(G177)+2,FALSE),VLOOKUP(F177,Equivalencia!$5:$23,((MAX(Equivalencia!$3:$3)-YEAR(G177))*14)+MONTH(G177)+2,FALSE))</f>
        <v>#N/A</v>
      </c>
      <c r="L177" s="306" t="e">
        <f t="shared" si="35"/>
        <v>#N/A</v>
      </c>
      <c r="M177" s="305">
        <f>IF(G177=0,0,HLOOKUP(YEAR(G177)+(MONTH(G177)/100),TC!$5:$37,DAY(G177)+2,FALSE))</f>
        <v>0</v>
      </c>
      <c r="N177" s="306" t="e">
        <f t="shared" si="36"/>
        <v>#N/A</v>
      </c>
      <c r="O177" s="308">
        <f>IF(G177=0,0,VLOOKUP(YEAR(G177),INPC!$B$4:$P$30,MONTH(G177)+2))</f>
        <v>0</v>
      </c>
      <c r="P177" s="308">
        <f>IF(W177=0,0,IF(OR(C177=$AQ$5,C177=AQ181),VLOOKUP(YEAR(W177),INPC!$B$4:$P$30,MONTH(W177)+1),VLOOKUP(YEAR(W177),INPC!$B$4:$P$30,MONTH(W177)+2)))</f>
        <v>0</v>
      </c>
      <c r="Q177" s="309">
        <f t="shared" si="37"/>
        <v>0</v>
      </c>
      <c r="R177" s="310" t="e">
        <f t="shared" si="38"/>
        <v>#N/A</v>
      </c>
      <c r="S177" s="310">
        <f t="shared" si="39"/>
        <v>0</v>
      </c>
      <c r="T177" s="567" t="str">
        <f t="shared" si="40"/>
        <v>NO</v>
      </c>
      <c r="U177" s="323"/>
      <c r="V177" s="299"/>
      <c r="W177" s="300"/>
      <c r="X177" s="299"/>
      <c r="Y177" s="303"/>
      <c r="Z177" s="305">
        <f>IF(Y177=0,0,IF(X177="MXN",1/HLOOKUP(YEAR(W177)+(MONTH(W177)/100),TC!$5:$37,DAY(W177)+2,FALSE),VLOOKUP(X177,Equivalencia!$1:$23,((MAX(Equivalencia!$3:$3)-YEAR(W177))*14)+MONTH(W177)+2,FALSE)))</f>
        <v>0</v>
      </c>
      <c r="AA177" s="306">
        <f t="shared" si="41"/>
        <v>0</v>
      </c>
      <c r="AB177" s="305">
        <f>+IF(W177=0,0,HLOOKUP(YEAR(W177)+(MONTH(W177)/100),TC!$5:$37,DAY(W177)+2,FALSE))</f>
        <v>0</v>
      </c>
      <c r="AC177" s="306">
        <f t="shared" si="42"/>
        <v>0</v>
      </c>
      <c r="AD177" s="314">
        <f t="shared" si="33"/>
        <v>0</v>
      </c>
      <c r="AE177" s="315">
        <f t="shared" si="43"/>
        <v>0</v>
      </c>
      <c r="AF177" s="316">
        <f t="shared" si="34"/>
        <v>0</v>
      </c>
      <c r="AG177" s="314">
        <v>1</v>
      </c>
      <c r="AH177" s="314">
        <f t="shared" si="44"/>
        <v>0</v>
      </c>
      <c r="AI177" s="314">
        <f t="shared" si="45"/>
        <v>0</v>
      </c>
      <c r="AJ177" s="317"/>
      <c r="AK177" s="315" t="e">
        <f t="shared" si="46"/>
        <v>#N/A</v>
      </c>
      <c r="AM177" s="561"/>
      <c r="AN177" s="561"/>
      <c r="AO177" s="561"/>
    </row>
    <row r="178" spans="2:41">
      <c r="B178" s="296"/>
      <c r="C178" s="299"/>
      <c r="D178" s="296"/>
      <c r="E178" s="298"/>
      <c r="F178" s="299"/>
      <c r="G178" s="300"/>
      <c r="H178" s="303"/>
      <c r="I178" s="303"/>
      <c r="J178" s="322">
        <f t="shared" si="32"/>
        <v>0</v>
      </c>
      <c r="K178" s="305" t="e">
        <f>IF(F178="MXN",1/HLOOKUP(YEAR(G178)+(MONTH(G178)/100),TC!$5:$37,DAY(G178)+2,FALSE),VLOOKUP(F178,Equivalencia!$5:$23,((MAX(Equivalencia!$3:$3)-YEAR(G178))*14)+MONTH(G178)+2,FALSE))</f>
        <v>#N/A</v>
      </c>
      <c r="L178" s="306" t="e">
        <f t="shared" si="35"/>
        <v>#N/A</v>
      </c>
      <c r="M178" s="305">
        <f>IF(G178=0,0,HLOOKUP(YEAR(G178)+(MONTH(G178)/100),TC!$5:$37,DAY(G178)+2,FALSE))</f>
        <v>0</v>
      </c>
      <c r="N178" s="306" t="e">
        <f t="shared" si="36"/>
        <v>#N/A</v>
      </c>
      <c r="O178" s="308">
        <f>IF(G178=0,0,VLOOKUP(YEAR(G178),INPC!$B$4:$P$30,MONTH(G178)+2))</f>
        <v>0</v>
      </c>
      <c r="P178" s="308">
        <f>IF(W178=0,0,IF(OR(C178=$AQ$5,C178=AQ182),VLOOKUP(YEAR(W178),INPC!$B$4:$P$30,MONTH(W178)+1),VLOOKUP(YEAR(W178),INPC!$B$4:$P$30,MONTH(W178)+2)))</f>
        <v>0</v>
      </c>
      <c r="Q178" s="309">
        <f t="shared" si="37"/>
        <v>0</v>
      </c>
      <c r="R178" s="310" t="e">
        <f t="shared" si="38"/>
        <v>#N/A</v>
      </c>
      <c r="S178" s="310">
        <f t="shared" si="39"/>
        <v>0</v>
      </c>
      <c r="T178" s="567" t="str">
        <f t="shared" si="40"/>
        <v>NO</v>
      </c>
      <c r="U178" s="323"/>
      <c r="V178" s="299"/>
      <c r="W178" s="300"/>
      <c r="X178" s="299"/>
      <c r="Y178" s="303"/>
      <c r="Z178" s="305">
        <f>IF(Y178=0,0,IF(X178="MXN",1/HLOOKUP(YEAR(W178)+(MONTH(W178)/100),TC!$5:$37,DAY(W178)+2,FALSE),VLOOKUP(X178,Equivalencia!$1:$23,((MAX(Equivalencia!$3:$3)-YEAR(W178))*14)+MONTH(W178)+2,FALSE)))</f>
        <v>0</v>
      </c>
      <c r="AA178" s="306">
        <f t="shared" si="41"/>
        <v>0</v>
      </c>
      <c r="AB178" s="305">
        <f>+IF(W178=0,0,HLOOKUP(YEAR(W178)+(MONTH(W178)/100),TC!$5:$37,DAY(W178)+2,FALSE))</f>
        <v>0</v>
      </c>
      <c r="AC178" s="306">
        <f t="shared" si="42"/>
        <v>0</v>
      </c>
      <c r="AD178" s="314">
        <f t="shared" si="33"/>
        <v>0</v>
      </c>
      <c r="AE178" s="315">
        <f t="shared" si="43"/>
        <v>0</v>
      </c>
      <c r="AF178" s="316">
        <f t="shared" si="34"/>
        <v>0</v>
      </c>
      <c r="AG178" s="314">
        <v>1</v>
      </c>
      <c r="AH178" s="314">
        <f t="shared" si="44"/>
        <v>0</v>
      </c>
      <c r="AI178" s="314">
        <f t="shared" si="45"/>
        <v>0</v>
      </c>
      <c r="AJ178" s="317"/>
      <c r="AK178" s="315" t="e">
        <f t="shared" si="46"/>
        <v>#N/A</v>
      </c>
      <c r="AM178" s="561"/>
      <c r="AN178" s="561"/>
      <c r="AO178" s="561"/>
    </row>
    <row r="179" spans="2:41">
      <c r="B179" s="296"/>
      <c r="C179" s="299"/>
      <c r="D179" s="296"/>
      <c r="E179" s="298"/>
      <c r="F179" s="299"/>
      <c r="G179" s="300"/>
      <c r="H179" s="303"/>
      <c r="I179" s="303"/>
      <c r="J179" s="322">
        <f t="shared" si="32"/>
        <v>0</v>
      </c>
      <c r="K179" s="305" t="e">
        <f>IF(F179="MXN",1/HLOOKUP(YEAR(G179)+(MONTH(G179)/100),TC!$5:$37,DAY(G179)+2,FALSE),VLOOKUP(F179,Equivalencia!$5:$23,((MAX(Equivalencia!$3:$3)-YEAR(G179))*14)+MONTH(G179)+2,FALSE))</f>
        <v>#N/A</v>
      </c>
      <c r="L179" s="306" t="e">
        <f t="shared" si="35"/>
        <v>#N/A</v>
      </c>
      <c r="M179" s="305">
        <f>IF(G179=0,0,HLOOKUP(YEAR(G179)+(MONTH(G179)/100),TC!$5:$37,DAY(G179)+2,FALSE))</f>
        <v>0</v>
      </c>
      <c r="N179" s="306" t="e">
        <f t="shared" si="36"/>
        <v>#N/A</v>
      </c>
      <c r="O179" s="308">
        <f>IF(G179=0,0,VLOOKUP(YEAR(G179),INPC!$B$4:$P$30,MONTH(G179)+2))</f>
        <v>0</v>
      </c>
      <c r="P179" s="308">
        <f>IF(W179=0,0,IF(OR(C179=$AQ$5,C179=AQ183),VLOOKUP(YEAR(W179),INPC!$B$4:$P$30,MONTH(W179)+1),VLOOKUP(YEAR(W179),INPC!$B$4:$P$30,MONTH(W179)+2)))</f>
        <v>0</v>
      </c>
      <c r="Q179" s="309">
        <f t="shared" si="37"/>
        <v>0</v>
      </c>
      <c r="R179" s="310" t="e">
        <f t="shared" si="38"/>
        <v>#N/A</v>
      </c>
      <c r="S179" s="310">
        <f t="shared" si="39"/>
        <v>0</v>
      </c>
      <c r="T179" s="567" t="str">
        <f t="shared" si="40"/>
        <v>NO</v>
      </c>
      <c r="U179" s="323"/>
      <c r="V179" s="299"/>
      <c r="W179" s="300"/>
      <c r="X179" s="299"/>
      <c r="Y179" s="303"/>
      <c r="Z179" s="305">
        <f>IF(Y179=0,0,IF(X179="MXN",1/HLOOKUP(YEAR(W179)+(MONTH(W179)/100),TC!$5:$37,DAY(W179)+2,FALSE),VLOOKUP(X179,Equivalencia!$1:$23,((MAX(Equivalencia!$3:$3)-YEAR(W179))*14)+MONTH(W179)+2,FALSE)))</f>
        <v>0</v>
      </c>
      <c r="AA179" s="306">
        <f t="shared" si="41"/>
        <v>0</v>
      </c>
      <c r="AB179" s="305">
        <f>+IF(W179=0,0,HLOOKUP(YEAR(W179)+(MONTH(W179)/100),TC!$5:$37,DAY(W179)+2,FALSE))</f>
        <v>0</v>
      </c>
      <c r="AC179" s="306">
        <f t="shared" si="42"/>
        <v>0</v>
      </c>
      <c r="AD179" s="314">
        <f t="shared" si="33"/>
        <v>0</v>
      </c>
      <c r="AE179" s="315">
        <f t="shared" si="43"/>
        <v>0</v>
      </c>
      <c r="AF179" s="316">
        <f t="shared" si="34"/>
        <v>0</v>
      </c>
      <c r="AG179" s="314">
        <v>1</v>
      </c>
      <c r="AH179" s="314">
        <f t="shared" si="44"/>
        <v>0</v>
      </c>
      <c r="AI179" s="314">
        <f t="shared" si="45"/>
        <v>0</v>
      </c>
      <c r="AJ179" s="317"/>
      <c r="AK179" s="315" t="e">
        <f t="shared" si="46"/>
        <v>#N/A</v>
      </c>
      <c r="AM179" s="561"/>
      <c r="AN179" s="561"/>
      <c r="AO179" s="561"/>
    </row>
    <row r="180" spans="2:41">
      <c r="B180" s="296"/>
      <c r="C180" s="299"/>
      <c r="D180" s="296"/>
      <c r="E180" s="298"/>
      <c r="F180" s="299"/>
      <c r="G180" s="300"/>
      <c r="H180" s="303"/>
      <c r="I180" s="303"/>
      <c r="J180" s="322">
        <f t="shared" si="32"/>
        <v>0</v>
      </c>
      <c r="K180" s="305" t="e">
        <f>IF(F180="MXN",1/HLOOKUP(YEAR(G180)+(MONTH(G180)/100),TC!$5:$37,DAY(G180)+2,FALSE),VLOOKUP(F180,Equivalencia!$5:$23,((MAX(Equivalencia!$3:$3)-YEAR(G180))*14)+MONTH(G180)+2,FALSE))</f>
        <v>#N/A</v>
      </c>
      <c r="L180" s="306" t="e">
        <f t="shared" si="35"/>
        <v>#N/A</v>
      </c>
      <c r="M180" s="305">
        <f>IF(G180=0,0,HLOOKUP(YEAR(G180)+(MONTH(G180)/100),TC!$5:$37,DAY(G180)+2,FALSE))</f>
        <v>0</v>
      </c>
      <c r="N180" s="306" t="e">
        <f t="shared" si="36"/>
        <v>#N/A</v>
      </c>
      <c r="O180" s="308">
        <f>IF(G180=0,0,VLOOKUP(YEAR(G180),INPC!$B$4:$P$30,MONTH(G180)+2))</f>
        <v>0</v>
      </c>
      <c r="P180" s="308">
        <f>IF(W180=0,0,IF(OR(C180=$AQ$5,C180=AQ184),VLOOKUP(YEAR(W180),INPC!$B$4:$P$30,MONTH(W180)+1),VLOOKUP(YEAR(W180),INPC!$B$4:$P$30,MONTH(W180)+2)))</f>
        <v>0</v>
      </c>
      <c r="Q180" s="309">
        <f t="shared" si="37"/>
        <v>0</v>
      </c>
      <c r="R180" s="310" t="e">
        <f t="shared" si="38"/>
        <v>#N/A</v>
      </c>
      <c r="S180" s="310">
        <f t="shared" si="39"/>
        <v>0</v>
      </c>
      <c r="T180" s="567" t="str">
        <f t="shared" si="40"/>
        <v>NO</v>
      </c>
      <c r="U180" s="323"/>
      <c r="V180" s="299"/>
      <c r="W180" s="300"/>
      <c r="X180" s="299"/>
      <c r="Y180" s="303"/>
      <c r="Z180" s="305">
        <f>IF(Y180=0,0,IF(X180="MXN",1/HLOOKUP(YEAR(W180)+(MONTH(W180)/100),TC!$5:$37,DAY(W180)+2,FALSE),VLOOKUP(X180,Equivalencia!$1:$23,((MAX(Equivalencia!$3:$3)-YEAR(W180))*14)+MONTH(W180)+2,FALSE)))</f>
        <v>0</v>
      </c>
      <c r="AA180" s="306">
        <f t="shared" si="41"/>
        <v>0</v>
      </c>
      <c r="AB180" s="305">
        <f>+IF(W180=0,0,HLOOKUP(YEAR(W180)+(MONTH(W180)/100),TC!$5:$37,DAY(W180)+2,FALSE))</f>
        <v>0</v>
      </c>
      <c r="AC180" s="306">
        <f t="shared" si="42"/>
        <v>0</v>
      </c>
      <c r="AD180" s="314">
        <f t="shared" si="33"/>
        <v>0</v>
      </c>
      <c r="AE180" s="315">
        <f t="shared" si="43"/>
        <v>0</v>
      </c>
      <c r="AF180" s="316">
        <f t="shared" si="34"/>
        <v>0</v>
      </c>
      <c r="AG180" s="314">
        <v>1</v>
      </c>
      <c r="AH180" s="314">
        <f t="shared" si="44"/>
        <v>0</v>
      </c>
      <c r="AI180" s="314">
        <f t="shared" si="45"/>
        <v>0</v>
      </c>
      <c r="AJ180" s="317"/>
      <c r="AK180" s="315" t="e">
        <f t="shared" si="46"/>
        <v>#N/A</v>
      </c>
      <c r="AM180" s="561"/>
      <c r="AN180" s="561"/>
      <c r="AO180" s="561"/>
    </row>
    <row r="181" spans="2:41">
      <c r="B181" s="296"/>
      <c r="C181" s="299"/>
      <c r="D181" s="296"/>
      <c r="E181" s="298"/>
      <c r="F181" s="299"/>
      <c r="G181" s="300"/>
      <c r="H181" s="303"/>
      <c r="I181" s="303"/>
      <c r="J181" s="322">
        <f t="shared" si="32"/>
        <v>0</v>
      </c>
      <c r="K181" s="305" t="e">
        <f>IF(F181="MXN",1/HLOOKUP(YEAR(G181)+(MONTH(G181)/100),TC!$5:$37,DAY(G181)+2,FALSE),VLOOKUP(F181,Equivalencia!$5:$23,((MAX(Equivalencia!$3:$3)-YEAR(G181))*14)+MONTH(G181)+2,FALSE))</f>
        <v>#N/A</v>
      </c>
      <c r="L181" s="306" t="e">
        <f t="shared" si="35"/>
        <v>#N/A</v>
      </c>
      <c r="M181" s="305">
        <f>IF(G181=0,0,HLOOKUP(YEAR(G181)+(MONTH(G181)/100),TC!$5:$37,DAY(G181)+2,FALSE))</f>
        <v>0</v>
      </c>
      <c r="N181" s="306" t="e">
        <f t="shared" si="36"/>
        <v>#N/A</v>
      </c>
      <c r="O181" s="308">
        <f>IF(G181=0,0,VLOOKUP(YEAR(G181),INPC!$B$4:$P$30,MONTH(G181)+2))</f>
        <v>0</v>
      </c>
      <c r="P181" s="308">
        <f>IF(W181=0,0,IF(OR(C181=$AQ$5,C181=AQ185),VLOOKUP(YEAR(W181),INPC!$B$4:$P$30,MONTH(W181)+1),VLOOKUP(YEAR(W181),INPC!$B$4:$P$30,MONTH(W181)+2)))</f>
        <v>0</v>
      </c>
      <c r="Q181" s="309">
        <f t="shared" si="37"/>
        <v>0</v>
      </c>
      <c r="R181" s="310" t="e">
        <f t="shared" si="38"/>
        <v>#N/A</v>
      </c>
      <c r="S181" s="310">
        <f t="shared" si="39"/>
        <v>0</v>
      </c>
      <c r="T181" s="567" t="str">
        <f t="shared" si="40"/>
        <v>NO</v>
      </c>
      <c r="U181" s="323"/>
      <c r="V181" s="299"/>
      <c r="W181" s="300"/>
      <c r="X181" s="299"/>
      <c r="Y181" s="303"/>
      <c r="Z181" s="305">
        <f>IF(Y181=0,0,IF(X181="MXN",1/HLOOKUP(YEAR(W181)+(MONTH(W181)/100),TC!$5:$37,DAY(W181)+2,FALSE),VLOOKUP(X181,Equivalencia!$1:$23,((MAX(Equivalencia!$3:$3)-YEAR(W181))*14)+MONTH(W181)+2,FALSE)))</f>
        <v>0</v>
      </c>
      <c r="AA181" s="306">
        <f t="shared" si="41"/>
        <v>0</v>
      </c>
      <c r="AB181" s="305">
        <f>+IF(W181=0,0,HLOOKUP(YEAR(W181)+(MONTH(W181)/100),TC!$5:$37,DAY(W181)+2,FALSE))</f>
        <v>0</v>
      </c>
      <c r="AC181" s="306">
        <f t="shared" si="42"/>
        <v>0</v>
      </c>
      <c r="AD181" s="314">
        <f t="shared" si="33"/>
        <v>0</v>
      </c>
      <c r="AE181" s="315">
        <f t="shared" si="43"/>
        <v>0</v>
      </c>
      <c r="AF181" s="316">
        <f t="shared" si="34"/>
        <v>0</v>
      </c>
      <c r="AG181" s="314">
        <v>1</v>
      </c>
      <c r="AH181" s="314">
        <f t="shared" si="44"/>
        <v>0</v>
      </c>
      <c r="AI181" s="314">
        <f t="shared" si="45"/>
        <v>0</v>
      </c>
      <c r="AJ181" s="317"/>
      <c r="AK181" s="315" t="e">
        <f t="shared" si="46"/>
        <v>#N/A</v>
      </c>
      <c r="AM181" s="561"/>
      <c r="AN181" s="561"/>
      <c r="AO181" s="561"/>
    </row>
    <row r="182" spans="2:41">
      <c r="B182" s="296"/>
      <c r="C182" s="299"/>
      <c r="D182" s="296"/>
      <c r="E182" s="298"/>
      <c r="F182" s="299"/>
      <c r="G182" s="300"/>
      <c r="H182" s="303"/>
      <c r="I182" s="303"/>
      <c r="J182" s="322">
        <f t="shared" si="32"/>
        <v>0</v>
      </c>
      <c r="K182" s="305" t="e">
        <f>IF(F182="MXN",1/HLOOKUP(YEAR(G182)+(MONTH(G182)/100),TC!$5:$37,DAY(G182)+2,FALSE),VLOOKUP(F182,Equivalencia!$5:$23,((MAX(Equivalencia!$3:$3)-YEAR(G182))*14)+MONTH(G182)+2,FALSE))</f>
        <v>#N/A</v>
      </c>
      <c r="L182" s="306" t="e">
        <f t="shared" si="35"/>
        <v>#N/A</v>
      </c>
      <c r="M182" s="305">
        <f>IF(G182=0,0,HLOOKUP(YEAR(G182)+(MONTH(G182)/100),TC!$5:$37,DAY(G182)+2,FALSE))</f>
        <v>0</v>
      </c>
      <c r="N182" s="306" t="e">
        <f t="shared" si="36"/>
        <v>#N/A</v>
      </c>
      <c r="O182" s="308">
        <f>IF(G182=0,0,VLOOKUP(YEAR(G182),INPC!$B$4:$P$30,MONTH(G182)+2))</f>
        <v>0</v>
      </c>
      <c r="P182" s="308">
        <f>IF(W182=0,0,IF(OR(C182=$AQ$5,C182=AQ186),VLOOKUP(YEAR(W182),INPC!$B$4:$P$30,MONTH(W182)+1),VLOOKUP(YEAR(W182),INPC!$B$4:$P$30,MONTH(W182)+2)))</f>
        <v>0</v>
      </c>
      <c r="Q182" s="309">
        <f t="shared" si="37"/>
        <v>0</v>
      </c>
      <c r="R182" s="310" t="e">
        <f t="shared" si="38"/>
        <v>#N/A</v>
      </c>
      <c r="S182" s="310">
        <f t="shared" si="39"/>
        <v>0</v>
      </c>
      <c r="T182" s="567" t="str">
        <f t="shared" si="40"/>
        <v>NO</v>
      </c>
      <c r="U182" s="323"/>
      <c r="V182" s="299"/>
      <c r="W182" s="300"/>
      <c r="X182" s="299"/>
      <c r="Y182" s="303"/>
      <c r="Z182" s="305">
        <f>IF(Y182=0,0,IF(X182="MXN",1/HLOOKUP(YEAR(W182)+(MONTH(W182)/100),TC!$5:$37,DAY(W182)+2,FALSE),VLOOKUP(X182,Equivalencia!$1:$23,((MAX(Equivalencia!$3:$3)-YEAR(W182))*14)+MONTH(W182)+2,FALSE)))</f>
        <v>0</v>
      </c>
      <c r="AA182" s="306">
        <f t="shared" si="41"/>
        <v>0</v>
      </c>
      <c r="AB182" s="305">
        <f>+IF(W182=0,0,HLOOKUP(YEAR(W182)+(MONTH(W182)/100),TC!$5:$37,DAY(W182)+2,FALSE))</f>
        <v>0</v>
      </c>
      <c r="AC182" s="306">
        <f t="shared" si="42"/>
        <v>0</v>
      </c>
      <c r="AD182" s="314">
        <f t="shared" si="33"/>
        <v>0</v>
      </c>
      <c r="AE182" s="315">
        <f t="shared" si="43"/>
        <v>0</v>
      </c>
      <c r="AF182" s="316">
        <f t="shared" si="34"/>
        <v>0</v>
      </c>
      <c r="AG182" s="314">
        <v>1</v>
      </c>
      <c r="AH182" s="314">
        <f t="shared" si="44"/>
        <v>0</v>
      </c>
      <c r="AI182" s="314">
        <f t="shared" si="45"/>
        <v>0</v>
      </c>
      <c r="AJ182" s="317"/>
      <c r="AK182" s="315" t="e">
        <f t="shared" si="46"/>
        <v>#N/A</v>
      </c>
      <c r="AM182" s="561"/>
      <c r="AN182" s="561"/>
      <c r="AO182" s="561"/>
    </row>
    <row r="183" spans="2:41">
      <c r="B183" s="296"/>
      <c r="C183" s="299"/>
      <c r="D183" s="296"/>
      <c r="E183" s="298"/>
      <c r="F183" s="299"/>
      <c r="G183" s="300"/>
      <c r="H183" s="303"/>
      <c r="I183" s="303"/>
      <c r="J183" s="322">
        <f t="shared" si="32"/>
        <v>0</v>
      </c>
      <c r="K183" s="305" t="e">
        <f>IF(F183="MXN",1/HLOOKUP(YEAR(G183)+(MONTH(G183)/100),TC!$5:$37,DAY(G183)+2,FALSE),VLOOKUP(F183,Equivalencia!$5:$23,((MAX(Equivalencia!$3:$3)-YEAR(G183))*14)+MONTH(G183)+2,FALSE))</f>
        <v>#N/A</v>
      </c>
      <c r="L183" s="306" t="e">
        <f t="shared" si="35"/>
        <v>#N/A</v>
      </c>
      <c r="M183" s="305">
        <f>IF(G183=0,0,HLOOKUP(YEAR(G183)+(MONTH(G183)/100),TC!$5:$37,DAY(G183)+2,FALSE))</f>
        <v>0</v>
      </c>
      <c r="N183" s="306" t="e">
        <f t="shared" si="36"/>
        <v>#N/A</v>
      </c>
      <c r="O183" s="308">
        <f>IF(G183=0,0,VLOOKUP(YEAR(G183),INPC!$B$4:$P$30,MONTH(G183)+2))</f>
        <v>0</v>
      </c>
      <c r="P183" s="308">
        <f>IF(W183=0,0,IF(OR(C183=$AQ$5,C183=AQ187),VLOOKUP(YEAR(W183),INPC!$B$4:$P$30,MONTH(W183)+1),VLOOKUP(YEAR(W183),INPC!$B$4:$P$30,MONTH(W183)+2)))</f>
        <v>0</v>
      </c>
      <c r="Q183" s="309">
        <f t="shared" si="37"/>
        <v>0</v>
      </c>
      <c r="R183" s="310" t="e">
        <f t="shared" si="38"/>
        <v>#N/A</v>
      </c>
      <c r="S183" s="310">
        <f t="shared" si="39"/>
        <v>0</v>
      </c>
      <c r="T183" s="567" t="str">
        <f t="shared" si="40"/>
        <v>NO</v>
      </c>
      <c r="U183" s="323"/>
      <c r="V183" s="299"/>
      <c r="W183" s="300"/>
      <c r="X183" s="299"/>
      <c r="Y183" s="303"/>
      <c r="Z183" s="305">
        <f>IF(Y183=0,0,IF(X183="MXN",1/HLOOKUP(YEAR(W183)+(MONTH(W183)/100),TC!$5:$37,DAY(W183)+2,FALSE),VLOOKUP(X183,Equivalencia!$1:$23,((MAX(Equivalencia!$3:$3)-YEAR(W183))*14)+MONTH(W183)+2,FALSE)))</f>
        <v>0</v>
      </c>
      <c r="AA183" s="306">
        <f t="shared" si="41"/>
        <v>0</v>
      </c>
      <c r="AB183" s="305">
        <f>+IF(W183=0,0,HLOOKUP(YEAR(W183)+(MONTH(W183)/100),TC!$5:$37,DAY(W183)+2,FALSE))</f>
        <v>0</v>
      </c>
      <c r="AC183" s="306">
        <f t="shared" si="42"/>
        <v>0</v>
      </c>
      <c r="AD183" s="314">
        <f t="shared" si="33"/>
        <v>0</v>
      </c>
      <c r="AE183" s="315">
        <f t="shared" si="43"/>
        <v>0</v>
      </c>
      <c r="AF183" s="316">
        <f t="shared" si="34"/>
        <v>0</v>
      </c>
      <c r="AG183" s="314">
        <v>1</v>
      </c>
      <c r="AH183" s="314">
        <f t="shared" si="44"/>
        <v>0</v>
      </c>
      <c r="AI183" s="314">
        <f t="shared" si="45"/>
        <v>0</v>
      </c>
      <c r="AJ183" s="317"/>
      <c r="AK183" s="315" t="e">
        <f t="shared" si="46"/>
        <v>#N/A</v>
      </c>
      <c r="AM183" s="561"/>
      <c r="AN183" s="561"/>
      <c r="AO183" s="561"/>
    </row>
    <row r="184" spans="2:41">
      <c r="B184" s="296"/>
      <c r="C184" s="299"/>
      <c r="D184" s="296"/>
      <c r="E184" s="298"/>
      <c r="F184" s="299"/>
      <c r="G184" s="300"/>
      <c r="H184" s="303"/>
      <c r="I184" s="303"/>
      <c r="J184" s="322">
        <f t="shared" si="32"/>
        <v>0</v>
      </c>
      <c r="K184" s="305" t="e">
        <f>IF(F184="MXN",1/HLOOKUP(YEAR(G184)+(MONTH(G184)/100),TC!$5:$37,DAY(G184)+2,FALSE),VLOOKUP(F184,Equivalencia!$5:$23,((MAX(Equivalencia!$3:$3)-YEAR(G184))*14)+MONTH(G184)+2,FALSE))</f>
        <v>#N/A</v>
      </c>
      <c r="L184" s="306" t="e">
        <f t="shared" si="35"/>
        <v>#N/A</v>
      </c>
      <c r="M184" s="305">
        <f>IF(G184=0,0,HLOOKUP(YEAR(G184)+(MONTH(G184)/100),TC!$5:$37,DAY(G184)+2,FALSE))</f>
        <v>0</v>
      </c>
      <c r="N184" s="306" t="e">
        <f t="shared" si="36"/>
        <v>#N/A</v>
      </c>
      <c r="O184" s="308">
        <f>IF(G184=0,0,VLOOKUP(YEAR(G184),INPC!$B$4:$P$30,MONTH(G184)+2))</f>
        <v>0</v>
      </c>
      <c r="P184" s="308">
        <f>IF(W184=0,0,IF(OR(C184=$AQ$5,C184=AQ188),VLOOKUP(YEAR(W184),INPC!$B$4:$P$30,MONTH(W184)+1),VLOOKUP(YEAR(W184),INPC!$B$4:$P$30,MONTH(W184)+2)))</f>
        <v>0</v>
      </c>
      <c r="Q184" s="309">
        <f t="shared" si="37"/>
        <v>0</v>
      </c>
      <c r="R184" s="310" t="e">
        <f t="shared" si="38"/>
        <v>#N/A</v>
      </c>
      <c r="S184" s="310">
        <f t="shared" si="39"/>
        <v>0</v>
      </c>
      <c r="T184" s="567" t="str">
        <f t="shared" si="40"/>
        <v>NO</v>
      </c>
      <c r="U184" s="323"/>
      <c r="V184" s="299"/>
      <c r="W184" s="300"/>
      <c r="X184" s="299"/>
      <c r="Y184" s="303"/>
      <c r="Z184" s="305">
        <f>IF(Y184=0,0,IF(X184="MXN",1/HLOOKUP(YEAR(W184)+(MONTH(W184)/100),TC!$5:$37,DAY(W184)+2,FALSE),VLOOKUP(X184,Equivalencia!$1:$23,((MAX(Equivalencia!$3:$3)-YEAR(W184))*14)+MONTH(W184)+2,FALSE)))</f>
        <v>0</v>
      </c>
      <c r="AA184" s="306">
        <f t="shared" si="41"/>
        <v>0</v>
      </c>
      <c r="AB184" s="305">
        <f>+IF(W184=0,0,HLOOKUP(YEAR(W184)+(MONTH(W184)/100),TC!$5:$37,DAY(W184)+2,FALSE))</f>
        <v>0</v>
      </c>
      <c r="AC184" s="306">
        <f t="shared" si="42"/>
        <v>0</v>
      </c>
      <c r="AD184" s="314">
        <f t="shared" si="33"/>
        <v>0</v>
      </c>
      <c r="AE184" s="315">
        <f t="shared" si="43"/>
        <v>0</v>
      </c>
      <c r="AF184" s="316">
        <f t="shared" si="34"/>
        <v>0</v>
      </c>
      <c r="AG184" s="314">
        <v>1</v>
      </c>
      <c r="AH184" s="314">
        <f t="shared" si="44"/>
        <v>0</v>
      </c>
      <c r="AI184" s="314">
        <f t="shared" si="45"/>
        <v>0</v>
      </c>
      <c r="AJ184" s="317"/>
      <c r="AK184" s="315" t="e">
        <f t="shared" si="46"/>
        <v>#N/A</v>
      </c>
      <c r="AM184" s="561"/>
      <c r="AN184" s="561"/>
      <c r="AO184" s="561"/>
    </row>
    <row r="185" spans="2:41">
      <c r="B185" s="296"/>
      <c r="C185" s="299"/>
      <c r="D185" s="296"/>
      <c r="E185" s="298"/>
      <c r="F185" s="299"/>
      <c r="G185" s="300"/>
      <c r="H185" s="303"/>
      <c r="I185" s="303"/>
      <c r="J185" s="322">
        <f t="shared" si="32"/>
        <v>0</v>
      </c>
      <c r="K185" s="305" t="e">
        <f>IF(F185="MXN",1/HLOOKUP(YEAR(G185)+(MONTH(G185)/100),TC!$5:$37,DAY(G185)+2,FALSE),VLOOKUP(F185,Equivalencia!$5:$23,((MAX(Equivalencia!$3:$3)-YEAR(G185))*14)+MONTH(G185)+2,FALSE))</f>
        <v>#N/A</v>
      </c>
      <c r="L185" s="306" t="e">
        <f t="shared" si="35"/>
        <v>#N/A</v>
      </c>
      <c r="M185" s="305">
        <f>IF(G185=0,0,HLOOKUP(YEAR(G185)+(MONTH(G185)/100),TC!$5:$37,DAY(G185)+2,FALSE))</f>
        <v>0</v>
      </c>
      <c r="N185" s="306" t="e">
        <f t="shared" si="36"/>
        <v>#N/A</v>
      </c>
      <c r="O185" s="308">
        <f>IF(G185=0,0,VLOOKUP(YEAR(G185),INPC!$B$4:$P$30,MONTH(G185)+2))</f>
        <v>0</v>
      </c>
      <c r="P185" s="308">
        <f>IF(W185=0,0,IF(OR(C185=$AQ$5,C185=AQ189),VLOOKUP(YEAR(W185),INPC!$B$4:$P$30,MONTH(W185)+1),VLOOKUP(YEAR(W185),INPC!$B$4:$P$30,MONTH(W185)+2)))</f>
        <v>0</v>
      </c>
      <c r="Q185" s="309">
        <f t="shared" si="37"/>
        <v>0</v>
      </c>
      <c r="R185" s="310" t="e">
        <f t="shared" si="38"/>
        <v>#N/A</v>
      </c>
      <c r="S185" s="310">
        <f t="shared" si="39"/>
        <v>0</v>
      </c>
      <c r="T185" s="567" t="str">
        <f t="shared" si="40"/>
        <v>NO</v>
      </c>
      <c r="U185" s="323"/>
      <c r="V185" s="299"/>
      <c r="W185" s="300"/>
      <c r="X185" s="299"/>
      <c r="Y185" s="303"/>
      <c r="Z185" s="305">
        <f>IF(Y185=0,0,IF(X185="MXN",1/HLOOKUP(YEAR(W185)+(MONTH(W185)/100),TC!$5:$37,DAY(W185)+2,FALSE),VLOOKUP(X185,Equivalencia!$1:$23,((MAX(Equivalencia!$3:$3)-YEAR(W185))*14)+MONTH(W185)+2,FALSE)))</f>
        <v>0</v>
      </c>
      <c r="AA185" s="306">
        <f t="shared" si="41"/>
        <v>0</v>
      </c>
      <c r="AB185" s="305">
        <f>+IF(W185=0,0,HLOOKUP(YEAR(W185)+(MONTH(W185)/100),TC!$5:$37,DAY(W185)+2,FALSE))</f>
        <v>0</v>
      </c>
      <c r="AC185" s="306">
        <f t="shared" si="42"/>
        <v>0</v>
      </c>
      <c r="AD185" s="314">
        <f t="shared" si="33"/>
        <v>0</v>
      </c>
      <c r="AE185" s="315">
        <f t="shared" si="43"/>
        <v>0</v>
      </c>
      <c r="AF185" s="316">
        <f t="shared" si="34"/>
        <v>0</v>
      </c>
      <c r="AG185" s="314">
        <v>1</v>
      </c>
      <c r="AH185" s="314">
        <f t="shared" si="44"/>
        <v>0</v>
      </c>
      <c r="AI185" s="314">
        <f t="shared" si="45"/>
        <v>0</v>
      </c>
      <c r="AJ185" s="317"/>
      <c r="AK185" s="315" t="e">
        <f t="shared" si="46"/>
        <v>#N/A</v>
      </c>
      <c r="AM185" s="561"/>
      <c r="AN185" s="561"/>
      <c r="AO185" s="561"/>
    </row>
    <row r="186" spans="2:41">
      <c r="B186" s="296"/>
      <c r="C186" s="299"/>
      <c r="D186" s="296"/>
      <c r="E186" s="298"/>
      <c r="F186" s="299"/>
      <c r="G186" s="300"/>
      <c r="H186" s="303"/>
      <c r="I186" s="303"/>
      <c r="J186" s="322">
        <f t="shared" si="32"/>
        <v>0</v>
      </c>
      <c r="K186" s="305" t="e">
        <f>IF(F186="MXN",1/HLOOKUP(YEAR(G186)+(MONTH(G186)/100),TC!$5:$37,DAY(G186)+2,FALSE),VLOOKUP(F186,Equivalencia!$5:$23,((MAX(Equivalencia!$3:$3)-YEAR(G186))*14)+MONTH(G186)+2,FALSE))</f>
        <v>#N/A</v>
      </c>
      <c r="L186" s="306" t="e">
        <f t="shared" si="35"/>
        <v>#N/A</v>
      </c>
      <c r="M186" s="305">
        <f>IF(G186=0,0,HLOOKUP(YEAR(G186)+(MONTH(G186)/100),TC!$5:$37,DAY(G186)+2,FALSE))</f>
        <v>0</v>
      </c>
      <c r="N186" s="306" t="e">
        <f t="shared" si="36"/>
        <v>#N/A</v>
      </c>
      <c r="O186" s="308">
        <f>IF(G186=0,0,VLOOKUP(YEAR(G186),INPC!$B$4:$P$30,MONTH(G186)+2))</f>
        <v>0</v>
      </c>
      <c r="P186" s="308">
        <f>IF(W186=0,0,IF(OR(C186=$AQ$5,C186=AQ190),VLOOKUP(YEAR(W186),INPC!$B$4:$P$30,MONTH(W186)+1),VLOOKUP(YEAR(W186),INPC!$B$4:$P$30,MONTH(W186)+2)))</f>
        <v>0</v>
      </c>
      <c r="Q186" s="309">
        <f t="shared" si="37"/>
        <v>0</v>
      </c>
      <c r="R186" s="310" t="e">
        <f t="shared" si="38"/>
        <v>#N/A</v>
      </c>
      <c r="S186" s="310">
        <f t="shared" si="39"/>
        <v>0</v>
      </c>
      <c r="T186" s="567" t="str">
        <f t="shared" si="40"/>
        <v>NO</v>
      </c>
      <c r="U186" s="323"/>
      <c r="V186" s="299"/>
      <c r="W186" s="300"/>
      <c r="X186" s="299"/>
      <c r="Y186" s="303"/>
      <c r="Z186" s="305">
        <f>IF(Y186=0,0,IF(X186="MXN",1/HLOOKUP(YEAR(W186)+(MONTH(W186)/100),TC!$5:$37,DAY(W186)+2,FALSE),VLOOKUP(X186,Equivalencia!$1:$23,((MAX(Equivalencia!$3:$3)-YEAR(W186))*14)+MONTH(W186)+2,FALSE)))</f>
        <v>0</v>
      </c>
      <c r="AA186" s="306">
        <f t="shared" si="41"/>
        <v>0</v>
      </c>
      <c r="AB186" s="305">
        <f>+IF(W186=0,0,HLOOKUP(YEAR(W186)+(MONTH(W186)/100),TC!$5:$37,DAY(W186)+2,FALSE))</f>
        <v>0</v>
      </c>
      <c r="AC186" s="306">
        <f t="shared" si="42"/>
        <v>0</v>
      </c>
      <c r="AD186" s="314">
        <f t="shared" si="33"/>
        <v>0</v>
      </c>
      <c r="AE186" s="315">
        <f t="shared" si="43"/>
        <v>0</v>
      </c>
      <c r="AF186" s="316">
        <f t="shared" si="34"/>
        <v>0</v>
      </c>
      <c r="AG186" s="314">
        <v>1</v>
      </c>
      <c r="AH186" s="314">
        <f t="shared" si="44"/>
        <v>0</v>
      </c>
      <c r="AI186" s="314">
        <f t="shared" si="45"/>
        <v>0</v>
      </c>
      <c r="AJ186" s="317"/>
      <c r="AK186" s="315" t="e">
        <f t="shared" si="46"/>
        <v>#N/A</v>
      </c>
      <c r="AM186" s="561"/>
      <c r="AN186" s="561"/>
      <c r="AO186" s="561"/>
    </row>
    <row r="187" spans="2:41">
      <c r="B187" s="296"/>
      <c r="C187" s="299"/>
      <c r="D187" s="296"/>
      <c r="E187" s="298"/>
      <c r="F187" s="299"/>
      <c r="G187" s="300"/>
      <c r="H187" s="303"/>
      <c r="I187" s="303"/>
      <c r="J187" s="322">
        <f t="shared" si="32"/>
        <v>0</v>
      </c>
      <c r="K187" s="305" t="e">
        <f>IF(F187="MXN",1/HLOOKUP(YEAR(G187)+(MONTH(G187)/100),TC!$5:$37,DAY(G187)+2,FALSE),VLOOKUP(F187,Equivalencia!$5:$23,((MAX(Equivalencia!$3:$3)-YEAR(G187))*14)+MONTH(G187)+2,FALSE))</f>
        <v>#N/A</v>
      </c>
      <c r="L187" s="306" t="e">
        <f t="shared" si="35"/>
        <v>#N/A</v>
      </c>
      <c r="M187" s="305">
        <f>IF(G187=0,0,HLOOKUP(YEAR(G187)+(MONTH(G187)/100),TC!$5:$37,DAY(G187)+2,FALSE))</f>
        <v>0</v>
      </c>
      <c r="N187" s="306" t="e">
        <f t="shared" si="36"/>
        <v>#N/A</v>
      </c>
      <c r="O187" s="308">
        <f>IF(G187=0,0,VLOOKUP(YEAR(G187),INPC!$B$4:$P$30,MONTH(G187)+2))</f>
        <v>0</v>
      </c>
      <c r="P187" s="308">
        <f>IF(W187=0,0,IF(OR(C187=$AQ$5,C187=AQ191),VLOOKUP(YEAR(W187),INPC!$B$4:$P$30,MONTH(W187)+1),VLOOKUP(YEAR(W187),INPC!$B$4:$P$30,MONTH(W187)+2)))</f>
        <v>0</v>
      </c>
      <c r="Q187" s="309">
        <f t="shared" si="37"/>
        <v>0</v>
      </c>
      <c r="R187" s="310" t="e">
        <f t="shared" si="38"/>
        <v>#N/A</v>
      </c>
      <c r="S187" s="310">
        <f t="shared" si="39"/>
        <v>0</v>
      </c>
      <c r="T187" s="567" t="str">
        <f t="shared" si="40"/>
        <v>NO</v>
      </c>
      <c r="U187" s="323"/>
      <c r="V187" s="299"/>
      <c r="W187" s="300"/>
      <c r="X187" s="299"/>
      <c r="Y187" s="303"/>
      <c r="Z187" s="305">
        <f>IF(Y187=0,0,IF(X187="MXN",1/HLOOKUP(YEAR(W187)+(MONTH(W187)/100),TC!$5:$37,DAY(W187)+2,FALSE),VLOOKUP(X187,Equivalencia!$1:$23,((MAX(Equivalencia!$3:$3)-YEAR(W187))*14)+MONTH(W187)+2,FALSE)))</f>
        <v>0</v>
      </c>
      <c r="AA187" s="306">
        <f t="shared" si="41"/>
        <v>0</v>
      </c>
      <c r="AB187" s="305">
        <f>+IF(W187=0,0,HLOOKUP(YEAR(W187)+(MONTH(W187)/100),TC!$5:$37,DAY(W187)+2,FALSE))</f>
        <v>0</v>
      </c>
      <c r="AC187" s="306">
        <f t="shared" si="42"/>
        <v>0</v>
      </c>
      <c r="AD187" s="314">
        <f t="shared" si="33"/>
        <v>0</v>
      </c>
      <c r="AE187" s="315">
        <f t="shared" si="43"/>
        <v>0</v>
      </c>
      <c r="AF187" s="316">
        <f t="shared" si="34"/>
        <v>0</v>
      </c>
      <c r="AG187" s="314">
        <v>1</v>
      </c>
      <c r="AH187" s="314">
        <f t="shared" si="44"/>
        <v>0</v>
      </c>
      <c r="AI187" s="314">
        <f t="shared" si="45"/>
        <v>0</v>
      </c>
      <c r="AJ187" s="317"/>
      <c r="AK187" s="315" t="e">
        <f t="shared" si="46"/>
        <v>#N/A</v>
      </c>
      <c r="AM187" s="561"/>
      <c r="AN187" s="561"/>
      <c r="AO187" s="561"/>
    </row>
    <row r="188" spans="2:41">
      <c r="B188" s="296"/>
      <c r="C188" s="299"/>
      <c r="D188" s="296"/>
      <c r="E188" s="298"/>
      <c r="F188" s="299"/>
      <c r="G188" s="300"/>
      <c r="H188" s="303"/>
      <c r="I188" s="303"/>
      <c r="J188" s="322">
        <f t="shared" si="32"/>
        <v>0</v>
      </c>
      <c r="K188" s="305" t="e">
        <f>IF(F188="MXN",1/HLOOKUP(YEAR(G188)+(MONTH(G188)/100),TC!$5:$37,DAY(G188)+2,FALSE),VLOOKUP(F188,Equivalencia!$5:$23,((MAX(Equivalencia!$3:$3)-YEAR(G188))*14)+MONTH(G188)+2,FALSE))</f>
        <v>#N/A</v>
      </c>
      <c r="L188" s="306" t="e">
        <f t="shared" si="35"/>
        <v>#N/A</v>
      </c>
      <c r="M188" s="305">
        <f>IF(G188=0,0,HLOOKUP(YEAR(G188)+(MONTH(G188)/100),TC!$5:$37,DAY(G188)+2,FALSE))</f>
        <v>0</v>
      </c>
      <c r="N188" s="306" t="e">
        <f t="shared" si="36"/>
        <v>#N/A</v>
      </c>
      <c r="O188" s="308">
        <f>IF(G188=0,0,VLOOKUP(YEAR(G188),INPC!$B$4:$P$30,MONTH(G188)+2))</f>
        <v>0</v>
      </c>
      <c r="P188" s="308">
        <f>IF(W188=0,0,IF(OR(C188=$AQ$5,C188=AQ192),VLOOKUP(YEAR(W188),INPC!$B$4:$P$30,MONTH(W188)+1),VLOOKUP(YEAR(W188),INPC!$B$4:$P$30,MONTH(W188)+2)))</f>
        <v>0</v>
      </c>
      <c r="Q188" s="309">
        <f t="shared" si="37"/>
        <v>0</v>
      </c>
      <c r="R188" s="310" t="e">
        <f t="shared" si="38"/>
        <v>#N/A</v>
      </c>
      <c r="S188" s="310">
        <f t="shared" si="39"/>
        <v>0</v>
      </c>
      <c r="T188" s="567" t="str">
        <f t="shared" si="40"/>
        <v>NO</v>
      </c>
      <c r="U188" s="323"/>
      <c r="V188" s="299"/>
      <c r="W188" s="300"/>
      <c r="X188" s="299"/>
      <c r="Y188" s="303"/>
      <c r="Z188" s="305">
        <f>IF(Y188=0,0,IF(X188="MXN",1/HLOOKUP(YEAR(W188)+(MONTH(W188)/100),TC!$5:$37,DAY(W188)+2,FALSE),VLOOKUP(X188,Equivalencia!$1:$23,((MAX(Equivalencia!$3:$3)-YEAR(W188))*14)+MONTH(W188)+2,FALSE)))</f>
        <v>0</v>
      </c>
      <c r="AA188" s="306">
        <f t="shared" si="41"/>
        <v>0</v>
      </c>
      <c r="AB188" s="305">
        <f>+IF(W188=0,0,HLOOKUP(YEAR(W188)+(MONTH(W188)/100),TC!$5:$37,DAY(W188)+2,FALSE))</f>
        <v>0</v>
      </c>
      <c r="AC188" s="306">
        <f t="shared" si="42"/>
        <v>0</v>
      </c>
      <c r="AD188" s="314">
        <f t="shared" si="33"/>
        <v>0</v>
      </c>
      <c r="AE188" s="315">
        <f t="shared" si="43"/>
        <v>0</v>
      </c>
      <c r="AF188" s="316">
        <f t="shared" si="34"/>
        <v>0</v>
      </c>
      <c r="AG188" s="314">
        <v>1</v>
      </c>
      <c r="AH188" s="314">
        <f t="shared" si="44"/>
        <v>0</v>
      </c>
      <c r="AI188" s="314">
        <f t="shared" si="45"/>
        <v>0</v>
      </c>
      <c r="AJ188" s="317"/>
      <c r="AK188" s="315" t="e">
        <f t="shared" si="46"/>
        <v>#N/A</v>
      </c>
      <c r="AM188" s="561"/>
      <c r="AN188" s="561"/>
      <c r="AO188" s="561"/>
    </row>
    <row r="189" spans="2:41">
      <c r="B189" s="296"/>
      <c r="C189" s="299"/>
      <c r="D189" s="296"/>
      <c r="E189" s="298"/>
      <c r="F189" s="299"/>
      <c r="G189" s="300"/>
      <c r="H189" s="303"/>
      <c r="I189" s="303"/>
      <c r="J189" s="322">
        <f t="shared" si="32"/>
        <v>0</v>
      </c>
      <c r="K189" s="305" t="e">
        <f>IF(F189="MXN",1/HLOOKUP(YEAR(G189)+(MONTH(G189)/100),TC!$5:$37,DAY(G189)+2,FALSE),VLOOKUP(F189,Equivalencia!$5:$23,((MAX(Equivalencia!$3:$3)-YEAR(G189))*14)+MONTH(G189)+2,FALSE))</f>
        <v>#N/A</v>
      </c>
      <c r="L189" s="306" t="e">
        <f t="shared" si="35"/>
        <v>#N/A</v>
      </c>
      <c r="M189" s="305">
        <f>IF(G189=0,0,HLOOKUP(YEAR(G189)+(MONTH(G189)/100),TC!$5:$37,DAY(G189)+2,FALSE))</f>
        <v>0</v>
      </c>
      <c r="N189" s="306" t="e">
        <f t="shared" si="36"/>
        <v>#N/A</v>
      </c>
      <c r="O189" s="308">
        <f>IF(G189=0,0,VLOOKUP(YEAR(G189),INPC!$B$4:$P$30,MONTH(G189)+2))</f>
        <v>0</v>
      </c>
      <c r="P189" s="308">
        <f>IF(W189=0,0,IF(OR(C189=$AQ$5,C189=AQ193),VLOOKUP(YEAR(W189),INPC!$B$4:$P$30,MONTH(W189)+1),VLOOKUP(YEAR(W189),INPC!$B$4:$P$30,MONTH(W189)+2)))</f>
        <v>0</v>
      </c>
      <c r="Q189" s="309">
        <f t="shared" si="37"/>
        <v>0</v>
      </c>
      <c r="R189" s="310" t="e">
        <f t="shared" si="38"/>
        <v>#N/A</v>
      </c>
      <c r="S189" s="310">
        <f t="shared" si="39"/>
        <v>0</v>
      </c>
      <c r="T189" s="567" t="str">
        <f t="shared" si="40"/>
        <v>NO</v>
      </c>
      <c r="U189" s="323"/>
      <c r="V189" s="299"/>
      <c r="W189" s="300"/>
      <c r="X189" s="299"/>
      <c r="Y189" s="303"/>
      <c r="Z189" s="305">
        <f>IF(Y189=0,0,IF(X189="MXN",1/HLOOKUP(YEAR(W189)+(MONTH(W189)/100),TC!$5:$37,DAY(W189)+2,FALSE),VLOOKUP(X189,Equivalencia!$1:$23,((MAX(Equivalencia!$3:$3)-YEAR(W189))*14)+MONTH(W189)+2,FALSE)))</f>
        <v>0</v>
      </c>
      <c r="AA189" s="306">
        <f t="shared" si="41"/>
        <v>0</v>
      </c>
      <c r="AB189" s="305">
        <f>+IF(W189=0,0,HLOOKUP(YEAR(W189)+(MONTH(W189)/100),TC!$5:$37,DAY(W189)+2,FALSE))</f>
        <v>0</v>
      </c>
      <c r="AC189" s="306">
        <f t="shared" si="42"/>
        <v>0</v>
      </c>
      <c r="AD189" s="314">
        <f t="shared" si="33"/>
        <v>0</v>
      </c>
      <c r="AE189" s="315">
        <f t="shared" si="43"/>
        <v>0</v>
      </c>
      <c r="AF189" s="316">
        <f t="shared" si="34"/>
        <v>0</v>
      </c>
      <c r="AG189" s="314">
        <v>1</v>
      </c>
      <c r="AH189" s="314">
        <f t="shared" si="44"/>
        <v>0</v>
      </c>
      <c r="AI189" s="314">
        <f t="shared" si="45"/>
        <v>0</v>
      </c>
      <c r="AJ189" s="317"/>
      <c r="AK189" s="315" t="e">
        <f t="shared" si="46"/>
        <v>#N/A</v>
      </c>
      <c r="AM189" s="561"/>
      <c r="AN189" s="561"/>
      <c r="AO189" s="561"/>
    </row>
    <row r="190" spans="2:41">
      <c r="B190" s="296"/>
      <c r="C190" s="299"/>
      <c r="D190" s="296"/>
      <c r="E190" s="298"/>
      <c r="F190" s="299"/>
      <c r="G190" s="300"/>
      <c r="H190" s="303"/>
      <c r="I190" s="303"/>
      <c r="J190" s="322">
        <f t="shared" si="32"/>
        <v>0</v>
      </c>
      <c r="K190" s="305" t="e">
        <f>IF(F190="MXN",1/HLOOKUP(YEAR(G190)+(MONTH(G190)/100),TC!$5:$37,DAY(G190)+2,FALSE),VLOOKUP(F190,Equivalencia!$5:$23,((MAX(Equivalencia!$3:$3)-YEAR(G190))*14)+MONTH(G190)+2,FALSE))</f>
        <v>#N/A</v>
      </c>
      <c r="L190" s="306" t="e">
        <f t="shared" si="35"/>
        <v>#N/A</v>
      </c>
      <c r="M190" s="305">
        <f>IF(G190=0,0,HLOOKUP(YEAR(G190)+(MONTH(G190)/100),TC!$5:$37,DAY(G190)+2,FALSE))</f>
        <v>0</v>
      </c>
      <c r="N190" s="306" t="e">
        <f t="shared" si="36"/>
        <v>#N/A</v>
      </c>
      <c r="O190" s="308">
        <f>IF(G190=0,0,VLOOKUP(YEAR(G190),INPC!$B$4:$P$30,MONTH(G190)+2))</f>
        <v>0</v>
      </c>
      <c r="P190" s="308">
        <f>IF(W190=0,0,IF(OR(C190=$AQ$5,C190=AQ194),VLOOKUP(YEAR(W190),INPC!$B$4:$P$30,MONTH(W190)+1),VLOOKUP(YEAR(W190),INPC!$B$4:$P$30,MONTH(W190)+2)))</f>
        <v>0</v>
      </c>
      <c r="Q190" s="309">
        <f t="shared" si="37"/>
        <v>0</v>
      </c>
      <c r="R190" s="310" t="e">
        <f t="shared" si="38"/>
        <v>#N/A</v>
      </c>
      <c r="S190" s="310">
        <f t="shared" si="39"/>
        <v>0</v>
      </c>
      <c r="T190" s="567" t="str">
        <f t="shared" si="40"/>
        <v>NO</v>
      </c>
      <c r="U190" s="323"/>
      <c r="V190" s="299"/>
      <c r="W190" s="300"/>
      <c r="X190" s="299"/>
      <c r="Y190" s="303"/>
      <c r="Z190" s="305">
        <f>IF(Y190=0,0,IF(X190="MXN",1/HLOOKUP(YEAR(W190)+(MONTH(W190)/100),TC!$5:$37,DAY(W190)+2,FALSE),VLOOKUP(X190,Equivalencia!$1:$23,((MAX(Equivalencia!$3:$3)-YEAR(W190))*14)+MONTH(W190)+2,FALSE)))</f>
        <v>0</v>
      </c>
      <c r="AA190" s="306">
        <f t="shared" si="41"/>
        <v>0</v>
      </c>
      <c r="AB190" s="305">
        <f>+IF(W190=0,0,HLOOKUP(YEAR(W190)+(MONTH(W190)/100),TC!$5:$37,DAY(W190)+2,FALSE))</f>
        <v>0</v>
      </c>
      <c r="AC190" s="306">
        <f t="shared" si="42"/>
        <v>0</v>
      </c>
      <c r="AD190" s="314">
        <f t="shared" si="33"/>
        <v>0</v>
      </c>
      <c r="AE190" s="315">
        <f t="shared" si="43"/>
        <v>0</v>
      </c>
      <c r="AF190" s="316">
        <f t="shared" si="34"/>
        <v>0</v>
      </c>
      <c r="AG190" s="314">
        <v>1</v>
      </c>
      <c r="AH190" s="314">
        <f t="shared" si="44"/>
        <v>0</v>
      </c>
      <c r="AI190" s="314">
        <f t="shared" si="45"/>
        <v>0</v>
      </c>
      <c r="AJ190" s="317"/>
      <c r="AK190" s="315" t="e">
        <f t="shared" si="46"/>
        <v>#N/A</v>
      </c>
      <c r="AM190" s="561"/>
      <c r="AN190" s="561"/>
      <c r="AO190" s="561"/>
    </row>
    <row r="191" spans="2:41">
      <c r="B191" s="296"/>
      <c r="C191" s="299"/>
      <c r="D191" s="296"/>
      <c r="E191" s="298"/>
      <c r="F191" s="299"/>
      <c r="G191" s="300"/>
      <c r="H191" s="303"/>
      <c r="I191" s="303"/>
      <c r="J191" s="322">
        <f t="shared" si="32"/>
        <v>0</v>
      </c>
      <c r="K191" s="305" t="e">
        <f>IF(F191="MXN",1/HLOOKUP(YEAR(G191)+(MONTH(G191)/100),TC!$5:$37,DAY(G191)+2,FALSE),VLOOKUP(F191,Equivalencia!$5:$23,((MAX(Equivalencia!$3:$3)-YEAR(G191))*14)+MONTH(G191)+2,FALSE))</f>
        <v>#N/A</v>
      </c>
      <c r="L191" s="306" t="e">
        <f t="shared" si="35"/>
        <v>#N/A</v>
      </c>
      <c r="M191" s="305">
        <f>IF(G191=0,0,HLOOKUP(YEAR(G191)+(MONTH(G191)/100),TC!$5:$37,DAY(G191)+2,FALSE))</f>
        <v>0</v>
      </c>
      <c r="N191" s="306" t="e">
        <f t="shared" si="36"/>
        <v>#N/A</v>
      </c>
      <c r="O191" s="308">
        <f>IF(G191=0,0,VLOOKUP(YEAR(G191),INPC!$B$4:$P$30,MONTH(G191)+2))</f>
        <v>0</v>
      </c>
      <c r="P191" s="308">
        <f>IF(W191=0,0,IF(OR(C191=$AQ$5,C191=AQ195),VLOOKUP(YEAR(W191),INPC!$B$4:$P$30,MONTH(W191)+1),VLOOKUP(YEAR(W191),INPC!$B$4:$P$30,MONTH(W191)+2)))</f>
        <v>0</v>
      </c>
      <c r="Q191" s="309">
        <f t="shared" si="37"/>
        <v>0</v>
      </c>
      <c r="R191" s="310" t="e">
        <f t="shared" si="38"/>
        <v>#N/A</v>
      </c>
      <c r="S191" s="310">
        <f t="shared" si="39"/>
        <v>0</v>
      </c>
      <c r="T191" s="567" t="str">
        <f t="shared" si="40"/>
        <v>NO</v>
      </c>
      <c r="U191" s="323"/>
      <c r="V191" s="299"/>
      <c r="W191" s="300"/>
      <c r="X191" s="299"/>
      <c r="Y191" s="303"/>
      <c r="Z191" s="305">
        <f>IF(Y191=0,0,IF(X191="MXN",1/HLOOKUP(YEAR(W191)+(MONTH(W191)/100),TC!$5:$37,DAY(W191)+2,FALSE),VLOOKUP(X191,Equivalencia!$1:$23,((MAX(Equivalencia!$3:$3)-YEAR(W191))*14)+MONTH(W191)+2,FALSE)))</f>
        <v>0</v>
      </c>
      <c r="AA191" s="306">
        <f t="shared" si="41"/>
        <v>0</v>
      </c>
      <c r="AB191" s="305">
        <f>+IF(W191=0,0,HLOOKUP(YEAR(W191)+(MONTH(W191)/100),TC!$5:$37,DAY(W191)+2,FALSE))</f>
        <v>0</v>
      </c>
      <c r="AC191" s="306">
        <f t="shared" si="42"/>
        <v>0</v>
      </c>
      <c r="AD191" s="314">
        <f t="shared" si="33"/>
        <v>0</v>
      </c>
      <c r="AE191" s="315">
        <f t="shared" si="43"/>
        <v>0</v>
      </c>
      <c r="AF191" s="316">
        <f t="shared" si="34"/>
        <v>0</v>
      </c>
      <c r="AG191" s="314">
        <v>1</v>
      </c>
      <c r="AH191" s="314">
        <f t="shared" si="44"/>
        <v>0</v>
      </c>
      <c r="AI191" s="314">
        <f t="shared" si="45"/>
        <v>0</v>
      </c>
      <c r="AJ191" s="317"/>
      <c r="AK191" s="315" t="e">
        <f t="shared" si="46"/>
        <v>#N/A</v>
      </c>
      <c r="AM191" s="561"/>
      <c r="AN191" s="561"/>
      <c r="AO191" s="561"/>
    </row>
    <row r="192" spans="2:41">
      <c r="B192" s="296"/>
      <c r="C192" s="299"/>
      <c r="D192" s="296"/>
      <c r="E192" s="298"/>
      <c r="F192" s="299"/>
      <c r="G192" s="300"/>
      <c r="H192" s="303"/>
      <c r="I192" s="303"/>
      <c r="J192" s="322">
        <f t="shared" si="32"/>
        <v>0</v>
      </c>
      <c r="K192" s="305" t="e">
        <f>IF(F192="MXN",1/HLOOKUP(YEAR(G192)+(MONTH(G192)/100),TC!$5:$37,DAY(G192)+2,FALSE),VLOOKUP(F192,Equivalencia!$5:$23,((MAX(Equivalencia!$3:$3)-YEAR(G192))*14)+MONTH(G192)+2,FALSE))</f>
        <v>#N/A</v>
      </c>
      <c r="L192" s="306" t="e">
        <f t="shared" si="35"/>
        <v>#N/A</v>
      </c>
      <c r="M192" s="305">
        <f>IF(G192=0,0,HLOOKUP(YEAR(G192)+(MONTH(G192)/100),TC!$5:$37,DAY(G192)+2,FALSE))</f>
        <v>0</v>
      </c>
      <c r="N192" s="306" t="e">
        <f t="shared" si="36"/>
        <v>#N/A</v>
      </c>
      <c r="O192" s="308">
        <f>IF(G192=0,0,VLOOKUP(YEAR(G192),INPC!$B$4:$P$30,MONTH(G192)+2))</f>
        <v>0</v>
      </c>
      <c r="P192" s="308">
        <f>IF(W192=0,0,IF(OR(C192=$AQ$5,C192=AQ196),VLOOKUP(YEAR(W192),INPC!$B$4:$P$30,MONTH(W192)+1),VLOOKUP(YEAR(W192),INPC!$B$4:$P$30,MONTH(W192)+2)))</f>
        <v>0</v>
      </c>
      <c r="Q192" s="309">
        <f t="shared" si="37"/>
        <v>0</v>
      </c>
      <c r="R192" s="310" t="e">
        <f t="shared" si="38"/>
        <v>#N/A</v>
      </c>
      <c r="S192" s="310">
        <f t="shared" si="39"/>
        <v>0</v>
      </c>
      <c r="T192" s="567" t="str">
        <f t="shared" si="40"/>
        <v>NO</v>
      </c>
      <c r="U192" s="323"/>
      <c r="V192" s="299"/>
      <c r="W192" s="300"/>
      <c r="X192" s="299"/>
      <c r="Y192" s="303"/>
      <c r="Z192" s="305">
        <f>IF(Y192=0,0,IF(X192="MXN",1/HLOOKUP(YEAR(W192)+(MONTH(W192)/100),TC!$5:$37,DAY(W192)+2,FALSE),VLOOKUP(X192,Equivalencia!$1:$23,((MAX(Equivalencia!$3:$3)-YEAR(W192))*14)+MONTH(W192)+2,FALSE)))</f>
        <v>0</v>
      </c>
      <c r="AA192" s="306">
        <f t="shared" si="41"/>
        <v>0</v>
      </c>
      <c r="AB192" s="305">
        <f>+IF(W192=0,0,HLOOKUP(YEAR(W192)+(MONTH(W192)/100),TC!$5:$37,DAY(W192)+2,FALSE))</f>
        <v>0</v>
      </c>
      <c r="AC192" s="306">
        <f t="shared" si="42"/>
        <v>0</v>
      </c>
      <c r="AD192" s="314">
        <f t="shared" si="33"/>
        <v>0</v>
      </c>
      <c r="AE192" s="315">
        <f t="shared" si="43"/>
        <v>0</v>
      </c>
      <c r="AF192" s="316">
        <f t="shared" si="34"/>
        <v>0</v>
      </c>
      <c r="AG192" s="314">
        <v>1</v>
      </c>
      <c r="AH192" s="314">
        <f t="shared" si="44"/>
        <v>0</v>
      </c>
      <c r="AI192" s="314">
        <f t="shared" si="45"/>
        <v>0</v>
      </c>
      <c r="AJ192" s="317"/>
      <c r="AK192" s="315" t="e">
        <f t="shared" si="46"/>
        <v>#N/A</v>
      </c>
      <c r="AM192" s="561"/>
      <c r="AN192" s="561"/>
      <c r="AO192" s="561"/>
    </row>
    <row r="193" spans="2:41">
      <c r="B193" s="296"/>
      <c r="C193" s="299"/>
      <c r="D193" s="296"/>
      <c r="E193" s="298"/>
      <c r="F193" s="299"/>
      <c r="G193" s="300"/>
      <c r="H193" s="303"/>
      <c r="I193" s="303"/>
      <c r="J193" s="322">
        <f t="shared" si="32"/>
        <v>0</v>
      </c>
      <c r="K193" s="305" t="e">
        <f>IF(F193="MXN",1/HLOOKUP(YEAR(G193)+(MONTH(G193)/100),TC!$5:$37,DAY(G193)+2,FALSE),VLOOKUP(F193,Equivalencia!$5:$23,((MAX(Equivalencia!$3:$3)-YEAR(G193))*14)+MONTH(G193)+2,FALSE))</f>
        <v>#N/A</v>
      </c>
      <c r="L193" s="306" t="e">
        <f t="shared" si="35"/>
        <v>#N/A</v>
      </c>
      <c r="M193" s="305">
        <f>IF(G193=0,0,HLOOKUP(YEAR(G193)+(MONTH(G193)/100),TC!$5:$37,DAY(G193)+2,FALSE))</f>
        <v>0</v>
      </c>
      <c r="N193" s="306" t="e">
        <f t="shared" si="36"/>
        <v>#N/A</v>
      </c>
      <c r="O193" s="308">
        <f>IF(G193=0,0,VLOOKUP(YEAR(G193),INPC!$B$4:$P$30,MONTH(G193)+2))</f>
        <v>0</v>
      </c>
      <c r="P193" s="308">
        <f>IF(W193=0,0,IF(OR(C193=$AQ$5,C193=AQ197),VLOOKUP(YEAR(W193),INPC!$B$4:$P$30,MONTH(W193)+1),VLOOKUP(YEAR(W193),INPC!$B$4:$P$30,MONTH(W193)+2)))</f>
        <v>0</v>
      </c>
      <c r="Q193" s="309">
        <f t="shared" si="37"/>
        <v>0</v>
      </c>
      <c r="R193" s="310" t="e">
        <f t="shared" si="38"/>
        <v>#N/A</v>
      </c>
      <c r="S193" s="310">
        <f t="shared" si="39"/>
        <v>0</v>
      </c>
      <c r="T193" s="567" t="str">
        <f t="shared" si="40"/>
        <v>NO</v>
      </c>
      <c r="U193" s="323"/>
      <c r="V193" s="299"/>
      <c r="W193" s="300"/>
      <c r="X193" s="299"/>
      <c r="Y193" s="303"/>
      <c r="Z193" s="305">
        <f>IF(Y193=0,0,IF(X193="MXN",1/HLOOKUP(YEAR(W193)+(MONTH(W193)/100),TC!$5:$37,DAY(W193)+2,FALSE),VLOOKUP(X193,Equivalencia!$1:$23,((MAX(Equivalencia!$3:$3)-YEAR(W193))*14)+MONTH(W193)+2,FALSE)))</f>
        <v>0</v>
      </c>
      <c r="AA193" s="306">
        <f t="shared" si="41"/>
        <v>0</v>
      </c>
      <c r="AB193" s="305">
        <f>+IF(W193=0,0,HLOOKUP(YEAR(W193)+(MONTH(W193)/100),TC!$5:$37,DAY(W193)+2,FALSE))</f>
        <v>0</v>
      </c>
      <c r="AC193" s="306">
        <f t="shared" si="42"/>
        <v>0</v>
      </c>
      <c r="AD193" s="314">
        <f t="shared" si="33"/>
        <v>0</v>
      </c>
      <c r="AE193" s="315">
        <f t="shared" si="43"/>
        <v>0</v>
      </c>
      <c r="AF193" s="316">
        <f t="shared" si="34"/>
        <v>0</v>
      </c>
      <c r="AG193" s="314">
        <v>1</v>
      </c>
      <c r="AH193" s="314">
        <f t="shared" si="44"/>
        <v>0</v>
      </c>
      <c r="AI193" s="314">
        <f t="shared" si="45"/>
        <v>0</v>
      </c>
      <c r="AJ193" s="317"/>
      <c r="AK193" s="315" t="e">
        <f t="shared" si="46"/>
        <v>#N/A</v>
      </c>
      <c r="AM193" s="561"/>
      <c r="AN193" s="561"/>
      <c r="AO193" s="561"/>
    </row>
    <row r="194" spans="2:41">
      <c r="B194" s="296"/>
      <c r="C194" s="299"/>
      <c r="D194" s="296"/>
      <c r="E194" s="298"/>
      <c r="F194" s="299"/>
      <c r="G194" s="300"/>
      <c r="H194" s="303"/>
      <c r="I194" s="303"/>
      <c r="J194" s="322">
        <f t="shared" ref="J194:J257" si="47">IF(E194=0,0,IF(OR(C194=$AQ$5,C194=$AQ$6),"Derivados Cap IV, Sec II - SIC &amp; BMV","Derivados Cap IX - No SIC"))</f>
        <v>0</v>
      </c>
      <c r="K194" s="305" t="e">
        <f>IF(F194="MXN",1/HLOOKUP(YEAR(G194)+(MONTH(G194)/100),TC!$5:$37,DAY(G194)+2,FALSE),VLOOKUP(F194,Equivalencia!$5:$23,((MAX(Equivalencia!$3:$3)-YEAR(G194))*14)+MONTH(G194)+2,FALSE))</f>
        <v>#N/A</v>
      </c>
      <c r="L194" s="306" t="e">
        <f t="shared" si="35"/>
        <v>#N/A</v>
      </c>
      <c r="M194" s="305">
        <f>IF(G194=0,0,HLOOKUP(YEAR(G194)+(MONTH(G194)/100),TC!$5:$37,DAY(G194)+2,FALSE))</f>
        <v>0</v>
      </c>
      <c r="N194" s="306" t="e">
        <f t="shared" si="36"/>
        <v>#N/A</v>
      </c>
      <c r="O194" s="308">
        <f>IF(G194=0,0,VLOOKUP(YEAR(G194),INPC!$B$4:$P$30,MONTH(G194)+2))</f>
        <v>0</v>
      </c>
      <c r="P194" s="308">
        <f>IF(W194=0,0,IF(OR(C194=$AQ$5,C194=AQ198),VLOOKUP(YEAR(W194),INPC!$B$4:$P$30,MONTH(W194)+1),VLOOKUP(YEAR(W194),INPC!$B$4:$P$30,MONTH(W194)+2)))</f>
        <v>0</v>
      </c>
      <c r="Q194" s="309">
        <f t="shared" si="37"/>
        <v>0</v>
      </c>
      <c r="R194" s="310" t="e">
        <f t="shared" si="38"/>
        <v>#N/A</v>
      </c>
      <c r="S194" s="310">
        <f t="shared" si="39"/>
        <v>0</v>
      </c>
      <c r="T194" s="567" t="str">
        <f t="shared" si="40"/>
        <v>NO</v>
      </c>
      <c r="U194" s="323"/>
      <c r="V194" s="299"/>
      <c r="W194" s="300"/>
      <c r="X194" s="299"/>
      <c r="Y194" s="303"/>
      <c r="Z194" s="305">
        <f>IF(Y194=0,0,IF(X194="MXN",1/HLOOKUP(YEAR(W194)+(MONTH(W194)/100),TC!$5:$37,DAY(W194)+2,FALSE),VLOOKUP(X194,Equivalencia!$1:$23,((MAX(Equivalencia!$3:$3)-YEAR(W194))*14)+MONTH(W194)+2,FALSE)))</f>
        <v>0</v>
      </c>
      <c r="AA194" s="306">
        <f t="shared" si="41"/>
        <v>0</v>
      </c>
      <c r="AB194" s="305">
        <f>+IF(W194=0,0,HLOOKUP(YEAR(W194)+(MONTH(W194)/100),TC!$5:$37,DAY(W194)+2,FALSE))</f>
        <v>0</v>
      </c>
      <c r="AC194" s="306">
        <f t="shared" si="42"/>
        <v>0</v>
      </c>
      <c r="AD194" s="314">
        <f t="shared" ref="AD194:AD257" si="48">+U194*S194</f>
        <v>0</v>
      </c>
      <c r="AE194" s="315">
        <f t="shared" si="43"/>
        <v>0</v>
      </c>
      <c r="AF194" s="316">
        <f t="shared" ref="AF194:AF257" si="49">+IF(OR(C194=$AQ$5,C194=$AQ$6),1,((W194-G194)/365))</f>
        <v>0</v>
      </c>
      <c r="AG194" s="314">
        <v>1</v>
      </c>
      <c r="AH194" s="314">
        <f t="shared" si="44"/>
        <v>0</v>
      </c>
      <c r="AI194" s="314">
        <f t="shared" si="45"/>
        <v>0</v>
      </c>
      <c r="AJ194" s="317"/>
      <c r="AK194" s="315" t="e">
        <f t="shared" si="46"/>
        <v>#N/A</v>
      </c>
      <c r="AM194" s="561"/>
      <c r="AN194" s="561"/>
      <c r="AO194" s="561"/>
    </row>
    <row r="195" spans="2:41">
      <c r="B195" s="296"/>
      <c r="C195" s="299"/>
      <c r="D195" s="296"/>
      <c r="E195" s="298"/>
      <c r="F195" s="299"/>
      <c r="G195" s="300"/>
      <c r="H195" s="303"/>
      <c r="I195" s="303"/>
      <c r="J195" s="322">
        <f t="shared" si="47"/>
        <v>0</v>
      </c>
      <c r="K195" s="305" t="e">
        <f>IF(F195="MXN",1/HLOOKUP(YEAR(G195)+(MONTH(G195)/100),TC!$5:$37,DAY(G195)+2,FALSE),VLOOKUP(F195,Equivalencia!$5:$23,((MAX(Equivalencia!$3:$3)-YEAR(G195))*14)+MONTH(G195)+2,FALSE))</f>
        <v>#N/A</v>
      </c>
      <c r="L195" s="306" t="e">
        <f t="shared" ref="L195:L258" si="50">+I195*K195</f>
        <v>#N/A</v>
      </c>
      <c r="M195" s="305">
        <f>IF(G195=0,0,HLOOKUP(YEAR(G195)+(MONTH(G195)/100),TC!$5:$37,DAY(G195)+2,FALSE))</f>
        <v>0</v>
      </c>
      <c r="N195" s="306" t="e">
        <f t="shared" ref="N195:N258" si="51">+L195*M195</f>
        <v>#N/A</v>
      </c>
      <c r="O195" s="308">
        <f>IF(G195=0,0,VLOOKUP(YEAR(G195),INPC!$B$4:$P$30,MONTH(G195)+2))</f>
        <v>0</v>
      </c>
      <c r="P195" s="308">
        <f>IF(W195=0,0,IF(OR(C195=$AQ$5,C195=AQ199),VLOOKUP(YEAR(W195),INPC!$B$4:$P$30,MONTH(W195)+1),VLOOKUP(YEAR(W195),INPC!$B$4:$P$30,MONTH(W195)+2)))</f>
        <v>0</v>
      </c>
      <c r="Q195" s="309">
        <f t="shared" ref="Q195:Q258" si="52">IF(W195=0,0,IF(TRUNC(P195/O195,4)&gt;=1,TRUNC(P195/O195,4),1))</f>
        <v>0</v>
      </c>
      <c r="R195" s="310" t="e">
        <f t="shared" ref="R195:R258" si="53">+Q195*N195</f>
        <v>#N/A</v>
      </c>
      <c r="S195" s="310">
        <f t="shared" ref="S195:S258" si="54">IF(U195=0,0,R195/U195)</f>
        <v>0</v>
      </c>
      <c r="T195" s="567" t="str">
        <f t="shared" ref="T195:T258" si="55">+IF(W195=0,"NO","SI")</f>
        <v>NO</v>
      </c>
      <c r="U195" s="323"/>
      <c r="V195" s="299"/>
      <c r="W195" s="300"/>
      <c r="X195" s="299"/>
      <c r="Y195" s="303"/>
      <c r="Z195" s="305">
        <f>IF(Y195=0,0,IF(X195="MXN",1/HLOOKUP(YEAR(W195)+(MONTH(W195)/100),TC!$5:$37,DAY(W195)+2,FALSE),VLOOKUP(X195,Equivalencia!$1:$23,((MAX(Equivalencia!$3:$3)-YEAR(W195))*14)+MONTH(W195)+2,FALSE)))</f>
        <v>0</v>
      </c>
      <c r="AA195" s="306">
        <f t="shared" ref="AA195:AA258" si="56">+Z195*Y195</f>
        <v>0</v>
      </c>
      <c r="AB195" s="305">
        <f>+IF(W195=0,0,HLOOKUP(YEAR(W195)+(MONTH(W195)/100),TC!$5:$37,DAY(W195)+2,FALSE))</f>
        <v>0</v>
      </c>
      <c r="AC195" s="306">
        <f t="shared" ref="AC195:AC258" si="57">+AB195*AA195</f>
        <v>0</v>
      </c>
      <c r="AD195" s="314">
        <f t="shared" si="48"/>
        <v>0</v>
      </c>
      <c r="AE195" s="315">
        <f t="shared" ref="AE195:AE258" si="58">AC195+AD195</f>
        <v>0</v>
      </c>
      <c r="AF195" s="316">
        <f t="shared" si="49"/>
        <v>0</v>
      </c>
      <c r="AG195" s="314">
        <v>1</v>
      </c>
      <c r="AH195" s="314">
        <f t="shared" ref="AH195:AH258" si="59">(AE195/AG195)</f>
        <v>0</v>
      </c>
      <c r="AI195" s="314">
        <f t="shared" ref="AI195:AI258" si="60">+AE195-AH195</f>
        <v>0</v>
      </c>
      <c r="AJ195" s="317"/>
      <c r="AK195" s="315" t="e">
        <f t="shared" ref="AK195:AK258" si="61">+AA195+L195</f>
        <v>#N/A</v>
      </c>
      <c r="AM195" s="561"/>
      <c r="AN195" s="561"/>
      <c r="AO195" s="561"/>
    </row>
    <row r="196" spans="2:41">
      <c r="B196" s="296"/>
      <c r="C196" s="299"/>
      <c r="D196" s="296"/>
      <c r="E196" s="298"/>
      <c r="F196" s="299"/>
      <c r="G196" s="300"/>
      <c r="H196" s="303"/>
      <c r="I196" s="303"/>
      <c r="J196" s="322">
        <f t="shared" si="47"/>
        <v>0</v>
      </c>
      <c r="K196" s="305" t="e">
        <f>IF(F196="MXN",1/HLOOKUP(YEAR(G196)+(MONTH(G196)/100),TC!$5:$37,DAY(G196)+2,FALSE),VLOOKUP(F196,Equivalencia!$5:$23,((MAX(Equivalencia!$3:$3)-YEAR(G196))*14)+MONTH(G196)+2,FALSE))</f>
        <v>#N/A</v>
      </c>
      <c r="L196" s="306" t="e">
        <f t="shared" si="50"/>
        <v>#N/A</v>
      </c>
      <c r="M196" s="305">
        <f>IF(G196=0,0,HLOOKUP(YEAR(G196)+(MONTH(G196)/100),TC!$5:$37,DAY(G196)+2,FALSE))</f>
        <v>0</v>
      </c>
      <c r="N196" s="306" t="e">
        <f t="shared" si="51"/>
        <v>#N/A</v>
      </c>
      <c r="O196" s="308">
        <f>IF(G196=0,0,VLOOKUP(YEAR(G196),INPC!$B$4:$P$30,MONTH(G196)+2))</f>
        <v>0</v>
      </c>
      <c r="P196" s="308">
        <f>IF(W196=0,0,IF(OR(C196=$AQ$5,C196=AQ200),VLOOKUP(YEAR(W196),INPC!$B$4:$P$30,MONTH(W196)+1),VLOOKUP(YEAR(W196),INPC!$B$4:$P$30,MONTH(W196)+2)))</f>
        <v>0</v>
      </c>
      <c r="Q196" s="309">
        <f t="shared" si="52"/>
        <v>0</v>
      </c>
      <c r="R196" s="310" t="e">
        <f t="shared" si="53"/>
        <v>#N/A</v>
      </c>
      <c r="S196" s="310">
        <f t="shared" si="54"/>
        <v>0</v>
      </c>
      <c r="T196" s="567" t="str">
        <f t="shared" si="55"/>
        <v>NO</v>
      </c>
      <c r="U196" s="323"/>
      <c r="V196" s="299"/>
      <c r="W196" s="300"/>
      <c r="X196" s="299"/>
      <c r="Y196" s="303"/>
      <c r="Z196" s="305">
        <f>IF(Y196=0,0,IF(X196="MXN",1/HLOOKUP(YEAR(W196)+(MONTH(W196)/100),TC!$5:$37,DAY(W196)+2,FALSE),VLOOKUP(X196,Equivalencia!$1:$23,((MAX(Equivalencia!$3:$3)-YEAR(W196))*14)+MONTH(W196)+2,FALSE)))</f>
        <v>0</v>
      </c>
      <c r="AA196" s="306">
        <f t="shared" si="56"/>
        <v>0</v>
      </c>
      <c r="AB196" s="305">
        <f>+IF(W196=0,0,HLOOKUP(YEAR(W196)+(MONTH(W196)/100),TC!$5:$37,DAY(W196)+2,FALSE))</f>
        <v>0</v>
      </c>
      <c r="AC196" s="306">
        <f t="shared" si="57"/>
        <v>0</v>
      </c>
      <c r="AD196" s="314">
        <f t="shared" si="48"/>
        <v>0</v>
      </c>
      <c r="AE196" s="315">
        <f t="shared" si="58"/>
        <v>0</v>
      </c>
      <c r="AF196" s="316">
        <f t="shared" si="49"/>
        <v>0</v>
      </c>
      <c r="AG196" s="314">
        <v>1</v>
      </c>
      <c r="AH196" s="314">
        <f t="shared" si="59"/>
        <v>0</v>
      </c>
      <c r="AI196" s="314">
        <f t="shared" si="60"/>
        <v>0</v>
      </c>
      <c r="AJ196" s="317"/>
      <c r="AK196" s="315" t="e">
        <f t="shared" si="61"/>
        <v>#N/A</v>
      </c>
      <c r="AM196" s="561"/>
      <c r="AN196" s="561"/>
      <c r="AO196" s="561"/>
    </row>
    <row r="197" spans="2:41">
      <c r="B197" s="296"/>
      <c r="C197" s="299"/>
      <c r="D197" s="296"/>
      <c r="E197" s="298"/>
      <c r="F197" s="299"/>
      <c r="G197" s="300"/>
      <c r="H197" s="303"/>
      <c r="I197" s="303"/>
      <c r="J197" s="322">
        <f t="shared" si="47"/>
        <v>0</v>
      </c>
      <c r="K197" s="305" t="e">
        <f>IF(F197="MXN",1/HLOOKUP(YEAR(G197)+(MONTH(G197)/100),TC!$5:$37,DAY(G197)+2,FALSE),VLOOKUP(F197,Equivalencia!$5:$23,((MAX(Equivalencia!$3:$3)-YEAR(G197))*14)+MONTH(G197)+2,FALSE))</f>
        <v>#N/A</v>
      </c>
      <c r="L197" s="306" t="e">
        <f t="shared" si="50"/>
        <v>#N/A</v>
      </c>
      <c r="M197" s="305">
        <f>IF(G197=0,0,HLOOKUP(YEAR(G197)+(MONTH(G197)/100),TC!$5:$37,DAY(G197)+2,FALSE))</f>
        <v>0</v>
      </c>
      <c r="N197" s="306" t="e">
        <f t="shared" si="51"/>
        <v>#N/A</v>
      </c>
      <c r="O197" s="308">
        <f>IF(G197=0,0,VLOOKUP(YEAR(G197),INPC!$B$4:$P$30,MONTH(G197)+2))</f>
        <v>0</v>
      </c>
      <c r="P197" s="308">
        <f>IF(W197=0,0,IF(OR(C197=$AQ$5,C197=AQ201),VLOOKUP(YEAR(W197),INPC!$B$4:$P$30,MONTH(W197)+1),VLOOKUP(YEAR(W197),INPC!$B$4:$P$30,MONTH(W197)+2)))</f>
        <v>0</v>
      </c>
      <c r="Q197" s="309">
        <f t="shared" si="52"/>
        <v>0</v>
      </c>
      <c r="R197" s="310" t="e">
        <f t="shared" si="53"/>
        <v>#N/A</v>
      </c>
      <c r="S197" s="310">
        <f t="shared" si="54"/>
        <v>0</v>
      </c>
      <c r="T197" s="567" t="str">
        <f t="shared" si="55"/>
        <v>NO</v>
      </c>
      <c r="U197" s="323"/>
      <c r="V197" s="299"/>
      <c r="W197" s="300"/>
      <c r="X197" s="299"/>
      <c r="Y197" s="303"/>
      <c r="Z197" s="305">
        <f>IF(Y197=0,0,IF(X197="MXN",1/HLOOKUP(YEAR(W197)+(MONTH(W197)/100),TC!$5:$37,DAY(W197)+2,FALSE),VLOOKUP(X197,Equivalencia!$1:$23,((MAX(Equivalencia!$3:$3)-YEAR(W197))*14)+MONTH(W197)+2,FALSE)))</f>
        <v>0</v>
      </c>
      <c r="AA197" s="306">
        <f t="shared" si="56"/>
        <v>0</v>
      </c>
      <c r="AB197" s="305">
        <f>+IF(W197=0,0,HLOOKUP(YEAR(W197)+(MONTH(W197)/100),TC!$5:$37,DAY(W197)+2,FALSE))</f>
        <v>0</v>
      </c>
      <c r="AC197" s="306">
        <f t="shared" si="57"/>
        <v>0</v>
      </c>
      <c r="AD197" s="314">
        <f t="shared" si="48"/>
        <v>0</v>
      </c>
      <c r="AE197" s="315">
        <f t="shared" si="58"/>
        <v>0</v>
      </c>
      <c r="AF197" s="316">
        <f t="shared" si="49"/>
        <v>0</v>
      </c>
      <c r="AG197" s="314">
        <v>1</v>
      </c>
      <c r="AH197" s="314">
        <f t="shared" si="59"/>
        <v>0</v>
      </c>
      <c r="AI197" s="314">
        <f t="shared" si="60"/>
        <v>0</v>
      </c>
      <c r="AJ197" s="317"/>
      <c r="AK197" s="315" t="e">
        <f t="shared" si="61"/>
        <v>#N/A</v>
      </c>
      <c r="AM197" s="561"/>
      <c r="AN197" s="561"/>
      <c r="AO197" s="561"/>
    </row>
    <row r="198" spans="2:41">
      <c r="B198" s="296"/>
      <c r="C198" s="299"/>
      <c r="D198" s="296"/>
      <c r="E198" s="298"/>
      <c r="F198" s="299"/>
      <c r="G198" s="300"/>
      <c r="H198" s="303"/>
      <c r="I198" s="303"/>
      <c r="J198" s="322">
        <f t="shared" si="47"/>
        <v>0</v>
      </c>
      <c r="K198" s="305" t="e">
        <f>IF(F198="MXN",1/HLOOKUP(YEAR(G198)+(MONTH(G198)/100),TC!$5:$37,DAY(G198)+2,FALSE),VLOOKUP(F198,Equivalencia!$5:$23,((MAX(Equivalencia!$3:$3)-YEAR(G198))*14)+MONTH(G198)+2,FALSE))</f>
        <v>#N/A</v>
      </c>
      <c r="L198" s="306" t="e">
        <f t="shared" si="50"/>
        <v>#N/A</v>
      </c>
      <c r="M198" s="305">
        <f>IF(G198=0,0,HLOOKUP(YEAR(G198)+(MONTH(G198)/100),TC!$5:$37,DAY(G198)+2,FALSE))</f>
        <v>0</v>
      </c>
      <c r="N198" s="306" t="e">
        <f t="shared" si="51"/>
        <v>#N/A</v>
      </c>
      <c r="O198" s="308">
        <f>IF(G198=0,0,VLOOKUP(YEAR(G198),INPC!$B$4:$P$30,MONTH(G198)+2))</f>
        <v>0</v>
      </c>
      <c r="P198" s="308">
        <f>IF(W198=0,0,IF(OR(C198=$AQ$5,C198=AQ202),VLOOKUP(YEAR(W198),INPC!$B$4:$P$30,MONTH(W198)+1),VLOOKUP(YEAR(W198),INPC!$B$4:$P$30,MONTH(W198)+2)))</f>
        <v>0</v>
      </c>
      <c r="Q198" s="309">
        <f t="shared" si="52"/>
        <v>0</v>
      </c>
      <c r="R198" s="310" t="e">
        <f t="shared" si="53"/>
        <v>#N/A</v>
      </c>
      <c r="S198" s="310">
        <f t="shared" si="54"/>
        <v>0</v>
      </c>
      <c r="T198" s="567" t="str">
        <f t="shared" si="55"/>
        <v>NO</v>
      </c>
      <c r="U198" s="323"/>
      <c r="V198" s="299"/>
      <c r="W198" s="300"/>
      <c r="X198" s="299"/>
      <c r="Y198" s="303"/>
      <c r="Z198" s="305">
        <f>IF(Y198=0,0,IF(X198="MXN",1/HLOOKUP(YEAR(W198)+(MONTH(W198)/100),TC!$5:$37,DAY(W198)+2,FALSE),VLOOKUP(X198,Equivalencia!$1:$23,((MAX(Equivalencia!$3:$3)-YEAR(W198))*14)+MONTH(W198)+2,FALSE)))</f>
        <v>0</v>
      </c>
      <c r="AA198" s="306">
        <f t="shared" si="56"/>
        <v>0</v>
      </c>
      <c r="AB198" s="305">
        <f>+IF(W198=0,0,HLOOKUP(YEAR(W198)+(MONTH(W198)/100),TC!$5:$37,DAY(W198)+2,FALSE))</f>
        <v>0</v>
      </c>
      <c r="AC198" s="306">
        <f t="shared" si="57"/>
        <v>0</v>
      </c>
      <c r="AD198" s="314">
        <f t="shared" si="48"/>
        <v>0</v>
      </c>
      <c r="AE198" s="315">
        <f t="shared" si="58"/>
        <v>0</v>
      </c>
      <c r="AF198" s="316">
        <f t="shared" si="49"/>
        <v>0</v>
      </c>
      <c r="AG198" s="314">
        <v>1</v>
      </c>
      <c r="AH198" s="314">
        <f t="shared" si="59"/>
        <v>0</v>
      </c>
      <c r="AI198" s="314">
        <f t="shared" si="60"/>
        <v>0</v>
      </c>
      <c r="AJ198" s="317"/>
      <c r="AK198" s="315" t="e">
        <f t="shared" si="61"/>
        <v>#N/A</v>
      </c>
      <c r="AM198" s="561"/>
      <c r="AN198" s="561"/>
      <c r="AO198" s="561"/>
    </row>
    <row r="199" spans="2:41">
      <c r="B199" s="296"/>
      <c r="C199" s="299"/>
      <c r="D199" s="296"/>
      <c r="E199" s="298"/>
      <c r="F199" s="299"/>
      <c r="G199" s="300"/>
      <c r="H199" s="303"/>
      <c r="I199" s="303"/>
      <c r="J199" s="322">
        <f t="shared" si="47"/>
        <v>0</v>
      </c>
      <c r="K199" s="305" t="e">
        <f>IF(F199="MXN",1/HLOOKUP(YEAR(G199)+(MONTH(G199)/100),TC!$5:$37,DAY(G199)+2,FALSE),VLOOKUP(F199,Equivalencia!$5:$23,((MAX(Equivalencia!$3:$3)-YEAR(G199))*14)+MONTH(G199)+2,FALSE))</f>
        <v>#N/A</v>
      </c>
      <c r="L199" s="306" t="e">
        <f t="shared" si="50"/>
        <v>#N/A</v>
      </c>
      <c r="M199" s="305">
        <f>IF(G199=0,0,HLOOKUP(YEAR(G199)+(MONTH(G199)/100),TC!$5:$37,DAY(G199)+2,FALSE))</f>
        <v>0</v>
      </c>
      <c r="N199" s="306" t="e">
        <f t="shared" si="51"/>
        <v>#N/A</v>
      </c>
      <c r="O199" s="308">
        <f>IF(G199=0,0,VLOOKUP(YEAR(G199),INPC!$B$4:$P$30,MONTH(G199)+2))</f>
        <v>0</v>
      </c>
      <c r="P199" s="308">
        <f>IF(W199=0,0,IF(OR(C199=$AQ$5,C199=AQ203),VLOOKUP(YEAR(W199),INPC!$B$4:$P$30,MONTH(W199)+1),VLOOKUP(YEAR(W199),INPC!$B$4:$P$30,MONTH(W199)+2)))</f>
        <v>0</v>
      </c>
      <c r="Q199" s="309">
        <f t="shared" si="52"/>
        <v>0</v>
      </c>
      <c r="R199" s="310" t="e">
        <f t="shared" si="53"/>
        <v>#N/A</v>
      </c>
      <c r="S199" s="310">
        <f t="shared" si="54"/>
        <v>0</v>
      </c>
      <c r="T199" s="567" t="str">
        <f t="shared" si="55"/>
        <v>NO</v>
      </c>
      <c r="U199" s="323"/>
      <c r="V199" s="299"/>
      <c r="W199" s="300"/>
      <c r="X199" s="299"/>
      <c r="Y199" s="303"/>
      <c r="Z199" s="305">
        <f>IF(Y199=0,0,IF(X199="MXN",1/HLOOKUP(YEAR(W199)+(MONTH(W199)/100),TC!$5:$37,DAY(W199)+2,FALSE),VLOOKUP(X199,Equivalencia!$1:$23,((MAX(Equivalencia!$3:$3)-YEAR(W199))*14)+MONTH(W199)+2,FALSE)))</f>
        <v>0</v>
      </c>
      <c r="AA199" s="306">
        <f t="shared" si="56"/>
        <v>0</v>
      </c>
      <c r="AB199" s="305">
        <f>+IF(W199=0,0,HLOOKUP(YEAR(W199)+(MONTH(W199)/100),TC!$5:$37,DAY(W199)+2,FALSE))</f>
        <v>0</v>
      </c>
      <c r="AC199" s="306">
        <f t="shared" si="57"/>
        <v>0</v>
      </c>
      <c r="AD199" s="314">
        <f t="shared" si="48"/>
        <v>0</v>
      </c>
      <c r="AE199" s="315">
        <f t="shared" si="58"/>
        <v>0</v>
      </c>
      <c r="AF199" s="316">
        <f t="shared" si="49"/>
        <v>0</v>
      </c>
      <c r="AG199" s="314">
        <v>1</v>
      </c>
      <c r="AH199" s="314">
        <f t="shared" si="59"/>
        <v>0</v>
      </c>
      <c r="AI199" s="314">
        <f t="shared" si="60"/>
        <v>0</v>
      </c>
      <c r="AJ199" s="317"/>
      <c r="AK199" s="315" t="e">
        <f t="shared" si="61"/>
        <v>#N/A</v>
      </c>
      <c r="AM199" s="561"/>
      <c r="AN199" s="561"/>
      <c r="AO199" s="561"/>
    </row>
    <row r="200" spans="2:41">
      <c r="B200" s="296"/>
      <c r="C200" s="299"/>
      <c r="D200" s="296"/>
      <c r="E200" s="298"/>
      <c r="F200" s="299"/>
      <c r="G200" s="300"/>
      <c r="H200" s="303"/>
      <c r="I200" s="303"/>
      <c r="J200" s="322">
        <f t="shared" si="47"/>
        <v>0</v>
      </c>
      <c r="K200" s="305" t="e">
        <f>IF(F200="MXN",1/HLOOKUP(YEAR(G200)+(MONTH(G200)/100),TC!$5:$37,DAY(G200)+2,FALSE),VLOOKUP(F200,Equivalencia!$5:$23,((MAX(Equivalencia!$3:$3)-YEAR(G200))*14)+MONTH(G200)+2,FALSE))</f>
        <v>#N/A</v>
      </c>
      <c r="L200" s="306" t="e">
        <f t="shared" si="50"/>
        <v>#N/A</v>
      </c>
      <c r="M200" s="305">
        <f>IF(G200=0,0,HLOOKUP(YEAR(G200)+(MONTH(G200)/100),TC!$5:$37,DAY(G200)+2,FALSE))</f>
        <v>0</v>
      </c>
      <c r="N200" s="306" t="e">
        <f t="shared" si="51"/>
        <v>#N/A</v>
      </c>
      <c r="O200" s="308">
        <f>IF(G200=0,0,VLOOKUP(YEAR(G200),INPC!$B$4:$P$30,MONTH(G200)+2))</f>
        <v>0</v>
      </c>
      <c r="P200" s="308">
        <f>IF(W200=0,0,IF(OR(C200=$AQ$5,C200=AQ204),VLOOKUP(YEAR(W200),INPC!$B$4:$P$30,MONTH(W200)+1),VLOOKUP(YEAR(W200),INPC!$B$4:$P$30,MONTH(W200)+2)))</f>
        <v>0</v>
      </c>
      <c r="Q200" s="309">
        <f t="shared" si="52"/>
        <v>0</v>
      </c>
      <c r="R200" s="310" t="e">
        <f t="shared" si="53"/>
        <v>#N/A</v>
      </c>
      <c r="S200" s="310">
        <f t="shared" si="54"/>
        <v>0</v>
      </c>
      <c r="T200" s="567" t="str">
        <f t="shared" si="55"/>
        <v>NO</v>
      </c>
      <c r="U200" s="323"/>
      <c r="V200" s="299"/>
      <c r="W200" s="300"/>
      <c r="X200" s="299"/>
      <c r="Y200" s="303"/>
      <c r="Z200" s="305">
        <f>IF(Y200=0,0,IF(X200="MXN",1/HLOOKUP(YEAR(W200)+(MONTH(W200)/100),TC!$5:$37,DAY(W200)+2,FALSE),VLOOKUP(X200,Equivalencia!$1:$23,((MAX(Equivalencia!$3:$3)-YEAR(W200))*14)+MONTH(W200)+2,FALSE)))</f>
        <v>0</v>
      </c>
      <c r="AA200" s="306">
        <f t="shared" si="56"/>
        <v>0</v>
      </c>
      <c r="AB200" s="305">
        <f>+IF(W200=0,0,HLOOKUP(YEAR(W200)+(MONTH(W200)/100),TC!$5:$37,DAY(W200)+2,FALSE))</f>
        <v>0</v>
      </c>
      <c r="AC200" s="306">
        <f t="shared" si="57"/>
        <v>0</v>
      </c>
      <c r="AD200" s="314">
        <f t="shared" si="48"/>
        <v>0</v>
      </c>
      <c r="AE200" s="315">
        <f t="shared" si="58"/>
        <v>0</v>
      </c>
      <c r="AF200" s="316">
        <f t="shared" si="49"/>
        <v>0</v>
      </c>
      <c r="AG200" s="314">
        <v>1</v>
      </c>
      <c r="AH200" s="314">
        <f t="shared" si="59"/>
        <v>0</v>
      </c>
      <c r="AI200" s="314">
        <f t="shared" si="60"/>
        <v>0</v>
      </c>
      <c r="AJ200" s="317"/>
      <c r="AK200" s="315" t="e">
        <f t="shared" si="61"/>
        <v>#N/A</v>
      </c>
      <c r="AM200" s="561"/>
      <c r="AN200" s="561"/>
      <c r="AO200" s="561"/>
    </row>
    <row r="201" spans="2:41">
      <c r="B201" s="296"/>
      <c r="C201" s="299"/>
      <c r="D201" s="296"/>
      <c r="E201" s="298"/>
      <c r="F201" s="299"/>
      <c r="G201" s="300"/>
      <c r="H201" s="303"/>
      <c r="I201" s="303"/>
      <c r="J201" s="322">
        <f t="shared" si="47"/>
        <v>0</v>
      </c>
      <c r="K201" s="305" t="e">
        <f>IF(F201="MXN",1/HLOOKUP(YEAR(G201)+(MONTH(G201)/100),TC!$5:$37,DAY(G201)+2,FALSE),VLOOKUP(F201,Equivalencia!$5:$23,((MAX(Equivalencia!$3:$3)-YEAR(G201))*14)+MONTH(G201)+2,FALSE))</f>
        <v>#N/A</v>
      </c>
      <c r="L201" s="306" t="e">
        <f t="shared" si="50"/>
        <v>#N/A</v>
      </c>
      <c r="M201" s="305">
        <f>IF(G201=0,0,HLOOKUP(YEAR(G201)+(MONTH(G201)/100),TC!$5:$37,DAY(G201)+2,FALSE))</f>
        <v>0</v>
      </c>
      <c r="N201" s="306" t="e">
        <f t="shared" si="51"/>
        <v>#N/A</v>
      </c>
      <c r="O201" s="308">
        <f>IF(G201=0,0,VLOOKUP(YEAR(G201),INPC!$B$4:$P$30,MONTH(G201)+2))</f>
        <v>0</v>
      </c>
      <c r="P201" s="308">
        <f>IF(W201=0,0,IF(OR(C201=$AQ$5,C201=AQ205),VLOOKUP(YEAR(W201),INPC!$B$4:$P$30,MONTH(W201)+1),VLOOKUP(YEAR(W201),INPC!$B$4:$P$30,MONTH(W201)+2)))</f>
        <v>0</v>
      </c>
      <c r="Q201" s="309">
        <f t="shared" si="52"/>
        <v>0</v>
      </c>
      <c r="R201" s="310" t="e">
        <f t="shared" si="53"/>
        <v>#N/A</v>
      </c>
      <c r="S201" s="310">
        <f t="shared" si="54"/>
        <v>0</v>
      </c>
      <c r="T201" s="567" t="str">
        <f t="shared" si="55"/>
        <v>NO</v>
      </c>
      <c r="U201" s="323"/>
      <c r="V201" s="299"/>
      <c r="W201" s="300"/>
      <c r="X201" s="299"/>
      <c r="Y201" s="303"/>
      <c r="Z201" s="305">
        <f>IF(Y201=0,0,IF(X201="MXN",1/HLOOKUP(YEAR(W201)+(MONTH(W201)/100),TC!$5:$37,DAY(W201)+2,FALSE),VLOOKUP(X201,Equivalencia!$1:$23,((MAX(Equivalencia!$3:$3)-YEAR(W201))*14)+MONTH(W201)+2,FALSE)))</f>
        <v>0</v>
      </c>
      <c r="AA201" s="306">
        <f t="shared" si="56"/>
        <v>0</v>
      </c>
      <c r="AB201" s="305">
        <f>+IF(W201=0,0,HLOOKUP(YEAR(W201)+(MONTH(W201)/100),TC!$5:$37,DAY(W201)+2,FALSE))</f>
        <v>0</v>
      </c>
      <c r="AC201" s="306">
        <f t="shared" si="57"/>
        <v>0</v>
      </c>
      <c r="AD201" s="314">
        <f t="shared" si="48"/>
        <v>0</v>
      </c>
      <c r="AE201" s="315">
        <f t="shared" si="58"/>
        <v>0</v>
      </c>
      <c r="AF201" s="316">
        <f t="shared" si="49"/>
        <v>0</v>
      </c>
      <c r="AG201" s="314">
        <v>1</v>
      </c>
      <c r="AH201" s="314">
        <f t="shared" si="59"/>
        <v>0</v>
      </c>
      <c r="AI201" s="314">
        <f t="shared" si="60"/>
        <v>0</v>
      </c>
      <c r="AJ201" s="317"/>
      <c r="AK201" s="315" t="e">
        <f t="shared" si="61"/>
        <v>#N/A</v>
      </c>
      <c r="AM201" s="561"/>
      <c r="AN201" s="561"/>
      <c r="AO201" s="561"/>
    </row>
    <row r="202" spans="2:41">
      <c r="B202" s="296"/>
      <c r="C202" s="299"/>
      <c r="D202" s="296"/>
      <c r="E202" s="298"/>
      <c r="F202" s="299"/>
      <c r="G202" s="300"/>
      <c r="H202" s="303"/>
      <c r="I202" s="303"/>
      <c r="J202" s="322">
        <f t="shared" si="47"/>
        <v>0</v>
      </c>
      <c r="K202" s="305" t="e">
        <f>IF(F202="MXN",1/HLOOKUP(YEAR(G202)+(MONTH(G202)/100),TC!$5:$37,DAY(G202)+2,FALSE),VLOOKUP(F202,Equivalencia!$5:$23,((MAX(Equivalencia!$3:$3)-YEAR(G202))*14)+MONTH(G202)+2,FALSE))</f>
        <v>#N/A</v>
      </c>
      <c r="L202" s="306" t="e">
        <f t="shared" si="50"/>
        <v>#N/A</v>
      </c>
      <c r="M202" s="305">
        <f>IF(G202=0,0,HLOOKUP(YEAR(G202)+(MONTH(G202)/100),TC!$5:$37,DAY(G202)+2,FALSE))</f>
        <v>0</v>
      </c>
      <c r="N202" s="306" t="e">
        <f t="shared" si="51"/>
        <v>#N/A</v>
      </c>
      <c r="O202" s="308">
        <f>IF(G202=0,0,VLOOKUP(YEAR(G202),INPC!$B$4:$P$30,MONTH(G202)+2))</f>
        <v>0</v>
      </c>
      <c r="P202" s="308">
        <f>IF(W202=0,0,IF(OR(C202=$AQ$5,C202=AQ206),VLOOKUP(YEAR(W202),INPC!$B$4:$P$30,MONTH(W202)+1),VLOOKUP(YEAR(W202),INPC!$B$4:$P$30,MONTH(W202)+2)))</f>
        <v>0</v>
      </c>
      <c r="Q202" s="309">
        <f t="shared" si="52"/>
        <v>0</v>
      </c>
      <c r="R202" s="310" t="e">
        <f t="shared" si="53"/>
        <v>#N/A</v>
      </c>
      <c r="S202" s="310">
        <f t="shared" si="54"/>
        <v>0</v>
      </c>
      <c r="T202" s="567" t="str">
        <f t="shared" si="55"/>
        <v>NO</v>
      </c>
      <c r="U202" s="323"/>
      <c r="V202" s="299"/>
      <c r="W202" s="300"/>
      <c r="X202" s="299"/>
      <c r="Y202" s="303"/>
      <c r="Z202" s="305">
        <f>IF(Y202=0,0,IF(X202="MXN",1/HLOOKUP(YEAR(W202)+(MONTH(W202)/100),TC!$5:$37,DAY(W202)+2,FALSE),VLOOKUP(X202,Equivalencia!$1:$23,((MAX(Equivalencia!$3:$3)-YEAR(W202))*14)+MONTH(W202)+2,FALSE)))</f>
        <v>0</v>
      </c>
      <c r="AA202" s="306">
        <f t="shared" si="56"/>
        <v>0</v>
      </c>
      <c r="AB202" s="305">
        <f>+IF(W202=0,0,HLOOKUP(YEAR(W202)+(MONTH(W202)/100),TC!$5:$37,DAY(W202)+2,FALSE))</f>
        <v>0</v>
      </c>
      <c r="AC202" s="306">
        <f t="shared" si="57"/>
        <v>0</v>
      </c>
      <c r="AD202" s="314">
        <f t="shared" si="48"/>
        <v>0</v>
      </c>
      <c r="AE202" s="315">
        <f t="shared" si="58"/>
        <v>0</v>
      </c>
      <c r="AF202" s="316">
        <f t="shared" si="49"/>
        <v>0</v>
      </c>
      <c r="AG202" s="314">
        <v>1</v>
      </c>
      <c r="AH202" s="314">
        <f t="shared" si="59"/>
        <v>0</v>
      </c>
      <c r="AI202" s="314">
        <f t="shared" si="60"/>
        <v>0</v>
      </c>
      <c r="AJ202" s="317"/>
      <c r="AK202" s="315" t="e">
        <f t="shared" si="61"/>
        <v>#N/A</v>
      </c>
      <c r="AM202" s="561"/>
      <c r="AN202" s="561"/>
      <c r="AO202" s="561"/>
    </row>
    <row r="203" spans="2:41">
      <c r="B203" s="296"/>
      <c r="C203" s="299"/>
      <c r="D203" s="296"/>
      <c r="E203" s="298"/>
      <c r="F203" s="299"/>
      <c r="G203" s="300"/>
      <c r="H203" s="303"/>
      <c r="I203" s="303"/>
      <c r="J203" s="322">
        <f t="shared" si="47"/>
        <v>0</v>
      </c>
      <c r="K203" s="305" t="e">
        <f>IF(F203="MXN",1/HLOOKUP(YEAR(G203)+(MONTH(G203)/100),TC!$5:$37,DAY(G203)+2,FALSE),VLOOKUP(F203,Equivalencia!$5:$23,((MAX(Equivalencia!$3:$3)-YEAR(G203))*14)+MONTH(G203)+2,FALSE))</f>
        <v>#N/A</v>
      </c>
      <c r="L203" s="306" t="e">
        <f t="shared" si="50"/>
        <v>#N/A</v>
      </c>
      <c r="M203" s="305">
        <f>IF(G203=0,0,HLOOKUP(YEAR(G203)+(MONTH(G203)/100),TC!$5:$37,DAY(G203)+2,FALSE))</f>
        <v>0</v>
      </c>
      <c r="N203" s="306" t="e">
        <f t="shared" si="51"/>
        <v>#N/A</v>
      </c>
      <c r="O203" s="308">
        <f>IF(G203=0,0,VLOOKUP(YEAR(G203),INPC!$B$4:$P$30,MONTH(G203)+2))</f>
        <v>0</v>
      </c>
      <c r="P203" s="308">
        <f>IF(W203=0,0,IF(OR(C203=$AQ$5,C203=AQ207),VLOOKUP(YEAR(W203),INPC!$B$4:$P$30,MONTH(W203)+1),VLOOKUP(YEAR(W203),INPC!$B$4:$P$30,MONTH(W203)+2)))</f>
        <v>0</v>
      </c>
      <c r="Q203" s="309">
        <f t="shared" si="52"/>
        <v>0</v>
      </c>
      <c r="R203" s="310" t="e">
        <f t="shared" si="53"/>
        <v>#N/A</v>
      </c>
      <c r="S203" s="310">
        <f t="shared" si="54"/>
        <v>0</v>
      </c>
      <c r="T203" s="567" t="str">
        <f t="shared" si="55"/>
        <v>NO</v>
      </c>
      <c r="U203" s="323"/>
      <c r="V203" s="299"/>
      <c r="W203" s="300"/>
      <c r="X203" s="299"/>
      <c r="Y203" s="303"/>
      <c r="Z203" s="305">
        <f>IF(Y203=0,0,IF(X203="MXN",1/HLOOKUP(YEAR(W203)+(MONTH(W203)/100),TC!$5:$37,DAY(W203)+2,FALSE),VLOOKUP(X203,Equivalencia!$1:$23,((MAX(Equivalencia!$3:$3)-YEAR(W203))*14)+MONTH(W203)+2,FALSE)))</f>
        <v>0</v>
      </c>
      <c r="AA203" s="306">
        <f t="shared" si="56"/>
        <v>0</v>
      </c>
      <c r="AB203" s="305">
        <f>+IF(W203=0,0,HLOOKUP(YEAR(W203)+(MONTH(W203)/100),TC!$5:$37,DAY(W203)+2,FALSE))</f>
        <v>0</v>
      </c>
      <c r="AC203" s="306">
        <f t="shared" si="57"/>
        <v>0</v>
      </c>
      <c r="AD203" s="314">
        <f t="shared" si="48"/>
        <v>0</v>
      </c>
      <c r="AE203" s="315">
        <f t="shared" si="58"/>
        <v>0</v>
      </c>
      <c r="AF203" s="316">
        <f t="shared" si="49"/>
        <v>0</v>
      </c>
      <c r="AG203" s="314">
        <v>1</v>
      </c>
      <c r="AH203" s="314">
        <f t="shared" si="59"/>
        <v>0</v>
      </c>
      <c r="AI203" s="314">
        <f t="shared" si="60"/>
        <v>0</v>
      </c>
      <c r="AJ203" s="317"/>
      <c r="AK203" s="315" t="e">
        <f t="shared" si="61"/>
        <v>#N/A</v>
      </c>
      <c r="AM203" s="561"/>
      <c r="AN203" s="561"/>
      <c r="AO203" s="561"/>
    </row>
    <row r="204" spans="2:41">
      <c r="B204" s="296"/>
      <c r="C204" s="299"/>
      <c r="D204" s="296"/>
      <c r="E204" s="298"/>
      <c r="F204" s="299"/>
      <c r="G204" s="300"/>
      <c r="H204" s="303"/>
      <c r="I204" s="303"/>
      <c r="J204" s="322">
        <f t="shared" si="47"/>
        <v>0</v>
      </c>
      <c r="K204" s="305" t="e">
        <f>IF(F204="MXN",1/HLOOKUP(YEAR(G204)+(MONTH(G204)/100),TC!$5:$37,DAY(G204)+2,FALSE),VLOOKUP(F204,Equivalencia!$5:$23,((MAX(Equivalencia!$3:$3)-YEAR(G204))*14)+MONTH(G204)+2,FALSE))</f>
        <v>#N/A</v>
      </c>
      <c r="L204" s="306" t="e">
        <f t="shared" si="50"/>
        <v>#N/A</v>
      </c>
      <c r="M204" s="305">
        <f>IF(G204=0,0,HLOOKUP(YEAR(G204)+(MONTH(G204)/100),TC!$5:$37,DAY(G204)+2,FALSE))</f>
        <v>0</v>
      </c>
      <c r="N204" s="306" t="e">
        <f t="shared" si="51"/>
        <v>#N/A</v>
      </c>
      <c r="O204" s="308">
        <f>IF(G204=0,0,VLOOKUP(YEAR(G204),INPC!$B$4:$P$30,MONTH(G204)+2))</f>
        <v>0</v>
      </c>
      <c r="P204" s="308">
        <f>IF(W204=0,0,IF(OR(C204=$AQ$5,C204=AQ208),VLOOKUP(YEAR(W204),INPC!$B$4:$P$30,MONTH(W204)+1),VLOOKUP(YEAR(W204),INPC!$B$4:$P$30,MONTH(W204)+2)))</f>
        <v>0</v>
      </c>
      <c r="Q204" s="309">
        <f t="shared" si="52"/>
        <v>0</v>
      </c>
      <c r="R204" s="310" t="e">
        <f t="shared" si="53"/>
        <v>#N/A</v>
      </c>
      <c r="S204" s="310">
        <f t="shared" si="54"/>
        <v>0</v>
      </c>
      <c r="T204" s="567" t="str">
        <f t="shared" si="55"/>
        <v>NO</v>
      </c>
      <c r="U204" s="323"/>
      <c r="V204" s="299"/>
      <c r="W204" s="300"/>
      <c r="X204" s="299"/>
      <c r="Y204" s="303"/>
      <c r="Z204" s="305">
        <f>IF(Y204=0,0,IF(X204="MXN",1/HLOOKUP(YEAR(W204)+(MONTH(W204)/100),TC!$5:$37,DAY(W204)+2,FALSE),VLOOKUP(X204,Equivalencia!$1:$23,((MAX(Equivalencia!$3:$3)-YEAR(W204))*14)+MONTH(W204)+2,FALSE)))</f>
        <v>0</v>
      </c>
      <c r="AA204" s="306">
        <f t="shared" si="56"/>
        <v>0</v>
      </c>
      <c r="AB204" s="305">
        <f>+IF(W204=0,0,HLOOKUP(YEAR(W204)+(MONTH(W204)/100),TC!$5:$37,DAY(W204)+2,FALSE))</f>
        <v>0</v>
      </c>
      <c r="AC204" s="306">
        <f t="shared" si="57"/>
        <v>0</v>
      </c>
      <c r="AD204" s="314">
        <f t="shared" si="48"/>
        <v>0</v>
      </c>
      <c r="AE204" s="315">
        <f t="shared" si="58"/>
        <v>0</v>
      </c>
      <c r="AF204" s="316">
        <f t="shared" si="49"/>
        <v>0</v>
      </c>
      <c r="AG204" s="314">
        <v>1</v>
      </c>
      <c r="AH204" s="314">
        <f t="shared" si="59"/>
        <v>0</v>
      </c>
      <c r="AI204" s="314">
        <f t="shared" si="60"/>
        <v>0</v>
      </c>
      <c r="AJ204" s="317"/>
      <c r="AK204" s="315" t="e">
        <f t="shared" si="61"/>
        <v>#N/A</v>
      </c>
      <c r="AM204" s="561"/>
      <c r="AN204" s="561"/>
      <c r="AO204" s="561"/>
    </row>
    <row r="205" spans="2:41">
      <c r="B205" s="296"/>
      <c r="C205" s="299"/>
      <c r="D205" s="296"/>
      <c r="E205" s="298"/>
      <c r="F205" s="299"/>
      <c r="G205" s="300"/>
      <c r="H205" s="303"/>
      <c r="I205" s="303"/>
      <c r="J205" s="322">
        <f t="shared" si="47"/>
        <v>0</v>
      </c>
      <c r="K205" s="305" t="e">
        <f>IF(F205="MXN",1/HLOOKUP(YEAR(G205)+(MONTH(G205)/100),TC!$5:$37,DAY(G205)+2,FALSE),VLOOKUP(F205,Equivalencia!$5:$23,((MAX(Equivalencia!$3:$3)-YEAR(G205))*14)+MONTH(G205)+2,FALSE))</f>
        <v>#N/A</v>
      </c>
      <c r="L205" s="306" t="e">
        <f t="shared" si="50"/>
        <v>#N/A</v>
      </c>
      <c r="M205" s="305">
        <f>IF(G205=0,0,HLOOKUP(YEAR(G205)+(MONTH(G205)/100),TC!$5:$37,DAY(G205)+2,FALSE))</f>
        <v>0</v>
      </c>
      <c r="N205" s="306" t="e">
        <f t="shared" si="51"/>
        <v>#N/A</v>
      </c>
      <c r="O205" s="308">
        <f>IF(G205=0,0,VLOOKUP(YEAR(G205),INPC!$B$4:$P$30,MONTH(G205)+2))</f>
        <v>0</v>
      </c>
      <c r="P205" s="308">
        <f>IF(W205=0,0,IF(OR(C205=$AQ$5,C205=AQ209),VLOOKUP(YEAR(W205),INPC!$B$4:$P$30,MONTH(W205)+1),VLOOKUP(YEAR(W205),INPC!$B$4:$P$30,MONTH(W205)+2)))</f>
        <v>0</v>
      </c>
      <c r="Q205" s="309">
        <f t="shared" si="52"/>
        <v>0</v>
      </c>
      <c r="R205" s="310" t="e">
        <f t="shared" si="53"/>
        <v>#N/A</v>
      </c>
      <c r="S205" s="310">
        <f t="shared" si="54"/>
        <v>0</v>
      </c>
      <c r="T205" s="567" t="str">
        <f t="shared" si="55"/>
        <v>NO</v>
      </c>
      <c r="U205" s="323"/>
      <c r="V205" s="299"/>
      <c r="W205" s="300"/>
      <c r="X205" s="299"/>
      <c r="Y205" s="303"/>
      <c r="Z205" s="305">
        <f>IF(Y205=0,0,IF(X205="MXN",1/HLOOKUP(YEAR(W205)+(MONTH(W205)/100),TC!$5:$37,DAY(W205)+2,FALSE),VLOOKUP(X205,Equivalencia!$1:$23,((MAX(Equivalencia!$3:$3)-YEAR(W205))*14)+MONTH(W205)+2,FALSE)))</f>
        <v>0</v>
      </c>
      <c r="AA205" s="306">
        <f t="shared" si="56"/>
        <v>0</v>
      </c>
      <c r="AB205" s="305">
        <f>+IF(W205=0,0,HLOOKUP(YEAR(W205)+(MONTH(W205)/100),TC!$5:$37,DAY(W205)+2,FALSE))</f>
        <v>0</v>
      </c>
      <c r="AC205" s="306">
        <f t="shared" si="57"/>
        <v>0</v>
      </c>
      <c r="AD205" s="314">
        <f t="shared" si="48"/>
        <v>0</v>
      </c>
      <c r="AE205" s="315">
        <f t="shared" si="58"/>
        <v>0</v>
      </c>
      <c r="AF205" s="316">
        <f t="shared" si="49"/>
        <v>0</v>
      </c>
      <c r="AG205" s="314">
        <v>1</v>
      </c>
      <c r="AH205" s="314">
        <f t="shared" si="59"/>
        <v>0</v>
      </c>
      <c r="AI205" s="314">
        <f t="shared" si="60"/>
        <v>0</v>
      </c>
      <c r="AJ205" s="317"/>
      <c r="AK205" s="315" t="e">
        <f t="shared" si="61"/>
        <v>#N/A</v>
      </c>
      <c r="AM205" s="561"/>
      <c r="AN205" s="561"/>
      <c r="AO205" s="561"/>
    </row>
    <row r="206" spans="2:41">
      <c r="B206" s="296"/>
      <c r="C206" s="299"/>
      <c r="D206" s="296"/>
      <c r="E206" s="298"/>
      <c r="F206" s="299"/>
      <c r="G206" s="300"/>
      <c r="H206" s="303"/>
      <c r="I206" s="303"/>
      <c r="J206" s="322">
        <f t="shared" si="47"/>
        <v>0</v>
      </c>
      <c r="K206" s="305" t="e">
        <f>IF(F206="MXN",1/HLOOKUP(YEAR(G206)+(MONTH(G206)/100),TC!$5:$37,DAY(G206)+2,FALSE),VLOOKUP(F206,Equivalencia!$5:$23,((MAX(Equivalencia!$3:$3)-YEAR(G206))*14)+MONTH(G206)+2,FALSE))</f>
        <v>#N/A</v>
      </c>
      <c r="L206" s="306" t="e">
        <f t="shared" si="50"/>
        <v>#N/A</v>
      </c>
      <c r="M206" s="305">
        <f>IF(G206=0,0,HLOOKUP(YEAR(G206)+(MONTH(G206)/100),TC!$5:$37,DAY(G206)+2,FALSE))</f>
        <v>0</v>
      </c>
      <c r="N206" s="306" t="e">
        <f t="shared" si="51"/>
        <v>#N/A</v>
      </c>
      <c r="O206" s="308">
        <f>IF(G206=0,0,VLOOKUP(YEAR(G206),INPC!$B$4:$P$30,MONTH(G206)+2))</f>
        <v>0</v>
      </c>
      <c r="P206" s="308">
        <f>IF(W206=0,0,IF(OR(C206=$AQ$5,C206=AQ210),VLOOKUP(YEAR(W206),INPC!$B$4:$P$30,MONTH(W206)+1),VLOOKUP(YEAR(W206),INPC!$B$4:$P$30,MONTH(W206)+2)))</f>
        <v>0</v>
      </c>
      <c r="Q206" s="309">
        <f t="shared" si="52"/>
        <v>0</v>
      </c>
      <c r="R206" s="310" t="e">
        <f t="shared" si="53"/>
        <v>#N/A</v>
      </c>
      <c r="S206" s="310">
        <f t="shared" si="54"/>
        <v>0</v>
      </c>
      <c r="T206" s="567" t="str">
        <f t="shared" si="55"/>
        <v>NO</v>
      </c>
      <c r="U206" s="323"/>
      <c r="V206" s="299"/>
      <c r="W206" s="300"/>
      <c r="X206" s="299"/>
      <c r="Y206" s="303"/>
      <c r="Z206" s="305">
        <f>IF(Y206=0,0,IF(X206="MXN",1/HLOOKUP(YEAR(W206)+(MONTH(W206)/100),TC!$5:$37,DAY(W206)+2,FALSE),VLOOKUP(X206,Equivalencia!$1:$23,((MAX(Equivalencia!$3:$3)-YEAR(W206))*14)+MONTH(W206)+2,FALSE)))</f>
        <v>0</v>
      </c>
      <c r="AA206" s="306">
        <f t="shared" si="56"/>
        <v>0</v>
      </c>
      <c r="AB206" s="305">
        <f>+IF(W206=0,0,HLOOKUP(YEAR(W206)+(MONTH(W206)/100),TC!$5:$37,DAY(W206)+2,FALSE))</f>
        <v>0</v>
      </c>
      <c r="AC206" s="306">
        <f t="shared" si="57"/>
        <v>0</v>
      </c>
      <c r="AD206" s="314">
        <f t="shared" si="48"/>
        <v>0</v>
      </c>
      <c r="AE206" s="315">
        <f t="shared" si="58"/>
        <v>0</v>
      </c>
      <c r="AF206" s="316">
        <f t="shared" si="49"/>
        <v>0</v>
      </c>
      <c r="AG206" s="314">
        <v>1</v>
      </c>
      <c r="AH206" s="314">
        <f t="shared" si="59"/>
        <v>0</v>
      </c>
      <c r="AI206" s="314">
        <f t="shared" si="60"/>
        <v>0</v>
      </c>
      <c r="AJ206" s="317"/>
      <c r="AK206" s="315" t="e">
        <f t="shared" si="61"/>
        <v>#N/A</v>
      </c>
      <c r="AM206" s="561"/>
      <c r="AN206" s="561"/>
      <c r="AO206" s="561"/>
    </row>
    <row r="207" spans="2:41">
      <c r="B207" s="296"/>
      <c r="C207" s="299"/>
      <c r="D207" s="296"/>
      <c r="E207" s="298"/>
      <c r="F207" s="299"/>
      <c r="G207" s="300"/>
      <c r="H207" s="303"/>
      <c r="I207" s="303"/>
      <c r="J207" s="322">
        <f t="shared" si="47"/>
        <v>0</v>
      </c>
      <c r="K207" s="305" t="e">
        <f>IF(F207="MXN",1/HLOOKUP(YEAR(G207)+(MONTH(G207)/100),TC!$5:$37,DAY(G207)+2,FALSE),VLOOKUP(F207,Equivalencia!$5:$23,((MAX(Equivalencia!$3:$3)-YEAR(G207))*14)+MONTH(G207)+2,FALSE))</f>
        <v>#N/A</v>
      </c>
      <c r="L207" s="306" t="e">
        <f t="shared" si="50"/>
        <v>#N/A</v>
      </c>
      <c r="M207" s="305">
        <f>IF(G207=0,0,HLOOKUP(YEAR(G207)+(MONTH(G207)/100),TC!$5:$37,DAY(G207)+2,FALSE))</f>
        <v>0</v>
      </c>
      <c r="N207" s="306" t="e">
        <f t="shared" si="51"/>
        <v>#N/A</v>
      </c>
      <c r="O207" s="308">
        <f>IF(G207=0,0,VLOOKUP(YEAR(G207),INPC!$B$4:$P$30,MONTH(G207)+2))</f>
        <v>0</v>
      </c>
      <c r="P207" s="308">
        <f>IF(W207=0,0,IF(OR(C207=$AQ$5,C207=AQ211),VLOOKUP(YEAR(W207),INPC!$B$4:$P$30,MONTH(W207)+1),VLOOKUP(YEAR(W207),INPC!$B$4:$P$30,MONTH(W207)+2)))</f>
        <v>0</v>
      </c>
      <c r="Q207" s="309">
        <f t="shared" si="52"/>
        <v>0</v>
      </c>
      <c r="R207" s="310" t="e">
        <f t="shared" si="53"/>
        <v>#N/A</v>
      </c>
      <c r="S207" s="310">
        <f t="shared" si="54"/>
        <v>0</v>
      </c>
      <c r="T207" s="567" t="str">
        <f t="shared" si="55"/>
        <v>NO</v>
      </c>
      <c r="U207" s="323"/>
      <c r="V207" s="299"/>
      <c r="W207" s="300"/>
      <c r="X207" s="299"/>
      <c r="Y207" s="303"/>
      <c r="Z207" s="305">
        <f>IF(Y207=0,0,IF(X207="MXN",1/HLOOKUP(YEAR(W207)+(MONTH(W207)/100),TC!$5:$37,DAY(W207)+2,FALSE),VLOOKUP(X207,Equivalencia!$1:$23,((MAX(Equivalencia!$3:$3)-YEAR(W207))*14)+MONTH(W207)+2,FALSE)))</f>
        <v>0</v>
      </c>
      <c r="AA207" s="306">
        <f t="shared" si="56"/>
        <v>0</v>
      </c>
      <c r="AB207" s="305">
        <f>+IF(W207=0,0,HLOOKUP(YEAR(W207)+(MONTH(W207)/100),TC!$5:$37,DAY(W207)+2,FALSE))</f>
        <v>0</v>
      </c>
      <c r="AC207" s="306">
        <f t="shared" si="57"/>
        <v>0</v>
      </c>
      <c r="AD207" s="314">
        <f t="shared" si="48"/>
        <v>0</v>
      </c>
      <c r="AE207" s="315">
        <f t="shared" si="58"/>
        <v>0</v>
      </c>
      <c r="AF207" s="316">
        <f t="shared" si="49"/>
        <v>0</v>
      </c>
      <c r="AG207" s="314">
        <v>1</v>
      </c>
      <c r="AH207" s="314">
        <f t="shared" si="59"/>
        <v>0</v>
      </c>
      <c r="AI207" s="314">
        <f t="shared" si="60"/>
        <v>0</v>
      </c>
      <c r="AJ207" s="317"/>
      <c r="AK207" s="315" t="e">
        <f t="shared" si="61"/>
        <v>#N/A</v>
      </c>
      <c r="AM207" s="561"/>
      <c r="AN207" s="561"/>
      <c r="AO207" s="561"/>
    </row>
    <row r="208" spans="2:41">
      <c r="B208" s="296"/>
      <c r="C208" s="299"/>
      <c r="D208" s="296"/>
      <c r="E208" s="298"/>
      <c r="F208" s="299"/>
      <c r="G208" s="300"/>
      <c r="H208" s="303"/>
      <c r="I208" s="303"/>
      <c r="J208" s="322">
        <f t="shared" si="47"/>
        <v>0</v>
      </c>
      <c r="K208" s="305" t="e">
        <f>IF(F208="MXN",1/HLOOKUP(YEAR(G208)+(MONTH(G208)/100),TC!$5:$37,DAY(G208)+2,FALSE),VLOOKUP(F208,Equivalencia!$5:$23,((MAX(Equivalencia!$3:$3)-YEAR(G208))*14)+MONTH(G208)+2,FALSE))</f>
        <v>#N/A</v>
      </c>
      <c r="L208" s="306" t="e">
        <f t="shared" si="50"/>
        <v>#N/A</v>
      </c>
      <c r="M208" s="305">
        <f>IF(G208=0,0,HLOOKUP(YEAR(G208)+(MONTH(G208)/100),TC!$5:$37,DAY(G208)+2,FALSE))</f>
        <v>0</v>
      </c>
      <c r="N208" s="306" t="e">
        <f t="shared" si="51"/>
        <v>#N/A</v>
      </c>
      <c r="O208" s="308">
        <f>IF(G208=0,0,VLOOKUP(YEAR(G208),INPC!$B$4:$P$30,MONTH(G208)+2))</f>
        <v>0</v>
      </c>
      <c r="P208" s="308">
        <f>IF(W208=0,0,IF(OR(C208=$AQ$5,C208=AQ212),VLOOKUP(YEAR(W208),INPC!$B$4:$P$30,MONTH(W208)+1),VLOOKUP(YEAR(W208),INPC!$B$4:$P$30,MONTH(W208)+2)))</f>
        <v>0</v>
      </c>
      <c r="Q208" s="309">
        <f t="shared" si="52"/>
        <v>0</v>
      </c>
      <c r="R208" s="310" t="e">
        <f t="shared" si="53"/>
        <v>#N/A</v>
      </c>
      <c r="S208" s="310">
        <f t="shared" si="54"/>
        <v>0</v>
      </c>
      <c r="T208" s="567" t="str">
        <f t="shared" si="55"/>
        <v>NO</v>
      </c>
      <c r="U208" s="323"/>
      <c r="V208" s="299"/>
      <c r="W208" s="300"/>
      <c r="X208" s="299"/>
      <c r="Y208" s="303"/>
      <c r="Z208" s="305">
        <f>IF(Y208=0,0,IF(X208="MXN",1/HLOOKUP(YEAR(W208)+(MONTH(W208)/100),TC!$5:$37,DAY(W208)+2,FALSE),VLOOKUP(X208,Equivalencia!$1:$23,((MAX(Equivalencia!$3:$3)-YEAR(W208))*14)+MONTH(W208)+2,FALSE)))</f>
        <v>0</v>
      </c>
      <c r="AA208" s="306">
        <f t="shared" si="56"/>
        <v>0</v>
      </c>
      <c r="AB208" s="305">
        <f>+IF(W208=0,0,HLOOKUP(YEAR(W208)+(MONTH(W208)/100),TC!$5:$37,DAY(W208)+2,FALSE))</f>
        <v>0</v>
      </c>
      <c r="AC208" s="306">
        <f t="shared" si="57"/>
        <v>0</v>
      </c>
      <c r="AD208" s="314">
        <f t="shared" si="48"/>
        <v>0</v>
      </c>
      <c r="AE208" s="315">
        <f t="shared" si="58"/>
        <v>0</v>
      </c>
      <c r="AF208" s="316">
        <f t="shared" si="49"/>
        <v>0</v>
      </c>
      <c r="AG208" s="314">
        <v>1</v>
      </c>
      <c r="AH208" s="314">
        <f t="shared" si="59"/>
        <v>0</v>
      </c>
      <c r="AI208" s="314">
        <f t="shared" si="60"/>
        <v>0</v>
      </c>
      <c r="AJ208" s="317"/>
      <c r="AK208" s="315" t="e">
        <f t="shared" si="61"/>
        <v>#N/A</v>
      </c>
      <c r="AM208" s="561"/>
      <c r="AN208" s="561"/>
      <c r="AO208" s="561"/>
    </row>
    <row r="209" spans="2:41">
      <c r="B209" s="296"/>
      <c r="C209" s="299"/>
      <c r="D209" s="296"/>
      <c r="E209" s="298"/>
      <c r="F209" s="299"/>
      <c r="G209" s="300"/>
      <c r="H209" s="303"/>
      <c r="I209" s="303"/>
      <c r="J209" s="322">
        <f t="shared" si="47"/>
        <v>0</v>
      </c>
      <c r="K209" s="305" t="e">
        <f>IF(F209="MXN",1/HLOOKUP(YEAR(G209)+(MONTH(G209)/100),TC!$5:$37,DAY(G209)+2,FALSE),VLOOKUP(F209,Equivalencia!$5:$23,((MAX(Equivalencia!$3:$3)-YEAR(G209))*14)+MONTH(G209)+2,FALSE))</f>
        <v>#N/A</v>
      </c>
      <c r="L209" s="306" t="e">
        <f t="shared" si="50"/>
        <v>#N/A</v>
      </c>
      <c r="M209" s="305">
        <f>IF(G209=0,0,HLOOKUP(YEAR(G209)+(MONTH(G209)/100),TC!$5:$37,DAY(G209)+2,FALSE))</f>
        <v>0</v>
      </c>
      <c r="N209" s="306" t="e">
        <f t="shared" si="51"/>
        <v>#N/A</v>
      </c>
      <c r="O209" s="308">
        <f>IF(G209=0,0,VLOOKUP(YEAR(G209),INPC!$B$4:$P$30,MONTH(G209)+2))</f>
        <v>0</v>
      </c>
      <c r="P209" s="308">
        <f>IF(W209=0,0,IF(OR(C209=$AQ$5,C209=AQ213),VLOOKUP(YEAR(W209),INPC!$B$4:$P$30,MONTH(W209)+1),VLOOKUP(YEAR(W209),INPC!$B$4:$P$30,MONTH(W209)+2)))</f>
        <v>0</v>
      </c>
      <c r="Q209" s="309">
        <f t="shared" si="52"/>
        <v>0</v>
      </c>
      <c r="R209" s="310" t="e">
        <f t="shared" si="53"/>
        <v>#N/A</v>
      </c>
      <c r="S209" s="310">
        <f t="shared" si="54"/>
        <v>0</v>
      </c>
      <c r="T209" s="567" t="str">
        <f t="shared" si="55"/>
        <v>NO</v>
      </c>
      <c r="U209" s="323"/>
      <c r="V209" s="299"/>
      <c r="W209" s="300"/>
      <c r="X209" s="299"/>
      <c r="Y209" s="303"/>
      <c r="Z209" s="305">
        <f>IF(Y209=0,0,IF(X209="MXN",1/HLOOKUP(YEAR(W209)+(MONTH(W209)/100),TC!$5:$37,DAY(W209)+2,FALSE),VLOOKUP(X209,Equivalencia!$1:$23,((MAX(Equivalencia!$3:$3)-YEAR(W209))*14)+MONTH(W209)+2,FALSE)))</f>
        <v>0</v>
      </c>
      <c r="AA209" s="306">
        <f t="shared" si="56"/>
        <v>0</v>
      </c>
      <c r="AB209" s="305">
        <f>+IF(W209=0,0,HLOOKUP(YEAR(W209)+(MONTH(W209)/100),TC!$5:$37,DAY(W209)+2,FALSE))</f>
        <v>0</v>
      </c>
      <c r="AC209" s="306">
        <f t="shared" si="57"/>
        <v>0</v>
      </c>
      <c r="AD209" s="314">
        <f t="shared" si="48"/>
        <v>0</v>
      </c>
      <c r="AE209" s="315">
        <f t="shared" si="58"/>
        <v>0</v>
      </c>
      <c r="AF209" s="316">
        <f t="shared" si="49"/>
        <v>0</v>
      </c>
      <c r="AG209" s="314">
        <v>1</v>
      </c>
      <c r="AH209" s="314">
        <f t="shared" si="59"/>
        <v>0</v>
      </c>
      <c r="AI209" s="314">
        <f t="shared" si="60"/>
        <v>0</v>
      </c>
      <c r="AJ209" s="317"/>
      <c r="AK209" s="315" t="e">
        <f t="shared" si="61"/>
        <v>#N/A</v>
      </c>
      <c r="AM209" s="561"/>
      <c r="AN209" s="561"/>
      <c r="AO209" s="561"/>
    </row>
    <row r="210" spans="2:41">
      <c r="B210" s="296"/>
      <c r="C210" s="299"/>
      <c r="D210" s="296"/>
      <c r="E210" s="298"/>
      <c r="F210" s="299"/>
      <c r="G210" s="300"/>
      <c r="H210" s="303"/>
      <c r="I210" s="303"/>
      <c r="J210" s="322">
        <f t="shared" si="47"/>
        <v>0</v>
      </c>
      <c r="K210" s="305" t="e">
        <f>IF(F210="MXN",1/HLOOKUP(YEAR(G210)+(MONTH(G210)/100),TC!$5:$37,DAY(G210)+2,FALSE),VLOOKUP(F210,Equivalencia!$5:$23,((MAX(Equivalencia!$3:$3)-YEAR(G210))*14)+MONTH(G210)+2,FALSE))</f>
        <v>#N/A</v>
      </c>
      <c r="L210" s="306" t="e">
        <f t="shared" si="50"/>
        <v>#N/A</v>
      </c>
      <c r="M210" s="305">
        <f>IF(G210=0,0,HLOOKUP(YEAR(G210)+(MONTH(G210)/100),TC!$5:$37,DAY(G210)+2,FALSE))</f>
        <v>0</v>
      </c>
      <c r="N210" s="306" t="e">
        <f t="shared" si="51"/>
        <v>#N/A</v>
      </c>
      <c r="O210" s="308">
        <f>IF(G210=0,0,VLOOKUP(YEAR(G210),INPC!$B$4:$P$30,MONTH(G210)+2))</f>
        <v>0</v>
      </c>
      <c r="P210" s="308">
        <f>IF(W210=0,0,IF(OR(C210=$AQ$5,C210=AQ214),VLOOKUP(YEAR(W210),INPC!$B$4:$P$30,MONTH(W210)+1),VLOOKUP(YEAR(W210),INPC!$B$4:$P$30,MONTH(W210)+2)))</f>
        <v>0</v>
      </c>
      <c r="Q210" s="309">
        <f t="shared" si="52"/>
        <v>0</v>
      </c>
      <c r="R210" s="310" t="e">
        <f t="shared" si="53"/>
        <v>#N/A</v>
      </c>
      <c r="S210" s="310">
        <f t="shared" si="54"/>
        <v>0</v>
      </c>
      <c r="T210" s="567" t="str">
        <f t="shared" si="55"/>
        <v>NO</v>
      </c>
      <c r="U210" s="323"/>
      <c r="V210" s="299"/>
      <c r="W210" s="300"/>
      <c r="X210" s="299"/>
      <c r="Y210" s="303"/>
      <c r="Z210" s="305">
        <f>IF(Y210=0,0,IF(X210="MXN",1/HLOOKUP(YEAR(W210)+(MONTH(W210)/100),TC!$5:$37,DAY(W210)+2,FALSE),VLOOKUP(X210,Equivalencia!$1:$23,((MAX(Equivalencia!$3:$3)-YEAR(W210))*14)+MONTH(W210)+2,FALSE)))</f>
        <v>0</v>
      </c>
      <c r="AA210" s="306">
        <f t="shared" si="56"/>
        <v>0</v>
      </c>
      <c r="AB210" s="305">
        <f>+IF(W210=0,0,HLOOKUP(YEAR(W210)+(MONTH(W210)/100),TC!$5:$37,DAY(W210)+2,FALSE))</f>
        <v>0</v>
      </c>
      <c r="AC210" s="306">
        <f t="shared" si="57"/>
        <v>0</v>
      </c>
      <c r="AD210" s="314">
        <f t="shared" si="48"/>
        <v>0</v>
      </c>
      <c r="AE210" s="315">
        <f t="shared" si="58"/>
        <v>0</v>
      </c>
      <c r="AF210" s="316">
        <f t="shared" si="49"/>
        <v>0</v>
      </c>
      <c r="AG210" s="314">
        <v>1</v>
      </c>
      <c r="AH210" s="314">
        <f t="shared" si="59"/>
        <v>0</v>
      </c>
      <c r="AI210" s="314">
        <f t="shared" si="60"/>
        <v>0</v>
      </c>
      <c r="AJ210" s="317"/>
      <c r="AK210" s="315" t="e">
        <f t="shared" si="61"/>
        <v>#N/A</v>
      </c>
      <c r="AM210" s="561"/>
      <c r="AN210" s="561"/>
      <c r="AO210" s="561"/>
    </row>
    <row r="211" spans="2:41">
      <c r="B211" s="296"/>
      <c r="C211" s="299"/>
      <c r="D211" s="296"/>
      <c r="E211" s="298"/>
      <c r="F211" s="299"/>
      <c r="G211" s="300"/>
      <c r="H211" s="303"/>
      <c r="I211" s="303"/>
      <c r="J211" s="322">
        <f t="shared" si="47"/>
        <v>0</v>
      </c>
      <c r="K211" s="305" t="e">
        <f>IF(F211="MXN",1/HLOOKUP(YEAR(G211)+(MONTH(G211)/100),TC!$5:$37,DAY(G211)+2,FALSE),VLOOKUP(F211,Equivalencia!$5:$23,((MAX(Equivalencia!$3:$3)-YEAR(G211))*14)+MONTH(G211)+2,FALSE))</f>
        <v>#N/A</v>
      </c>
      <c r="L211" s="306" t="e">
        <f t="shared" si="50"/>
        <v>#N/A</v>
      </c>
      <c r="M211" s="305">
        <f>IF(G211=0,0,HLOOKUP(YEAR(G211)+(MONTH(G211)/100),TC!$5:$37,DAY(G211)+2,FALSE))</f>
        <v>0</v>
      </c>
      <c r="N211" s="306" t="e">
        <f t="shared" si="51"/>
        <v>#N/A</v>
      </c>
      <c r="O211" s="308">
        <f>IF(G211=0,0,VLOOKUP(YEAR(G211),INPC!$B$4:$P$30,MONTH(G211)+2))</f>
        <v>0</v>
      </c>
      <c r="P211" s="308">
        <f>IF(W211=0,0,IF(OR(C211=$AQ$5,C211=AQ215),VLOOKUP(YEAR(W211),INPC!$B$4:$P$30,MONTH(W211)+1),VLOOKUP(YEAR(W211),INPC!$B$4:$P$30,MONTH(W211)+2)))</f>
        <v>0</v>
      </c>
      <c r="Q211" s="309">
        <f t="shared" si="52"/>
        <v>0</v>
      </c>
      <c r="R211" s="310" t="e">
        <f t="shared" si="53"/>
        <v>#N/A</v>
      </c>
      <c r="S211" s="310">
        <f t="shared" si="54"/>
        <v>0</v>
      </c>
      <c r="T211" s="567" t="str">
        <f t="shared" si="55"/>
        <v>NO</v>
      </c>
      <c r="U211" s="323"/>
      <c r="V211" s="299"/>
      <c r="W211" s="300"/>
      <c r="X211" s="299"/>
      <c r="Y211" s="303"/>
      <c r="Z211" s="305">
        <f>IF(Y211=0,0,IF(X211="MXN",1/HLOOKUP(YEAR(W211)+(MONTH(W211)/100),TC!$5:$37,DAY(W211)+2,FALSE),VLOOKUP(X211,Equivalencia!$1:$23,((MAX(Equivalencia!$3:$3)-YEAR(W211))*14)+MONTH(W211)+2,FALSE)))</f>
        <v>0</v>
      </c>
      <c r="AA211" s="306">
        <f t="shared" si="56"/>
        <v>0</v>
      </c>
      <c r="AB211" s="305">
        <f>+IF(W211=0,0,HLOOKUP(YEAR(W211)+(MONTH(W211)/100),TC!$5:$37,DAY(W211)+2,FALSE))</f>
        <v>0</v>
      </c>
      <c r="AC211" s="306">
        <f t="shared" si="57"/>
        <v>0</v>
      </c>
      <c r="AD211" s="314">
        <f t="shared" si="48"/>
        <v>0</v>
      </c>
      <c r="AE211" s="315">
        <f t="shared" si="58"/>
        <v>0</v>
      </c>
      <c r="AF211" s="316">
        <f t="shared" si="49"/>
        <v>0</v>
      </c>
      <c r="AG211" s="314">
        <v>1</v>
      </c>
      <c r="AH211" s="314">
        <f t="shared" si="59"/>
        <v>0</v>
      </c>
      <c r="AI211" s="314">
        <f t="shared" si="60"/>
        <v>0</v>
      </c>
      <c r="AJ211" s="317"/>
      <c r="AK211" s="315" t="e">
        <f t="shared" si="61"/>
        <v>#N/A</v>
      </c>
      <c r="AM211" s="561"/>
      <c r="AN211" s="561"/>
      <c r="AO211" s="561"/>
    </row>
    <row r="212" spans="2:41">
      <c r="B212" s="296"/>
      <c r="C212" s="299"/>
      <c r="D212" s="296"/>
      <c r="E212" s="298"/>
      <c r="F212" s="299"/>
      <c r="G212" s="300"/>
      <c r="H212" s="303"/>
      <c r="I212" s="303"/>
      <c r="J212" s="322">
        <f t="shared" si="47"/>
        <v>0</v>
      </c>
      <c r="K212" s="305" t="e">
        <f>IF(F212="MXN",1/HLOOKUP(YEAR(G212)+(MONTH(G212)/100),TC!$5:$37,DAY(G212)+2,FALSE),VLOOKUP(F212,Equivalencia!$5:$23,((MAX(Equivalencia!$3:$3)-YEAR(G212))*14)+MONTH(G212)+2,FALSE))</f>
        <v>#N/A</v>
      </c>
      <c r="L212" s="306" t="e">
        <f t="shared" si="50"/>
        <v>#N/A</v>
      </c>
      <c r="M212" s="305">
        <f>IF(G212=0,0,HLOOKUP(YEAR(G212)+(MONTH(G212)/100),TC!$5:$37,DAY(G212)+2,FALSE))</f>
        <v>0</v>
      </c>
      <c r="N212" s="306" t="e">
        <f t="shared" si="51"/>
        <v>#N/A</v>
      </c>
      <c r="O212" s="308">
        <f>IF(G212=0,0,VLOOKUP(YEAR(G212),INPC!$B$4:$P$30,MONTH(G212)+2))</f>
        <v>0</v>
      </c>
      <c r="P212" s="308">
        <f>IF(W212=0,0,IF(OR(C212=$AQ$5,C212=AQ216),VLOOKUP(YEAR(W212),INPC!$B$4:$P$30,MONTH(W212)+1),VLOOKUP(YEAR(W212),INPC!$B$4:$P$30,MONTH(W212)+2)))</f>
        <v>0</v>
      </c>
      <c r="Q212" s="309">
        <f t="shared" si="52"/>
        <v>0</v>
      </c>
      <c r="R212" s="310" t="e">
        <f t="shared" si="53"/>
        <v>#N/A</v>
      </c>
      <c r="S212" s="310">
        <f t="shared" si="54"/>
        <v>0</v>
      </c>
      <c r="T212" s="567" t="str">
        <f t="shared" si="55"/>
        <v>NO</v>
      </c>
      <c r="U212" s="323"/>
      <c r="V212" s="299"/>
      <c r="W212" s="300"/>
      <c r="X212" s="299"/>
      <c r="Y212" s="303"/>
      <c r="Z212" s="305">
        <f>IF(Y212=0,0,IF(X212="MXN",1/HLOOKUP(YEAR(W212)+(MONTH(W212)/100),TC!$5:$37,DAY(W212)+2,FALSE),VLOOKUP(X212,Equivalencia!$1:$23,((MAX(Equivalencia!$3:$3)-YEAR(W212))*14)+MONTH(W212)+2,FALSE)))</f>
        <v>0</v>
      </c>
      <c r="AA212" s="306">
        <f t="shared" si="56"/>
        <v>0</v>
      </c>
      <c r="AB212" s="305">
        <f>+IF(W212=0,0,HLOOKUP(YEAR(W212)+(MONTH(W212)/100),TC!$5:$37,DAY(W212)+2,FALSE))</f>
        <v>0</v>
      </c>
      <c r="AC212" s="306">
        <f t="shared" si="57"/>
        <v>0</v>
      </c>
      <c r="AD212" s="314">
        <f t="shared" si="48"/>
        <v>0</v>
      </c>
      <c r="AE212" s="315">
        <f t="shared" si="58"/>
        <v>0</v>
      </c>
      <c r="AF212" s="316">
        <f t="shared" si="49"/>
        <v>0</v>
      </c>
      <c r="AG212" s="314">
        <v>1</v>
      </c>
      <c r="AH212" s="314">
        <f t="shared" si="59"/>
        <v>0</v>
      </c>
      <c r="AI212" s="314">
        <f t="shared" si="60"/>
        <v>0</v>
      </c>
      <c r="AJ212" s="317"/>
      <c r="AK212" s="315" t="e">
        <f t="shared" si="61"/>
        <v>#N/A</v>
      </c>
      <c r="AM212" s="561"/>
      <c r="AN212" s="561"/>
      <c r="AO212" s="561"/>
    </row>
    <row r="213" spans="2:41">
      <c r="B213" s="296"/>
      <c r="C213" s="299"/>
      <c r="D213" s="296"/>
      <c r="E213" s="298"/>
      <c r="F213" s="299"/>
      <c r="G213" s="300"/>
      <c r="H213" s="303"/>
      <c r="I213" s="303"/>
      <c r="J213" s="322">
        <f t="shared" si="47"/>
        <v>0</v>
      </c>
      <c r="K213" s="305" t="e">
        <f>IF(F213="MXN",1/HLOOKUP(YEAR(G213)+(MONTH(G213)/100),TC!$5:$37,DAY(G213)+2,FALSE),VLOOKUP(F213,Equivalencia!$5:$23,((MAX(Equivalencia!$3:$3)-YEAR(G213))*14)+MONTH(G213)+2,FALSE))</f>
        <v>#N/A</v>
      </c>
      <c r="L213" s="306" t="e">
        <f t="shared" si="50"/>
        <v>#N/A</v>
      </c>
      <c r="M213" s="305">
        <f>IF(G213=0,0,HLOOKUP(YEAR(G213)+(MONTH(G213)/100),TC!$5:$37,DAY(G213)+2,FALSE))</f>
        <v>0</v>
      </c>
      <c r="N213" s="306" t="e">
        <f t="shared" si="51"/>
        <v>#N/A</v>
      </c>
      <c r="O213" s="308">
        <f>IF(G213=0,0,VLOOKUP(YEAR(G213),INPC!$B$4:$P$30,MONTH(G213)+2))</f>
        <v>0</v>
      </c>
      <c r="P213" s="308">
        <f>IF(W213=0,0,IF(OR(C213=$AQ$5,C213=AQ217),VLOOKUP(YEAR(W213),INPC!$B$4:$P$30,MONTH(W213)+1),VLOOKUP(YEAR(W213),INPC!$B$4:$P$30,MONTH(W213)+2)))</f>
        <v>0</v>
      </c>
      <c r="Q213" s="309">
        <f t="shared" si="52"/>
        <v>0</v>
      </c>
      <c r="R213" s="310" t="e">
        <f t="shared" si="53"/>
        <v>#N/A</v>
      </c>
      <c r="S213" s="310">
        <f t="shared" si="54"/>
        <v>0</v>
      </c>
      <c r="T213" s="567" t="str">
        <f t="shared" si="55"/>
        <v>NO</v>
      </c>
      <c r="U213" s="323"/>
      <c r="V213" s="299"/>
      <c r="W213" s="300"/>
      <c r="X213" s="299"/>
      <c r="Y213" s="303"/>
      <c r="Z213" s="305">
        <f>IF(Y213=0,0,IF(X213="MXN",1/HLOOKUP(YEAR(W213)+(MONTH(W213)/100),TC!$5:$37,DAY(W213)+2,FALSE),VLOOKUP(X213,Equivalencia!$1:$23,((MAX(Equivalencia!$3:$3)-YEAR(W213))*14)+MONTH(W213)+2,FALSE)))</f>
        <v>0</v>
      </c>
      <c r="AA213" s="306">
        <f t="shared" si="56"/>
        <v>0</v>
      </c>
      <c r="AB213" s="305">
        <f>+IF(W213=0,0,HLOOKUP(YEAR(W213)+(MONTH(W213)/100),TC!$5:$37,DAY(W213)+2,FALSE))</f>
        <v>0</v>
      </c>
      <c r="AC213" s="306">
        <f t="shared" si="57"/>
        <v>0</v>
      </c>
      <c r="AD213" s="314">
        <f t="shared" si="48"/>
        <v>0</v>
      </c>
      <c r="AE213" s="315">
        <f t="shared" si="58"/>
        <v>0</v>
      </c>
      <c r="AF213" s="316">
        <f t="shared" si="49"/>
        <v>0</v>
      </c>
      <c r="AG213" s="314">
        <v>1</v>
      </c>
      <c r="AH213" s="314">
        <f t="shared" si="59"/>
        <v>0</v>
      </c>
      <c r="AI213" s="314">
        <f t="shared" si="60"/>
        <v>0</v>
      </c>
      <c r="AJ213" s="317"/>
      <c r="AK213" s="315" t="e">
        <f t="shared" si="61"/>
        <v>#N/A</v>
      </c>
      <c r="AM213" s="561"/>
      <c r="AN213" s="561"/>
      <c r="AO213" s="561"/>
    </row>
    <row r="214" spans="2:41">
      <c r="B214" s="296"/>
      <c r="C214" s="299"/>
      <c r="D214" s="296"/>
      <c r="E214" s="298"/>
      <c r="F214" s="299"/>
      <c r="G214" s="300"/>
      <c r="H214" s="303"/>
      <c r="I214" s="303"/>
      <c r="J214" s="322">
        <f t="shared" si="47"/>
        <v>0</v>
      </c>
      <c r="K214" s="305" t="e">
        <f>IF(F214="MXN",1/HLOOKUP(YEAR(G214)+(MONTH(G214)/100),TC!$5:$37,DAY(G214)+2,FALSE),VLOOKUP(F214,Equivalencia!$5:$23,((MAX(Equivalencia!$3:$3)-YEAR(G214))*14)+MONTH(G214)+2,FALSE))</f>
        <v>#N/A</v>
      </c>
      <c r="L214" s="306" t="e">
        <f t="shared" si="50"/>
        <v>#N/A</v>
      </c>
      <c r="M214" s="305">
        <f>IF(G214=0,0,HLOOKUP(YEAR(G214)+(MONTH(G214)/100),TC!$5:$37,DAY(G214)+2,FALSE))</f>
        <v>0</v>
      </c>
      <c r="N214" s="306" t="e">
        <f t="shared" si="51"/>
        <v>#N/A</v>
      </c>
      <c r="O214" s="308">
        <f>IF(G214=0,0,VLOOKUP(YEAR(G214),INPC!$B$4:$P$30,MONTH(G214)+2))</f>
        <v>0</v>
      </c>
      <c r="P214" s="308">
        <f>IF(W214=0,0,IF(OR(C214=$AQ$5,C214=AQ218),VLOOKUP(YEAR(W214),INPC!$B$4:$P$30,MONTH(W214)+1),VLOOKUP(YEAR(W214),INPC!$B$4:$P$30,MONTH(W214)+2)))</f>
        <v>0</v>
      </c>
      <c r="Q214" s="309">
        <f t="shared" si="52"/>
        <v>0</v>
      </c>
      <c r="R214" s="310" t="e">
        <f t="shared" si="53"/>
        <v>#N/A</v>
      </c>
      <c r="S214" s="310">
        <f t="shared" si="54"/>
        <v>0</v>
      </c>
      <c r="T214" s="567" t="str">
        <f t="shared" si="55"/>
        <v>NO</v>
      </c>
      <c r="U214" s="323"/>
      <c r="V214" s="299"/>
      <c r="W214" s="300"/>
      <c r="X214" s="299"/>
      <c r="Y214" s="303"/>
      <c r="Z214" s="305">
        <f>IF(Y214=0,0,IF(X214="MXN",1/HLOOKUP(YEAR(W214)+(MONTH(W214)/100),TC!$5:$37,DAY(W214)+2,FALSE),VLOOKUP(X214,Equivalencia!$1:$23,((MAX(Equivalencia!$3:$3)-YEAR(W214))*14)+MONTH(W214)+2,FALSE)))</f>
        <v>0</v>
      </c>
      <c r="AA214" s="306">
        <f t="shared" si="56"/>
        <v>0</v>
      </c>
      <c r="AB214" s="305">
        <f>+IF(W214=0,0,HLOOKUP(YEAR(W214)+(MONTH(W214)/100),TC!$5:$37,DAY(W214)+2,FALSE))</f>
        <v>0</v>
      </c>
      <c r="AC214" s="306">
        <f t="shared" si="57"/>
        <v>0</v>
      </c>
      <c r="AD214" s="314">
        <f t="shared" si="48"/>
        <v>0</v>
      </c>
      <c r="AE214" s="315">
        <f t="shared" si="58"/>
        <v>0</v>
      </c>
      <c r="AF214" s="316">
        <f t="shared" si="49"/>
        <v>0</v>
      </c>
      <c r="AG214" s="314">
        <v>1</v>
      </c>
      <c r="AH214" s="314">
        <f t="shared" si="59"/>
        <v>0</v>
      </c>
      <c r="AI214" s="314">
        <f t="shared" si="60"/>
        <v>0</v>
      </c>
      <c r="AJ214" s="317"/>
      <c r="AK214" s="315" t="e">
        <f t="shared" si="61"/>
        <v>#N/A</v>
      </c>
      <c r="AM214" s="561"/>
      <c r="AN214" s="561"/>
      <c r="AO214" s="561"/>
    </row>
    <row r="215" spans="2:41">
      <c r="B215" s="296"/>
      <c r="C215" s="299"/>
      <c r="D215" s="296"/>
      <c r="E215" s="298"/>
      <c r="F215" s="299"/>
      <c r="G215" s="300"/>
      <c r="H215" s="303"/>
      <c r="I215" s="303"/>
      <c r="J215" s="322">
        <f t="shared" si="47"/>
        <v>0</v>
      </c>
      <c r="K215" s="305" t="e">
        <f>IF(F215="MXN",1/HLOOKUP(YEAR(G215)+(MONTH(G215)/100),TC!$5:$37,DAY(G215)+2,FALSE),VLOOKUP(F215,Equivalencia!$5:$23,((MAX(Equivalencia!$3:$3)-YEAR(G215))*14)+MONTH(G215)+2,FALSE))</f>
        <v>#N/A</v>
      </c>
      <c r="L215" s="306" t="e">
        <f t="shared" si="50"/>
        <v>#N/A</v>
      </c>
      <c r="M215" s="305">
        <f>IF(G215=0,0,HLOOKUP(YEAR(G215)+(MONTH(G215)/100),TC!$5:$37,DAY(G215)+2,FALSE))</f>
        <v>0</v>
      </c>
      <c r="N215" s="306" t="e">
        <f t="shared" si="51"/>
        <v>#N/A</v>
      </c>
      <c r="O215" s="308">
        <f>IF(G215=0,0,VLOOKUP(YEAR(G215),INPC!$B$4:$P$30,MONTH(G215)+2))</f>
        <v>0</v>
      </c>
      <c r="P215" s="308">
        <f>IF(W215=0,0,IF(OR(C215=$AQ$5,C215=AQ219),VLOOKUP(YEAR(W215),INPC!$B$4:$P$30,MONTH(W215)+1),VLOOKUP(YEAR(W215),INPC!$B$4:$P$30,MONTH(W215)+2)))</f>
        <v>0</v>
      </c>
      <c r="Q215" s="309">
        <f t="shared" si="52"/>
        <v>0</v>
      </c>
      <c r="R215" s="310" t="e">
        <f t="shared" si="53"/>
        <v>#N/A</v>
      </c>
      <c r="S215" s="310">
        <f t="shared" si="54"/>
        <v>0</v>
      </c>
      <c r="T215" s="567" t="str">
        <f t="shared" si="55"/>
        <v>NO</v>
      </c>
      <c r="U215" s="323"/>
      <c r="V215" s="299"/>
      <c r="W215" s="300"/>
      <c r="X215" s="299"/>
      <c r="Y215" s="303"/>
      <c r="Z215" s="305">
        <f>IF(Y215=0,0,IF(X215="MXN",1/HLOOKUP(YEAR(W215)+(MONTH(W215)/100),TC!$5:$37,DAY(W215)+2,FALSE),VLOOKUP(X215,Equivalencia!$1:$23,((MAX(Equivalencia!$3:$3)-YEAR(W215))*14)+MONTH(W215)+2,FALSE)))</f>
        <v>0</v>
      </c>
      <c r="AA215" s="306">
        <f t="shared" si="56"/>
        <v>0</v>
      </c>
      <c r="AB215" s="305">
        <f>+IF(W215=0,0,HLOOKUP(YEAR(W215)+(MONTH(W215)/100),TC!$5:$37,DAY(W215)+2,FALSE))</f>
        <v>0</v>
      </c>
      <c r="AC215" s="306">
        <f t="shared" si="57"/>
        <v>0</v>
      </c>
      <c r="AD215" s="314">
        <f t="shared" si="48"/>
        <v>0</v>
      </c>
      <c r="AE215" s="315">
        <f t="shared" si="58"/>
        <v>0</v>
      </c>
      <c r="AF215" s="316">
        <f t="shared" si="49"/>
        <v>0</v>
      </c>
      <c r="AG215" s="314">
        <v>1</v>
      </c>
      <c r="AH215" s="314">
        <f t="shared" si="59"/>
        <v>0</v>
      </c>
      <c r="AI215" s="314">
        <f t="shared" si="60"/>
        <v>0</v>
      </c>
      <c r="AJ215" s="317"/>
      <c r="AK215" s="315" t="e">
        <f t="shared" si="61"/>
        <v>#N/A</v>
      </c>
      <c r="AM215" s="561"/>
      <c r="AN215" s="561"/>
      <c r="AO215" s="561"/>
    </row>
    <row r="216" spans="2:41">
      <c r="B216" s="296"/>
      <c r="C216" s="299"/>
      <c r="D216" s="296"/>
      <c r="E216" s="298"/>
      <c r="F216" s="299"/>
      <c r="G216" s="300"/>
      <c r="H216" s="303"/>
      <c r="I216" s="303"/>
      <c r="J216" s="322">
        <f t="shared" si="47"/>
        <v>0</v>
      </c>
      <c r="K216" s="305" t="e">
        <f>IF(F216="MXN",1/HLOOKUP(YEAR(G216)+(MONTH(G216)/100),TC!$5:$37,DAY(G216)+2,FALSE),VLOOKUP(F216,Equivalencia!$5:$23,((MAX(Equivalencia!$3:$3)-YEAR(G216))*14)+MONTH(G216)+2,FALSE))</f>
        <v>#N/A</v>
      </c>
      <c r="L216" s="306" t="e">
        <f t="shared" si="50"/>
        <v>#N/A</v>
      </c>
      <c r="M216" s="305">
        <f>IF(G216=0,0,HLOOKUP(YEAR(G216)+(MONTH(G216)/100),TC!$5:$37,DAY(G216)+2,FALSE))</f>
        <v>0</v>
      </c>
      <c r="N216" s="306" t="e">
        <f t="shared" si="51"/>
        <v>#N/A</v>
      </c>
      <c r="O216" s="308">
        <f>IF(G216=0,0,VLOOKUP(YEAR(G216),INPC!$B$4:$P$30,MONTH(G216)+2))</f>
        <v>0</v>
      </c>
      <c r="P216" s="308">
        <f>IF(W216=0,0,IF(OR(C216=$AQ$5,C216=AQ220),VLOOKUP(YEAR(W216),INPC!$B$4:$P$30,MONTH(W216)+1),VLOOKUP(YEAR(W216),INPC!$B$4:$P$30,MONTH(W216)+2)))</f>
        <v>0</v>
      </c>
      <c r="Q216" s="309">
        <f t="shared" si="52"/>
        <v>0</v>
      </c>
      <c r="R216" s="310" t="e">
        <f t="shared" si="53"/>
        <v>#N/A</v>
      </c>
      <c r="S216" s="310">
        <f t="shared" si="54"/>
        <v>0</v>
      </c>
      <c r="T216" s="567" t="str">
        <f t="shared" si="55"/>
        <v>NO</v>
      </c>
      <c r="U216" s="323"/>
      <c r="V216" s="299"/>
      <c r="W216" s="300"/>
      <c r="X216" s="299"/>
      <c r="Y216" s="303"/>
      <c r="Z216" s="305">
        <f>IF(Y216=0,0,IF(X216="MXN",1/HLOOKUP(YEAR(W216)+(MONTH(W216)/100),TC!$5:$37,DAY(W216)+2,FALSE),VLOOKUP(X216,Equivalencia!$1:$23,((MAX(Equivalencia!$3:$3)-YEAR(W216))*14)+MONTH(W216)+2,FALSE)))</f>
        <v>0</v>
      </c>
      <c r="AA216" s="306">
        <f t="shared" si="56"/>
        <v>0</v>
      </c>
      <c r="AB216" s="305">
        <f>+IF(W216=0,0,HLOOKUP(YEAR(W216)+(MONTH(W216)/100),TC!$5:$37,DAY(W216)+2,FALSE))</f>
        <v>0</v>
      </c>
      <c r="AC216" s="306">
        <f t="shared" si="57"/>
        <v>0</v>
      </c>
      <c r="AD216" s="314">
        <f t="shared" si="48"/>
        <v>0</v>
      </c>
      <c r="AE216" s="315">
        <f t="shared" si="58"/>
        <v>0</v>
      </c>
      <c r="AF216" s="316">
        <f t="shared" si="49"/>
        <v>0</v>
      </c>
      <c r="AG216" s="314">
        <v>1</v>
      </c>
      <c r="AH216" s="314">
        <f t="shared" si="59"/>
        <v>0</v>
      </c>
      <c r="AI216" s="314">
        <f t="shared" si="60"/>
        <v>0</v>
      </c>
      <c r="AJ216" s="317"/>
      <c r="AK216" s="315" t="e">
        <f t="shared" si="61"/>
        <v>#N/A</v>
      </c>
      <c r="AM216" s="561"/>
      <c r="AN216" s="561"/>
      <c r="AO216" s="561"/>
    </row>
    <row r="217" spans="2:41">
      <c r="B217" s="296"/>
      <c r="C217" s="299"/>
      <c r="D217" s="296"/>
      <c r="E217" s="298"/>
      <c r="F217" s="299"/>
      <c r="G217" s="300"/>
      <c r="H217" s="303"/>
      <c r="I217" s="303"/>
      <c r="J217" s="322">
        <f t="shared" si="47"/>
        <v>0</v>
      </c>
      <c r="K217" s="305" t="e">
        <f>IF(F217="MXN",1/HLOOKUP(YEAR(G217)+(MONTH(G217)/100),TC!$5:$37,DAY(G217)+2,FALSE),VLOOKUP(F217,Equivalencia!$5:$23,((MAX(Equivalencia!$3:$3)-YEAR(G217))*14)+MONTH(G217)+2,FALSE))</f>
        <v>#N/A</v>
      </c>
      <c r="L217" s="306" t="e">
        <f t="shared" si="50"/>
        <v>#N/A</v>
      </c>
      <c r="M217" s="305">
        <f>IF(G217=0,0,HLOOKUP(YEAR(G217)+(MONTH(G217)/100),TC!$5:$37,DAY(G217)+2,FALSE))</f>
        <v>0</v>
      </c>
      <c r="N217" s="306" t="e">
        <f t="shared" si="51"/>
        <v>#N/A</v>
      </c>
      <c r="O217" s="308">
        <f>IF(G217=0,0,VLOOKUP(YEAR(G217),INPC!$B$4:$P$30,MONTH(G217)+2))</f>
        <v>0</v>
      </c>
      <c r="P217" s="308">
        <f>IF(W217=0,0,IF(OR(C217=$AQ$5,C217=AQ221),VLOOKUP(YEAR(W217),INPC!$B$4:$P$30,MONTH(W217)+1),VLOOKUP(YEAR(W217),INPC!$B$4:$P$30,MONTH(W217)+2)))</f>
        <v>0</v>
      </c>
      <c r="Q217" s="309">
        <f t="shared" si="52"/>
        <v>0</v>
      </c>
      <c r="R217" s="310" t="e">
        <f t="shared" si="53"/>
        <v>#N/A</v>
      </c>
      <c r="S217" s="310">
        <f t="shared" si="54"/>
        <v>0</v>
      </c>
      <c r="T217" s="567" t="str">
        <f t="shared" si="55"/>
        <v>NO</v>
      </c>
      <c r="U217" s="323"/>
      <c r="V217" s="299"/>
      <c r="W217" s="300"/>
      <c r="X217" s="299"/>
      <c r="Y217" s="303"/>
      <c r="Z217" s="305">
        <f>IF(Y217=0,0,IF(X217="MXN",1/HLOOKUP(YEAR(W217)+(MONTH(W217)/100),TC!$5:$37,DAY(W217)+2,FALSE),VLOOKUP(X217,Equivalencia!$1:$23,((MAX(Equivalencia!$3:$3)-YEAR(W217))*14)+MONTH(W217)+2,FALSE)))</f>
        <v>0</v>
      </c>
      <c r="AA217" s="306">
        <f t="shared" si="56"/>
        <v>0</v>
      </c>
      <c r="AB217" s="305">
        <f>+IF(W217=0,0,HLOOKUP(YEAR(W217)+(MONTH(W217)/100),TC!$5:$37,DAY(W217)+2,FALSE))</f>
        <v>0</v>
      </c>
      <c r="AC217" s="306">
        <f t="shared" si="57"/>
        <v>0</v>
      </c>
      <c r="AD217" s="314">
        <f t="shared" si="48"/>
        <v>0</v>
      </c>
      <c r="AE217" s="315">
        <f t="shared" si="58"/>
        <v>0</v>
      </c>
      <c r="AF217" s="316">
        <f t="shared" si="49"/>
        <v>0</v>
      </c>
      <c r="AG217" s="314">
        <v>1</v>
      </c>
      <c r="AH217" s="314">
        <f t="shared" si="59"/>
        <v>0</v>
      </c>
      <c r="AI217" s="314">
        <f t="shared" si="60"/>
        <v>0</v>
      </c>
      <c r="AJ217" s="317"/>
      <c r="AK217" s="315" t="e">
        <f t="shared" si="61"/>
        <v>#N/A</v>
      </c>
      <c r="AM217" s="561"/>
      <c r="AN217" s="561"/>
      <c r="AO217" s="561"/>
    </row>
    <row r="218" spans="2:41">
      <c r="B218" s="296"/>
      <c r="C218" s="299"/>
      <c r="D218" s="296"/>
      <c r="E218" s="298"/>
      <c r="F218" s="299"/>
      <c r="G218" s="300"/>
      <c r="H218" s="303"/>
      <c r="I218" s="303"/>
      <c r="J218" s="322">
        <f t="shared" si="47"/>
        <v>0</v>
      </c>
      <c r="K218" s="305" t="e">
        <f>IF(F218="MXN",1/HLOOKUP(YEAR(G218)+(MONTH(G218)/100),TC!$5:$37,DAY(G218)+2,FALSE),VLOOKUP(F218,Equivalencia!$5:$23,((MAX(Equivalencia!$3:$3)-YEAR(G218))*14)+MONTH(G218)+2,FALSE))</f>
        <v>#N/A</v>
      </c>
      <c r="L218" s="306" t="e">
        <f t="shared" si="50"/>
        <v>#N/A</v>
      </c>
      <c r="M218" s="305">
        <f>IF(G218=0,0,HLOOKUP(YEAR(G218)+(MONTH(G218)/100),TC!$5:$37,DAY(G218)+2,FALSE))</f>
        <v>0</v>
      </c>
      <c r="N218" s="306" t="e">
        <f t="shared" si="51"/>
        <v>#N/A</v>
      </c>
      <c r="O218" s="308">
        <f>IF(G218=0,0,VLOOKUP(YEAR(G218),INPC!$B$4:$P$30,MONTH(G218)+2))</f>
        <v>0</v>
      </c>
      <c r="P218" s="308">
        <f>IF(W218=0,0,IF(OR(C218=$AQ$5,C218=AQ222),VLOOKUP(YEAR(W218),INPC!$B$4:$P$30,MONTH(W218)+1),VLOOKUP(YEAR(W218),INPC!$B$4:$P$30,MONTH(W218)+2)))</f>
        <v>0</v>
      </c>
      <c r="Q218" s="309">
        <f t="shared" si="52"/>
        <v>0</v>
      </c>
      <c r="R218" s="310" t="e">
        <f t="shared" si="53"/>
        <v>#N/A</v>
      </c>
      <c r="S218" s="310">
        <f t="shared" si="54"/>
        <v>0</v>
      </c>
      <c r="T218" s="567" t="str">
        <f t="shared" si="55"/>
        <v>NO</v>
      </c>
      <c r="U218" s="323"/>
      <c r="V218" s="299"/>
      <c r="W218" s="300"/>
      <c r="X218" s="299"/>
      <c r="Y218" s="303"/>
      <c r="Z218" s="305">
        <f>IF(Y218=0,0,IF(X218="MXN",1/HLOOKUP(YEAR(W218)+(MONTH(W218)/100),TC!$5:$37,DAY(W218)+2,FALSE),VLOOKUP(X218,Equivalencia!$1:$23,((MAX(Equivalencia!$3:$3)-YEAR(W218))*14)+MONTH(W218)+2,FALSE)))</f>
        <v>0</v>
      </c>
      <c r="AA218" s="306">
        <f t="shared" si="56"/>
        <v>0</v>
      </c>
      <c r="AB218" s="305">
        <f>+IF(W218=0,0,HLOOKUP(YEAR(W218)+(MONTH(W218)/100),TC!$5:$37,DAY(W218)+2,FALSE))</f>
        <v>0</v>
      </c>
      <c r="AC218" s="306">
        <f t="shared" si="57"/>
        <v>0</v>
      </c>
      <c r="AD218" s="314">
        <f t="shared" si="48"/>
        <v>0</v>
      </c>
      <c r="AE218" s="315">
        <f t="shared" si="58"/>
        <v>0</v>
      </c>
      <c r="AF218" s="316">
        <f t="shared" si="49"/>
        <v>0</v>
      </c>
      <c r="AG218" s="314">
        <v>1</v>
      </c>
      <c r="AH218" s="314">
        <f t="shared" si="59"/>
        <v>0</v>
      </c>
      <c r="AI218" s="314">
        <f t="shared" si="60"/>
        <v>0</v>
      </c>
      <c r="AJ218" s="317"/>
      <c r="AK218" s="315" t="e">
        <f t="shared" si="61"/>
        <v>#N/A</v>
      </c>
      <c r="AM218" s="561"/>
      <c r="AN218" s="561"/>
      <c r="AO218" s="561"/>
    </row>
    <row r="219" spans="2:41">
      <c r="B219" s="296"/>
      <c r="C219" s="299"/>
      <c r="D219" s="296"/>
      <c r="E219" s="298"/>
      <c r="F219" s="299"/>
      <c r="G219" s="300"/>
      <c r="H219" s="303"/>
      <c r="I219" s="303"/>
      <c r="J219" s="322">
        <f t="shared" si="47"/>
        <v>0</v>
      </c>
      <c r="K219" s="305" t="e">
        <f>IF(F219="MXN",1/HLOOKUP(YEAR(G219)+(MONTH(G219)/100),TC!$5:$37,DAY(G219)+2,FALSE),VLOOKUP(F219,Equivalencia!$5:$23,((MAX(Equivalencia!$3:$3)-YEAR(G219))*14)+MONTH(G219)+2,FALSE))</f>
        <v>#N/A</v>
      </c>
      <c r="L219" s="306" t="e">
        <f t="shared" si="50"/>
        <v>#N/A</v>
      </c>
      <c r="M219" s="305">
        <f>IF(G219=0,0,HLOOKUP(YEAR(G219)+(MONTH(G219)/100),TC!$5:$37,DAY(G219)+2,FALSE))</f>
        <v>0</v>
      </c>
      <c r="N219" s="306" t="e">
        <f t="shared" si="51"/>
        <v>#N/A</v>
      </c>
      <c r="O219" s="308">
        <f>IF(G219=0,0,VLOOKUP(YEAR(G219),INPC!$B$4:$P$30,MONTH(G219)+2))</f>
        <v>0</v>
      </c>
      <c r="P219" s="308">
        <f>IF(W219=0,0,IF(OR(C219=$AQ$5,C219=AQ223),VLOOKUP(YEAR(W219),INPC!$B$4:$P$30,MONTH(W219)+1),VLOOKUP(YEAR(W219),INPC!$B$4:$P$30,MONTH(W219)+2)))</f>
        <v>0</v>
      </c>
      <c r="Q219" s="309">
        <f t="shared" si="52"/>
        <v>0</v>
      </c>
      <c r="R219" s="310" t="e">
        <f t="shared" si="53"/>
        <v>#N/A</v>
      </c>
      <c r="S219" s="310">
        <f t="shared" si="54"/>
        <v>0</v>
      </c>
      <c r="T219" s="567" t="str">
        <f t="shared" si="55"/>
        <v>NO</v>
      </c>
      <c r="U219" s="323"/>
      <c r="V219" s="299"/>
      <c r="W219" s="300"/>
      <c r="X219" s="299"/>
      <c r="Y219" s="303"/>
      <c r="Z219" s="305">
        <f>IF(Y219=0,0,IF(X219="MXN",1/HLOOKUP(YEAR(W219)+(MONTH(W219)/100),TC!$5:$37,DAY(W219)+2,FALSE),VLOOKUP(X219,Equivalencia!$1:$23,((MAX(Equivalencia!$3:$3)-YEAR(W219))*14)+MONTH(W219)+2,FALSE)))</f>
        <v>0</v>
      </c>
      <c r="AA219" s="306">
        <f t="shared" si="56"/>
        <v>0</v>
      </c>
      <c r="AB219" s="305">
        <f>+IF(W219=0,0,HLOOKUP(YEAR(W219)+(MONTH(W219)/100),TC!$5:$37,DAY(W219)+2,FALSE))</f>
        <v>0</v>
      </c>
      <c r="AC219" s="306">
        <f t="shared" si="57"/>
        <v>0</v>
      </c>
      <c r="AD219" s="314">
        <f t="shared" si="48"/>
        <v>0</v>
      </c>
      <c r="AE219" s="315">
        <f t="shared" si="58"/>
        <v>0</v>
      </c>
      <c r="AF219" s="316">
        <f t="shared" si="49"/>
        <v>0</v>
      </c>
      <c r="AG219" s="314">
        <v>1</v>
      </c>
      <c r="AH219" s="314">
        <f t="shared" si="59"/>
        <v>0</v>
      </c>
      <c r="AI219" s="314">
        <f t="shared" si="60"/>
        <v>0</v>
      </c>
      <c r="AJ219" s="317"/>
      <c r="AK219" s="315" t="e">
        <f t="shared" si="61"/>
        <v>#N/A</v>
      </c>
      <c r="AM219" s="561"/>
      <c r="AN219" s="561"/>
      <c r="AO219" s="561"/>
    </row>
    <row r="220" spans="2:41">
      <c r="B220" s="296"/>
      <c r="C220" s="299"/>
      <c r="D220" s="296"/>
      <c r="E220" s="298"/>
      <c r="F220" s="299"/>
      <c r="G220" s="300"/>
      <c r="H220" s="303"/>
      <c r="I220" s="303"/>
      <c r="J220" s="322">
        <f t="shared" si="47"/>
        <v>0</v>
      </c>
      <c r="K220" s="305" t="e">
        <f>IF(F220="MXN",1/HLOOKUP(YEAR(G220)+(MONTH(G220)/100),TC!$5:$37,DAY(G220)+2,FALSE),VLOOKUP(F220,Equivalencia!$5:$23,((MAX(Equivalencia!$3:$3)-YEAR(G220))*14)+MONTH(G220)+2,FALSE))</f>
        <v>#N/A</v>
      </c>
      <c r="L220" s="306" t="e">
        <f t="shared" si="50"/>
        <v>#N/A</v>
      </c>
      <c r="M220" s="305">
        <f>IF(G220=0,0,HLOOKUP(YEAR(G220)+(MONTH(G220)/100),TC!$5:$37,DAY(G220)+2,FALSE))</f>
        <v>0</v>
      </c>
      <c r="N220" s="306" t="e">
        <f t="shared" si="51"/>
        <v>#N/A</v>
      </c>
      <c r="O220" s="308">
        <f>IF(G220=0,0,VLOOKUP(YEAR(G220),INPC!$B$4:$P$30,MONTH(G220)+2))</f>
        <v>0</v>
      </c>
      <c r="P220" s="308">
        <f>IF(W220=0,0,IF(OR(C220=$AQ$5,C220=AQ224),VLOOKUP(YEAR(W220),INPC!$B$4:$P$30,MONTH(W220)+1),VLOOKUP(YEAR(W220),INPC!$B$4:$P$30,MONTH(W220)+2)))</f>
        <v>0</v>
      </c>
      <c r="Q220" s="309">
        <f t="shared" si="52"/>
        <v>0</v>
      </c>
      <c r="R220" s="310" t="e">
        <f t="shared" si="53"/>
        <v>#N/A</v>
      </c>
      <c r="S220" s="310">
        <f t="shared" si="54"/>
        <v>0</v>
      </c>
      <c r="T220" s="567" t="str">
        <f t="shared" si="55"/>
        <v>NO</v>
      </c>
      <c r="U220" s="323"/>
      <c r="V220" s="299"/>
      <c r="W220" s="300"/>
      <c r="X220" s="299"/>
      <c r="Y220" s="303"/>
      <c r="Z220" s="305">
        <f>IF(Y220=0,0,IF(X220="MXN",1/HLOOKUP(YEAR(W220)+(MONTH(W220)/100),TC!$5:$37,DAY(W220)+2,FALSE),VLOOKUP(X220,Equivalencia!$1:$23,((MAX(Equivalencia!$3:$3)-YEAR(W220))*14)+MONTH(W220)+2,FALSE)))</f>
        <v>0</v>
      </c>
      <c r="AA220" s="306">
        <f t="shared" si="56"/>
        <v>0</v>
      </c>
      <c r="AB220" s="305">
        <f>+IF(W220=0,0,HLOOKUP(YEAR(W220)+(MONTH(W220)/100),TC!$5:$37,DAY(W220)+2,FALSE))</f>
        <v>0</v>
      </c>
      <c r="AC220" s="306">
        <f t="shared" si="57"/>
        <v>0</v>
      </c>
      <c r="AD220" s="314">
        <f t="shared" si="48"/>
        <v>0</v>
      </c>
      <c r="AE220" s="315">
        <f t="shared" si="58"/>
        <v>0</v>
      </c>
      <c r="AF220" s="316">
        <f t="shared" si="49"/>
        <v>0</v>
      </c>
      <c r="AG220" s="314">
        <v>1</v>
      </c>
      <c r="AH220" s="314">
        <f t="shared" si="59"/>
        <v>0</v>
      </c>
      <c r="AI220" s="314">
        <f t="shared" si="60"/>
        <v>0</v>
      </c>
      <c r="AJ220" s="317"/>
      <c r="AK220" s="315" t="e">
        <f t="shared" si="61"/>
        <v>#N/A</v>
      </c>
      <c r="AM220" s="561"/>
      <c r="AN220" s="561"/>
      <c r="AO220" s="561"/>
    </row>
    <row r="221" spans="2:41">
      <c r="B221" s="296"/>
      <c r="C221" s="299"/>
      <c r="D221" s="296"/>
      <c r="E221" s="298"/>
      <c r="F221" s="299"/>
      <c r="G221" s="300"/>
      <c r="H221" s="303"/>
      <c r="I221" s="303"/>
      <c r="J221" s="322">
        <f t="shared" si="47"/>
        <v>0</v>
      </c>
      <c r="K221" s="305" t="e">
        <f>IF(F221="MXN",1/HLOOKUP(YEAR(G221)+(MONTH(G221)/100),TC!$5:$37,DAY(G221)+2,FALSE),VLOOKUP(F221,Equivalencia!$5:$23,((MAX(Equivalencia!$3:$3)-YEAR(G221))*14)+MONTH(G221)+2,FALSE))</f>
        <v>#N/A</v>
      </c>
      <c r="L221" s="306" t="e">
        <f t="shared" si="50"/>
        <v>#N/A</v>
      </c>
      <c r="M221" s="305">
        <f>IF(G221=0,0,HLOOKUP(YEAR(G221)+(MONTH(G221)/100),TC!$5:$37,DAY(G221)+2,FALSE))</f>
        <v>0</v>
      </c>
      <c r="N221" s="306" t="e">
        <f t="shared" si="51"/>
        <v>#N/A</v>
      </c>
      <c r="O221" s="308">
        <f>IF(G221=0,0,VLOOKUP(YEAR(G221),INPC!$B$4:$P$30,MONTH(G221)+2))</f>
        <v>0</v>
      </c>
      <c r="P221" s="308">
        <f>IF(W221=0,0,IF(OR(C221=$AQ$5,C221=AQ225),VLOOKUP(YEAR(W221),INPC!$B$4:$P$30,MONTH(W221)+1),VLOOKUP(YEAR(W221),INPC!$B$4:$P$30,MONTH(W221)+2)))</f>
        <v>0</v>
      </c>
      <c r="Q221" s="309">
        <f t="shared" si="52"/>
        <v>0</v>
      </c>
      <c r="R221" s="310" t="e">
        <f t="shared" si="53"/>
        <v>#N/A</v>
      </c>
      <c r="S221" s="310">
        <f t="shared" si="54"/>
        <v>0</v>
      </c>
      <c r="T221" s="567" t="str">
        <f t="shared" si="55"/>
        <v>NO</v>
      </c>
      <c r="U221" s="323"/>
      <c r="V221" s="299"/>
      <c r="W221" s="300"/>
      <c r="X221" s="299"/>
      <c r="Y221" s="303"/>
      <c r="Z221" s="305">
        <f>IF(Y221=0,0,IF(X221="MXN",1/HLOOKUP(YEAR(W221)+(MONTH(W221)/100),TC!$5:$37,DAY(W221)+2,FALSE),VLOOKUP(X221,Equivalencia!$1:$23,((MAX(Equivalencia!$3:$3)-YEAR(W221))*14)+MONTH(W221)+2,FALSE)))</f>
        <v>0</v>
      </c>
      <c r="AA221" s="306">
        <f t="shared" si="56"/>
        <v>0</v>
      </c>
      <c r="AB221" s="305">
        <f>+IF(W221=0,0,HLOOKUP(YEAR(W221)+(MONTH(W221)/100),TC!$5:$37,DAY(W221)+2,FALSE))</f>
        <v>0</v>
      </c>
      <c r="AC221" s="306">
        <f t="shared" si="57"/>
        <v>0</v>
      </c>
      <c r="AD221" s="314">
        <f t="shared" si="48"/>
        <v>0</v>
      </c>
      <c r="AE221" s="315">
        <f t="shared" si="58"/>
        <v>0</v>
      </c>
      <c r="AF221" s="316">
        <f t="shared" si="49"/>
        <v>0</v>
      </c>
      <c r="AG221" s="314">
        <v>1</v>
      </c>
      <c r="AH221" s="314">
        <f t="shared" si="59"/>
        <v>0</v>
      </c>
      <c r="AI221" s="314">
        <f t="shared" si="60"/>
        <v>0</v>
      </c>
      <c r="AJ221" s="317"/>
      <c r="AK221" s="315" t="e">
        <f t="shared" si="61"/>
        <v>#N/A</v>
      </c>
      <c r="AM221" s="561"/>
      <c r="AN221" s="561"/>
      <c r="AO221" s="561"/>
    </row>
    <row r="222" spans="2:41">
      <c r="B222" s="296"/>
      <c r="C222" s="299"/>
      <c r="D222" s="296"/>
      <c r="E222" s="298"/>
      <c r="F222" s="299"/>
      <c r="G222" s="300"/>
      <c r="H222" s="303"/>
      <c r="I222" s="303"/>
      <c r="J222" s="322">
        <f t="shared" si="47"/>
        <v>0</v>
      </c>
      <c r="K222" s="305" t="e">
        <f>IF(F222="MXN",1/HLOOKUP(YEAR(G222)+(MONTH(G222)/100),TC!$5:$37,DAY(G222)+2,FALSE),VLOOKUP(F222,Equivalencia!$5:$23,((MAX(Equivalencia!$3:$3)-YEAR(G222))*14)+MONTH(G222)+2,FALSE))</f>
        <v>#N/A</v>
      </c>
      <c r="L222" s="306" t="e">
        <f t="shared" si="50"/>
        <v>#N/A</v>
      </c>
      <c r="M222" s="305">
        <f>IF(G222=0,0,HLOOKUP(YEAR(G222)+(MONTH(G222)/100),TC!$5:$37,DAY(G222)+2,FALSE))</f>
        <v>0</v>
      </c>
      <c r="N222" s="306" t="e">
        <f t="shared" si="51"/>
        <v>#N/A</v>
      </c>
      <c r="O222" s="308">
        <f>IF(G222=0,0,VLOOKUP(YEAR(G222),INPC!$B$4:$P$30,MONTH(G222)+2))</f>
        <v>0</v>
      </c>
      <c r="P222" s="308">
        <f>IF(W222=0,0,IF(OR(C222=$AQ$5,C222=AQ226),VLOOKUP(YEAR(W222),INPC!$B$4:$P$30,MONTH(W222)+1),VLOOKUP(YEAR(W222),INPC!$B$4:$P$30,MONTH(W222)+2)))</f>
        <v>0</v>
      </c>
      <c r="Q222" s="309">
        <f t="shared" si="52"/>
        <v>0</v>
      </c>
      <c r="R222" s="310" t="e">
        <f t="shared" si="53"/>
        <v>#N/A</v>
      </c>
      <c r="S222" s="310">
        <f t="shared" si="54"/>
        <v>0</v>
      </c>
      <c r="T222" s="567" t="str">
        <f t="shared" si="55"/>
        <v>NO</v>
      </c>
      <c r="U222" s="323"/>
      <c r="V222" s="299"/>
      <c r="W222" s="300"/>
      <c r="X222" s="299"/>
      <c r="Y222" s="303"/>
      <c r="Z222" s="305">
        <f>IF(Y222=0,0,IF(X222="MXN",1/HLOOKUP(YEAR(W222)+(MONTH(W222)/100),TC!$5:$37,DAY(W222)+2,FALSE),VLOOKUP(X222,Equivalencia!$1:$23,((MAX(Equivalencia!$3:$3)-YEAR(W222))*14)+MONTH(W222)+2,FALSE)))</f>
        <v>0</v>
      </c>
      <c r="AA222" s="306">
        <f t="shared" si="56"/>
        <v>0</v>
      </c>
      <c r="AB222" s="305">
        <f>+IF(W222=0,0,HLOOKUP(YEAR(W222)+(MONTH(W222)/100),TC!$5:$37,DAY(W222)+2,FALSE))</f>
        <v>0</v>
      </c>
      <c r="AC222" s="306">
        <f t="shared" si="57"/>
        <v>0</v>
      </c>
      <c r="AD222" s="314">
        <f t="shared" si="48"/>
        <v>0</v>
      </c>
      <c r="AE222" s="315">
        <f t="shared" si="58"/>
        <v>0</v>
      </c>
      <c r="AF222" s="316">
        <f t="shared" si="49"/>
        <v>0</v>
      </c>
      <c r="AG222" s="314">
        <v>1</v>
      </c>
      <c r="AH222" s="314">
        <f t="shared" si="59"/>
        <v>0</v>
      </c>
      <c r="AI222" s="314">
        <f t="shared" si="60"/>
        <v>0</v>
      </c>
      <c r="AJ222" s="317"/>
      <c r="AK222" s="315" t="e">
        <f t="shared" si="61"/>
        <v>#N/A</v>
      </c>
      <c r="AM222" s="561"/>
      <c r="AN222" s="561"/>
      <c r="AO222" s="561"/>
    </row>
    <row r="223" spans="2:41">
      <c r="B223" s="296"/>
      <c r="C223" s="299"/>
      <c r="D223" s="296"/>
      <c r="E223" s="298"/>
      <c r="F223" s="299"/>
      <c r="G223" s="300"/>
      <c r="H223" s="303"/>
      <c r="I223" s="303"/>
      <c r="J223" s="322">
        <f t="shared" si="47"/>
        <v>0</v>
      </c>
      <c r="K223" s="305" t="e">
        <f>IF(F223="MXN",1/HLOOKUP(YEAR(G223)+(MONTH(G223)/100),TC!$5:$37,DAY(G223)+2,FALSE),VLOOKUP(F223,Equivalencia!$5:$23,((MAX(Equivalencia!$3:$3)-YEAR(G223))*14)+MONTH(G223)+2,FALSE))</f>
        <v>#N/A</v>
      </c>
      <c r="L223" s="306" t="e">
        <f t="shared" si="50"/>
        <v>#N/A</v>
      </c>
      <c r="M223" s="305">
        <f>IF(G223=0,0,HLOOKUP(YEAR(G223)+(MONTH(G223)/100),TC!$5:$37,DAY(G223)+2,FALSE))</f>
        <v>0</v>
      </c>
      <c r="N223" s="306" t="e">
        <f t="shared" si="51"/>
        <v>#N/A</v>
      </c>
      <c r="O223" s="308">
        <f>IF(G223=0,0,VLOOKUP(YEAR(G223),INPC!$B$4:$P$30,MONTH(G223)+2))</f>
        <v>0</v>
      </c>
      <c r="P223" s="308">
        <f>IF(W223=0,0,IF(OR(C223=$AQ$5,C223=AQ227),VLOOKUP(YEAR(W223),INPC!$B$4:$P$30,MONTH(W223)+1),VLOOKUP(YEAR(W223),INPC!$B$4:$P$30,MONTH(W223)+2)))</f>
        <v>0</v>
      </c>
      <c r="Q223" s="309">
        <f t="shared" si="52"/>
        <v>0</v>
      </c>
      <c r="R223" s="310" t="e">
        <f t="shared" si="53"/>
        <v>#N/A</v>
      </c>
      <c r="S223" s="310">
        <f t="shared" si="54"/>
        <v>0</v>
      </c>
      <c r="T223" s="567" t="str">
        <f t="shared" si="55"/>
        <v>NO</v>
      </c>
      <c r="U223" s="323"/>
      <c r="V223" s="299"/>
      <c r="W223" s="300"/>
      <c r="X223" s="299"/>
      <c r="Y223" s="303"/>
      <c r="Z223" s="305">
        <f>IF(Y223=0,0,IF(X223="MXN",1/HLOOKUP(YEAR(W223)+(MONTH(W223)/100),TC!$5:$37,DAY(W223)+2,FALSE),VLOOKUP(X223,Equivalencia!$1:$23,((MAX(Equivalencia!$3:$3)-YEAR(W223))*14)+MONTH(W223)+2,FALSE)))</f>
        <v>0</v>
      </c>
      <c r="AA223" s="306">
        <f t="shared" si="56"/>
        <v>0</v>
      </c>
      <c r="AB223" s="305">
        <f>+IF(W223=0,0,HLOOKUP(YEAR(W223)+(MONTH(W223)/100),TC!$5:$37,DAY(W223)+2,FALSE))</f>
        <v>0</v>
      </c>
      <c r="AC223" s="306">
        <f t="shared" si="57"/>
        <v>0</v>
      </c>
      <c r="AD223" s="314">
        <f t="shared" si="48"/>
        <v>0</v>
      </c>
      <c r="AE223" s="315">
        <f t="shared" si="58"/>
        <v>0</v>
      </c>
      <c r="AF223" s="316">
        <f t="shared" si="49"/>
        <v>0</v>
      </c>
      <c r="AG223" s="314">
        <v>1</v>
      </c>
      <c r="AH223" s="314">
        <f t="shared" si="59"/>
        <v>0</v>
      </c>
      <c r="AI223" s="314">
        <f t="shared" si="60"/>
        <v>0</v>
      </c>
      <c r="AJ223" s="317"/>
      <c r="AK223" s="315" t="e">
        <f t="shared" si="61"/>
        <v>#N/A</v>
      </c>
      <c r="AM223" s="561"/>
      <c r="AN223" s="561"/>
      <c r="AO223" s="561"/>
    </row>
    <row r="224" spans="2:41">
      <c r="B224" s="296"/>
      <c r="C224" s="299"/>
      <c r="D224" s="296"/>
      <c r="E224" s="298"/>
      <c r="F224" s="299"/>
      <c r="G224" s="300"/>
      <c r="H224" s="303"/>
      <c r="I224" s="303"/>
      <c r="J224" s="322">
        <f t="shared" si="47"/>
        <v>0</v>
      </c>
      <c r="K224" s="305" t="e">
        <f>IF(F224="MXN",1/HLOOKUP(YEAR(G224)+(MONTH(G224)/100),TC!$5:$37,DAY(G224)+2,FALSE),VLOOKUP(F224,Equivalencia!$5:$23,((MAX(Equivalencia!$3:$3)-YEAR(G224))*14)+MONTH(G224)+2,FALSE))</f>
        <v>#N/A</v>
      </c>
      <c r="L224" s="306" t="e">
        <f t="shared" si="50"/>
        <v>#N/A</v>
      </c>
      <c r="M224" s="305">
        <f>IF(G224=0,0,HLOOKUP(YEAR(G224)+(MONTH(G224)/100),TC!$5:$37,DAY(G224)+2,FALSE))</f>
        <v>0</v>
      </c>
      <c r="N224" s="306" t="e">
        <f t="shared" si="51"/>
        <v>#N/A</v>
      </c>
      <c r="O224" s="308">
        <f>IF(G224=0,0,VLOOKUP(YEAR(G224),INPC!$B$4:$P$30,MONTH(G224)+2))</f>
        <v>0</v>
      </c>
      <c r="P224" s="308">
        <f>IF(W224=0,0,IF(OR(C224=$AQ$5,C224=AQ228),VLOOKUP(YEAR(W224),INPC!$B$4:$P$30,MONTH(W224)+1),VLOOKUP(YEAR(W224),INPC!$B$4:$P$30,MONTH(W224)+2)))</f>
        <v>0</v>
      </c>
      <c r="Q224" s="309">
        <f t="shared" si="52"/>
        <v>0</v>
      </c>
      <c r="R224" s="310" t="e">
        <f t="shared" si="53"/>
        <v>#N/A</v>
      </c>
      <c r="S224" s="310">
        <f t="shared" si="54"/>
        <v>0</v>
      </c>
      <c r="T224" s="567" t="str">
        <f t="shared" si="55"/>
        <v>NO</v>
      </c>
      <c r="U224" s="323"/>
      <c r="V224" s="299"/>
      <c r="W224" s="300"/>
      <c r="X224" s="299"/>
      <c r="Y224" s="303"/>
      <c r="Z224" s="305">
        <f>IF(Y224=0,0,IF(X224="MXN",1/HLOOKUP(YEAR(W224)+(MONTH(W224)/100),TC!$5:$37,DAY(W224)+2,FALSE),VLOOKUP(X224,Equivalencia!$1:$23,((MAX(Equivalencia!$3:$3)-YEAR(W224))*14)+MONTH(W224)+2,FALSE)))</f>
        <v>0</v>
      </c>
      <c r="AA224" s="306">
        <f t="shared" si="56"/>
        <v>0</v>
      </c>
      <c r="AB224" s="305">
        <f>+IF(W224=0,0,HLOOKUP(YEAR(W224)+(MONTH(W224)/100),TC!$5:$37,DAY(W224)+2,FALSE))</f>
        <v>0</v>
      </c>
      <c r="AC224" s="306">
        <f t="shared" si="57"/>
        <v>0</v>
      </c>
      <c r="AD224" s="314">
        <f t="shared" si="48"/>
        <v>0</v>
      </c>
      <c r="AE224" s="315">
        <f t="shared" si="58"/>
        <v>0</v>
      </c>
      <c r="AF224" s="316">
        <f t="shared" si="49"/>
        <v>0</v>
      </c>
      <c r="AG224" s="314">
        <v>1</v>
      </c>
      <c r="AH224" s="314">
        <f t="shared" si="59"/>
        <v>0</v>
      </c>
      <c r="AI224" s="314">
        <f t="shared" si="60"/>
        <v>0</v>
      </c>
      <c r="AJ224" s="317"/>
      <c r="AK224" s="315" t="e">
        <f t="shared" si="61"/>
        <v>#N/A</v>
      </c>
      <c r="AM224" s="561"/>
      <c r="AN224" s="561"/>
      <c r="AO224" s="561"/>
    </row>
    <row r="225" spans="2:41">
      <c r="B225" s="296"/>
      <c r="C225" s="299"/>
      <c r="D225" s="296"/>
      <c r="E225" s="298"/>
      <c r="F225" s="299"/>
      <c r="G225" s="300"/>
      <c r="H225" s="303"/>
      <c r="I225" s="303"/>
      <c r="J225" s="322">
        <f t="shared" si="47"/>
        <v>0</v>
      </c>
      <c r="K225" s="305" t="e">
        <f>IF(F225="MXN",1/HLOOKUP(YEAR(G225)+(MONTH(G225)/100),TC!$5:$37,DAY(G225)+2,FALSE),VLOOKUP(F225,Equivalencia!$5:$23,((MAX(Equivalencia!$3:$3)-YEAR(G225))*14)+MONTH(G225)+2,FALSE))</f>
        <v>#N/A</v>
      </c>
      <c r="L225" s="306" t="e">
        <f t="shared" si="50"/>
        <v>#N/A</v>
      </c>
      <c r="M225" s="305">
        <f>IF(G225=0,0,HLOOKUP(YEAR(G225)+(MONTH(G225)/100),TC!$5:$37,DAY(G225)+2,FALSE))</f>
        <v>0</v>
      </c>
      <c r="N225" s="306" t="e">
        <f t="shared" si="51"/>
        <v>#N/A</v>
      </c>
      <c r="O225" s="308">
        <f>IF(G225=0,0,VLOOKUP(YEAR(G225),INPC!$B$4:$P$30,MONTH(G225)+2))</f>
        <v>0</v>
      </c>
      <c r="P225" s="308">
        <f>IF(W225=0,0,IF(OR(C225=$AQ$5,C225=AQ229),VLOOKUP(YEAR(W225),INPC!$B$4:$P$30,MONTH(W225)+1),VLOOKUP(YEAR(W225),INPC!$B$4:$P$30,MONTH(W225)+2)))</f>
        <v>0</v>
      </c>
      <c r="Q225" s="309">
        <f t="shared" si="52"/>
        <v>0</v>
      </c>
      <c r="R225" s="310" t="e">
        <f t="shared" si="53"/>
        <v>#N/A</v>
      </c>
      <c r="S225" s="310">
        <f t="shared" si="54"/>
        <v>0</v>
      </c>
      <c r="T225" s="567" t="str">
        <f t="shared" si="55"/>
        <v>NO</v>
      </c>
      <c r="U225" s="323"/>
      <c r="V225" s="299"/>
      <c r="W225" s="300"/>
      <c r="X225" s="299"/>
      <c r="Y225" s="303"/>
      <c r="Z225" s="305">
        <f>IF(Y225=0,0,IF(X225="MXN",1/HLOOKUP(YEAR(W225)+(MONTH(W225)/100),TC!$5:$37,DAY(W225)+2,FALSE),VLOOKUP(X225,Equivalencia!$1:$23,((MAX(Equivalencia!$3:$3)-YEAR(W225))*14)+MONTH(W225)+2,FALSE)))</f>
        <v>0</v>
      </c>
      <c r="AA225" s="306">
        <f t="shared" si="56"/>
        <v>0</v>
      </c>
      <c r="AB225" s="305">
        <f>+IF(W225=0,0,HLOOKUP(YEAR(W225)+(MONTH(W225)/100),TC!$5:$37,DAY(W225)+2,FALSE))</f>
        <v>0</v>
      </c>
      <c r="AC225" s="306">
        <f t="shared" si="57"/>
        <v>0</v>
      </c>
      <c r="AD225" s="314">
        <f t="shared" si="48"/>
        <v>0</v>
      </c>
      <c r="AE225" s="315">
        <f t="shared" si="58"/>
        <v>0</v>
      </c>
      <c r="AF225" s="316">
        <f t="shared" si="49"/>
        <v>0</v>
      </c>
      <c r="AG225" s="314">
        <v>1</v>
      </c>
      <c r="AH225" s="314">
        <f t="shared" si="59"/>
        <v>0</v>
      </c>
      <c r="AI225" s="314">
        <f t="shared" si="60"/>
        <v>0</v>
      </c>
      <c r="AJ225" s="317"/>
      <c r="AK225" s="315" t="e">
        <f t="shared" si="61"/>
        <v>#N/A</v>
      </c>
      <c r="AM225" s="561"/>
      <c r="AN225" s="561"/>
      <c r="AO225" s="561"/>
    </row>
    <row r="226" spans="2:41">
      <c r="B226" s="296"/>
      <c r="C226" s="299"/>
      <c r="D226" s="296"/>
      <c r="E226" s="298"/>
      <c r="F226" s="299"/>
      <c r="G226" s="300"/>
      <c r="H226" s="303"/>
      <c r="I226" s="303"/>
      <c r="J226" s="322">
        <f t="shared" si="47"/>
        <v>0</v>
      </c>
      <c r="K226" s="305" t="e">
        <f>IF(F226="MXN",1/HLOOKUP(YEAR(G226)+(MONTH(G226)/100),TC!$5:$37,DAY(G226)+2,FALSE),VLOOKUP(F226,Equivalencia!$5:$23,((MAX(Equivalencia!$3:$3)-YEAR(G226))*14)+MONTH(G226)+2,FALSE))</f>
        <v>#N/A</v>
      </c>
      <c r="L226" s="306" t="e">
        <f t="shared" si="50"/>
        <v>#N/A</v>
      </c>
      <c r="M226" s="305">
        <f>IF(G226=0,0,HLOOKUP(YEAR(G226)+(MONTH(G226)/100),TC!$5:$37,DAY(G226)+2,FALSE))</f>
        <v>0</v>
      </c>
      <c r="N226" s="306" t="e">
        <f t="shared" si="51"/>
        <v>#N/A</v>
      </c>
      <c r="O226" s="308">
        <f>IF(G226=0,0,VLOOKUP(YEAR(G226),INPC!$B$4:$P$30,MONTH(G226)+2))</f>
        <v>0</v>
      </c>
      <c r="P226" s="308">
        <f>IF(W226=0,0,IF(OR(C226=$AQ$5,C226=AQ230),VLOOKUP(YEAR(W226),INPC!$B$4:$P$30,MONTH(W226)+1),VLOOKUP(YEAR(W226),INPC!$B$4:$P$30,MONTH(W226)+2)))</f>
        <v>0</v>
      </c>
      <c r="Q226" s="309">
        <f t="shared" si="52"/>
        <v>0</v>
      </c>
      <c r="R226" s="310" t="e">
        <f t="shared" si="53"/>
        <v>#N/A</v>
      </c>
      <c r="S226" s="310">
        <f t="shared" si="54"/>
        <v>0</v>
      </c>
      <c r="T226" s="567" t="str">
        <f t="shared" si="55"/>
        <v>NO</v>
      </c>
      <c r="U226" s="323"/>
      <c r="V226" s="299"/>
      <c r="W226" s="300"/>
      <c r="X226" s="299"/>
      <c r="Y226" s="303"/>
      <c r="Z226" s="305">
        <f>IF(Y226=0,0,IF(X226="MXN",1/HLOOKUP(YEAR(W226)+(MONTH(W226)/100),TC!$5:$37,DAY(W226)+2,FALSE),VLOOKUP(X226,Equivalencia!$1:$23,((MAX(Equivalencia!$3:$3)-YEAR(W226))*14)+MONTH(W226)+2,FALSE)))</f>
        <v>0</v>
      </c>
      <c r="AA226" s="306">
        <f t="shared" si="56"/>
        <v>0</v>
      </c>
      <c r="AB226" s="305">
        <f>+IF(W226=0,0,HLOOKUP(YEAR(W226)+(MONTH(W226)/100),TC!$5:$37,DAY(W226)+2,FALSE))</f>
        <v>0</v>
      </c>
      <c r="AC226" s="306">
        <f t="shared" si="57"/>
        <v>0</v>
      </c>
      <c r="AD226" s="314">
        <f t="shared" si="48"/>
        <v>0</v>
      </c>
      <c r="AE226" s="315">
        <f t="shared" si="58"/>
        <v>0</v>
      </c>
      <c r="AF226" s="316">
        <f t="shared" si="49"/>
        <v>0</v>
      </c>
      <c r="AG226" s="314">
        <v>1</v>
      </c>
      <c r="AH226" s="314">
        <f t="shared" si="59"/>
        <v>0</v>
      </c>
      <c r="AI226" s="314">
        <f t="shared" si="60"/>
        <v>0</v>
      </c>
      <c r="AJ226" s="317"/>
      <c r="AK226" s="315" t="e">
        <f t="shared" si="61"/>
        <v>#N/A</v>
      </c>
      <c r="AM226" s="561"/>
      <c r="AN226" s="561"/>
      <c r="AO226" s="561"/>
    </row>
    <row r="227" spans="2:41">
      <c r="B227" s="296"/>
      <c r="C227" s="299"/>
      <c r="D227" s="296"/>
      <c r="E227" s="298"/>
      <c r="F227" s="299"/>
      <c r="G227" s="300"/>
      <c r="H227" s="303"/>
      <c r="I227" s="303"/>
      <c r="J227" s="322">
        <f t="shared" si="47"/>
        <v>0</v>
      </c>
      <c r="K227" s="305" t="e">
        <f>IF(F227="MXN",1/HLOOKUP(YEAR(G227)+(MONTH(G227)/100),TC!$5:$37,DAY(G227)+2,FALSE),VLOOKUP(F227,Equivalencia!$5:$23,((MAX(Equivalencia!$3:$3)-YEAR(G227))*14)+MONTH(G227)+2,FALSE))</f>
        <v>#N/A</v>
      </c>
      <c r="L227" s="306" t="e">
        <f t="shared" si="50"/>
        <v>#N/A</v>
      </c>
      <c r="M227" s="305">
        <f>IF(G227=0,0,HLOOKUP(YEAR(G227)+(MONTH(G227)/100),TC!$5:$37,DAY(G227)+2,FALSE))</f>
        <v>0</v>
      </c>
      <c r="N227" s="306" t="e">
        <f t="shared" si="51"/>
        <v>#N/A</v>
      </c>
      <c r="O227" s="308">
        <f>IF(G227=0,0,VLOOKUP(YEAR(G227),INPC!$B$4:$P$30,MONTH(G227)+2))</f>
        <v>0</v>
      </c>
      <c r="P227" s="308">
        <f>IF(W227=0,0,IF(OR(C227=$AQ$5,C227=AQ231),VLOOKUP(YEAR(W227),INPC!$B$4:$P$30,MONTH(W227)+1),VLOOKUP(YEAR(W227),INPC!$B$4:$P$30,MONTH(W227)+2)))</f>
        <v>0</v>
      </c>
      <c r="Q227" s="309">
        <f t="shared" si="52"/>
        <v>0</v>
      </c>
      <c r="R227" s="310" t="e">
        <f t="shared" si="53"/>
        <v>#N/A</v>
      </c>
      <c r="S227" s="310">
        <f t="shared" si="54"/>
        <v>0</v>
      </c>
      <c r="T227" s="567" t="str">
        <f t="shared" si="55"/>
        <v>NO</v>
      </c>
      <c r="U227" s="323"/>
      <c r="V227" s="299"/>
      <c r="W227" s="300"/>
      <c r="X227" s="299"/>
      <c r="Y227" s="303"/>
      <c r="Z227" s="305">
        <f>IF(Y227=0,0,IF(X227="MXN",1/HLOOKUP(YEAR(W227)+(MONTH(W227)/100),TC!$5:$37,DAY(W227)+2,FALSE),VLOOKUP(X227,Equivalencia!$1:$23,((MAX(Equivalencia!$3:$3)-YEAR(W227))*14)+MONTH(W227)+2,FALSE)))</f>
        <v>0</v>
      </c>
      <c r="AA227" s="306">
        <f t="shared" si="56"/>
        <v>0</v>
      </c>
      <c r="AB227" s="305">
        <f>+IF(W227=0,0,HLOOKUP(YEAR(W227)+(MONTH(W227)/100),TC!$5:$37,DAY(W227)+2,FALSE))</f>
        <v>0</v>
      </c>
      <c r="AC227" s="306">
        <f t="shared" si="57"/>
        <v>0</v>
      </c>
      <c r="AD227" s="314">
        <f t="shared" si="48"/>
        <v>0</v>
      </c>
      <c r="AE227" s="315">
        <f t="shared" si="58"/>
        <v>0</v>
      </c>
      <c r="AF227" s="316">
        <f t="shared" si="49"/>
        <v>0</v>
      </c>
      <c r="AG227" s="314">
        <v>1</v>
      </c>
      <c r="AH227" s="314">
        <f t="shared" si="59"/>
        <v>0</v>
      </c>
      <c r="AI227" s="314">
        <f t="shared" si="60"/>
        <v>0</v>
      </c>
      <c r="AJ227" s="317"/>
      <c r="AK227" s="315" t="e">
        <f t="shared" si="61"/>
        <v>#N/A</v>
      </c>
      <c r="AM227" s="561"/>
      <c r="AN227" s="561"/>
      <c r="AO227" s="561"/>
    </row>
    <row r="228" spans="2:41">
      <c r="B228" s="296"/>
      <c r="C228" s="299"/>
      <c r="D228" s="296"/>
      <c r="E228" s="298"/>
      <c r="F228" s="299"/>
      <c r="G228" s="300"/>
      <c r="H228" s="303"/>
      <c r="I228" s="303"/>
      <c r="J228" s="322">
        <f t="shared" si="47"/>
        <v>0</v>
      </c>
      <c r="K228" s="305" t="e">
        <f>IF(F228="MXN",1/HLOOKUP(YEAR(G228)+(MONTH(G228)/100),TC!$5:$37,DAY(G228)+2,FALSE),VLOOKUP(F228,Equivalencia!$5:$23,((MAX(Equivalencia!$3:$3)-YEAR(G228))*14)+MONTH(G228)+2,FALSE))</f>
        <v>#N/A</v>
      </c>
      <c r="L228" s="306" t="e">
        <f t="shared" si="50"/>
        <v>#N/A</v>
      </c>
      <c r="M228" s="305">
        <f>IF(G228=0,0,HLOOKUP(YEAR(G228)+(MONTH(G228)/100),TC!$5:$37,DAY(G228)+2,FALSE))</f>
        <v>0</v>
      </c>
      <c r="N228" s="306" t="e">
        <f t="shared" si="51"/>
        <v>#N/A</v>
      </c>
      <c r="O228" s="308">
        <f>IF(G228=0,0,VLOOKUP(YEAR(G228),INPC!$B$4:$P$30,MONTH(G228)+2))</f>
        <v>0</v>
      </c>
      <c r="P228" s="308">
        <f>IF(W228=0,0,IF(OR(C228=$AQ$5,C228=AQ232),VLOOKUP(YEAR(W228),INPC!$B$4:$P$30,MONTH(W228)+1),VLOOKUP(YEAR(W228),INPC!$B$4:$P$30,MONTH(W228)+2)))</f>
        <v>0</v>
      </c>
      <c r="Q228" s="309">
        <f t="shared" si="52"/>
        <v>0</v>
      </c>
      <c r="R228" s="310" t="e">
        <f t="shared" si="53"/>
        <v>#N/A</v>
      </c>
      <c r="S228" s="310">
        <f t="shared" si="54"/>
        <v>0</v>
      </c>
      <c r="T228" s="567" t="str">
        <f t="shared" si="55"/>
        <v>NO</v>
      </c>
      <c r="U228" s="323"/>
      <c r="V228" s="299"/>
      <c r="W228" s="300"/>
      <c r="X228" s="299"/>
      <c r="Y228" s="303"/>
      <c r="Z228" s="305">
        <f>IF(Y228=0,0,IF(X228="MXN",1/HLOOKUP(YEAR(W228)+(MONTH(W228)/100),TC!$5:$37,DAY(W228)+2,FALSE),VLOOKUP(X228,Equivalencia!$1:$23,((MAX(Equivalencia!$3:$3)-YEAR(W228))*14)+MONTH(W228)+2,FALSE)))</f>
        <v>0</v>
      </c>
      <c r="AA228" s="306">
        <f t="shared" si="56"/>
        <v>0</v>
      </c>
      <c r="AB228" s="305">
        <f>+IF(W228=0,0,HLOOKUP(YEAR(W228)+(MONTH(W228)/100),TC!$5:$37,DAY(W228)+2,FALSE))</f>
        <v>0</v>
      </c>
      <c r="AC228" s="306">
        <f t="shared" si="57"/>
        <v>0</v>
      </c>
      <c r="AD228" s="314">
        <f t="shared" si="48"/>
        <v>0</v>
      </c>
      <c r="AE228" s="315">
        <f t="shared" si="58"/>
        <v>0</v>
      </c>
      <c r="AF228" s="316">
        <f t="shared" si="49"/>
        <v>0</v>
      </c>
      <c r="AG228" s="314">
        <v>1</v>
      </c>
      <c r="AH228" s="314">
        <f t="shared" si="59"/>
        <v>0</v>
      </c>
      <c r="AI228" s="314">
        <f t="shared" si="60"/>
        <v>0</v>
      </c>
      <c r="AJ228" s="317"/>
      <c r="AK228" s="315" t="e">
        <f t="shared" si="61"/>
        <v>#N/A</v>
      </c>
      <c r="AM228" s="561"/>
      <c r="AN228" s="561"/>
      <c r="AO228" s="561"/>
    </row>
    <row r="229" spans="2:41">
      <c r="B229" s="296"/>
      <c r="C229" s="299"/>
      <c r="D229" s="296"/>
      <c r="E229" s="298"/>
      <c r="F229" s="299"/>
      <c r="G229" s="300"/>
      <c r="H229" s="303"/>
      <c r="I229" s="303"/>
      <c r="J229" s="322">
        <f t="shared" si="47"/>
        <v>0</v>
      </c>
      <c r="K229" s="305" t="e">
        <f>IF(F229="MXN",1/HLOOKUP(YEAR(G229)+(MONTH(G229)/100),TC!$5:$37,DAY(G229)+2,FALSE),VLOOKUP(F229,Equivalencia!$5:$23,((MAX(Equivalencia!$3:$3)-YEAR(G229))*14)+MONTH(G229)+2,FALSE))</f>
        <v>#N/A</v>
      </c>
      <c r="L229" s="306" t="e">
        <f t="shared" si="50"/>
        <v>#N/A</v>
      </c>
      <c r="M229" s="305">
        <f>IF(G229=0,0,HLOOKUP(YEAR(G229)+(MONTH(G229)/100),TC!$5:$37,DAY(G229)+2,FALSE))</f>
        <v>0</v>
      </c>
      <c r="N229" s="306" t="e">
        <f t="shared" si="51"/>
        <v>#N/A</v>
      </c>
      <c r="O229" s="308">
        <f>IF(G229=0,0,VLOOKUP(YEAR(G229),INPC!$B$4:$P$30,MONTH(G229)+2))</f>
        <v>0</v>
      </c>
      <c r="P229" s="308">
        <f>IF(W229=0,0,IF(OR(C229=$AQ$5,C229=AQ233),VLOOKUP(YEAR(W229),INPC!$B$4:$P$30,MONTH(W229)+1),VLOOKUP(YEAR(W229),INPC!$B$4:$P$30,MONTH(W229)+2)))</f>
        <v>0</v>
      </c>
      <c r="Q229" s="309">
        <f t="shared" si="52"/>
        <v>0</v>
      </c>
      <c r="R229" s="310" t="e">
        <f t="shared" si="53"/>
        <v>#N/A</v>
      </c>
      <c r="S229" s="310">
        <f t="shared" si="54"/>
        <v>0</v>
      </c>
      <c r="T229" s="567" t="str">
        <f t="shared" si="55"/>
        <v>NO</v>
      </c>
      <c r="U229" s="323"/>
      <c r="V229" s="299"/>
      <c r="W229" s="300"/>
      <c r="X229" s="299"/>
      <c r="Y229" s="303"/>
      <c r="Z229" s="305">
        <f>IF(Y229=0,0,IF(X229="MXN",1/HLOOKUP(YEAR(W229)+(MONTH(W229)/100),TC!$5:$37,DAY(W229)+2,FALSE),VLOOKUP(X229,Equivalencia!$1:$23,((MAX(Equivalencia!$3:$3)-YEAR(W229))*14)+MONTH(W229)+2,FALSE)))</f>
        <v>0</v>
      </c>
      <c r="AA229" s="306">
        <f t="shared" si="56"/>
        <v>0</v>
      </c>
      <c r="AB229" s="305">
        <f>+IF(W229=0,0,HLOOKUP(YEAR(W229)+(MONTH(W229)/100),TC!$5:$37,DAY(W229)+2,FALSE))</f>
        <v>0</v>
      </c>
      <c r="AC229" s="306">
        <f t="shared" si="57"/>
        <v>0</v>
      </c>
      <c r="AD229" s="314">
        <f t="shared" si="48"/>
        <v>0</v>
      </c>
      <c r="AE229" s="315">
        <f t="shared" si="58"/>
        <v>0</v>
      </c>
      <c r="AF229" s="316">
        <f t="shared" si="49"/>
        <v>0</v>
      </c>
      <c r="AG229" s="314">
        <v>1</v>
      </c>
      <c r="AH229" s="314">
        <f t="shared" si="59"/>
        <v>0</v>
      </c>
      <c r="AI229" s="314">
        <f t="shared" si="60"/>
        <v>0</v>
      </c>
      <c r="AJ229" s="317"/>
      <c r="AK229" s="315" t="e">
        <f t="shared" si="61"/>
        <v>#N/A</v>
      </c>
      <c r="AM229" s="561"/>
      <c r="AN229" s="561"/>
      <c r="AO229" s="561"/>
    </row>
    <row r="230" spans="2:41">
      <c r="B230" s="296"/>
      <c r="C230" s="299"/>
      <c r="D230" s="296"/>
      <c r="E230" s="298"/>
      <c r="F230" s="299"/>
      <c r="G230" s="300"/>
      <c r="H230" s="303"/>
      <c r="I230" s="303"/>
      <c r="J230" s="322">
        <f t="shared" si="47"/>
        <v>0</v>
      </c>
      <c r="K230" s="305" t="e">
        <f>IF(F230="MXN",1/HLOOKUP(YEAR(G230)+(MONTH(G230)/100),TC!$5:$37,DAY(G230)+2,FALSE),VLOOKUP(F230,Equivalencia!$5:$23,((MAX(Equivalencia!$3:$3)-YEAR(G230))*14)+MONTH(G230)+2,FALSE))</f>
        <v>#N/A</v>
      </c>
      <c r="L230" s="306" t="e">
        <f t="shared" si="50"/>
        <v>#N/A</v>
      </c>
      <c r="M230" s="305">
        <f>IF(G230=0,0,HLOOKUP(YEAR(G230)+(MONTH(G230)/100),TC!$5:$37,DAY(G230)+2,FALSE))</f>
        <v>0</v>
      </c>
      <c r="N230" s="306" t="e">
        <f t="shared" si="51"/>
        <v>#N/A</v>
      </c>
      <c r="O230" s="308">
        <f>IF(G230=0,0,VLOOKUP(YEAR(G230),INPC!$B$4:$P$30,MONTH(G230)+2))</f>
        <v>0</v>
      </c>
      <c r="P230" s="308">
        <f>IF(W230=0,0,IF(OR(C230=$AQ$5,C230=AQ234),VLOOKUP(YEAR(W230),INPC!$B$4:$P$30,MONTH(W230)+1),VLOOKUP(YEAR(W230),INPC!$B$4:$P$30,MONTH(W230)+2)))</f>
        <v>0</v>
      </c>
      <c r="Q230" s="309">
        <f t="shared" si="52"/>
        <v>0</v>
      </c>
      <c r="R230" s="310" t="e">
        <f t="shared" si="53"/>
        <v>#N/A</v>
      </c>
      <c r="S230" s="310">
        <f t="shared" si="54"/>
        <v>0</v>
      </c>
      <c r="T230" s="567" t="str">
        <f t="shared" si="55"/>
        <v>NO</v>
      </c>
      <c r="U230" s="323"/>
      <c r="V230" s="299"/>
      <c r="W230" s="300"/>
      <c r="X230" s="299"/>
      <c r="Y230" s="303"/>
      <c r="Z230" s="305">
        <f>IF(Y230=0,0,IF(X230="MXN",1/HLOOKUP(YEAR(W230)+(MONTH(W230)/100),TC!$5:$37,DAY(W230)+2,FALSE),VLOOKUP(X230,Equivalencia!$1:$23,((MAX(Equivalencia!$3:$3)-YEAR(W230))*14)+MONTH(W230)+2,FALSE)))</f>
        <v>0</v>
      </c>
      <c r="AA230" s="306">
        <f t="shared" si="56"/>
        <v>0</v>
      </c>
      <c r="AB230" s="305">
        <f>+IF(W230=0,0,HLOOKUP(YEAR(W230)+(MONTH(W230)/100),TC!$5:$37,DAY(W230)+2,FALSE))</f>
        <v>0</v>
      </c>
      <c r="AC230" s="306">
        <f t="shared" si="57"/>
        <v>0</v>
      </c>
      <c r="AD230" s="314">
        <f t="shared" si="48"/>
        <v>0</v>
      </c>
      <c r="AE230" s="315">
        <f t="shared" si="58"/>
        <v>0</v>
      </c>
      <c r="AF230" s="316">
        <f t="shared" si="49"/>
        <v>0</v>
      </c>
      <c r="AG230" s="314">
        <v>1</v>
      </c>
      <c r="AH230" s="314">
        <f t="shared" si="59"/>
        <v>0</v>
      </c>
      <c r="AI230" s="314">
        <f t="shared" si="60"/>
        <v>0</v>
      </c>
      <c r="AJ230" s="317"/>
      <c r="AK230" s="315" t="e">
        <f t="shared" si="61"/>
        <v>#N/A</v>
      </c>
      <c r="AM230" s="561"/>
      <c r="AN230" s="561"/>
      <c r="AO230" s="561"/>
    </row>
    <row r="231" spans="2:41">
      <c r="B231" s="296"/>
      <c r="C231" s="299"/>
      <c r="D231" s="296"/>
      <c r="E231" s="298"/>
      <c r="F231" s="299"/>
      <c r="G231" s="300"/>
      <c r="H231" s="303"/>
      <c r="I231" s="303"/>
      <c r="J231" s="322">
        <f t="shared" si="47"/>
        <v>0</v>
      </c>
      <c r="K231" s="305" t="e">
        <f>IF(F231="MXN",1/HLOOKUP(YEAR(G231)+(MONTH(G231)/100),TC!$5:$37,DAY(G231)+2,FALSE),VLOOKUP(F231,Equivalencia!$5:$23,((MAX(Equivalencia!$3:$3)-YEAR(G231))*14)+MONTH(G231)+2,FALSE))</f>
        <v>#N/A</v>
      </c>
      <c r="L231" s="306" t="e">
        <f t="shared" si="50"/>
        <v>#N/A</v>
      </c>
      <c r="M231" s="305">
        <f>IF(G231=0,0,HLOOKUP(YEAR(G231)+(MONTH(G231)/100),TC!$5:$37,DAY(G231)+2,FALSE))</f>
        <v>0</v>
      </c>
      <c r="N231" s="306" t="e">
        <f t="shared" si="51"/>
        <v>#N/A</v>
      </c>
      <c r="O231" s="308">
        <f>IF(G231=0,0,VLOOKUP(YEAR(G231),INPC!$B$4:$P$30,MONTH(G231)+2))</f>
        <v>0</v>
      </c>
      <c r="P231" s="308">
        <f>IF(W231=0,0,IF(OR(C231=$AQ$5,C231=AQ235),VLOOKUP(YEAR(W231),INPC!$B$4:$P$30,MONTH(W231)+1),VLOOKUP(YEAR(W231),INPC!$B$4:$P$30,MONTH(W231)+2)))</f>
        <v>0</v>
      </c>
      <c r="Q231" s="309">
        <f t="shared" si="52"/>
        <v>0</v>
      </c>
      <c r="R231" s="310" t="e">
        <f t="shared" si="53"/>
        <v>#N/A</v>
      </c>
      <c r="S231" s="310">
        <f t="shared" si="54"/>
        <v>0</v>
      </c>
      <c r="T231" s="567" t="str">
        <f t="shared" si="55"/>
        <v>NO</v>
      </c>
      <c r="U231" s="323"/>
      <c r="V231" s="299"/>
      <c r="W231" s="300"/>
      <c r="X231" s="299"/>
      <c r="Y231" s="303"/>
      <c r="Z231" s="305">
        <f>IF(Y231=0,0,IF(X231="MXN",1/HLOOKUP(YEAR(W231)+(MONTH(W231)/100),TC!$5:$37,DAY(W231)+2,FALSE),VLOOKUP(X231,Equivalencia!$1:$23,((MAX(Equivalencia!$3:$3)-YEAR(W231))*14)+MONTH(W231)+2,FALSE)))</f>
        <v>0</v>
      </c>
      <c r="AA231" s="306">
        <f t="shared" si="56"/>
        <v>0</v>
      </c>
      <c r="AB231" s="305">
        <f>+IF(W231=0,0,HLOOKUP(YEAR(W231)+(MONTH(W231)/100),TC!$5:$37,DAY(W231)+2,FALSE))</f>
        <v>0</v>
      </c>
      <c r="AC231" s="306">
        <f t="shared" si="57"/>
        <v>0</v>
      </c>
      <c r="AD231" s="314">
        <f t="shared" si="48"/>
        <v>0</v>
      </c>
      <c r="AE231" s="315">
        <f t="shared" si="58"/>
        <v>0</v>
      </c>
      <c r="AF231" s="316">
        <f t="shared" si="49"/>
        <v>0</v>
      </c>
      <c r="AG231" s="314">
        <v>1</v>
      </c>
      <c r="AH231" s="314">
        <f t="shared" si="59"/>
        <v>0</v>
      </c>
      <c r="AI231" s="314">
        <f t="shared" si="60"/>
        <v>0</v>
      </c>
      <c r="AJ231" s="317"/>
      <c r="AK231" s="315" t="e">
        <f t="shared" si="61"/>
        <v>#N/A</v>
      </c>
      <c r="AM231" s="561"/>
      <c r="AN231" s="561"/>
      <c r="AO231" s="561"/>
    </row>
    <row r="232" spans="2:41">
      <c r="B232" s="296"/>
      <c r="C232" s="299"/>
      <c r="D232" s="296"/>
      <c r="E232" s="298"/>
      <c r="F232" s="299"/>
      <c r="G232" s="300"/>
      <c r="H232" s="303"/>
      <c r="I232" s="303"/>
      <c r="J232" s="322">
        <f t="shared" si="47"/>
        <v>0</v>
      </c>
      <c r="K232" s="305" t="e">
        <f>IF(F232="MXN",1/HLOOKUP(YEAR(G232)+(MONTH(G232)/100),TC!$5:$37,DAY(G232)+2,FALSE),VLOOKUP(F232,Equivalencia!$5:$23,((MAX(Equivalencia!$3:$3)-YEAR(G232))*14)+MONTH(G232)+2,FALSE))</f>
        <v>#N/A</v>
      </c>
      <c r="L232" s="306" t="e">
        <f t="shared" si="50"/>
        <v>#N/A</v>
      </c>
      <c r="M232" s="305">
        <f>IF(G232=0,0,HLOOKUP(YEAR(G232)+(MONTH(G232)/100),TC!$5:$37,DAY(G232)+2,FALSE))</f>
        <v>0</v>
      </c>
      <c r="N232" s="306" t="e">
        <f t="shared" si="51"/>
        <v>#N/A</v>
      </c>
      <c r="O232" s="308">
        <f>IF(G232=0,0,VLOOKUP(YEAR(G232),INPC!$B$4:$P$30,MONTH(G232)+2))</f>
        <v>0</v>
      </c>
      <c r="P232" s="308">
        <f>IF(W232=0,0,IF(OR(C232=$AQ$5,C232=AQ236),VLOOKUP(YEAR(W232),INPC!$B$4:$P$30,MONTH(W232)+1),VLOOKUP(YEAR(W232),INPC!$B$4:$P$30,MONTH(W232)+2)))</f>
        <v>0</v>
      </c>
      <c r="Q232" s="309">
        <f t="shared" si="52"/>
        <v>0</v>
      </c>
      <c r="R232" s="310" t="e">
        <f t="shared" si="53"/>
        <v>#N/A</v>
      </c>
      <c r="S232" s="310">
        <f t="shared" si="54"/>
        <v>0</v>
      </c>
      <c r="T232" s="567" t="str">
        <f t="shared" si="55"/>
        <v>NO</v>
      </c>
      <c r="U232" s="323"/>
      <c r="V232" s="299"/>
      <c r="W232" s="300"/>
      <c r="X232" s="299"/>
      <c r="Y232" s="303"/>
      <c r="Z232" s="305">
        <f>IF(Y232=0,0,IF(X232="MXN",1/HLOOKUP(YEAR(W232)+(MONTH(W232)/100),TC!$5:$37,DAY(W232)+2,FALSE),VLOOKUP(X232,Equivalencia!$1:$23,((MAX(Equivalencia!$3:$3)-YEAR(W232))*14)+MONTH(W232)+2,FALSE)))</f>
        <v>0</v>
      </c>
      <c r="AA232" s="306">
        <f t="shared" si="56"/>
        <v>0</v>
      </c>
      <c r="AB232" s="305">
        <f>+IF(W232=0,0,HLOOKUP(YEAR(W232)+(MONTH(W232)/100),TC!$5:$37,DAY(W232)+2,FALSE))</f>
        <v>0</v>
      </c>
      <c r="AC232" s="306">
        <f t="shared" si="57"/>
        <v>0</v>
      </c>
      <c r="AD232" s="314">
        <f t="shared" si="48"/>
        <v>0</v>
      </c>
      <c r="AE232" s="315">
        <f t="shared" si="58"/>
        <v>0</v>
      </c>
      <c r="AF232" s="316">
        <f t="shared" si="49"/>
        <v>0</v>
      </c>
      <c r="AG232" s="314">
        <v>1</v>
      </c>
      <c r="AH232" s="314">
        <f t="shared" si="59"/>
        <v>0</v>
      </c>
      <c r="AI232" s="314">
        <f t="shared" si="60"/>
        <v>0</v>
      </c>
      <c r="AJ232" s="317"/>
      <c r="AK232" s="315" t="e">
        <f t="shared" si="61"/>
        <v>#N/A</v>
      </c>
      <c r="AM232" s="561"/>
      <c r="AN232" s="561"/>
      <c r="AO232" s="561"/>
    </row>
    <row r="233" spans="2:41">
      <c r="B233" s="296"/>
      <c r="C233" s="299"/>
      <c r="D233" s="296"/>
      <c r="E233" s="298"/>
      <c r="F233" s="299"/>
      <c r="G233" s="300"/>
      <c r="H233" s="303"/>
      <c r="I233" s="303"/>
      <c r="J233" s="322">
        <f t="shared" si="47"/>
        <v>0</v>
      </c>
      <c r="K233" s="305" t="e">
        <f>IF(F233="MXN",1/HLOOKUP(YEAR(G233)+(MONTH(G233)/100),TC!$5:$37,DAY(G233)+2,FALSE),VLOOKUP(F233,Equivalencia!$5:$23,((MAX(Equivalencia!$3:$3)-YEAR(G233))*14)+MONTH(G233)+2,FALSE))</f>
        <v>#N/A</v>
      </c>
      <c r="L233" s="306" t="e">
        <f t="shared" si="50"/>
        <v>#N/A</v>
      </c>
      <c r="M233" s="305">
        <f>IF(G233=0,0,HLOOKUP(YEAR(G233)+(MONTH(G233)/100),TC!$5:$37,DAY(G233)+2,FALSE))</f>
        <v>0</v>
      </c>
      <c r="N233" s="306" t="e">
        <f t="shared" si="51"/>
        <v>#N/A</v>
      </c>
      <c r="O233" s="308">
        <f>IF(G233=0,0,VLOOKUP(YEAR(G233),INPC!$B$4:$P$30,MONTH(G233)+2))</f>
        <v>0</v>
      </c>
      <c r="P233" s="308">
        <f>IF(W233=0,0,IF(OR(C233=$AQ$5,C233=AQ237),VLOOKUP(YEAR(W233),INPC!$B$4:$P$30,MONTH(W233)+1),VLOOKUP(YEAR(W233),INPC!$B$4:$P$30,MONTH(W233)+2)))</f>
        <v>0</v>
      </c>
      <c r="Q233" s="309">
        <f t="shared" si="52"/>
        <v>0</v>
      </c>
      <c r="R233" s="310" t="e">
        <f t="shared" si="53"/>
        <v>#N/A</v>
      </c>
      <c r="S233" s="310">
        <f t="shared" si="54"/>
        <v>0</v>
      </c>
      <c r="T233" s="567" t="str">
        <f t="shared" si="55"/>
        <v>NO</v>
      </c>
      <c r="U233" s="323"/>
      <c r="V233" s="299"/>
      <c r="W233" s="300"/>
      <c r="X233" s="299"/>
      <c r="Y233" s="303"/>
      <c r="Z233" s="305">
        <f>IF(Y233=0,0,IF(X233="MXN",1/HLOOKUP(YEAR(W233)+(MONTH(W233)/100),TC!$5:$37,DAY(W233)+2,FALSE),VLOOKUP(X233,Equivalencia!$1:$23,((MAX(Equivalencia!$3:$3)-YEAR(W233))*14)+MONTH(W233)+2,FALSE)))</f>
        <v>0</v>
      </c>
      <c r="AA233" s="306">
        <f t="shared" si="56"/>
        <v>0</v>
      </c>
      <c r="AB233" s="305">
        <f>+IF(W233=0,0,HLOOKUP(YEAR(W233)+(MONTH(W233)/100),TC!$5:$37,DAY(W233)+2,FALSE))</f>
        <v>0</v>
      </c>
      <c r="AC233" s="306">
        <f t="shared" si="57"/>
        <v>0</v>
      </c>
      <c r="AD233" s="314">
        <f t="shared" si="48"/>
        <v>0</v>
      </c>
      <c r="AE233" s="315">
        <f t="shared" si="58"/>
        <v>0</v>
      </c>
      <c r="AF233" s="316">
        <f t="shared" si="49"/>
        <v>0</v>
      </c>
      <c r="AG233" s="314">
        <v>1</v>
      </c>
      <c r="AH233" s="314">
        <f t="shared" si="59"/>
        <v>0</v>
      </c>
      <c r="AI233" s="314">
        <f t="shared" si="60"/>
        <v>0</v>
      </c>
      <c r="AJ233" s="317"/>
      <c r="AK233" s="315" t="e">
        <f t="shared" si="61"/>
        <v>#N/A</v>
      </c>
      <c r="AM233" s="561"/>
      <c r="AN233" s="561"/>
      <c r="AO233" s="561"/>
    </row>
    <row r="234" spans="2:41">
      <c r="B234" s="296"/>
      <c r="C234" s="299"/>
      <c r="D234" s="296"/>
      <c r="E234" s="298"/>
      <c r="F234" s="299"/>
      <c r="G234" s="300"/>
      <c r="H234" s="303"/>
      <c r="I234" s="303"/>
      <c r="J234" s="322">
        <f t="shared" si="47"/>
        <v>0</v>
      </c>
      <c r="K234" s="305" t="e">
        <f>IF(F234="MXN",1/HLOOKUP(YEAR(G234)+(MONTH(G234)/100),TC!$5:$37,DAY(G234)+2,FALSE),VLOOKUP(F234,Equivalencia!$5:$23,((MAX(Equivalencia!$3:$3)-YEAR(G234))*14)+MONTH(G234)+2,FALSE))</f>
        <v>#N/A</v>
      </c>
      <c r="L234" s="306" t="e">
        <f t="shared" si="50"/>
        <v>#N/A</v>
      </c>
      <c r="M234" s="305">
        <f>IF(G234=0,0,HLOOKUP(YEAR(G234)+(MONTH(G234)/100),TC!$5:$37,DAY(G234)+2,FALSE))</f>
        <v>0</v>
      </c>
      <c r="N234" s="306" t="e">
        <f t="shared" si="51"/>
        <v>#N/A</v>
      </c>
      <c r="O234" s="308">
        <f>IF(G234=0,0,VLOOKUP(YEAR(G234),INPC!$B$4:$P$30,MONTH(G234)+2))</f>
        <v>0</v>
      </c>
      <c r="P234" s="308">
        <f>IF(W234=0,0,IF(OR(C234=$AQ$5,C234=AQ238),VLOOKUP(YEAR(W234),INPC!$B$4:$P$30,MONTH(W234)+1),VLOOKUP(YEAR(W234),INPC!$B$4:$P$30,MONTH(W234)+2)))</f>
        <v>0</v>
      </c>
      <c r="Q234" s="309">
        <f t="shared" si="52"/>
        <v>0</v>
      </c>
      <c r="R234" s="310" t="e">
        <f t="shared" si="53"/>
        <v>#N/A</v>
      </c>
      <c r="S234" s="310">
        <f t="shared" si="54"/>
        <v>0</v>
      </c>
      <c r="T234" s="567" t="str">
        <f t="shared" si="55"/>
        <v>NO</v>
      </c>
      <c r="U234" s="323"/>
      <c r="V234" s="299"/>
      <c r="W234" s="300"/>
      <c r="X234" s="299"/>
      <c r="Y234" s="303"/>
      <c r="Z234" s="305">
        <f>IF(Y234=0,0,IF(X234="MXN",1/HLOOKUP(YEAR(W234)+(MONTH(W234)/100),TC!$5:$37,DAY(W234)+2,FALSE),VLOOKUP(X234,Equivalencia!$1:$23,((MAX(Equivalencia!$3:$3)-YEAR(W234))*14)+MONTH(W234)+2,FALSE)))</f>
        <v>0</v>
      </c>
      <c r="AA234" s="306">
        <f t="shared" si="56"/>
        <v>0</v>
      </c>
      <c r="AB234" s="305">
        <f>+IF(W234=0,0,HLOOKUP(YEAR(W234)+(MONTH(W234)/100),TC!$5:$37,DAY(W234)+2,FALSE))</f>
        <v>0</v>
      </c>
      <c r="AC234" s="306">
        <f t="shared" si="57"/>
        <v>0</v>
      </c>
      <c r="AD234" s="314">
        <f t="shared" si="48"/>
        <v>0</v>
      </c>
      <c r="AE234" s="315">
        <f t="shared" si="58"/>
        <v>0</v>
      </c>
      <c r="AF234" s="316">
        <f t="shared" si="49"/>
        <v>0</v>
      </c>
      <c r="AG234" s="314">
        <v>1</v>
      </c>
      <c r="AH234" s="314">
        <f t="shared" si="59"/>
        <v>0</v>
      </c>
      <c r="AI234" s="314">
        <f t="shared" si="60"/>
        <v>0</v>
      </c>
      <c r="AJ234" s="317"/>
      <c r="AK234" s="315" t="e">
        <f t="shared" si="61"/>
        <v>#N/A</v>
      </c>
      <c r="AM234" s="561"/>
      <c r="AN234" s="561"/>
      <c r="AO234" s="561"/>
    </row>
    <row r="235" spans="2:41">
      <c r="B235" s="296"/>
      <c r="C235" s="299"/>
      <c r="D235" s="296"/>
      <c r="E235" s="298"/>
      <c r="F235" s="299"/>
      <c r="G235" s="300"/>
      <c r="H235" s="303"/>
      <c r="I235" s="303"/>
      <c r="J235" s="322">
        <f t="shared" si="47"/>
        <v>0</v>
      </c>
      <c r="K235" s="305" t="e">
        <f>IF(F235="MXN",1/HLOOKUP(YEAR(G235)+(MONTH(G235)/100),TC!$5:$37,DAY(G235)+2,FALSE),VLOOKUP(F235,Equivalencia!$5:$23,((MAX(Equivalencia!$3:$3)-YEAR(G235))*14)+MONTH(G235)+2,FALSE))</f>
        <v>#N/A</v>
      </c>
      <c r="L235" s="306" t="e">
        <f t="shared" si="50"/>
        <v>#N/A</v>
      </c>
      <c r="M235" s="305">
        <f>IF(G235=0,0,HLOOKUP(YEAR(G235)+(MONTH(G235)/100),TC!$5:$37,DAY(G235)+2,FALSE))</f>
        <v>0</v>
      </c>
      <c r="N235" s="306" t="e">
        <f t="shared" si="51"/>
        <v>#N/A</v>
      </c>
      <c r="O235" s="308">
        <f>IF(G235=0,0,VLOOKUP(YEAR(G235),INPC!$B$4:$P$30,MONTH(G235)+2))</f>
        <v>0</v>
      </c>
      <c r="P235" s="308">
        <f>IF(W235=0,0,IF(OR(C235=$AQ$5,C235=AQ239),VLOOKUP(YEAR(W235),INPC!$B$4:$P$30,MONTH(W235)+1),VLOOKUP(YEAR(W235),INPC!$B$4:$P$30,MONTH(W235)+2)))</f>
        <v>0</v>
      </c>
      <c r="Q235" s="309">
        <f t="shared" si="52"/>
        <v>0</v>
      </c>
      <c r="R235" s="310" t="e">
        <f t="shared" si="53"/>
        <v>#N/A</v>
      </c>
      <c r="S235" s="310">
        <f t="shared" si="54"/>
        <v>0</v>
      </c>
      <c r="T235" s="567" t="str">
        <f t="shared" si="55"/>
        <v>NO</v>
      </c>
      <c r="U235" s="323"/>
      <c r="V235" s="299"/>
      <c r="W235" s="300"/>
      <c r="X235" s="299"/>
      <c r="Y235" s="303"/>
      <c r="Z235" s="305">
        <f>IF(Y235=0,0,IF(X235="MXN",1/HLOOKUP(YEAR(W235)+(MONTH(W235)/100),TC!$5:$37,DAY(W235)+2,FALSE),VLOOKUP(X235,Equivalencia!$1:$23,((MAX(Equivalencia!$3:$3)-YEAR(W235))*14)+MONTH(W235)+2,FALSE)))</f>
        <v>0</v>
      </c>
      <c r="AA235" s="306">
        <f t="shared" si="56"/>
        <v>0</v>
      </c>
      <c r="AB235" s="305">
        <f>+IF(W235=0,0,HLOOKUP(YEAR(W235)+(MONTH(W235)/100),TC!$5:$37,DAY(W235)+2,FALSE))</f>
        <v>0</v>
      </c>
      <c r="AC235" s="306">
        <f t="shared" si="57"/>
        <v>0</v>
      </c>
      <c r="AD235" s="314">
        <f t="shared" si="48"/>
        <v>0</v>
      </c>
      <c r="AE235" s="315">
        <f t="shared" si="58"/>
        <v>0</v>
      </c>
      <c r="AF235" s="316">
        <f t="shared" si="49"/>
        <v>0</v>
      </c>
      <c r="AG235" s="314">
        <v>1</v>
      </c>
      <c r="AH235" s="314">
        <f t="shared" si="59"/>
        <v>0</v>
      </c>
      <c r="AI235" s="314">
        <f t="shared" si="60"/>
        <v>0</v>
      </c>
      <c r="AJ235" s="317"/>
      <c r="AK235" s="315" t="e">
        <f t="shared" si="61"/>
        <v>#N/A</v>
      </c>
      <c r="AM235" s="561"/>
      <c r="AN235" s="561"/>
      <c r="AO235" s="561"/>
    </row>
    <row r="236" spans="2:41">
      <c r="B236" s="296"/>
      <c r="C236" s="299"/>
      <c r="D236" s="296"/>
      <c r="E236" s="298"/>
      <c r="F236" s="299"/>
      <c r="G236" s="300"/>
      <c r="H236" s="303"/>
      <c r="I236" s="303"/>
      <c r="J236" s="322">
        <f t="shared" si="47"/>
        <v>0</v>
      </c>
      <c r="K236" s="305" t="e">
        <f>IF(F236="MXN",1/HLOOKUP(YEAR(G236)+(MONTH(G236)/100),TC!$5:$37,DAY(G236)+2,FALSE),VLOOKUP(F236,Equivalencia!$5:$23,((MAX(Equivalencia!$3:$3)-YEAR(G236))*14)+MONTH(G236)+2,FALSE))</f>
        <v>#N/A</v>
      </c>
      <c r="L236" s="306" t="e">
        <f t="shared" si="50"/>
        <v>#N/A</v>
      </c>
      <c r="M236" s="305">
        <f>IF(G236=0,0,HLOOKUP(YEAR(G236)+(MONTH(G236)/100),TC!$5:$37,DAY(G236)+2,FALSE))</f>
        <v>0</v>
      </c>
      <c r="N236" s="306" t="e">
        <f t="shared" si="51"/>
        <v>#N/A</v>
      </c>
      <c r="O236" s="308">
        <f>IF(G236=0,0,VLOOKUP(YEAR(G236),INPC!$B$4:$P$30,MONTH(G236)+2))</f>
        <v>0</v>
      </c>
      <c r="P236" s="308">
        <f>IF(W236=0,0,IF(OR(C236=$AQ$5,C236=AQ240),VLOOKUP(YEAR(W236),INPC!$B$4:$P$30,MONTH(W236)+1),VLOOKUP(YEAR(W236),INPC!$B$4:$P$30,MONTH(W236)+2)))</f>
        <v>0</v>
      </c>
      <c r="Q236" s="309">
        <f t="shared" si="52"/>
        <v>0</v>
      </c>
      <c r="R236" s="310" t="e">
        <f t="shared" si="53"/>
        <v>#N/A</v>
      </c>
      <c r="S236" s="310">
        <f t="shared" si="54"/>
        <v>0</v>
      </c>
      <c r="T236" s="567" t="str">
        <f t="shared" si="55"/>
        <v>NO</v>
      </c>
      <c r="U236" s="323"/>
      <c r="V236" s="299"/>
      <c r="W236" s="300"/>
      <c r="X236" s="299"/>
      <c r="Y236" s="303"/>
      <c r="Z236" s="305">
        <f>IF(Y236=0,0,IF(X236="MXN",1/HLOOKUP(YEAR(W236)+(MONTH(W236)/100),TC!$5:$37,DAY(W236)+2,FALSE),VLOOKUP(X236,Equivalencia!$1:$23,((MAX(Equivalencia!$3:$3)-YEAR(W236))*14)+MONTH(W236)+2,FALSE)))</f>
        <v>0</v>
      </c>
      <c r="AA236" s="306">
        <f t="shared" si="56"/>
        <v>0</v>
      </c>
      <c r="AB236" s="305">
        <f>+IF(W236=0,0,HLOOKUP(YEAR(W236)+(MONTH(W236)/100),TC!$5:$37,DAY(W236)+2,FALSE))</f>
        <v>0</v>
      </c>
      <c r="AC236" s="306">
        <f t="shared" si="57"/>
        <v>0</v>
      </c>
      <c r="AD236" s="314">
        <f t="shared" si="48"/>
        <v>0</v>
      </c>
      <c r="AE236" s="315">
        <f t="shared" si="58"/>
        <v>0</v>
      </c>
      <c r="AF236" s="316">
        <f t="shared" si="49"/>
        <v>0</v>
      </c>
      <c r="AG236" s="314">
        <v>1</v>
      </c>
      <c r="AH236" s="314">
        <f t="shared" si="59"/>
        <v>0</v>
      </c>
      <c r="AI236" s="314">
        <f t="shared" si="60"/>
        <v>0</v>
      </c>
      <c r="AJ236" s="317"/>
      <c r="AK236" s="315" t="e">
        <f t="shared" si="61"/>
        <v>#N/A</v>
      </c>
      <c r="AM236" s="561"/>
      <c r="AN236" s="561"/>
      <c r="AO236" s="561"/>
    </row>
    <row r="237" spans="2:41">
      <c r="B237" s="296"/>
      <c r="C237" s="299"/>
      <c r="D237" s="296"/>
      <c r="E237" s="298"/>
      <c r="F237" s="299"/>
      <c r="G237" s="300"/>
      <c r="H237" s="303"/>
      <c r="I237" s="303"/>
      <c r="J237" s="322">
        <f t="shared" si="47"/>
        <v>0</v>
      </c>
      <c r="K237" s="305" t="e">
        <f>IF(F237="MXN",1/HLOOKUP(YEAR(G237)+(MONTH(G237)/100),TC!$5:$37,DAY(G237)+2,FALSE),VLOOKUP(F237,Equivalencia!$5:$23,((MAX(Equivalencia!$3:$3)-YEAR(G237))*14)+MONTH(G237)+2,FALSE))</f>
        <v>#N/A</v>
      </c>
      <c r="L237" s="306" t="e">
        <f t="shared" si="50"/>
        <v>#N/A</v>
      </c>
      <c r="M237" s="305">
        <f>IF(G237=0,0,HLOOKUP(YEAR(G237)+(MONTH(G237)/100),TC!$5:$37,DAY(G237)+2,FALSE))</f>
        <v>0</v>
      </c>
      <c r="N237" s="306" t="e">
        <f t="shared" si="51"/>
        <v>#N/A</v>
      </c>
      <c r="O237" s="308">
        <f>IF(G237=0,0,VLOOKUP(YEAR(G237),INPC!$B$4:$P$30,MONTH(G237)+2))</f>
        <v>0</v>
      </c>
      <c r="P237" s="308">
        <f>IF(W237=0,0,IF(OR(C237=$AQ$5,C237=AQ241),VLOOKUP(YEAR(W237),INPC!$B$4:$P$30,MONTH(W237)+1),VLOOKUP(YEAR(W237),INPC!$B$4:$P$30,MONTH(W237)+2)))</f>
        <v>0</v>
      </c>
      <c r="Q237" s="309">
        <f t="shared" si="52"/>
        <v>0</v>
      </c>
      <c r="R237" s="310" t="e">
        <f t="shared" si="53"/>
        <v>#N/A</v>
      </c>
      <c r="S237" s="310">
        <f t="shared" si="54"/>
        <v>0</v>
      </c>
      <c r="T237" s="567" t="str">
        <f t="shared" si="55"/>
        <v>NO</v>
      </c>
      <c r="U237" s="323"/>
      <c r="V237" s="299"/>
      <c r="W237" s="300"/>
      <c r="X237" s="299"/>
      <c r="Y237" s="303"/>
      <c r="Z237" s="305">
        <f>IF(Y237=0,0,IF(X237="MXN",1/HLOOKUP(YEAR(W237)+(MONTH(W237)/100),TC!$5:$37,DAY(W237)+2,FALSE),VLOOKUP(X237,Equivalencia!$1:$23,((MAX(Equivalencia!$3:$3)-YEAR(W237))*14)+MONTH(W237)+2,FALSE)))</f>
        <v>0</v>
      </c>
      <c r="AA237" s="306">
        <f t="shared" si="56"/>
        <v>0</v>
      </c>
      <c r="AB237" s="305">
        <f>+IF(W237=0,0,HLOOKUP(YEAR(W237)+(MONTH(W237)/100),TC!$5:$37,DAY(W237)+2,FALSE))</f>
        <v>0</v>
      </c>
      <c r="AC237" s="306">
        <f t="shared" si="57"/>
        <v>0</v>
      </c>
      <c r="AD237" s="314">
        <f t="shared" si="48"/>
        <v>0</v>
      </c>
      <c r="AE237" s="315">
        <f t="shared" si="58"/>
        <v>0</v>
      </c>
      <c r="AF237" s="316">
        <f t="shared" si="49"/>
        <v>0</v>
      </c>
      <c r="AG237" s="314">
        <v>1</v>
      </c>
      <c r="AH237" s="314">
        <f t="shared" si="59"/>
        <v>0</v>
      </c>
      <c r="AI237" s="314">
        <f t="shared" si="60"/>
        <v>0</v>
      </c>
      <c r="AJ237" s="317"/>
      <c r="AK237" s="315" t="e">
        <f t="shared" si="61"/>
        <v>#N/A</v>
      </c>
      <c r="AM237" s="561"/>
      <c r="AN237" s="561"/>
      <c r="AO237" s="561"/>
    </row>
    <row r="238" spans="2:41">
      <c r="B238" s="296"/>
      <c r="C238" s="299"/>
      <c r="D238" s="296"/>
      <c r="E238" s="298"/>
      <c r="F238" s="299"/>
      <c r="G238" s="300"/>
      <c r="H238" s="303"/>
      <c r="I238" s="303"/>
      <c r="J238" s="322">
        <f t="shared" si="47"/>
        <v>0</v>
      </c>
      <c r="K238" s="305" t="e">
        <f>IF(F238="MXN",1/HLOOKUP(YEAR(G238)+(MONTH(G238)/100),TC!$5:$37,DAY(G238)+2,FALSE),VLOOKUP(F238,Equivalencia!$5:$23,((MAX(Equivalencia!$3:$3)-YEAR(G238))*14)+MONTH(G238)+2,FALSE))</f>
        <v>#N/A</v>
      </c>
      <c r="L238" s="306" t="e">
        <f t="shared" si="50"/>
        <v>#N/A</v>
      </c>
      <c r="M238" s="305">
        <f>IF(G238=0,0,HLOOKUP(YEAR(G238)+(MONTH(G238)/100),TC!$5:$37,DAY(G238)+2,FALSE))</f>
        <v>0</v>
      </c>
      <c r="N238" s="306" t="e">
        <f t="shared" si="51"/>
        <v>#N/A</v>
      </c>
      <c r="O238" s="308">
        <f>IF(G238=0,0,VLOOKUP(YEAR(G238),INPC!$B$4:$P$30,MONTH(G238)+2))</f>
        <v>0</v>
      </c>
      <c r="P238" s="308">
        <f>IF(W238=0,0,IF(OR(C238=$AQ$5,C238=AQ242),VLOOKUP(YEAR(W238),INPC!$B$4:$P$30,MONTH(W238)+1),VLOOKUP(YEAR(W238),INPC!$B$4:$P$30,MONTH(W238)+2)))</f>
        <v>0</v>
      </c>
      <c r="Q238" s="309">
        <f t="shared" si="52"/>
        <v>0</v>
      </c>
      <c r="R238" s="310" t="e">
        <f t="shared" si="53"/>
        <v>#N/A</v>
      </c>
      <c r="S238" s="310">
        <f t="shared" si="54"/>
        <v>0</v>
      </c>
      <c r="T238" s="567" t="str">
        <f t="shared" si="55"/>
        <v>NO</v>
      </c>
      <c r="U238" s="323"/>
      <c r="V238" s="299"/>
      <c r="W238" s="300"/>
      <c r="X238" s="299"/>
      <c r="Y238" s="303"/>
      <c r="Z238" s="305">
        <f>IF(Y238=0,0,IF(X238="MXN",1/HLOOKUP(YEAR(W238)+(MONTH(W238)/100),TC!$5:$37,DAY(W238)+2,FALSE),VLOOKUP(X238,Equivalencia!$1:$23,((MAX(Equivalencia!$3:$3)-YEAR(W238))*14)+MONTH(W238)+2,FALSE)))</f>
        <v>0</v>
      </c>
      <c r="AA238" s="306">
        <f t="shared" si="56"/>
        <v>0</v>
      </c>
      <c r="AB238" s="305">
        <f>+IF(W238=0,0,HLOOKUP(YEAR(W238)+(MONTH(W238)/100),TC!$5:$37,DAY(W238)+2,FALSE))</f>
        <v>0</v>
      </c>
      <c r="AC238" s="306">
        <f t="shared" si="57"/>
        <v>0</v>
      </c>
      <c r="AD238" s="314">
        <f t="shared" si="48"/>
        <v>0</v>
      </c>
      <c r="AE238" s="315">
        <f t="shared" si="58"/>
        <v>0</v>
      </c>
      <c r="AF238" s="316">
        <f t="shared" si="49"/>
        <v>0</v>
      </c>
      <c r="AG238" s="314">
        <v>1</v>
      </c>
      <c r="AH238" s="314">
        <f t="shared" si="59"/>
        <v>0</v>
      </c>
      <c r="AI238" s="314">
        <f t="shared" si="60"/>
        <v>0</v>
      </c>
      <c r="AJ238" s="317"/>
      <c r="AK238" s="315" t="e">
        <f t="shared" si="61"/>
        <v>#N/A</v>
      </c>
      <c r="AM238" s="561"/>
      <c r="AN238" s="561"/>
      <c r="AO238" s="561"/>
    </row>
    <row r="239" spans="2:41">
      <c r="B239" s="296"/>
      <c r="C239" s="299"/>
      <c r="D239" s="296"/>
      <c r="E239" s="298"/>
      <c r="F239" s="299"/>
      <c r="G239" s="300"/>
      <c r="H239" s="303"/>
      <c r="I239" s="303"/>
      <c r="J239" s="322">
        <f t="shared" si="47"/>
        <v>0</v>
      </c>
      <c r="K239" s="305" t="e">
        <f>IF(F239="MXN",1/HLOOKUP(YEAR(G239)+(MONTH(G239)/100),TC!$5:$37,DAY(G239)+2,FALSE),VLOOKUP(F239,Equivalencia!$5:$23,((MAX(Equivalencia!$3:$3)-YEAR(G239))*14)+MONTH(G239)+2,FALSE))</f>
        <v>#N/A</v>
      </c>
      <c r="L239" s="306" t="e">
        <f t="shared" si="50"/>
        <v>#N/A</v>
      </c>
      <c r="M239" s="305">
        <f>IF(G239=0,0,HLOOKUP(YEAR(G239)+(MONTH(G239)/100),TC!$5:$37,DAY(G239)+2,FALSE))</f>
        <v>0</v>
      </c>
      <c r="N239" s="306" t="e">
        <f t="shared" si="51"/>
        <v>#N/A</v>
      </c>
      <c r="O239" s="308">
        <f>IF(G239=0,0,VLOOKUP(YEAR(G239),INPC!$B$4:$P$30,MONTH(G239)+2))</f>
        <v>0</v>
      </c>
      <c r="P239" s="308">
        <f>IF(W239=0,0,IF(OR(C239=$AQ$5,C239=AQ243),VLOOKUP(YEAR(W239),INPC!$B$4:$P$30,MONTH(W239)+1),VLOOKUP(YEAR(W239),INPC!$B$4:$P$30,MONTH(W239)+2)))</f>
        <v>0</v>
      </c>
      <c r="Q239" s="309">
        <f t="shared" si="52"/>
        <v>0</v>
      </c>
      <c r="R239" s="310" t="e">
        <f t="shared" si="53"/>
        <v>#N/A</v>
      </c>
      <c r="S239" s="310">
        <f t="shared" si="54"/>
        <v>0</v>
      </c>
      <c r="T239" s="567" t="str">
        <f t="shared" si="55"/>
        <v>NO</v>
      </c>
      <c r="U239" s="323"/>
      <c r="V239" s="299"/>
      <c r="W239" s="300"/>
      <c r="X239" s="299"/>
      <c r="Y239" s="303"/>
      <c r="Z239" s="305">
        <f>IF(Y239=0,0,IF(X239="MXN",1/HLOOKUP(YEAR(W239)+(MONTH(W239)/100),TC!$5:$37,DAY(W239)+2,FALSE),VLOOKUP(X239,Equivalencia!$1:$23,((MAX(Equivalencia!$3:$3)-YEAR(W239))*14)+MONTH(W239)+2,FALSE)))</f>
        <v>0</v>
      </c>
      <c r="AA239" s="306">
        <f t="shared" si="56"/>
        <v>0</v>
      </c>
      <c r="AB239" s="305">
        <f>+IF(W239=0,0,HLOOKUP(YEAR(W239)+(MONTH(W239)/100),TC!$5:$37,DAY(W239)+2,FALSE))</f>
        <v>0</v>
      </c>
      <c r="AC239" s="306">
        <f t="shared" si="57"/>
        <v>0</v>
      </c>
      <c r="AD239" s="314">
        <f t="shared" si="48"/>
        <v>0</v>
      </c>
      <c r="AE239" s="315">
        <f t="shared" si="58"/>
        <v>0</v>
      </c>
      <c r="AF239" s="316">
        <f t="shared" si="49"/>
        <v>0</v>
      </c>
      <c r="AG239" s="314">
        <v>1</v>
      </c>
      <c r="AH239" s="314">
        <f t="shared" si="59"/>
        <v>0</v>
      </c>
      <c r="AI239" s="314">
        <f t="shared" si="60"/>
        <v>0</v>
      </c>
      <c r="AJ239" s="317"/>
      <c r="AK239" s="315" t="e">
        <f t="shared" si="61"/>
        <v>#N/A</v>
      </c>
      <c r="AM239" s="561"/>
      <c r="AN239" s="561"/>
      <c r="AO239" s="561"/>
    </row>
    <row r="240" spans="2:41">
      <c r="B240" s="296"/>
      <c r="C240" s="299"/>
      <c r="D240" s="296"/>
      <c r="E240" s="298"/>
      <c r="F240" s="299"/>
      <c r="G240" s="300"/>
      <c r="H240" s="303"/>
      <c r="I240" s="303"/>
      <c r="J240" s="322">
        <f t="shared" si="47"/>
        <v>0</v>
      </c>
      <c r="K240" s="305" t="e">
        <f>IF(F240="MXN",1/HLOOKUP(YEAR(G240)+(MONTH(G240)/100),TC!$5:$37,DAY(G240)+2,FALSE),VLOOKUP(F240,Equivalencia!$5:$23,((MAX(Equivalencia!$3:$3)-YEAR(G240))*14)+MONTH(G240)+2,FALSE))</f>
        <v>#N/A</v>
      </c>
      <c r="L240" s="306" t="e">
        <f t="shared" si="50"/>
        <v>#N/A</v>
      </c>
      <c r="M240" s="305">
        <f>IF(G240=0,0,HLOOKUP(YEAR(G240)+(MONTH(G240)/100),TC!$5:$37,DAY(G240)+2,FALSE))</f>
        <v>0</v>
      </c>
      <c r="N240" s="306" t="e">
        <f t="shared" si="51"/>
        <v>#N/A</v>
      </c>
      <c r="O240" s="308">
        <f>IF(G240=0,0,VLOOKUP(YEAR(G240),INPC!$B$4:$P$30,MONTH(G240)+2))</f>
        <v>0</v>
      </c>
      <c r="P240" s="308">
        <f>IF(W240=0,0,IF(OR(C240=$AQ$5,C240=AQ244),VLOOKUP(YEAR(W240),INPC!$B$4:$P$30,MONTH(W240)+1),VLOOKUP(YEAR(W240),INPC!$B$4:$P$30,MONTH(W240)+2)))</f>
        <v>0</v>
      </c>
      <c r="Q240" s="309">
        <f t="shared" si="52"/>
        <v>0</v>
      </c>
      <c r="R240" s="310" t="e">
        <f t="shared" si="53"/>
        <v>#N/A</v>
      </c>
      <c r="S240" s="310">
        <f t="shared" si="54"/>
        <v>0</v>
      </c>
      <c r="T240" s="567" t="str">
        <f t="shared" si="55"/>
        <v>NO</v>
      </c>
      <c r="U240" s="323"/>
      <c r="V240" s="299"/>
      <c r="W240" s="300"/>
      <c r="X240" s="299"/>
      <c r="Y240" s="303"/>
      <c r="Z240" s="305">
        <f>IF(Y240=0,0,IF(X240="MXN",1/HLOOKUP(YEAR(W240)+(MONTH(W240)/100),TC!$5:$37,DAY(W240)+2,FALSE),VLOOKUP(X240,Equivalencia!$1:$23,((MAX(Equivalencia!$3:$3)-YEAR(W240))*14)+MONTH(W240)+2,FALSE)))</f>
        <v>0</v>
      </c>
      <c r="AA240" s="306">
        <f t="shared" si="56"/>
        <v>0</v>
      </c>
      <c r="AB240" s="305">
        <f>+IF(W240=0,0,HLOOKUP(YEAR(W240)+(MONTH(W240)/100),TC!$5:$37,DAY(W240)+2,FALSE))</f>
        <v>0</v>
      </c>
      <c r="AC240" s="306">
        <f t="shared" si="57"/>
        <v>0</v>
      </c>
      <c r="AD240" s="314">
        <f t="shared" si="48"/>
        <v>0</v>
      </c>
      <c r="AE240" s="315">
        <f t="shared" si="58"/>
        <v>0</v>
      </c>
      <c r="AF240" s="316">
        <f t="shared" si="49"/>
        <v>0</v>
      </c>
      <c r="AG240" s="314">
        <v>1</v>
      </c>
      <c r="AH240" s="314">
        <f t="shared" si="59"/>
        <v>0</v>
      </c>
      <c r="AI240" s="314">
        <f t="shared" si="60"/>
        <v>0</v>
      </c>
      <c r="AJ240" s="317"/>
      <c r="AK240" s="315" t="e">
        <f t="shared" si="61"/>
        <v>#N/A</v>
      </c>
      <c r="AM240" s="561"/>
      <c r="AN240" s="561"/>
      <c r="AO240" s="561"/>
    </row>
    <row r="241" spans="2:41">
      <c r="B241" s="296"/>
      <c r="C241" s="299"/>
      <c r="D241" s="296"/>
      <c r="E241" s="298"/>
      <c r="F241" s="299"/>
      <c r="G241" s="300"/>
      <c r="H241" s="303"/>
      <c r="I241" s="303"/>
      <c r="J241" s="322">
        <f t="shared" si="47"/>
        <v>0</v>
      </c>
      <c r="K241" s="305" t="e">
        <f>IF(F241="MXN",1/HLOOKUP(YEAR(G241)+(MONTH(G241)/100),TC!$5:$37,DAY(G241)+2,FALSE),VLOOKUP(F241,Equivalencia!$5:$23,((MAX(Equivalencia!$3:$3)-YEAR(G241))*14)+MONTH(G241)+2,FALSE))</f>
        <v>#N/A</v>
      </c>
      <c r="L241" s="306" t="e">
        <f t="shared" si="50"/>
        <v>#N/A</v>
      </c>
      <c r="M241" s="305">
        <f>IF(G241=0,0,HLOOKUP(YEAR(G241)+(MONTH(G241)/100),TC!$5:$37,DAY(G241)+2,FALSE))</f>
        <v>0</v>
      </c>
      <c r="N241" s="306" t="e">
        <f t="shared" si="51"/>
        <v>#N/A</v>
      </c>
      <c r="O241" s="308">
        <f>IF(G241=0,0,VLOOKUP(YEAR(G241),INPC!$B$4:$P$30,MONTH(G241)+2))</f>
        <v>0</v>
      </c>
      <c r="P241" s="308">
        <f>IF(W241=0,0,IF(OR(C241=$AQ$5,C241=AQ245),VLOOKUP(YEAR(W241),INPC!$B$4:$P$30,MONTH(W241)+1),VLOOKUP(YEAR(W241),INPC!$B$4:$P$30,MONTH(W241)+2)))</f>
        <v>0</v>
      </c>
      <c r="Q241" s="309">
        <f t="shared" si="52"/>
        <v>0</v>
      </c>
      <c r="R241" s="310" t="e">
        <f t="shared" si="53"/>
        <v>#N/A</v>
      </c>
      <c r="S241" s="310">
        <f t="shared" si="54"/>
        <v>0</v>
      </c>
      <c r="T241" s="567" t="str">
        <f t="shared" si="55"/>
        <v>NO</v>
      </c>
      <c r="U241" s="323"/>
      <c r="V241" s="299"/>
      <c r="W241" s="300"/>
      <c r="X241" s="299"/>
      <c r="Y241" s="303"/>
      <c r="Z241" s="305">
        <f>IF(Y241=0,0,IF(X241="MXN",1/HLOOKUP(YEAR(W241)+(MONTH(W241)/100),TC!$5:$37,DAY(W241)+2,FALSE),VLOOKUP(X241,Equivalencia!$1:$23,((MAX(Equivalencia!$3:$3)-YEAR(W241))*14)+MONTH(W241)+2,FALSE)))</f>
        <v>0</v>
      </c>
      <c r="AA241" s="306">
        <f t="shared" si="56"/>
        <v>0</v>
      </c>
      <c r="AB241" s="305">
        <f>+IF(W241=0,0,HLOOKUP(YEAR(W241)+(MONTH(W241)/100),TC!$5:$37,DAY(W241)+2,FALSE))</f>
        <v>0</v>
      </c>
      <c r="AC241" s="306">
        <f t="shared" si="57"/>
        <v>0</v>
      </c>
      <c r="AD241" s="314">
        <f t="shared" si="48"/>
        <v>0</v>
      </c>
      <c r="AE241" s="315">
        <f t="shared" si="58"/>
        <v>0</v>
      </c>
      <c r="AF241" s="316">
        <f t="shared" si="49"/>
        <v>0</v>
      </c>
      <c r="AG241" s="314">
        <v>1</v>
      </c>
      <c r="AH241" s="314">
        <f t="shared" si="59"/>
        <v>0</v>
      </c>
      <c r="AI241" s="314">
        <f t="shared" si="60"/>
        <v>0</v>
      </c>
      <c r="AJ241" s="317"/>
      <c r="AK241" s="315" t="e">
        <f t="shared" si="61"/>
        <v>#N/A</v>
      </c>
      <c r="AM241" s="561"/>
      <c r="AN241" s="561"/>
      <c r="AO241" s="561"/>
    </row>
    <row r="242" spans="2:41">
      <c r="B242" s="296"/>
      <c r="C242" s="299"/>
      <c r="D242" s="296"/>
      <c r="E242" s="298"/>
      <c r="F242" s="299"/>
      <c r="G242" s="300"/>
      <c r="H242" s="303"/>
      <c r="I242" s="303"/>
      <c r="J242" s="322">
        <f t="shared" si="47"/>
        <v>0</v>
      </c>
      <c r="K242" s="305" t="e">
        <f>IF(F242="MXN",1/HLOOKUP(YEAR(G242)+(MONTH(G242)/100),TC!$5:$37,DAY(G242)+2,FALSE),VLOOKUP(F242,Equivalencia!$5:$23,((MAX(Equivalencia!$3:$3)-YEAR(G242))*14)+MONTH(G242)+2,FALSE))</f>
        <v>#N/A</v>
      </c>
      <c r="L242" s="306" t="e">
        <f t="shared" si="50"/>
        <v>#N/A</v>
      </c>
      <c r="M242" s="305">
        <f>IF(G242=0,0,HLOOKUP(YEAR(G242)+(MONTH(G242)/100),TC!$5:$37,DAY(G242)+2,FALSE))</f>
        <v>0</v>
      </c>
      <c r="N242" s="306" t="e">
        <f t="shared" si="51"/>
        <v>#N/A</v>
      </c>
      <c r="O242" s="308">
        <f>IF(G242=0,0,VLOOKUP(YEAR(G242),INPC!$B$4:$P$30,MONTH(G242)+2))</f>
        <v>0</v>
      </c>
      <c r="P242" s="308">
        <f>IF(W242=0,0,IF(OR(C242=$AQ$5,C242=AQ246),VLOOKUP(YEAR(W242),INPC!$B$4:$P$30,MONTH(W242)+1),VLOOKUP(YEAR(W242),INPC!$B$4:$P$30,MONTH(W242)+2)))</f>
        <v>0</v>
      </c>
      <c r="Q242" s="309">
        <f t="shared" si="52"/>
        <v>0</v>
      </c>
      <c r="R242" s="310" t="e">
        <f t="shared" si="53"/>
        <v>#N/A</v>
      </c>
      <c r="S242" s="310">
        <f t="shared" si="54"/>
        <v>0</v>
      </c>
      <c r="T242" s="567" t="str">
        <f t="shared" si="55"/>
        <v>NO</v>
      </c>
      <c r="U242" s="323"/>
      <c r="V242" s="299"/>
      <c r="W242" s="300"/>
      <c r="X242" s="299"/>
      <c r="Y242" s="303"/>
      <c r="Z242" s="305">
        <f>IF(Y242=0,0,IF(X242="MXN",1/HLOOKUP(YEAR(W242)+(MONTH(W242)/100),TC!$5:$37,DAY(W242)+2,FALSE),VLOOKUP(X242,Equivalencia!$1:$23,((MAX(Equivalencia!$3:$3)-YEAR(W242))*14)+MONTH(W242)+2,FALSE)))</f>
        <v>0</v>
      </c>
      <c r="AA242" s="306">
        <f t="shared" si="56"/>
        <v>0</v>
      </c>
      <c r="AB242" s="305">
        <f>+IF(W242=0,0,HLOOKUP(YEAR(W242)+(MONTH(W242)/100),TC!$5:$37,DAY(W242)+2,FALSE))</f>
        <v>0</v>
      </c>
      <c r="AC242" s="306">
        <f t="shared" si="57"/>
        <v>0</v>
      </c>
      <c r="AD242" s="314">
        <f t="shared" si="48"/>
        <v>0</v>
      </c>
      <c r="AE242" s="315">
        <f t="shared" si="58"/>
        <v>0</v>
      </c>
      <c r="AF242" s="316">
        <f t="shared" si="49"/>
        <v>0</v>
      </c>
      <c r="AG242" s="314">
        <v>1</v>
      </c>
      <c r="AH242" s="314">
        <f t="shared" si="59"/>
        <v>0</v>
      </c>
      <c r="AI242" s="314">
        <f t="shared" si="60"/>
        <v>0</v>
      </c>
      <c r="AJ242" s="317"/>
      <c r="AK242" s="315" t="e">
        <f t="shared" si="61"/>
        <v>#N/A</v>
      </c>
      <c r="AM242" s="561"/>
      <c r="AN242" s="561"/>
      <c r="AO242" s="561"/>
    </row>
    <row r="243" spans="2:41">
      <c r="B243" s="296"/>
      <c r="C243" s="299"/>
      <c r="D243" s="296"/>
      <c r="E243" s="298"/>
      <c r="F243" s="299"/>
      <c r="G243" s="300"/>
      <c r="H243" s="303"/>
      <c r="I243" s="303"/>
      <c r="J243" s="322">
        <f t="shared" si="47"/>
        <v>0</v>
      </c>
      <c r="K243" s="305" t="e">
        <f>IF(F243="MXN",1/HLOOKUP(YEAR(G243)+(MONTH(G243)/100),TC!$5:$37,DAY(G243)+2,FALSE),VLOOKUP(F243,Equivalencia!$5:$23,((MAX(Equivalencia!$3:$3)-YEAR(G243))*14)+MONTH(G243)+2,FALSE))</f>
        <v>#N/A</v>
      </c>
      <c r="L243" s="306" t="e">
        <f t="shared" si="50"/>
        <v>#N/A</v>
      </c>
      <c r="M243" s="305">
        <f>IF(G243=0,0,HLOOKUP(YEAR(G243)+(MONTH(G243)/100),TC!$5:$37,DAY(G243)+2,FALSE))</f>
        <v>0</v>
      </c>
      <c r="N243" s="306" t="e">
        <f t="shared" si="51"/>
        <v>#N/A</v>
      </c>
      <c r="O243" s="308">
        <f>IF(G243=0,0,VLOOKUP(YEAR(G243),INPC!$B$4:$P$30,MONTH(G243)+2))</f>
        <v>0</v>
      </c>
      <c r="P243" s="308">
        <f>IF(W243=0,0,IF(OR(C243=$AQ$5,C243=AQ247),VLOOKUP(YEAR(W243),INPC!$B$4:$P$30,MONTH(W243)+1),VLOOKUP(YEAR(W243),INPC!$B$4:$P$30,MONTH(W243)+2)))</f>
        <v>0</v>
      </c>
      <c r="Q243" s="309">
        <f t="shared" si="52"/>
        <v>0</v>
      </c>
      <c r="R243" s="310" t="e">
        <f t="shared" si="53"/>
        <v>#N/A</v>
      </c>
      <c r="S243" s="310">
        <f t="shared" si="54"/>
        <v>0</v>
      </c>
      <c r="T243" s="567" t="str">
        <f t="shared" si="55"/>
        <v>NO</v>
      </c>
      <c r="U243" s="323"/>
      <c r="V243" s="299"/>
      <c r="W243" s="300"/>
      <c r="X243" s="299"/>
      <c r="Y243" s="303"/>
      <c r="Z243" s="305">
        <f>IF(Y243=0,0,IF(X243="MXN",1/HLOOKUP(YEAR(W243)+(MONTH(W243)/100),TC!$5:$37,DAY(W243)+2,FALSE),VLOOKUP(X243,Equivalencia!$1:$23,((MAX(Equivalencia!$3:$3)-YEAR(W243))*14)+MONTH(W243)+2,FALSE)))</f>
        <v>0</v>
      </c>
      <c r="AA243" s="306">
        <f t="shared" si="56"/>
        <v>0</v>
      </c>
      <c r="AB243" s="305">
        <f>+IF(W243=0,0,HLOOKUP(YEAR(W243)+(MONTH(W243)/100),TC!$5:$37,DAY(W243)+2,FALSE))</f>
        <v>0</v>
      </c>
      <c r="AC243" s="306">
        <f t="shared" si="57"/>
        <v>0</v>
      </c>
      <c r="AD243" s="314">
        <f t="shared" si="48"/>
        <v>0</v>
      </c>
      <c r="AE243" s="315">
        <f t="shared" si="58"/>
        <v>0</v>
      </c>
      <c r="AF243" s="316">
        <f t="shared" si="49"/>
        <v>0</v>
      </c>
      <c r="AG243" s="314">
        <v>1</v>
      </c>
      <c r="AH243" s="314">
        <f t="shared" si="59"/>
        <v>0</v>
      </c>
      <c r="AI243" s="314">
        <f t="shared" si="60"/>
        <v>0</v>
      </c>
      <c r="AJ243" s="317"/>
      <c r="AK243" s="315" t="e">
        <f t="shared" si="61"/>
        <v>#N/A</v>
      </c>
      <c r="AM243" s="561"/>
      <c r="AN243" s="561"/>
      <c r="AO243" s="561"/>
    </row>
    <row r="244" spans="2:41">
      <c r="B244" s="296"/>
      <c r="C244" s="299"/>
      <c r="D244" s="296"/>
      <c r="E244" s="298"/>
      <c r="F244" s="299"/>
      <c r="G244" s="300"/>
      <c r="H244" s="303"/>
      <c r="I244" s="303"/>
      <c r="J244" s="322">
        <f t="shared" si="47"/>
        <v>0</v>
      </c>
      <c r="K244" s="305" t="e">
        <f>IF(F244="MXN",1/HLOOKUP(YEAR(G244)+(MONTH(G244)/100),TC!$5:$37,DAY(G244)+2,FALSE),VLOOKUP(F244,Equivalencia!$5:$23,((MAX(Equivalencia!$3:$3)-YEAR(G244))*14)+MONTH(G244)+2,FALSE))</f>
        <v>#N/A</v>
      </c>
      <c r="L244" s="306" t="e">
        <f t="shared" si="50"/>
        <v>#N/A</v>
      </c>
      <c r="M244" s="305">
        <f>IF(G244=0,0,HLOOKUP(YEAR(G244)+(MONTH(G244)/100),TC!$5:$37,DAY(G244)+2,FALSE))</f>
        <v>0</v>
      </c>
      <c r="N244" s="306" t="e">
        <f t="shared" si="51"/>
        <v>#N/A</v>
      </c>
      <c r="O244" s="308">
        <f>IF(G244=0,0,VLOOKUP(YEAR(G244),INPC!$B$4:$P$30,MONTH(G244)+2))</f>
        <v>0</v>
      </c>
      <c r="P244" s="308">
        <f>IF(W244=0,0,IF(OR(C244=$AQ$5,C244=AQ248),VLOOKUP(YEAR(W244),INPC!$B$4:$P$30,MONTH(W244)+1),VLOOKUP(YEAR(W244),INPC!$B$4:$P$30,MONTH(W244)+2)))</f>
        <v>0</v>
      </c>
      <c r="Q244" s="309">
        <f t="shared" si="52"/>
        <v>0</v>
      </c>
      <c r="R244" s="310" t="e">
        <f t="shared" si="53"/>
        <v>#N/A</v>
      </c>
      <c r="S244" s="310">
        <f t="shared" si="54"/>
        <v>0</v>
      </c>
      <c r="T244" s="567" t="str">
        <f t="shared" si="55"/>
        <v>NO</v>
      </c>
      <c r="U244" s="323"/>
      <c r="V244" s="299"/>
      <c r="W244" s="300"/>
      <c r="X244" s="299"/>
      <c r="Y244" s="303"/>
      <c r="Z244" s="305">
        <f>IF(Y244=0,0,IF(X244="MXN",1/HLOOKUP(YEAR(W244)+(MONTH(W244)/100),TC!$5:$37,DAY(W244)+2,FALSE),VLOOKUP(X244,Equivalencia!$1:$23,((MAX(Equivalencia!$3:$3)-YEAR(W244))*14)+MONTH(W244)+2,FALSE)))</f>
        <v>0</v>
      </c>
      <c r="AA244" s="306">
        <f t="shared" si="56"/>
        <v>0</v>
      </c>
      <c r="AB244" s="305">
        <f>+IF(W244=0,0,HLOOKUP(YEAR(W244)+(MONTH(W244)/100),TC!$5:$37,DAY(W244)+2,FALSE))</f>
        <v>0</v>
      </c>
      <c r="AC244" s="306">
        <f t="shared" si="57"/>
        <v>0</v>
      </c>
      <c r="AD244" s="314">
        <f t="shared" si="48"/>
        <v>0</v>
      </c>
      <c r="AE244" s="315">
        <f t="shared" si="58"/>
        <v>0</v>
      </c>
      <c r="AF244" s="316">
        <f t="shared" si="49"/>
        <v>0</v>
      </c>
      <c r="AG244" s="314">
        <v>1</v>
      </c>
      <c r="AH244" s="314">
        <f t="shared" si="59"/>
        <v>0</v>
      </c>
      <c r="AI244" s="314">
        <f t="shared" si="60"/>
        <v>0</v>
      </c>
      <c r="AJ244" s="317"/>
      <c r="AK244" s="315" t="e">
        <f t="shared" si="61"/>
        <v>#N/A</v>
      </c>
      <c r="AM244" s="561"/>
      <c r="AN244" s="561"/>
      <c r="AO244" s="561"/>
    </row>
    <row r="245" spans="2:41">
      <c r="B245" s="296"/>
      <c r="C245" s="299"/>
      <c r="D245" s="296"/>
      <c r="E245" s="298"/>
      <c r="F245" s="299"/>
      <c r="G245" s="300"/>
      <c r="H245" s="303"/>
      <c r="I245" s="303"/>
      <c r="J245" s="322">
        <f t="shared" si="47"/>
        <v>0</v>
      </c>
      <c r="K245" s="305" t="e">
        <f>IF(F245="MXN",1/HLOOKUP(YEAR(G245)+(MONTH(G245)/100),TC!$5:$37,DAY(G245)+2,FALSE),VLOOKUP(F245,Equivalencia!$5:$23,((MAX(Equivalencia!$3:$3)-YEAR(G245))*14)+MONTH(G245)+2,FALSE))</f>
        <v>#N/A</v>
      </c>
      <c r="L245" s="306" t="e">
        <f t="shared" si="50"/>
        <v>#N/A</v>
      </c>
      <c r="M245" s="305">
        <f>IF(G245=0,0,HLOOKUP(YEAR(G245)+(MONTH(G245)/100),TC!$5:$37,DAY(G245)+2,FALSE))</f>
        <v>0</v>
      </c>
      <c r="N245" s="306" t="e">
        <f t="shared" si="51"/>
        <v>#N/A</v>
      </c>
      <c r="O245" s="308">
        <f>IF(G245=0,0,VLOOKUP(YEAR(G245),INPC!$B$4:$P$30,MONTH(G245)+2))</f>
        <v>0</v>
      </c>
      <c r="P245" s="308">
        <f>IF(W245=0,0,IF(OR(C245=$AQ$5,C245=AQ249),VLOOKUP(YEAR(W245),INPC!$B$4:$P$30,MONTH(W245)+1),VLOOKUP(YEAR(W245),INPC!$B$4:$P$30,MONTH(W245)+2)))</f>
        <v>0</v>
      </c>
      <c r="Q245" s="309">
        <f t="shared" si="52"/>
        <v>0</v>
      </c>
      <c r="R245" s="310" t="e">
        <f t="shared" si="53"/>
        <v>#N/A</v>
      </c>
      <c r="S245" s="310">
        <f t="shared" si="54"/>
        <v>0</v>
      </c>
      <c r="T245" s="567" t="str">
        <f t="shared" si="55"/>
        <v>NO</v>
      </c>
      <c r="U245" s="323"/>
      <c r="V245" s="299"/>
      <c r="W245" s="300"/>
      <c r="X245" s="299"/>
      <c r="Y245" s="303"/>
      <c r="Z245" s="305">
        <f>IF(Y245=0,0,IF(X245="MXN",1/HLOOKUP(YEAR(W245)+(MONTH(W245)/100),TC!$5:$37,DAY(W245)+2,FALSE),VLOOKUP(X245,Equivalencia!$1:$23,((MAX(Equivalencia!$3:$3)-YEAR(W245))*14)+MONTH(W245)+2,FALSE)))</f>
        <v>0</v>
      </c>
      <c r="AA245" s="306">
        <f t="shared" si="56"/>
        <v>0</v>
      </c>
      <c r="AB245" s="305">
        <f>+IF(W245=0,0,HLOOKUP(YEAR(W245)+(MONTH(W245)/100),TC!$5:$37,DAY(W245)+2,FALSE))</f>
        <v>0</v>
      </c>
      <c r="AC245" s="306">
        <f t="shared" si="57"/>
        <v>0</v>
      </c>
      <c r="AD245" s="314">
        <f t="shared" si="48"/>
        <v>0</v>
      </c>
      <c r="AE245" s="315">
        <f t="shared" si="58"/>
        <v>0</v>
      </c>
      <c r="AF245" s="316">
        <f t="shared" si="49"/>
        <v>0</v>
      </c>
      <c r="AG245" s="314">
        <v>1</v>
      </c>
      <c r="AH245" s="314">
        <f t="shared" si="59"/>
        <v>0</v>
      </c>
      <c r="AI245" s="314">
        <f t="shared" si="60"/>
        <v>0</v>
      </c>
      <c r="AJ245" s="317"/>
      <c r="AK245" s="315" t="e">
        <f t="shared" si="61"/>
        <v>#N/A</v>
      </c>
      <c r="AM245" s="561"/>
      <c r="AN245" s="561"/>
      <c r="AO245" s="561"/>
    </row>
    <row r="246" spans="2:41">
      <c r="B246" s="296"/>
      <c r="C246" s="299"/>
      <c r="D246" s="296"/>
      <c r="E246" s="298"/>
      <c r="F246" s="299"/>
      <c r="G246" s="300"/>
      <c r="H246" s="303"/>
      <c r="I246" s="303"/>
      <c r="J246" s="322">
        <f t="shared" si="47"/>
        <v>0</v>
      </c>
      <c r="K246" s="305" t="e">
        <f>IF(F246="MXN",1/HLOOKUP(YEAR(G246)+(MONTH(G246)/100),TC!$5:$37,DAY(G246)+2,FALSE),VLOOKUP(F246,Equivalencia!$5:$23,((MAX(Equivalencia!$3:$3)-YEAR(G246))*14)+MONTH(G246)+2,FALSE))</f>
        <v>#N/A</v>
      </c>
      <c r="L246" s="306" t="e">
        <f t="shared" si="50"/>
        <v>#N/A</v>
      </c>
      <c r="M246" s="305">
        <f>IF(G246=0,0,HLOOKUP(YEAR(G246)+(MONTH(G246)/100),TC!$5:$37,DAY(G246)+2,FALSE))</f>
        <v>0</v>
      </c>
      <c r="N246" s="306" t="e">
        <f t="shared" si="51"/>
        <v>#N/A</v>
      </c>
      <c r="O246" s="308">
        <f>IF(G246=0,0,VLOOKUP(YEAR(G246),INPC!$B$4:$P$30,MONTH(G246)+2))</f>
        <v>0</v>
      </c>
      <c r="P246" s="308">
        <f>IF(W246=0,0,IF(OR(C246=$AQ$5,C246=AQ250),VLOOKUP(YEAR(W246),INPC!$B$4:$P$30,MONTH(W246)+1),VLOOKUP(YEAR(W246),INPC!$B$4:$P$30,MONTH(W246)+2)))</f>
        <v>0</v>
      </c>
      <c r="Q246" s="309">
        <f t="shared" si="52"/>
        <v>0</v>
      </c>
      <c r="R246" s="310" t="e">
        <f t="shared" si="53"/>
        <v>#N/A</v>
      </c>
      <c r="S246" s="310">
        <f t="shared" si="54"/>
        <v>0</v>
      </c>
      <c r="T246" s="567" t="str">
        <f t="shared" si="55"/>
        <v>NO</v>
      </c>
      <c r="U246" s="323"/>
      <c r="V246" s="299"/>
      <c r="W246" s="300"/>
      <c r="X246" s="299"/>
      <c r="Y246" s="303"/>
      <c r="Z246" s="305">
        <f>IF(Y246=0,0,IF(X246="MXN",1/HLOOKUP(YEAR(W246)+(MONTH(W246)/100),TC!$5:$37,DAY(W246)+2,FALSE),VLOOKUP(X246,Equivalencia!$1:$23,((MAX(Equivalencia!$3:$3)-YEAR(W246))*14)+MONTH(W246)+2,FALSE)))</f>
        <v>0</v>
      </c>
      <c r="AA246" s="306">
        <f t="shared" si="56"/>
        <v>0</v>
      </c>
      <c r="AB246" s="305">
        <f>+IF(W246=0,0,HLOOKUP(YEAR(W246)+(MONTH(W246)/100),TC!$5:$37,DAY(W246)+2,FALSE))</f>
        <v>0</v>
      </c>
      <c r="AC246" s="306">
        <f t="shared" si="57"/>
        <v>0</v>
      </c>
      <c r="AD246" s="314">
        <f t="shared" si="48"/>
        <v>0</v>
      </c>
      <c r="AE246" s="315">
        <f t="shared" si="58"/>
        <v>0</v>
      </c>
      <c r="AF246" s="316">
        <f t="shared" si="49"/>
        <v>0</v>
      </c>
      <c r="AG246" s="314">
        <v>1</v>
      </c>
      <c r="AH246" s="314">
        <f t="shared" si="59"/>
        <v>0</v>
      </c>
      <c r="AI246" s="314">
        <f t="shared" si="60"/>
        <v>0</v>
      </c>
      <c r="AJ246" s="317"/>
      <c r="AK246" s="315" t="e">
        <f t="shared" si="61"/>
        <v>#N/A</v>
      </c>
      <c r="AM246" s="561"/>
      <c r="AN246" s="561"/>
      <c r="AO246" s="561"/>
    </row>
    <row r="247" spans="2:41">
      <c r="B247" s="296"/>
      <c r="C247" s="299"/>
      <c r="D247" s="296"/>
      <c r="E247" s="298"/>
      <c r="F247" s="299"/>
      <c r="G247" s="300"/>
      <c r="H247" s="303"/>
      <c r="I247" s="303"/>
      <c r="J247" s="322">
        <f t="shared" si="47"/>
        <v>0</v>
      </c>
      <c r="K247" s="305" t="e">
        <f>IF(F247="MXN",1/HLOOKUP(YEAR(G247)+(MONTH(G247)/100),TC!$5:$37,DAY(G247)+2,FALSE),VLOOKUP(F247,Equivalencia!$5:$23,((MAX(Equivalencia!$3:$3)-YEAR(G247))*14)+MONTH(G247)+2,FALSE))</f>
        <v>#N/A</v>
      </c>
      <c r="L247" s="306" t="e">
        <f t="shared" si="50"/>
        <v>#N/A</v>
      </c>
      <c r="M247" s="305">
        <f>IF(G247=0,0,HLOOKUP(YEAR(G247)+(MONTH(G247)/100),TC!$5:$37,DAY(G247)+2,FALSE))</f>
        <v>0</v>
      </c>
      <c r="N247" s="306" t="e">
        <f t="shared" si="51"/>
        <v>#N/A</v>
      </c>
      <c r="O247" s="308">
        <f>IF(G247=0,0,VLOOKUP(YEAR(G247),INPC!$B$4:$P$30,MONTH(G247)+2))</f>
        <v>0</v>
      </c>
      <c r="P247" s="308">
        <f>IF(W247=0,0,IF(OR(C247=$AQ$5,C247=AQ251),VLOOKUP(YEAR(W247),INPC!$B$4:$P$30,MONTH(W247)+1),VLOOKUP(YEAR(W247),INPC!$B$4:$P$30,MONTH(W247)+2)))</f>
        <v>0</v>
      </c>
      <c r="Q247" s="309">
        <f t="shared" si="52"/>
        <v>0</v>
      </c>
      <c r="R247" s="310" t="e">
        <f t="shared" si="53"/>
        <v>#N/A</v>
      </c>
      <c r="S247" s="310">
        <f t="shared" si="54"/>
        <v>0</v>
      </c>
      <c r="T247" s="567" t="str">
        <f t="shared" si="55"/>
        <v>NO</v>
      </c>
      <c r="U247" s="323"/>
      <c r="V247" s="299"/>
      <c r="W247" s="300"/>
      <c r="X247" s="299"/>
      <c r="Y247" s="303"/>
      <c r="Z247" s="305">
        <f>IF(Y247=0,0,IF(X247="MXN",1/HLOOKUP(YEAR(W247)+(MONTH(W247)/100),TC!$5:$37,DAY(W247)+2,FALSE),VLOOKUP(X247,Equivalencia!$1:$23,((MAX(Equivalencia!$3:$3)-YEAR(W247))*14)+MONTH(W247)+2,FALSE)))</f>
        <v>0</v>
      </c>
      <c r="AA247" s="306">
        <f t="shared" si="56"/>
        <v>0</v>
      </c>
      <c r="AB247" s="305">
        <f>+IF(W247=0,0,HLOOKUP(YEAR(W247)+(MONTH(W247)/100),TC!$5:$37,DAY(W247)+2,FALSE))</f>
        <v>0</v>
      </c>
      <c r="AC247" s="306">
        <f t="shared" si="57"/>
        <v>0</v>
      </c>
      <c r="AD247" s="314">
        <f t="shared" si="48"/>
        <v>0</v>
      </c>
      <c r="AE247" s="315">
        <f t="shared" si="58"/>
        <v>0</v>
      </c>
      <c r="AF247" s="316">
        <f t="shared" si="49"/>
        <v>0</v>
      </c>
      <c r="AG247" s="314">
        <v>1</v>
      </c>
      <c r="AH247" s="314">
        <f t="shared" si="59"/>
        <v>0</v>
      </c>
      <c r="AI247" s="314">
        <f t="shared" si="60"/>
        <v>0</v>
      </c>
      <c r="AJ247" s="317"/>
      <c r="AK247" s="315" t="e">
        <f t="shared" si="61"/>
        <v>#N/A</v>
      </c>
      <c r="AM247" s="561"/>
      <c r="AN247" s="561"/>
      <c r="AO247" s="561"/>
    </row>
    <row r="248" spans="2:41">
      <c r="B248" s="296"/>
      <c r="C248" s="299"/>
      <c r="D248" s="296"/>
      <c r="E248" s="298"/>
      <c r="F248" s="299"/>
      <c r="G248" s="300"/>
      <c r="H248" s="303"/>
      <c r="I248" s="303"/>
      <c r="J248" s="322">
        <f t="shared" si="47"/>
        <v>0</v>
      </c>
      <c r="K248" s="305" t="e">
        <f>IF(F248="MXN",1/HLOOKUP(YEAR(G248)+(MONTH(G248)/100),TC!$5:$37,DAY(G248)+2,FALSE),VLOOKUP(F248,Equivalencia!$5:$23,((MAX(Equivalencia!$3:$3)-YEAR(G248))*14)+MONTH(G248)+2,FALSE))</f>
        <v>#N/A</v>
      </c>
      <c r="L248" s="306" t="e">
        <f t="shared" si="50"/>
        <v>#N/A</v>
      </c>
      <c r="M248" s="305">
        <f>IF(G248=0,0,HLOOKUP(YEAR(G248)+(MONTH(G248)/100),TC!$5:$37,DAY(G248)+2,FALSE))</f>
        <v>0</v>
      </c>
      <c r="N248" s="306" t="e">
        <f t="shared" si="51"/>
        <v>#N/A</v>
      </c>
      <c r="O248" s="308">
        <f>IF(G248=0,0,VLOOKUP(YEAR(G248),INPC!$B$4:$P$30,MONTH(G248)+2))</f>
        <v>0</v>
      </c>
      <c r="P248" s="308">
        <f>IF(W248=0,0,IF(OR(C248=$AQ$5,C248=AQ252),VLOOKUP(YEAR(W248),INPC!$B$4:$P$30,MONTH(W248)+1),VLOOKUP(YEAR(W248),INPC!$B$4:$P$30,MONTH(W248)+2)))</f>
        <v>0</v>
      </c>
      <c r="Q248" s="309">
        <f t="shared" si="52"/>
        <v>0</v>
      </c>
      <c r="R248" s="310" t="e">
        <f t="shared" si="53"/>
        <v>#N/A</v>
      </c>
      <c r="S248" s="310">
        <f t="shared" si="54"/>
        <v>0</v>
      </c>
      <c r="T248" s="567" t="str">
        <f t="shared" si="55"/>
        <v>NO</v>
      </c>
      <c r="U248" s="323"/>
      <c r="V248" s="299"/>
      <c r="W248" s="300"/>
      <c r="X248" s="299"/>
      <c r="Y248" s="303"/>
      <c r="Z248" s="305">
        <f>IF(Y248=0,0,IF(X248="MXN",1/HLOOKUP(YEAR(W248)+(MONTH(W248)/100),TC!$5:$37,DAY(W248)+2,FALSE),VLOOKUP(X248,Equivalencia!$1:$23,((MAX(Equivalencia!$3:$3)-YEAR(W248))*14)+MONTH(W248)+2,FALSE)))</f>
        <v>0</v>
      </c>
      <c r="AA248" s="306">
        <f t="shared" si="56"/>
        <v>0</v>
      </c>
      <c r="AB248" s="305">
        <f>+IF(W248=0,0,HLOOKUP(YEAR(W248)+(MONTH(W248)/100),TC!$5:$37,DAY(W248)+2,FALSE))</f>
        <v>0</v>
      </c>
      <c r="AC248" s="306">
        <f t="shared" si="57"/>
        <v>0</v>
      </c>
      <c r="AD248" s="314">
        <f t="shared" si="48"/>
        <v>0</v>
      </c>
      <c r="AE248" s="315">
        <f t="shared" si="58"/>
        <v>0</v>
      </c>
      <c r="AF248" s="316">
        <f t="shared" si="49"/>
        <v>0</v>
      </c>
      <c r="AG248" s="314">
        <v>1</v>
      </c>
      <c r="AH248" s="314">
        <f t="shared" si="59"/>
        <v>0</v>
      </c>
      <c r="AI248" s="314">
        <f t="shared" si="60"/>
        <v>0</v>
      </c>
      <c r="AJ248" s="317"/>
      <c r="AK248" s="315" t="e">
        <f t="shared" si="61"/>
        <v>#N/A</v>
      </c>
      <c r="AM248" s="561"/>
      <c r="AN248" s="561"/>
      <c r="AO248" s="561"/>
    </row>
    <row r="249" spans="2:41">
      <c r="B249" s="296"/>
      <c r="C249" s="299"/>
      <c r="D249" s="296"/>
      <c r="E249" s="298"/>
      <c r="F249" s="299"/>
      <c r="G249" s="300"/>
      <c r="H249" s="303"/>
      <c r="I249" s="303"/>
      <c r="J249" s="322">
        <f t="shared" si="47"/>
        <v>0</v>
      </c>
      <c r="K249" s="305" t="e">
        <f>IF(F249="MXN",1/HLOOKUP(YEAR(G249)+(MONTH(G249)/100),TC!$5:$37,DAY(G249)+2,FALSE),VLOOKUP(F249,Equivalencia!$5:$23,((MAX(Equivalencia!$3:$3)-YEAR(G249))*14)+MONTH(G249)+2,FALSE))</f>
        <v>#N/A</v>
      </c>
      <c r="L249" s="306" t="e">
        <f t="shared" si="50"/>
        <v>#N/A</v>
      </c>
      <c r="M249" s="305">
        <f>IF(G249=0,0,HLOOKUP(YEAR(G249)+(MONTH(G249)/100),TC!$5:$37,DAY(G249)+2,FALSE))</f>
        <v>0</v>
      </c>
      <c r="N249" s="306" t="e">
        <f t="shared" si="51"/>
        <v>#N/A</v>
      </c>
      <c r="O249" s="308">
        <f>IF(G249=0,0,VLOOKUP(YEAR(G249),INPC!$B$4:$P$30,MONTH(G249)+2))</f>
        <v>0</v>
      </c>
      <c r="P249" s="308">
        <f>IF(W249=0,0,IF(OR(C249=$AQ$5,C249=AQ253),VLOOKUP(YEAR(W249),INPC!$B$4:$P$30,MONTH(W249)+1),VLOOKUP(YEAR(W249),INPC!$B$4:$P$30,MONTH(W249)+2)))</f>
        <v>0</v>
      </c>
      <c r="Q249" s="309">
        <f t="shared" si="52"/>
        <v>0</v>
      </c>
      <c r="R249" s="310" t="e">
        <f t="shared" si="53"/>
        <v>#N/A</v>
      </c>
      <c r="S249" s="310">
        <f t="shared" si="54"/>
        <v>0</v>
      </c>
      <c r="T249" s="567" t="str">
        <f t="shared" si="55"/>
        <v>NO</v>
      </c>
      <c r="U249" s="323"/>
      <c r="V249" s="299"/>
      <c r="W249" s="300"/>
      <c r="X249" s="299"/>
      <c r="Y249" s="303"/>
      <c r="Z249" s="305">
        <f>IF(Y249=0,0,IF(X249="MXN",1/HLOOKUP(YEAR(W249)+(MONTH(W249)/100),TC!$5:$37,DAY(W249)+2,FALSE),VLOOKUP(X249,Equivalencia!$1:$23,((MAX(Equivalencia!$3:$3)-YEAR(W249))*14)+MONTH(W249)+2,FALSE)))</f>
        <v>0</v>
      </c>
      <c r="AA249" s="306">
        <f t="shared" si="56"/>
        <v>0</v>
      </c>
      <c r="AB249" s="305">
        <f>+IF(W249=0,0,HLOOKUP(YEAR(W249)+(MONTH(W249)/100),TC!$5:$37,DAY(W249)+2,FALSE))</f>
        <v>0</v>
      </c>
      <c r="AC249" s="306">
        <f t="shared" si="57"/>
        <v>0</v>
      </c>
      <c r="AD249" s="314">
        <f t="shared" si="48"/>
        <v>0</v>
      </c>
      <c r="AE249" s="315">
        <f t="shared" si="58"/>
        <v>0</v>
      </c>
      <c r="AF249" s="316">
        <f t="shared" si="49"/>
        <v>0</v>
      </c>
      <c r="AG249" s="314">
        <v>1</v>
      </c>
      <c r="AH249" s="314">
        <f t="shared" si="59"/>
        <v>0</v>
      </c>
      <c r="AI249" s="314">
        <f t="shared" si="60"/>
        <v>0</v>
      </c>
      <c r="AJ249" s="317"/>
      <c r="AK249" s="315" t="e">
        <f t="shared" si="61"/>
        <v>#N/A</v>
      </c>
      <c r="AM249" s="561"/>
      <c r="AN249" s="561"/>
      <c r="AO249" s="561"/>
    </row>
    <row r="250" spans="2:41">
      <c r="B250" s="296"/>
      <c r="C250" s="299"/>
      <c r="D250" s="296"/>
      <c r="E250" s="298"/>
      <c r="F250" s="299"/>
      <c r="G250" s="300"/>
      <c r="H250" s="303"/>
      <c r="I250" s="303"/>
      <c r="J250" s="322">
        <f t="shared" si="47"/>
        <v>0</v>
      </c>
      <c r="K250" s="305" t="e">
        <f>IF(F250="MXN",1/HLOOKUP(YEAR(G250)+(MONTH(G250)/100),TC!$5:$37,DAY(G250)+2,FALSE),VLOOKUP(F250,Equivalencia!$5:$23,((MAX(Equivalencia!$3:$3)-YEAR(G250))*14)+MONTH(G250)+2,FALSE))</f>
        <v>#N/A</v>
      </c>
      <c r="L250" s="306" t="e">
        <f t="shared" si="50"/>
        <v>#N/A</v>
      </c>
      <c r="M250" s="305">
        <f>IF(G250=0,0,HLOOKUP(YEAR(G250)+(MONTH(G250)/100),TC!$5:$37,DAY(G250)+2,FALSE))</f>
        <v>0</v>
      </c>
      <c r="N250" s="306" t="e">
        <f t="shared" si="51"/>
        <v>#N/A</v>
      </c>
      <c r="O250" s="308">
        <f>IF(G250=0,0,VLOOKUP(YEAR(G250),INPC!$B$4:$P$30,MONTH(G250)+2))</f>
        <v>0</v>
      </c>
      <c r="P250" s="308">
        <f>IF(W250=0,0,IF(OR(C250=$AQ$5,C250=AQ254),VLOOKUP(YEAR(W250),INPC!$B$4:$P$30,MONTH(W250)+1),VLOOKUP(YEAR(W250),INPC!$B$4:$P$30,MONTH(W250)+2)))</f>
        <v>0</v>
      </c>
      <c r="Q250" s="309">
        <f t="shared" si="52"/>
        <v>0</v>
      </c>
      <c r="R250" s="310" t="e">
        <f t="shared" si="53"/>
        <v>#N/A</v>
      </c>
      <c r="S250" s="310">
        <f t="shared" si="54"/>
        <v>0</v>
      </c>
      <c r="T250" s="567" t="str">
        <f t="shared" si="55"/>
        <v>NO</v>
      </c>
      <c r="U250" s="323"/>
      <c r="V250" s="299"/>
      <c r="W250" s="300"/>
      <c r="X250" s="299"/>
      <c r="Y250" s="303"/>
      <c r="Z250" s="305">
        <f>IF(Y250=0,0,IF(X250="MXN",1/HLOOKUP(YEAR(W250)+(MONTH(W250)/100),TC!$5:$37,DAY(W250)+2,FALSE),VLOOKUP(X250,Equivalencia!$1:$23,((MAX(Equivalencia!$3:$3)-YEAR(W250))*14)+MONTH(W250)+2,FALSE)))</f>
        <v>0</v>
      </c>
      <c r="AA250" s="306">
        <f t="shared" si="56"/>
        <v>0</v>
      </c>
      <c r="AB250" s="305">
        <f>+IF(W250=0,0,HLOOKUP(YEAR(W250)+(MONTH(W250)/100),TC!$5:$37,DAY(W250)+2,FALSE))</f>
        <v>0</v>
      </c>
      <c r="AC250" s="306">
        <f t="shared" si="57"/>
        <v>0</v>
      </c>
      <c r="AD250" s="314">
        <f t="shared" si="48"/>
        <v>0</v>
      </c>
      <c r="AE250" s="315">
        <f t="shared" si="58"/>
        <v>0</v>
      </c>
      <c r="AF250" s="316">
        <f t="shared" si="49"/>
        <v>0</v>
      </c>
      <c r="AG250" s="314">
        <v>1</v>
      </c>
      <c r="AH250" s="314">
        <f t="shared" si="59"/>
        <v>0</v>
      </c>
      <c r="AI250" s="314">
        <f t="shared" si="60"/>
        <v>0</v>
      </c>
      <c r="AJ250" s="317"/>
      <c r="AK250" s="315" t="e">
        <f t="shared" si="61"/>
        <v>#N/A</v>
      </c>
      <c r="AM250" s="561"/>
      <c r="AN250" s="561"/>
      <c r="AO250" s="561"/>
    </row>
    <row r="251" spans="2:41">
      <c r="B251" s="296"/>
      <c r="C251" s="299"/>
      <c r="D251" s="296"/>
      <c r="E251" s="298"/>
      <c r="F251" s="299"/>
      <c r="G251" s="300"/>
      <c r="H251" s="303"/>
      <c r="I251" s="303"/>
      <c r="J251" s="322">
        <f t="shared" si="47"/>
        <v>0</v>
      </c>
      <c r="K251" s="305" t="e">
        <f>IF(F251="MXN",1/HLOOKUP(YEAR(G251)+(MONTH(G251)/100),TC!$5:$37,DAY(G251)+2,FALSE),VLOOKUP(F251,Equivalencia!$5:$23,((MAX(Equivalencia!$3:$3)-YEAR(G251))*14)+MONTH(G251)+2,FALSE))</f>
        <v>#N/A</v>
      </c>
      <c r="L251" s="306" t="e">
        <f t="shared" si="50"/>
        <v>#N/A</v>
      </c>
      <c r="M251" s="305">
        <f>IF(G251=0,0,HLOOKUP(YEAR(G251)+(MONTH(G251)/100),TC!$5:$37,DAY(G251)+2,FALSE))</f>
        <v>0</v>
      </c>
      <c r="N251" s="306" t="e">
        <f t="shared" si="51"/>
        <v>#N/A</v>
      </c>
      <c r="O251" s="308">
        <f>IF(G251=0,0,VLOOKUP(YEAR(G251),INPC!$B$4:$P$30,MONTH(G251)+2))</f>
        <v>0</v>
      </c>
      <c r="P251" s="308">
        <f>IF(W251=0,0,IF(OR(C251=$AQ$5,C251=AQ255),VLOOKUP(YEAR(W251),INPC!$B$4:$P$30,MONTH(W251)+1),VLOOKUP(YEAR(W251),INPC!$B$4:$P$30,MONTH(W251)+2)))</f>
        <v>0</v>
      </c>
      <c r="Q251" s="309">
        <f t="shared" si="52"/>
        <v>0</v>
      </c>
      <c r="R251" s="310" t="e">
        <f t="shared" si="53"/>
        <v>#N/A</v>
      </c>
      <c r="S251" s="310">
        <f t="shared" si="54"/>
        <v>0</v>
      </c>
      <c r="T251" s="567" t="str">
        <f t="shared" si="55"/>
        <v>NO</v>
      </c>
      <c r="U251" s="323"/>
      <c r="V251" s="299"/>
      <c r="W251" s="300"/>
      <c r="X251" s="299"/>
      <c r="Y251" s="303"/>
      <c r="Z251" s="305">
        <f>IF(Y251=0,0,IF(X251="MXN",1/HLOOKUP(YEAR(W251)+(MONTH(W251)/100),TC!$5:$37,DAY(W251)+2,FALSE),VLOOKUP(X251,Equivalencia!$1:$23,((MAX(Equivalencia!$3:$3)-YEAR(W251))*14)+MONTH(W251)+2,FALSE)))</f>
        <v>0</v>
      </c>
      <c r="AA251" s="306">
        <f t="shared" si="56"/>
        <v>0</v>
      </c>
      <c r="AB251" s="305">
        <f>+IF(W251=0,0,HLOOKUP(YEAR(W251)+(MONTH(W251)/100),TC!$5:$37,DAY(W251)+2,FALSE))</f>
        <v>0</v>
      </c>
      <c r="AC251" s="306">
        <f t="shared" si="57"/>
        <v>0</v>
      </c>
      <c r="AD251" s="314">
        <f t="shared" si="48"/>
        <v>0</v>
      </c>
      <c r="AE251" s="315">
        <f t="shared" si="58"/>
        <v>0</v>
      </c>
      <c r="AF251" s="316">
        <f t="shared" si="49"/>
        <v>0</v>
      </c>
      <c r="AG251" s="314">
        <v>1</v>
      </c>
      <c r="AH251" s="314">
        <f t="shared" si="59"/>
        <v>0</v>
      </c>
      <c r="AI251" s="314">
        <f t="shared" si="60"/>
        <v>0</v>
      </c>
      <c r="AJ251" s="317"/>
      <c r="AK251" s="315" t="e">
        <f t="shared" si="61"/>
        <v>#N/A</v>
      </c>
      <c r="AM251" s="561"/>
      <c r="AN251" s="561"/>
      <c r="AO251" s="561"/>
    </row>
    <row r="252" spans="2:41">
      <c r="B252" s="296"/>
      <c r="C252" s="299"/>
      <c r="D252" s="296"/>
      <c r="E252" s="298"/>
      <c r="F252" s="299"/>
      <c r="G252" s="300"/>
      <c r="H252" s="303"/>
      <c r="I252" s="303"/>
      <c r="J252" s="322">
        <f t="shared" si="47"/>
        <v>0</v>
      </c>
      <c r="K252" s="305" t="e">
        <f>IF(F252="MXN",1/HLOOKUP(YEAR(G252)+(MONTH(G252)/100),TC!$5:$37,DAY(G252)+2,FALSE),VLOOKUP(F252,Equivalencia!$5:$23,((MAX(Equivalencia!$3:$3)-YEAR(G252))*14)+MONTH(G252)+2,FALSE))</f>
        <v>#N/A</v>
      </c>
      <c r="L252" s="306" t="e">
        <f t="shared" si="50"/>
        <v>#N/A</v>
      </c>
      <c r="M252" s="305">
        <f>IF(G252=0,0,HLOOKUP(YEAR(G252)+(MONTH(G252)/100),TC!$5:$37,DAY(G252)+2,FALSE))</f>
        <v>0</v>
      </c>
      <c r="N252" s="306" t="e">
        <f t="shared" si="51"/>
        <v>#N/A</v>
      </c>
      <c r="O252" s="308">
        <f>IF(G252=0,0,VLOOKUP(YEAR(G252),INPC!$B$4:$P$30,MONTH(G252)+2))</f>
        <v>0</v>
      </c>
      <c r="P252" s="308">
        <f>IF(W252=0,0,IF(OR(C252=$AQ$5,C252=AQ256),VLOOKUP(YEAR(W252),INPC!$B$4:$P$30,MONTH(W252)+1),VLOOKUP(YEAR(W252),INPC!$B$4:$P$30,MONTH(W252)+2)))</f>
        <v>0</v>
      </c>
      <c r="Q252" s="309">
        <f t="shared" si="52"/>
        <v>0</v>
      </c>
      <c r="R252" s="310" t="e">
        <f t="shared" si="53"/>
        <v>#N/A</v>
      </c>
      <c r="S252" s="310">
        <f t="shared" si="54"/>
        <v>0</v>
      </c>
      <c r="T252" s="567" t="str">
        <f t="shared" si="55"/>
        <v>NO</v>
      </c>
      <c r="U252" s="323"/>
      <c r="V252" s="299"/>
      <c r="W252" s="300"/>
      <c r="X252" s="299"/>
      <c r="Y252" s="303"/>
      <c r="Z252" s="305">
        <f>IF(Y252=0,0,IF(X252="MXN",1/HLOOKUP(YEAR(W252)+(MONTH(W252)/100),TC!$5:$37,DAY(W252)+2,FALSE),VLOOKUP(X252,Equivalencia!$1:$23,((MAX(Equivalencia!$3:$3)-YEAR(W252))*14)+MONTH(W252)+2,FALSE)))</f>
        <v>0</v>
      </c>
      <c r="AA252" s="306">
        <f t="shared" si="56"/>
        <v>0</v>
      </c>
      <c r="AB252" s="305">
        <f>+IF(W252=0,0,HLOOKUP(YEAR(W252)+(MONTH(W252)/100),TC!$5:$37,DAY(W252)+2,FALSE))</f>
        <v>0</v>
      </c>
      <c r="AC252" s="306">
        <f t="shared" si="57"/>
        <v>0</v>
      </c>
      <c r="AD252" s="314">
        <f t="shared" si="48"/>
        <v>0</v>
      </c>
      <c r="AE252" s="315">
        <f t="shared" si="58"/>
        <v>0</v>
      </c>
      <c r="AF252" s="316">
        <f t="shared" si="49"/>
        <v>0</v>
      </c>
      <c r="AG252" s="314">
        <v>1</v>
      </c>
      <c r="AH252" s="314">
        <f t="shared" si="59"/>
        <v>0</v>
      </c>
      <c r="AI252" s="314">
        <f t="shared" si="60"/>
        <v>0</v>
      </c>
      <c r="AJ252" s="317"/>
      <c r="AK252" s="315" t="e">
        <f t="shared" si="61"/>
        <v>#N/A</v>
      </c>
      <c r="AM252" s="561"/>
      <c r="AN252" s="561"/>
      <c r="AO252" s="561"/>
    </row>
    <row r="253" spans="2:41">
      <c r="B253" s="296"/>
      <c r="C253" s="299"/>
      <c r="D253" s="296"/>
      <c r="E253" s="298"/>
      <c r="F253" s="299"/>
      <c r="G253" s="300"/>
      <c r="H253" s="303"/>
      <c r="I253" s="303"/>
      <c r="J253" s="322">
        <f t="shared" si="47"/>
        <v>0</v>
      </c>
      <c r="K253" s="305" t="e">
        <f>IF(F253="MXN",1/HLOOKUP(YEAR(G253)+(MONTH(G253)/100),TC!$5:$37,DAY(G253)+2,FALSE),VLOOKUP(F253,Equivalencia!$5:$23,((MAX(Equivalencia!$3:$3)-YEAR(G253))*14)+MONTH(G253)+2,FALSE))</f>
        <v>#N/A</v>
      </c>
      <c r="L253" s="306" t="e">
        <f t="shared" si="50"/>
        <v>#N/A</v>
      </c>
      <c r="M253" s="305">
        <f>IF(G253=0,0,HLOOKUP(YEAR(G253)+(MONTH(G253)/100),TC!$5:$37,DAY(G253)+2,FALSE))</f>
        <v>0</v>
      </c>
      <c r="N253" s="306" t="e">
        <f t="shared" si="51"/>
        <v>#N/A</v>
      </c>
      <c r="O253" s="308">
        <f>IF(G253=0,0,VLOOKUP(YEAR(G253),INPC!$B$4:$P$30,MONTH(G253)+2))</f>
        <v>0</v>
      </c>
      <c r="P253" s="308">
        <f>IF(W253=0,0,IF(OR(C253=$AQ$5,C253=AQ257),VLOOKUP(YEAR(W253),INPC!$B$4:$P$30,MONTH(W253)+1),VLOOKUP(YEAR(W253),INPC!$B$4:$P$30,MONTH(W253)+2)))</f>
        <v>0</v>
      </c>
      <c r="Q253" s="309">
        <f t="shared" si="52"/>
        <v>0</v>
      </c>
      <c r="R253" s="310" t="e">
        <f t="shared" si="53"/>
        <v>#N/A</v>
      </c>
      <c r="S253" s="310">
        <f t="shared" si="54"/>
        <v>0</v>
      </c>
      <c r="T253" s="567" t="str">
        <f t="shared" si="55"/>
        <v>NO</v>
      </c>
      <c r="U253" s="323"/>
      <c r="V253" s="299"/>
      <c r="W253" s="300"/>
      <c r="X253" s="299"/>
      <c r="Y253" s="303"/>
      <c r="Z253" s="305">
        <f>IF(Y253=0,0,IF(X253="MXN",1/HLOOKUP(YEAR(W253)+(MONTH(W253)/100),TC!$5:$37,DAY(W253)+2,FALSE),VLOOKUP(X253,Equivalencia!$1:$23,((MAX(Equivalencia!$3:$3)-YEAR(W253))*14)+MONTH(W253)+2,FALSE)))</f>
        <v>0</v>
      </c>
      <c r="AA253" s="306">
        <f t="shared" si="56"/>
        <v>0</v>
      </c>
      <c r="AB253" s="305">
        <f>+IF(W253=0,0,HLOOKUP(YEAR(W253)+(MONTH(W253)/100),TC!$5:$37,DAY(W253)+2,FALSE))</f>
        <v>0</v>
      </c>
      <c r="AC253" s="306">
        <f t="shared" si="57"/>
        <v>0</v>
      </c>
      <c r="AD253" s="314">
        <f t="shared" si="48"/>
        <v>0</v>
      </c>
      <c r="AE253" s="315">
        <f t="shared" si="58"/>
        <v>0</v>
      </c>
      <c r="AF253" s="316">
        <f t="shared" si="49"/>
        <v>0</v>
      </c>
      <c r="AG253" s="314">
        <v>1</v>
      </c>
      <c r="AH253" s="314">
        <f t="shared" si="59"/>
        <v>0</v>
      </c>
      <c r="AI253" s="314">
        <f t="shared" si="60"/>
        <v>0</v>
      </c>
      <c r="AJ253" s="317"/>
      <c r="AK253" s="315" t="e">
        <f t="shared" si="61"/>
        <v>#N/A</v>
      </c>
      <c r="AM253" s="561"/>
      <c r="AN253" s="561"/>
      <c r="AO253" s="561"/>
    </row>
    <row r="254" spans="2:41">
      <c r="B254" s="296"/>
      <c r="C254" s="299"/>
      <c r="D254" s="296"/>
      <c r="E254" s="298"/>
      <c r="F254" s="299"/>
      <c r="G254" s="300"/>
      <c r="H254" s="303"/>
      <c r="I254" s="303"/>
      <c r="J254" s="322">
        <f t="shared" si="47"/>
        <v>0</v>
      </c>
      <c r="K254" s="305" t="e">
        <f>IF(F254="MXN",1/HLOOKUP(YEAR(G254)+(MONTH(G254)/100),TC!$5:$37,DAY(G254)+2,FALSE),VLOOKUP(F254,Equivalencia!$5:$23,((MAX(Equivalencia!$3:$3)-YEAR(G254))*14)+MONTH(G254)+2,FALSE))</f>
        <v>#N/A</v>
      </c>
      <c r="L254" s="306" t="e">
        <f t="shared" si="50"/>
        <v>#N/A</v>
      </c>
      <c r="M254" s="305">
        <f>IF(G254=0,0,HLOOKUP(YEAR(G254)+(MONTH(G254)/100),TC!$5:$37,DAY(G254)+2,FALSE))</f>
        <v>0</v>
      </c>
      <c r="N254" s="306" t="e">
        <f t="shared" si="51"/>
        <v>#N/A</v>
      </c>
      <c r="O254" s="308">
        <f>IF(G254=0,0,VLOOKUP(YEAR(G254),INPC!$B$4:$P$30,MONTH(G254)+2))</f>
        <v>0</v>
      </c>
      <c r="P254" s="308">
        <f>IF(W254=0,0,IF(OR(C254=$AQ$5,C254=AQ258),VLOOKUP(YEAR(W254),INPC!$B$4:$P$30,MONTH(W254)+1),VLOOKUP(YEAR(W254),INPC!$B$4:$P$30,MONTH(W254)+2)))</f>
        <v>0</v>
      </c>
      <c r="Q254" s="309">
        <f t="shared" si="52"/>
        <v>0</v>
      </c>
      <c r="R254" s="310" t="e">
        <f t="shared" si="53"/>
        <v>#N/A</v>
      </c>
      <c r="S254" s="310">
        <f t="shared" si="54"/>
        <v>0</v>
      </c>
      <c r="T254" s="567" t="str">
        <f t="shared" si="55"/>
        <v>NO</v>
      </c>
      <c r="U254" s="323"/>
      <c r="V254" s="299"/>
      <c r="W254" s="300"/>
      <c r="X254" s="299"/>
      <c r="Y254" s="303"/>
      <c r="Z254" s="305">
        <f>IF(Y254=0,0,IF(X254="MXN",1/HLOOKUP(YEAR(W254)+(MONTH(W254)/100),TC!$5:$37,DAY(W254)+2,FALSE),VLOOKUP(X254,Equivalencia!$1:$23,((MAX(Equivalencia!$3:$3)-YEAR(W254))*14)+MONTH(W254)+2,FALSE)))</f>
        <v>0</v>
      </c>
      <c r="AA254" s="306">
        <f t="shared" si="56"/>
        <v>0</v>
      </c>
      <c r="AB254" s="305">
        <f>+IF(W254=0,0,HLOOKUP(YEAR(W254)+(MONTH(W254)/100),TC!$5:$37,DAY(W254)+2,FALSE))</f>
        <v>0</v>
      </c>
      <c r="AC254" s="306">
        <f t="shared" si="57"/>
        <v>0</v>
      </c>
      <c r="AD254" s="314">
        <f t="shared" si="48"/>
        <v>0</v>
      </c>
      <c r="AE254" s="315">
        <f t="shared" si="58"/>
        <v>0</v>
      </c>
      <c r="AF254" s="316">
        <f t="shared" si="49"/>
        <v>0</v>
      </c>
      <c r="AG254" s="314">
        <v>1</v>
      </c>
      <c r="AH254" s="314">
        <f t="shared" si="59"/>
        <v>0</v>
      </c>
      <c r="AI254" s="314">
        <f t="shared" si="60"/>
        <v>0</v>
      </c>
      <c r="AJ254" s="317"/>
      <c r="AK254" s="315" t="e">
        <f t="shared" si="61"/>
        <v>#N/A</v>
      </c>
      <c r="AM254" s="561"/>
      <c r="AN254" s="561"/>
      <c r="AO254" s="561"/>
    </row>
    <row r="255" spans="2:41">
      <c r="B255" s="296"/>
      <c r="C255" s="299"/>
      <c r="D255" s="296"/>
      <c r="E255" s="298"/>
      <c r="F255" s="299"/>
      <c r="G255" s="300"/>
      <c r="H255" s="303"/>
      <c r="I255" s="303"/>
      <c r="J255" s="322">
        <f t="shared" si="47"/>
        <v>0</v>
      </c>
      <c r="K255" s="305" t="e">
        <f>IF(F255="MXN",1/HLOOKUP(YEAR(G255)+(MONTH(G255)/100),TC!$5:$37,DAY(G255)+2,FALSE),VLOOKUP(F255,Equivalencia!$5:$23,((MAX(Equivalencia!$3:$3)-YEAR(G255))*14)+MONTH(G255)+2,FALSE))</f>
        <v>#N/A</v>
      </c>
      <c r="L255" s="306" t="e">
        <f t="shared" si="50"/>
        <v>#N/A</v>
      </c>
      <c r="M255" s="305">
        <f>IF(G255=0,0,HLOOKUP(YEAR(G255)+(MONTH(G255)/100),TC!$5:$37,DAY(G255)+2,FALSE))</f>
        <v>0</v>
      </c>
      <c r="N255" s="306" t="e">
        <f t="shared" si="51"/>
        <v>#N/A</v>
      </c>
      <c r="O255" s="308">
        <f>IF(G255=0,0,VLOOKUP(YEAR(G255),INPC!$B$4:$P$30,MONTH(G255)+2))</f>
        <v>0</v>
      </c>
      <c r="P255" s="308">
        <f>IF(W255=0,0,IF(OR(C255=$AQ$5,C255=AQ259),VLOOKUP(YEAR(W255),INPC!$B$4:$P$30,MONTH(W255)+1),VLOOKUP(YEAR(W255),INPC!$B$4:$P$30,MONTH(W255)+2)))</f>
        <v>0</v>
      </c>
      <c r="Q255" s="309">
        <f t="shared" si="52"/>
        <v>0</v>
      </c>
      <c r="R255" s="310" t="e">
        <f t="shared" si="53"/>
        <v>#N/A</v>
      </c>
      <c r="S255" s="310">
        <f t="shared" si="54"/>
        <v>0</v>
      </c>
      <c r="T255" s="567" t="str">
        <f t="shared" si="55"/>
        <v>NO</v>
      </c>
      <c r="U255" s="323"/>
      <c r="V255" s="299"/>
      <c r="W255" s="300"/>
      <c r="X255" s="299"/>
      <c r="Y255" s="303"/>
      <c r="Z255" s="305">
        <f>IF(Y255=0,0,IF(X255="MXN",1/HLOOKUP(YEAR(W255)+(MONTH(W255)/100),TC!$5:$37,DAY(W255)+2,FALSE),VLOOKUP(X255,Equivalencia!$1:$23,((MAX(Equivalencia!$3:$3)-YEAR(W255))*14)+MONTH(W255)+2,FALSE)))</f>
        <v>0</v>
      </c>
      <c r="AA255" s="306">
        <f t="shared" si="56"/>
        <v>0</v>
      </c>
      <c r="AB255" s="305">
        <f>+IF(W255=0,0,HLOOKUP(YEAR(W255)+(MONTH(W255)/100),TC!$5:$37,DAY(W255)+2,FALSE))</f>
        <v>0</v>
      </c>
      <c r="AC255" s="306">
        <f t="shared" si="57"/>
        <v>0</v>
      </c>
      <c r="AD255" s="314">
        <f t="shared" si="48"/>
        <v>0</v>
      </c>
      <c r="AE255" s="315">
        <f t="shared" si="58"/>
        <v>0</v>
      </c>
      <c r="AF255" s="316">
        <f t="shared" si="49"/>
        <v>0</v>
      </c>
      <c r="AG255" s="314">
        <v>1</v>
      </c>
      <c r="AH255" s="314">
        <f t="shared" si="59"/>
        <v>0</v>
      </c>
      <c r="AI255" s="314">
        <f t="shared" si="60"/>
        <v>0</v>
      </c>
      <c r="AJ255" s="317"/>
      <c r="AK255" s="315" t="e">
        <f t="shared" si="61"/>
        <v>#N/A</v>
      </c>
      <c r="AM255" s="561"/>
      <c r="AN255" s="561"/>
      <c r="AO255" s="561"/>
    </row>
    <row r="256" spans="2:41">
      <c r="B256" s="296"/>
      <c r="C256" s="299"/>
      <c r="D256" s="296"/>
      <c r="E256" s="298"/>
      <c r="F256" s="299"/>
      <c r="G256" s="300"/>
      <c r="H256" s="303"/>
      <c r="I256" s="303"/>
      <c r="J256" s="322">
        <f t="shared" si="47"/>
        <v>0</v>
      </c>
      <c r="K256" s="305" t="e">
        <f>IF(F256="MXN",1/HLOOKUP(YEAR(G256)+(MONTH(G256)/100),TC!$5:$37,DAY(G256)+2,FALSE),VLOOKUP(F256,Equivalencia!$5:$23,((MAX(Equivalencia!$3:$3)-YEAR(G256))*14)+MONTH(G256)+2,FALSE))</f>
        <v>#N/A</v>
      </c>
      <c r="L256" s="306" t="e">
        <f t="shared" si="50"/>
        <v>#N/A</v>
      </c>
      <c r="M256" s="305">
        <f>IF(G256=0,0,HLOOKUP(YEAR(G256)+(MONTH(G256)/100),TC!$5:$37,DAY(G256)+2,FALSE))</f>
        <v>0</v>
      </c>
      <c r="N256" s="306" t="e">
        <f t="shared" si="51"/>
        <v>#N/A</v>
      </c>
      <c r="O256" s="308">
        <f>IF(G256=0,0,VLOOKUP(YEAR(G256),INPC!$B$4:$P$30,MONTH(G256)+2))</f>
        <v>0</v>
      </c>
      <c r="P256" s="308">
        <f>IF(W256=0,0,IF(OR(C256=$AQ$5,C256=AQ260),VLOOKUP(YEAR(W256),INPC!$B$4:$P$30,MONTH(W256)+1),VLOOKUP(YEAR(W256),INPC!$B$4:$P$30,MONTH(W256)+2)))</f>
        <v>0</v>
      </c>
      <c r="Q256" s="309">
        <f t="shared" si="52"/>
        <v>0</v>
      </c>
      <c r="R256" s="310" t="e">
        <f t="shared" si="53"/>
        <v>#N/A</v>
      </c>
      <c r="S256" s="310">
        <f t="shared" si="54"/>
        <v>0</v>
      </c>
      <c r="T256" s="567" t="str">
        <f t="shared" si="55"/>
        <v>NO</v>
      </c>
      <c r="U256" s="323"/>
      <c r="V256" s="299"/>
      <c r="W256" s="300"/>
      <c r="X256" s="299"/>
      <c r="Y256" s="303"/>
      <c r="Z256" s="305">
        <f>IF(Y256=0,0,IF(X256="MXN",1/HLOOKUP(YEAR(W256)+(MONTH(W256)/100),TC!$5:$37,DAY(W256)+2,FALSE),VLOOKUP(X256,Equivalencia!$1:$23,((MAX(Equivalencia!$3:$3)-YEAR(W256))*14)+MONTH(W256)+2,FALSE)))</f>
        <v>0</v>
      </c>
      <c r="AA256" s="306">
        <f t="shared" si="56"/>
        <v>0</v>
      </c>
      <c r="AB256" s="305">
        <f>+IF(W256=0,0,HLOOKUP(YEAR(W256)+(MONTH(W256)/100),TC!$5:$37,DAY(W256)+2,FALSE))</f>
        <v>0</v>
      </c>
      <c r="AC256" s="306">
        <f t="shared" si="57"/>
        <v>0</v>
      </c>
      <c r="AD256" s="314">
        <f t="shared" si="48"/>
        <v>0</v>
      </c>
      <c r="AE256" s="315">
        <f t="shared" si="58"/>
        <v>0</v>
      </c>
      <c r="AF256" s="316">
        <f t="shared" si="49"/>
        <v>0</v>
      </c>
      <c r="AG256" s="314">
        <v>1</v>
      </c>
      <c r="AH256" s="314">
        <f t="shared" si="59"/>
        <v>0</v>
      </c>
      <c r="AI256" s="314">
        <f t="shared" si="60"/>
        <v>0</v>
      </c>
      <c r="AJ256" s="317"/>
      <c r="AK256" s="315" t="e">
        <f t="shared" si="61"/>
        <v>#N/A</v>
      </c>
      <c r="AM256" s="561"/>
      <c r="AN256" s="561"/>
      <c r="AO256" s="561"/>
    </row>
    <row r="257" spans="2:41">
      <c r="B257" s="296"/>
      <c r="C257" s="299"/>
      <c r="D257" s="296"/>
      <c r="E257" s="298"/>
      <c r="F257" s="299"/>
      <c r="G257" s="300"/>
      <c r="H257" s="303"/>
      <c r="I257" s="303"/>
      <c r="J257" s="322">
        <f t="shared" si="47"/>
        <v>0</v>
      </c>
      <c r="K257" s="305" t="e">
        <f>IF(F257="MXN",1/HLOOKUP(YEAR(G257)+(MONTH(G257)/100),TC!$5:$37,DAY(G257)+2,FALSE),VLOOKUP(F257,Equivalencia!$5:$23,((MAX(Equivalencia!$3:$3)-YEAR(G257))*14)+MONTH(G257)+2,FALSE))</f>
        <v>#N/A</v>
      </c>
      <c r="L257" s="306" t="e">
        <f t="shared" si="50"/>
        <v>#N/A</v>
      </c>
      <c r="M257" s="305">
        <f>IF(G257=0,0,HLOOKUP(YEAR(G257)+(MONTH(G257)/100),TC!$5:$37,DAY(G257)+2,FALSE))</f>
        <v>0</v>
      </c>
      <c r="N257" s="306" t="e">
        <f t="shared" si="51"/>
        <v>#N/A</v>
      </c>
      <c r="O257" s="308">
        <f>IF(G257=0,0,VLOOKUP(YEAR(G257),INPC!$B$4:$P$30,MONTH(G257)+2))</f>
        <v>0</v>
      </c>
      <c r="P257" s="308">
        <f>IF(W257=0,0,IF(OR(C257=$AQ$5,C257=AQ261),VLOOKUP(YEAR(W257),INPC!$B$4:$P$30,MONTH(W257)+1),VLOOKUP(YEAR(W257),INPC!$B$4:$P$30,MONTH(W257)+2)))</f>
        <v>0</v>
      </c>
      <c r="Q257" s="309">
        <f t="shared" si="52"/>
        <v>0</v>
      </c>
      <c r="R257" s="310" t="e">
        <f t="shared" si="53"/>
        <v>#N/A</v>
      </c>
      <c r="S257" s="310">
        <f t="shared" si="54"/>
        <v>0</v>
      </c>
      <c r="T257" s="567" t="str">
        <f t="shared" si="55"/>
        <v>NO</v>
      </c>
      <c r="U257" s="323"/>
      <c r="V257" s="299"/>
      <c r="W257" s="300"/>
      <c r="X257" s="299"/>
      <c r="Y257" s="303"/>
      <c r="Z257" s="305">
        <f>IF(Y257=0,0,IF(X257="MXN",1/HLOOKUP(YEAR(W257)+(MONTH(W257)/100),TC!$5:$37,DAY(W257)+2,FALSE),VLOOKUP(X257,Equivalencia!$1:$23,((MAX(Equivalencia!$3:$3)-YEAR(W257))*14)+MONTH(W257)+2,FALSE)))</f>
        <v>0</v>
      </c>
      <c r="AA257" s="306">
        <f t="shared" si="56"/>
        <v>0</v>
      </c>
      <c r="AB257" s="305">
        <f>+IF(W257=0,0,HLOOKUP(YEAR(W257)+(MONTH(W257)/100),TC!$5:$37,DAY(W257)+2,FALSE))</f>
        <v>0</v>
      </c>
      <c r="AC257" s="306">
        <f t="shared" si="57"/>
        <v>0</v>
      </c>
      <c r="AD257" s="314">
        <f t="shared" si="48"/>
        <v>0</v>
      </c>
      <c r="AE257" s="315">
        <f t="shared" si="58"/>
        <v>0</v>
      </c>
      <c r="AF257" s="316">
        <f t="shared" si="49"/>
        <v>0</v>
      </c>
      <c r="AG257" s="314">
        <v>1</v>
      </c>
      <c r="AH257" s="314">
        <f t="shared" si="59"/>
        <v>0</v>
      </c>
      <c r="AI257" s="314">
        <f t="shared" si="60"/>
        <v>0</v>
      </c>
      <c r="AJ257" s="317"/>
      <c r="AK257" s="315" t="e">
        <f t="shared" si="61"/>
        <v>#N/A</v>
      </c>
      <c r="AM257" s="561"/>
      <c r="AN257" s="561"/>
      <c r="AO257" s="561"/>
    </row>
    <row r="258" spans="2:41">
      <c r="B258" s="296"/>
      <c r="C258" s="299"/>
      <c r="D258" s="296"/>
      <c r="E258" s="298"/>
      <c r="F258" s="299"/>
      <c r="G258" s="300"/>
      <c r="H258" s="303"/>
      <c r="I258" s="303"/>
      <c r="J258" s="322">
        <f t="shared" ref="J258:J321" si="62">IF(E258=0,0,IF(OR(C258=$AQ$5,C258=$AQ$6),"Derivados Cap IV, Sec II - SIC &amp; BMV","Derivados Cap IX - No SIC"))</f>
        <v>0</v>
      </c>
      <c r="K258" s="305" t="e">
        <f>IF(F258="MXN",1/HLOOKUP(YEAR(G258)+(MONTH(G258)/100),TC!$5:$37,DAY(G258)+2,FALSE),VLOOKUP(F258,Equivalencia!$5:$23,((MAX(Equivalencia!$3:$3)-YEAR(G258))*14)+MONTH(G258)+2,FALSE))</f>
        <v>#N/A</v>
      </c>
      <c r="L258" s="306" t="e">
        <f t="shared" si="50"/>
        <v>#N/A</v>
      </c>
      <c r="M258" s="305">
        <f>IF(G258=0,0,HLOOKUP(YEAR(G258)+(MONTH(G258)/100),TC!$5:$37,DAY(G258)+2,FALSE))</f>
        <v>0</v>
      </c>
      <c r="N258" s="306" t="e">
        <f t="shared" si="51"/>
        <v>#N/A</v>
      </c>
      <c r="O258" s="308">
        <f>IF(G258=0,0,VLOOKUP(YEAR(G258),INPC!$B$4:$P$30,MONTH(G258)+2))</f>
        <v>0</v>
      </c>
      <c r="P258" s="308">
        <f>IF(W258=0,0,IF(OR(C258=$AQ$5,C258=AQ262),VLOOKUP(YEAR(W258),INPC!$B$4:$P$30,MONTH(W258)+1),VLOOKUP(YEAR(W258),INPC!$B$4:$P$30,MONTH(W258)+2)))</f>
        <v>0</v>
      </c>
      <c r="Q258" s="309">
        <f t="shared" si="52"/>
        <v>0</v>
      </c>
      <c r="R258" s="310" t="e">
        <f t="shared" si="53"/>
        <v>#N/A</v>
      </c>
      <c r="S258" s="310">
        <f t="shared" si="54"/>
        <v>0</v>
      </c>
      <c r="T258" s="567" t="str">
        <f t="shared" si="55"/>
        <v>NO</v>
      </c>
      <c r="U258" s="323"/>
      <c r="V258" s="299"/>
      <c r="W258" s="300"/>
      <c r="X258" s="299"/>
      <c r="Y258" s="303"/>
      <c r="Z258" s="305">
        <f>IF(Y258=0,0,IF(X258="MXN",1/HLOOKUP(YEAR(W258)+(MONTH(W258)/100),TC!$5:$37,DAY(W258)+2,FALSE),VLOOKUP(X258,Equivalencia!$1:$23,((MAX(Equivalencia!$3:$3)-YEAR(W258))*14)+MONTH(W258)+2,FALSE)))</f>
        <v>0</v>
      </c>
      <c r="AA258" s="306">
        <f t="shared" si="56"/>
        <v>0</v>
      </c>
      <c r="AB258" s="305">
        <f>+IF(W258=0,0,HLOOKUP(YEAR(W258)+(MONTH(W258)/100),TC!$5:$37,DAY(W258)+2,FALSE))</f>
        <v>0</v>
      </c>
      <c r="AC258" s="306">
        <f t="shared" si="57"/>
        <v>0</v>
      </c>
      <c r="AD258" s="314">
        <f t="shared" ref="AD258:AD321" si="63">+U258*S258</f>
        <v>0</v>
      </c>
      <c r="AE258" s="315">
        <f t="shared" si="58"/>
        <v>0</v>
      </c>
      <c r="AF258" s="316">
        <f t="shared" ref="AF258:AF321" si="64">+IF(OR(C258=$AQ$5,C258=$AQ$6),1,((W258-G258)/365))</f>
        <v>0</v>
      </c>
      <c r="AG258" s="314">
        <v>1</v>
      </c>
      <c r="AH258" s="314">
        <f t="shared" si="59"/>
        <v>0</v>
      </c>
      <c r="AI258" s="314">
        <f t="shared" si="60"/>
        <v>0</v>
      </c>
      <c r="AJ258" s="317"/>
      <c r="AK258" s="315" t="e">
        <f t="shared" si="61"/>
        <v>#N/A</v>
      </c>
      <c r="AM258" s="561"/>
      <c r="AN258" s="561"/>
      <c r="AO258" s="561"/>
    </row>
    <row r="259" spans="2:41">
      <c r="B259" s="296"/>
      <c r="C259" s="299"/>
      <c r="D259" s="296"/>
      <c r="E259" s="298"/>
      <c r="F259" s="299"/>
      <c r="G259" s="300"/>
      <c r="H259" s="303"/>
      <c r="I259" s="303"/>
      <c r="J259" s="322">
        <f t="shared" si="62"/>
        <v>0</v>
      </c>
      <c r="K259" s="305" t="e">
        <f>IF(F259="MXN",1/HLOOKUP(YEAR(G259)+(MONTH(G259)/100),TC!$5:$37,DAY(G259)+2,FALSE),VLOOKUP(F259,Equivalencia!$5:$23,((MAX(Equivalencia!$3:$3)-YEAR(G259))*14)+MONTH(G259)+2,FALSE))</f>
        <v>#N/A</v>
      </c>
      <c r="L259" s="306" t="e">
        <f t="shared" ref="L259:L322" si="65">+I259*K259</f>
        <v>#N/A</v>
      </c>
      <c r="M259" s="305">
        <f>IF(G259=0,0,HLOOKUP(YEAR(G259)+(MONTH(G259)/100),TC!$5:$37,DAY(G259)+2,FALSE))</f>
        <v>0</v>
      </c>
      <c r="N259" s="306" t="e">
        <f t="shared" ref="N259:N322" si="66">+L259*M259</f>
        <v>#N/A</v>
      </c>
      <c r="O259" s="308">
        <f>IF(G259=0,0,VLOOKUP(YEAR(G259),INPC!$B$4:$P$30,MONTH(G259)+2))</f>
        <v>0</v>
      </c>
      <c r="P259" s="308">
        <f>IF(W259=0,0,IF(OR(C259=$AQ$5,C259=AQ263),VLOOKUP(YEAR(W259),INPC!$B$4:$P$30,MONTH(W259)+1),VLOOKUP(YEAR(W259),INPC!$B$4:$P$30,MONTH(W259)+2)))</f>
        <v>0</v>
      </c>
      <c r="Q259" s="309">
        <f t="shared" ref="Q259:Q322" si="67">IF(W259=0,0,IF(TRUNC(P259/O259,4)&gt;=1,TRUNC(P259/O259,4),1))</f>
        <v>0</v>
      </c>
      <c r="R259" s="310" t="e">
        <f t="shared" ref="R259:R322" si="68">+Q259*N259</f>
        <v>#N/A</v>
      </c>
      <c r="S259" s="310">
        <f t="shared" ref="S259:S322" si="69">IF(U259=0,0,R259/U259)</f>
        <v>0</v>
      </c>
      <c r="T259" s="567" t="str">
        <f t="shared" ref="T259:T322" si="70">+IF(W259=0,"NO","SI")</f>
        <v>NO</v>
      </c>
      <c r="U259" s="323"/>
      <c r="V259" s="299"/>
      <c r="W259" s="300"/>
      <c r="X259" s="299"/>
      <c r="Y259" s="303"/>
      <c r="Z259" s="305">
        <f>IF(Y259=0,0,IF(X259="MXN",1/HLOOKUP(YEAR(W259)+(MONTH(W259)/100),TC!$5:$37,DAY(W259)+2,FALSE),VLOOKUP(X259,Equivalencia!$1:$23,((MAX(Equivalencia!$3:$3)-YEAR(W259))*14)+MONTH(W259)+2,FALSE)))</f>
        <v>0</v>
      </c>
      <c r="AA259" s="306">
        <f t="shared" ref="AA259:AA322" si="71">+Z259*Y259</f>
        <v>0</v>
      </c>
      <c r="AB259" s="305">
        <f>+IF(W259=0,0,HLOOKUP(YEAR(W259)+(MONTH(W259)/100),TC!$5:$37,DAY(W259)+2,FALSE))</f>
        <v>0</v>
      </c>
      <c r="AC259" s="306">
        <f t="shared" ref="AC259:AC322" si="72">+AB259*AA259</f>
        <v>0</v>
      </c>
      <c r="AD259" s="314">
        <f t="shared" si="63"/>
        <v>0</v>
      </c>
      <c r="AE259" s="315">
        <f t="shared" ref="AE259:AE322" si="73">AC259+AD259</f>
        <v>0</v>
      </c>
      <c r="AF259" s="316">
        <f t="shared" si="64"/>
        <v>0</v>
      </c>
      <c r="AG259" s="314">
        <v>1</v>
      </c>
      <c r="AH259" s="314">
        <f t="shared" ref="AH259:AH322" si="74">(AE259/AG259)</f>
        <v>0</v>
      </c>
      <c r="AI259" s="314">
        <f t="shared" ref="AI259:AI322" si="75">+AE259-AH259</f>
        <v>0</v>
      </c>
      <c r="AJ259" s="317"/>
      <c r="AK259" s="315" t="e">
        <f t="shared" ref="AK259:AK322" si="76">+AA259+L259</f>
        <v>#N/A</v>
      </c>
      <c r="AM259" s="561"/>
      <c r="AN259" s="561"/>
      <c r="AO259" s="561"/>
    </row>
    <row r="260" spans="2:41">
      <c r="B260" s="296"/>
      <c r="C260" s="299"/>
      <c r="D260" s="296"/>
      <c r="E260" s="298"/>
      <c r="F260" s="299"/>
      <c r="G260" s="300"/>
      <c r="H260" s="303"/>
      <c r="I260" s="303"/>
      <c r="J260" s="322">
        <f t="shared" si="62"/>
        <v>0</v>
      </c>
      <c r="K260" s="305" t="e">
        <f>IF(F260="MXN",1/HLOOKUP(YEAR(G260)+(MONTH(G260)/100),TC!$5:$37,DAY(G260)+2,FALSE),VLOOKUP(F260,Equivalencia!$5:$23,((MAX(Equivalencia!$3:$3)-YEAR(G260))*14)+MONTH(G260)+2,FALSE))</f>
        <v>#N/A</v>
      </c>
      <c r="L260" s="306" t="e">
        <f t="shared" si="65"/>
        <v>#N/A</v>
      </c>
      <c r="M260" s="305">
        <f>IF(G260=0,0,HLOOKUP(YEAR(G260)+(MONTH(G260)/100),TC!$5:$37,DAY(G260)+2,FALSE))</f>
        <v>0</v>
      </c>
      <c r="N260" s="306" t="e">
        <f t="shared" si="66"/>
        <v>#N/A</v>
      </c>
      <c r="O260" s="308">
        <f>IF(G260=0,0,VLOOKUP(YEAR(G260),INPC!$B$4:$P$30,MONTH(G260)+2))</f>
        <v>0</v>
      </c>
      <c r="P260" s="308">
        <f>IF(W260=0,0,IF(OR(C260=$AQ$5,C260=AQ264),VLOOKUP(YEAR(W260),INPC!$B$4:$P$30,MONTH(W260)+1),VLOOKUP(YEAR(W260),INPC!$B$4:$P$30,MONTH(W260)+2)))</f>
        <v>0</v>
      </c>
      <c r="Q260" s="309">
        <f t="shared" si="67"/>
        <v>0</v>
      </c>
      <c r="R260" s="310" t="e">
        <f t="shared" si="68"/>
        <v>#N/A</v>
      </c>
      <c r="S260" s="310">
        <f t="shared" si="69"/>
        <v>0</v>
      </c>
      <c r="T260" s="567" t="str">
        <f t="shared" si="70"/>
        <v>NO</v>
      </c>
      <c r="U260" s="323"/>
      <c r="V260" s="299"/>
      <c r="W260" s="300"/>
      <c r="X260" s="299"/>
      <c r="Y260" s="303"/>
      <c r="Z260" s="305">
        <f>IF(Y260=0,0,IF(X260="MXN",1/HLOOKUP(YEAR(W260)+(MONTH(W260)/100),TC!$5:$37,DAY(W260)+2,FALSE),VLOOKUP(X260,Equivalencia!$1:$23,((MAX(Equivalencia!$3:$3)-YEAR(W260))*14)+MONTH(W260)+2,FALSE)))</f>
        <v>0</v>
      </c>
      <c r="AA260" s="306">
        <f t="shared" si="71"/>
        <v>0</v>
      </c>
      <c r="AB260" s="305">
        <f>+IF(W260=0,0,HLOOKUP(YEAR(W260)+(MONTH(W260)/100),TC!$5:$37,DAY(W260)+2,FALSE))</f>
        <v>0</v>
      </c>
      <c r="AC260" s="306">
        <f t="shared" si="72"/>
        <v>0</v>
      </c>
      <c r="AD260" s="314">
        <f t="shared" si="63"/>
        <v>0</v>
      </c>
      <c r="AE260" s="315">
        <f t="shared" si="73"/>
        <v>0</v>
      </c>
      <c r="AF260" s="316">
        <f t="shared" si="64"/>
        <v>0</v>
      </c>
      <c r="AG260" s="314">
        <v>1</v>
      </c>
      <c r="AH260" s="314">
        <f t="shared" si="74"/>
        <v>0</v>
      </c>
      <c r="AI260" s="314">
        <f t="shared" si="75"/>
        <v>0</v>
      </c>
      <c r="AJ260" s="317"/>
      <c r="AK260" s="315" t="e">
        <f t="shared" si="76"/>
        <v>#N/A</v>
      </c>
      <c r="AM260" s="561"/>
      <c r="AN260" s="561"/>
      <c r="AO260" s="561"/>
    </row>
    <row r="261" spans="2:41">
      <c r="B261" s="296"/>
      <c r="C261" s="299"/>
      <c r="D261" s="296"/>
      <c r="E261" s="298"/>
      <c r="F261" s="299"/>
      <c r="G261" s="300"/>
      <c r="H261" s="303"/>
      <c r="I261" s="303"/>
      <c r="J261" s="322">
        <f t="shared" si="62"/>
        <v>0</v>
      </c>
      <c r="K261" s="305" t="e">
        <f>IF(F261="MXN",1/HLOOKUP(YEAR(G261)+(MONTH(G261)/100),TC!$5:$37,DAY(G261)+2,FALSE),VLOOKUP(F261,Equivalencia!$5:$23,((MAX(Equivalencia!$3:$3)-YEAR(G261))*14)+MONTH(G261)+2,FALSE))</f>
        <v>#N/A</v>
      </c>
      <c r="L261" s="306" t="e">
        <f t="shared" si="65"/>
        <v>#N/A</v>
      </c>
      <c r="M261" s="305">
        <f>IF(G261=0,0,HLOOKUP(YEAR(G261)+(MONTH(G261)/100),TC!$5:$37,DAY(G261)+2,FALSE))</f>
        <v>0</v>
      </c>
      <c r="N261" s="306" t="e">
        <f t="shared" si="66"/>
        <v>#N/A</v>
      </c>
      <c r="O261" s="308">
        <f>IF(G261=0,0,VLOOKUP(YEAR(G261),INPC!$B$4:$P$30,MONTH(G261)+2))</f>
        <v>0</v>
      </c>
      <c r="P261" s="308">
        <f>IF(W261=0,0,IF(OR(C261=$AQ$5,C261=AQ265),VLOOKUP(YEAR(W261),INPC!$B$4:$P$30,MONTH(W261)+1),VLOOKUP(YEAR(W261),INPC!$B$4:$P$30,MONTH(W261)+2)))</f>
        <v>0</v>
      </c>
      <c r="Q261" s="309">
        <f t="shared" si="67"/>
        <v>0</v>
      </c>
      <c r="R261" s="310" t="e">
        <f t="shared" si="68"/>
        <v>#N/A</v>
      </c>
      <c r="S261" s="310">
        <f t="shared" si="69"/>
        <v>0</v>
      </c>
      <c r="T261" s="567" t="str">
        <f t="shared" si="70"/>
        <v>NO</v>
      </c>
      <c r="U261" s="323"/>
      <c r="V261" s="299"/>
      <c r="W261" s="300"/>
      <c r="X261" s="299"/>
      <c r="Y261" s="303"/>
      <c r="Z261" s="305">
        <f>IF(Y261=0,0,IF(X261="MXN",1/HLOOKUP(YEAR(W261)+(MONTH(W261)/100),TC!$5:$37,DAY(W261)+2,FALSE),VLOOKUP(X261,Equivalencia!$1:$23,((MAX(Equivalencia!$3:$3)-YEAR(W261))*14)+MONTH(W261)+2,FALSE)))</f>
        <v>0</v>
      </c>
      <c r="AA261" s="306">
        <f t="shared" si="71"/>
        <v>0</v>
      </c>
      <c r="AB261" s="305">
        <f>+IF(W261=0,0,HLOOKUP(YEAR(W261)+(MONTH(W261)/100),TC!$5:$37,DAY(W261)+2,FALSE))</f>
        <v>0</v>
      </c>
      <c r="AC261" s="306">
        <f t="shared" si="72"/>
        <v>0</v>
      </c>
      <c r="AD261" s="314">
        <f t="shared" si="63"/>
        <v>0</v>
      </c>
      <c r="AE261" s="315">
        <f t="shared" si="73"/>
        <v>0</v>
      </c>
      <c r="AF261" s="316">
        <f t="shared" si="64"/>
        <v>0</v>
      </c>
      <c r="AG261" s="314">
        <v>1</v>
      </c>
      <c r="AH261" s="314">
        <f t="shared" si="74"/>
        <v>0</v>
      </c>
      <c r="AI261" s="314">
        <f t="shared" si="75"/>
        <v>0</v>
      </c>
      <c r="AJ261" s="317"/>
      <c r="AK261" s="315" t="e">
        <f t="shared" si="76"/>
        <v>#N/A</v>
      </c>
      <c r="AM261" s="561"/>
      <c r="AN261" s="561"/>
      <c r="AO261" s="561"/>
    </row>
    <row r="262" spans="2:41">
      <c r="B262" s="296"/>
      <c r="C262" s="299"/>
      <c r="D262" s="296"/>
      <c r="E262" s="298"/>
      <c r="F262" s="299"/>
      <c r="G262" s="300"/>
      <c r="H262" s="303"/>
      <c r="I262" s="303"/>
      <c r="J262" s="322">
        <f t="shared" si="62"/>
        <v>0</v>
      </c>
      <c r="K262" s="305" t="e">
        <f>IF(F262="MXN",1/HLOOKUP(YEAR(G262)+(MONTH(G262)/100),TC!$5:$37,DAY(G262)+2,FALSE),VLOOKUP(F262,Equivalencia!$5:$23,((MAX(Equivalencia!$3:$3)-YEAR(G262))*14)+MONTH(G262)+2,FALSE))</f>
        <v>#N/A</v>
      </c>
      <c r="L262" s="306" t="e">
        <f t="shared" si="65"/>
        <v>#N/A</v>
      </c>
      <c r="M262" s="305">
        <f>IF(G262=0,0,HLOOKUP(YEAR(G262)+(MONTH(G262)/100),TC!$5:$37,DAY(G262)+2,FALSE))</f>
        <v>0</v>
      </c>
      <c r="N262" s="306" t="e">
        <f t="shared" si="66"/>
        <v>#N/A</v>
      </c>
      <c r="O262" s="308">
        <f>IF(G262=0,0,VLOOKUP(YEAR(G262),INPC!$B$4:$P$30,MONTH(G262)+2))</f>
        <v>0</v>
      </c>
      <c r="P262" s="308">
        <f>IF(W262=0,0,IF(OR(C262=$AQ$5,C262=AQ266),VLOOKUP(YEAR(W262),INPC!$B$4:$P$30,MONTH(W262)+1),VLOOKUP(YEAR(W262),INPC!$B$4:$P$30,MONTH(W262)+2)))</f>
        <v>0</v>
      </c>
      <c r="Q262" s="309">
        <f t="shared" si="67"/>
        <v>0</v>
      </c>
      <c r="R262" s="310" t="e">
        <f t="shared" si="68"/>
        <v>#N/A</v>
      </c>
      <c r="S262" s="310">
        <f t="shared" si="69"/>
        <v>0</v>
      </c>
      <c r="T262" s="567" t="str">
        <f t="shared" si="70"/>
        <v>NO</v>
      </c>
      <c r="U262" s="323"/>
      <c r="V262" s="299"/>
      <c r="W262" s="300"/>
      <c r="X262" s="299"/>
      <c r="Y262" s="303"/>
      <c r="Z262" s="305">
        <f>IF(Y262=0,0,IF(X262="MXN",1/HLOOKUP(YEAR(W262)+(MONTH(W262)/100),TC!$5:$37,DAY(W262)+2,FALSE),VLOOKUP(X262,Equivalencia!$1:$23,((MAX(Equivalencia!$3:$3)-YEAR(W262))*14)+MONTH(W262)+2,FALSE)))</f>
        <v>0</v>
      </c>
      <c r="AA262" s="306">
        <f t="shared" si="71"/>
        <v>0</v>
      </c>
      <c r="AB262" s="305">
        <f>+IF(W262=0,0,HLOOKUP(YEAR(W262)+(MONTH(W262)/100),TC!$5:$37,DAY(W262)+2,FALSE))</f>
        <v>0</v>
      </c>
      <c r="AC262" s="306">
        <f t="shared" si="72"/>
        <v>0</v>
      </c>
      <c r="AD262" s="314">
        <f t="shared" si="63"/>
        <v>0</v>
      </c>
      <c r="AE262" s="315">
        <f t="shared" si="73"/>
        <v>0</v>
      </c>
      <c r="AF262" s="316">
        <f t="shared" si="64"/>
        <v>0</v>
      </c>
      <c r="AG262" s="314">
        <v>1</v>
      </c>
      <c r="AH262" s="314">
        <f t="shared" si="74"/>
        <v>0</v>
      </c>
      <c r="AI262" s="314">
        <f t="shared" si="75"/>
        <v>0</v>
      </c>
      <c r="AJ262" s="317"/>
      <c r="AK262" s="315" t="e">
        <f t="shared" si="76"/>
        <v>#N/A</v>
      </c>
      <c r="AM262" s="561"/>
      <c r="AN262" s="561"/>
      <c r="AO262" s="561"/>
    </row>
    <row r="263" spans="2:41">
      <c r="B263" s="296"/>
      <c r="C263" s="299"/>
      <c r="D263" s="296"/>
      <c r="E263" s="298"/>
      <c r="F263" s="299"/>
      <c r="G263" s="300"/>
      <c r="H263" s="303"/>
      <c r="I263" s="303"/>
      <c r="J263" s="322">
        <f t="shared" si="62"/>
        <v>0</v>
      </c>
      <c r="K263" s="305" t="e">
        <f>IF(F263="MXN",1/HLOOKUP(YEAR(G263)+(MONTH(G263)/100),TC!$5:$37,DAY(G263)+2,FALSE),VLOOKUP(F263,Equivalencia!$5:$23,((MAX(Equivalencia!$3:$3)-YEAR(G263))*14)+MONTH(G263)+2,FALSE))</f>
        <v>#N/A</v>
      </c>
      <c r="L263" s="306" t="e">
        <f t="shared" si="65"/>
        <v>#N/A</v>
      </c>
      <c r="M263" s="305">
        <f>IF(G263=0,0,HLOOKUP(YEAR(G263)+(MONTH(G263)/100),TC!$5:$37,DAY(G263)+2,FALSE))</f>
        <v>0</v>
      </c>
      <c r="N263" s="306" t="e">
        <f t="shared" si="66"/>
        <v>#N/A</v>
      </c>
      <c r="O263" s="308">
        <f>IF(G263=0,0,VLOOKUP(YEAR(G263),INPC!$B$4:$P$30,MONTH(G263)+2))</f>
        <v>0</v>
      </c>
      <c r="P263" s="308">
        <f>IF(W263=0,0,IF(OR(C263=$AQ$5,C263=AQ267),VLOOKUP(YEAR(W263),INPC!$B$4:$P$30,MONTH(W263)+1),VLOOKUP(YEAR(W263),INPC!$B$4:$P$30,MONTH(W263)+2)))</f>
        <v>0</v>
      </c>
      <c r="Q263" s="309">
        <f t="shared" si="67"/>
        <v>0</v>
      </c>
      <c r="R263" s="310" t="e">
        <f t="shared" si="68"/>
        <v>#N/A</v>
      </c>
      <c r="S263" s="310">
        <f t="shared" si="69"/>
        <v>0</v>
      </c>
      <c r="T263" s="567" t="str">
        <f t="shared" si="70"/>
        <v>NO</v>
      </c>
      <c r="U263" s="323"/>
      <c r="V263" s="299"/>
      <c r="W263" s="300"/>
      <c r="X263" s="299"/>
      <c r="Y263" s="303"/>
      <c r="Z263" s="305">
        <f>IF(Y263=0,0,IF(X263="MXN",1/HLOOKUP(YEAR(W263)+(MONTH(W263)/100),TC!$5:$37,DAY(W263)+2,FALSE),VLOOKUP(X263,Equivalencia!$1:$23,((MAX(Equivalencia!$3:$3)-YEAR(W263))*14)+MONTH(W263)+2,FALSE)))</f>
        <v>0</v>
      </c>
      <c r="AA263" s="306">
        <f t="shared" si="71"/>
        <v>0</v>
      </c>
      <c r="AB263" s="305">
        <f>+IF(W263=0,0,HLOOKUP(YEAR(W263)+(MONTH(W263)/100),TC!$5:$37,DAY(W263)+2,FALSE))</f>
        <v>0</v>
      </c>
      <c r="AC263" s="306">
        <f t="shared" si="72"/>
        <v>0</v>
      </c>
      <c r="AD263" s="314">
        <f t="shared" si="63"/>
        <v>0</v>
      </c>
      <c r="AE263" s="315">
        <f t="shared" si="73"/>
        <v>0</v>
      </c>
      <c r="AF263" s="316">
        <f t="shared" si="64"/>
        <v>0</v>
      </c>
      <c r="AG263" s="314">
        <v>1</v>
      </c>
      <c r="AH263" s="314">
        <f t="shared" si="74"/>
        <v>0</v>
      </c>
      <c r="AI263" s="314">
        <f t="shared" si="75"/>
        <v>0</v>
      </c>
      <c r="AJ263" s="317"/>
      <c r="AK263" s="315" t="e">
        <f t="shared" si="76"/>
        <v>#N/A</v>
      </c>
      <c r="AM263" s="561"/>
      <c r="AN263" s="561"/>
      <c r="AO263" s="561"/>
    </row>
    <row r="264" spans="2:41">
      <c r="B264" s="296"/>
      <c r="C264" s="299"/>
      <c r="D264" s="296"/>
      <c r="E264" s="298"/>
      <c r="F264" s="299"/>
      <c r="G264" s="300"/>
      <c r="H264" s="303"/>
      <c r="I264" s="303"/>
      <c r="J264" s="322">
        <f t="shared" si="62"/>
        <v>0</v>
      </c>
      <c r="K264" s="305" t="e">
        <f>IF(F264="MXN",1/HLOOKUP(YEAR(G264)+(MONTH(G264)/100),TC!$5:$37,DAY(G264)+2,FALSE),VLOOKUP(F264,Equivalencia!$5:$23,((MAX(Equivalencia!$3:$3)-YEAR(G264))*14)+MONTH(G264)+2,FALSE))</f>
        <v>#N/A</v>
      </c>
      <c r="L264" s="306" t="e">
        <f t="shared" si="65"/>
        <v>#N/A</v>
      </c>
      <c r="M264" s="305">
        <f>IF(G264=0,0,HLOOKUP(YEAR(G264)+(MONTH(G264)/100),TC!$5:$37,DAY(G264)+2,FALSE))</f>
        <v>0</v>
      </c>
      <c r="N264" s="306" t="e">
        <f t="shared" si="66"/>
        <v>#N/A</v>
      </c>
      <c r="O264" s="308">
        <f>IF(G264=0,0,VLOOKUP(YEAR(G264),INPC!$B$4:$P$30,MONTH(G264)+2))</f>
        <v>0</v>
      </c>
      <c r="P264" s="308">
        <f>IF(W264=0,0,IF(OR(C264=$AQ$5,C264=AQ268),VLOOKUP(YEAR(W264),INPC!$B$4:$P$30,MONTH(W264)+1),VLOOKUP(YEAR(W264),INPC!$B$4:$P$30,MONTH(W264)+2)))</f>
        <v>0</v>
      </c>
      <c r="Q264" s="309">
        <f t="shared" si="67"/>
        <v>0</v>
      </c>
      <c r="R264" s="310" t="e">
        <f t="shared" si="68"/>
        <v>#N/A</v>
      </c>
      <c r="S264" s="310">
        <f t="shared" si="69"/>
        <v>0</v>
      </c>
      <c r="T264" s="567" t="str">
        <f t="shared" si="70"/>
        <v>NO</v>
      </c>
      <c r="U264" s="323"/>
      <c r="V264" s="299"/>
      <c r="W264" s="300"/>
      <c r="X264" s="299"/>
      <c r="Y264" s="303"/>
      <c r="Z264" s="305">
        <f>IF(Y264=0,0,IF(X264="MXN",1/HLOOKUP(YEAR(W264)+(MONTH(W264)/100),TC!$5:$37,DAY(W264)+2,FALSE),VLOOKUP(X264,Equivalencia!$1:$23,((MAX(Equivalencia!$3:$3)-YEAR(W264))*14)+MONTH(W264)+2,FALSE)))</f>
        <v>0</v>
      </c>
      <c r="AA264" s="306">
        <f t="shared" si="71"/>
        <v>0</v>
      </c>
      <c r="AB264" s="305">
        <f>+IF(W264=0,0,HLOOKUP(YEAR(W264)+(MONTH(W264)/100),TC!$5:$37,DAY(W264)+2,FALSE))</f>
        <v>0</v>
      </c>
      <c r="AC264" s="306">
        <f t="shared" si="72"/>
        <v>0</v>
      </c>
      <c r="AD264" s="314">
        <f t="shared" si="63"/>
        <v>0</v>
      </c>
      <c r="AE264" s="315">
        <f t="shared" si="73"/>
        <v>0</v>
      </c>
      <c r="AF264" s="316">
        <f t="shared" si="64"/>
        <v>0</v>
      </c>
      <c r="AG264" s="314">
        <v>1</v>
      </c>
      <c r="AH264" s="314">
        <f t="shared" si="74"/>
        <v>0</v>
      </c>
      <c r="AI264" s="314">
        <f t="shared" si="75"/>
        <v>0</v>
      </c>
      <c r="AJ264" s="317"/>
      <c r="AK264" s="315" t="e">
        <f t="shared" si="76"/>
        <v>#N/A</v>
      </c>
      <c r="AM264" s="561"/>
      <c r="AN264" s="561"/>
      <c r="AO264" s="561"/>
    </row>
    <row r="265" spans="2:41">
      <c r="B265" s="296"/>
      <c r="C265" s="299"/>
      <c r="D265" s="296"/>
      <c r="E265" s="298"/>
      <c r="F265" s="299"/>
      <c r="G265" s="300"/>
      <c r="H265" s="303"/>
      <c r="I265" s="303"/>
      <c r="J265" s="322">
        <f t="shared" si="62"/>
        <v>0</v>
      </c>
      <c r="K265" s="305" t="e">
        <f>IF(F265="MXN",1/HLOOKUP(YEAR(G265)+(MONTH(G265)/100),TC!$5:$37,DAY(G265)+2,FALSE),VLOOKUP(F265,Equivalencia!$5:$23,((MAX(Equivalencia!$3:$3)-YEAR(G265))*14)+MONTH(G265)+2,FALSE))</f>
        <v>#N/A</v>
      </c>
      <c r="L265" s="306" t="e">
        <f t="shared" si="65"/>
        <v>#N/A</v>
      </c>
      <c r="M265" s="305">
        <f>IF(G265=0,0,HLOOKUP(YEAR(G265)+(MONTH(G265)/100),TC!$5:$37,DAY(G265)+2,FALSE))</f>
        <v>0</v>
      </c>
      <c r="N265" s="306" t="e">
        <f t="shared" si="66"/>
        <v>#N/A</v>
      </c>
      <c r="O265" s="308">
        <f>IF(G265=0,0,VLOOKUP(YEAR(G265),INPC!$B$4:$P$30,MONTH(G265)+2))</f>
        <v>0</v>
      </c>
      <c r="P265" s="308">
        <f>IF(W265=0,0,IF(OR(C265=$AQ$5,C265=AQ269),VLOOKUP(YEAR(W265),INPC!$B$4:$P$30,MONTH(W265)+1),VLOOKUP(YEAR(W265),INPC!$B$4:$P$30,MONTH(W265)+2)))</f>
        <v>0</v>
      </c>
      <c r="Q265" s="309">
        <f t="shared" si="67"/>
        <v>0</v>
      </c>
      <c r="R265" s="310" t="e">
        <f t="shared" si="68"/>
        <v>#N/A</v>
      </c>
      <c r="S265" s="310">
        <f t="shared" si="69"/>
        <v>0</v>
      </c>
      <c r="T265" s="567" t="str">
        <f t="shared" si="70"/>
        <v>NO</v>
      </c>
      <c r="U265" s="323"/>
      <c r="V265" s="299"/>
      <c r="W265" s="300"/>
      <c r="X265" s="299"/>
      <c r="Y265" s="303"/>
      <c r="Z265" s="305">
        <f>IF(Y265=0,0,IF(X265="MXN",1/HLOOKUP(YEAR(W265)+(MONTH(W265)/100),TC!$5:$37,DAY(W265)+2,FALSE),VLOOKUP(X265,Equivalencia!$1:$23,((MAX(Equivalencia!$3:$3)-YEAR(W265))*14)+MONTH(W265)+2,FALSE)))</f>
        <v>0</v>
      </c>
      <c r="AA265" s="306">
        <f t="shared" si="71"/>
        <v>0</v>
      </c>
      <c r="AB265" s="305">
        <f>+IF(W265=0,0,HLOOKUP(YEAR(W265)+(MONTH(W265)/100),TC!$5:$37,DAY(W265)+2,FALSE))</f>
        <v>0</v>
      </c>
      <c r="AC265" s="306">
        <f t="shared" si="72"/>
        <v>0</v>
      </c>
      <c r="AD265" s="314">
        <f t="shared" si="63"/>
        <v>0</v>
      </c>
      <c r="AE265" s="315">
        <f t="shared" si="73"/>
        <v>0</v>
      </c>
      <c r="AF265" s="316">
        <f t="shared" si="64"/>
        <v>0</v>
      </c>
      <c r="AG265" s="314">
        <v>1</v>
      </c>
      <c r="AH265" s="314">
        <f t="shared" si="74"/>
        <v>0</v>
      </c>
      <c r="AI265" s="314">
        <f t="shared" si="75"/>
        <v>0</v>
      </c>
      <c r="AJ265" s="317"/>
      <c r="AK265" s="315" t="e">
        <f t="shared" si="76"/>
        <v>#N/A</v>
      </c>
      <c r="AM265" s="561"/>
      <c r="AN265" s="561"/>
      <c r="AO265" s="561"/>
    </row>
    <row r="266" spans="2:41">
      <c r="B266" s="296"/>
      <c r="C266" s="299"/>
      <c r="D266" s="296"/>
      <c r="E266" s="298"/>
      <c r="F266" s="299"/>
      <c r="G266" s="300"/>
      <c r="H266" s="303"/>
      <c r="I266" s="303"/>
      <c r="J266" s="322">
        <f t="shared" si="62"/>
        <v>0</v>
      </c>
      <c r="K266" s="305" t="e">
        <f>IF(F266="MXN",1/HLOOKUP(YEAR(G266)+(MONTH(G266)/100),TC!$5:$37,DAY(G266)+2,FALSE),VLOOKUP(F266,Equivalencia!$5:$23,((MAX(Equivalencia!$3:$3)-YEAR(G266))*14)+MONTH(G266)+2,FALSE))</f>
        <v>#N/A</v>
      </c>
      <c r="L266" s="306" t="e">
        <f t="shared" si="65"/>
        <v>#N/A</v>
      </c>
      <c r="M266" s="305">
        <f>IF(G266=0,0,HLOOKUP(YEAR(G266)+(MONTH(G266)/100),TC!$5:$37,DAY(G266)+2,FALSE))</f>
        <v>0</v>
      </c>
      <c r="N266" s="306" t="e">
        <f t="shared" si="66"/>
        <v>#N/A</v>
      </c>
      <c r="O266" s="308">
        <f>IF(G266=0,0,VLOOKUP(YEAR(G266),INPC!$B$4:$P$30,MONTH(G266)+2))</f>
        <v>0</v>
      </c>
      <c r="P266" s="308">
        <f>IF(W266=0,0,IF(OR(C266=$AQ$5,C266=AQ270),VLOOKUP(YEAR(W266),INPC!$B$4:$P$30,MONTH(W266)+1),VLOOKUP(YEAR(W266),INPC!$B$4:$P$30,MONTH(W266)+2)))</f>
        <v>0</v>
      </c>
      <c r="Q266" s="309">
        <f t="shared" si="67"/>
        <v>0</v>
      </c>
      <c r="R266" s="310" t="e">
        <f t="shared" si="68"/>
        <v>#N/A</v>
      </c>
      <c r="S266" s="310">
        <f t="shared" si="69"/>
        <v>0</v>
      </c>
      <c r="T266" s="567" t="str">
        <f t="shared" si="70"/>
        <v>NO</v>
      </c>
      <c r="U266" s="323"/>
      <c r="V266" s="299"/>
      <c r="W266" s="300"/>
      <c r="X266" s="299"/>
      <c r="Y266" s="303"/>
      <c r="Z266" s="305">
        <f>IF(Y266=0,0,IF(X266="MXN",1/HLOOKUP(YEAR(W266)+(MONTH(W266)/100),TC!$5:$37,DAY(W266)+2,FALSE),VLOOKUP(X266,Equivalencia!$1:$23,((MAX(Equivalencia!$3:$3)-YEAR(W266))*14)+MONTH(W266)+2,FALSE)))</f>
        <v>0</v>
      </c>
      <c r="AA266" s="306">
        <f t="shared" si="71"/>
        <v>0</v>
      </c>
      <c r="AB266" s="305">
        <f>+IF(W266=0,0,HLOOKUP(YEAR(W266)+(MONTH(W266)/100),TC!$5:$37,DAY(W266)+2,FALSE))</f>
        <v>0</v>
      </c>
      <c r="AC266" s="306">
        <f t="shared" si="72"/>
        <v>0</v>
      </c>
      <c r="AD266" s="314">
        <f t="shared" si="63"/>
        <v>0</v>
      </c>
      <c r="AE266" s="315">
        <f t="shared" si="73"/>
        <v>0</v>
      </c>
      <c r="AF266" s="316">
        <f t="shared" si="64"/>
        <v>0</v>
      </c>
      <c r="AG266" s="314">
        <v>1</v>
      </c>
      <c r="AH266" s="314">
        <f t="shared" si="74"/>
        <v>0</v>
      </c>
      <c r="AI266" s="314">
        <f t="shared" si="75"/>
        <v>0</v>
      </c>
      <c r="AJ266" s="317"/>
      <c r="AK266" s="315" t="e">
        <f t="shared" si="76"/>
        <v>#N/A</v>
      </c>
      <c r="AM266" s="561"/>
      <c r="AN266" s="561"/>
      <c r="AO266" s="561"/>
    </row>
    <row r="267" spans="2:41">
      <c r="B267" s="296"/>
      <c r="C267" s="299"/>
      <c r="D267" s="296"/>
      <c r="E267" s="298"/>
      <c r="F267" s="299"/>
      <c r="G267" s="300"/>
      <c r="H267" s="303"/>
      <c r="I267" s="303"/>
      <c r="J267" s="322">
        <f t="shared" si="62"/>
        <v>0</v>
      </c>
      <c r="K267" s="305" t="e">
        <f>IF(F267="MXN",1/HLOOKUP(YEAR(G267)+(MONTH(G267)/100),TC!$5:$37,DAY(G267)+2,FALSE),VLOOKUP(F267,Equivalencia!$5:$23,((MAX(Equivalencia!$3:$3)-YEAR(G267))*14)+MONTH(G267)+2,FALSE))</f>
        <v>#N/A</v>
      </c>
      <c r="L267" s="306" t="e">
        <f t="shared" si="65"/>
        <v>#N/A</v>
      </c>
      <c r="M267" s="305">
        <f>IF(G267=0,0,HLOOKUP(YEAR(G267)+(MONTH(G267)/100),TC!$5:$37,DAY(G267)+2,FALSE))</f>
        <v>0</v>
      </c>
      <c r="N267" s="306" t="e">
        <f t="shared" si="66"/>
        <v>#N/A</v>
      </c>
      <c r="O267" s="308">
        <f>IF(G267=0,0,VLOOKUP(YEAR(G267),INPC!$B$4:$P$30,MONTH(G267)+2))</f>
        <v>0</v>
      </c>
      <c r="P267" s="308">
        <f>IF(W267=0,0,IF(OR(C267=$AQ$5,C267=AQ271),VLOOKUP(YEAR(W267),INPC!$B$4:$P$30,MONTH(W267)+1),VLOOKUP(YEAR(W267),INPC!$B$4:$P$30,MONTH(W267)+2)))</f>
        <v>0</v>
      </c>
      <c r="Q267" s="309">
        <f t="shared" si="67"/>
        <v>0</v>
      </c>
      <c r="R267" s="310" t="e">
        <f t="shared" si="68"/>
        <v>#N/A</v>
      </c>
      <c r="S267" s="310">
        <f t="shared" si="69"/>
        <v>0</v>
      </c>
      <c r="T267" s="567" t="str">
        <f t="shared" si="70"/>
        <v>NO</v>
      </c>
      <c r="U267" s="323"/>
      <c r="V267" s="299"/>
      <c r="W267" s="300"/>
      <c r="X267" s="299"/>
      <c r="Y267" s="303"/>
      <c r="Z267" s="305">
        <f>IF(Y267=0,0,IF(X267="MXN",1/HLOOKUP(YEAR(W267)+(MONTH(W267)/100),TC!$5:$37,DAY(W267)+2,FALSE),VLOOKUP(X267,Equivalencia!$1:$23,((MAX(Equivalencia!$3:$3)-YEAR(W267))*14)+MONTH(W267)+2,FALSE)))</f>
        <v>0</v>
      </c>
      <c r="AA267" s="306">
        <f t="shared" si="71"/>
        <v>0</v>
      </c>
      <c r="AB267" s="305">
        <f>+IF(W267=0,0,HLOOKUP(YEAR(W267)+(MONTH(W267)/100),TC!$5:$37,DAY(W267)+2,FALSE))</f>
        <v>0</v>
      </c>
      <c r="AC267" s="306">
        <f t="shared" si="72"/>
        <v>0</v>
      </c>
      <c r="AD267" s="314">
        <f t="shared" si="63"/>
        <v>0</v>
      </c>
      <c r="AE267" s="315">
        <f t="shared" si="73"/>
        <v>0</v>
      </c>
      <c r="AF267" s="316">
        <f t="shared" si="64"/>
        <v>0</v>
      </c>
      <c r="AG267" s="314">
        <v>1</v>
      </c>
      <c r="AH267" s="314">
        <f t="shared" si="74"/>
        <v>0</v>
      </c>
      <c r="AI267" s="314">
        <f t="shared" si="75"/>
        <v>0</v>
      </c>
      <c r="AJ267" s="317"/>
      <c r="AK267" s="315" t="e">
        <f t="shared" si="76"/>
        <v>#N/A</v>
      </c>
      <c r="AM267" s="561"/>
      <c r="AN267" s="561"/>
      <c r="AO267" s="561"/>
    </row>
    <row r="268" spans="2:41">
      <c r="B268" s="296"/>
      <c r="C268" s="299"/>
      <c r="D268" s="296"/>
      <c r="E268" s="298"/>
      <c r="F268" s="299"/>
      <c r="G268" s="300"/>
      <c r="H268" s="303"/>
      <c r="I268" s="303"/>
      <c r="J268" s="322">
        <f t="shared" si="62"/>
        <v>0</v>
      </c>
      <c r="K268" s="305" t="e">
        <f>IF(F268="MXN",1/HLOOKUP(YEAR(G268)+(MONTH(G268)/100),TC!$5:$37,DAY(G268)+2,FALSE),VLOOKUP(F268,Equivalencia!$5:$23,((MAX(Equivalencia!$3:$3)-YEAR(G268))*14)+MONTH(G268)+2,FALSE))</f>
        <v>#N/A</v>
      </c>
      <c r="L268" s="306" t="e">
        <f t="shared" si="65"/>
        <v>#N/A</v>
      </c>
      <c r="M268" s="305">
        <f>IF(G268=0,0,HLOOKUP(YEAR(G268)+(MONTH(G268)/100),TC!$5:$37,DAY(G268)+2,FALSE))</f>
        <v>0</v>
      </c>
      <c r="N268" s="306" t="e">
        <f t="shared" si="66"/>
        <v>#N/A</v>
      </c>
      <c r="O268" s="308">
        <f>IF(G268=0,0,VLOOKUP(YEAR(G268),INPC!$B$4:$P$30,MONTH(G268)+2))</f>
        <v>0</v>
      </c>
      <c r="P268" s="308">
        <f>IF(W268=0,0,IF(OR(C268=$AQ$5,C268=AQ272),VLOOKUP(YEAR(W268),INPC!$B$4:$P$30,MONTH(W268)+1),VLOOKUP(YEAR(W268),INPC!$B$4:$P$30,MONTH(W268)+2)))</f>
        <v>0</v>
      </c>
      <c r="Q268" s="309">
        <f t="shared" si="67"/>
        <v>0</v>
      </c>
      <c r="R268" s="310" t="e">
        <f t="shared" si="68"/>
        <v>#N/A</v>
      </c>
      <c r="S268" s="310">
        <f t="shared" si="69"/>
        <v>0</v>
      </c>
      <c r="T268" s="567" t="str">
        <f t="shared" si="70"/>
        <v>NO</v>
      </c>
      <c r="U268" s="323"/>
      <c r="V268" s="299"/>
      <c r="W268" s="300"/>
      <c r="X268" s="299"/>
      <c r="Y268" s="303"/>
      <c r="Z268" s="305">
        <f>IF(Y268=0,0,IF(X268="MXN",1/HLOOKUP(YEAR(W268)+(MONTH(W268)/100),TC!$5:$37,DAY(W268)+2,FALSE),VLOOKUP(X268,Equivalencia!$1:$23,((MAX(Equivalencia!$3:$3)-YEAR(W268))*14)+MONTH(W268)+2,FALSE)))</f>
        <v>0</v>
      </c>
      <c r="AA268" s="306">
        <f t="shared" si="71"/>
        <v>0</v>
      </c>
      <c r="AB268" s="305">
        <f>+IF(W268=0,0,HLOOKUP(YEAR(W268)+(MONTH(W268)/100),TC!$5:$37,DAY(W268)+2,FALSE))</f>
        <v>0</v>
      </c>
      <c r="AC268" s="306">
        <f t="shared" si="72"/>
        <v>0</v>
      </c>
      <c r="AD268" s="314">
        <f t="shared" si="63"/>
        <v>0</v>
      </c>
      <c r="AE268" s="315">
        <f t="shared" si="73"/>
        <v>0</v>
      </c>
      <c r="AF268" s="316">
        <f t="shared" si="64"/>
        <v>0</v>
      </c>
      <c r="AG268" s="314">
        <v>1</v>
      </c>
      <c r="AH268" s="314">
        <f t="shared" si="74"/>
        <v>0</v>
      </c>
      <c r="AI268" s="314">
        <f t="shared" si="75"/>
        <v>0</v>
      </c>
      <c r="AJ268" s="317"/>
      <c r="AK268" s="315" t="e">
        <f t="shared" si="76"/>
        <v>#N/A</v>
      </c>
      <c r="AM268" s="561"/>
      <c r="AN268" s="561"/>
      <c r="AO268" s="561"/>
    </row>
    <row r="269" spans="2:41">
      <c r="B269" s="296"/>
      <c r="C269" s="299"/>
      <c r="D269" s="296"/>
      <c r="E269" s="298"/>
      <c r="F269" s="299"/>
      <c r="G269" s="300"/>
      <c r="H269" s="303"/>
      <c r="I269" s="303"/>
      <c r="J269" s="322">
        <f t="shared" si="62"/>
        <v>0</v>
      </c>
      <c r="K269" s="305" t="e">
        <f>IF(F269="MXN",1/HLOOKUP(YEAR(G269)+(MONTH(G269)/100),TC!$5:$37,DAY(G269)+2,FALSE),VLOOKUP(F269,Equivalencia!$5:$23,((MAX(Equivalencia!$3:$3)-YEAR(G269))*14)+MONTH(G269)+2,FALSE))</f>
        <v>#N/A</v>
      </c>
      <c r="L269" s="306" t="e">
        <f t="shared" si="65"/>
        <v>#N/A</v>
      </c>
      <c r="M269" s="305">
        <f>IF(G269=0,0,HLOOKUP(YEAR(G269)+(MONTH(G269)/100),TC!$5:$37,DAY(G269)+2,FALSE))</f>
        <v>0</v>
      </c>
      <c r="N269" s="306" t="e">
        <f t="shared" si="66"/>
        <v>#N/A</v>
      </c>
      <c r="O269" s="308">
        <f>IF(G269=0,0,VLOOKUP(YEAR(G269),INPC!$B$4:$P$30,MONTH(G269)+2))</f>
        <v>0</v>
      </c>
      <c r="P269" s="308">
        <f>IF(W269=0,0,IF(OR(C269=$AQ$5,C269=AQ273),VLOOKUP(YEAR(W269),INPC!$B$4:$P$30,MONTH(W269)+1),VLOOKUP(YEAR(W269),INPC!$B$4:$P$30,MONTH(W269)+2)))</f>
        <v>0</v>
      </c>
      <c r="Q269" s="309">
        <f t="shared" si="67"/>
        <v>0</v>
      </c>
      <c r="R269" s="310" t="e">
        <f t="shared" si="68"/>
        <v>#N/A</v>
      </c>
      <c r="S269" s="310">
        <f t="shared" si="69"/>
        <v>0</v>
      </c>
      <c r="T269" s="567" t="str">
        <f t="shared" si="70"/>
        <v>NO</v>
      </c>
      <c r="U269" s="323"/>
      <c r="V269" s="299"/>
      <c r="W269" s="300"/>
      <c r="X269" s="299"/>
      <c r="Y269" s="303"/>
      <c r="Z269" s="305">
        <f>IF(Y269=0,0,IF(X269="MXN",1/HLOOKUP(YEAR(W269)+(MONTH(W269)/100),TC!$5:$37,DAY(W269)+2,FALSE),VLOOKUP(X269,Equivalencia!$1:$23,((MAX(Equivalencia!$3:$3)-YEAR(W269))*14)+MONTH(W269)+2,FALSE)))</f>
        <v>0</v>
      </c>
      <c r="AA269" s="306">
        <f t="shared" si="71"/>
        <v>0</v>
      </c>
      <c r="AB269" s="305">
        <f>+IF(W269=0,0,HLOOKUP(YEAR(W269)+(MONTH(W269)/100),TC!$5:$37,DAY(W269)+2,FALSE))</f>
        <v>0</v>
      </c>
      <c r="AC269" s="306">
        <f t="shared" si="72"/>
        <v>0</v>
      </c>
      <c r="AD269" s="314">
        <f t="shared" si="63"/>
        <v>0</v>
      </c>
      <c r="AE269" s="315">
        <f t="shared" si="73"/>
        <v>0</v>
      </c>
      <c r="AF269" s="316">
        <f t="shared" si="64"/>
        <v>0</v>
      </c>
      <c r="AG269" s="314">
        <v>1</v>
      </c>
      <c r="AH269" s="314">
        <f t="shared" si="74"/>
        <v>0</v>
      </c>
      <c r="AI269" s="314">
        <f t="shared" si="75"/>
        <v>0</v>
      </c>
      <c r="AJ269" s="317"/>
      <c r="AK269" s="315" t="e">
        <f t="shared" si="76"/>
        <v>#N/A</v>
      </c>
      <c r="AM269" s="561"/>
      <c r="AN269" s="561"/>
      <c r="AO269" s="561"/>
    </row>
    <row r="270" spans="2:41">
      <c r="B270" s="296"/>
      <c r="C270" s="299"/>
      <c r="D270" s="296"/>
      <c r="E270" s="298"/>
      <c r="F270" s="299"/>
      <c r="G270" s="300"/>
      <c r="H270" s="303"/>
      <c r="I270" s="303"/>
      <c r="J270" s="322">
        <f t="shared" si="62"/>
        <v>0</v>
      </c>
      <c r="K270" s="305" t="e">
        <f>IF(F270="MXN",1/HLOOKUP(YEAR(G270)+(MONTH(G270)/100),TC!$5:$37,DAY(G270)+2,FALSE),VLOOKUP(F270,Equivalencia!$5:$23,((MAX(Equivalencia!$3:$3)-YEAR(G270))*14)+MONTH(G270)+2,FALSE))</f>
        <v>#N/A</v>
      </c>
      <c r="L270" s="306" t="e">
        <f t="shared" si="65"/>
        <v>#N/A</v>
      </c>
      <c r="M270" s="305">
        <f>IF(G270=0,0,HLOOKUP(YEAR(G270)+(MONTH(G270)/100),TC!$5:$37,DAY(G270)+2,FALSE))</f>
        <v>0</v>
      </c>
      <c r="N270" s="306" t="e">
        <f t="shared" si="66"/>
        <v>#N/A</v>
      </c>
      <c r="O270" s="308">
        <f>IF(G270=0,0,VLOOKUP(YEAR(G270),INPC!$B$4:$P$30,MONTH(G270)+2))</f>
        <v>0</v>
      </c>
      <c r="P270" s="308">
        <f>IF(W270=0,0,IF(OR(C270=$AQ$5,C270=AQ274),VLOOKUP(YEAR(W270),INPC!$B$4:$P$30,MONTH(W270)+1),VLOOKUP(YEAR(W270),INPC!$B$4:$P$30,MONTH(W270)+2)))</f>
        <v>0</v>
      </c>
      <c r="Q270" s="309">
        <f t="shared" si="67"/>
        <v>0</v>
      </c>
      <c r="R270" s="310" t="e">
        <f t="shared" si="68"/>
        <v>#N/A</v>
      </c>
      <c r="S270" s="310">
        <f t="shared" si="69"/>
        <v>0</v>
      </c>
      <c r="T270" s="567" t="str">
        <f t="shared" si="70"/>
        <v>NO</v>
      </c>
      <c r="U270" s="323"/>
      <c r="V270" s="299"/>
      <c r="W270" s="300"/>
      <c r="X270" s="299"/>
      <c r="Y270" s="303"/>
      <c r="Z270" s="305">
        <f>IF(Y270=0,0,IF(X270="MXN",1/HLOOKUP(YEAR(W270)+(MONTH(W270)/100),TC!$5:$37,DAY(W270)+2,FALSE),VLOOKUP(X270,Equivalencia!$1:$23,((MAX(Equivalencia!$3:$3)-YEAR(W270))*14)+MONTH(W270)+2,FALSE)))</f>
        <v>0</v>
      </c>
      <c r="AA270" s="306">
        <f t="shared" si="71"/>
        <v>0</v>
      </c>
      <c r="AB270" s="305">
        <f>+IF(W270=0,0,HLOOKUP(YEAR(W270)+(MONTH(W270)/100),TC!$5:$37,DAY(W270)+2,FALSE))</f>
        <v>0</v>
      </c>
      <c r="AC270" s="306">
        <f t="shared" si="72"/>
        <v>0</v>
      </c>
      <c r="AD270" s="314">
        <f t="shared" si="63"/>
        <v>0</v>
      </c>
      <c r="AE270" s="315">
        <f t="shared" si="73"/>
        <v>0</v>
      </c>
      <c r="AF270" s="316">
        <f t="shared" si="64"/>
        <v>0</v>
      </c>
      <c r="AG270" s="314">
        <v>1</v>
      </c>
      <c r="AH270" s="314">
        <f t="shared" si="74"/>
        <v>0</v>
      </c>
      <c r="AI270" s="314">
        <f t="shared" si="75"/>
        <v>0</v>
      </c>
      <c r="AJ270" s="317"/>
      <c r="AK270" s="315" t="e">
        <f t="shared" si="76"/>
        <v>#N/A</v>
      </c>
      <c r="AM270" s="561"/>
      <c r="AN270" s="561"/>
      <c r="AO270" s="561"/>
    </row>
    <row r="271" spans="2:41">
      <c r="B271" s="296"/>
      <c r="C271" s="299"/>
      <c r="D271" s="296"/>
      <c r="E271" s="298"/>
      <c r="F271" s="299"/>
      <c r="G271" s="300"/>
      <c r="H271" s="303"/>
      <c r="I271" s="303"/>
      <c r="J271" s="322">
        <f t="shared" si="62"/>
        <v>0</v>
      </c>
      <c r="K271" s="305" t="e">
        <f>IF(F271="MXN",1/HLOOKUP(YEAR(G271)+(MONTH(G271)/100),TC!$5:$37,DAY(G271)+2,FALSE),VLOOKUP(F271,Equivalencia!$5:$23,((MAX(Equivalencia!$3:$3)-YEAR(G271))*14)+MONTH(G271)+2,FALSE))</f>
        <v>#N/A</v>
      </c>
      <c r="L271" s="306" t="e">
        <f t="shared" si="65"/>
        <v>#N/A</v>
      </c>
      <c r="M271" s="305">
        <f>IF(G271=0,0,HLOOKUP(YEAR(G271)+(MONTH(G271)/100),TC!$5:$37,DAY(G271)+2,FALSE))</f>
        <v>0</v>
      </c>
      <c r="N271" s="306" t="e">
        <f t="shared" si="66"/>
        <v>#N/A</v>
      </c>
      <c r="O271" s="308">
        <f>IF(G271=0,0,VLOOKUP(YEAR(G271),INPC!$B$4:$P$30,MONTH(G271)+2))</f>
        <v>0</v>
      </c>
      <c r="P271" s="308">
        <f>IF(W271=0,0,IF(OR(C271=$AQ$5,C271=AQ275),VLOOKUP(YEAR(W271),INPC!$B$4:$P$30,MONTH(W271)+1),VLOOKUP(YEAR(W271),INPC!$B$4:$P$30,MONTH(W271)+2)))</f>
        <v>0</v>
      </c>
      <c r="Q271" s="309">
        <f t="shared" si="67"/>
        <v>0</v>
      </c>
      <c r="R271" s="310" t="e">
        <f t="shared" si="68"/>
        <v>#N/A</v>
      </c>
      <c r="S271" s="310">
        <f t="shared" si="69"/>
        <v>0</v>
      </c>
      <c r="T271" s="567" t="str">
        <f t="shared" si="70"/>
        <v>NO</v>
      </c>
      <c r="U271" s="323"/>
      <c r="V271" s="299"/>
      <c r="W271" s="300"/>
      <c r="X271" s="299"/>
      <c r="Y271" s="303"/>
      <c r="Z271" s="305">
        <f>IF(Y271=0,0,IF(X271="MXN",1/HLOOKUP(YEAR(W271)+(MONTH(W271)/100),TC!$5:$37,DAY(W271)+2,FALSE),VLOOKUP(X271,Equivalencia!$1:$23,((MAX(Equivalencia!$3:$3)-YEAR(W271))*14)+MONTH(W271)+2,FALSE)))</f>
        <v>0</v>
      </c>
      <c r="AA271" s="306">
        <f t="shared" si="71"/>
        <v>0</v>
      </c>
      <c r="AB271" s="305">
        <f>+IF(W271=0,0,HLOOKUP(YEAR(W271)+(MONTH(W271)/100),TC!$5:$37,DAY(W271)+2,FALSE))</f>
        <v>0</v>
      </c>
      <c r="AC271" s="306">
        <f t="shared" si="72"/>
        <v>0</v>
      </c>
      <c r="AD271" s="314">
        <f t="shared" si="63"/>
        <v>0</v>
      </c>
      <c r="AE271" s="315">
        <f t="shared" si="73"/>
        <v>0</v>
      </c>
      <c r="AF271" s="316">
        <f t="shared" si="64"/>
        <v>0</v>
      </c>
      <c r="AG271" s="314">
        <v>1</v>
      </c>
      <c r="AH271" s="314">
        <f t="shared" si="74"/>
        <v>0</v>
      </c>
      <c r="AI271" s="314">
        <f t="shared" si="75"/>
        <v>0</v>
      </c>
      <c r="AJ271" s="317"/>
      <c r="AK271" s="315" t="e">
        <f t="shared" si="76"/>
        <v>#N/A</v>
      </c>
      <c r="AM271" s="561"/>
      <c r="AN271" s="561"/>
      <c r="AO271" s="561"/>
    </row>
    <row r="272" spans="2:41">
      <c r="B272" s="296"/>
      <c r="C272" s="299"/>
      <c r="D272" s="296"/>
      <c r="E272" s="298"/>
      <c r="F272" s="299"/>
      <c r="G272" s="300"/>
      <c r="H272" s="303"/>
      <c r="I272" s="303"/>
      <c r="J272" s="322">
        <f t="shared" si="62"/>
        <v>0</v>
      </c>
      <c r="K272" s="305" t="e">
        <f>IF(F272="MXN",1/HLOOKUP(YEAR(G272)+(MONTH(G272)/100),TC!$5:$37,DAY(G272)+2,FALSE),VLOOKUP(F272,Equivalencia!$5:$23,((MAX(Equivalencia!$3:$3)-YEAR(G272))*14)+MONTH(G272)+2,FALSE))</f>
        <v>#N/A</v>
      </c>
      <c r="L272" s="306" t="e">
        <f t="shared" si="65"/>
        <v>#N/A</v>
      </c>
      <c r="M272" s="305">
        <f>IF(G272=0,0,HLOOKUP(YEAR(G272)+(MONTH(G272)/100),TC!$5:$37,DAY(G272)+2,FALSE))</f>
        <v>0</v>
      </c>
      <c r="N272" s="306" t="e">
        <f t="shared" si="66"/>
        <v>#N/A</v>
      </c>
      <c r="O272" s="308">
        <f>IF(G272=0,0,VLOOKUP(YEAR(G272),INPC!$B$4:$P$30,MONTH(G272)+2))</f>
        <v>0</v>
      </c>
      <c r="P272" s="308">
        <f>IF(W272=0,0,IF(OR(C272=$AQ$5,C272=AQ276),VLOOKUP(YEAR(W272),INPC!$B$4:$P$30,MONTH(W272)+1),VLOOKUP(YEAR(W272),INPC!$B$4:$P$30,MONTH(W272)+2)))</f>
        <v>0</v>
      </c>
      <c r="Q272" s="309">
        <f t="shared" si="67"/>
        <v>0</v>
      </c>
      <c r="R272" s="310" t="e">
        <f t="shared" si="68"/>
        <v>#N/A</v>
      </c>
      <c r="S272" s="310">
        <f t="shared" si="69"/>
        <v>0</v>
      </c>
      <c r="T272" s="567" t="str">
        <f t="shared" si="70"/>
        <v>NO</v>
      </c>
      <c r="U272" s="323"/>
      <c r="V272" s="299"/>
      <c r="W272" s="300"/>
      <c r="X272" s="299"/>
      <c r="Y272" s="303"/>
      <c r="Z272" s="305">
        <f>IF(Y272=0,0,IF(X272="MXN",1/HLOOKUP(YEAR(W272)+(MONTH(W272)/100),TC!$5:$37,DAY(W272)+2,FALSE),VLOOKUP(X272,Equivalencia!$1:$23,((MAX(Equivalencia!$3:$3)-YEAR(W272))*14)+MONTH(W272)+2,FALSE)))</f>
        <v>0</v>
      </c>
      <c r="AA272" s="306">
        <f t="shared" si="71"/>
        <v>0</v>
      </c>
      <c r="AB272" s="305">
        <f>+IF(W272=0,0,HLOOKUP(YEAR(W272)+(MONTH(W272)/100),TC!$5:$37,DAY(W272)+2,FALSE))</f>
        <v>0</v>
      </c>
      <c r="AC272" s="306">
        <f t="shared" si="72"/>
        <v>0</v>
      </c>
      <c r="AD272" s="314">
        <f t="shared" si="63"/>
        <v>0</v>
      </c>
      <c r="AE272" s="315">
        <f t="shared" si="73"/>
        <v>0</v>
      </c>
      <c r="AF272" s="316">
        <f t="shared" si="64"/>
        <v>0</v>
      </c>
      <c r="AG272" s="314">
        <v>1</v>
      </c>
      <c r="AH272" s="314">
        <f t="shared" si="74"/>
        <v>0</v>
      </c>
      <c r="AI272" s="314">
        <f t="shared" si="75"/>
        <v>0</v>
      </c>
      <c r="AJ272" s="317"/>
      <c r="AK272" s="315" t="e">
        <f t="shared" si="76"/>
        <v>#N/A</v>
      </c>
      <c r="AM272" s="561"/>
      <c r="AN272" s="561"/>
      <c r="AO272" s="561"/>
    </row>
    <row r="273" spans="2:41">
      <c r="B273" s="296"/>
      <c r="C273" s="299"/>
      <c r="D273" s="296"/>
      <c r="E273" s="298"/>
      <c r="F273" s="299"/>
      <c r="G273" s="300"/>
      <c r="H273" s="303"/>
      <c r="I273" s="303"/>
      <c r="J273" s="322">
        <f t="shared" si="62"/>
        <v>0</v>
      </c>
      <c r="K273" s="305" t="e">
        <f>IF(F273="MXN",1/HLOOKUP(YEAR(G273)+(MONTH(G273)/100),TC!$5:$37,DAY(G273)+2,FALSE),VLOOKUP(F273,Equivalencia!$5:$23,((MAX(Equivalencia!$3:$3)-YEAR(G273))*14)+MONTH(G273)+2,FALSE))</f>
        <v>#N/A</v>
      </c>
      <c r="L273" s="306" t="e">
        <f t="shared" si="65"/>
        <v>#N/A</v>
      </c>
      <c r="M273" s="305">
        <f>IF(G273=0,0,HLOOKUP(YEAR(G273)+(MONTH(G273)/100),TC!$5:$37,DAY(G273)+2,FALSE))</f>
        <v>0</v>
      </c>
      <c r="N273" s="306" t="e">
        <f t="shared" si="66"/>
        <v>#N/A</v>
      </c>
      <c r="O273" s="308">
        <f>IF(G273=0,0,VLOOKUP(YEAR(G273),INPC!$B$4:$P$30,MONTH(G273)+2))</f>
        <v>0</v>
      </c>
      <c r="P273" s="308">
        <f>IF(W273=0,0,IF(OR(C273=$AQ$5,C273=AQ277),VLOOKUP(YEAR(W273),INPC!$B$4:$P$30,MONTH(W273)+1),VLOOKUP(YEAR(W273),INPC!$B$4:$P$30,MONTH(W273)+2)))</f>
        <v>0</v>
      </c>
      <c r="Q273" s="309">
        <f t="shared" si="67"/>
        <v>0</v>
      </c>
      <c r="R273" s="310" t="e">
        <f t="shared" si="68"/>
        <v>#N/A</v>
      </c>
      <c r="S273" s="310">
        <f t="shared" si="69"/>
        <v>0</v>
      </c>
      <c r="T273" s="567" t="str">
        <f t="shared" si="70"/>
        <v>NO</v>
      </c>
      <c r="U273" s="323"/>
      <c r="V273" s="299"/>
      <c r="W273" s="300"/>
      <c r="X273" s="299"/>
      <c r="Y273" s="303"/>
      <c r="Z273" s="305">
        <f>IF(Y273=0,0,IF(X273="MXN",1/HLOOKUP(YEAR(W273)+(MONTH(W273)/100),TC!$5:$37,DAY(W273)+2,FALSE),VLOOKUP(X273,Equivalencia!$1:$23,((MAX(Equivalencia!$3:$3)-YEAR(W273))*14)+MONTH(W273)+2,FALSE)))</f>
        <v>0</v>
      </c>
      <c r="AA273" s="306">
        <f t="shared" si="71"/>
        <v>0</v>
      </c>
      <c r="AB273" s="305">
        <f>+IF(W273=0,0,HLOOKUP(YEAR(W273)+(MONTH(W273)/100),TC!$5:$37,DAY(W273)+2,FALSE))</f>
        <v>0</v>
      </c>
      <c r="AC273" s="306">
        <f t="shared" si="72"/>
        <v>0</v>
      </c>
      <c r="AD273" s="314">
        <f t="shared" si="63"/>
        <v>0</v>
      </c>
      <c r="AE273" s="315">
        <f t="shared" si="73"/>
        <v>0</v>
      </c>
      <c r="AF273" s="316">
        <f t="shared" si="64"/>
        <v>0</v>
      </c>
      <c r="AG273" s="314">
        <v>1</v>
      </c>
      <c r="AH273" s="314">
        <f t="shared" si="74"/>
        <v>0</v>
      </c>
      <c r="AI273" s="314">
        <f t="shared" si="75"/>
        <v>0</v>
      </c>
      <c r="AJ273" s="317"/>
      <c r="AK273" s="315" t="e">
        <f t="shared" si="76"/>
        <v>#N/A</v>
      </c>
      <c r="AM273" s="561"/>
      <c r="AN273" s="561"/>
      <c r="AO273" s="561"/>
    </row>
    <row r="274" spans="2:41">
      <c r="B274" s="296"/>
      <c r="C274" s="299"/>
      <c r="D274" s="296"/>
      <c r="E274" s="298"/>
      <c r="F274" s="299"/>
      <c r="G274" s="300"/>
      <c r="H274" s="303"/>
      <c r="I274" s="303"/>
      <c r="J274" s="322">
        <f t="shared" si="62"/>
        <v>0</v>
      </c>
      <c r="K274" s="305" t="e">
        <f>IF(F274="MXN",1/HLOOKUP(YEAR(G274)+(MONTH(G274)/100),TC!$5:$37,DAY(G274)+2,FALSE),VLOOKUP(F274,Equivalencia!$5:$23,((MAX(Equivalencia!$3:$3)-YEAR(G274))*14)+MONTH(G274)+2,FALSE))</f>
        <v>#N/A</v>
      </c>
      <c r="L274" s="306" t="e">
        <f t="shared" si="65"/>
        <v>#N/A</v>
      </c>
      <c r="M274" s="305">
        <f>IF(G274=0,0,HLOOKUP(YEAR(G274)+(MONTH(G274)/100),TC!$5:$37,DAY(G274)+2,FALSE))</f>
        <v>0</v>
      </c>
      <c r="N274" s="306" t="e">
        <f t="shared" si="66"/>
        <v>#N/A</v>
      </c>
      <c r="O274" s="308">
        <f>IF(G274=0,0,VLOOKUP(YEAR(G274),INPC!$B$4:$P$30,MONTH(G274)+2))</f>
        <v>0</v>
      </c>
      <c r="P274" s="308">
        <f>IF(W274=0,0,IF(OR(C274=$AQ$5,C274=AQ278),VLOOKUP(YEAR(W274),INPC!$B$4:$P$30,MONTH(W274)+1),VLOOKUP(YEAR(W274),INPC!$B$4:$P$30,MONTH(W274)+2)))</f>
        <v>0</v>
      </c>
      <c r="Q274" s="309">
        <f t="shared" si="67"/>
        <v>0</v>
      </c>
      <c r="R274" s="310" t="e">
        <f t="shared" si="68"/>
        <v>#N/A</v>
      </c>
      <c r="S274" s="310">
        <f t="shared" si="69"/>
        <v>0</v>
      </c>
      <c r="T274" s="567" t="str">
        <f t="shared" si="70"/>
        <v>NO</v>
      </c>
      <c r="U274" s="323"/>
      <c r="V274" s="299"/>
      <c r="W274" s="300"/>
      <c r="X274" s="299"/>
      <c r="Y274" s="303"/>
      <c r="Z274" s="305">
        <f>IF(Y274=0,0,IF(X274="MXN",1/HLOOKUP(YEAR(W274)+(MONTH(W274)/100),TC!$5:$37,DAY(W274)+2,FALSE),VLOOKUP(X274,Equivalencia!$1:$23,((MAX(Equivalencia!$3:$3)-YEAR(W274))*14)+MONTH(W274)+2,FALSE)))</f>
        <v>0</v>
      </c>
      <c r="AA274" s="306">
        <f t="shared" si="71"/>
        <v>0</v>
      </c>
      <c r="AB274" s="305">
        <f>+IF(W274=0,0,HLOOKUP(YEAR(W274)+(MONTH(W274)/100),TC!$5:$37,DAY(W274)+2,FALSE))</f>
        <v>0</v>
      </c>
      <c r="AC274" s="306">
        <f t="shared" si="72"/>
        <v>0</v>
      </c>
      <c r="AD274" s="314">
        <f t="shared" si="63"/>
        <v>0</v>
      </c>
      <c r="AE274" s="315">
        <f t="shared" si="73"/>
        <v>0</v>
      </c>
      <c r="AF274" s="316">
        <f t="shared" si="64"/>
        <v>0</v>
      </c>
      <c r="AG274" s="314">
        <v>1</v>
      </c>
      <c r="AH274" s="314">
        <f t="shared" si="74"/>
        <v>0</v>
      </c>
      <c r="AI274" s="314">
        <f t="shared" si="75"/>
        <v>0</v>
      </c>
      <c r="AJ274" s="317"/>
      <c r="AK274" s="315" t="e">
        <f t="shared" si="76"/>
        <v>#N/A</v>
      </c>
      <c r="AM274" s="561"/>
      <c r="AN274" s="561"/>
      <c r="AO274" s="561"/>
    </row>
    <row r="275" spans="2:41">
      <c r="B275" s="296"/>
      <c r="C275" s="299"/>
      <c r="D275" s="296"/>
      <c r="E275" s="298"/>
      <c r="F275" s="299"/>
      <c r="G275" s="300"/>
      <c r="H275" s="303"/>
      <c r="I275" s="303"/>
      <c r="J275" s="322">
        <f t="shared" si="62"/>
        <v>0</v>
      </c>
      <c r="K275" s="305" t="e">
        <f>IF(F275="MXN",1/HLOOKUP(YEAR(G275)+(MONTH(G275)/100),TC!$5:$37,DAY(G275)+2,FALSE),VLOOKUP(F275,Equivalencia!$5:$23,((MAX(Equivalencia!$3:$3)-YEAR(G275))*14)+MONTH(G275)+2,FALSE))</f>
        <v>#N/A</v>
      </c>
      <c r="L275" s="306" t="e">
        <f t="shared" si="65"/>
        <v>#N/A</v>
      </c>
      <c r="M275" s="305">
        <f>IF(G275=0,0,HLOOKUP(YEAR(G275)+(MONTH(G275)/100),TC!$5:$37,DAY(G275)+2,FALSE))</f>
        <v>0</v>
      </c>
      <c r="N275" s="306" t="e">
        <f t="shared" si="66"/>
        <v>#N/A</v>
      </c>
      <c r="O275" s="308">
        <f>IF(G275=0,0,VLOOKUP(YEAR(G275),INPC!$B$4:$P$30,MONTH(G275)+2))</f>
        <v>0</v>
      </c>
      <c r="P275" s="308">
        <f>IF(W275=0,0,IF(OR(C275=$AQ$5,C275=AQ279),VLOOKUP(YEAR(W275),INPC!$B$4:$P$30,MONTH(W275)+1),VLOOKUP(YEAR(W275),INPC!$B$4:$P$30,MONTH(W275)+2)))</f>
        <v>0</v>
      </c>
      <c r="Q275" s="309">
        <f t="shared" si="67"/>
        <v>0</v>
      </c>
      <c r="R275" s="310" t="e">
        <f t="shared" si="68"/>
        <v>#N/A</v>
      </c>
      <c r="S275" s="310">
        <f t="shared" si="69"/>
        <v>0</v>
      </c>
      <c r="T275" s="567" t="str">
        <f t="shared" si="70"/>
        <v>NO</v>
      </c>
      <c r="U275" s="323"/>
      <c r="V275" s="299"/>
      <c r="W275" s="300"/>
      <c r="X275" s="299"/>
      <c r="Y275" s="303"/>
      <c r="Z275" s="305">
        <f>IF(Y275=0,0,IF(X275="MXN",1/HLOOKUP(YEAR(W275)+(MONTH(W275)/100),TC!$5:$37,DAY(W275)+2,FALSE),VLOOKUP(X275,Equivalencia!$1:$23,((MAX(Equivalencia!$3:$3)-YEAR(W275))*14)+MONTH(W275)+2,FALSE)))</f>
        <v>0</v>
      </c>
      <c r="AA275" s="306">
        <f t="shared" si="71"/>
        <v>0</v>
      </c>
      <c r="AB275" s="305">
        <f>+IF(W275=0,0,HLOOKUP(YEAR(W275)+(MONTH(W275)/100),TC!$5:$37,DAY(W275)+2,FALSE))</f>
        <v>0</v>
      </c>
      <c r="AC275" s="306">
        <f t="shared" si="72"/>
        <v>0</v>
      </c>
      <c r="AD275" s="314">
        <f t="shared" si="63"/>
        <v>0</v>
      </c>
      <c r="AE275" s="315">
        <f t="shared" si="73"/>
        <v>0</v>
      </c>
      <c r="AF275" s="316">
        <f t="shared" si="64"/>
        <v>0</v>
      </c>
      <c r="AG275" s="314">
        <v>1</v>
      </c>
      <c r="AH275" s="314">
        <f t="shared" si="74"/>
        <v>0</v>
      </c>
      <c r="AI275" s="314">
        <f t="shared" si="75"/>
        <v>0</v>
      </c>
      <c r="AJ275" s="317"/>
      <c r="AK275" s="315" t="e">
        <f t="shared" si="76"/>
        <v>#N/A</v>
      </c>
      <c r="AM275" s="561"/>
      <c r="AN275" s="561"/>
      <c r="AO275" s="561"/>
    </row>
    <row r="276" spans="2:41">
      <c r="B276" s="296"/>
      <c r="C276" s="299"/>
      <c r="D276" s="296"/>
      <c r="E276" s="298"/>
      <c r="F276" s="299"/>
      <c r="G276" s="300"/>
      <c r="H276" s="303"/>
      <c r="I276" s="303"/>
      <c r="J276" s="322">
        <f t="shared" si="62"/>
        <v>0</v>
      </c>
      <c r="K276" s="305" t="e">
        <f>IF(F276="MXN",1/HLOOKUP(YEAR(G276)+(MONTH(G276)/100),TC!$5:$37,DAY(G276)+2,FALSE),VLOOKUP(F276,Equivalencia!$5:$23,((MAX(Equivalencia!$3:$3)-YEAR(G276))*14)+MONTH(G276)+2,FALSE))</f>
        <v>#N/A</v>
      </c>
      <c r="L276" s="306" t="e">
        <f t="shared" si="65"/>
        <v>#N/A</v>
      </c>
      <c r="M276" s="305">
        <f>IF(G276=0,0,HLOOKUP(YEAR(G276)+(MONTH(G276)/100),TC!$5:$37,DAY(G276)+2,FALSE))</f>
        <v>0</v>
      </c>
      <c r="N276" s="306" t="e">
        <f t="shared" si="66"/>
        <v>#N/A</v>
      </c>
      <c r="O276" s="308">
        <f>IF(G276=0,0,VLOOKUP(YEAR(G276),INPC!$B$4:$P$30,MONTH(G276)+2))</f>
        <v>0</v>
      </c>
      <c r="P276" s="308">
        <f>IF(W276=0,0,IF(OR(C276=$AQ$5,C276=AQ280),VLOOKUP(YEAR(W276),INPC!$B$4:$P$30,MONTH(W276)+1),VLOOKUP(YEAR(W276),INPC!$B$4:$P$30,MONTH(W276)+2)))</f>
        <v>0</v>
      </c>
      <c r="Q276" s="309">
        <f t="shared" si="67"/>
        <v>0</v>
      </c>
      <c r="R276" s="310" t="e">
        <f t="shared" si="68"/>
        <v>#N/A</v>
      </c>
      <c r="S276" s="310">
        <f t="shared" si="69"/>
        <v>0</v>
      </c>
      <c r="T276" s="567" t="str">
        <f t="shared" si="70"/>
        <v>NO</v>
      </c>
      <c r="U276" s="323"/>
      <c r="V276" s="299"/>
      <c r="W276" s="300"/>
      <c r="X276" s="299"/>
      <c r="Y276" s="303"/>
      <c r="Z276" s="305">
        <f>IF(Y276=0,0,IF(X276="MXN",1/HLOOKUP(YEAR(W276)+(MONTH(W276)/100),TC!$5:$37,DAY(W276)+2,FALSE),VLOOKUP(X276,Equivalencia!$1:$23,((MAX(Equivalencia!$3:$3)-YEAR(W276))*14)+MONTH(W276)+2,FALSE)))</f>
        <v>0</v>
      </c>
      <c r="AA276" s="306">
        <f t="shared" si="71"/>
        <v>0</v>
      </c>
      <c r="AB276" s="305">
        <f>+IF(W276=0,0,HLOOKUP(YEAR(W276)+(MONTH(W276)/100),TC!$5:$37,DAY(W276)+2,FALSE))</f>
        <v>0</v>
      </c>
      <c r="AC276" s="306">
        <f t="shared" si="72"/>
        <v>0</v>
      </c>
      <c r="AD276" s="314">
        <f t="shared" si="63"/>
        <v>0</v>
      </c>
      <c r="AE276" s="315">
        <f t="shared" si="73"/>
        <v>0</v>
      </c>
      <c r="AF276" s="316">
        <f t="shared" si="64"/>
        <v>0</v>
      </c>
      <c r="AG276" s="314">
        <v>1</v>
      </c>
      <c r="AH276" s="314">
        <f t="shared" si="74"/>
        <v>0</v>
      </c>
      <c r="AI276" s="314">
        <f t="shared" si="75"/>
        <v>0</v>
      </c>
      <c r="AJ276" s="317"/>
      <c r="AK276" s="315" t="e">
        <f t="shared" si="76"/>
        <v>#N/A</v>
      </c>
      <c r="AM276" s="561"/>
      <c r="AN276" s="561"/>
      <c r="AO276" s="561"/>
    </row>
    <row r="277" spans="2:41">
      <c r="B277" s="296"/>
      <c r="C277" s="299"/>
      <c r="D277" s="296"/>
      <c r="E277" s="298"/>
      <c r="F277" s="299"/>
      <c r="G277" s="300"/>
      <c r="H277" s="303"/>
      <c r="I277" s="303"/>
      <c r="J277" s="322">
        <f t="shared" si="62"/>
        <v>0</v>
      </c>
      <c r="K277" s="305" t="e">
        <f>IF(F277="MXN",1/HLOOKUP(YEAR(G277)+(MONTH(G277)/100),TC!$5:$37,DAY(G277)+2,FALSE),VLOOKUP(F277,Equivalencia!$5:$23,((MAX(Equivalencia!$3:$3)-YEAR(G277))*14)+MONTH(G277)+2,FALSE))</f>
        <v>#N/A</v>
      </c>
      <c r="L277" s="306" t="e">
        <f t="shared" si="65"/>
        <v>#N/A</v>
      </c>
      <c r="M277" s="305">
        <f>IF(G277=0,0,HLOOKUP(YEAR(G277)+(MONTH(G277)/100),TC!$5:$37,DAY(G277)+2,FALSE))</f>
        <v>0</v>
      </c>
      <c r="N277" s="306" t="e">
        <f t="shared" si="66"/>
        <v>#N/A</v>
      </c>
      <c r="O277" s="308">
        <f>IF(G277=0,0,VLOOKUP(YEAR(G277),INPC!$B$4:$P$30,MONTH(G277)+2))</f>
        <v>0</v>
      </c>
      <c r="P277" s="308">
        <f>IF(W277=0,0,IF(OR(C277=$AQ$5,C277=AQ281),VLOOKUP(YEAR(W277),INPC!$B$4:$P$30,MONTH(W277)+1),VLOOKUP(YEAR(W277),INPC!$B$4:$P$30,MONTH(W277)+2)))</f>
        <v>0</v>
      </c>
      <c r="Q277" s="309">
        <f t="shared" si="67"/>
        <v>0</v>
      </c>
      <c r="R277" s="310" t="e">
        <f t="shared" si="68"/>
        <v>#N/A</v>
      </c>
      <c r="S277" s="310">
        <f t="shared" si="69"/>
        <v>0</v>
      </c>
      <c r="T277" s="567" t="str">
        <f t="shared" si="70"/>
        <v>NO</v>
      </c>
      <c r="U277" s="323"/>
      <c r="V277" s="299"/>
      <c r="W277" s="300"/>
      <c r="X277" s="299"/>
      <c r="Y277" s="303"/>
      <c r="Z277" s="305">
        <f>IF(Y277=0,0,IF(X277="MXN",1/HLOOKUP(YEAR(W277)+(MONTH(W277)/100),TC!$5:$37,DAY(W277)+2,FALSE),VLOOKUP(X277,Equivalencia!$1:$23,((MAX(Equivalencia!$3:$3)-YEAR(W277))*14)+MONTH(W277)+2,FALSE)))</f>
        <v>0</v>
      </c>
      <c r="AA277" s="306">
        <f t="shared" si="71"/>
        <v>0</v>
      </c>
      <c r="AB277" s="305">
        <f>+IF(W277=0,0,HLOOKUP(YEAR(W277)+(MONTH(W277)/100),TC!$5:$37,DAY(W277)+2,FALSE))</f>
        <v>0</v>
      </c>
      <c r="AC277" s="306">
        <f t="shared" si="72"/>
        <v>0</v>
      </c>
      <c r="AD277" s="314">
        <f t="shared" si="63"/>
        <v>0</v>
      </c>
      <c r="AE277" s="315">
        <f t="shared" si="73"/>
        <v>0</v>
      </c>
      <c r="AF277" s="316">
        <f t="shared" si="64"/>
        <v>0</v>
      </c>
      <c r="AG277" s="314">
        <v>1</v>
      </c>
      <c r="AH277" s="314">
        <f t="shared" si="74"/>
        <v>0</v>
      </c>
      <c r="AI277" s="314">
        <f t="shared" si="75"/>
        <v>0</v>
      </c>
      <c r="AJ277" s="317"/>
      <c r="AK277" s="315" t="e">
        <f t="shared" si="76"/>
        <v>#N/A</v>
      </c>
      <c r="AM277" s="561"/>
      <c r="AN277" s="561"/>
      <c r="AO277" s="561"/>
    </row>
    <row r="278" spans="2:41">
      <c r="B278" s="296"/>
      <c r="C278" s="299"/>
      <c r="D278" s="296"/>
      <c r="E278" s="298"/>
      <c r="F278" s="299"/>
      <c r="G278" s="300"/>
      <c r="H278" s="303"/>
      <c r="I278" s="303"/>
      <c r="J278" s="322">
        <f t="shared" si="62"/>
        <v>0</v>
      </c>
      <c r="K278" s="305" t="e">
        <f>IF(F278="MXN",1/HLOOKUP(YEAR(G278)+(MONTH(G278)/100),TC!$5:$37,DAY(G278)+2,FALSE),VLOOKUP(F278,Equivalencia!$5:$23,((MAX(Equivalencia!$3:$3)-YEAR(G278))*14)+MONTH(G278)+2,FALSE))</f>
        <v>#N/A</v>
      </c>
      <c r="L278" s="306" t="e">
        <f t="shared" si="65"/>
        <v>#N/A</v>
      </c>
      <c r="M278" s="305">
        <f>IF(G278=0,0,HLOOKUP(YEAR(G278)+(MONTH(G278)/100),TC!$5:$37,DAY(G278)+2,FALSE))</f>
        <v>0</v>
      </c>
      <c r="N278" s="306" t="e">
        <f t="shared" si="66"/>
        <v>#N/A</v>
      </c>
      <c r="O278" s="308">
        <f>IF(G278=0,0,VLOOKUP(YEAR(G278),INPC!$B$4:$P$30,MONTH(G278)+2))</f>
        <v>0</v>
      </c>
      <c r="P278" s="308">
        <f>IF(W278=0,0,IF(OR(C278=$AQ$5,C278=AQ282),VLOOKUP(YEAR(W278),INPC!$B$4:$P$30,MONTH(W278)+1),VLOOKUP(YEAR(W278),INPC!$B$4:$P$30,MONTH(W278)+2)))</f>
        <v>0</v>
      </c>
      <c r="Q278" s="309">
        <f t="shared" si="67"/>
        <v>0</v>
      </c>
      <c r="R278" s="310" t="e">
        <f t="shared" si="68"/>
        <v>#N/A</v>
      </c>
      <c r="S278" s="310">
        <f t="shared" si="69"/>
        <v>0</v>
      </c>
      <c r="T278" s="567" t="str">
        <f t="shared" si="70"/>
        <v>NO</v>
      </c>
      <c r="U278" s="323"/>
      <c r="V278" s="299"/>
      <c r="W278" s="300"/>
      <c r="X278" s="299"/>
      <c r="Y278" s="303"/>
      <c r="Z278" s="305">
        <f>IF(Y278=0,0,IF(X278="MXN",1/HLOOKUP(YEAR(W278)+(MONTH(W278)/100),TC!$5:$37,DAY(W278)+2,FALSE),VLOOKUP(X278,Equivalencia!$1:$23,((MAX(Equivalencia!$3:$3)-YEAR(W278))*14)+MONTH(W278)+2,FALSE)))</f>
        <v>0</v>
      </c>
      <c r="AA278" s="306">
        <f t="shared" si="71"/>
        <v>0</v>
      </c>
      <c r="AB278" s="305">
        <f>+IF(W278=0,0,HLOOKUP(YEAR(W278)+(MONTH(W278)/100),TC!$5:$37,DAY(W278)+2,FALSE))</f>
        <v>0</v>
      </c>
      <c r="AC278" s="306">
        <f t="shared" si="72"/>
        <v>0</v>
      </c>
      <c r="AD278" s="314">
        <f t="shared" si="63"/>
        <v>0</v>
      </c>
      <c r="AE278" s="315">
        <f t="shared" si="73"/>
        <v>0</v>
      </c>
      <c r="AF278" s="316">
        <f t="shared" si="64"/>
        <v>0</v>
      </c>
      <c r="AG278" s="314">
        <v>1</v>
      </c>
      <c r="AH278" s="314">
        <f t="shared" si="74"/>
        <v>0</v>
      </c>
      <c r="AI278" s="314">
        <f t="shared" si="75"/>
        <v>0</v>
      </c>
      <c r="AJ278" s="317"/>
      <c r="AK278" s="315" t="e">
        <f t="shared" si="76"/>
        <v>#N/A</v>
      </c>
      <c r="AM278" s="561"/>
      <c r="AN278" s="561"/>
      <c r="AO278" s="561"/>
    </row>
    <row r="279" spans="2:41">
      <c r="B279" s="296"/>
      <c r="C279" s="299"/>
      <c r="D279" s="296"/>
      <c r="E279" s="298"/>
      <c r="F279" s="299"/>
      <c r="G279" s="300"/>
      <c r="H279" s="303"/>
      <c r="I279" s="303"/>
      <c r="J279" s="322">
        <f t="shared" si="62"/>
        <v>0</v>
      </c>
      <c r="K279" s="305" t="e">
        <f>IF(F279="MXN",1/HLOOKUP(YEAR(G279)+(MONTH(G279)/100),TC!$5:$37,DAY(G279)+2,FALSE),VLOOKUP(F279,Equivalencia!$5:$23,((MAX(Equivalencia!$3:$3)-YEAR(G279))*14)+MONTH(G279)+2,FALSE))</f>
        <v>#N/A</v>
      </c>
      <c r="L279" s="306" t="e">
        <f t="shared" si="65"/>
        <v>#N/A</v>
      </c>
      <c r="M279" s="305">
        <f>IF(G279=0,0,HLOOKUP(YEAR(G279)+(MONTH(G279)/100),TC!$5:$37,DAY(G279)+2,FALSE))</f>
        <v>0</v>
      </c>
      <c r="N279" s="306" t="e">
        <f t="shared" si="66"/>
        <v>#N/A</v>
      </c>
      <c r="O279" s="308">
        <f>IF(G279=0,0,VLOOKUP(YEAR(G279),INPC!$B$4:$P$30,MONTH(G279)+2))</f>
        <v>0</v>
      </c>
      <c r="P279" s="308">
        <f>IF(W279=0,0,IF(OR(C279=$AQ$5,C279=AQ283),VLOOKUP(YEAR(W279),INPC!$B$4:$P$30,MONTH(W279)+1),VLOOKUP(YEAR(W279),INPC!$B$4:$P$30,MONTH(W279)+2)))</f>
        <v>0</v>
      </c>
      <c r="Q279" s="309">
        <f t="shared" si="67"/>
        <v>0</v>
      </c>
      <c r="R279" s="310" t="e">
        <f t="shared" si="68"/>
        <v>#N/A</v>
      </c>
      <c r="S279" s="310">
        <f t="shared" si="69"/>
        <v>0</v>
      </c>
      <c r="T279" s="567" t="str">
        <f t="shared" si="70"/>
        <v>NO</v>
      </c>
      <c r="U279" s="323"/>
      <c r="V279" s="299"/>
      <c r="W279" s="300"/>
      <c r="X279" s="299"/>
      <c r="Y279" s="303"/>
      <c r="Z279" s="305">
        <f>IF(Y279=0,0,IF(X279="MXN",1/HLOOKUP(YEAR(W279)+(MONTH(W279)/100),TC!$5:$37,DAY(W279)+2,FALSE),VLOOKUP(X279,Equivalencia!$1:$23,((MAX(Equivalencia!$3:$3)-YEAR(W279))*14)+MONTH(W279)+2,FALSE)))</f>
        <v>0</v>
      </c>
      <c r="AA279" s="306">
        <f t="shared" si="71"/>
        <v>0</v>
      </c>
      <c r="AB279" s="305">
        <f>+IF(W279=0,0,HLOOKUP(YEAR(W279)+(MONTH(W279)/100),TC!$5:$37,DAY(W279)+2,FALSE))</f>
        <v>0</v>
      </c>
      <c r="AC279" s="306">
        <f t="shared" si="72"/>
        <v>0</v>
      </c>
      <c r="AD279" s="314">
        <f t="shared" si="63"/>
        <v>0</v>
      </c>
      <c r="AE279" s="315">
        <f t="shared" si="73"/>
        <v>0</v>
      </c>
      <c r="AF279" s="316">
        <f t="shared" si="64"/>
        <v>0</v>
      </c>
      <c r="AG279" s="314">
        <v>1</v>
      </c>
      <c r="AH279" s="314">
        <f t="shared" si="74"/>
        <v>0</v>
      </c>
      <c r="AI279" s="314">
        <f t="shared" si="75"/>
        <v>0</v>
      </c>
      <c r="AJ279" s="317"/>
      <c r="AK279" s="315" t="e">
        <f t="shared" si="76"/>
        <v>#N/A</v>
      </c>
      <c r="AM279" s="561"/>
      <c r="AN279" s="561"/>
      <c r="AO279" s="561"/>
    </row>
    <row r="280" spans="2:41">
      <c r="B280" s="296"/>
      <c r="C280" s="299"/>
      <c r="D280" s="296"/>
      <c r="E280" s="298"/>
      <c r="F280" s="299"/>
      <c r="G280" s="300"/>
      <c r="H280" s="303"/>
      <c r="I280" s="303"/>
      <c r="J280" s="322">
        <f t="shared" si="62"/>
        <v>0</v>
      </c>
      <c r="K280" s="305" t="e">
        <f>IF(F280="MXN",1/HLOOKUP(YEAR(G280)+(MONTH(G280)/100),TC!$5:$37,DAY(G280)+2,FALSE),VLOOKUP(F280,Equivalencia!$5:$23,((MAX(Equivalencia!$3:$3)-YEAR(G280))*14)+MONTH(G280)+2,FALSE))</f>
        <v>#N/A</v>
      </c>
      <c r="L280" s="306" t="e">
        <f t="shared" si="65"/>
        <v>#N/A</v>
      </c>
      <c r="M280" s="305">
        <f>IF(G280=0,0,HLOOKUP(YEAR(G280)+(MONTH(G280)/100),TC!$5:$37,DAY(G280)+2,FALSE))</f>
        <v>0</v>
      </c>
      <c r="N280" s="306" t="e">
        <f t="shared" si="66"/>
        <v>#N/A</v>
      </c>
      <c r="O280" s="308">
        <f>IF(G280=0,0,VLOOKUP(YEAR(G280),INPC!$B$4:$P$30,MONTH(G280)+2))</f>
        <v>0</v>
      </c>
      <c r="P280" s="308">
        <f>IF(W280=0,0,IF(OR(C280=$AQ$5,C280=AQ284),VLOOKUP(YEAR(W280),INPC!$B$4:$P$30,MONTH(W280)+1),VLOOKUP(YEAR(W280),INPC!$B$4:$P$30,MONTH(W280)+2)))</f>
        <v>0</v>
      </c>
      <c r="Q280" s="309">
        <f t="shared" si="67"/>
        <v>0</v>
      </c>
      <c r="R280" s="310" t="e">
        <f t="shared" si="68"/>
        <v>#N/A</v>
      </c>
      <c r="S280" s="310">
        <f t="shared" si="69"/>
        <v>0</v>
      </c>
      <c r="T280" s="567" t="str">
        <f t="shared" si="70"/>
        <v>NO</v>
      </c>
      <c r="U280" s="323"/>
      <c r="V280" s="299"/>
      <c r="W280" s="300"/>
      <c r="X280" s="299"/>
      <c r="Y280" s="303"/>
      <c r="Z280" s="305">
        <f>IF(Y280=0,0,IF(X280="MXN",1/HLOOKUP(YEAR(W280)+(MONTH(W280)/100),TC!$5:$37,DAY(W280)+2,FALSE),VLOOKUP(X280,Equivalencia!$1:$23,((MAX(Equivalencia!$3:$3)-YEAR(W280))*14)+MONTH(W280)+2,FALSE)))</f>
        <v>0</v>
      </c>
      <c r="AA280" s="306">
        <f t="shared" si="71"/>
        <v>0</v>
      </c>
      <c r="AB280" s="305">
        <f>+IF(W280=0,0,HLOOKUP(YEAR(W280)+(MONTH(W280)/100),TC!$5:$37,DAY(W280)+2,FALSE))</f>
        <v>0</v>
      </c>
      <c r="AC280" s="306">
        <f t="shared" si="72"/>
        <v>0</v>
      </c>
      <c r="AD280" s="314">
        <f t="shared" si="63"/>
        <v>0</v>
      </c>
      <c r="AE280" s="315">
        <f t="shared" si="73"/>
        <v>0</v>
      </c>
      <c r="AF280" s="316">
        <f t="shared" si="64"/>
        <v>0</v>
      </c>
      <c r="AG280" s="314">
        <v>1</v>
      </c>
      <c r="AH280" s="314">
        <f t="shared" si="74"/>
        <v>0</v>
      </c>
      <c r="AI280" s="314">
        <f t="shared" si="75"/>
        <v>0</v>
      </c>
      <c r="AJ280" s="317"/>
      <c r="AK280" s="315" t="e">
        <f t="shared" si="76"/>
        <v>#N/A</v>
      </c>
      <c r="AM280" s="561"/>
      <c r="AN280" s="561"/>
      <c r="AO280" s="561"/>
    </row>
    <row r="281" spans="2:41">
      <c r="B281" s="296"/>
      <c r="C281" s="299"/>
      <c r="D281" s="296"/>
      <c r="E281" s="298"/>
      <c r="F281" s="299"/>
      <c r="G281" s="300"/>
      <c r="H281" s="303"/>
      <c r="I281" s="303"/>
      <c r="J281" s="322">
        <f t="shared" si="62"/>
        <v>0</v>
      </c>
      <c r="K281" s="305" t="e">
        <f>IF(F281="MXN",1/HLOOKUP(YEAR(G281)+(MONTH(G281)/100),TC!$5:$37,DAY(G281)+2,FALSE),VLOOKUP(F281,Equivalencia!$5:$23,((MAX(Equivalencia!$3:$3)-YEAR(G281))*14)+MONTH(G281)+2,FALSE))</f>
        <v>#N/A</v>
      </c>
      <c r="L281" s="306" t="e">
        <f t="shared" si="65"/>
        <v>#N/A</v>
      </c>
      <c r="M281" s="305">
        <f>IF(G281=0,0,HLOOKUP(YEAR(G281)+(MONTH(G281)/100),TC!$5:$37,DAY(G281)+2,FALSE))</f>
        <v>0</v>
      </c>
      <c r="N281" s="306" t="e">
        <f t="shared" si="66"/>
        <v>#N/A</v>
      </c>
      <c r="O281" s="308">
        <f>IF(G281=0,0,VLOOKUP(YEAR(G281),INPC!$B$4:$P$30,MONTH(G281)+2))</f>
        <v>0</v>
      </c>
      <c r="P281" s="308">
        <f>IF(W281=0,0,IF(OR(C281=$AQ$5,C281=AQ285),VLOOKUP(YEAR(W281),INPC!$B$4:$P$30,MONTH(W281)+1),VLOOKUP(YEAR(W281),INPC!$B$4:$P$30,MONTH(W281)+2)))</f>
        <v>0</v>
      </c>
      <c r="Q281" s="309">
        <f t="shared" si="67"/>
        <v>0</v>
      </c>
      <c r="R281" s="310" t="e">
        <f t="shared" si="68"/>
        <v>#N/A</v>
      </c>
      <c r="S281" s="310">
        <f t="shared" si="69"/>
        <v>0</v>
      </c>
      <c r="T281" s="567" t="str">
        <f t="shared" si="70"/>
        <v>NO</v>
      </c>
      <c r="U281" s="323"/>
      <c r="V281" s="299"/>
      <c r="W281" s="300"/>
      <c r="X281" s="299"/>
      <c r="Y281" s="303"/>
      <c r="Z281" s="305">
        <f>IF(Y281=0,0,IF(X281="MXN",1/HLOOKUP(YEAR(W281)+(MONTH(W281)/100),TC!$5:$37,DAY(W281)+2,FALSE),VLOOKUP(X281,Equivalencia!$1:$23,((MAX(Equivalencia!$3:$3)-YEAR(W281))*14)+MONTH(W281)+2,FALSE)))</f>
        <v>0</v>
      </c>
      <c r="AA281" s="306">
        <f t="shared" si="71"/>
        <v>0</v>
      </c>
      <c r="AB281" s="305">
        <f>+IF(W281=0,0,HLOOKUP(YEAR(W281)+(MONTH(W281)/100),TC!$5:$37,DAY(W281)+2,FALSE))</f>
        <v>0</v>
      </c>
      <c r="AC281" s="306">
        <f t="shared" si="72"/>
        <v>0</v>
      </c>
      <c r="AD281" s="314">
        <f t="shared" si="63"/>
        <v>0</v>
      </c>
      <c r="AE281" s="315">
        <f t="shared" si="73"/>
        <v>0</v>
      </c>
      <c r="AF281" s="316">
        <f t="shared" si="64"/>
        <v>0</v>
      </c>
      <c r="AG281" s="314">
        <v>1</v>
      </c>
      <c r="AH281" s="314">
        <f t="shared" si="74"/>
        <v>0</v>
      </c>
      <c r="AI281" s="314">
        <f t="shared" si="75"/>
        <v>0</v>
      </c>
      <c r="AJ281" s="317"/>
      <c r="AK281" s="315" t="e">
        <f t="shared" si="76"/>
        <v>#N/A</v>
      </c>
      <c r="AM281" s="561"/>
      <c r="AN281" s="561"/>
      <c r="AO281" s="561"/>
    </row>
    <row r="282" spans="2:41">
      <c r="B282" s="296"/>
      <c r="C282" s="299"/>
      <c r="D282" s="296"/>
      <c r="E282" s="298"/>
      <c r="F282" s="299"/>
      <c r="G282" s="300"/>
      <c r="H282" s="303"/>
      <c r="I282" s="303"/>
      <c r="J282" s="322">
        <f t="shared" si="62"/>
        <v>0</v>
      </c>
      <c r="K282" s="305" t="e">
        <f>IF(F282="MXN",1/HLOOKUP(YEAR(G282)+(MONTH(G282)/100),TC!$5:$37,DAY(G282)+2,FALSE),VLOOKUP(F282,Equivalencia!$5:$23,((MAX(Equivalencia!$3:$3)-YEAR(G282))*14)+MONTH(G282)+2,FALSE))</f>
        <v>#N/A</v>
      </c>
      <c r="L282" s="306" t="e">
        <f t="shared" si="65"/>
        <v>#N/A</v>
      </c>
      <c r="M282" s="305">
        <f>IF(G282=0,0,HLOOKUP(YEAR(G282)+(MONTH(G282)/100),TC!$5:$37,DAY(G282)+2,FALSE))</f>
        <v>0</v>
      </c>
      <c r="N282" s="306" t="e">
        <f t="shared" si="66"/>
        <v>#N/A</v>
      </c>
      <c r="O282" s="308">
        <f>IF(G282=0,0,VLOOKUP(YEAR(G282),INPC!$B$4:$P$30,MONTH(G282)+2))</f>
        <v>0</v>
      </c>
      <c r="P282" s="308">
        <f>IF(W282=0,0,IF(OR(C282=$AQ$5,C282=AQ286),VLOOKUP(YEAR(W282),INPC!$B$4:$P$30,MONTH(W282)+1),VLOOKUP(YEAR(W282),INPC!$B$4:$P$30,MONTH(W282)+2)))</f>
        <v>0</v>
      </c>
      <c r="Q282" s="309">
        <f t="shared" si="67"/>
        <v>0</v>
      </c>
      <c r="R282" s="310" t="e">
        <f t="shared" si="68"/>
        <v>#N/A</v>
      </c>
      <c r="S282" s="310">
        <f t="shared" si="69"/>
        <v>0</v>
      </c>
      <c r="T282" s="567" t="str">
        <f t="shared" si="70"/>
        <v>NO</v>
      </c>
      <c r="U282" s="323"/>
      <c r="V282" s="299"/>
      <c r="W282" s="300"/>
      <c r="X282" s="299"/>
      <c r="Y282" s="303"/>
      <c r="Z282" s="305">
        <f>IF(Y282=0,0,IF(X282="MXN",1/HLOOKUP(YEAR(W282)+(MONTH(W282)/100),TC!$5:$37,DAY(W282)+2,FALSE),VLOOKUP(X282,Equivalencia!$1:$23,((MAX(Equivalencia!$3:$3)-YEAR(W282))*14)+MONTH(W282)+2,FALSE)))</f>
        <v>0</v>
      </c>
      <c r="AA282" s="306">
        <f t="shared" si="71"/>
        <v>0</v>
      </c>
      <c r="AB282" s="305">
        <f>+IF(W282=0,0,HLOOKUP(YEAR(W282)+(MONTH(W282)/100),TC!$5:$37,DAY(W282)+2,FALSE))</f>
        <v>0</v>
      </c>
      <c r="AC282" s="306">
        <f t="shared" si="72"/>
        <v>0</v>
      </c>
      <c r="AD282" s="314">
        <f t="shared" si="63"/>
        <v>0</v>
      </c>
      <c r="AE282" s="315">
        <f t="shared" si="73"/>
        <v>0</v>
      </c>
      <c r="AF282" s="316">
        <f t="shared" si="64"/>
        <v>0</v>
      </c>
      <c r="AG282" s="314">
        <v>1</v>
      </c>
      <c r="AH282" s="314">
        <f t="shared" si="74"/>
        <v>0</v>
      </c>
      <c r="AI282" s="314">
        <f t="shared" si="75"/>
        <v>0</v>
      </c>
      <c r="AJ282" s="317"/>
      <c r="AK282" s="315" t="e">
        <f t="shared" si="76"/>
        <v>#N/A</v>
      </c>
      <c r="AM282" s="561"/>
      <c r="AN282" s="561"/>
      <c r="AO282" s="561"/>
    </row>
    <row r="283" spans="2:41">
      <c r="B283" s="296"/>
      <c r="C283" s="299"/>
      <c r="D283" s="296"/>
      <c r="E283" s="298"/>
      <c r="F283" s="299"/>
      <c r="G283" s="300"/>
      <c r="H283" s="303"/>
      <c r="I283" s="303"/>
      <c r="J283" s="322">
        <f t="shared" si="62"/>
        <v>0</v>
      </c>
      <c r="K283" s="305" t="e">
        <f>IF(F283="MXN",1/HLOOKUP(YEAR(G283)+(MONTH(G283)/100),TC!$5:$37,DAY(G283)+2,FALSE),VLOOKUP(F283,Equivalencia!$5:$23,((MAX(Equivalencia!$3:$3)-YEAR(G283))*14)+MONTH(G283)+2,FALSE))</f>
        <v>#N/A</v>
      </c>
      <c r="L283" s="306" t="e">
        <f t="shared" si="65"/>
        <v>#N/A</v>
      </c>
      <c r="M283" s="305">
        <f>IF(G283=0,0,HLOOKUP(YEAR(G283)+(MONTH(G283)/100),TC!$5:$37,DAY(G283)+2,FALSE))</f>
        <v>0</v>
      </c>
      <c r="N283" s="306" t="e">
        <f t="shared" si="66"/>
        <v>#N/A</v>
      </c>
      <c r="O283" s="308">
        <f>IF(G283=0,0,VLOOKUP(YEAR(G283),INPC!$B$4:$P$30,MONTH(G283)+2))</f>
        <v>0</v>
      </c>
      <c r="P283" s="308">
        <f>IF(W283=0,0,IF(OR(C283=$AQ$5,C283=AQ287),VLOOKUP(YEAR(W283),INPC!$B$4:$P$30,MONTH(W283)+1),VLOOKUP(YEAR(W283),INPC!$B$4:$P$30,MONTH(W283)+2)))</f>
        <v>0</v>
      </c>
      <c r="Q283" s="309">
        <f t="shared" si="67"/>
        <v>0</v>
      </c>
      <c r="R283" s="310" t="e">
        <f t="shared" si="68"/>
        <v>#N/A</v>
      </c>
      <c r="S283" s="310">
        <f t="shared" si="69"/>
        <v>0</v>
      </c>
      <c r="T283" s="567" t="str">
        <f t="shared" si="70"/>
        <v>NO</v>
      </c>
      <c r="U283" s="323"/>
      <c r="V283" s="299"/>
      <c r="W283" s="300"/>
      <c r="X283" s="299"/>
      <c r="Y283" s="303"/>
      <c r="Z283" s="305">
        <f>IF(Y283=0,0,IF(X283="MXN",1/HLOOKUP(YEAR(W283)+(MONTH(W283)/100),TC!$5:$37,DAY(W283)+2,FALSE),VLOOKUP(X283,Equivalencia!$1:$23,((MAX(Equivalencia!$3:$3)-YEAR(W283))*14)+MONTH(W283)+2,FALSE)))</f>
        <v>0</v>
      </c>
      <c r="AA283" s="306">
        <f t="shared" si="71"/>
        <v>0</v>
      </c>
      <c r="AB283" s="305">
        <f>+IF(W283=0,0,HLOOKUP(YEAR(W283)+(MONTH(W283)/100),TC!$5:$37,DAY(W283)+2,FALSE))</f>
        <v>0</v>
      </c>
      <c r="AC283" s="306">
        <f t="shared" si="72"/>
        <v>0</v>
      </c>
      <c r="AD283" s="314">
        <f t="shared" si="63"/>
        <v>0</v>
      </c>
      <c r="AE283" s="315">
        <f t="shared" si="73"/>
        <v>0</v>
      </c>
      <c r="AF283" s="316">
        <f t="shared" si="64"/>
        <v>0</v>
      </c>
      <c r="AG283" s="314">
        <v>1</v>
      </c>
      <c r="AH283" s="314">
        <f t="shared" si="74"/>
        <v>0</v>
      </c>
      <c r="AI283" s="314">
        <f t="shared" si="75"/>
        <v>0</v>
      </c>
      <c r="AJ283" s="317"/>
      <c r="AK283" s="315" t="e">
        <f t="shared" si="76"/>
        <v>#N/A</v>
      </c>
      <c r="AM283" s="561"/>
      <c r="AN283" s="561"/>
      <c r="AO283" s="561"/>
    </row>
    <row r="284" spans="2:41">
      <c r="B284" s="296"/>
      <c r="C284" s="299"/>
      <c r="D284" s="296"/>
      <c r="E284" s="298"/>
      <c r="F284" s="299"/>
      <c r="G284" s="300"/>
      <c r="H284" s="303"/>
      <c r="I284" s="303"/>
      <c r="J284" s="322">
        <f t="shared" si="62"/>
        <v>0</v>
      </c>
      <c r="K284" s="305" t="e">
        <f>IF(F284="MXN",1/HLOOKUP(YEAR(G284)+(MONTH(G284)/100),TC!$5:$37,DAY(G284)+2,FALSE),VLOOKUP(F284,Equivalencia!$5:$23,((MAX(Equivalencia!$3:$3)-YEAR(G284))*14)+MONTH(G284)+2,FALSE))</f>
        <v>#N/A</v>
      </c>
      <c r="L284" s="306" t="e">
        <f t="shared" si="65"/>
        <v>#N/A</v>
      </c>
      <c r="M284" s="305">
        <f>IF(G284=0,0,HLOOKUP(YEAR(G284)+(MONTH(G284)/100),TC!$5:$37,DAY(G284)+2,FALSE))</f>
        <v>0</v>
      </c>
      <c r="N284" s="306" t="e">
        <f t="shared" si="66"/>
        <v>#N/A</v>
      </c>
      <c r="O284" s="308">
        <f>IF(G284=0,0,VLOOKUP(YEAR(G284),INPC!$B$4:$P$30,MONTH(G284)+2))</f>
        <v>0</v>
      </c>
      <c r="P284" s="308">
        <f>IF(W284=0,0,IF(OR(C284=$AQ$5,C284=AQ288),VLOOKUP(YEAR(W284),INPC!$B$4:$P$30,MONTH(W284)+1),VLOOKUP(YEAR(W284),INPC!$B$4:$P$30,MONTH(W284)+2)))</f>
        <v>0</v>
      </c>
      <c r="Q284" s="309">
        <f t="shared" si="67"/>
        <v>0</v>
      </c>
      <c r="R284" s="310" t="e">
        <f t="shared" si="68"/>
        <v>#N/A</v>
      </c>
      <c r="S284" s="310">
        <f t="shared" si="69"/>
        <v>0</v>
      </c>
      <c r="T284" s="567" t="str">
        <f t="shared" si="70"/>
        <v>NO</v>
      </c>
      <c r="U284" s="323"/>
      <c r="V284" s="299"/>
      <c r="W284" s="300"/>
      <c r="X284" s="299"/>
      <c r="Y284" s="303"/>
      <c r="Z284" s="305">
        <f>IF(Y284=0,0,IF(X284="MXN",1/HLOOKUP(YEAR(W284)+(MONTH(W284)/100),TC!$5:$37,DAY(W284)+2,FALSE),VLOOKUP(X284,Equivalencia!$1:$23,((MAX(Equivalencia!$3:$3)-YEAR(W284))*14)+MONTH(W284)+2,FALSE)))</f>
        <v>0</v>
      </c>
      <c r="AA284" s="306">
        <f t="shared" si="71"/>
        <v>0</v>
      </c>
      <c r="AB284" s="305">
        <f>+IF(W284=0,0,HLOOKUP(YEAR(W284)+(MONTH(W284)/100),TC!$5:$37,DAY(W284)+2,FALSE))</f>
        <v>0</v>
      </c>
      <c r="AC284" s="306">
        <f t="shared" si="72"/>
        <v>0</v>
      </c>
      <c r="AD284" s="314">
        <f t="shared" si="63"/>
        <v>0</v>
      </c>
      <c r="AE284" s="315">
        <f t="shared" si="73"/>
        <v>0</v>
      </c>
      <c r="AF284" s="316">
        <f t="shared" si="64"/>
        <v>0</v>
      </c>
      <c r="AG284" s="314">
        <v>1</v>
      </c>
      <c r="AH284" s="314">
        <f t="shared" si="74"/>
        <v>0</v>
      </c>
      <c r="AI284" s="314">
        <f t="shared" si="75"/>
        <v>0</v>
      </c>
      <c r="AJ284" s="317"/>
      <c r="AK284" s="315" t="e">
        <f t="shared" si="76"/>
        <v>#N/A</v>
      </c>
      <c r="AM284" s="561"/>
      <c r="AN284" s="561"/>
      <c r="AO284" s="561"/>
    </row>
    <row r="285" spans="2:41">
      <c r="B285" s="296"/>
      <c r="C285" s="299"/>
      <c r="D285" s="296"/>
      <c r="E285" s="298"/>
      <c r="F285" s="299"/>
      <c r="G285" s="300"/>
      <c r="H285" s="303"/>
      <c r="I285" s="303"/>
      <c r="J285" s="322">
        <f t="shared" si="62"/>
        <v>0</v>
      </c>
      <c r="K285" s="305" t="e">
        <f>IF(F285="MXN",1/HLOOKUP(YEAR(G285)+(MONTH(G285)/100),TC!$5:$37,DAY(G285)+2,FALSE),VLOOKUP(F285,Equivalencia!$5:$23,((MAX(Equivalencia!$3:$3)-YEAR(G285))*14)+MONTH(G285)+2,FALSE))</f>
        <v>#N/A</v>
      </c>
      <c r="L285" s="306" t="e">
        <f t="shared" si="65"/>
        <v>#N/A</v>
      </c>
      <c r="M285" s="305">
        <f>IF(G285=0,0,HLOOKUP(YEAR(G285)+(MONTH(G285)/100),TC!$5:$37,DAY(G285)+2,FALSE))</f>
        <v>0</v>
      </c>
      <c r="N285" s="306" t="e">
        <f t="shared" si="66"/>
        <v>#N/A</v>
      </c>
      <c r="O285" s="308">
        <f>IF(G285=0,0,VLOOKUP(YEAR(G285),INPC!$B$4:$P$30,MONTH(G285)+2))</f>
        <v>0</v>
      </c>
      <c r="P285" s="308">
        <f>IF(W285=0,0,IF(OR(C285=$AQ$5,C285=AQ289),VLOOKUP(YEAR(W285),INPC!$B$4:$P$30,MONTH(W285)+1),VLOOKUP(YEAR(W285),INPC!$B$4:$P$30,MONTH(W285)+2)))</f>
        <v>0</v>
      </c>
      <c r="Q285" s="309">
        <f t="shared" si="67"/>
        <v>0</v>
      </c>
      <c r="R285" s="310" t="e">
        <f t="shared" si="68"/>
        <v>#N/A</v>
      </c>
      <c r="S285" s="310">
        <f t="shared" si="69"/>
        <v>0</v>
      </c>
      <c r="T285" s="567" t="str">
        <f t="shared" si="70"/>
        <v>NO</v>
      </c>
      <c r="U285" s="323"/>
      <c r="V285" s="299"/>
      <c r="W285" s="300"/>
      <c r="X285" s="299"/>
      <c r="Y285" s="303"/>
      <c r="Z285" s="305">
        <f>IF(Y285=0,0,IF(X285="MXN",1/HLOOKUP(YEAR(W285)+(MONTH(W285)/100),TC!$5:$37,DAY(W285)+2,FALSE),VLOOKUP(X285,Equivalencia!$1:$23,((MAX(Equivalencia!$3:$3)-YEAR(W285))*14)+MONTH(W285)+2,FALSE)))</f>
        <v>0</v>
      </c>
      <c r="AA285" s="306">
        <f t="shared" si="71"/>
        <v>0</v>
      </c>
      <c r="AB285" s="305">
        <f>+IF(W285=0,0,HLOOKUP(YEAR(W285)+(MONTH(W285)/100),TC!$5:$37,DAY(W285)+2,FALSE))</f>
        <v>0</v>
      </c>
      <c r="AC285" s="306">
        <f t="shared" si="72"/>
        <v>0</v>
      </c>
      <c r="AD285" s="314">
        <f t="shared" si="63"/>
        <v>0</v>
      </c>
      <c r="AE285" s="315">
        <f t="shared" si="73"/>
        <v>0</v>
      </c>
      <c r="AF285" s="316">
        <f t="shared" si="64"/>
        <v>0</v>
      </c>
      <c r="AG285" s="314">
        <v>1</v>
      </c>
      <c r="AH285" s="314">
        <f t="shared" si="74"/>
        <v>0</v>
      </c>
      <c r="AI285" s="314">
        <f t="shared" si="75"/>
        <v>0</v>
      </c>
      <c r="AJ285" s="317"/>
      <c r="AK285" s="315" t="e">
        <f t="shared" si="76"/>
        <v>#N/A</v>
      </c>
      <c r="AM285" s="561"/>
      <c r="AN285" s="561"/>
      <c r="AO285" s="561"/>
    </row>
    <row r="286" spans="2:41">
      <c r="B286" s="296"/>
      <c r="C286" s="299"/>
      <c r="D286" s="296"/>
      <c r="E286" s="298"/>
      <c r="F286" s="299"/>
      <c r="G286" s="300"/>
      <c r="H286" s="303"/>
      <c r="I286" s="303"/>
      <c r="J286" s="322">
        <f t="shared" si="62"/>
        <v>0</v>
      </c>
      <c r="K286" s="305" t="e">
        <f>IF(F286="MXN",1/HLOOKUP(YEAR(G286)+(MONTH(G286)/100),TC!$5:$37,DAY(G286)+2,FALSE),VLOOKUP(F286,Equivalencia!$5:$23,((MAX(Equivalencia!$3:$3)-YEAR(G286))*14)+MONTH(G286)+2,FALSE))</f>
        <v>#N/A</v>
      </c>
      <c r="L286" s="306" t="e">
        <f t="shared" si="65"/>
        <v>#N/A</v>
      </c>
      <c r="M286" s="305">
        <f>IF(G286=0,0,HLOOKUP(YEAR(G286)+(MONTH(G286)/100),TC!$5:$37,DAY(G286)+2,FALSE))</f>
        <v>0</v>
      </c>
      <c r="N286" s="306" t="e">
        <f t="shared" si="66"/>
        <v>#N/A</v>
      </c>
      <c r="O286" s="308">
        <f>IF(G286=0,0,VLOOKUP(YEAR(G286),INPC!$B$4:$P$30,MONTH(G286)+2))</f>
        <v>0</v>
      </c>
      <c r="P286" s="308">
        <f>IF(W286=0,0,IF(OR(C286=$AQ$5,C286=AQ290),VLOOKUP(YEAR(W286),INPC!$B$4:$P$30,MONTH(W286)+1),VLOOKUP(YEAR(W286),INPC!$B$4:$P$30,MONTH(W286)+2)))</f>
        <v>0</v>
      </c>
      <c r="Q286" s="309">
        <f t="shared" si="67"/>
        <v>0</v>
      </c>
      <c r="R286" s="310" t="e">
        <f t="shared" si="68"/>
        <v>#N/A</v>
      </c>
      <c r="S286" s="310">
        <f t="shared" si="69"/>
        <v>0</v>
      </c>
      <c r="T286" s="567" t="str">
        <f t="shared" si="70"/>
        <v>NO</v>
      </c>
      <c r="U286" s="323"/>
      <c r="V286" s="299"/>
      <c r="W286" s="300"/>
      <c r="X286" s="299"/>
      <c r="Y286" s="303"/>
      <c r="Z286" s="305">
        <f>IF(Y286=0,0,IF(X286="MXN",1/HLOOKUP(YEAR(W286)+(MONTH(W286)/100),TC!$5:$37,DAY(W286)+2,FALSE),VLOOKUP(X286,Equivalencia!$1:$23,((MAX(Equivalencia!$3:$3)-YEAR(W286))*14)+MONTH(W286)+2,FALSE)))</f>
        <v>0</v>
      </c>
      <c r="AA286" s="306">
        <f t="shared" si="71"/>
        <v>0</v>
      </c>
      <c r="AB286" s="305">
        <f>+IF(W286=0,0,HLOOKUP(YEAR(W286)+(MONTH(W286)/100),TC!$5:$37,DAY(W286)+2,FALSE))</f>
        <v>0</v>
      </c>
      <c r="AC286" s="306">
        <f t="shared" si="72"/>
        <v>0</v>
      </c>
      <c r="AD286" s="314">
        <f t="shared" si="63"/>
        <v>0</v>
      </c>
      <c r="AE286" s="315">
        <f t="shared" si="73"/>
        <v>0</v>
      </c>
      <c r="AF286" s="316">
        <f t="shared" si="64"/>
        <v>0</v>
      </c>
      <c r="AG286" s="314">
        <v>1</v>
      </c>
      <c r="AH286" s="314">
        <f t="shared" si="74"/>
        <v>0</v>
      </c>
      <c r="AI286" s="314">
        <f t="shared" si="75"/>
        <v>0</v>
      </c>
      <c r="AJ286" s="317"/>
      <c r="AK286" s="315" t="e">
        <f t="shared" si="76"/>
        <v>#N/A</v>
      </c>
      <c r="AM286" s="561"/>
      <c r="AN286" s="561"/>
      <c r="AO286" s="561"/>
    </row>
    <row r="287" spans="2:41">
      <c r="B287" s="296"/>
      <c r="C287" s="299"/>
      <c r="D287" s="296"/>
      <c r="E287" s="298"/>
      <c r="F287" s="299"/>
      <c r="G287" s="300"/>
      <c r="H287" s="303"/>
      <c r="I287" s="303"/>
      <c r="J287" s="322">
        <f t="shared" si="62"/>
        <v>0</v>
      </c>
      <c r="K287" s="305" t="e">
        <f>IF(F287="MXN",1/HLOOKUP(YEAR(G287)+(MONTH(G287)/100),TC!$5:$37,DAY(G287)+2,FALSE),VLOOKUP(F287,Equivalencia!$5:$23,((MAX(Equivalencia!$3:$3)-YEAR(G287))*14)+MONTH(G287)+2,FALSE))</f>
        <v>#N/A</v>
      </c>
      <c r="L287" s="306" t="e">
        <f t="shared" si="65"/>
        <v>#N/A</v>
      </c>
      <c r="M287" s="305">
        <f>IF(G287=0,0,HLOOKUP(YEAR(G287)+(MONTH(G287)/100),TC!$5:$37,DAY(G287)+2,FALSE))</f>
        <v>0</v>
      </c>
      <c r="N287" s="306" t="e">
        <f t="shared" si="66"/>
        <v>#N/A</v>
      </c>
      <c r="O287" s="308">
        <f>IF(G287=0,0,VLOOKUP(YEAR(G287),INPC!$B$4:$P$30,MONTH(G287)+2))</f>
        <v>0</v>
      </c>
      <c r="P287" s="308">
        <f>IF(W287=0,0,IF(OR(C287=$AQ$5,C287=AQ291),VLOOKUP(YEAR(W287),INPC!$B$4:$P$30,MONTH(W287)+1),VLOOKUP(YEAR(W287),INPC!$B$4:$P$30,MONTH(W287)+2)))</f>
        <v>0</v>
      </c>
      <c r="Q287" s="309">
        <f t="shared" si="67"/>
        <v>0</v>
      </c>
      <c r="R287" s="310" t="e">
        <f t="shared" si="68"/>
        <v>#N/A</v>
      </c>
      <c r="S287" s="310">
        <f t="shared" si="69"/>
        <v>0</v>
      </c>
      <c r="T287" s="567" t="str">
        <f t="shared" si="70"/>
        <v>NO</v>
      </c>
      <c r="U287" s="323"/>
      <c r="V287" s="299"/>
      <c r="W287" s="300"/>
      <c r="X287" s="299"/>
      <c r="Y287" s="303"/>
      <c r="Z287" s="305">
        <f>IF(Y287=0,0,IF(X287="MXN",1/HLOOKUP(YEAR(W287)+(MONTH(W287)/100),TC!$5:$37,DAY(W287)+2,FALSE),VLOOKUP(X287,Equivalencia!$1:$23,((MAX(Equivalencia!$3:$3)-YEAR(W287))*14)+MONTH(W287)+2,FALSE)))</f>
        <v>0</v>
      </c>
      <c r="AA287" s="306">
        <f t="shared" si="71"/>
        <v>0</v>
      </c>
      <c r="AB287" s="305">
        <f>+IF(W287=0,0,HLOOKUP(YEAR(W287)+(MONTH(W287)/100),TC!$5:$37,DAY(W287)+2,FALSE))</f>
        <v>0</v>
      </c>
      <c r="AC287" s="306">
        <f t="shared" si="72"/>
        <v>0</v>
      </c>
      <c r="AD287" s="314">
        <f t="shared" si="63"/>
        <v>0</v>
      </c>
      <c r="AE287" s="315">
        <f t="shared" si="73"/>
        <v>0</v>
      </c>
      <c r="AF287" s="316">
        <f t="shared" si="64"/>
        <v>0</v>
      </c>
      <c r="AG287" s="314">
        <v>1</v>
      </c>
      <c r="AH287" s="314">
        <f t="shared" si="74"/>
        <v>0</v>
      </c>
      <c r="AI287" s="314">
        <f t="shared" si="75"/>
        <v>0</v>
      </c>
      <c r="AJ287" s="317"/>
      <c r="AK287" s="315" t="e">
        <f t="shared" si="76"/>
        <v>#N/A</v>
      </c>
      <c r="AM287" s="561"/>
      <c r="AN287" s="561"/>
      <c r="AO287" s="561"/>
    </row>
    <row r="288" spans="2:41">
      <c r="B288" s="296"/>
      <c r="C288" s="299"/>
      <c r="D288" s="296"/>
      <c r="E288" s="298"/>
      <c r="F288" s="299"/>
      <c r="G288" s="300"/>
      <c r="H288" s="303"/>
      <c r="I288" s="303"/>
      <c r="J288" s="322">
        <f t="shared" si="62"/>
        <v>0</v>
      </c>
      <c r="K288" s="305" t="e">
        <f>IF(F288="MXN",1/HLOOKUP(YEAR(G288)+(MONTH(G288)/100),TC!$5:$37,DAY(G288)+2,FALSE),VLOOKUP(F288,Equivalencia!$5:$23,((MAX(Equivalencia!$3:$3)-YEAR(G288))*14)+MONTH(G288)+2,FALSE))</f>
        <v>#N/A</v>
      </c>
      <c r="L288" s="306" t="e">
        <f t="shared" si="65"/>
        <v>#N/A</v>
      </c>
      <c r="M288" s="305">
        <f>IF(G288=0,0,HLOOKUP(YEAR(G288)+(MONTH(G288)/100),TC!$5:$37,DAY(G288)+2,FALSE))</f>
        <v>0</v>
      </c>
      <c r="N288" s="306" t="e">
        <f t="shared" si="66"/>
        <v>#N/A</v>
      </c>
      <c r="O288" s="308">
        <f>IF(G288=0,0,VLOOKUP(YEAR(G288),INPC!$B$4:$P$30,MONTH(G288)+2))</f>
        <v>0</v>
      </c>
      <c r="P288" s="308">
        <f>IF(W288=0,0,IF(OR(C288=$AQ$5,C288=AQ292),VLOOKUP(YEAR(W288),INPC!$B$4:$P$30,MONTH(W288)+1),VLOOKUP(YEAR(W288),INPC!$B$4:$P$30,MONTH(W288)+2)))</f>
        <v>0</v>
      </c>
      <c r="Q288" s="309">
        <f t="shared" si="67"/>
        <v>0</v>
      </c>
      <c r="R288" s="310" t="e">
        <f t="shared" si="68"/>
        <v>#N/A</v>
      </c>
      <c r="S288" s="310">
        <f t="shared" si="69"/>
        <v>0</v>
      </c>
      <c r="T288" s="567" t="str">
        <f t="shared" si="70"/>
        <v>NO</v>
      </c>
      <c r="U288" s="323"/>
      <c r="V288" s="299"/>
      <c r="W288" s="300"/>
      <c r="X288" s="299"/>
      <c r="Y288" s="303"/>
      <c r="Z288" s="305">
        <f>IF(Y288=0,0,IF(X288="MXN",1/HLOOKUP(YEAR(W288)+(MONTH(W288)/100),TC!$5:$37,DAY(W288)+2,FALSE),VLOOKUP(X288,Equivalencia!$1:$23,((MAX(Equivalencia!$3:$3)-YEAR(W288))*14)+MONTH(W288)+2,FALSE)))</f>
        <v>0</v>
      </c>
      <c r="AA288" s="306">
        <f t="shared" si="71"/>
        <v>0</v>
      </c>
      <c r="AB288" s="305">
        <f>+IF(W288=0,0,HLOOKUP(YEAR(W288)+(MONTH(W288)/100),TC!$5:$37,DAY(W288)+2,FALSE))</f>
        <v>0</v>
      </c>
      <c r="AC288" s="306">
        <f t="shared" si="72"/>
        <v>0</v>
      </c>
      <c r="AD288" s="314">
        <f t="shared" si="63"/>
        <v>0</v>
      </c>
      <c r="AE288" s="315">
        <f t="shared" si="73"/>
        <v>0</v>
      </c>
      <c r="AF288" s="316">
        <f t="shared" si="64"/>
        <v>0</v>
      </c>
      <c r="AG288" s="314">
        <v>1</v>
      </c>
      <c r="AH288" s="314">
        <f t="shared" si="74"/>
        <v>0</v>
      </c>
      <c r="AI288" s="314">
        <f t="shared" si="75"/>
        <v>0</v>
      </c>
      <c r="AJ288" s="317"/>
      <c r="AK288" s="315" t="e">
        <f t="shared" si="76"/>
        <v>#N/A</v>
      </c>
      <c r="AM288" s="561"/>
      <c r="AN288" s="561"/>
      <c r="AO288" s="561"/>
    </row>
    <row r="289" spans="2:41">
      <c r="B289" s="296"/>
      <c r="C289" s="299"/>
      <c r="D289" s="296"/>
      <c r="E289" s="298"/>
      <c r="F289" s="299"/>
      <c r="G289" s="300"/>
      <c r="H289" s="303"/>
      <c r="I289" s="303"/>
      <c r="J289" s="322">
        <f t="shared" si="62"/>
        <v>0</v>
      </c>
      <c r="K289" s="305" t="e">
        <f>IF(F289="MXN",1/HLOOKUP(YEAR(G289)+(MONTH(G289)/100),TC!$5:$37,DAY(G289)+2,FALSE),VLOOKUP(F289,Equivalencia!$5:$23,((MAX(Equivalencia!$3:$3)-YEAR(G289))*14)+MONTH(G289)+2,FALSE))</f>
        <v>#N/A</v>
      </c>
      <c r="L289" s="306" t="e">
        <f t="shared" si="65"/>
        <v>#N/A</v>
      </c>
      <c r="M289" s="305">
        <f>IF(G289=0,0,HLOOKUP(YEAR(G289)+(MONTH(G289)/100),TC!$5:$37,DAY(G289)+2,FALSE))</f>
        <v>0</v>
      </c>
      <c r="N289" s="306" t="e">
        <f t="shared" si="66"/>
        <v>#N/A</v>
      </c>
      <c r="O289" s="308">
        <f>IF(G289=0,0,VLOOKUP(YEAR(G289),INPC!$B$4:$P$30,MONTH(G289)+2))</f>
        <v>0</v>
      </c>
      <c r="P289" s="308">
        <f>IF(W289=0,0,IF(OR(C289=$AQ$5,C289=AQ293),VLOOKUP(YEAR(W289),INPC!$B$4:$P$30,MONTH(W289)+1),VLOOKUP(YEAR(W289),INPC!$B$4:$P$30,MONTH(W289)+2)))</f>
        <v>0</v>
      </c>
      <c r="Q289" s="309">
        <f t="shared" si="67"/>
        <v>0</v>
      </c>
      <c r="R289" s="310" t="e">
        <f t="shared" si="68"/>
        <v>#N/A</v>
      </c>
      <c r="S289" s="310">
        <f t="shared" si="69"/>
        <v>0</v>
      </c>
      <c r="T289" s="567" t="str">
        <f t="shared" si="70"/>
        <v>NO</v>
      </c>
      <c r="U289" s="323"/>
      <c r="V289" s="299"/>
      <c r="W289" s="300"/>
      <c r="X289" s="299"/>
      <c r="Y289" s="303"/>
      <c r="Z289" s="305">
        <f>IF(Y289=0,0,IF(X289="MXN",1/HLOOKUP(YEAR(W289)+(MONTH(W289)/100),TC!$5:$37,DAY(W289)+2,FALSE),VLOOKUP(X289,Equivalencia!$1:$23,((MAX(Equivalencia!$3:$3)-YEAR(W289))*14)+MONTH(W289)+2,FALSE)))</f>
        <v>0</v>
      </c>
      <c r="AA289" s="306">
        <f t="shared" si="71"/>
        <v>0</v>
      </c>
      <c r="AB289" s="305">
        <f>+IF(W289=0,0,HLOOKUP(YEAR(W289)+(MONTH(W289)/100),TC!$5:$37,DAY(W289)+2,FALSE))</f>
        <v>0</v>
      </c>
      <c r="AC289" s="306">
        <f t="shared" si="72"/>
        <v>0</v>
      </c>
      <c r="AD289" s="314">
        <f t="shared" si="63"/>
        <v>0</v>
      </c>
      <c r="AE289" s="315">
        <f t="shared" si="73"/>
        <v>0</v>
      </c>
      <c r="AF289" s="316">
        <f t="shared" si="64"/>
        <v>0</v>
      </c>
      <c r="AG289" s="314">
        <v>1</v>
      </c>
      <c r="AH289" s="314">
        <f t="shared" si="74"/>
        <v>0</v>
      </c>
      <c r="AI289" s="314">
        <f t="shared" si="75"/>
        <v>0</v>
      </c>
      <c r="AJ289" s="317"/>
      <c r="AK289" s="315" t="e">
        <f t="shared" si="76"/>
        <v>#N/A</v>
      </c>
      <c r="AM289" s="561"/>
      <c r="AN289" s="561"/>
      <c r="AO289" s="561"/>
    </row>
    <row r="290" spans="2:41">
      <c r="B290" s="296"/>
      <c r="C290" s="299"/>
      <c r="D290" s="296"/>
      <c r="E290" s="298"/>
      <c r="F290" s="299"/>
      <c r="G290" s="300"/>
      <c r="H290" s="303"/>
      <c r="I290" s="303"/>
      <c r="J290" s="322">
        <f t="shared" si="62"/>
        <v>0</v>
      </c>
      <c r="K290" s="305" t="e">
        <f>IF(F290="MXN",1/HLOOKUP(YEAR(G290)+(MONTH(G290)/100),TC!$5:$37,DAY(G290)+2,FALSE),VLOOKUP(F290,Equivalencia!$5:$23,((MAX(Equivalencia!$3:$3)-YEAR(G290))*14)+MONTH(G290)+2,FALSE))</f>
        <v>#N/A</v>
      </c>
      <c r="L290" s="306" t="e">
        <f t="shared" si="65"/>
        <v>#N/A</v>
      </c>
      <c r="M290" s="305">
        <f>IF(G290=0,0,HLOOKUP(YEAR(G290)+(MONTH(G290)/100),TC!$5:$37,DAY(G290)+2,FALSE))</f>
        <v>0</v>
      </c>
      <c r="N290" s="306" t="e">
        <f t="shared" si="66"/>
        <v>#N/A</v>
      </c>
      <c r="O290" s="308">
        <f>IF(G290=0,0,VLOOKUP(YEAR(G290),INPC!$B$4:$P$30,MONTH(G290)+2))</f>
        <v>0</v>
      </c>
      <c r="P290" s="308">
        <f>IF(W290=0,0,IF(OR(C290=$AQ$5,C290=AQ294),VLOOKUP(YEAR(W290),INPC!$B$4:$P$30,MONTH(W290)+1),VLOOKUP(YEAR(W290),INPC!$B$4:$P$30,MONTH(W290)+2)))</f>
        <v>0</v>
      </c>
      <c r="Q290" s="309">
        <f t="shared" si="67"/>
        <v>0</v>
      </c>
      <c r="R290" s="310" t="e">
        <f t="shared" si="68"/>
        <v>#N/A</v>
      </c>
      <c r="S290" s="310">
        <f t="shared" si="69"/>
        <v>0</v>
      </c>
      <c r="T290" s="567" t="str">
        <f t="shared" si="70"/>
        <v>NO</v>
      </c>
      <c r="U290" s="323"/>
      <c r="V290" s="299"/>
      <c r="W290" s="300"/>
      <c r="X290" s="299"/>
      <c r="Y290" s="303"/>
      <c r="Z290" s="305">
        <f>IF(Y290=0,0,IF(X290="MXN",1/HLOOKUP(YEAR(W290)+(MONTH(W290)/100),TC!$5:$37,DAY(W290)+2,FALSE),VLOOKUP(X290,Equivalencia!$1:$23,((MAX(Equivalencia!$3:$3)-YEAR(W290))*14)+MONTH(W290)+2,FALSE)))</f>
        <v>0</v>
      </c>
      <c r="AA290" s="306">
        <f t="shared" si="71"/>
        <v>0</v>
      </c>
      <c r="AB290" s="305">
        <f>+IF(W290=0,0,HLOOKUP(YEAR(W290)+(MONTH(W290)/100),TC!$5:$37,DAY(W290)+2,FALSE))</f>
        <v>0</v>
      </c>
      <c r="AC290" s="306">
        <f t="shared" si="72"/>
        <v>0</v>
      </c>
      <c r="AD290" s="314">
        <f t="shared" si="63"/>
        <v>0</v>
      </c>
      <c r="AE290" s="315">
        <f t="shared" si="73"/>
        <v>0</v>
      </c>
      <c r="AF290" s="316">
        <f t="shared" si="64"/>
        <v>0</v>
      </c>
      <c r="AG290" s="314">
        <v>1</v>
      </c>
      <c r="AH290" s="314">
        <f t="shared" si="74"/>
        <v>0</v>
      </c>
      <c r="AI290" s="314">
        <f t="shared" si="75"/>
        <v>0</v>
      </c>
      <c r="AJ290" s="317"/>
      <c r="AK290" s="315" t="e">
        <f t="shared" si="76"/>
        <v>#N/A</v>
      </c>
      <c r="AM290" s="561"/>
      <c r="AN290" s="561"/>
      <c r="AO290" s="561"/>
    </row>
    <row r="291" spans="2:41">
      <c r="B291" s="296"/>
      <c r="C291" s="299"/>
      <c r="D291" s="296"/>
      <c r="E291" s="298"/>
      <c r="F291" s="299"/>
      <c r="G291" s="300"/>
      <c r="H291" s="303"/>
      <c r="I291" s="303"/>
      <c r="J291" s="322">
        <f t="shared" si="62"/>
        <v>0</v>
      </c>
      <c r="K291" s="305" t="e">
        <f>IF(F291="MXN",1/HLOOKUP(YEAR(G291)+(MONTH(G291)/100),TC!$5:$37,DAY(G291)+2,FALSE),VLOOKUP(F291,Equivalencia!$5:$23,((MAX(Equivalencia!$3:$3)-YEAR(G291))*14)+MONTH(G291)+2,FALSE))</f>
        <v>#N/A</v>
      </c>
      <c r="L291" s="306" t="e">
        <f t="shared" si="65"/>
        <v>#N/A</v>
      </c>
      <c r="M291" s="305">
        <f>IF(G291=0,0,HLOOKUP(YEAR(G291)+(MONTH(G291)/100),TC!$5:$37,DAY(G291)+2,FALSE))</f>
        <v>0</v>
      </c>
      <c r="N291" s="306" t="e">
        <f t="shared" si="66"/>
        <v>#N/A</v>
      </c>
      <c r="O291" s="308">
        <f>IF(G291=0,0,VLOOKUP(YEAR(G291),INPC!$B$4:$P$30,MONTH(G291)+2))</f>
        <v>0</v>
      </c>
      <c r="P291" s="308">
        <f>IF(W291=0,0,IF(OR(C291=$AQ$5,C291=AQ295),VLOOKUP(YEAR(W291),INPC!$B$4:$P$30,MONTH(W291)+1),VLOOKUP(YEAR(W291),INPC!$B$4:$P$30,MONTH(W291)+2)))</f>
        <v>0</v>
      </c>
      <c r="Q291" s="309">
        <f t="shared" si="67"/>
        <v>0</v>
      </c>
      <c r="R291" s="310" t="e">
        <f t="shared" si="68"/>
        <v>#N/A</v>
      </c>
      <c r="S291" s="310">
        <f t="shared" si="69"/>
        <v>0</v>
      </c>
      <c r="T291" s="567" t="str">
        <f t="shared" si="70"/>
        <v>NO</v>
      </c>
      <c r="U291" s="323"/>
      <c r="V291" s="299"/>
      <c r="W291" s="300"/>
      <c r="X291" s="299"/>
      <c r="Y291" s="303"/>
      <c r="Z291" s="305">
        <f>IF(Y291=0,0,IF(X291="MXN",1/HLOOKUP(YEAR(W291)+(MONTH(W291)/100),TC!$5:$37,DAY(W291)+2,FALSE),VLOOKUP(X291,Equivalencia!$1:$23,((MAX(Equivalencia!$3:$3)-YEAR(W291))*14)+MONTH(W291)+2,FALSE)))</f>
        <v>0</v>
      </c>
      <c r="AA291" s="306">
        <f t="shared" si="71"/>
        <v>0</v>
      </c>
      <c r="AB291" s="305">
        <f>+IF(W291=0,0,HLOOKUP(YEAR(W291)+(MONTH(W291)/100),TC!$5:$37,DAY(W291)+2,FALSE))</f>
        <v>0</v>
      </c>
      <c r="AC291" s="306">
        <f t="shared" si="72"/>
        <v>0</v>
      </c>
      <c r="AD291" s="314">
        <f t="shared" si="63"/>
        <v>0</v>
      </c>
      <c r="AE291" s="315">
        <f t="shared" si="73"/>
        <v>0</v>
      </c>
      <c r="AF291" s="316">
        <f t="shared" si="64"/>
        <v>0</v>
      </c>
      <c r="AG291" s="314">
        <v>1</v>
      </c>
      <c r="AH291" s="314">
        <f t="shared" si="74"/>
        <v>0</v>
      </c>
      <c r="AI291" s="314">
        <f t="shared" si="75"/>
        <v>0</v>
      </c>
      <c r="AJ291" s="317"/>
      <c r="AK291" s="315" t="e">
        <f t="shared" si="76"/>
        <v>#N/A</v>
      </c>
      <c r="AM291" s="561"/>
      <c r="AN291" s="561"/>
      <c r="AO291" s="561"/>
    </row>
    <row r="292" spans="2:41">
      <c r="B292" s="296"/>
      <c r="C292" s="299"/>
      <c r="D292" s="296"/>
      <c r="E292" s="298"/>
      <c r="F292" s="299"/>
      <c r="G292" s="300"/>
      <c r="H292" s="303"/>
      <c r="I292" s="303"/>
      <c r="J292" s="322">
        <f t="shared" si="62"/>
        <v>0</v>
      </c>
      <c r="K292" s="305" t="e">
        <f>IF(F292="MXN",1/HLOOKUP(YEAR(G292)+(MONTH(G292)/100),TC!$5:$37,DAY(G292)+2,FALSE),VLOOKUP(F292,Equivalencia!$5:$23,((MAX(Equivalencia!$3:$3)-YEAR(G292))*14)+MONTH(G292)+2,FALSE))</f>
        <v>#N/A</v>
      </c>
      <c r="L292" s="306" t="e">
        <f t="shared" si="65"/>
        <v>#N/A</v>
      </c>
      <c r="M292" s="305">
        <f>IF(G292=0,0,HLOOKUP(YEAR(G292)+(MONTH(G292)/100),TC!$5:$37,DAY(G292)+2,FALSE))</f>
        <v>0</v>
      </c>
      <c r="N292" s="306" t="e">
        <f t="shared" si="66"/>
        <v>#N/A</v>
      </c>
      <c r="O292" s="308">
        <f>IF(G292=0,0,VLOOKUP(YEAR(G292),INPC!$B$4:$P$30,MONTH(G292)+2))</f>
        <v>0</v>
      </c>
      <c r="P292" s="308">
        <f>IF(W292=0,0,IF(OR(C292=$AQ$5,C292=AQ296),VLOOKUP(YEAR(W292),INPC!$B$4:$P$30,MONTH(W292)+1),VLOOKUP(YEAR(W292),INPC!$B$4:$P$30,MONTH(W292)+2)))</f>
        <v>0</v>
      </c>
      <c r="Q292" s="309">
        <f t="shared" si="67"/>
        <v>0</v>
      </c>
      <c r="R292" s="310" t="e">
        <f t="shared" si="68"/>
        <v>#N/A</v>
      </c>
      <c r="S292" s="310">
        <f t="shared" si="69"/>
        <v>0</v>
      </c>
      <c r="T292" s="567" t="str">
        <f t="shared" si="70"/>
        <v>NO</v>
      </c>
      <c r="U292" s="323"/>
      <c r="V292" s="299"/>
      <c r="W292" s="300"/>
      <c r="X292" s="299"/>
      <c r="Y292" s="303"/>
      <c r="Z292" s="305">
        <f>IF(Y292=0,0,IF(X292="MXN",1/HLOOKUP(YEAR(W292)+(MONTH(W292)/100),TC!$5:$37,DAY(W292)+2,FALSE),VLOOKUP(X292,Equivalencia!$1:$23,((MAX(Equivalencia!$3:$3)-YEAR(W292))*14)+MONTH(W292)+2,FALSE)))</f>
        <v>0</v>
      </c>
      <c r="AA292" s="306">
        <f t="shared" si="71"/>
        <v>0</v>
      </c>
      <c r="AB292" s="305">
        <f>+IF(W292=0,0,HLOOKUP(YEAR(W292)+(MONTH(W292)/100),TC!$5:$37,DAY(W292)+2,FALSE))</f>
        <v>0</v>
      </c>
      <c r="AC292" s="306">
        <f t="shared" si="72"/>
        <v>0</v>
      </c>
      <c r="AD292" s="314">
        <f t="shared" si="63"/>
        <v>0</v>
      </c>
      <c r="AE292" s="315">
        <f t="shared" si="73"/>
        <v>0</v>
      </c>
      <c r="AF292" s="316">
        <f t="shared" si="64"/>
        <v>0</v>
      </c>
      <c r="AG292" s="314">
        <v>1</v>
      </c>
      <c r="AH292" s="314">
        <f t="shared" si="74"/>
        <v>0</v>
      </c>
      <c r="AI292" s="314">
        <f t="shared" si="75"/>
        <v>0</v>
      </c>
      <c r="AJ292" s="317"/>
      <c r="AK292" s="315" t="e">
        <f t="shared" si="76"/>
        <v>#N/A</v>
      </c>
      <c r="AM292" s="561"/>
      <c r="AN292" s="561"/>
      <c r="AO292" s="561"/>
    </row>
    <row r="293" spans="2:41">
      <c r="B293" s="296"/>
      <c r="C293" s="299"/>
      <c r="D293" s="296"/>
      <c r="E293" s="298"/>
      <c r="F293" s="299"/>
      <c r="G293" s="300"/>
      <c r="H293" s="303"/>
      <c r="I293" s="303"/>
      <c r="J293" s="322">
        <f t="shared" si="62"/>
        <v>0</v>
      </c>
      <c r="K293" s="305" t="e">
        <f>IF(F293="MXN",1/HLOOKUP(YEAR(G293)+(MONTH(G293)/100),TC!$5:$37,DAY(G293)+2,FALSE),VLOOKUP(F293,Equivalencia!$5:$23,((MAX(Equivalencia!$3:$3)-YEAR(G293))*14)+MONTH(G293)+2,FALSE))</f>
        <v>#N/A</v>
      </c>
      <c r="L293" s="306" t="e">
        <f t="shared" si="65"/>
        <v>#N/A</v>
      </c>
      <c r="M293" s="305">
        <f>IF(G293=0,0,HLOOKUP(YEAR(G293)+(MONTH(G293)/100),TC!$5:$37,DAY(G293)+2,FALSE))</f>
        <v>0</v>
      </c>
      <c r="N293" s="306" t="e">
        <f t="shared" si="66"/>
        <v>#N/A</v>
      </c>
      <c r="O293" s="308">
        <f>IF(G293=0,0,VLOOKUP(YEAR(G293),INPC!$B$4:$P$30,MONTH(G293)+2))</f>
        <v>0</v>
      </c>
      <c r="P293" s="308">
        <f>IF(W293=0,0,IF(OR(C293=$AQ$5,C293=AQ297),VLOOKUP(YEAR(W293),INPC!$B$4:$P$30,MONTH(W293)+1),VLOOKUP(YEAR(W293),INPC!$B$4:$P$30,MONTH(W293)+2)))</f>
        <v>0</v>
      </c>
      <c r="Q293" s="309">
        <f t="shared" si="67"/>
        <v>0</v>
      </c>
      <c r="R293" s="310" t="e">
        <f t="shared" si="68"/>
        <v>#N/A</v>
      </c>
      <c r="S293" s="310">
        <f t="shared" si="69"/>
        <v>0</v>
      </c>
      <c r="T293" s="567" t="str">
        <f t="shared" si="70"/>
        <v>NO</v>
      </c>
      <c r="U293" s="323"/>
      <c r="V293" s="299"/>
      <c r="W293" s="300"/>
      <c r="X293" s="299"/>
      <c r="Y293" s="303"/>
      <c r="Z293" s="305">
        <f>IF(Y293=0,0,IF(X293="MXN",1/HLOOKUP(YEAR(W293)+(MONTH(W293)/100),TC!$5:$37,DAY(W293)+2,FALSE),VLOOKUP(X293,Equivalencia!$1:$23,((MAX(Equivalencia!$3:$3)-YEAR(W293))*14)+MONTH(W293)+2,FALSE)))</f>
        <v>0</v>
      </c>
      <c r="AA293" s="306">
        <f t="shared" si="71"/>
        <v>0</v>
      </c>
      <c r="AB293" s="305">
        <f>+IF(W293=0,0,HLOOKUP(YEAR(W293)+(MONTH(W293)/100),TC!$5:$37,DAY(W293)+2,FALSE))</f>
        <v>0</v>
      </c>
      <c r="AC293" s="306">
        <f t="shared" si="72"/>
        <v>0</v>
      </c>
      <c r="AD293" s="314">
        <f t="shared" si="63"/>
        <v>0</v>
      </c>
      <c r="AE293" s="315">
        <f t="shared" si="73"/>
        <v>0</v>
      </c>
      <c r="AF293" s="316">
        <f t="shared" si="64"/>
        <v>0</v>
      </c>
      <c r="AG293" s="314">
        <v>1</v>
      </c>
      <c r="AH293" s="314">
        <f t="shared" si="74"/>
        <v>0</v>
      </c>
      <c r="AI293" s="314">
        <f t="shared" si="75"/>
        <v>0</v>
      </c>
      <c r="AJ293" s="317"/>
      <c r="AK293" s="315" t="e">
        <f t="shared" si="76"/>
        <v>#N/A</v>
      </c>
      <c r="AM293" s="561"/>
      <c r="AN293" s="561"/>
      <c r="AO293" s="561"/>
    </row>
    <row r="294" spans="2:41">
      <c r="B294" s="296"/>
      <c r="C294" s="299"/>
      <c r="D294" s="296"/>
      <c r="E294" s="298"/>
      <c r="F294" s="299"/>
      <c r="G294" s="300"/>
      <c r="H294" s="303"/>
      <c r="I294" s="303"/>
      <c r="J294" s="322">
        <f t="shared" si="62"/>
        <v>0</v>
      </c>
      <c r="K294" s="305" t="e">
        <f>IF(F294="MXN",1/HLOOKUP(YEAR(G294)+(MONTH(G294)/100),TC!$5:$37,DAY(G294)+2,FALSE),VLOOKUP(F294,Equivalencia!$5:$23,((MAX(Equivalencia!$3:$3)-YEAR(G294))*14)+MONTH(G294)+2,FALSE))</f>
        <v>#N/A</v>
      </c>
      <c r="L294" s="306" t="e">
        <f t="shared" si="65"/>
        <v>#N/A</v>
      </c>
      <c r="M294" s="305">
        <f>IF(G294=0,0,HLOOKUP(YEAR(G294)+(MONTH(G294)/100),TC!$5:$37,DAY(G294)+2,FALSE))</f>
        <v>0</v>
      </c>
      <c r="N294" s="306" t="e">
        <f t="shared" si="66"/>
        <v>#N/A</v>
      </c>
      <c r="O294" s="308">
        <f>IF(G294=0,0,VLOOKUP(YEAR(G294),INPC!$B$4:$P$30,MONTH(G294)+2))</f>
        <v>0</v>
      </c>
      <c r="P294" s="308">
        <f>IF(W294=0,0,IF(OR(C294=$AQ$5,C294=AQ298),VLOOKUP(YEAR(W294),INPC!$B$4:$P$30,MONTH(W294)+1),VLOOKUP(YEAR(W294),INPC!$B$4:$P$30,MONTH(W294)+2)))</f>
        <v>0</v>
      </c>
      <c r="Q294" s="309">
        <f t="shared" si="67"/>
        <v>0</v>
      </c>
      <c r="R294" s="310" t="e">
        <f t="shared" si="68"/>
        <v>#N/A</v>
      </c>
      <c r="S294" s="310">
        <f t="shared" si="69"/>
        <v>0</v>
      </c>
      <c r="T294" s="567" t="str">
        <f t="shared" si="70"/>
        <v>NO</v>
      </c>
      <c r="U294" s="323"/>
      <c r="V294" s="299"/>
      <c r="W294" s="300"/>
      <c r="X294" s="299"/>
      <c r="Y294" s="303"/>
      <c r="Z294" s="305">
        <f>IF(Y294=0,0,IF(X294="MXN",1/HLOOKUP(YEAR(W294)+(MONTH(W294)/100),TC!$5:$37,DAY(W294)+2,FALSE),VLOOKUP(X294,Equivalencia!$1:$23,((MAX(Equivalencia!$3:$3)-YEAR(W294))*14)+MONTH(W294)+2,FALSE)))</f>
        <v>0</v>
      </c>
      <c r="AA294" s="306">
        <f t="shared" si="71"/>
        <v>0</v>
      </c>
      <c r="AB294" s="305">
        <f>+IF(W294=0,0,HLOOKUP(YEAR(W294)+(MONTH(W294)/100),TC!$5:$37,DAY(W294)+2,FALSE))</f>
        <v>0</v>
      </c>
      <c r="AC294" s="306">
        <f t="shared" si="72"/>
        <v>0</v>
      </c>
      <c r="AD294" s="314">
        <f t="shared" si="63"/>
        <v>0</v>
      </c>
      <c r="AE294" s="315">
        <f t="shared" si="73"/>
        <v>0</v>
      </c>
      <c r="AF294" s="316">
        <f t="shared" si="64"/>
        <v>0</v>
      </c>
      <c r="AG294" s="314">
        <v>1</v>
      </c>
      <c r="AH294" s="314">
        <f t="shared" si="74"/>
        <v>0</v>
      </c>
      <c r="AI294" s="314">
        <f t="shared" si="75"/>
        <v>0</v>
      </c>
      <c r="AJ294" s="317"/>
      <c r="AK294" s="315" t="e">
        <f t="shared" si="76"/>
        <v>#N/A</v>
      </c>
      <c r="AM294" s="561"/>
      <c r="AN294" s="561"/>
      <c r="AO294" s="561"/>
    </row>
    <row r="295" spans="2:41">
      <c r="B295" s="296"/>
      <c r="C295" s="299"/>
      <c r="D295" s="296"/>
      <c r="E295" s="298"/>
      <c r="F295" s="299"/>
      <c r="G295" s="300"/>
      <c r="H295" s="303"/>
      <c r="I295" s="303"/>
      <c r="J295" s="322">
        <f t="shared" si="62"/>
        <v>0</v>
      </c>
      <c r="K295" s="305" t="e">
        <f>IF(F295="MXN",1/HLOOKUP(YEAR(G295)+(MONTH(G295)/100),TC!$5:$37,DAY(G295)+2,FALSE),VLOOKUP(F295,Equivalencia!$5:$23,((MAX(Equivalencia!$3:$3)-YEAR(G295))*14)+MONTH(G295)+2,FALSE))</f>
        <v>#N/A</v>
      </c>
      <c r="L295" s="306" t="e">
        <f t="shared" si="65"/>
        <v>#N/A</v>
      </c>
      <c r="M295" s="305">
        <f>IF(G295=0,0,HLOOKUP(YEAR(G295)+(MONTH(G295)/100),TC!$5:$37,DAY(G295)+2,FALSE))</f>
        <v>0</v>
      </c>
      <c r="N295" s="306" t="e">
        <f t="shared" si="66"/>
        <v>#N/A</v>
      </c>
      <c r="O295" s="308">
        <f>IF(G295=0,0,VLOOKUP(YEAR(G295),INPC!$B$4:$P$30,MONTH(G295)+2))</f>
        <v>0</v>
      </c>
      <c r="P295" s="308">
        <f>IF(W295=0,0,IF(OR(C295=$AQ$5,C295=AQ299),VLOOKUP(YEAR(W295),INPC!$B$4:$P$30,MONTH(W295)+1),VLOOKUP(YEAR(W295),INPC!$B$4:$P$30,MONTH(W295)+2)))</f>
        <v>0</v>
      </c>
      <c r="Q295" s="309">
        <f t="shared" si="67"/>
        <v>0</v>
      </c>
      <c r="R295" s="310" t="e">
        <f t="shared" si="68"/>
        <v>#N/A</v>
      </c>
      <c r="S295" s="310">
        <f t="shared" si="69"/>
        <v>0</v>
      </c>
      <c r="T295" s="567" t="str">
        <f t="shared" si="70"/>
        <v>NO</v>
      </c>
      <c r="U295" s="323"/>
      <c r="V295" s="299"/>
      <c r="W295" s="300"/>
      <c r="X295" s="299"/>
      <c r="Y295" s="303"/>
      <c r="Z295" s="305">
        <f>IF(Y295=0,0,IF(X295="MXN",1/HLOOKUP(YEAR(W295)+(MONTH(W295)/100),TC!$5:$37,DAY(W295)+2,FALSE),VLOOKUP(X295,Equivalencia!$1:$23,((MAX(Equivalencia!$3:$3)-YEAR(W295))*14)+MONTH(W295)+2,FALSE)))</f>
        <v>0</v>
      </c>
      <c r="AA295" s="306">
        <f t="shared" si="71"/>
        <v>0</v>
      </c>
      <c r="AB295" s="305">
        <f>+IF(W295=0,0,HLOOKUP(YEAR(W295)+(MONTH(W295)/100),TC!$5:$37,DAY(W295)+2,FALSE))</f>
        <v>0</v>
      </c>
      <c r="AC295" s="306">
        <f t="shared" si="72"/>
        <v>0</v>
      </c>
      <c r="AD295" s="314">
        <f t="shared" si="63"/>
        <v>0</v>
      </c>
      <c r="AE295" s="315">
        <f t="shared" si="73"/>
        <v>0</v>
      </c>
      <c r="AF295" s="316">
        <f t="shared" si="64"/>
        <v>0</v>
      </c>
      <c r="AG295" s="314">
        <v>1</v>
      </c>
      <c r="AH295" s="314">
        <f t="shared" si="74"/>
        <v>0</v>
      </c>
      <c r="AI295" s="314">
        <f t="shared" si="75"/>
        <v>0</v>
      </c>
      <c r="AJ295" s="317"/>
      <c r="AK295" s="315" t="e">
        <f t="shared" si="76"/>
        <v>#N/A</v>
      </c>
      <c r="AM295" s="561"/>
      <c r="AN295" s="561"/>
      <c r="AO295" s="561"/>
    </row>
    <row r="296" spans="2:41">
      <c r="B296" s="296"/>
      <c r="C296" s="299"/>
      <c r="D296" s="296"/>
      <c r="E296" s="298"/>
      <c r="F296" s="299"/>
      <c r="G296" s="300"/>
      <c r="H296" s="303"/>
      <c r="I296" s="303"/>
      <c r="J296" s="322">
        <f t="shared" si="62"/>
        <v>0</v>
      </c>
      <c r="K296" s="305" t="e">
        <f>IF(F296="MXN",1/HLOOKUP(YEAR(G296)+(MONTH(G296)/100),TC!$5:$37,DAY(G296)+2,FALSE),VLOOKUP(F296,Equivalencia!$5:$23,((MAX(Equivalencia!$3:$3)-YEAR(G296))*14)+MONTH(G296)+2,FALSE))</f>
        <v>#N/A</v>
      </c>
      <c r="L296" s="306" t="e">
        <f t="shared" si="65"/>
        <v>#N/A</v>
      </c>
      <c r="M296" s="305">
        <f>IF(G296=0,0,HLOOKUP(YEAR(G296)+(MONTH(G296)/100),TC!$5:$37,DAY(G296)+2,FALSE))</f>
        <v>0</v>
      </c>
      <c r="N296" s="306" t="e">
        <f t="shared" si="66"/>
        <v>#N/A</v>
      </c>
      <c r="O296" s="308">
        <f>IF(G296=0,0,VLOOKUP(YEAR(G296),INPC!$B$4:$P$30,MONTH(G296)+2))</f>
        <v>0</v>
      </c>
      <c r="P296" s="308">
        <f>IF(W296=0,0,IF(OR(C296=$AQ$5,C296=AQ300),VLOOKUP(YEAR(W296),INPC!$B$4:$P$30,MONTH(W296)+1),VLOOKUP(YEAR(W296),INPC!$B$4:$P$30,MONTH(W296)+2)))</f>
        <v>0</v>
      </c>
      <c r="Q296" s="309">
        <f t="shared" si="67"/>
        <v>0</v>
      </c>
      <c r="R296" s="310" t="e">
        <f t="shared" si="68"/>
        <v>#N/A</v>
      </c>
      <c r="S296" s="310">
        <f t="shared" si="69"/>
        <v>0</v>
      </c>
      <c r="T296" s="567" t="str">
        <f t="shared" si="70"/>
        <v>NO</v>
      </c>
      <c r="U296" s="323"/>
      <c r="V296" s="299"/>
      <c r="W296" s="300"/>
      <c r="X296" s="299"/>
      <c r="Y296" s="303"/>
      <c r="Z296" s="305">
        <f>IF(Y296=0,0,IF(X296="MXN",1/HLOOKUP(YEAR(W296)+(MONTH(W296)/100),TC!$5:$37,DAY(W296)+2,FALSE),VLOOKUP(X296,Equivalencia!$1:$23,((MAX(Equivalencia!$3:$3)-YEAR(W296))*14)+MONTH(W296)+2,FALSE)))</f>
        <v>0</v>
      </c>
      <c r="AA296" s="306">
        <f t="shared" si="71"/>
        <v>0</v>
      </c>
      <c r="AB296" s="305">
        <f>+IF(W296=0,0,HLOOKUP(YEAR(W296)+(MONTH(W296)/100),TC!$5:$37,DAY(W296)+2,FALSE))</f>
        <v>0</v>
      </c>
      <c r="AC296" s="306">
        <f t="shared" si="72"/>
        <v>0</v>
      </c>
      <c r="AD296" s="314">
        <f t="shared" si="63"/>
        <v>0</v>
      </c>
      <c r="AE296" s="315">
        <f t="shared" si="73"/>
        <v>0</v>
      </c>
      <c r="AF296" s="316">
        <f t="shared" si="64"/>
        <v>0</v>
      </c>
      <c r="AG296" s="314">
        <v>1</v>
      </c>
      <c r="AH296" s="314">
        <f t="shared" si="74"/>
        <v>0</v>
      </c>
      <c r="AI296" s="314">
        <f t="shared" si="75"/>
        <v>0</v>
      </c>
      <c r="AJ296" s="317"/>
      <c r="AK296" s="315" t="e">
        <f t="shared" si="76"/>
        <v>#N/A</v>
      </c>
      <c r="AM296" s="561"/>
      <c r="AN296" s="561"/>
      <c r="AO296" s="561"/>
    </row>
    <row r="297" spans="2:41">
      <c r="B297" s="296"/>
      <c r="C297" s="299"/>
      <c r="D297" s="296"/>
      <c r="E297" s="298"/>
      <c r="F297" s="299"/>
      <c r="G297" s="300"/>
      <c r="H297" s="303"/>
      <c r="I297" s="303"/>
      <c r="J297" s="322">
        <f t="shared" si="62"/>
        <v>0</v>
      </c>
      <c r="K297" s="305" t="e">
        <f>IF(F297="MXN",1/HLOOKUP(YEAR(G297)+(MONTH(G297)/100),TC!$5:$37,DAY(G297)+2,FALSE),VLOOKUP(F297,Equivalencia!$5:$23,((MAX(Equivalencia!$3:$3)-YEAR(G297))*14)+MONTH(G297)+2,FALSE))</f>
        <v>#N/A</v>
      </c>
      <c r="L297" s="306" t="e">
        <f t="shared" si="65"/>
        <v>#N/A</v>
      </c>
      <c r="M297" s="305">
        <f>IF(G297=0,0,HLOOKUP(YEAR(G297)+(MONTH(G297)/100),TC!$5:$37,DAY(G297)+2,FALSE))</f>
        <v>0</v>
      </c>
      <c r="N297" s="306" t="e">
        <f t="shared" si="66"/>
        <v>#N/A</v>
      </c>
      <c r="O297" s="308">
        <f>IF(G297=0,0,VLOOKUP(YEAR(G297),INPC!$B$4:$P$30,MONTH(G297)+2))</f>
        <v>0</v>
      </c>
      <c r="P297" s="308">
        <f>IF(W297=0,0,IF(OR(C297=$AQ$5,C297=AQ301),VLOOKUP(YEAR(W297),INPC!$B$4:$P$30,MONTH(W297)+1),VLOOKUP(YEAR(W297),INPC!$B$4:$P$30,MONTH(W297)+2)))</f>
        <v>0</v>
      </c>
      <c r="Q297" s="309">
        <f t="shared" si="67"/>
        <v>0</v>
      </c>
      <c r="R297" s="310" t="e">
        <f t="shared" si="68"/>
        <v>#N/A</v>
      </c>
      <c r="S297" s="310">
        <f t="shared" si="69"/>
        <v>0</v>
      </c>
      <c r="T297" s="567" t="str">
        <f t="shared" si="70"/>
        <v>NO</v>
      </c>
      <c r="U297" s="323"/>
      <c r="V297" s="299"/>
      <c r="W297" s="300"/>
      <c r="X297" s="299"/>
      <c r="Y297" s="303"/>
      <c r="Z297" s="305">
        <f>IF(Y297=0,0,IF(X297="MXN",1/HLOOKUP(YEAR(W297)+(MONTH(W297)/100),TC!$5:$37,DAY(W297)+2,FALSE),VLOOKUP(X297,Equivalencia!$1:$23,((MAX(Equivalencia!$3:$3)-YEAR(W297))*14)+MONTH(W297)+2,FALSE)))</f>
        <v>0</v>
      </c>
      <c r="AA297" s="306">
        <f t="shared" si="71"/>
        <v>0</v>
      </c>
      <c r="AB297" s="305">
        <f>+IF(W297=0,0,HLOOKUP(YEAR(W297)+(MONTH(W297)/100),TC!$5:$37,DAY(W297)+2,FALSE))</f>
        <v>0</v>
      </c>
      <c r="AC297" s="306">
        <f t="shared" si="72"/>
        <v>0</v>
      </c>
      <c r="AD297" s="314">
        <f t="shared" si="63"/>
        <v>0</v>
      </c>
      <c r="AE297" s="315">
        <f t="shared" si="73"/>
        <v>0</v>
      </c>
      <c r="AF297" s="316">
        <f t="shared" si="64"/>
        <v>0</v>
      </c>
      <c r="AG297" s="314">
        <v>1</v>
      </c>
      <c r="AH297" s="314">
        <f t="shared" si="74"/>
        <v>0</v>
      </c>
      <c r="AI297" s="314">
        <f t="shared" si="75"/>
        <v>0</v>
      </c>
      <c r="AJ297" s="317"/>
      <c r="AK297" s="315" t="e">
        <f t="shared" si="76"/>
        <v>#N/A</v>
      </c>
      <c r="AM297" s="561"/>
      <c r="AN297" s="561"/>
      <c r="AO297" s="561"/>
    </row>
    <row r="298" spans="2:41">
      <c r="B298" s="296"/>
      <c r="C298" s="299"/>
      <c r="D298" s="296"/>
      <c r="E298" s="298"/>
      <c r="F298" s="299"/>
      <c r="G298" s="300"/>
      <c r="H298" s="303"/>
      <c r="I298" s="303"/>
      <c r="J298" s="322">
        <f t="shared" si="62"/>
        <v>0</v>
      </c>
      <c r="K298" s="305" t="e">
        <f>IF(F298="MXN",1/HLOOKUP(YEAR(G298)+(MONTH(G298)/100),TC!$5:$37,DAY(G298)+2,FALSE),VLOOKUP(F298,Equivalencia!$5:$23,((MAX(Equivalencia!$3:$3)-YEAR(G298))*14)+MONTH(G298)+2,FALSE))</f>
        <v>#N/A</v>
      </c>
      <c r="L298" s="306" t="e">
        <f t="shared" si="65"/>
        <v>#N/A</v>
      </c>
      <c r="M298" s="305">
        <f>IF(G298=0,0,HLOOKUP(YEAR(G298)+(MONTH(G298)/100),TC!$5:$37,DAY(G298)+2,FALSE))</f>
        <v>0</v>
      </c>
      <c r="N298" s="306" t="e">
        <f t="shared" si="66"/>
        <v>#N/A</v>
      </c>
      <c r="O298" s="308">
        <f>IF(G298=0,0,VLOOKUP(YEAR(G298),INPC!$B$4:$P$30,MONTH(G298)+2))</f>
        <v>0</v>
      </c>
      <c r="P298" s="308">
        <f>IF(W298=0,0,IF(OR(C298=$AQ$5,C298=AQ302),VLOOKUP(YEAR(W298),INPC!$B$4:$P$30,MONTH(W298)+1),VLOOKUP(YEAR(W298),INPC!$B$4:$P$30,MONTH(W298)+2)))</f>
        <v>0</v>
      </c>
      <c r="Q298" s="309">
        <f t="shared" si="67"/>
        <v>0</v>
      </c>
      <c r="R298" s="310" t="e">
        <f t="shared" si="68"/>
        <v>#N/A</v>
      </c>
      <c r="S298" s="310">
        <f t="shared" si="69"/>
        <v>0</v>
      </c>
      <c r="T298" s="567" t="str">
        <f t="shared" si="70"/>
        <v>NO</v>
      </c>
      <c r="U298" s="323"/>
      <c r="V298" s="299"/>
      <c r="W298" s="300"/>
      <c r="X298" s="299"/>
      <c r="Y298" s="303"/>
      <c r="Z298" s="305">
        <f>IF(Y298=0,0,IF(X298="MXN",1/HLOOKUP(YEAR(W298)+(MONTH(W298)/100),TC!$5:$37,DAY(W298)+2,FALSE),VLOOKUP(X298,Equivalencia!$1:$23,((MAX(Equivalencia!$3:$3)-YEAR(W298))*14)+MONTH(W298)+2,FALSE)))</f>
        <v>0</v>
      </c>
      <c r="AA298" s="306">
        <f t="shared" si="71"/>
        <v>0</v>
      </c>
      <c r="AB298" s="305">
        <f>+IF(W298=0,0,HLOOKUP(YEAR(W298)+(MONTH(W298)/100),TC!$5:$37,DAY(W298)+2,FALSE))</f>
        <v>0</v>
      </c>
      <c r="AC298" s="306">
        <f t="shared" si="72"/>
        <v>0</v>
      </c>
      <c r="AD298" s="314">
        <f t="shared" si="63"/>
        <v>0</v>
      </c>
      <c r="AE298" s="315">
        <f t="shared" si="73"/>
        <v>0</v>
      </c>
      <c r="AF298" s="316">
        <f t="shared" si="64"/>
        <v>0</v>
      </c>
      <c r="AG298" s="314">
        <v>1</v>
      </c>
      <c r="AH298" s="314">
        <f t="shared" si="74"/>
        <v>0</v>
      </c>
      <c r="AI298" s="314">
        <f t="shared" si="75"/>
        <v>0</v>
      </c>
      <c r="AJ298" s="317"/>
      <c r="AK298" s="315" t="e">
        <f t="shared" si="76"/>
        <v>#N/A</v>
      </c>
      <c r="AM298" s="561"/>
      <c r="AN298" s="561"/>
      <c r="AO298" s="561"/>
    </row>
    <row r="299" spans="2:41">
      <c r="B299" s="296"/>
      <c r="C299" s="299"/>
      <c r="D299" s="296"/>
      <c r="E299" s="298"/>
      <c r="F299" s="299"/>
      <c r="G299" s="300"/>
      <c r="H299" s="303"/>
      <c r="I299" s="303"/>
      <c r="J299" s="322">
        <f t="shared" si="62"/>
        <v>0</v>
      </c>
      <c r="K299" s="305" t="e">
        <f>IF(F299="MXN",1/HLOOKUP(YEAR(G299)+(MONTH(G299)/100),TC!$5:$37,DAY(G299)+2,FALSE),VLOOKUP(F299,Equivalencia!$5:$23,((MAX(Equivalencia!$3:$3)-YEAR(G299))*14)+MONTH(G299)+2,FALSE))</f>
        <v>#N/A</v>
      </c>
      <c r="L299" s="306" t="e">
        <f t="shared" si="65"/>
        <v>#N/A</v>
      </c>
      <c r="M299" s="305">
        <f>IF(G299=0,0,HLOOKUP(YEAR(G299)+(MONTH(G299)/100),TC!$5:$37,DAY(G299)+2,FALSE))</f>
        <v>0</v>
      </c>
      <c r="N299" s="306" t="e">
        <f t="shared" si="66"/>
        <v>#N/A</v>
      </c>
      <c r="O299" s="308">
        <f>IF(G299=0,0,VLOOKUP(YEAR(G299),INPC!$B$4:$P$30,MONTH(G299)+2))</f>
        <v>0</v>
      </c>
      <c r="P299" s="308">
        <f>IF(W299=0,0,IF(OR(C299=$AQ$5,C299=AQ303),VLOOKUP(YEAR(W299),INPC!$B$4:$P$30,MONTH(W299)+1),VLOOKUP(YEAR(W299),INPC!$B$4:$P$30,MONTH(W299)+2)))</f>
        <v>0</v>
      </c>
      <c r="Q299" s="309">
        <f t="shared" si="67"/>
        <v>0</v>
      </c>
      <c r="R299" s="310" t="e">
        <f t="shared" si="68"/>
        <v>#N/A</v>
      </c>
      <c r="S299" s="310">
        <f t="shared" si="69"/>
        <v>0</v>
      </c>
      <c r="T299" s="567" t="str">
        <f t="shared" si="70"/>
        <v>NO</v>
      </c>
      <c r="U299" s="323"/>
      <c r="V299" s="299"/>
      <c r="W299" s="300"/>
      <c r="X299" s="299"/>
      <c r="Y299" s="303"/>
      <c r="Z299" s="305">
        <f>IF(Y299=0,0,IF(X299="MXN",1/HLOOKUP(YEAR(W299)+(MONTH(W299)/100),TC!$5:$37,DAY(W299)+2,FALSE),VLOOKUP(X299,Equivalencia!$1:$23,((MAX(Equivalencia!$3:$3)-YEAR(W299))*14)+MONTH(W299)+2,FALSE)))</f>
        <v>0</v>
      </c>
      <c r="AA299" s="306">
        <f t="shared" si="71"/>
        <v>0</v>
      </c>
      <c r="AB299" s="305">
        <f>+IF(W299=0,0,HLOOKUP(YEAR(W299)+(MONTH(W299)/100),TC!$5:$37,DAY(W299)+2,FALSE))</f>
        <v>0</v>
      </c>
      <c r="AC299" s="306">
        <f t="shared" si="72"/>
        <v>0</v>
      </c>
      <c r="AD299" s="314">
        <f t="shared" si="63"/>
        <v>0</v>
      </c>
      <c r="AE299" s="315">
        <f t="shared" si="73"/>
        <v>0</v>
      </c>
      <c r="AF299" s="316">
        <f t="shared" si="64"/>
        <v>0</v>
      </c>
      <c r="AG299" s="314">
        <v>1</v>
      </c>
      <c r="AH299" s="314">
        <f t="shared" si="74"/>
        <v>0</v>
      </c>
      <c r="AI299" s="314">
        <f t="shared" si="75"/>
        <v>0</v>
      </c>
      <c r="AJ299" s="317"/>
      <c r="AK299" s="315" t="e">
        <f t="shared" si="76"/>
        <v>#N/A</v>
      </c>
      <c r="AM299" s="561"/>
      <c r="AN299" s="561"/>
      <c r="AO299" s="561"/>
    </row>
    <row r="300" spans="2:41">
      <c r="B300" s="296"/>
      <c r="C300" s="299"/>
      <c r="D300" s="296"/>
      <c r="E300" s="298"/>
      <c r="F300" s="299"/>
      <c r="G300" s="300"/>
      <c r="H300" s="303"/>
      <c r="I300" s="303"/>
      <c r="J300" s="322">
        <f t="shared" si="62"/>
        <v>0</v>
      </c>
      <c r="K300" s="305" t="e">
        <f>IF(F300="MXN",1/HLOOKUP(YEAR(G300)+(MONTH(G300)/100),TC!$5:$37,DAY(G300)+2,FALSE),VLOOKUP(F300,Equivalencia!$5:$23,((MAX(Equivalencia!$3:$3)-YEAR(G300))*14)+MONTH(G300)+2,FALSE))</f>
        <v>#N/A</v>
      </c>
      <c r="L300" s="306" t="e">
        <f t="shared" si="65"/>
        <v>#N/A</v>
      </c>
      <c r="M300" s="305">
        <f>IF(G300=0,0,HLOOKUP(YEAR(G300)+(MONTH(G300)/100),TC!$5:$37,DAY(G300)+2,FALSE))</f>
        <v>0</v>
      </c>
      <c r="N300" s="306" t="e">
        <f t="shared" si="66"/>
        <v>#N/A</v>
      </c>
      <c r="O300" s="308">
        <f>IF(G300=0,0,VLOOKUP(YEAR(G300),INPC!$B$4:$P$30,MONTH(G300)+2))</f>
        <v>0</v>
      </c>
      <c r="P300" s="308">
        <f>IF(W300=0,0,IF(OR(C300=$AQ$5,C300=AQ304),VLOOKUP(YEAR(W300),INPC!$B$4:$P$30,MONTH(W300)+1),VLOOKUP(YEAR(W300),INPC!$B$4:$P$30,MONTH(W300)+2)))</f>
        <v>0</v>
      </c>
      <c r="Q300" s="309">
        <f t="shared" si="67"/>
        <v>0</v>
      </c>
      <c r="R300" s="310" t="e">
        <f t="shared" si="68"/>
        <v>#N/A</v>
      </c>
      <c r="S300" s="310">
        <f t="shared" si="69"/>
        <v>0</v>
      </c>
      <c r="T300" s="567" t="str">
        <f t="shared" si="70"/>
        <v>NO</v>
      </c>
      <c r="U300" s="323"/>
      <c r="V300" s="299"/>
      <c r="W300" s="300"/>
      <c r="X300" s="299"/>
      <c r="Y300" s="303"/>
      <c r="Z300" s="305">
        <f>IF(Y300=0,0,IF(X300="MXN",1/HLOOKUP(YEAR(W300)+(MONTH(W300)/100),TC!$5:$37,DAY(W300)+2,FALSE),VLOOKUP(X300,Equivalencia!$1:$23,((MAX(Equivalencia!$3:$3)-YEAR(W300))*14)+MONTH(W300)+2,FALSE)))</f>
        <v>0</v>
      </c>
      <c r="AA300" s="306">
        <f t="shared" si="71"/>
        <v>0</v>
      </c>
      <c r="AB300" s="305">
        <f>+IF(W300=0,0,HLOOKUP(YEAR(W300)+(MONTH(W300)/100),TC!$5:$37,DAY(W300)+2,FALSE))</f>
        <v>0</v>
      </c>
      <c r="AC300" s="306">
        <f t="shared" si="72"/>
        <v>0</v>
      </c>
      <c r="AD300" s="314">
        <f t="shared" si="63"/>
        <v>0</v>
      </c>
      <c r="AE300" s="315">
        <f t="shared" si="73"/>
        <v>0</v>
      </c>
      <c r="AF300" s="316">
        <f t="shared" si="64"/>
        <v>0</v>
      </c>
      <c r="AG300" s="314">
        <v>1</v>
      </c>
      <c r="AH300" s="314">
        <f t="shared" si="74"/>
        <v>0</v>
      </c>
      <c r="AI300" s="314">
        <f t="shared" si="75"/>
        <v>0</v>
      </c>
      <c r="AJ300" s="317"/>
      <c r="AK300" s="315" t="e">
        <f t="shared" si="76"/>
        <v>#N/A</v>
      </c>
      <c r="AM300" s="561"/>
      <c r="AN300" s="561"/>
      <c r="AO300" s="561"/>
    </row>
    <row r="301" spans="2:41">
      <c r="B301" s="296"/>
      <c r="C301" s="299"/>
      <c r="D301" s="296"/>
      <c r="E301" s="298"/>
      <c r="F301" s="299"/>
      <c r="G301" s="300"/>
      <c r="H301" s="303"/>
      <c r="I301" s="303"/>
      <c r="J301" s="322">
        <f t="shared" si="62"/>
        <v>0</v>
      </c>
      <c r="K301" s="305" t="e">
        <f>IF(F301="MXN",1/HLOOKUP(YEAR(G301)+(MONTH(G301)/100),TC!$5:$37,DAY(G301)+2,FALSE),VLOOKUP(F301,Equivalencia!$5:$23,((MAX(Equivalencia!$3:$3)-YEAR(G301))*14)+MONTH(G301)+2,FALSE))</f>
        <v>#N/A</v>
      </c>
      <c r="L301" s="306" t="e">
        <f t="shared" si="65"/>
        <v>#N/A</v>
      </c>
      <c r="M301" s="305">
        <f>IF(G301=0,0,HLOOKUP(YEAR(G301)+(MONTH(G301)/100),TC!$5:$37,DAY(G301)+2,FALSE))</f>
        <v>0</v>
      </c>
      <c r="N301" s="306" t="e">
        <f t="shared" si="66"/>
        <v>#N/A</v>
      </c>
      <c r="O301" s="308">
        <f>IF(G301=0,0,VLOOKUP(YEAR(G301),INPC!$B$4:$P$30,MONTH(G301)+2))</f>
        <v>0</v>
      </c>
      <c r="P301" s="308">
        <f>IF(W301=0,0,IF(OR(C301=$AQ$5,C301=AQ305),VLOOKUP(YEAR(W301),INPC!$B$4:$P$30,MONTH(W301)+1),VLOOKUP(YEAR(W301),INPC!$B$4:$P$30,MONTH(W301)+2)))</f>
        <v>0</v>
      </c>
      <c r="Q301" s="309">
        <f t="shared" si="67"/>
        <v>0</v>
      </c>
      <c r="R301" s="310" t="e">
        <f t="shared" si="68"/>
        <v>#N/A</v>
      </c>
      <c r="S301" s="310">
        <f t="shared" si="69"/>
        <v>0</v>
      </c>
      <c r="T301" s="567" t="str">
        <f t="shared" si="70"/>
        <v>NO</v>
      </c>
      <c r="U301" s="323"/>
      <c r="V301" s="299"/>
      <c r="W301" s="300"/>
      <c r="X301" s="299"/>
      <c r="Y301" s="303"/>
      <c r="Z301" s="305">
        <f>IF(Y301=0,0,IF(X301="MXN",1/HLOOKUP(YEAR(W301)+(MONTH(W301)/100),TC!$5:$37,DAY(W301)+2,FALSE),VLOOKUP(X301,Equivalencia!$1:$23,((MAX(Equivalencia!$3:$3)-YEAR(W301))*14)+MONTH(W301)+2,FALSE)))</f>
        <v>0</v>
      </c>
      <c r="AA301" s="306">
        <f t="shared" si="71"/>
        <v>0</v>
      </c>
      <c r="AB301" s="305">
        <f>+IF(W301=0,0,HLOOKUP(YEAR(W301)+(MONTH(W301)/100),TC!$5:$37,DAY(W301)+2,FALSE))</f>
        <v>0</v>
      </c>
      <c r="AC301" s="306">
        <f t="shared" si="72"/>
        <v>0</v>
      </c>
      <c r="AD301" s="314">
        <f t="shared" si="63"/>
        <v>0</v>
      </c>
      <c r="AE301" s="315">
        <f t="shared" si="73"/>
        <v>0</v>
      </c>
      <c r="AF301" s="316">
        <f t="shared" si="64"/>
        <v>0</v>
      </c>
      <c r="AG301" s="314">
        <v>1</v>
      </c>
      <c r="AH301" s="314">
        <f t="shared" si="74"/>
        <v>0</v>
      </c>
      <c r="AI301" s="314">
        <f t="shared" si="75"/>
        <v>0</v>
      </c>
      <c r="AJ301" s="317"/>
      <c r="AK301" s="315" t="e">
        <f t="shared" si="76"/>
        <v>#N/A</v>
      </c>
      <c r="AM301" s="561"/>
      <c r="AN301" s="561"/>
      <c r="AO301" s="561"/>
    </row>
    <row r="302" spans="2:41">
      <c r="B302" s="296"/>
      <c r="C302" s="299"/>
      <c r="D302" s="296"/>
      <c r="E302" s="298"/>
      <c r="F302" s="299"/>
      <c r="G302" s="300"/>
      <c r="H302" s="303"/>
      <c r="I302" s="303"/>
      <c r="J302" s="322">
        <f t="shared" si="62"/>
        <v>0</v>
      </c>
      <c r="K302" s="305" t="e">
        <f>IF(F302="MXN",1/HLOOKUP(YEAR(G302)+(MONTH(G302)/100),TC!$5:$37,DAY(G302)+2,FALSE),VLOOKUP(F302,Equivalencia!$5:$23,((MAX(Equivalencia!$3:$3)-YEAR(G302))*14)+MONTH(G302)+2,FALSE))</f>
        <v>#N/A</v>
      </c>
      <c r="L302" s="306" t="e">
        <f t="shared" si="65"/>
        <v>#N/A</v>
      </c>
      <c r="M302" s="305">
        <f>IF(G302=0,0,HLOOKUP(YEAR(G302)+(MONTH(G302)/100),TC!$5:$37,DAY(G302)+2,FALSE))</f>
        <v>0</v>
      </c>
      <c r="N302" s="306" t="e">
        <f t="shared" si="66"/>
        <v>#N/A</v>
      </c>
      <c r="O302" s="308">
        <f>IF(G302=0,0,VLOOKUP(YEAR(G302),INPC!$B$4:$P$30,MONTH(G302)+2))</f>
        <v>0</v>
      </c>
      <c r="P302" s="308">
        <f>IF(W302=0,0,IF(OR(C302=$AQ$5,C302=AQ306),VLOOKUP(YEAR(W302),INPC!$B$4:$P$30,MONTH(W302)+1),VLOOKUP(YEAR(W302),INPC!$B$4:$P$30,MONTH(W302)+2)))</f>
        <v>0</v>
      </c>
      <c r="Q302" s="309">
        <f t="shared" si="67"/>
        <v>0</v>
      </c>
      <c r="R302" s="310" t="e">
        <f t="shared" si="68"/>
        <v>#N/A</v>
      </c>
      <c r="S302" s="310">
        <f t="shared" si="69"/>
        <v>0</v>
      </c>
      <c r="T302" s="567" t="str">
        <f t="shared" si="70"/>
        <v>NO</v>
      </c>
      <c r="U302" s="323"/>
      <c r="V302" s="299"/>
      <c r="W302" s="300"/>
      <c r="X302" s="299"/>
      <c r="Y302" s="303"/>
      <c r="Z302" s="305">
        <f>IF(Y302=0,0,IF(X302="MXN",1/HLOOKUP(YEAR(W302)+(MONTH(W302)/100),TC!$5:$37,DAY(W302)+2,FALSE),VLOOKUP(X302,Equivalencia!$1:$23,((MAX(Equivalencia!$3:$3)-YEAR(W302))*14)+MONTH(W302)+2,FALSE)))</f>
        <v>0</v>
      </c>
      <c r="AA302" s="306">
        <f t="shared" si="71"/>
        <v>0</v>
      </c>
      <c r="AB302" s="305">
        <f>+IF(W302=0,0,HLOOKUP(YEAR(W302)+(MONTH(W302)/100),TC!$5:$37,DAY(W302)+2,FALSE))</f>
        <v>0</v>
      </c>
      <c r="AC302" s="306">
        <f t="shared" si="72"/>
        <v>0</v>
      </c>
      <c r="AD302" s="314">
        <f t="shared" si="63"/>
        <v>0</v>
      </c>
      <c r="AE302" s="315">
        <f t="shared" si="73"/>
        <v>0</v>
      </c>
      <c r="AF302" s="316">
        <f t="shared" si="64"/>
        <v>0</v>
      </c>
      <c r="AG302" s="314">
        <v>1</v>
      </c>
      <c r="AH302" s="314">
        <f t="shared" si="74"/>
        <v>0</v>
      </c>
      <c r="AI302" s="314">
        <f t="shared" si="75"/>
        <v>0</v>
      </c>
      <c r="AJ302" s="317"/>
      <c r="AK302" s="315" t="e">
        <f t="shared" si="76"/>
        <v>#N/A</v>
      </c>
      <c r="AM302" s="561"/>
      <c r="AN302" s="561"/>
      <c r="AO302" s="561"/>
    </row>
    <row r="303" spans="2:41">
      <c r="B303" s="296"/>
      <c r="C303" s="299"/>
      <c r="D303" s="296"/>
      <c r="E303" s="298"/>
      <c r="F303" s="299"/>
      <c r="G303" s="300"/>
      <c r="H303" s="303"/>
      <c r="I303" s="303"/>
      <c r="J303" s="322">
        <f t="shared" si="62"/>
        <v>0</v>
      </c>
      <c r="K303" s="305" t="e">
        <f>IF(F303="MXN",1/HLOOKUP(YEAR(G303)+(MONTH(G303)/100),TC!$5:$37,DAY(G303)+2,FALSE),VLOOKUP(F303,Equivalencia!$5:$23,((MAX(Equivalencia!$3:$3)-YEAR(G303))*14)+MONTH(G303)+2,FALSE))</f>
        <v>#N/A</v>
      </c>
      <c r="L303" s="306" t="e">
        <f t="shared" si="65"/>
        <v>#N/A</v>
      </c>
      <c r="M303" s="305">
        <f>IF(G303=0,0,HLOOKUP(YEAR(G303)+(MONTH(G303)/100),TC!$5:$37,DAY(G303)+2,FALSE))</f>
        <v>0</v>
      </c>
      <c r="N303" s="306" t="e">
        <f t="shared" si="66"/>
        <v>#N/A</v>
      </c>
      <c r="O303" s="308">
        <f>IF(G303=0,0,VLOOKUP(YEAR(G303),INPC!$B$4:$P$30,MONTH(G303)+2))</f>
        <v>0</v>
      </c>
      <c r="P303" s="308">
        <f>IF(W303=0,0,IF(OR(C303=$AQ$5,C303=AQ307),VLOOKUP(YEAR(W303),INPC!$B$4:$P$30,MONTH(W303)+1),VLOOKUP(YEAR(W303),INPC!$B$4:$P$30,MONTH(W303)+2)))</f>
        <v>0</v>
      </c>
      <c r="Q303" s="309">
        <f t="shared" si="67"/>
        <v>0</v>
      </c>
      <c r="R303" s="310" t="e">
        <f t="shared" si="68"/>
        <v>#N/A</v>
      </c>
      <c r="S303" s="310">
        <f t="shared" si="69"/>
        <v>0</v>
      </c>
      <c r="T303" s="567" t="str">
        <f t="shared" si="70"/>
        <v>NO</v>
      </c>
      <c r="U303" s="323"/>
      <c r="V303" s="299"/>
      <c r="W303" s="300"/>
      <c r="X303" s="299"/>
      <c r="Y303" s="303"/>
      <c r="Z303" s="305">
        <f>IF(Y303=0,0,IF(X303="MXN",1/HLOOKUP(YEAR(W303)+(MONTH(W303)/100),TC!$5:$37,DAY(W303)+2,FALSE),VLOOKUP(X303,Equivalencia!$1:$23,((MAX(Equivalencia!$3:$3)-YEAR(W303))*14)+MONTH(W303)+2,FALSE)))</f>
        <v>0</v>
      </c>
      <c r="AA303" s="306">
        <f t="shared" si="71"/>
        <v>0</v>
      </c>
      <c r="AB303" s="305">
        <f>+IF(W303=0,0,HLOOKUP(YEAR(W303)+(MONTH(W303)/100),TC!$5:$37,DAY(W303)+2,FALSE))</f>
        <v>0</v>
      </c>
      <c r="AC303" s="306">
        <f t="shared" si="72"/>
        <v>0</v>
      </c>
      <c r="AD303" s="314">
        <f t="shared" si="63"/>
        <v>0</v>
      </c>
      <c r="AE303" s="315">
        <f t="shared" si="73"/>
        <v>0</v>
      </c>
      <c r="AF303" s="316">
        <f t="shared" si="64"/>
        <v>0</v>
      </c>
      <c r="AG303" s="314">
        <v>1</v>
      </c>
      <c r="AH303" s="314">
        <f t="shared" si="74"/>
        <v>0</v>
      </c>
      <c r="AI303" s="314">
        <f t="shared" si="75"/>
        <v>0</v>
      </c>
      <c r="AJ303" s="317"/>
      <c r="AK303" s="315" t="e">
        <f t="shared" si="76"/>
        <v>#N/A</v>
      </c>
      <c r="AM303" s="561"/>
      <c r="AN303" s="561"/>
      <c r="AO303" s="561"/>
    </row>
    <row r="304" spans="2:41">
      <c r="B304" s="296"/>
      <c r="C304" s="299"/>
      <c r="D304" s="296"/>
      <c r="E304" s="298"/>
      <c r="F304" s="299"/>
      <c r="G304" s="300"/>
      <c r="H304" s="303"/>
      <c r="I304" s="303"/>
      <c r="J304" s="322">
        <f t="shared" si="62"/>
        <v>0</v>
      </c>
      <c r="K304" s="305" t="e">
        <f>IF(F304="MXN",1/HLOOKUP(YEAR(G304)+(MONTH(G304)/100),TC!$5:$37,DAY(G304)+2,FALSE),VLOOKUP(F304,Equivalencia!$5:$23,((MAX(Equivalencia!$3:$3)-YEAR(G304))*14)+MONTH(G304)+2,FALSE))</f>
        <v>#N/A</v>
      </c>
      <c r="L304" s="306" t="e">
        <f t="shared" si="65"/>
        <v>#N/A</v>
      </c>
      <c r="M304" s="305">
        <f>IF(G304=0,0,HLOOKUP(YEAR(G304)+(MONTH(G304)/100),TC!$5:$37,DAY(G304)+2,FALSE))</f>
        <v>0</v>
      </c>
      <c r="N304" s="306" t="e">
        <f t="shared" si="66"/>
        <v>#N/A</v>
      </c>
      <c r="O304" s="308">
        <f>IF(G304=0,0,VLOOKUP(YEAR(G304),INPC!$B$4:$P$30,MONTH(G304)+2))</f>
        <v>0</v>
      </c>
      <c r="P304" s="308">
        <f>IF(W304=0,0,IF(OR(C304=$AQ$5,C304=AQ308),VLOOKUP(YEAR(W304),INPC!$B$4:$P$30,MONTH(W304)+1),VLOOKUP(YEAR(W304),INPC!$B$4:$P$30,MONTH(W304)+2)))</f>
        <v>0</v>
      </c>
      <c r="Q304" s="309">
        <f t="shared" si="67"/>
        <v>0</v>
      </c>
      <c r="R304" s="310" t="e">
        <f t="shared" si="68"/>
        <v>#N/A</v>
      </c>
      <c r="S304" s="310">
        <f t="shared" si="69"/>
        <v>0</v>
      </c>
      <c r="T304" s="567" t="str">
        <f t="shared" si="70"/>
        <v>NO</v>
      </c>
      <c r="U304" s="323"/>
      <c r="V304" s="299"/>
      <c r="W304" s="300"/>
      <c r="X304" s="299"/>
      <c r="Y304" s="303"/>
      <c r="Z304" s="305">
        <f>IF(Y304=0,0,IF(X304="MXN",1/HLOOKUP(YEAR(W304)+(MONTH(W304)/100),TC!$5:$37,DAY(W304)+2,FALSE),VLOOKUP(X304,Equivalencia!$1:$23,((MAX(Equivalencia!$3:$3)-YEAR(W304))*14)+MONTH(W304)+2,FALSE)))</f>
        <v>0</v>
      </c>
      <c r="AA304" s="306">
        <f t="shared" si="71"/>
        <v>0</v>
      </c>
      <c r="AB304" s="305">
        <f>+IF(W304=0,0,HLOOKUP(YEAR(W304)+(MONTH(W304)/100),TC!$5:$37,DAY(W304)+2,FALSE))</f>
        <v>0</v>
      </c>
      <c r="AC304" s="306">
        <f t="shared" si="72"/>
        <v>0</v>
      </c>
      <c r="AD304" s="314">
        <f t="shared" si="63"/>
        <v>0</v>
      </c>
      <c r="AE304" s="315">
        <f t="shared" si="73"/>
        <v>0</v>
      </c>
      <c r="AF304" s="316">
        <f t="shared" si="64"/>
        <v>0</v>
      </c>
      <c r="AG304" s="314">
        <v>1</v>
      </c>
      <c r="AH304" s="314">
        <f t="shared" si="74"/>
        <v>0</v>
      </c>
      <c r="AI304" s="314">
        <f t="shared" si="75"/>
        <v>0</v>
      </c>
      <c r="AJ304" s="317"/>
      <c r="AK304" s="315" t="e">
        <f t="shared" si="76"/>
        <v>#N/A</v>
      </c>
      <c r="AM304" s="561"/>
      <c r="AN304" s="561"/>
      <c r="AO304" s="561"/>
    </row>
    <row r="305" spans="2:41">
      <c r="B305" s="296"/>
      <c r="C305" s="299"/>
      <c r="D305" s="296"/>
      <c r="E305" s="298"/>
      <c r="F305" s="299"/>
      <c r="G305" s="300"/>
      <c r="H305" s="303"/>
      <c r="I305" s="303"/>
      <c r="J305" s="322">
        <f t="shared" si="62"/>
        <v>0</v>
      </c>
      <c r="K305" s="305" t="e">
        <f>IF(F305="MXN",1/HLOOKUP(YEAR(G305)+(MONTH(G305)/100),TC!$5:$37,DAY(G305)+2,FALSE),VLOOKUP(F305,Equivalencia!$5:$23,((MAX(Equivalencia!$3:$3)-YEAR(G305))*14)+MONTH(G305)+2,FALSE))</f>
        <v>#N/A</v>
      </c>
      <c r="L305" s="306" t="e">
        <f t="shared" si="65"/>
        <v>#N/A</v>
      </c>
      <c r="M305" s="305">
        <f>IF(G305=0,0,HLOOKUP(YEAR(G305)+(MONTH(G305)/100),TC!$5:$37,DAY(G305)+2,FALSE))</f>
        <v>0</v>
      </c>
      <c r="N305" s="306" t="e">
        <f t="shared" si="66"/>
        <v>#N/A</v>
      </c>
      <c r="O305" s="308">
        <f>IF(G305=0,0,VLOOKUP(YEAR(G305),INPC!$B$4:$P$30,MONTH(G305)+2))</f>
        <v>0</v>
      </c>
      <c r="P305" s="308">
        <f>IF(W305=0,0,IF(OR(C305=$AQ$5,C305=AQ309),VLOOKUP(YEAR(W305),INPC!$B$4:$P$30,MONTH(W305)+1),VLOOKUP(YEAR(W305),INPC!$B$4:$P$30,MONTH(W305)+2)))</f>
        <v>0</v>
      </c>
      <c r="Q305" s="309">
        <f t="shared" si="67"/>
        <v>0</v>
      </c>
      <c r="R305" s="310" t="e">
        <f t="shared" si="68"/>
        <v>#N/A</v>
      </c>
      <c r="S305" s="310">
        <f t="shared" si="69"/>
        <v>0</v>
      </c>
      <c r="T305" s="567" t="str">
        <f t="shared" si="70"/>
        <v>NO</v>
      </c>
      <c r="U305" s="323"/>
      <c r="V305" s="299"/>
      <c r="W305" s="300"/>
      <c r="X305" s="299"/>
      <c r="Y305" s="303"/>
      <c r="Z305" s="305">
        <f>IF(Y305=0,0,IF(X305="MXN",1/HLOOKUP(YEAR(W305)+(MONTH(W305)/100),TC!$5:$37,DAY(W305)+2,FALSE),VLOOKUP(X305,Equivalencia!$1:$23,((MAX(Equivalencia!$3:$3)-YEAR(W305))*14)+MONTH(W305)+2,FALSE)))</f>
        <v>0</v>
      </c>
      <c r="AA305" s="306">
        <f t="shared" si="71"/>
        <v>0</v>
      </c>
      <c r="AB305" s="305">
        <f>+IF(W305=0,0,HLOOKUP(YEAR(W305)+(MONTH(W305)/100),TC!$5:$37,DAY(W305)+2,FALSE))</f>
        <v>0</v>
      </c>
      <c r="AC305" s="306">
        <f t="shared" si="72"/>
        <v>0</v>
      </c>
      <c r="AD305" s="314">
        <f t="shared" si="63"/>
        <v>0</v>
      </c>
      <c r="AE305" s="315">
        <f t="shared" si="73"/>
        <v>0</v>
      </c>
      <c r="AF305" s="316">
        <f t="shared" si="64"/>
        <v>0</v>
      </c>
      <c r="AG305" s="314">
        <v>1</v>
      </c>
      <c r="AH305" s="314">
        <f t="shared" si="74"/>
        <v>0</v>
      </c>
      <c r="AI305" s="314">
        <f t="shared" si="75"/>
        <v>0</v>
      </c>
      <c r="AJ305" s="317"/>
      <c r="AK305" s="315" t="e">
        <f t="shared" si="76"/>
        <v>#N/A</v>
      </c>
      <c r="AM305" s="561"/>
      <c r="AN305" s="561"/>
      <c r="AO305" s="561"/>
    </row>
    <row r="306" spans="2:41">
      <c r="B306" s="296"/>
      <c r="C306" s="299"/>
      <c r="D306" s="296"/>
      <c r="E306" s="298"/>
      <c r="F306" s="299"/>
      <c r="G306" s="300"/>
      <c r="H306" s="303"/>
      <c r="I306" s="303"/>
      <c r="J306" s="322">
        <f t="shared" si="62"/>
        <v>0</v>
      </c>
      <c r="K306" s="305" t="e">
        <f>IF(F306="MXN",1/HLOOKUP(YEAR(G306)+(MONTH(G306)/100),TC!$5:$37,DAY(G306)+2,FALSE),VLOOKUP(F306,Equivalencia!$5:$23,((MAX(Equivalencia!$3:$3)-YEAR(G306))*14)+MONTH(G306)+2,FALSE))</f>
        <v>#N/A</v>
      </c>
      <c r="L306" s="306" t="e">
        <f t="shared" si="65"/>
        <v>#N/A</v>
      </c>
      <c r="M306" s="305">
        <f>IF(G306=0,0,HLOOKUP(YEAR(G306)+(MONTH(G306)/100),TC!$5:$37,DAY(G306)+2,FALSE))</f>
        <v>0</v>
      </c>
      <c r="N306" s="306" t="e">
        <f t="shared" si="66"/>
        <v>#N/A</v>
      </c>
      <c r="O306" s="308">
        <f>IF(G306=0,0,VLOOKUP(YEAR(G306),INPC!$B$4:$P$30,MONTH(G306)+2))</f>
        <v>0</v>
      </c>
      <c r="P306" s="308">
        <f>IF(W306=0,0,IF(OR(C306=$AQ$5,C306=AQ310),VLOOKUP(YEAR(W306),INPC!$B$4:$P$30,MONTH(W306)+1),VLOOKUP(YEAR(W306),INPC!$B$4:$P$30,MONTH(W306)+2)))</f>
        <v>0</v>
      </c>
      <c r="Q306" s="309">
        <f t="shared" si="67"/>
        <v>0</v>
      </c>
      <c r="R306" s="310" t="e">
        <f t="shared" si="68"/>
        <v>#N/A</v>
      </c>
      <c r="S306" s="310">
        <f t="shared" si="69"/>
        <v>0</v>
      </c>
      <c r="T306" s="567" t="str">
        <f t="shared" si="70"/>
        <v>NO</v>
      </c>
      <c r="U306" s="323"/>
      <c r="V306" s="299"/>
      <c r="W306" s="300"/>
      <c r="X306" s="299"/>
      <c r="Y306" s="303"/>
      <c r="Z306" s="305">
        <f>IF(Y306=0,0,IF(X306="MXN",1/HLOOKUP(YEAR(W306)+(MONTH(W306)/100),TC!$5:$37,DAY(W306)+2,FALSE),VLOOKUP(X306,Equivalencia!$1:$23,((MAX(Equivalencia!$3:$3)-YEAR(W306))*14)+MONTH(W306)+2,FALSE)))</f>
        <v>0</v>
      </c>
      <c r="AA306" s="306">
        <f t="shared" si="71"/>
        <v>0</v>
      </c>
      <c r="AB306" s="305">
        <f>+IF(W306=0,0,HLOOKUP(YEAR(W306)+(MONTH(W306)/100),TC!$5:$37,DAY(W306)+2,FALSE))</f>
        <v>0</v>
      </c>
      <c r="AC306" s="306">
        <f t="shared" si="72"/>
        <v>0</v>
      </c>
      <c r="AD306" s="314">
        <f t="shared" si="63"/>
        <v>0</v>
      </c>
      <c r="AE306" s="315">
        <f t="shared" si="73"/>
        <v>0</v>
      </c>
      <c r="AF306" s="316">
        <f t="shared" si="64"/>
        <v>0</v>
      </c>
      <c r="AG306" s="314">
        <v>1</v>
      </c>
      <c r="AH306" s="314">
        <f t="shared" si="74"/>
        <v>0</v>
      </c>
      <c r="AI306" s="314">
        <f t="shared" si="75"/>
        <v>0</v>
      </c>
      <c r="AJ306" s="317"/>
      <c r="AK306" s="315" t="e">
        <f t="shared" si="76"/>
        <v>#N/A</v>
      </c>
      <c r="AM306" s="561"/>
      <c r="AN306" s="561"/>
      <c r="AO306" s="561"/>
    </row>
    <row r="307" spans="2:41">
      <c r="B307" s="296"/>
      <c r="C307" s="299"/>
      <c r="D307" s="296"/>
      <c r="E307" s="298"/>
      <c r="F307" s="299"/>
      <c r="G307" s="300"/>
      <c r="H307" s="303"/>
      <c r="I307" s="303"/>
      <c r="J307" s="322">
        <f t="shared" si="62"/>
        <v>0</v>
      </c>
      <c r="K307" s="305" t="e">
        <f>IF(F307="MXN",1/HLOOKUP(YEAR(G307)+(MONTH(G307)/100),TC!$5:$37,DAY(G307)+2,FALSE),VLOOKUP(F307,Equivalencia!$5:$23,((MAX(Equivalencia!$3:$3)-YEAR(G307))*14)+MONTH(G307)+2,FALSE))</f>
        <v>#N/A</v>
      </c>
      <c r="L307" s="306" t="e">
        <f t="shared" si="65"/>
        <v>#N/A</v>
      </c>
      <c r="M307" s="305">
        <f>IF(G307=0,0,HLOOKUP(YEAR(G307)+(MONTH(G307)/100),TC!$5:$37,DAY(G307)+2,FALSE))</f>
        <v>0</v>
      </c>
      <c r="N307" s="306" t="e">
        <f t="shared" si="66"/>
        <v>#N/A</v>
      </c>
      <c r="O307" s="308">
        <f>IF(G307=0,0,VLOOKUP(YEAR(G307),INPC!$B$4:$P$30,MONTH(G307)+2))</f>
        <v>0</v>
      </c>
      <c r="P307" s="308">
        <f>IF(W307=0,0,IF(OR(C307=$AQ$5,C307=AQ311),VLOOKUP(YEAR(W307),INPC!$B$4:$P$30,MONTH(W307)+1),VLOOKUP(YEAR(W307),INPC!$B$4:$P$30,MONTH(W307)+2)))</f>
        <v>0</v>
      </c>
      <c r="Q307" s="309">
        <f t="shared" si="67"/>
        <v>0</v>
      </c>
      <c r="R307" s="310" t="e">
        <f t="shared" si="68"/>
        <v>#N/A</v>
      </c>
      <c r="S307" s="310">
        <f t="shared" si="69"/>
        <v>0</v>
      </c>
      <c r="T307" s="567" t="str">
        <f t="shared" si="70"/>
        <v>NO</v>
      </c>
      <c r="U307" s="323"/>
      <c r="V307" s="299"/>
      <c r="W307" s="300"/>
      <c r="X307" s="299"/>
      <c r="Y307" s="303"/>
      <c r="Z307" s="305">
        <f>IF(Y307=0,0,IF(X307="MXN",1/HLOOKUP(YEAR(W307)+(MONTH(W307)/100),TC!$5:$37,DAY(W307)+2,FALSE),VLOOKUP(X307,Equivalencia!$1:$23,((MAX(Equivalencia!$3:$3)-YEAR(W307))*14)+MONTH(W307)+2,FALSE)))</f>
        <v>0</v>
      </c>
      <c r="AA307" s="306">
        <f t="shared" si="71"/>
        <v>0</v>
      </c>
      <c r="AB307" s="305">
        <f>+IF(W307=0,0,HLOOKUP(YEAR(W307)+(MONTH(W307)/100),TC!$5:$37,DAY(W307)+2,FALSE))</f>
        <v>0</v>
      </c>
      <c r="AC307" s="306">
        <f t="shared" si="72"/>
        <v>0</v>
      </c>
      <c r="AD307" s="314">
        <f t="shared" si="63"/>
        <v>0</v>
      </c>
      <c r="AE307" s="315">
        <f t="shared" si="73"/>
        <v>0</v>
      </c>
      <c r="AF307" s="316">
        <f t="shared" si="64"/>
        <v>0</v>
      </c>
      <c r="AG307" s="314">
        <v>1</v>
      </c>
      <c r="AH307" s="314">
        <f t="shared" si="74"/>
        <v>0</v>
      </c>
      <c r="AI307" s="314">
        <f t="shared" si="75"/>
        <v>0</v>
      </c>
      <c r="AJ307" s="317"/>
      <c r="AK307" s="315" t="e">
        <f t="shared" si="76"/>
        <v>#N/A</v>
      </c>
      <c r="AM307" s="561"/>
      <c r="AN307" s="561"/>
      <c r="AO307" s="561"/>
    </row>
    <row r="308" spans="2:41">
      <c r="B308" s="296"/>
      <c r="C308" s="299"/>
      <c r="D308" s="296"/>
      <c r="E308" s="298"/>
      <c r="F308" s="299"/>
      <c r="G308" s="300"/>
      <c r="H308" s="303"/>
      <c r="I308" s="303"/>
      <c r="J308" s="322">
        <f t="shared" si="62"/>
        <v>0</v>
      </c>
      <c r="K308" s="305" t="e">
        <f>IF(F308="MXN",1/HLOOKUP(YEAR(G308)+(MONTH(G308)/100),TC!$5:$37,DAY(G308)+2,FALSE),VLOOKUP(F308,Equivalencia!$5:$23,((MAX(Equivalencia!$3:$3)-YEAR(G308))*14)+MONTH(G308)+2,FALSE))</f>
        <v>#N/A</v>
      </c>
      <c r="L308" s="306" t="e">
        <f t="shared" si="65"/>
        <v>#N/A</v>
      </c>
      <c r="M308" s="305">
        <f>IF(G308=0,0,HLOOKUP(YEAR(G308)+(MONTH(G308)/100),TC!$5:$37,DAY(G308)+2,FALSE))</f>
        <v>0</v>
      </c>
      <c r="N308" s="306" t="e">
        <f t="shared" si="66"/>
        <v>#N/A</v>
      </c>
      <c r="O308" s="308">
        <f>IF(G308=0,0,VLOOKUP(YEAR(G308),INPC!$B$4:$P$30,MONTH(G308)+2))</f>
        <v>0</v>
      </c>
      <c r="P308" s="308">
        <f>IF(W308=0,0,IF(OR(C308=$AQ$5,C308=AQ312),VLOOKUP(YEAR(W308),INPC!$B$4:$P$30,MONTH(W308)+1),VLOOKUP(YEAR(W308),INPC!$B$4:$P$30,MONTH(W308)+2)))</f>
        <v>0</v>
      </c>
      <c r="Q308" s="309">
        <f t="shared" si="67"/>
        <v>0</v>
      </c>
      <c r="R308" s="310" t="e">
        <f t="shared" si="68"/>
        <v>#N/A</v>
      </c>
      <c r="S308" s="310">
        <f t="shared" si="69"/>
        <v>0</v>
      </c>
      <c r="T308" s="567" t="str">
        <f t="shared" si="70"/>
        <v>NO</v>
      </c>
      <c r="U308" s="323"/>
      <c r="V308" s="299"/>
      <c r="W308" s="300"/>
      <c r="X308" s="299"/>
      <c r="Y308" s="303"/>
      <c r="Z308" s="305">
        <f>IF(Y308=0,0,IF(X308="MXN",1/HLOOKUP(YEAR(W308)+(MONTH(W308)/100),TC!$5:$37,DAY(W308)+2,FALSE),VLOOKUP(X308,Equivalencia!$1:$23,((MAX(Equivalencia!$3:$3)-YEAR(W308))*14)+MONTH(W308)+2,FALSE)))</f>
        <v>0</v>
      </c>
      <c r="AA308" s="306">
        <f t="shared" si="71"/>
        <v>0</v>
      </c>
      <c r="AB308" s="305">
        <f>+IF(W308=0,0,HLOOKUP(YEAR(W308)+(MONTH(W308)/100),TC!$5:$37,DAY(W308)+2,FALSE))</f>
        <v>0</v>
      </c>
      <c r="AC308" s="306">
        <f t="shared" si="72"/>
        <v>0</v>
      </c>
      <c r="AD308" s="314">
        <f t="shared" si="63"/>
        <v>0</v>
      </c>
      <c r="AE308" s="315">
        <f t="shared" si="73"/>
        <v>0</v>
      </c>
      <c r="AF308" s="316">
        <f t="shared" si="64"/>
        <v>0</v>
      </c>
      <c r="AG308" s="314">
        <v>1</v>
      </c>
      <c r="AH308" s="314">
        <f t="shared" si="74"/>
        <v>0</v>
      </c>
      <c r="AI308" s="314">
        <f t="shared" si="75"/>
        <v>0</v>
      </c>
      <c r="AJ308" s="317"/>
      <c r="AK308" s="315" t="e">
        <f t="shared" si="76"/>
        <v>#N/A</v>
      </c>
      <c r="AM308" s="561"/>
      <c r="AN308" s="561"/>
      <c r="AO308" s="561"/>
    </row>
    <row r="309" spans="2:41">
      <c r="B309" s="296"/>
      <c r="C309" s="299"/>
      <c r="D309" s="296"/>
      <c r="E309" s="298"/>
      <c r="F309" s="299"/>
      <c r="G309" s="300"/>
      <c r="H309" s="303"/>
      <c r="I309" s="303"/>
      <c r="J309" s="322">
        <f t="shared" si="62"/>
        <v>0</v>
      </c>
      <c r="K309" s="305" t="e">
        <f>IF(F309="MXN",1/HLOOKUP(YEAR(G309)+(MONTH(G309)/100),TC!$5:$37,DAY(G309)+2,FALSE),VLOOKUP(F309,Equivalencia!$5:$23,((MAX(Equivalencia!$3:$3)-YEAR(G309))*14)+MONTH(G309)+2,FALSE))</f>
        <v>#N/A</v>
      </c>
      <c r="L309" s="306" t="e">
        <f t="shared" si="65"/>
        <v>#N/A</v>
      </c>
      <c r="M309" s="305">
        <f>IF(G309=0,0,HLOOKUP(YEAR(G309)+(MONTH(G309)/100),TC!$5:$37,DAY(G309)+2,FALSE))</f>
        <v>0</v>
      </c>
      <c r="N309" s="306" t="e">
        <f t="shared" si="66"/>
        <v>#N/A</v>
      </c>
      <c r="O309" s="308">
        <f>IF(G309=0,0,VLOOKUP(YEAR(G309),INPC!$B$4:$P$30,MONTH(G309)+2))</f>
        <v>0</v>
      </c>
      <c r="P309" s="308">
        <f>IF(W309=0,0,IF(OR(C309=$AQ$5,C309=AQ313),VLOOKUP(YEAR(W309),INPC!$B$4:$P$30,MONTH(W309)+1),VLOOKUP(YEAR(W309),INPC!$B$4:$P$30,MONTH(W309)+2)))</f>
        <v>0</v>
      </c>
      <c r="Q309" s="309">
        <f t="shared" si="67"/>
        <v>0</v>
      </c>
      <c r="R309" s="310" t="e">
        <f t="shared" si="68"/>
        <v>#N/A</v>
      </c>
      <c r="S309" s="310">
        <f t="shared" si="69"/>
        <v>0</v>
      </c>
      <c r="T309" s="567" t="str">
        <f t="shared" si="70"/>
        <v>NO</v>
      </c>
      <c r="U309" s="323"/>
      <c r="V309" s="299"/>
      <c r="W309" s="300"/>
      <c r="X309" s="299"/>
      <c r="Y309" s="303"/>
      <c r="Z309" s="305">
        <f>IF(Y309=0,0,IF(X309="MXN",1/HLOOKUP(YEAR(W309)+(MONTH(W309)/100),TC!$5:$37,DAY(W309)+2,FALSE),VLOOKUP(X309,Equivalencia!$1:$23,((MAX(Equivalencia!$3:$3)-YEAR(W309))*14)+MONTH(W309)+2,FALSE)))</f>
        <v>0</v>
      </c>
      <c r="AA309" s="306">
        <f t="shared" si="71"/>
        <v>0</v>
      </c>
      <c r="AB309" s="305">
        <f>+IF(W309=0,0,HLOOKUP(YEAR(W309)+(MONTH(W309)/100),TC!$5:$37,DAY(W309)+2,FALSE))</f>
        <v>0</v>
      </c>
      <c r="AC309" s="306">
        <f t="shared" si="72"/>
        <v>0</v>
      </c>
      <c r="AD309" s="314">
        <f t="shared" si="63"/>
        <v>0</v>
      </c>
      <c r="AE309" s="315">
        <f t="shared" si="73"/>
        <v>0</v>
      </c>
      <c r="AF309" s="316">
        <f t="shared" si="64"/>
        <v>0</v>
      </c>
      <c r="AG309" s="314">
        <v>1</v>
      </c>
      <c r="AH309" s="314">
        <f t="shared" si="74"/>
        <v>0</v>
      </c>
      <c r="AI309" s="314">
        <f t="shared" si="75"/>
        <v>0</v>
      </c>
      <c r="AJ309" s="317"/>
      <c r="AK309" s="315" t="e">
        <f t="shared" si="76"/>
        <v>#N/A</v>
      </c>
      <c r="AM309" s="561"/>
      <c r="AN309" s="561"/>
      <c r="AO309" s="561"/>
    </row>
    <row r="310" spans="2:41">
      <c r="B310" s="296"/>
      <c r="C310" s="299"/>
      <c r="D310" s="296"/>
      <c r="E310" s="298"/>
      <c r="F310" s="299"/>
      <c r="G310" s="300"/>
      <c r="H310" s="303"/>
      <c r="I310" s="303"/>
      <c r="J310" s="322">
        <f t="shared" si="62"/>
        <v>0</v>
      </c>
      <c r="K310" s="305" t="e">
        <f>IF(F310="MXN",1/HLOOKUP(YEAR(G310)+(MONTH(G310)/100),TC!$5:$37,DAY(G310)+2,FALSE),VLOOKUP(F310,Equivalencia!$5:$23,((MAX(Equivalencia!$3:$3)-YEAR(G310))*14)+MONTH(G310)+2,FALSE))</f>
        <v>#N/A</v>
      </c>
      <c r="L310" s="306" t="e">
        <f t="shared" si="65"/>
        <v>#N/A</v>
      </c>
      <c r="M310" s="305">
        <f>IF(G310=0,0,HLOOKUP(YEAR(G310)+(MONTH(G310)/100),TC!$5:$37,DAY(G310)+2,FALSE))</f>
        <v>0</v>
      </c>
      <c r="N310" s="306" t="e">
        <f t="shared" si="66"/>
        <v>#N/A</v>
      </c>
      <c r="O310" s="308">
        <f>IF(G310=0,0,VLOOKUP(YEAR(G310),INPC!$B$4:$P$30,MONTH(G310)+2))</f>
        <v>0</v>
      </c>
      <c r="P310" s="308">
        <f>IF(W310=0,0,IF(OR(C310=$AQ$5,C310=AQ314),VLOOKUP(YEAR(W310),INPC!$B$4:$P$30,MONTH(W310)+1),VLOOKUP(YEAR(W310),INPC!$B$4:$P$30,MONTH(W310)+2)))</f>
        <v>0</v>
      </c>
      <c r="Q310" s="309">
        <f t="shared" si="67"/>
        <v>0</v>
      </c>
      <c r="R310" s="310" t="e">
        <f t="shared" si="68"/>
        <v>#N/A</v>
      </c>
      <c r="S310" s="310">
        <f t="shared" si="69"/>
        <v>0</v>
      </c>
      <c r="T310" s="567" t="str">
        <f t="shared" si="70"/>
        <v>NO</v>
      </c>
      <c r="U310" s="323"/>
      <c r="V310" s="299"/>
      <c r="W310" s="300"/>
      <c r="X310" s="299"/>
      <c r="Y310" s="303"/>
      <c r="Z310" s="305">
        <f>IF(Y310=0,0,IF(X310="MXN",1/HLOOKUP(YEAR(W310)+(MONTH(W310)/100),TC!$5:$37,DAY(W310)+2,FALSE),VLOOKUP(X310,Equivalencia!$1:$23,((MAX(Equivalencia!$3:$3)-YEAR(W310))*14)+MONTH(W310)+2,FALSE)))</f>
        <v>0</v>
      </c>
      <c r="AA310" s="306">
        <f t="shared" si="71"/>
        <v>0</v>
      </c>
      <c r="AB310" s="305">
        <f>+IF(W310=0,0,HLOOKUP(YEAR(W310)+(MONTH(W310)/100),TC!$5:$37,DAY(W310)+2,FALSE))</f>
        <v>0</v>
      </c>
      <c r="AC310" s="306">
        <f t="shared" si="72"/>
        <v>0</v>
      </c>
      <c r="AD310" s="314">
        <f t="shared" si="63"/>
        <v>0</v>
      </c>
      <c r="AE310" s="315">
        <f t="shared" si="73"/>
        <v>0</v>
      </c>
      <c r="AF310" s="316">
        <f t="shared" si="64"/>
        <v>0</v>
      </c>
      <c r="AG310" s="314">
        <v>1</v>
      </c>
      <c r="AH310" s="314">
        <f t="shared" si="74"/>
        <v>0</v>
      </c>
      <c r="AI310" s="314">
        <f t="shared" si="75"/>
        <v>0</v>
      </c>
      <c r="AJ310" s="317"/>
      <c r="AK310" s="315" t="e">
        <f t="shared" si="76"/>
        <v>#N/A</v>
      </c>
      <c r="AM310" s="561"/>
      <c r="AN310" s="561"/>
      <c r="AO310" s="561"/>
    </row>
    <row r="311" spans="2:41">
      <c r="B311" s="296"/>
      <c r="C311" s="299"/>
      <c r="D311" s="296"/>
      <c r="E311" s="298"/>
      <c r="F311" s="299"/>
      <c r="G311" s="300"/>
      <c r="H311" s="303"/>
      <c r="I311" s="303"/>
      <c r="J311" s="322">
        <f t="shared" si="62"/>
        <v>0</v>
      </c>
      <c r="K311" s="305" t="e">
        <f>IF(F311="MXN",1/HLOOKUP(YEAR(G311)+(MONTH(G311)/100),TC!$5:$37,DAY(G311)+2,FALSE),VLOOKUP(F311,Equivalencia!$5:$23,((MAX(Equivalencia!$3:$3)-YEAR(G311))*14)+MONTH(G311)+2,FALSE))</f>
        <v>#N/A</v>
      </c>
      <c r="L311" s="306" t="e">
        <f t="shared" si="65"/>
        <v>#N/A</v>
      </c>
      <c r="M311" s="305">
        <f>IF(G311=0,0,HLOOKUP(YEAR(G311)+(MONTH(G311)/100),TC!$5:$37,DAY(G311)+2,FALSE))</f>
        <v>0</v>
      </c>
      <c r="N311" s="306" t="e">
        <f t="shared" si="66"/>
        <v>#N/A</v>
      </c>
      <c r="O311" s="308">
        <f>IF(G311=0,0,VLOOKUP(YEAR(G311),INPC!$B$4:$P$30,MONTH(G311)+2))</f>
        <v>0</v>
      </c>
      <c r="P311" s="308">
        <f>IF(W311=0,0,IF(OR(C311=$AQ$5,C311=AQ315),VLOOKUP(YEAR(W311),INPC!$B$4:$P$30,MONTH(W311)+1),VLOOKUP(YEAR(W311),INPC!$B$4:$P$30,MONTH(W311)+2)))</f>
        <v>0</v>
      </c>
      <c r="Q311" s="309">
        <f t="shared" si="67"/>
        <v>0</v>
      </c>
      <c r="R311" s="310" t="e">
        <f t="shared" si="68"/>
        <v>#N/A</v>
      </c>
      <c r="S311" s="310">
        <f t="shared" si="69"/>
        <v>0</v>
      </c>
      <c r="T311" s="567" t="str">
        <f t="shared" si="70"/>
        <v>NO</v>
      </c>
      <c r="U311" s="323"/>
      <c r="V311" s="299"/>
      <c r="W311" s="300"/>
      <c r="X311" s="299"/>
      <c r="Y311" s="303"/>
      <c r="Z311" s="305">
        <f>IF(Y311=0,0,IF(X311="MXN",1/HLOOKUP(YEAR(W311)+(MONTH(W311)/100),TC!$5:$37,DAY(W311)+2,FALSE),VLOOKUP(X311,Equivalencia!$1:$23,((MAX(Equivalencia!$3:$3)-YEAR(W311))*14)+MONTH(W311)+2,FALSE)))</f>
        <v>0</v>
      </c>
      <c r="AA311" s="306">
        <f t="shared" si="71"/>
        <v>0</v>
      </c>
      <c r="AB311" s="305">
        <f>+IF(W311=0,0,HLOOKUP(YEAR(W311)+(MONTH(W311)/100),TC!$5:$37,DAY(W311)+2,FALSE))</f>
        <v>0</v>
      </c>
      <c r="AC311" s="306">
        <f t="shared" si="72"/>
        <v>0</v>
      </c>
      <c r="AD311" s="314">
        <f t="shared" si="63"/>
        <v>0</v>
      </c>
      <c r="AE311" s="315">
        <f t="shared" si="73"/>
        <v>0</v>
      </c>
      <c r="AF311" s="316">
        <f t="shared" si="64"/>
        <v>0</v>
      </c>
      <c r="AG311" s="314">
        <v>1</v>
      </c>
      <c r="AH311" s="314">
        <f t="shared" si="74"/>
        <v>0</v>
      </c>
      <c r="AI311" s="314">
        <f t="shared" si="75"/>
        <v>0</v>
      </c>
      <c r="AJ311" s="317"/>
      <c r="AK311" s="315" t="e">
        <f t="shared" si="76"/>
        <v>#N/A</v>
      </c>
      <c r="AM311" s="561"/>
      <c r="AN311" s="561"/>
      <c r="AO311" s="561"/>
    </row>
    <row r="312" spans="2:41">
      <c r="B312" s="296"/>
      <c r="C312" s="299"/>
      <c r="D312" s="296"/>
      <c r="E312" s="298"/>
      <c r="F312" s="299"/>
      <c r="G312" s="300"/>
      <c r="H312" s="303"/>
      <c r="I312" s="303"/>
      <c r="J312" s="322">
        <f t="shared" si="62"/>
        <v>0</v>
      </c>
      <c r="K312" s="305" t="e">
        <f>IF(F312="MXN",1/HLOOKUP(YEAR(G312)+(MONTH(G312)/100),TC!$5:$37,DAY(G312)+2,FALSE),VLOOKUP(F312,Equivalencia!$5:$23,((MAX(Equivalencia!$3:$3)-YEAR(G312))*14)+MONTH(G312)+2,FALSE))</f>
        <v>#N/A</v>
      </c>
      <c r="L312" s="306" t="e">
        <f t="shared" si="65"/>
        <v>#N/A</v>
      </c>
      <c r="M312" s="305">
        <f>IF(G312=0,0,HLOOKUP(YEAR(G312)+(MONTH(G312)/100),TC!$5:$37,DAY(G312)+2,FALSE))</f>
        <v>0</v>
      </c>
      <c r="N312" s="306" t="e">
        <f t="shared" si="66"/>
        <v>#N/A</v>
      </c>
      <c r="O312" s="308">
        <f>IF(G312=0,0,VLOOKUP(YEAR(G312),INPC!$B$4:$P$30,MONTH(G312)+2))</f>
        <v>0</v>
      </c>
      <c r="P312" s="308">
        <f>IF(W312=0,0,IF(OR(C312=$AQ$5,C312=AQ316),VLOOKUP(YEAR(W312),INPC!$B$4:$P$30,MONTH(W312)+1),VLOOKUP(YEAR(W312),INPC!$B$4:$P$30,MONTH(W312)+2)))</f>
        <v>0</v>
      </c>
      <c r="Q312" s="309">
        <f t="shared" si="67"/>
        <v>0</v>
      </c>
      <c r="R312" s="310" t="e">
        <f t="shared" si="68"/>
        <v>#N/A</v>
      </c>
      <c r="S312" s="310">
        <f t="shared" si="69"/>
        <v>0</v>
      </c>
      <c r="T312" s="567" t="str">
        <f t="shared" si="70"/>
        <v>NO</v>
      </c>
      <c r="U312" s="323"/>
      <c r="V312" s="299"/>
      <c r="W312" s="300"/>
      <c r="X312" s="299"/>
      <c r="Y312" s="303"/>
      <c r="Z312" s="305">
        <f>IF(Y312=0,0,IF(X312="MXN",1/HLOOKUP(YEAR(W312)+(MONTH(W312)/100),TC!$5:$37,DAY(W312)+2,FALSE),VLOOKUP(X312,Equivalencia!$1:$23,((MAX(Equivalencia!$3:$3)-YEAR(W312))*14)+MONTH(W312)+2,FALSE)))</f>
        <v>0</v>
      </c>
      <c r="AA312" s="306">
        <f t="shared" si="71"/>
        <v>0</v>
      </c>
      <c r="AB312" s="305">
        <f>+IF(W312=0,0,HLOOKUP(YEAR(W312)+(MONTH(W312)/100),TC!$5:$37,DAY(W312)+2,FALSE))</f>
        <v>0</v>
      </c>
      <c r="AC312" s="306">
        <f t="shared" si="72"/>
        <v>0</v>
      </c>
      <c r="AD312" s="314">
        <f t="shared" si="63"/>
        <v>0</v>
      </c>
      <c r="AE312" s="315">
        <f t="shared" si="73"/>
        <v>0</v>
      </c>
      <c r="AF312" s="316">
        <f t="shared" si="64"/>
        <v>0</v>
      </c>
      <c r="AG312" s="314">
        <v>1</v>
      </c>
      <c r="AH312" s="314">
        <f t="shared" si="74"/>
        <v>0</v>
      </c>
      <c r="AI312" s="314">
        <f t="shared" si="75"/>
        <v>0</v>
      </c>
      <c r="AJ312" s="317"/>
      <c r="AK312" s="315" t="e">
        <f t="shared" si="76"/>
        <v>#N/A</v>
      </c>
      <c r="AM312" s="561"/>
      <c r="AN312" s="561"/>
      <c r="AO312" s="561"/>
    </row>
    <row r="313" spans="2:41">
      <c r="B313" s="296"/>
      <c r="C313" s="299"/>
      <c r="D313" s="296"/>
      <c r="E313" s="298"/>
      <c r="F313" s="299"/>
      <c r="G313" s="300"/>
      <c r="H313" s="303"/>
      <c r="I313" s="303"/>
      <c r="J313" s="322">
        <f t="shared" si="62"/>
        <v>0</v>
      </c>
      <c r="K313" s="305" t="e">
        <f>IF(F313="MXN",1/HLOOKUP(YEAR(G313)+(MONTH(G313)/100),TC!$5:$37,DAY(G313)+2,FALSE),VLOOKUP(F313,Equivalencia!$5:$23,((MAX(Equivalencia!$3:$3)-YEAR(G313))*14)+MONTH(G313)+2,FALSE))</f>
        <v>#N/A</v>
      </c>
      <c r="L313" s="306" t="e">
        <f t="shared" si="65"/>
        <v>#N/A</v>
      </c>
      <c r="M313" s="305">
        <f>IF(G313=0,0,HLOOKUP(YEAR(G313)+(MONTH(G313)/100),TC!$5:$37,DAY(G313)+2,FALSE))</f>
        <v>0</v>
      </c>
      <c r="N313" s="306" t="e">
        <f t="shared" si="66"/>
        <v>#N/A</v>
      </c>
      <c r="O313" s="308">
        <f>IF(G313=0,0,VLOOKUP(YEAR(G313),INPC!$B$4:$P$30,MONTH(G313)+2))</f>
        <v>0</v>
      </c>
      <c r="P313" s="308">
        <f>IF(W313=0,0,IF(OR(C313=$AQ$5,C313=AQ317),VLOOKUP(YEAR(W313),INPC!$B$4:$P$30,MONTH(W313)+1),VLOOKUP(YEAR(W313),INPC!$B$4:$P$30,MONTH(W313)+2)))</f>
        <v>0</v>
      </c>
      <c r="Q313" s="309">
        <f t="shared" si="67"/>
        <v>0</v>
      </c>
      <c r="R313" s="310" t="e">
        <f t="shared" si="68"/>
        <v>#N/A</v>
      </c>
      <c r="S313" s="310">
        <f t="shared" si="69"/>
        <v>0</v>
      </c>
      <c r="T313" s="567" t="str">
        <f t="shared" si="70"/>
        <v>NO</v>
      </c>
      <c r="U313" s="323"/>
      <c r="V313" s="299"/>
      <c r="W313" s="300"/>
      <c r="X313" s="299"/>
      <c r="Y313" s="303"/>
      <c r="Z313" s="305">
        <f>IF(Y313=0,0,IF(X313="MXN",1/HLOOKUP(YEAR(W313)+(MONTH(W313)/100),TC!$5:$37,DAY(W313)+2,FALSE),VLOOKUP(X313,Equivalencia!$1:$23,((MAX(Equivalencia!$3:$3)-YEAR(W313))*14)+MONTH(W313)+2,FALSE)))</f>
        <v>0</v>
      </c>
      <c r="AA313" s="306">
        <f t="shared" si="71"/>
        <v>0</v>
      </c>
      <c r="AB313" s="305">
        <f>+IF(W313=0,0,HLOOKUP(YEAR(W313)+(MONTH(W313)/100),TC!$5:$37,DAY(W313)+2,FALSE))</f>
        <v>0</v>
      </c>
      <c r="AC313" s="306">
        <f t="shared" si="72"/>
        <v>0</v>
      </c>
      <c r="AD313" s="314">
        <f t="shared" si="63"/>
        <v>0</v>
      </c>
      <c r="AE313" s="315">
        <f t="shared" si="73"/>
        <v>0</v>
      </c>
      <c r="AF313" s="316">
        <f t="shared" si="64"/>
        <v>0</v>
      </c>
      <c r="AG313" s="314">
        <v>1</v>
      </c>
      <c r="AH313" s="314">
        <f t="shared" si="74"/>
        <v>0</v>
      </c>
      <c r="AI313" s="314">
        <f t="shared" si="75"/>
        <v>0</v>
      </c>
      <c r="AJ313" s="317"/>
      <c r="AK313" s="315" t="e">
        <f t="shared" si="76"/>
        <v>#N/A</v>
      </c>
      <c r="AM313" s="561"/>
      <c r="AN313" s="561"/>
      <c r="AO313" s="561"/>
    </row>
    <row r="314" spans="2:41">
      <c r="B314" s="296"/>
      <c r="C314" s="299"/>
      <c r="D314" s="296"/>
      <c r="E314" s="298"/>
      <c r="F314" s="299"/>
      <c r="G314" s="300"/>
      <c r="H314" s="303"/>
      <c r="I314" s="303"/>
      <c r="J314" s="322">
        <f t="shared" si="62"/>
        <v>0</v>
      </c>
      <c r="K314" s="305" t="e">
        <f>IF(F314="MXN",1/HLOOKUP(YEAR(G314)+(MONTH(G314)/100),TC!$5:$37,DAY(G314)+2,FALSE),VLOOKUP(F314,Equivalencia!$5:$23,((MAX(Equivalencia!$3:$3)-YEAR(G314))*14)+MONTH(G314)+2,FALSE))</f>
        <v>#N/A</v>
      </c>
      <c r="L314" s="306" t="e">
        <f t="shared" si="65"/>
        <v>#N/A</v>
      </c>
      <c r="M314" s="305">
        <f>IF(G314=0,0,HLOOKUP(YEAR(G314)+(MONTH(G314)/100),TC!$5:$37,DAY(G314)+2,FALSE))</f>
        <v>0</v>
      </c>
      <c r="N314" s="306" t="e">
        <f t="shared" si="66"/>
        <v>#N/A</v>
      </c>
      <c r="O314" s="308">
        <f>IF(G314=0,0,VLOOKUP(YEAR(G314),INPC!$B$4:$P$30,MONTH(G314)+2))</f>
        <v>0</v>
      </c>
      <c r="P314" s="308">
        <f>IF(W314=0,0,IF(OR(C314=$AQ$5,C314=AQ318),VLOOKUP(YEAR(W314),INPC!$B$4:$P$30,MONTH(W314)+1),VLOOKUP(YEAR(W314),INPC!$B$4:$P$30,MONTH(W314)+2)))</f>
        <v>0</v>
      </c>
      <c r="Q314" s="309">
        <f t="shared" si="67"/>
        <v>0</v>
      </c>
      <c r="R314" s="310" t="e">
        <f t="shared" si="68"/>
        <v>#N/A</v>
      </c>
      <c r="S314" s="310">
        <f t="shared" si="69"/>
        <v>0</v>
      </c>
      <c r="T314" s="567" t="str">
        <f t="shared" si="70"/>
        <v>NO</v>
      </c>
      <c r="U314" s="323"/>
      <c r="V314" s="299"/>
      <c r="W314" s="300"/>
      <c r="X314" s="299"/>
      <c r="Y314" s="303"/>
      <c r="Z314" s="305">
        <f>IF(Y314=0,0,IF(X314="MXN",1/HLOOKUP(YEAR(W314)+(MONTH(W314)/100),TC!$5:$37,DAY(W314)+2,FALSE),VLOOKUP(X314,Equivalencia!$1:$23,((MAX(Equivalencia!$3:$3)-YEAR(W314))*14)+MONTH(W314)+2,FALSE)))</f>
        <v>0</v>
      </c>
      <c r="AA314" s="306">
        <f t="shared" si="71"/>
        <v>0</v>
      </c>
      <c r="AB314" s="305">
        <f>+IF(W314=0,0,HLOOKUP(YEAR(W314)+(MONTH(W314)/100),TC!$5:$37,DAY(W314)+2,FALSE))</f>
        <v>0</v>
      </c>
      <c r="AC314" s="306">
        <f t="shared" si="72"/>
        <v>0</v>
      </c>
      <c r="AD314" s="314">
        <f t="shared" si="63"/>
        <v>0</v>
      </c>
      <c r="AE314" s="315">
        <f t="shared" si="73"/>
        <v>0</v>
      </c>
      <c r="AF314" s="316">
        <f t="shared" si="64"/>
        <v>0</v>
      </c>
      <c r="AG314" s="314">
        <v>1</v>
      </c>
      <c r="AH314" s="314">
        <f t="shared" si="74"/>
        <v>0</v>
      </c>
      <c r="AI314" s="314">
        <f t="shared" si="75"/>
        <v>0</v>
      </c>
      <c r="AJ314" s="317"/>
      <c r="AK314" s="315" t="e">
        <f t="shared" si="76"/>
        <v>#N/A</v>
      </c>
      <c r="AM314" s="561"/>
      <c r="AN314" s="561"/>
      <c r="AO314" s="561"/>
    </row>
    <row r="315" spans="2:41">
      <c r="B315" s="296"/>
      <c r="C315" s="299"/>
      <c r="D315" s="296"/>
      <c r="E315" s="298"/>
      <c r="F315" s="299"/>
      <c r="G315" s="300"/>
      <c r="H315" s="303"/>
      <c r="I315" s="303"/>
      <c r="J315" s="322">
        <f t="shared" si="62"/>
        <v>0</v>
      </c>
      <c r="K315" s="305" t="e">
        <f>IF(F315="MXN",1/HLOOKUP(YEAR(G315)+(MONTH(G315)/100),TC!$5:$37,DAY(G315)+2,FALSE),VLOOKUP(F315,Equivalencia!$5:$23,((MAX(Equivalencia!$3:$3)-YEAR(G315))*14)+MONTH(G315)+2,FALSE))</f>
        <v>#N/A</v>
      </c>
      <c r="L315" s="306" t="e">
        <f t="shared" si="65"/>
        <v>#N/A</v>
      </c>
      <c r="M315" s="305">
        <f>IF(G315=0,0,HLOOKUP(YEAR(G315)+(MONTH(G315)/100),TC!$5:$37,DAY(G315)+2,FALSE))</f>
        <v>0</v>
      </c>
      <c r="N315" s="306" t="e">
        <f t="shared" si="66"/>
        <v>#N/A</v>
      </c>
      <c r="O315" s="308">
        <f>IF(G315=0,0,VLOOKUP(YEAR(G315),INPC!$B$4:$P$30,MONTH(G315)+2))</f>
        <v>0</v>
      </c>
      <c r="P315" s="308">
        <f>IF(W315=0,0,IF(OR(C315=$AQ$5,C315=AQ319),VLOOKUP(YEAR(W315),INPC!$B$4:$P$30,MONTH(W315)+1),VLOOKUP(YEAR(W315),INPC!$B$4:$P$30,MONTH(W315)+2)))</f>
        <v>0</v>
      </c>
      <c r="Q315" s="309">
        <f t="shared" si="67"/>
        <v>0</v>
      </c>
      <c r="R315" s="310" t="e">
        <f t="shared" si="68"/>
        <v>#N/A</v>
      </c>
      <c r="S315" s="310">
        <f t="shared" si="69"/>
        <v>0</v>
      </c>
      <c r="T315" s="567" t="str">
        <f t="shared" si="70"/>
        <v>NO</v>
      </c>
      <c r="U315" s="323"/>
      <c r="V315" s="299"/>
      <c r="W315" s="300"/>
      <c r="X315" s="299"/>
      <c r="Y315" s="303"/>
      <c r="Z315" s="305">
        <f>IF(Y315=0,0,IF(X315="MXN",1/HLOOKUP(YEAR(W315)+(MONTH(W315)/100),TC!$5:$37,DAY(W315)+2,FALSE),VLOOKUP(X315,Equivalencia!$1:$23,((MAX(Equivalencia!$3:$3)-YEAR(W315))*14)+MONTH(W315)+2,FALSE)))</f>
        <v>0</v>
      </c>
      <c r="AA315" s="306">
        <f t="shared" si="71"/>
        <v>0</v>
      </c>
      <c r="AB315" s="305">
        <f>+IF(W315=0,0,HLOOKUP(YEAR(W315)+(MONTH(W315)/100),TC!$5:$37,DAY(W315)+2,FALSE))</f>
        <v>0</v>
      </c>
      <c r="AC315" s="306">
        <f t="shared" si="72"/>
        <v>0</v>
      </c>
      <c r="AD315" s="314">
        <f t="shared" si="63"/>
        <v>0</v>
      </c>
      <c r="AE315" s="315">
        <f t="shared" si="73"/>
        <v>0</v>
      </c>
      <c r="AF315" s="316">
        <f t="shared" si="64"/>
        <v>0</v>
      </c>
      <c r="AG315" s="314">
        <v>1</v>
      </c>
      <c r="AH315" s="314">
        <f t="shared" si="74"/>
        <v>0</v>
      </c>
      <c r="AI315" s="314">
        <f t="shared" si="75"/>
        <v>0</v>
      </c>
      <c r="AJ315" s="317"/>
      <c r="AK315" s="315" t="e">
        <f t="shared" si="76"/>
        <v>#N/A</v>
      </c>
      <c r="AM315" s="561"/>
      <c r="AN315" s="561"/>
      <c r="AO315" s="561"/>
    </row>
    <row r="316" spans="2:41">
      <c r="B316" s="296"/>
      <c r="C316" s="299"/>
      <c r="D316" s="296"/>
      <c r="E316" s="298"/>
      <c r="F316" s="299"/>
      <c r="G316" s="300"/>
      <c r="H316" s="303"/>
      <c r="I316" s="303"/>
      <c r="J316" s="322">
        <f t="shared" si="62"/>
        <v>0</v>
      </c>
      <c r="K316" s="305" t="e">
        <f>IF(F316="MXN",1/HLOOKUP(YEAR(G316)+(MONTH(G316)/100),TC!$5:$37,DAY(G316)+2,FALSE),VLOOKUP(F316,Equivalencia!$5:$23,((MAX(Equivalencia!$3:$3)-YEAR(G316))*14)+MONTH(G316)+2,FALSE))</f>
        <v>#N/A</v>
      </c>
      <c r="L316" s="306" t="e">
        <f t="shared" si="65"/>
        <v>#N/A</v>
      </c>
      <c r="M316" s="305">
        <f>IF(G316=0,0,HLOOKUP(YEAR(G316)+(MONTH(G316)/100),TC!$5:$37,DAY(G316)+2,FALSE))</f>
        <v>0</v>
      </c>
      <c r="N316" s="306" t="e">
        <f t="shared" si="66"/>
        <v>#N/A</v>
      </c>
      <c r="O316" s="308">
        <f>IF(G316=0,0,VLOOKUP(YEAR(G316),INPC!$B$4:$P$30,MONTH(G316)+2))</f>
        <v>0</v>
      </c>
      <c r="P316" s="308">
        <f>IF(W316=0,0,IF(OR(C316=$AQ$5,C316=AQ320),VLOOKUP(YEAR(W316),INPC!$B$4:$P$30,MONTH(W316)+1),VLOOKUP(YEAR(W316),INPC!$B$4:$P$30,MONTH(W316)+2)))</f>
        <v>0</v>
      </c>
      <c r="Q316" s="309">
        <f t="shared" si="67"/>
        <v>0</v>
      </c>
      <c r="R316" s="310" t="e">
        <f t="shared" si="68"/>
        <v>#N/A</v>
      </c>
      <c r="S316" s="310">
        <f t="shared" si="69"/>
        <v>0</v>
      </c>
      <c r="T316" s="567" t="str">
        <f t="shared" si="70"/>
        <v>NO</v>
      </c>
      <c r="U316" s="323"/>
      <c r="V316" s="299"/>
      <c r="W316" s="300"/>
      <c r="X316" s="299"/>
      <c r="Y316" s="303"/>
      <c r="Z316" s="305">
        <f>IF(Y316=0,0,IF(X316="MXN",1/HLOOKUP(YEAR(W316)+(MONTH(W316)/100),TC!$5:$37,DAY(W316)+2,FALSE),VLOOKUP(X316,Equivalencia!$1:$23,((MAX(Equivalencia!$3:$3)-YEAR(W316))*14)+MONTH(W316)+2,FALSE)))</f>
        <v>0</v>
      </c>
      <c r="AA316" s="306">
        <f t="shared" si="71"/>
        <v>0</v>
      </c>
      <c r="AB316" s="305">
        <f>+IF(W316=0,0,HLOOKUP(YEAR(W316)+(MONTH(W316)/100),TC!$5:$37,DAY(W316)+2,FALSE))</f>
        <v>0</v>
      </c>
      <c r="AC316" s="306">
        <f t="shared" si="72"/>
        <v>0</v>
      </c>
      <c r="AD316" s="314">
        <f t="shared" si="63"/>
        <v>0</v>
      </c>
      <c r="AE316" s="315">
        <f t="shared" si="73"/>
        <v>0</v>
      </c>
      <c r="AF316" s="316">
        <f t="shared" si="64"/>
        <v>0</v>
      </c>
      <c r="AG316" s="314">
        <v>1</v>
      </c>
      <c r="AH316" s="314">
        <f t="shared" si="74"/>
        <v>0</v>
      </c>
      <c r="AI316" s="314">
        <f t="shared" si="75"/>
        <v>0</v>
      </c>
      <c r="AJ316" s="317"/>
      <c r="AK316" s="315" t="e">
        <f t="shared" si="76"/>
        <v>#N/A</v>
      </c>
      <c r="AM316" s="561"/>
      <c r="AN316" s="561"/>
      <c r="AO316" s="561"/>
    </row>
    <row r="317" spans="2:41">
      <c r="B317" s="296"/>
      <c r="C317" s="299"/>
      <c r="D317" s="296"/>
      <c r="E317" s="298"/>
      <c r="F317" s="299"/>
      <c r="G317" s="300"/>
      <c r="H317" s="303"/>
      <c r="I317" s="303"/>
      <c r="J317" s="322">
        <f t="shared" si="62"/>
        <v>0</v>
      </c>
      <c r="K317" s="305" t="e">
        <f>IF(F317="MXN",1/HLOOKUP(YEAR(G317)+(MONTH(G317)/100),TC!$5:$37,DAY(G317)+2,FALSE),VLOOKUP(F317,Equivalencia!$5:$23,((MAX(Equivalencia!$3:$3)-YEAR(G317))*14)+MONTH(G317)+2,FALSE))</f>
        <v>#N/A</v>
      </c>
      <c r="L317" s="306" t="e">
        <f t="shared" si="65"/>
        <v>#N/A</v>
      </c>
      <c r="M317" s="305">
        <f>IF(G317=0,0,HLOOKUP(YEAR(G317)+(MONTH(G317)/100),TC!$5:$37,DAY(G317)+2,FALSE))</f>
        <v>0</v>
      </c>
      <c r="N317" s="306" t="e">
        <f t="shared" si="66"/>
        <v>#N/A</v>
      </c>
      <c r="O317" s="308">
        <f>IF(G317=0,0,VLOOKUP(YEAR(G317),INPC!$B$4:$P$30,MONTH(G317)+2))</f>
        <v>0</v>
      </c>
      <c r="P317" s="308">
        <f>IF(W317=0,0,IF(OR(C317=$AQ$5,C317=AQ321),VLOOKUP(YEAR(W317),INPC!$B$4:$P$30,MONTH(W317)+1),VLOOKUP(YEAR(W317),INPC!$B$4:$P$30,MONTH(W317)+2)))</f>
        <v>0</v>
      </c>
      <c r="Q317" s="309">
        <f t="shared" si="67"/>
        <v>0</v>
      </c>
      <c r="R317" s="310" t="e">
        <f t="shared" si="68"/>
        <v>#N/A</v>
      </c>
      <c r="S317" s="310">
        <f t="shared" si="69"/>
        <v>0</v>
      </c>
      <c r="T317" s="567" t="str">
        <f t="shared" si="70"/>
        <v>NO</v>
      </c>
      <c r="U317" s="323"/>
      <c r="V317" s="299"/>
      <c r="W317" s="300"/>
      <c r="X317" s="299"/>
      <c r="Y317" s="303"/>
      <c r="Z317" s="305">
        <f>IF(Y317=0,0,IF(X317="MXN",1/HLOOKUP(YEAR(W317)+(MONTH(W317)/100),TC!$5:$37,DAY(W317)+2,FALSE),VLOOKUP(X317,Equivalencia!$1:$23,((MAX(Equivalencia!$3:$3)-YEAR(W317))*14)+MONTH(W317)+2,FALSE)))</f>
        <v>0</v>
      </c>
      <c r="AA317" s="306">
        <f t="shared" si="71"/>
        <v>0</v>
      </c>
      <c r="AB317" s="305">
        <f>+IF(W317=0,0,HLOOKUP(YEAR(W317)+(MONTH(W317)/100),TC!$5:$37,DAY(W317)+2,FALSE))</f>
        <v>0</v>
      </c>
      <c r="AC317" s="306">
        <f t="shared" si="72"/>
        <v>0</v>
      </c>
      <c r="AD317" s="314">
        <f t="shared" si="63"/>
        <v>0</v>
      </c>
      <c r="AE317" s="315">
        <f t="shared" si="73"/>
        <v>0</v>
      </c>
      <c r="AF317" s="316">
        <f t="shared" si="64"/>
        <v>0</v>
      </c>
      <c r="AG317" s="314">
        <v>1</v>
      </c>
      <c r="AH317" s="314">
        <f t="shared" si="74"/>
        <v>0</v>
      </c>
      <c r="AI317" s="314">
        <f t="shared" si="75"/>
        <v>0</v>
      </c>
      <c r="AJ317" s="317"/>
      <c r="AK317" s="315" t="e">
        <f t="shared" si="76"/>
        <v>#N/A</v>
      </c>
      <c r="AM317" s="561"/>
      <c r="AN317" s="561"/>
      <c r="AO317" s="561"/>
    </row>
    <row r="318" spans="2:41">
      <c r="B318" s="296"/>
      <c r="C318" s="299"/>
      <c r="D318" s="296"/>
      <c r="E318" s="298"/>
      <c r="F318" s="299"/>
      <c r="G318" s="300"/>
      <c r="H318" s="303"/>
      <c r="I318" s="303"/>
      <c r="J318" s="322">
        <f t="shared" si="62"/>
        <v>0</v>
      </c>
      <c r="K318" s="305" t="e">
        <f>IF(F318="MXN",1/HLOOKUP(YEAR(G318)+(MONTH(G318)/100),TC!$5:$37,DAY(G318)+2,FALSE),VLOOKUP(F318,Equivalencia!$5:$23,((MAX(Equivalencia!$3:$3)-YEAR(G318))*14)+MONTH(G318)+2,FALSE))</f>
        <v>#N/A</v>
      </c>
      <c r="L318" s="306" t="e">
        <f t="shared" si="65"/>
        <v>#N/A</v>
      </c>
      <c r="M318" s="305">
        <f>IF(G318=0,0,HLOOKUP(YEAR(G318)+(MONTH(G318)/100),TC!$5:$37,DAY(G318)+2,FALSE))</f>
        <v>0</v>
      </c>
      <c r="N318" s="306" t="e">
        <f t="shared" si="66"/>
        <v>#N/A</v>
      </c>
      <c r="O318" s="308">
        <f>IF(G318=0,0,VLOOKUP(YEAR(G318),INPC!$B$4:$P$30,MONTH(G318)+2))</f>
        <v>0</v>
      </c>
      <c r="P318" s="308">
        <f>IF(W318=0,0,IF(OR(C318=$AQ$5,C318=AQ322),VLOOKUP(YEAR(W318),INPC!$B$4:$P$30,MONTH(W318)+1),VLOOKUP(YEAR(W318),INPC!$B$4:$P$30,MONTH(W318)+2)))</f>
        <v>0</v>
      </c>
      <c r="Q318" s="309">
        <f t="shared" si="67"/>
        <v>0</v>
      </c>
      <c r="R318" s="310" t="e">
        <f t="shared" si="68"/>
        <v>#N/A</v>
      </c>
      <c r="S318" s="310">
        <f t="shared" si="69"/>
        <v>0</v>
      </c>
      <c r="T318" s="567" t="str">
        <f t="shared" si="70"/>
        <v>NO</v>
      </c>
      <c r="U318" s="323"/>
      <c r="V318" s="299"/>
      <c r="W318" s="300"/>
      <c r="X318" s="299"/>
      <c r="Y318" s="303"/>
      <c r="Z318" s="305">
        <f>IF(Y318=0,0,IF(X318="MXN",1/HLOOKUP(YEAR(W318)+(MONTH(W318)/100),TC!$5:$37,DAY(W318)+2,FALSE),VLOOKUP(X318,Equivalencia!$1:$23,((MAX(Equivalencia!$3:$3)-YEAR(W318))*14)+MONTH(W318)+2,FALSE)))</f>
        <v>0</v>
      </c>
      <c r="AA318" s="306">
        <f t="shared" si="71"/>
        <v>0</v>
      </c>
      <c r="AB318" s="305">
        <f>+IF(W318=0,0,HLOOKUP(YEAR(W318)+(MONTH(W318)/100),TC!$5:$37,DAY(W318)+2,FALSE))</f>
        <v>0</v>
      </c>
      <c r="AC318" s="306">
        <f t="shared" si="72"/>
        <v>0</v>
      </c>
      <c r="AD318" s="314">
        <f t="shared" si="63"/>
        <v>0</v>
      </c>
      <c r="AE318" s="315">
        <f t="shared" si="73"/>
        <v>0</v>
      </c>
      <c r="AF318" s="316">
        <f t="shared" si="64"/>
        <v>0</v>
      </c>
      <c r="AG318" s="314">
        <v>1</v>
      </c>
      <c r="AH318" s="314">
        <f t="shared" si="74"/>
        <v>0</v>
      </c>
      <c r="AI318" s="314">
        <f t="shared" si="75"/>
        <v>0</v>
      </c>
      <c r="AJ318" s="317"/>
      <c r="AK318" s="315" t="e">
        <f t="shared" si="76"/>
        <v>#N/A</v>
      </c>
      <c r="AM318" s="561"/>
      <c r="AN318" s="561"/>
      <c r="AO318" s="561"/>
    </row>
    <row r="319" spans="2:41">
      <c r="B319" s="296"/>
      <c r="C319" s="299"/>
      <c r="D319" s="296"/>
      <c r="E319" s="298"/>
      <c r="F319" s="299"/>
      <c r="G319" s="300"/>
      <c r="H319" s="303"/>
      <c r="I319" s="303"/>
      <c r="J319" s="322">
        <f t="shared" si="62"/>
        <v>0</v>
      </c>
      <c r="K319" s="305" t="e">
        <f>IF(F319="MXN",1/HLOOKUP(YEAR(G319)+(MONTH(G319)/100),TC!$5:$37,DAY(G319)+2,FALSE),VLOOKUP(F319,Equivalencia!$5:$23,((MAX(Equivalencia!$3:$3)-YEAR(G319))*14)+MONTH(G319)+2,FALSE))</f>
        <v>#N/A</v>
      </c>
      <c r="L319" s="306" t="e">
        <f t="shared" si="65"/>
        <v>#N/A</v>
      </c>
      <c r="M319" s="305">
        <f>IF(G319=0,0,HLOOKUP(YEAR(G319)+(MONTH(G319)/100),TC!$5:$37,DAY(G319)+2,FALSE))</f>
        <v>0</v>
      </c>
      <c r="N319" s="306" t="e">
        <f t="shared" si="66"/>
        <v>#N/A</v>
      </c>
      <c r="O319" s="308">
        <f>IF(G319=0,0,VLOOKUP(YEAR(G319),INPC!$B$4:$P$30,MONTH(G319)+2))</f>
        <v>0</v>
      </c>
      <c r="P319" s="308">
        <f>IF(W319=0,0,IF(OR(C319=$AQ$5,C319=AQ323),VLOOKUP(YEAR(W319),INPC!$B$4:$P$30,MONTH(W319)+1),VLOOKUP(YEAR(W319),INPC!$B$4:$P$30,MONTH(W319)+2)))</f>
        <v>0</v>
      </c>
      <c r="Q319" s="309">
        <f t="shared" si="67"/>
        <v>0</v>
      </c>
      <c r="R319" s="310" t="e">
        <f t="shared" si="68"/>
        <v>#N/A</v>
      </c>
      <c r="S319" s="310">
        <f t="shared" si="69"/>
        <v>0</v>
      </c>
      <c r="T319" s="567" t="str">
        <f t="shared" si="70"/>
        <v>NO</v>
      </c>
      <c r="U319" s="323"/>
      <c r="V319" s="299"/>
      <c r="W319" s="300"/>
      <c r="X319" s="299"/>
      <c r="Y319" s="303"/>
      <c r="Z319" s="305">
        <f>IF(Y319=0,0,IF(X319="MXN",1/HLOOKUP(YEAR(W319)+(MONTH(W319)/100),TC!$5:$37,DAY(W319)+2,FALSE),VLOOKUP(X319,Equivalencia!$1:$23,((MAX(Equivalencia!$3:$3)-YEAR(W319))*14)+MONTH(W319)+2,FALSE)))</f>
        <v>0</v>
      </c>
      <c r="AA319" s="306">
        <f t="shared" si="71"/>
        <v>0</v>
      </c>
      <c r="AB319" s="305">
        <f>+IF(W319=0,0,HLOOKUP(YEAR(W319)+(MONTH(W319)/100),TC!$5:$37,DAY(W319)+2,FALSE))</f>
        <v>0</v>
      </c>
      <c r="AC319" s="306">
        <f t="shared" si="72"/>
        <v>0</v>
      </c>
      <c r="AD319" s="314">
        <f t="shared" si="63"/>
        <v>0</v>
      </c>
      <c r="AE319" s="315">
        <f t="shared" si="73"/>
        <v>0</v>
      </c>
      <c r="AF319" s="316">
        <f t="shared" si="64"/>
        <v>0</v>
      </c>
      <c r="AG319" s="314">
        <v>1</v>
      </c>
      <c r="AH319" s="314">
        <f t="shared" si="74"/>
        <v>0</v>
      </c>
      <c r="AI319" s="314">
        <f t="shared" si="75"/>
        <v>0</v>
      </c>
      <c r="AJ319" s="317"/>
      <c r="AK319" s="315" t="e">
        <f t="shared" si="76"/>
        <v>#N/A</v>
      </c>
      <c r="AM319" s="561"/>
      <c r="AN319" s="561"/>
      <c r="AO319" s="561"/>
    </row>
    <row r="320" spans="2:41">
      <c r="B320" s="296"/>
      <c r="C320" s="299"/>
      <c r="D320" s="296"/>
      <c r="E320" s="298"/>
      <c r="F320" s="299"/>
      <c r="G320" s="300"/>
      <c r="H320" s="303"/>
      <c r="I320" s="303"/>
      <c r="J320" s="322">
        <f t="shared" si="62"/>
        <v>0</v>
      </c>
      <c r="K320" s="305" t="e">
        <f>IF(F320="MXN",1/HLOOKUP(YEAR(G320)+(MONTH(G320)/100),TC!$5:$37,DAY(G320)+2,FALSE),VLOOKUP(F320,Equivalencia!$5:$23,((MAX(Equivalencia!$3:$3)-YEAR(G320))*14)+MONTH(G320)+2,FALSE))</f>
        <v>#N/A</v>
      </c>
      <c r="L320" s="306" t="e">
        <f t="shared" si="65"/>
        <v>#N/A</v>
      </c>
      <c r="M320" s="305">
        <f>IF(G320=0,0,HLOOKUP(YEAR(G320)+(MONTH(G320)/100),TC!$5:$37,DAY(G320)+2,FALSE))</f>
        <v>0</v>
      </c>
      <c r="N320" s="306" t="e">
        <f t="shared" si="66"/>
        <v>#N/A</v>
      </c>
      <c r="O320" s="308">
        <f>IF(G320=0,0,VLOOKUP(YEAR(G320),INPC!$B$4:$P$30,MONTH(G320)+2))</f>
        <v>0</v>
      </c>
      <c r="P320" s="308">
        <f>IF(W320=0,0,IF(OR(C320=$AQ$5,C320=AQ324),VLOOKUP(YEAR(W320),INPC!$B$4:$P$30,MONTH(W320)+1),VLOOKUP(YEAR(W320),INPC!$B$4:$P$30,MONTH(W320)+2)))</f>
        <v>0</v>
      </c>
      <c r="Q320" s="309">
        <f t="shared" si="67"/>
        <v>0</v>
      </c>
      <c r="R320" s="310" t="e">
        <f t="shared" si="68"/>
        <v>#N/A</v>
      </c>
      <c r="S320" s="310">
        <f t="shared" si="69"/>
        <v>0</v>
      </c>
      <c r="T320" s="567" t="str">
        <f t="shared" si="70"/>
        <v>NO</v>
      </c>
      <c r="U320" s="323"/>
      <c r="V320" s="299"/>
      <c r="W320" s="300"/>
      <c r="X320" s="299"/>
      <c r="Y320" s="303"/>
      <c r="Z320" s="305">
        <f>IF(Y320=0,0,IF(X320="MXN",1/HLOOKUP(YEAR(W320)+(MONTH(W320)/100),TC!$5:$37,DAY(W320)+2,FALSE),VLOOKUP(X320,Equivalencia!$1:$23,((MAX(Equivalencia!$3:$3)-YEAR(W320))*14)+MONTH(W320)+2,FALSE)))</f>
        <v>0</v>
      </c>
      <c r="AA320" s="306">
        <f t="shared" si="71"/>
        <v>0</v>
      </c>
      <c r="AB320" s="305">
        <f>+IF(W320=0,0,HLOOKUP(YEAR(W320)+(MONTH(W320)/100),TC!$5:$37,DAY(W320)+2,FALSE))</f>
        <v>0</v>
      </c>
      <c r="AC320" s="306">
        <f t="shared" si="72"/>
        <v>0</v>
      </c>
      <c r="AD320" s="314">
        <f t="shared" si="63"/>
        <v>0</v>
      </c>
      <c r="AE320" s="315">
        <f t="shared" si="73"/>
        <v>0</v>
      </c>
      <c r="AF320" s="316">
        <f t="shared" si="64"/>
        <v>0</v>
      </c>
      <c r="AG320" s="314">
        <v>1</v>
      </c>
      <c r="AH320" s="314">
        <f t="shared" si="74"/>
        <v>0</v>
      </c>
      <c r="AI320" s="314">
        <f t="shared" si="75"/>
        <v>0</v>
      </c>
      <c r="AJ320" s="317"/>
      <c r="AK320" s="315" t="e">
        <f t="shared" si="76"/>
        <v>#N/A</v>
      </c>
      <c r="AM320" s="561"/>
      <c r="AN320" s="561"/>
      <c r="AO320" s="561"/>
    </row>
    <row r="321" spans="2:41">
      <c r="B321" s="296"/>
      <c r="C321" s="299"/>
      <c r="D321" s="296"/>
      <c r="E321" s="298"/>
      <c r="F321" s="299"/>
      <c r="G321" s="300"/>
      <c r="H321" s="303"/>
      <c r="I321" s="303"/>
      <c r="J321" s="322">
        <f t="shared" si="62"/>
        <v>0</v>
      </c>
      <c r="K321" s="305" t="e">
        <f>IF(F321="MXN",1/HLOOKUP(YEAR(G321)+(MONTH(G321)/100),TC!$5:$37,DAY(G321)+2,FALSE),VLOOKUP(F321,Equivalencia!$5:$23,((MAX(Equivalencia!$3:$3)-YEAR(G321))*14)+MONTH(G321)+2,FALSE))</f>
        <v>#N/A</v>
      </c>
      <c r="L321" s="306" t="e">
        <f t="shared" si="65"/>
        <v>#N/A</v>
      </c>
      <c r="M321" s="305">
        <f>IF(G321=0,0,HLOOKUP(YEAR(G321)+(MONTH(G321)/100),TC!$5:$37,DAY(G321)+2,FALSE))</f>
        <v>0</v>
      </c>
      <c r="N321" s="306" t="e">
        <f t="shared" si="66"/>
        <v>#N/A</v>
      </c>
      <c r="O321" s="308">
        <f>IF(G321=0,0,VLOOKUP(YEAR(G321),INPC!$B$4:$P$30,MONTH(G321)+2))</f>
        <v>0</v>
      </c>
      <c r="P321" s="308">
        <f>IF(W321=0,0,IF(OR(C321=$AQ$5,C321=AQ325),VLOOKUP(YEAR(W321),INPC!$B$4:$P$30,MONTH(W321)+1),VLOOKUP(YEAR(W321),INPC!$B$4:$P$30,MONTH(W321)+2)))</f>
        <v>0</v>
      </c>
      <c r="Q321" s="309">
        <f t="shared" si="67"/>
        <v>0</v>
      </c>
      <c r="R321" s="310" t="e">
        <f t="shared" si="68"/>
        <v>#N/A</v>
      </c>
      <c r="S321" s="310">
        <f t="shared" si="69"/>
        <v>0</v>
      </c>
      <c r="T321" s="567" t="str">
        <f t="shared" si="70"/>
        <v>NO</v>
      </c>
      <c r="U321" s="323"/>
      <c r="V321" s="299"/>
      <c r="W321" s="300"/>
      <c r="X321" s="299"/>
      <c r="Y321" s="303"/>
      <c r="Z321" s="305">
        <f>IF(Y321=0,0,IF(X321="MXN",1/HLOOKUP(YEAR(W321)+(MONTH(W321)/100),TC!$5:$37,DAY(W321)+2,FALSE),VLOOKUP(X321,Equivalencia!$1:$23,((MAX(Equivalencia!$3:$3)-YEAR(W321))*14)+MONTH(W321)+2,FALSE)))</f>
        <v>0</v>
      </c>
      <c r="AA321" s="306">
        <f t="shared" si="71"/>
        <v>0</v>
      </c>
      <c r="AB321" s="305">
        <f>+IF(W321=0,0,HLOOKUP(YEAR(W321)+(MONTH(W321)/100),TC!$5:$37,DAY(W321)+2,FALSE))</f>
        <v>0</v>
      </c>
      <c r="AC321" s="306">
        <f t="shared" si="72"/>
        <v>0</v>
      </c>
      <c r="AD321" s="314">
        <f t="shared" si="63"/>
        <v>0</v>
      </c>
      <c r="AE321" s="315">
        <f t="shared" si="73"/>
        <v>0</v>
      </c>
      <c r="AF321" s="316">
        <f t="shared" si="64"/>
        <v>0</v>
      </c>
      <c r="AG321" s="314">
        <v>1</v>
      </c>
      <c r="AH321" s="314">
        <f t="shared" si="74"/>
        <v>0</v>
      </c>
      <c r="AI321" s="314">
        <f t="shared" si="75"/>
        <v>0</v>
      </c>
      <c r="AJ321" s="317"/>
      <c r="AK321" s="315" t="e">
        <f t="shared" si="76"/>
        <v>#N/A</v>
      </c>
      <c r="AM321" s="561"/>
      <c r="AN321" s="561"/>
      <c r="AO321" s="561"/>
    </row>
    <row r="322" spans="2:41">
      <c r="B322" s="296"/>
      <c r="C322" s="299"/>
      <c r="D322" s="296"/>
      <c r="E322" s="298"/>
      <c r="F322" s="299"/>
      <c r="G322" s="300"/>
      <c r="H322" s="303"/>
      <c r="I322" s="303"/>
      <c r="J322" s="322">
        <f t="shared" ref="J322:J385" si="77">IF(E322=0,0,IF(OR(C322=$AQ$5,C322=$AQ$6),"Derivados Cap IV, Sec II - SIC &amp; BMV","Derivados Cap IX - No SIC"))</f>
        <v>0</v>
      </c>
      <c r="K322" s="305" t="e">
        <f>IF(F322="MXN",1/HLOOKUP(YEAR(G322)+(MONTH(G322)/100),TC!$5:$37,DAY(G322)+2,FALSE),VLOOKUP(F322,Equivalencia!$5:$23,((MAX(Equivalencia!$3:$3)-YEAR(G322))*14)+MONTH(G322)+2,FALSE))</f>
        <v>#N/A</v>
      </c>
      <c r="L322" s="306" t="e">
        <f t="shared" si="65"/>
        <v>#N/A</v>
      </c>
      <c r="M322" s="305">
        <f>IF(G322=0,0,HLOOKUP(YEAR(G322)+(MONTH(G322)/100),TC!$5:$37,DAY(G322)+2,FALSE))</f>
        <v>0</v>
      </c>
      <c r="N322" s="306" t="e">
        <f t="shared" si="66"/>
        <v>#N/A</v>
      </c>
      <c r="O322" s="308">
        <f>IF(G322=0,0,VLOOKUP(YEAR(G322),INPC!$B$4:$P$30,MONTH(G322)+2))</f>
        <v>0</v>
      </c>
      <c r="P322" s="308">
        <f>IF(W322=0,0,IF(OR(C322=$AQ$5,C322=AQ326),VLOOKUP(YEAR(W322),INPC!$B$4:$P$30,MONTH(W322)+1),VLOOKUP(YEAR(W322),INPC!$B$4:$P$30,MONTH(W322)+2)))</f>
        <v>0</v>
      </c>
      <c r="Q322" s="309">
        <f t="shared" si="67"/>
        <v>0</v>
      </c>
      <c r="R322" s="310" t="e">
        <f t="shared" si="68"/>
        <v>#N/A</v>
      </c>
      <c r="S322" s="310">
        <f t="shared" si="69"/>
        <v>0</v>
      </c>
      <c r="T322" s="567" t="str">
        <f t="shared" si="70"/>
        <v>NO</v>
      </c>
      <c r="U322" s="323"/>
      <c r="V322" s="299"/>
      <c r="W322" s="300"/>
      <c r="X322" s="299"/>
      <c r="Y322" s="303"/>
      <c r="Z322" s="305">
        <f>IF(Y322=0,0,IF(X322="MXN",1/HLOOKUP(YEAR(W322)+(MONTH(W322)/100),TC!$5:$37,DAY(W322)+2,FALSE),VLOOKUP(X322,Equivalencia!$1:$23,((MAX(Equivalencia!$3:$3)-YEAR(W322))*14)+MONTH(W322)+2,FALSE)))</f>
        <v>0</v>
      </c>
      <c r="AA322" s="306">
        <f t="shared" si="71"/>
        <v>0</v>
      </c>
      <c r="AB322" s="305">
        <f>+IF(W322=0,0,HLOOKUP(YEAR(W322)+(MONTH(W322)/100),TC!$5:$37,DAY(W322)+2,FALSE))</f>
        <v>0</v>
      </c>
      <c r="AC322" s="306">
        <f t="shared" si="72"/>
        <v>0</v>
      </c>
      <c r="AD322" s="314">
        <f t="shared" ref="AD322:AD385" si="78">+U322*S322</f>
        <v>0</v>
      </c>
      <c r="AE322" s="315">
        <f t="shared" si="73"/>
        <v>0</v>
      </c>
      <c r="AF322" s="316">
        <f t="shared" ref="AF322:AF385" si="79">+IF(OR(C322=$AQ$5,C322=$AQ$6),1,((W322-G322)/365))</f>
        <v>0</v>
      </c>
      <c r="AG322" s="314">
        <v>1</v>
      </c>
      <c r="AH322" s="314">
        <f t="shared" si="74"/>
        <v>0</v>
      </c>
      <c r="AI322" s="314">
        <f t="shared" si="75"/>
        <v>0</v>
      </c>
      <c r="AJ322" s="317"/>
      <c r="AK322" s="315" t="e">
        <f t="shared" si="76"/>
        <v>#N/A</v>
      </c>
      <c r="AM322" s="561"/>
      <c r="AN322" s="561"/>
      <c r="AO322" s="561"/>
    </row>
    <row r="323" spans="2:41">
      <c r="B323" s="296"/>
      <c r="C323" s="299"/>
      <c r="D323" s="296"/>
      <c r="E323" s="298"/>
      <c r="F323" s="299"/>
      <c r="G323" s="300"/>
      <c r="H323" s="303"/>
      <c r="I323" s="303"/>
      <c r="J323" s="322">
        <f t="shared" si="77"/>
        <v>0</v>
      </c>
      <c r="K323" s="305" t="e">
        <f>IF(F323="MXN",1/HLOOKUP(YEAR(G323)+(MONTH(G323)/100),TC!$5:$37,DAY(G323)+2,FALSE),VLOOKUP(F323,Equivalencia!$5:$23,((MAX(Equivalencia!$3:$3)-YEAR(G323))*14)+MONTH(G323)+2,FALSE))</f>
        <v>#N/A</v>
      </c>
      <c r="L323" s="306" t="e">
        <f t="shared" ref="L323:L386" si="80">+I323*K323</f>
        <v>#N/A</v>
      </c>
      <c r="M323" s="305">
        <f>IF(G323=0,0,HLOOKUP(YEAR(G323)+(MONTH(G323)/100),TC!$5:$37,DAY(G323)+2,FALSE))</f>
        <v>0</v>
      </c>
      <c r="N323" s="306" t="e">
        <f t="shared" ref="N323:N386" si="81">+L323*M323</f>
        <v>#N/A</v>
      </c>
      <c r="O323" s="308">
        <f>IF(G323=0,0,VLOOKUP(YEAR(G323),INPC!$B$4:$P$30,MONTH(G323)+2))</f>
        <v>0</v>
      </c>
      <c r="P323" s="308">
        <f>IF(W323=0,0,IF(OR(C323=$AQ$5,C323=AQ327),VLOOKUP(YEAR(W323),INPC!$B$4:$P$30,MONTH(W323)+1),VLOOKUP(YEAR(W323),INPC!$B$4:$P$30,MONTH(W323)+2)))</f>
        <v>0</v>
      </c>
      <c r="Q323" s="309">
        <f t="shared" ref="Q323:Q386" si="82">IF(W323=0,0,IF(TRUNC(P323/O323,4)&gt;=1,TRUNC(P323/O323,4),1))</f>
        <v>0</v>
      </c>
      <c r="R323" s="310" t="e">
        <f t="shared" ref="R323:R386" si="83">+Q323*N323</f>
        <v>#N/A</v>
      </c>
      <c r="S323" s="310">
        <f t="shared" ref="S323:S386" si="84">IF(U323=0,0,R323/U323)</f>
        <v>0</v>
      </c>
      <c r="T323" s="567" t="str">
        <f t="shared" ref="T323:T386" si="85">+IF(W323=0,"NO","SI")</f>
        <v>NO</v>
      </c>
      <c r="U323" s="323"/>
      <c r="V323" s="299"/>
      <c r="W323" s="300"/>
      <c r="X323" s="299"/>
      <c r="Y323" s="303"/>
      <c r="Z323" s="305">
        <f>IF(Y323=0,0,IF(X323="MXN",1/HLOOKUP(YEAR(W323)+(MONTH(W323)/100),TC!$5:$37,DAY(W323)+2,FALSE),VLOOKUP(X323,Equivalencia!$1:$23,((MAX(Equivalencia!$3:$3)-YEAR(W323))*14)+MONTH(W323)+2,FALSE)))</f>
        <v>0</v>
      </c>
      <c r="AA323" s="306">
        <f t="shared" ref="AA323:AA386" si="86">+Z323*Y323</f>
        <v>0</v>
      </c>
      <c r="AB323" s="305">
        <f>+IF(W323=0,0,HLOOKUP(YEAR(W323)+(MONTH(W323)/100),TC!$5:$37,DAY(W323)+2,FALSE))</f>
        <v>0</v>
      </c>
      <c r="AC323" s="306">
        <f t="shared" ref="AC323:AC386" si="87">+AB323*AA323</f>
        <v>0</v>
      </c>
      <c r="AD323" s="314">
        <f t="shared" si="78"/>
        <v>0</v>
      </c>
      <c r="AE323" s="315">
        <f t="shared" ref="AE323:AE386" si="88">AC323+AD323</f>
        <v>0</v>
      </c>
      <c r="AF323" s="316">
        <f t="shared" si="79"/>
        <v>0</v>
      </c>
      <c r="AG323" s="314">
        <v>1</v>
      </c>
      <c r="AH323" s="314">
        <f t="shared" ref="AH323:AH386" si="89">(AE323/AG323)</f>
        <v>0</v>
      </c>
      <c r="AI323" s="314">
        <f t="shared" ref="AI323:AI386" si="90">+AE323-AH323</f>
        <v>0</v>
      </c>
      <c r="AJ323" s="317"/>
      <c r="AK323" s="315" t="e">
        <f t="shared" ref="AK323:AK386" si="91">+AA323+L323</f>
        <v>#N/A</v>
      </c>
      <c r="AM323" s="561"/>
      <c r="AN323" s="561"/>
      <c r="AO323" s="561"/>
    </row>
    <row r="324" spans="2:41">
      <c r="B324" s="296"/>
      <c r="C324" s="299"/>
      <c r="D324" s="296"/>
      <c r="E324" s="298"/>
      <c r="F324" s="299"/>
      <c r="G324" s="300"/>
      <c r="H324" s="303"/>
      <c r="I324" s="303"/>
      <c r="J324" s="322">
        <f t="shared" si="77"/>
        <v>0</v>
      </c>
      <c r="K324" s="305" t="e">
        <f>IF(F324="MXN",1/HLOOKUP(YEAR(G324)+(MONTH(G324)/100),TC!$5:$37,DAY(G324)+2,FALSE),VLOOKUP(F324,Equivalencia!$5:$23,((MAX(Equivalencia!$3:$3)-YEAR(G324))*14)+MONTH(G324)+2,FALSE))</f>
        <v>#N/A</v>
      </c>
      <c r="L324" s="306" t="e">
        <f t="shared" si="80"/>
        <v>#N/A</v>
      </c>
      <c r="M324" s="305">
        <f>IF(G324=0,0,HLOOKUP(YEAR(G324)+(MONTH(G324)/100),TC!$5:$37,DAY(G324)+2,FALSE))</f>
        <v>0</v>
      </c>
      <c r="N324" s="306" t="e">
        <f t="shared" si="81"/>
        <v>#N/A</v>
      </c>
      <c r="O324" s="308">
        <f>IF(G324=0,0,VLOOKUP(YEAR(G324),INPC!$B$4:$P$30,MONTH(G324)+2))</f>
        <v>0</v>
      </c>
      <c r="P324" s="308">
        <f>IF(W324=0,0,IF(OR(C324=$AQ$5,C324=AQ328),VLOOKUP(YEAR(W324),INPC!$B$4:$P$30,MONTH(W324)+1),VLOOKUP(YEAR(W324),INPC!$B$4:$P$30,MONTH(W324)+2)))</f>
        <v>0</v>
      </c>
      <c r="Q324" s="309">
        <f t="shared" si="82"/>
        <v>0</v>
      </c>
      <c r="R324" s="310" t="e">
        <f t="shared" si="83"/>
        <v>#N/A</v>
      </c>
      <c r="S324" s="310">
        <f t="shared" si="84"/>
        <v>0</v>
      </c>
      <c r="T324" s="567" t="str">
        <f t="shared" si="85"/>
        <v>NO</v>
      </c>
      <c r="U324" s="323"/>
      <c r="V324" s="299"/>
      <c r="W324" s="300"/>
      <c r="X324" s="299"/>
      <c r="Y324" s="303"/>
      <c r="Z324" s="305">
        <f>IF(Y324=0,0,IF(X324="MXN",1/HLOOKUP(YEAR(W324)+(MONTH(W324)/100),TC!$5:$37,DAY(W324)+2,FALSE),VLOOKUP(X324,Equivalencia!$1:$23,((MAX(Equivalencia!$3:$3)-YEAR(W324))*14)+MONTH(W324)+2,FALSE)))</f>
        <v>0</v>
      </c>
      <c r="AA324" s="306">
        <f t="shared" si="86"/>
        <v>0</v>
      </c>
      <c r="AB324" s="305">
        <f>+IF(W324=0,0,HLOOKUP(YEAR(W324)+(MONTH(W324)/100),TC!$5:$37,DAY(W324)+2,FALSE))</f>
        <v>0</v>
      </c>
      <c r="AC324" s="306">
        <f t="shared" si="87"/>
        <v>0</v>
      </c>
      <c r="AD324" s="314">
        <f t="shared" si="78"/>
        <v>0</v>
      </c>
      <c r="AE324" s="315">
        <f t="shared" si="88"/>
        <v>0</v>
      </c>
      <c r="AF324" s="316">
        <f t="shared" si="79"/>
        <v>0</v>
      </c>
      <c r="AG324" s="314">
        <v>1</v>
      </c>
      <c r="AH324" s="314">
        <f t="shared" si="89"/>
        <v>0</v>
      </c>
      <c r="AI324" s="314">
        <f t="shared" si="90"/>
        <v>0</v>
      </c>
      <c r="AJ324" s="317"/>
      <c r="AK324" s="315" t="e">
        <f t="shared" si="91"/>
        <v>#N/A</v>
      </c>
      <c r="AM324" s="561"/>
      <c r="AN324" s="561"/>
      <c r="AO324" s="561"/>
    </row>
    <row r="325" spans="2:41">
      <c r="B325" s="296"/>
      <c r="C325" s="299"/>
      <c r="D325" s="296"/>
      <c r="E325" s="298"/>
      <c r="F325" s="299"/>
      <c r="G325" s="300"/>
      <c r="H325" s="303"/>
      <c r="I325" s="303"/>
      <c r="J325" s="322">
        <f t="shared" si="77"/>
        <v>0</v>
      </c>
      <c r="K325" s="305" t="e">
        <f>IF(F325="MXN",1/HLOOKUP(YEAR(G325)+(MONTH(G325)/100),TC!$5:$37,DAY(G325)+2,FALSE),VLOOKUP(F325,Equivalencia!$5:$23,((MAX(Equivalencia!$3:$3)-YEAR(G325))*14)+MONTH(G325)+2,FALSE))</f>
        <v>#N/A</v>
      </c>
      <c r="L325" s="306" t="e">
        <f t="shared" si="80"/>
        <v>#N/A</v>
      </c>
      <c r="M325" s="305">
        <f>IF(G325=0,0,HLOOKUP(YEAR(G325)+(MONTH(G325)/100),TC!$5:$37,DAY(G325)+2,FALSE))</f>
        <v>0</v>
      </c>
      <c r="N325" s="306" t="e">
        <f t="shared" si="81"/>
        <v>#N/A</v>
      </c>
      <c r="O325" s="308">
        <f>IF(G325=0,0,VLOOKUP(YEAR(G325),INPC!$B$4:$P$30,MONTH(G325)+2))</f>
        <v>0</v>
      </c>
      <c r="P325" s="308">
        <f>IF(W325=0,0,IF(OR(C325=$AQ$5,C325=AQ329),VLOOKUP(YEAR(W325),INPC!$B$4:$P$30,MONTH(W325)+1),VLOOKUP(YEAR(W325),INPC!$B$4:$P$30,MONTH(W325)+2)))</f>
        <v>0</v>
      </c>
      <c r="Q325" s="309">
        <f t="shared" si="82"/>
        <v>0</v>
      </c>
      <c r="R325" s="310" t="e">
        <f t="shared" si="83"/>
        <v>#N/A</v>
      </c>
      <c r="S325" s="310">
        <f t="shared" si="84"/>
        <v>0</v>
      </c>
      <c r="T325" s="567" t="str">
        <f t="shared" si="85"/>
        <v>NO</v>
      </c>
      <c r="U325" s="323"/>
      <c r="V325" s="299"/>
      <c r="W325" s="300"/>
      <c r="X325" s="299"/>
      <c r="Y325" s="303"/>
      <c r="Z325" s="305">
        <f>IF(Y325=0,0,IF(X325="MXN",1/HLOOKUP(YEAR(W325)+(MONTH(W325)/100),TC!$5:$37,DAY(W325)+2,FALSE),VLOOKUP(X325,Equivalencia!$1:$23,((MAX(Equivalencia!$3:$3)-YEAR(W325))*14)+MONTH(W325)+2,FALSE)))</f>
        <v>0</v>
      </c>
      <c r="AA325" s="306">
        <f t="shared" si="86"/>
        <v>0</v>
      </c>
      <c r="AB325" s="305">
        <f>+IF(W325=0,0,HLOOKUP(YEAR(W325)+(MONTH(W325)/100),TC!$5:$37,DAY(W325)+2,FALSE))</f>
        <v>0</v>
      </c>
      <c r="AC325" s="306">
        <f t="shared" si="87"/>
        <v>0</v>
      </c>
      <c r="AD325" s="314">
        <f t="shared" si="78"/>
        <v>0</v>
      </c>
      <c r="AE325" s="315">
        <f t="shared" si="88"/>
        <v>0</v>
      </c>
      <c r="AF325" s="316">
        <f t="shared" si="79"/>
        <v>0</v>
      </c>
      <c r="AG325" s="314">
        <v>1</v>
      </c>
      <c r="AH325" s="314">
        <f t="shared" si="89"/>
        <v>0</v>
      </c>
      <c r="AI325" s="314">
        <f t="shared" si="90"/>
        <v>0</v>
      </c>
      <c r="AJ325" s="317"/>
      <c r="AK325" s="315" t="e">
        <f t="shared" si="91"/>
        <v>#N/A</v>
      </c>
      <c r="AM325" s="561"/>
      <c r="AN325" s="561"/>
      <c r="AO325" s="561"/>
    </row>
    <row r="326" spans="2:41">
      <c r="B326" s="296"/>
      <c r="C326" s="299"/>
      <c r="D326" s="296"/>
      <c r="E326" s="298"/>
      <c r="F326" s="299"/>
      <c r="G326" s="300"/>
      <c r="H326" s="303"/>
      <c r="I326" s="303"/>
      <c r="J326" s="322">
        <f t="shared" si="77"/>
        <v>0</v>
      </c>
      <c r="K326" s="305" t="e">
        <f>IF(F326="MXN",1/HLOOKUP(YEAR(G326)+(MONTH(G326)/100),TC!$5:$37,DAY(G326)+2,FALSE),VLOOKUP(F326,Equivalencia!$5:$23,((MAX(Equivalencia!$3:$3)-YEAR(G326))*14)+MONTH(G326)+2,FALSE))</f>
        <v>#N/A</v>
      </c>
      <c r="L326" s="306" t="e">
        <f t="shared" si="80"/>
        <v>#N/A</v>
      </c>
      <c r="M326" s="305">
        <f>IF(G326=0,0,HLOOKUP(YEAR(G326)+(MONTH(G326)/100),TC!$5:$37,DAY(G326)+2,FALSE))</f>
        <v>0</v>
      </c>
      <c r="N326" s="306" t="e">
        <f t="shared" si="81"/>
        <v>#N/A</v>
      </c>
      <c r="O326" s="308">
        <f>IF(G326=0,0,VLOOKUP(YEAR(G326),INPC!$B$4:$P$30,MONTH(G326)+2))</f>
        <v>0</v>
      </c>
      <c r="P326" s="308">
        <f>IF(W326=0,0,IF(OR(C326=$AQ$5,C326=AQ330),VLOOKUP(YEAR(W326),INPC!$B$4:$P$30,MONTH(W326)+1),VLOOKUP(YEAR(W326),INPC!$B$4:$P$30,MONTH(W326)+2)))</f>
        <v>0</v>
      </c>
      <c r="Q326" s="309">
        <f t="shared" si="82"/>
        <v>0</v>
      </c>
      <c r="R326" s="310" t="e">
        <f t="shared" si="83"/>
        <v>#N/A</v>
      </c>
      <c r="S326" s="310">
        <f t="shared" si="84"/>
        <v>0</v>
      </c>
      <c r="T326" s="567" t="str">
        <f t="shared" si="85"/>
        <v>NO</v>
      </c>
      <c r="U326" s="323"/>
      <c r="V326" s="299"/>
      <c r="W326" s="300"/>
      <c r="X326" s="299"/>
      <c r="Y326" s="303"/>
      <c r="Z326" s="305">
        <f>IF(Y326=0,0,IF(X326="MXN",1/HLOOKUP(YEAR(W326)+(MONTH(W326)/100),TC!$5:$37,DAY(W326)+2,FALSE),VLOOKUP(X326,Equivalencia!$1:$23,((MAX(Equivalencia!$3:$3)-YEAR(W326))*14)+MONTH(W326)+2,FALSE)))</f>
        <v>0</v>
      </c>
      <c r="AA326" s="306">
        <f t="shared" si="86"/>
        <v>0</v>
      </c>
      <c r="AB326" s="305">
        <f>+IF(W326=0,0,HLOOKUP(YEAR(W326)+(MONTH(W326)/100),TC!$5:$37,DAY(W326)+2,FALSE))</f>
        <v>0</v>
      </c>
      <c r="AC326" s="306">
        <f t="shared" si="87"/>
        <v>0</v>
      </c>
      <c r="AD326" s="314">
        <f t="shared" si="78"/>
        <v>0</v>
      </c>
      <c r="AE326" s="315">
        <f t="shared" si="88"/>
        <v>0</v>
      </c>
      <c r="AF326" s="316">
        <f t="shared" si="79"/>
        <v>0</v>
      </c>
      <c r="AG326" s="314">
        <v>1</v>
      </c>
      <c r="AH326" s="314">
        <f t="shared" si="89"/>
        <v>0</v>
      </c>
      <c r="AI326" s="314">
        <f t="shared" si="90"/>
        <v>0</v>
      </c>
      <c r="AJ326" s="317"/>
      <c r="AK326" s="315" t="e">
        <f t="shared" si="91"/>
        <v>#N/A</v>
      </c>
      <c r="AM326" s="561"/>
      <c r="AN326" s="561"/>
      <c r="AO326" s="561"/>
    </row>
    <row r="327" spans="2:41">
      <c r="B327" s="296"/>
      <c r="C327" s="299"/>
      <c r="D327" s="296"/>
      <c r="E327" s="298"/>
      <c r="F327" s="299"/>
      <c r="G327" s="300"/>
      <c r="H327" s="303"/>
      <c r="I327" s="303"/>
      <c r="J327" s="322">
        <f t="shared" si="77"/>
        <v>0</v>
      </c>
      <c r="K327" s="305" t="e">
        <f>IF(F327="MXN",1/HLOOKUP(YEAR(G327)+(MONTH(G327)/100),TC!$5:$37,DAY(G327)+2,FALSE),VLOOKUP(F327,Equivalencia!$5:$23,((MAX(Equivalencia!$3:$3)-YEAR(G327))*14)+MONTH(G327)+2,FALSE))</f>
        <v>#N/A</v>
      </c>
      <c r="L327" s="306" t="e">
        <f t="shared" si="80"/>
        <v>#N/A</v>
      </c>
      <c r="M327" s="305">
        <f>IF(G327=0,0,HLOOKUP(YEAR(G327)+(MONTH(G327)/100),TC!$5:$37,DAY(G327)+2,FALSE))</f>
        <v>0</v>
      </c>
      <c r="N327" s="306" t="e">
        <f t="shared" si="81"/>
        <v>#N/A</v>
      </c>
      <c r="O327" s="308">
        <f>IF(G327=0,0,VLOOKUP(YEAR(G327),INPC!$B$4:$P$30,MONTH(G327)+2))</f>
        <v>0</v>
      </c>
      <c r="P327" s="308">
        <f>IF(W327=0,0,IF(OR(C327=$AQ$5,C327=AQ331),VLOOKUP(YEAR(W327),INPC!$B$4:$P$30,MONTH(W327)+1),VLOOKUP(YEAR(W327),INPC!$B$4:$P$30,MONTH(W327)+2)))</f>
        <v>0</v>
      </c>
      <c r="Q327" s="309">
        <f t="shared" si="82"/>
        <v>0</v>
      </c>
      <c r="R327" s="310" t="e">
        <f t="shared" si="83"/>
        <v>#N/A</v>
      </c>
      <c r="S327" s="310">
        <f t="shared" si="84"/>
        <v>0</v>
      </c>
      <c r="T327" s="567" t="str">
        <f t="shared" si="85"/>
        <v>NO</v>
      </c>
      <c r="U327" s="323"/>
      <c r="V327" s="299"/>
      <c r="W327" s="300"/>
      <c r="X327" s="299"/>
      <c r="Y327" s="303"/>
      <c r="Z327" s="305">
        <f>IF(Y327=0,0,IF(X327="MXN",1/HLOOKUP(YEAR(W327)+(MONTH(W327)/100),TC!$5:$37,DAY(W327)+2,FALSE),VLOOKUP(X327,Equivalencia!$1:$23,((MAX(Equivalencia!$3:$3)-YEAR(W327))*14)+MONTH(W327)+2,FALSE)))</f>
        <v>0</v>
      </c>
      <c r="AA327" s="306">
        <f t="shared" si="86"/>
        <v>0</v>
      </c>
      <c r="AB327" s="305">
        <f>+IF(W327=0,0,HLOOKUP(YEAR(W327)+(MONTH(W327)/100),TC!$5:$37,DAY(W327)+2,FALSE))</f>
        <v>0</v>
      </c>
      <c r="AC327" s="306">
        <f t="shared" si="87"/>
        <v>0</v>
      </c>
      <c r="AD327" s="314">
        <f t="shared" si="78"/>
        <v>0</v>
      </c>
      <c r="AE327" s="315">
        <f t="shared" si="88"/>
        <v>0</v>
      </c>
      <c r="AF327" s="316">
        <f t="shared" si="79"/>
        <v>0</v>
      </c>
      <c r="AG327" s="314">
        <v>1</v>
      </c>
      <c r="AH327" s="314">
        <f t="shared" si="89"/>
        <v>0</v>
      </c>
      <c r="AI327" s="314">
        <f t="shared" si="90"/>
        <v>0</v>
      </c>
      <c r="AJ327" s="317"/>
      <c r="AK327" s="315" t="e">
        <f t="shared" si="91"/>
        <v>#N/A</v>
      </c>
      <c r="AM327" s="561"/>
      <c r="AN327" s="561"/>
      <c r="AO327" s="561"/>
    </row>
    <row r="328" spans="2:41">
      <c r="B328" s="296"/>
      <c r="C328" s="299"/>
      <c r="D328" s="296"/>
      <c r="E328" s="298"/>
      <c r="F328" s="299"/>
      <c r="G328" s="300"/>
      <c r="H328" s="303"/>
      <c r="I328" s="303"/>
      <c r="J328" s="322">
        <f t="shared" si="77"/>
        <v>0</v>
      </c>
      <c r="K328" s="305" t="e">
        <f>IF(F328="MXN",1/HLOOKUP(YEAR(G328)+(MONTH(G328)/100),TC!$5:$37,DAY(G328)+2,FALSE),VLOOKUP(F328,Equivalencia!$5:$23,((MAX(Equivalencia!$3:$3)-YEAR(G328))*14)+MONTH(G328)+2,FALSE))</f>
        <v>#N/A</v>
      </c>
      <c r="L328" s="306" t="e">
        <f t="shared" si="80"/>
        <v>#N/A</v>
      </c>
      <c r="M328" s="305">
        <f>IF(G328=0,0,HLOOKUP(YEAR(G328)+(MONTH(G328)/100),TC!$5:$37,DAY(G328)+2,FALSE))</f>
        <v>0</v>
      </c>
      <c r="N328" s="306" t="e">
        <f t="shared" si="81"/>
        <v>#N/A</v>
      </c>
      <c r="O328" s="308">
        <f>IF(G328=0,0,VLOOKUP(YEAR(G328),INPC!$B$4:$P$30,MONTH(G328)+2))</f>
        <v>0</v>
      </c>
      <c r="P328" s="308">
        <f>IF(W328=0,0,IF(OR(C328=$AQ$5,C328=AQ332),VLOOKUP(YEAR(W328),INPC!$B$4:$P$30,MONTH(W328)+1),VLOOKUP(YEAR(W328),INPC!$B$4:$P$30,MONTH(W328)+2)))</f>
        <v>0</v>
      </c>
      <c r="Q328" s="309">
        <f t="shared" si="82"/>
        <v>0</v>
      </c>
      <c r="R328" s="310" t="e">
        <f t="shared" si="83"/>
        <v>#N/A</v>
      </c>
      <c r="S328" s="310">
        <f t="shared" si="84"/>
        <v>0</v>
      </c>
      <c r="T328" s="567" t="str">
        <f t="shared" si="85"/>
        <v>NO</v>
      </c>
      <c r="U328" s="323"/>
      <c r="V328" s="299"/>
      <c r="W328" s="300"/>
      <c r="X328" s="299"/>
      <c r="Y328" s="303"/>
      <c r="Z328" s="305">
        <f>IF(Y328=0,0,IF(X328="MXN",1/HLOOKUP(YEAR(W328)+(MONTH(W328)/100),TC!$5:$37,DAY(W328)+2,FALSE),VLOOKUP(X328,Equivalencia!$1:$23,((MAX(Equivalencia!$3:$3)-YEAR(W328))*14)+MONTH(W328)+2,FALSE)))</f>
        <v>0</v>
      </c>
      <c r="AA328" s="306">
        <f t="shared" si="86"/>
        <v>0</v>
      </c>
      <c r="AB328" s="305">
        <f>+IF(W328=0,0,HLOOKUP(YEAR(W328)+(MONTH(W328)/100),TC!$5:$37,DAY(W328)+2,FALSE))</f>
        <v>0</v>
      </c>
      <c r="AC328" s="306">
        <f t="shared" si="87"/>
        <v>0</v>
      </c>
      <c r="AD328" s="314">
        <f t="shared" si="78"/>
        <v>0</v>
      </c>
      <c r="AE328" s="315">
        <f t="shared" si="88"/>
        <v>0</v>
      </c>
      <c r="AF328" s="316">
        <f t="shared" si="79"/>
        <v>0</v>
      </c>
      <c r="AG328" s="314">
        <v>1</v>
      </c>
      <c r="AH328" s="314">
        <f t="shared" si="89"/>
        <v>0</v>
      </c>
      <c r="AI328" s="314">
        <f t="shared" si="90"/>
        <v>0</v>
      </c>
      <c r="AJ328" s="317"/>
      <c r="AK328" s="315" t="e">
        <f t="shared" si="91"/>
        <v>#N/A</v>
      </c>
      <c r="AM328" s="561"/>
      <c r="AN328" s="561"/>
      <c r="AO328" s="561"/>
    </row>
    <row r="329" spans="2:41">
      <c r="B329" s="296"/>
      <c r="C329" s="299"/>
      <c r="D329" s="296"/>
      <c r="E329" s="298"/>
      <c r="F329" s="299"/>
      <c r="G329" s="300"/>
      <c r="H329" s="303"/>
      <c r="I329" s="303"/>
      <c r="J329" s="322">
        <f t="shared" si="77"/>
        <v>0</v>
      </c>
      <c r="K329" s="305" t="e">
        <f>IF(F329="MXN",1/HLOOKUP(YEAR(G329)+(MONTH(G329)/100),TC!$5:$37,DAY(G329)+2,FALSE),VLOOKUP(F329,Equivalencia!$5:$23,((MAX(Equivalencia!$3:$3)-YEAR(G329))*14)+MONTH(G329)+2,FALSE))</f>
        <v>#N/A</v>
      </c>
      <c r="L329" s="306" t="e">
        <f t="shared" si="80"/>
        <v>#N/A</v>
      </c>
      <c r="M329" s="305">
        <f>IF(G329=0,0,HLOOKUP(YEAR(G329)+(MONTH(G329)/100),TC!$5:$37,DAY(G329)+2,FALSE))</f>
        <v>0</v>
      </c>
      <c r="N329" s="306" t="e">
        <f t="shared" si="81"/>
        <v>#N/A</v>
      </c>
      <c r="O329" s="308">
        <f>IF(G329=0,0,VLOOKUP(YEAR(G329),INPC!$B$4:$P$30,MONTH(G329)+2))</f>
        <v>0</v>
      </c>
      <c r="P329" s="308">
        <f>IF(W329=0,0,IF(OR(C329=$AQ$5,C329=AQ333),VLOOKUP(YEAR(W329),INPC!$B$4:$P$30,MONTH(W329)+1),VLOOKUP(YEAR(W329),INPC!$B$4:$P$30,MONTH(W329)+2)))</f>
        <v>0</v>
      </c>
      <c r="Q329" s="309">
        <f t="shared" si="82"/>
        <v>0</v>
      </c>
      <c r="R329" s="310" t="e">
        <f t="shared" si="83"/>
        <v>#N/A</v>
      </c>
      <c r="S329" s="310">
        <f t="shared" si="84"/>
        <v>0</v>
      </c>
      <c r="T329" s="567" t="str">
        <f t="shared" si="85"/>
        <v>NO</v>
      </c>
      <c r="U329" s="323"/>
      <c r="V329" s="299"/>
      <c r="W329" s="300"/>
      <c r="X329" s="299"/>
      <c r="Y329" s="303"/>
      <c r="Z329" s="305">
        <f>IF(Y329=0,0,IF(X329="MXN",1/HLOOKUP(YEAR(W329)+(MONTH(W329)/100),TC!$5:$37,DAY(W329)+2,FALSE),VLOOKUP(X329,Equivalencia!$1:$23,((MAX(Equivalencia!$3:$3)-YEAR(W329))*14)+MONTH(W329)+2,FALSE)))</f>
        <v>0</v>
      </c>
      <c r="AA329" s="306">
        <f t="shared" si="86"/>
        <v>0</v>
      </c>
      <c r="AB329" s="305">
        <f>+IF(W329=0,0,HLOOKUP(YEAR(W329)+(MONTH(W329)/100),TC!$5:$37,DAY(W329)+2,FALSE))</f>
        <v>0</v>
      </c>
      <c r="AC329" s="306">
        <f t="shared" si="87"/>
        <v>0</v>
      </c>
      <c r="AD329" s="314">
        <f t="shared" si="78"/>
        <v>0</v>
      </c>
      <c r="AE329" s="315">
        <f t="shared" si="88"/>
        <v>0</v>
      </c>
      <c r="AF329" s="316">
        <f t="shared" si="79"/>
        <v>0</v>
      </c>
      <c r="AG329" s="314">
        <v>1</v>
      </c>
      <c r="AH329" s="314">
        <f t="shared" si="89"/>
        <v>0</v>
      </c>
      <c r="AI329" s="314">
        <f t="shared" si="90"/>
        <v>0</v>
      </c>
      <c r="AJ329" s="317"/>
      <c r="AK329" s="315" t="e">
        <f t="shared" si="91"/>
        <v>#N/A</v>
      </c>
      <c r="AM329" s="561"/>
      <c r="AN329" s="561"/>
      <c r="AO329" s="561"/>
    </row>
    <row r="330" spans="2:41">
      <c r="B330" s="296"/>
      <c r="C330" s="299"/>
      <c r="D330" s="296"/>
      <c r="E330" s="298"/>
      <c r="F330" s="299"/>
      <c r="G330" s="300"/>
      <c r="H330" s="303"/>
      <c r="I330" s="303"/>
      <c r="J330" s="322">
        <f t="shared" si="77"/>
        <v>0</v>
      </c>
      <c r="K330" s="305" t="e">
        <f>IF(F330="MXN",1/HLOOKUP(YEAR(G330)+(MONTH(G330)/100),TC!$5:$37,DAY(G330)+2,FALSE),VLOOKUP(F330,Equivalencia!$5:$23,((MAX(Equivalencia!$3:$3)-YEAR(G330))*14)+MONTH(G330)+2,FALSE))</f>
        <v>#N/A</v>
      </c>
      <c r="L330" s="306" t="e">
        <f t="shared" si="80"/>
        <v>#N/A</v>
      </c>
      <c r="M330" s="305">
        <f>IF(G330=0,0,HLOOKUP(YEAR(G330)+(MONTH(G330)/100),TC!$5:$37,DAY(G330)+2,FALSE))</f>
        <v>0</v>
      </c>
      <c r="N330" s="306" t="e">
        <f t="shared" si="81"/>
        <v>#N/A</v>
      </c>
      <c r="O330" s="308">
        <f>IF(G330=0,0,VLOOKUP(YEAR(G330),INPC!$B$4:$P$30,MONTH(G330)+2))</f>
        <v>0</v>
      </c>
      <c r="P330" s="308">
        <f>IF(W330=0,0,IF(OR(C330=$AQ$5,C330=AQ334),VLOOKUP(YEAR(W330),INPC!$B$4:$P$30,MONTH(W330)+1),VLOOKUP(YEAR(W330),INPC!$B$4:$P$30,MONTH(W330)+2)))</f>
        <v>0</v>
      </c>
      <c r="Q330" s="309">
        <f t="shared" si="82"/>
        <v>0</v>
      </c>
      <c r="R330" s="310" t="e">
        <f t="shared" si="83"/>
        <v>#N/A</v>
      </c>
      <c r="S330" s="310">
        <f t="shared" si="84"/>
        <v>0</v>
      </c>
      <c r="T330" s="567" t="str">
        <f t="shared" si="85"/>
        <v>NO</v>
      </c>
      <c r="U330" s="323"/>
      <c r="V330" s="299"/>
      <c r="W330" s="300"/>
      <c r="X330" s="299"/>
      <c r="Y330" s="303"/>
      <c r="Z330" s="305">
        <f>IF(Y330=0,0,IF(X330="MXN",1/HLOOKUP(YEAR(W330)+(MONTH(W330)/100),TC!$5:$37,DAY(W330)+2,FALSE),VLOOKUP(X330,Equivalencia!$1:$23,((MAX(Equivalencia!$3:$3)-YEAR(W330))*14)+MONTH(W330)+2,FALSE)))</f>
        <v>0</v>
      </c>
      <c r="AA330" s="306">
        <f t="shared" si="86"/>
        <v>0</v>
      </c>
      <c r="AB330" s="305">
        <f>+IF(W330=0,0,HLOOKUP(YEAR(W330)+(MONTH(W330)/100),TC!$5:$37,DAY(W330)+2,FALSE))</f>
        <v>0</v>
      </c>
      <c r="AC330" s="306">
        <f t="shared" si="87"/>
        <v>0</v>
      </c>
      <c r="AD330" s="314">
        <f t="shared" si="78"/>
        <v>0</v>
      </c>
      <c r="AE330" s="315">
        <f t="shared" si="88"/>
        <v>0</v>
      </c>
      <c r="AF330" s="316">
        <f t="shared" si="79"/>
        <v>0</v>
      </c>
      <c r="AG330" s="314">
        <v>1</v>
      </c>
      <c r="AH330" s="314">
        <f t="shared" si="89"/>
        <v>0</v>
      </c>
      <c r="AI330" s="314">
        <f t="shared" si="90"/>
        <v>0</v>
      </c>
      <c r="AJ330" s="317"/>
      <c r="AK330" s="315" t="e">
        <f t="shared" si="91"/>
        <v>#N/A</v>
      </c>
      <c r="AM330" s="561"/>
      <c r="AN330" s="561"/>
      <c r="AO330" s="561"/>
    </row>
    <row r="331" spans="2:41">
      <c r="B331" s="296"/>
      <c r="C331" s="299"/>
      <c r="D331" s="296"/>
      <c r="E331" s="298"/>
      <c r="F331" s="299"/>
      <c r="G331" s="300"/>
      <c r="H331" s="303"/>
      <c r="I331" s="303"/>
      <c r="J331" s="322">
        <f t="shared" si="77"/>
        <v>0</v>
      </c>
      <c r="K331" s="305" t="e">
        <f>IF(F331="MXN",1/HLOOKUP(YEAR(G331)+(MONTH(G331)/100),TC!$5:$37,DAY(G331)+2,FALSE),VLOOKUP(F331,Equivalencia!$5:$23,((MAX(Equivalencia!$3:$3)-YEAR(G331))*14)+MONTH(G331)+2,FALSE))</f>
        <v>#N/A</v>
      </c>
      <c r="L331" s="306" t="e">
        <f t="shared" si="80"/>
        <v>#N/A</v>
      </c>
      <c r="M331" s="305">
        <f>IF(G331=0,0,HLOOKUP(YEAR(G331)+(MONTH(G331)/100),TC!$5:$37,DAY(G331)+2,FALSE))</f>
        <v>0</v>
      </c>
      <c r="N331" s="306" t="e">
        <f t="shared" si="81"/>
        <v>#N/A</v>
      </c>
      <c r="O331" s="308">
        <f>IF(G331=0,0,VLOOKUP(YEAR(G331),INPC!$B$4:$P$30,MONTH(G331)+2))</f>
        <v>0</v>
      </c>
      <c r="P331" s="308">
        <f>IF(W331=0,0,IF(OR(C331=$AQ$5,C331=AQ335),VLOOKUP(YEAR(W331),INPC!$B$4:$P$30,MONTH(W331)+1),VLOOKUP(YEAR(W331),INPC!$B$4:$P$30,MONTH(W331)+2)))</f>
        <v>0</v>
      </c>
      <c r="Q331" s="309">
        <f t="shared" si="82"/>
        <v>0</v>
      </c>
      <c r="R331" s="310" t="e">
        <f t="shared" si="83"/>
        <v>#N/A</v>
      </c>
      <c r="S331" s="310">
        <f t="shared" si="84"/>
        <v>0</v>
      </c>
      <c r="T331" s="567" t="str">
        <f t="shared" si="85"/>
        <v>NO</v>
      </c>
      <c r="U331" s="323"/>
      <c r="V331" s="299"/>
      <c r="W331" s="300"/>
      <c r="X331" s="299"/>
      <c r="Y331" s="303"/>
      <c r="Z331" s="305">
        <f>IF(Y331=0,0,IF(X331="MXN",1/HLOOKUP(YEAR(W331)+(MONTH(W331)/100),TC!$5:$37,DAY(W331)+2,FALSE),VLOOKUP(X331,Equivalencia!$1:$23,((MAX(Equivalencia!$3:$3)-YEAR(W331))*14)+MONTH(W331)+2,FALSE)))</f>
        <v>0</v>
      </c>
      <c r="AA331" s="306">
        <f t="shared" si="86"/>
        <v>0</v>
      </c>
      <c r="AB331" s="305">
        <f>+IF(W331=0,0,HLOOKUP(YEAR(W331)+(MONTH(W331)/100),TC!$5:$37,DAY(W331)+2,FALSE))</f>
        <v>0</v>
      </c>
      <c r="AC331" s="306">
        <f t="shared" si="87"/>
        <v>0</v>
      </c>
      <c r="AD331" s="314">
        <f t="shared" si="78"/>
        <v>0</v>
      </c>
      <c r="AE331" s="315">
        <f t="shared" si="88"/>
        <v>0</v>
      </c>
      <c r="AF331" s="316">
        <f t="shared" si="79"/>
        <v>0</v>
      </c>
      <c r="AG331" s="314">
        <v>1</v>
      </c>
      <c r="AH331" s="314">
        <f t="shared" si="89"/>
        <v>0</v>
      </c>
      <c r="AI331" s="314">
        <f t="shared" si="90"/>
        <v>0</v>
      </c>
      <c r="AJ331" s="317"/>
      <c r="AK331" s="315" t="e">
        <f t="shared" si="91"/>
        <v>#N/A</v>
      </c>
      <c r="AM331" s="561"/>
      <c r="AN331" s="561"/>
      <c r="AO331" s="561"/>
    </row>
    <row r="332" spans="2:41">
      <c r="B332" s="296"/>
      <c r="C332" s="299"/>
      <c r="D332" s="296"/>
      <c r="E332" s="298"/>
      <c r="F332" s="299"/>
      <c r="G332" s="300"/>
      <c r="H332" s="303"/>
      <c r="I332" s="303"/>
      <c r="J332" s="322">
        <f t="shared" si="77"/>
        <v>0</v>
      </c>
      <c r="K332" s="305" t="e">
        <f>IF(F332="MXN",1/HLOOKUP(YEAR(G332)+(MONTH(G332)/100),TC!$5:$37,DAY(G332)+2,FALSE),VLOOKUP(F332,Equivalencia!$5:$23,((MAX(Equivalencia!$3:$3)-YEAR(G332))*14)+MONTH(G332)+2,FALSE))</f>
        <v>#N/A</v>
      </c>
      <c r="L332" s="306" t="e">
        <f t="shared" si="80"/>
        <v>#N/A</v>
      </c>
      <c r="M332" s="305">
        <f>IF(G332=0,0,HLOOKUP(YEAR(G332)+(MONTH(G332)/100),TC!$5:$37,DAY(G332)+2,FALSE))</f>
        <v>0</v>
      </c>
      <c r="N332" s="306" t="e">
        <f t="shared" si="81"/>
        <v>#N/A</v>
      </c>
      <c r="O332" s="308">
        <f>IF(G332=0,0,VLOOKUP(YEAR(G332),INPC!$B$4:$P$30,MONTH(G332)+2))</f>
        <v>0</v>
      </c>
      <c r="P332" s="308">
        <f>IF(W332=0,0,IF(OR(C332=$AQ$5,C332=AQ336),VLOOKUP(YEAR(W332),INPC!$B$4:$P$30,MONTH(W332)+1),VLOOKUP(YEAR(W332),INPC!$B$4:$P$30,MONTH(W332)+2)))</f>
        <v>0</v>
      </c>
      <c r="Q332" s="309">
        <f t="shared" si="82"/>
        <v>0</v>
      </c>
      <c r="R332" s="310" t="e">
        <f t="shared" si="83"/>
        <v>#N/A</v>
      </c>
      <c r="S332" s="310">
        <f t="shared" si="84"/>
        <v>0</v>
      </c>
      <c r="T332" s="567" t="str">
        <f t="shared" si="85"/>
        <v>NO</v>
      </c>
      <c r="U332" s="323"/>
      <c r="V332" s="299"/>
      <c r="W332" s="300"/>
      <c r="X332" s="299"/>
      <c r="Y332" s="303"/>
      <c r="Z332" s="305">
        <f>IF(Y332=0,0,IF(X332="MXN",1/HLOOKUP(YEAR(W332)+(MONTH(W332)/100),TC!$5:$37,DAY(W332)+2,FALSE),VLOOKUP(X332,Equivalencia!$1:$23,((MAX(Equivalencia!$3:$3)-YEAR(W332))*14)+MONTH(W332)+2,FALSE)))</f>
        <v>0</v>
      </c>
      <c r="AA332" s="306">
        <f t="shared" si="86"/>
        <v>0</v>
      </c>
      <c r="AB332" s="305">
        <f>+IF(W332=0,0,HLOOKUP(YEAR(W332)+(MONTH(W332)/100),TC!$5:$37,DAY(W332)+2,FALSE))</f>
        <v>0</v>
      </c>
      <c r="AC332" s="306">
        <f t="shared" si="87"/>
        <v>0</v>
      </c>
      <c r="AD332" s="314">
        <f t="shared" si="78"/>
        <v>0</v>
      </c>
      <c r="AE332" s="315">
        <f t="shared" si="88"/>
        <v>0</v>
      </c>
      <c r="AF332" s="316">
        <f t="shared" si="79"/>
        <v>0</v>
      </c>
      <c r="AG332" s="314">
        <v>1</v>
      </c>
      <c r="AH332" s="314">
        <f t="shared" si="89"/>
        <v>0</v>
      </c>
      <c r="AI332" s="314">
        <f t="shared" si="90"/>
        <v>0</v>
      </c>
      <c r="AJ332" s="317"/>
      <c r="AK332" s="315" t="e">
        <f t="shared" si="91"/>
        <v>#N/A</v>
      </c>
      <c r="AM332" s="561"/>
      <c r="AN332" s="561"/>
      <c r="AO332" s="561"/>
    </row>
    <row r="333" spans="2:41">
      <c r="B333" s="296"/>
      <c r="C333" s="299"/>
      <c r="D333" s="296"/>
      <c r="E333" s="298"/>
      <c r="F333" s="299"/>
      <c r="G333" s="300"/>
      <c r="H333" s="303"/>
      <c r="I333" s="303"/>
      <c r="J333" s="322">
        <f t="shared" si="77"/>
        <v>0</v>
      </c>
      <c r="K333" s="305" t="e">
        <f>IF(F333="MXN",1/HLOOKUP(YEAR(G333)+(MONTH(G333)/100),TC!$5:$37,DAY(G333)+2,FALSE),VLOOKUP(F333,Equivalencia!$5:$23,((MAX(Equivalencia!$3:$3)-YEAR(G333))*14)+MONTH(G333)+2,FALSE))</f>
        <v>#N/A</v>
      </c>
      <c r="L333" s="306" t="e">
        <f t="shared" si="80"/>
        <v>#N/A</v>
      </c>
      <c r="M333" s="305">
        <f>IF(G333=0,0,HLOOKUP(YEAR(G333)+(MONTH(G333)/100),TC!$5:$37,DAY(G333)+2,FALSE))</f>
        <v>0</v>
      </c>
      <c r="N333" s="306" t="e">
        <f t="shared" si="81"/>
        <v>#N/A</v>
      </c>
      <c r="O333" s="308">
        <f>IF(G333=0,0,VLOOKUP(YEAR(G333),INPC!$B$4:$P$30,MONTH(G333)+2))</f>
        <v>0</v>
      </c>
      <c r="P333" s="308">
        <f>IF(W333=0,0,IF(OR(C333=$AQ$5,C333=AQ337),VLOOKUP(YEAR(W333),INPC!$B$4:$P$30,MONTH(W333)+1),VLOOKUP(YEAR(W333),INPC!$B$4:$P$30,MONTH(W333)+2)))</f>
        <v>0</v>
      </c>
      <c r="Q333" s="309">
        <f t="shared" si="82"/>
        <v>0</v>
      </c>
      <c r="R333" s="310" t="e">
        <f t="shared" si="83"/>
        <v>#N/A</v>
      </c>
      <c r="S333" s="310">
        <f t="shared" si="84"/>
        <v>0</v>
      </c>
      <c r="T333" s="567" t="str">
        <f t="shared" si="85"/>
        <v>NO</v>
      </c>
      <c r="U333" s="323"/>
      <c r="V333" s="299"/>
      <c r="W333" s="300"/>
      <c r="X333" s="299"/>
      <c r="Y333" s="303"/>
      <c r="Z333" s="305">
        <f>IF(Y333=0,0,IF(X333="MXN",1/HLOOKUP(YEAR(W333)+(MONTH(W333)/100),TC!$5:$37,DAY(W333)+2,FALSE),VLOOKUP(X333,Equivalencia!$1:$23,((MAX(Equivalencia!$3:$3)-YEAR(W333))*14)+MONTH(W333)+2,FALSE)))</f>
        <v>0</v>
      </c>
      <c r="AA333" s="306">
        <f t="shared" si="86"/>
        <v>0</v>
      </c>
      <c r="AB333" s="305">
        <f>+IF(W333=0,0,HLOOKUP(YEAR(W333)+(MONTH(W333)/100),TC!$5:$37,DAY(W333)+2,FALSE))</f>
        <v>0</v>
      </c>
      <c r="AC333" s="306">
        <f t="shared" si="87"/>
        <v>0</v>
      </c>
      <c r="AD333" s="314">
        <f t="shared" si="78"/>
        <v>0</v>
      </c>
      <c r="AE333" s="315">
        <f t="shared" si="88"/>
        <v>0</v>
      </c>
      <c r="AF333" s="316">
        <f t="shared" si="79"/>
        <v>0</v>
      </c>
      <c r="AG333" s="314">
        <v>1</v>
      </c>
      <c r="AH333" s="314">
        <f t="shared" si="89"/>
        <v>0</v>
      </c>
      <c r="AI333" s="314">
        <f t="shared" si="90"/>
        <v>0</v>
      </c>
      <c r="AJ333" s="317"/>
      <c r="AK333" s="315" t="e">
        <f t="shared" si="91"/>
        <v>#N/A</v>
      </c>
      <c r="AM333" s="561"/>
      <c r="AN333" s="561"/>
      <c r="AO333" s="561"/>
    </row>
    <row r="334" spans="2:41">
      <c r="B334" s="296"/>
      <c r="C334" s="299"/>
      <c r="D334" s="296"/>
      <c r="E334" s="298"/>
      <c r="F334" s="299"/>
      <c r="G334" s="300"/>
      <c r="H334" s="303"/>
      <c r="I334" s="303"/>
      <c r="J334" s="322">
        <f t="shared" si="77"/>
        <v>0</v>
      </c>
      <c r="K334" s="305" t="e">
        <f>IF(F334="MXN",1/HLOOKUP(YEAR(G334)+(MONTH(G334)/100),TC!$5:$37,DAY(G334)+2,FALSE),VLOOKUP(F334,Equivalencia!$5:$23,((MAX(Equivalencia!$3:$3)-YEAR(G334))*14)+MONTH(G334)+2,FALSE))</f>
        <v>#N/A</v>
      </c>
      <c r="L334" s="306" t="e">
        <f t="shared" si="80"/>
        <v>#N/A</v>
      </c>
      <c r="M334" s="305">
        <f>IF(G334=0,0,HLOOKUP(YEAR(G334)+(MONTH(G334)/100),TC!$5:$37,DAY(G334)+2,FALSE))</f>
        <v>0</v>
      </c>
      <c r="N334" s="306" t="e">
        <f t="shared" si="81"/>
        <v>#N/A</v>
      </c>
      <c r="O334" s="308">
        <f>IF(G334=0,0,VLOOKUP(YEAR(G334),INPC!$B$4:$P$30,MONTH(G334)+2))</f>
        <v>0</v>
      </c>
      <c r="P334" s="308">
        <f>IF(W334=0,0,IF(OR(C334=$AQ$5,C334=AQ338),VLOOKUP(YEAR(W334),INPC!$B$4:$P$30,MONTH(W334)+1),VLOOKUP(YEAR(W334),INPC!$B$4:$P$30,MONTH(W334)+2)))</f>
        <v>0</v>
      </c>
      <c r="Q334" s="309">
        <f t="shared" si="82"/>
        <v>0</v>
      </c>
      <c r="R334" s="310" t="e">
        <f t="shared" si="83"/>
        <v>#N/A</v>
      </c>
      <c r="S334" s="310">
        <f t="shared" si="84"/>
        <v>0</v>
      </c>
      <c r="T334" s="567" t="str">
        <f t="shared" si="85"/>
        <v>NO</v>
      </c>
      <c r="U334" s="323"/>
      <c r="V334" s="299"/>
      <c r="W334" s="300"/>
      <c r="X334" s="299"/>
      <c r="Y334" s="303"/>
      <c r="Z334" s="305">
        <f>IF(Y334=0,0,IF(X334="MXN",1/HLOOKUP(YEAR(W334)+(MONTH(W334)/100),TC!$5:$37,DAY(W334)+2,FALSE),VLOOKUP(X334,Equivalencia!$1:$23,((MAX(Equivalencia!$3:$3)-YEAR(W334))*14)+MONTH(W334)+2,FALSE)))</f>
        <v>0</v>
      </c>
      <c r="AA334" s="306">
        <f t="shared" si="86"/>
        <v>0</v>
      </c>
      <c r="AB334" s="305">
        <f>+IF(W334=0,0,HLOOKUP(YEAR(W334)+(MONTH(W334)/100),TC!$5:$37,DAY(W334)+2,FALSE))</f>
        <v>0</v>
      </c>
      <c r="AC334" s="306">
        <f t="shared" si="87"/>
        <v>0</v>
      </c>
      <c r="AD334" s="314">
        <f t="shared" si="78"/>
        <v>0</v>
      </c>
      <c r="AE334" s="315">
        <f t="shared" si="88"/>
        <v>0</v>
      </c>
      <c r="AF334" s="316">
        <f t="shared" si="79"/>
        <v>0</v>
      </c>
      <c r="AG334" s="314">
        <v>1</v>
      </c>
      <c r="AH334" s="314">
        <f t="shared" si="89"/>
        <v>0</v>
      </c>
      <c r="AI334" s="314">
        <f t="shared" si="90"/>
        <v>0</v>
      </c>
      <c r="AJ334" s="317"/>
      <c r="AK334" s="315" t="e">
        <f t="shared" si="91"/>
        <v>#N/A</v>
      </c>
      <c r="AM334" s="561"/>
      <c r="AN334" s="561"/>
      <c r="AO334" s="561"/>
    </row>
    <row r="335" spans="2:41">
      <c r="B335" s="296"/>
      <c r="C335" s="299"/>
      <c r="D335" s="296"/>
      <c r="E335" s="298"/>
      <c r="F335" s="299"/>
      <c r="G335" s="300"/>
      <c r="H335" s="303"/>
      <c r="I335" s="303"/>
      <c r="J335" s="322">
        <f t="shared" si="77"/>
        <v>0</v>
      </c>
      <c r="K335" s="305" t="e">
        <f>IF(F335="MXN",1/HLOOKUP(YEAR(G335)+(MONTH(G335)/100),TC!$5:$37,DAY(G335)+2,FALSE),VLOOKUP(F335,Equivalencia!$5:$23,((MAX(Equivalencia!$3:$3)-YEAR(G335))*14)+MONTH(G335)+2,FALSE))</f>
        <v>#N/A</v>
      </c>
      <c r="L335" s="306" t="e">
        <f t="shared" si="80"/>
        <v>#N/A</v>
      </c>
      <c r="M335" s="305">
        <f>IF(G335=0,0,HLOOKUP(YEAR(G335)+(MONTH(G335)/100),TC!$5:$37,DAY(G335)+2,FALSE))</f>
        <v>0</v>
      </c>
      <c r="N335" s="306" t="e">
        <f t="shared" si="81"/>
        <v>#N/A</v>
      </c>
      <c r="O335" s="308">
        <f>IF(G335=0,0,VLOOKUP(YEAR(G335),INPC!$B$4:$P$30,MONTH(G335)+2))</f>
        <v>0</v>
      </c>
      <c r="P335" s="308">
        <f>IF(W335=0,0,IF(OR(C335=$AQ$5,C335=AQ339),VLOOKUP(YEAR(W335),INPC!$B$4:$P$30,MONTH(W335)+1),VLOOKUP(YEAR(W335),INPC!$B$4:$P$30,MONTH(W335)+2)))</f>
        <v>0</v>
      </c>
      <c r="Q335" s="309">
        <f t="shared" si="82"/>
        <v>0</v>
      </c>
      <c r="R335" s="310" t="e">
        <f t="shared" si="83"/>
        <v>#N/A</v>
      </c>
      <c r="S335" s="310">
        <f t="shared" si="84"/>
        <v>0</v>
      </c>
      <c r="T335" s="567" t="str">
        <f t="shared" si="85"/>
        <v>NO</v>
      </c>
      <c r="U335" s="323"/>
      <c r="V335" s="299"/>
      <c r="W335" s="300"/>
      <c r="X335" s="299"/>
      <c r="Y335" s="303"/>
      <c r="Z335" s="305">
        <f>IF(Y335=0,0,IF(X335="MXN",1/HLOOKUP(YEAR(W335)+(MONTH(W335)/100),TC!$5:$37,DAY(W335)+2,FALSE),VLOOKUP(X335,Equivalencia!$1:$23,((MAX(Equivalencia!$3:$3)-YEAR(W335))*14)+MONTH(W335)+2,FALSE)))</f>
        <v>0</v>
      </c>
      <c r="AA335" s="306">
        <f t="shared" si="86"/>
        <v>0</v>
      </c>
      <c r="AB335" s="305">
        <f>+IF(W335=0,0,HLOOKUP(YEAR(W335)+(MONTH(W335)/100),TC!$5:$37,DAY(W335)+2,FALSE))</f>
        <v>0</v>
      </c>
      <c r="AC335" s="306">
        <f t="shared" si="87"/>
        <v>0</v>
      </c>
      <c r="AD335" s="314">
        <f t="shared" si="78"/>
        <v>0</v>
      </c>
      <c r="AE335" s="315">
        <f t="shared" si="88"/>
        <v>0</v>
      </c>
      <c r="AF335" s="316">
        <f t="shared" si="79"/>
        <v>0</v>
      </c>
      <c r="AG335" s="314">
        <v>1</v>
      </c>
      <c r="AH335" s="314">
        <f t="shared" si="89"/>
        <v>0</v>
      </c>
      <c r="AI335" s="314">
        <f t="shared" si="90"/>
        <v>0</v>
      </c>
      <c r="AJ335" s="317"/>
      <c r="AK335" s="315" t="e">
        <f t="shared" si="91"/>
        <v>#N/A</v>
      </c>
      <c r="AM335" s="561"/>
      <c r="AN335" s="561"/>
      <c r="AO335" s="561"/>
    </row>
    <row r="336" spans="2:41">
      <c r="B336" s="296"/>
      <c r="C336" s="299"/>
      <c r="D336" s="296"/>
      <c r="E336" s="298"/>
      <c r="F336" s="299"/>
      <c r="G336" s="300"/>
      <c r="H336" s="303"/>
      <c r="I336" s="303"/>
      <c r="J336" s="322">
        <f t="shared" si="77"/>
        <v>0</v>
      </c>
      <c r="K336" s="305" t="e">
        <f>IF(F336="MXN",1/HLOOKUP(YEAR(G336)+(MONTH(G336)/100),TC!$5:$37,DAY(G336)+2,FALSE),VLOOKUP(F336,Equivalencia!$5:$23,((MAX(Equivalencia!$3:$3)-YEAR(G336))*14)+MONTH(G336)+2,FALSE))</f>
        <v>#N/A</v>
      </c>
      <c r="L336" s="306" t="e">
        <f t="shared" si="80"/>
        <v>#N/A</v>
      </c>
      <c r="M336" s="305">
        <f>IF(G336=0,0,HLOOKUP(YEAR(G336)+(MONTH(G336)/100),TC!$5:$37,DAY(G336)+2,FALSE))</f>
        <v>0</v>
      </c>
      <c r="N336" s="306" t="e">
        <f t="shared" si="81"/>
        <v>#N/A</v>
      </c>
      <c r="O336" s="308">
        <f>IF(G336=0,0,VLOOKUP(YEAR(G336),INPC!$B$4:$P$30,MONTH(G336)+2))</f>
        <v>0</v>
      </c>
      <c r="P336" s="308">
        <f>IF(W336=0,0,IF(OR(C336=$AQ$5,C336=AQ340),VLOOKUP(YEAR(W336),INPC!$B$4:$P$30,MONTH(W336)+1),VLOOKUP(YEAR(W336),INPC!$B$4:$P$30,MONTH(W336)+2)))</f>
        <v>0</v>
      </c>
      <c r="Q336" s="309">
        <f t="shared" si="82"/>
        <v>0</v>
      </c>
      <c r="R336" s="310" t="e">
        <f t="shared" si="83"/>
        <v>#N/A</v>
      </c>
      <c r="S336" s="310">
        <f t="shared" si="84"/>
        <v>0</v>
      </c>
      <c r="T336" s="567" t="str">
        <f t="shared" si="85"/>
        <v>NO</v>
      </c>
      <c r="U336" s="323"/>
      <c r="V336" s="299"/>
      <c r="W336" s="300"/>
      <c r="X336" s="299"/>
      <c r="Y336" s="303"/>
      <c r="Z336" s="305">
        <f>IF(Y336=0,0,IF(X336="MXN",1/HLOOKUP(YEAR(W336)+(MONTH(W336)/100),TC!$5:$37,DAY(W336)+2,FALSE),VLOOKUP(X336,Equivalencia!$1:$23,((MAX(Equivalencia!$3:$3)-YEAR(W336))*14)+MONTH(W336)+2,FALSE)))</f>
        <v>0</v>
      </c>
      <c r="AA336" s="306">
        <f t="shared" si="86"/>
        <v>0</v>
      </c>
      <c r="AB336" s="305">
        <f>+IF(W336=0,0,HLOOKUP(YEAR(W336)+(MONTH(W336)/100),TC!$5:$37,DAY(W336)+2,FALSE))</f>
        <v>0</v>
      </c>
      <c r="AC336" s="306">
        <f t="shared" si="87"/>
        <v>0</v>
      </c>
      <c r="AD336" s="314">
        <f t="shared" si="78"/>
        <v>0</v>
      </c>
      <c r="AE336" s="315">
        <f t="shared" si="88"/>
        <v>0</v>
      </c>
      <c r="AF336" s="316">
        <f t="shared" si="79"/>
        <v>0</v>
      </c>
      <c r="AG336" s="314">
        <v>1</v>
      </c>
      <c r="AH336" s="314">
        <f t="shared" si="89"/>
        <v>0</v>
      </c>
      <c r="AI336" s="314">
        <f t="shared" si="90"/>
        <v>0</v>
      </c>
      <c r="AJ336" s="317"/>
      <c r="AK336" s="315" t="e">
        <f t="shared" si="91"/>
        <v>#N/A</v>
      </c>
      <c r="AM336" s="561"/>
      <c r="AN336" s="561"/>
      <c r="AO336" s="561"/>
    </row>
    <row r="337" spans="2:41">
      <c r="B337" s="296"/>
      <c r="C337" s="299"/>
      <c r="D337" s="296"/>
      <c r="E337" s="298"/>
      <c r="F337" s="299"/>
      <c r="G337" s="300"/>
      <c r="H337" s="303"/>
      <c r="I337" s="303"/>
      <c r="J337" s="322">
        <f t="shared" si="77"/>
        <v>0</v>
      </c>
      <c r="K337" s="305" t="e">
        <f>IF(F337="MXN",1/HLOOKUP(YEAR(G337)+(MONTH(G337)/100),TC!$5:$37,DAY(G337)+2,FALSE),VLOOKUP(F337,Equivalencia!$5:$23,((MAX(Equivalencia!$3:$3)-YEAR(G337))*14)+MONTH(G337)+2,FALSE))</f>
        <v>#N/A</v>
      </c>
      <c r="L337" s="306" t="e">
        <f t="shared" si="80"/>
        <v>#N/A</v>
      </c>
      <c r="M337" s="305">
        <f>IF(G337=0,0,HLOOKUP(YEAR(G337)+(MONTH(G337)/100),TC!$5:$37,DAY(G337)+2,FALSE))</f>
        <v>0</v>
      </c>
      <c r="N337" s="306" t="e">
        <f t="shared" si="81"/>
        <v>#N/A</v>
      </c>
      <c r="O337" s="308">
        <f>IF(G337=0,0,VLOOKUP(YEAR(G337),INPC!$B$4:$P$30,MONTH(G337)+2))</f>
        <v>0</v>
      </c>
      <c r="P337" s="308">
        <f>IF(W337=0,0,IF(OR(C337=$AQ$5,C337=AQ341),VLOOKUP(YEAR(W337),INPC!$B$4:$P$30,MONTH(W337)+1),VLOOKUP(YEAR(W337),INPC!$B$4:$P$30,MONTH(W337)+2)))</f>
        <v>0</v>
      </c>
      <c r="Q337" s="309">
        <f t="shared" si="82"/>
        <v>0</v>
      </c>
      <c r="R337" s="310" t="e">
        <f t="shared" si="83"/>
        <v>#N/A</v>
      </c>
      <c r="S337" s="310">
        <f t="shared" si="84"/>
        <v>0</v>
      </c>
      <c r="T337" s="567" t="str">
        <f t="shared" si="85"/>
        <v>NO</v>
      </c>
      <c r="U337" s="323"/>
      <c r="V337" s="299"/>
      <c r="W337" s="300"/>
      <c r="X337" s="299"/>
      <c r="Y337" s="303"/>
      <c r="Z337" s="305">
        <f>IF(Y337=0,0,IF(X337="MXN",1/HLOOKUP(YEAR(W337)+(MONTH(W337)/100),TC!$5:$37,DAY(W337)+2,FALSE),VLOOKUP(X337,Equivalencia!$1:$23,((MAX(Equivalencia!$3:$3)-YEAR(W337))*14)+MONTH(W337)+2,FALSE)))</f>
        <v>0</v>
      </c>
      <c r="AA337" s="306">
        <f t="shared" si="86"/>
        <v>0</v>
      </c>
      <c r="AB337" s="305">
        <f>+IF(W337=0,0,HLOOKUP(YEAR(W337)+(MONTH(W337)/100),TC!$5:$37,DAY(W337)+2,FALSE))</f>
        <v>0</v>
      </c>
      <c r="AC337" s="306">
        <f t="shared" si="87"/>
        <v>0</v>
      </c>
      <c r="AD337" s="314">
        <f t="shared" si="78"/>
        <v>0</v>
      </c>
      <c r="AE337" s="315">
        <f t="shared" si="88"/>
        <v>0</v>
      </c>
      <c r="AF337" s="316">
        <f t="shared" si="79"/>
        <v>0</v>
      </c>
      <c r="AG337" s="314">
        <v>1</v>
      </c>
      <c r="AH337" s="314">
        <f t="shared" si="89"/>
        <v>0</v>
      </c>
      <c r="AI337" s="314">
        <f t="shared" si="90"/>
        <v>0</v>
      </c>
      <c r="AJ337" s="317"/>
      <c r="AK337" s="315" t="e">
        <f t="shared" si="91"/>
        <v>#N/A</v>
      </c>
      <c r="AM337" s="561"/>
      <c r="AN337" s="561"/>
      <c r="AO337" s="561"/>
    </row>
    <row r="338" spans="2:41">
      <c r="B338" s="296"/>
      <c r="C338" s="299"/>
      <c r="D338" s="296"/>
      <c r="E338" s="298"/>
      <c r="F338" s="299"/>
      <c r="G338" s="300"/>
      <c r="H338" s="303"/>
      <c r="I338" s="303"/>
      <c r="J338" s="322">
        <f t="shared" si="77"/>
        <v>0</v>
      </c>
      <c r="K338" s="305" t="e">
        <f>IF(F338="MXN",1/HLOOKUP(YEAR(G338)+(MONTH(G338)/100),TC!$5:$37,DAY(G338)+2,FALSE),VLOOKUP(F338,Equivalencia!$5:$23,((MAX(Equivalencia!$3:$3)-YEAR(G338))*14)+MONTH(G338)+2,FALSE))</f>
        <v>#N/A</v>
      </c>
      <c r="L338" s="306" t="e">
        <f t="shared" si="80"/>
        <v>#N/A</v>
      </c>
      <c r="M338" s="305">
        <f>IF(G338=0,0,HLOOKUP(YEAR(G338)+(MONTH(G338)/100),TC!$5:$37,DAY(G338)+2,FALSE))</f>
        <v>0</v>
      </c>
      <c r="N338" s="306" t="e">
        <f t="shared" si="81"/>
        <v>#N/A</v>
      </c>
      <c r="O338" s="308">
        <f>IF(G338=0,0,VLOOKUP(YEAR(G338),INPC!$B$4:$P$30,MONTH(G338)+2))</f>
        <v>0</v>
      </c>
      <c r="P338" s="308">
        <f>IF(W338=0,0,IF(OR(C338=$AQ$5,C338=AQ342),VLOOKUP(YEAR(W338),INPC!$B$4:$P$30,MONTH(W338)+1),VLOOKUP(YEAR(W338),INPC!$B$4:$P$30,MONTH(W338)+2)))</f>
        <v>0</v>
      </c>
      <c r="Q338" s="309">
        <f t="shared" si="82"/>
        <v>0</v>
      </c>
      <c r="R338" s="310" t="e">
        <f t="shared" si="83"/>
        <v>#N/A</v>
      </c>
      <c r="S338" s="310">
        <f t="shared" si="84"/>
        <v>0</v>
      </c>
      <c r="T338" s="567" t="str">
        <f t="shared" si="85"/>
        <v>NO</v>
      </c>
      <c r="U338" s="323"/>
      <c r="V338" s="299"/>
      <c r="W338" s="300"/>
      <c r="X338" s="299"/>
      <c r="Y338" s="303"/>
      <c r="Z338" s="305">
        <f>IF(Y338=0,0,IF(X338="MXN",1/HLOOKUP(YEAR(W338)+(MONTH(W338)/100),TC!$5:$37,DAY(W338)+2,FALSE),VLOOKUP(X338,Equivalencia!$1:$23,((MAX(Equivalencia!$3:$3)-YEAR(W338))*14)+MONTH(W338)+2,FALSE)))</f>
        <v>0</v>
      </c>
      <c r="AA338" s="306">
        <f t="shared" si="86"/>
        <v>0</v>
      </c>
      <c r="AB338" s="305">
        <f>+IF(W338=0,0,HLOOKUP(YEAR(W338)+(MONTH(W338)/100),TC!$5:$37,DAY(W338)+2,FALSE))</f>
        <v>0</v>
      </c>
      <c r="AC338" s="306">
        <f t="shared" si="87"/>
        <v>0</v>
      </c>
      <c r="AD338" s="314">
        <f t="shared" si="78"/>
        <v>0</v>
      </c>
      <c r="AE338" s="315">
        <f t="shared" si="88"/>
        <v>0</v>
      </c>
      <c r="AF338" s="316">
        <f t="shared" si="79"/>
        <v>0</v>
      </c>
      <c r="AG338" s="314">
        <v>1</v>
      </c>
      <c r="AH338" s="314">
        <f t="shared" si="89"/>
        <v>0</v>
      </c>
      <c r="AI338" s="314">
        <f t="shared" si="90"/>
        <v>0</v>
      </c>
      <c r="AJ338" s="317"/>
      <c r="AK338" s="315" t="e">
        <f t="shared" si="91"/>
        <v>#N/A</v>
      </c>
      <c r="AM338" s="561"/>
      <c r="AN338" s="561"/>
      <c r="AO338" s="561"/>
    </row>
    <row r="339" spans="2:41">
      <c r="B339" s="296"/>
      <c r="C339" s="299"/>
      <c r="D339" s="296"/>
      <c r="E339" s="298"/>
      <c r="F339" s="299"/>
      <c r="G339" s="300"/>
      <c r="H339" s="303"/>
      <c r="I339" s="303"/>
      <c r="J339" s="322">
        <f t="shared" si="77"/>
        <v>0</v>
      </c>
      <c r="K339" s="305" t="e">
        <f>IF(F339="MXN",1/HLOOKUP(YEAR(G339)+(MONTH(G339)/100),TC!$5:$37,DAY(G339)+2,FALSE),VLOOKUP(F339,Equivalencia!$5:$23,((MAX(Equivalencia!$3:$3)-YEAR(G339))*14)+MONTH(G339)+2,FALSE))</f>
        <v>#N/A</v>
      </c>
      <c r="L339" s="306" t="e">
        <f t="shared" si="80"/>
        <v>#N/A</v>
      </c>
      <c r="M339" s="305">
        <f>IF(G339=0,0,HLOOKUP(YEAR(G339)+(MONTH(G339)/100),TC!$5:$37,DAY(G339)+2,FALSE))</f>
        <v>0</v>
      </c>
      <c r="N339" s="306" t="e">
        <f t="shared" si="81"/>
        <v>#N/A</v>
      </c>
      <c r="O339" s="308">
        <f>IF(G339=0,0,VLOOKUP(YEAR(G339),INPC!$B$4:$P$30,MONTH(G339)+2))</f>
        <v>0</v>
      </c>
      <c r="P339" s="308">
        <f>IF(W339=0,0,IF(OR(C339=$AQ$5,C339=AQ343),VLOOKUP(YEAR(W339),INPC!$B$4:$P$30,MONTH(W339)+1),VLOOKUP(YEAR(W339),INPC!$B$4:$P$30,MONTH(W339)+2)))</f>
        <v>0</v>
      </c>
      <c r="Q339" s="309">
        <f t="shared" si="82"/>
        <v>0</v>
      </c>
      <c r="R339" s="310" t="e">
        <f t="shared" si="83"/>
        <v>#N/A</v>
      </c>
      <c r="S339" s="310">
        <f t="shared" si="84"/>
        <v>0</v>
      </c>
      <c r="T339" s="567" t="str">
        <f t="shared" si="85"/>
        <v>NO</v>
      </c>
      <c r="U339" s="323"/>
      <c r="V339" s="299"/>
      <c r="W339" s="300"/>
      <c r="X339" s="299"/>
      <c r="Y339" s="303"/>
      <c r="Z339" s="305">
        <f>IF(Y339=0,0,IF(X339="MXN",1/HLOOKUP(YEAR(W339)+(MONTH(W339)/100),TC!$5:$37,DAY(W339)+2,FALSE),VLOOKUP(X339,Equivalencia!$1:$23,((MAX(Equivalencia!$3:$3)-YEAR(W339))*14)+MONTH(W339)+2,FALSE)))</f>
        <v>0</v>
      </c>
      <c r="AA339" s="306">
        <f t="shared" si="86"/>
        <v>0</v>
      </c>
      <c r="AB339" s="305">
        <f>+IF(W339=0,0,HLOOKUP(YEAR(W339)+(MONTH(W339)/100),TC!$5:$37,DAY(W339)+2,FALSE))</f>
        <v>0</v>
      </c>
      <c r="AC339" s="306">
        <f t="shared" si="87"/>
        <v>0</v>
      </c>
      <c r="AD339" s="314">
        <f t="shared" si="78"/>
        <v>0</v>
      </c>
      <c r="AE339" s="315">
        <f t="shared" si="88"/>
        <v>0</v>
      </c>
      <c r="AF339" s="316">
        <f t="shared" si="79"/>
        <v>0</v>
      </c>
      <c r="AG339" s="314">
        <v>1</v>
      </c>
      <c r="AH339" s="314">
        <f t="shared" si="89"/>
        <v>0</v>
      </c>
      <c r="AI339" s="314">
        <f t="shared" si="90"/>
        <v>0</v>
      </c>
      <c r="AJ339" s="317"/>
      <c r="AK339" s="315" t="e">
        <f t="shared" si="91"/>
        <v>#N/A</v>
      </c>
      <c r="AM339" s="561"/>
      <c r="AN339" s="561"/>
      <c r="AO339" s="561"/>
    </row>
    <row r="340" spans="2:41">
      <c r="B340" s="296"/>
      <c r="C340" s="299"/>
      <c r="D340" s="296"/>
      <c r="E340" s="298"/>
      <c r="F340" s="299"/>
      <c r="G340" s="300"/>
      <c r="H340" s="303"/>
      <c r="I340" s="303"/>
      <c r="J340" s="322">
        <f t="shared" si="77"/>
        <v>0</v>
      </c>
      <c r="K340" s="305" t="e">
        <f>IF(F340="MXN",1/HLOOKUP(YEAR(G340)+(MONTH(G340)/100),TC!$5:$37,DAY(G340)+2,FALSE),VLOOKUP(F340,Equivalencia!$5:$23,((MAX(Equivalencia!$3:$3)-YEAR(G340))*14)+MONTH(G340)+2,FALSE))</f>
        <v>#N/A</v>
      </c>
      <c r="L340" s="306" t="e">
        <f t="shared" si="80"/>
        <v>#N/A</v>
      </c>
      <c r="M340" s="305">
        <f>IF(G340=0,0,HLOOKUP(YEAR(G340)+(MONTH(G340)/100),TC!$5:$37,DAY(G340)+2,FALSE))</f>
        <v>0</v>
      </c>
      <c r="N340" s="306" t="e">
        <f t="shared" si="81"/>
        <v>#N/A</v>
      </c>
      <c r="O340" s="308">
        <f>IF(G340=0,0,VLOOKUP(YEAR(G340),INPC!$B$4:$P$30,MONTH(G340)+2))</f>
        <v>0</v>
      </c>
      <c r="P340" s="308">
        <f>IF(W340=0,0,IF(OR(C340=$AQ$5,C340=AQ344),VLOOKUP(YEAR(W340),INPC!$B$4:$P$30,MONTH(W340)+1),VLOOKUP(YEAR(W340),INPC!$B$4:$P$30,MONTH(W340)+2)))</f>
        <v>0</v>
      </c>
      <c r="Q340" s="309">
        <f t="shared" si="82"/>
        <v>0</v>
      </c>
      <c r="R340" s="310" t="e">
        <f t="shared" si="83"/>
        <v>#N/A</v>
      </c>
      <c r="S340" s="310">
        <f t="shared" si="84"/>
        <v>0</v>
      </c>
      <c r="T340" s="567" t="str">
        <f t="shared" si="85"/>
        <v>NO</v>
      </c>
      <c r="U340" s="323"/>
      <c r="V340" s="299"/>
      <c r="W340" s="300"/>
      <c r="X340" s="299"/>
      <c r="Y340" s="303"/>
      <c r="Z340" s="305">
        <f>IF(Y340=0,0,IF(X340="MXN",1/HLOOKUP(YEAR(W340)+(MONTH(W340)/100),TC!$5:$37,DAY(W340)+2,FALSE),VLOOKUP(X340,Equivalencia!$1:$23,((MAX(Equivalencia!$3:$3)-YEAR(W340))*14)+MONTH(W340)+2,FALSE)))</f>
        <v>0</v>
      </c>
      <c r="AA340" s="306">
        <f t="shared" si="86"/>
        <v>0</v>
      </c>
      <c r="AB340" s="305">
        <f>+IF(W340=0,0,HLOOKUP(YEAR(W340)+(MONTH(W340)/100),TC!$5:$37,DAY(W340)+2,FALSE))</f>
        <v>0</v>
      </c>
      <c r="AC340" s="306">
        <f t="shared" si="87"/>
        <v>0</v>
      </c>
      <c r="AD340" s="314">
        <f t="shared" si="78"/>
        <v>0</v>
      </c>
      <c r="AE340" s="315">
        <f t="shared" si="88"/>
        <v>0</v>
      </c>
      <c r="AF340" s="316">
        <f t="shared" si="79"/>
        <v>0</v>
      </c>
      <c r="AG340" s="314">
        <v>1</v>
      </c>
      <c r="AH340" s="314">
        <f t="shared" si="89"/>
        <v>0</v>
      </c>
      <c r="AI340" s="314">
        <f t="shared" si="90"/>
        <v>0</v>
      </c>
      <c r="AJ340" s="317"/>
      <c r="AK340" s="315" t="e">
        <f t="shared" si="91"/>
        <v>#N/A</v>
      </c>
      <c r="AM340" s="561"/>
      <c r="AN340" s="561"/>
      <c r="AO340" s="561"/>
    </row>
    <row r="341" spans="2:41">
      <c r="B341" s="296"/>
      <c r="C341" s="299"/>
      <c r="D341" s="296"/>
      <c r="E341" s="298"/>
      <c r="F341" s="299"/>
      <c r="G341" s="300"/>
      <c r="H341" s="303"/>
      <c r="I341" s="303"/>
      <c r="J341" s="322">
        <f t="shared" si="77"/>
        <v>0</v>
      </c>
      <c r="K341" s="305" t="e">
        <f>IF(F341="MXN",1/HLOOKUP(YEAR(G341)+(MONTH(G341)/100),TC!$5:$37,DAY(G341)+2,FALSE),VLOOKUP(F341,Equivalencia!$5:$23,((MAX(Equivalencia!$3:$3)-YEAR(G341))*14)+MONTH(G341)+2,FALSE))</f>
        <v>#N/A</v>
      </c>
      <c r="L341" s="306" t="e">
        <f t="shared" si="80"/>
        <v>#N/A</v>
      </c>
      <c r="M341" s="305">
        <f>IF(G341=0,0,HLOOKUP(YEAR(G341)+(MONTH(G341)/100),TC!$5:$37,DAY(G341)+2,FALSE))</f>
        <v>0</v>
      </c>
      <c r="N341" s="306" t="e">
        <f t="shared" si="81"/>
        <v>#N/A</v>
      </c>
      <c r="O341" s="308">
        <f>IF(G341=0,0,VLOOKUP(YEAR(G341),INPC!$B$4:$P$30,MONTH(G341)+2))</f>
        <v>0</v>
      </c>
      <c r="P341" s="308">
        <f>IF(W341=0,0,IF(OR(C341=$AQ$5,C341=AQ345),VLOOKUP(YEAR(W341),INPC!$B$4:$P$30,MONTH(W341)+1),VLOOKUP(YEAR(W341),INPC!$B$4:$P$30,MONTH(W341)+2)))</f>
        <v>0</v>
      </c>
      <c r="Q341" s="309">
        <f t="shared" si="82"/>
        <v>0</v>
      </c>
      <c r="R341" s="310" t="e">
        <f t="shared" si="83"/>
        <v>#N/A</v>
      </c>
      <c r="S341" s="310">
        <f t="shared" si="84"/>
        <v>0</v>
      </c>
      <c r="T341" s="567" t="str">
        <f t="shared" si="85"/>
        <v>NO</v>
      </c>
      <c r="U341" s="323"/>
      <c r="V341" s="299"/>
      <c r="W341" s="300"/>
      <c r="X341" s="299"/>
      <c r="Y341" s="303"/>
      <c r="Z341" s="305">
        <f>IF(Y341=0,0,IF(X341="MXN",1/HLOOKUP(YEAR(W341)+(MONTH(W341)/100),TC!$5:$37,DAY(W341)+2,FALSE),VLOOKUP(X341,Equivalencia!$1:$23,((MAX(Equivalencia!$3:$3)-YEAR(W341))*14)+MONTH(W341)+2,FALSE)))</f>
        <v>0</v>
      </c>
      <c r="AA341" s="306">
        <f t="shared" si="86"/>
        <v>0</v>
      </c>
      <c r="AB341" s="305">
        <f>+IF(W341=0,0,HLOOKUP(YEAR(W341)+(MONTH(W341)/100),TC!$5:$37,DAY(W341)+2,FALSE))</f>
        <v>0</v>
      </c>
      <c r="AC341" s="306">
        <f t="shared" si="87"/>
        <v>0</v>
      </c>
      <c r="AD341" s="314">
        <f t="shared" si="78"/>
        <v>0</v>
      </c>
      <c r="AE341" s="315">
        <f t="shared" si="88"/>
        <v>0</v>
      </c>
      <c r="AF341" s="316">
        <f t="shared" si="79"/>
        <v>0</v>
      </c>
      <c r="AG341" s="314">
        <v>1</v>
      </c>
      <c r="AH341" s="314">
        <f t="shared" si="89"/>
        <v>0</v>
      </c>
      <c r="AI341" s="314">
        <f t="shared" si="90"/>
        <v>0</v>
      </c>
      <c r="AJ341" s="317"/>
      <c r="AK341" s="315" t="e">
        <f t="shared" si="91"/>
        <v>#N/A</v>
      </c>
      <c r="AM341" s="561"/>
      <c r="AN341" s="561"/>
      <c r="AO341" s="561"/>
    </row>
    <row r="342" spans="2:41">
      <c r="B342" s="296"/>
      <c r="C342" s="299"/>
      <c r="D342" s="296"/>
      <c r="E342" s="298"/>
      <c r="F342" s="299"/>
      <c r="G342" s="300"/>
      <c r="H342" s="303"/>
      <c r="I342" s="303"/>
      <c r="J342" s="322">
        <f t="shared" si="77"/>
        <v>0</v>
      </c>
      <c r="K342" s="305" t="e">
        <f>IF(F342="MXN",1/HLOOKUP(YEAR(G342)+(MONTH(G342)/100),TC!$5:$37,DAY(G342)+2,FALSE),VLOOKUP(F342,Equivalencia!$5:$23,((MAX(Equivalencia!$3:$3)-YEAR(G342))*14)+MONTH(G342)+2,FALSE))</f>
        <v>#N/A</v>
      </c>
      <c r="L342" s="306" t="e">
        <f t="shared" si="80"/>
        <v>#N/A</v>
      </c>
      <c r="M342" s="305">
        <f>IF(G342=0,0,HLOOKUP(YEAR(G342)+(MONTH(G342)/100),TC!$5:$37,DAY(G342)+2,FALSE))</f>
        <v>0</v>
      </c>
      <c r="N342" s="306" t="e">
        <f t="shared" si="81"/>
        <v>#N/A</v>
      </c>
      <c r="O342" s="308">
        <f>IF(G342=0,0,VLOOKUP(YEAR(G342),INPC!$B$4:$P$30,MONTH(G342)+2))</f>
        <v>0</v>
      </c>
      <c r="P342" s="308">
        <f>IF(W342=0,0,IF(OR(C342=$AQ$5,C342=AQ346),VLOOKUP(YEAR(W342),INPC!$B$4:$P$30,MONTH(W342)+1),VLOOKUP(YEAR(W342),INPC!$B$4:$P$30,MONTH(W342)+2)))</f>
        <v>0</v>
      </c>
      <c r="Q342" s="309">
        <f t="shared" si="82"/>
        <v>0</v>
      </c>
      <c r="R342" s="310" t="e">
        <f t="shared" si="83"/>
        <v>#N/A</v>
      </c>
      <c r="S342" s="310">
        <f t="shared" si="84"/>
        <v>0</v>
      </c>
      <c r="T342" s="567" t="str">
        <f t="shared" si="85"/>
        <v>NO</v>
      </c>
      <c r="U342" s="323"/>
      <c r="V342" s="299"/>
      <c r="W342" s="300"/>
      <c r="X342" s="299"/>
      <c r="Y342" s="303"/>
      <c r="Z342" s="305">
        <f>IF(Y342=0,0,IF(X342="MXN",1/HLOOKUP(YEAR(W342)+(MONTH(W342)/100),TC!$5:$37,DAY(W342)+2,FALSE),VLOOKUP(X342,Equivalencia!$1:$23,((MAX(Equivalencia!$3:$3)-YEAR(W342))*14)+MONTH(W342)+2,FALSE)))</f>
        <v>0</v>
      </c>
      <c r="AA342" s="306">
        <f t="shared" si="86"/>
        <v>0</v>
      </c>
      <c r="AB342" s="305">
        <f>+IF(W342=0,0,HLOOKUP(YEAR(W342)+(MONTH(W342)/100),TC!$5:$37,DAY(W342)+2,FALSE))</f>
        <v>0</v>
      </c>
      <c r="AC342" s="306">
        <f t="shared" si="87"/>
        <v>0</v>
      </c>
      <c r="AD342" s="314">
        <f t="shared" si="78"/>
        <v>0</v>
      </c>
      <c r="AE342" s="315">
        <f t="shared" si="88"/>
        <v>0</v>
      </c>
      <c r="AF342" s="316">
        <f t="shared" si="79"/>
        <v>0</v>
      </c>
      <c r="AG342" s="314">
        <v>1</v>
      </c>
      <c r="AH342" s="314">
        <f t="shared" si="89"/>
        <v>0</v>
      </c>
      <c r="AI342" s="314">
        <f t="shared" si="90"/>
        <v>0</v>
      </c>
      <c r="AJ342" s="317"/>
      <c r="AK342" s="315" t="e">
        <f t="shared" si="91"/>
        <v>#N/A</v>
      </c>
      <c r="AM342" s="561"/>
      <c r="AN342" s="561"/>
      <c r="AO342" s="561"/>
    </row>
    <row r="343" spans="2:41">
      <c r="B343" s="296"/>
      <c r="C343" s="299"/>
      <c r="D343" s="296"/>
      <c r="E343" s="298"/>
      <c r="F343" s="299"/>
      <c r="G343" s="300"/>
      <c r="H343" s="303"/>
      <c r="I343" s="303"/>
      <c r="J343" s="322">
        <f t="shared" si="77"/>
        <v>0</v>
      </c>
      <c r="K343" s="305" t="e">
        <f>IF(F343="MXN",1/HLOOKUP(YEAR(G343)+(MONTH(G343)/100),TC!$5:$37,DAY(G343)+2,FALSE),VLOOKUP(F343,Equivalencia!$5:$23,((MAX(Equivalencia!$3:$3)-YEAR(G343))*14)+MONTH(G343)+2,FALSE))</f>
        <v>#N/A</v>
      </c>
      <c r="L343" s="306" t="e">
        <f t="shared" si="80"/>
        <v>#N/A</v>
      </c>
      <c r="M343" s="305">
        <f>IF(G343=0,0,HLOOKUP(YEAR(G343)+(MONTH(G343)/100),TC!$5:$37,DAY(G343)+2,FALSE))</f>
        <v>0</v>
      </c>
      <c r="N343" s="306" t="e">
        <f t="shared" si="81"/>
        <v>#N/A</v>
      </c>
      <c r="O343" s="308">
        <f>IF(G343=0,0,VLOOKUP(YEAR(G343),INPC!$B$4:$P$30,MONTH(G343)+2))</f>
        <v>0</v>
      </c>
      <c r="P343" s="308">
        <f>IF(W343=0,0,IF(OR(C343=$AQ$5,C343=AQ347),VLOOKUP(YEAR(W343),INPC!$B$4:$P$30,MONTH(W343)+1),VLOOKUP(YEAR(W343),INPC!$B$4:$P$30,MONTH(W343)+2)))</f>
        <v>0</v>
      </c>
      <c r="Q343" s="309">
        <f t="shared" si="82"/>
        <v>0</v>
      </c>
      <c r="R343" s="310" t="e">
        <f t="shared" si="83"/>
        <v>#N/A</v>
      </c>
      <c r="S343" s="310">
        <f t="shared" si="84"/>
        <v>0</v>
      </c>
      <c r="T343" s="567" t="str">
        <f t="shared" si="85"/>
        <v>NO</v>
      </c>
      <c r="U343" s="323"/>
      <c r="V343" s="299"/>
      <c r="W343" s="300"/>
      <c r="X343" s="299"/>
      <c r="Y343" s="303"/>
      <c r="Z343" s="305">
        <f>IF(Y343=0,0,IF(X343="MXN",1/HLOOKUP(YEAR(W343)+(MONTH(W343)/100),TC!$5:$37,DAY(W343)+2,FALSE),VLOOKUP(X343,Equivalencia!$1:$23,((MAX(Equivalencia!$3:$3)-YEAR(W343))*14)+MONTH(W343)+2,FALSE)))</f>
        <v>0</v>
      </c>
      <c r="AA343" s="306">
        <f t="shared" si="86"/>
        <v>0</v>
      </c>
      <c r="AB343" s="305">
        <f>+IF(W343=0,0,HLOOKUP(YEAR(W343)+(MONTH(W343)/100),TC!$5:$37,DAY(W343)+2,FALSE))</f>
        <v>0</v>
      </c>
      <c r="AC343" s="306">
        <f t="shared" si="87"/>
        <v>0</v>
      </c>
      <c r="AD343" s="314">
        <f t="shared" si="78"/>
        <v>0</v>
      </c>
      <c r="AE343" s="315">
        <f t="shared" si="88"/>
        <v>0</v>
      </c>
      <c r="AF343" s="316">
        <f t="shared" si="79"/>
        <v>0</v>
      </c>
      <c r="AG343" s="314">
        <v>1</v>
      </c>
      <c r="AH343" s="314">
        <f t="shared" si="89"/>
        <v>0</v>
      </c>
      <c r="AI343" s="314">
        <f t="shared" si="90"/>
        <v>0</v>
      </c>
      <c r="AJ343" s="317"/>
      <c r="AK343" s="315" t="e">
        <f t="shared" si="91"/>
        <v>#N/A</v>
      </c>
      <c r="AM343" s="561"/>
      <c r="AN343" s="561"/>
      <c r="AO343" s="561"/>
    </row>
    <row r="344" spans="2:41">
      <c r="B344" s="296"/>
      <c r="C344" s="299"/>
      <c r="D344" s="296"/>
      <c r="E344" s="298"/>
      <c r="F344" s="299"/>
      <c r="G344" s="300"/>
      <c r="H344" s="303"/>
      <c r="I344" s="303"/>
      <c r="J344" s="322">
        <f t="shared" si="77"/>
        <v>0</v>
      </c>
      <c r="K344" s="305" t="e">
        <f>IF(F344="MXN",1/HLOOKUP(YEAR(G344)+(MONTH(G344)/100),TC!$5:$37,DAY(G344)+2,FALSE),VLOOKUP(F344,Equivalencia!$5:$23,((MAX(Equivalencia!$3:$3)-YEAR(G344))*14)+MONTH(G344)+2,FALSE))</f>
        <v>#N/A</v>
      </c>
      <c r="L344" s="306" t="e">
        <f t="shared" si="80"/>
        <v>#N/A</v>
      </c>
      <c r="M344" s="305">
        <f>IF(G344=0,0,HLOOKUP(YEAR(G344)+(MONTH(G344)/100),TC!$5:$37,DAY(G344)+2,FALSE))</f>
        <v>0</v>
      </c>
      <c r="N344" s="306" t="e">
        <f t="shared" si="81"/>
        <v>#N/A</v>
      </c>
      <c r="O344" s="308">
        <f>IF(G344=0,0,VLOOKUP(YEAR(G344),INPC!$B$4:$P$30,MONTH(G344)+2))</f>
        <v>0</v>
      </c>
      <c r="P344" s="308">
        <f>IF(W344=0,0,IF(OR(C344=$AQ$5,C344=AQ348),VLOOKUP(YEAR(W344),INPC!$B$4:$P$30,MONTH(W344)+1),VLOOKUP(YEAR(W344),INPC!$B$4:$P$30,MONTH(W344)+2)))</f>
        <v>0</v>
      </c>
      <c r="Q344" s="309">
        <f t="shared" si="82"/>
        <v>0</v>
      </c>
      <c r="R344" s="310" t="e">
        <f t="shared" si="83"/>
        <v>#N/A</v>
      </c>
      <c r="S344" s="310">
        <f t="shared" si="84"/>
        <v>0</v>
      </c>
      <c r="T344" s="567" t="str">
        <f t="shared" si="85"/>
        <v>NO</v>
      </c>
      <c r="U344" s="323"/>
      <c r="V344" s="299"/>
      <c r="W344" s="300"/>
      <c r="X344" s="299"/>
      <c r="Y344" s="303"/>
      <c r="Z344" s="305">
        <f>IF(Y344=0,0,IF(X344="MXN",1/HLOOKUP(YEAR(W344)+(MONTH(W344)/100),TC!$5:$37,DAY(W344)+2,FALSE),VLOOKUP(X344,Equivalencia!$1:$23,((MAX(Equivalencia!$3:$3)-YEAR(W344))*14)+MONTH(W344)+2,FALSE)))</f>
        <v>0</v>
      </c>
      <c r="AA344" s="306">
        <f t="shared" si="86"/>
        <v>0</v>
      </c>
      <c r="AB344" s="305">
        <f>+IF(W344=0,0,HLOOKUP(YEAR(W344)+(MONTH(W344)/100),TC!$5:$37,DAY(W344)+2,FALSE))</f>
        <v>0</v>
      </c>
      <c r="AC344" s="306">
        <f t="shared" si="87"/>
        <v>0</v>
      </c>
      <c r="AD344" s="314">
        <f t="shared" si="78"/>
        <v>0</v>
      </c>
      <c r="AE344" s="315">
        <f t="shared" si="88"/>
        <v>0</v>
      </c>
      <c r="AF344" s="316">
        <f t="shared" si="79"/>
        <v>0</v>
      </c>
      <c r="AG344" s="314">
        <v>1</v>
      </c>
      <c r="AH344" s="314">
        <f t="shared" si="89"/>
        <v>0</v>
      </c>
      <c r="AI344" s="314">
        <f t="shared" si="90"/>
        <v>0</v>
      </c>
      <c r="AJ344" s="317"/>
      <c r="AK344" s="315" t="e">
        <f t="shared" si="91"/>
        <v>#N/A</v>
      </c>
      <c r="AM344" s="561"/>
      <c r="AN344" s="561"/>
      <c r="AO344" s="561"/>
    </row>
    <row r="345" spans="2:41">
      <c r="B345" s="296"/>
      <c r="C345" s="299"/>
      <c r="D345" s="296"/>
      <c r="E345" s="298"/>
      <c r="F345" s="299"/>
      <c r="G345" s="300"/>
      <c r="H345" s="303"/>
      <c r="I345" s="303"/>
      <c r="J345" s="322">
        <f t="shared" si="77"/>
        <v>0</v>
      </c>
      <c r="K345" s="305" t="e">
        <f>IF(F345="MXN",1/HLOOKUP(YEAR(G345)+(MONTH(G345)/100),TC!$5:$37,DAY(G345)+2,FALSE),VLOOKUP(F345,Equivalencia!$5:$23,((MAX(Equivalencia!$3:$3)-YEAR(G345))*14)+MONTH(G345)+2,FALSE))</f>
        <v>#N/A</v>
      </c>
      <c r="L345" s="306" t="e">
        <f t="shared" si="80"/>
        <v>#N/A</v>
      </c>
      <c r="M345" s="305">
        <f>IF(G345=0,0,HLOOKUP(YEAR(G345)+(MONTH(G345)/100),TC!$5:$37,DAY(G345)+2,FALSE))</f>
        <v>0</v>
      </c>
      <c r="N345" s="306" t="e">
        <f t="shared" si="81"/>
        <v>#N/A</v>
      </c>
      <c r="O345" s="308">
        <f>IF(G345=0,0,VLOOKUP(YEAR(G345),INPC!$B$4:$P$30,MONTH(G345)+2))</f>
        <v>0</v>
      </c>
      <c r="P345" s="308">
        <f>IF(W345=0,0,IF(OR(C345=$AQ$5,C345=AQ349),VLOOKUP(YEAR(W345),INPC!$B$4:$P$30,MONTH(W345)+1),VLOOKUP(YEAR(W345),INPC!$B$4:$P$30,MONTH(W345)+2)))</f>
        <v>0</v>
      </c>
      <c r="Q345" s="309">
        <f t="shared" si="82"/>
        <v>0</v>
      </c>
      <c r="R345" s="310" t="e">
        <f t="shared" si="83"/>
        <v>#N/A</v>
      </c>
      <c r="S345" s="310">
        <f t="shared" si="84"/>
        <v>0</v>
      </c>
      <c r="T345" s="567" t="str">
        <f t="shared" si="85"/>
        <v>NO</v>
      </c>
      <c r="U345" s="323"/>
      <c r="V345" s="299"/>
      <c r="W345" s="300"/>
      <c r="X345" s="299"/>
      <c r="Y345" s="303"/>
      <c r="Z345" s="305">
        <f>IF(Y345=0,0,IF(X345="MXN",1/HLOOKUP(YEAR(W345)+(MONTH(W345)/100),TC!$5:$37,DAY(W345)+2,FALSE),VLOOKUP(X345,Equivalencia!$1:$23,((MAX(Equivalencia!$3:$3)-YEAR(W345))*14)+MONTH(W345)+2,FALSE)))</f>
        <v>0</v>
      </c>
      <c r="AA345" s="306">
        <f t="shared" si="86"/>
        <v>0</v>
      </c>
      <c r="AB345" s="305">
        <f>+IF(W345=0,0,HLOOKUP(YEAR(W345)+(MONTH(W345)/100),TC!$5:$37,DAY(W345)+2,FALSE))</f>
        <v>0</v>
      </c>
      <c r="AC345" s="306">
        <f t="shared" si="87"/>
        <v>0</v>
      </c>
      <c r="AD345" s="314">
        <f t="shared" si="78"/>
        <v>0</v>
      </c>
      <c r="AE345" s="315">
        <f t="shared" si="88"/>
        <v>0</v>
      </c>
      <c r="AF345" s="316">
        <f t="shared" si="79"/>
        <v>0</v>
      </c>
      <c r="AG345" s="314">
        <v>1</v>
      </c>
      <c r="AH345" s="314">
        <f t="shared" si="89"/>
        <v>0</v>
      </c>
      <c r="AI345" s="314">
        <f t="shared" si="90"/>
        <v>0</v>
      </c>
      <c r="AJ345" s="317"/>
      <c r="AK345" s="315" t="e">
        <f t="shared" si="91"/>
        <v>#N/A</v>
      </c>
      <c r="AM345" s="561"/>
      <c r="AN345" s="561"/>
      <c r="AO345" s="561"/>
    </row>
    <row r="346" spans="2:41">
      <c r="B346" s="296"/>
      <c r="C346" s="299"/>
      <c r="D346" s="296"/>
      <c r="E346" s="298"/>
      <c r="F346" s="299"/>
      <c r="G346" s="300"/>
      <c r="H346" s="303"/>
      <c r="I346" s="303"/>
      <c r="J346" s="322">
        <f t="shared" si="77"/>
        <v>0</v>
      </c>
      <c r="K346" s="305" t="e">
        <f>IF(F346="MXN",1/HLOOKUP(YEAR(G346)+(MONTH(G346)/100),TC!$5:$37,DAY(G346)+2,FALSE),VLOOKUP(F346,Equivalencia!$5:$23,((MAX(Equivalencia!$3:$3)-YEAR(G346))*14)+MONTH(G346)+2,FALSE))</f>
        <v>#N/A</v>
      </c>
      <c r="L346" s="306" t="e">
        <f t="shared" si="80"/>
        <v>#N/A</v>
      </c>
      <c r="M346" s="305">
        <f>IF(G346=0,0,HLOOKUP(YEAR(G346)+(MONTH(G346)/100),TC!$5:$37,DAY(G346)+2,FALSE))</f>
        <v>0</v>
      </c>
      <c r="N346" s="306" t="e">
        <f t="shared" si="81"/>
        <v>#N/A</v>
      </c>
      <c r="O346" s="308">
        <f>IF(G346=0,0,VLOOKUP(YEAR(G346),INPC!$B$4:$P$30,MONTH(G346)+2))</f>
        <v>0</v>
      </c>
      <c r="P346" s="308">
        <f>IF(W346=0,0,IF(OR(C346=$AQ$5,C346=AQ350),VLOOKUP(YEAR(W346),INPC!$B$4:$P$30,MONTH(W346)+1),VLOOKUP(YEAR(W346),INPC!$B$4:$P$30,MONTH(W346)+2)))</f>
        <v>0</v>
      </c>
      <c r="Q346" s="309">
        <f t="shared" si="82"/>
        <v>0</v>
      </c>
      <c r="R346" s="310" t="e">
        <f t="shared" si="83"/>
        <v>#N/A</v>
      </c>
      <c r="S346" s="310">
        <f t="shared" si="84"/>
        <v>0</v>
      </c>
      <c r="T346" s="567" t="str">
        <f t="shared" si="85"/>
        <v>NO</v>
      </c>
      <c r="U346" s="323"/>
      <c r="V346" s="299"/>
      <c r="W346" s="300"/>
      <c r="X346" s="299"/>
      <c r="Y346" s="303"/>
      <c r="Z346" s="305">
        <f>IF(Y346=0,0,IF(X346="MXN",1/HLOOKUP(YEAR(W346)+(MONTH(W346)/100),TC!$5:$37,DAY(W346)+2,FALSE),VLOOKUP(X346,Equivalencia!$1:$23,((MAX(Equivalencia!$3:$3)-YEAR(W346))*14)+MONTH(W346)+2,FALSE)))</f>
        <v>0</v>
      </c>
      <c r="AA346" s="306">
        <f t="shared" si="86"/>
        <v>0</v>
      </c>
      <c r="AB346" s="305">
        <f>+IF(W346=0,0,HLOOKUP(YEAR(W346)+(MONTH(W346)/100),TC!$5:$37,DAY(W346)+2,FALSE))</f>
        <v>0</v>
      </c>
      <c r="AC346" s="306">
        <f t="shared" si="87"/>
        <v>0</v>
      </c>
      <c r="AD346" s="314">
        <f t="shared" si="78"/>
        <v>0</v>
      </c>
      <c r="AE346" s="315">
        <f t="shared" si="88"/>
        <v>0</v>
      </c>
      <c r="AF346" s="316">
        <f t="shared" si="79"/>
        <v>0</v>
      </c>
      <c r="AG346" s="314">
        <v>1</v>
      </c>
      <c r="AH346" s="314">
        <f t="shared" si="89"/>
        <v>0</v>
      </c>
      <c r="AI346" s="314">
        <f t="shared" si="90"/>
        <v>0</v>
      </c>
      <c r="AJ346" s="317"/>
      <c r="AK346" s="315" t="e">
        <f t="shared" si="91"/>
        <v>#N/A</v>
      </c>
      <c r="AM346" s="561"/>
      <c r="AN346" s="561"/>
      <c r="AO346" s="561"/>
    </row>
    <row r="347" spans="2:41">
      <c r="B347" s="296"/>
      <c r="C347" s="299"/>
      <c r="D347" s="296"/>
      <c r="E347" s="298"/>
      <c r="F347" s="299"/>
      <c r="G347" s="300"/>
      <c r="H347" s="303"/>
      <c r="I347" s="303"/>
      <c r="J347" s="322">
        <f t="shared" si="77"/>
        <v>0</v>
      </c>
      <c r="K347" s="305" t="e">
        <f>IF(F347="MXN",1/HLOOKUP(YEAR(G347)+(MONTH(G347)/100),TC!$5:$37,DAY(G347)+2,FALSE),VLOOKUP(F347,Equivalencia!$5:$23,((MAX(Equivalencia!$3:$3)-YEAR(G347))*14)+MONTH(G347)+2,FALSE))</f>
        <v>#N/A</v>
      </c>
      <c r="L347" s="306" t="e">
        <f t="shared" si="80"/>
        <v>#N/A</v>
      </c>
      <c r="M347" s="305">
        <f>IF(G347=0,0,HLOOKUP(YEAR(G347)+(MONTH(G347)/100),TC!$5:$37,DAY(G347)+2,FALSE))</f>
        <v>0</v>
      </c>
      <c r="N347" s="306" t="e">
        <f t="shared" si="81"/>
        <v>#N/A</v>
      </c>
      <c r="O347" s="308">
        <f>IF(G347=0,0,VLOOKUP(YEAR(G347),INPC!$B$4:$P$30,MONTH(G347)+2))</f>
        <v>0</v>
      </c>
      <c r="P347" s="308">
        <f>IF(W347=0,0,IF(OR(C347=$AQ$5,C347=AQ351),VLOOKUP(YEAR(W347),INPC!$B$4:$P$30,MONTH(W347)+1),VLOOKUP(YEAR(W347),INPC!$B$4:$P$30,MONTH(W347)+2)))</f>
        <v>0</v>
      </c>
      <c r="Q347" s="309">
        <f t="shared" si="82"/>
        <v>0</v>
      </c>
      <c r="R347" s="310" t="e">
        <f t="shared" si="83"/>
        <v>#N/A</v>
      </c>
      <c r="S347" s="310">
        <f t="shared" si="84"/>
        <v>0</v>
      </c>
      <c r="T347" s="567" t="str">
        <f t="shared" si="85"/>
        <v>NO</v>
      </c>
      <c r="U347" s="323"/>
      <c r="V347" s="299"/>
      <c r="W347" s="300"/>
      <c r="X347" s="299"/>
      <c r="Y347" s="303"/>
      <c r="Z347" s="305">
        <f>IF(Y347=0,0,IF(X347="MXN",1/HLOOKUP(YEAR(W347)+(MONTH(W347)/100),TC!$5:$37,DAY(W347)+2,FALSE),VLOOKUP(X347,Equivalencia!$1:$23,((MAX(Equivalencia!$3:$3)-YEAR(W347))*14)+MONTH(W347)+2,FALSE)))</f>
        <v>0</v>
      </c>
      <c r="AA347" s="306">
        <f t="shared" si="86"/>
        <v>0</v>
      </c>
      <c r="AB347" s="305">
        <f>+IF(W347=0,0,HLOOKUP(YEAR(W347)+(MONTH(W347)/100),TC!$5:$37,DAY(W347)+2,FALSE))</f>
        <v>0</v>
      </c>
      <c r="AC347" s="306">
        <f t="shared" si="87"/>
        <v>0</v>
      </c>
      <c r="AD347" s="314">
        <f t="shared" si="78"/>
        <v>0</v>
      </c>
      <c r="AE347" s="315">
        <f t="shared" si="88"/>
        <v>0</v>
      </c>
      <c r="AF347" s="316">
        <f t="shared" si="79"/>
        <v>0</v>
      </c>
      <c r="AG347" s="314">
        <v>1</v>
      </c>
      <c r="AH347" s="314">
        <f t="shared" si="89"/>
        <v>0</v>
      </c>
      <c r="AI347" s="314">
        <f t="shared" si="90"/>
        <v>0</v>
      </c>
      <c r="AJ347" s="317"/>
      <c r="AK347" s="315" t="e">
        <f t="shared" si="91"/>
        <v>#N/A</v>
      </c>
      <c r="AM347" s="561"/>
      <c r="AN347" s="561"/>
      <c r="AO347" s="561"/>
    </row>
    <row r="348" spans="2:41">
      <c r="B348" s="296"/>
      <c r="C348" s="299"/>
      <c r="D348" s="296"/>
      <c r="E348" s="298"/>
      <c r="F348" s="299"/>
      <c r="G348" s="300"/>
      <c r="H348" s="303"/>
      <c r="I348" s="303"/>
      <c r="J348" s="322">
        <f t="shared" si="77"/>
        <v>0</v>
      </c>
      <c r="K348" s="305" t="e">
        <f>IF(F348="MXN",1/HLOOKUP(YEAR(G348)+(MONTH(G348)/100),TC!$5:$37,DAY(G348)+2,FALSE),VLOOKUP(F348,Equivalencia!$5:$23,((MAX(Equivalencia!$3:$3)-YEAR(G348))*14)+MONTH(G348)+2,FALSE))</f>
        <v>#N/A</v>
      </c>
      <c r="L348" s="306" t="e">
        <f t="shared" si="80"/>
        <v>#N/A</v>
      </c>
      <c r="M348" s="305">
        <f>IF(G348=0,0,HLOOKUP(YEAR(G348)+(MONTH(G348)/100),TC!$5:$37,DAY(G348)+2,FALSE))</f>
        <v>0</v>
      </c>
      <c r="N348" s="306" t="e">
        <f t="shared" si="81"/>
        <v>#N/A</v>
      </c>
      <c r="O348" s="308">
        <f>IF(G348=0,0,VLOOKUP(YEAR(G348),INPC!$B$4:$P$30,MONTH(G348)+2))</f>
        <v>0</v>
      </c>
      <c r="P348" s="308">
        <f>IF(W348=0,0,IF(OR(C348=$AQ$5,C348=AQ352),VLOOKUP(YEAR(W348),INPC!$B$4:$P$30,MONTH(W348)+1),VLOOKUP(YEAR(W348),INPC!$B$4:$P$30,MONTH(W348)+2)))</f>
        <v>0</v>
      </c>
      <c r="Q348" s="309">
        <f t="shared" si="82"/>
        <v>0</v>
      </c>
      <c r="R348" s="310" t="e">
        <f t="shared" si="83"/>
        <v>#N/A</v>
      </c>
      <c r="S348" s="310">
        <f t="shared" si="84"/>
        <v>0</v>
      </c>
      <c r="T348" s="567" t="str">
        <f t="shared" si="85"/>
        <v>NO</v>
      </c>
      <c r="U348" s="323"/>
      <c r="V348" s="299"/>
      <c r="W348" s="300"/>
      <c r="X348" s="299"/>
      <c r="Y348" s="303"/>
      <c r="Z348" s="305">
        <f>IF(Y348=0,0,IF(X348="MXN",1/HLOOKUP(YEAR(W348)+(MONTH(W348)/100),TC!$5:$37,DAY(W348)+2,FALSE),VLOOKUP(X348,Equivalencia!$1:$23,((MAX(Equivalencia!$3:$3)-YEAR(W348))*14)+MONTH(W348)+2,FALSE)))</f>
        <v>0</v>
      </c>
      <c r="AA348" s="306">
        <f t="shared" si="86"/>
        <v>0</v>
      </c>
      <c r="AB348" s="305">
        <f>+IF(W348=0,0,HLOOKUP(YEAR(W348)+(MONTH(W348)/100),TC!$5:$37,DAY(W348)+2,FALSE))</f>
        <v>0</v>
      </c>
      <c r="AC348" s="306">
        <f t="shared" si="87"/>
        <v>0</v>
      </c>
      <c r="AD348" s="314">
        <f t="shared" si="78"/>
        <v>0</v>
      </c>
      <c r="AE348" s="315">
        <f t="shared" si="88"/>
        <v>0</v>
      </c>
      <c r="AF348" s="316">
        <f t="shared" si="79"/>
        <v>0</v>
      </c>
      <c r="AG348" s="314">
        <v>1</v>
      </c>
      <c r="AH348" s="314">
        <f t="shared" si="89"/>
        <v>0</v>
      </c>
      <c r="AI348" s="314">
        <f t="shared" si="90"/>
        <v>0</v>
      </c>
      <c r="AJ348" s="317"/>
      <c r="AK348" s="315" t="e">
        <f t="shared" si="91"/>
        <v>#N/A</v>
      </c>
      <c r="AM348" s="561"/>
      <c r="AN348" s="561"/>
      <c r="AO348" s="561"/>
    </row>
    <row r="349" spans="2:41">
      <c r="B349" s="296"/>
      <c r="C349" s="299"/>
      <c r="D349" s="296"/>
      <c r="E349" s="298"/>
      <c r="F349" s="299"/>
      <c r="G349" s="300"/>
      <c r="H349" s="303"/>
      <c r="I349" s="303"/>
      <c r="J349" s="322">
        <f t="shared" si="77"/>
        <v>0</v>
      </c>
      <c r="K349" s="305" t="e">
        <f>IF(F349="MXN",1/HLOOKUP(YEAR(G349)+(MONTH(G349)/100),TC!$5:$37,DAY(G349)+2,FALSE),VLOOKUP(F349,Equivalencia!$5:$23,((MAX(Equivalencia!$3:$3)-YEAR(G349))*14)+MONTH(G349)+2,FALSE))</f>
        <v>#N/A</v>
      </c>
      <c r="L349" s="306" t="e">
        <f t="shared" si="80"/>
        <v>#N/A</v>
      </c>
      <c r="M349" s="305">
        <f>IF(G349=0,0,HLOOKUP(YEAR(G349)+(MONTH(G349)/100),TC!$5:$37,DAY(G349)+2,FALSE))</f>
        <v>0</v>
      </c>
      <c r="N349" s="306" t="e">
        <f t="shared" si="81"/>
        <v>#N/A</v>
      </c>
      <c r="O349" s="308">
        <f>IF(G349=0,0,VLOOKUP(YEAR(G349),INPC!$B$4:$P$30,MONTH(G349)+2))</f>
        <v>0</v>
      </c>
      <c r="P349" s="308">
        <f>IF(W349=0,0,IF(OR(C349=$AQ$5,C349=AQ353),VLOOKUP(YEAR(W349),INPC!$B$4:$P$30,MONTH(W349)+1),VLOOKUP(YEAR(W349),INPC!$B$4:$P$30,MONTH(W349)+2)))</f>
        <v>0</v>
      </c>
      <c r="Q349" s="309">
        <f t="shared" si="82"/>
        <v>0</v>
      </c>
      <c r="R349" s="310" t="e">
        <f t="shared" si="83"/>
        <v>#N/A</v>
      </c>
      <c r="S349" s="310">
        <f t="shared" si="84"/>
        <v>0</v>
      </c>
      <c r="T349" s="567" t="str">
        <f t="shared" si="85"/>
        <v>NO</v>
      </c>
      <c r="U349" s="323"/>
      <c r="V349" s="299"/>
      <c r="W349" s="300"/>
      <c r="X349" s="299"/>
      <c r="Y349" s="303"/>
      <c r="Z349" s="305">
        <f>IF(Y349=0,0,IF(X349="MXN",1/HLOOKUP(YEAR(W349)+(MONTH(W349)/100),TC!$5:$37,DAY(W349)+2,FALSE),VLOOKUP(X349,Equivalencia!$1:$23,((MAX(Equivalencia!$3:$3)-YEAR(W349))*14)+MONTH(W349)+2,FALSE)))</f>
        <v>0</v>
      </c>
      <c r="AA349" s="306">
        <f t="shared" si="86"/>
        <v>0</v>
      </c>
      <c r="AB349" s="305">
        <f>+IF(W349=0,0,HLOOKUP(YEAR(W349)+(MONTH(W349)/100),TC!$5:$37,DAY(W349)+2,FALSE))</f>
        <v>0</v>
      </c>
      <c r="AC349" s="306">
        <f t="shared" si="87"/>
        <v>0</v>
      </c>
      <c r="AD349" s="314">
        <f t="shared" si="78"/>
        <v>0</v>
      </c>
      <c r="AE349" s="315">
        <f t="shared" si="88"/>
        <v>0</v>
      </c>
      <c r="AF349" s="316">
        <f t="shared" si="79"/>
        <v>0</v>
      </c>
      <c r="AG349" s="314">
        <v>1</v>
      </c>
      <c r="AH349" s="314">
        <f t="shared" si="89"/>
        <v>0</v>
      </c>
      <c r="AI349" s="314">
        <f t="shared" si="90"/>
        <v>0</v>
      </c>
      <c r="AJ349" s="317"/>
      <c r="AK349" s="315" t="e">
        <f t="shared" si="91"/>
        <v>#N/A</v>
      </c>
      <c r="AM349" s="561"/>
      <c r="AN349" s="561"/>
      <c r="AO349" s="561"/>
    </row>
    <row r="350" spans="2:41">
      <c r="B350" s="296"/>
      <c r="C350" s="299"/>
      <c r="D350" s="296"/>
      <c r="E350" s="298"/>
      <c r="F350" s="299"/>
      <c r="G350" s="300"/>
      <c r="H350" s="303"/>
      <c r="I350" s="303"/>
      <c r="J350" s="322">
        <f t="shared" si="77"/>
        <v>0</v>
      </c>
      <c r="K350" s="305" t="e">
        <f>IF(F350="MXN",1/HLOOKUP(YEAR(G350)+(MONTH(G350)/100),TC!$5:$37,DAY(G350)+2,FALSE),VLOOKUP(F350,Equivalencia!$5:$23,((MAX(Equivalencia!$3:$3)-YEAR(G350))*14)+MONTH(G350)+2,FALSE))</f>
        <v>#N/A</v>
      </c>
      <c r="L350" s="306" t="e">
        <f t="shared" si="80"/>
        <v>#N/A</v>
      </c>
      <c r="M350" s="305">
        <f>IF(G350=0,0,HLOOKUP(YEAR(G350)+(MONTH(G350)/100),TC!$5:$37,DAY(G350)+2,FALSE))</f>
        <v>0</v>
      </c>
      <c r="N350" s="306" t="e">
        <f t="shared" si="81"/>
        <v>#N/A</v>
      </c>
      <c r="O350" s="308">
        <f>IF(G350=0,0,VLOOKUP(YEAR(G350),INPC!$B$4:$P$30,MONTH(G350)+2))</f>
        <v>0</v>
      </c>
      <c r="P350" s="308">
        <f>IF(W350=0,0,IF(OR(C350=$AQ$5,C350=AQ354),VLOOKUP(YEAR(W350),INPC!$B$4:$P$30,MONTH(W350)+1),VLOOKUP(YEAR(W350),INPC!$B$4:$P$30,MONTH(W350)+2)))</f>
        <v>0</v>
      </c>
      <c r="Q350" s="309">
        <f t="shared" si="82"/>
        <v>0</v>
      </c>
      <c r="R350" s="310" t="e">
        <f t="shared" si="83"/>
        <v>#N/A</v>
      </c>
      <c r="S350" s="310">
        <f t="shared" si="84"/>
        <v>0</v>
      </c>
      <c r="T350" s="567" t="str">
        <f t="shared" si="85"/>
        <v>NO</v>
      </c>
      <c r="U350" s="323"/>
      <c r="V350" s="299"/>
      <c r="W350" s="300"/>
      <c r="X350" s="299"/>
      <c r="Y350" s="303"/>
      <c r="Z350" s="305">
        <f>IF(Y350=0,0,IF(X350="MXN",1/HLOOKUP(YEAR(W350)+(MONTH(W350)/100),TC!$5:$37,DAY(W350)+2,FALSE),VLOOKUP(X350,Equivalencia!$1:$23,((MAX(Equivalencia!$3:$3)-YEAR(W350))*14)+MONTH(W350)+2,FALSE)))</f>
        <v>0</v>
      </c>
      <c r="AA350" s="306">
        <f t="shared" si="86"/>
        <v>0</v>
      </c>
      <c r="AB350" s="305">
        <f>+IF(W350=0,0,HLOOKUP(YEAR(W350)+(MONTH(W350)/100),TC!$5:$37,DAY(W350)+2,FALSE))</f>
        <v>0</v>
      </c>
      <c r="AC350" s="306">
        <f t="shared" si="87"/>
        <v>0</v>
      </c>
      <c r="AD350" s="314">
        <f t="shared" si="78"/>
        <v>0</v>
      </c>
      <c r="AE350" s="315">
        <f t="shared" si="88"/>
        <v>0</v>
      </c>
      <c r="AF350" s="316">
        <f t="shared" si="79"/>
        <v>0</v>
      </c>
      <c r="AG350" s="314">
        <v>1</v>
      </c>
      <c r="AH350" s="314">
        <f t="shared" si="89"/>
        <v>0</v>
      </c>
      <c r="AI350" s="314">
        <f t="shared" si="90"/>
        <v>0</v>
      </c>
      <c r="AJ350" s="317"/>
      <c r="AK350" s="315" t="e">
        <f t="shared" si="91"/>
        <v>#N/A</v>
      </c>
      <c r="AM350" s="561"/>
      <c r="AN350" s="561"/>
      <c r="AO350" s="561"/>
    </row>
    <row r="351" spans="2:41">
      <c r="B351" s="296"/>
      <c r="C351" s="299"/>
      <c r="D351" s="296"/>
      <c r="E351" s="298"/>
      <c r="F351" s="299"/>
      <c r="G351" s="300"/>
      <c r="H351" s="303"/>
      <c r="I351" s="303"/>
      <c r="J351" s="322">
        <f t="shared" si="77"/>
        <v>0</v>
      </c>
      <c r="K351" s="305" t="e">
        <f>IF(F351="MXN",1/HLOOKUP(YEAR(G351)+(MONTH(G351)/100),TC!$5:$37,DAY(G351)+2,FALSE),VLOOKUP(F351,Equivalencia!$5:$23,((MAX(Equivalencia!$3:$3)-YEAR(G351))*14)+MONTH(G351)+2,FALSE))</f>
        <v>#N/A</v>
      </c>
      <c r="L351" s="306" t="e">
        <f t="shared" si="80"/>
        <v>#N/A</v>
      </c>
      <c r="M351" s="305">
        <f>IF(G351=0,0,HLOOKUP(YEAR(G351)+(MONTH(G351)/100),TC!$5:$37,DAY(G351)+2,FALSE))</f>
        <v>0</v>
      </c>
      <c r="N351" s="306" t="e">
        <f t="shared" si="81"/>
        <v>#N/A</v>
      </c>
      <c r="O351" s="308">
        <f>IF(G351=0,0,VLOOKUP(YEAR(G351),INPC!$B$4:$P$30,MONTH(G351)+2))</f>
        <v>0</v>
      </c>
      <c r="P351" s="308">
        <f>IF(W351=0,0,IF(OR(C351=$AQ$5,C351=AQ355),VLOOKUP(YEAR(W351),INPC!$B$4:$P$30,MONTH(W351)+1),VLOOKUP(YEAR(W351),INPC!$B$4:$P$30,MONTH(W351)+2)))</f>
        <v>0</v>
      </c>
      <c r="Q351" s="309">
        <f t="shared" si="82"/>
        <v>0</v>
      </c>
      <c r="R351" s="310" t="e">
        <f t="shared" si="83"/>
        <v>#N/A</v>
      </c>
      <c r="S351" s="310">
        <f t="shared" si="84"/>
        <v>0</v>
      </c>
      <c r="T351" s="567" t="str">
        <f t="shared" si="85"/>
        <v>NO</v>
      </c>
      <c r="U351" s="323"/>
      <c r="V351" s="299"/>
      <c r="W351" s="300"/>
      <c r="X351" s="299"/>
      <c r="Y351" s="303"/>
      <c r="Z351" s="305">
        <f>IF(Y351=0,0,IF(X351="MXN",1/HLOOKUP(YEAR(W351)+(MONTH(W351)/100),TC!$5:$37,DAY(W351)+2,FALSE),VLOOKUP(X351,Equivalencia!$1:$23,((MAX(Equivalencia!$3:$3)-YEAR(W351))*14)+MONTH(W351)+2,FALSE)))</f>
        <v>0</v>
      </c>
      <c r="AA351" s="306">
        <f t="shared" si="86"/>
        <v>0</v>
      </c>
      <c r="AB351" s="305">
        <f>+IF(W351=0,0,HLOOKUP(YEAR(W351)+(MONTH(W351)/100),TC!$5:$37,DAY(W351)+2,FALSE))</f>
        <v>0</v>
      </c>
      <c r="AC351" s="306">
        <f t="shared" si="87"/>
        <v>0</v>
      </c>
      <c r="AD351" s="314">
        <f t="shared" si="78"/>
        <v>0</v>
      </c>
      <c r="AE351" s="315">
        <f t="shared" si="88"/>
        <v>0</v>
      </c>
      <c r="AF351" s="316">
        <f t="shared" si="79"/>
        <v>0</v>
      </c>
      <c r="AG351" s="314">
        <v>1</v>
      </c>
      <c r="AH351" s="314">
        <f t="shared" si="89"/>
        <v>0</v>
      </c>
      <c r="AI351" s="314">
        <f t="shared" si="90"/>
        <v>0</v>
      </c>
      <c r="AJ351" s="317"/>
      <c r="AK351" s="315" t="e">
        <f t="shared" si="91"/>
        <v>#N/A</v>
      </c>
      <c r="AM351" s="561"/>
      <c r="AN351" s="561"/>
      <c r="AO351" s="561"/>
    </row>
    <row r="352" spans="2:41">
      <c r="B352" s="296"/>
      <c r="C352" s="299"/>
      <c r="D352" s="296"/>
      <c r="E352" s="298"/>
      <c r="F352" s="299"/>
      <c r="G352" s="300"/>
      <c r="H352" s="303"/>
      <c r="I352" s="303"/>
      <c r="J352" s="322">
        <f t="shared" si="77"/>
        <v>0</v>
      </c>
      <c r="K352" s="305" t="e">
        <f>IF(F352="MXN",1/HLOOKUP(YEAR(G352)+(MONTH(G352)/100),TC!$5:$37,DAY(G352)+2,FALSE),VLOOKUP(F352,Equivalencia!$5:$23,((MAX(Equivalencia!$3:$3)-YEAR(G352))*14)+MONTH(G352)+2,FALSE))</f>
        <v>#N/A</v>
      </c>
      <c r="L352" s="306" t="e">
        <f t="shared" si="80"/>
        <v>#N/A</v>
      </c>
      <c r="M352" s="305">
        <f>IF(G352=0,0,HLOOKUP(YEAR(G352)+(MONTH(G352)/100),TC!$5:$37,DAY(G352)+2,FALSE))</f>
        <v>0</v>
      </c>
      <c r="N352" s="306" t="e">
        <f t="shared" si="81"/>
        <v>#N/A</v>
      </c>
      <c r="O352" s="308">
        <f>IF(G352=0,0,VLOOKUP(YEAR(G352),INPC!$B$4:$P$30,MONTH(G352)+2))</f>
        <v>0</v>
      </c>
      <c r="P352" s="308">
        <f>IF(W352=0,0,IF(OR(C352=$AQ$5,C352=AQ356),VLOOKUP(YEAR(W352),INPC!$B$4:$P$30,MONTH(W352)+1),VLOOKUP(YEAR(W352),INPC!$B$4:$P$30,MONTH(W352)+2)))</f>
        <v>0</v>
      </c>
      <c r="Q352" s="309">
        <f t="shared" si="82"/>
        <v>0</v>
      </c>
      <c r="R352" s="310" t="e">
        <f t="shared" si="83"/>
        <v>#N/A</v>
      </c>
      <c r="S352" s="310">
        <f t="shared" si="84"/>
        <v>0</v>
      </c>
      <c r="T352" s="567" t="str">
        <f t="shared" si="85"/>
        <v>NO</v>
      </c>
      <c r="U352" s="323"/>
      <c r="V352" s="299"/>
      <c r="W352" s="300"/>
      <c r="X352" s="299"/>
      <c r="Y352" s="303"/>
      <c r="Z352" s="305">
        <f>IF(Y352=0,0,IF(X352="MXN",1/HLOOKUP(YEAR(W352)+(MONTH(W352)/100),TC!$5:$37,DAY(W352)+2,FALSE),VLOOKUP(X352,Equivalencia!$1:$23,((MAX(Equivalencia!$3:$3)-YEAR(W352))*14)+MONTH(W352)+2,FALSE)))</f>
        <v>0</v>
      </c>
      <c r="AA352" s="306">
        <f t="shared" si="86"/>
        <v>0</v>
      </c>
      <c r="AB352" s="305">
        <f>+IF(W352=0,0,HLOOKUP(YEAR(W352)+(MONTH(W352)/100),TC!$5:$37,DAY(W352)+2,FALSE))</f>
        <v>0</v>
      </c>
      <c r="AC352" s="306">
        <f t="shared" si="87"/>
        <v>0</v>
      </c>
      <c r="AD352" s="314">
        <f t="shared" si="78"/>
        <v>0</v>
      </c>
      <c r="AE352" s="315">
        <f t="shared" si="88"/>
        <v>0</v>
      </c>
      <c r="AF352" s="316">
        <f t="shared" si="79"/>
        <v>0</v>
      </c>
      <c r="AG352" s="314">
        <v>1</v>
      </c>
      <c r="AH352" s="314">
        <f t="shared" si="89"/>
        <v>0</v>
      </c>
      <c r="AI352" s="314">
        <f t="shared" si="90"/>
        <v>0</v>
      </c>
      <c r="AJ352" s="317"/>
      <c r="AK352" s="315" t="e">
        <f t="shared" si="91"/>
        <v>#N/A</v>
      </c>
      <c r="AM352" s="561"/>
      <c r="AN352" s="561"/>
      <c r="AO352" s="561"/>
    </row>
    <row r="353" spans="2:41">
      <c r="B353" s="296"/>
      <c r="C353" s="299"/>
      <c r="D353" s="296"/>
      <c r="E353" s="298"/>
      <c r="F353" s="299"/>
      <c r="G353" s="300"/>
      <c r="H353" s="303"/>
      <c r="I353" s="303"/>
      <c r="J353" s="322">
        <f t="shared" si="77"/>
        <v>0</v>
      </c>
      <c r="K353" s="305" t="e">
        <f>IF(F353="MXN",1/HLOOKUP(YEAR(G353)+(MONTH(G353)/100),TC!$5:$37,DAY(G353)+2,FALSE),VLOOKUP(F353,Equivalencia!$5:$23,((MAX(Equivalencia!$3:$3)-YEAR(G353))*14)+MONTH(G353)+2,FALSE))</f>
        <v>#N/A</v>
      </c>
      <c r="L353" s="306" t="e">
        <f t="shared" si="80"/>
        <v>#N/A</v>
      </c>
      <c r="M353" s="305">
        <f>IF(G353=0,0,HLOOKUP(YEAR(G353)+(MONTH(G353)/100),TC!$5:$37,DAY(G353)+2,FALSE))</f>
        <v>0</v>
      </c>
      <c r="N353" s="306" t="e">
        <f t="shared" si="81"/>
        <v>#N/A</v>
      </c>
      <c r="O353" s="308">
        <f>IF(G353=0,0,VLOOKUP(YEAR(G353),INPC!$B$4:$P$30,MONTH(G353)+2))</f>
        <v>0</v>
      </c>
      <c r="P353" s="308">
        <f>IF(W353=0,0,IF(OR(C353=$AQ$5,C353=AQ357),VLOOKUP(YEAR(W353),INPC!$B$4:$P$30,MONTH(W353)+1),VLOOKUP(YEAR(W353),INPC!$B$4:$P$30,MONTH(W353)+2)))</f>
        <v>0</v>
      </c>
      <c r="Q353" s="309">
        <f t="shared" si="82"/>
        <v>0</v>
      </c>
      <c r="R353" s="310" t="e">
        <f t="shared" si="83"/>
        <v>#N/A</v>
      </c>
      <c r="S353" s="310">
        <f t="shared" si="84"/>
        <v>0</v>
      </c>
      <c r="T353" s="567" t="str">
        <f t="shared" si="85"/>
        <v>NO</v>
      </c>
      <c r="U353" s="323"/>
      <c r="V353" s="299"/>
      <c r="W353" s="300"/>
      <c r="X353" s="299"/>
      <c r="Y353" s="303"/>
      <c r="Z353" s="305">
        <f>IF(Y353=0,0,IF(X353="MXN",1/HLOOKUP(YEAR(W353)+(MONTH(W353)/100),TC!$5:$37,DAY(W353)+2,FALSE),VLOOKUP(X353,Equivalencia!$1:$23,((MAX(Equivalencia!$3:$3)-YEAR(W353))*14)+MONTH(W353)+2,FALSE)))</f>
        <v>0</v>
      </c>
      <c r="AA353" s="306">
        <f t="shared" si="86"/>
        <v>0</v>
      </c>
      <c r="AB353" s="305">
        <f>+IF(W353=0,0,HLOOKUP(YEAR(W353)+(MONTH(W353)/100),TC!$5:$37,DAY(W353)+2,FALSE))</f>
        <v>0</v>
      </c>
      <c r="AC353" s="306">
        <f t="shared" si="87"/>
        <v>0</v>
      </c>
      <c r="AD353" s="314">
        <f t="shared" si="78"/>
        <v>0</v>
      </c>
      <c r="AE353" s="315">
        <f t="shared" si="88"/>
        <v>0</v>
      </c>
      <c r="AF353" s="316">
        <f t="shared" si="79"/>
        <v>0</v>
      </c>
      <c r="AG353" s="314">
        <v>1</v>
      </c>
      <c r="AH353" s="314">
        <f t="shared" si="89"/>
        <v>0</v>
      </c>
      <c r="AI353" s="314">
        <f t="shared" si="90"/>
        <v>0</v>
      </c>
      <c r="AJ353" s="317"/>
      <c r="AK353" s="315" t="e">
        <f t="shared" si="91"/>
        <v>#N/A</v>
      </c>
      <c r="AM353" s="561"/>
      <c r="AN353" s="561"/>
      <c r="AO353" s="561"/>
    </row>
    <row r="354" spans="2:41">
      <c r="B354" s="296"/>
      <c r="C354" s="299"/>
      <c r="D354" s="296"/>
      <c r="E354" s="298"/>
      <c r="F354" s="299"/>
      <c r="G354" s="300"/>
      <c r="H354" s="303"/>
      <c r="I354" s="303"/>
      <c r="J354" s="322">
        <f t="shared" si="77"/>
        <v>0</v>
      </c>
      <c r="K354" s="305" t="e">
        <f>IF(F354="MXN",1/HLOOKUP(YEAR(G354)+(MONTH(G354)/100),TC!$5:$37,DAY(G354)+2,FALSE),VLOOKUP(F354,Equivalencia!$5:$23,((MAX(Equivalencia!$3:$3)-YEAR(G354))*14)+MONTH(G354)+2,FALSE))</f>
        <v>#N/A</v>
      </c>
      <c r="L354" s="306" t="e">
        <f t="shared" si="80"/>
        <v>#N/A</v>
      </c>
      <c r="M354" s="305">
        <f>IF(G354=0,0,HLOOKUP(YEAR(G354)+(MONTH(G354)/100),TC!$5:$37,DAY(G354)+2,FALSE))</f>
        <v>0</v>
      </c>
      <c r="N354" s="306" t="e">
        <f t="shared" si="81"/>
        <v>#N/A</v>
      </c>
      <c r="O354" s="308">
        <f>IF(G354=0,0,VLOOKUP(YEAR(G354),INPC!$B$4:$P$30,MONTH(G354)+2))</f>
        <v>0</v>
      </c>
      <c r="P354" s="308">
        <f>IF(W354=0,0,IF(OR(C354=$AQ$5,C354=AQ358),VLOOKUP(YEAR(W354),INPC!$B$4:$P$30,MONTH(W354)+1),VLOOKUP(YEAR(W354),INPC!$B$4:$P$30,MONTH(W354)+2)))</f>
        <v>0</v>
      </c>
      <c r="Q354" s="309">
        <f t="shared" si="82"/>
        <v>0</v>
      </c>
      <c r="R354" s="310" t="e">
        <f t="shared" si="83"/>
        <v>#N/A</v>
      </c>
      <c r="S354" s="310">
        <f t="shared" si="84"/>
        <v>0</v>
      </c>
      <c r="T354" s="567" t="str">
        <f t="shared" si="85"/>
        <v>NO</v>
      </c>
      <c r="U354" s="323"/>
      <c r="V354" s="299"/>
      <c r="W354" s="300"/>
      <c r="X354" s="299"/>
      <c r="Y354" s="303"/>
      <c r="Z354" s="305">
        <f>IF(Y354=0,0,IF(X354="MXN",1/HLOOKUP(YEAR(W354)+(MONTH(W354)/100),TC!$5:$37,DAY(W354)+2,FALSE),VLOOKUP(X354,Equivalencia!$1:$23,((MAX(Equivalencia!$3:$3)-YEAR(W354))*14)+MONTH(W354)+2,FALSE)))</f>
        <v>0</v>
      </c>
      <c r="AA354" s="306">
        <f t="shared" si="86"/>
        <v>0</v>
      </c>
      <c r="AB354" s="305">
        <f>+IF(W354=0,0,HLOOKUP(YEAR(W354)+(MONTH(W354)/100),TC!$5:$37,DAY(W354)+2,FALSE))</f>
        <v>0</v>
      </c>
      <c r="AC354" s="306">
        <f t="shared" si="87"/>
        <v>0</v>
      </c>
      <c r="AD354" s="314">
        <f t="shared" si="78"/>
        <v>0</v>
      </c>
      <c r="AE354" s="315">
        <f t="shared" si="88"/>
        <v>0</v>
      </c>
      <c r="AF354" s="316">
        <f t="shared" si="79"/>
        <v>0</v>
      </c>
      <c r="AG354" s="314">
        <v>1</v>
      </c>
      <c r="AH354" s="314">
        <f t="shared" si="89"/>
        <v>0</v>
      </c>
      <c r="AI354" s="314">
        <f t="shared" si="90"/>
        <v>0</v>
      </c>
      <c r="AJ354" s="317"/>
      <c r="AK354" s="315" t="e">
        <f t="shared" si="91"/>
        <v>#N/A</v>
      </c>
      <c r="AM354" s="561"/>
      <c r="AN354" s="561"/>
      <c r="AO354" s="561"/>
    </row>
    <row r="355" spans="2:41">
      <c r="B355" s="296"/>
      <c r="C355" s="299"/>
      <c r="D355" s="296"/>
      <c r="E355" s="298"/>
      <c r="F355" s="299"/>
      <c r="G355" s="300"/>
      <c r="H355" s="303"/>
      <c r="I355" s="303"/>
      <c r="J355" s="322">
        <f t="shared" si="77"/>
        <v>0</v>
      </c>
      <c r="K355" s="305" t="e">
        <f>IF(F355="MXN",1/HLOOKUP(YEAR(G355)+(MONTH(G355)/100),TC!$5:$37,DAY(G355)+2,FALSE),VLOOKUP(F355,Equivalencia!$5:$23,((MAX(Equivalencia!$3:$3)-YEAR(G355))*14)+MONTH(G355)+2,FALSE))</f>
        <v>#N/A</v>
      </c>
      <c r="L355" s="306" t="e">
        <f t="shared" si="80"/>
        <v>#N/A</v>
      </c>
      <c r="M355" s="305">
        <f>IF(G355=0,0,HLOOKUP(YEAR(G355)+(MONTH(G355)/100),TC!$5:$37,DAY(G355)+2,FALSE))</f>
        <v>0</v>
      </c>
      <c r="N355" s="306" t="e">
        <f t="shared" si="81"/>
        <v>#N/A</v>
      </c>
      <c r="O355" s="308">
        <f>IF(G355=0,0,VLOOKUP(YEAR(G355),INPC!$B$4:$P$30,MONTH(G355)+2))</f>
        <v>0</v>
      </c>
      <c r="P355" s="308">
        <f>IF(W355=0,0,IF(OR(C355=$AQ$5,C355=AQ359),VLOOKUP(YEAR(W355),INPC!$B$4:$P$30,MONTH(W355)+1),VLOOKUP(YEAR(W355),INPC!$B$4:$P$30,MONTH(W355)+2)))</f>
        <v>0</v>
      </c>
      <c r="Q355" s="309">
        <f t="shared" si="82"/>
        <v>0</v>
      </c>
      <c r="R355" s="310" t="e">
        <f t="shared" si="83"/>
        <v>#N/A</v>
      </c>
      <c r="S355" s="310">
        <f t="shared" si="84"/>
        <v>0</v>
      </c>
      <c r="T355" s="567" t="str">
        <f t="shared" si="85"/>
        <v>NO</v>
      </c>
      <c r="U355" s="323"/>
      <c r="V355" s="299"/>
      <c r="W355" s="300"/>
      <c r="X355" s="299"/>
      <c r="Y355" s="303"/>
      <c r="Z355" s="305">
        <f>IF(Y355=0,0,IF(X355="MXN",1/HLOOKUP(YEAR(W355)+(MONTH(W355)/100),TC!$5:$37,DAY(W355)+2,FALSE),VLOOKUP(X355,Equivalencia!$1:$23,((MAX(Equivalencia!$3:$3)-YEAR(W355))*14)+MONTH(W355)+2,FALSE)))</f>
        <v>0</v>
      </c>
      <c r="AA355" s="306">
        <f t="shared" si="86"/>
        <v>0</v>
      </c>
      <c r="AB355" s="305">
        <f>+IF(W355=0,0,HLOOKUP(YEAR(W355)+(MONTH(W355)/100),TC!$5:$37,DAY(W355)+2,FALSE))</f>
        <v>0</v>
      </c>
      <c r="AC355" s="306">
        <f t="shared" si="87"/>
        <v>0</v>
      </c>
      <c r="AD355" s="314">
        <f t="shared" si="78"/>
        <v>0</v>
      </c>
      <c r="AE355" s="315">
        <f t="shared" si="88"/>
        <v>0</v>
      </c>
      <c r="AF355" s="316">
        <f t="shared" si="79"/>
        <v>0</v>
      </c>
      <c r="AG355" s="314">
        <v>1</v>
      </c>
      <c r="AH355" s="314">
        <f t="shared" si="89"/>
        <v>0</v>
      </c>
      <c r="AI355" s="314">
        <f t="shared" si="90"/>
        <v>0</v>
      </c>
      <c r="AJ355" s="317"/>
      <c r="AK355" s="315" t="e">
        <f t="shared" si="91"/>
        <v>#N/A</v>
      </c>
      <c r="AM355" s="561"/>
      <c r="AN355" s="561"/>
      <c r="AO355" s="561"/>
    </row>
    <row r="356" spans="2:41">
      <c r="B356" s="296"/>
      <c r="C356" s="299"/>
      <c r="D356" s="296"/>
      <c r="E356" s="298"/>
      <c r="F356" s="299"/>
      <c r="G356" s="300"/>
      <c r="H356" s="303"/>
      <c r="I356" s="303"/>
      <c r="J356" s="322">
        <f t="shared" si="77"/>
        <v>0</v>
      </c>
      <c r="K356" s="305" t="e">
        <f>IF(F356="MXN",1/HLOOKUP(YEAR(G356)+(MONTH(G356)/100),TC!$5:$37,DAY(G356)+2,FALSE),VLOOKUP(F356,Equivalencia!$5:$23,((MAX(Equivalencia!$3:$3)-YEAR(G356))*14)+MONTH(G356)+2,FALSE))</f>
        <v>#N/A</v>
      </c>
      <c r="L356" s="306" t="e">
        <f t="shared" si="80"/>
        <v>#N/A</v>
      </c>
      <c r="M356" s="305">
        <f>IF(G356=0,0,HLOOKUP(YEAR(G356)+(MONTH(G356)/100),TC!$5:$37,DAY(G356)+2,FALSE))</f>
        <v>0</v>
      </c>
      <c r="N356" s="306" t="e">
        <f t="shared" si="81"/>
        <v>#N/A</v>
      </c>
      <c r="O356" s="308">
        <f>IF(G356=0,0,VLOOKUP(YEAR(G356),INPC!$B$4:$P$30,MONTH(G356)+2))</f>
        <v>0</v>
      </c>
      <c r="P356" s="308">
        <f>IF(W356=0,0,IF(OR(C356=$AQ$5,C356=AQ360),VLOOKUP(YEAR(W356),INPC!$B$4:$P$30,MONTH(W356)+1),VLOOKUP(YEAR(W356),INPC!$B$4:$P$30,MONTH(W356)+2)))</f>
        <v>0</v>
      </c>
      <c r="Q356" s="309">
        <f t="shared" si="82"/>
        <v>0</v>
      </c>
      <c r="R356" s="310" t="e">
        <f t="shared" si="83"/>
        <v>#N/A</v>
      </c>
      <c r="S356" s="310">
        <f t="shared" si="84"/>
        <v>0</v>
      </c>
      <c r="T356" s="567" t="str">
        <f t="shared" si="85"/>
        <v>NO</v>
      </c>
      <c r="U356" s="323"/>
      <c r="V356" s="299"/>
      <c r="W356" s="300"/>
      <c r="X356" s="299"/>
      <c r="Y356" s="303"/>
      <c r="Z356" s="305">
        <f>IF(Y356=0,0,IF(X356="MXN",1/HLOOKUP(YEAR(W356)+(MONTH(W356)/100),TC!$5:$37,DAY(W356)+2,FALSE),VLOOKUP(X356,Equivalencia!$1:$23,((MAX(Equivalencia!$3:$3)-YEAR(W356))*14)+MONTH(W356)+2,FALSE)))</f>
        <v>0</v>
      </c>
      <c r="AA356" s="306">
        <f t="shared" si="86"/>
        <v>0</v>
      </c>
      <c r="AB356" s="305">
        <f>+IF(W356=0,0,HLOOKUP(YEAR(W356)+(MONTH(W356)/100),TC!$5:$37,DAY(W356)+2,FALSE))</f>
        <v>0</v>
      </c>
      <c r="AC356" s="306">
        <f t="shared" si="87"/>
        <v>0</v>
      </c>
      <c r="AD356" s="314">
        <f t="shared" si="78"/>
        <v>0</v>
      </c>
      <c r="AE356" s="315">
        <f t="shared" si="88"/>
        <v>0</v>
      </c>
      <c r="AF356" s="316">
        <f t="shared" si="79"/>
        <v>0</v>
      </c>
      <c r="AG356" s="314">
        <v>1</v>
      </c>
      <c r="AH356" s="314">
        <f t="shared" si="89"/>
        <v>0</v>
      </c>
      <c r="AI356" s="314">
        <f t="shared" si="90"/>
        <v>0</v>
      </c>
      <c r="AJ356" s="317"/>
      <c r="AK356" s="315" t="e">
        <f t="shared" si="91"/>
        <v>#N/A</v>
      </c>
      <c r="AM356" s="561"/>
      <c r="AN356" s="561"/>
      <c r="AO356" s="561"/>
    </row>
    <row r="357" spans="2:41">
      <c r="B357" s="296"/>
      <c r="C357" s="299"/>
      <c r="D357" s="296"/>
      <c r="E357" s="298"/>
      <c r="F357" s="299"/>
      <c r="G357" s="300"/>
      <c r="H357" s="303"/>
      <c r="I357" s="303"/>
      <c r="J357" s="322">
        <f t="shared" si="77"/>
        <v>0</v>
      </c>
      <c r="K357" s="305" t="e">
        <f>IF(F357="MXN",1/HLOOKUP(YEAR(G357)+(MONTH(G357)/100),TC!$5:$37,DAY(G357)+2,FALSE),VLOOKUP(F357,Equivalencia!$5:$23,((MAX(Equivalencia!$3:$3)-YEAR(G357))*14)+MONTH(G357)+2,FALSE))</f>
        <v>#N/A</v>
      </c>
      <c r="L357" s="306" t="e">
        <f t="shared" si="80"/>
        <v>#N/A</v>
      </c>
      <c r="M357" s="305">
        <f>IF(G357=0,0,HLOOKUP(YEAR(G357)+(MONTH(G357)/100),TC!$5:$37,DAY(G357)+2,FALSE))</f>
        <v>0</v>
      </c>
      <c r="N357" s="306" t="e">
        <f t="shared" si="81"/>
        <v>#N/A</v>
      </c>
      <c r="O357" s="308">
        <f>IF(G357=0,0,VLOOKUP(YEAR(G357),INPC!$B$4:$P$30,MONTH(G357)+2))</f>
        <v>0</v>
      </c>
      <c r="P357" s="308">
        <f>IF(W357=0,0,IF(OR(C357=$AQ$5,C357=AQ361),VLOOKUP(YEAR(W357),INPC!$B$4:$P$30,MONTH(W357)+1),VLOOKUP(YEAR(W357),INPC!$B$4:$P$30,MONTH(W357)+2)))</f>
        <v>0</v>
      </c>
      <c r="Q357" s="309">
        <f t="shared" si="82"/>
        <v>0</v>
      </c>
      <c r="R357" s="310" t="e">
        <f t="shared" si="83"/>
        <v>#N/A</v>
      </c>
      <c r="S357" s="310">
        <f t="shared" si="84"/>
        <v>0</v>
      </c>
      <c r="T357" s="567" t="str">
        <f t="shared" si="85"/>
        <v>NO</v>
      </c>
      <c r="U357" s="323"/>
      <c r="V357" s="299"/>
      <c r="W357" s="300"/>
      <c r="X357" s="299"/>
      <c r="Y357" s="303"/>
      <c r="Z357" s="305">
        <f>IF(Y357=0,0,IF(X357="MXN",1/HLOOKUP(YEAR(W357)+(MONTH(W357)/100),TC!$5:$37,DAY(W357)+2,FALSE),VLOOKUP(X357,Equivalencia!$1:$23,((MAX(Equivalencia!$3:$3)-YEAR(W357))*14)+MONTH(W357)+2,FALSE)))</f>
        <v>0</v>
      </c>
      <c r="AA357" s="306">
        <f t="shared" si="86"/>
        <v>0</v>
      </c>
      <c r="AB357" s="305">
        <f>+IF(W357=0,0,HLOOKUP(YEAR(W357)+(MONTH(W357)/100),TC!$5:$37,DAY(W357)+2,FALSE))</f>
        <v>0</v>
      </c>
      <c r="AC357" s="306">
        <f t="shared" si="87"/>
        <v>0</v>
      </c>
      <c r="AD357" s="314">
        <f t="shared" si="78"/>
        <v>0</v>
      </c>
      <c r="AE357" s="315">
        <f t="shared" si="88"/>
        <v>0</v>
      </c>
      <c r="AF357" s="316">
        <f t="shared" si="79"/>
        <v>0</v>
      </c>
      <c r="AG357" s="314">
        <v>1</v>
      </c>
      <c r="AH357" s="314">
        <f t="shared" si="89"/>
        <v>0</v>
      </c>
      <c r="AI357" s="314">
        <f t="shared" si="90"/>
        <v>0</v>
      </c>
      <c r="AJ357" s="317"/>
      <c r="AK357" s="315" t="e">
        <f t="shared" si="91"/>
        <v>#N/A</v>
      </c>
      <c r="AM357" s="561"/>
      <c r="AN357" s="561"/>
      <c r="AO357" s="561"/>
    </row>
    <row r="358" spans="2:41">
      <c r="B358" s="296"/>
      <c r="C358" s="299"/>
      <c r="D358" s="296"/>
      <c r="E358" s="298"/>
      <c r="F358" s="299"/>
      <c r="G358" s="300"/>
      <c r="H358" s="303"/>
      <c r="I358" s="303"/>
      <c r="J358" s="322">
        <f t="shared" si="77"/>
        <v>0</v>
      </c>
      <c r="K358" s="305" t="e">
        <f>IF(F358="MXN",1/HLOOKUP(YEAR(G358)+(MONTH(G358)/100),TC!$5:$37,DAY(G358)+2,FALSE),VLOOKUP(F358,Equivalencia!$5:$23,((MAX(Equivalencia!$3:$3)-YEAR(G358))*14)+MONTH(G358)+2,FALSE))</f>
        <v>#N/A</v>
      </c>
      <c r="L358" s="306" t="e">
        <f t="shared" si="80"/>
        <v>#N/A</v>
      </c>
      <c r="M358" s="305">
        <f>IF(G358=0,0,HLOOKUP(YEAR(G358)+(MONTH(G358)/100),TC!$5:$37,DAY(G358)+2,FALSE))</f>
        <v>0</v>
      </c>
      <c r="N358" s="306" t="e">
        <f t="shared" si="81"/>
        <v>#N/A</v>
      </c>
      <c r="O358" s="308">
        <f>IF(G358=0,0,VLOOKUP(YEAR(G358),INPC!$B$4:$P$30,MONTH(G358)+2))</f>
        <v>0</v>
      </c>
      <c r="P358" s="308">
        <f>IF(W358=0,0,IF(OR(C358=$AQ$5,C358=AQ362),VLOOKUP(YEAR(W358),INPC!$B$4:$P$30,MONTH(W358)+1),VLOOKUP(YEAR(W358),INPC!$B$4:$P$30,MONTH(W358)+2)))</f>
        <v>0</v>
      </c>
      <c r="Q358" s="309">
        <f t="shared" si="82"/>
        <v>0</v>
      </c>
      <c r="R358" s="310" t="e">
        <f t="shared" si="83"/>
        <v>#N/A</v>
      </c>
      <c r="S358" s="310">
        <f t="shared" si="84"/>
        <v>0</v>
      </c>
      <c r="T358" s="567" t="str">
        <f t="shared" si="85"/>
        <v>NO</v>
      </c>
      <c r="U358" s="323"/>
      <c r="V358" s="299"/>
      <c r="W358" s="300"/>
      <c r="X358" s="299"/>
      <c r="Y358" s="303"/>
      <c r="Z358" s="305">
        <f>IF(Y358=0,0,IF(X358="MXN",1/HLOOKUP(YEAR(W358)+(MONTH(W358)/100),TC!$5:$37,DAY(W358)+2,FALSE),VLOOKUP(X358,Equivalencia!$1:$23,((MAX(Equivalencia!$3:$3)-YEAR(W358))*14)+MONTH(W358)+2,FALSE)))</f>
        <v>0</v>
      </c>
      <c r="AA358" s="306">
        <f t="shared" si="86"/>
        <v>0</v>
      </c>
      <c r="AB358" s="305">
        <f>+IF(W358=0,0,HLOOKUP(YEAR(W358)+(MONTH(W358)/100),TC!$5:$37,DAY(W358)+2,FALSE))</f>
        <v>0</v>
      </c>
      <c r="AC358" s="306">
        <f t="shared" si="87"/>
        <v>0</v>
      </c>
      <c r="AD358" s="314">
        <f t="shared" si="78"/>
        <v>0</v>
      </c>
      <c r="AE358" s="315">
        <f t="shared" si="88"/>
        <v>0</v>
      </c>
      <c r="AF358" s="316">
        <f t="shared" si="79"/>
        <v>0</v>
      </c>
      <c r="AG358" s="314">
        <v>1</v>
      </c>
      <c r="AH358" s="314">
        <f t="shared" si="89"/>
        <v>0</v>
      </c>
      <c r="AI358" s="314">
        <f t="shared" si="90"/>
        <v>0</v>
      </c>
      <c r="AJ358" s="317"/>
      <c r="AK358" s="315" t="e">
        <f t="shared" si="91"/>
        <v>#N/A</v>
      </c>
      <c r="AM358" s="561"/>
      <c r="AN358" s="561"/>
      <c r="AO358" s="561"/>
    </row>
    <row r="359" spans="2:41">
      <c r="B359" s="296"/>
      <c r="C359" s="299"/>
      <c r="D359" s="296"/>
      <c r="E359" s="298"/>
      <c r="F359" s="299"/>
      <c r="G359" s="300"/>
      <c r="H359" s="303"/>
      <c r="I359" s="303"/>
      <c r="J359" s="322">
        <f t="shared" si="77"/>
        <v>0</v>
      </c>
      <c r="K359" s="305" t="e">
        <f>IF(F359="MXN",1/HLOOKUP(YEAR(G359)+(MONTH(G359)/100),TC!$5:$37,DAY(G359)+2,FALSE),VLOOKUP(F359,Equivalencia!$5:$23,((MAX(Equivalencia!$3:$3)-YEAR(G359))*14)+MONTH(G359)+2,FALSE))</f>
        <v>#N/A</v>
      </c>
      <c r="L359" s="306" t="e">
        <f t="shared" si="80"/>
        <v>#N/A</v>
      </c>
      <c r="M359" s="305">
        <f>IF(G359=0,0,HLOOKUP(YEAR(G359)+(MONTH(G359)/100),TC!$5:$37,DAY(G359)+2,FALSE))</f>
        <v>0</v>
      </c>
      <c r="N359" s="306" t="e">
        <f t="shared" si="81"/>
        <v>#N/A</v>
      </c>
      <c r="O359" s="308">
        <f>IF(G359=0,0,VLOOKUP(YEAR(G359),INPC!$B$4:$P$30,MONTH(G359)+2))</f>
        <v>0</v>
      </c>
      <c r="P359" s="308">
        <f>IF(W359=0,0,IF(OR(C359=$AQ$5,C359=AQ363),VLOOKUP(YEAR(W359),INPC!$B$4:$P$30,MONTH(W359)+1),VLOOKUP(YEAR(W359),INPC!$B$4:$P$30,MONTH(W359)+2)))</f>
        <v>0</v>
      </c>
      <c r="Q359" s="309">
        <f t="shared" si="82"/>
        <v>0</v>
      </c>
      <c r="R359" s="310" t="e">
        <f t="shared" si="83"/>
        <v>#N/A</v>
      </c>
      <c r="S359" s="310">
        <f t="shared" si="84"/>
        <v>0</v>
      </c>
      <c r="T359" s="567" t="str">
        <f t="shared" si="85"/>
        <v>NO</v>
      </c>
      <c r="U359" s="323"/>
      <c r="V359" s="299"/>
      <c r="W359" s="300"/>
      <c r="X359" s="299"/>
      <c r="Y359" s="303"/>
      <c r="Z359" s="305">
        <f>IF(Y359=0,0,IF(X359="MXN",1/HLOOKUP(YEAR(W359)+(MONTH(W359)/100),TC!$5:$37,DAY(W359)+2,FALSE),VLOOKUP(X359,Equivalencia!$1:$23,((MAX(Equivalencia!$3:$3)-YEAR(W359))*14)+MONTH(W359)+2,FALSE)))</f>
        <v>0</v>
      </c>
      <c r="AA359" s="306">
        <f t="shared" si="86"/>
        <v>0</v>
      </c>
      <c r="AB359" s="305">
        <f>+IF(W359=0,0,HLOOKUP(YEAR(W359)+(MONTH(W359)/100),TC!$5:$37,DAY(W359)+2,FALSE))</f>
        <v>0</v>
      </c>
      <c r="AC359" s="306">
        <f t="shared" si="87"/>
        <v>0</v>
      </c>
      <c r="AD359" s="314">
        <f t="shared" si="78"/>
        <v>0</v>
      </c>
      <c r="AE359" s="315">
        <f t="shared" si="88"/>
        <v>0</v>
      </c>
      <c r="AF359" s="316">
        <f t="shared" si="79"/>
        <v>0</v>
      </c>
      <c r="AG359" s="314">
        <v>1</v>
      </c>
      <c r="AH359" s="314">
        <f t="shared" si="89"/>
        <v>0</v>
      </c>
      <c r="AI359" s="314">
        <f t="shared" si="90"/>
        <v>0</v>
      </c>
      <c r="AJ359" s="317"/>
      <c r="AK359" s="315" t="e">
        <f t="shared" si="91"/>
        <v>#N/A</v>
      </c>
      <c r="AM359" s="561"/>
      <c r="AN359" s="561"/>
      <c r="AO359" s="561"/>
    </row>
    <row r="360" spans="2:41">
      <c r="B360" s="296"/>
      <c r="C360" s="299"/>
      <c r="D360" s="296"/>
      <c r="E360" s="298"/>
      <c r="F360" s="299"/>
      <c r="G360" s="300"/>
      <c r="H360" s="303"/>
      <c r="I360" s="303"/>
      <c r="J360" s="322">
        <f t="shared" si="77"/>
        <v>0</v>
      </c>
      <c r="K360" s="305" t="e">
        <f>IF(F360="MXN",1/HLOOKUP(YEAR(G360)+(MONTH(G360)/100),TC!$5:$37,DAY(G360)+2,FALSE),VLOOKUP(F360,Equivalencia!$5:$23,((MAX(Equivalencia!$3:$3)-YEAR(G360))*14)+MONTH(G360)+2,FALSE))</f>
        <v>#N/A</v>
      </c>
      <c r="L360" s="306" t="e">
        <f t="shared" si="80"/>
        <v>#N/A</v>
      </c>
      <c r="M360" s="305">
        <f>IF(G360=0,0,HLOOKUP(YEAR(G360)+(MONTH(G360)/100),TC!$5:$37,DAY(G360)+2,FALSE))</f>
        <v>0</v>
      </c>
      <c r="N360" s="306" t="e">
        <f t="shared" si="81"/>
        <v>#N/A</v>
      </c>
      <c r="O360" s="308">
        <f>IF(G360=0,0,VLOOKUP(YEAR(G360),INPC!$B$4:$P$30,MONTH(G360)+2))</f>
        <v>0</v>
      </c>
      <c r="P360" s="308">
        <f>IF(W360=0,0,IF(OR(C360=$AQ$5,C360=AQ364),VLOOKUP(YEAR(W360),INPC!$B$4:$P$30,MONTH(W360)+1),VLOOKUP(YEAR(W360),INPC!$B$4:$P$30,MONTH(W360)+2)))</f>
        <v>0</v>
      </c>
      <c r="Q360" s="309">
        <f t="shared" si="82"/>
        <v>0</v>
      </c>
      <c r="R360" s="310" t="e">
        <f t="shared" si="83"/>
        <v>#N/A</v>
      </c>
      <c r="S360" s="310">
        <f t="shared" si="84"/>
        <v>0</v>
      </c>
      <c r="T360" s="567" t="str">
        <f t="shared" si="85"/>
        <v>NO</v>
      </c>
      <c r="U360" s="323"/>
      <c r="V360" s="299"/>
      <c r="W360" s="300"/>
      <c r="X360" s="299"/>
      <c r="Y360" s="303"/>
      <c r="Z360" s="305">
        <f>IF(Y360=0,0,IF(X360="MXN",1/HLOOKUP(YEAR(W360)+(MONTH(W360)/100),TC!$5:$37,DAY(W360)+2,FALSE),VLOOKUP(X360,Equivalencia!$1:$23,((MAX(Equivalencia!$3:$3)-YEAR(W360))*14)+MONTH(W360)+2,FALSE)))</f>
        <v>0</v>
      </c>
      <c r="AA360" s="306">
        <f t="shared" si="86"/>
        <v>0</v>
      </c>
      <c r="AB360" s="305">
        <f>+IF(W360=0,0,HLOOKUP(YEAR(W360)+(MONTH(W360)/100),TC!$5:$37,DAY(W360)+2,FALSE))</f>
        <v>0</v>
      </c>
      <c r="AC360" s="306">
        <f t="shared" si="87"/>
        <v>0</v>
      </c>
      <c r="AD360" s="314">
        <f t="shared" si="78"/>
        <v>0</v>
      </c>
      <c r="AE360" s="315">
        <f t="shared" si="88"/>
        <v>0</v>
      </c>
      <c r="AF360" s="316">
        <f t="shared" si="79"/>
        <v>0</v>
      </c>
      <c r="AG360" s="314">
        <v>1</v>
      </c>
      <c r="AH360" s="314">
        <f t="shared" si="89"/>
        <v>0</v>
      </c>
      <c r="AI360" s="314">
        <f t="shared" si="90"/>
        <v>0</v>
      </c>
      <c r="AJ360" s="317"/>
      <c r="AK360" s="315" t="e">
        <f t="shared" si="91"/>
        <v>#N/A</v>
      </c>
      <c r="AM360" s="561"/>
      <c r="AN360" s="561"/>
      <c r="AO360" s="561"/>
    </row>
    <row r="361" spans="2:41">
      <c r="B361" s="296"/>
      <c r="C361" s="299"/>
      <c r="D361" s="296"/>
      <c r="E361" s="298"/>
      <c r="F361" s="299"/>
      <c r="G361" s="300"/>
      <c r="H361" s="303"/>
      <c r="I361" s="303"/>
      <c r="J361" s="322">
        <f t="shared" si="77"/>
        <v>0</v>
      </c>
      <c r="K361" s="305" t="e">
        <f>IF(F361="MXN",1/HLOOKUP(YEAR(G361)+(MONTH(G361)/100),TC!$5:$37,DAY(G361)+2,FALSE),VLOOKUP(F361,Equivalencia!$5:$23,((MAX(Equivalencia!$3:$3)-YEAR(G361))*14)+MONTH(G361)+2,FALSE))</f>
        <v>#N/A</v>
      </c>
      <c r="L361" s="306" t="e">
        <f t="shared" si="80"/>
        <v>#N/A</v>
      </c>
      <c r="M361" s="305">
        <f>IF(G361=0,0,HLOOKUP(YEAR(G361)+(MONTH(G361)/100),TC!$5:$37,DAY(G361)+2,FALSE))</f>
        <v>0</v>
      </c>
      <c r="N361" s="306" t="e">
        <f t="shared" si="81"/>
        <v>#N/A</v>
      </c>
      <c r="O361" s="308">
        <f>IF(G361=0,0,VLOOKUP(YEAR(G361),INPC!$B$4:$P$30,MONTH(G361)+2))</f>
        <v>0</v>
      </c>
      <c r="P361" s="308">
        <f>IF(W361=0,0,IF(OR(C361=$AQ$5,C361=AQ365),VLOOKUP(YEAR(W361),INPC!$B$4:$P$30,MONTH(W361)+1),VLOOKUP(YEAR(W361),INPC!$B$4:$P$30,MONTH(W361)+2)))</f>
        <v>0</v>
      </c>
      <c r="Q361" s="309">
        <f t="shared" si="82"/>
        <v>0</v>
      </c>
      <c r="R361" s="310" t="e">
        <f t="shared" si="83"/>
        <v>#N/A</v>
      </c>
      <c r="S361" s="310">
        <f t="shared" si="84"/>
        <v>0</v>
      </c>
      <c r="T361" s="567" t="str">
        <f t="shared" si="85"/>
        <v>NO</v>
      </c>
      <c r="U361" s="323"/>
      <c r="V361" s="299"/>
      <c r="W361" s="300"/>
      <c r="X361" s="299"/>
      <c r="Y361" s="303"/>
      <c r="Z361" s="305">
        <f>IF(Y361=0,0,IF(X361="MXN",1/HLOOKUP(YEAR(W361)+(MONTH(W361)/100),TC!$5:$37,DAY(W361)+2,FALSE),VLOOKUP(X361,Equivalencia!$1:$23,((MAX(Equivalencia!$3:$3)-YEAR(W361))*14)+MONTH(W361)+2,FALSE)))</f>
        <v>0</v>
      </c>
      <c r="AA361" s="306">
        <f t="shared" si="86"/>
        <v>0</v>
      </c>
      <c r="AB361" s="305">
        <f>+IF(W361=0,0,HLOOKUP(YEAR(W361)+(MONTH(W361)/100),TC!$5:$37,DAY(W361)+2,FALSE))</f>
        <v>0</v>
      </c>
      <c r="AC361" s="306">
        <f t="shared" si="87"/>
        <v>0</v>
      </c>
      <c r="AD361" s="314">
        <f t="shared" si="78"/>
        <v>0</v>
      </c>
      <c r="AE361" s="315">
        <f t="shared" si="88"/>
        <v>0</v>
      </c>
      <c r="AF361" s="316">
        <f t="shared" si="79"/>
        <v>0</v>
      </c>
      <c r="AG361" s="314">
        <v>1</v>
      </c>
      <c r="AH361" s="314">
        <f t="shared" si="89"/>
        <v>0</v>
      </c>
      <c r="AI361" s="314">
        <f t="shared" si="90"/>
        <v>0</v>
      </c>
      <c r="AJ361" s="317"/>
      <c r="AK361" s="315" t="e">
        <f t="shared" si="91"/>
        <v>#N/A</v>
      </c>
      <c r="AM361" s="561"/>
      <c r="AN361" s="561"/>
      <c r="AO361" s="561"/>
    </row>
    <row r="362" spans="2:41">
      <c r="B362" s="296"/>
      <c r="C362" s="299"/>
      <c r="D362" s="296"/>
      <c r="E362" s="298"/>
      <c r="F362" s="299"/>
      <c r="G362" s="300"/>
      <c r="H362" s="303"/>
      <c r="I362" s="303"/>
      <c r="J362" s="322">
        <f t="shared" si="77"/>
        <v>0</v>
      </c>
      <c r="K362" s="305" t="e">
        <f>IF(F362="MXN",1/HLOOKUP(YEAR(G362)+(MONTH(G362)/100),TC!$5:$37,DAY(G362)+2,FALSE),VLOOKUP(F362,Equivalencia!$5:$23,((MAX(Equivalencia!$3:$3)-YEAR(G362))*14)+MONTH(G362)+2,FALSE))</f>
        <v>#N/A</v>
      </c>
      <c r="L362" s="306" t="e">
        <f t="shared" si="80"/>
        <v>#N/A</v>
      </c>
      <c r="M362" s="305">
        <f>IF(G362=0,0,HLOOKUP(YEAR(G362)+(MONTH(G362)/100),TC!$5:$37,DAY(G362)+2,FALSE))</f>
        <v>0</v>
      </c>
      <c r="N362" s="306" t="e">
        <f t="shared" si="81"/>
        <v>#N/A</v>
      </c>
      <c r="O362" s="308">
        <f>IF(G362=0,0,VLOOKUP(YEAR(G362),INPC!$B$4:$P$30,MONTH(G362)+2))</f>
        <v>0</v>
      </c>
      <c r="P362" s="308">
        <f>IF(W362=0,0,IF(OR(C362=$AQ$5,C362=AQ366),VLOOKUP(YEAR(W362),INPC!$B$4:$P$30,MONTH(W362)+1),VLOOKUP(YEAR(W362),INPC!$B$4:$P$30,MONTH(W362)+2)))</f>
        <v>0</v>
      </c>
      <c r="Q362" s="309">
        <f t="shared" si="82"/>
        <v>0</v>
      </c>
      <c r="R362" s="310" t="e">
        <f t="shared" si="83"/>
        <v>#N/A</v>
      </c>
      <c r="S362" s="310">
        <f t="shared" si="84"/>
        <v>0</v>
      </c>
      <c r="T362" s="567" t="str">
        <f t="shared" si="85"/>
        <v>NO</v>
      </c>
      <c r="U362" s="323"/>
      <c r="V362" s="299"/>
      <c r="W362" s="300"/>
      <c r="X362" s="299"/>
      <c r="Y362" s="303"/>
      <c r="Z362" s="305">
        <f>IF(Y362=0,0,IF(X362="MXN",1/HLOOKUP(YEAR(W362)+(MONTH(W362)/100),TC!$5:$37,DAY(W362)+2,FALSE),VLOOKUP(X362,Equivalencia!$1:$23,((MAX(Equivalencia!$3:$3)-YEAR(W362))*14)+MONTH(W362)+2,FALSE)))</f>
        <v>0</v>
      </c>
      <c r="AA362" s="306">
        <f t="shared" si="86"/>
        <v>0</v>
      </c>
      <c r="AB362" s="305">
        <f>+IF(W362=0,0,HLOOKUP(YEAR(W362)+(MONTH(W362)/100),TC!$5:$37,DAY(W362)+2,FALSE))</f>
        <v>0</v>
      </c>
      <c r="AC362" s="306">
        <f t="shared" si="87"/>
        <v>0</v>
      </c>
      <c r="AD362" s="314">
        <f t="shared" si="78"/>
        <v>0</v>
      </c>
      <c r="AE362" s="315">
        <f t="shared" si="88"/>
        <v>0</v>
      </c>
      <c r="AF362" s="316">
        <f t="shared" si="79"/>
        <v>0</v>
      </c>
      <c r="AG362" s="314">
        <v>1</v>
      </c>
      <c r="AH362" s="314">
        <f t="shared" si="89"/>
        <v>0</v>
      </c>
      <c r="AI362" s="314">
        <f t="shared" si="90"/>
        <v>0</v>
      </c>
      <c r="AJ362" s="317"/>
      <c r="AK362" s="315" t="e">
        <f t="shared" si="91"/>
        <v>#N/A</v>
      </c>
      <c r="AM362" s="561"/>
      <c r="AN362" s="561"/>
      <c r="AO362" s="561"/>
    </row>
    <row r="363" spans="2:41">
      <c r="B363" s="296"/>
      <c r="C363" s="299"/>
      <c r="D363" s="296"/>
      <c r="E363" s="298"/>
      <c r="F363" s="299"/>
      <c r="G363" s="300"/>
      <c r="H363" s="303"/>
      <c r="I363" s="303"/>
      <c r="J363" s="322">
        <f t="shared" si="77"/>
        <v>0</v>
      </c>
      <c r="K363" s="305" t="e">
        <f>IF(F363="MXN",1/HLOOKUP(YEAR(G363)+(MONTH(G363)/100),TC!$5:$37,DAY(G363)+2,FALSE),VLOOKUP(F363,Equivalencia!$5:$23,((MAX(Equivalencia!$3:$3)-YEAR(G363))*14)+MONTH(G363)+2,FALSE))</f>
        <v>#N/A</v>
      </c>
      <c r="L363" s="306" t="e">
        <f t="shared" si="80"/>
        <v>#N/A</v>
      </c>
      <c r="M363" s="305">
        <f>IF(G363=0,0,HLOOKUP(YEAR(G363)+(MONTH(G363)/100),TC!$5:$37,DAY(G363)+2,FALSE))</f>
        <v>0</v>
      </c>
      <c r="N363" s="306" t="e">
        <f t="shared" si="81"/>
        <v>#N/A</v>
      </c>
      <c r="O363" s="308">
        <f>IF(G363=0,0,VLOOKUP(YEAR(G363),INPC!$B$4:$P$30,MONTH(G363)+2))</f>
        <v>0</v>
      </c>
      <c r="P363" s="308">
        <f>IF(W363=0,0,IF(OR(C363=$AQ$5,C363=AQ367),VLOOKUP(YEAR(W363),INPC!$B$4:$P$30,MONTH(W363)+1),VLOOKUP(YEAR(W363),INPC!$B$4:$P$30,MONTH(W363)+2)))</f>
        <v>0</v>
      </c>
      <c r="Q363" s="309">
        <f t="shared" si="82"/>
        <v>0</v>
      </c>
      <c r="R363" s="310" t="e">
        <f t="shared" si="83"/>
        <v>#N/A</v>
      </c>
      <c r="S363" s="310">
        <f t="shared" si="84"/>
        <v>0</v>
      </c>
      <c r="T363" s="567" t="str">
        <f t="shared" si="85"/>
        <v>NO</v>
      </c>
      <c r="U363" s="323"/>
      <c r="V363" s="299"/>
      <c r="W363" s="300"/>
      <c r="X363" s="299"/>
      <c r="Y363" s="303"/>
      <c r="Z363" s="305">
        <f>IF(Y363=0,0,IF(X363="MXN",1/HLOOKUP(YEAR(W363)+(MONTH(W363)/100),TC!$5:$37,DAY(W363)+2,FALSE),VLOOKUP(X363,Equivalencia!$1:$23,((MAX(Equivalencia!$3:$3)-YEAR(W363))*14)+MONTH(W363)+2,FALSE)))</f>
        <v>0</v>
      </c>
      <c r="AA363" s="306">
        <f t="shared" si="86"/>
        <v>0</v>
      </c>
      <c r="AB363" s="305">
        <f>+IF(W363=0,0,HLOOKUP(YEAR(W363)+(MONTH(W363)/100),TC!$5:$37,DAY(W363)+2,FALSE))</f>
        <v>0</v>
      </c>
      <c r="AC363" s="306">
        <f t="shared" si="87"/>
        <v>0</v>
      </c>
      <c r="AD363" s="314">
        <f t="shared" si="78"/>
        <v>0</v>
      </c>
      <c r="AE363" s="315">
        <f t="shared" si="88"/>
        <v>0</v>
      </c>
      <c r="AF363" s="316">
        <f t="shared" si="79"/>
        <v>0</v>
      </c>
      <c r="AG363" s="314">
        <v>1</v>
      </c>
      <c r="AH363" s="314">
        <f t="shared" si="89"/>
        <v>0</v>
      </c>
      <c r="AI363" s="314">
        <f t="shared" si="90"/>
        <v>0</v>
      </c>
      <c r="AJ363" s="317"/>
      <c r="AK363" s="315" t="e">
        <f t="shared" si="91"/>
        <v>#N/A</v>
      </c>
      <c r="AM363" s="561"/>
      <c r="AN363" s="561"/>
      <c r="AO363" s="561"/>
    </row>
    <row r="364" spans="2:41">
      <c r="B364" s="296"/>
      <c r="C364" s="299"/>
      <c r="D364" s="296"/>
      <c r="E364" s="298"/>
      <c r="F364" s="299"/>
      <c r="G364" s="300"/>
      <c r="H364" s="303"/>
      <c r="I364" s="303"/>
      <c r="J364" s="322">
        <f t="shared" si="77"/>
        <v>0</v>
      </c>
      <c r="K364" s="305" t="e">
        <f>IF(F364="MXN",1/HLOOKUP(YEAR(G364)+(MONTH(G364)/100),TC!$5:$37,DAY(G364)+2,FALSE),VLOOKUP(F364,Equivalencia!$5:$23,((MAX(Equivalencia!$3:$3)-YEAR(G364))*14)+MONTH(G364)+2,FALSE))</f>
        <v>#N/A</v>
      </c>
      <c r="L364" s="306" t="e">
        <f t="shared" si="80"/>
        <v>#N/A</v>
      </c>
      <c r="M364" s="305">
        <f>IF(G364=0,0,HLOOKUP(YEAR(G364)+(MONTH(G364)/100),TC!$5:$37,DAY(G364)+2,FALSE))</f>
        <v>0</v>
      </c>
      <c r="N364" s="306" t="e">
        <f t="shared" si="81"/>
        <v>#N/A</v>
      </c>
      <c r="O364" s="308">
        <f>IF(G364=0,0,VLOOKUP(YEAR(G364),INPC!$B$4:$P$30,MONTH(G364)+2))</f>
        <v>0</v>
      </c>
      <c r="P364" s="308">
        <f>IF(W364=0,0,IF(OR(C364=$AQ$5,C364=AQ368),VLOOKUP(YEAR(W364),INPC!$B$4:$P$30,MONTH(W364)+1),VLOOKUP(YEAR(W364),INPC!$B$4:$P$30,MONTH(W364)+2)))</f>
        <v>0</v>
      </c>
      <c r="Q364" s="309">
        <f t="shared" si="82"/>
        <v>0</v>
      </c>
      <c r="R364" s="310" t="e">
        <f t="shared" si="83"/>
        <v>#N/A</v>
      </c>
      <c r="S364" s="310">
        <f t="shared" si="84"/>
        <v>0</v>
      </c>
      <c r="T364" s="567" t="str">
        <f t="shared" si="85"/>
        <v>NO</v>
      </c>
      <c r="U364" s="323"/>
      <c r="V364" s="299"/>
      <c r="W364" s="300"/>
      <c r="X364" s="299"/>
      <c r="Y364" s="303"/>
      <c r="Z364" s="305">
        <f>IF(Y364=0,0,IF(X364="MXN",1/HLOOKUP(YEAR(W364)+(MONTH(W364)/100),TC!$5:$37,DAY(W364)+2,FALSE),VLOOKUP(X364,Equivalencia!$1:$23,((MAX(Equivalencia!$3:$3)-YEAR(W364))*14)+MONTH(W364)+2,FALSE)))</f>
        <v>0</v>
      </c>
      <c r="AA364" s="306">
        <f t="shared" si="86"/>
        <v>0</v>
      </c>
      <c r="AB364" s="305">
        <f>+IF(W364=0,0,HLOOKUP(YEAR(W364)+(MONTH(W364)/100),TC!$5:$37,DAY(W364)+2,FALSE))</f>
        <v>0</v>
      </c>
      <c r="AC364" s="306">
        <f t="shared" si="87"/>
        <v>0</v>
      </c>
      <c r="AD364" s="314">
        <f t="shared" si="78"/>
        <v>0</v>
      </c>
      <c r="AE364" s="315">
        <f t="shared" si="88"/>
        <v>0</v>
      </c>
      <c r="AF364" s="316">
        <f t="shared" si="79"/>
        <v>0</v>
      </c>
      <c r="AG364" s="314">
        <v>1</v>
      </c>
      <c r="AH364" s="314">
        <f t="shared" si="89"/>
        <v>0</v>
      </c>
      <c r="AI364" s="314">
        <f t="shared" si="90"/>
        <v>0</v>
      </c>
      <c r="AJ364" s="317"/>
      <c r="AK364" s="315" t="e">
        <f t="shared" si="91"/>
        <v>#N/A</v>
      </c>
      <c r="AM364" s="561"/>
      <c r="AN364" s="561"/>
      <c r="AO364" s="561"/>
    </row>
    <row r="365" spans="2:41">
      <c r="B365" s="296"/>
      <c r="C365" s="299"/>
      <c r="D365" s="296"/>
      <c r="E365" s="298"/>
      <c r="F365" s="299"/>
      <c r="G365" s="300"/>
      <c r="H365" s="303"/>
      <c r="I365" s="303"/>
      <c r="J365" s="322">
        <f t="shared" si="77"/>
        <v>0</v>
      </c>
      <c r="K365" s="305" t="e">
        <f>IF(F365="MXN",1/HLOOKUP(YEAR(G365)+(MONTH(G365)/100),TC!$5:$37,DAY(G365)+2,FALSE),VLOOKUP(F365,Equivalencia!$5:$23,((MAX(Equivalencia!$3:$3)-YEAR(G365))*14)+MONTH(G365)+2,FALSE))</f>
        <v>#N/A</v>
      </c>
      <c r="L365" s="306" t="e">
        <f t="shared" si="80"/>
        <v>#N/A</v>
      </c>
      <c r="M365" s="305">
        <f>IF(G365=0,0,HLOOKUP(YEAR(G365)+(MONTH(G365)/100),TC!$5:$37,DAY(G365)+2,FALSE))</f>
        <v>0</v>
      </c>
      <c r="N365" s="306" t="e">
        <f t="shared" si="81"/>
        <v>#N/A</v>
      </c>
      <c r="O365" s="308">
        <f>IF(G365=0,0,VLOOKUP(YEAR(G365),INPC!$B$4:$P$30,MONTH(G365)+2))</f>
        <v>0</v>
      </c>
      <c r="P365" s="308">
        <f>IF(W365=0,0,IF(OR(C365=$AQ$5,C365=AQ369),VLOOKUP(YEAR(W365),INPC!$B$4:$P$30,MONTH(W365)+1),VLOOKUP(YEAR(W365),INPC!$B$4:$P$30,MONTH(W365)+2)))</f>
        <v>0</v>
      </c>
      <c r="Q365" s="309">
        <f t="shared" si="82"/>
        <v>0</v>
      </c>
      <c r="R365" s="310" t="e">
        <f t="shared" si="83"/>
        <v>#N/A</v>
      </c>
      <c r="S365" s="310">
        <f t="shared" si="84"/>
        <v>0</v>
      </c>
      <c r="T365" s="567" t="str">
        <f t="shared" si="85"/>
        <v>NO</v>
      </c>
      <c r="U365" s="323"/>
      <c r="V365" s="299"/>
      <c r="W365" s="300"/>
      <c r="X365" s="299"/>
      <c r="Y365" s="303"/>
      <c r="Z365" s="305">
        <f>IF(Y365=0,0,IF(X365="MXN",1/HLOOKUP(YEAR(W365)+(MONTH(W365)/100),TC!$5:$37,DAY(W365)+2,FALSE),VLOOKUP(X365,Equivalencia!$1:$23,((MAX(Equivalencia!$3:$3)-YEAR(W365))*14)+MONTH(W365)+2,FALSE)))</f>
        <v>0</v>
      </c>
      <c r="AA365" s="306">
        <f t="shared" si="86"/>
        <v>0</v>
      </c>
      <c r="AB365" s="305">
        <f>+IF(W365=0,0,HLOOKUP(YEAR(W365)+(MONTH(W365)/100),TC!$5:$37,DAY(W365)+2,FALSE))</f>
        <v>0</v>
      </c>
      <c r="AC365" s="306">
        <f t="shared" si="87"/>
        <v>0</v>
      </c>
      <c r="AD365" s="314">
        <f t="shared" si="78"/>
        <v>0</v>
      </c>
      <c r="AE365" s="315">
        <f t="shared" si="88"/>
        <v>0</v>
      </c>
      <c r="AF365" s="316">
        <f t="shared" si="79"/>
        <v>0</v>
      </c>
      <c r="AG365" s="314">
        <v>1</v>
      </c>
      <c r="AH365" s="314">
        <f t="shared" si="89"/>
        <v>0</v>
      </c>
      <c r="AI365" s="314">
        <f t="shared" si="90"/>
        <v>0</v>
      </c>
      <c r="AJ365" s="317"/>
      <c r="AK365" s="315" t="e">
        <f t="shared" si="91"/>
        <v>#N/A</v>
      </c>
      <c r="AM365" s="561"/>
      <c r="AN365" s="561"/>
      <c r="AO365" s="561"/>
    </row>
    <row r="366" spans="2:41">
      <c r="B366" s="296"/>
      <c r="C366" s="299"/>
      <c r="D366" s="296"/>
      <c r="E366" s="298"/>
      <c r="F366" s="299"/>
      <c r="G366" s="300"/>
      <c r="H366" s="303"/>
      <c r="I366" s="303"/>
      <c r="J366" s="322">
        <f t="shared" si="77"/>
        <v>0</v>
      </c>
      <c r="K366" s="305" t="e">
        <f>IF(F366="MXN",1/HLOOKUP(YEAR(G366)+(MONTH(G366)/100),TC!$5:$37,DAY(G366)+2,FALSE),VLOOKUP(F366,Equivalencia!$5:$23,((MAX(Equivalencia!$3:$3)-YEAR(G366))*14)+MONTH(G366)+2,FALSE))</f>
        <v>#N/A</v>
      </c>
      <c r="L366" s="306" t="e">
        <f t="shared" si="80"/>
        <v>#N/A</v>
      </c>
      <c r="M366" s="305">
        <f>IF(G366=0,0,HLOOKUP(YEAR(G366)+(MONTH(G366)/100),TC!$5:$37,DAY(G366)+2,FALSE))</f>
        <v>0</v>
      </c>
      <c r="N366" s="306" t="e">
        <f t="shared" si="81"/>
        <v>#N/A</v>
      </c>
      <c r="O366" s="308">
        <f>IF(G366=0,0,VLOOKUP(YEAR(G366),INPC!$B$4:$P$30,MONTH(G366)+2))</f>
        <v>0</v>
      </c>
      <c r="P366" s="308">
        <f>IF(W366=0,0,IF(OR(C366=$AQ$5,C366=AQ370),VLOOKUP(YEAR(W366),INPC!$B$4:$P$30,MONTH(W366)+1),VLOOKUP(YEAR(W366),INPC!$B$4:$P$30,MONTH(W366)+2)))</f>
        <v>0</v>
      </c>
      <c r="Q366" s="309">
        <f t="shared" si="82"/>
        <v>0</v>
      </c>
      <c r="R366" s="310" t="e">
        <f t="shared" si="83"/>
        <v>#N/A</v>
      </c>
      <c r="S366" s="310">
        <f t="shared" si="84"/>
        <v>0</v>
      </c>
      <c r="T366" s="567" t="str">
        <f t="shared" si="85"/>
        <v>NO</v>
      </c>
      <c r="U366" s="323"/>
      <c r="V366" s="299"/>
      <c r="W366" s="300"/>
      <c r="X366" s="299"/>
      <c r="Y366" s="303"/>
      <c r="Z366" s="305">
        <f>IF(Y366=0,0,IF(X366="MXN",1/HLOOKUP(YEAR(W366)+(MONTH(W366)/100),TC!$5:$37,DAY(W366)+2,FALSE),VLOOKUP(X366,Equivalencia!$1:$23,((MAX(Equivalencia!$3:$3)-YEAR(W366))*14)+MONTH(W366)+2,FALSE)))</f>
        <v>0</v>
      </c>
      <c r="AA366" s="306">
        <f t="shared" si="86"/>
        <v>0</v>
      </c>
      <c r="AB366" s="305">
        <f>+IF(W366=0,0,HLOOKUP(YEAR(W366)+(MONTH(W366)/100),TC!$5:$37,DAY(W366)+2,FALSE))</f>
        <v>0</v>
      </c>
      <c r="AC366" s="306">
        <f t="shared" si="87"/>
        <v>0</v>
      </c>
      <c r="AD366" s="314">
        <f t="shared" si="78"/>
        <v>0</v>
      </c>
      <c r="AE366" s="315">
        <f t="shared" si="88"/>
        <v>0</v>
      </c>
      <c r="AF366" s="316">
        <f t="shared" si="79"/>
        <v>0</v>
      </c>
      <c r="AG366" s="314">
        <v>1</v>
      </c>
      <c r="AH366" s="314">
        <f t="shared" si="89"/>
        <v>0</v>
      </c>
      <c r="AI366" s="314">
        <f t="shared" si="90"/>
        <v>0</v>
      </c>
      <c r="AJ366" s="317"/>
      <c r="AK366" s="315" t="e">
        <f t="shared" si="91"/>
        <v>#N/A</v>
      </c>
      <c r="AM366" s="561"/>
      <c r="AN366" s="561"/>
      <c r="AO366" s="561"/>
    </row>
    <row r="367" spans="2:41">
      <c r="B367" s="296"/>
      <c r="C367" s="299"/>
      <c r="D367" s="296"/>
      <c r="E367" s="298"/>
      <c r="F367" s="299"/>
      <c r="G367" s="300"/>
      <c r="H367" s="303"/>
      <c r="I367" s="303"/>
      <c r="J367" s="322">
        <f t="shared" si="77"/>
        <v>0</v>
      </c>
      <c r="K367" s="305" t="e">
        <f>IF(F367="MXN",1/HLOOKUP(YEAR(G367)+(MONTH(G367)/100),TC!$5:$37,DAY(G367)+2,FALSE),VLOOKUP(F367,Equivalencia!$5:$23,((MAX(Equivalencia!$3:$3)-YEAR(G367))*14)+MONTH(G367)+2,FALSE))</f>
        <v>#N/A</v>
      </c>
      <c r="L367" s="306" t="e">
        <f t="shared" si="80"/>
        <v>#N/A</v>
      </c>
      <c r="M367" s="305">
        <f>IF(G367=0,0,HLOOKUP(YEAR(G367)+(MONTH(G367)/100),TC!$5:$37,DAY(G367)+2,FALSE))</f>
        <v>0</v>
      </c>
      <c r="N367" s="306" t="e">
        <f t="shared" si="81"/>
        <v>#N/A</v>
      </c>
      <c r="O367" s="308">
        <f>IF(G367=0,0,VLOOKUP(YEAR(G367),INPC!$B$4:$P$30,MONTH(G367)+2))</f>
        <v>0</v>
      </c>
      <c r="P367" s="308">
        <f>IF(W367=0,0,IF(OR(C367=$AQ$5,C367=AQ371),VLOOKUP(YEAR(W367),INPC!$B$4:$P$30,MONTH(W367)+1),VLOOKUP(YEAR(W367),INPC!$B$4:$P$30,MONTH(W367)+2)))</f>
        <v>0</v>
      </c>
      <c r="Q367" s="309">
        <f t="shared" si="82"/>
        <v>0</v>
      </c>
      <c r="R367" s="310" t="e">
        <f t="shared" si="83"/>
        <v>#N/A</v>
      </c>
      <c r="S367" s="310">
        <f t="shared" si="84"/>
        <v>0</v>
      </c>
      <c r="T367" s="567" t="str">
        <f t="shared" si="85"/>
        <v>NO</v>
      </c>
      <c r="U367" s="323"/>
      <c r="V367" s="299"/>
      <c r="W367" s="300"/>
      <c r="X367" s="299"/>
      <c r="Y367" s="303"/>
      <c r="Z367" s="305">
        <f>IF(Y367=0,0,IF(X367="MXN",1/HLOOKUP(YEAR(W367)+(MONTH(W367)/100),TC!$5:$37,DAY(W367)+2,FALSE),VLOOKUP(X367,Equivalencia!$1:$23,((MAX(Equivalencia!$3:$3)-YEAR(W367))*14)+MONTH(W367)+2,FALSE)))</f>
        <v>0</v>
      </c>
      <c r="AA367" s="306">
        <f t="shared" si="86"/>
        <v>0</v>
      </c>
      <c r="AB367" s="305">
        <f>+IF(W367=0,0,HLOOKUP(YEAR(W367)+(MONTH(W367)/100),TC!$5:$37,DAY(W367)+2,FALSE))</f>
        <v>0</v>
      </c>
      <c r="AC367" s="306">
        <f t="shared" si="87"/>
        <v>0</v>
      </c>
      <c r="AD367" s="314">
        <f t="shared" si="78"/>
        <v>0</v>
      </c>
      <c r="AE367" s="315">
        <f t="shared" si="88"/>
        <v>0</v>
      </c>
      <c r="AF367" s="316">
        <f t="shared" si="79"/>
        <v>0</v>
      </c>
      <c r="AG367" s="314">
        <v>1</v>
      </c>
      <c r="AH367" s="314">
        <f t="shared" si="89"/>
        <v>0</v>
      </c>
      <c r="AI367" s="314">
        <f t="shared" si="90"/>
        <v>0</v>
      </c>
      <c r="AJ367" s="317"/>
      <c r="AK367" s="315" t="e">
        <f t="shared" si="91"/>
        <v>#N/A</v>
      </c>
      <c r="AM367" s="561"/>
      <c r="AN367" s="561"/>
      <c r="AO367" s="561"/>
    </row>
    <row r="368" spans="2:41">
      <c r="B368" s="296"/>
      <c r="C368" s="299"/>
      <c r="D368" s="296"/>
      <c r="E368" s="298"/>
      <c r="F368" s="299"/>
      <c r="G368" s="300"/>
      <c r="H368" s="303"/>
      <c r="I368" s="303"/>
      <c r="J368" s="322">
        <f t="shared" si="77"/>
        <v>0</v>
      </c>
      <c r="K368" s="305" t="e">
        <f>IF(F368="MXN",1/HLOOKUP(YEAR(G368)+(MONTH(G368)/100),TC!$5:$37,DAY(G368)+2,FALSE),VLOOKUP(F368,Equivalencia!$5:$23,((MAX(Equivalencia!$3:$3)-YEAR(G368))*14)+MONTH(G368)+2,FALSE))</f>
        <v>#N/A</v>
      </c>
      <c r="L368" s="306" t="e">
        <f t="shared" si="80"/>
        <v>#N/A</v>
      </c>
      <c r="M368" s="305">
        <f>IF(G368=0,0,HLOOKUP(YEAR(G368)+(MONTH(G368)/100),TC!$5:$37,DAY(G368)+2,FALSE))</f>
        <v>0</v>
      </c>
      <c r="N368" s="306" t="e">
        <f t="shared" si="81"/>
        <v>#N/A</v>
      </c>
      <c r="O368" s="308">
        <f>IF(G368=0,0,VLOOKUP(YEAR(G368),INPC!$B$4:$P$30,MONTH(G368)+2))</f>
        <v>0</v>
      </c>
      <c r="P368" s="308">
        <f>IF(W368=0,0,IF(OR(C368=$AQ$5,C368=AQ372),VLOOKUP(YEAR(W368),INPC!$B$4:$P$30,MONTH(W368)+1),VLOOKUP(YEAR(W368),INPC!$B$4:$P$30,MONTH(W368)+2)))</f>
        <v>0</v>
      </c>
      <c r="Q368" s="309">
        <f t="shared" si="82"/>
        <v>0</v>
      </c>
      <c r="R368" s="310" t="e">
        <f t="shared" si="83"/>
        <v>#N/A</v>
      </c>
      <c r="S368" s="310">
        <f t="shared" si="84"/>
        <v>0</v>
      </c>
      <c r="T368" s="567" t="str">
        <f t="shared" si="85"/>
        <v>NO</v>
      </c>
      <c r="U368" s="323"/>
      <c r="V368" s="299"/>
      <c r="W368" s="300"/>
      <c r="X368" s="299"/>
      <c r="Y368" s="303"/>
      <c r="Z368" s="305">
        <f>IF(Y368=0,0,IF(X368="MXN",1/HLOOKUP(YEAR(W368)+(MONTH(W368)/100),TC!$5:$37,DAY(W368)+2,FALSE),VLOOKUP(X368,Equivalencia!$1:$23,((MAX(Equivalencia!$3:$3)-YEAR(W368))*14)+MONTH(W368)+2,FALSE)))</f>
        <v>0</v>
      </c>
      <c r="AA368" s="306">
        <f t="shared" si="86"/>
        <v>0</v>
      </c>
      <c r="AB368" s="305">
        <f>+IF(W368=0,0,HLOOKUP(YEAR(W368)+(MONTH(W368)/100),TC!$5:$37,DAY(W368)+2,FALSE))</f>
        <v>0</v>
      </c>
      <c r="AC368" s="306">
        <f t="shared" si="87"/>
        <v>0</v>
      </c>
      <c r="AD368" s="314">
        <f t="shared" si="78"/>
        <v>0</v>
      </c>
      <c r="AE368" s="315">
        <f t="shared" si="88"/>
        <v>0</v>
      </c>
      <c r="AF368" s="316">
        <f t="shared" si="79"/>
        <v>0</v>
      </c>
      <c r="AG368" s="314">
        <v>1</v>
      </c>
      <c r="AH368" s="314">
        <f t="shared" si="89"/>
        <v>0</v>
      </c>
      <c r="AI368" s="314">
        <f t="shared" si="90"/>
        <v>0</v>
      </c>
      <c r="AJ368" s="317"/>
      <c r="AK368" s="315" t="e">
        <f t="shared" si="91"/>
        <v>#N/A</v>
      </c>
      <c r="AM368" s="561"/>
      <c r="AN368" s="561"/>
      <c r="AO368" s="561"/>
    </row>
    <row r="369" spans="2:41">
      <c r="B369" s="296"/>
      <c r="C369" s="299"/>
      <c r="D369" s="296"/>
      <c r="E369" s="298"/>
      <c r="F369" s="299"/>
      <c r="G369" s="300"/>
      <c r="H369" s="303"/>
      <c r="I369" s="303"/>
      <c r="J369" s="322">
        <f t="shared" si="77"/>
        <v>0</v>
      </c>
      <c r="K369" s="305" t="e">
        <f>IF(F369="MXN",1/HLOOKUP(YEAR(G369)+(MONTH(G369)/100),TC!$5:$37,DAY(G369)+2,FALSE),VLOOKUP(F369,Equivalencia!$5:$23,((MAX(Equivalencia!$3:$3)-YEAR(G369))*14)+MONTH(G369)+2,FALSE))</f>
        <v>#N/A</v>
      </c>
      <c r="L369" s="306" t="e">
        <f t="shared" si="80"/>
        <v>#N/A</v>
      </c>
      <c r="M369" s="305">
        <f>IF(G369=0,0,HLOOKUP(YEAR(G369)+(MONTH(G369)/100),TC!$5:$37,DAY(G369)+2,FALSE))</f>
        <v>0</v>
      </c>
      <c r="N369" s="306" t="e">
        <f t="shared" si="81"/>
        <v>#N/A</v>
      </c>
      <c r="O369" s="308">
        <f>IF(G369=0,0,VLOOKUP(YEAR(G369),INPC!$B$4:$P$30,MONTH(G369)+2))</f>
        <v>0</v>
      </c>
      <c r="P369" s="308">
        <f>IF(W369=0,0,IF(OR(C369=$AQ$5,C369=AQ373),VLOOKUP(YEAR(W369),INPC!$B$4:$P$30,MONTH(W369)+1),VLOOKUP(YEAR(W369),INPC!$B$4:$P$30,MONTH(W369)+2)))</f>
        <v>0</v>
      </c>
      <c r="Q369" s="309">
        <f t="shared" si="82"/>
        <v>0</v>
      </c>
      <c r="R369" s="310" t="e">
        <f t="shared" si="83"/>
        <v>#N/A</v>
      </c>
      <c r="S369" s="310">
        <f t="shared" si="84"/>
        <v>0</v>
      </c>
      <c r="T369" s="567" t="str">
        <f t="shared" si="85"/>
        <v>NO</v>
      </c>
      <c r="U369" s="323"/>
      <c r="V369" s="299"/>
      <c r="W369" s="300"/>
      <c r="X369" s="299"/>
      <c r="Y369" s="303"/>
      <c r="Z369" s="305">
        <f>IF(Y369=0,0,IF(X369="MXN",1/HLOOKUP(YEAR(W369)+(MONTH(W369)/100),TC!$5:$37,DAY(W369)+2,FALSE),VLOOKUP(X369,Equivalencia!$1:$23,((MAX(Equivalencia!$3:$3)-YEAR(W369))*14)+MONTH(W369)+2,FALSE)))</f>
        <v>0</v>
      </c>
      <c r="AA369" s="306">
        <f t="shared" si="86"/>
        <v>0</v>
      </c>
      <c r="AB369" s="305">
        <f>+IF(W369=0,0,HLOOKUP(YEAR(W369)+(MONTH(W369)/100),TC!$5:$37,DAY(W369)+2,FALSE))</f>
        <v>0</v>
      </c>
      <c r="AC369" s="306">
        <f t="shared" si="87"/>
        <v>0</v>
      </c>
      <c r="AD369" s="314">
        <f t="shared" si="78"/>
        <v>0</v>
      </c>
      <c r="AE369" s="315">
        <f t="shared" si="88"/>
        <v>0</v>
      </c>
      <c r="AF369" s="316">
        <f t="shared" si="79"/>
        <v>0</v>
      </c>
      <c r="AG369" s="314">
        <v>1</v>
      </c>
      <c r="AH369" s="314">
        <f t="shared" si="89"/>
        <v>0</v>
      </c>
      <c r="AI369" s="314">
        <f t="shared" si="90"/>
        <v>0</v>
      </c>
      <c r="AJ369" s="317"/>
      <c r="AK369" s="315" t="e">
        <f t="shared" si="91"/>
        <v>#N/A</v>
      </c>
      <c r="AM369" s="561"/>
      <c r="AN369" s="561"/>
      <c r="AO369" s="561"/>
    </row>
    <row r="370" spans="2:41">
      <c r="B370" s="296"/>
      <c r="C370" s="299"/>
      <c r="D370" s="296"/>
      <c r="E370" s="298"/>
      <c r="F370" s="299"/>
      <c r="G370" s="300"/>
      <c r="H370" s="303"/>
      <c r="I370" s="303"/>
      <c r="J370" s="322">
        <f t="shared" si="77"/>
        <v>0</v>
      </c>
      <c r="K370" s="305" t="e">
        <f>IF(F370="MXN",1/HLOOKUP(YEAR(G370)+(MONTH(G370)/100),TC!$5:$37,DAY(G370)+2,FALSE),VLOOKUP(F370,Equivalencia!$5:$23,((MAX(Equivalencia!$3:$3)-YEAR(G370))*14)+MONTH(G370)+2,FALSE))</f>
        <v>#N/A</v>
      </c>
      <c r="L370" s="306" t="e">
        <f t="shared" si="80"/>
        <v>#N/A</v>
      </c>
      <c r="M370" s="305">
        <f>IF(G370=0,0,HLOOKUP(YEAR(G370)+(MONTH(G370)/100),TC!$5:$37,DAY(G370)+2,FALSE))</f>
        <v>0</v>
      </c>
      <c r="N370" s="306" t="e">
        <f t="shared" si="81"/>
        <v>#N/A</v>
      </c>
      <c r="O370" s="308">
        <f>IF(G370=0,0,VLOOKUP(YEAR(G370),INPC!$B$4:$P$30,MONTH(G370)+2))</f>
        <v>0</v>
      </c>
      <c r="P370" s="308">
        <f>IF(W370=0,0,IF(OR(C370=$AQ$5,C370=AQ374),VLOOKUP(YEAR(W370),INPC!$B$4:$P$30,MONTH(W370)+1),VLOOKUP(YEAR(W370),INPC!$B$4:$P$30,MONTH(W370)+2)))</f>
        <v>0</v>
      </c>
      <c r="Q370" s="309">
        <f t="shared" si="82"/>
        <v>0</v>
      </c>
      <c r="R370" s="310" t="e">
        <f t="shared" si="83"/>
        <v>#N/A</v>
      </c>
      <c r="S370" s="310">
        <f t="shared" si="84"/>
        <v>0</v>
      </c>
      <c r="T370" s="567" t="str">
        <f t="shared" si="85"/>
        <v>NO</v>
      </c>
      <c r="U370" s="323"/>
      <c r="V370" s="299"/>
      <c r="W370" s="300"/>
      <c r="X370" s="299"/>
      <c r="Y370" s="303"/>
      <c r="Z370" s="305">
        <f>IF(Y370=0,0,IF(X370="MXN",1/HLOOKUP(YEAR(W370)+(MONTH(W370)/100),TC!$5:$37,DAY(W370)+2,FALSE),VLOOKUP(X370,Equivalencia!$1:$23,((MAX(Equivalencia!$3:$3)-YEAR(W370))*14)+MONTH(W370)+2,FALSE)))</f>
        <v>0</v>
      </c>
      <c r="AA370" s="306">
        <f t="shared" si="86"/>
        <v>0</v>
      </c>
      <c r="AB370" s="305">
        <f>+IF(W370=0,0,HLOOKUP(YEAR(W370)+(MONTH(W370)/100),TC!$5:$37,DAY(W370)+2,FALSE))</f>
        <v>0</v>
      </c>
      <c r="AC370" s="306">
        <f t="shared" si="87"/>
        <v>0</v>
      </c>
      <c r="AD370" s="314">
        <f t="shared" si="78"/>
        <v>0</v>
      </c>
      <c r="AE370" s="315">
        <f t="shared" si="88"/>
        <v>0</v>
      </c>
      <c r="AF370" s="316">
        <f t="shared" si="79"/>
        <v>0</v>
      </c>
      <c r="AG370" s="314">
        <v>1</v>
      </c>
      <c r="AH370" s="314">
        <f t="shared" si="89"/>
        <v>0</v>
      </c>
      <c r="AI370" s="314">
        <f t="shared" si="90"/>
        <v>0</v>
      </c>
      <c r="AJ370" s="317"/>
      <c r="AK370" s="315" t="e">
        <f t="shared" si="91"/>
        <v>#N/A</v>
      </c>
      <c r="AM370" s="561"/>
      <c r="AN370" s="561"/>
      <c r="AO370" s="561"/>
    </row>
    <row r="371" spans="2:41">
      <c r="B371" s="296"/>
      <c r="C371" s="299"/>
      <c r="D371" s="296"/>
      <c r="E371" s="298"/>
      <c r="F371" s="299"/>
      <c r="G371" s="300"/>
      <c r="H371" s="303"/>
      <c r="I371" s="303"/>
      <c r="J371" s="322">
        <f t="shared" si="77"/>
        <v>0</v>
      </c>
      <c r="K371" s="305" t="e">
        <f>IF(F371="MXN",1/HLOOKUP(YEAR(G371)+(MONTH(G371)/100),TC!$5:$37,DAY(G371)+2,FALSE),VLOOKUP(F371,Equivalencia!$5:$23,((MAX(Equivalencia!$3:$3)-YEAR(G371))*14)+MONTH(G371)+2,FALSE))</f>
        <v>#N/A</v>
      </c>
      <c r="L371" s="306" t="e">
        <f t="shared" si="80"/>
        <v>#N/A</v>
      </c>
      <c r="M371" s="305">
        <f>IF(G371=0,0,HLOOKUP(YEAR(G371)+(MONTH(G371)/100),TC!$5:$37,DAY(G371)+2,FALSE))</f>
        <v>0</v>
      </c>
      <c r="N371" s="306" t="e">
        <f t="shared" si="81"/>
        <v>#N/A</v>
      </c>
      <c r="O371" s="308">
        <f>IF(G371=0,0,VLOOKUP(YEAR(G371),INPC!$B$4:$P$30,MONTH(G371)+2))</f>
        <v>0</v>
      </c>
      <c r="P371" s="308">
        <f>IF(W371=0,0,IF(OR(C371=$AQ$5,C371=AQ375),VLOOKUP(YEAR(W371),INPC!$B$4:$P$30,MONTH(W371)+1),VLOOKUP(YEAR(W371),INPC!$B$4:$P$30,MONTH(W371)+2)))</f>
        <v>0</v>
      </c>
      <c r="Q371" s="309">
        <f t="shared" si="82"/>
        <v>0</v>
      </c>
      <c r="R371" s="310" t="e">
        <f t="shared" si="83"/>
        <v>#N/A</v>
      </c>
      <c r="S371" s="310">
        <f t="shared" si="84"/>
        <v>0</v>
      </c>
      <c r="T371" s="567" t="str">
        <f t="shared" si="85"/>
        <v>NO</v>
      </c>
      <c r="U371" s="323"/>
      <c r="V371" s="299"/>
      <c r="W371" s="300"/>
      <c r="X371" s="299"/>
      <c r="Y371" s="303"/>
      <c r="Z371" s="305">
        <f>IF(Y371=0,0,IF(X371="MXN",1/HLOOKUP(YEAR(W371)+(MONTH(W371)/100),TC!$5:$37,DAY(W371)+2,FALSE),VLOOKUP(X371,Equivalencia!$1:$23,((MAX(Equivalencia!$3:$3)-YEAR(W371))*14)+MONTH(W371)+2,FALSE)))</f>
        <v>0</v>
      </c>
      <c r="AA371" s="306">
        <f t="shared" si="86"/>
        <v>0</v>
      </c>
      <c r="AB371" s="305">
        <f>+IF(W371=0,0,HLOOKUP(YEAR(W371)+(MONTH(W371)/100),TC!$5:$37,DAY(W371)+2,FALSE))</f>
        <v>0</v>
      </c>
      <c r="AC371" s="306">
        <f t="shared" si="87"/>
        <v>0</v>
      </c>
      <c r="AD371" s="314">
        <f t="shared" si="78"/>
        <v>0</v>
      </c>
      <c r="AE371" s="315">
        <f t="shared" si="88"/>
        <v>0</v>
      </c>
      <c r="AF371" s="316">
        <f t="shared" si="79"/>
        <v>0</v>
      </c>
      <c r="AG371" s="314">
        <v>1</v>
      </c>
      <c r="AH371" s="314">
        <f t="shared" si="89"/>
        <v>0</v>
      </c>
      <c r="AI371" s="314">
        <f t="shared" si="90"/>
        <v>0</v>
      </c>
      <c r="AJ371" s="317"/>
      <c r="AK371" s="315" t="e">
        <f t="shared" si="91"/>
        <v>#N/A</v>
      </c>
      <c r="AM371" s="561"/>
      <c r="AN371" s="561"/>
      <c r="AO371" s="561"/>
    </row>
    <row r="372" spans="2:41">
      <c r="B372" s="296"/>
      <c r="C372" s="299"/>
      <c r="D372" s="296"/>
      <c r="E372" s="298"/>
      <c r="F372" s="299"/>
      <c r="G372" s="300"/>
      <c r="H372" s="303"/>
      <c r="I372" s="303"/>
      <c r="J372" s="322">
        <f t="shared" si="77"/>
        <v>0</v>
      </c>
      <c r="K372" s="305" t="e">
        <f>IF(F372="MXN",1/HLOOKUP(YEAR(G372)+(MONTH(G372)/100),TC!$5:$37,DAY(G372)+2,FALSE),VLOOKUP(F372,Equivalencia!$5:$23,((MAX(Equivalencia!$3:$3)-YEAR(G372))*14)+MONTH(G372)+2,FALSE))</f>
        <v>#N/A</v>
      </c>
      <c r="L372" s="306" t="e">
        <f t="shared" si="80"/>
        <v>#N/A</v>
      </c>
      <c r="M372" s="305">
        <f>IF(G372=0,0,HLOOKUP(YEAR(G372)+(MONTH(G372)/100),TC!$5:$37,DAY(G372)+2,FALSE))</f>
        <v>0</v>
      </c>
      <c r="N372" s="306" t="e">
        <f t="shared" si="81"/>
        <v>#N/A</v>
      </c>
      <c r="O372" s="308">
        <f>IF(G372=0,0,VLOOKUP(YEAR(G372),INPC!$B$4:$P$30,MONTH(G372)+2))</f>
        <v>0</v>
      </c>
      <c r="P372" s="308">
        <f>IF(W372=0,0,IF(OR(C372=$AQ$5,C372=AQ376),VLOOKUP(YEAR(W372),INPC!$B$4:$P$30,MONTH(W372)+1),VLOOKUP(YEAR(W372),INPC!$B$4:$P$30,MONTH(W372)+2)))</f>
        <v>0</v>
      </c>
      <c r="Q372" s="309">
        <f t="shared" si="82"/>
        <v>0</v>
      </c>
      <c r="R372" s="310" t="e">
        <f t="shared" si="83"/>
        <v>#N/A</v>
      </c>
      <c r="S372" s="310">
        <f t="shared" si="84"/>
        <v>0</v>
      </c>
      <c r="T372" s="567" t="str">
        <f t="shared" si="85"/>
        <v>NO</v>
      </c>
      <c r="U372" s="323"/>
      <c r="V372" s="299"/>
      <c r="W372" s="300"/>
      <c r="X372" s="299"/>
      <c r="Y372" s="303"/>
      <c r="Z372" s="305">
        <f>IF(Y372=0,0,IF(X372="MXN",1/HLOOKUP(YEAR(W372)+(MONTH(W372)/100),TC!$5:$37,DAY(W372)+2,FALSE),VLOOKUP(X372,Equivalencia!$1:$23,((MAX(Equivalencia!$3:$3)-YEAR(W372))*14)+MONTH(W372)+2,FALSE)))</f>
        <v>0</v>
      </c>
      <c r="AA372" s="306">
        <f t="shared" si="86"/>
        <v>0</v>
      </c>
      <c r="AB372" s="305">
        <f>+IF(W372=0,0,HLOOKUP(YEAR(W372)+(MONTH(W372)/100),TC!$5:$37,DAY(W372)+2,FALSE))</f>
        <v>0</v>
      </c>
      <c r="AC372" s="306">
        <f t="shared" si="87"/>
        <v>0</v>
      </c>
      <c r="AD372" s="314">
        <f t="shared" si="78"/>
        <v>0</v>
      </c>
      <c r="AE372" s="315">
        <f t="shared" si="88"/>
        <v>0</v>
      </c>
      <c r="AF372" s="316">
        <f t="shared" si="79"/>
        <v>0</v>
      </c>
      <c r="AG372" s="314">
        <v>1</v>
      </c>
      <c r="AH372" s="314">
        <f t="shared" si="89"/>
        <v>0</v>
      </c>
      <c r="AI372" s="314">
        <f t="shared" si="90"/>
        <v>0</v>
      </c>
      <c r="AJ372" s="317"/>
      <c r="AK372" s="315" t="e">
        <f t="shared" si="91"/>
        <v>#N/A</v>
      </c>
      <c r="AM372" s="561"/>
      <c r="AN372" s="561"/>
      <c r="AO372" s="561"/>
    </row>
    <row r="373" spans="2:41">
      <c r="B373" s="296"/>
      <c r="C373" s="299"/>
      <c r="D373" s="296"/>
      <c r="E373" s="298"/>
      <c r="F373" s="299"/>
      <c r="G373" s="300"/>
      <c r="H373" s="303"/>
      <c r="I373" s="303"/>
      <c r="J373" s="322">
        <f t="shared" si="77"/>
        <v>0</v>
      </c>
      <c r="K373" s="305" t="e">
        <f>IF(F373="MXN",1/HLOOKUP(YEAR(G373)+(MONTH(G373)/100),TC!$5:$37,DAY(G373)+2,FALSE),VLOOKUP(F373,Equivalencia!$5:$23,((MAX(Equivalencia!$3:$3)-YEAR(G373))*14)+MONTH(G373)+2,FALSE))</f>
        <v>#N/A</v>
      </c>
      <c r="L373" s="306" t="e">
        <f t="shared" si="80"/>
        <v>#N/A</v>
      </c>
      <c r="M373" s="305">
        <f>IF(G373=0,0,HLOOKUP(YEAR(G373)+(MONTH(G373)/100),TC!$5:$37,DAY(G373)+2,FALSE))</f>
        <v>0</v>
      </c>
      <c r="N373" s="306" t="e">
        <f t="shared" si="81"/>
        <v>#N/A</v>
      </c>
      <c r="O373" s="308">
        <f>IF(G373=0,0,VLOOKUP(YEAR(G373),INPC!$B$4:$P$30,MONTH(G373)+2))</f>
        <v>0</v>
      </c>
      <c r="P373" s="308">
        <f>IF(W373=0,0,IF(OR(C373=$AQ$5,C373=AQ377),VLOOKUP(YEAR(W373),INPC!$B$4:$P$30,MONTH(W373)+1),VLOOKUP(YEAR(W373),INPC!$B$4:$P$30,MONTH(W373)+2)))</f>
        <v>0</v>
      </c>
      <c r="Q373" s="309">
        <f t="shared" si="82"/>
        <v>0</v>
      </c>
      <c r="R373" s="310" t="e">
        <f t="shared" si="83"/>
        <v>#N/A</v>
      </c>
      <c r="S373" s="310">
        <f t="shared" si="84"/>
        <v>0</v>
      </c>
      <c r="T373" s="567" t="str">
        <f t="shared" si="85"/>
        <v>NO</v>
      </c>
      <c r="U373" s="323"/>
      <c r="V373" s="299"/>
      <c r="W373" s="300"/>
      <c r="X373" s="299"/>
      <c r="Y373" s="303"/>
      <c r="Z373" s="305">
        <f>IF(Y373=0,0,IF(X373="MXN",1/HLOOKUP(YEAR(W373)+(MONTH(W373)/100),TC!$5:$37,DAY(W373)+2,FALSE),VLOOKUP(X373,Equivalencia!$1:$23,((MAX(Equivalencia!$3:$3)-YEAR(W373))*14)+MONTH(W373)+2,FALSE)))</f>
        <v>0</v>
      </c>
      <c r="AA373" s="306">
        <f t="shared" si="86"/>
        <v>0</v>
      </c>
      <c r="AB373" s="305">
        <f>+IF(W373=0,0,HLOOKUP(YEAR(W373)+(MONTH(W373)/100),TC!$5:$37,DAY(W373)+2,FALSE))</f>
        <v>0</v>
      </c>
      <c r="AC373" s="306">
        <f t="shared" si="87"/>
        <v>0</v>
      </c>
      <c r="AD373" s="314">
        <f t="shared" si="78"/>
        <v>0</v>
      </c>
      <c r="AE373" s="315">
        <f t="shared" si="88"/>
        <v>0</v>
      </c>
      <c r="AF373" s="316">
        <f t="shared" si="79"/>
        <v>0</v>
      </c>
      <c r="AG373" s="314">
        <v>1</v>
      </c>
      <c r="AH373" s="314">
        <f t="shared" si="89"/>
        <v>0</v>
      </c>
      <c r="AI373" s="314">
        <f t="shared" si="90"/>
        <v>0</v>
      </c>
      <c r="AJ373" s="317"/>
      <c r="AK373" s="315" t="e">
        <f t="shared" si="91"/>
        <v>#N/A</v>
      </c>
      <c r="AM373" s="561"/>
      <c r="AN373" s="561"/>
      <c r="AO373" s="561"/>
    </row>
    <row r="374" spans="2:41">
      <c r="B374" s="296"/>
      <c r="C374" s="299"/>
      <c r="D374" s="296"/>
      <c r="E374" s="298"/>
      <c r="F374" s="299"/>
      <c r="G374" s="300"/>
      <c r="H374" s="303"/>
      <c r="I374" s="303"/>
      <c r="J374" s="322">
        <f t="shared" si="77"/>
        <v>0</v>
      </c>
      <c r="K374" s="305" t="e">
        <f>IF(F374="MXN",1/HLOOKUP(YEAR(G374)+(MONTH(G374)/100),TC!$5:$37,DAY(G374)+2,FALSE),VLOOKUP(F374,Equivalencia!$5:$23,((MAX(Equivalencia!$3:$3)-YEAR(G374))*14)+MONTH(G374)+2,FALSE))</f>
        <v>#N/A</v>
      </c>
      <c r="L374" s="306" t="e">
        <f t="shared" si="80"/>
        <v>#N/A</v>
      </c>
      <c r="M374" s="305">
        <f>IF(G374=0,0,HLOOKUP(YEAR(G374)+(MONTH(G374)/100),TC!$5:$37,DAY(G374)+2,FALSE))</f>
        <v>0</v>
      </c>
      <c r="N374" s="306" t="e">
        <f t="shared" si="81"/>
        <v>#N/A</v>
      </c>
      <c r="O374" s="308">
        <f>IF(G374=0,0,VLOOKUP(YEAR(G374),INPC!$B$4:$P$30,MONTH(G374)+2))</f>
        <v>0</v>
      </c>
      <c r="P374" s="308">
        <f>IF(W374=0,0,IF(OR(C374=$AQ$5,C374=AQ378),VLOOKUP(YEAR(W374),INPC!$B$4:$P$30,MONTH(W374)+1),VLOOKUP(YEAR(W374),INPC!$B$4:$P$30,MONTH(W374)+2)))</f>
        <v>0</v>
      </c>
      <c r="Q374" s="309">
        <f t="shared" si="82"/>
        <v>0</v>
      </c>
      <c r="R374" s="310" t="e">
        <f t="shared" si="83"/>
        <v>#N/A</v>
      </c>
      <c r="S374" s="310">
        <f t="shared" si="84"/>
        <v>0</v>
      </c>
      <c r="T374" s="567" t="str">
        <f t="shared" si="85"/>
        <v>NO</v>
      </c>
      <c r="U374" s="323"/>
      <c r="V374" s="299"/>
      <c r="W374" s="300"/>
      <c r="X374" s="299"/>
      <c r="Y374" s="303"/>
      <c r="Z374" s="305">
        <f>IF(Y374=0,0,IF(X374="MXN",1/HLOOKUP(YEAR(W374)+(MONTH(W374)/100),TC!$5:$37,DAY(W374)+2,FALSE),VLOOKUP(X374,Equivalencia!$1:$23,((MAX(Equivalencia!$3:$3)-YEAR(W374))*14)+MONTH(W374)+2,FALSE)))</f>
        <v>0</v>
      </c>
      <c r="AA374" s="306">
        <f t="shared" si="86"/>
        <v>0</v>
      </c>
      <c r="AB374" s="305">
        <f>+IF(W374=0,0,HLOOKUP(YEAR(W374)+(MONTH(W374)/100),TC!$5:$37,DAY(W374)+2,FALSE))</f>
        <v>0</v>
      </c>
      <c r="AC374" s="306">
        <f t="shared" si="87"/>
        <v>0</v>
      </c>
      <c r="AD374" s="314">
        <f t="shared" si="78"/>
        <v>0</v>
      </c>
      <c r="AE374" s="315">
        <f t="shared" si="88"/>
        <v>0</v>
      </c>
      <c r="AF374" s="316">
        <f t="shared" si="79"/>
        <v>0</v>
      </c>
      <c r="AG374" s="314">
        <v>1</v>
      </c>
      <c r="AH374" s="314">
        <f t="shared" si="89"/>
        <v>0</v>
      </c>
      <c r="AI374" s="314">
        <f t="shared" si="90"/>
        <v>0</v>
      </c>
      <c r="AJ374" s="317"/>
      <c r="AK374" s="315" t="e">
        <f t="shared" si="91"/>
        <v>#N/A</v>
      </c>
      <c r="AM374" s="561"/>
      <c r="AN374" s="561"/>
      <c r="AO374" s="561"/>
    </row>
    <row r="375" spans="2:41">
      <c r="B375" s="296"/>
      <c r="C375" s="299"/>
      <c r="D375" s="296"/>
      <c r="E375" s="298"/>
      <c r="F375" s="299"/>
      <c r="G375" s="300"/>
      <c r="H375" s="303"/>
      <c r="I375" s="303"/>
      <c r="J375" s="322">
        <f t="shared" si="77"/>
        <v>0</v>
      </c>
      <c r="K375" s="305" t="e">
        <f>IF(F375="MXN",1/HLOOKUP(YEAR(G375)+(MONTH(G375)/100),TC!$5:$37,DAY(G375)+2,FALSE),VLOOKUP(F375,Equivalencia!$5:$23,((MAX(Equivalencia!$3:$3)-YEAR(G375))*14)+MONTH(G375)+2,FALSE))</f>
        <v>#N/A</v>
      </c>
      <c r="L375" s="306" t="e">
        <f t="shared" si="80"/>
        <v>#N/A</v>
      </c>
      <c r="M375" s="305">
        <f>IF(G375=0,0,HLOOKUP(YEAR(G375)+(MONTH(G375)/100),TC!$5:$37,DAY(G375)+2,FALSE))</f>
        <v>0</v>
      </c>
      <c r="N375" s="306" t="e">
        <f t="shared" si="81"/>
        <v>#N/A</v>
      </c>
      <c r="O375" s="308">
        <f>IF(G375=0,0,VLOOKUP(YEAR(G375),INPC!$B$4:$P$30,MONTH(G375)+2))</f>
        <v>0</v>
      </c>
      <c r="P375" s="308">
        <f>IF(W375=0,0,IF(OR(C375=$AQ$5,C375=AQ379),VLOOKUP(YEAR(W375),INPC!$B$4:$P$30,MONTH(W375)+1),VLOOKUP(YEAR(W375),INPC!$B$4:$P$30,MONTH(W375)+2)))</f>
        <v>0</v>
      </c>
      <c r="Q375" s="309">
        <f t="shared" si="82"/>
        <v>0</v>
      </c>
      <c r="R375" s="310" t="e">
        <f t="shared" si="83"/>
        <v>#N/A</v>
      </c>
      <c r="S375" s="310">
        <f t="shared" si="84"/>
        <v>0</v>
      </c>
      <c r="T375" s="567" t="str">
        <f t="shared" si="85"/>
        <v>NO</v>
      </c>
      <c r="U375" s="323"/>
      <c r="V375" s="299"/>
      <c r="W375" s="300"/>
      <c r="X375" s="299"/>
      <c r="Y375" s="303"/>
      <c r="Z375" s="305">
        <f>IF(Y375=0,0,IF(X375="MXN",1/HLOOKUP(YEAR(W375)+(MONTH(W375)/100),TC!$5:$37,DAY(W375)+2,FALSE),VLOOKUP(X375,Equivalencia!$1:$23,((MAX(Equivalencia!$3:$3)-YEAR(W375))*14)+MONTH(W375)+2,FALSE)))</f>
        <v>0</v>
      </c>
      <c r="AA375" s="306">
        <f t="shared" si="86"/>
        <v>0</v>
      </c>
      <c r="AB375" s="305">
        <f>+IF(W375=0,0,HLOOKUP(YEAR(W375)+(MONTH(W375)/100),TC!$5:$37,DAY(W375)+2,FALSE))</f>
        <v>0</v>
      </c>
      <c r="AC375" s="306">
        <f t="shared" si="87"/>
        <v>0</v>
      </c>
      <c r="AD375" s="314">
        <f t="shared" si="78"/>
        <v>0</v>
      </c>
      <c r="AE375" s="315">
        <f t="shared" si="88"/>
        <v>0</v>
      </c>
      <c r="AF375" s="316">
        <f t="shared" si="79"/>
        <v>0</v>
      </c>
      <c r="AG375" s="314">
        <v>1</v>
      </c>
      <c r="AH375" s="314">
        <f t="shared" si="89"/>
        <v>0</v>
      </c>
      <c r="AI375" s="314">
        <f t="shared" si="90"/>
        <v>0</v>
      </c>
      <c r="AJ375" s="317"/>
      <c r="AK375" s="315" t="e">
        <f t="shared" si="91"/>
        <v>#N/A</v>
      </c>
      <c r="AM375" s="561"/>
      <c r="AN375" s="561"/>
      <c r="AO375" s="561"/>
    </row>
    <row r="376" spans="2:41">
      <c r="B376" s="296"/>
      <c r="C376" s="299"/>
      <c r="D376" s="296"/>
      <c r="E376" s="298"/>
      <c r="F376" s="299"/>
      <c r="G376" s="300"/>
      <c r="H376" s="303"/>
      <c r="I376" s="303"/>
      <c r="J376" s="322">
        <f t="shared" si="77"/>
        <v>0</v>
      </c>
      <c r="K376" s="305" t="e">
        <f>IF(F376="MXN",1/HLOOKUP(YEAR(G376)+(MONTH(G376)/100),TC!$5:$37,DAY(G376)+2,FALSE),VLOOKUP(F376,Equivalencia!$5:$23,((MAX(Equivalencia!$3:$3)-YEAR(G376))*14)+MONTH(G376)+2,FALSE))</f>
        <v>#N/A</v>
      </c>
      <c r="L376" s="306" t="e">
        <f t="shared" si="80"/>
        <v>#N/A</v>
      </c>
      <c r="M376" s="305">
        <f>IF(G376=0,0,HLOOKUP(YEAR(G376)+(MONTH(G376)/100),TC!$5:$37,DAY(G376)+2,FALSE))</f>
        <v>0</v>
      </c>
      <c r="N376" s="306" t="e">
        <f t="shared" si="81"/>
        <v>#N/A</v>
      </c>
      <c r="O376" s="308">
        <f>IF(G376=0,0,VLOOKUP(YEAR(G376),INPC!$B$4:$P$30,MONTH(G376)+2))</f>
        <v>0</v>
      </c>
      <c r="P376" s="308">
        <f>IF(W376=0,0,IF(OR(C376=$AQ$5,C376=AQ380),VLOOKUP(YEAR(W376),INPC!$B$4:$P$30,MONTH(W376)+1),VLOOKUP(YEAR(W376),INPC!$B$4:$P$30,MONTH(W376)+2)))</f>
        <v>0</v>
      </c>
      <c r="Q376" s="309">
        <f t="shared" si="82"/>
        <v>0</v>
      </c>
      <c r="R376" s="310" t="e">
        <f t="shared" si="83"/>
        <v>#N/A</v>
      </c>
      <c r="S376" s="310">
        <f t="shared" si="84"/>
        <v>0</v>
      </c>
      <c r="T376" s="567" t="str">
        <f t="shared" si="85"/>
        <v>NO</v>
      </c>
      <c r="U376" s="323"/>
      <c r="V376" s="299"/>
      <c r="W376" s="300"/>
      <c r="X376" s="299"/>
      <c r="Y376" s="303"/>
      <c r="Z376" s="305">
        <f>IF(Y376=0,0,IF(X376="MXN",1/HLOOKUP(YEAR(W376)+(MONTH(W376)/100),TC!$5:$37,DAY(W376)+2,FALSE),VLOOKUP(X376,Equivalencia!$1:$23,((MAX(Equivalencia!$3:$3)-YEAR(W376))*14)+MONTH(W376)+2,FALSE)))</f>
        <v>0</v>
      </c>
      <c r="AA376" s="306">
        <f t="shared" si="86"/>
        <v>0</v>
      </c>
      <c r="AB376" s="305">
        <f>+IF(W376=0,0,HLOOKUP(YEAR(W376)+(MONTH(W376)/100),TC!$5:$37,DAY(W376)+2,FALSE))</f>
        <v>0</v>
      </c>
      <c r="AC376" s="306">
        <f t="shared" si="87"/>
        <v>0</v>
      </c>
      <c r="AD376" s="314">
        <f t="shared" si="78"/>
        <v>0</v>
      </c>
      <c r="AE376" s="315">
        <f t="shared" si="88"/>
        <v>0</v>
      </c>
      <c r="AF376" s="316">
        <f t="shared" si="79"/>
        <v>0</v>
      </c>
      <c r="AG376" s="314">
        <v>1</v>
      </c>
      <c r="AH376" s="314">
        <f t="shared" si="89"/>
        <v>0</v>
      </c>
      <c r="AI376" s="314">
        <f t="shared" si="90"/>
        <v>0</v>
      </c>
      <c r="AJ376" s="317"/>
      <c r="AK376" s="315" t="e">
        <f t="shared" si="91"/>
        <v>#N/A</v>
      </c>
      <c r="AM376" s="561"/>
      <c r="AN376" s="561"/>
      <c r="AO376" s="561"/>
    </row>
    <row r="377" spans="2:41">
      <c r="B377" s="296"/>
      <c r="C377" s="299"/>
      <c r="D377" s="296"/>
      <c r="E377" s="298"/>
      <c r="F377" s="299"/>
      <c r="G377" s="300"/>
      <c r="H377" s="303"/>
      <c r="I377" s="303"/>
      <c r="J377" s="322">
        <f t="shared" si="77"/>
        <v>0</v>
      </c>
      <c r="K377" s="305" t="e">
        <f>IF(F377="MXN",1/HLOOKUP(YEAR(G377)+(MONTH(G377)/100),TC!$5:$37,DAY(G377)+2,FALSE),VLOOKUP(F377,Equivalencia!$5:$23,((MAX(Equivalencia!$3:$3)-YEAR(G377))*14)+MONTH(G377)+2,FALSE))</f>
        <v>#N/A</v>
      </c>
      <c r="L377" s="306" t="e">
        <f t="shared" si="80"/>
        <v>#N/A</v>
      </c>
      <c r="M377" s="305">
        <f>IF(G377=0,0,HLOOKUP(YEAR(G377)+(MONTH(G377)/100),TC!$5:$37,DAY(G377)+2,FALSE))</f>
        <v>0</v>
      </c>
      <c r="N377" s="306" t="e">
        <f t="shared" si="81"/>
        <v>#N/A</v>
      </c>
      <c r="O377" s="308">
        <f>IF(G377=0,0,VLOOKUP(YEAR(G377),INPC!$B$4:$P$30,MONTH(G377)+2))</f>
        <v>0</v>
      </c>
      <c r="P377" s="308">
        <f>IF(W377=0,0,IF(OR(C377=$AQ$5,C377=AQ381),VLOOKUP(YEAR(W377),INPC!$B$4:$P$30,MONTH(W377)+1),VLOOKUP(YEAR(W377),INPC!$B$4:$P$30,MONTH(W377)+2)))</f>
        <v>0</v>
      </c>
      <c r="Q377" s="309">
        <f t="shared" si="82"/>
        <v>0</v>
      </c>
      <c r="R377" s="310" t="e">
        <f t="shared" si="83"/>
        <v>#N/A</v>
      </c>
      <c r="S377" s="310">
        <f t="shared" si="84"/>
        <v>0</v>
      </c>
      <c r="T377" s="567" t="str">
        <f t="shared" si="85"/>
        <v>NO</v>
      </c>
      <c r="U377" s="323"/>
      <c r="V377" s="299"/>
      <c r="W377" s="300"/>
      <c r="X377" s="299"/>
      <c r="Y377" s="303"/>
      <c r="Z377" s="305">
        <f>IF(Y377=0,0,IF(X377="MXN",1/HLOOKUP(YEAR(W377)+(MONTH(W377)/100),TC!$5:$37,DAY(W377)+2,FALSE),VLOOKUP(X377,Equivalencia!$1:$23,((MAX(Equivalencia!$3:$3)-YEAR(W377))*14)+MONTH(W377)+2,FALSE)))</f>
        <v>0</v>
      </c>
      <c r="AA377" s="306">
        <f t="shared" si="86"/>
        <v>0</v>
      </c>
      <c r="AB377" s="305">
        <f>+IF(W377=0,0,HLOOKUP(YEAR(W377)+(MONTH(W377)/100),TC!$5:$37,DAY(W377)+2,FALSE))</f>
        <v>0</v>
      </c>
      <c r="AC377" s="306">
        <f t="shared" si="87"/>
        <v>0</v>
      </c>
      <c r="AD377" s="314">
        <f t="shared" si="78"/>
        <v>0</v>
      </c>
      <c r="AE377" s="315">
        <f t="shared" si="88"/>
        <v>0</v>
      </c>
      <c r="AF377" s="316">
        <f t="shared" si="79"/>
        <v>0</v>
      </c>
      <c r="AG377" s="314">
        <v>1</v>
      </c>
      <c r="AH377" s="314">
        <f t="shared" si="89"/>
        <v>0</v>
      </c>
      <c r="AI377" s="314">
        <f t="shared" si="90"/>
        <v>0</v>
      </c>
      <c r="AJ377" s="317"/>
      <c r="AK377" s="315" t="e">
        <f t="shared" si="91"/>
        <v>#N/A</v>
      </c>
      <c r="AM377" s="561"/>
      <c r="AN377" s="561"/>
      <c r="AO377" s="561"/>
    </row>
    <row r="378" spans="2:41">
      <c r="B378" s="296"/>
      <c r="C378" s="299"/>
      <c r="D378" s="296"/>
      <c r="E378" s="298"/>
      <c r="F378" s="299"/>
      <c r="G378" s="300"/>
      <c r="H378" s="303"/>
      <c r="I378" s="303"/>
      <c r="J378" s="322">
        <f t="shared" si="77"/>
        <v>0</v>
      </c>
      <c r="K378" s="305" t="e">
        <f>IF(F378="MXN",1/HLOOKUP(YEAR(G378)+(MONTH(G378)/100),TC!$5:$37,DAY(G378)+2,FALSE),VLOOKUP(F378,Equivalencia!$5:$23,((MAX(Equivalencia!$3:$3)-YEAR(G378))*14)+MONTH(G378)+2,FALSE))</f>
        <v>#N/A</v>
      </c>
      <c r="L378" s="306" t="e">
        <f t="shared" si="80"/>
        <v>#N/A</v>
      </c>
      <c r="M378" s="305">
        <f>IF(G378=0,0,HLOOKUP(YEAR(G378)+(MONTH(G378)/100),TC!$5:$37,DAY(G378)+2,FALSE))</f>
        <v>0</v>
      </c>
      <c r="N378" s="306" t="e">
        <f t="shared" si="81"/>
        <v>#N/A</v>
      </c>
      <c r="O378" s="308">
        <f>IF(G378=0,0,VLOOKUP(YEAR(G378),INPC!$B$4:$P$30,MONTH(G378)+2))</f>
        <v>0</v>
      </c>
      <c r="P378" s="308">
        <f>IF(W378=0,0,IF(OR(C378=$AQ$5,C378=AQ382),VLOOKUP(YEAR(W378),INPC!$B$4:$P$30,MONTH(W378)+1),VLOOKUP(YEAR(W378),INPC!$B$4:$P$30,MONTH(W378)+2)))</f>
        <v>0</v>
      </c>
      <c r="Q378" s="309">
        <f t="shared" si="82"/>
        <v>0</v>
      </c>
      <c r="R378" s="310" t="e">
        <f t="shared" si="83"/>
        <v>#N/A</v>
      </c>
      <c r="S378" s="310">
        <f t="shared" si="84"/>
        <v>0</v>
      </c>
      <c r="T378" s="567" t="str">
        <f t="shared" si="85"/>
        <v>NO</v>
      </c>
      <c r="U378" s="323"/>
      <c r="V378" s="299"/>
      <c r="W378" s="300"/>
      <c r="X378" s="299"/>
      <c r="Y378" s="303"/>
      <c r="Z378" s="305">
        <f>IF(Y378=0,0,IF(X378="MXN",1/HLOOKUP(YEAR(W378)+(MONTH(W378)/100),TC!$5:$37,DAY(W378)+2,FALSE),VLOOKUP(X378,Equivalencia!$1:$23,((MAX(Equivalencia!$3:$3)-YEAR(W378))*14)+MONTH(W378)+2,FALSE)))</f>
        <v>0</v>
      </c>
      <c r="AA378" s="306">
        <f t="shared" si="86"/>
        <v>0</v>
      </c>
      <c r="AB378" s="305">
        <f>+IF(W378=0,0,HLOOKUP(YEAR(W378)+(MONTH(W378)/100),TC!$5:$37,DAY(W378)+2,FALSE))</f>
        <v>0</v>
      </c>
      <c r="AC378" s="306">
        <f t="shared" si="87"/>
        <v>0</v>
      </c>
      <c r="AD378" s="314">
        <f t="shared" si="78"/>
        <v>0</v>
      </c>
      <c r="AE378" s="315">
        <f t="shared" si="88"/>
        <v>0</v>
      </c>
      <c r="AF378" s="316">
        <f t="shared" si="79"/>
        <v>0</v>
      </c>
      <c r="AG378" s="314">
        <v>1</v>
      </c>
      <c r="AH378" s="314">
        <f t="shared" si="89"/>
        <v>0</v>
      </c>
      <c r="AI378" s="314">
        <f t="shared" si="90"/>
        <v>0</v>
      </c>
      <c r="AJ378" s="317"/>
      <c r="AK378" s="315" t="e">
        <f t="shared" si="91"/>
        <v>#N/A</v>
      </c>
      <c r="AM378" s="561"/>
      <c r="AN378" s="561"/>
      <c r="AO378" s="561"/>
    </row>
    <row r="379" spans="2:41">
      <c r="B379" s="296"/>
      <c r="C379" s="299"/>
      <c r="D379" s="296"/>
      <c r="E379" s="298"/>
      <c r="F379" s="299"/>
      <c r="G379" s="300"/>
      <c r="H379" s="303"/>
      <c r="I379" s="303"/>
      <c r="J379" s="322">
        <f t="shared" si="77"/>
        <v>0</v>
      </c>
      <c r="K379" s="305" t="e">
        <f>IF(F379="MXN",1/HLOOKUP(YEAR(G379)+(MONTH(G379)/100),TC!$5:$37,DAY(G379)+2,FALSE),VLOOKUP(F379,Equivalencia!$5:$23,((MAX(Equivalencia!$3:$3)-YEAR(G379))*14)+MONTH(G379)+2,FALSE))</f>
        <v>#N/A</v>
      </c>
      <c r="L379" s="306" t="e">
        <f t="shared" si="80"/>
        <v>#N/A</v>
      </c>
      <c r="M379" s="305">
        <f>IF(G379=0,0,HLOOKUP(YEAR(G379)+(MONTH(G379)/100),TC!$5:$37,DAY(G379)+2,FALSE))</f>
        <v>0</v>
      </c>
      <c r="N379" s="306" t="e">
        <f t="shared" si="81"/>
        <v>#N/A</v>
      </c>
      <c r="O379" s="308">
        <f>IF(G379=0,0,VLOOKUP(YEAR(G379),INPC!$B$4:$P$30,MONTH(G379)+2))</f>
        <v>0</v>
      </c>
      <c r="P379" s="308">
        <f>IF(W379=0,0,IF(OR(C379=$AQ$5,C379=AQ383),VLOOKUP(YEAR(W379),INPC!$B$4:$P$30,MONTH(W379)+1),VLOOKUP(YEAR(W379),INPC!$B$4:$P$30,MONTH(W379)+2)))</f>
        <v>0</v>
      </c>
      <c r="Q379" s="309">
        <f t="shared" si="82"/>
        <v>0</v>
      </c>
      <c r="R379" s="310" t="e">
        <f t="shared" si="83"/>
        <v>#N/A</v>
      </c>
      <c r="S379" s="310">
        <f t="shared" si="84"/>
        <v>0</v>
      </c>
      <c r="T379" s="567" t="str">
        <f t="shared" si="85"/>
        <v>NO</v>
      </c>
      <c r="U379" s="323"/>
      <c r="V379" s="299"/>
      <c r="W379" s="300"/>
      <c r="X379" s="299"/>
      <c r="Y379" s="303"/>
      <c r="Z379" s="305">
        <f>IF(Y379=0,0,IF(X379="MXN",1/HLOOKUP(YEAR(W379)+(MONTH(W379)/100),TC!$5:$37,DAY(W379)+2,FALSE),VLOOKUP(X379,Equivalencia!$1:$23,((MAX(Equivalencia!$3:$3)-YEAR(W379))*14)+MONTH(W379)+2,FALSE)))</f>
        <v>0</v>
      </c>
      <c r="AA379" s="306">
        <f t="shared" si="86"/>
        <v>0</v>
      </c>
      <c r="AB379" s="305">
        <f>+IF(W379=0,0,HLOOKUP(YEAR(W379)+(MONTH(W379)/100),TC!$5:$37,DAY(W379)+2,FALSE))</f>
        <v>0</v>
      </c>
      <c r="AC379" s="306">
        <f t="shared" si="87"/>
        <v>0</v>
      </c>
      <c r="AD379" s="314">
        <f t="shared" si="78"/>
        <v>0</v>
      </c>
      <c r="AE379" s="315">
        <f t="shared" si="88"/>
        <v>0</v>
      </c>
      <c r="AF379" s="316">
        <f t="shared" si="79"/>
        <v>0</v>
      </c>
      <c r="AG379" s="314">
        <v>1</v>
      </c>
      <c r="AH379" s="314">
        <f t="shared" si="89"/>
        <v>0</v>
      </c>
      <c r="AI379" s="314">
        <f t="shared" si="90"/>
        <v>0</v>
      </c>
      <c r="AJ379" s="317"/>
      <c r="AK379" s="315" t="e">
        <f t="shared" si="91"/>
        <v>#N/A</v>
      </c>
      <c r="AM379" s="561"/>
      <c r="AN379" s="561"/>
      <c r="AO379" s="561"/>
    </row>
    <row r="380" spans="2:41">
      <c r="B380" s="296"/>
      <c r="C380" s="299"/>
      <c r="D380" s="296"/>
      <c r="E380" s="298"/>
      <c r="F380" s="299"/>
      <c r="G380" s="300"/>
      <c r="H380" s="303"/>
      <c r="I380" s="303"/>
      <c r="J380" s="322">
        <f t="shared" si="77"/>
        <v>0</v>
      </c>
      <c r="K380" s="305" t="e">
        <f>IF(F380="MXN",1/HLOOKUP(YEAR(G380)+(MONTH(G380)/100),TC!$5:$37,DAY(G380)+2,FALSE),VLOOKUP(F380,Equivalencia!$5:$23,((MAX(Equivalencia!$3:$3)-YEAR(G380))*14)+MONTH(G380)+2,FALSE))</f>
        <v>#N/A</v>
      </c>
      <c r="L380" s="306" t="e">
        <f t="shared" si="80"/>
        <v>#N/A</v>
      </c>
      <c r="M380" s="305">
        <f>IF(G380=0,0,HLOOKUP(YEAR(G380)+(MONTH(G380)/100),TC!$5:$37,DAY(G380)+2,FALSE))</f>
        <v>0</v>
      </c>
      <c r="N380" s="306" t="e">
        <f t="shared" si="81"/>
        <v>#N/A</v>
      </c>
      <c r="O380" s="308">
        <f>IF(G380=0,0,VLOOKUP(YEAR(G380),INPC!$B$4:$P$30,MONTH(G380)+2))</f>
        <v>0</v>
      </c>
      <c r="P380" s="308">
        <f>IF(W380=0,0,IF(OR(C380=$AQ$5,C380=AQ384),VLOOKUP(YEAR(W380),INPC!$B$4:$P$30,MONTH(W380)+1),VLOOKUP(YEAR(W380),INPC!$B$4:$P$30,MONTH(W380)+2)))</f>
        <v>0</v>
      </c>
      <c r="Q380" s="309">
        <f t="shared" si="82"/>
        <v>0</v>
      </c>
      <c r="R380" s="310" t="e">
        <f t="shared" si="83"/>
        <v>#N/A</v>
      </c>
      <c r="S380" s="310">
        <f t="shared" si="84"/>
        <v>0</v>
      </c>
      <c r="T380" s="567" t="str">
        <f t="shared" si="85"/>
        <v>NO</v>
      </c>
      <c r="U380" s="323"/>
      <c r="V380" s="299"/>
      <c r="W380" s="300"/>
      <c r="X380" s="299"/>
      <c r="Y380" s="303"/>
      <c r="Z380" s="305">
        <f>IF(Y380=0,0,IF(X380="MXN",1/HLOOKUP(YEAR(W380)+(MONTH(W380)/100),TC!$5:$37,DAY(W380)+2,FALSE),VLOOKUP(X380,Equivalencia!$1:$23,((MAX(Equivalencia!$3:$3)-YEAR(W380))*14)+MONTH(W380)+2,FALSE)))</f>
        <v>0</v>
      </c>
      <c r="AA380" s="306">
        <f t="shared" si="86"/>
        <v>0</v>
      </c>
      <c r="AB380" s="305">
        <f>+IF(W380=0,0,HLOOKUP(YEAR(W380)+(MONTH(W380)/100),TC!$5:$37,DAY(W380)+2,FALSE))</f>
        <v>0</v>
      </c>
      <c r="AC380" s="306">
        <f t="shared" si="87"/>
        <v>0</v>
      </c>
      <c r="AD380" s="314">
        <f t="shared" si="78"/>
        <v>0</v>
      </c>
      <c r="AE380" s="315">
        <f t="shared" si="88"/>
        <v>0</v>
      </c>
      <c r="AF380" s="316">
        <f t="shared" si="79"/>
        <v>0</v>
      </c>
      <c r="AG380" s="314">
        <v>1</v>
      </c>
      <c r="AH380" s="314">
        <f t="shared" si="89"/>
        <v>0</v>
      </c>
      <c r="AI380" s="314">
        <f t="shared" si="90"/>
        <v>0</v>
      </c>
      <c r="AJ380" s="317"/>
      <c r="AK380" s="315" t="e">
        <f t="shared" si="91"/>
        <v>#N/A</v>
      </c>
      <c r="AM380" s="561"/>
      <c r="AN380" s="561"/>
      <c r="AO380" s="561"/>
    </row>
    <row r="381" spans="2:41">
      <c r="B381" s="296"/>
      <c r="C381" s="299"/>
      <c r="D381" s="296"/>
      <c r="E381" s="298"/>
      <c r="F381" s="299"/>
      <c r="G381" s="300"/>
      <c r="H381" s="303"/>
      <c r="I381" s="303"/>
      <c r="J381" s="322">
        <f t="shared" si="77"/>
        <v>0</v>
      </c>
      <c r="K381" s="305" t="e">
        <f>IF(F381="MXN",1/HLOOKUP(YEAR(G381)+(MONTH(G381)/100),TC!$5:$37,DAY(G381)+2,FALSE),VLOOKUP(F381,Equivalencia!$5:$23,((MAX(Equivalencia!$3:$3)-YEAR(G381))*14)+MONTH(G381)+2,FALSE))</f>
        <v>#N/A</v>
      </c>
      <c r="L381" s="306" t="e">
        <f t="shared" si="80"/>
        <v>#N/A</v>
      </c>
      <c r="M381" s="305">
        <f>IF(G381=0,0,HLOOKUP(YEAR(G381)+(MONTH(G381)/100),TC!$5:$37,DAY(G381)+2,FALSE))</f>
        <v>0</v>
      </c>
      <c r="N381" s="306" t="e">
        <f t="shared" si="81"/>
        <v>#N/A</v>
      </c>
      <c r="O381" s="308">
        <f>IF(G381=0,0,VLOOKUP(YEAR(G381),INPC!$B$4:$P$30,MONTH(G381)+2))</f>
        <v>0</v>
      </c>
      <c r="P381" s="308">
        <f>IF(W381=0,0,IF(OR(C381=$AQ$5,C381=AQ385),VLOOKUP(YEAR(W381),INPC!$B$4:$P$30,MONTH(W381)+1),VLOOKUP(YEAR(W381),INPC!$B$4:$P$30,MONTH(W381)+2)))</f>
        <v>0</v>
      </c>
      <c r="Q381" s="309">
        <f t="shared" si="82"/>
        <v>0</v>
      </c>
      <c r="R381" s="310" t="e">
        <f t="shared" si="83"/>
        <v>#N/A</v>
      </c>
      <c r="S381" s="310">
        <f t="shared" si="84"/>
        <v>0</v>
      </c>
      <c r="T381" s="567" t="str">
        <f t="shared" si="85"/>
        <v>NO</v>
      </c>
      <c r="U381" s="323"/>
      <c r="V381" s="299"/>
      <c r="W381" s="300"/>
      <c r="X381" s="299"/>
      <c r="Y381" s="303"/>
      <c r="Z381" s="305">
        <f>IF(Y381=0,0,IF(X381="MXN",1/HLOOKUP(YEAR(W381)+(MONTH(W381)/100),TC!$5:$37,DAY(W381)+2,FALSE),VLOOKUP(X381,Equivalencia!$1:$23,((MAX(Equivalencia!$3:$3)-YEAR(W381))*14)+MONTH(W381)+2,FALSE)))</f>
        <v>0</v>
      </c>
      <c r="AA381" s="306">
        <f t="shared" si="86"/>
        <v>0</v>
      </c>
      <c r="AB381" s="305">
        <f>+IF(W381=0,0,HLOOKUP(YEAR(W381)+(MONTH(W381)/100),TC!$5:$37,DAY(W381)+2,FALSE))</f>
        <v>0</v>
      </c>
      <c r="AC381" s="306">
        <f t="shared" si="87"/>
        <v>0</v>
      </c>
      <c r="AD381" s="314">
        <f t="shared" si="78"/>
        <v>0</v>
      </c>
      <c r="AE381" s="315">
        <f t="shared" si="88"/>
        <v>0</v>
      </c>
      <c r="AF381" s="316">
        <f t="shared" si="79"/>
        <v>0</v>
      </c>
      <c r="AG381" s="314">
        <v>1</v>
      </c>
      <c r="AH381" s="314">
        <f t="shared" si="89"/>
        <v>0</v>
      </c>
      <c r="AI381" s="314">
        <f t="shared" si="90"/>
        <v>0</v>
      </c>
      <c r="AJ381" s="317"/>
      <c r="AK381" s="315" t="e">
        <f t="shared" si="91"/>
        <v>#N/A</v>
      </c>
      <c r="AM381" s="561"/>
      <c r="AN381" s="561"/>
      <c r="AO381" s="561"/>
    </row>
    <row r="382" spans="2:41">
      <c r="B382" s="296"/>
      <c r="C382" s="299"/>
      <c r="D382" s="296"/>
      <c r="E382" s="298"/>
      <c r="F382" s="299"/>
      <c r="G382" s="300"/>
      <c r="H382" s="303"/>
      <c r="I382" s="303"/>
      <c r="J382" s="322">
        <f t="shared" si="77"/>
        <v>0</v>
      </c>
      <c r="K382" s="305" t="e">
        <f>IF(F382="MXN",1/HLOOKUP(YEAR(G382)+(MONTH(G382)/100),TC!$5:$37,DAY(G382)+2,FALSE),VLOOKUP(F382,Equivalencia!$5:$23,((MAX(Equivalencia!$3:$3)-YEAR(G382))*14)+MONTH(G382)+2,FALSE))</f>
        <v>#N/A</v>
      </c>
      <c r="L382" s="306" t="e">
        <f t="shared" si="80"/>
        <v>#N/A</v>
      </c>
      <c r="M382" s="305">
        <f>IF(G382=0,0,HLOOKUP(YEAR(G382)+(MONTH(G382)/100),TC!$5:$37,DAY(G382)+2,FALSE))</f>
        <v>0</v>
      </c>
      <c r="N382" s="306" t="e">
        <f t="shared" si="81"/>
        <v>#N/A</v>
      </c>
      <c r="O382" s="308">
        <f>IF(G382=0,0,VLOOKUP(YEAR(G382),INPC!$B$4:$P$30,MONTH(G382)+2))</f>
        <v>0</v>
      </c>
      <c r="P382" s="308">
        <f>IF(W382=0,0,IF(OR(C382=$AQ$5,C382=AQ386),VLOOKUP(YEAR(W382),INPC!$B$4:$P$30,MONTH(W382)+1),VLOOKUP(YEAR(W382),INPC!$B$4:$P$30,MONTH(W382)+2)))</f>
        <v>0</v>
      </c>
      <c r="Q382" s="309">
        <f t="shared" si="82"/>
        <v>0</v>
      </c>
      <c r="R382" s="310" t="e">
        <f t="shared" si="83"/>
        <v>#N/A</v>
      </c>
      <c r="S382" s="310">
        <f t="shared" si="84"/>
        <v>0</v>
      </c>
      <c r="T382" s="567" t="str">
        <f t="shared" si="85"/>
        <v>NO</v>
      </c>
      <c r="U382" s="323"/>
      <c r="V382" s="299"/>
      <c r="W382" s="300"/>
      <c r="X382" s="299"/>
      <c r="Y382" s="303"/>
      <c r="Z382" s="305">
        <f>IF(Y382=0,0,IF(X382="MXN",1/HLOOKUP(YEAR(W382)+(MONTH(W382)/100),TC!$5:$37,DAY(W382)+2,FALSE),VLOOKUP(X382,Equivalencia!$1:$23,((MAX(Equivalencia!$3:$3)-YEAR(W382))*14)+MONTH(W382)+2,FALSE)))</f>
        <v>0</v>
      </c>
      <c r="AA382" s="306">
        <f t="shared" si="86"/>
        <v>0</v>
      </c>
      <c r="AB382" s="305">
        <f>+IF(W382=0,0,HLOOKUP(YEAR(W382)+(MONTH(W382)/100),TC!$5:$37,DAY(W382)+2,FALSE))</f>
        <v>0</v>
      </c>
      <c r="AC382" s="306">
        <f t="shared" si="87"/>
        <v>0</v>
      </c>
      <c r="AD382" s="314">
        <f t="shared" si="78"/>
        <v>0</v>
      </c>
      <c r="AE382" s="315">
        <f t="shared" si="88"/>
        <v>0</v>
      </c>
      <c r="AF382" s="316">
        <f t="shared" si="79"/>
        <v>0</v>
      </c>
      <c r="AG382" s="314">
        <v>1</v>
      </c>
      <c r="AH382" s="314">
        <f t="shared" si="89"/>
        <v>0</v>
      </c>
      <c r="AI382" s="314">
        <f t="shared" si="90"/>
        <v>0</v>
      </c>
      <c r="AJ382" s="317"/>
      <c r="AK382" s="315" t="e">
        <f t="shared" si="91"/>
        <v>#N/A</v>
      </c>
      <c r="AM382" s="561"/>
      <c r="AN382" s="561"/>
      <c r="AO382" s="561"/>
    </row>
    <row r="383" spans="2:41">
      <c r="B383" s="296"/>
      <c r="C383" s="299"/>
      <c r="D383" s="296"/>
      <c r="E383" s="298"/>
      <c r="F383" s="299"/>
      <c r="G383" s="300"/>
      <c r="H383" s="303"/>
      <c r="I383" s="303"/>
      <c r="J383" s="322">
        <f t="shared" si="77"/>
        <v>0</v>
      </c>
      <c r="K383" s="305" t="e">
        <f>IF(F383="MXN",1/HLOOKUP(YEAR(G383)+(MONTH(G383)/100),TC!$5:$37,DAY(G383)+2,FALSE),VLOOKUP(F383,Equivalencia!$5:$23,((MAX(Equivalencia!$3:$3)-YEAR(G383))*14)+MONTH(G383)+2,FALSE))</f>
        <v>#N/A</v>
      </c>
      <c r="L383" s="306" t="e">
        <f t="shared" si="80"/>
        <v>#N/A</v>
      </c>
      <c r="M383" s="305">
        <f>IF(G383=0,0,HLOOKUP(YEAR(G383)+(MONTH(G383)/100),TC!$5:$37,DAY(G383)+2,FALSE))</f>
        <v>0</v>
      </c>
      <c r="N383" s="306" t="e">
        <f t="shared" si="81"/>
        <v>#N/A</v>
      </c>
      <c r="O383" s="308">
        <f>IF(G383=0,0,VLOOKUP(YEAR(G383),INPC!$B$4:$P$30,MONTH(G383)+2))</f>
        <v>0</v>
      </c>
      <c r="P383" s="308">
        <f>IF(W383=0,0,IF(OR(C383=$AQ$5,C383=AQ387),VLOOKUP(YEAR(W383),INPC!$B$4:$P$30,MONTH(W383)+1),VLOOKUP(YEAR(W383),INPC!$B$4:$P$30,MONTH(W383)+2)))</f>
        <v>0</v>
      </c>
      <c r="Q383" s="309">
        <f t="shared" si="82"/>
        <v>0</v>
      </c>
      <c r="R383" s="310" t="e">
        <f t="shared" si="83"/>
        <v>#N/A</v>
      </c>
      <c r="S383" s="310">
        <f t="shared" si="84"/>
        <v>0</v>
      </c>
      <c r="T383" s="567" t="str">
        <f t="shared" si="85"/>
        <v>NO</v>
      </c>
      <c r="U383" s="323"/>
      <c r="V383" s="299"/>
      <c r="W383" s="300"/>
      <c r="X383" s="299"/>
      <c r="Y383" s="303"/>
      <c r="Z383" s="305">
        <f>IF(Y383=0,0,IF(X383="MXN",1/HLOOKUP(YEAR(W383)+(MONTH(W383)/100),TC!$5:$37,DAY(W383)+2,FALSE),VLOOKUP(X383,Equivalencia!$1:$23,((MAX(Equivalencia!$3:$3)-YEAR(W383))*14)+MONTH(W383)+2,FALSE)))</f>
        <v>0</v>
      </c>
      <c r="AA383" s="306">
        <f t="shared" si="86"/>
        <v>0</v>
      </c>
      <c r="AB383" s="305">
        <f>+IF(W383=0,0,HLOOKUP(YEAR(W383)+(MONTH(W383)/100),TC!$5:$37,DAY(W383)+2,FALSE))</f>
        <v>0</v>
      </c>
      <c r="AC383" s="306">
        <f t="shared" si="87"/>
        <v>0</v>
      </c>
      <c r="AD383" s="314">
        <f t="shared" si="78"/>
        <v>0</v>
      </c>
      <c r="AE383" s="315">
        <f t="shared" si="88"/>
        <v>0</v>
      </c>
      <c r="AF383" s="316">
        <f t="shared" si="79"/>
        <v>0</v>
      </c>
      <c r="AG383" s="314">
        <v>1</v>
      </c>
      <c r="AH383" s="314">
        <f t="shared" si="89"/>
        <v>0</v>
      </c>
      <c r="AI383" s="314">
        <f t="shared" si="90"/>
        <v>0</v>
      </c>
      <c r="AJ383" s="317"/>
      <c r="AK383" s="315" t="e">
        <f t="shared" si="91"/>
        <v>#N/A</v>
      </c>
      <c r="AM383" s="561"/>
      <c r="AN383" s="561"/>
      <c r="AO383" s="561"/>
    </row>
    <row r="384" spans="2:41">
      <c r="B384" s="296"/>
      <c r="C384" s="299"/>
      <c r="D384" s="296"/>
      <c r="E384" s="298"/>
      <c r="F384" s="299"/>
      <c r="G384" s="300"/>
      <c r="H384" s="303"/>
      <c r="I384" s="303"/>
      <c r="J384" s="322">
        <f t="shared" si="77"/>
        <v>0</v>
      </c>
      <c r="K384" s="305" t="e">
        <f>IF(F384="MXN",1/HLOOKUP(YEAR(G384)+(MONTH(G384)/100),TC!$5:$37,DAY(G384)+2,FALSE),VLOOKUP(F384,Equivalencia!$5:$23,((MAX(Equivalencia!$3:$3)-YEAR(G384))*14)+MONTH(G384)+2,FALSE))</f>
        <v>#N/A</v>
      </c>
      <c r="L384" s="306" t="e">
        <f t="shared" si="80"/>
        <v>#N/A</v>
      </c>
      <c r="M384" s="305">
        <f>IF(G384=0,0,HLOOKUP(YEAR(G384)+(MONTH(G384)/100),TC!$5:$37,DAY(G384)+2,FALSE))</f>
        <v>0</v>
      </c>
      <c r="N384" s="306" t="e">
        <f t="shared" si="81"/>
        <v>#N/A</v>
      </c>
      <c r="O384" s="308">
        <f>IF(G384=0,0,VLOOKUP(YEAR(G384),INPC!$B$4:$P$30,MONTH(G384)+2))</f>
        <v>0</v>
      </c>
      <c r="P384" s="308">
        <f>IF(W384=0,0,IF(OR(C384=$AQ$5,C384=AQ388),VLOOKUP(YEAR(W384),INPC!$B$4:$P$30,MONTH(W384)+1),VLOOKUP(YEAR(W384),INPC!$B$4:$P$30,MONTH(W384)+2)))</f>
        <v>0</v>
      </c>
      <c r="Q384" s="309">
        <f t="shared" si="82"/>
        <v>0</v>
      </c>
      <c r="R384" s="310" t="e">
        <f t="shared" si="83"/>
        <v>#N/A</v>
      </c>
      <c r="S384" s="310">
        <f t="shared" si="84"/>
        <v>0</v>
      </c>
      <c r="T384" s="567" t="str">
        <f t="shared" si="85"/>
        <v>NO</v>
      </c>
      <c r="U384" s="323"/>
      <c r="V384" s="299"/>
      <c r="W384" s="300"/>
      <c r="X384" s="299"/>
      <c r="Y384" s="303"/>
      <c r="Z384" s="305">
        <f>IF(Y384=0,0,IF(X384="MXN",1/HLOOKUP(YEAR(W384)+(MONTH(W384)/100),TC!$5:$37,DAY(W384)+2,FALSE),VLOOKUP(X384,Equivalencia!$1:$23,((MAX(Equivalencia!$3:$3)-YEAR(W384))*14)+MONTH(W384)+2,FALSE)))</f>
        <v>0</v>
      </c>
      <c r="AA384" s="306">
        <f t="shared" si="86"/>
        <v>0</v>
      </c>
      <c r="AB384" s="305">
        <f>+IF(W384=0,0,HLOOKUP(YEAR(W384)+(MONTH(W384)/100),TC!$5:$37,DAY(W384)+2,FALSE))</f>
        <v>0</v>
      </c>
      <c r="AC384" s="306">
        <f t="shared" si="87"/>
        <v>0</v>
      </c>
      <c r="AD384" s="314">
        <f t="shared" si="78"/>
        <v>0</v>
      </c>
      <c r="AE384" s="315">
        <f t="shared" si="88"/>
        <v>0</v>
      </c>
      <c r="AF384" s="316">
        <f t="shared" si="79"/>
        <v>0</v>
      </c>
      <c r="AG384" s="314">
        <v>1</v>
      </c>
      <c r="AH384" s="314">
        <f t="shared" si="89"/>
        <v>0</v>
      </c>
      <c r="AI384" s="314">
        <f t="shared" si="90"/>
        <v>0</v>
      </c>
      <c r="AJ384" s="317"/>
      <c r="AK384" s="315" t="e">
        <f t="shared" si="91"/>
        <v>#N/A</v>
      </c>
      <c r="AM384" s="561"/>
      <c r="AN384" s="561"/>
      <c r="AO384" s="561"/>
    </row>
    <row r="385" spans="2:41">
      <c r="B385" s="296"/>
      <c r="C385" s="299"/>
      <c r="D385" s="296"/>
      <c r="E385" s="298"/>
      <c r="F385" s="299"/>
      <c r="G385" s="300"/>
      <c r="H385" s="303"/>
      <c r="I385" s="303"/>
      <c r="J385" s="322">
        <f t="shared" si="77"/>
        <v>0</v>
      </c>
      <c r="K385" s="305" t="e">
        <f>IF(F385="MXN",1/HLOOKUP(YEAR(G385)+(MONTH(G385)/100),TC!$5:$37,DAY(G385)+2,FALSE),VLOOKUP(F385,Equivalencia!$5:$23,((MAX(Equivalencia!$3:$3)-YEAR(G385))*14)+MONTH(G385)+2,FALSE))</f>
        <v>#N/A</v>
      </c>
      <c r="L385" s="306" t="e">
        <f t="shared" si="80"/>
        <v>#N/A</v>
      </c>
      <c r="M385" s="305">
        <f>IF(G385=0,0,HLOOKUP(YEAR(G385)+(MONTH(G385)/100),TC!$5:$37,DAY(G385)+2,FALSE))</f>
        <v>0</v>
      </c>
      <c r="N385" s="306" t="e">
        <f t="shared" si="81"/>
        <v>#N/A</v>
      </c>
      <c r="O385" s="308">
        <f>IF(G385=0,0,VLOOKUP(YEAR(G385),INPC!$B$4:$P$30,MONTH(G385)+2))</f>
        <v>0</v>
      </c>
      <c r="P385" s="308">
        <f>IF(W385=0,0,IF(OR(C385=$AQ$5,C385=AQ389),VLOOKUP(YEAR(W385),INPC!$B$4:$P$30,MONTH(W385)+1),VLOOKUP(YEAR(W385),INPC!$B$4:$P$30,MONTH(W385)+2)))</f>
        <v>0</v>
      </c>
      <c r="Q385" s="309">
        <f t="shared" si="82"/>
        <v>0</v>
      </c>
      <c r="R385" s="310" t="e">
        <f t="shared" si="83"/>
        <v>#N/A</v>
      </c>
      <c r="S385" s="310">
        <f t="shared" si="84"/>
        <v>0</v>
      </c>
      <c r="T385" s="567" t="str">
        <f t="shared" si="85"/>
        <v>NO</v>
      </c>
      <c r="U385" s="323"/>
      <c r="V385" s="299"/>
      <c r="W385" s="300"/>
      <c r="X385" s="299"/>
      <c r="Y385" s="303"/>
      <c r="Z385" s="305">
        <f>IF(Y385=0,0,IF(X385="MXN",1/HLOOKUP(YEAR(W385)+(MONTH(W385)/100),TC!$5:$37,DAY(W385)+2,FALSE),VLOOKUP(X385,Equivalencia!$1:$23,((MAX(Equivalencia!$3:$3)-YEAR(W385))*14)+MONTH(W385)+2,FALSE)))</f>
        <v>0</v>
      </c>
      <c r="AA385" s="306">
        <f t="shared" si="86"/>
        <v>0</v>
      </c>
      <c r="AB385" s="305">
        <f>+IF(W385=0,0,HLOOKUP(YEAR(W385)+(MONTH(W385)/100),TC!$5:$37,DAY(W385)+2,FALSE))</f>
        <v>0</v>
      </c>
      <c r="AC385" s="306">
        <f t="shared" si="87"/>
        <v>0</v>
      </c>
      <c r="AD385" s="314">
        <f t="shared" si="78"/>
        <v>0</v>
      </c>
      <c r="AE385" s="315">
        <f t="shared" si="88"/>
        <v>0</v>
      </c>
      <c r="AF385" s="316">
        <f t="shared" si="79"/>
        <v>0</v>
      </c>
      <c r="AG385" s="314">
        <v>1</v>
      </c>
      <c r="AH385" s="314">
        <f t="shared" si="89"/>
        <v>0</v>
      </c>
      <c r="AI385" s="314">
        <f t="shared" si="90"/>
        <v>0</v>
      </c>
      <c r="AJ385" s="317"/>
      <c r="AK385" s="315" t="e">
        <f t="shared" si="91"/>
        <v>#N/A</v>
      </c>
      <c r="AM385" s="561"/>
      <c r="AN385" s="561"/>
      <c r="AO385" s="561"/>
    </row>
    <row r="386" spans="2:41">
      <c r="B386" s="296"/>
      <c r="C386" s="299"/>
      <c r="D386" s="296"/>
      <c r="E386" s="298"/>
      <c r="F386" s="299"/>
      <c r="G386" s="300"/>
      <c r="H386" s="303"/>
      <c r="I386" s="303"/>
      <c r="J386" s="322">
        <f t="shared" ref="J386:J449" si="92">IF(E386=0,0,IF(OR(C386=$AQ$5,C386=$AQ$6),"Derivados Cap IV, Sec II - SIC &amp; BMV","Derivados Cap IX - No SIC"))</f>
        <v>0</v>
      </c>
      <c r="K386" s="305" t="e">
        <f>IF(F386="MXN",1/HLOOKUP(YEAR(G386)+(MONTH(G386)/100),TC!$5:$37,DAY(G386)+2,FALSE),VLOOKUP(F386,Equivalencia!$5:$23,((MAX(Equivalencia!$3:$3)-YEAR(G386))*14)+MONTH(G386)+2,FALSE))</f>
        <v>#N/A</v>
      </c>
      <c r="L386" s="306" t="e">
        <f t="shared" si="80"/>
        <v>#N/A</v>
      </c>
      <c r="M386" s="305">
        <f>IF(G386=0,0,HLOOKUP(YEAR(G386)+(MONTH(G386)/100),TC!$5:$37,DAY(G386)+2,FALSE))</f>
        <v>0</v>
      </c>
      <c r="N386" s="306" t="e">
        <f t="shared" si="81"/>
        <v>#N/A</v>
      </c>
      <c r="O386" s="308">
        <f>IF(G386=0,0,VLOOKUP(YEAR(G386),INPC!$B$4:$P$30,MONTH(G386)+2))</f>
        <v>0</v>
      </c>
      <c r="P386" s="308">
        <f>IF(W386=0,0,IF(OR(C386=$AQ$5,C386=AQ390),VLOOKUP(YEAR(W386),INPC!$B$4:$P$30,MONTH(W386)+1),VLOOKUP(YEAR(W386),INPC!$B$4:$P$30,MONTH(W386)+2)))</f>
        <v>0</v>
      </c>
      <c r="Q386" s="309">
        <f t="shared" si="82"/>
        <v>0</v>
      </c>
      <c r="R386" s="310" t="e">
        <f t="shared" si="83"/>
        <v>#N/A</v>
      </c>
      <c r="S386" s="310">
        <f t="shared" si="84"/>
        <v>0</v>
      </c>
      <c r="T386" s="567" t="str">
        <f t="shared" si="85"/>
        <v>NO</v>
      </c>
      <c r="U386" s="323"/>
      <c r="V386" s="299"/>
      <c r="W386" s="300"/>
      <c r="X386" s="299"/>
      <c r="Y386" s="303"/>
      <c r="Z386" s="305">
        <f>IF(Y386=0,0,IF(X386="MXN",1/HLOOKUP(YEAR(W386)+(MONTH(W386)/100),TC!$5:$37,DAY(W386)+2,FALSE),VLOOKUP(X386,Equivalencia!$1:$23,((MAX(Equivalencia!$3:$3)-YEAR(W386))*14)+MONTH(W386)+2,FALSE)))</f>
        <v>0</v>
      </c>
      <c r="AA386" s="306">
        <f t="shared" si="86"/>
        <v>0</v>
      </c>
      <c r="AB386" s="305">
        <f>+IF(W386=0,0,HLOOKUP(YEAR(W386)+(MONTH(W386)/100),TC!$5:$37,DAY(W386)+2,FALSE))</f>
        <v>0</v>
      </c>
      <c r="AC386" s="306">
        <f t="shared" si="87"/>
        <v>0</v>
      </c>
      <c r="AD386" s="314">
        <f t="shared" ref="AD386:AD449" si="93">+U386*S386</f>
        <v>0</v>
      </c>
      <c r="AE386" s="315">
        <f t="shared" si="88"/>
        <v>0</v>
      </c>
      <c r="AF386" s="316">
        <f t="shared" ref="AF386:AF449" si="94">+IF(OR(C386=$AQ$5,C386=$AQ$6),1,((W386-G386)/365))</f>
        <v>0</v>
      </c>
      <c r="AG386" s="314">
        <v>1</v>
      </c>
      <c r="AH386" s="314">
        <f t="shared" si="89"/>
        <v>0</v>
      </c>
      <c r="AI386" s="314">
        <f t="shared" si="90"/>
        <v>0</v>
      </c>
      <c r="AJ386" s="317"/>
      <c r="AK386" s="315" t="e">
        <f t="shared" si="91"/>
        <v>#N/A</v>
      </c>
      <c r="AM386" s="561"/>
      <c r="AN386" s="561"/>
      <c r="AO386" s="561"/>
    </row>
    <row r="387" spans="2:41">
      <c r="B387" s="296"/>
      <c r="C387" s="299"/>
      <c r="D387" s="296"/>
      <c r="E387" s="298"/>
      <c r="F387" s="299"/>
      <c r="G387" s="300"/>
      <c r="H387" s="303"/>
      <c r="I387" s="303"/>
      <c r="J387" s="322">
        <f t="shared" si="92"/>
        <v>0</v>
      </c>
      <c r="K387" s="305" t="e">
        <f>IF(F387="MXN",1/HLOOKUP(YEAR(G387)+(MONTH(G387)/100),TC!$5:$37,DAY(G387)+2,FALSE),VLOOKUP(F387,Equivalencia!$5:$23,((MAX(Equivalencia!$3:$3)-YEAR(G387))*14)+MONTH(G387)+2,FALSE))</f>
        <v>#N/A</v>
      </c>
      <c r="L387" s="306" t="e">
        <f t="shared" ref="L387:L450" si="95">+I387*K387</f>
        <v>#N/A</v>
      </c>
      <c r="M387" s="305">
        <f>IF(G387=0,0,HLOOKUP(YEAR(G387)+(MONTH(G387)/100),TC!$5:$37,DAY(G387)+2,FALSE))</f>
        <v>0</v>
      </c>
      <c r="N387" s="306" t="e">
        <f t="shared" ref="N387:N450" si="96">+L387*M387</f>
        <v>#N/A</v>
      </c>
      <c r="O387" s="308">
        <f>IF(G387=0,0,VLOOKUP(YEAR(G387),INPC!$B$4:$P$30,MONTH(G387)+2))</f>
        <v>0</v>
      </c>
      <c r="P387" s="308">
        <f>IF(W387=0,0,IF(OR(C387=$AQ$5,C387=AQ391),VLOOKUP(YEAR(W387),INPC!$B$4:$P$30,MONTH(W387)+1),VLOOKUP(YEAR(W387),INPC!$B$4:$P$30,MONTH(W387)+2)))</f>
        <v>0</v>
      </c>
      <c r="Q387" s="309">
        <f t="shared" ref="Q387:Q450" si="97">IF(W387=0,0,IF(TRUNC(P387/O387,4)&gt;=1,TRUNC(P387/O387,4),1))</f>
        <v>0</v>
      </c>
      <c r="R387" s="310" t="e">
        <f t="shared" ref="R387:R450" si="98">+Q387*N387</f>
        <v>#N/A</v>
      </c>
      <c r="S387" s="310">
        <f t="shared" ref="S387:S450" si="99">IF(U387=0,0,R387/U387)</f>
        <v>0</v>
      </c>
      <c r="T387" s="567" t="str">
        <f t="shared" ref="T387:T450" si="100">+IF(W387=0,"NO","SI")</f>
        <v>NO</v>
      </c>
      <c r="U387" s="323"/>
      <c r="V387" s="299"/>
      <c r="W387" s="300"/>
      <c r="X387" s="299"/>
      <c r="Y387" s="303"/>
      <c r="Z387" s="305">
        <f>IF(Y387=0,0,IF(X387="MXN",1/HLOOKUP(YEAR(W387)+(MONTH(W387)/100),TC!$5:$37,DAY(W387)+2,FALSE),VLOOKUP(X387,Equivalencia!$1:$23,((MAX(Equivalencia!$3:$3)-YEAR(W387))*14)+MONTH(W387)+2,FALSE)))</f>
        <v>0</v>
      </c>
      <c r="AA387" s="306">
        <f t="shared" ref="AA387:AA450" si="101">+Z387*Y387</f>
        <v>0</v>
      </c>
      <c r="AB387" s="305">
        <f>+IF(W387=0,0,HLOOKUP(YEAR(W387)+(MONTH(W387)/100),TC!$5:$37,DAY(W387)+2,FALSE))</f>
        <v>0</v>
      </c>
      <c r="AC387" s="306">
        <f t="shared" ref="AC387:AC450" si="102">+AB387*AA387</f>
        <v>0</v>
      </c>
      <c r="AD387" s="314">
        <f t="shared" si="93"/>
        <v>0</v>
      </c>
      <c r="AE387" s="315">
        <f t="shared" ref="AE387:AE450" si="103">AC387+AD387</f>
        <v>0</v>
      </c>
      <c r="AF387" s="316">
        <f t="shared" si="94"/>
        <v>0</v>
      </c>
      <c r="AG387" s="314">
        <v>1</v>
      </c>
      <c r="AH387" s="314">
        <f t="shared" ref="AH387:AH450" si="104">(AE387/AG387)</f>
        <v>0</v>
      </c>
      <c r="AI387" s="314">
        <f t="shared" ref="AI387:AI450" si="105">+AE387-AH387</f>
        <v>0</v>
      </c>
      <c r="AJ387" s="317"/>
      <c r="AK387" s="315" t="e">
        <f t="shared" ref="AK387:AK450" si="106">+AA387+L387</f>
        <v>#N/A</v>
      </c>
      <c r="AM387" s="561"/>
      <c r="AN387" s="561"/>
      <c r="AO387" s="561"/>
    </row>
    <row r="388" spans="2:41">
      <c r="B388" s="296"/>
      <c r="C388" s="299"/>
      <c r="D388" s="296"/>
      <c r="E388" s="298"/>
      <c r="F388" s="299"/>
      <c r="G388" s="300"/>
      <c r="H388" s="303"/>
      <c r="I388" s="303"/>
      <c r="J388" s="322">
        <f t="shared" si="92"/>
        <v>0</v>
      </c>
      <c r="K388" s="305" t="e">
        <f>IF(F388="MXN",1/HLOOKUP(YEAR(G388)+(MONTH(G388)/100),TC!$5:$37,DAY(G388)+2,FALSE),VLOOKUP(F388,Equivalencia!$5:$23,((MAX(Equivalencia!$3:$3)-YEAR(G388))*14)+MONTH(G388)+2,FALSE))</f>
        <v>#N/A</v>
      </c>
      <c r="L388" s="306" t="e">
        <f t="shared" si="95"/>
        <v>#N/A</v>
      </c>
      <c r="M388" s="305">
        <f>IF(G388=0,0,HLOOKUP(YEAR(G388)+(MONTH(G388)/100),TC!$5:$37,DAY(G388)+2,FALSE))</f>
        <v>0</v>
      </c>
      <c r="N388" s="306" t="e">
        <f t="shared" si="96"/>
        <v>#N/A</v>
      </c>
      <c r="O388" s="308">
        <f>IF(G388=0,0,VLOOKUP(YEAR(G388),INPC!$B$4:$P$30,MONTH(G388)+2))</f>
        <v>0</v>
      </c>
      <c r="P388" s="308">
        <f>IF(W388=0,0,IF(OR(C388=$AQ$5,C388=AQ392),VLOOKUP(YEAR(W388),INPC!$B$4:$P$30,MONTH(W388)+1),VLOOKUP(YEAR(W388),INPC!$B$4:$P$30,MONTH(W388)+2)))</f>
        <v>0</v>
      </c>
      <c r="Q388" s="309">
        <f t="shared" si="97"/>
        <v>0</v>
      </c>
      <c r="R388" s="310" t="e">
        <f t="shared" si="98"/>
        <v>#N/A</v>
      </c>
      <c r="S388" s="310">
        <f t="shared" si="99"/>
        <v>0</v>
      </c>
      <c r="T388" s="567" t="str">
        <f t="shared" si="100"/>
        <v>NO</v>
      </c>
      <c r="U388" s="323"/>
      <c r="V388" s="299"/>
      <c r="W388" s="300"/>
      <c r="X388" s="299"/>
      <c r="Y388" s="303"/>
      <c r="Z388" s="305">
        <f>IF(Y388=0,0,IF(X388="MXN",1/HLOOKUP(YEAR(W388)+(MONTH(W388)/100),TC!$5:$37,DAY(W388)+2,FALSE),VLOOKUP(X388,Equivalencia!$1:$23,((MAX(Equivalencia!$3:$3)-YEAR(W388))*14)+MONTH(W388)+2,FALSE)))</f>
        <v>0</v>
      </c>
      <c r="AA388" s="306">
        <f t="shared" si="101"/>
        <v>0</v>
      </c>
      <c r="AB388" s="305">
        <f>+IF(W388=0,0,HLOOKUP(YEAR(W388)+(MONTH(W388)/100),TC!$5:$37,DAY(W388)+2,FALSE))</f>
        <v>0</v>
      </c>
      <c r="AC388" s="306">
        <f t="shared" si="102"/>
        <v>0</v>
      </c>
      <c r="AD388" s="314">
        <f t="shared" si="93"/>
        <v>0</v>
      </c>
      <c r="AE388" s="315">
        <f t="shared" si="103"/>
        <v>0</v>
      </c>
      <c r="AF388" s="316">
        <f t="shared" si="94"/>
        <v>0</v>
      </c>
      <c r="AG388" s="314">
        <v>1</v>
      </c>
      <c r="AH388" s="314">
        <f t="shared" si="104"/>
        <v>0</v>
      </c>
      <c r="AI388" s="314">
        <f t="shared" si="105"/>
        <v>0</v>
      </c>
      <c r="AJ388" s="317"/>
      <c r="AK388" s="315" t="e">
        <f t="shared" si="106"/>
        <v>#N/A</v>
      </c>
      <c r="AM388" s="561"/>
      <c r="AN388" s="561"/>
      <c r="AO388" s="561"/>
    </row>
    <row r="389" spans="2:41">
      <c r="B389" s="296"/>
      <c r="C389" s="299"/>
      <c r="D389" s="296"/>
      <c r="E389" s="298"/>
      <c r="F389" s="299"/>
      <c r="G389" s="300"/>
      <c r="H389" s="303"/>
      <c r="I389" s="303"/>
      <c r="J389" s="322">
        <f t="shared" si="92"/>
        <v>0</v>
      </c>
      <c r="K389" s="305" t="e">
        <f>IF(F389="MXN",1/HLOOKUP(YEAR(G389)+(MONTH(G389)/100),TC!$5:$37,DAY(G389)+2,FALSE),VLOOKUP(F389,Equivalencia!$5:$23,((MAX(Equivalencia!$3:$3)-YEAR(G389))*14)+MONTH(G389)+2,FALSE))</f>
        <v>#N/A</v>
      </c>
      <c r="L389" s="306" t="e">
        <f t="shared" si="95"/>
        <v>#N/A</v>
      </c>
      <c r="M389" s="305">
        <f>IF(G389=0,0,HLOOKUP(YEAR(G389)+(MONTH(G389)/100),TC!$5:$37,DAY(G389)+2,FALSE))</f>
        <v>0</v>
      </c>
      <c r="N389" s="306" t="e">
        <f t="shared" si="96"/>
        <v>#N/A</v>
      </c>
      <c r="O389" s="308">
        <f>IF(G389=0,0,VLOOKUP(YEAR(G389),INPC!$B$4:$P$30,MONTH(G389)+2))</f>
        <v>0</v>
      </c>
      <c r="P389" s="308">
        <f>IF(W389=0,0,IF(OR(C389=$AQ$5,C389=AQ393),VLOOKUP(YEAR(W389),INPC!$B$4:$P$30,MONTH(W389)+1),VLOOKUP(YEAR(W389),INPC!$B$4:$P$30,MONTH(W389)+2)))</f>
        <v>0</v>
      </c>
      <c r="Q389" s="309">
        <f t="shared" si="97"/>
        <v>0</v>
      </c>
      <c r="R389" s="310" t="e">
        <f t="shared" si="98"/>
        <v>#N/A</v>
      </c>
      <c r="S389" s="310">
        <f t="shared" si="99"/>
        <v>0</v>
      </c>
      <c r="T389" s="567" t="str">
        <f t="shared" si="100"/>
        <v>NO</v>
      </c>
      <c r="U389" s="323"/>
      <c r="V389" s="299"/>
      <c r="W389" s="300"/>
      <c r="X389" s="299"/>
      <c r="Y389" s="303"/>
      <c r="Z389" s="305">
        <f>IF(Y389=0,0,IF(X389="MXN",1/HLOOKUP(YEAR(W389)+(MONTH(W389)/100),TC!$5:$37,DAY(W389)+2,FALSE),VLOOKUP(X389,Equivalencia!$1:$23,((MAX(Equivalencia!$3:$3)-YEAR(W389))*14)+MONTH(W389)+2,FALSE)))</f>
        <v>0</v>
      </c>
      <c r="AA389" s="306">
        <f t="shared" si="101"/>
        <v>0</v>
      </c>
      <c r="AB389" s="305">
        <f>+IF(W389=0,0,HLOOKUP(YEAR(W389)+(MONTH(W389)/100),TC!$5:$37,DAY(W389)+2,FALSE))</f>
        <v>0</v>
      </c>
      <c r="AC389" s="306">
        <f t="shared" si="102"/>
        <v>0</v>
      </c>
      <c r="AD389" s="314">
        <f t="shared" si="93"/>
        <v>0</v>
      </c>
      <c r="AE389" s="315">
        <f t="shared" si="103"/>
        <v>0</v>
      </c>
      <c r="AF389" s="316">
        <f t="shared" si="94"/>
        <v>0</v>
      </c>
      <c r="AG389" s="314">
        <v>1</v>
      </c>
      <c r="AH389" s="314">
        <f t="shared" si="104"/>
        <v>0</v>
      </c>
      <c r="AI389" s="314">
        <f t="shared" si="105"/>
        <v>0</v>
      </c>
      <c r="AJ389" s="317"/>
      <c r="AK389" s="315" t="e">
        <f t="shared" si="106"/>
        <v>#N/A</v>
      </c>
      <c r="AM389" s="561"/>
      <c r="AN389" s="561"/>
      <c r="AO389" s="561"/>
    </row>
    <row r="390" spans="2:41">
      <c r="B390" s="296"/>
      <c r="C390" s="299"/>
      <c r="D390" s="296"/>
      <c r="E390" s="298"/>
      <c r="F390" s="299"/>
      <c r="G390" s="300"/>
      <c r="H390" s="303"/>
      <c r="I390" s="303"/>
      <c r="J390" s="322">
        <f t="shared" si="92"/>
        <v>0</v>
      </c>
      <c r="K390" s="305" t="e">
        <f>IF(F390="MXN",1/HLOOKUP(YEAR(G390)+(MONTH(G390)/100),TC!$5:$37,DAY(G390)+2,FALSE),VLOOKUP(F390,Equivalencia!$5:$23,((MAX(Equivalencia!$3:$3)-YEAR(G390))*14)+MONTH(G390)+2,FALSE))</f>
        <v>#N/A</v>
      </c>
      <c r="L390" s="306" t="e">
        <f t="shared" si="95"/>
        <v>#N/A</v>
      </c>
      <c r="M390" s="305">
        <f>IF(G390=0,0,HLOOKUP(YEAR(G390)+(MONTH(G390)/100),TC!$5:$37,DAY(G390)+2,FALSE))</f>
        <v>0</v>
      </c>
      <c r="N390" s="306" t="e">
        <f t="shared" si="96"/>
        <v>#N/A</v>
      </c>
      <c r="O390" s="308">
        <f>IF(G390=0,0,VLOOKUP(YEAR(G390),INPC!$B$4:$P$30,MONTH(G390)+2))</f>
        <v>0</v>
      </c>
      <c r="P390" s="308">
        <f>IF(W390=0,0,IF(OR(C390=$AQ$5,C390=AQ394),VLOOKUP(YEAR(W390),INPC!$B$4:$P$30,MONTH(W390)+1),VLOOKUP(YEAR(W390),INPC!$B$4:$P$30,MONTH(W390)+2)))</f>
        <v>0</v>
      </c>
      <c r="Q390" s="309">
        <f t="shared" si="97"/>
        <v>0</v>
      </c>
      <c r="R390" s="310" t="e">
        <f t="shared" si="98"/>
        <v>#N/A</v>
      </c>
      <c r="S390" s="310">
        <f t="shared" si="99"/>
        <v>0</v>
      </c>
      <c r="T390" s="567" t="str">
        <f t="shared" si="100"/>
        <v>NO</v>
      </c>
      <c r="U390" s="323"/>
      <c r="V390" s="299"/>
      <c r="W390" s="300"/>
      <c r="X390" s="299"/>
      <c r="Y390" s="303"/>
      <c r="Z390" s="305">
        <f>IF(Y390=0,0,IF(X390="MXN",1/HLOOKUP(YEAR(W390)+(MONTH(W390)/100),TC!$5:$37,DAY(W390)+2,FALSE),VLOOKUP(X390,Equivalencia!$1:$23,((MAX(Equivalencia!$3:$3)-YEAR(W390))*14)+MONTH(W390)+2,FALSE)))</f>
        <v>0</v>
      </c>
      <c r="AA390" s="306">
        <f t="shared" si="101"/>
        <v>0</v>
      </c>
      <c r="AB390" s="305">
        <f>+IF(W390=0,0,HLOOKUP(YEAR(W390)+(MONTH(W390)/100),TC!$5:$37,DAY(W390)+2,FALSE))</f>
        <v>0</v>
      </c>
      <c r="AC390" s="306">
        <f t="shared" si="102"/>
        <v>0</v>
      </c>
      <c r="AD390" s="314">
        <f t="shared" si="93"/>
        <v>0</v>
      </c>
      <c r="AE390" s="315">
        <f t="shared" si="103"/>
        <v>0</v>
      </c>
      <c r="AF390" s="316">
        <f t="shared" si="94"/>
        <v>0</v>
      </c>
      <c r="AG390" s="314">
        <v>1</v>
      </c>
      <c r="AH390" s="314">
        <f t="shared" si="104"/>
        <v>0</v>
      </c>
      <c r="AI390" s="314">
        <f t="shared" si="105"/>
        <v>0</v>
      </c>
      <c r="AJ390" s="317"/>
      <c r="AK390" s="315" t="e">
        <f t="shared" si="106"/>
        <v>#N/A</v>
      </c>
      <c r="AM390" s="561"/>
      <c r="AN390" s="561"/>
      <c r="AO390" s="561"/>
    </row>
    <row r="391" spans="2:41">
      <c r="B391" s="296"/>
      <c r="C391" s="299"/>
      <c r="D391" s="296"/>
      <c r="E391" s="298"/>
      <c r="F391" s="299"/>
      <c r="G391" s="300"/>
      <c r="H391" s="303"/>
      <c r="I391" s="303"/>
      <c r="J391" s="322">
        <f t="shared" si="92"/>
        <v>0</v>
      </c>
      <c r="K391" s="305" t="e">
        <f>IF(F391="MXN",1/HLOOKUP(YEAR(G391)+(MONTH(G391)/100),TC!$5:$37,DAY(G391)+2,FALSE),VLOOKUP(F391,Equivalencia!$5:$23,((MAX(Equivalencia!$3:$3)-YEAR(G391))*14)+MONTH(G391)+2,FALSE))</f>
        <v>#N/A</v>
      </c>
      <c r="L391" s="306" t="e">
        <f t="shared" si="95"/>
        <v>#N/A</v>
      </c>
      <c r="M391" s="305">
        <f>IF(G391=0,0,HLOOKUP(YEAR(G391)+(MONTH(G391)/100),TC!$5:$37,DAY(G391)+2,FALSE))</f>
        <v>0</v>
      </c>
      <c r="N391" s="306" t="e">
        <f t="shared" si="96"/>
        <v>#N/A</v>
      </c>
      <c r="O391" s="308">
        <f>IF(G391=0,0,VLOOKUP(YEAR(G391),INPC!$B$4:$P$30,MONTH(G391)+2))</f>
        <v>0</v>
      </c>
      <c r="P391" s="308">
        <f>IF(W391=0,0,IF(OR(C391=$AQ$5,C391=AQ395),VLOOKUP(YEAR(W391),INPC!$B$4:$P$30,MONTH(W391)+1),VLOOKUP(YEAR(W391),INPC!$B$4:$P$30,MONTH(W391)+2)))</f>
        <v>0</v>
      </c>
      <c r="Q391" s="309">
        <f t="shared" si="97"/>
        <v>0</v>
      </c>
      <c r="R391" s="310" t="e">
        <f t="shared" si="98"/>
        <v>#N/A</v>
      </c>
      <c r="S391" s="310">
        <f t="shared" si="99"/>
        <v>0</v>
      </c>
      <c r="T391" s="567" t="str">
        <f t="shared" si="100"/>
        <v>NO</v>
      </c>
      <c r="U391" s="323"/>
      <c r="V391" s="299"/>
      <c r="W391" s="300"/>
      <c r="X391" s="299"/>
      <c r="Y391" s="303"/>
      <c r="Z391" s="305">
        <f>IF(Y391=0,0,IF(X391="MXN",1/HLOOKUP(YEAR(W391)+(MONTH(W391)/100),TC!$5:$37,DAY(W391)+2,FALSE),VLOOKUP(X391,Equivalencia!$1:$23,((MAX(Equivalencia!$3:$3)-YEAR(W391))*14)+MONTH(W391)+2,FALSE)))</f>
        <v>0</v>
      </c>
      <c r="AA391" s="306">
        <f t="shared" si="101"/>
        <v>0</v>
      </c>
      <c r="AB391" s="305">
        <f>+IF(W391=0,0,HLOOKUP(YEAR(W391)+(MONTH(W391)/100),TC!$5:$37,DAY(W391)+2,FALSE))</f>
        <v>0</v>
      </c>
      <c r="AC391" s="306">
        <f t="shared" si="102"/>
        <v>0</v>
      </c>
      <c r="AD391" s="314">
        <f t="shared" si="93"/>
        <v>0</v>
      </c>
      <c r="AE391" s="315">
        <f t="shared" si="103"/>
        <v>0</v>
      </c>
      <c r="AF391" s="316">
        <f t="shared" si="94"/>
        <v>0</v>
      </c>
      <c r="AG391" s="314">
        <v>1</v>
      </c>
      <c r="AH391" s="314">
        <f t="shared" si="104"/>
        <v>0</v>
      </c>
      <c r="AI391" s="314">
        <f t="shared" si="105"/>
        <v>0</v>
      </c>
      <c r="AJ391" s="317"/>
      <c r="AK391" s="315" t="e">
        <f t="shared" si="106"/>
        <v>#N/A</v>
      </c>
      <c r="AM391" s="561"/>
      <c r="AN391" s="561"/>
      <c r="AO391" s="561"/>
    </row>
    <row r="392" spans="2:41">
      <c r="B392" s="296"/>
      <c r="C392" s="299"/>
      <c r="D392" s="296"/>
      <c r="E392" s="298"/>
      <c r="F392" s="299"/>
      <c r="G392" s="300"/>
      <c r="H392" s="303"/>
      <c r="I392" s="303"/>
      <c r="J392" s="322">
        <f t="shared" si="92"/>
        <v>0</v>
      </c>
      <c r="K392" s="305" t="e">
        <f>IF(F392="MXN",1/HLOOKUP(YEAR(G392)+(MONTH(G392)/100),TC!$5:$37,DAY(G392)+2,FALSE),VLOOKUP(F392,Equivalencia!$5:$23,((MAX(Equivalencia!$3:$3)-YEAR(G392))*14)+MONTH(G392)+2,FALSE))</f>
        <v>#N/A</v>
      </c>
      <c r="L392" s="306" t="e">
        <f t="shared" si="95"/>
        <v>#N/A</v>
      </c>
      <c r="M392" s="305">
        <f>IF(G392=0,0,HLOOKUP(YEAR(G392)+(MONTH(G392)/100),TC!$5:$37,DAY(G392)+2,FALSE))</f>
        <v>0</v>
      </c>
      <c r="N392" s="306" t="e">
        <f t="shared" si="96"/>
        <v>#N/A</v>
      </c>
      <c r="O392" s="308">
        <f>IF(G392=0,0,VLOOKUP(YEAR(G392),INPC!$B$4:$P$30,MONTH(G392)+2))</f>
        <v>0</v>
      </c>
      <c r="P392" s="308">
        <f>IF(W392=0,0,IF(OR(C392=$AQ$5,C392=AQ396),VLOOKUP(YEAR(W392),INPC!$B$4:$P$30,MONTH(W392)+1),VLOOKUP(YEAR(W392),INPC!$B$4:$P$30,MONTH(W392)+2)))</f>
        <v>0</v>
      </c>
      <c r="Q392" s="309">
        <f t="shared" si="97"/>
        <v>0</v>
      </c>
      <c r="R392" s="310" t="e">
        <f t="shared" si="98"/>
        <v>#N/A</v>
      </c>
      <c r="S392" s="310">
        <f t="shared" si="99"/>
        <v>0</v>
      </c>
      <c r="T392" s="567" t="str">
        <f t="shared" si="100"/>
        <v>NO</v>
      </c>
      <c r="U392" s="323"/>
      <c r="V392" s="299"/>
      <c r="W392" s="300"/>
      <c r="X392" s="299"/>
      <c r="Y392" s="303"/>
      <c r="Z392" s="305">
        <f>IF(Y392=0,0,IF(X392="MXN",1/HLOOKUP(YEAR(W392)+(MONTH(W392)/100),TC!$5:$37,DAY(W392)+2,FALSE),VLOOKUP(X392,Equivalencia!$1:$23,((MAX(Equivalencia!$3:$3)-YEAR(W392))*14)+MONTH(W392)+2,FALSE)))</f>
        <v>0</v>
      </c>
      <c r="AA392" s="306">
        <f t="shared" si="101"/>
        <v>0</v>
      </c>
      <c r="AB392" s="305">
        <f>+IF(W392=0,0,HLOOKUP(YEAR(W392)+(MONTH(W392)/100),TC!$5:$37,DAY(W392)+2,FALSE))</f>
        <v>0</v>
      </c>
      <c r="AC392" s="306">
        <f t="shared" si="102"/>
        <v>0</v>
      </c>
      <c r="AD392" s="314">
        <f t="shared" si="93"/>
        <v>0</v>
      </c>
      <c r="AE392" s="315">
        <f t="shared" si="103"/>
        <v>0</v>
      </c>
      <c r="AF392" s="316">
        <f t="shared" si="94"/>
        <v>0</v>
      </c>
      <c r="AG392" s="314">
        <v>1</v>
      </c>
      <c r="AH392" s="314">
        <f t="shared" si="104"/>
        <v>0</v>
      </c>
      <c r="AI392" s="314">
        <f t="shared" si="105"/>
        <v>0</v>
      </c>
      <c r="AJ392" s="317"/>
      <c r="AK392" s="315" t="e">
        <f t="shared" si="106"/>
        <v>#N/A</v>
      </c>
      <c r="AM392" s="561"/>
      <c r="AN392" s="561"/>
      <c r="AO392" s="561"/>
    </row>
    <row r="393" spans="2:41">
      <c r="B393" s="296"/>
      <c r="C393" s="299"/>
      <c r="D393" s="296"/>
      <c r="E393" s="298"/>
      <c r="F393" s="299"/>
      <c r="G393" s="300"/>
      <c r="H393" s="303"/>
      <c r="I393" s="303"/>
      <c r="J393" s="322">
        <f t="shared" si="92"/>
        <v>0</v>
      </c>
      <c r="K393" s="305" t="e">
        <f>IF(F393="MXN",1/HLOOKUP(YEAR(G393)+(MONTH(G393)/100),TC!$5:$37,DAY(G393)+2,FALSE),VLOOKUP(F393,Equivalencia!$5:$23,((MAX(Equivalencia!$3:$3)-YEAR(G393))*14)+MONTH(G393)+2,FALSE))</f>
        <v>#N/A</v>
      </c>
      <c r="L393" s="306" t="e">
        <f t="shared" si="95"/>
        <v>#N/A</v>
      </c>
      <c r="M393" s="305">
        <f>IF(G393=0,0,HLOOKUP(YEAR(G393)+(MONTH(G393)/100),TC!$5:$37,DAY(G393)+2,FALSE))</f>
        <v>0</v>
      </c>
      <c r="N393" s="306" t="e">
        <f t="shared" si="96"/>
        <v>#N/A</v>
      </c>
      <c r="O393" s="308">
        <f>IF(G393=0,0,VLOOKUP(YEAR(G393),INPC!$B$4:$P$30,MONTH(G393)+2))</f>
        <v>0</v>
      </c>
      <c r="P393" s="308">
        <f>IF(W393=0,0,IF(OR(C393=$AQ$5,C393=AQ397),VLOOKUP(YEAR(W393),INPC!$B$4:$P$30,MONTH(W393)+1),VLOOKUP(YEAR(W393),INPC!$B$4:$P$30,MONTH(W393)+2)))</f>
        <v>0</v>
      </c>
      <c r="Q393" s="309">
        <f t="shared" si="97"/>
        <v>0</v>
      </c>
      <c r="R393" s="310" t="e">
        <f t="shared" si="98"/>
        <v>#N/A</v>
      </c>
      <c r="S393" s="310">
        <f t="shared" si="99"/>
        <v>0</v>
      </c>
      <c r="T393" s="567" t="str">
        <f t="shared" si="100"/>
        <v>NO</v>
      </c>
      <c r="U393" s="323"/>
      <c r="V393" s="299"/>
      <c r="W393" s="300"/>
      <c r="X393" s="299"/>
      <c r="Y393" s="303"/>
      <c r="Z393" s="305">
        <f>IF(Y393=0,0,IF(X393="MXN",1/HLOOKUP(YEAR(W393)+(MONTH(W393)/100),TC!$5:$37,DAY(W393)+2,FALSE),VLOOKUP(X393,Equivalencia!$1:$23,((MAX(Equivalencia!$3:$3)-YEAR(W393))*14)+MONTH(W393)+2,FALSE)))</f>
        <v>0</v>
      </c>
      <c r="AA393" s="306">
        <f t="shared" si="101"/>
        <v>0</v>
      </c>
      <c r="AB393" s="305">
        <f>+IF(W393=0,0,HLOOKUP(YEAR(W393)+(MONTH(W393)/100),TC!$5:$37,DAY(W393)+2,FALSE))</f>
        <v>0</v>
      </c>
      <c r="AC393" s="306">
        <f t="shared" si="102"/>
        <v>0</v>
      </c>
      <c r="AD393" s="314">
        <f t="shared" si="93"/>
        <v>0</v>
      </c>
      <c r="AE393" s="315">
        <f t="shared" si="103"/>
        <v>0</v>
      </c>
      <c r="AF393" s="316">
        <f t="shared" si="94"/>
        <v>0</v>
      </c>
      <c r="AG393" s="314">
        <v>1</v>
      </c>
      <c r="AH393" s="314">
        <f t="shared" si="104"/>
        <v>0</v>
      </c>
      <c r="AI393" s="314">
        <f t="shared" si="105"/>
        <v>0</v>
      </c>
      <c r="AJ393" s="317"/>
      <c r="AK393" s="315" t="e">
        <f t="shared" si="106"/>
        <v>#N/A</v>
      </c>
      <c r="AM393" s="561"/>
      <c r="AN393" s="561"/>
      <c r="AO393" s="561"/>
    </row>
    <row r="394" spans="2:41">
      <c r="B394" s="296"/>
      <c r="C394" s="299"/>
      <c r="D394" s="296"/>
      <c r="E394" s="298"/>
      <c r="F394" s="299"/>
      <c r="G394" s="300"/>
      <c r="H394" s="303"/>
      <c r="I394" s="303"/>
      <c r="J394" s="322">
        <f t="shared" si="92"/>
        <v>0</v>
      </c>
      <c r="K394" s="305" t="e">
        <f>IF(F394="MXN",1/HLOOKUP(YEAR(G394)+(MONTH(G394)/100),TC!$5:$37,DAY(G394)+2,FALSE),VLOOKUP(F394,Equivalencia!$5:$23,((MAX(Equivalencia!$3:$3)-YEAR(G394))*14)+MONTH(G394)+2,FALSE))</f>
        <v>#N/A</v>
      </c>
      <c r="L394" s="306" t="e">
        <f t="shared" si="95"/>
        <v>#N/A</v>
      </c>
      <c r="M394" s="305">
        <f>IF(G394=0,0,HLOOKUP(YEAR(G394)+(MONTH(G394)/100),TC!$5:$37,DAY(G394)+2,FALSE))</f>
        <v>0</v>
      </c>
      <c r="N394" s="306" t="e">
        <f t="shared" si="96"/>
        <v>#N/A</v>
      </c>
      <c r="O394" s="308">
        <f>IF(G394=0,0,VLOOKUP(YEAR(G394),INPC!$B$4:$P$30,MONTH(G394)+2))</f>
        <v>0</v>
      </c>
      <c r="P394" s="308">
        <f>IF(W394=0,0,IF(OR(C394=$AQ$5,C394=AQ398),VLOOKUP(YEAR(W394),INPC!$B$4:$P$30,MONTH(W394)+1),VLOOKUP(YEAR(W394),INPC!$B$4:$P$30,MONTH(W394)+2)))</f>
        <v>0</v>
      </c>
      <c r="Q394" s="309">
        <f t="shared" si="97"/>
        <v>0</v>
      </c>
      <c r="R394" s="310" t="e">
        <f t="shared" si="98"/>
        <v>#N/A</v>
      </c>
      <c r="S394" s="310">
        <f t="shared" si="99"/>
        <v>0</v>
      </c>
      <c r="T394" s="567" t="str">
        <f t="shared" si="100"/>
        <v>NO</v>
      </c>
      <c r="U394" s="323"/>
      <c r="V394" s="299"/>
      <c r="W394" s="300"/>
      <c r="X394" s="299"/>
      <c r="Y394" s="303"/>
      <c r="Z394" s="305">
        <f>IF(Y394=0,0,IF(X394="MXN",1/HLOOKUP(YEAR(W394)+(MONTH(W394)/100),TC!$5:$37,DAY(W394)+2,FALSE),VLOOKUP(X394,Equivalencia!$1:$23,((MAX(Equivalencia!$3:$3)-YEAR(W394))*14)+MONTH(W394)+2,FALSE)))</f>
        <v>0</v>
      </c>
      <c r="AA394" s="306">
        <f t="shared" si="101"/>
        <v>0</v>
      </c>
      <c r="AB394" s="305">
        <f>+IF(W394=0,0,HLOOKUP(YEAR(W394)+(MONTH(W394)/100),TC!$5:$37,DAY(W394)+2,FALSE))</f>
        <v>0</v>
      </c>
      <c r="AC394" s="306">
        <f t="shared" si="102"/>
        <v>0</v>
      </c>
      <c r="AD394" s="314">
        <f t="shared" si="93"/>
        <v>0</v>
      </c>
      <c r="AE394" s="315">
        <f t="shared" si="103"/>
        <v>0</v>
      </c>
      <c r="AF394" s="316">
        <f t="shared" si="94"/>
        <v>0</v>
      </c>
      <c r="AG394" s="314">
        <v>1</v>
      </c>
      <c r="AH394" s="314">
        <f t="shared" si="104"/>
        <v>0</v>
      </c>
      <c r="AI394" s="314">
        <f t="shared" si="105"/>
        <v>0</v>
      </c>
      <c r="AJ394" s="317"/>
      <c r="AK394" s="315" t="e">
        <f t="shared" si="106"/>
        <v>#N/A</v>
      </c>
      <c r="AM394" s="561"/>
      <c r="AN394" s="561"/>
      <c r="AO394" s="561"/>
    </row>
    <row r="395" spans="2:41">
      <c r="B395" s="296"/>
      <c r="C395" s="299"/>
      <c r="D395" s="296"/>
      <c r="E395" s="298"/>
      <c r="F395" s="299"/>
      <c r="G395" s="300"/>
      <c r="H395" s="303"/>
      <c r="I395" s="303"/>
      <c r="J395" s="322">
        <f t="shared" si="92"/>
        <v>0</v>
      </c>
      <c r="K395" s="305" t="e">
        <f>IF(F395="MXN",1/HLOOKUP(YEAR(G395)+(MONTH(G395)/100),TC!$5:$37,DAY(G395)+2,FALSE),VLOOKUP(F395,Equivalencia!$5:$23,((MAX(Equivalencia!$3:$3)-YEAR(G395))*14)+MONTH(G395)+2,FALSE))</f>
        <v>#N/A</v>
      </c>
      <c r="L395" s="306" t="e">
        <f t="shared" si="95"/>
        <v>#N/A</v>
      </c>
      <c r="M395" s="305">
        <f>IF(G395=0,0,HLOOKUP(YEAR(G395)+(MONTH(G395)/100),TC!$5:$37,DAY(G395)+2,FALSE))</f>
        <v>0</v>
      </c>
      <c r="N395" s="306" t="e">
        <f t="shared" si="96"/>
        <v>#N/A</v>
      </c>
      <c r="O395" s="308">
        <f>IF(G395=0,0,VLOOKUP(YEAR(G395),INPC!$B$4:$P$30,MONTH(G395)+2))</f>
        <v>0</v>
      </c>
      <c r="P395" s="308">
        <f>IF(W395=0,0,IF(OR(C395=$AQ$5,C395=AQ399),VLOOKUP(YEAR(W395),INPC!$B$4:$P$30,MONTH(W395)+1),VLOOKUP(YEAR(W395),INPC!$B$4:$P$30,MONTH(W395)+2)))</f>
        <v>0</v>
      </c>
      <c r="Q395" s="309">
        <f t="shared" si="97"/>
        <v>0</v>
      </c>
      <c r="R395" s="310" t="e">
        <f t="shared" si="98"/>
        <v>#N/A</v>
      </c>
      <c r="S395" s="310">
        <f t="shared" si="99"/>
        <v>0</v>
      </c>
      <c r="T395" s="567" t="str">
        <f t="shared" si="100"/>
        <v>NO</v>
      </c>
      <c r="U395" s="323"/>
      <c r="V395" s="299"/>
      <c r="W395" s="300"/>
      <c r="X395" s="299"/>
      <c r="Y395" s="303"/>
      <c r="Z395" s="305">
        <f>IF(Y395=0,0,IF(X395="MXN",1/HLOOKUP(YEAR(W395)+(MONTH(W395)/100),TC!$5:$37,DAY(W395)+2,FALSE),VLOOKUP(X395,Equivalencia!$1:$23,((MAX(Equivalencia!$3:$3)-YEAR(W395))*14)+MONTH(W395)+2,FALSE)))</f>
        <v>0</v>
      </c>
      <c r="AA395" s="306">
        <f t="shared" si="101"/>
        <v>0</v>
      </c>
      <c r="AB395" s="305">
        <f>+IF(W395=0,0,HLOOKUP(YEAR(W395)+(MONTH(W395)/100),TC!$5:$37,DAY(W395)+2,FALSE))</f>
        <v>0</v>
      </c>
      <c r="AC395" s="306">
        <f t="shared" si="102"/>
        <v>0</v>
      </c>
      <c r="AD395" s="314">
        <f t="shared" si="93"/>
        <v>0</v>
      </c>
      <c r="AE395" s="315">
        <f t="shared" si="103"/>
        <v>0</v>
      </c>
      <c r="AF395" s="316">
        <f t="shared" si="94"/>
        <v>0</v>
      </c>
      <c r="AG395" s="314">
        <v>1</v>
      </c>
      <c r="AH395" s="314">
        <f t="shared" si="104"/>
        <v>0</v>
      </c>
      <c r="AI395" s="314">
        <f t="shared" si="105"/>
        <v>0</v>
      </c>
      <c r="AJ395" s="317"/>
      <c r="AK395" s="315" t="e">
        <f t="shared" si="106"/>
        <v>#N/A</v>
      </c>
      <c r="AM395" s="561"/>
      <c r="AN395" s="561"/>
      <c r="AO395" s="561"/>
    </row>
    <row r="396" spans="2:41">
      <c r="B396" s="296"/>
      <c r="C396" s="299"/>
      <c r="D396" s="296"/>
      <c r="E396" s="298"/>
      <c r="F396" s="299"/>
      <c r="G396" s="300"/>
      <c r="H396" s="303"/>
      <c r="I396" s="303"/>
      <c r="J396" s="322">
        <f t="shared" si="92"/>
        <v>0</v>
      </c>
      <c r="K396" s="305" t="e">
        <f>IF(F396="MXN",1/HLOOKUP(YEAR(G396)+(MONTH(G396)/100),TC!$5:$37,DAY(G396)+2,FALSE),VLOOKUP(F396,Equivalencia!$5:$23,((MAX(Equivalencia!$3:$3)-YEAR(G396))*14)+MONTH(G396)+2,FALSE))</f>
        <v>#N/A</v>
      </c>
      <c r="L396" s="306" t="e">
        <f t="shared" si="95"/>
        <v>#N/A</v>
      </c>
      <c r="M396" s="305">
        <f>IF(G396=0,0,HLOOKUP(YEAR(G396)+(MONTH(G396)/100),TC!$5:$37,DAY(G396)+2,FALSE))</f>
        <v>0</v>
      </c>
      <c r="N396" s="306" t="e">
        <f t="shared" si="96"/>
        <v>#N/A</v>
      </c>
      <c r="O396" s="308">
        <f>IF(G396=0,0,VLOOKUP(YEAR(G396),INPC!$B$4:$P$30,MONTH(G396)+2))</f>
        <v>0</v>
      </c>
      <c r="P396" s="308">
        <f>IF(W396=0,0,IF(OR(C396=$AQ$5,C396=AQ400),VLOOKUP(YEAR(W396),INPC!$B$4:$P$30,MONTH(W396)+1),VLOOKUP(YEAR(W396),INPC!$B$4:$P$30,MONTH(W396)+2)))</f>
        <v>0</v>
      </c>
      <c r="Q396" s="309">
        <f t="shared" si="97"/>
        <v>0</v>
      </c>
      <c r="R396" s="310" t="e">
        <f t="shared" si="98"/>
        <v>#N/A</v>
      </c>
      <c r="S396" s="310">
        <f t="shared" si="99"/>
        <v>0</v>
      </c>
      <c r="T396" s="567" t="str">
        <f t="shared" si="100"/>
        <v>NO</v>
      </c>
      <c r="U396" s="323"/>
      <c r="V396" s="299"/>
      <c r="W396" s="300"/>
      <c r="X396" s="299"/>
      <c r="Y396" s="303"/>
      <c r="Z396" s="305">
        <f>IF(Y396=0,0,IF(X396="MXN",1/HLOOKUP(YEAR(W396)+(MONTH(W396)/100),TC!$5:$37,DAY(W396)+2,FALSE),VLOOKUP(X396,Equivalencia!$1:$23,((MAX(Equivalencia!$3:$3)-YEAR(W396))*14)+MONTH(W396)+2,FALSE)))</f>
        <v>0</v>
      </c>
      <c r="AA396" s="306">
        <f t="shared" si="101"/>
        <v>0</v>
      </c>
      <c r="AB396" s="305">
        <f>+IF(W396=0,0,HLOOKUP(YEAR(W396)+(MONTH(W396)/100),TC!$5:$37,DAY(W396)+2,FALSE))</f>
        <v>0</v>
      </c>
      <c r="AC396" s="306">
        <f t="shared" si="102"/>
        <v>0</v>
      </c>
      <c r="AD396" s="314">
        <f t="shared" si="93"/>
        <v>0</v>
      </c>
      <c r="AE396" s="315">
        <f t="shared" si="103"/>
        <v>0</v>
      </c>
      <c r="AF396" s="316">
        <f t="shared" si="94"/>
        <v>0</v>
      </c>
      <c r="AG396" s="314">
        <v>1</v>
      </c>
      <c r="AH396" s="314">
        <f t="shared" si="104"/>
        <v>0</v>
      </c>
      <c r="AI396" s="314">
        <f t="shared" si="105"/>
        <v>0</v>
      </c>
      <c r="AJ396" s="317"/>
      <c r="AK396" s="315" t="e">
        <f t="shared" si="106"/>
        <v>#N/A</v>
      </c>
      <c r="AM396" s="561"/>
      <c r="AN396" s="561"/>
      <c r="AO396" s="561"/>
    </row>
    <row r="397" spans="2:41">
      <c r="B397" s="296"/>
      <c r="C397" s="299"/>
      <c r="D397" s="296"/>
      <c r="E397" s="298"/>
      <c r="F397" s="299"/>
      <c r="G397" s="300"/>
      <c r="H397" s="303"/>
      <c r="I397" s="303"/>
      <c r="J397" s="322">
        <f t="shared" si="92"/>
        <v>0</v>
      </c>
      <c r="K397" s="305" t="e">
        <f>IF(F397="MXN",1/HLOOKUP(YEAR(G397)+(MONTH(G397)/100),TC!$5:$37,DAY(G397)+2,FALSE),VLOOKUP(F397,Equivalencia!$5:$23,((MAX(Equivalencia!$3:$3)-YEAR(G397))*14)+MONTH(G397)+2,FALSE))</f>
        <v>#N/A</v>
      </c>
      <c r="L397" s="306" t="e">
        <f t="shared" si="95"/>
        <v>#N/A</v>
      </c>
      <c r="M397" s="305">
        <f>IF(G397=0,0,HLOOKUP(YEAR(G397)+(MONTH(G397)/100),TC!$5:$37,DAY(G397)+2,FALSE))</f>
        <v>0</v>
      </c>
      <c r="N397" s="306" t="e">
        <f t="shared" si="96"/>
        <v>#N/A</v>
      </c>
      <c r="O397" s="308">
        <f>IF(G397=0,0,VLOOKUP(YEAR(G397),INPC!$B$4:$P$30,MONTH(G397)+2))</f>
        <v>0</v>
      </c>
      <c r="P397" s="308">
        <f>IF(W397=0,0,IF(OR(C397=$AQ$5,C397=AQ401),VLOOKUP(YEAR(W397),INPC!$B$4:$P$30,MONTH(W397)+1),VLOOKUP(YEAR(W397),INPC!$B$4:$P$30,MONTH(W397)+2)))</f>
        <v>0</v>
      </c>
      <c r="Q397" s="309">
        <f t="shared" si="97"/>
        <v>0</v>
      </c>
      <c r="R397" s="310" t="e">
        <f t="shared" si="98"/>
        <v>#N/A</v>
      </c>
      <c r="S397" s="310">
        <f t="shared" si="99"/>
        <v>0</v>
      </c>
      <c r="T397" s="567" t="str">
        <f t="shared" si="100"/>
        <v>NO</v>
      </c>
      <c r="U397" s="323"/>
      <c r="V397" s="299"/>
      <c r="W397" s="300"/>
      <c r="X397" s="299"/>
      <c r="Y397" s="303"/>
      <c r="Z397" s="305">
        <f>IF(Y397=0,0,IF(X397="MXN",1/HLOOKUP(YEAR(W397)+(MONTH(W397)/100),TC!$5:$37,DAY(W397)+2,FALSE),VLOOKUP(X397,Equivalencia!$1:$23,((MAX(Equivalencia!$3:$3)-YEAR(W397))*14)+MONTH(W397)+2,FALSE)))</f>
        <v>0</v>
      </c>
      <c r="AA397" s="306">
        <f t="shared" si="101"/>
        <v>0</v>
      </c>
      <c r="AB397" s="305">
        <f>+IF(W397=0,0,HLOOKUP(YEAR(W397)+(MONTH(W397)/100),TC!$5:$37,DAY(W397)+2,FALSE))</f>
        <v>0</v>
      </c>
      <c r="AC397" s="306">
        <f t="shared" si="102"/>
        <v>0</v>
      </c>
      <c r="AD397" s="314">
        <f t="shared" si="93"/>
        <v>0</v>
      </c>
      <c r="AE397" s="315">
        <f t="shared" si="103"/>
        <v>0</v>
      </c>
      <c r="AF397" s="316">
        <f t="shared" si="94"/>
        <v>0</v>
      </c>
      <c r="AG397" s="314">
        <v>1</v>
      </c>
      <c r="AH397" s="314">
        <f t="shared" si="104"/>
        <v>0</v>
      </c>
      <c r="AI397" s="314">
        <f t="shared" si="105"/>
        <v>0</v>
      </c>
      <c r="AJ397" s="317"/>
      <c r="AK397" s="315" t="e">
        <f t="shared" si="106"/>
        <v>#N/A</v>
      </c>
      <c r="AM397" s="561"/>
      <c r="AN397" s="561"/>
      <c r="AO397" s="561"/>
    </row>
    <row r="398" spans="2:41">
      <c r="B398" s="296"/>
      <c r="C398" s="299"/>
      <c r="D398" s="296"/>
      <c r="E398" s="298"/>
      <c r="F398" s="299"/>
      <c r="G398" s="300"/>
      <c r="H398" s="303"/>
      <c r="I398" s="303"/>
      <c r="J398" s="322">
        <f t="shared" si="92"/>
        <v>0</v>
      </c>
      <c r="K398" s="305" t="e">
        <f>IF(F398="MXN",1/HLOOKUP(YEAR(G398)+(MONTH(G398)/100),TC!$5:$37,DAY(G398)+2,FALSE),VLOOKUP(F398,Equivalencia!$5:$23,((MAX(Equivalencia!$3:$3)-YEAR(G398))*14)+MONTH(G398)+2,FALSE))</f>
        <v>#N/A</v>
      </c>
      <c r="L398" s="306" t="e">
        <f t="shared" si="95"/>
        <v>#N/A</v>
      </c>
      <c r="M398" s="305">
        <f>IF(G398=0,0,HLOOKUP(YEAR(G398)+(MONTH(G398)/100),TC!$5:$37,DAY(G398)+2,FALSE))</f>
        <v>0</v>
      </c>
      <c r="N398" s="306" t="e">
        <f t="shared" si="96"/>
        <v>#N/A</v>
      </c>
      <c r="O398" s="308">
        <f>IF(G398=0,0,VLOOKUP(YEAR(G398),INPC!$B$4:$P$30,MONTH(G398)+2))</f>
        <v>0</v>
      </c>
      <c r="P398" s="308">
        <f>IF(W398=0,0,IF(OR(C398=$AQ$5,C398=AQ402),VLOOKUP(YEAR(W398),INPC!$B$4:$P$30,MONTH(W398)+1),VLOOKUP(YEAR(W398),INPC!$B$4:$P$30,MONTH(W398)+2)))</f>
        <v>0</v>
      </c>
      <c r="Q398" s="309">
        <f t="shared" si="97"/>
        <v>0</v>
      </c>
      <c r="R398" s="310" t="e">
        <f t="shared" si="98"/>
        <v>#N/A</v>
      </c>
      <c r="S398" s="310">
        <f t="shared" si="99"/>
        <v>0</v>
      </c>
      <c r="T398" s="567" t="str">
        <f t="shared" si="100"/>
        <v>NO</v>
      </c>
      <c r="U398" s="323"/>
      <c r="V398" s="299"/>
      <c r="W398" s="300"/>
      <c r="X398" s="299"/>
      <c r="Y398" s="303"/>
      <c r="Z398" s="305">
        <f>IF(Y398=0,0,IF(X398="MXN",1/HLOOKUP(YEAR(W398)+(MONTH(W398)/100),TC!$5:$37,DAY(W398)+2,FALSE),VLOOKUP(X398,Equivalencia!$1:$23,((MAX(Equivalencia!$3:$3)-YEAR(W398))*14)+MONTH(W398)+2,FALSE)))</f>
        <v>0</v>
      </c>
      <c r="AA398" s="306">
        <f t="shared" si="101"/>
        <v>0</v>
      </c>
      <c r="AB398" s="305">
        <f>+IF(W398=0,0,HLOOKUP(YEAR(W398)+(MONTH(W398)/100),TC!$5:$37,DAY(W398)+2,FALSE))</f>
        <v>0</v>
      </c>
      <c r="AC398" s="306">
        <f t="shared" si="102"/>
        <v>0</v>
      </c>
      <c r="AD398" s="314">
        <f t="shared" si="93"/>
        <v>0</v>
      </c>
      <c r="AE398" s="315">
        <f t="shared" si="103"/>
        <v>0</v>
      </c>
      <c r="AF398" s="316">
        <f t="shared" si="94"/>
        <v>0</v>
      </c>
      <c r="AG398" s="314">
        <v>1</v>
      </c>
      <c r="AH398" s="314">
        <f t="shared" si="104"/>
        <v>0</v>
      </c>
      <c r="AI398" s="314">
        <f t="shared" si="105"/>
        <v>0</v>
      </c>
      <c r="AJ398" s="317"/>
      <c r="AK398" s="315" t="e">
        <f t="shared" si="106"/>
        <v>#N/A</v>
      </c>
      <c r="AM398" s="561"/>
      <c r="AN398" s="561"/>
      <c r="AO398" s="561"/>
    </row>
    <row r="399" spans="2:41">
      <c r="B399" s="296"/>
      <c r="C399" s="299"/>
      <c r="D399" s="296"/>
      <c r="E399" s="298"/>
      <c r="F399" s="299"/>
      <c r="G399" s="300"/>
      <c r="H399" s="303"/>
      <c r="I399" s="303"/>
      <c r="J399" s="322">
        <f t="shared" si="92"/>
        <v>0</v>
      </c>
      <c r="K399" s="305" t="e">
        <f>IF(F399="MXN",1/HLOOKUP(YEAR(G399)+(MONTH(G399)/100),TC!$5:$37,DAY(G399)+2,FALSE),VLOOKUP(F399,Equivalencia!$5:$23,((MAX(Equivalencia!$3:$3)-YEAR(G399))*14)+MONTH(G399)+2,FALSE))</f>
        <v>#N/A</v>
      </c>
      <c r="L399" s="306" t="e">
        <f t="shared" si="95"/>
        <v>#N/A</v>
      </c>
      <c r="M399" s="305">
        <f>IF(G399=0,0,HLOOKUP(YEAR(G399)+(MONTH(G399)/100),TC!$5:$37,DAY(G399)+2,FALSE))</f>
        <v>0</v>
      </c>
      <c r="N399" s="306" t="e">
        <f t="shared" si="96"/>
        <v>#N/A</v>
      </c>
      <c r="O399" s="308">
        <f>IF(G399=0,0,VLOOKUP(YEAR(G399),INPC!$B$4:$P$30,MONTH(G399)+2))</f>
        <v>0</v>
      </c>
      <c r="P399" s="308">
        <f>IF(W399=0,0,IF(OR(C399=$AQ$5,C399=AQ403),VLOOKUP(YEAR(W399),INPC!$B$4:$P$30,MONTH(W399)+1),VLOOKUP(YEAR(W399),INPC!$B$4:$P$30,MONTH(W399)+2)))</f>
        <v>0</v>
      </c>
      <c r="Q399" s="309">
        <f t="shared" si="97"/>
        <v>0</v>
      </c>
      <c r="R399" s="310" t="e">
        <f t="shared" si="98"/>
        <v>#N/A</v>
      </c>
      <c r="S399" s="310">
        <f t="shared" si="99"/>
        <v>0</v>
      </c>
      <c r="T399" s="567" t="str">
        <f t="shared" si="100"/>
        <v>NO</v>
      </c>
      <c r="U399" s="323"/>
      <c r="V399" s="299"/>
      <c r="W399" s="300"/>
      <c r="X399" s="299"/>
      <c r="Y399" s="303"/>
      <c r="Z399" s="305">
        <f>IF(Y399=0,0,IF(X399="MXN",1/HLOOKUP(YEAR(W399)+(MONTH(W399)/100),TC!$5:$37,DAY(W399)+2,FALSE),VLOOKUP(X399,Equivalencia!$1:$23,((MAX(Equivalencia!$3:$3)-YEAR(W399))*14)+MONTH(W399)+2,FALSE)))</f>
        <v>0</v>
      </c>
      <c r="AA399" s="306">
        <f t="shared" si="101"/>
        <v>0</v>
      </c>
      <c r="AB399" s="305">
        <f>+IF(W399=0,0,HLOOKUP(YEAR(W399)+(MONTH(W399)/100),TC!$5:$37,DAY(W399)+2,FALSE))</f>
        <v>0</v>
      </c>
      <c r="AC399" s="306">
        <f t="shared" si="102"/>
        <v>0</v>
      </c>
      <c r="AD399" s="314">
        <f t="shared" si="93"/>
        <v>0</v>
      </c>
      <c r="AE399" s="315">
        <f t="shared" si="103"/>
        <v>0</v>
      </c>
      <c r="AF399" s="316">
        <f t="shared" si="94"/>
        <v>0</v>
      </c>
      <c r="AG399" s="314">
        <v>1</v>
      </c>
      <c r="AH399" s="314">
        <f t="shared" si="104"/>
        <v>0</v>
      </c>
      <c r="AI399" s="314">
        <f t="shared" si="105"/>
        <v>0</v>
      </c>
      <c r="AJ399" s="317"/>
      <c r="AK399" s="315" t="e">
        <f t="shared" si="106"/>
        <v>#N/A</v>
      </c>
      <c r="AM399" s="561"/>
      <c r="AN399" s="561"/>
      <c r="AO399" s="561"/>
    </row>
    <row r="400" spans="2:41">
      <c r="B400" s="296"/>
      <c r="C400" s="299"/>
      <c r="D400" s="296"/>
      <c r="E400" s="298"/>
      <c r="F400" s="299"/>
      <c r="G400" s="300"/>
      <c r="H400" s="303"/>
      <c r="I400" s="303"/>
      <c r="J400" s="322">
        <f t="shared" si="92"/>
        <v>0</v>
      </c>
      <c r="K400" s="305" t="e">
        <f>IF(F400="MXN",1/HLOOKUP(YEAR(G400)+(MONTH(G400)/100),TC!$5:$37,DAY(G400)+2,FALSE),VLOOKUP(F400,Equivalencia!$5:$23,((MAX(Equivalencia!$3:$3)-YEAR(G400))*14)+MONTH(G400)+2,FALSE))</f>
        <v>#N/A</v>
      </c>
      <c r="L400" s="306" t="e">
        <f t="shared" si="95"/>
        <v>#N/A</v>
      </c>
      <c r="M400" s="305">
        <f>IF(G400=0,0,HLOOKUP(YEAR(G400)+(MONTH(G400)/100),TC!$5:$37,DAY(G400)+2,FALSE))</f>
        <v>0</v>
      </c>
      <c r="N400" s="306" t="e">
        <f t="shared" si="96"/>
        <v>#N/A</v>
      </c>
      <c r="O400" s="308">
        <f>IF(G400=0,0,VLOOKUP(YEAR(G400),INPC!$B$4:$P$30,MONTH(G400)+2))</f>
        <v>0</v>
      </c>
      <c r="P400" s="308">
        <f>IF(W400=0,0,IF(OR(C400=$AQ$5,C400=AQ404),VLOOKUP(YEAR(W400),INPC!$B$4:$P$30,MONTH(W400)+1),VLOOKUP(YEAR(W400),INPC!$B$4:$P$30,MONTH(W400)+2)))</f>
        <v>0</v>
      </c>
      <c r="Q400" s="309">
        <f t="shared" si="97"/>
        <v>0</v>
      </c>
      <c r="R400" s="310" t="e">
        <f t="shared" si="98"/>
        <v>#N/A</v>
      </c>
      <c r="S400" s="310">
        <f t="shared" si="99"/>
        <v>0</v>
      </c>
      <c r="T400" s="567" t="str">
        <f t="shared" si="100"/>
        <v>NO</v>
      </c>
      <c r="U400" s="323"/>
      <c r="V400" s="299"/>
      <c r="W400" s="300"/>
      <c r="X400" s="299"/>
      <c r="Y400" s="303"/>
      <c r="Z400" s="305">
        <f>IF(Y400=0,0,IF(X400="MXN",1/HLOOKUP(YEAR(W400)+(MONTH(W400)/100),TC!$5:$37,DAY(W400)+2,FALSE),VLOOKUP(X400,Equivalencia!$1:$23,((MAX(Equivalencia!$3:$3)-YEAR(W400))*14)+MONTH(W400)+2,FALSE)))</f>
        <v>0</v>
      </c>
      <c r="AA400" s="306">
        <f t="shared" si="101"/>
        <v>0</v>
      </c>
      <c r="AB400" s="305">
        <f>+IF(W400=0,0,HLOOKUP(YEAR(W400)+(MONTH(W400)/100),TC!$5:$37,DAY(W400)+2,FALSE))</f>
        <v>0</v>
      </c>
      <c r="AC400" s="306">
        <f t="shared" si="102"/>
        <v>0</v>
      </c>
      <c r="AD400" s="314">
        <f t="shared" si="93"/>
        <v>0</v>
      </c>
      <c r="AE400" s="315">
        <f t="shared" si="103"/>
        <v>0</v>
      </c>
      <c r="AF400" s="316">
        <f t="shared" si="94"/>
        <v>0</v>
      </c>
      <c r="AG400" s="314">
        <v>1</v>
      </c>
      <c r="AH400" s="314">
        <f t="shared" si="104"/>
        <v>0</v>
      </c>
      <c r="AI400" s="314">
        <f t="shared" si="105"/>
        <v>0</v>
      </c>
      <c r="AJ400" s="317"/>
      <c r="AK400" s="315" t="e">
        <f t="shared" si="106"/>
        <v>#N/A</v>
      </c>
      <c r="AM400" s="561"/>
      <c r="AN400" s="561"/>
      <c r="AO400" s="561"/>
    </row>
    <row r="401" spans="2:41">
      <c r="B401" s="296"/>
      <c r="C401" s="299"/>
      <c r="D401" s="296"/>
      <c r="E401" s="298"/>
      <c r="F401" s="299"/>
      <c r="G401" s="300"/>
      <c r="H401" s="303"/>
      <c r="I401" s="303"/>
      <c r="J401" s="322">
        <f t="shared" si="92"/>
        <v>0</v>
      </c>
      <c r="K401" s="305" t="e">
        <f>IF(F401="MXN",1/HLOOKUP(YEAR(G401)+(MONTH(G401)/100),TC!$5:$37,DAY(G401)+2,FALSE),VLOOKUP(F401,Equivalencia!$5:$23,((MAX(Equivalencia!$3:$3)-YEAR(G401))*14)+MONTH(G401)+2,FALSE))</f>
        <v>#N/A</v>
      </c>
      <c r="L401" s="306" t="e">
        <f t="shared" si="95"/>
        <v>#N/A</v>
      </c>
      <c r="M401" s="305">
        <f>IF(G401=0,0,HLOOKUP(YEAR(G401)+(MONTH(G401)/100),TC!$5:$37,DAY(G401)+2,FALSE))</f>
        <v>0</v>
      </c>
      <c r="N401" s="306" t="e">
        <f t="shared" si="96"/>
        <v>#N/A</v>
      </c>
      <c r="O401" s="308">
        <f>IF(G401=0,0,VLOOKUP(YEAR(G401),INPC!$B$4:$P$30,MONTH(G401)+2))</f>
        <v>0</v>
      </c>
      <c r="P401" s="308">
        <f>IF(W401=0,0,IF(OR(C401=$AQ$5,C401=AQ405),VLOOKUP(YEAR(W401),INPC!$B$4:$P$30,MONTH(W401)+1),VLOOKUP(YEAR(W401),INPC!$B$4:$P$30,MONTH(W401)+2)))</f>
        <v>0</v>
      </c>
      <c r="Q401" s="309">
        <f t="shared" si="97"/>
        <v>0</v>
      </c>
      <c r="R401" s="310" t="e">
        <f t="shared" si="98"/>
        <v>#N/A</v>
      </c>
      <c r="S401" s="310">
        <f t="shared" si="99"/>
        <v>0</v>
      </c>
      <c r="T401" s="567" t="str">
        <f t="shared" si="100"/>
        <v>NO</v>
      </c>
      <c r="U401" s="323"/>
      <c r="V401" s="299"/>
      <c r="W401" s="300"/>
      <c r="X401" s="299"/>
      <c r="Y401" s="303"/>
      <c r="Z401" s="305">
        <f>IF(Y401=0,0,IF(X401="MXN",1/HLOOKUP(YEAR(W401)+(MONTH(W401)/100),TC!$5:$37,DAY(W401)+2,FALSE),VLOOKUP(X401,Equivalencia!$1:$23,((MAX(Equivalencia!$3:$3)-YEAR(W401))*14)+MONTH(W401)+2,FALSE)))</f>
        <v>0</v>
      </c>
      <c r="AA401" s="306">
        <f t="shared" si="101"/>
        <v>0</v>
      </c>
      <c r="AB401" s="305">
        <f>+IF(W401=0,0,HLOOKUP(YEAR(W401)+(MONTH(W401)/100),TC!$5:$37,DAY(W401)+2,FALSE))</f>
        <v>0</v>
      </c>
      <c r="AC401" s="306">
        <f t="shared" si="102"/>
        <v>0</v>
      </c>
      <c r="AD401" s="314">
        <f t="shared" si="93"/>
        <v>0</v>
      </c>
      <c r="AE401" s="315">
        <f t="shared" si="103"/>
        <v>0</v>
      </c>
      <c r="AF401" s="316">
        <f t="shared" si="94"/>
        <v>0</v>
      </c>
      <c r="AG401" s="314">
        <v>1</v>
      </c>
      <c r="AH401" s="314">
        <f t="shared" si="104"/>
        <v>0</v>
      </c>
      <c r="AI401" s="314">
        <f t="shared" si="105"/>
        <v>0</v>
      </c>
      <c r="AJ401" s="317"/>
      <c r="AK401" s="315" t="e">
        <f t="shared" si="106"/>
        <v>#N/A</v>
      </c>
      <c r="AM401" s="561"/>
      <c r="AN401" s="561"/>
      <c r="AO401" s="561"/>
    </row>
    <row r="402" spans="2:41">
      <c r="B402" s="296"/>
      <c r="C402" s="299"/>
      <c r="D402" s="296"/>
      <c r="E402" s="298"/>
      <c r="F402" s="299"/>
      <c r="G402" s="300"/>
      <c r="H402" s="303"/>
      <c r="I402" s="303"/>
      <c r="J402" s="322">
        <f t="shared" si="92"/>
        <v>0</v>
      </c>
      <c r="K402" s="305" t="e">
        <f>IF(F402="MXN",1/HLOOKUP(YEAR(G402)+(MONTH(G402)/100),TC!$5:$37,DAY(G402)+2,FALSE),VLOOKUP(F402,Equivalencia!$5:$23,((MAX(Equivalencia!$3:$3)-YEAR(G402))*14)+MONTH(G402)+2,FALSE))</f>
        <v>#N/A</v>
      </c>
      <c r="L402" s="306" t="e">
        <f t="shared" si="95"/>
        <v>#N/A</v>
      </c>
      <c r="M402" s="305">
        <f>IF(G402=0,0,HLOOKUP(YEAR(G402)+(MONTH(G402)/100),TC!$5:$37,DAY(G402)+2,FALSE))</f>
        <v>0</v>
      </c>
      <c r="N402" s="306" t="e">
        <f t="shared" si="96"/>
        <v>#N/A</v>
      </c>
      <c r="O402" s="308">
        <f>IF(G402=0,0,VLOOKUP(YEAR(G402),INPC!$B$4:$P$30,MONTH(G402)+2))</f>
        <v>0</v>
      </c>
      <c r="P402" s="308">
        <f>IF(W402=0,0,IF(OR(C402=$AQ$5,C402=AQ406),VLOOKUP(YEAR(W402),INPC!$B$4:$P$30,MONTH(W402)+1),VLOOKUP(YEAR(W402),INPC!$B$4:$P$30,MONTH(W402)+2)))</f>
        <v>0</v>
      </c>
      <c r="Q402" s="309">
        <f t="shared" si="97"/>
        <v>0</v>
      </c>
      <c r="R402" s="310" t="e">
        <f t="shared" si="98"/>
        <v>#N/A</v>
      </c>
      <c r="S402" s="310">
        <f t="shared" si="99"/>
        <v>0</v>
      </c>
      <c r="T402" s="567" t="str">
        <f t="shared" si="100"/>
        <v>NO</v>
      </c>
      <c r="U402" s="323"/>
      <c r="V402" s="299"/>
      <c r="W402" s="300"/>
      <c r="X402" s="299"/>
      <c r="Y402" s="303"/>
      <c r="Z402" s="305">
        <f>IF(Y402=0,0,IF(X402="MXN",1/HLOOKUP(YEAR(W402)+(MONTH(W402)/100),TC!$5:$37,DAY(W402)+2,FALSE),VLOOKUP(X402,Equivalencia!$1:$23,((MAX(Equivalencia!$3:$3)-YEAR(W402))*14)+MONTH(W402)+2,FALSE)))</f>
        <v>0</v>
      </c>
      <c r="AA402" s="306">
        <f t="shared" si="101"/>
        <v>0</v>
      </c>
      <c r="AB402" s="305">
        <f>+IF(W402=0,0,HLOOKUP(YEAR(W402)+(MONTH(W402)/100),TC!$5:$37,DAY(W402)+2,FALSE))</f>
        <v>0</v>
      </c>
      <c r="AC402" s="306">
        <f t="shared" si="102"/>
        <v>0</v>
      </c>
      <c r="AD402" s="314">
        <f t="shared" si="93"/>
        <v>0</v>
      </c>
      <c r="AE402" s="315">
        <f t="shared" si="103"/>
        <v>0</v>
      </c>
      <c r="AF402" s="316">
        <f t="shared" si="94"/>
        <v>0</v>
      </c>
      <c r="AG402" s="314">
        <v>1</v>
      </c>
      <c r="AH402" s="314">
        <f t="shared" si="104"/>
        <v>0</v>
      </c>
      <c r="AI402" s="314">
        <f t="shared" si="105"/>
        <v>0</v>
      </c>
      <c r="AJ402" s="317"/>
      <c r="AK402" s="315" t="e">
        <f t="shared" si="106"/>
        <v>#N/A</v>
      </c>
      <c r="AM402" s="561"/>
      <c r="AN402" s="561"/>
      <c r="AO402" s="561"/>
    </row>
    <row r="403" spans="2:41">
      <c r="B403" s="296"/>
      <c r="C403" s="299"/>
      <c r="D403" s="296"/>
      <c r="E403" s="298"/>
      <c r="F403" s="299"/>
      <c r="G403" s="300"/>
      <c r="H403" s="303"/>
      <c r="I403" s="303"/>
      <c r="J403" s="322">
        <f t="shared" si="92"/>
        <v>0</v>
      </c>
      <c r="K403" s="305" t="e">
        <f>IF(F403="MXN",1/HLOOKUP(YEAR(G403)+(MONTH(G403)/100),TC!$5:$37,DAY(G403)+2,FALSE),VLOOKUP(F403,Equivalencia!$5:$23,((MAX(Equivalencia!$3:$3)-YEAR(G403))*14)+MONTH(G403)+2,FALSE))</f>
        <v>#N/A</v>
      </c>
      <c r="L403" s="306" t="e">
        <f t="shared" si="95"/>
        <v>#N/A</v>
      </c>
      <c r="M403" s="305">
        <f>IF(G403=0,0,HLOOKUP(YEAR(G403)+(MONTH(G403)/100),TC!$5:$37,DAY(G403)+2,FALSE))</f>
        <v>0</v>
      </c>
      <c r="N403" s="306" t="e">
        <f t="shared" si="96"/>
        <v>#N/A</v>
      </c>
      <c r="O403" s="308">
        <f>IF(G403=0,0,VLOOKUP(YEAR(G403),INPC!$B$4:$P$30,MONTH(G403)+2))</f>
        <v>0</v>
      </c>
      <c r="P403" s="308">
        <f>IF(W403=0,0,IF(OR(C403=$AQ$5,C403=AQ407),VLOOKUP(YEAR(W403),INPC!$B$4:$P$30,MONTH(W403)+1),VLOOKUP(YEAR(W403),INPC!$B$4:$P$30,MONTH(W403)+2)))</f>
        <v>0</v>
      </c>
      <c r="Q403" s="309">
        <f t="shared" si="97"/>
        <v>0</v>
      </c>
      <c r="R403" s="310" t="e">
        <f t="shared" si="98"/>
        <v>#N/A</v>
      </c>
      <c r="S403" s="310">
        <f t="shared" si="99"/>
        <v>0</v>
      </c>
      <c r="T403" s="567" t="str">
        <f t="shared" si="100"/>
        <v>NO</v>
      </c>
      <c r="U403" s="323"/>
      <c r="V403" s="299"/>
      <c r="W403" s="300"/>
      <c r="X403" s="299"/>
      <c r="Y403" s="303"/>
      <c r="Z403" s="305">
        <f>IF(Y403=0,0,IF(X403="MXN",1/HLOOKUP(YEAR(W403)+(MONTH(W403)/100),TC!$5:$37,DAY(W403)+2,FALSE),VLOOKUP(X403,Equivalencia!$1:$23,((MAX(Equivalencia!$3:$3)-YEAR(W403))*14)+MONTH(W403)+2,FALSE)))</f>
        <v>0</v>
      </c>
      <c r="AA403" s="306">
        <f t="shared" si="101"/>
        <v>0</v>
      </c>
      <c r="AB403" s="305">
        <f>+IF(W403=0,0,HLOOKUP(YEAR(W403)+(MONTH(W403)/100),TC!$5:$37,DAY(W403)+2,FALSE))</f>
        <v>0</v>
      </c>
      <c r="AC403" s="306">
        <f t="shared" si="102"/>
        <v>0</v>
      </c>
      <c r="AD403" s="314">
        <f t="shared" si="93"/>
        <v>0</v>
      </c>
      <c r="AE403" s="315">
        <f t="shared" si="103"/>
        <v>0</v>
      </c>
      <c r="AF403" s="316">
        <f t="shared" si="94"/>
        <v>0</v>
      </c>
      <c r="AG403" s="314">
        <v>1</v>
      </c>
      <c r="AH403" s="314">
        <f t="shared" si="104"/>
        <v>0</v>
      </c>
      <c r="AI403" s="314">
        <f t="shared" si="105"/>
        <v>0</v>
      </c>
      <c r="AJ403" s="317"/>
      <c r="AK403" s="315" t="e">
        <f t="shared" si="106"/>
        <v>#N/A</v>
      </c>
      <c r="AM403" s="561"/>
      <c r="AN403" s="561"/>
      <c r="AO403" s="561"/>
    </row>
    <row r="404" spans="2:41">
      <c r="B404" s="296"/>
      <c r="C404" s="299"/>
      <c r="D404" s="296"/>
      <c r="E404" s="298"/>
      <c r="F404" s="299"/>
      <c r="G404" s="300"/>
      <c r="H404" s="303"/>
      <c r="I404" s="303"/>
      <c r="J404" s="322">
        <f t="shared" si="92"/>
        <v>0</v>
      </c>
      <c r="K404" s="305" t="e">
        <f>IF(F404="MXN",1/HLOOKUP(YEAR(G404)+(MONTH(G404)/100),TC!$5:$37,DAY(G404)+2,FALSE),VLOOKUP(F404,Equivalencia!$5:$23,((MAX(Equivalencia!$3:$3)-YEAR(G404))*14)+MONTH(G404)+2,FALSE))</f>
        <v>#N/A</v>
      </c>
      <c r="L404" s="306" t="e">
        <f t="shared" si="95"/>
        <v>#N/A</v>
      </c>
      <c r="M404" s="305">
        <f>IF(G404=0,0,HLOOKUP(YEAR(G404)+(MONTH(G404)/100),TC!$5:$37,DAY(G404)+2,FALSE))</f>
        <v>0</v>
      </c>
      <c r="N404" s="306" t="e">
        <f t="shared" si="96"/>
        <v>#N/A</v>
      </c>
      <c r="O404" s="308">
        <f>IF(G404=0,0,VLOOKUP(YEAR(G404),INPC!$B$4:$P$30,MONTH(G404)+2))</f>
        <v>0</v>
      </c>
      <c r="P404" s="308">
        <f>IF(W404=0,0,IF(OR(C404=$AQ$5,C404=AQ408),VLOOKUP(YEAR(W404),INPC!$B$4:$P$30,MONTH(W404)+1),VLOOKUP(YEAR(W404),INPC!$B$4:$P$30,MONTH(W404)+2)))</f>
        <v>0</v>
      </c>
      <c r="Q404" s="309">
        <f t="shared" si="97"/>
        <v>0</v>
      </c>
      <c r="R404" s="310" t="e">
        <f t="shared" si="98"/>
        <v>#N/A</v>
      </c>
      <c r="S404" s="310">
        <f t="shared" si="99"/>
        <v>0</v>
      </c>
      <c r="T404" s="567" t="str">
        <f t="shared" si="100"/>
        <v>NO</v>
      </c>
      <c r="U404" s="323"/>
      <c r="V404" s="299"/>
      <c r="W404" s="300"/>
      <c r="X404" s="299"/>
      <c r="Y404" s="303"/>
      <c r="Z404" s="305">
        <f>IF(Y404=0,0,IF(X404="MXN",1/HLOOKUP(YEAR(W404)+(MONTH(W404)/100),TC!$5:$37,DAY(W404)+2,FALSE),VLOOKUP(X404,Equivalencia!$1:$23,((MAX(Equivalencia!$3:$3)-YEAR(W404))*14)+MONTH(W404)+2,FALSE)))</f>
        <v>0</v>
      </c>
      <c r="AA404" s="306">
        <f t="shared" si="101"/>
        <v>0</v>
      </c>
      <c r="AB404" s="305">
        <f>+IF(W404=0,0,HLOOKUP(YEAR(W404)+(MONTH(W404)/100),TC!$5:$37,DAY(W404)+2,FALSE))</f>
        <v>0</v>
      </c>
      <c r="AC404" s="306">
        <f t="shared" si="102"/>
        <v>0</v>
      </c>
      <c r="AD404" s="314">
        <f t="shared" si="93"/>
        <v>0</v>
      </c>
      <c r="AE404" s="315">
        <f t="shared" si="103"/>
        <v>0</v>
      </c>
      <c r="AF404" s="316">
        <f t="shared" si="94"/>
        <v>0</v>
      </c>
      <c r="AG404" s="314">
        <v>1</v>
      </c>
      <c r="AH404" s="314">
        <f t="shared" si="104"/>
        <v>0</v>
      </c>
      <c r="AI404" s="314">
        <f t="shared" si="105"/>
        <v>0</v>
      </c>
      <c r="AJ404" s="317"/>
      <c r="AK404" s="315" t="e">
        <f t="shared" si="106"/>
        <v>#N/A</v>
      </c>
      <c r="AM404" s="561"/>
      <c r="AN404" s="561"/>
      <c r="AO404" s="561"/>
    </row>
    <row r="405" spans="2:41">
      <c r="B405" s="296"/>
      <c r="C405" s="299"/>
      <c r="D405" s="296"/>
      <c r="E405" s="298"/>
      <c r="F405" s="299"/>
      <c r="G405" s="300"/>
      <c r="H405" s="303"/>
      <c r="I405" s="303"/>
      <c r="J405" s="322">
        <f t="shared" si="92"/>
        <v>0</v>
      </c>
      <c r="K405" s="305" t="e">
        <f>IF(F405="MXN",1/HLOOKUP(YEAR(G405)+(MONTH(G405)/100),TC!$5:$37,DAY(G405)+2,FALSE),VLOOKUP(F405,Equivalencia!$5:$23,((MAX(Equivalencia!$3:$3)-YEAR(G405))*14)+MONTH(G405)+2,FALSE))</f>
        <v>#N/A</v>
      </c>
      <c r="L405" s="306" t="e">
        <f t="shared" si="95"/>
        <v>#N/A</v>
      </c>
      <c r="M405" s="305">
        <f>IF(G405=0,0,HLOOKUP(YEAR(G405)+(MONTH(G405)/100),TC!$5:$37,DAY(G405)+2,FALSE))</f>
        <v>0</v>
      </c>
      <c r="N405" s="306" t="e">
        <f t="shared" si="96"/>
        <v>#N/A</v>
      </c>
      <c r="O405" s="308">
        <f>IF(G405=0,0,VLOOKUP(YEAR(G405),INPC!$B$4:$P$30,MONTH(G405)+2))</f>
        <v>0</v>
      </c>
      <c r="P405" s="308">
        <f>IF(W405=0,0,IF(OR(C405=$AQ$5,C405=AQ409),VLOOKUP(YEAR(W405),INPC!$B$4:$P$30,MONTH(W405)+1),VLOOKUP(YEAR(W405),INPC!$B$4:$P$30,MONTH(W405)+2)))</f>
        <v>0</v>
      </c>
      <c r="Q405" s="309">
        <f t="shared" si="97"/>
        <v>0</v>
      </c>
      <c r="R405" s="310" t="e">
        <f t="shared" si="98"/>
        <v>#N/A</v>
      </c>
      <c r="S405" s="310">
        <f t="shared" si="99"/>
        <v>0</v>
      </c>
      <c r="T405" s="567" t="str">
        <f t="shared" si="100"/>
        <v>NO</v>
      </c>
      <c r="U405" s="323"/>
      <c r="V405" s="299"/>
      <c r="W405" s="300"/>
      <c r="X405" s="299"/>
      <c r="Y405" s="303"/>
      <c r="Z405" s="305">
        <f>IF(Y405=0,0,IF(X405="MXN",1/HLOOKUP(YEAR(W405)+(MONTH(W405)/100),TC!$5:$37,DAY(W405)+2,FALSE),VLOOKUP(X405,Equivalencia!$1:$23,((MAX(Equivalencia!$3:$3)-YEAR(W405))*14)+MONTH(W405)+2,FALSE)))</f>
        <v>0</v>
      </c>
      <c r="AA405" s="306">
        <f t="shared" si="101"/>
        <v>0</v>
      </c>
      <c r="AB405" s="305">
        <f>+IF(W405=0,0,HLOOKUP(YEAR(W405)+(MONTH(W405)/100),TC!$5:$37,DAY(W405)+2,FALSE))</f>
        <v>0</v>
      </c>
      <c r="AC405" s="306">
        <f t="shared" si="102"/>
        <v>0</v>
      </c>
      <c r="AD405" s="314">
        <f t="shared" si="93"/>
        <v>0</v>
      </c>
      <c r="AE405" s="315">
        <f t="shared" si="103"/>
        <v>0</v>
      </c>
      <c r="AF405" s="316">
        <f t="shared" si="94"/>
        <v>0</v>
      </c>
      <c r="AG405" s="314">
        <v>1</v>
      </c>
      <c r="AH405" s="314">
        <f t="shared" si="104"/>
        <v>0</v>
      </c>
      <c r="AI405" s="314">
        <f t="shared" si="105"/>
        <v>0</v>
      </c>
      <c r="AJ405" s="317"/>
      <c r="AK405" s="315" t="e">
        <f t="shared" si="106"/>
        <v>#N/A</v>
      </c>
      <c r="AM405" s="561"/>
      <c r="AN405" s="561"/>
      <c r="AO405" s="561"/>
    </row>
    <row r="406" spans="2:41">
      <c r="B406" s="296"/>
      <c r="C406" s="299"/>
      <c r="D406" s="296"/>
      <c r="E406" s="298"/>
      <c r="F406" s="299"/>
      <c r="G406" s="300"/>
      <c r="H406" s="303"/>
      <c r="I406" s="303"/>
      <c r="J406" s="322">
        <f t="shared" si="92"/>
        <v>0</v>
      </c>
      <c r="K406" s="305" t="e">
        <f>IF(F406="MXN",1/HLOOKUP(YEAR(G406)+(MONTH(G406)/100),TC!$5:$37,DAY(G406)+2,FALSE),VLOOKUP(F406,Equivalencia!$5:$23,((MAX(Equivalencia!$3:$3)-YEAR(G406))*14)+MONTH(G406)+2,FALSE))</f>
        <v>#N/A</v>
      </c>
      <c r="L406" s="306" t="e">
        <f t="shared" si="95"/>
        <v>#N/A</v>
      </c>
      <c r="M406" s="305">
        <f>IF(G406=0,0,HLOOKUP(YEAR(G406)+(MONTH(G406)/100),TC!$5:$37,DAY(G406)+2,FALSE))</f>
        <v>0</v>
      </c>
      <c r="N406" s="306" t="e">
        <f t="shared" si="96"/>
        <v>#N/A</v>
      </c>
      <c r="O406" s="308">
        <f>IF(G406=0,0,VLOOKUP(YEAR(G406),INPC!$B$4:$P$30,MONTH(G406)+2))</f>
        <v>0</v>
      </c>
      <c r="P406" s="308">
        <f>IF(W406=0,0,IF(OR(C406=$AQ$5,C406=AQ410),VLOOKUP(YEAR(W406),INPC!$B$4:$P$30,MONTH(W406)+1),VLOOKUP(YEAR(W406),INPC!$B$4:$P$30,MONTH(W406)+2)))</f>
        <v>0</v>
      </c>
      <c r="Q406" s="309">
        <f t="shared" si="97"/>
        <v>0</v>
      </c>
      <c r="R406" s="310" t="e">
        <f t="shared" si="98"/>
        <v>#N/A</v>
      </c>
      <c r="S406" s="310">
        <f t="shared" si="99"/>
        <v>0</v>
      </c>
      <c r="T406" s="567" t="str">
        <f t="shared" si="100"/>
        <v>NO</v>
      </c>
      <c r="U406" s="323"/>
      <c r="V406" s="299"/>
      <c r="W406" s="300"/>
      <c r="X406" s="299"/>
      <c r="Y406" s="303"/>
      <c r="Z406" s="305">
        <f>IF(Y406=0,0,IF(X406="MXN",1/HLOOKUP(YEAR(W406)+(MONTH(W406)/100),TC!$5:$37,DAY(W406)+2,FALSE),VLOOKUP(X406,Equivalencia!$1:$23,((MAX(Equivalencia!$3:$3)-YEAR(W406))*14)+MONTH(W406)+2,FALSE)))</f>
        <v>0</v>
      </c>
      <c r="AA406" s="306">
        <f t="shared" si="101"/>
        <v>0</v>
      </c>
      <c r="AB406" s="305">
        <f>+IF(W406=0,0,HLOOKUP(YEAR(W406)+(MONTH(W406)/100),TC!$5:$37,DAY(W406)+2,FALSE))</f>
        <v>0</v>
      </c>
      <c r="AC406" s="306">
        <f t="shared" si="102"/>
        <v>0</v>
      </c>
      <c r="AD406" s="314">
        <f t="shared" si="93"/>
        <v>0</v>
      </c>
      <c r="AE406" s="315">
        <f t="shared" si="103"/>
        <v>0</v>
      </c>
      <c r="AF406" s="316">
        <f t="shared" si="94"/>
        <v>0</v>
      </c>
      <c r="AG406" s="314">
        <v>1</v>
      </c>
      <c r="AH406" s="314">
        <f t="shared" si="104"/>
        <v>0</v>
      </c>
      <c r="AI406" s="314">
        <f t="shared" si="105"/>
        <v>0</v>
      </c>
      <c r="AJ406" s="317"/>
      <c r="AK406" s="315" t="e">
        <f t="shared" si="106"/>
        <v>#N/A</v>
      </c>
      <c r="AM406" s="561"/>
      <c r="AN406" s="561"/>
      <c r="AO406" s="561"/>
    </row>
    <row r="407" spans="2:41">
      <c r="B407" s="296"/>
      <c r="C407" s="299"/>
      <c r="D407" s="296"/>
      <c r="E407" s="298"/>
      <c r="F407" s="299"/>
      <c r="G407" s="300"/>
      <c r="H407" s="303"/>
      <c r="I407" s="303"/>
      <c r="J407" s="322">
        <f t="shared" si="92"/>
        <v>0</v>
      </c>
      <c r="K407" s="305" t="e">
        <f>IF(F407="MXN",1/HLOOKUP(YEAR(G407)+(MONTH(G407)/100),TC!$5:$37,DAY(G407)+2,FALSE),VLOOKUP(F407,Equivalencia!$5:$23,((MAX(Equivalencia!$3:$3)-YEAR(G407))*14)+MONTH(G407)+2,FALSE))</f>
        <v>#N/A</v>
      </c>
      <c r="L407" s="306" t="e">
        <f t="shared" si="95"/>
        <v>#N/A</v>
      </c>
      <c r="M407" s="305">
        <f>IF(G407=0,0,HLOOKUP(YEAR(G407)+(MONTH(G407)/100),TC!$5:$37,DAY(G407)+2,FALSE))</f>
        <v>0</v>
      </c>
      <c r="N407" s="306" t="e">
        <f t="shared" si="96"/>
        <v>#N/A</v>
      </c>
      <c r="O407" s="308">
        <f>IF(G407=0,0,VLOOKUP(YEAR(G407),INPC!$B$4:$P$30,MONTH(G407)+2))</f>
        <v>0</v>
      </c>
      <c r="P407" s="308">
        <f>IF(W407=0,0,IF(OR(C407=$AQ$5,C407=AQ411),VLOOKUP(YEAR(W407),INPC!$B$4:$P$30,MONTH(W407)+1),VLOOKUP(YEAR(W407),INPC!$B$4:$P$30,MONTH(W407)+2)))</f>
        <v>0</v>
      </c>
      <c r="Q407" s="309">
        <f t="shared" si="97"/>
        <v>0</v>
      </c>
      <c r="R407" s="310" t="e">
        <f t="shared" si="98"/>
        <v>#N/A</v>
      </c>
      <c r="S407" s="310">
        <f t="shared" si="99"/>
        <v>0</v>
      </c>
      <c r="T407" s="567" t="str">
        <f t="shared" si="100"/>
        <v>NO</v>
      </c>
      <c r="U407" s="323"/>
      <c r="V407" s="299"/>
      <c r="W407" s="300"/>
      <c r="X407" s="299"/>
      <c r="Y407" s="303"/>
      <c r="Z407" s="305">
        <f>IF(Y407=0,0,IF(X407="MXN",1/HLOOKUP(YEAR(W407)+(MONTH(W407)/100),TC!$5:$37,DAY(W407)+2,FALSE),VLOOKUP(X407,Equivalencia!$1:$23,((MAX(Equivalencia!$3:$3)-YEAR(W407))*14)+MONTH(W407)+2,FALSE)))</f>
        <v>0</v>
      </c>
      <c r="AA407" s="306">
        <f t="shared" si="101"/>
        <v>0</v>
      </c>
      <c r="AB407" s="305">
        <f>+IF(W407=0,0,HLOOKUP(YEAR(W407)+(MONTH(W407)/100),TC!$5:$37,DAY(W407)+2,FALSE))</f>
        <v>0</v>
      </c>
      <c r="AC407" s="306">
        <f t="shared" si="102"/>
        <v>0</v>
      </c>
      <c r="AD407" s="314">
        <f t="shared" si="93"/>
        <v>0</v>
      </c>
      <c r="AE407" s="315">
        <f t="shared" si="103"/>
        <v>0</v>
      </c>
      <c r="AF407" s="316">
        <f t="shared" si="94"/>
        <v>0</v>
      </c>
      <c r="AG407" s="314">
        <v>1</v>
      </c>
      <c r="AH407" s="314">
        <f t="shared" si="104"/>
        <v>0</v>
      </c>
      <c r="AI407" s="314">
        <f t="shared" si="105"/>
        <v>0</v>
      </c>
      <c r="AJ407" s="317"/>
      <c r="AK407" s="315" t="e">
        <f t="shared" si="106"/>
        <v>#N/A</v>
      </c>
      <c r="AM407" s="561"/>
      <c r="AN407" s="561"/>
      <c r="AO407" s="561"/>
    </row>
    <row r="408" spans="2:41">
      <c r="B408" s="296"/>
      <c r="C408" s="299"/>
      <c r="D408" s="296"/>
      <c r="E408" s="298"/>
      <c r="F408" s="299"/>
      <c r="G408" s="300"/>
      <c r="H408" s="303"/>
      <c r="I408" s="303"/>
      <c r="J408" s="322">
        <f t="shared" si="92"/>
        <v>0</v>
      </c>
      <c r="K408" s="305" t="e">
        <f>IF(F408="MXN",1/HLOOKUP(YEAR(G408)+(MONTH(G408)/100),TC!$5:$37,DAY(G408)+2,FALSE),VLOOKUP(F408,Equivalencia!$5:$23,((MAX(Equivalencia!$3:$3)-YEAR(G408))*14)+MONTH(G408)+2,FALSE))</f>
        <v>#N/A</v>
      </c>
      <c r="L408" s="306" t="e">
        <f t="shared" si="95"/>
        <v>#N/A</v>
      </c>
      <c r="M408" s="305">
        <f>IF(G408=0,0,HLOOKUP(YEAR(G408)+(MONTH(G408)/100),TC!$5:$37,DAY(G408)+2,FALSE))</f>
        <v>0</v>
      </c>
      <c r="N408" s="306" t="e">
        <f t="shared" si="96"/>
        <v>#N/A</v>
      </c>
      <c r="O408" s="308">
        <f>IF(G408=0,0,VLOOKUP(YEAR(G408),INPC!$B$4:$P$30,MONTH(G408)+2))</f>
        <v>0</v>
      </c>
      <c r="P408" s="308">
        <f>IF(W408=0,0,IF(OR(C408=$AQ$5,C408=AQ412),VLOOKUP(YEAR(W408),INPC!$B$4:$P$30,MONTH(W408)+1),VLOOKUP(YEAR(W408),INPC!$B$4:$P$30,MONTH(W408)+2)))</f>
        <v>0</v>
      </c>
      <c r="Q408" s="309">
        <f t="shared" si="97"/>
        <v>0</v>
      </c>
      <c r="R408" s="310" t="e">
        <f t="shared" si="98"/>
        <v>#N/A</v>
      </c>
      <c r="S408" s="310">
        <f t="shared" si="99"/>
        <v>0</v>
      </c>
      <c r="T408" s="567" t="str">
        <f t="shared" si="100"/>
        <v>NO</v>
      </c>
      <c r="U408" s="323"/>
      <c r="V408" s="299"/>
      <c r="W408" s="300"/>
      <c r="X408" s="299"/>
      <c r="Y408" s="303"/>
      <c r="Z408" s="305">
        <f>IF(Y408=0,0,IF(X408="MXN",1/HLOOKUP(YEAR(W408)+(MONTH(W408)/100),TC!$5:$37,DAY(W408)+2,FALSE),VLOOKUP(X408,Equivalencia!$1:$23,((MAX(Equivalencia!$3:$3)-YEAR(W408))*14)+MONTH(W408)+2,FALSE)))</f>
        <v>0</v>
      </c>
      <c r="AA408" s="306">
        <f t="shared" si="101"/>
        <v>0</v>
      </c>
      <c r="AB408" s="305">
        <f>+IF(W408=0,0,HLOOKUP(YEAR(W408)+(MONTH(W408)/100),TC!$5:$37,DAY(W408)+2,FALSE))</f>
        <v>0</v>
      </c>
      <c r="AC408" s="306">
        <f t="shared" si="102"/>
        <v>0</v>
      </c>
      <c r="AD408" s="314">
        <f t="shared" si="93"/>
        <v>0</v>
      </c>
      <c r="AE408" s="315">
        <f t="shared" si="103"/>
        <v>0</v>
      </c>
      <c r="AF408" s="316">
        <f t="shared" si="94"/>
        <v>0</v>
      </c>
      <c r="AG408" s="314">
        <v>1</v>
      </c>
      <c r="AH408" s="314">
        <f t="shared" si="104"/>
        <v>0</v>
      </c>
      <c r="AI408" s="314">
        <f t="shared" si="105"/>
        <v>0</v>
      </c>
      <c r="AJ408" s="317"/>
      <c r="AK408" s="315" t="e">
        <f t="shared" si="106"/>
        <v>#N/A</v>
      </c>
      <c r="AM408" s="561"/>
      <c r="AN408" s="561"/>
      <c r="AO408" s="561"/>
    </row>
    <row r="409" spans="2:41">
      <c r="B409" s="296"/>
      <c r="C409" s="299"/>
      <c r="D409" s="296"/>
      <c r="E409" s="298"/>
      <c r="F409" s="299"/>
      <c r="G409" s="300"/>
      <c r="H409" s="303"/>
      <c r="I409" s="303"/>
      <c r="J409" s="322">
        <f t="shared" si="92"/>
        <v>0</v>
      </c>
      <c r="K409" s="305" t="e">
        <f>IF(F409="MXN",1/HLOOKUP(YEAR(G409)+(MONTH(G409)/100),TC!$5:$37,DAY(G409)+2,FALSE),VLOOKUP(F409,Equivalencia!$5:$23,((MAX(Equivalencia!$3:$3)-YEAR(G409))*14)+MONTH(G409)+2,FALSE))</f>
        <v>#N/A</v>
      </c>
      <c r="L409" s="306" t="e">
        <f t="shared" si="95"/>
        <v>#N/A</v>
      </c>
      <c r="M409" s="305">
        <f>IF(G409=0,0,HLOOKUP(YEAR(G409)+(MONTH(G409)/100),TC!$5:$37,DAY(G409)+2,FALSE))</f>
        <v>0</v>
      </c>
      <c r="N409" s="306" t="e">
        <f t="shared" si="96"/>
        <v>#N/A</v>
      </c>
      <c r="O409" s="308">
        <f>IF(G409=0,0,VLOOKUP(YEAR(G409),INPC!$B$4:$P$30,MONTH(G409)+2))</f>
        <v>0</v>
      </c>
      <c r="P409" s="308">
        <f>IF(W409=0,0,IF(OR(C409=$AQ$5,C409=AQ413),VLOOKUP(YEAR(W409),INPC!$B$4:$P$30,MONTH(W409)+1),VLOOKUP(YEAR(W409),INPC!$B$4:$P$30,MONTH(W409)+2)))</f>
        <v>0</v>
      </c>
      <c r="Q409" s="309">
        <f t="shared" si="97"/>
        <v>0</v>
      </c>
      <c r="R409" s="310" t="e">
        <f t="shared" si="98"/>
        <v>#N/A</v>
      </c>
      <c r="S409" s="310">
        <f t="shared" si="99"/>
        <v>0</v>
      </c>
      <c r="T409" s="567" t="str">
        <f t="shared" si="100"/>
        <v>NO</v>
      </c>
      <c r="U409" s="323"/>
      <c r="V409" s="299"/>
      <c r="W409" s="300"/>
      <c r="X409" s="299"/>
      <c r="Y409" s="303"/>
      <c r="Z409" s="305">
        <f>IF(Y409=0,0,IF(X409="MXN",1/HLOOKUP(YEAR(W409)+(MONTH(W409)/100),TC!$5:$37,DAY(W409)+2,FALSE),VLOOKUP(X409,Equivalencia!$1:$23,((MAX(Equivalencia!$3:$3)-YEAR(W409))*14)+MONTH(W409)+2,FALSE)))</f>
        <v>0</v>
      </c>
      <c r="AA409" s="306">
        <f t="shared" si="101"/>
        <v>0</v>
      </c>
      <c r="AB409" s="305">
        <f>+IF(W409=0,0,HLOOKUP(YEAR(W409)+(MONTH(W409)/100),TC!$5:$37,DAY(W409)+2,FALSE))</f>
        <v>0</v>
      </c>
      <c r="AC409" s="306">
        <f t="shared" si="102"/>
        <v>0</v>
      </c>
      <c r="AD409" s="314">
        <f t="shared" si="93"/>
        <v>0</v>
      </c>
      <c r="AE409" s="315">
        <f t="shared" si="103"/>
        <v>0</v>
      </c>
      <c r="AF409" s="316">
        <f t="shared" si="94"/>
        <v>0</v>
      </c>
      <c r="AG409" s="314">
        <v>1</v>
      </c>
      <c r="AH409" s="314">
        <f t="shared" si="104"/>
        <v>0</v>
      </c>
      <c r="AI409" s="314">
        <f t="shared" si="105"/>
        <v>0</v>
      </c>
      <c r="AJ409" s="317"/>
      <c r="AK409" s="315" t="e">
        <f t="shared" si="106"/>
        <v>#N/A</v>
      </c>
      <c r="AM409" s="561"/>
      <c r="AN409" s="561"/>
      <c r="AO409" s="561"/>
    </row>
    <row r="410" spans="2:41">
      <c r="B410" s="296"/>
      <c r="C410" s="299"/>
      <c r="D410" s="296"/>
      <c r="E410" s="298"/>
      <c r="F410" s="299"/>
      <c r="G410" s="300"/>
      <c r="H410" s="303"/>
      <c r="I410" s="303"/>
      <c r="J410" s="322">
        <f t="shared" si="92"/>
        <v>0</v>
      </c>
      <c r="K410" s="305" t="e">
        <f>IF(F410="MXN",1/HLOOKUP(YEAR(G410)+(MONTH(G410)/100),TC!$5:$37,DAY(G410)+2,FALSE),VLOOKUP(F410,Equivalencia!$5:$23,((MAX(Equivalencia!$3:$3)-YEAR(G410))*14)+MONTH(G410)+2,FALSE))</f>
        <v>#N/A</v>
      </c>
      <c r="L410" s="306" t="e">
        <f t="shared" si="95"/>
        <v>#N/A</v>
      </c>
      <c r="M410" s="305">
        <f>IF(G410=0,0,HLOOKUP(YEAR(G410)+(MONTH(G410)/100),TC!$5:$37,DAY(G410)+2,FALSE))</f>
        <v>0</v>
      </c>
      <c r="N410" s="306" t="e">
        <f t="shared" si="96"/>
        <v>#N/A</v>
      </c>
      <c r="O410" s="308">
        <f>IF(G410=0,0,VLOOKUP(YEAR(G410),INPC!$B$4:$P$30,MONTH(G410)+2))</f>
        <v>0</v>
      </c>
      <c r="P410" s="308">
        <f>IF(W410=0,0,IF(OR(C410=$AQ$5,C410=AQ414),VLOOKUP(YEAR(W410),INPC!$B$4:$P$30,MONTH(W410)+1),VLOOKUP(YEAR(W410),INPC!$B$4:$P$30,MONTH(W410)+2)))</f>
        <v>0</v>
      </c>
      <c r="Q410" s="309">
        <f t="shared" si="97"/>
        <v>0</v>
      </c>
      <c r="R410" s="310" t="e">
        <f t="shared" si="98"/>
        <v>#N/A</v>
      </c>
      <c r="S410" s="310">
        <f t="shared" si="99"/>
        <v>0</v>
      </c>
      <c r="T410" s="567" t="str">
        <f t="shared" si="100"/>
        <v>NO</v>
      </c>
      <c r="U410" s="323"/>
      <c r="V410" s="299"/>
      <c r="W410" s="300"/>
      <c r="X410" s="299"/>
      <c r="Y410" s="303"/>
      <c r="Z410" s="305">
        <f>IF(Y410=0,0,IF(X410="MXN",1/HLOOKUP(YEAR(W410)+(MONTH(W410)/100),TC!$5:$37,DAY(W410)+2,FALSE),VLOOKUP(X410,Equivalencia!$1:$23,((MAX(Equivalencia!$3:$3)-YEAR(W410))*14)+MONTH(W410)+2,FALSE)))</f>
        <v>0</v>
      </c>
      <c r="AA410" s="306">
        <f t="shared" si="101"/>
        <v>0</v>
      </c>
      <c r="AB410" s="305">
        <f>+IF(W410=0,0,HLOOKUP(YEAR(W410)+(MONTH(W410)/100),TC!$5:$37,DAY(W410)+2,FALSE))</f>
        <v>0</v>
      </c>
      <c r="AC410" s="306">
        <f t="shared" si="102"/>
        <v>0</v>
      </c>
      <c r="AD410" s="314">
        <f t="shared" si="93"/>
        <v>0</v>
      </c>
      <c r="AE410" s="315">
        <f t="shared" si="103"/>
        <v>0</v>
      </c>
      <c r="AF410" s="316">
        <f t="shared" si="94"/>
        <v>0</v>
      </c>
      <c r="AG410" s="314">
        <v>1</v>
      </c>
      <c r="AH410" s="314">
        <f t="shared" si="104"/>
        <v>0</v>
      </c>
      <c r="AI410" s="314">
        <f t="shared" si="105"/>
        <v>0</v>
      </c>
      <c r="AJ410" s="317"/>
      <c r="AK410" s="315" t="e">
        <f t="shared" si="106"/>
        <v>#N/A</v>
      </c>
      <c r="AM410" s="561"/>
      <c r="AN410" s="561"/>
      <c r="AO410" s="561"/>
    </row>
    <row r="411" spans="2:41">
      <c r="B411" s="296"/>
      <c r="C411" s="299"/>
      <c r="D411" s="296"/>
      <c r="E411" s="298"/>
      <c r="F411" s="299"/>
      <c r="G411" s="300"/>
      <c r="H411" s="303"/>
      <c r="I411" s="303"/>
      <c r="J411" s="322">
        <f t="shared" si="92"/>
        <v>0</v>
      </c>
      <c r="K411" s="305" t="e">
        <f>IF(F411="MXN",1/HLOOKUP(YEAR(G411)+(MONTH(G411)/100),TC!$5:$37,DAY(G411)+2,FALSE),VLOOKUP(F411,Equivalencia!$5:$23,((MAX(Equivalencia!$3:$3)-YEAR(G411))*14)+MONTH(G411)+2,FALSE))</f>
        <v>#N/A</v>
      </c>
      <c r="L411" s="306" t="e">
        <f t="shared" si="95"/>
        <v>#N/A</v>
      </c>
      <c r="M411" s="305">
        <f>IF(G411=0,0,HLOOKUP(YEAR(G411)+(MONTH(G411)/100),TC!$5:$37,DAY(G411)+2,FALSE))</f>
        <v>0</v>
      </c>
      <c r="N411" s="306" t="e">
        <f t="shared" si="96"/>
        <v>#N/A</v>
      </c>
      <c r="O411" s="308">
        <f>IF(G411=0,0,VLOOKUP(YEAR(G411),INPC!$B$4:$P$30,MONTH(G411)+2))</f>
        <v>0</v>
      </c>
      <c r="P411" s="308">
        <f>IF(W411=0,0,IF(OR(C411=$AQ$5,C411=AQ415),VLOOKUP(YEAR(W411),INPC!$B$4:$P$30,MONTH(W411)+1),VLOOKUP(YEAR(W411),INPC!$B$4:$P$30,MONTH(W411)+2)))</f>
        <v>0</v>
      </c>
      <c r="Q411" s="309">
        <f t="shared" si="97"/>
        <v>0</v>
      </c>
      <c r="R411" s="310" t="e">
        <f t="shared" si="98"/>
        <v>#N/A</v>
      </c>
      <c r="S411" s="310">
        <f t="shared" si="99"/>
        <v>0</v>
      </c>
      <c r="T411" s="567" t="str">
        <f t="shared" si="100"/>
        <v>NO</v>
      </c>
      <c r="U411" s="323"/>
      <c r="V411" s="299"/>
      <c r="W411" s="300"/>
      <c r="X411" s="299"/>
      <c r="Y411" s="303"/>
      <c r="Z411" s="305">
        <f>IF(Y411=0,0,IF(X411="MXN",1/HLOOKUP(YEAR(W411)+(MONTH(W411)/100),TC!$5:$37,DAY(W411)+2,FALSE),VLOOKUP(X411,Equivalencia!$1:$23,((MAX(Equivalencia!$3:$3)-YEAR(W411))*14)+MONTH(W411)+2,FALSE)))</f>
        <v>0</v>
      </c>
      <c r="AA411" s="306">
        <f t="shared" si="101"/>
        <v>0</v>
      </c>
      <c r="AB411" s="305">
        <f>+IF(W411=0,0,HLOOKUP(YEAR(W411)+(MONTH(W411)/100),TC!$5:$37,DAY(W411)+2,FALSE))</f>
        <v>0</v>
      </c>
      <c r="AC411" s="306">
        <f t="shared" si="102"/>
        <v>0</v>
      </c>
      <c r="AD411" s="314">
        <f t="shared" si="93"/>
        <v>0</v>
      </c>
      <c r="AE411" s="315">
        <f t="shared" si="103"/>
        <v>0</v>
      </c>
      <c r="AF411" s="316">
        <f t="shared" si="94"/>
        <v>0</v>
      </c>
      <c r="AG411" s="314">
        <v>1</v>
      </c>
      <c r="AH411" s="314">
        <f t="shared" si="104"/>
        <v>0</v>
      </c>
      <c r="AI411" s="314">
        <f t="shared" si="105"/>
        <v>0</v>
      </c>
      <c r="AJ411" s="317"/>
      <c r="AK411" s="315" t="e">
        <f t="shared" si="106"/>
        <v>#N/A</v>
      </c>
      <c r="AM411" s="561"/>
      <c r="AN411" s="561"/>
      <c r="AO411" s="561"/>
    </row>
    <row r="412" spans="2:41">
      <c r="B412" s="296"/>
      <c r="C412" s="299"/>
      <c r="D412" s="296"/>
      <c r="E412" s="298"/>
      <c r="F412" s="299"/>
      <c r="G412" s="300"/>
      <c r="H412" s="303"/>
      <c r="I412" s="303"/>
      <c r="J412" s="322">
        <f t="shared" si="92"/>
        <v>0</v>
      </c>
      <c r="K412" s="305" t="e">
        <f>IF(F412="MXN",1/HLOOKUP(YEAR(G412)+(MONTH(G412)/100),TC!$5:$37,DAY(G412)+2,FALSE),VLOOKUP(F412,Equivalencia!$5:$23,((MAX(Equivalencia!$3:$3)-YEAR(G412))*14)+MONTH(G412)+2,FALSE))</f>
        <v>#N/A</v>
      </c>
      <c r="L412" s="306" t="e">
        <f t="shared" si="95"/>
        <v>#N/A</v>
      </c>
      <c r="M412" s="305">
        <f>IF(G412=0,0,HLOOKUP(YEAR(G412)+(MONTH(G412)/100),TC!$5:$37,DAY(G412)+2,FALSE))</f>
        <v>0</v>
      </c>
      <c r="N412" s="306" t="e">
        <f t="shared" si="96"/>
        <v>#N/A</v>
      </c>
      <c r="O412" s="308">
        <f>IF(G412=0,0,VLOOKUP(YEAR(G412),INPC!$B$4:$P$30,MONTH(G412)+2))</f>
        <v>0</v>
      </c>
      <c r="P412" s="308">
        <f>IF(W412=0,0,IF(OR(C412=$AQ$5,C412=AQ416),VLOOKUP(YEAR(W412),INPC!$B$4:$P$30,MONTH(W412)+1),VLOOKUP(YEAR(W412),INPC!$B$4:$P$30,MONTH(W412)+2)))</f>
        <v>0</v>
      </c>
      <c r="Q412" s="309">
        <f t="shared" si="97"/>
        <v>0</v>
      </c>
      <c r="R412" s="310" t="e">
        <f t="shared" si="98"/>
        <v>#N/A</v>
      </c>
      <c r="S412" s="310">
        <f t="shared" si="99"/>
        <v>0</v>
      </c>
      <c r="T412" s="567" t="str">
        <f t="shared" si="100"/>
        <v>NO</v>
      </c>
      <c r="U412" s="323"/>
      <c r="V412" s="299"/>
      <c r="W412" s="300"/>
      <c r="X412" s="299"/>
      <c r="Y412" s="303"/>
      <c r="Z412" s="305">
        <f>IF(Y412=0,0,IF(X412="MXN",1/HLOOKUP(YEAR(W412)+(MONTH(W412)/100),TC!$5:$37,DAY(W412)+2,FALSE),VLOOKUP(X412,Equivalencia!$1:$23,((MAX(Equivalencia!$3:$3)-YEAR(W412))*14)+MONTH(W412)+2,FALSE)))</f>
        <v>0</v>
      </c>
      <c r="AA412" s="306">
        <f t="shared" si="101"/>
        <v>0</v>
      </c>
      <c r="AB412" s="305">
        <f>+IF(W412=0,0,HLOOKUP(YEAR(W412)+(MONTH(W412)/100),TC!$5:$37,DAY(W412)+2,FALSE))</f>
        <v>0</v>
      </c>
      <c r="AC412" s="306">
        <f t="shared" si="102"/>
        <v>0</v>
      </c>
      <c r="AD412" s="314">
        <f t="shared" si="93"/>
        <v>0</v>
      </c>
      <c r="AE412" s="315">
        <f t="shared" si="103"/>
        <v>0</v>
      </c>
      <c r="AF412" s="316">
        <f t="shared" si="94"/>
        <v>0</v>
      </c>
      <c r="AG412" s="314">
        <v>1</v>
      </c>
      <c r="AH412" s="314">
        <f t="shared" si="104"/>
        <v>0</v>
      </c>
      <c r="AI412" s="314">
        <f t="shared" si="105"/>
        <v>0</v>
      </c>
      <c r="AJ412" s="317"/>
      <c r="AK412" s="315" t="e">
        <f t="shared" si="106"/>
        <v>#N/A</v>
      </c>
      <c r="AM412" s="561"/>
      <c r="AN412" s="561"/>
      <c r="AO412" s="561"/>
    </row>
    <row r="413" spans="2:41">
      <c r="B413" s="296"/>
      <c r="C413" s="299"/>
      <c r="D413" s="296"/>
      <c r="E413" s="298"/>
      <c r="F413" s="299"/>
      <c r="G413" s="300"/>
      <c r="H413" s="303"/>
      <c r="I413" s="303"/>
      <c r="J413" s="322">
        <f t="shared" si="92"/>
        <v>0</v>
      </c>
      <c r="K413" s="305" t="e">
        <f>IF(F413="MXN",1/HLOOKUP(YEAR(G413)+(MONTH(G413)/100),TC!$5:$37,DAY(G413)+2,FALSE),VLOOKUP(F413,Equivalencia!$5:$23,((MAX(Equivalencia!$3:$3)-YEAR(G413))*14)+MONTH(G413)+2,FALSE))</f>
        <v>#N/A</v>
      </c>
      <c r="L413" s="306" t="e">
        <f t="shared" si="95"/>
        <v>#N/A</v>
      </c>
      <c r="M413" s="305">
        <f>IF(G413=0,0,HLOOKUP(YEAR(G413)+(MONTH(G413)/100),TC!$5:$37,DAY(G413)+2,FALSE))</f>
        <v>0</v>
      </c>
      <c r="N413" s="306" t="e">
        <f t="shared" si="96"/>
        <v>#N/A</v>
      </c>
      <c r="O413" s="308">
        <f>IF(G413=0,0,VLOOKUP(YEAR(G413),INPC!$B$4:$P$30,MONTH(G413)+2))</f>
        <v>0</v>
      </c>
      <c r="P413" s="308">
        <f>IF(W413=0,0,IF(OR(C413=$AQ$5,C413=AQ417),VLOOKUP(YEAR(W413),INPC!$B$4:$P$30,MONTH(W413)+1),VLOOKUP(YEAR(W413),INPC!$B$4:$P$30,MONTH(W413)+2)))</f>
        <v>0</v>
      </c>
      <c r="Q413" s="309">
        <f t="shared" si="97"/>
        <v>0</v>
      </c>
      <c r="R413" s="310" t="e">
        <f t="shared" si="98"/>
        <v>#N/A</v>
      </c>
      <c r="S413" s="310">
        <f t="shared" si="99"/>
        <v>0</v>
      </c>
      <c r="T413" s="567" t="str">
        <f t="shared" si="100"/>
        <v>NO</v>
      </c>
      <c r="U413" s="323"/>
      <c r="V413" s="299"/>
      <c r="W413" s="300"/>
      <c r="X413" s="299"/>
      <c r="Y413" s="303"/>
      <c r="Z413" s="305">
        <f>IF(Y413=0,0,IF(X413="MXN",1/HLOOKUP(YEAR(W413)+(MONTH(W413)/100),TC!$5:$37,DAY(W413)+2,FALSE),VLOOKUP(X413,Equivalencia!$1:$23,((MAX(Equivalencia!$3:$3)-YEAR(W413))*14)+MONTH(W413)+2,FALSE)))</f>
        <v>0</v>
      </c>
      <c r="AA413" s="306">
        <f t="shared" si="101"/>
        <v>0</v>
      </c>
      <c r="AB413" s="305">
        <f>+IF(W413=0,0,HLOOKUP(YEAR(W413)+(MONTH(W413)/100),TC!$5:$37,DAY(W413)+2,FALSE))</f>
        <v>0</v>
      </c>
      <c r="AC413" s="306">
        <f t="shared" si="102"/>
        <v>0</v>
      </c>
      <c r="AD413" s="314">
        <f t="shared" si="93"/>
        <v>0</v>
      </c>
      <c r="AE413" s="315">
        <f t="shared" si="103"/>
        <v>0</v>
      </c>
      <c r="AF413" s="316">
        <f t="shared" si="94"/>
        <v>0</v>
      </c>
      <c r="AG413" s="314">
        <v>1</v>
      </c>
      <c r="AH413" s="314">
        <f t="shared" si="104"/>
        <v>0</v>
      </c>
      <c r="AI413" s="314">
        <f t="shared" si="105"/>
        <v>0</v>
      </c>
      <c r="AJ413" s="317"/>
      <c r="AK413" s="315" t="e">
        <f t="shared" si="106"/>
        <v>#N/A</v>
      </c>
      <c r="AM413" s="561"/>
      <c r="AN413" s="561"/>
      <c r="AO413" s="561"/>
    </row>
    <row r="414" spans="2:41">
      <c r="B414" s="296"/>
      <c r="C414" s="299"/>
      <c r="D414" s="296"/>
      <c r="E414" s="298"/>
      <c r="F414" s="299"/>
      <c r="G414" s="300"/>
      <c r="H414" s="303"/>
      <c r="I414" s="303"/>
      <c r="J414" s="322">
        <f t="shared" si="92"/>
        <v>0</v>
      </c>
      <c r="K414" s="305" t="e">
        <f>IF(F414="MXN",1/HLOOKUP(YEAR(G414)+(MONTH(G414)/100),TC!$5:$37,DAY(G414)+2,FALSE),VLOOKUP(F414,Equivalencia!$5:$23,((MAX(Equivalencia!$3:$3)-YEAR(G414))*14)+MONTH(G414)+2,FALSE))</f>
        <v>#N/A</v>
      </c>
      <c r="L414" s="306" t="e">
        <f t="shared" si="95"/>
        <v>#N/A</v>
      </c>
      <c r="M414" s="305">
        <f>IF(G414=0,0,HLOOKUP(YEAR(G414)+(MONTH(G414)/100),TC!$5:$37,DAY(G414)+2,FALSE))</f>
        <v>0</v>
      </c>
      <c r="N414" s="306" t="e">
        <f t="shared" si="96"/>
        <v>#N/A</v>
      </c>
      <c r="O414" s="308">
        <f>IF(G414=0,0,VLOOKUP(YEAR(G414),INPC!$B$4:$P$30,MONTH(G414)+2))</f>
        <v>0</v>
      </c>
      <c r="P414" s="308">
        <f>IF(W414=0,0,IF(OR(C414=$AQ$5,C414=AQ418),VLOOKUP(YEAR(W414),INPC!$B$4:$P$30,MONTH(W414)+1),VLOOKUP(YEAR(W414),INPC!$B$4:$P$30,MONTH(W414)+2)))</f>
        <v>0</v>
      </c>
      <c r="Q414" s="309">
        <f t="shared" si="97"/>
        <v>0</v>
      </c>
      <c r="R414" s="310" t="e">
        <f t="shared" si="98"/>
        <v>#N/A</v>
      </c>
      <c r="S414" s="310">
        <f t="shared" si="99"/>
        <v>0</v>
      </c>
      <c r="T414" s="567" t="str">
        <f t="shared" si="100"/>
        <v>NO</v>
      </c>
      <c r="U414" s="323"/>
      <c r="V414" s="299"/>
      <c r="W414" s="300"/>
      <c r="X414" s="299"/>
      <c r="Y414" s="303"/>
      <c r="Z414" s="305">
        <f>IF(Y414=0,0,IF(X414="MXN",1/HLOOKUP(YEAR(W414)+(MONTH(W414)/100),TC!$5:$37,DAY(W414)+2,FALSE),VLOOKUP(X414,Equivalencia!$1:$23,((MAX(Equivalencia!$3:$3)-YEAR(W414))*14)+MONTH(W414)+2,FALSE)))</f>
        <v>0</v>
      </c>
      <c r="AA414" s="306">
        <f t="shared" si="101"/>
        <v>0</v>
      </c>
      <c r="AB414" s="305">
        <f>+IF(W414=0,0,HLOOKUP(YEAR(W414)+(MONTH(W414)/100),TC!$5:$37,DAY(W414)+2,FALSE))</f>
        <v>0</v>
      </c>
      <c r="AC414" s="306">
        <f t="shared" si="102"/>
        <v>0</v>
      </c>
      <c r="AD414" s="314">
        <f t="shared" si="93"/>
        <v>0</v>
      </c>
      <c r="AE414" s="315">
        <f t="shared" si="103"/>
        <v>0</v>
      </c>
      <c r="AF414" s="316">
        <f t="shared" si="94"/>
        <v>0</v>
      </c>
      <c r="AG414" s="314">
        <v>1</v>
      </c>
      <c r="AH414" s="314">
        <f t="shared" si="104"/>
        <v>0</v>
      </c>
      <c r="AI414" s="314">
        <f t="shared" si="105"/>
        <v>0</v>
      </c>
      <c r="AJ414" s="317"/>
      <c r="AK414" s="315" t="e">
        <f t="shared" si="106"/>
        <v>#N/A</v>
      </c>
      <c r="AM414" s="561"/>
      <c r="AN414" s="561"/>
      <c r="AO414" s="561"/>
    </row>
    <row r="415" spans="2:41">
      <c r="B415" s="296"/>
      <c r="C415" s="299"/>
      <c r="D415" s="296"/>
      <c r="E415" s="298"/>
      <c r="F415" s="299"/>
      <c r="G415" s="300"/>
      <c r="H415" s="303"/>
      <c r="I415" s="303"/>
      <c r="J415" s="322">
        <f t="shared" si="92"/>
        <v>0</v>
      </c>
      <c r="K415" s="305" t="e">
        <f>IF(F415="MXN",1/HLOOKUP(YEAR(G415)+(MONTH(G415)/100),TC!$5:$37,DAY(G415)+2,FALSE),VLOOKUP(F415,Equivalencia!$5:$23,((MAX(Equivalencia!$3:$3)-YEAR(G415))*14)+MONTH(G415)+2,FALSE))</f>
        <v>#N/A</v>
      </c>
      <c r="L415" s="306" t="e">
        <f t="shared" si="95"/>
        <v>#N/A</v>
      </c>
      <c r="M415" s="305">
        <f>IF(G415=0,0,HLOOKUP(YEAR(G415)+(MONTH(G415)/100),TC!$5:$37,DAY(G415)+2,FALSE))</f>
        <v>0</v>
      </c>
      <c r="N415" s="306" t="e">
        <f t="shared" si="96"/>
        <v>#N/A</v>
      </c>
      <c r="O415" s="308">
        <f>IF(G415=0,0,VLOOKUP(YEAR(G415),INPC!$B$4:$P$30,MONTH(G415)+2))</f>
        <v>0</v>
      </c>
      <c r="P415" s="308">
        <f>IF(W415=0,0,IF(OR(C415=$AQ$5,C415=AQ419),VLOOKUP(YEAR(W415),INPC!$B$4:$P$30,MONTH(W415)+1),VLOOKUP(YEAR(W415),INPC!$B$4:$P$30,MONTH(W415)+2)))</f>
        <v>0</v>
      </c>
      <c r="Q415" s="309">
        <f t="shared" si="97"/>
        <v>0</v>
      </c>
      <c r="R415" s="310" t="e">
        <f t="shared" si="98"/>
        <v>#N/A</v>
      </c>
      <c r="S415" s="310">
        <f t="shared" si="99"/>
        <v>0</v>
      </c>
      <c r="T415" s="567" t="str">
        <f t="shared" si="100"/>
        <v>NO</v>
      </c>
      <c r="U415" s="323"/>
      <c r="V415" s="299"/>
      <c r="W415" s="300"/>
      <c r="X415" s="299"/>
      <c r="Y415" s="303"/>
      <c r="Z415" s="305">
        <f>IF(Y415=0,0,IF(X415="MXN",1/HLOOKUP(YEAR(W415)+(MONTH(W415)/100),TC!$5:$37,DAY(W415)+2,FALSE),VLOOKUP(X415,Equivalencia!$1:$23,((MAX(Equivalencia!$3:$3)-YEAR(W415))*14)+MONTH(W415)+2,FALSE)))</f>
        <v>0</v>
      </c>
      <c r="AA415" s="306">
        <f t="shared" si="101"/>
        <v>0</v>
      </c>
      <c r="AB415" s="305">
        <f>+IF(W415=0,0,HLOOKUP(YEAR(W415)+(MONTH(W415)/100),TC!$5:$37,DAY(W415)+2,FALSE))</f>
        <v>0</v>
      </c>
      <c r="AC415" s="306">
        <f t="shared" si="102"/>
        <v>0</v>
      </c>
      <c r="AD415" s="314">
        <f t="shared" si="93"/>
        <v>0</v>
      </c>
      <c r="AE415" s="315">
        <f t="shared" si="103"/>
        <v>0</v>
      </c>
      <c r="AF415" s="316">
        <f t="shared" si="94"/>
        <v>0</v>
      </c>
      <c r="AG415" s="314">
        <v>1</v>
      </c>
      <c r="AH415" s="314">
        <f t="shared" si="104"/>
        <v>0</v>
      </c>
      <c r="AI415" s="314">
        <f t="shared" si="105"/>
        <v>0</v>
      </c>
      <c r="AJ415" s="317"/>
      <c r="AK415" s="315" t="e">
        <f t="shared" si="106"/>
        <v>#N/A</v>
      </c>
      <c r="AM415" s="561"/>
      <c r="AN415" s="561"/>
      <c r="AO415" s="561"/>
    </row>
    <row r="416" spans="2:41">
      <c r="B416" s="296"/>
      <c r="C416" s="299"/>
      <c r="D416" s="296"/>
      <c r="E416" s="298"/>
      <c r="F416" s="299"/>
      <c r="G416" s="300"/>
      <c r="H416" s="303"/>
      <c r="I416" s="303"/>
      <c r="J416" s="322">
        <f t="shared" si="92"/>
        <v>0</v>
      </c>
      <c r="K416" s="305" t="e">
        <f>IF(F416="MXN",1/HLOOKUP(YEAR(G416)+(MONTH(G416)/100),TC!$5:$37,DAY(G416)+2,FALSE),VLOOKUP(F416,Equivalencia!$5:$23,((MAX(Equivalencia!$3:$3)-YEAR(G416))*14)+MONTH(G416)+2,FALSE))</f>
        <v>#N/A</v>
      </c>
      <c r="L416" s="306" t="e">
        <f t="shared" si="95"/>
        <v>#N/A</v>
      </c>
      <c r="M416" s="305">
        <f>IF(G416=0,0,HLOOKUP(YEAR(G416)+(MONTH(G416)/100),TC!$5:$37,DAY(G416)+2,FALSE))</f>
        <v>0</v>
      </c>
      <c r="N416" s="306" t="e">
        <f t="shared" si="96"/>
        <v>#N/A</v>
      </c>
      <c r="O416" s="308">
        <f>IF(G416=0,0,VLOOKUP(YEAR(G416),INPC!$B$4:$P$30,MONTH(G416)+2))</f>
        <v>0</v>
      </c>
      <c r="P416" s="308">
        <f>IF(W416=0,0,IF(OR(C416=$AQ$5,C416=AQ420),VLOOKUP(YEAR(W416),INPC!$B$4:$P$30,MONTH(W416)+1),VLOOKUP(YEAR(W416),INPC!$B$4:$P$30,MONTH(W416)+2)))</f>
        <v>0</v>
      </c>
      <c r="Q416" s="309">
        <f t="shared" si="97"/>
        <v>0</v>
      </c>
      <c r="R416" s="310" t="e">
        <f t="shared" si="98"/>
        <v>#N/A</v>
      </c>
      <c r="S416" s="310">
        <f t="shared" si="99"/>
        <v>0</v>
      </c>
      <c r="T416" s="567" t="str">
        <f t="shared" si="100"/>
        <v>NO</v>
      </c>
      <c r="U416" s="323"/>
      <c r="V416" s="299"/>
      <c r="W416" s="300"/>
      <c r="X416" s="299"/>
      <c r="Y416" s="303"/>
      <c r="Z416" s="305">
        <f>IF(Y416=0,0,IF(X416="MXN",1/HLOOKUP(YEAR(W416)+(MONTH(W416)/100),TC!$5:$37,DAY(W416)+2,FALSE),VLOOKUP(X416,Equivalencia!$1:$23,((MAX(Equivalencia!$3:$3)-YEAR(W416))*14)+MONTH(W416)+2,FALSE)))</f>
        <v>0</v>
      </c>
      <c r="AA416" s="306">
        <f t="shared" si="101"/>
        <v>0</v>
      </c>
      <c r="AB416" s="305">
        <f>+IF(W416=0,0,HLOOKUP(YEAR(W416)+(MONTH(W416)/100),TC!$5:$37,DAY(W416)+2,FALSE))</f>
        <v>0</v>
      </c>
      <c r="AC416" s="306">
        <f t="shared" si="102"/>
        <v>0</v>
      </c>
      <c r="AD416" s="314">
        <f t="shared" si="93"/>
        <v>0</v>
      </c>
      <c r="AE416" s="315">
        <f t="shared" si="103"/>
        <v>0</v>
      </c>
      <c r="AF416" s="316">
        <f t="shared" si="94"/>
        <v>0</v>
      </c>
      <c r="AG416" s="314">
        <v>1</v>
      </c>
      <c r="AH416" s="314">
        <f t="shared" si="104"/>
        <v>0</v>
      </c>
      <c r="AI416" s="314">
        <f t="shared" si="105"/>
        <v>0</v>
      </c>
      <c r="AJ416" s="317"/>
      <c r="AK416" s="315" t="e">
        <f t="shared" si="106"/>
        <v>#N/A</v>
      </c>
      <c r="AM416" s="561"/>
      <c r="AN416" s="561"/>
      <c r="AO416" s="561"/>
    </row>
    <row r="417" spans="2:41">
      <c r="B417" s="296"/>
      <c r="C417" s="299"/>
      <c r="D417" s="296"/>
      <c r="E417" s="298"/>
      <c r="F417" s="299"/>
      <c r="G417" s="300"/>
      <c r="H417" s="303"/>
      <c r="I417" s="303"/>
      <c r="J417" s="322">
        <f t="shared" si="92"/>
        <v>0</v>
      </c>
      <c r="K417" s="305" t="e">
        <f>IF(F417="MXN",1/HLOOKUP(YEAR(G417)+(MONTH(G417)/100),TC!$5:$37,DAY(G417)+2,FALSE),VLOOKUP(F417,Equivalencia!$5:$23,((MAX(Equivalencia!$3:$3)-YEAR(G417))*14)+MONTH(G417)+2,FALSE))</f>
        <v>#N/A</v>
      </c>
      <c r="L417" s="306" t="e">
        <f t="shared" si="95"/>
        <v>#N/A</v>
      </c>
      <c r="M417" s="305">
        <f>IF(G417=0,0,HLOOKUP(YEAR(G417)+(MONTH(G417)/100),TC!$5:$37,DAY(G417)+2,FALSE))</f>
        <v>0</v>
      </c>
      <c r="N417" s="306" t="e">
        <f t="shared" si="96"/>
        <v>#N/A</v>
      </c>
      <c r="O417" s="308">
        <f>IF(G417=0,0,VLOOKUP(YEAR(G417),INPC!$B$4:$P$30,MONTH(G417)+2))</f>
        <v>0</v>
      </c>
      <c r="P417" s="308">
        <f>IF(W417=0,0,IF(OR(C417=$AQ$5,C417=AQ421),VLOOKUP(YEAR(W417),INPC!$B$4:$P$30,MONTH(W417)+1),VLOOKUP(YEAR(W417),INPC!$B$4:$P$30,MONTH(W417)+2)))</f>
        <v>0</v>
      </c>
      <c r="Q417" s="309">
        <f t="shared" si="97"/>
        <v>0</v>
      </c>
      <c r="R417" s="310" t="e">
        <f t="shared" si="98"/>
        <v>#N/A</v>
      </c>
      <c r="S417" s="310">
        <f t="shared" si="99"/>
        <v>0</v>
      </c>
      <c r="T417" s="567" t="str">
        <f t="shared" si="100"/>
        <v>NO</v>
      </c>
      <c r="U417" s="323"/>
      <c r="V417" s="299"/>
      <c r="W417" s="300"/>
      <c r="X417" s="299"/>
      <c r="Y417" s="303"/>
      <c r="Z417" s="305">
        <f>IF(Y417=0,0,IF(X417="MXN",1/HLOOKUP(YEAR(W417)+(MONTH(W417)/100),TC!$5:$37,DAY(W417)+2,FALSE),VLOOKUP(X417,Equivalencia!$1:$23,((MAX(Equivalencia!$3:$3)-YEAR(W417))*14)+MONTH(W417)+2,FALSE)))</f>
        <v>0</v>
      </c>
      <c r="AA417" s="306">
        <f t="shared" si="101"/>
        <v>0</v>
      </c>
      <c r="AB417" s="305">
        <f>+IF(W417=0,0,HLOOKUP(YEAR(W417)+(MONTH(W417)/100),TC!$5:$37,DAY(W417)+2,FALSE))</f>
        <v>0</v>
      </c>
      <c r="AC417" s="306">
        <f t="shared" si="102"/>
        <v>0</v>
      </c>
      <c r="AD417" s="314">
        <f t="shared" si="93"/>
        <v>0</v>
      </c>
      <c r="AE417" s="315">
        <f t="shared" si="103"/>
        <v>0</v>
      </c>
      <c r="AF417" s="316">
        <f t="shared" si="94"/>
        <v>0</v>
      </c>
      <c r="AG417" s="314">
        <v>1</v>
      </c>
      <c r="AH417" s="314">
        <f t="shared" si="104"/>
        <v>0</v>
      </c>
      <c r="AI417" s="314">
        <f t="shared" si="105"/>
        <v>0</v>
      </c>
      <c r="AJ417" s="317"/>
      <c r="AK417" s="315" t="e">
        <f t="shared" si="106"/>
        <v>#N/A</v>
      </c>
      <c r="AM417" s="561"/>
      <c r="AN417" s="561"/>
      <c r="AO417" s="561"/>
    </row>
    <row r="418" spans="2:41">
      <c r="B418" s="296"/>
      <c r="C418" s="299"/>
      <c r="D418" s="296"/>
      <c r="E418" s="298"/>
      <c r="F418" s="299"/>
      <c r="G418" s="300"/>
      <c r="H418" s="303"/>
      <c r="I418" s="303"/>
      <c r="J418" s="322">
        <f t="shared" si="92"/>
        <v>0</v>
      </c>
      <c r="K418" s="305" t="e">
        <f>IF(F418="MXN",1/HLOOKUP(YEAR(G418)+(MONTH(G418)/100),TC!$5:$37,DAY(G418)+2,FALSE),VLOOKUP(F418,Equivalencia!$5:$23,((MAX(Equivalencia!$3:$3)-YEAR(G418))*14)+MONTH(G418)+2,FALSE))</f>
        <v>#N/A</v>
      </c>
      <c r="L418" s="306" t="e">
        <f t="shared" si="95"/>
        <v>#N/A</v>
      </c>
      <c r="M418" s="305">
        <f>IF(G418=0,0,HLOOKUP(YEAR(G418)+(MONTH(G418)/100),TC!$5:$37,DAY(G418)+2,FALSE))</f>
        <v>0</v>
      </c>
      <c r="N418" s="306" t="e">
        <f t="shared" si="96"/>
        <v>#N/A</v>
      </c>
      <c r="O418" s="308">
        <f>IF(G418=0,0,VLOOKUP(YEAR(G418),INPC!$B$4:$P$30,MONTH(G418)+2))</f>
        <v>0</v>
      </c>
      <c r="P418" s="308">
        <f>IF(W418=0,0,IF(OR(C418=$AQ$5,C418=AQ422),VLOOKUP(YEAR(W418),INPC!$B$4:$P$30,MONTH(W418)+1),VLOOKUP(YEAR(W418),INPC!$B$4:$P$30,MONTH(W418)+2)))</f>
        <v>0</v>
      </c>
      <c r="Q418" s="309">
        <f t="shared" si="97"/>
        <v>0</v>
      </c>
      <c r="R418" s="310" t="e">
        <f t="shared" si="98"/>
        <v>#N/A</v>
      </c>
      <c r="S418" s="310">
        <f t="shared" si="99"/>
        <v>0</v>
      </c>
      <c r="T418" s="567" t="str">
        <f t="shared" si="100"/>
        <v>NO</v>
      </c>
      <c r="U418" s="323"/>
      <c r="V418" s="299"/>
      <c r="W418" s="300"/>
      <c r="X418" s="299"/>
      <c r="Y418" s="303"/>
      <c r="Z418" s="305">
        <f>IF(Y418=0,0,IF(X418="MXN",1/HLOOKUP(YEAR(W418)+(MONTH(W418)/100),TC!$5:$37,DAY(W418)+2,FALSE),VLOOKUP(X418,Equivalencia!$1:$23,((MAX(Equivalencia!$3:$3)-YEAR(W418))*14)+MONTH(W418)+2,FALSE)))</f>
        <v>0</v>
      </c>
      <c r="AA418" s="306">
        <f t="shared" si="101"/>
        <v>0</v>
      </c>
      <c r="AB418" s="305">
        <f>+IF(W418=0,0,HLOOKUP(YEAR(W418)+(MONTH(W418)/100),TC!$5:$37,DAY(W418)+2,FALSE))</f>
        <v>0</v>
      </c>
      <c r="AC418" s="306">
        <f t="shared" si="102"/>
        <v>0</v>
      </c>
      <c r="AD418" s="314">
        <f t="shared" si="93"/>
        <v>0</v>
      </c>
      <c r="AE418" s="315">
        <f t="shared" si="103"/>
        <v>0</v>
      </c>
      <c r="AF418" s="316">
        <f t="shared" si="94"/>
        <v>0</v>
      </c>
      <c r="AG418" s="314">
        <v>1</v>
      </c>
      <c r="AH418" s="314">
        <f t="shared" si="104"/>
        <v>0</v>
      </c>
      <c r="AI418" s="314">
        <f t="shared" si="105"/>
        <v>0</v>
      </c>
      <c r="AJ418" s="317"/>
      <c r="AK418" s="315" t="e">
        <f t="shared" si="106"/>
        <v>#N/A</v>
      </c>
      <c r="AM418" s="561"/>
      <c r="AN418" s="561"/>
      <c r="AO418" s="561"/>
    </row>
    <row r="419" spans="2:41">
      <c r="B419" s="296"/>
      <c r="C419" s="299"/>
      <c r="D419" s="296"/>
      <c r="E419" s="298"/>
      <c r="F419" s="299"/>
      <c r="G419" s="300"/>
      <c r="H419" s="303"/>
      <c r="I419" s="303"/>
      <c r="J419" s="322">
        <f t="shared" si="92"/>
        <v>0</v>
      </c>
      <c r="K419" s="305" t="e">
        <f>IF(F419="MXN",1/HLOOKUP(YEAR(G419)+(MONTH(G419)/100),TC!$5:$37,DAY(G419)+2,FALSE),VLOOKUP(F419,Equivalencia!$5:$23,((MAX(Equivalencia!$3:$3)-YEAR(G419))*14)+MONTH(G419)+2,FALSE))</f>
        <v>#N/A</v>
      </c>
      <c r="L419" s="306" t="e">
        <f t="shared" si="95"/>
        <v>#N/A</v>
      </c>
      <c r="M419" s="305">
        <f>IF(G419=0,0,HLOOKUP(YEAR(G419)+(MONTH(G419)/100),TC!$5:$37,DAY(G419)+2,FALSE))</f>
        <v>0</v>
      </c>
      <c r="N419" s="306" t="e">
        <f t="shared" si="96"/>
        <v>#N/A</v>
      </c>
      <c r="O419" s="308">
        <f>IF(G419=0,0,VLOOKUP(YEAR(G419),INPC!$B$4:$P$30,MONTH(G419)+2))</f>
        <v>0</v>
      </c>
      <c r="P419" s="308">
        <f>IF(W419=0,0,IF(OR(C419=$AQ$5,C419=AQ423),VLOOKUP(YEAR(W419),INPC!$B$4:$P$30,MONTH(W419)+1),VLOOKUP(YEAR(W419),INPC!$B$4:$P$30,MONTH(W419)+2)))</f>
        <v>0</v>
      </c>
      <c r="Q419" s="309">
        <f t="shared" si="97"/>
        <v>0</v>
      </c>
      <c r="R419" s="310" t="e">
        <f t="shared" si="98"/>
        <v>#N/A</v>
      </c>
      <c r="S419" s="310">
        <f t="shared" si="99"/>
        <v>0</v>
      </c>
      <c r="T419" s="567" t="str">
        <f t="shared" si="100"/>
        <v>NO</v>
      </c>
      <c r="U419" s="323"/>
      <c r="V419" s="299"/>
      <c r="W419" s="300"/>
      <c r="X419" s="299"/>
      <c r="Y419" s="303"/>
      <c r="Z419" s="305">
        <f>IF(Y419=0,0,IF(X419="MXN",1/HLOOKUP(YEAR(W419)+(MONTH(W419)/100),TC!$5:$37,DAY(W419)+2,FALSE),VLOOKUP(X419,Equivalencia!$1:$23,((MAX(Equivalencia!$3:$3)-YEAR(W419))*14)+MONTH(W419)+2,FALSE)))</f>
        <v>0</v>
      </c>
      <c r="AA419" s="306">
        <f t="shared" si="101"/>
        <v>0</v>
      </c>
      <c r="AB419" s="305">
        <f>+IF(W419=0,0,HLOOKUP(YEAR(W419)+(MONTH(W419)/100),TC!$5:$37,DAY(W419)+2,FALSE))</f>
        <v>0</v>
      </c>
      <c r="AC419" s="306">
        <f t="shared" si="102"/>
        <v>0</v>
      </c>
      <c r="AD419" s="314">
        <f t="shared" si="93"/>
        <v>0</v>
      </c>
      <c r="AE419" s="315">
        <f t="shared" si="103"/>
        <v>0</v>
      </c>
      <c r="AF419" s="316">
        <f t="shared" si="94"/>
        <v>0</v>
      </c>
      <c r="AG419" s="314">
        <v>1</v>
      </c>
      <c r="AH419" s="314">
        <f t="shared" si="104"/>
        <v>0</v>
      </c>
      <c r="AI419" s="314">
        <f t="shared" si="105"/>
        <v>0</v>
      </c>
      <c r="AJ419" s="317"/>
      <c r="AK419" s="315" t="e">
        <f t="shared" si="106"/>
        <v>#N/A</v>
      </c>
      <c r="AM419" s="561"/>
      <c r="AN419" s="561"/>
      <c r="AO419" s="561"/>
    </row>
    <row r="420" spans="2:41">
      <c r="B420" s="296"/>
      <c r="C420" s="299"/>
      <c r="D420" s="296"/>
      <c r="E420" s="298"/>
      <c r="F420" s="299"/>
      <c r="G420" s="300"/>
      <c r="H420" s="303"/>
      <c r="I420" s="303"/>
      <c r="J420" s="322">
        <f t="shared" si="92"/>
        <v>0</v>
      </c>
      <c r="K420" s="305" t="e">
        <f>IF(F420="MXN",1/HLOOKUP(YEAR(G420)+(MONTH(G420)/100),TC!$5:$37,DAY(G420)+2,FALSE),VLOOKUP(F420,Equivalencia!$5:$23,((MAX(Equivalencia!$3:$3)-YEAR(G420))*14)+MONTH(G420)+2,FALSE))</f>
        <v>#N/A</v>
      </c>
      <c r="L420" s="306" t="e">
        <f t="shared" si="95"/>
        <v>#N/A</v>
      </c>
      <c r="M420" s="305">
        <f>IF(G420=0,0,HLOOKUP(YEAR(G420)+(MONTH(G420)/100),TC!$5:$37,DAY(G420)+2,FALSE))</f>
        <v>0</v>
      </c>
      <c r="N420" s="306" t="e">
        <f t="shared" si="96"/>
        <v>#N/A</v>
      </c>
      <c r="O420" s="308">
        <f>IF(G420=0,0,VLOOKUP(YEAR(G420),INPC!$B$4:$P$30,MONTH(G420)+2))</f>
        <v>0</v>
      </c>
      <c r="P420" s="308">
        <f>IF(W420=0,0,IF(OR(C420=$AQ$5,C420=AQ424),VLOOKUP(YEAR(W420),INPC!$B$4:$P$30,MONTH(W420)+1),VLOOKUP(YEAR(W420),INPC!$B$4:$P$30,MONTH(W420)+2)))</f>
        <v>0</v>
      </c>
      <c r="Q420" s="309">
        <f t="shared" si="97"/>
        <v>0</v>
      </c>
      <c r="R420" s="310" t="e">
        <f t="shared" si="98"/>
        <v>#N/A</v>
      </c>
      <c r="S420" s="310">
        <f t="shared" si="99"/>
        <v>0</v>
      </c>
      <c r="T420" s="567" t="str">
        <f t="shared" si="100"/>
        <v>NO</v>
      </c>
      <c r="U420" s="323"/>
      <c r="V420" s="299"/>
      <c r="W420" s="300"/>
      <c r="X420" s="299"/>
      <c r="Y420" s="303"/>
      <c r="Z420" s="305">
        <f>IF(Y420=0,0,IF(X420="MXN",1/HLOOKUP(YEAR(W420)+(MONTH(W420)/100),TC!$5:$37,DAY(W420)+2,FALSE),VLOOKUP(X420,Equivalencia!$1:$23,((MAX(Equivalencia!$3:$3)-YEAR(W420))*14)+MONTH(W420)+2,FALSE)))</f>
        <v>0</v>
      </c>
      <c r="AA420" s="306">
        <f t="shared" si="101"/>
        <v>0</v>
      </c>
      <c r="AB420" s="305">
        <f>+IF(W420=0,0,HLOOKUP(YEAR(W420)+(MONTH(W420)/100),TC!$5:$37,DAY(W420)+2,FALSE))</f>
        <v>0</v>
      </c>
      <c r="AC420" s="306">
        <f t="shared" si="102"/>
        <v>0</v>
      </c>
      <c r="AD420" s="314">
        <f t="shared" si="93"/>
        <v>0</v>
      </c>
      <c r="AE420" s="315">
        <f t="shared" si="103"/>
        <v>0</v>
      </c>
      <c r="AF420" s="316">
        <f t="shared" si="94"/>
        <v>0</v>
      </c>
      <c r="AG420" s="314">
        <v>1</v>
      </c>
      <c r="AH420" s="314">
        <f t="shared" si="104"/>
        <v>0</v>
      </c>
      <c r="AI420" s="314">
        <f t="shared" si="105"/>
        <v>0</v>
      </c>
      <c r="AJ420" s="317"/>
      <c r="AK420" s="315" t="e">
        <f t="shared" si="106"/>
        <v>#N/A</v>
      </c>
      <c r="AM420" s="561"/>
      <c r="AN420" s="561"/>
      <c r="AO420" s="561"/>
    </row>
    <row r="421" spans="2:41">
      <c r="B421" s="296"/>
      <c r="C421" s="299"/>
      <c r="D421" s="296"/>
      <c r="E421" s="298"/>
      <c r="F421" s="299"/>
      <c r="G421" s="300"/>
      <c r="H421" s="303"/>
      <c r="I421" s="303"/>
      <c r="J421" s="322">
        <f t="shared" si="92"/>
        <v>0</v>
      </c>
      <c r="K421" s="305" t="e">
        <f>IF(F421="MXN",1/HLOOKUP(YEAR(G421)+(MONTH(G421)/100),TC!$5:$37,DAY(G421)+2,FALSE),VLOOKUP(F421,Equivalencia!$5:$23,((MAX(Equivalencia!$3:$3)-YEAR(G421))*14)+MONTH(G421)+2,FALSE))</f>
        <v>#N/A</v>
      </c>
      <c r="L421" s="306" t="e">
        <f t="shared" si="95"/>
        <v>#N/A</v>
      </c>
      <c r="M421" s="305">
        <f>IF(G421=0,0,HLOOKUP(YEAR(G421)+(MONTH(G421)/100),TC!$5:$37,DAY(G421)+2,FALSE))</f>
        <v>0</v>
      </c>
      <c r="N421" s="306" t="e">
        <f t="shared" si="96"/>
        <v>#N/A</v>
      </c>
      <c r="O421" s="308">
        <f>IF(G421=0,0,VLOOKUP(YEAR(G421),INPC!$B$4:$P$30,MONTH(G421)+2))</f>
        <v>0</v>
      </c>
      <c r="P421" s="308">
        <f>IF(W421=0,0,IF(OR(C421=$AQ$5,C421=AQ425),VLOOKUP(YEAR(W421),INPC!$B$4:$P$30,MONTH(W421)+1),VLOOKUP(YEAR(W421),INPC!$B$4:$P$30,MONTH(W421)+2)))</f>
        <v>0</v>
      </c>
      <c r="Q421" s="309">
        <f t="shared" si="97"/>
        <v>0</v>
      </c>
      <c r="R421" s="310" t="e">
        <f t="shared" si="98"/>
        <v>#N/A</v>
      </c>
      <c r="S421" s="310">
        <f t="shared" si="99"/>
        <v>0</v>
      </c>
      <c r="T421" s="567" t="str">
        <f t="shared" si="100"/>
        <v>NO</v>
      </c>
      <c r="U421" s="323"/>
      <c r="V421" s="299"/>
      <c r="W421" s="300"/>
      <c r="X421" s="299"/>
      <c r="Y421" s="303"/>
      <c r="Z421" s="305">
        <f>IF(Y421=0,0,IF(X421="MXN",1/HLOOKUP(YEAR(W421)+(MONTH(W421)/100),TC!$5:$37,DAY(W421)+2,FALSE),VLOOKUP(X421,Equivalencia!$1:$23,((MAX(Equivalencia!$3:$3)-YEAR(W421))*14)+MONTH(W421)+2,FALSE)))</f>
        <v>0</v>
      </c>
      <c r="AA421" s="306">
        <f t="shared" si="101"/>
        <v>0</v>
      </c>
      <c r="AB421" s="305">
        <f>+IF(W421=0,0,HLOOKUP(YEAR(W421)+(MONTH(W421)/100),TC!$5:$37,DAY(W421)+2,FALSE))</f>
        <v>0</v>
      </c>
      <c r="AC421" s="306">
        <f t="shared" si="102"/>
        <v>0</v>
      </c>
      <c r="AD421" s="314">
        <f t="shared" si="93"/>
        <v>0</v>
      </c>
      <c r="AE421" s="315">
        <f t="shared" si="103"/>
        <v>0</v>
      </c>
      <c r="AF421" s="316">
        <f t="shared" si="94"/>
        <v>0</v>
      </c>
      <c r="AG421" s="314">
        <v>1</v>
      </c>
      <c r="AH421" s="314">
        <f t="shared" si="104"/>
        <v>0</v>
      </c>
      <c r="AI421" s="314">
        <f t="shared" si="105"/>
        <v>0</v>
      </c>
      <c r="AJ421" s="317"/>
      <c r="AK421" s="315" t="e">
        <f t="shared" si="106"/>
        <v>#N/A</v>
      </c>
      <c r="AM421" s="561"/>
      <c r="AN421" s="561"/>
      <c r="AO421" s="561"/>
    </row>
    <row r="422" spans="2:41">
      <c r="B422" s="296"/>
      <c r="C422" s="299"/>
      <c r="D422" s="296"/>
      <c r="E422" s="298"/>
      <c r="F422" s="299"/>
      <c r="G422" s="300"/>
      <c r="H422" s="303"/>
      <c r="I422" s="303"/>
      <c r="J422" s="322">
        <f t="shared" si="92"/>
        <v>0</v>
      </c>
      <c r="K422" s="305" t="e">
        <f>IF(F422="MXN",1/HLOOKUP(YEAR(G422)+(MONTH(G422)/100),TC!$5:$37,DAY(G422)+2,FALSE),VLOOKUP(F422,Equivalencia!$5:$23,((MAX(Equivalencia!$3:$3)-YEAR(G422))*14)+MONTH(G422)+2,FALSE))</f>
        <v>#N/A</v>
      </c>
      <c r="L422" s="306" t="e">
        <f t="shared" si="95"/>
        <v>#N/A</v>
      </c>
      <c r="M422" s="305">
        <f>IF(G422=0,0,HLOOKUP(YEAR(G422)+(MONTH(G422)/100),TC!$5:$37,DAY(G422)+2,FALSE))</f>
        <v>0</v>
      </c>
      <c r="N422" s="306" t="e">
        <f t="shared" si="96"/>
        <v>#N/A</v>
      </c>
      <c r="O422" s="308">
        <f>IF(G422=0,0,VLOOKUP(YEAR(G422),INPC!$B$4:$P$30,MONTH(G422)+2))</f>
        <v>0</v>
      </c>
      <c r="P422" s="308">
        <f>IF(W422=0,0,IF(OR(C422=$AQ$5,C422=AQ426),VLOOKUP(YEAR(W422),INPC!$B$4:$P$30,MONTH(W422)+1),VLOOKUP(YEAR(W422),INPC!$B$4:$P$30,MONTH(W422)+2)))</f>
        <v>0</v>
      </c>
      <c r="Q422" s="309">
        <f t="shared" si="97"/>
        <v>0</v>
      </c>
      <c r="R422" s="310" t="e">
        <f t="shared" si="98"/>
        <v>#N/A</v>
      </c>
      <c r="S422" s="310">
        <f t="shared" si="99"/>
        <v>0</v>
      </c>
      <c r="T422" s="567" t="str">
        <f t="shared" si="100"/>
        <v>NO</v>
      </c>
      <c r="U422" s="323"/>
      <c r="V422" s="299"/>
      <c r="W422" s="300"/>
      <c r="X422" s="299"/>
      <c r="Y422" s="303"/>
      <c r="Z422" s="305">
        <f>IF(Y422=0,0,IF(X422="MXN",1/HLOOKUP(YEAR(W422)+(MONTH(W422)/100),TC!$5:$37,DAY(W422)+2,FALSE),VLOOKUP(X422,Equivalencia!$1:$23,((MAX(Equivalencia!$3:$3)-YEAR(W422))*14)+MONTH(W422)+2,FALSE)))</f>
        <v>0</v>
      </c>
      <c r="AA422" s="306">
        <f t="shared" si="101"/>
        <v>0</v>
      </c>
      <c r="AB422" s="305">
        <f>+IF(W422=0,0,HLOOKUP(YEAR(W422)+(MONTH(W422)/100),TC!$5:$37,DAY(W422)+2,FALSE))</f>
        <v>0</v>
      </c>
      <c r="AC422" s="306">
        <f t="shared" si="102"/>
        <v>0</v>
      </c>
      <c r="AD422" s="314">
        <f t="shared" si="93"/>
        <v>0</v>
      </c>
      <c r="AE422" s="315">
        <f t="shared" si="103"/>
        <v>0</v>
      </c>
      <c r="AF422" s="316">
        <f t="shared" si="94"/>
        <v>0</v>
      </c>
      <c r="AG422" s="314">
        <v>1</v>
      </c>
      <c r="AH422" s="314">
        <f t="shared" si="104"/>
        <v>0</v>
      </c>
      <c r="AI422" s="314">
        <f t="shared" si="105"/>
        <v>0</v>
      </c>
      <c r="AJ422" s="317"/>
      <c r="AK422" s="315" t="e">
        <f t="shared" si="106"/>
        <v>#N/A</v>
      </c>
      <c r="AM422" s="561"/>
      <c r="AN422" s="561"/>
      <c r="AO422" s="561"/>
    </row>
    <row r="423" spans="2:41">
      <c r="B423" s="296"/>
      <c r="C423" s="299"/>
      <c r="D423" s="296"/>
      <c r="E423" s="298"/>
      <c r="F423" s="299"/>
      <c r="G423" s="300"/>
      <c r="H423" s="303"/>
      <c r="I423" s="303"/>
      <c r="J423" s="322">
        <f t="shared" si="92"/>
        <v>0</v>
      </c>
      <c r="K423" s="305" t="e">
        <f>IF(F423="MXN",1/HLOOKUP(YEAR(G423)+(MONTH(G423)/100),TC!$5:$37,DAY(G423)+2,FALSE),VLOOKUP(F423,Equivalencia!$5:$23,((MAX(Equivalencia!$3:$3)-YEAR(G423))*14)+MONTH(G423)+2,FALSE))</f>
        <v>#N/A</v>
      </c>
      <c r="L423" s="306" t="e">
        <f t="shared" si="95"/>
        <v>#N/A</v>
      </c>
      <c r="M423" s="305">
        <f>IF(G423=0,0,HLOOKUP(YEAR(G423)+(MONTH(G423)/100),TC!$5:$37,DAY(G423)+2,FALSE))</f>
        <v>0</v>
      </c>
      <c r="N423" s="306" t="e">
        <f t="shared" si="96"/>
        <v>#N/A</v>
      </c>
      <c r="O423" s="308">
        <f>IF(G423=0,0,VLOOKUP(YEAR(G423),INPC!$B$4:$P$30,MONTH(G423)+2))</f>
        <v>0</v>
      </c>
      <c r="P423" s="308">
        <f>IF(W423=0,0,IF(OR(C423=$AQ$5,C423=AQ427),VLOOKUP(YEAR(W423),INPC!$B$4:$P$30,MONTH(W423)+1),VLOOKUP(YEAR(W423),INPC!$B$4:$P$30,MONTH(W423)+2)))</f>
        <v>0</v>
      </c>
      <c r="Q423" s="309">
        <f t="shared" si="97"/>
        <v>0</v>
      </c>
      <c r="R423" s="310" t="e">
        <f t="shared" si="98"/>
        <v>#N/A</v>
      </c>
      <c r="S423" s="310">
        <f t="shared" si="99"/>
        <v>0</v>
      </c>
      <c r="T423" s="567" t="str">
        <f t="shared" si="100"/>
        <v>NO</v>
      </c>
      <c r="U423" s="323"/>
      <c r="V423" s="299"/>
      <c r="W423" s="300"/>
      <c r="X423" s="299"/>
      <c r="Y423" s="303"/>
      <c r="Z423" s="305">
        <f>IF(Y423=0,0,IF(X423="MXN",1/HLOOKUP(YEAR(W423)+(MONTH(W423)/100),TC!$5:$37,DAY(W423)+2,FALSE),VLOOKUP(X423,Equivalencia!$1:$23,((MAX(Equivalencia!$3:$3)-YEAR(W423))*14)+MONTH(W423)+2,FALSE)))</f>
        <v>0</v>
      </c>
      <c r="AA423" s="306">
        <f t="shared" si="101"/>
        <v>0</v>
      </c>
      <c r="AB423" s="305">
        <f>+IF(W423=0,0,HLOOKUP(YEAR(W423)+(MONTH(W423)/100),TC!$5:$37,DAY(W423)+2,FALSE))</f>
        <v>0</v>
      </c>
      <c r="AC423" s="306">
        <f t="shared" si="102"/>
        <v>0</v>
      </c>
      <c r="AD423" s="314">
        <f t="shared" si="93"/>
        <v>0</v>
      </c>
      <c r="AE423" s="315">
        <f t="shared" si="103"/>
        <v>0</v>
      </c>
      <c r="AF423" s="316">
        <f t="shared" si="94"/>
        <v>0</v>
      </c>
      <c r="AG423" s="314">
        <v>1</v>
      </c>
      <c r="AH423" s="314">
        <f t="shared" si="104"/>
        <v>0</v>
      </c>
      <c r="AI423" s="314">
        <f t="shared" si="105"/>
        <v>0</v>
      </c>
      <c r="AJ423" s="317"/>
      <c r="AK423" s="315" t="e">
        <f t="shared" si="106"/>
        <v>#N/A</v>
      </c>
      <c r="AM423" s="561"/>
      <c r="AN423" s="561"/>
      <c r="AO423" s="561"/>
    </row>
    <row r="424" spans="2:41">
      <c r="B424" s="296"/>
      <c r="C424" s="299"/>
      <c r="D424" s="296"/>
      <c r="E424" s="298"/>
      <c r="F424" s="299"/>
      <c r="G424" s="300"/>
      <c r="H424" s="303"/>
      <c r="I424" s="303"/>
      <c r="J424" s="322">
        <f t="shared" si="92"/>
        <v>0</v>
      </c>
      <c r="K424" s="305" t="e">
        <f>IF(F424="MXN",1/HLOOKUP(YEAR(G424)+(MONTH(G424)/100),TC!$5:$37,DAY(G424)+2,FALSE),VLOOKUP(F424,Equivalencia!$5:$23,((MAX(Equivalencia!$3:$3)-YEAR(G424))*14)+MONTH(G424)+2,FALSE))</f>
        <v>#N/A</v>
      </c>
      <c r="L424" s="306" t="e">
        <f t="shared" si="95"/>
        <v>#N/A</v>
      </c>
      <c r="M424" s="305">
        <f>IF(G424=0,0,HLOOKUP(YEAR(G424)+(MONTH(G424)/100),TC!$5:$37,DAY(G424)+2,FALSE))</f>
        <v>0</v>
      </c>
      <c r="N424" s="306" t="e">
        <f t="shared" si="96"/>
        <v>#N/A</v>
      </c>
      <c r="O424" s="308">
        <f>IF(G424=0,0,VLOOKUP(YEAR(G424),INPC!$B$4:$P$30,MONTH(G424)+2))</f>
        <v>0</v>
      </c>
      <c r="P424" s="308">
        <f>IF(W424=0,0,IF(OR(C424=$AQ$5,C424=AQ428),VLOOKUP(YEAR(W424),INPC!$B$4:$P$30,MONTH(W424)+1),VLOOKUP(YEAR(W424),INPC!$B$4:$P$30,MONTH(W424)+2)))</f>
        <v>0</v>
      </c>
      <c r="Q424" s="309">
        <f t="shared" si="97"/>
        <v>0</v>
      </c>
      <c r="R424" s="310" t="e">
        <f t="shared" si="98"/>
        <v>#N/A</v>
      </c>
      <c r="S424" s="310">
        <f t="shared" si="99"/>
        <v>0</v>
      </c>
      <c r="T424" s="567" t="str">
        <f t="shared" si="100"/>
        <v>NO</v>
      </c>
      <c r="U424" s="323"/>
      <c r="V424" s="299"/>
      <c r="W424" s="300"/>
      <c r="X424" s="299"/>
      <c r="Y424" s="303"/>
      <c r="Z424" s="305">
        <f>IF(Y424=0,0,IF(X424="MXN",1/HLOOKUP(YEAR(W424)+(MONTH(W424)/100),TC!$5:$37,DAY(W424)+2,FALSE),VLOOKUP(X424,Equivalencia!$1:$23,((MAX(Equivalencia!$3:$3)-YEAR(W424))*14)+MONTH(W424)+2,FALSE)))</f>
        <v>0</v>
      </c>
      <c r="AA424" s="306">
        <f t="shared" si="101"/>
        <v>0</v>
      </c>
      <c r="AB424" s="305">
        <f>+IF(W424=0,0,HLOOKUP(YEAR(W424)+(MONTH(W424)/100),TC!$5:$37,DAY(W424)+2,FALSE))</f>
        <v>0</v>
      </c>
      <c r="AC424" s="306">
        <f t="shared" si="102"/>
        <v>0</v>
      </c>
      <c r="AD424" s="314">
        <f t="shared" si="93"/>
        <v>0</v>
      </c>
      <c r="AE424" s="315">
        <f t="shared" si="103"/>
        <v>0</v>
      </c>
      <c r="AF424" s="316">
        <f t="shared" si="94"/>
        <v>0</v>
      </c>
      <c r="AG424" s="314">
        <v>1</v>
      </c>
      <c r="AH424" s="314">
        <f t="shared" si="104"/>
        <v>0</v>
      </c>
      <c r="AI424" s="314">
        <f t="shared" si="105"/>
        <v>0</v>
      </c>
      <c r="AJ424" s="317"/>
      <c r="AK424" s="315" t="e">
        <f t="shared" si="106"/>
        <v>#N/A</v>
      </c>
      <c r="AM424" s="561"/>
      <c r="AN424" s="561"/>
      <c r="AO424" s="561"/>
    </row>
    <row r="425" spans="2:41">
      <c r="B425" s="296"/>
      <c r="C425" s="299"/>
      <c r="D425" s="296"/>
      <c r="E425" s="298"/>
      <c r="F425" s="299"/>
      <c r="G425" s="300"/>
      <c r="H425" s="303"/>
      <c r="I425" s="303"/>
      <c r="J425" s="322">
        <f t="shared" si="92"/>
        <v>0</v>
      </c>
      <c r="K425" s="305" t="e">
        <f>IF(F425="MXN",1/HLOOKUP(YEAR(G425)+(MONTH(G425)/100),TC!$5:$37,DAY(G425)+2,FALSE),VLOOKUP(F425,Equivalencia!$5:$23,((MAX(Equivalencia!$3:$3)-YEAR(G425))*14)+MONTH(G425)+2,FALSE))</f>
        <v>#N/A</v>
      </c>
      <c r="L425" s="306" t="e">
        <f t="shared" si="95"/>
        <v>#N/A</v>
      </c>
      <c r="M425" s="305">
        <f>IF(G425=0,0,HLOOKUP(YEAR(G425)+(MONTH(G425)/100),TC!$5:$37,DAY(G425)+2,FALSE))</f>
        <v>0</v>
      </c>
      <c r="N425" s="306" t="e">
        <f t="shared" si="96"/>
        <v>#N/A</v>
      </c>
      <c r="O425" s="308">
        <f>IF(G425=0,0,VLOOKUP(YEAR(G425),INPC!$B$4:$P$30,MONTH(G425)+2))</f>
        <v>0</v>
      </c>
      <c r="P425" s="308">
        <f>IF(W425=0,0,IF(OR(C425=$AQ$5,C425=AQ429),VLOOKUP(YEAR(W425),INPC!$B$4:$P$30,MONTH(W425)+1),VLOOKUP(YEAR(W425),INPC!$B$4:$P$30,MONTH(W425)+2)))</f>
        <v>0</v>
      </c>
      <c r="Q425" s="309">
        <f t="shared" si="97"/>
        <v>0</v>
      </c>
      <c r="R425" s="310" t="e">
        <f t="shared" si="98"/>
        <v>#N/A</v>
      </c>
      <c r="S425" s="310">
        <f t="shared" si="99"/>
        <v>0</v>
      </c>
      <c r="T425" s="567" t="str">
        <f t="shared" si="100"/>
        <v>NO</v>
      </c>
      <c r="U425" s="323"/>
      <c r="V425" s="299"/>
      <c r="W425" s="300"/>
      <c r="X425" s="299"/>
      <c r="Y425" s="303"/>
      <c r="Z425" s="305">
        <f>IF(Y425=0,0,IF(X425="MXN",1/HLOOKUP(YEAR(W425)+(MONTH(W425)/100),TC!$5:$37,DAY(W425)+2,FALSE),VLOOKUP(X425,Equivalencia!$1:$23,((MAX(Equivalencia!$3:$3)-YEAR(W425))*14)+MONTH(W425)+2,FALSE)))</f>
        <v>0</v>
      </c>
      <c r="AA425" s="306">
        <f t="shared" si="101"/>
        <v>0</v>
      </c>
      <c r="AB425" s="305">
        <f>+IF(W425=0,0,HLOOKUP(YEAR(W425)+(MONTH(W425)/100),TC!$5:$37,DAY(W425)+2,FALSE))</f>
        <v>0</v>
      </c>
      <c r="AC425" s="306">
        <f t="shared" si="102"/>
        <v>0</v>
      </c>
      <c r="AD425" s="314">
        <f t="shared" si="93"/>
        <v>0</v>
      </c>
      <c r="AE425" s="315">
        <f t="shared" si="103"/>
        <v>0</v>
      </c>
      <c r="AF425" s="316">
        <f t="shared" si="94"/>
        <v>0</v>
      </c>
      <c r="AG425" s="314">
        <v>1</v>
      </c>
      <c r="AH425" s="314">
        <f t="shared" si="104"/>
        <v>0</v>
      </c>
      <c r="AI425" s="314">
        <f t="shared" si="105"/>
        <v>0</v>
      </c>
      <c r="AJ425" s="317"/>
      <c r="AK425" s="315" t="e">
        <f t="shared" si="106"/>
        <v>#N/A</v>
      </c>
      <c r="AM425" s="561"/>
      <c r="AN425" s="561"/>
      <c r="AO425" s="561"/>
    </row>
    <row r="426" spans="2:41">
      <c r="B426" s="296"/>
      <c r="C426" s="299"/>
      <c r="D426" s="296"/>
      <c r="E426" s="298"/>
      <c r="F426" s="299"/>
      <c r="G426" s="300"/>
      <c r="H426" s="303"/>
      <c r="I426" s="303"/>
      <c r="J426" s="322">
        <f t="shared" si="92"/>
        <v>0</v>
      </c>
      <c r="K426" s="305" t="e">
        <f>IF(F426="MXN",1/HLOOKUP(YEAR(G426)+(MONTH(G426)/100),TC!$5:$37,DAY(G426)+2,FALSE),VLOOKUP(F426,Equivalencia!$5:$23,((MAX(Equivalencia!$3:$3)-YEAR(G426))*14)+MONTH(G426)+2,FALSE))</f>
        <v>#N/A</v>
      </c>
      <c r="L426" s="306" t="e">
        <f t="shared" si="95"/>
        <v>#N/A</v>
      </c>
      <c r="M426" s="305">
        <f>IF(G426=0,0,HLOOKUP(YEAR(G426)+(MONTH(G426)/100),TC!$5:$37,DAY(G426)+2,FALSE))</f>
        <v>0</v>
      </c>
      <c r="N426" s="306" t="e">
        <f t="shared" si="96"/>
        <v>#N/A</v>
      </c>
      <c r="O426" s="308">
        <f>IF(G426=0,0,VLOOKUP(YEAR(G426),INPC!$B$4:$P$30,MONTH(G426)+2))</f>
        <v>0</v>
      </c>
      <c r="P426" s="308">
        <f>IF(W426=0,0,IF(OR(C426=$AQ$5,C426=AQ430),VLOOKUP(YEAR(W426),INPC!$B$4:$P$30,MONTH(W426)+1),VLOOKUP(YEAR(W426),INPC!$B$4:$P$30,MONTH(W426)+2)))</f>
        <v>0</v>
      </c>
      <c r="Q426" s="309">
        <f t="shared" si="97"/>
        <v>0</v>
      </c>
      <c r="R426" s="310" t="e">
        <f t="shared" si="98"/>
        <v>#N/A</v>
      </c>
      <c r="S426" s="310">
        <f t="shared" si="99"/>
        <v>0</v>
      </c>
      <c r="T426" s="567" t="str">
        <f t="shared" si="100"/>
        <v>NO</v>
      </c>
      <c r="U426" s="323"/>
      <c r="V426" s="299"/>
      <c r="W426" s="300"/>
      <c r="X426" s="299"/>
      <c r="Y426" s="303"/>
      <c r="Z426" s="305">
        <f>IF(Y426=0,0,IF(X426="MXN",1/HLOOKUP(YEAR(W426)+(MONTH(W426)/100),TC!$5:$37,DAY(W426)+2,FALSE),VLOOKUP(X426,Equivalencia!$1:$23,((MAX(Equivalencia!$3:$3)-YEAR(W426))*14)+MONTH(W426)+2,FALSE)))</f>
        <v>0</v>
      </c>
      <c r="AA426" s="306">
        <f t="shared" si="101"/>
        <v>0</v>
      </c>
      <c r="AB426" s="305">
        <f>+IF(W426=0,0,HLOOKUP(YEAR(W426)+(MONTH(W426)/100),TC!$5:$37,DAY(W426)+2,FALSE))</f>
        <v>0</v>
      </c>
      <c r="AC426" s="306">
        <f t="shared" si="102"/>
        <v>0</v>
      </c>
      <c r="AD426" s="314">
        <f t="shared" si="93"/>
        <v>0</v>
      </c>
      <c r="AE426" s="315">
        <f t="shared" si="103"/>
        <v>0</v>
      </c>
      <c r="AF426" s="316">
        <f t="shared" si="94"/>
        <v>0</v>
      </c>
      <c r="AG426" s="314">
        <v>1</v>
      </c>
      <c r="AH426" s="314">
        <f t="shared" si="104"/>
        <v>0</v>
      </c>
      <c r="AI426" s="314">
        <f t="shared" si="105"/>
        <v>0</v>
      </c>
      <c r="AJ426" s="317"/>
      <c r="AK426" s="315" t="e">
        <f t="shared" si="106"/>
        <v>#N/A</v>
      </c>
      <c r="AM426" s="561"/>
      <c r="AN426" s="561"/>
      <c r="AO426" s="561"/>
    </row>
    <row r="427" spans="2:41">
      <c r="B427" s="296"/>
      <c r="C427" s="299"/>
      <c r="D427" s="296"/>
      <c r="E427" s="298"/>
      <c r="F427" s="299"/>
      <c r="G427" s="300"/>
      <c r="H427" s="303"/>
      <c r="I427" s="303"/>
      <c r="J427" s="322">
        <f t="shared" si="92"/>
        <v>0</v>
      </c>
      <c r="K427" s="305" t="e">
        <f>IF(F427="MXN",1/HLOOKUP(YEAR(G427)+(MONTH(G427)/100),TC!$5:$37,DAY(G427)+2,FALSE),VLOOKUP(F427,Equivalencia!$5:$23,((MAX(Equivalencia!$3:$3)-YEAR(G427))*14)+MONTH(G427)+2,FALSE))</f>
        <v>#N/A</v>
      </c>
      <c r="L427" s="306" t="e">
        <f t="shared" si="95"/>
        <v>#N/A</v>
      </c>
      <c r="M427" s="305">
        <f>IF(G427=0,0,HLOOKUP(YEAR(G427)+(MONTH(G427)/100),TC!$5:$37,DAY(G427)+2,FALSE))</f>
        <v>0</v>
      </c>
      <c r="N427" s="306" t="e">
        <f t="shared" si="96"/>
        <v>#N/A</v>
      </c>
      <c r="O427" s="308">
        <f>IF(G427=0,0,VLOOKUP(YEAR(G427),INPC!$B$4:$P$30,MONTH(G427)+2))</f>
        <v>0</v>
      </c>
      <c r="P427" s="308">
        <f>IF(W427=0,0,IF(OR(C427=$AQ$5,C427=AQ431),VLOOKUP(YEAR(W427),INPC!$B$4:$P$30,MONTH(W427)+1),VLOOKUP(YEAR(W427),INPC!$B$4:$P$30,MONTH(W427)+2)))</f>
        <v>0</v>
      </c>
      <c r="Q427" s="309">
        <f t="shared" si="97"/>
        <v>0</v>
      </c>
      <c r="R427" s="310" t="e">
        <f t="shared" si="98"/>
        <v>#N/A</v>
      </c>
      <c r="S427" s="310">
        <f t="shared" si="99"/>
        <v>0</v>
      </c>
      <c r="T427" s="567" t="str">
        <f t="shared" si="100"/>
        <v>NO</v>
      </c>
      <c r="U427" s="323"/>
      <c r="V427" s="299"/>
      <c r="W427" s="300"/>
      <c r="X427" s="299"/>
      <c r="Y427" s="303"/>
      <c r="Z427" s="305">
        <f>IF(Y427=0,0,IF(X427="MXN",1/HLOOKUP(YEAR(W427)+(MONTH(W427)/100),TC!$5:$37,DAY(W427)+2,FALSE),VLOOKUP(X427,Equivalencia!$1:$23,((MAX(Equivalencia!$3:$3)-YEAR(W427))*14)+MONTH(W427)+2,FALSE)))</f>
        <v>0</v>
      </c>
      <c r="AA427" s="306">
        <f t="shared" si="101"/>
        <v>0</v>
      </c>
      <c r="AB427" s="305">
        <f>+IF(W427=0,0,HLOOKUP(YEAR(W427)+(MONTH(W427)/100),TC!$5:$37,DAY(W427)+2,FALSE))</f>
        <v>0</v>
      </c>
      <c r="AC427" s="306">
        <f t="shared" si="102"/>
        <v>0</v>
      </c>
      <c r="AD427" s="314">
        <f t="shared" si="93"/>
        <v>0</v>
      </c>
      <c r="AE427" s="315">
        <f t="shared" si="103"/>
        <v>0</v>
      </c>
      <c r="AF427" s="316">
        <f t="shared" si="94"/>
        <v>0</v>
      </c>
      <c r="AG427" s="314">
        <v>1</v>
      </c>
      <c r="AH427" s="314">
        <f t="shared" si="104"/>
        <v>0</v>
      </c>
      <c r="AI427" s="314">
        <f t="shared" si="105"/>
        <v>0</v>
      </c>
      <c r="AJ427" s="317"/>
      <c r="AK427" s="315" t="e">
        <f t="shared" si="106"/>
        <v>#N/A</v>
      </c>
      <c r="AM427" s="561"/>
      <c r="AN427" s="561"/>
      <c r="AO427" s="561"/>
    </row>
    <row r="428" spans="2:41">
      <c r="B428" s="296"/>
      <c r="C428" s="299"/>
      <c r="D428" s="296"/>
      <c r="E428" s="298"/>
      <c r="F428" s="299"/>
      <c r="G428" s="300"/>
      <c r="H428" s="303"/>
      <c r="I428" s="303"/>
      <c r="J428" s="322">
        <f t="shared" si="92"/>
        <v>0</v>
      </c>
      <c r="K428" s="305" t="e">
        <f>IF(F428="MXN",1/HLOOKUP(YEAR(G428)+(MONTH(G428)/100),TC!$5:$37,DAY(G428)+2,FALSE),VLOOKUP(F428,Equivalencia!$5:$23,((MAX(Equivalencia!$3:$3)-YEAR(G428))*14)+MONTH(G428)+2,FALSE))</f>
        <v>#N/A</v>
      </c>
      <c r="L428" s="306" t="e">
        <f t="shared" si="95"/>
        <v>#N/A</v>
      </c>
      <c r="M428" s="305">
        <f>IF(G428=0,0,HLOOKUP(YEAR(G428)+(MONTH(G428)/100),TC!$5:$37,DAY(G428)+2,FALSE))</f>
        <v>0</v>
      </c>
      <c r="N428" s="306" t="e">
        <f t="shared" si="96"/>
        <v>#N/A</v>
      </c>
      <c r="O428" s="308">
        <f>IF(G428=0,0,VLOOKUP(YEAR(G428),INPC!$B$4:$P$30,MONTH(G428)+2))</f>
        <v>0</v>
      </c>
      <c r="P428" s="308">
        <f>IF(W428=0,0,IF(OR(C428=$AQ$5,C428=AQ432),VLOOKUP(YEAR(W428),INPC!$B$4:$P$30,MONTH(W428)+1),VLOOKUP(YEAR(W428),INPC!$B$4:$P$30,MONTH(W428)+2)))</f>
        <v>0</v>
      </c>
      <c r="Q428" s="309">
        <f t="shared" si="97"/>
        <v>0</v>
      </c>
      <c r="R428" s="310" t="e">
        <f t="shared" si="98"/>
        <v>#N/A</v>
      </c>
      <c r="S428" s="310">
        <f t="shared" si="99"/>
        <v>0</v>
      </c>
      <c r="T428" s="567" t="str">
        <f t="shared" si="100"/>
        <v>NO</v>
      </c>
      <c r="U428" s="323"/>
      <c r="V428" s="299"/>
      <c r="W428" s="300"/>
      <c r="X428" s="299"/>
      <c r="Y428" s="303"/>
      <c r="Z428" s="305">
        <f>IF(Y428=0,0,IF(X428="MXN",1/HLOOKUP(YEAR(W428)+(MONTH(W428)/100),TC!$5:$37,DAY(W428)+2,FALSE),VLOOKUP(X428,Equivalencia!$1:$23,((MAX(Equivalencia!$3:$3)-YEAR(W428))*14)+MONTH(W428)+2,FALSE)))</f>
        <v>0</v>
      </c>
      <c r="AA428" s="306">
        <f t="shared" si="101"/>
        <v>0</v>
      </c>
      <c r="AB428" s="305">
        <f>+IF(W428=0,0,HLOOKUP(YEAR(W428)+(MONTH(W428)/100),TC!$5:$37,DAY(W428)+2,FALSE))</f>
        <v>0</v>
      </c>
      <c r="AC428" s="306">
        <f t="shared" si="102"/>
        <v>0</v>
      </c>
      <c r="AD428" s="314">
        <f t="shared" si="93"/>
        <v>0</v>
      </c>
      <c r="AE428" s="315">
        <f t="shared" si="103"/>
        <v>0</v>
      </c>
      <c r="AF428" s="316">
        <f t="shared" si="94"/>
        <v>0</v>
      </c>
      <c r="AG428" s="314">
        <v>1</v>
      </c>
      <c r="AH428" s="314">
        <f t="shared" si="104"/>
        <v>0</v>
      </c>
      <c r="AI428" s="314">
        <f t="shared" si="105"/>
        <v>0</v>
      </c>
      <c r="AJ428" s="317"/>
      <c r="AK428" s="315" t="e">
        <f t="shared" si="106"/>
        <v>#N/A</v>
      </c>
      <c r="AM428" s="561"/>
      <c r="AN428" s="561"/>
      <c r="AO428" s="561"/>
    </row>
    <row r="429" spans="2:41">
      <c r="B429" s="296"/>
      <c r="C429" s="299"/>
      <c r="D429" s="296"/>
      <c r="E429" s="298"/>
      <c r="F429" s="299"/>
      <c r="G429" s="300"/>
      <c r="H429" s="303"/>
      <c r="I429" s="303"/>
      <c r="J429" s="322">
        <f t="shared" si="92"/>
        <v>0</v>
      </c>
      <c r="K429" s="305" t="e">
        <f>IF(F429="MXN",1/HLOOKUP(YEAR(G429)+(MONTH(G429)/100),TC!$5:$37,DAY(G429)+2,FALSE),VLOOKUP(F429,Equivalencia!$5:$23,((MAX(Equivalencia!$3:$3)-YEAR(G429))*14)+MONTH(G429)+2,FALSE))</f>
        <v>#N/A</v>
      </c>
      <c r="L429" s="306" t="e">
        <f t="shared" si="95"/>
        <v>#N/A</v>
      </c>
      <c r="M429" s="305">
        <f>IF(G429=0,0,HLOOKUP(YEAR(G429)+(MONTH(G429)/100),TC!$5:$37,DAY(G429)+2,FALSE))</f>
        <v>0</v>
      </c>
      <c r="N429" s="306" t="e">
        <f t="shared" si="96"/>
        <v>#N/A</v>
      </c>
      <c r="O429" s="308">
        <f>IF(G429=0,0,VLOOKUP(YEAR(G429),INPC!$B$4:$P$30,MONTH(G429)+2))</f>
        <v>0</v>
      </c>
      <c r="P429" s="308">
        <f>IF(W429=0,0,IF(OR(C429=$AQ$5,C429=AQ433),VLOOKUP(YEAR(W429),INPC!$B$4:$P$30,MONTH(W429)+1),VLOOKUP(YEAR(W429),INPC!$B$4:$P$30,MONTH(W429)+2)))</f>
        <v>0</v>
      </c>
      <c r="Q429" s="309">
        <f t="shared" si="97"/>
        <v>0</v>
      </c>
      <c r="R429" s="310" t="e">
        <f t="shared" si="98"/>
        <v>#N/A</v>
      </c>
      <c r="S429" s="310">
        <f t="shared" si="99"/>
        <v>0</v>
      </c>
      <c r="T429" s="567" t="str">
        <f t="shared" si="100"/>
        <v>NO</v>
      </c>
      <c r="U429" s="323"/>
      <c r="V429" s="299"/>
      <c r="W429" s="300"/>
      <c r="X429" s="299"/>
      <c r="Y429" s="303"/>
      <c r="Z429" s="305">
        <f>IF(Y429=0,0,IF(X429="MXN",1/HLOOKUP(YEAR(W429)+(MONTH(W429)/100),TC!$5:$37,DAY(W429)+2,FALSE),VLOOKUP(X429,Equivalencia!$1:$23,((MAX(Equivalencia!$3:$3)-YEAR(W429))*14)+MONTH(W429)+2,FALSE)))</f>
        <v>0</v>
      </c>
      <c r="AA429" s="306">
        <f t="shared" si="101"/>
        <v>0</v>
      </c>
      <c r="AB429" s="305">
        <f>+IF(W429=0,0,HLOOKUP(YEAR(W429)+(MONTH(W429)/100),TC!$5:$37,DAY(W429)+2,FALSE))</f>
        <v>0</v>
      </c>
      <c r="AC429" s="306">
        <f t="shared" si="102"/>
        <v>0</v>
      </c>
      <c r="AD429" s="314">
        <f t="shared" si="93"/>
        <v>0</v>
      </c>
      <c r="AE429" s="315">
        <f t="shared" si="103"/>
        <v>0</v>
      </c>
      <c r="AF429" s="316">
        <f t="shared" si="94"/>
        <v>0</v>
      </c>
      <c r="AG429" s="314">
        <v>1</v>
      </c>
      <c r="AH429" s="314">
        <f t="shared" si="104"/>
        <v>0</v>
      </c>
      <c r="AI429" s="314">
        <f t="shared" si="105"/>
        <v>0</v>
      </c>
      <c r="AJ429" s="317"/>
      <c r="AK429" s="315" t="e">
        <f t="shared" si="106"/>
        <v>#N/A</v>
      </c>
      <c r="AM429" s="561"/>
      <c r="AN429" s="561"/>
      <c r="AO429" s="561"/>
    </row>
    <row r="430" spans="2:41">
      <c r="B430" s="296"/>
      <c r="C430" s="299"/>
      <c r="D430" s="296"/>
      <c r="E430" s="298"/>
      <c r="F430" s="299"/>
      <c r="G430" s="300"/>
      <c r="H430" s="303"/>
      <c r="I430" s="303"/>
      <c r="J430" s="322">
        <f t="shared" si="92"/>
        <v>0</v>
      </c>
      <c r="K430" s="305" t="e">
        <f>IF(F430="MXN",1/HLOOKUP(YEAR(G430)+(MONTH(G430)/100),TC!$5:$37,DAY(G430)+2,FALSE),VLOOKUP(F430,Equivalencia!$5:$23,((MAX(Equivalencia!$3:$3)-YEAR(G430))*14)+MONTH(G430)+2,FALSE))</f>
        <v>#N/A</v>
      </c>
      <c r="L430" s="306" t="e">
        <f t="shared" si="95"/>
        <v>#N/A</v>
      </c>
      <c r="M430" s="305">
        <f>IF(G430=0,0,HLOOKUP(YEAR(G430)+(MONTH(G430)/100),TC!$5:$37,DAY(G430)+2,FALSE))</f>
        <v>0</v>
      </c>
      <c r="N430" s="306" t="e">
        <f t="shared" si="96"/>
        <v>#N/A</v>
      </c>
      <c r="O430" s="308">
        <f>IF(G430=0,0,VLOOKUP(YEAR(G430),INPC!$B$4:$P$30,MONTH(G430)+2))</f>
        <v>0</v>
      </c>
      <c r="P430" s="308">
        <f>IF(W430=0,0,IF(OR(C430=$AQ$5,C430=AQ434),VLOOKUP(YEAR(W430),INPC!$B$4:$P$30,MONTH(W430)+1),VLOOKUP(YEAR(W430),INPC!$B$4:$P$30,MONTH(W430)+2)))</f>
        <v>0</v>
      </c>
      <c r="Q430" s="309">
        <f t="shared" si="97"/>
        <v>0</v>
      </c>
      <c r="R430" s="310" t="e">
        <f t="shared" si="98"/>
        <v>#N/A</v>
      </c>
      <c r="S430" s="310">
        <f t="shared" si="99"/>
        <v>0</v>
      </c>
      <c r="T430" s="567" t="str">
        <f t="shared" si="100"/>
        <v>NO</v>
      </c>
      <c r="U430" s="323"/>
      <c r="V430" s="299"/>
      <c r="W430" s="300"/>
      <c r="X430" s="299"/>
      <c r="Y430" s="303"/>
      <c r="Z430" s="305">
        <f>IF(Y430=0,0,IF(X430="MXN",1/HLOOKUP(YEAR(W430)+(MONTH(W430)/100),TC!$5:$37,DAY(W430)+2,FALSE),VLOOKUP(X430,Equivalencia!$1:$23,((MAX(Equivalencia!$3:$3)-YEAR(W430))*14)+MONTH(W430)+2,FALSE)))</f>
        <v>0</v>
      </c>
      <c r="AA430" s="306">
        <f t="shared" si="101"/>
        <v>0</v>
      </c>
      <c r="AB430" s="305">
        <f>+IF(W430=0,0,HLOOKUP(YEAR(W430)+(MONTH(W430)/100),TC!$5:$37,DAY(W430)+2,FALSE))</f>
        <v>0</v>
      </c>
      <c r="AC430" s="306">
        <f t="shared" si="102"/>
        <v>0</v>
      </c>
      <c r="AD430" s="314">
        <f t="shared" si="93"/>
        <v>0</v>
      </c>
      <c r="AE430" s="315">
        <f t="shared" si="103"/>
        <v>0</v>
      </c>
      <c r="AF430" s="316">
        <f t="shared" si="94"/>
        <v>0</v>
      </c>
      <c r="AG430" s="314">
        <v>1</v>
      </c>
      <c r="AH430" s="314">
        <f t="shared" si="104"/>
        <v>0</v>
      </c>
      <c r="AI430" s="314">
        <f t="shared" si="105"/>
        <v>0</v>
      </c>
      <c r="AJ430" s="317"/>
      <c r="AK430" s="315" t="e">
        <f t="shared" si="106"/>
        <v>#N/A</v>
      </c>
      <c r="AM430" s="561"/>
      <c r="AN430" s="561"/>
      <c r="AO430" s="561"/>
    </row>
    <row r="431" spans="2:41">
      <c r="B431" s="296"/>
      <c r="C431" s="299"/>
      <c r="D431" s="296"/>
      <c r="E431" s="298"/>
      <c r="F431" s="299"/>
      <c r="G431" s="300"/>
      <c r="H431" s="303"/>
      <c r="I431" s="303"/>
      <c r="J431" s="322">
        <f t="shared" si="92"/>
        <v>0</v>
      </c>
      <c r="K431" s="305" t="e">
        <f>IF(F431="MXN",1/HLOOKUP(YEAR(G431)+(MONTH(G431)/100),TC!$5:$37,DAY(G431)+2,FALSE),VLOOKUP(F431,Equivalencia!$5:$23,((MAX(Equivalencia!$3:$3)-YEAR(G431))*14)+MONTH(G431)+2,FALSE))</f>
        <v>#N/A</v>
      </c>
      <c r="L431" s="306" t="e">
        <f t="shared" si="95"/>
        <v>#N/A</v>
      </c>
      <c r="M431" s="305">
        <f>IF(G431=0,0,HLOOKUP(YEAR(G431)+(MONTH(G431)/100),TC!$5:$37,DAY(G431)+2,FALSE))</f>
        <v>0</v>
      </c>
      <c r="N431" s="306" t="e">
        <f t="shared" si="96"/>
        <v>#N/A</v>
      </c>
      <c r="O431" s="308">
        <f>IF(G431=0,0,VLOOKUP(YEAR(G431),INPC!$B$4:$P$30,MONTH(G431)+2))</f>
        <v>0</v>
      </c>
      <c r="P431" s="308">
        <f>IF(W431=0,0,IF(OR(C431=$AQ$5,C431=AQ435),VLOOKUP(YEAR(W431),INPC!$B$4:$P$30,MONTH(W431)+1),VLOOKUP(YEAR(W431),INPC!$B$4:$P$30,MONTH(W431)+2)))</f>
        <v>0</v>
      </c>
      <c r="Q431" s="309">
        <f t="shared" si="97"/>
        <v>0</v>
      </c>
      <c r="R431" s="310" t="e">
        <f t="shared" si="98"/>
        <v>#N/A</v>
      </c>
      <c r="S431" s="310">
        <f t="shared" si="99"/>
        <v>0</v>
      </c>
      <c r="T431" s="567" t="str">
        <f t="shared" si="100"/>
        <v>NO</v>
      </c>
      <c r="U431" s="323"/>
      <c r="V431" s="299"/>
      <c r="W431" s="300"/>
      <c r="X431" s="299"/>
      <c r="Y431" s="303"/>
      <c r="Z431" s="305">
        <f>IF(Y431=0,0,IF(X431="MXN",1/HLOOKUP(YEAR(W431)+(MONTH(W431)/100),TC!$5:$37,DAY(W431)+2,FALSE),VLOOKUP(X431,Equivalencia!$1:$23,((MAX(Equivalencia!$3:$3)-YEAR(W431))*14)+MONTH(W431)+2,FALSE)))</f>
        <v>0</v>
      </c>
      <c r="AA431" s="306">
        <f t="shared" si="101"/>
        <v>0</v>
      </c>
      <c r="AB431" s="305">
        <f>+IF(W431=0,0,HLOOKUP(YEAR(W431)+(MONTH(W431)/100),TC!$5:$37,DAY(W431)+2,FALSE))</f>
        <v>0</v>
      </c>
      <c r="AC431" s="306">
        <f t="shared" si="102"/>
        <v>0</v>
      </c>
      <c r="AD431" s="314">
        <f t="shared" si="93"/>
        <v>0</v>
      </c>
      <c r="AE431" s="315">
        <f t="shared" si="103"/>
        <v>0</v>
      </c>
      <c r="AF431" s="316">
        <f t="shared" si="94"/>
        <v>0</v>
      </c>
      <c r="AG431" s="314">
        <v>1</v>
      </c>
      <c r="AH431" s="314">
        <f t="shared" si="104"/>
        <v>0</v>
      </c>
      <c r="AI431" s="314">
        <f t="shared" si="105"/>
        <v>0</v>
      </c>
      <c r="AJ431" s="317"/>
      <c r="AK431" s="315" t="e">
        <f t="shared" si="106"/>
        <v>#N/A</v>
      </c>
      <c r="AM431" s="561"/>
      <c r="AN431" s="561"/>
      <c r="AO431" s="561"/>
    </row>
    <row r="432" spans="2:41">
      <c r="B432" s="296"/>
      <c r="C432" s="299"/>
      <c r="D432" s="296"/>
      <c r="E432" s="298"/>
      <c r="F432" s="299"/>
      <c r="G432" s="300"/>
      <c r="H432" s="303"/>
      <c r="I432" s="303"/>
      <c r="J432" s="322">
        <f t="shared" si="92"/>
        <v>0</v>
      </c>
      <c r="K432" s="305" t="e">
        <f>IF(F432="MXN",1/HLOOKUP(YEAR(G432)+(MONTH(G432)/100),TC!$5:$37,DAY(G432)+2,FALSE),VLOOKUP(F432,Equivalencia!$5:$23,((MAX(Equivalencia!$3:$3)-YEAR(G432))*14)+MONTH(G432)+2,FALSE))</f>
        <v>#N/A</v>
      </c>
      <c r="L432" s="306" t="e">
        <f t="shared" si="95"/>
        <v>#N/A</v>
      </c>
      <c r="M432" s="305">
        <f>IF(G432=0,0,HLOOKUP(YEAR(G432)+(MONTH(G432)/100),TC!$5:$37,DAY(G432)+2,FALSE))</f>
        <v>0</v>
      </c>
      <c r="N432" s="306" t="e">
        <f t="shared" si="96"/>
        <v>#N/A</v>
      </c>
      <c r="O432" s="308">
        <f>IF(G432=0,0,VLOOKUP(YEAR(G432),INPC!$B$4:$P$30,MONTH(G432)+2))</f>
        <v>0</v>
      </c>
      <c r="P432" s="308">
        <f>IF(W432=0,0,IF(OR(C432=$AQ$5,C432=AQ436),VLOOKUP(YEAR(W432),INPC!$B$4:$P$30,MONTH(W432)+1),VLOOKUP(YEAR(W432),INPC!$B$4:$P$30,MONTH(W432)+2)))</f>
        <v>0</v>
      </c>
      <c r="Q432" s="309">
        <f t="shared" si="97"/>
        <v>0</v>
      </c>
      <c r="R432" s="310" t="e">
        <f t="shared" si="98"/>
        <v>#N/A</v>
      </c>
      <c r="S432" s="310">
        <f t="shared" si="99"/>
        <v>0</v>
      </c>
      <c r="T432" s="567" t="str">
        <f t="shared" si="100"/>
        <v>NO</v>
      </c>
      <c r="U432" s="323"/>
      <c r="V432" s="299"/>
      <c r="W432" s="300"/>
      <c r="X432" s="299"/>
      <c r="Y432" s="303"/>
      <c r="Z432" s="305">
        <f>IF(Y432=0,0,IF(X432="MXN",1/HLOOKUP(YEAR(W432)+(MONTH(W432)/100),TC!$5:$37,DAY(W432)+2,FALSE),VLOOKUP(X432,Equivalencia!$1:$23,((MAX(Equivalencia!$3:$3)-YEAR(W432))*14)+MONTH(W432)+2,FALSE)))</f>
        <v>0</v>
      </c>
      <c r="AA432" s="306">
        <f t="shared" si="101"/>
        <v>0</v>
      </c>
      <c r="AB432" s="305">
        <f>+IF(W432=0,0,HLOOKUP(YEAR(W432)+(MONTH(W432)/100),TC!$5:$37,DAY(W432)+2,FALSE))</f>
        <v>0</v>
      </c>
      <c r="AC432" s="306">
        <f t="shared" si="102"/>
        <v>0</v>
      </c>
      <c r="AD432" s="314">
        <f t="shared" si="93"/>
        <v>0</v>
      </c>
      <c r="AE432" s="315">
        <f t="shared" si="103"/>
        <v>0</v>
      </c>
      <c r="AF432" s="316">
        <f t="shared" si="94"/>
        <v>0</v>
      </c>
      <c r="AG432" s="314">
        <v>1</v>
      </c>
      <c r="AH432" s="314">
        <f t="shared" si="104"/>
        <v>0</v>
      </c>
      <c r="AI432" s="314">
        <f t="shared" si="105"/>
        <v>0</v>
      </c>
      <c r="AJ432" s="317"/>
      <c r="AK432" s="315" t="e">
        <f t="shared" si="106"/>
        <v>#N/A</v>
      </c>
      <c r="AM432" s="561"/>
      <c r="AN432" s="561"/>
      <c r="AO432" s="561"/>
    </row>
    <row r="433" spans="2:41">
      <c r="B433" s="296"/>
      <c r="C433" s="299"/>
      <c r="D433" s="296"/>
      <c r="E433" s="298"/>
      <c r="F433" s="299"/>
      <c r="G433" s="300"/>
      <c r="H433" s="303"/>
      <c r="I433" s="303"/>
      <c r="J433" s="322">
        <f t="shared" si="92"/>
        <v>0</v>
      </c>
      <c r="K433" s="305" t="e">
        <f>IF(F433="MXN",1/HLOOKUP(YEAR(G433)+(MONTH(G433)/100),TC!$5:$37,DAY(G433)+2,FALSE),VLOOKUP(F433,Equivalencia!$5:$23,((MAX(Equivalencia!$3:$3)-YEAR(G433))*14)+MONTH(G433)+2,FALSE))</f>
        <v>#N/A</v>
      </c>
      <c r="L433" s="306" t="e">
        <f t="shared" si="95"/>
        <v>#N/A</v>
      </c>
      <c r="M433" s="305">
        <f>IF(G433=0,0,HLOOKUP(YEAR(G433)+(MONTH(G433)/100),TC!$5:$37,DAY(G433)+2,FALSE))</f>
        <v>0</v>
      </c>
      <c r="N433" s="306" t="e">
        <f t="shared" si="96"/>
        <v>#N/A</v>
      </c>
      <c r="O433" s="308">
        <f>IF(G433=0,0,VLOOKUP(YEAR(G433),INPC!$B$4:$P$30,MONTH(G433)+2))</f>
        <v>0</v>
      </c>
      <c r="P433" s="308">
        <f>IF(W433=0,0,IF(OR(C433=$AQ$5,C433=AQ437),VLOOKUP(YEAR(W433),INPC!$B$4:$P$30,MONTH(W433)+1),VLOOKUP(YEAR(W433),INPC!$B$4:$P$30,MONTH(W433)+2)))</f>
        <v>0</v>
      </c>
      <c r="Q433" s="309">
        <f t="shared" si="97"/>
        <v>0</v>
      </c>
      <c r="R433" s="310" t="e">
        <f t="shared" si="98"/>
        <v>#N/A</v>
      </c>
      <c r="S433" s="310">
        <f t="shared" si="99"/>
        <v>0</v>
      </c>
      <c r="T433" s="567" t="str">
        <f t="shared" si="100"/>
        <v>NO</v>
      </c>
      <c r="U433" s="323"/>
      <c r="V433" s="299"/>
      <c r="W433" s="300"/>
      <c r="X433" s="299"/>
      <c r="Y433" s="303"/>
      <c r="Z433" s="305">
        <f>IF(Y433=0,0,IF(X433="MXN",1/HLOOKUP(YEAR(W433)+(MONTH(W433)/100),TC!$5:$37,DAY(W433)+2,FALSE),VLOOKUP(X433,Equivalencia!$1:$23,((MAX(Equivalencia!$3:$3)-YEAR(W433))*14)+MONTH(W433)+2,FALSE)))</f>
        <v>0</v>
      </c>
      <c r="AA433" s="306">
        <f t="shared" si="101"/>
        <v>0</v>
      </c>
      <c r="AB433" s="305">
        <f>+IF(W433=0,0,HLOOKUP(YEAR(W433)+(MONTH(W433)/100),TC!$5:$37,DAY(W433)+2,FALSE))</f>
        <v>0</v>
      </c>
      <c r="AC433" s="306">
        <f t="shared" si="102"/>
        <v>0</v>
      </c>
      <c r="AD433" s="314">
        <f t="shared" si="93"/>
        <v>0</v>
      </c>
      <c r="AE433" s="315">
        <f t="shared" si="103"/>
        <v>0</v>
      </c>
      <c r="AF433" s="316">
        <f t="shared" si="94"/>
        <v>0</v>
      </c>
      <c r="AG433" s="314">
        <v>1</v>
      </c>
      <c r="AH433" s="314">
        <f t="shared" si="104"/>
        <v>0</v>
      </c>
      <c r="AI433" s="314">
        <f t="shared" si="105"/>
        <v>0</v>
      </c>
      <c r="AJ433" s="317"/>
      <c r="AK433" s="315" t="e">
        <f t="shared" si="106"/>
        <v>#N/A</v>
      </c>
      <c r="AM433" s="561"/>
      <c r="AN433" s="561"/>
      <c r="AO433" s="561"/>
    </row>
    <row r="434" spans="2:41">
      <c r="B434" s="296"/>
      <c r="C434" s="299"/>
      <c r="D434" s="296"/>
      <c r="E434" s="298"/>
      <c r="F434" s="299"/>
      <c r="G434" s="300"/>
      <c r="H434" s="303"/>
      <c r="I434" s="303"/>
      <c r="J434" s="322">
        <f t="shared" si="92"/>
        <v>0</v>
      </c>
      <c r="K434" s="305" t="e">
        <f>IF(F434="MXN",1/HLOOKUP(YEAR(G434)+(MONTH(G434)/100),TC!$5:$37,DAY(G434)+2,FALSE),VLOOKUP(F434,Equivalencia!$5:$23,((MAX(Equivalencia!$3:$3)-YEAR(G434))*14)+MONTH(G434)+2,FALSE))</f>
        <v>#N/A</v>
      </c>
      <c r="L434" s="306" t="e">
        <f t="shared" si="95"/>
        <v>#N/A</v>
      </c>
      <c r="M434" s="305">
        <f>IF(G434=0,0,HLOOKUP(YEAR(G434)+(MONTH(G434)/100),TC!$5:$37,DAY(G434)+2,FALSE))</f>
        <v>0</v>
      </c>
      <c r="N434" s="306" t="e">
        <f t="shared" si="96"/>
        <v>#N/A</v>
      </c>
      <c r="O434" s="308">
        <f>IF(G434=0,0,VLOOKUP(YEAR(G434),INPC!$B$4:$P$30,MONTH(G434)+2))</f>
        <v>0</v>
      </c>
      <c r="P434" s="308">
        <f>IF(W434=0,0,IF(OR(C434=$AQ$5,C434=AQ438),VLOOKUP(YEAR(W434),INPC!$B$4:$P$30,MONTH(W434)+1),VLOOKUP(YEAR(W434),INPC!$B$4:$P$30,MONTH(W434)+2)))</f>
        <v>0</v>
      </c>
      <c r="Q434" s="309">
        <f t="shared" si="97"/>
        <v>0</v>
      </c>
      <c r="R434" s="310" t="e">
        <f t="shared" si="98"/>
        <v>#N/A</v>
      </c>
      <c r="S434" s="310">
        <f t="shared" si="99"/>
        <v>0</v>
      </c>
      <c r="T434" s="567" t="str">
        <f t="shared" si="100"/>
        <v>NO</v>
      </c>
      <c r="U434" s="323"/>
      <c r="V434" s="299"/>
      <c r="W434" s="300"/>
      <c r="X434" s="299"/>
      <c r="Y434" s="303"/>
      <c r="Z434" s="305">
        <f>IF(Y434=0,0,IF(X434="MXN",1/HLOOKUP(YEAR(W434)+(MONTH(W434)/100),TC!$5:$37,DAY(W434)+2,FALSE),VLOOKUP(X434,Equivalencia!$1:$23,((MAX(Equivalencia!$3:$3)-YEAR(W434))*14)+MONTH(W434)+2,FALSE)))</f>
        <v>0</v>
      </c>
      <c r="AA434" s="306">
        <f t="shared" si="101"/>
        <v>0</v>
      </c>
      <c r="AB434" s="305">
        <f>+IF(W434=0,0,HLOOKUP(YEAR(W434)+(MONTH(W434)/100),TC!$5:$37,DAY(W434)+2,FALSE))</f>
        <v>0</v>
      </c>
      <c r="AC434" s="306">
        <f t="shared" si="102"/>
        <v>0</v>
      </c>
      <c r="AD434" s="314">
        <f t="shared" si="93"/>
        <v>0</v>
      </c>
      <c r="AE434" s="315">
        <f t="shared" si="103"/>
        <v>0</v>
      </c>
      <c r="AF434" s="316">
        <f t="shared" si="94"/>
        <v>0</v>
      </c>
      <c r="AG434" s="314">
        <v>1</v>
      </c>
      <c r="AH434" s="314">
        <f t="shared" si="104"/>
        <v>0</v>
      </c>
      <c r="AI434" s="314">
        <f t="shared" si="105"/>
        <v>0</v>
      </c>
      <c r="AJ434" s="317"/>
      <c r="AK434" s="315" t="e">
        <f t="shared" si="106"/>
        <v>#N/A</v>
      </c>
      <c r="AM434" s="561"/>
      <c r="AN434" s="561"/>
      <c r="AO434" s="561"/>
    </row>
    <row r="435" spans="2:41">
      <c r="B435" s="296"/>
      <c r="C435" s="299"/>
      <c r="D435" s="296"/>
      <c r="E435" s="298"/>
      <c r="F435" s="299"/>
      <c r="G435" s="300"/>
      <c r="H435" s="303"/>
      <c r="I435" s="303"/>
      <c r="J435" s="322">
        <f t="shared" si="92"/>
        <v>0</v>
      </c>
      <c r="K435" s="305" t="e">
        <f>IF(F435="MXN",1/HLOOKUP(YEAR(G435)+(MONTH(G435)/100),TC!$5:$37,DAY(G435)+2,FALSE),VLOOKUP(F435,Equivalencia!$5:$23,((MAX(Equivalencia!$3:$3)-YEAR(G435))*14)+MONTH(G435)+2,FALSE))</f>
        <v>#N/A</v>
      </c>
      <c r="L435" s="306" t="e">
        <f t="shared" si="95"/>
        <v>#N/A</v>
      </c>
      <c r="M435" s="305">
        <f>IF(G435=0,0,HLOOKUP(YEAR(G435)+(MONTH(G435)/100),TC!$5:$37,DAY(G435)+2,FALSE))</f>
        <v>0</v>
      </c>
      <c r="N435" s="306" t="e">
        <f t="shared" si="96"/>
        <v>#N/A</v>
      </c>
      <c r="O435" s="308">
        <f>IF(G435=0,0,VLOOKUP(YEAR(G435),INPC!$B$4:$P$30,MONTH(G435)+2))</f>
        <v>0</v>
      </c>
      <c r="P435" s="308">
        <f>IF(W435=0,0,IF(OR(C435=$AQ$5,C435=AQ439),VLOOKUP(YEAR(W435),INPC!$B$4:$P$30,MONTH(W435)+1),VLOOKUP(YEAR(W435),INPC!$B$4:$P$30,MONTH(W435)+2)))</f>
        <v>0</v>
      </c>
      <c r="Q435" s="309">
        <f t="shared" si="97"/>
        <v>0</v>
      </c>
      <c r="R435" s="310" t="e">
        <f t="shared" si="98"/>
        <v>#N/A</v>
      </c>
      <c r="S435" s="310">
        <f t="shared" si="99"/>
        <v>0</v>
      </c>
      <c r="T435" s="567" t="str">
        <f t="shared" si="100"/>
        <v>NO</v>
      </c>
      <c r="U435" s="323"/>
      <c r="V435" s="299"/>
      <c r="W435" s="300"/>
      <c r="X435" s="299"/>
      <c r="Y435" s="303"/>
      <c r="Z435" s="305">
        <f>IF(Y435=0,0,IF(X435="MXN",1/HLOOKUP(YEAR(W435)+(MONTH(W435)/100),TC!$5:$37,DAY(W435)+2,FALSE),VLOOKUP(X435,Equivalencia!$1:$23,((MAX(Equivalencia!$3:$3)-YEAR(W435))*14)+MONTH(W435)+2,FALSE)))</f>
        <v>0</v>
      </c>
      <c r="AA435" s="306">
        <f t="shared" si="101"/>
        <v>0</v>
      </c>
      <c r="AB435" s="305">
        <f>+IF(W435=0,0,HLOOKUP(YEAR(W435)+(MONTH(W435)/100),TC!$5:$37,DAY(W435)+2,FALSE))</f>
        <v>0</v>
      </c>
      <c r="AC435" s="306">
        <f t="shared" si="102"/>
        <v>0</v>
      </c>
      <c r="AD435" s="314">
        <f t="shared" si="93"/>
        <v>0</v>
      </c>
      <c r="AE435" s="315">
        <f t="shared" si="103"/>
        <v>0</v>
      </c>
      <c r="AF435" s="316">
        <f t="shared" si="94"/>
        <v>0</v>
      </c>
      <c r="AG435" s="314">
        <v>1</v>
      </c>
      <c r="AH435" s="314">
        <f t="shared" si="104"/>
        <v>0</v>
      </c>
      <c r="AI435" s="314">
        <f t="shared" si="105"/>
        <v>0</v>
      </c>
      <c r="AJ435" s="317"/>
      <c r="AK435" s="315" t="e">
        <f t="shared" si="106"/>
        <v>#N/A</v>
      </c>
      <c r="AM435" s="561"/>
      <c r="AN435" s="561"/>
      <c r="AO435" s="561"/>
    </row>
    <row r="436" spans="2:41">
      <c r="B436" s="296"/>
      <c r="C436" s="299"/>
      <c r="D436" s="296"/>
      <c r="E436" s="298"/>
      <c r="F436" s="299"/>
      <c r="G436" s="300"/>
      <c r="H436" s="303"/>
      <c r="I436" s="303"/>
      <c r="J436" s="322">
        <f t="shared" si="92"/>
        <v>0</v>
      </c>
      <c r="K436" s="305" t="e">
        <f>IF(F436="MXN",1/HLOOKUP(YEAR(G436)+(MONTH(G436)/100),TC!$5:$37,DAY(G436)+2,FALSE),VLOOKUP(F436,Equivalencia!$5:$23,((MAX(Equivalencia!$3:$3)-YEAR(G436))*14)+MONTH(G436)+2,FALSE))</f>
        <v>#N/A</v>
      </c>
      <c r="L436" s="306" t="e">
        <f t="shared" si="95"/>
        <v>#N/A</v>
      </c>
      <c r="M436" s="305">
        <f>IF(G436=0,0,HLOOKUP(YEAR(G436)+(MONTH(G436)/100),TC!$5:$37,DAY(G436)+2,FALSE))</f>
        <v>0</v>
      </c>
      <c r="N436" s="306" t="e">
        <f t="shared" si="96"/>
        <v>#N/A</v>
      </c>
      <c r="O436" s="308">
        <f>IF(G436=0,0,VLOOKUP(YEAR(G436),INPC!$B$4:$P$30,MONTH(G436)+2))</f>
        <v>0</v>
      </c>
      <c r="P436" s="308">
        <f>IF(W436=0,0,IF(OR(C436=$AQ$5,C436=AQ440),VLOOKUP(YEAR(W436),INPC!$B$4:$P$30,MONTH(W436)+1),VLOOKUP(YEAR(W436),INPC!$B$4:$P$30,MONTH(W436)+2)))</f>
        <v>0</v>
      </c>
      <c r="Q436" s="309">
        <f t="shared" si="97"/>
        <v>0</v>
      </c>
      <c r="R436" s="310" t="e">
        <f t="shared" si="98"/>
        <v>#N/A</v>
      </c>
      <c r="S436" s="310">
        <f t="shared" si="99"/>
        <v>0</v>
      </c>
      <c r="T436" s="567" t="str">
        <f t="shared" si="100"/>
        <v>NO</v>
      </c>
      <c r="U436" s="323"/>
      <c r="V436" s="299"/>
      <c r="W436" s="300"/>
      <c r="X436" s="299"/>
      <c r="Y436" s="303"/>
      <c r="Z436" s="305">
        <f>IF(Y436=0,0,IF(X436="MXN",1/HLOOKUP(YEAR(W436)+(MONTH(W436)/100),TC!$5:$37,DAY(W436)+2,FALSE),VLOOKUP(X436,Equivalencia!$1:$23,((MAX(Equivalencia!$3:$3)-YEAR(W436))*14)+MONTH(W436)+2,FALSE)))</f>
        <v>0</v>
      </c>
      <c r="AA436" s="306">
        <f t="shared" si="101"/>
        <v>0</v>
      </c>
      <c r="AB436" s="305">
        <f>+IF(W436=0,0,HLOOKUP(YEAR(W436)+(MONTH(W436)/100),TC!$5:$37,DAY(W436)+2,FALSE))</f>
        <v>0</v>
      </c>
      <c r="AC436" s="306">
        <f t="shared" si="102"/>
        <v>0</v>
      </c>
      <c r="AD436" s="314">
        <f t="shared" si="93"/>
        <v>0</v>
      </c>
      <c r="AE436" s="315">
        <f t="shared" si="103"/>
        <v>0</v>
      </c>
      <c r="AF436" s="316">
        <f t="shared" si="94"/>
        <v>0</v>
      </c>
      <c r="AG436" s="314">
        <v>1</v>
      </c>
      <c r="AH436" s="314">
        <f t="shared" si="104"/>
        <v>0</v>
      </c>
      <c r="AI436" s="314">
        <f t="shared" si="105"/>
        <v>0</v>
      </c>
      <c r="AJ436" s="317"/>
      <c r="AK436" s="315" t="e">
        <f t="shared" si="106"/>
        <v>#N/A</v>
      </c>
      <c r="AM436" s="561"/>
      <c r="AN436" s="561"/>
      <c r="AO436" s="561"/>
    </row>
    <row r="437" spans="2:41">
      <c r="B437" s="296"/>
      <c r="C437" s="299"/>
      <c r="D437" s="296"/>
      <c r="E437" s="298"/>
      <c r="F437" s="299"/>
      <c r="G437" s="300"/>
      <c r="H437" s="303"/>
      <c r="I437" s="303"/>
      <c r="J437" s="322">
        <f t="shared" si="92"/>
        <v>0</v>
      </c>
      <c r="K437" s="305" t="e">
        <f>IF(F437="MXN",1/HLOOKUP(YEAR(G437)+(MONTH(G437)/100),TC!$5:$37,DAY(G437)+2,FALSE),VLOOKUP(F437,Equivalencia!$5:$23,((MAX(Equivalencia!$3:$3)-YEAR(G437))*14)+MONTH(G437)+2,FALSE))</f>
        <v>#N/A</v>
      </c>
      <c r="L437" s="306" t="e">
        <f t="shared" si="95"/>
        <v>#N/A</v>
      </c>
      <c r="M437" s="305">
        <f>IF(G437=0,0,HLOOKUP(YEAR(G437)+(MONTH(G437)/100),TC!$5:$37,DAY(G437)+2,FALSE))</f>
        <v>0</v>
      </c>
      <c r="N437" s="306" t="e">
        <f t="shared" si="96"/>
        <v>#N/A</v>
      </c>
      <c r="O437" s="308">
        <f>IF(G437=0,0,VLOOKUP(YEAR(G437),INPC!$B$4:$P$30,MONTH(G437)+2))</f>
        <v>0</v>
      </c>
      <c r="P437" s="308">
        <f>IF(W437=0,0,IF(OR(C437=$AQ$5,C437=AQ441),VLOOKUP(YEAR(W437),INPC!$B$4:$P$30,MONTH(W437)+1),VLOOKUP(YEAR(W437),INPC!$B$4:$P$30,MONTH(W437)+2)))</f>
        <v>0</v>
      </c>
      <c r="Q437" s="309">
        <f t="shared" si="97"/>
        <v>0</v>
      </c>
      <c r="R437" s="310" t="e">
        <f t="shared" si="98"/>
        <v>#N/A</v>
      </c>
      <c r="S437" s="310">
        <f t="shared" si="99"/>
        <v>0</v>
      </c>
      <c r="T437" s="567" t="str">
        <f t="shared" si="100"/>
        <v>NO</v>
      </c>
      <c r="U437" s="323"/>
      <c r="V437" s="299"/>
      <c r="W437" s="300"/>
      <c r="X437" s="299"/>
      <c r="Y437" s="303"/>
      <c r="Z437" s="305">
        <f>IF(Y437=0,0,IF(X437="MXN",1/HLOOKUP(YEAR(W437)+(MONTH(W437)/100),TC!$5:$37,DAY(W437)+2,FALSE),VLOOKUP(X437,Equivalencia!$1:$23,((MAX(Equivalencia!$3:$3)-YEAR(W437))*14)+MONTH(W437)+2,FALSE)))</f>
        <v>0</v>
      </c>
      <c r="AA437" s="306">
        <f t="shared" si="101"/>
        <v>0</v>
      </c>
      <c r="AB437" s="305">
        <f>+IF(W437=0,0,HLOOKUP(YEAR(W437)+(MONTH(W437)/100),TC!$5:$37,DAY(W437)+2,FALSE))</f>
        <v>0</v>
      </c>
      <c r="AC437" s="306">
        <f t="shared" si="102"/>
        <v>0</v>
      </c>
      <c r="AD437" s="314">
        <f t="shared" si="93"/>
        <v>0</v>
      </c>
      <c r="AE437" s="315">
        <f t="shared" si="103"/>
        <v>0</v>
      </c>
      <c r="AF437" s="316">
        <f t="shared" si="94"/>
        <v>0</v>
      </c>
      <c r="AG437" s="314">
        <v>1</v>
      </c>
      <c r="AH437" s="314">
        <f t="shared" si="104"/>
        <v>0</v>
      </c>
      <c r="AI437" s="314">
        <f t="shared" si="105"/>
        <v>0</v>
      </c>
      <c r="AJ437" s="317"/>
      <c r="AK437" s="315" t="e">
        <f t="shared" si="106"/>
        <v>#N/A</v>
      </c>
      <c r="AM437" s="561"/>
      <c r="AN437" s="561"/>
      <c r="AO437" s="561"/>
    </row>
    <row r="438" spans="2:41">
      <c r="B438" s="296"/>
      <c r="C438" s="299"/>
      <c r="D438" s="296"/>
      <c r="E438" s="298"/>
      <c r="F438" s="299"/>
      <c r="G438" s="300"/>
      <c r="H438" s="303"/>
      <c r="I438" s="303"/>
      <c r="J438" s="322">
        <f t="shared" si="92"/>
        <v>0</v>
      </c>
      <c r="K438" s="305" t="e">
        <f>IF(F438="MXN",1/HLOOKUP(YEAR(G438)+(MONTH(G438)/100),TC!$5:$37,DAY(G438)+2,FALSE),VLOOKUP(F438,Equivalencia!$5:$23,((MAX(Equivalencia!$3:$3)-YEAR(G438))*14)+MONTH(G438)+2,FALSE))</f>
        <v>#N/A</v>
      </c>
      <c r="L438" s="306" t="e">
        <f t="shared" si="95"/>
        <v>#N/A</v>
      </c>
      <c r="M438" s="305">
        <f>IF(G438=0,0,HLOOKUP(YEAR(G438)+(MONTH(G438)/100),TC!$5:$37,DAY(G438)+2,FALSE))</f>
        <v>0</v>
      </c>
      <c r="N438" s="306" t="e">
        <f t="shared" si="96"/>
        <v>#N/A</v>
      </c>
      <c r="O438" s="308">
        <f>IF(G438=0,0,VLOOKUP(YEAR(G438),INPC!$B$4:$P$30,MONTH(G438)+2))</f>
        <v>0</v>
      </c>
      <c r="P438" s="308">
        <f>IF(W438=0,0,IF(OR(C438=$AQ$5,C438=AQ442),VLOOKUP(YEAR(W438),INPC!$B$4:$P$30,MONTH(W438)+1),VLOOKUP(YEAR(W438),INPC!$B$4:$P$30,MONTH(W438)+2)))</f>
        <v>0</v>
      </c>
      <c r="Q438" s="309">
        <f t="shared" si="97"/>
        <v>0</v>
      </c>
      <c r="R438" s="310" t="e">
        <f t="shared" si="98"/>
        <v>#N/A</v>
      </c>
      <c r="S438" s="310">
        <f t="shared" si="99"/>
        <v>0</v>
      </c>
      <c r="T438" s="567" t="str">
        <f t="shared" si="100"/>
        <v>NO</v>
      </c>
      <c r="U438" s="323"/>
      <c r="V438" s="299"/>
      <c r="W438" s="300"/>
      <c r="X438" s="299"/>
      <c r="Y438" s="303"/>
      <c r="Z438" s="305">
        <f>IF(Y438=0,0,IF(X438="MXN",1/HLOOKUP(YEAR(W438)+(MONTH(W438)/100),TC!$5:$37,DAY(W438)+2,FALSE),VLOOKUP(X438,Equivalencia!$1:$23,((MAX(Equivalencia!$3:$3)-YEAR(W438))*14)+MONTH(W438)+2,FALSE)))</f>
        <v>0</v>
      </c>
      <c r="AA438" s="306">
        <f t="shared" si="101"/>
        <v>0</v>
      </c>
      <c r="AB438" s="305">
        <f>+IF(W438=0,0,HLOOKUP(YEAR(W438)+(MONTH(W438)/100),TC!$5:$37,DAY(W438)+2,FALSE))</f>
        <v>0</v>
      </c>
      <c r="AC438" s="306">
        <f t="shared" si="102"/>
        <v>0</v>
      </c>
      <c r="AD438" s="314">
        <f t="shared" si="93"/>
        <v>0</v>
      </c>
      <c r="AE438" s="315">
        <f t="shared" si="103"/>
        <v>0</v>
      </c>
      <c r="AF438" s="316">
        <f t="shared" si="94"/>
        <v>0</v>
      </c>
      <c r="AG438" s="314">
        <v>1</v>
      </c>
      <c r="AH438" s="314">
        <f t="shared" si="104"/>
        <v>0</v>
      </c>
      <c r="AI438" s="314">
        <f t="shared" si="105"/>
        <v>0</v>
      </c>
      <c r="AJ438" s="317"/>
      <c r="AK438" s="315" t="e">
        <f t="shared" si="106"/>
        <v>#N/A</v>
      </c>
      <c r="AM438" s="561"/>
      <c r="AN438" s="561"/>
      <c r="AO438" s="561"/>
    </row>
    <row r="439" spans="2:41">
      <c r="B439" s="296"/>
      <c r="C439" s="299"/>
      <c r="D439" s="296"/>
      <c r="E439" s="298"/>
      <c r="F439" s="299"/>
      <c r="G439" s="300"/>
      <c r="H439" s="303"/>
      <c r="I439" s="303"/>
      <c r="J439" s="322">
        <f t="shared" si="92"/>
        <v>0</v>
      </c>
      <c r="K439" s="305" t="e">
        <f>IF(F439="MXN",1/HLOOKUP(YEAR(G439)+(MONTH(G439)/100),TC!$5:$37,DAY(G439)+2,FALSE),VLOOKUP(F439,Equivalencia!$5:$23,((MAX(Equivalencia!$3:$3)-YEAR(G439))*14)+MONTH(G439)+2,FALSE))</f>
        <v>#N/A</v>
      </c>
      <c r="L439" s="306" t="e">
        <f t="shared" si="95"/>
        <v>#N/A</v>
      </c>
      <c r="M439" s="305">
        <f>IF(G439=0,0,HLOOKUP(YEAR(G439)+(MONTH(G439)/100),TC!$5:$37,DAY(G439)+2,FALSE))</f>
        <v>0</v>
      </c>
      <c r="N439" s="306" t="e">
        <f t="shared" si="96"/>
        <v>#N/A</v>
      </c>
      <c r="O439" s="308">
        <f>IF(G439=0,0,VLOOKUP(YEAR(G439),INPC!$B$4:$P$30,MONTH(G439)+2))</f>
        <v>0</v>
      </c>
      <c r="P439" s="308">
        <f>IF(W439=0,0,IF(OR(C439=$AQ$5,C439=AQ443),VLOOKUP(YEAR(W439),INPC!$B$4:$P$30,MONTH(W439)+1),VLOOKUP(YEAR(W439),INPC!$B$4:$P$30,MONTH(W439)+2)))</f>
        <v>0</v>
      </c>
      <c r="Q439" s="309">
        <f t="shared" si="97"/>
        <v>0</v>
      </c>
      <c r="R439" s="310" t="e">
        <f t="shared" si="98"/>
        <v>#N/A</v>
      </c>
      <c r="S439" s="310">
        <f t="shared" si="99"/>
        <v>0</v>
      </c>
      <c r="T439" s="567" t="str">
        <f t="shared" si="100"/>
        <v>NO</v>
      </c>
      <c r="U439" s="323"/>
      <c r="V439" s="299"/>
      <c r="W439" s="300"/>
      <c r="X439" s="299"/>
      <c r="Y439" s="303"/>
      <c r="Z439" s="305">
        <f>IF(Y439=0,0,IF(X439="MXN",1/HLOOKUP(YEAR(W439)+(MONTH(W439)/100),TC!$5:$37,DAY(W439)+2,FALSE),VLOOKUP(X439,Equivalencia!$1:$23,((MAX(Equivalencia!$3:$3)-YEAR(W439))*14)+MONTH(W439)+2,FALSE)))</f>
        <v>0</v>
      </c>
      <c r="AA439" s="306">
        <f t="shared" si="101"/>
        <v>0</v>
      </c>
      <c r="AB439" s="305">
        <f>+IF(W439=0,0,HLOOKUP(YEAR(W439)+(MONTH(W439)/100),TC!$5:$37,DAY(W439)+2,FALSE))</f>
        <v>0</v>
      </c>
      <c r="AC439" s="306">
        <f t="shared" si="102"/>
        <v>0</v>
      </c>
      <c r="AD439" s="314">
        <f t="shared" si="93"/>
        <v>0</v>
      </c>
      <c r="AE439" s="315">
        <f t="shared" si="103"/>
        <v>0</v>
      </c>
      <c r="AF439" s="316">
        <f t="shared" si="94"/>
        <v>0</v>
      </c>
      <c r="AG439" s="314">
        <v>1</v>
      </c>
      <c r="AH439" s="314">
        <f t="shared" si="104"/>
        <v>0</v>
      </c>
      <c r="AI439" s="314">
        <f t="shared" si="105"/>
        <v>0</v>
      </c>
      <c r="AJ439" s="317"/>
      <c r="AK439" s="315" t="e">
        <f t="shared" si="106"/>
        <v>#N/A</v>
      </c>
      <c r="AM439" s="561"/>
      <c r="AN439" s="561"/>
      <c r="AO439" s="561"/>
    </row>
    <row r="440" spans="2:41">
      <c r="B440" s="296"/>
      <c r="C440" s="299"/>
      <c r="D440" s="296"/>
      <c r="E440" s="298"/>
      <c r="F440" s="299"/>
      <c r="G440" s="300"/>
      <c r="H440" s="303"/>
      <c r="I440" s="303"/>
      <c r="J440" s="322">
        <f t="shared" si="92"/>
        <v>0</v>
      </c>
      <c r="K440" s="305" t="e">
        <f>IF(F440="MXN",1/HLOOKUP(YEAR(G440)+(MONTH(G440)/100),TC!$5:$37,DAY(G440)+2,FALSE),VLOOKUP(F440,Equivalencia!$5:$23,((MAX(Equivalencia!$3:$3)-YEAR(G440))*14)+MONTH(G440)+2,FALSE))</f>
        <v>#N/A</v>
      </c>
      <c r="L440" s="306" t="e">
        <f t="shared" si="95"/>
        <v>#N/A</v>
      </c>
      <c r="M440" s="305">
        <f>IF(G440=0,0,HLOOKUP(YEAR(G440)+(MONTH(G440)/100),TC!$5:$37,DAY(G440)+2,FALSE))</f>
        <v>0</v>
      </c>
      <c r="N440" s="306" t="e">
        <f t="shared" si="96"/>
        <v>#N/A</v>
      </c>
      <c r="O440" s="308">
        <f>IF(G440=0,0,VLOOKUP(YEAR(G440),INPC!$B$4:$P$30,MONTH(G440)+2))</f>
        <v>0</v>
      </c>
      <c r="P440" s="308">
        <f>IF(W440=0,0,IF(OR(C440=$AQ$5,C440=AQ444),VLOOKUP(YEAR(W440),INPC!$B$4:$P$30,MONTH(W440)+1),VLOOKUP(YEAR(W440),INPC!$B$4:$P$30,MONTH(W440)+2)))</f>
        <v>0</v>
      </c>
      <c r="Q440" s="309">
        <f t="shared" si="97"/>
        <v>0</v>
      </c>
      <c r="R440" s="310" t="e">
        <f t="shared" si="98"/>
        <v>#N/A</v>
      </c>
      <c r="S440" s="310">
        <f t="shared" si="99"/>
        <v>0</v>
      </c>
      <c r="T440" s="567" t="str">
        <f t="shared" si="100"/>
        <v>NO</v>
      </c>
      <c r="U440" s="323"/>
      <c r="V440" s="299"/>
      <c r="W440" s="300"/>
      <c r="X440" s="299"/>
      <c r="Y440" s="303"/>
      <c r="Z440" s="305">
        <f>IF(Y440=0,0,IF(X440="MXN",1/HLOOKUP(YEAR(W440)+(MONTH(W440)/100),TC!$5:$37,DAY(W440)+2,FALSE),VLOOKUP(X440,Equivalencia!$1:$23,((MAX(Equivalencia!$3:$3)-YEAR(W440))*14)+MONTH(W440)+2,FALSE)))</f>
        <v>0</v>
      </c>
      <c r="AA440" s="306">
        <f t="shared" si="101"/>
        <v>0</v>
      </c>
      <c r="AB440" s="305">
        <f>+IF(W440=0,0,HLOOKUP(YEAR(W440)+(MONTH(W440)/100),TC!$5:$37,DAY(W440)+2,FALSE))</f>
        <v>0</v>
      </c>
      <c r="AC440" s="306">
        <f t="shared" si="102"/>
        <v>0</v>
      </c>
      <c r="AD440" s="314">
        <f t="shared" si="93"/>
        <v>0</v>
      </c>
      <c r="AE440" s="315">
        <f t="shared" si="103"/>
        <v>0</v>
      </c>
      <c r="AF440" s="316">
        <f t="shared" si="94"/>
        <v>0</v>
      </c>
      <c r="AG440" s="314">
        <v>1</v>
      </c>
      <c r="AH440" s="314">
        <f t="shared" si="104"/>
        <v>0</v>
      </c>
      <c r="AI440" s="314">
        <f t="shared" si="105"/>
        <v>0</v>
      </c>
      <c r="AJ440" s="317"/>
      <c r="AK440" s="315" t="e">
        <f t="shared" si="106"/>
        <v>#N/A</v>
      </c>
      <c r="AM440" s="561"/>
      <c r="AN440" s="561"/>
      <c r="AO440" s="561"/>
    </row>
    <row r="441" spans="2:41">
      <c r="B441" s="296"/>
      <c r="C441" s="299"/>
      <c r="D441" s="296"/>
      <c r="E441" s="298"/>
      <c r="F441" s="299"/>
      <c r="G441" s="300"/>
      <c r="H441" s="303"/>
      <c r="I441" s="303"/>
      <c r="J441" s="322">
        <f t="shared" si="92"/>
        <v>0</v>
      </c>
      <c r="K441" s="305" t="e">
        <f>IF(F441="MXN",1/HLOOKUP(YEAR(G441)+(MONTH(G441)/100),TC!$5:$37,DAY(G441)+2,FALSE),VLOOKUP(F441,Equivalencia!$5:$23,((MAX(Equivalencia!$3:$3)-YEAR(G441))*14)+MONTH(G441)+2,FALSE))</f>
        <v>#N/A</v>
      </c>
      <c r="L441" s="306" t="e">
        <f t="shared" si="95"/>
        <v>#N/A</v>
      </c>
      <c r="M441" s="305">
        <f>IF(G441=0,0,HLOOKUP(YEAR(G441)+(MONTH(G441)/100),TC!$5:$37,DAY(G441)+2,FALSE))</f>
        <v>0</v>
      </c>
      <c r="N441" s="306" t="e">
        <f t="shared" si="96"/>
        <v>#N/A</v>
      </c>
      <c r="O441" s="308">
        <f>IF(G441=0,0,VLOOKUP(YEAR(G441),INPC!$B$4:$P$30,MONTH(G441)+2))</f>
        <v>0</v>
      </c>
      <c r="P441" s="308">
        <f>IF(W441=0,0,IF(OR(C441=$AQ$5,C441=AQ445),VLOOKUP(YEAR(W441),INPC!$B$4:$P$30,MONTH(W441)+1),VLOOKUP(YEAR(W441),INPC!$B$4:$P$30,MONTH(W441)+2)))</f>
        <v>0</v>
      </c>
      <c r="Q441" s="309">
        <f t="shared" si="97"/>
        <v>0</v>
      </c>
      <c r="R441" s="310" t="e">
        <f t="shared" si="98"/>
        <v>#N/A</v>
      </c>
      <c r="S441" s="310">
        <f t="shared" si="99"/>
        <v>0</v>
      </c>
      <c r="T441" s="567" t="str">
        <f t="shared" si="100"/>
        <v>NO</v>
      </c>
      <c r="U441" s="323"/>
      <c r="V441" s="299"/>
      <c r="W441" s="300"/>
      <c r="X441" s="299"/>
      <c r="Y441" s="303"/>
      <c r="Z441" s="305">
        <f>IF(Y441=0,0,IF(X441="MXN",1/HLOOKUP(YEAR(W441)+(MONTH(W441)/100),TC!$5:$37,DAY(W441)+2,FALSE),VLOOKUP(X441,Equivalencia!$1:$23,((MAX(Equivalencia!$3:$3)-YEAR(W441))*14)+MONTH(W441)+2,FALSE)))</f>
        <v>0</v>
      </c>
      <c r="AA441" s="306">
        <f t="shared" si="101"/>
        <v>0</v>
      </c>
      <c r="AB441" s="305">
        <f>+IF(W441=0,0,HLOOKUP(YEAR(W441)+(MONTH(W441)/100),TC!$5:$37,DAY(W441)+2,FALSE))</f>
        <v>0</v>
      </c>
      <c r="AC441" s="306">
        <f t="shared" si="102"/>
        <v>0</v>
      </c>
      <c r="AD441" s="314">
        <f t="shared" si="93"/>
        <v>0</v>
      </c>
      <c r="AE441" s="315">
        <f t="shared" si="103"/>
        <v>0</v>
      </c>
      <c r="AF441" s="316">
        <f t="shared" si="94"/>
        <v>0</v>
      </c>
      <c r="AG441" s="314">
        <v>1</v>
      </c>
      <c r="AH441" s="314">
        <f t="shared" si="104"/>
        <v>0</v>
      </c>
      <c r="AI441" s="314">
        <f t="shared" si="105"/>
        <v>0</v>
      </c>
      <c r="AJ441" s="317"/>
      <c r="AK441" s="315" t="e">
        <f t="shared" si="106"/>
        <v>#N/A</v>
      </c>
      <c r="AM441" s="561"/>
      <c r="AN441" s="561"/>
      <c r="AO441" s="561"/>
    </row>
    <row r="442" spans="2:41">
      <c r="B442" s="296"/>
      <c r="C442" s="299"/>
      <c r="D442" s="296"/>
      <c r="E442" s="298"/>
      <c r="F442" s="299"/>
      <c r="G442" s="300"/>
      <c r="H442" s="303"/>
      <c r="I442" s="303"/>
      <c r="J442" s="322">
        <f t="shared" si="92"/>
        <v>0</v>
      </c>
      <c r="K442" s="305" t="e">
        <f>IF(F442="MXN",1/HLOOKUP(YEAR(G442)+(MONTH(G442)/100),TC!$5:$37,DAY(G442)+2,FALSE),VLOOKUP(F442,Equivalencia!$5:$23,((MAX(Equivalencia!$3:$3)-YEAR(G442))*14)+MONTH(G442)+2,FALSE))</f>
        <v>#N/A</v>
      </c>
      <c r="L442" s="306" t="e">
        <f t="shared" si="95"/>
        <v>#N/A</v>
      </c>
      <c r="M442" s="305">
        <f>IF(G442=0,0,HLOOKUP(YEAR(G442)+(MONTH(G442)/100),TC!$5:$37,DAY(G442)+2,FALSE))</f>
        <v>0</v>
      </c>
      <c r="N442" s="306" t="e">
        <f t="shared" si="96"/>
        <v>#N/A</v>
      </c>
      <c r="O442" s="308">
        <f>IF(G442=0,0,VLOOKUP(YEAR(G442),INPC!$B$4:$P$30,MONTH(G442)+2))</f>
        <v>0</v>
      </c>
      <c r="P442" s="308">
        <f>IF(W442=0,0,IF(OR(C442=$AQ$5,C442=AQ446),VLOOKUP(YEAR(W442),INPC!$B$4:$P$30,MONTH(W442)+1),VLOOKUP(YEAR(W442),INPC!$B$4:$P$30,MONTH(W442)+2)))</f>
        <v>0</v>
      </c>
      <c r="Q442" s="309">
        <f t="shared" si="97"/>
        <v>0</v>
      </c>
      <c r="R442" s="310" t="e">
        <f t="shared" si="98"/>
        <v>#N/A</v>
      </c>
      <c r="S442" s="310">
        <f t="shared" si="99"/>
        <v>0</v>
      </c>
      <c r="T442" s="567" t="str">
        <f t="shared" si="100"/>
        <v>NO</v>
      </c>
      <c r="U442" s="323"/>
      <c r="V442" s="299"/>
      <c r="W442" s="300"/>
      <c r="X442" s="299"/>
      <c r="Y442" s="303"/>
      <c r="Z442" s="305">
        <f>IF(Y442=0,0,IF(X442="MXN",1/HLOOKUP(YEAR(W442)+(MONTH(W442)/100),TC!$5:$37,DAY(W442)+2,FALSE),VLOOKUP(X442,Equivalencia!$1:$23,((MAX(Equivalencia!$3:$3)-YEAR(W442))*14)+MONTH(W442)+2,FALSE)))</f>
        <v>0</v>
      </c>
      <c r="AA442" s="306">
        <f t="shared" si="101"/>
        <v>0</v>
      </c>
      <c r="AB442" s="305">
        <f>+IF(W442=0,0,HLOOKUP(YEAR(W442)+(MONTH(W442)/100),TC!$5:$37,DAY(W442)+2,FALSE))</f>
        <v>0</v>
      </c>
      <c r="AC442" s="306">
        <f t="shared" si="102"/>
        <v>0</v>
      </c>
      <c r="AD442" s="314">
        <f t="shared" si="93"/>
        <v>0</v>
      </c>
      <c r="AE442" s="315">
        <f t="shared" si="103"/>
        <v>0</v>
      </c>
      <c r="AF442" s="316">
        <f t="shared" si="94"/>
        <v>0</v>
      </c>
      <c r="AG442" s="314">
        <v>1</v>
      </c>
      <c r="AH442" s="314">
        <f t="shared" si="104"/>
        <v>0</v>
      </c>
      <c r="AI442" s="314">
        <f t="shared" si="105"/>
        <v>0</v>
      </c>
      <c r="AJ442" s="317"/>
      <c r="AK442" s="315" t="e">
        <f t="shared" si="106"/>
        <v>#N/A</v>
      </c>
      <c r="AM442" s="561"/>
      <c r="AN442" s="561"/>
      <c r="AO442" s="561"/>
    </row>
    <row r="443" spans="2:41">
      <c r="B443" s="296"/>
      <c r="C443" s="299"/>
      <c r="D443" s="296"/>
      <c r="E443" s="298"/>
      <c r="F443" s="299"/>
      <c r="G443" s="300"/>
      <c r="H443" s="303"/>
      <c r="I443" s="303"/>
      <c r="J443" s="322">
        <f t="shared" si="92"/>
        <v>0</v>
      </c>
      <c r="K443" s="305" t="e">
        <f>IF(F443="MXN",1/HLOOKUP(YEAR(G443)+(MONTH(G443)/100),TC!$5:$37,DAY(G443)+2,FALSE),VLOOKUP(F443,Equivalencia!$5:$23,((MAX(Equivalencia!$3:$3)-YEAR(G443))*14)+MONTH(G443)+2,FALSE))</f>
        <v>#N/A</v>
      </c>
      <c r="L443" s="306" t="e">
        <f t="shared" si="95"/>
        <v>#N/A</v>
      </c>
      <c r="M443" s="305">
        <f>IF(G443=0,0,HLOOKUP(YEAR(G443)+(MONTH(G443)/100),TC!$5:$37,DAY(G443)+2,FALSE))</f>
        <v>0</v>
      </c>
      <c r="N443" s="306" t="e">
        <f t="shared" si="96"/>
        <v>#N/A</v>
      </c>
      <c r="O443" s="308">
        <f>IF(G443=0,0,VLOOKUP(YEAR(G443),INPC!$B$4:$P$30,MONTH(G443)+2))</f>
        <v>0</v>
      </c>
      <c r="P443" s="308">
        <f>IF(W443=0,0,IF(OR(C443=$AQ$5,C443=AQ447),VLOOKUP(YEAR(W443),INPC!$B$4:$P$30,MONTH(W443)+1),VLOOKUP(YEAR(W443),INPC!$B$4:$P$30,MONTH(W443)+2)))</f>
        <v>0</v>
      </c>
      <c r="Q443" s="309">
        <f t="shared" si="97"/>
        <v>0</v>
      </c>
      <c r="R443" s="310" t="e">
        <f t="shared" si="98"/>
        <v>#N/A</v>
      </c>
      <c r="S443" s="310">
        <f t="shared" si="99"/>
        <v>0</v>
      </c>
      <c r="T443" s="567" t="str">
        <f t="shared" si="100"/>
        <v>NO</v>
      </c>
      <c r="U443" s="323"/>
      <c r="V443" s="299"/>
      <c r="W443" s="300"/>
      <c r="X443" s="299"/>
      <c r="Y443" s="303"/>
      <c r="Z443" s="305">
        <f>IF(Y443=0,0,IF(X443="MXN",1/HLOOKUP(YEAR(W443)+(MONTH(W443)/100),TC!$5:$37,DAY(W443)+2,FALSE),VLOOKUP(X443,Equivalencia!$1:$23,((MAX(Equivalencia!$3:$3)-YEAR(W443))*14)+MONTH(W443)+2,FALSE)))</f>
        <v>0</v>
      </c>
      <c r="AA443" s="306">
        <f t="shared" si="101"/>
        <v>0</v>
      </c>
      <c r="AB443" s="305">
        <f>+IF(W443=0,0,HLOOKUP(YEAR(W443)+(MONTH(W443)/100),TC!$5:$37,DAY(W443)+2,FALSE))</f>
        <v>0</v>
      </c>
      <c r="AC443" s="306">
        <f t="shared" si="102"/>
        <v>0</v>
      </c>
      <c r="AD443" s="314">
        <f t="shared" si="93"/>
        <v>0</v>
      </c>
      <c r="AE443" s="315">
        <f t="shared" si="103"/>
        <v>0</v>
      </c>
      <c r="AF443" s="316">
        <f t="shared" si="94"/>
        <v>0</v>
      </c>
      <c r="AG443" s="314">
        <v>1</v>
      </c>
      <c r="AH443" s="314">
        <f t="shared" si="104"/>
        <v>0</v>
      </c>
      <c r="AI443" s="314">
        <f t="shared" si="105"/>
        <v>0</v>
      </c>
      <c r="AJ443" s="317"/>
      <c r="AK443" s="315" t="e">
        <f t="shared" si="106"/>
        <v>#N/A</v>
      </c>
      <c r="AM443" s="561"/>
      <c r="AN443" s="561"/>
      <c r="AO443" s="561"/>
    </row>
    <row r="444" spans="2:41">
      <c r="B444" s="296"/>
      <c r="C444" s="299"/>
      <c r="D444" s="296"/>
      <c r="E444" s="298"/>
      <c r="F444" s="299"/>
      <c r="G444" s="300"/>
      <c r="H444" s="303"/>
      <c r="I444" s="303"/>
      <c r="J444" s="322">
        <f t="shared" si="92"/>
        <v>0</v>
      </c>
      <c r="K444" s="305" t="e">
        <f>IF(F444="MXN",1/HLOOKUP(YEAR(G444)+(MONTH(G444)/100),TC!$5:$37,DAY(G444)+2,FALSE),VLOOKUP(F444,Equivalencia!$5:$23,((MAX(Equivalencia!$3:$3)-YEAR(G444))*14)+MONTH(G444)+2,FALSE))</f>
        <v>#N/A</v>
      </c>
      <c r="L444" s="306" t="e">
        <f t="shared" si="95"/>
        <v>#N/A</v>
      </c>
      <c r="M444" s="305">
        <f>IF(G444=0,0,HLOOKUP(YEAR(G444)+(MONTH(G444)/100),TC!$5:$37,DAY(G444)+2,FALSE))</f>
        <v>0</v>
      </c>
      <c r="N444" s="306" t="e">
        <f t="shared" si="96"/>
        <v>#N/A</v>
      </c>
      <c r="O444" s="308">
        <f>IF(G444=0,0,VLOOKUP(YEAR(G444),INPC!$B$4:$P$30,MONTH(G444)+2))</f>
        <v>0</v>
      </c>
      <c r="P444" s="308">
        <f>IF(W444=0,0,IF(OR(C444=$AQ$5,C444=AQ448),VLOOKUP(YEAR(W444),INPC!$B$4:$P$30,MONTH(W444)+1),VLOOKUP(YEAR(W444),INPC!$B$4:$P$30,MONTH(W444)+2)))</f>
        <v>0</v>
      </c>
      <c r="Q444" s="309">
        <f t="shared" si="97"/>
        <v>0</v>
      </c>
      <c r="R444" s="310" t="e">
        <f t="shared" si="98"/>
        <v>#N/A</v>
      </c>
      <c r="S444" s="310">
        <f t="shared" si="99"/>
        <v>0</v>
      </c>
      <c r="T444" s="567" t="str">
        <f t="shared" si="100"/>
        <v>NO</v>
      </c>
      <c r="U444" s="323"/>
      <c r="V444" s="299"/>
      <c r="W444" s="300"/>
      <c r="X444" s="299"/>
      <c r="Y444" s="303"/>
      <c r="Z444" s="305">
        <f>IF(Y444=0,0,IF(X444="MXN",1/HLOOKUP(YEAR(W444)+(MONTH(W444)/100),TC!$5:$37,DAY(W444)+2,FALSE),VLOOKUP(X444,Equivalencia!$1:$23,((MAX(Equivalencia!$3:$3)-YEAR(W444))*14)+MONTH(W444)+2,FALSE)))</f>
        <v>0</v>
      </c>
      <c r="AA444" s="306">
        <f t="shared" si="101"/>
        <v>0</v>
      </c>
      <c r="AB444" s="305">
        <f>+IF(W444=0,0,HLOOKUP(YEAR(W444)+(MONTH(W444)/100),TC!$5:$37,DAY(W444)+2,FALSE))</f>
        <v>0</v>
      </c>
      <c r="AC444" s="306">
        <f t="shared" si="102"/>
        <v>0</v>
      </c>
      <c r="AD444" s="314">
        <f t="shared" si="93"/>
        <v>0</v>
      </c>
      <c r="AE444" s="315">
        <f t="shared" si="103"/>
        <v>0</v>
      </c>
      <c r="AF444" s="316">
        <f t="shared" si="94"/>
        <v>0</v>
      </c>
      <c r="AG444" s="314">
        <v>1</v>
      </c>
      <c r="AH444" s="314">
        <f t="shared" si="104"/>
        <v>0</v>
      </c>
      <c r="AI444" s="314">
        <f t="shared" si="105"/>
        <v>0</v>
      </c>
      <c r="AJ444" s="317"/>
      <c r="AK444" s="315" t="e">
        <f t="shared" si="106"/>
        <v>#N/A</v>
      </c>
      <c r="AM444" s="561"/>
      <c r="AN444" s="561"/>
      <c r="AO444" s="561"/>
    </row>
    <row r="445" spans="2:41">
      <c r="B445" s="296"/>
      <c r="C445" s="299"/>
      <c r="D445" s="296"/>
      <c r="E445" s="298"/>
      <c r="F445" s="299"/>
      <c r="G445" s="300"/>
      <c r="H445" s="303"/>
      <c r="I445" s="303"/>
      <c r="J445" s="322">
        <f t="shared" si="92"/>
        <v>0</v>
      </c>
      <c r="K445" s="305" t="e">
        <f>IF(F445="MXN",1/HLOOKUP(YEAR(G445)+(MONTH(G445)/100),TC!$5:$37,DAY(G445)+2,FALSE),VLOOKUP(F445,Equivalencia!$5:$23,((MAX(Equivalencia!$3:$3)-YEAR(G445))*14)+MONTH(G445)+2,FALSE))</f>
        <v>#N/A</v>
      </c>
      <c r="L445" s="306" t="e">
        <f t="shared" si="95"/>
        <v>#N/A</v>
      </c>
      <c r="M445" s="305">
        <f>IF(G445=0,0,HLOOKUP(YEAR(G445)+(MONTH(G445)/100),TC!$5:$37,DAY(G445)+2,FALSE))</f>
        <v>0</v>
      </c>
      <c r="N445" s="306" t="e">
        <f t="shared" si="96"/>
        <v>#N/A</v>
      </c>
      <c r="O445" s="308">
        <f>IF(G445=0,0,VLOOKUP(YEAR(G445),INPC!$B$4:$P$30,MONTH(G445)+2))</f>
        <v>0</v>
      </c>
      <c r="P445" s="308">
        <f>IF(W445=0,0,IF(OR(C445=$AQ$5,C445=AQ449),VLOOKUP(YEAR(W445),INPC!$B$4:$P$30,MONTH(W445)+1),VLOOKUP(YEAR(W445),INPC!$B$4:$P$30,MONTH(W445)+2)))</f>
        <v>0</v>
      </c>
      <c r="Q445" s="309">
        <f t="shared" si="97"/>
        <v>0</v>
      </c>
      <c r="R445" s="310" t="e">
        <f t="shared" si="98"/>
        <v>#N/A</v>
      </c>
      <c r="S445" s="310">
        <f t="shared" si="99"/>
        <v>0</v>
      </c>
      <c r="T445" s="567" t="str">
        <f t="shared" si="100"/>
        <v>NO</v>
      </c>
      <c r="U445" s="323"/>
      <c r="V445" s="299"/>
      <c r="W445" s="300"/>
      <c r="X445" s="299"/>
      <c r="Y445" s="303"/>
      <c r="Z445" s="305">
        <f>IF(Y445=0,0,IF(X445="MXN",1/HLOOKUP(YEAR(W445)+(MONTH(W445)/100),TC!$5:$37,DAY(W445)+2,FALSE),VLOOKUP(X445,Equivalencia!$1:$23,((MAX(Equivalencia!$3:$3)-YEAR(W445))*14)+MONTH(W445)+2,FALSE)))</f>
        <v>0</v>
      </c>
      <c r="AA445" s="306">
        <f t="shared" si="101"/>
        <v>0</v>
      </c>
      <c r="AB445" s="305">
        <f>+IF(W445=0,0,HLOOKUP(YEAR(W445)+(MONTH(W445)/100),TC!$5:$37,DAY(W445)+2,FALSE))</f>
        <v>0</v>
      </c>
      <c r="AC445" s="306">
        <f t="shared" si="102"/>
        <v>0</v>
      </c>
      <c r="AD445" s="314">
        <f t="shared" si="93"/>
        <v>0</v>
      </c>
      <c r="AE445" s="315">
        <f t="shared" si="103"/>
        <v>0</v>
      </c>
      <c r="AF445" s="316">
        <f t="shared" si="94"/>
        <v>0</v>
      </c>
      <c r="AG445" s="314">
        <v>1</v>
      </c>
      <c r="AH445" s="314">
        <f t="shared" si="104"/>
        <v>0</v>
      </c>
      <c r="AI445" s="314">
        <f t="shared" si="105"/>
        <v>0</v>
      </c>
      <c r="AJ445" s="317"/>
      <c r="AK445" s="315" t="e">
        <f t="shared" si="106"/>
        <v>#N/A</v>
      </c>
      <c r="AM445" s="561"/>
      <c r="AN445" s="561"/>
      <c r="AO445" s="561"/>
    </row>
    <row r="446" spans="2:41">
      <c r="B446" s="296"/>
      <c r="C446" s="299"/>
      <c r="D446" s="296"/>
      <c r="E446" s="298"/>
      <c r="F446" s="299"/>
      <c r="G446" s="300"/>
      <c r="H446" s="303"/>
      <c r="I446" s="303"/>
      <c r="J446" s="322">
        <f t="shared" si="92"/>
        <v>0</v>
      </c>
      <c r="K446" s="305" t="e">
        <f>IF(F446="MXN",1/HLOOKUP(YEAR(G446)+(MONTH(G446)/100),TC!$5:$37,DAY(G446)+2,FALSE),VLOOKUP(F446,Equivalencia!$5:$23,((MAX(Equivalencia!$3:$3)-YEAR(G446))*14)+MONTH(G446)+2,FALSE))</f>
        <v>#N/A</v>
      </c>
      <c r="L446" s="306" t="e">
        <f t="shared" si="95"/>
        <v>#N/A</v>
      </c>
      <c r="M446" s="305">
        <f>IF(G446=0,0,HLOOKUP(YEAR(G446)+(MONTH(G446)/100),TC!$5:$37,DAY(G446)+2,FALSE))</f>
        <v>0</v>
      </c>
      <c r="N446" s="306" t="e">
        <f t="shared" si="96"/>
        <v>#N/A</v>
      </c>
      <c r="O446" s="308">
        <f>IF(G446=0,0,VLOOKUP(YEAR(G446),INPC!$B$4:$P$30,MONTH(G446)+2))</f>
        <v>0</v>
      </c>
      <c r="P446" s="308">
        <f>IF(W446=0,0,IF(OR(C446=$AQ$5,C446=AQ450),VLOOKUP(YEAR(W446),INPC!$B$4:$P$30,MONTH(W446)+1),VLOOKUP(YEAR(W446),INPC!$B$4:$P$30,MONTH(W446)+2)))</f>
        <v>0</v>
      </c>
      <c r="Q446" s="309">
        <f t="shared" si="97"/>
        <v>0</v>
      </c>
      <c r="R446" s="310" t="e">
        <f t="shared" si="98"/>
        <v>#N/A</v>
      </c>
      <c r="S446" s="310">
        <f t="shared" si="99"/>
        <v>0</v>
      </c>
      <c r="T446" s="567" t="str">
        <f t="shared" si="100"/>
        <v>NO</v>
      </c>
      <c r="U446" s="323"/>
      <c r="V446" s="299"/>
      <c r="W446" s="300"/>
      <c r="X446" s="299"/>
      <c r="Y446" s="303"/>
      <c r="Z446" s="305">
        <f>IF(Y446=0,0,IF(X446="MXN",1/HLOOKUP(YEAR(W446)+(MONTH(W446)/100),TC!$5:$37,DAY(W446)+2,FALSE),VLOOKUP(X446,Equivalencia!$1:$23,((MAX(Equivalencia!$3:$3)-YEAR(W446))*14)+MONTH(W446)+2,FALSE)))</f>
        <v>0</v>
      </c>
      <c r="AA446" s="306">
        <f t="shared" si="101"/>
        <v>0</v>
      </c>
      <c r="AB446" s="305">
        <f>+IF(W446=0,0,HLOOKUP(YEAR(W446)+(MONTH(W446)/100),TC!$5:$37,DAY(W446)+2,FALSE))</f>
        <v>0</v>
      </c>
      <c r="AC446" s="306">
        <f t="shared" si="102"/>
        <v>0</v>
      </c>
      <c r="AD446" s="314">
        <f t="shared" si="93"/>
        <v>0</v>
      </c>
      <c r="AE446" s="315">
        <f t="shared" si="103"/>
        <v>0</v>
      </c>
      <c r="AF446" s="316">
        <f t="shared" si="94"/>
        <v>0</v>
      </c>
      <c r="AG446" s="314">
        <v>1</v>
      </c>
      <c r="AH446" s="314">
        <f t="shared" si="104"/>
        <v>0</v>
      </c>
      <c r="AI446" s="314">
        <f t="shared" si="105"/>
        <v>0</v>
      </c>
      <c r="AJ446" s="317"/>
      <c r="AK446" s="315" t="e">
        <f t="shared" si="106"/>
        <v>#N/A</v>
      </c>
      <c r="AM446" s="561"/>
      <c r="AN446" s="561"/>
      <c r="AO446" s="561"/>
    </row>
    <row r="447" spans="2:41">
      <c r="B447" s="296"/>
      <c r="C447" s="299"/>
      <c r="D447" s="296"/>
      <c r="E447" s="298"/>
      <c r="F447" s="299"/>
      <c r="G447" s="300"/>
      <c r="H447" s="303"/>
      <c r="I447" s="303"/>
      <c r="J447" s="322">
        <f t="shared" si="92"/>
        <v>0</v>
      </c>
      <c r="K447" s="305" t="e">
        <f>IF(F447="MXN",1/HLOOKUP(YEAR(G447)+(MONTH(G447)/100),TC!$5:$37,DAY(G447)+2,FALSE),VLOOKUP(F447,Equivalencia!$5:$23,((MAX(Equivalencia!$3:$3)-YEAR(G447))*14)+MONTH(G447)+2,FALSE))</f>
        <v>#N/A</v>
      </c>
      <c r="L447" s="306" t="e">
        <f t="shared" si="95"/>
        <v>#N/A</v>
      </c>
      <c r="M447" s="305">
        <f>IF(G447=0,0,HLOOKUP(YEAR(G447)+(MONTH(G447)/100),TC!$5:$37,DAY(G447)+2,FALSE))</f>
        <v>0</v>
      </c>
      <c r="N447" s="306" t="e">
        <f t="shared" si="96"/>
        <v>#N/A</v>
      </c>
      <c r="O447" s="308">
        <f>IF(G447=0,0,VLOOKUP(YEAR(G447),INPC!$B$4:$P$30,MONTH(G447)+2))</f>
        <v>0</v>
      </c>
      <c r="P447" s="308">
        <f>IF(W447=0,0,IF(OR(C447=$AQ$5,C447=AQ451),VLOOKUP(YEAR(W447),INPC!$B$4:$P$30,MONTH(W447)+1),VLOOKUP(YEAR(W447),INPC!$B$4:$P$30,MONTH(W447)+2)))</f>
        <v>0</v>
      </c>
      <c r="Q447" s="309">
        <f t="shared" si="97"/>
        <v>0</v>
      </c>
      <c r="R447" s="310" t="e">
        <f t="shared" si="98"/>
        <v>#N/A</v>
      </c>
      <c r="S447" s="310">
        <f t="shared" si="99"/>
        <v>0</v>
      </c>
      <c r="T447" s="567" t="str">
        <f t="shared" si="100"/>
        <v>NO</v>
      </c>
      <c r="U447" s="323"/>
      <c r="V447" s="299"/>
      <c r="W447" s="300"/>
      <c r="X447" s="299"/>
      <c r="Y447" s="303"/>
      <c r="Z447" s="305">
        <f>IF(Y447=0,0,IF(X447="MXN",1/HLOOKUP(YEAR(W447)+(MONTH(W447)/100),TC!$5:$37,DAY(W447)+2,FALSE),VLOOKUP(X447,Equivalencia!$1:$23,((MAX(Equivalencia!$3:$3)-YEAR(W447))*14)+MONTH(W447)+2,FALSE)))</f>
        <v>0</v>
      </c>
      <c r="AA447" s="306">
        <f t="shared" si="101"/>
        <v>0</v>
      </c>
      <c r="AB447" s="305">
        <f>+IF(W447=0,0,HLOOKUP(YEAR(W447)+(MONTH(W447)/100),TC!$5:$37,DAY(W447)+2,FALSE))</f>
        <v>0</v>
      </c>
      <c r="AC447" s="306">
        <f t="shared" si="102"/>
        <v>0</v>
      </c>
      <c r="AD447" s="314">
        <f t="shared" si="93"/>
        <v>0</v>
      </c>
      <c r="AE447" s="315">
        <f t="shared" si="103"/>
        <v>0</v>
      </c>
      <c r="AF447" s="316">
        <f t="shared" si="94"/>
        <v>0</v>
      </c>
      <c r="AG447" s="314">
        <v>1</v>
      </c>
      <c r="AH447" s="314">
        <f t="shared" si="104"/>
        <v>0</v>
      </c>
      <c r="AI447" s="314">
        <f t="shared" si="105"/>
        <v>0</v>
      </c>
      <c r="AJ447" s="317"/>
      <c r="AK447" s="315" t="e">
        <f t="shared" si="106"/>
        <v>#N/A</v>
      </c>
      <c r="AM447" s="561"/>
      <c r="AN447" s="561"/>
      <c r="AO447" s="561"/>
    </row>
    <row r="448" spans="2:41">
      <c r="B448" s="296"/>
      <c r="C448" s="299"/>
      <c r="D448" s="296"/>
      <c r="E448" s="298"/>
      <c r="F448" s="299"/>
      <c r="G448" s="300"/>
      <c r="H448" s="303"/>
      <c r="I448" s="303"/>
      <c r="J448" s="322">
        <f t="shared" si="92"/>
        <v>0</v>
      </c>
      <c r="K448" s="305" t="e">
        <f>IF(F448="MXN",1/HLOOKUP(YEAR(G448)+(MONTH(G448)/100),TC!$5:$37,DAY(G448)+2,FALSE),VLOOKUP(F448,Equivalencia!$5:$23,((MAX(Equivalencia!$3:$3)-YEAR(G448))*14)+MONTH(G448)+2,FALSE))</f>
        <v>#N/A</v>
      </c>
      <c r="L448" s="306" t="e">
        <f t="shared" si="95"/>
        <v>#N/A</v>
      </c>
      <c r="M448" s="305">
        <f>IF(G448=0,0,HLOOKUP(YEAR(G448)+(MONTH(G448)/100),TC!$5:$37,DAY(G448)+2,FALSE))</f>
        <v>0</v>
      </c>
      <c r="N448" s="306" t="e">
        <f t="shared" si="96"/>
        <v>#N/A</v>
      </c>
      <c r="O448" s="308">
        <f>IF(G448=0,0,VLOOKUP(YEAR(G448),INPC!$B$4:$P$30,MONTH(G448)+2))</f>
        <v>0</v>
      </c>
      <c r="P448" s="308">
        <f>IF(W448=0,0,IF(OR(C448=$AQ$5,C448=AQ452),VLOOKUP(YEAR(W448),INPC!$B$4:$P$30,MONTH(W448)+1),VLOOKUP(YEAR(W448),INPC!$B$4:$P$30,MONTH(W448)+2)))</f>
        <v>0</v>
      </c>
      <c r="Q448" s="309">
        <f t="shared" si="97"/>
        <v>0</v>
      </c>
      <c r="R448" s="310" t="e">
        <f t="shared" si="98"/>
        <v>#N/A</v>
      </c>
      <c r="S448" s="310">
        <f t="shared" si="99"/>
        <v>0</v>
      </c>
      <c r="T448" s="567" t="str">
        <f t="shared" si="100"/>
        <v>NO</v>
      </c>
      <c r="U448" s="323"/>
      <c r="V448" s="299"/>
      <c r="W448" s="300"/>
      <c r="X448" s="299"/>
      <c r="Y448" s="303"/>
      <c r="Z448" s="305">
        <f>IF(Y448=0,0,IF(X448="MXN",1/HLOOKUP(YEAR(W448)+(MONTH(W448)/100),TC!$5:$37,DAY(W448)+2,FALSE),VLOOKUP(X448,Equivalencia!$1:$23,((MAX(Equivalencia!$3:$3)-YEAR(W448))*14)+MONTH(W448)+2,FALSE)))</f>
        <v>0</v>
      </c>
      <c r="AA448" s="306">
        <f t="shared" si="101"/>
        <v>0</v>
      </c>
      <c r="AB448" s="305">
        <f>+IF(W448=0,0,HLOOKUP(YEAR(W448)+(MONTH(W448)/100),TC!$5:$37,DAY(W448)+2,FALSE))</f>
        <v>0</v>
      </c>
      <c r="AC448" s="306">
        <f t="shared" si="102"/>
        <v>0</v>
      </c>
      <c r="AD448" s="314">
        <f t="shared" si="93"/>
        <v>0</v>
      </c>
      <c r="AE448" s="315">
        <f t="shared" si="103"/>
        <v>0</v>
      </c>
      <c r="AF448" s="316">
        <f t="shared" si="94"/>
        <v>0</v>
      </c>
      <c r="AG448" s="314">
        <v>1</v>
      </c>
      <c r="AH448" s="314">
        <f t="shared" si="104"/>
        <v>0</v>
      </c>
      <c r="AI448" s="314">
        <f t="shared" si="105"/>
        <v>0</v>
      </c>
      <c r="AJ448" s="317"/>
      <c r="AK448" s="315" t="e">
        <f t="shared" si="106"/>
        <v>#N/A</v>
      </c>
      <c r="AM448" s="561"/>
      <c r="AN448" s="561"/>
      <c r="AO448" s="561"/>
    </row>
    <row r="449" spans="2:41">
      <c r="B449" s="296"/>
      <c r="C449" s="299"/>
      <c r="D449" s="296"/>
      <c r="E449" s="298"/>
      <c r="F449" s="299"/>
      <c r="G449" s="300"/>
      <c r="H449" s="303"/>
      <c r="I449" s="303"/>
      <c r="J449" s="322">
        <f t="shared" si="92"/>
        <v>0</v>
      </c>
      <c r="K449" s="305" t="e">
        <f>IF(F449="MXN",1/HLOOKUP(YEAR(G449)+(MONTH(G449)/100),TC!$5:$37,DAY(G449)+2,FALSE),VLOOKUP(F449,Equivalencia!$5:$23,((MAX(Equivalencia!$3:$3)-YEAR(G449))*14)+MONTH(G449)+2,FALSE))</f>
        <v>#N/A</v>
      </c>
      <c r="L449" s="306" t="e">
        <f t="shared" si="95"/>
        <v>#N/A</v>
      </c>
      <c r="M449" s="305">
        <f>IF(G449=0,0,HLOOKUP(YEAR(G449)+(MONTH(G449)/100),TC!$5:$37,DAY(G449)+2,FALSE))</f>
        <v>0</v>
      </c>
      <c r="N449" s="306" t="e">
        <f t="shared" si="96"/>
        <v>#N/A</v>
      </c>
      <c r="O449" s="308">
        <f>IF(G449=0,0,VLOOKUP(YEAR(G449),INPC!$B$4:$P$30,MONTH(G449)+2))</f>
        <v>0</v>
      </c>
      <c r="P449" s="308">
        <f>IF(W449=0,0,IF(OR(C449=$AQ$5,C449=AQ453),VLOOKUP(YEAR(W449),INPC!$B$4:$P$30,MONTH(W449)+1),VLOOKUP(YEAR(W449),INPC!$B$4:$P$30,MONTH(W449)+2)))</f>
        <v>0</v>
      </c>
      <c r="Q449" s="309">
        <f t="shared" si="97"/>
        <v>0</v>
      </c>
      <c r="R449" s="310" t="e">
        <f t="shared" si="98"/>
        <v>#N/A</v>
      </c>
      <c r="S449" s="310">
        <f t="shared" si="99"/>
        <v>0</v>
      </c>
      <c r="T449" s="567" t="str">
        <f t="shared" si="100"/>
        <v>NO</v>
      </c>
      <c r="U449" s="323"/>
      <c r="V449" s="299"/>
      <c r="W449" s="300"/>
      <c r="X449" s="299"/>
      <c r="Y449" s="303"/>
      <c r="Z449" s="305">
        <f>IF(Y449=0,0,IF(X449="MXN",1/HLOOKUP(YEAR(W449)+(MONTH(W449)/100),TC!$5:$37,DAY(W449)+2,FALSE),VLOOKUP(X449,Equivalencia!$1:$23,((MAX(Equivalencia!$3:$3)-YEAR(W449))*14)+MONTH(W449)+2,FALSE)))</f>
        <v>0</v>
      </c>
      <c r="AA449" s="306">
        <f t="shared" si="101"/>
        <v>0</v>
      </c>
      <c r="AB449" s="305">
        <f>+IF(W449=0,0,HLOOKUP(YEAR(W449)+(MONTH(W449)/100),TC!$5:$37,DAY(W449)+2,FALSE))</f>
        <v>0</v>
      </c>
      <c r="AC449" s="306">
        <f t="shared" si="102"/>
        <v>0</v>
      </c>
      <c r="AD449" s="314">
        <f t="shared" si="93"/>
        <v>0</v>
      </c>
      <c r="AE449" s="315">
        <f t="shared" si="103"/>
        <v>0</v>
      </c>
      <c r="AF449" s="316">
        <f t="shared" si="94"/>
        <v>0</v>
      </c>
      <c r="AG449" s="314">
        <v>1</v>
      </c>
      <c r="AH449" s="314">
        <f t="shared" si="104"/>
        <v>0</v>
      </c>
      <c r="AI449" s="314">
        <f t="shared" si="105"/>
        <v>0</v>
      </c>
      <c r="AJ449" s="317"/>
      <c r="AK449" s="315" t="e">
        <f t="shared" si="106"/>
        <v>#N/A</v>
      </c>
      <c r="AM449" s="561"/>
      <c r="AN449" s="561"/>
      <c r="AO449" s="561"/>
    </row>
    <row r="450" spans="2:41">
      <c r="B450" s="296"/>
      <c r="C450" s="299"/>
      <c r="D450" s="296"/>
      <c r="E450" s="298"/>
      <c r="F450" s="299"/>
      <c r="G450" s="300"/>
      <c r="H450" s="303"/>
      <c r="I450" s="303"/>
      <c r="J450" s="322">
        <f t="shared" ref="J450:J500" si="107">IF(E450=0,0,IF(OR(C450=$AQ$5,C450=$AQ$6),"Derivados Cap IV, Sec II - SIC &amp; BMV","Derivados Cap IX - No SIC"))</f>
        <v>0</v>
      </c>
      <c r="K450" s="305" t="e">
        <f>IF(F450="MXN",1/HLOOKUP(YEAR(G450)+(MONTH(G450)/100),TC!$5:$37,DAY(G450)+2,FALSE),VLOOKUP(F450,Equivalencia!$5:$23,((MAX(Equivalencia!$3:$3)-YEAR(G450))*14)+MONTH(G450)+2,FALSE))</f>
        <v>#N/A</v>
      </c>
      <c r="L450" s="306" t="e">
        <f t="shared" si="95"/>
        <v>#N/A</v>
      </c>
      <c r="M450" s="305">
        <f>IF(G450=0,0,HLOOKUP(YEAR(G450)+(MONTH(G450)/100),TC!$5:$37,DAY(G450)+2,FALSE))</f>
        <v>0</v>
      </c>
      <c r="N450" s="306" t="e">
        <f t="shared" si="96"/>
        <v>#N/A</v>
      </c>
      <c r="O450" s="308">
        <f>IF(G450=0,0,VLOOKUP(YEAR(G450),INPC!$B$4:$P$30,MONTH(G450)+2))</f>
        <v>0</v>
      </c>
      <c r="P450" s="308">
        <f>IF(W450=0,0,IF(OR(C450=$AQ$5,C450=AQ454),VLOOKUP(YEAR(W450),INPC!$B$4:$P$30,MONTH(W450)+1),VLOOKUP(YEAR(W450),INPC!$B$4:$P$30,MONTH(W450)+2)))</f>
        <v>0</v>
      </c>
      <c r="Q450" s="309">
        <f t="shared" si="97"/>
        <v>0</v>
      </c>
      <c r="R450" s="310" t="e">
        <f t="shared" si="98"/>
        <v>#N/A</v>
      </c>
      <c r="S450" s="310">
        <f t="shared" si="99"/>
        <v>0</v>
      </c>
      <c r="T450" s="567" t="str">
        <f t="shared" si="100"/>
        <v>NO</v>
      </c>
      <c r="U450" s="323"/>
      <c r="V450" s="299"/>
      <c r="W450" s="300"/>
      <c r="X450" s="299"/>
      <c r="Y450" s="303"/>
      <c r="Z450" s="305">
        <f>IF(Y450=0,0,IF(X450="MXN",1/HLOOKUP(YEAR(W450)+(MONTH(W450)/100),TC!$5:$37,DAY(W450)+2,FALSE),VLOOKUP(X450,Equivalencia!$1:$23,((MAX(Equivalencia!$3:$3)-YEAR(W450))*14)+MONTH(W450)+2,FALSE)))</f>
        <v>0</v>
      </c>
      <c r="AA450" s="306">
        <f t="shared" si="101"/>
        <v>0</v>
      </c>
      <c r="AB450" s="305">
        <f>+IF(W450=0,0,HLOOKUP(YEAR(W450)+(MONTH(W450)/100),TC!$5:$37,DAY(W450)+2,FALSE))</f>
        <v>0</v>
      </c>
      <c r="AC450" s="306">
        <f t="shared" si="102"/>
        <v>0</v>
      </c>
      <c r="AD450" s="314">
        <f t="shared" ref="AD450:AD500" si="108">+U450*S450</f>
        <v>0</v>
      </c>
      <c r="AE450" s="315">
        <f t="shared" si="103"/>
        <v>0</v>
      </c>
      <c r="AF450" s="316">
        <f t="shared" ref="AF450:AF500" si="109">+IF(OR(C450=$AQ$5,C450=$AQ$6),1,((W450-G450)/365))</f>
        <v>0</v>
      </c>
      <c r="AG450" s="314">
        <v>1</v>
      </c>
      <c r="AH450" s="314">
        <f t="shared" si="104"/>
        <v>0</v>
      </c>
      <c r="AI450" s="314">
        <f t="shared" si="105"/>
        <v>0</v>
      </c>
      <c r="AJ450" s="317"/>
      <c r="AK450" s="315" t="e">
        <f t="shared" si="106"/>
        <v>#N/A</v>
      </c>
      <c r="AM450" s="561"/>
      <c r="AN450" s="561"/>
      <c r="AO450" s="561"/>
    </row>
    <row r="451" spans="2:41">
      <c r="B451" s="296"/>
      <c r="C451" s="299"/>
      <c r="D451" s="296"/>
      <c r="E451" s="298"/>
      <c r="F451" s="299"/>
      <c r="G451" s="300"/>
      <c r="H451" s="303"/>
      <c r="I451" s="303"/>
      <c r="J451" s="322">
        <f t="shared" si="107"/>
        <v>0</v>
      </c>
      <c r="K451" s="305" t="e">
        <f>IF(F451="MXN",1/HLOOKUP(YEAR(G451)+(MONTH(G451)/100),TC!$5:$37,DAY(G451)+2,FALSE),VLOOKUP(F451,Equivalencia!$5:$23,((MAX(Equivalencia!$3:$3)-YEAR(G451))*14)+MONTH(G451)+2,FALSE))</f>
        <v>#N/A</v>
      </c>
      <c r="L451" s="306" t="e">
        <f t="shared" ref="L451:L500" si="110">+I451*K451</f>
        <v>#N/A</v>
      </c>
      <c r="M451" s="305">
        <f>IF(G451=0,0,HLOOKUP(YEAR(G451)+(MONTH(G451)/100),TC!$5:$37,DAY(G451)+2,FALSE))</f>
        <v>0</v>
      </c>
      <c r="N451" s="306" t="e">
        <f t="shared" ref="N451:N500" si="111">+L451*M451</f>
        <v>#N/A</v>
      </c>
      <c r="O451" s="308">
        <f>IF(G451=0,0,VLOOKUP(YEAR(G451),INPC!$B$4:$P$30,MONTH(G451)+2))</f>
        <v>0</v>
      </c>
      <c r="P451" s="308">
        <f>IF(W451=0,0,IF(OR(C451=$AQ$5,C451=AQ455),VLOOKUP(YEAR(W451),INPC!$B$4:$P$30,MONTH(W451)+1),VLOOKUP(YEAR(W451),INPC!$B$4:$P$30,MONTH(W451)+2)))</f>
        <v>0</v>
      </c>
      <c r="Q451" s="309">
        <f t="shared" ref="Q451:Q500" si="112">IF(W451=0,0,IF(TRUNC(P451/O451,4)&gt;=1,TRUNC(P451/O451,4),1))</f>
        <v>0</v>
      </c>
      <c r="R451" s="310" t="e">
        <f t="shared" ref="R451:R500" si="113">+Q451*N451</f>
        <v>#N/A</v>
      </c>
      <c r="S451" s="310">
        <f t="shared" ref="S451:S500" si="114">IF(U451=0,0,R451/U451)</f>
        <v>0</v>
      </c>
      <c r="T451" s="567" t="str">
        <f t="shared" ref="T451:T500" si="115">+IF(W451=0,"NO","SI")</f>
        <v>NO</v>
      </c>
      <c r="U451" s="323"/>
      <c r="V451" s="299"/>
      <c r="W451" s="300"/>
      <c r="X451" s="299"/>
      <c r="Y451" s="303"/>
      <c r="Z451" s="305">
        <f>IF(Y451=0,0,IF(X451="MXN",1/HLOOKUP(YEAR(W451)+(MONTH(W451)/100),TC!$5:$37,DAY(W451)+2,FALSE),VLOOKUP(X451,Equivalencia!$1:$23,((MAX(Equivalencia!$3:$3)-YEAR(W451))*14)+MONTH(W451)+2,FALSE)))</f>
        <v>0</v>
      </c>
      <c r="AA451" s="306">
        <f t="shared" ref="AA451:AA500" si="116">+Z451*Y451</f>
        <v>0</v>
      </c>
      <c r="AB451" s="305">
        <f>+IF(W451=0,0,HLOOKUP(YEAR(W451)+(MONTH(W451)/100),TC!$5:$37,DAY(W451)+2,FALSE))</f>
        <v>0</v>
      </c>
      <c r="AC451" s="306">
        <f t="shared" ref="AC451:AC500" si="117">+AB451*AA451</f>
        <v>0</v>
      </c>
      <c r="AD451" s="314">
        <f t="shared" si="108"/>
        <v>0</v>
      </c>
      <c r="AE451" s="315">
        <f t="shared" ref="AE451:AE500" si="118">AC451+AD451</f>
        <v>0</v>
      </c>
      <c r="AF451" s="316">
        <f t="shared" si="109"/>
        <v>0</v>
      </c>
      <c r="AG451" s="314">
        <v>1</v>
      </c>
      <c r="AH451" s="314">
        <f t="shared" ref="AH451:AH500" si="119">(AE451/AG451)</f>
        <v>0</v>
      </c>
      <c r="AI451" s="314">
        <f t="shared" ref="AI451:AI500" si="120">+AE451-AH451</f>
        <v>0</v>
      </c>
      <c r="AJ451" s="317"/>
      <c r="AK451" s="315" t="e">
        <f t="shared" ref="AK451:AK500" si="121">+AA451+L451</f>
        <v>#N/A</v>
      </c>
      <c r="AM451" s="561"/>
      <c r="AN451" s="561"/>
      <c r="AO451" s="561"/>
    </row>
    <row r="452" spans="2:41">
      <c r="B452" s="296"/>
      <c r="C452" s="299"/>
      <c r="D452" s="296"/>
      <c r="E452" s="298"/>
      <c r="F452" s="299"/>
      <c r="G452" s="300"/>
      <c r="H452" s="303"/>
      <c r="I452" s="303"/>
      <c r="J452" s="322">
        <f t="shared" si="107"/>
        <v>0</v>
      </c>
      <c r="K452" s="305" t="e">
        <f>IF(F452="MXN",1/HLOOKUP(YEAR(G452)+(MONTH(G452)/100),TC!$5:$37,DAY(G452)+2,FALSE),VLOOKUP(F452,Equivalencia!$5:$23,((MAX(Equivalencia!$3:$3)-YEAR(G452))*14)+MONTH(G452)+2,FALSE))</f>
        <v>#N/A</v>
      </c>
      <c r="L452" s="306" t="e">
        <f t="shared" si="110"/>
        <v>#N/A</v>
      </c>
      <c r="M452" s="305">
        <f>IF(G452=0,0,HLOOKUP(YEAR(G452)+(MONTH(G452)/100),TC!$5:$37,DAY(G452)+2,FALSE))</f>
        <v>0</v>
      </c>
      <c r="N452" s="306" t="e">
        <f t="shared" si="111"/>
        <v>#N/A</v>
      </c>
      <c r="O452" s="308">
        <f>IF(G452=0,0,VLOOKUP(YEAR(G452),INPC!$B$4:$P$30,MONTH(G452)+2))</f>
        <v>0</v>
      </c>
      <c r="P452" s="308">
        <f>IF(W452=0,0,IF(OR(C452=$AQ$5,C452=AQ456),VLOOKUP(YEAR(W452),INPC!$B$4:$P$30,MONTH(W452)+1),VLOOKUP(YEAR(W452),INPC!$B$4:$P$30,MONTH(W452)+2)))</f>
        <v>0</v>
      </c>
      <c r="Q452" s="309">
        <f t="shared" si="112"/>
        <v>0</v>
      </c>
      <c r="R452" s="310" t="e">
        <f t="shared" si="113"/>
        <v>#N/A</v>
      </c>
      <c r="S452" s="310">
        <f t="shared" si="114"/>
        <v>0</v>
      </c>
      <c r="T452" s="567" t="str">
        <f t="shared" si="115"/>
        <v>NO</v>
      </c>
      <c r="U452" s="323"/>
      <c r="V452" s="299"/>
      <c r="W452" s="300"/>
      <c r="X452" s="299"/>
      <c r="Y452" s="303"/>
      <c r="Z452" s="305">
        <f>IF(Y452=0,0,IF(X452="MXN",1/HLOOKUP(YEAR(W452)+(MONTH(W452)/100),TC!$5:$37,DAY(W452)+2,FALSE),VLOOKUP(X452,Equivalencia!$1:$23,((MAX(Equivalencia!$3:$3)-YEAR(W452))*14)+MONTH(W452)+2,FALSE)))</f>
        <v>0</v>
      </c>
      <c r="AA452" s="306">
        <f t="shared" si="116"/>
        <v>0</v>
      </c>
      <c r="AB452" s="305">
        <f>+IF(W452=0,0,HLOOKUP(YEAR(W452)+(MONTH(W452)/100),TC!$5:$37,DAY(W452)+2,FALSE))</f>
        <v>0</v>
      </c>
      <c r="AC452" s="306">
        <f t="shared" si="117"/>
        <v>0</v>
      </c>
      <c r="AD452" s="314">
        <f t="shared" si="108"/>
        <v>0</v>
      </c>
      <c r="AE452" s="315">
        <f t="shared" si="118"/>
        <v>0</v>
      </c>
      <c r="AF452" s="316">
        <f t="shared" si="109"/>
        <v>0</v>
      </c>
      <c r="AG452" s="314">
        <v>1</v>
      </c>
      <c r="AH452" s="314">
        <f t="shared" si="119"/>
        <v>0</v>
      </c>
      <c r="AI452" s="314">
        <f t="shared" si="120"/>
        <v>0</v>
      </c>
      <c r="AJ452" s="317"/>
      <c r="AK452" s="315" t="e">
        <f t="shared" si="121"/>
        <v>#N/A</v>
      </c>
      <c r="AM452" s="561"/>
      <c r="AN452" s="561"/>
      <c r="AO452" s="561"/>
    </row>
    <row r="453" spans="2:41">
      <c r="B453" s="296"/>
      <c r="C453" s="299"/>
      <c r="D453" s="296"/>
      <c r="E453" s="298"/>
      <c r="F453" s="299"/>
      <c r="G453" s="300"/>
      <c r="H453" s="303"/>
      <c r="I453" s="303"/>
      <c r="J453" s="322">
        <f t="shared" si="107"/>
        <v>0</v>
      </c>
      <c r="K453" s="305" t="e">
        <f>IF(F453="MXN",1/HLOOKUP(YEAR(G453)+(MONTH(G453)/100),TC!$5:$37,DAY(G453)+2,FALSE),VLOOKUP(F453,Equivalencia!$5:$23,((MAX(Equivalencia!$3:$3)-YEAR(G453))*14)+MONTH(G453)+2,FALSE))</f>
        <v>#N/A</v>
      </c>
      <c r="L453" s="306" t="e">
        <f t="shared" si="110"/>
        <v>#N/A</v>
      </c>
      <c r="M453" s="305">
        <f>IF(G453=0,0,HLOOKUP(YEAR(G453)+(MONTH(G453)/100),TC!$5:$37,DAY(G453)+2,FALSE))</f>
        <v>0</v>
      </c>
      <c r="N453" s="306" t="e">
        <f t="shared" si="111"/>
        <v>#N/A</v>
      </c>
      <c r="O453" s="308">
        <f>IF(G453=0,0,VLOOKUP(YEAR(G453),INPC!$B$4:$P$30,MONTH(G453)+2))</f>
        <v>0</v>
      </c>
      <c r="P453" s="308">
        <f>IF(W453=0,0,IF(OR(C453=$AQ$5,C453=AQ457),VLOOKUP(YEAR(W453),INPC!$B$4:$P$30,MONTH(W453)+1),VLOOKUP(YEAR(W453),INPC!$B$4:$P$30,MONTH(W453)+2)))</f>
        <v>0</v>
      </c>
      <c r="Q453" s="309">
        <f t="shared" si="112"/>
        <v>0</v>
      </c>
      <c r="R453" s="310" t="e">
        <f t="shared" si="113"/>
        <v>#N/A</v>
      </c>
      <c r="S453" s="310">
        <f t="shared" si="114"/>
        <v>0</v>
      </c>
      <c r="T453" s="567" t="str">
        <f t="shared" si="115"/>
        <v>NO</v>
      </c>
      <c r="U453" s="323"/>
      <c r="V453" s="299"/>
      <c r="W453" s="300"/>
      <c r="X453" s="299"/>
      <c r="Y453" s="303"/>
      <c r="Z453" s="305">
        <f>IF(Y453=0,0,IF(X453="MXN",1/HLOOKUP(YEAR(W453)+(MONTH(W453)/100),TC!$5:$37,DAY(W453)+2,FALSE),VLOOKUP(X453,Equivalencia!$1:$23,((MAX(Equivalencia!$3:$3)-YEAR(W453))*14)+MONTH(W453)+2,FALSE)))</f>
        <v>0</v>
      </c>
      <c r="AA453" s="306">
        <f t="shared" si="116"/>
        <v>0</v>
      </c>
      <c r="AB453" s="305">
        <f>+IF(W453=0,0,HLOOKUP(YEAR(W453)+(MONTH(W453)/100),TC!$5:$37,DAY(W453)+2,FALSE))</f>
        <v>0</v>
      </c>
      <c r="AC453" s="306">
        <f t="shared" si="117"/>
        <v>0</v>
      </c>
      <c r="AD453" s="314">
        <f t="shared" si="108"/>
        <v>0</v>
      </c>
      <c r="AE453" s="315">
        <f t="shared" si="118"/>
        <v>0</v>
      </c>
      <c r="AF453" s="316">
        <f t="shared" si="109"/>
        <v>0</v>
      </c>
      <c r="AG453" s="314">
        <v>1</v>
      </c>
      <c r="AH453" s="314">
        <f t="shared" si="119"/>
        <v>0</v>
      </c>
      <c r="AI453" s="314">
        <f t="shared" si="120"/>
        <v>0</v>
      </c>
      <c r="AJ453" s="317"/>
      <c r="AK453" s="315" t="e">
        <f t="shared" si="121"/>
        <v>#N/A</v>
      </c>
      <c r="AM453" s="561"/>
      <c r="AN453" s="561"/>
      <c r="AO453" s="561"/>
    </row>
    <row r="454" spans="2:41">
      <c r="B454" s="296"/>
      <c r="C454" s="299"/>
      <c r="D454" s="296"/>
      <c r="E454" s="298"/>
      <c r="F454" s="299"/>
      <c r="G454" s="300"/>
      <c r="H454" s="303"/>
      <c r="I454" s="303"/>
      <c r="J454" s="322">
        <f t="shared" si="107"/>
        <v>0</v>
      </c>
      <c r="K454" s="305" t="e">
        <f>IF(F454="MXN",1/HLOOKUP(YEAR(G454)+(MONTH(G454)/100),TC!$5:$37,DAY(G454)+2,FALSE),VLOOKUP(F454,Equivalencia!$5:$23,((MAX(Equivalencia!$3:$3)-YEAR(G454))*14)+MONTH(G454)+2,FALSE))</f>
        <v>#N/A</v>
      </c>
      <c r="L454" s="306" t="e">
        <f t="shared" si="110"/>
        <v>#N/A</v>
      </c>
      <c r="M454" s="305">
        <f>IF(G454=0,0,HLOOKUP(YEAR(G454)+(MONTH(G454)/100),TC!$5:$37,DAY(G454)+2,FALSE))</f>
        <v>0</v>
      </c>
      <c r="N454" s="306" t="e">
        <f t="shared" si="111"/>
        <v>#N/A</v>
      </c>
      <c r="O454" s="308">
        <f>IF(G454=0,0,VLOOKUP(YEAR(G454),INPC!$B$4:$P$30,MONTH(G454)+2))</f>
        <v>0</v>
      </c>
      <c r="P454" s="308">
        <f>IF(W454=0,0,IF(OR(C454=$AQ$5,C454=AQ458),VLOOKUP(YEAR(W454),INPC!$B$4:$P$30,MONTH(W454)+1),VLOOKUP(YEAR(W454),INPC!$B$4:$P$30,MONTH(W454)+2)))</f>
        <v>0</v>
      </c>
      <c r="Q454" s="309">
        <f t="shared" si="112"/>
        <v>0</v>
      </c>
      <c r="R454" s="310" t="e">
        <f t="shared" si="113"/>
        <v>#N/A</v>
      </c>
      <c r="S454" s="310">
        <f t="shared" si="114"/>
        <v>0</v>
      </c>
      <c r="T454" s="567" t="str">
        <f t="shared" si="115"/>
        <v>NO</v>
      </c>
      <c r="U454" s="323"/>
      <c r="V454" s="299"/>
      <c r="W454" s="300"/>
      <c r="X454" s="299"/>
      <c r="Y454" s="303"/>
      <c r="Z454" s="305">
        <f>IF(Y454=0,0,IF(X454="MXN",1/HLOOKUP(YEAR(W454)+(MONTH(W454)/100),TC!$5:$37,DAY(W454)+2,FALSE),VLOOKUP(X454,Equivalencia!$1:$23,((MAX(Equivalencia!$3:$3)-YEAR(W454))*14)+MONTH(W454)+2,FALSE)))</f>
        <v>0</v>
      </c>
      <c r="AA454" s="306">
        <f t="shared" si="116"/>
        <v>0</v>
      </c>
      <c r="AB454" s="305">
        <f>+IF(W454=0,0,HLOOKUP(YEAR(W454)+(MONTH(W454)/100),TC!$5:$37,DAY(W454)+2,FALSE))</f>
        <v>0</v>
      </c>
      <c r="AC454" s="306">
        <f t="shared" si="117"/>
        <v>0</v>
      </c>
      <c r="AD454" s="314">
        <f t="shared" si="108"/>
        <v>0</v>
      </c>
      <c r="AE454" s="315">
        <f t="shared" si="118"/>
        <v>0</v>
      </c>
      <c r="AF454" s="316">
        <f t="shared" si="109"/>
        <v>0</v>
      </c>
      <c r="AG454" s="314">
        <v>1</v>
      </c>
      <c r="AH454" s="314">
        <f t="shared" si="119"/>
        <v>0</v>
      </c>
      <c r="AI454" s="314">
        <f t="shared" si="120"/>
        <v>0</v>
      </c>
      <c r="AJ454" s="317"/>
      <c r="AK454" s="315" t="e">
        <f t="shared" si="121"/>
        <v>#N/A</v>
      </c>
      <c r="AM454" s="561"/>
      <c r="AN454" s="561"/>
      <c r="AO454" s="561"/>
    </row>
    <row r="455" spans="2:41">
      <c r="B455" s="296"/>
      <c r="C455" s="299"/>
      <c r="D455" s="296"/>
      <c r="E455" s="298"/>
      <c r="F455" s="299"/>
      <c r="G455" s="300"/>
      <c r="H455" s="303"/>
      <c r="I455" s="303"/>
      <c r="J455" s="322">
        <f t="shared" si="107"/>
        <v>0</v>
      </c>
      <c r="K455" s="305" t="e">
        <f>IF(F455="MXN",1/HLOOKUP(YEAR(G455)+(MONTH(G455)/100),TC!$5:$37,DAY(G455)+2,FALSE),VLOOKUP(F455,Equivalencia!$5:$23,((MAX(Equivalencia!$3:$3)-YEAR(G455))*14)+MONTH(G455)+2,FALSE))</f>
        <v>#N/A</v>
      </c>
      <c r="L455" s="306" t="e">
        <f t="shared" si="110"/>
        <v>#N/A</v>
      </c>
      <c r="M455" s="305">
        <f>IF(G455=0,0,HLOOKUP(YEAR(G455)+(MONTH(G455)/100),TC!$5:$37,DAY(G455)+2,FALSE))</f>
        <v>0</v>
      </c>
      <c r="N455" s="306" t="e">
        <f t="shared" si="111"/>
        <v>#N/A</v>
      </c>
      <c r="O455" s="308">
        <f>IF(G455=0,0,VLOOKUP(YEAR(G455),INPC!$B$4:$P$30,MONTH(G455)+2))</f>
        <v>0</v>
      </c>
      <c r="P455" s="308">
        <f>IF(W455=0,0,IF(OR(C455=$AQ$5,C455=AQ459),VLOOKUP(YEAR(W455),INPC!$B$4:$P$30,MONTH(W455)+1),VLOOKUP(YEAR(W455),INPC!$B$4:$P$30,MONTH(W455)+2)))</f>
        <v>0</v>
      </c>
      <c r="Q455" s="309">
        <f t="shared" si="112"/>
        <v>0</v>
      </c>
      <c r="R455" s="310" t="e">
        <f t="shared" si="113"/>
        <v>#N/A</v>
      </c>
      <c r="S455" s="310">
        <f t="shared" si="114"/>
        <v>0</v>
      </c>
      <c r="T455" s="567" t="str">
        <f t="shared" si="115"/>
        <v>NO</v>
      </c>
      <c r="U455" s="323"/>
      <c r="V455" s="299"/>
      <c r="W455" s="300"/>
      <c r="X455" s="299"/>
      <c r="Y455" s="303"/>
      <c r="Z455" s="305">
        <f>IF(Y455=0,0,IF(X455="MXN",1/HLOOKUP(YEAR(W455)+(MONTH(W455)/100),TC!$5:$37,DAY(W455)+2,FALSE),VLOOKUP(X455,Equivalencia!$1:$23,((MAX(Equivalencia!$3:$3)-YEAR(W455))*14)+MONTH(W455)+2,FALSE)))</f>
        <v>0</v>
      </c>
      <c r="AA455" s="306">
        <f t="shared" si="116"/>
        <v>0</v>
      </c>
      <c r="AB455" s="305">
        <f>+IF(W455=0,0,HLOOKUP(YEAR(W455)+(MONTH(W455)/100),TC!$5:$37,DAY(W455)+2,FALSE))</f>
        <v>0</v>
      </c>
      <c r="AC455" s="306">
        <f t="shared" si="117"/>
        <v>0</v>
      </c>
      <c r="AD455" s="314">
        <f t="shared" si="108"/>
        <v>0</v>
      </c>
      <c r="AE455" s="315">
        <f t="shared" si="118"/>
        <v>0</v>
      </c>
      <c r="AF455" s="316">
        <f t="shared" si="109"/>
        <v>0</v>
      </c>
      <c r="AG455" s="314">
        <v>1</v>
      </c>
      <c r="AH455" s="314">
        <f t="shared" si="119"/>
        <v>0</v>
      </c>
      <c r="AI455" s="314">
        <f t="shared" si="120"/>
        <v>0</v>
      </c>
      <c r="AJ455" s="317"/>
      <c r="AK455" s="315" t="e">
        <f t="shared" si="121"/>
        <v>#N/A</v>
      </c>
      <c r="AM455" s="561"/>
      <c r="AN455" s="561"/>
      <c r="AO455" s="561"/>
    </row>
    <row r="456" spans="2:41">
      <c r="B456" s="296"/>
      <c r="C456" s="299"/>
      <c r="D456" s="296"/>
      <c r="E456" s="298"/>
      <c r="F456" s="299"/>
      <c r="G456" s="300"/>
      <c r="H456" s="303"/>
      <c r="I456" s="303"/>
      <c r="J456" s="322">
        <f t="shared" si="107"/>
        <v>0</v>
      </c>
      <c r="K456" s="305" t="e">
        <f>IF(F456="MXN",1/HLOOKUP(YEAR(G456)+(MONTH(G456)/100),TC!$5:$37,DAY(G456)+2,FALSE),VLOOKUP(F456,Equivalencia!$5:$23,((MAX(Equivalencia!$3:$3)-YEAR(G456))*14)+MONTH(G456)+2,FALSE))</f>
        <v>#N/A</v>
      </c>
      <c r="L456" s="306" t="e">
        <f t="shared" si="110"/>
        <v>#N/A</v>
      </c>
      <c r="M456" s="305">
        <f>IF(G456=0,0,HLOOKUP(YEAR(G456)+(MONTH(G456)/100),TC!$5:$37,DAY(G456)+2,FALSE))</f>
        <v>0</v>
      </c>
      <c r="N456" s="306" t="e">
        <f t="shared" si="111"/>
        <v>#N/A</v>
      </c>
      <c r="O456" s="308">
        <f>IF(G456=0,0,VLOOKUP(YEAR(G456),INPC!$B$4:$P$30,MONTH(G456)+2))</f>
        <v>0</v>
      </c>
      <c r="P456" s="308">
        <f>IF(W456=0,0,IF(OR(C456=$AQ$5,C456=AQ460),VLOOKUP(YEAR(W456),INPC!$B$4:$P$30,MONTH(W456)+1),VLOOKUP(YEAR(W456),INPC!$B$4:$P$30,MONTH(W456)+2)))</f>
        <v>0</v>
      </c>
      <c r="Q456" s="309">
        <f t="shared" si="112"/>
        <v>0</v>
      </c>
      <c r="R456" s="310" t="e">
        <f t="shared" si="113"/>
        <v>#N/A</v>
      </c>
      <c r="S456" s="310">
        <f t="shared" si="114"/>
        <v>0</v>
      </c>
      <c r="T456" s="567" t="str">
        <f t="shared" si="115"/>
        <v>NO</v>
      </c>
      <c r="U456" s="323"/>
      <c r="V456" s="299"/>
      <c r="W456" s="300"/>
      <c r="X456" s="299"/>
      <c r="Y456" s="303"/>
      <c r="Z456" s="305">
        <f>IF(Y456=0,0,IF(X456="MXN",1/HLOOKUP(YEAR(W456)+(MONTH(W456)/100),TC!$5:$37,DAY(W456)+2,FALSE),VLOOKUP(X456,Equivalencia!$1:$23,((MAX(Equivalencia!$3:$3)-YEAR(W456))*14)+MONTH(W456)+2,FALSE)))</f>
        <v>0</v>
      </c>
      <c r="AA456" s="306">
        <f t="shared" si="116"/>
        <v>0</v>
      </c>
      <c r="AB456" s="305">
        <f>+IF(W456=0,0,HLOOKUP(YEAR(W456)+(MONTH(W456)/100),TC!$5:$37,DAY(W456)+2,FALSE))</f>
        <v>0</v>
      </c>
      <c r="AC456" s="306">
        <f t="shared" si="117"/>
        <v>0</v>
      </c>
      <c r="AD456" s="314">
        <f t="shared" si="108"/>
        <v>0</v>
      </c>
      <c r="AE456" s="315">
        <f t="shared" si="118"/>
        <v>0</v>
      </c>
      <c r="AF456" s="316">
        <f t="shared" si="109"/>
        <v>0</v>
      </c>
      <c r="AG456" s="314">
        <v>1</v>
      </c>
      <c r="AH456" s="314">
        <f t="shared" si="119"/>
        <v>0</v>
      </c>
      <c r="AI456" s="314">
        <f t="shared" si="120"/>
        <v>0</v>
      </c>
      <c r="AJ456" s="317"/>
      <c r="AK456" s="315" t="e">
        <f t="shared" si="121"/>
        <v>#N/A</v>
      </c>
      <c r="AM456" s="561"/>
      <c r="AN456" s="561"/>
      <c r="AO456" s="561"/>
    </row>
    <row r="457" spans="2:41">
      <c r="B457" s="296"/>
      <c r="C457" s="299"/>
      <c r="D457" s="296"/>
      <c r="E457" s="298"/>
      <c r="F457" s="299"/>
      <c r="G457" s="300"/>
      <c r="H457" s="303"/>
      <c r="I457" s="303"/>
      <c r="J457" s="322">
        <f t="shared" si="107"/>
        <v>0</v>
      </c>
      <c r="K457" s="305" t="e">
        <f>IF(F457="MXN",1/HLOOKUP(YEAR(G457)+(MONTH(G457)/100),TC!$5:$37,DAY(G457)+2,FALSE),VLOOKUP(F457,Equivalencia!$5:$23,((MAX(Equivalencia!$3:$3)-YEAR(G457))*14)+MONTH(G457)+2,FALSE))</f>
        <v>#N/A</v>
      </c>
      <c r="L457" s="306" t="e">
        <f t="shared" si="110"/>
        <v>#N/A</v>
      </c>
      <c r="M457" s="305">
        <f>IF(G457=0,0,HLOOKUP(YEAR(G457)+(MONTH(G457)/100),TC!$5:$37,DAY(G457)+2,FALSE))</f>
        <v>0</v>
      </c>
      <c r="N457" s="306" t="e">
        <f t="shared" si="111"/>
        <v>#N/A</v>
      </c>
      <c r="O457" s="308">
        <f>IF(G457=0,0,VLOOKUP(YEAR(G457),INPC!$B$4:$P$30,MONTH(G457)+2))</f>
        <v>0</v>
      </c>
      <c r="P457" s="308">
        <f>IF(W457=0,0,IF(OR(C457=$AQ$5,C457=AQ461),VLOOKUP(YEAR(W457),INPC!$B$4:$P$30,MONTH(W457)+1),VLOOKUP(YEAR(W457),INPC!$B$4:$P$30,MONTH(W457)+2)))</f>
        <v>0</v>
      </c>
      <c r="Q457" s="309">
        <f t="shared" si="112"/>
        <v>0</v>
      </c>
      <c r="R457" s="310" t="e">
        <f t="shared" si="113"/>
        <v>#N/A</v>
      </c>
      <c r="S457" s="310">
        <f t="shared" si="114"/>
        <v>0</v>
      </c>
      <c r="T457" s="567" t="str">
        <f t="shared" si="115"/>
        <v>NO</v>
      </c>
      <c r="U457" s="323"/>
      <c r="V457" s="299"/>
      <c r="W457" s="300"/>
      <c r="X457" s="299"/>
      <c r="Y457" s="303"/>
      <c r="Z457" s="305">
        <f>IF(Y457=0,0,IF(X457="MXN",1/HLOOKUP(YEAR(W457)+(MONTH(W457)/100),TC!$5:$37,DAY(W457)+2,FALSE),VLOOKUP(X457,Equivalencia!$1:$23,((MAX(Equivalencia!$3:$3)-YEAR(W457))*14)+MONTH(W457)+2,FALSE)))</f>
        <v>0</v>
      </c>
      <c r="AA457" s="306">
        <f t="shared" si="116"/>
        <v>0</v>
      </c>
      <c r="AB457" s="305">
        <f>+IF(W457=0,0,HLOOKUP(YEAR(W457)+(MONTH(W457)/100),TC!$5:$37,DAY(W457)+2,FALSE))</f>
        <v>0</v>
      </c>
      <c r="AC457" s="306">
        <f t="shared" si="117"/>
        <v>0</v>
      </c>
      <c r="AD457" s="314">
        <f t="shared" si="108"/>
        <v>0</v>
      </c>
      <c r="AE457" s="315">
        <f t="shared" si="118"/>
        <v>0</v>
      </c>
      <c r="AF457" s="316">
        <f t="shared" si="109"/>
        <v>0</v>
      </c>
      <c r="AG457" s="314">
        <v>1</v>
      </c>
      <c r="AH457" s="314">
        <f t="shared" si="119"/>
        <v>0</v>
      </c>
      <c r="AI457" s="314">
        <f t="shared" si="120"/>
        <v>0</v>
      </c>
      <c r="AJ457" s="317"/>
      <c r="AK457" s="315" t="e">
        <f t="shared" si="121"/>
        <v>#N/A</v>
      </c>
      <c r="AM457" s="561"/>
      <c r="AN457" s="561"/>
      <c r="AO457" s="561"/>
    </row>
    <row r="458" spans="2:41">
      <c r="B458" s="296"/>
      <c r="C458" s="299"/>
      <c r="D458" s="296"/>
      <c r="E458" s="298"/>
      <c r="F458" s="299"/>
      <c r="G458" s="300"/>
      <c r="H458" s="303"/>
      <c r="I458" s="303"/>
      <c r="J458" s="322">
        <f t="shared" si="107"/>
        <v>0</v>
      </c>
      <c r="K458" s="305" t="e">
        <f>IF(F458="MXN",1/HLOOKUP(YEAR(G458)+(MONTH(G458)/100),TC!$5:$37,DAY(G458)+2,FALSE),VLOOKUP(F458,Equivalencia!$5:$23,((MAX(Equivalencia!$3:$3)-YEAR(G458))*14)+MONTH(G458)+2,FALSE))</f>
        <v>#N/A</v>
      </c>
      <c r="L458" s="306" t="e">
        <f t="shared" si="110"/>
        <v>#N/A</v>
      </c>
      <c r="M458" s="305">
        <f>IF(G458=0,0,HLOOKUP(YEAR(G458)+(MONTH(G458)/100),TC!$5:$37,DAY(G458)+2,FALSE))</f>
        <v>0</v>
      </c>
      <c r="N458" s="306" t="e">
        <f t="shared" si="111"/>
        <v>#N/A</v>
      </c>
      <c r="O458" s="308">
        <f>IF(G458=0,0,VLOOKUP(YEAR(G458),INPC!$B$4:$P$30,MONTH(G458)+2))</f>
        <v>0</v>
      </c>
      <c r="P458" s="308">
        <f>IF(W458=0,0,IF(OR(C458=$AQ$5,C458=AQ462),VLOOKUP(YEAR(W458),INPC!$B$4:$P$30,MONTH(W458)+1),VLOOKUP(YEAR(W458),INPC!$B$4:$P$30,MONTH(W458)+2)))</f>
        <v>0</v>
      </c>
      <c r="Q458" s="309">
        <f t="shared" si="112"/>
        <v>0</v>
      </c>
      <c r="R458" s="310" t="e">
        <f t="shared" si="113"/>
        <v>#N/A</v>
      </c>
      <c r="S458" s="310">
        <f t="shared" si="114"/>
        <v>0</v>
      </c>
      <c r="T458" s="567" t="str">
        <f t="shared" si="115"/>
        <v>NO</v>
      </c>
      <c r="U458" s="323"/>
      <c r="V458" s="299"/>
      <c r="W458" s="300"/>
      <c r="X458" s="299"/>
      <c r="Y458" s="303"/>
      <c r="Z458" s="305">
        <f>IF(Y458=0,0,IF(X458="MXN",1/HLOOKUP(YEAR(W458)+(MONTH(W458)/100),TC!$5:$37,DAY(W458)+2,FALSE),VLOOKUP(X458,Equivalencia!$1:$23,((MAX(Equivalencia!$3:$3)-YEAR(W458))*14)+MONTH(W458)+2,FALSE)))</f>
        <v>0</v>
      </c>
      <c r="AA458" s="306">
        <f t="shared" si="116"/>
        <v>0</v>
      </c>
      <c r="AB458" s="305">
        <f>+IF(W458=0,0,HLOOKUP(YEAR(W458)+(MONTH(W458)/100),TC!$5:$37,DAY(W458)+2,FALSE))</f>
        <v>0</v>
      </c>
      <c r="AC458" s="306">
        <f t="shared" si="117"/>
        <v>0</v>
      </c>
      <c r="AD458" s="314">
        <f t="shared" si="108"/>
        <v>0</v>
      </c>
      <c r="AE458" s="315">
        <f t="shared" si="118"/>
        <v>0</v>
      </c>
      <c r="AF458" s="316">
        <f t="shared" si="109"/>
        <v>0</v>
      </c>
      <c r="AG458" s="314">
        <v>1</v>
      </c>
      <c r="AH458" s="314">
        <f t="shared" si="119"/>
        <v>0</v>
      </c>
      <c r="AI458" s="314">
        <f t="shared" si="120"/>
        <v>0</v>
      </c>
      <c r="AJ458" s="317"/>
      <c r="AK458" s="315" t="e">
        <f t="shared" si="121"/>
        <v>#N/A</v>
      </c>
      <c r="AM458" s="561"/>
      <c r="AN458" s="561"/>
      <c r="AO458" s="561"/>
    </row>
    <row r="459" spans="2:41">
      <c r="B459" s="296"/>
      <c r="C459" s="299"/>
      <c r="D459" s="296"/>
      <c r="E459" s="298"/>
      <c r="F459" s="299"/>
      <c r="G459" s="300"/>
      <c r="H459" s="303"/>
      <c r="I459" s="303"/>
      <c r="J459" s="322">
        <f t="shared" si="107"/>
        <v>0</v>
      </c>
      <c r="K459" s="305" t="e">
        <f>IF(F459="MXN",1/HLOOKUP(YEAR(G459)+(MONTH(G459)/100),TC!$5:$37,DAY(G459)+2,FALSE),VLOOKUP(F459,Equivalencia!$5:$23,((MAX(Equivalencia!$3:$3)-YEAR(G459))*14)+MONTH(G459)+2,FALSE))</f>
        <v>#N/A</v>
      </c>
      <c r="L459" s="306" t="e">
        <f t="shared" si="110"/>
        <v>#N/A</v>
      </c>
      <c r="M459" s="305">
        <f>IF(G459=0,0,HLOOKUP(YEAR(G459)+(MONTH(G459)/100),TC!$5:$37,DAY(G459)+2,FALSE))</f>
        <v>0</v>
      </c>
      <c r="N459" s="306" t="e">
        <f t="shared" si="111"/>
        <v>#N/A</v>
      </c>
      <c r="O459" s="308">
        <f>IF(G459=0,0,VLOOKUP(YEAR(G459),INPC!$B$4:$P$30,MONTH(G459)+2))</f>
        <v>0</v>
      </c>
      <c r="P459" s="308">
        <f>IF(W459=0,0,IF(OR(C459=$AQ$5,C459=AQ463),VLOOKUP(YEAR(W459),INPC!$B$4:$P$30,MONTH(W459)+1),VLOOKUP(YEAR(W459),INPC!$B$4:$P$30,MONTH(W459)+2)))</f>
        <v>0</v>
      </c>
      <c r="Q459" s="309">
        <f t="shared" si="112"/>
        <v>0</v>
      </c>
      <c r="R459" s="310" t="e">
        <f t="shared" si="113"/>
        <v>#N/A</v>
      </c>
      <c r="S459" s="310">
        <f t="shared" si="114"/>
        <v>0</v>
      </c>
      <c r="T459" s="567" t="str">
        <f t="shared" si="115"/>
        <v>NO</v>
      </c>
      <c r="U459" s="323"/>
      <c r="V459" s="299"/>
      <c r="W459" s="300"/>
      <c r="X459" s="299"/>
      <c r="Y459" s="303"/>
      <c r="Z459" s="305">
        <f>IF(Y459=0,0,IF(X459="MXN",1/HLOOKUP(YEAR(W459)+(MONTH(W459)/100),TC!$5:$37,DAY(W459)+2,FALSE),VLOOKUP(X459,Equivalencia!$1:$23,((MAX(Equivalencia!$3:$3)-YEAR(W459))*14)+MONTH(W459)+2,FALSE)))</f>
        <v>0</v>
      </c>
      <c r="AA459" s="306">
        <f t="shared" si="116"/>
        <v>0</v>
      </c>
      <c r="AB459" s="305">
        <f>+IF(W459=0,0,HLOOKUP(YEAR(W459)+(MONTH(W459)/100),TC!$5:$37,DAY(W459)+2,FALSE))</f>
        <v>0</v>
      </c>
      <c r="AC459" s="306">
        <f t="shared" si="117"/>
        <v>0</v>
      </c>
      <c r="AD459" s="314">
        <f t="shared" si="108"/>
        <v>0</v>
      </c>
      <c r="AE459" s="315">
        <f t="shared" si="118"/>
        <v>0</v>
      </c>
      <c r="AF459" s="316">
        <f t="shared" si="109"/>
        <v>0</v>
      </c>
      <c r="AG459" s="314">
        <v>1</v>
      </c>
      <c r="AH459" s="314">
        <f t="shared" si="119"/>
        <v>0</v>
      </c>
      <c r="AI459" s="314">
        <f t="shared" si="120"/>
        <v>0</v>
      </c>
      <c r="AJ459" s="317"/>
      <c r="AK459" s="315" t="e">
        <f t="shared" si="121"/>
        <v>#N/A</v>
      </c>
      <c r="AM459" s="561"/>
      <c r="AN459" s="561"/>
      <c r="AO459" s="561"/>
    </row>
    <row r="460" spans="2:41">
      <c r="B460" s="296"/>
      <c r="C460" s="299"/>
      <c r="D460" s="296"/>
      <c r="E460" s="298"/>
      <c r="F460" s="299"/>
      <c r="G460" s="300"/>
      <c r="H460" s="303"/>
      <c r="I460" s="303"/>
      <c r="J460" s="322">
        <f t="shared" si="107"/>
        <v>0</v>
      </c>
      <c r="K460" s="305" t="e">
        <f>IF(F460="MXN",1/HLOOKUP(YEAR(G460)+(MONTH(G460)/100),TC!$5:$37,DAY(G460)+2,FALSE),VLOOKUP(F460,Equivalencia!$5:$23,((MAX(Equivalencia!$3:$3)-YEAR(G460))*14)+MONTH(G460)+2,FALSE))</f>
        <v>#N/A</v>
      </c>
      <c r="L460" s="306" t="e">
        <f t="shared" si="110"/>
        <v>#N/A</v>
      </c>
      <c r="M460" s="305">
        <f>IF(G460=0,0,HLOOKUP(YEAR(G460)+(MONTH(G460)/100),TC!$5:$37,DAY(G460)+2,FALSE))</f>
        <v>0</v>
      </c>
      <c r="N460" s="306" t="e">
        <f t="shared" si="111"/>
        <v>#N/A</v>
      </c>
      <c r="O460" s="308">
        <f>IF(G460=0,0,VLOOKUP(YEAR(G460),INPC!$B$4:$P$30,MONTH(G460)+2))</f>
        <v>0</v>
      </c>
      <c r="P460" s="308">
        <f>IF(W460=0,0,IF(OR(C460=$AQ$5,C460=AQ464),VLOOKUP(YEAR(W460),INPC!$B$4:$P$30,MONTH(W460)+1),VLOOKUP(YEAR(W460),INPC!$B$4:$P$30,MONTH(W460)+2)))</f>
        <v>0</v>
      </c>
      <c r="Q460" s="309">
        <f t="shared" si="112"/>
        <v>0</v>
      </c>
      <c r="R460" s="310" t="e">
        <f t="shared" si="113"/>
        <v>#N/A</v>
      </c>
      <c r="S460" s="310">
        <f t="shared" si="114"/>
        <v>0</v>
      </c>
      <c r="T460" s="567" t="str">
        <f t="shared" si="115"/>
        <v>NO</v>
      </c>
      <c r="U460" s="323"/>
      <c r="V460" s="299"/>
      <c r="W460" s="300"/>
      <c r="X460" s="299"/>
      <c r="Y460" s="303"/>
      <c r="Z460" s="305">
        <f>IF(Y460=0,0,IF(X460="MXN",1/HLOOKUP(YEAR(W460)+(MONTH(W460)/100),TC!$5:$37,DAY(W460)+2,FALSE),VLOOKUP(X460,Equivalencia!$1:$23,((MAX(Equivalencia!$3:$3)-YEAR(W460))*14)+MONTH(W460)+2,FALSE)))</f>
        <v>0</v>
      </c>
      <c r="AA460" s="306">
        <f t="shared" si="116"/>
        <v>0</v>
      </c>
      <c r="AB460" s="305">
        <f>+IF(W460=0,0,HLOOKUP(YEAR(W460)+(MONTH(W460)/100),TC!$5:$37,DAY(W460)+2,FALSE))</f>
        <v>0</v>
      </c>
      <c r="AC460" s="306">
        <f t="shared" si="117"/>
        <v>0</v>
      </c>
      <c r="AD460" s="314">
        <f t="shared" si="108"/>
        <v>0</v>
      </c>
      <c r="AE460" s="315">
        <f t="shared" si="118"/>
        <v>0</v>
      </c>
      <c r="AF460" s="316">
        <f t="shared" si="109"/>
        <v>0</v>
      </c>
      <c r="AG460" s="314">
        <v>1</v>
      </c>
      <c r="AH460" s="314">
        <f t="shared" si="119"/>
        <v>0</v>
      </c>
      <c r="AI460" s="314">
        <f t="shared" si="120"/>
        <v>0</v>
      </c>
      <c r="AJ460" s="317"/>
      <c r="AK460" s="315" t="e">
        <f t="shared" si="121"/>
        <v>#N/A</v>
      </c>
      <c r="AM460" s="561"/>
      <c r="AN460" s="561"/>
      <c r="AO460" s="561"/>
    </row>
    <row r="461" spans="2:41">
      <c r="B461" s="296"/>
      <c r="C461" s="299"/>
      <c r="D461" s="296"/>
      <c r="E461" s="298"/>
      <c r="F461" s="299"/>
      <c r="G461" s="300"/>
      <c r="H461" s="303"/>
      <c r="I461" s="303"/>
      <c r="J461" s="322">
        <f t="shared" si="107"/>
        <v>0</v>
      </c>
      <c r="K461" s="305" t="e">
        <f>IF(F461="MXN",1/HLOOKUP(YEAR(G461)+(MONTH(G461)/100),TC!$5:$37,DAY(G461)+2,FALSE),VLOOKUP(F461,Equivalencia!$5:$23,((MAX(Equivalencia!$3:$3)-YEAR(G461))*14)+MONTH(G461)+2,FALSE))</f>
        <v>#N/A</v>
      </c>
      <c r="L461" s="306" t="e">
        <f t="shared" si="110"/>
        <v>#N/A</v>
      </c>
      <c r="M461" s="305">
        <f>IF(G461=0,0,HLOOKUP(YEAR(G461)+(MONTH(G461)/100),TC!$5:$37,DAY(G461)+2,FALSE))</f>
        <v>0</v>
      </c>
      <c r="N461" s="306" t="e">
        <f t="shared" si="111"/>
        <v>#N/A</v>
      </c>
      <c r="O461" s="308">
        <f>IF(G461=0,0,VLOOKUP(YEAR(G461),INPC!$B$4:$P$30,MONTH(G461)+2))</f>
        <v>0</v>
      </c>
      <c r="P461" s="308">
        <f>IF(W461=0,0,IF(OR(C461=$AQ$5,C461=AQ465),VLOOKUP(YEAR(W461),INPC!$B$4:$P$30,MONTH(W461)+1),VLOOKUP(YEAR(W461),INPC!$B$4:$P$30,MONTH(W461)+2)))</f>
        <v>0</v>
      </c>
      <c r="Q461" s="309">
        <f t="shared" si="112"/>
        <v>0</v>
      </c>
      <c r="R461" s="310" t="e">
        <f t="shared" si="113"/>
        <v>#N/A</v>
      </c>
      <c r="S461" s="310">
        <f t="shared" si="114"/>
        <v>0</v>
      </c>
      <c r="T461" s="567" t="str">
        <f t="shared" si="115"/>
        <v>NO</v>
      </c>
      <c r="U461" s="323"/>
      <c r="V461" s="299"/>
      <c r="W461" s="300"/>
      <c r="X461" s="299"/>
      <c r="Y461" s="303"/>
      <c r="Z461" s="305">
        <f>IF(Y461=0,0,IF(X461="MXN",1/HLOOKUP(YEAR(W461)+(MONTH(W461)/100),TC!$5:$37,DAY(W461)+2,FALSE),VLOOKUP(X461,Equivalencia!$1:$23,((MAX(Equivalencia!$3:$3)-YEAR(W461))*14)+MONTH(W461)+2,FALSE)))</f>
        <v>0</v>
      </c>
      <c r="AA461" s="306">
        <f t="shared" si="116"/>
        <v>0</v>
      </c>
      <c r="AB461" s="305">
        <f>+IF(W461=0,0,HLOOKUP(YEAR(W461)+(MONTH(W461)/100),TC!$5:$37,DAY(W461)+2,FALSE))</f>
        <v>0</v>
      </c>
      <c r="AC461" s="306">
        <f t="shared" si="117"/>
        <v>0</v>
      </c>
      <c r="AD461" s="314">
        <f t="shared" si="108"/>
        <v>0</v>
      </c>
      <c r="AE461" s="315">
        <f t="shared" si="118"/>
        <v>0</v>
      </c>
      <c r="AF461" s="316">
        <f t="shared" si="109"/>
        <v>0</v>
      </c>
      <c r="AG461" s="314">
        <v>1</v>
      </c>
      <c r="AH461" s="314">
        <f t="shared" si="119"/>
        <v>0</v>
      </c>
      <c r="AI461" s="314">
        <f t="shared" si="120"/>
        <v>0</v>
      </c>
      <c r="AJ461" s="317"/>
      <c r="AK461" s="315" t="e">
        <f t="shared" si="121"/>
        <v>#N/A</v>
      </c>
      <c r="AM461" s="561"/>
      <c r="AN461" s="561"/>
      <c r="AO461" s="561"/>
    </row>
    <row r="462" spans="2:41">
      <c r="B462" s="296"/>
      <c r="C462" s="299"/>
      <c r="D462" s="296"/>
      <c r="E462" s="298"/>
      <c r="F462" s="299"/>
      <c r="G462" s="300"/>
      <c r="H462" s="303"/>
      <c r="I462" s="303"/>
      <c r="J462" s="322">
        <f t="shared" si="107"/>
        <v>0</v>
      </c>
      <c r="K462" s="305" t="e">
        <f>IF(F462="MXN",1/HLOOKUP(YEAR(G462)+(MONTH(G462)/100),TC!$5:$37,DAY(G462)+2,FALSE),VLOOKUP(F462,Equivalencia!$5:$23,((MAX(Equivalencia!$3:$3)-YEAR(G462))*14)+MONTH(G462)+2,FALSE))</f>
        <v>#N/A</v>
      </c>
      <c r="L462" s="306" t="e">
        <f t="shared" si="110"/>
        <v>#N/A</v>
      </c>
      <c r="M462" s="305">
        <f>IF(G462=0,0,HLOOKUP(YEAR(G462)+(MONTH(G462)/100),TC!$5:$37,DAY(G462)+2,FALSE))</f>
        <v>0</v>
      </c>
      <c r="N462" s="306" t="e">
        <f t="shared" si="111"/>
        <v>#N/A</v>
      </c>
      <c r="O462" s="308">
        <f>IF(G462=0,0,VLOOKUP(YEAR(G462),INPC!$B$4:$P$30,MONTH(G462)+2))</f>
        <v>0</v>
      </c>
      <c r="P462" s="308">
        <f>IF(W462=0,0,IF(OR(C462=$AQ$5,C462=AQ466),VLOOKUP(YEAR(W462),INPC!$B$4:$P$30,MONTH(W462)+1),VLOOKUP(YEAR(W462),INPC!$B$4:$P$30,MONTH(W462)+2)))</f>
        <v>0</v>
      </c>
      <c r="Q462" s="309">
        <f t="shared" si="112"/>
        <v>0</v>
      </c>
      <c r="R462" s="310" t="e">
        <f t="shared" si="113"/>
        <v>#N/A</v>
      </c>
      <c r="S462" s="310">
        <f t="shared" si="114"/>
        <v>0</v>
      </c>
      <c r="T462" s="567" t="str">
        <f t="shared" si="115"/>
        <v>NO</v>
      </c>
      <c r="U462" s="323"/>
      <c r="V462" s="299"/>
      <c r="W462" s="300"/>
      <c r="X462" s="299"/>
      <c r="Y462" s="303"/>
      <c r="Z462" s="305">
        <f>IF(Y462=0,0,IF(X462="MXN",1/HLOOKUP(YEAR(W462)+(MONTH(W462)/100),TC!$5:$37,DAY(W462)+2,FALSE),VLOOKUP(X462,Equivalencia!$1:$23,((MAX(Equivalencia!$3:$3)-YEAR(W462))*14)+MONTH(W462)+2,FALSE)))</f>
        <v>0</v>
      </c>
      <c r="AA462" s="306">
        <f t="shared" si="116"/>
        <v>0</v>
      </c>
      <c r="AB462" s="305">
        <f>+IF(W462=0,0,HLOOKUP(YEAR(W462)+(MONTH(W462)/100),TC!$5:$37,DAY(W462)+2,FALSE))</f>
        <v>0</v>
      </c>
      <c r="AC462" s="306">
        <f t="shared" si="117"/>
        <v>0</v>
      </c>
      <c r="AD462" s="314">
        <f t="shared" si="108"/>
        <v>0</v>
      </c>
      <c r="AE462" s="315">
        <f t="shared" si="118"/>
        <v>0</v>
      </c>
      <c r="AF462" s="316">
        <f t="shared" si="109"/>
        <v>0</v>
      </c>
      <c r="AG462" s="314">
        <v>1</v>
      </c>
      <c r="AH462" s="314">
        <f t="shared" si="119"/>
        <v>0</v>
      </c>
      <c r="AI462" s="314">
        <f t="shared" si="120"/>
        <v>0</v>
      </c>
      <c r="AJ462" s="317"/>
      <c r="AK462" s="315" t="e">
        <f t="shared" si="121"/>
        <v>#N/A</v>
      </c>
      <c r="AM462" s="561"/>
      <c r="AN462" s="561"/>
      <c r="AO462" s="561"/>
    </row>
    <row r="463" spans="2:41">
      <c r="B463" s="296"/>
      <c r="C463" s="299"/>
      <c r="D463" s="296"/>
      <c r="E463" s="298"/>
      <c r="F463" s="299"/>
      <c r="G463" s="300"/>
      <c r="H463" s="303"/>
      <c r="I463" s="303"/>
      <c r="J463" s="322">
        <f t="shared" si="107"/>
        <v>0</v>
      </c>
      <c r="K463" s="305" t="e">
        <f>IF(F463="MXN",1/HLOOKUP(YEAR(G463)+(MONTH(G463)/100),TC!$5:$37,DAY(G463)+2,FALSE),VLOOKUP(F463,Equivalencia!$5:$23,((MAX(Equivalencia!$3:$3)-YEAR(G463))*14)+MONTH(G463)+2,FALSE))</f>
        <v>#N/A</v>
      </c>
      <c r="L463" s="306" t="e">
        <f t="shared" si="110"/>
        <v>#N/A</v>
      </c>
      <c r="M463" s="305">
        <f>IF(G463=0,0,HLOOKUP(YEAR(G463)+(MONTH(G463)/100),TC!$5:$37,DAY(G463)+2,FALSE))</f>
        <v>0</v>
      </c>
      <c r="N463" s="306" t="e">
        <f t="shared" si="111"/>
        <v>#N/A</v>
      </c>
      <c r="O463" s="308">
        <f>IF(G463=0,0,VLOOKUP(YEAR(G463),INPC!$B$4:$P$30,MONTH(G463)+2))</f>
        <v>0</v>
      </c>
      <c r="P463" s="308">
        <f>IF(W463=0,0,IF(OR(C463=$AQ$5,C463=AQ467),VLOOKUP(YEAR(W463),INPC!$B$4:$P$30,MONTH(W463)+1),VLOOKUP(YEAR(W463),INPC!$B$4:$P$30,MONTH(W463)+2)))</f>
        <v>0</v>
      </c>
      <c r="Q463" s="309">
        <f t="shared" si="112"/>
        <v>0</v>
      </c>
      <c r="R463" s="310" t="e">
        <f t="shared" si="113"/>
        <v>#N/A</v>
      </c>
      <c r="S463" s="310">
        <f t="shared" si="114"/>
        <v>0</v>
      </c>
      <c r="T463" s="567" t="str">
        <f t="shared" si="115"/>
        <v>NO</v>
      </c>
      <c r="U463" s="323"/>
      <c r="V463" s="299"/>
      <c r="W463" s="300"/>
      <c r="X463" s="299"/>
      <c r="Y463" s="303"/>
      <c r="Z463" s="305">
        <f>IF(Y463=0,0,IF(X463="MXN",1/HLOOKUP(YEAR(W463)+(MONTH(W463)/100),TC!$5:$37,DAY(W463)+2,FALSE),VLOOKUP(X463,Equivalencia!$1:$23,((MAX(Equivalencia!$3:$3)-YEAR(W463))*14)+MONTH(W463)+2,FALSE)))</f>
        <v>0</v>
      </c>
      <c r="AA463" s="306">
        <f t="shared" si="116"/>
        <v>0</v>
      </c>
      <c r="AB463" s="305">
        <f>+IF(W463=0,0,HLOOKUP(YEAR(W463)+(MONTH(W463)/100),TC!$5:$37,DAY(W463)+2,FALSE))</f>
        <v>0</v>
      </c>
      <c r="AC463" s="306">
        <f t="shared" si="117"/>
        <v>0</v>
      </c>
      <c r="AD463" s="314">
        <f t="shared" si="108"/>
        <v>0</v>
      </c>
      <c r="AE463" s="315">
        <f t="shared" si="118"/>
        <v>0</v>
      </c>
      <c r="AF463" s="316">
        <f t="shared" si="109"/>
        <v>0</v>
      </c>
      <c r="AG463" s="314">
        <v>1</v>
      </c>
      <c r="AH463" s="314">
        <f t="shared" si="119"/>
        <v>0</v>
      </c>
      <c r="AI463" s="314">
        <f t="shared" si="120"/>
        <v>0</v>
      </c>
      <c r="AJ463" s="317"/>
      <c r="AK463" s="315" t="e">
        <f t="shared" si="121"/>
        <v>#N/A</v>
      </c>
      <c r="AM463" s="561"/>
      <c r="AN463" s="561"/>
      <c r="AO463" s="561"/>
    </row>
    <row r="464" spans="2:41">
      <c r="B464" s="296"/>
      <c r="C464" s="299"/>
      <c r="D464" s="296"/>
      <c r="E464" s="298"/>
      <c r="F464" s="299"/>
      <c r="G464" s="300"/>
      <c r="H464" s="303"/>
      <c r="I464" s="303"/>
      <c r="J464" s="322">
        <f t="shared" si="107"/>
        <v>0</v>
      </c>
      <c r="K464" s="305" t="e">
        <f>IF(F464="MXN",1/HLOOKUP(YEAR(G464)+(MONTH(G464)/100),TC!$5:$37,DAY(G464)+2,FALSE),VLOOKUP(F464,Equivalencia!$5:$23,((MAX(Equivalencia!$3:$3)-YEAR(G464))*14)+MONTH(G464)+2,FALSE))</f>
        <v>#N/A</v>
      </c>
      <c r="L464" s="306" t="e">
        <f t="shared" si="110"/>
        <v>#N/A</v>
      </c>
      <c r="M464" s="305">
        <f>IF(G464=0,0,HLOOKUP(YEAR(G464)+(MONTH(G464)/100),TC!$5:$37,DAY(G464)+2,FALSE))</f>
        <v>0</v>
      </c>
      <c r="N464" s="306" t="e">
        <f t="shared" si="111"/>
        <v>#N/A</v>
      </c>
      <c r="O464" s="308">
        <f>IF(G464=0,0,VLOOKUP(YEAR(G464),INPC!$B$4:$P$30,MONTH(G464)+2))</f>
        <v>0</v>
      </c>
      <c r="P464" s="308">
        <f>IF(W464=0,0,IF(OR(C464=$AQ$5,C464=AQ468),VLOOKUP(YEAR(W464),INPC!$B$4:$P$30,MONTH(W464)+1),VLOOKUP(YEAR(W464),INPC!$B$4:$P$30,MONTH(W464)+2)))</f>
        <v>0</v>
      </c>
      <c r="Q464" s="309">
        <f t="shared" si="112"/>
        <v>0</v>
      </c>
      <c r="R464" s="310" t="e">
        <f t="shared" si="113"/>
        <v>#N/A</v>
      </c>
      <c r="S464" s="310">
        <f t="shared" si="114"/>
        <v>0</v>
      </c>
      <c r="T464" s="567" t="str">
        <f t="shared" si="115"/>
        <v>NO</v>
      </c>
      <c r="U464" s="323"/>
      <c r="V464" s="299"/>
      <c r="W464" s="300"/>
      <c r="X464" s="299"/>
      <c r="Y464" s="303"/>
      <c r="Z464" s="305">
        <f>IF(Y464=0,0,IF(X464="MXN",1/HLOOKUP(YEAR(W464)+(MONTH(W464)/100),TC!$5:$37,DAY(W464)+2,FALSE),VLOOKUP(X464,Equivalencia!$1:$23,((MAX(Equivalencia!$3:$3)-YEAR(W464))*14)+MONTH(W464)+2,FALSE)))</f>
        <v>0</v>
      </c>
      <c r="AA464" s="306">
        <f t="shared" si="116"/>
        <v>0</v>
      </c>
      <c r="AB464" s="305">
        <f>+IF(W464=0,0,HLOOKUP(YEAR(W464)+(MONTH(W464)/100),TC!$5:$37,DAY(W464)+2,FALSE))</f>
        <v>0</v>
      </c>
      <c r="AC464" s="306">
        <f t="shared" si="117"/>
        <v>0</v>
      </c>
      <c r="AD464" s="314">
        <f t="shared" si="108"/>
        <v>0</v>
      </c>
      <c r="AE464" s="315">
        <f t="shared" si="118"/>
        <v>0</v>
      </c>
      <c r="AF464" s="316">
        <f t="shared" si="109"/>
        <v>0</v>
      </c>
      <c r="AG464" s="314">
        <v>1</v>
      </c>
      <c r="AH464" s="314">
        <f t="shared" si="119"/>
        <v>0</v>
      </c>
      <c r="AI464" s="314">
        <f t="shared" si="120"/>
        <v>0</v>
      </c>
      <c r="AJ464" s="317"/>
      <c r="AK464" s="315" t="e">
        <f t="shared" si="121"/>
        <v>#N/A</v>
      </c>
      <c r="AM464" s="561"/>
      <c r="AN464" s="561"/>
      <c r="AO464" s="561"/>
    </row>
    <row r="465" spans="2:41">
      <c r="B465" s="296"/>
      <c r="C465" s="299"/>
      <c r="D465" s="296"/>
      <c r="E465" s="298"/>
      <c r="F465" s="299"/>
      <c r="G465" s="300"/>
      <c r="H465" s="303"/>
      <c r="I465" s="303"/>
      <c r="J465" s="322">
        <f t="shared" si="107"/>
        <v>0</v>
      </c>
      <c r="K465" s="305" t="e">
        <f>IF(F465="MXN",1/HLOOKUP(YEAR(G465)+(MONTH(G465)/100),TC!$5:$37,DAY(G465)+2,FALSE),VLOOKUP(F465,Equivalencia!$5:$23,((MAX(Equivalencia!$3:$3)-YEAR(G465))*14)+MONTH(G465)+2,FALSE))</f>
        <v>#N/A</v>
      </c>
      <c r="L465" s="306" t="e">
        <f t="shared" si="110"/>
        <v>#N/A</v>
      </c>
      <c r="M465" s="305">
        <f>IF(G465=0,0,HLOOKUP(YEAR(G465)+(MONTH(G465)/100),TC!$5:$37,DAY(G465)+2,FALSE))</f>
        <v>0</v>
      </c>
      <c r="N465" s="306" t="e">
        <f t="shared" si="111"/>
        <v>#N/A</v>
      </c>
      <c r="O465" s="308">
        <f>IF(G465=0,0,VLOOKUP(YEAR(G465),INPC!$B$4:$P$30,MONTH(G465)+2))</f>
        <v>0</v>
      </c>
      <c r="P465" s="308">
        <f>IF(W465=0,0,IF(OR(C465=$AQ$5,C465=AQ469),VLOOKUP(YEAR(W465),INPC!$B$4:$P$30,MONTH(W465)+1),VLOOKUP(YEAR(W465),INPC!$B$4:$P$30,MONTH(W465)+2)))</f>
        <v>0</v>
      </c>
      <c r="Q465" s="309">
        <f t="shared" si="112"/>
        <v>0</v>
      </c>
      <c r="R465" s="310" t="e">
        <f t="shared" si="113"/>
        <v>#N/A</v>
      </c>
      <c r="S465" s="310">
        <f t="shared" si="114"/>
        <v>0</v>
      </c>
      <c r="T465" s="567" t="str">
        <f t="shared" si="115"/>
        <v>NO</v>
      </c>
      <c r="U465" s="323"/>
      <c r="V465" s="299"/>
      <c r="W465" s="300"/>
      <c r="X465" s="299"/>
      <c r="Y465" s="303"/>
      <c r="Z465" s="305">
        <f>IF(Y465=0,0,IF(X465="MXN",1/HLOOKUP(YEAR(W465)+(MONTH(W465)/100),TC!$5:$37,DAY(W465)+2,FALSE),VLOOKUP(X465,Equivalencia!$1:$23,((MAX(Equivalencia!$3:$3)-YEAR(W465))*14)+MONTH(W465)+2,FALSE)))</f>
        <v>0</v>
      </c>
      <c r="AA465" s="306">
        <f t="shared" si="116"/>
        <v>0</v>
      </c>
      <c r="AB465" s="305">
        <f>+IF(W465=0,0,HLOOKUP(YEAR(W465)+(MONTH(W465)/100),TC!$5:$37,DAY(W465)+2,FALSE))</f>
        <v>0</v>
      </c>
      <c r="AC465" s="306">
        <f t="shared" si="117"/>
        <v>0</v>
      </c>
      <c r="AD465" s="314">
        <f t="shared" si="108"/>
        <v>0</v>
      </c>
      <c r="AE465" s="315">
        <f t="shared" si="118"/>
        <v>0</v>
      </c>
      <c r="AF465" s="316">
        <f t="shared" si="109"/>
        <v>0</v>
      </c>
      <c r="AG465" s="314">
        <v>1</v>
      </c>
      <c r="AH465" s="314">
        <f t="shared" si="119"/>
        <v>0</v>
      </c>
      <c r="AI465" s="314">
        <f t="shared" si="120"/>
        <v>0</v>
      </c>
      <c r="AJ465" s="317"/>
      <c r="AK465" s="315" t="e">
        <f t="shared" si="121"/>
        <v>#N/A</v>
      </c>
      <c r="AM465" s="561"/>
      <c r="AN465" s="561"/>
      <c r="AO465" s="561"/>
    </row>
    <row r="466" spans="2:41">
      <c r="B466" s="296"/>
      <c r="C466" s="299"/>
      <c r="D466" s="296"/>
      <c r="E466" s="298"/>
      <c r="F466" s="299"/>
      <c r="G466" s="300"/>
      <c r="H466" s="303"/>
      <c r="I466" s="303"/>
      <c r="J466" s="322">
        <f t="shared" si="107"/>
        <v>0</v>
      </c>
      <c r="K466" s="305" t="e">
        <f>IF(F466="MXN",1/HLOOKUP(YEAR(G466)+(MONTH(G466)/100),TC!$5:$37,DAY(G466)+2,FALSE),VLOOKUP(F466,Equivalencia!$5:$23,((MAX(Equivalencia!$3:$3)-YEAR(G466))*14)+MONTH(G466)+2,FALSE))</f>
        <v>#N/A</v>
      </c>
      <c r="L466" s="306" t="e">
        <f t="shared" si="110"/>
        <v>#N/A</v>
      </c>
      <c r="M466" s="305">
        <f>IF(G466=0,0,HLOOKUP(YEAR(G466)+(MONTH(G466)/100),TC!$5:$37,DAY(G466)+2,FALSE))</f>
        <v>0</v>
      </c>
      <c r="N466" s="306" t="e">
        <f t="shared" si="111"/>
        <v>#N/A</v>
      </c>
      <c r="O466" s="308">
        <f>IF(G466=0,0,VLOOKUP(YEAR(G466),INPC!$B$4:$P$30,MONTH(G466)+2))</f>
        <v>0</v>
      </c>
      <c r="P466" s="308">
        <f>IF(W466=0,0,IF(OR(C466=$AQ$5,C466=AQ470),VLOOKUP(YEAR(W466),INPC!$B$4:$P$30,MONTH(W466)+1),VLOOKUP(YEAR(W466),INPC!$B$4:$P$30,MONTH(W466)+2)))</f>
        <v>0</v>
      </c>
      <c r="Q466" s="309">
        <f t="shared" si="112"/>
        <v>0</v>
      </c>
      <c r="R466" s="310" t="e">
        <f t="shared" si="113"/>
        <v>#N/A</v>
      </c>
      <c r="S466" s="310">
        <f t="shared" si="114"/>
        <v>0</v>
      </c>
      <c r="T466" s="567" t="str">
        <f t="shared" si="115"/>
        <v>NO</v>
      </c>
      <c r="U466" s="323"/>
      <c r="V466" s="299"/>
      <c r="W466" s="300"/>
      <c r="X466" s="299"/>
      <c r="Y466" s="303"/>
      <c r="Z466" s="305">
        <f>IF(Y466=0,0,IF(X466="MXN",1/HLOOKUP(YEAR(W466)+(MONTH(W466)/100),TC!$5:$37,DAY(W466)+2,FALSE),VLOOKUP(X466,Equivalencia!$1:$23,((MAX(Equivalencia!$3:$3)-YEAR(W466))*14)+MONTH(W466)+2,FALSE)))</f>
        <v>0</v>
      </c>
      <c r="AA466" s="306">
        <f t="shared" si="116"/>
        <v>0</v>
      </c>
      <c r="AB466" s="305">
        <f>+IF(W466=0,0,HLOOKUP(YEAR(W466)+(MONTH(W466)/100),TC!$5:$37,DAY(W466)+2,FALSE))</f>
        <v>0</v>
      </c>
      <c r="AC466" s="306">
        <f t="shared" si="117"/>
        <v>0</v>
      </c>
      <c r="AD466" s="314">
        <f t="shared" si="108"/>
        <v>0</v>
      </c>
      <c r="AE466" s="315">
        <f t="shared" si="118"/>
        <v>0</v>
      </c>
      <c r="AF466" s="316">
        <f t="shared" si="109"/>
        <v>0</v>
      </c>
      <c r="AG466" s="314">
        <v>1</v>
      </c>
      <c r="AH466" s="314">
        <f t="shared" si="119"/>
        <v>0</v>
      </c>
      <c r="AI466" s="314">
        <f t="shared" si="120"/>
        <v>0</v>
      </c>
      <c r="AJ466" s="317"/>
      <c r="AK466" s="315" t="e">
        <f t="shared" si="121"/>
        <v>#N/A</v>
      </c>
      <c r="AM466" s="561"/>
      <c r="AN466" s="561"/>
      <c r="AO466" s="561"/>
    </row>
    <row r="467" spans="2:41">
      <c r="B467" s="296"/>
      <c r="C467" s="299"/>
      <c r="D467" s="296"/>
      <c r="E467" s="298"/>
      <c r="F467" s="299"/>
      <c r="G467" s="300"/>
      <c r="H467" s="303"/>
      <c r="I467" s="303"/>
      <c r="J467" s="322">
        <f t="shared" si="107"/>
        <v>0</v>
      </c>
      <c r="K467" s="305" t="e">
        <f>IF(F467="MXN",1/HLOOKUP(YEAR(G467)+(MONTH(G467)/100),TC!$5:$37,DAY(G467)+2,FALSE),VLOOKUP(F467,Equivalencia!$5:$23,((MAX(Equivalencia!$3:$3)-YEAR(G467))*14)+MONTH(G467)+2,FALSE))</f>
        <v>#N/A</v>
      </c>
      <c r="L467" s="306" t="e">
        <f t="shared" si="110"/>
        <v>#N/A</v>
      </c>
      <c r="M467" s="305">
        <f>IF(G467=0,0,HLOOKUP(YEAR(G467)+(MONTH(G467)/100),TC!$5:$37,DAY(G467)+2,FALSE))</f>
        <v>0</v>
      </c>
      <c r="N467" s="306" t="e">
        <f t="shared" si="111"/>
        <v>#N/A</v>
      </c>
      <c r="O467" s="308">
        <f>IF(G467=0,0,VLOOKUP(YEAR(G467),INPC!$B$4:$P$30,MONTH(G467)+2))</f>
        <v>0</v>
      </c>
      <c r="P467" s="308">
        <f>IF(W467=0,0,IF(OR(C467=$AQ$5,C467=AQ471),VLOOKUP(YEAR(W467),INPC!$B$4:$P$30,MONTH(W467)+1),VLOOKUP(YEAR(W467),INPC!$B$4:$P$30,MONTH(W467)+2)))</f>
        <v>0</v>
      </c>
      <c r="Q467" s="309">
        <f t="shared" si="112"/>
        <v>0</v>
      </c>
      <c r="R467" s="310" t="e">
        <f t="shared" si="113"/>
        <v>#N/A</v>
      </c>
      <c r="S467" s="310">
        <f t="shared" si="114"/>
        <v>0</v>
      </c>
      <c r="T467" s="567" t="str">
        <f t="shared" si="115"/>
        <v>NO</v>
      </c>
      <c r="U467" s="323"/>
      <c r="V467" s="299"/>
      <c r="W467" s="300"/>
      <c r="X467" s="299"/>
      <c r="Y467" s="303"/>
      <c r="Z467" s="305">
        <f>IF(Y467=0,0,IF(X467="MXN",1/HLOOKUP(YEAR(W467)+(MONTH(W467)/100),TC!$5:$37,DAY(W467)+2,FALSE),VLOOKUP(X467,Equivalencia!$1:$23,((MAX(Equivalencia!$3:$3)-YEAR(W467))*14)+MONTH(W467)+2,FALSE)))</f>
        <v>0</v>
      </c>
      <c r="AA467" s="306">
        <f t="shared" si="116"/>
        <v>0</v>
      </c>
      <c r="AB467" s="305">
        <f>+IF(W467=0,0,HLOOKUP(YEAR(W467)+(MONTH(W467)/100),TC!$5:$37,DAY(W467)+2,FALSE))</f>
        <v>0</v>
      </c>
      <c r="AC467" s="306">
        <f t="shared" si="117"/>
        <v>0</v>
      </c>
      <c r="AD467" s="314">
        <f t="shared" si="108"/>
        <v>0</v>
      </c>
      <c r="AE467" s="315">
        <f t="shared" si="118"/>
        <v>0</v>
      </c>
      <c r="AF467" s="316">
        <f t="shared" si="109"/>
        <v>0</v>
      </c>
      <c r="AG467" s="314">
        <v>1</v>
      </c>
      <c r="AH467" s="314">
        <f t="shared" si="119"/>
        <v>0</v>
      </c>
      <c r="AI467" s="314">
        <f t="shared" si="120"/>
        <v>0</v>
      </c>
      <c r="AJ467" s="317"/>
      <c r="AK467" s="315" t="e">
        <f t="shared" si="121"/>
        <v>#N/A</v>
      </c>
      <c r="AM467" s="561"/>
      <c r="AN467" s="561"/>
      <c r="AO467" s="561"/>
    </row>
    <row r="468" spans="2:41">
      <c r="B468" s="296"/>
      <c r="C468" s="299"/>
      <c r="D468" s="296"/>
      <c r="E468" s="298"/>
      <c r="F468" s="299"/>
      <c r="G468" s="300"/>
      <c r="H468" s="303"/>
      <c r="I468" s="303"/>
      <c r="J468" s="322">
        <f t="shared" si="107"/>
        <v>0</v>
      </c>
      <c r="K468" s="305" t="e">
        <f>IF(F468="MXN",1/HLOOKUP(YEAR(G468)+(MONTH(G468)/100),TC!$5:$37,DAY(G468)+2,FALSE),VLOOKUP(F468,Equivalencia!$5:$23,((MAX(Equivalencia!$3:$3)-YEAR(G468))*14)+MONTH(G468)+2,FALSE))</f>
        <v>#N/A</v>
      </c>
      <c r="L468" s="306" t="e">
        <f t="shared" si="110"/>
        <v>#N/A</v>
      </c>
      <c r="M468" s="305">
        <f>IF(G468=0,0,HLOOKUP(YEAR(G468)+(MONTH(G468)/100),TC!$5:$37,DAY(G468)+2,FALSE))</f>
        <v>0</v>
      </c>
      <c r="N468" s="306" t="e">
        <f t="shared" si="111"/>
        <v>#N/A</v>
      </c>
      <c r="O468" s="308">
        <f>IF(G468=0,0,VLOOKUP(YEAR(G468),INPC!$B$4:$P$30,MONTH(G468)+2))</f>
        <v>0</v>
      </c>
      <c r="P468" s="308">
        <f>IF(W468=0,0,IF(OR(C468=$AQ$5,C468=AQ472),VLOOKUP(YEAR(W468),INPC!$B$4:$P$30,MONTH(W468)+1),VLOOKUP(YEAR(W468),INPC!$B$4:$P$30,MONTH(W468)+2)))</f>
        <v>0</v>
      </c>
      <c r="Q468" s="309">
        <f t="shared" si="112"/>
        <v>0</v>
      </c>
      <c r="R468" s="310" t="e">
        <f t="shared" si="113"/>
        <v>#N/A</v>
      </c>
      <c r="S468" s="310">
        <f t="shared" si="114"/>
        <v>0</v>
      </c>
      <c r="T468" s="567" t="str">
        <f t="shared" si="115"/>
        <v>NO</v>
      </c>
      <c r="U468" s="323"/>
      <c r="V468" s="299"/>
      <c r="W468" s="300"/>
      <c r="X468" s="299"/>
      <c r="Y468" s="303"/>
      <c r="Z468" s="305">
        <f>IF(Y468=0,0,IF(X468="MXN",1/HLOOKUP(YEAR(W468)+(MONTH(W468)/100),TC!$5:$37,DAY(W468)+2,FALSE),VLOOKUP(X468,Equivalencia!$1:$23,((MAX(Equivalencia!$3:$3)-YEAR(W468))*14)+MONTH(W468)+2,FALSE)))</f>
        <v>0</v>
      </c>
      <c r="AA468" s="306">
        <f t="shared" si="116"/>
        <v>0</v>
      </c>
      <c r="AB468" s="305">
        <f>+IF(W468=0,0,HLOOKUP(YEAR(W468)+(MONTH(W468)/100),TC!$5:$37,DAY(W468)+2,FALSE))</f>
        <v>0</v>
      </c>
      <c r="AC468" s="306">
        <f t="shared" si="117"/>
        <v>0</v>
      </c>
      <c r="AD468" s="314">
        <f t="shared" si="108"/>
        <v>0</v>
      </c>
      <c r="AE468" s="315">
        <f t="shared" si="118"/>
        <v>0</v>
      </c>
      <c r="AF468" s="316">
        <f t="shared" si="109"/>
        <v>0</v>
      </c>
      <c r="AG468" s="314">
        <v>1</v>
      </c>
      <c r="AH468" s="314">
        <f t="shared" si="119"/>
        <v>0</v>
      </c>
      <c r="AI468" s="314">
        <f t="shared" si="120"/>
        <v>0</v>
      </c>
      <c r="AJ468" s="317"/>
      <c r="AK468" s="315" t="e">
        <f t="shared" si="121"/>
        <v>#N/A</v>
      </c>
      <c r="AM468" s="561"/>
      <c r="AN468" s="561"/>
      <c r="AO468" s="561"/>
    </row>
    <row r="469" spans="2:41">
      <c r="B469" s="296"/>
      <c r="C469" s="299"/>
      <c r="D469" s="296"/>
      <c r="E469" s="298"/>
      <c r="F469" s="299"/>
      <c r="G469" s="300"/>
      <c r="H469" s="303"/>
      <c r="I469" s="303"/>
      <c r="J469" s="322">
        <f t="shared" si="107"/>
        <v>0</v>
      </c>
      <c r="K469" s="305" t="e">
        <f>IF(F469="MXN",1/HLOOKUP(YEAR(G469)+(MONTH(G469)/100),TC!$5:$37,DAY(G469)+2,FALSE),VLOOKUP(F469,Equivalencia!$5:$23,((MAX(Equivalencia!$3:$3)-YEAR(G469))*14)+MONTH(G469)+2,FALSE))</f>
        <v>#N/A</v>
      </c>
      <c r="L469" s="306" t="e">
        <f t="shared" si="110"/>
        <v>#N/A</v>
      </c>
      <c r="M469" s="305">
        <f>IF(G469=0,0,HLOOKUP(YEAR(G469)+(MONTH(G469)/100),TC!$5:$37,DAY(G469)+2,FALSE))</f>
        <v>0</v>
      </c>
      <c r="N469" s="306" t="e">
        <f t="shared" si="111"/>
        <v>#N/A</v>
      </c>
      <c r="O469" s="308">
        <f>IF(G469=0,0,VLOOKUP(YEAR(G469),INPC!$B$4:$P$30,MONTH(G469)+2))</f>
        <v>0</v>
      </c>
      <c r="P469" s="308">
        <f>IF(W469=0,0,IF(OR(C469=$AQ$5,C469=AQ473),VLOOKUP(YEAR(W469),INPC!$B$4:$P$30,MONTH(W469)+1),VLOOKUP(YEAR(W469),INPC!$B$4:$P$30,MONTH(W469)+2)))</f>
        <v>0</v>
      </c>
      <c r="Q469" s="309">
        <f t="shared" si="112"/>
        <v>0</v>
      </c>
      <c r="R469" s="310" t="e">
        <f t="shared" si="113"/>
        <v>#N/A</v>
      </c>
      <c r="S469" s="310">
        <f t="shared" si="114"/>
        <v>0</v>
      </c>
      <c r="T469" s="567" t="str">
        <f t="shared" si="115"/>
        <v>NO</v>
      </c>
      <c r="U469" s="323"/>
      <c r="V469" s="299"/>
      <c r="W469" s="300"/>
      <c r="X469" s="299"/>
      <c r="Y469" s="303"/>
      <c r="Z469" s="305">
        <f>IF(Y469=0,0,IF(X469="MXN",1/HLOOKUP(YEAR(W469)+(MONTH(W469)/100),TC!$5:$37,DAY(W469)+2,FALSE),VLOOKUP(X469,Equivalencia!$1:$23,((MAX(Equivalencia!$3:$3)-YEAR(W469))*14)+MONTH(W469)+2,FALSE)))</f>
        <v>0</v>
      </c>
      <c r="AA469" s="306">
        <f t="shared" si="116"/>
        <v>0</v>
      </c>
      <c r="AB469" s="305">
        <f>+IF(W469=0,0,HLOOKUP(YEAR(W469)+(MONTH(W469)/100),TC!$5:$37,DAY(W469)+2,FALSE))</f>
        <v>0</v>
      </c>
      <c r="AC469" s="306">
        <f t="shared" si="117"/>
        <v>0</v>
      </c>
      <c r="AD469" s="314">
        <f t="shared" si="108"/>
        <v>0</v>
      </c>
      <c r="AE469" s="315">
        <f t="shared" si="118"/>
        <v>0</v>
      </c>
      <c r="AF469" s="316">
        <f t="shared" si="109"/>
        <v>0</v>
      </c>
      <c r="AG469" s="314">
        <v>1</v>
      </c>
      <c r="AH469" s="314">
        <f t="shared" si="119"/>
        <v>0</v>
      </c>
      <c r="AI469" s="314">
        <f t="shared" si="120"/>
        <v>0</v>
      </c>
      <c r="AJ469" s="317"/>
      <c r="AK469" s="315" t="e">
        <f t="shared" si="121"/>
        <v>#N/A</v>
      </c>
      <c r="AM469" s="561"/>
      <c r="AN469" s="561"/>
      <c r="AO469" s="561"/>
    </row>
    <row r="470" spans="2:41">
      <c r="B470" s="296"/>
      <c r="C470" s="299"/>
      <c r="D470" s="296"/>
      <c r="E470" s="298"/>
      <c r="F470" s="299"/>
      <c r="G470" s="300"/>
      <c r="H470" s="303"/>
      <c r="I470" s="303"/>
      <c r="J470" s="322">
        <f t="shared" si="107"/>
        <v>0</v>
      </c>
      <c r="K470" s="305" t="e">
        <f>IF(F470="MXN",1/HLOOKUP(YEAR(G470)+(MONTH(G470)/100),TC!$5:$37,DAY(G470)+2,FALSE),VLOOKUP(F470,Equivalencia!$5:$23,((MAX(Equivalencia!$3:$3)-YEAR(G470))*14)+MONTH(G470)+2,FALSE))</f>
        <v>#N/A</v>
      </c>
      <c r="L470" s="306" t="e">
        <f t="shared" si="110"/>
        <v>#N/A</v>
      </c>
      <c r="M470" s="305">
        <f>IF(G470=0,0,HLOOKUP(YEAR(G470)+(MONTH(G470)/100),TC!$5:$37,DAY(G470)+2,FALSE))</f>
        <v>0</v>
      </c>
      <c r="N470" s="306" t="e">
        <f t="shared" si="111"/>
        <v>#N/A</v>
      </c>
      <c r="O470" s="308">
        <f>IF(G470=0,0,VLOOKUP(YEAR(G470),INPC!$B$4:$P$30,MONTH(G470)+2))</f>
        <v>0</v>
      </c>
      <c r="P470" s="308">
        <f>IF(W470=0,0,IF(OR(C470=$AQ$5,C470=AQ474),VLOOKUP(YEAR(W470),INPC!$B$4:$P$30,MONTH(W470)+1),VLOOKUP(YEAR(W470),INPC!$B$4:$P$30,MONTH(W470)+2)))</f>
        <v>0</v>
      </c>
      <c r="Q470" s="309">
        <f t="shared" si="112"/>
        <v>0</v>
      </c>
      <c r="R470" s="310" t="e">
        <f t="shared" si="113"/>
        <v>#N/A</v>
      </c>
      <c r="S470" s="310">
        <f t="shared" si="114"/>
        <v>0</v>
      </c>
      <c r="T470" s="567" t="str">
        <f t="shared" si="115"/>
        <v>NO</v>
      </c>
      <c r="U470" s="323"/>
      <c r="V470" s="299"/>
      <c r="W470" s="300"/>
      <c r="X470" s="299"/>
      <c r="Y470" s="303"/>
      <c r="Z470" s="305">
        <f>IF(Y470=0,0,IF(X470="MXN",1/HLOOKUP(YEAR(W470)+(MONTH(W470)/100),TC!$5:$37,DAY(W470)+2,FALSE),VLOOKUP(X470,Equivalencia!$1:$23,((MAX(Equivalencia!$3:$3)-YEAR(W470))*14)+MONTH(W470)+2,FALSE)))</f>
        <v>0</v>
      </c>
      <c r="AA470" s="306">
        <f t="shared" si="116"/>
        <v>0</v>
      </c>
      <c r="AB470" s="305">
        <f>+IF(W470=0,0,HLOOKUP(YEAR(W470)+(MONTH(W470)/100),TC!$5:$37,DAY(W470)+2,FALSE))</f>
        <v>0</v>
      </c>
      <c r="AC470" s="306">
        <f t="shared" si="117"/>
        <v>0</v>
      </c>
      <c r="AD470" s="314">
        <f t="shared" si="108"/>
        <v>0</v>
      </c>
      <c r="AE470" s="315">
        <f t="shared" si="118"/>
        <v>0</v>
      </c>
      <c r="AF470" s="316">
        <f t="shared" si="109"/>
        <v>0</v>
      </c>
      <c r="AG470" s="314">
        <v>1</v>
      </c>
      <c r="AH470" s="314">
        <f t="shared" si="119"/>
        <v>0</v>
      </c>
      <c r="AI470" s="314">
        <f t="shared" si="120"/>
        <v>0</v>
      </c>
      <c r="AJ470" s="317"/>
      <c r="AK470" s="315" t="e">
        <f t="shared" si="121"/>
        <v>#N/A</v>
      </c>
      <c r="AM470" s="561"/>
      <c r="AN470" s="561"/>
      <c r="AO470" s="561"/>
    </row>
    <row r="471" spans="2:41">
      <c r="B471" s="296"/>
      <c r="C471" s="299"/>
      <c r="D471" s="296"/>
      <c r="E471" s="298"/>
      <c r="F471" s="299"/>
      <c r="G471" s="300"/>
      <c r="H471" s="303"/>
      <c r="I471" s="303"/>
      <c r="J471" s="322">
        <f t="shared" si="107"/>
        <v>0</v>
      </c>
      <c r="K471" s="305" t="e">
        <f>IF(F471="MXN",1/HLOOKUP(YEAR(G471)+(MONTH(G471)/100),TC!$5:$37,DAY(G471)+2,FALSE),VLOOKUP(F471,Equivalencia!$5:$23,((MAX(Equivalencia!$3:$3)-YEAR(G471))*14)+MONTH(G471)+2,FALSE))</f>
        <v>#N/A</v>
      </c>
      <c r="L471" s="306" t="e">
        <f t="shared" si="110"/>
        <v>#N/A</v>
      </c>
      <c r="M471" s="305">
        <f>IF(G471=0,0,HLOOKUP(YEAR(G471)+(MONTH(G471)/100),TC!$5:$37,DAY(G471)+2,FALSE))</f>
        <v>0</v>
      </c>
      <c r="N471" s="306" t="e">
        <f t="shared" si="111"/>
        <v>#N/A</v>
      </c>
      <c r="O471" s="308">
        <f>IF(G471=0,0,VLOOKUP(YEAR(G471),INPC!$B$4:$P$30,MONTH(G471)+2))</f>
        <v>0</v>
      </c>
      <c r="P471" s="308">
        <f>IF(W471=0,0,IF(OR(C471=$AQ$5,C471=AQ475),VLOOKUP(YEAR(W471),INPC!$B$4:$P$30,MONTH(W471)+1),VLOOKUP(YEAR(W471),INPC!$B$4:$P$30,MONTH(W471)+2)))</f>
        <v>0</v>
      </c>
      <c r="Q471" s="309">
        <f t="shared" si="112"/>
        <v>0</v>
      </c>
      <c r="R471" s="310" t="e">
        <f t="shared" si="113"/>
        <v>#N/A</v>
      </c>
      <c r="S471" s="310">
        <f t="shared" si="114"/>
        <v>0</v>
      </c>
      <c r="T471" s="567" t="str">
        <f t="shared" si="115"/>
        <v>NO</v>
      </c>
      <c r="U471" s="323"/>
      <c r="V471" s="299"/>
      <c r="W471" s="300"/>
      <c r="X471" s="299"/>
      <c r="Y471" s="303"/>
      <c r="Z471" s="305">
        <f>IF(Y471=0,0,IF(X471="MXN",1/HLOOKUP(YEAR(W471)+(MONTH(W471)/100),TC!$5:$37,DAY(W471)+2,FALSE),VLOOKUP(X471,Equivalencia!$1:$23,((MAX(Equivalencia!$3:$3)-YEAR(W471))*14)+MONTH(W471)+2,FALSE)))</f>
        <v>0</v>
      </c>
      <c r="AA471" s="306">
        <f t="shared" si="116"/>
        <v>0</v>
      </c>
      <c r="AB471" s="305">
        <f>+IF(W471=0,0,HLOOKUP(YEAR(W471)+(MONTH(W471)/100),TC!$5:$37,DAY(W471)+2,FALSE))</f>
        <v>0</v>
      </c>
      <c r="AC471" s="306">
        <f t="shared" si="117"/>
        <v>0</v>
      </c>
      <c r="AD471" s="314">
        <f t="shared" si="108"/>
        <v>0</v>
      </c>
      <c r="AE471" s="315">
        <f t="shared" si="118"/>
        <v>0</v>
      </c>
      <c r="AF471" s="316">
        <f t="shared" si="109"/>
        <v>0</v>
      </c>
      <c r="AG471" s="314">
        <v>1</v>
      </c>
      <c r="AH471" s="314">
        <f t="shared" si="119"/>
        <v>0</v>
      </c>
      <c r="AI471" s="314">
        <f t="shared" si="120"/>
        <v>0</v>
      </c>
      <c r="AJ471" s="317"/>
      <c r="AK471" s="315" t="e">
        <f t="shared" si="121"/>
        <v>#N/A</v>
      </c>
      <c r="AM471" s="561"/>
      <c r="AN471" s="561"/>
      <c r="AO471" s="561"/>
    </row>
    <row r="472" spans="2:41">
      <c r="B472" s="296"/>
      <c r="C472" s="299"/>
      <c r="D472" s="296"/>
      <c r="E472" s="298"/>
      <c r="F472" s="299"/>
      <c r="G472" s="300"/>
      <c r="H472" s="303"/>
      <c r="I472" s="303"/>
      <c r="J472" s="322">
        <f t="shared" si="107"/>
        <v>0</v>
      </c>
      <c r="K472" s="305" t="e">
        <f>IF(F472="MXN",1/HLOOKUP(YEAR(G472)+(MONTH(G472)/100),TC!$5:$37,DAY(G472)+2,FALSE),VLOOKUP(F472,Equivalencia!$5:$23,((MAX(Equivalencia!$3:$3)-YEAR(G472))*14)+MONTH(G472)+2,FALSE))</f>
        <v>#N/A</v>
      </c>
      <c r="L472" s="306" t="e">
        <f t="shared" si="110"/>
        <v>#N/A</v>
      </c>
      <c r="M472" s="305">
        <f>IF(G472=0,0,HLOOKUP(YEAR(G472)+(MONTH(G472)/100),TC!$5:$37,DAY(G472)+2,FALSE))</f>
        <v>0</v>
      </c>
      <c r="N472" s="306" t="e">
        <f t="shared" si="111"/>
        <v>#N/A</v>
      </c>
      <c r="O472" s="308">
        <f>IF(G472=0,0,VLOOKUP(YEAR(G472),INPC!$B$4:$P$30,MONTH(G472)+2))</f>
        <v>0</v>
      </c>
      <c r="P472" s="308">
        <f>IF(W472=0,0,IF(OR(C472=$AQ$5,C472=AQ476),VLOOKUP(YEAR(W472),INPC!$B$4:$P$30,MONTH(W472)+1),VLOOKUP(YEAR(W472),INPC!$B$4:$P$30,MONTH(W472)+2)))</f>
        <v>0</v>
      </c>
      <c r="Q472" s="309">
        <f t="shared" si="112"/>
        <v>0</v>
      </c>
      <c r="R472" s="310" t="e">
        <f t="shared" si="113"/>
        <v>#N/A</v>
      </c>
      <c r="S472" s="310">
        <f t="shared" si="114"/>
        <v>0</v>
      </c>
      <c r="T472" s="567" t="str">
        <f t="shared" si="115"/>
        <v>NO</v>
      </c>
      <c r="U472" s="323"/>
      <c r="V472" s="299"/>
      <c r="W472" s="300"/>
      <c r="X472" s="299"/>
      <c r="Y472" s="303"/>
      <c r="Z472" s="305">
        <f>IF(Y472=0,0,IF(X472="MXN",1/HLOOKUP(YEAR(W472)+(MONTH(W472)/100),TC!$5:$37,DAY(W472)+2,FALSE),VLOOKUP(X472,Equivalencia!$1:$23,((MAX(Equivalencia!$3:$3)-YEAR(W472))*14)+MONTH(W472)+2,FALSE)))</f>
        <v>0</v>
      </c>
      <c r="AA472" s="306">
        <f t="shared" si="116"/>
        <v>0</v>
      </c>
      <c r="AB472" s="305">
        <f>+IF(W472=0,0,HLOOKUP(YEAR(W472)+(MONTH(W472)/100),TC!$5:$37,DAY(W472)+2,FALSE))</f>
        <v>0</v>
      </c>
      <c r="AC472" s="306">
        <f t="shared" si="117"/>
        <v>0</v>
      </c>
      <c r="AD472" s="314">
        <f t="shared" si="108"/>
        <v>0</v>
      </c>
      <c r="AE472" s="315">
        <f t="shared" si="118"/>
        <v>0</v>
      </c>
      <c r="AF472" s="316">
        <f t="shared" si="109"/>
        <v>0</v>
      </c>
      <c r="AG472" s="314">
        <v>1</v>
      </c>
      <c r="AH472" s="314">
        <f t="shared" si="119"/>
        <v>0</v>
      </c>
      <c r="AI472" s="314">
        <f t="shared" si="120"/>
        <v>0</v>
      </c>
      <c r="AJ472" s="317"/>
      <c r="AK472" s="315" t="e">
        <f t="shared" si="121"/>
        <v>#N/A</v>
      </c>
      <c r="AM472" s="561"/>
      <c r="AN472" s="561"/>
      <c r="AO472" s="561"/>
    </row>
    <row r="473" spans="2:41">
      <c r="B473" s="296"/>
      <c r="C473" s="299"/>
      <c r="D473" s="296"/>
      <c r="E473" s="298"/>
      <c r="F473" s="299"/>
      <c r="G473" s="300"/>
      <c r="H473" s="303"/>
      <c r="I473" s="303"/>
      <c r="J473" s="322">
        <f t="shared" si="107"/>
        <v>0</v>
      </c>
      <c r="K473" s="305" t="e">
        <f>IF(F473="MXN",1/HLOOKUP(YEAR(G473)+(MONTH(G473)/100),TC!$5:$37,DAY(G473)+2,FALSE),VLOOKUP(F473,Equivalencia!$5:$23,((MAX(Equivalencia!$3:$3)-YEAR(G473))*14)+MONTH(G473)+2,FALSE))</f>
        <v>#N/A</v>
      </c>
      <c r="L473" s="306" t="e">
        <f t="shared" si="110"/>
        <v>#N/A</v>
      </c>
      <c r="M473" s="305">
        <f>IF(G473=0,0,HLOOKUP(YEAR(G473)+(MONTH(G473)/100),TC!$5:$37,DAY(G473)+2,FALSE))</f>
        <v>0</v>
      </c>
      <c r="N473" s="306" t="e">
        <f t="shared" si="111"/>
        <v>#N/A</v>
      </c>
      <c r="O473" s="308">
        <f>IF(G473=0,0,VLOOKUP(YEAR(G473),INPC!$B$4:$P$30,MONTH(G473)+2))</f>
        <v>0</v>
      </c>
      <c r="P473" s="308">
        <f>IF(W473=0,0,IF(OR(C473=$AQ$5,C473=AQ477),VLOOKUP(YEAR(W473),INPC!$B$4:$P$30,MONTH(W473)+1),VLOOKUP(YEAR(W473),INPC!$B$4:$P$30,MONTH(W473)+2)))</f>
        <v>0</v>
      </c>
      <c r="Q473" s="309">
        <f t="shared" si="112"/>
        <v>0</v>
      </c>
      <c r="R473" s="310" t="e">
        <f t="shared" si="113"/>
        <v>#N/A</v>
      </c>
      <c r="S473" s="310">
        <f t="shared" si="114"/>
        <v>0</v>
      </c>
      <c r="T473" s="567" t="str">
        <f t="shared" si="115"/>
        <v>NO</v>
      </c>
      <c r="U473" s="323"/>
      <c r="V473" s="299"/>
      <c r="W473" s="300"/>
      <c r="X473" s="299"/>
      <c r="Y473" s="303"/>
      <c r="Z473" s="305">
        <f>IF(Y473=0,0,IF(X473="MXN",1/HLOOKUP(YEAR(W473)+(MONTH(W473)/100),TC!$5:$37,DAY(W473)+2,FALSE),VLOOKUP(X473,Equivalencia!$1:$23,((MAX(Equivalencia!$3:$3)-YEAR(W473))*14)+MONTH(W473)+2,FALSE)))</f>
        <v>0</v>
      </c>
      <c r="AA473" s="306">
        <f t="shared" si="116"/>
        <v>0</v>
      </c>
      <c r="AB473" s="305">
        <f>+IF(W473=0,0,HLOOKUP(YEAR(W473)+(MONTH(W473)/100),TC!$5:$37,DAY(W473)+2,FALSE))</f>
        <v>0</v>
      </c>
      <c r="AC473" s="306">
        <f t="shared" si="117"/>
        <v>0</v>
      </c>
      <c r="AD473" s="314">
        <f t="shared" si="108"/>
        <v>0</v>
      </c>
      <c r="AE473" s="315">
        <f t="shared" si="118"/>
        <v>0</v>
      </c>
      <c r="AF473" s="316">
        <f t="shared" si="109"/>
        <v>0</v>
      </c>
      <c r="AG473" s="314">
        <v>1</v>
      </c>
      <c r="AH473" s="314">
        <f t="shared" si="119"/>
        <v>0</v>
      </c>
      <c r="AI473" s="314">
        <f t="shared" si="120"/>
        <v>0</v>
      </c>
      <c r="AJ473" s="317"/>
      <c r="AK473" s="315" t="e">
        <f t="shared" si="121"/>
        <v>#N/A</v>
      </c>
      <c r="AM473" s="561"/>
      <c r="AN473" s="561"/>
      <c r="AO473" s="561"/>
    </row>
    <row r="474" spans="2:41">
      <c r="B474" s="296"/>
      <c r="C474" s="299"/>
      <c r="D474" s="296"/>
      <c r="E474" s="298"/>
      <c r="F474" s="299"/>
      <c r="G474" s="300"/>
      <c r="H474" s="303"/>
      <c r="I474" s="303"/>
      <c r="J474" s="322">
        <f t="shared" si="107"/>
        <v>0</v>
      </c>
      <c r="K474" s="305" t="e">
        <f>IF(F474="MXN",1/HLOOKUP(YEAR(G474)+(MONTH(G474)/100),TC!$5:$37,DAY(G474)+2,FALSE),VLOOKUP(F474,Equivalencia!$5:$23,((MAX(Equivalencia!$3:$3)-YEAR(G474))*14)+MONTH(G474)+2,FALSE))</f>
        <v>#N/A</v>
      </c>
      <c r="L474" s="306" t="e">
        <f t="shared" si="110"/>
        <v>#N/A</v>
      </c>
      <c r="M474" s="305">
        <f>IF(G474=0,0,HLOOKUP(YEAR(G474)+(MONTH(G474)/100),TC!$5:$37,DAY(G474)+2,FALSE))</f>
        <v>0</v>
      </c>
      <c r="N474" s="306" t="e">
        <f t="shared" si="111"/>
        <v>#N/A</v>
      </c>
      <c r="O474" s="308">
        <f>IF(G474=0,0,VLOOKUP(YEAR(G474),INPC!$B$4:$P$30,MONTH(G474)+2))</f>
        <v>0</v>
      </c>
      <c r="P474" s="308">
        <f>IF(W474=0,0,IF(OR(C474=$AQ$5,C474=AQ478),VLOOKUP(YEAR(W474),INPC!$B$4:$P$30,MONTH(W474)+1),VLOOKUP(YEAR(W474),INPC!$B$4:$P$30,MONTH(W474)+2)))</f>
        <v>0</v>
      </c>
      <c r="Q474" s="309">
        <f t="shared" si="112"/>
        <v>0</v>
      </c>
      <c r="R474" s="310" t="e">
        <f t="shared" si="113"/>
        <v>#N/A</v>
      </c>
      <c r="S474" s="310">
        <f t="shared" si="114"/>
        <v>0</v>
      </c>
      <c r="T474" s="567" t="str">
        <f t="shared" si="115"/>
        <v>NO</v>
      </c>
      <c r="U474" s="323"/>
      <c r="V474" s="299"/>
      <c r="W474" s="300"/>
      <c r="X474" s="299"/>
      <c r="Y474" s="303"/>
      <c r="Z474" s="305">
        <f>IF(Y474=0,0,IF(X474="MXN",1/HLOOKUP(YEAR(W474)+(MONTH(W474)/100),TC!$5:$37,DAY(W474)+2,FALSE),VLOOKUP(X474,Equivalencia!$1:$23,((MAX(Equivalencia!$3:$3)-YEAR(W474))*14)+MONTH(W474)+2,FALSE)))</f>
        <v>0</v>
      </c>
      <c r="AA474" s="306">
        <f t="shared" si="116"/>
        <v>0</v>
      </c>
      <c r="AB474" s="305">
        <f>+IF(W474=0,0,HLOOKUP(YEAR(W474)+(MONTH(W474)/100),TC!$5:$37,DAY(W474)+2,FALSE))</f>
        <v>0</v>
      </c>
      <c r="AC474" s="306">
        <f t="shared" si="117"/>
        <v>0</v>
      </c>
      <c r="AD474" s="314">
        <f t="shared" si="108"/>
        <v>0</v>
      </c>
      <c r="AE474" s="315">
        <f t="shared" si="118"/>
        <v>0</v>
      </c>
      <c r="AF474" s="316">
        <f t="shared" si="109"/>
        <v>0</v>
      </c>
      <c r="AG474" s="314">
        <v>1</v>
      </c>
      <c r="AH474" s="314">
        <f t="shared" si="119"/>
        <v>0</v>
      </c>
      <c r="AI474" s="314">
        <f t="shared" si="120"/>
        <v>0</v>
      </c>
      <c r="AJ474" s="317"/>
      <c r="AK474" s="315" t="e">
        <f t="shared" si="121"/>
        <v>#N/A</v>
      </c>
      <c r="AM474" s="561"/>
      <c r="AN474" s="561"/>
      <c r="AO474" s="561"/>
    </row>
    <row r="475" spans="2:41">
      <c r="B475" s="296"/>
      <c r="C475" s="299"/>
      <c r="D475" s="296"/>
      <c r="E475" s="298"/>
      <c r="F475" s="299"/>
      <c r="G475" s="300"/>
      <c r="H475" s="303"/>
      <c r="I475" s="303"/>
      <c r="J475" s="322">
        <f t="shared" si="107"/>
        <v>0</v>
      </c>
      <c r="K475" s="305" t="e">
        <f>IF(F475="MXN",1/HLOOKUP(YEAR(G475)+(MONTH(G475)/100),TC!$5:$37,DAY(G475)+2,FALSE),VLOOKUP(F475,Equivalencia!$5:$23,((MAX(Equivalencia!$3:$3)-YEAR(G475))*14)+MONTH(G475)+2,FALSE))</f>
        <v>#N/A</v>
      </c>
      <c r="L475" s="306" t="e">
        <f t="shared" si="110"/>
        <v>#N/A</v>
      </c>
      <c r="M475" s="305">
        <f>IF(G475=0,0,HLOOKUP(YEAR(G475)+(MONTH(G475)/100),TC!$5:$37,DAY(G475)+2,FALSE))</f>
        <v>0</v>
      </c>
      <c r="N475" s="306" t="e">
        <f t="shared" si="111"/>
        <v>#N/A</v>
      </c>
      <c r="O475" s="308">
        <f>IF(G475=0,0,VLOOKUP(YEAR(G475),INPC!$B$4:$P$30,MONTH(G475)+2))</f>
        <v>0</v>
      </c>
      <c r="P475" s="308">
        <f>IF(W475=0,0,IF(OR(C475=$AQ$5,C475=AQ479),VLOOKUP(YEAR(W475),INPC!$B$4:$P$30,MONTH(W475)+1),VLOOKUP(YEAR(W475),INPC!$B$4:$P$30,MONTH(W475)+2)))</f>
        <v>0</v>
      </c>
      <c r="Q475" s="309">
        <f t="shared" si="112"/>
        <v>0</v>
      </c>
      <c r="R475" s="310" t="e">
        <f t="shared" si="113"/>
        <v>#N/A</v>
      </c>
      <c r="S475" s="310">
        <f t="shared" si="114"/>
        <v>0</v>
      </c>
      <c r="T475" s="567" t="str">
        <f t="shared" si="115"/>
        <v>NO</v>
      </c>
      <c r="U475" s="323"/>
      <c r="V475" s="299"/>
      <c r="W475" s="300"/>
      <c r="X475" s="299"/>
      <c r="Y475" s="303"/>
      <c r="Z475" s="305">
        <f>IF(Y475=0,0,IF(X475="MXN",1/HLOOKUP(YEAR(W475)+(MONTH(W475)/100),TC!$5:$37,DAY(W475)+2,FALSE),VLOOKUP(X475,Equivalencia!$1:$23,((MAX(Equivalencia!$3:$3)-YEAR(W475))*14)+MONTH(W475)+2,FALSE)))</f>
        <v>0</v>
      </c>
      <c r="AA475" s="306">
        <f t="shared" si="116"/>
        <v>0</v>
      </c>
      <c r="AB475" s="305">
        <f>+IF(W475=0,0,HLOOKUP(YEAR(W475)+(MONTH(W475)/100),TC!$5:$37,DAY(W475)+2,FALSE))</f>
        <v>0</v>
      </c>
      <c r="AC475" s="306">
        <f t="shared" si="117"/>
        <v>0</v>
      </c>
      <c r="AD475" s="314">
        <f t="shared" si="108"/>
        <v>0</v>
      </c>
      <c r="AE475" s="315">
        <f t="shared" si="118"/>
        <v>0</v>
      </c>
      <c r="AF475" s="316">
        <f t="shared" si="109"/>
        <v>0</v>
      </c>
      <c r="AG475" s="314">
        <v>1</v>
      </c>
      <c r="AH475" s="314">
        <f t="shared" si="119"/>
        <v>0</v>
      </c>
      <c r="AI475" s="314">
        <f t="shared" si="120"/>
        <v>0</v>
      </c>
      <c r="AJ475" s="317"/>
      <c r="AK475" s="315" t="e">
        <f t="shared" si="121"/>
        <v>#N/A</v>
      </c>
      <c r="AM475" s="561"/>
      <c r="AN475" s="561"/>
      <c r="AO475" s="561"/>
    </row>
    <row r="476" spans="2:41">
      <c r="B476" s="296"/>
      <c r="C476" s="299"/>
      <c r="D476" s="296"/>
      <c r="E476" s="298"/>
      <c r="F476" s="299"/>
      <c r="G476" s="300"/>
      <c r="H476" s="303"/>
      <c r="I476" s="303"/>
      <c r="J476" s="322">
        <f t="shared" si="107"/>
        <v>0</v>
      </c>
      <c r="K476" s="305" t="e">
        <f>IF(F476="MXN",1/HLOOKUP(YEAR(G476)+(MONTH(G476)/100),TC!$5:$37,DAY(G476)+2,FALSE),VLOOKUP(F476,Equivalencia!$5:$23,((MAX(Equivalencia!$3:$3)-YEAR(G476))*14)+MONTH(G476)+2,FALSE))</f>
        <v>#N/A</v>
      </c>
      <c r="L476" s="306" t="e">
        <f t="shared" si="110"/>
        <v>#N/A</v>
      </c>
      <c r="M476" s="305">
        <f>IF(G476=0,0,HLOOKUP(YEAR(G476)+(MONTH(G476)/100),TC!$5:$37,DAY(G476)+2,FALSE))</f>
        <v>0</v>
      </c>
      <c r="N476" s="306" t="e">
        <f t="shared" si="111"/>
        <v>#N/A</v>
      </c>
      <c r="O476" s="308">
        <f>IF(G476=0,0,VLOOKUP(YEAR(G476),INPC!$B$4:$P$30,MONTH(G476)+2))</f>
        <v>0</v>
      </c>
      <c r="P476" s="308">
        <f>IF(W476=0,0,IF(OR(C476=$AQ$5,C476=AQ480),VLOOKUP(YEAR(W476),INPC!$B$4:$P$30,MONTH(W476)+1),VLOOKUP(YEAR(W476),INPC!$B$4:$P$30,MONTH(W476)+2)))</f>
        <v>0</v>
      </c>
      <c r="Q476" s="309">
        <f t="shared" si="112"/>
        <v>0</v>
      </c>
      <c r="R476" s="310" t="e">
        <f t="shared" si="113"/>
        <v>#N/A</v>
      </c>
      <c r="S476" s="310">
        <f t="shared" si="114"/>
        <v>0</v>
      </c>
      <c r="T476" s="567" t="str">
        <f t="shared" si="115"/>
        <v>NO</v>
      </c>
      <c r="U476" s="323"/>
      <c r="V476" s="299"/>
      <c r="W476" s="300"/>
      <c r="X476" s="299"/>
      <c r="Y476" s="303"/>
      <c r="Z476" s="305">
        <f>IF(Y476=0,0,IF(X476="MXN",1/HLOOKUP(YEAR(W476)+(MONTH(W476)/100),TC!$5:$37,DAY(W476)+2,FALSE),VLOOKUP(X476,Equivalencia!$1:$23,((MAX(Equivalencia!$3:$3)-YEAR(W476))*14)+MONTH(W476)+2,FALSE)))</f>
        <v>0</v>
      </c>
      <c r="AA476" s="306">
        <f t="shared" si="116"/>
        <v>0</v>
      </c>
      <c r="AB476" s="305">
        <f>+IF(W476=0,0,HLOOKUP(YEAR(W476)+(MONTH(W476)/100),TC!$5:$37,DAY(W476)+2,FALSE))</f>
        <v>0</v>
      </c>
      <c r="AC476" s="306">
        <f t="shared" si="117"/>
        <v>0</v>
      </c>
      <c r="AD476" s="314">
        <f t="shared" si="108"/>
        <v>0</v>
      </c>
      <c r="AE476" s="315">
        <f t="shared" si="118"/>
        <v>0</v>
      </c>
      <c r="AF476" s="316">
        <f t="shared" si="109"/>
        <v>0</v>
      </c>
      <c r="AG476" s="314">
        <v>1</v>
      </c>
      <c r="AH476" s="314">
        <f t="shared" si="119"/>
        <v>0</v>
      </c>
      <c r="AI476" s="314">
        <f t="shared" si="120"/>
        <v>0</v>
      </c>
      <c r="AJ476" s="317"/>
      <c r="AK476" s="315" t="e">
        <f t="shared" si="121"/>
        <v>#N/A</v>
      </c>
      <c r="AM476" s="561"/>
      <c r="AN476" s="561"/>
      <c r="AO476" s="561"/>
    </row>
    <row r="477" spans="2:41">
      <c r="B477" s="296"/>
      <c r="C477" s="299"/>
      <c r="D477" s="296"/>
      <c r="E477" s="298"/>
      <c r="F477" s="299"/>
      <c r="G477" s="300"/>
      <c r="H477" s="303"/>
      <c r="I477" s="303"/>
      <c r="J477" s="322">
        <f t="shared" si="107"/>
        <v>0</v>
      </c>
      <c r="K477" s="305" t="e">
        <f>IF(F477="MXN",1/HLOOKUP(YEAR(G477)+(MONTH(G477)/100),TC!$5:$37,DAY(G477)+2,FALSE),VLOOKUP(F477,Equivalencia!$5:$23,((MAX(Equivalencia!$3:$3)-YEAR(G477))*14)+MONTH(G477)+2,FALSE))</f>
        <v>#N/A</v>
      </c>
      <c r="L477" s="306" t="e">
        <f t="shared" si="110"/>
        <v>#N/A</v>
      </c>
      <c r="M477" s="305">
        <f>IF(G477=0,0,HLOOKUP(YEAR(G477)+(MONTH(G477)/100),TC!$5:$37,DAY(G477)+2,FALSE))</f>
        <v>0</v>
      </c>
      <c r="N477" s="306" t="e">
        <f t="shared" si="111"/>
        <v>#N/A</v>
      </c>
      <c r="O477" s="308">
        <f>IF(G477=0,0,VLOOKUP(YEAR(G477),INPC!$B$4:$P$30,MONTH(G477)+2))</f>
        <v>0</v>
      </c>
      <c r="P477" s="308">
        <f>IF(W477=0,0,IF(OR(C477=$AQ$5,C477=AQ481),VLOOKUP(YEAR(W477),INPC!$B$4:$P$30,MONTH(W477)+1),VLOOKUP(YEAR(W477),INPC!$B$4:$P$30,MONTH(W477)+2)))</f>
        <v>0</v>
      </c>
      <c r="Q477" s="309">
        <f t="shared" si="112"/>
        <v>0</v>
      </c>
      <c r="R477" s="310" t="e">
        <f t="shared" si="113"/>
        <v>#N/A</v>
      </c>
      <c r="S477" s="310">
        <f t="shared" si="114"/>
        <v>0</v>
      </c>
      <c r="T477" s="567" t="str">
        <f t="shared" si="115"/>
        <v>NO</v>
      </c>
      <c r="U477" s="323"/>
      <c r="V477" s="299"/>
      <c r="W477" s="300"/>
      <c r="X477" s="299"/>
      <c r="Y477" s="303"/>
      <c r="Z477" s="305">
        <f>IF(Y477=0,0,IF(X477="MXN",1/HLOOKUP(YEAR(W477)+(MONTH(W477)/100),TC!$5:$37,DAY(W477)+2,FALSE),VLOOKUP(X477,Equivalencia!$1:$23,((MAX(Equivalencia!$3:$3)-YEAR(W477))*14)+MONTH(W477)+2,FALSE)))</f>
        <v>0</v>
      </c>
      <c r="AA477" s="306">
        <f t="shared" si="116"/>
        <v>0</v>
      </c>
      <c r="AB477" s="305">
        <f>+IF(W477=0,0,HLOOKUP(YEAR(W477)+(MONTH(W477)/100),TC!$5:$37,DAY(W477)+2,FALSE))</f>
        <v>0</v>
      </c>
      <c r="AC477" s="306">
        <f t="shared" si="117"/>
        <v>0</v>
      </c>
      <c r="AD477" s="314">
        <f t="shared" si="108"/>
        <v>0</v>
      </c>
      <c r="AE477" s="315">
        <f t="shared" si="118"/>
        <v>0</v>
      </c>
      <c r="AF477" s="316">
        <f t="shared" si="109"/>
        <v>0</v>
      </c>
      <c r="AG477" s="314">
        <v>1</v>
      </c>
      <c r="AH477" s="314">
        <f t="shared" si="119"/>
        <v>0</v>
      </c>
      <c r="AI477" s="314">
        <f t="shared" si="120"/>
        <v>0</v>
      </c>
      <c r="AJ477" s="317"/>
      <c r="AK477" s="315" t="e">
        <f t="shared" si="121"/>
        <v>#N/A</v>
      </c>
      <c r="AM477" s="561"/>
      <c r="AN477" s="561"/>
      <c r="AO477" s="561"/>
    </row>
    <row r="478" spans="2:41">
      <c r="B478" s="296"/>
      <c r="C478" s="299"/>
      <c r="D478" s="296"/>
      <c r="E478" s="298"/>
      <c r="F478" s="299"/>
      <c r="G478" s="300"/>
      <c r="H478" s="303"/>
      <c r="I478" s="303"/>
      <c r="J478" s="322">
        <f t="shared" si="107"/>
        <v>0</v>
      </c>
      <c r="K478" s="305" t="e">
        <f>IF(F478="MXN",1/HLOOKUP(YEAR(G478)+(MONTH(G478)/100),TC!$5:$37,DAY(G478)+2,FALSE),VLOOKUP(F478,Equivalencia!$5:$23,((MAX(Equivalencia!$3:$3)-YEAR(G478))*14)+MONTH(G478)+2,FALSE))</f>
        <v>#N/A</v>
      </c>
      <c r="L478" s="306" t="e">
        <f t="shared" si="110"/>
        <v>#N/A</v>
      </c>
      <c r="M478" s="305">
        <f>IF(G478=0,0,HLOOKUP(YEAR(G478)+(MONTH(G478)/100),TC!$5:$37,DAY(G478)+2,FALSE))</f>
        <v>0</v>
      </c>
      <c r="N478" s="306" t="e">
        <f t="shared" si="111"/>
        <v>#N/A</v>
      </c>
      <c r="O478" s="308">
        <f>IF(G478=0,0,VLOOKUP(YEAR(G478),INPC!$B$4:$P$30,MONTH(G478)+2))</f>
        <v>0</v>
      </c>
      <c r="P478" s="308">
        <f>IF(W478=0,0,IF(OR(C478=$AQ$5,C478=AQ482),VLOOKUP(YEAR(W478),INPC!$B$4:$P$30,MONTH(W478)+1),VLOOKUP(YEAR(W478),INPC!$B$4:$P$30,MONTH(W478)+2)))</f>
        <v>0</v>
      </c>
      <c r="Q478" s="309">
        <f t="shared" si="112"/>
        <v>0</v>
      </c>
      <c r="R478" s="310" t="e">
        <f t="shared" si="113"/>
        <v>#N/A</v>
      </c>
      <c r="S478" s="310">
        <f t="shared" si="114"/>
        <v>0</v>
      </c>
      <c r="T478" s="567" t="str">
        <f t="shared" si="115"/>
        <v>NO</v>
      </c>
      <c r="U478" s="323"/>
      <c r="V478" s="299"/>
      <c r="W478" s="300"/>
      <c r="X478" s="299"/>
      <c r="Y478" s="303"/>
      <c r="Z478" s="305">
        <f>IF(Y478=0,0,IF(X478="MXN",1/HLOOKUP(YEAR(W478)+(MONTH(W478)/100),TC!$5:$37,DAY(W478)+2,FALSE),VLOOKUP(X478,Equivalencia!$1:$23,((MAX(Equivalencia!$3:$3)-YEAR(W478))*14)+MONTH(W478)+2,FALSE)))</f>
        <v>0</v>
      </c>
      <c r="AA478" s="306">
        <f t="shared" si="116"/>
        <v>0</v>
      </c>
      <c r="AB478" s="305">
        <f>+IF(W478=0,0,HLOOKUP(YEAR(W478)+(MONTH(W478)/100),TC!$5:$37,DAY(W478)+2,FALSE))</f>
        <v>0</v>
      </c>
      <c r="AC478" s="306">
        <f t="shared" si="117"/>
        <v>0</v>
      </c>
      <c r="AD478" s="314">
        <f t="shared" si="108"/>
        <v>0</v>
      </c>
      <c r="AE478" s="315">
        <f t="shared" si="118"/>
        <v>0</v>
      </c>
      <c r="AF478" s="316">
        <f t="shared" si="109"/>
        <v>0</v>
      </c>
      <c r="AG478" s="314">
        <v>1</v>
      </c>
      <c r="AH478" s="314">
        <f t="shared" si="119"/>
        <v>0</v>
      </c>
      <c r="AI478" s="314">
        <f t="shared" si="120"/>
        <v>0</v>
      </c>
      <c r="AJ478" s="317"/>
      <c r="AK478" s="315" t="e">
        <f t="shared" si="121"/>
        <v>#N/A</v>
      </c>
      <c r="AM478" s="561"/>
      <c r="AN478" s="561"/>
      <c r="AO478" s="561"/>
    </row>
    <row r="479" spans="2:41">
      <c r="B479" s="296"/>
      <c r="C479" s="299"/>
      <c r="D479" s="296"/>
      <c r="E479" s="298"/>
      <c r="F479" s="299"/>
      <c r="G479" s="300"/>
      <c r="H479" s="303"/>
      <c r="I479" s="303"/>
      <c r="J479" s="322">
        <f t="shared" si="107"/>
        <v>0</v>
      </c>
      <c r="K479" s="305" t="e">
        <f>IF(F479="MXN",1/HLOOKUP(YEAR(G479)+(MONTH(G479)/100),TC!$5:$37,DAY(G479)+2,FALSE),VLOOKUP(F479,Equivalencia!$5:$23,((MAX(Equivalencia!$3:$3)-YEAR(G479))*14)+MONTH(G479)+2,FALSE))</f>
        <v>#N/A</v>
      </c>
      <c r="L479" s="306" t="e">
        <f t="shared" si="110"/>
        <v>#N/A</v>
      </c>
      <c r="M479" s="305">
        <f>IF(G479=0,0,HLOOKUP(YEAR(G479)+(MONTH(G479)/100),TC!$5:$37,DAY(G479)+2,FALSE))</f>
        <v>0</v>
      </c>
      <c r="N479" s="306" t="e">
        <f t="shared" si="111"/>
        <v>#N/A</v>
      </c>
      <c r="O479" s="308">
        <f>IF(G479=0,0,VLOOKUP(YEAR(G479),INPC!$B$4:$P$30,MONTH(G479)+2))</f>
        <v>0</v>
      </c>
      <c r="P479" s="308">
        <f>IF(W479=0,0,IF(OR(C479=$AQ$5,C479=AQ483),VLOOKUP(YEAR(W479),INPC!$B$4:$P$30,MONTH(W479)+1),VLOOKUP(YEAR(W479),INPC!$B$4:$P$30,MONTH(W479)+2)))</f>
        <v>0</v>
      </c>
      <c r="Q479" s="309">
        <f t="shared" si="112"/>
        <v>0</v>
      </c>
      <c r="R479" s="310" t="e">
        <f t="shared" si="113"/>
        <v>#N/A</v>
      </c>
      <c r="S479" s="310">
        <f t="shared" si="114"/>
        <v>0</v>
      </c>
      <c r="T479" s="567" t="str">
        <f t="shared" si="115"/>
        <v>NO</v>
      </c>
      <c r="U479" s="323"/>
      <c r="V479" s="299"/>
      <c r="W479" s="300"/>
      <c r="X479" s="299"/>
      <c r="Y479" s="303"/>
      <c r="Z479" s="305">
        <f>IF(Y479=0,0,IF(X479="MXN",1/HLOOKUP(YEAR(W479)+(MONTH(W479)/100),TC!$5:$37,DAY(W479)+2,FALSE),VLOOKUP(X479,Equivalencia!$1:$23,((MAX(Equivalencia!$3:$3)-YEAR(W479))*14)+MONTH(W479)+2,FALSE)))</f>
        <v>0</v>
      </c>
      <c r="AA479" s="306">
        <f t="shared" si="116"/>
        <v>0</v>
      </c>
      <c r="AB479" s="305">
        <f>+IF(W479=0,0,HLOOKUP(YEAR(W479)+(MONTH(W479)/100),TC!$5:$37,DAY(W479)+2,FALSE))</f>
        <v>0</v>
      </c>
      <c r="AC479" s="306">
        <f t="shared" si="117"/>
        <v>0</v>
      </c>
      <c r="AD479" s="314">
        <f t="shared" si="108"/>
        <v>0</v>
      </c>
      <c r="AE479" s="315">
        <f t="shared" si="118"/>
        <v>0</v>
      </c>
      <c r="AF479" s="316">
        <f t="shared" si="109"/>
        <v>0</v>
      </c>
      <c r="AG479" s="314">
        <v>1</v>
      </c>
      <c r="AH479" s="314">
        <f t="shared" si="119"/>
        <v>0</v>
      </c>
      <c r="AI479" s="314">
        <f t="shared" si="120"/>
        <v>0</v>
      </c>
      <c r="AJ479" s="317"/>
      <c r="AK479" s="315" t="e">
        <f t="shared" si="121"/>
        <v>#N/A</v>
      </c>
      <c r="AM479" s="561"/>
      <c r="AN479" s="561"/>
      <c r="AO479" s="561"/>
    </row>
    <row r="480" spans="2:41">
      <c r="B480" s="296"/>
      <c r="C480" s="299"/>
      <c r="D480" s="296"/>
      <c r="E480" s="298"/>
      <c r="F480" s="299"/>
      <c r="G480" s="300"/>
      <c r="H480" s="303"/>
      <c r="I480" s="303"/>
      <c r="J480" s="322">
        <f t="shared" si="107"/>
        <v>0</v>
      </c>
      <c r="K480" s="305" t="e">
        <f>IF(F480="MXN",1/HLOOKUP(YEAR(G480)+(MONTH(G480)/100),TC!$5:$37,DAY(G480)+2,FALSE),VLOOKUP(F480,Equivalencia!$5:$23,((MAX(Equivalencia!$3:$3)-YEAR(G480))*14)+MONTH(G480)+2,FALSE))</f>
        <v>#N/A</v>
      </c>
      <c r="L480" s="306" t="e">
        <f t="shared" si="110"/>
        <v>#N/A</v>
      </c>
      <c r="M480" s="305">
        <f>IF(G480=0,0,HLOOKUP(YEAR(G480)+(MONTH(G480)/100),TC!$5:$37,DAY(G480)+2,FALSE))</f>
        <v>0</v>
      </c>
      <c r="N480" s="306" t="e">
        <f t="shared" si="111"/>
        <v>#N/A</v>
      </c>
      <c r="O480" s="308">
        <f>IF(G480=0,0,VLOOKUP(YEAR(G480),INPC!$B$4:$P$30,MONTH(G480)+2))</f>
        <v>0</v>
      </c>
      <c r="P480" s="308">
        <f>IF(W480=0,0,IF(OR(C480=$AQ$5,C480=AQ484),VLOOKUP(YEAR(W480),INPC!$B$4:$P$30,MONTH(W480)+1),VLOOKUP(YEAR(W480),INPC!$B$4:$P$30,MONTH(W480)+2)))</f>
        <v>0</v>
      </c>
      <c r="Q480" s="309">
        <f t="shared" si="112"/>
        <v>0</v>
      </c>
      <c r="R480" s="310" t="e">
        <f t="shared" si="113"/>
        <v>#N/A</v>
      </c>
      <c r="S480" s="310">
        <f t="shared" si="114"/>
        <v>0</v>
      </c>
      <c r="T480" s="567" t="str">
        <f t="shared" si="115"/>
        <v>NO</v>
      </c>
      <c r="U480" s="323"/>
      <c r="V480" s="299"/>
      <c r="W480" s="300"/>
      <c r="X480" s="299"/>
      <c r="Y480" s="303"/>
      <c r="Z480" s="305">
        <f>IF(Y480=0,0,IF(X480="MXN",1/HLOOKUP(YEAR(W480)+(MONTH(W480)/100),TC!$5:$37,DAY(W480)+2,FALSE),VLOOKUP(X480,Equivalencia!$1:$23,((MAX(Equivalencia!$3:$3)-YEAR(W480))*14)+MONTH(W480)+2,FALSE)))</f>
        <v>0</v>
      </c>
      <c r="AA480" s="306">
        <f t="shared" si="116"/>
        <v>0</v>
      </c>
      <c r="AB480" s="305">
        <f>+IF(W480=0,0,HLOOKUP(YEAR(W480)+(MONTH(W480)/100),TC!$5:$37,DAY(W480)+2,FALSE))</f>
        <v>0</v>
      </c>
      <c r="AC480" s="306">
        <f t="shared" si="117"/>
        <v>0</v>
      </c>
      <c r="AD480" s="314">
        <f t="shared" si="108"/>
        <v>0</v>
      </c>
      <c r="AE480" s="315">
        <f t="shared" si="118"/>
        <v>0</v>
      </c>
      <c r="AF480" s="316">
        <f t="shared" si="109"/>
        <v>0</v>
      </c>
      <c r="AG480" s="314">
        <v>1</v>
      </c>
      <c r="AH480" s="314">
        <f t="shared" si="119"/>
        <v>0</v>
      </c>
      <c r="AI480" s="314">
        <f t="shared" si="120"/>
        <v>0</v>
      </c>
      <c r="AJ480" s="317"/>
      <c r="AK480" s="315" t="e">
        <f t="shared" si="121"/>
        <v>#N/A</v>
      </c>
      <c r="AM480" s="561"/>
      <c r="AN480" s="561"/>
      <c r="AO480" s="561"/>
    </row>
    <row r="481" spans="2:41">
      <c r="B481" s="296"/>
      <c r="C481" s="299"/>
      <c r="D481" s="296"/>
      <c r="E481" s="298"/>
      <c r="F481" s="299"/>
      <c r="G481" s="300"/>
      <c r="H481" s="303"/>
      <c r="I481" s="303"/>
      <c r="J481" s="322">
        <f t="shared" si="107"/>
        <v>0</v>
      </c>
      <c r="K481" s="305" t="e">
        <f>IF(F481="MXN",1/HLOOKUP(YEAR(G481)+(MONTH(G481)/100),TC!$5:$37,DAY(G481)+2,FALSE),VLOOKUP(F481,Equivalencia!$5:$23,((MAX(Equivalencia!$3:$3)-YEAR(G481))*14)+MONTH(G481)+2,FALSE))</f>
        <v>#N/A</v>
      </c>
      <c r="L481" s="306" t="e">
        <f t="shared" si="110"/>
        <v>#N/A</v>
      </c>
      <c r="M481" s="305">
        <f>IF(G481=0,0,HLOOKUP(YEAR(G481)+(MONTH(G481)/100),TC!$5:$37,DAY(G481)+2,FALSE))</f>
        <v>0</v>
      </c>
      <c r="N481" s="306" t="e">
        <f t="shared" si="111"/>
        <v>#N/A</v>
      </c>
      <c r="O481" s="308">
        <f>IF(G481=0,0,VLOOKUP(YEAR(G481),INPC!$B$4:$P$30,MONTH(G481)+2))</f>
        <v>0</v>
      </c>
      <c r="P481" s="308">
        <f>IF(W481=0,0,IF(OR(C481=$AQ$5,C481=AQ485),VLOOKUP(YEAR(W481),INPC!$B$4:$P$30,MONTH(W481)+1),VLOOKUP(YEAR(W481),INPC!$B$4:$P$30,MONTH(W481)+2)))</f>
        <v>0</v>
      </c>
      <c r="Q481" s="309">
        <f t="shared" si="112"/>
        <v>0</v>
      </c>
      <c r="R481" s="310" t="e">
        <f t="shared" si="113"/>
        <v>#N/A</v>
      </c>
      <c r="S481" s="310">
        <f t="shared" si="114"/>
        <v>0</v>
      </c>
      <c r="T481" s="567" t="str">
        <f t="shared" si="115"/>
        <v>NO</v>
      </c>
      <c r="U481" s="323"/>
      <c r="V481" s="299"/>
      <c r="W481" s="300"/>
      <c r="X481" s="299"/>
      <c r="Y481" s="303"/>
      <c r="Z481" s="305">
        <f>IF(Y481=0,0,IF(X481="MXN",1/HLOOKUP(YEAR(W481)+(MONTH(W481)/100),TC!$5:$37,DAY(W481)+2,FALSE),VLOOKUP(X481,Equivalencia!$1:$23,((MAX(Equivalencia!$3:$3)-YEAR(W481))*14)+MONTH(W481)+2,FALSE)))</f>
        <v>0</v>
      </c>
      <c r="AA481" s="306">
        <f t="shared" si="116"/>
        <v>0</v>
      </c>
      <c r="AB481" s="305">
        <f>+IF(W481=0,0,HLOOKUP(YEAR(W481)+(MONTH(W481)/100),TC!$5:$37,DAY(W481)+2,FALSE))</f>
        <v>0</v>
      </c>
      <c r="AC481" s="306">
        <f t="shared" si="117"/>
        <v>0</v>
      </c>
      <c r="AD481" s="314">
        <f t="shared" si="108"/>
        <v>0</v>
      </c>
      <c r="AE481" s="315">
        <f t="shared" si="118"/>
        <v>0</v>
      </c>
      <c r="AF481" s="316">
        <f t="shared" si="109"/>
        <v>0</v>
      </c>
      <c r="AG481" s="314">
        <v>1</v>
      </c>
      <c r="AH481" s="314">
        <f t="shared" si="119"/>
        <v>0</v>
      </c>
      <c r="AI481" s="314">
        <f t="shared" si="120"/>
        <v>0</v>
      </c>
      <c r="AJ481" s="317"/>
      <c r="AK481" s="315" t="e">
        <f t="shared" si="121"/>
        <v>#N/A</v>
      </c>
      <c r="AM481" s="561"/>
      <c r="AN481" s="561"/>
      <c r="AO481" s="561"/>
    </row>
    <row r="482" spans="2:41">
      <c r="B482" s="296"/>
      <c r="C482" s="299"/>
      <c r="D482" s="296"/>
      <c r="E482" s="298"/>
      <c r="F482" s="299"/>
      <c r="G482" s="300"/>
      <c r="H482" s="303"/>
      <c r="I482" s="303"/>
      <c r="J482" s="322">
        <f t="shared" si="107"/>
        <v>0</v>
      </c>
      <c r="K482" s="305" t="e">
        <f>IF(F482="MXN",1/HLOOKUP(YEAR(G482)+(MONTH(G482)/100),TC!$5:$37,DAY(G482)+2,FALSE),VLOOKUP(F482,Equivalencia!$5:$23,((MAX(Equivalencia!$3:$3)-YEAR(G482))*14)+MONTH(G482)+2,FALSE))</f>
        <v>#N/A</v>
      </c>
      <c r="L482" s="306" t="e">
        <f t="shared" si="110"/>
        <v>#N/A</v>
      </c>
      <c r="M482" s="305">
        <f>IF(G482=0,0,HLOOKUP(YEAR(G482)+(MONTH(G482)/100),TC!$5:$37,DAY(G482)+2,FALSE))</f>
        <v>0</v>
      </c>
      <c r="N482" s="306" t="e">
        <f t="shared" si="111"/>
        <v>#N/A</v>
      </c>
      <c r="O482" s="308">
        <f>IF(G482=0,0,VLOOKUP(YEAR(G482),INPC!$B$4:$P$30,MONTH(G482)+2))</f>
        <v>0</v>
      </c>
      <c r="P482" s="308">
        <f>IF(W482=0,0,IF(OR(C482=$AQ$5,C482=AQ486),VLOOKUP(YEAR(W482),INPC!$B$4:$P$30,MONTH(W482)+1),VLOOKUP(YEAR(W482),INPC!$B$4:$P$30,MONTH(W482)+2)))</f>
        <v>0</v>
      </c>
      <c r="Q482" s="309">
        <f t="shared" si="112"/>
        <v>0</v>
      </c>
      <c r="R482" s="310" t="e">
        <f t="shared" si="113"/>
        <v>#N/A</v>
      </c>
      <c r="S482" s="310">
        <f t="shared" si="114"/>
        <v>0</v>
      </c>
      <c r="T482" s="567" t="str">
        <f t="shared" si="115"/>
        <v>NO</v>
      </c>
      <c r="U482" s="323"/>
      <c r="V482" s="299"/>
      <c r="W482" s="300"/>
      <c r="X482" s="299"/>
      <c r="Y482" s="303"/>
      <c r="Z482" s="305">
        <f>IF(Y482=0,0,IF(X482="MXN",1/HLOOKUP(YEAR(W482)+(MONTH(W482)/100),TC!$5:$37,DAY(W482)+2,FALSE),VLOOKUP(X482,Equivalencia!$1:$23,((MAX(Equivalencia!$3:$3)-YEAR(W482))*14)+MONTH(W482)+2,FALSE)))</f>
        <v>0</v>
      </c>
      <c r="AA482" s="306">
        <f t="shared" si="116"/>
        <v>0</v>
      </c>
      <c r="AB482" s="305">
        <f>+IF(W482=0,0,HLOOKUP(YEAR(W482)+(MONTH(W482)/100),TC!$5:$37,DAY(W482)+2,FALSE))</f>
        <v>0</v>
      </c>
      <c r="AC482" s="306">
        <f t="shared" si="117"/>
        <v>0</v>
      </c>
      <c r="AD482" s="314">
        <f t="shared" si="108"/>
        <v>0</v>
      </c>
      <c r="AE482" s="315">
        <f t="shared" si="118"/>
        <v>0</v>
      </c>
      <c r="AF482" s="316">
        <f t="shared" si="109"/>
        <v>0</v>
      </c>
      <c r="AG482" s="314">
        <v>1</v>
      </c>
      <c r="AH482" s="314">
        <f t="shared" si="119"/>
        <v>0</v>
      </c>
      <c r="AI482" s="314">
        <f t="shared" si="120"/>
        <v>0</v>
      </c>
      <c r="AJ482" s="317"/>
      <c r="AK482" s="315" t="e">
        <f t="shared" si="121"/>
        <v>#N/A</v>
      </c>
      <c r="AM482" s="561"/>
      <c r="AN482" s="561"/>
      <c r="AO482" s="561"/>
    </row>
    <row r="483" spans="2:41">
      <c r="B483" s="296"/>
      <c r="C483" s="299"/>
      <c r="D483" s="296"/>
      <c r="E483" s="298"/>
      <c r="F483" s="299"/>
      <c r="G483" s="300"/>
      <c r="H483" s="303"/>
      <c r="I483" s="303"/>
      <c r="J483" s="322">
        <f t="shared" si="107"/>
        <v>0</v>
      </c>
      <c r="K483" s="305" t="e">
        <f>IF(F483="MXN",1/HLOOKUP(YEAR(G483)+(MONTH(G483)/100),TC!$5:$37,DAY(G483)+2,FALSE),VLOOKUP(F483,Equivalencia!$5:$23,((MAX(Equivalencia!$3:$3)-YEAR(G483))*14)+MONTH(G483)+2,FALSE))</f>
        <v>#N/A</v>
      </c>
      <c r="L483" s="306" t="e">
        <f t="shared" si="110"/>
        <v>#N/A</v>
      </c>
      <c r="M483" s="305">
        <f>IF(G483=0,0,HLOOKUP(YEAR(G483)+(MONTH(G483)/100),TC!$5:$37,DAY(G483)+2,FALSE))</f>
        <v>0</v>
      </c>
      <c r="N483" s="306" t="e">
        <f t="shared" si="111"/>
        <v>#N/A</v>
      </c>
      <c r="O483" s="308">
        <f>IF(G483=0,0,VLOOKUP(YEAR(G483),INPC!$B$4:$P$30,MONTH(G483)+2))</f>
        <v>0</v>
      </c>
      <c r="P483" s="308">
        <f>IF(W483=0,0,IF(OR(C483=$AQ$5,C483=AQ487),VLOOKUP(YEAR(W483),INPC!$B$4:$P$30,MONTH(W483)+1),VLOOKUP(YEAR(W483),INPC!$B$4:$P$30,MONTH(W483)+2)))</f>
        <v>0</v>
      </c>
      <c r="Q483" s="309">
        <f t="shared" si="112"/>
        <v>0</v>
      </c>
      <c r="R483" s="310" t="e">
        <f t="shared" si="113"/>
        <v>#N/A</v>
      </c>
      <c r="S483" s="310">
        <f t="shared" si="114"/>
        <v>0</v>
      </c>
      <c r="T483" s="567" t="str">
        <f t="shared" si="115"/>
        <v>NO</v>
      </c>
      <c r="U483" s="323"/>
      <c r="V483" s="299"/>
      <c r="W483" s="300"/>
      <c r="X483" s="299"/>
      <c r="Y483" s="303"/>
      <c r="Z483" s="305">
        <f>IF(Y483=0,0,IF(X483="MXN",1/HLOOKUP(YEAR(W483)+(MONTH(W483)/100),TC!$5:$37,DAY(W483)+2,FALSE),VLOOKUP(X483,Equivalencia!$1:$23,((MAX(Equivalencia!$3:$3)-YEAR(W483))*14)+MONTH(W483)+2,FALSE)))</f>
        <v>0</v>
      </c>
      <c r="AA483" s="306">
        <f t="shared" si="116"/>
        <v>0</v>
      </c>
      <c r="AB483" s="305">
        <f>+IF(W483=0,0,HLOOKUP(YEAR(W483)+(MONTH(W483)/100),TC!$5:$37,DAY(W483)+2,FALSE))</f>
        <v>0</v>
      </c>
      <c r="AC483" s="306">
        <f t="shared" si="117"/>
        <v>0</v>
      </c>
      <c r="AD483" s="314">
        <f t="shared" si="108"/>
        <v>0</v>
      </c>
      <c r="AE483" s="315">
        <f t="shared" si="118"/>
        <v>0</v>
      </c>
      <c r="AF483" s="316">
        <f t="shared" si="109"/>
        <v>0</v>
      </c>
      <c r="AG483" s="314">
        <v>1</v>
      </c>
      <c r="AH483" s="314">
        <f t="shared" si="119"/>
        <v>0</v>
      </c>
      <c r="AI483" s="314">
        <f t="shared" si="120"/>
        <v>0</v>
      </c>
      <c r="AJ483" s="317"/>
      <c r="AK483" s="315" t="e">
        <f t="shared" si="121"/>
        <v>#N/A</v>
      </c>
      <c r="AM483" s="561"/>
      <c r="AN483" s="561"/>
      <c r="AO483" s="561"/>
    </row>
    <row r="484" spans="2:41">
      <c r="B484" s="296"/>
      <c r="C484" s="299"/>
      <c r="D484" s="296"/>
      <c r="E484" s="298"/>
      <c r="F484" s="299"/>
      <c r="G484" s="300"/>
      <c r="H484" s="303"/>
      <c r="I484" s="303"/>
      <c r="J484" s="322">
        <f t="shared" si="107"/>
        <v>0</v>
      </c>
      <c r="K484" s="305" t="e">
        <f>IF(F484="MXN",1/HLOOKUP(YEAR(G484)+(MONTH(G484)/100),TC!$5:$37,DAY(G484)+2,FALSE),VLOOKUP(F484,Equivalencia!$5:$23,((MAX(Equivalencia!$3:$3)-YEAR(G484))*14)+MONTH(G484)+2,FALSE))</f>
        <v>#N/A</v>
      </c>
      <c r="L484" s="306" t="e">
        <f t="shared" si="110"/>
        <v>#N/A</v>
      </c>
      <c r="M484" s="305">
        <f>IF(G484=0,0,HLOOKUP(YEAR(G484)+(MONTH(G484)/100),TC!$5:$37,DAY(G484)+2,FALSE))</f>
        <v>0</v>
      </c>
      <c r="N484" s="306" t="e">
        <f t="shared" si="111"/>
        <v>#N/A</v>
      </c>
      <c r="O484" s="308">
        <f>IF(G484=0,0,VLOOKUP(YEAR(G484),INPC!$B$4:$P$30,MONTH(G484)+2))</f>
        <v>0</v>
      </c>
      <c r="P484" s="308">
        <f>IF(W484=0,0,IF(OR(C484=$AQ$5,C484=AQ488),VLOOKUP(YEAR(W484),INPC!$B$4:$P$30,MONTH(W484)+1),VLOOKUP(YEAR(W484),INPC!$B$4:$P$30,MONTH(W484)+2)))</f>
        <v>0</v>
      </c>
      <c r="Q484" s="309">
        <f t="shared" si="112"/>
        <v>0</v>
      </c>
      <c r="R484" s="310" t="e">
        <f t="shared" si="113"/>
        <v>#N/A</v>
      </c>
      <c r="S484" s="310">
        <f t="shared" si="114"/>
        <v>0</v>
      </c>
      <c r="T484" s="567" t="str">
        <f t="shared" si="115"/>
        <v>NO</v>
      </c>
      <c r="U484" s="323"/>
      <c r="V484" s="299"/>
      <c r="W484" s="300"/>
      <c r="X484" s="299"/>
      <c r="Y484" s="303"/>
      <c r="Z484" s="305">
        <f>IF(Y484=0,0,IF(X484="MXN",1/HLOOKUP(YEAR(W484)+(MONTH(W484)/100),TC!$5:$37,DAY(W484)+2,FALSE),VLOOKUP(X484,Equivalencia!$1:$23,((MAX(Equivalencia!$3:$3)-YEAR(W484))*14)+MONTH(W484)+2,FALSE)))</f>
        <v>0</v>
      </c>
      <c r="AA484" s="306">
        <f t="shared" si="116"/>
        <v>0</v>
      </c>
      <c r="AB484" s="305">
        <f>+IF(W484=0,0,HLOOKUP(YEAR(W484)+(MONTH(W484)/100),TC!$5:$37,DAY(W484)+2,FALSE))</f>
        <v>0</v>
      </c>
      <c r="AC484" s="306">
        <f t="shared" si="117"/>
        <v>0</v>
      </c>
      <c r="AD484" s="314">
        <f t="shared" si="108"/>
        <v>0</v>
      </c>
      <c r="AE484" s="315">
        <f t="shared" si="118"/>
        <v>0</v>
      </c>
      <c r="AF484" s="316">
        <f t="shared" si="109"/>
        <v>0</v>
      </c>
      <c r="AG484" s="314">
        <v>1</v>
      </c>
      <c r="AH484" s="314">
        <f t="shared" si="119"/>
        <v>0</v>
      </c>
      <c r="AI484" s="314">
        <f t="shared" si="120"/>
        <v>0</v>
      </c>
      <c r="AJ484" s="317"/>
      <c r="AK484" s="315" t="e">
        <f t="shared" si="121"/>
        <v>#N/A</v>
      </c>
      <c r="AM484" s="561"/>
      <c r="AN484" s="561"/>
      <c r="AO484" s="561"/>
    </row>
    <row r="485" spans="2:41">
      <c r="B485" s="296"/>
      <c r="C485" s="299"/>
      <c r="D485" s="296"/>
      <c r="E485" s="298"/>
      <c r="F485" s="299"/>
      <c r="G485" s="300"/>
      <c r="H485" s="303"/>
      <c r="I485" s="303"/>
      <c r="J485" s="322">
        <f t="shared" si="107"/>
        <v>0</v>
      </c>
      <c r="K485" s="305" t="e">
        <f>IF(F485="MXN",1/HLOOKUP(YEAR(G485)+(MONTH(G485)/100),TC!$5:$37,DAY(G485)+2,FALSE),VLOOKUP(F485,Equivalencia!$5:$23,((MAX(Equivalencia!$3:$3)-YEAR(G485))*14)+MONTH(G485)+2,FALSE))</f>
        <v>#N/A</v>
      </c>
      <c r="L485" s="306" t="e">
        <f t="shared" si="110"/>
        <v>#N/A</v>
      </c>
      <c r="M485" s="305">
        <f>IF(G485=0,0,HLOOKUP(YEAR(G485)+(MONTH(G485)/100),TC!$5:$37,DAY(G485)+2,FALSE))</f>
        <v>0</v>
      </c>
      <c r="N485" s="306" t="e">
        <f t="shared" si="111"/>
        <v>#N/A</v>
      </c>
      <c r="O485" s="308">
        <f>IF(G485=0,0,VLOOKUP(YEAR(G485),INPC!$B$4:$P$30,MONTH(G485)+2))</f>
        <v>0</v>
      </c>
      <c r="P485" s="308">
        <f>IF(W485=0,0,IF(OR(C485=$AQ$5,C485=AQ489),VLOOKUP(YEAR(W485),INPC!$B$4:$P$30,MONTH(W485)+1),VLOOKUP(YEAR(W485),INPC!$B$4:$P$30,MONTH(W485)+2)))</f>
        <v>0</v>
      </c>
      <c r="Q485" s="309">
        <f t="shared" si="112"/>
        <v>0</v>
      </c>
      <c r="R485" s="310" t="e">
        <f t="shared" si="113"/>
        <v>#N/A</v>
      </c>
      <c r="S485" s="310">
        <f t="shared" si="114"/>
        <v>0</v>
      </c>
      <c r="T485" s="567" t="str">
        <f t="shared" si="115"/>
        <v>NO</v>
      </c>
      <c r="U485" s="323"/>
      <c r="V485" s="299"/>
      <c r="W485" s="300"/>
      <c r="X485" s="299"/>
      <c r="Y485" s="303"/>
      <c r="Z485" s="305">
        <f>IF(Y485=0,0,IF(X485="MXN",1/HLOOKUP(YEAR(W485)+(MONTH(W485)/100),TC!$5:$37,DAY(W485)+2,FALSE),VLOOKUP(X485,Equivalencia!$1:$23,((MAX(Equivalencia!$3:$3)-YEAR(W485))*14)+MONTH(W485)+2,FALSE)))</f>
        <v>0</v>
      </c>
      <c r="AA485" s="306">
        <f t="shared" si="116"/>
        <v>0</v>
      </c>
      <c r="AB485" s="305">
        <f>+IF(W485=0,0,HLOOKUP(YEAR(W485)+(MONTH(W485)/100),TC!$5:$37,DAY(W485)+2,FALSE))</f>
        <v>0</v>
      </c>
      <c r="AC485" s="306">
        <f t="shared" si="117"/>
        <v>0</v>
      </c>
      <c r="AD485" s="314">
        <f t="shared" si="108"/>
        <v>0</v>
      </c>
      <c r="AE485" s="315">
        <f t="shared" si="118"/>
        <v>0</v>
      </c>
      <c r="AF485" s="316">
        <f t="shared" si="109"/>
        <v>0</v>
      </c>
      <c r="AG485" s="314">
        <v>1</v>
      </c>
      <c r="AH485" s="314">
        <f t="shared" si="119"/>
        <v>0</v>
      </c>
      <c r="AI485" s="314">
        <f t="shared" si="120"/>
        <v>0</v>
      </c>
      <c r="AJ485" s="317"/>
      <c r="AK485" s="315" t="e">
        <f t="shared" si="121"/>
        <v>#N/A</v>
      </c>
      <c r="AM485" s="561"/>
      <c r="AN485" s="561"/>
      <c r="AO485" s="561"/>
    </row>
    <row r="486" spans="2:41">
      <c r="B486" s="296"/>
      <c r="C486" s="299"/>
      <c r="D486" s="296"/>
      <c r="E486" s="298"/>
      <c r="F486" s="299"/>
      <c r="G486" s="300"/>
      <c r="H486" s="303"/>
      <c r="I486" s="303"/>
      <c r="J486" s="322">
        <f t="shared" si="107"/>
        <v>0</v>
      </c>
      <c r="K486" s="305" t="e">
        <f>IF(F486="MXN",1/HLOOKUP(YEAR(G486)+(MONTH(G486)/100),TC!$5:$37,DAY(G486)+2,FALSE),VLOOKUP(F486,Equivalencia!$5:$23,((MAX(Equivalencia!$3:$3)-YEAR(G486))*14)+MONTH(G486)+2,FALSE))</f>
        <v>#N/A</v>
      </c>
      <c r="L486" s="306" t="e">
        <f t="shared" si="110"/>
        <v>#N/A</v>
      </c>
      <c r="M486" s="305">
        <f>IF(G486=0,0,HLOOKUP(YEAR(G486)+(MONTH(G486)/100),TC!$5:$37,DAY(G486)+2,FALSE))</f>
        <v>0</v>
      </c>
      <c r="N486" s="306" t="e">
        <f t="shared" si="111"/>
        <v>#N/A</v>
      </c>
      <c r="O486" s="308">
        <f>IF(G486=0,0,VLOOKUP(YEAR(G486),INPC!$B$4:$P$30,MONTH(G486)+2))</f>
        <v>0</v>
      </c>
      <c r="P486" s="308">
        <f>IF(W486=0,0,IF(OR(C486=$AQ$5,C486=AQ490),VLOOKUP(YEAR(W486),INPC!$B$4:$P$30,MONTH(W486)+1),VLOOKUP(YEAR(W486),INPC!$B$4:$P$30,MONTH(W486)+2)))</f>
        <v>0</v>
      </c>
      <c r="Q486" s="309">
        <f t="shared" si="112"/>
        <v>0</v>
      </c>
      <c r="R486" s="310" t="e">
        <f t="shared" si="113"/>
        <v>#N/A</v>
      </c>
      <c r="S486" s="310">
        <f t="shared" si="114"/>
        <v>0</v>
      </c>
      <c r="T486" s="567" t="str">
        <f t="shared" si="115"/>
        <v>NO</v>
      </c>
      <c r="U486" s="323"/>
      <c r="V486" s="299"/>
      <c r="W486" s="300"/>
      <c r="X486" s="299"/>
      <c r="Y486" s="303"/>
      <c r="Z486" s="305">
        <f>IF(Y486=0,0,IF(X486="MXN",1/HLOOKUP(YEAR(W486)+(MONTH(W486)/100),TC!$5:$37,DAY(W486)+2,FALSE),VLOOKUP(X486,Equivalencia!$1:$23,((MAX(Equivalencia!$3:$3)-YEAR(W486))*14)+MONTH(W486)+2,FALSE)))</f>
        <v>0</v>
      </c>
      <c r="AA486" s="306">
        <f t="shared" si="116"/>
        <v>0</v>
      </c>
      <c r="AB486" s="305">
        <f>+IF(W486=0,0,HLOOKUP(YEAR(W486)+(MONTH(W486)/100),TC!$5:$37,DAY(W486)+2,FALSE))</f>
        <v>0</v>
      </c>
      <c r="AC486" s="306">
        <f t="shared" si="117"/>
        <v>0</v>
      </c>
      <c r="AD486" s="314">
        <f t="shared" si="108"/>
        <v>0</v>
      </c>
      <c r="AE486" s="315">
        <f t="shared" si="118"/>
        <v>0</v>
      </c>
      <c r="AF486" s="316">
        <f t="shared" si="109"/>
        <v>0</v>
      </c>
      <c r="AG486" s="314">
        <v>1</v>
      </c>
      <c r="AH486" s="314">
        <f t="shared" si="119"/>
        <v>0</v>
      </c>
      <c r="AI486" s="314">
        <f t="shared" si="120"/>
        <v>0</v>
      </c>
      <c r="AJ486" s="317"/>
      <c r="AK486" s="315" t="e">
        <f t="shared" si="121"/>
        <v>#N/A</v>
      </c>
      <c r="AM486" s="561"/>
      <c r="AN486" s="561"/>
      <c r="AO486" s="561"/>
    </row>
    <row r="487" spans="2:41">
      <c r="B487" s="296"/>
      <c r="C487" s="299"/>
      <c r="D487" s="296"/>
      <c r="E487" s="298"/>
      <c r="F487" s="299"/>
      <c r="G487" s="300"/>
      <c r="H487" s="303"/>
      <c r="I487" s="303"/>
      <c r="J487" s="322">
        <f t="shared" si="107"/>
        <v>0</v>
      </c>
      <c r="K487" s="305" t="e">
        <f>IF(F487="MXN",1/HLOOKUP(YEAR(G487)+(MONTH(G487)/100),TC!$5:$37,DAY(G487)+2,FALSE),VLOOKUP(F487,Equivalencia!$5:$23,((MAX(Equivalencia!$3:$3)-YEAR(G487))*14)+MONTH(G487)+2,FALSE))</f>
        <v>#N/A</v>
      </c>
      <c r="L487" s="306" t="e">
        <f t="shared" si="110"/>
        <v>#N/A</v>
      </c>
      <c r="M487" s="305">
        <f>IF(G487=0,0,HLOOKUP(YEAR(G487)+(MONTH(G487)/100),TC!$5:$37,DAY(G487)+2,FALSE))</f>
        <v>0</v>
      </c>
      <c r="N487" s="306" t="e">
        <f t="shared" si="111"/>
        <v>#N/A</v>
      </c>
      <c r="O487" s="308">
        <f>IF(G487=0,0,VLOOKUP(YEAR(G487),INPC!$B$4:$P$30,MONTH(G487)+2))</f>
        <v>0</v>
      </c>
      <c r="P487" s="308">
        <f>IF(W487=0,0,IF(OR(C487=$AQ$5,C487=AQ491),VLOOKUP(YEAR(W487),INPC!$B$4:$P$30,MONTH(W487)+1),VLOOKUP(YEAR(W487),INPC!$B$4:$P$30,MONTH(W487)+2)))</f>
        <v>0</v>
      </c>
      <c r="Q487" s="309">
        <f t="shared" si="112"/>
        <v>0</v>
      </c>
      <c r="R487" s="310" t="e">
        <f t="shared" si="113"/>
        <v>#N/A</v>
      </c>
      <c r="S487" s="310">
        <f t="shared" si="114"/>
        <v>0</v>
      </c>
      <c r="T487" s="567" t="str">
        <f t="shared" si="115"/>
        <v>NO</v>
      </c>
      <c r="U487" s="323"/>
      <c r="V487" s="299"/>
      <c r="W487" s="300"/>
      <c r="X487" s="299"/>
      <c r="Y487" s="303"/>
      <c r="Z487" s="305">
        <f>IF(Y487=0,0,IF(X487="MXN",1/HLOOKUP(YEAR(W487)+(MONTH(W487)/100),TC!$5:$37,DAY(W487)+2,FALSE),VLOOKUP(X487,Equivalencia!$1:$23,((MAX(Equivalencia!$3:$3)-YEAR(W487))*14)+MONTH(W487)+2,FALSE)))</f>
        <v>0</v>
      </c>
      <c r="AA487" s="306">
        <f t="shared" si="116"/>
        <v>0</v>
      </c>
      <c r="AB487" s="305">
        <f>+IF(W487=0,0,HLOOKUP(YEAR(W487)+(MONTH(W487)/100),TC!$5:$37,DAY(W487)+2,FALSE))</f>
        <v>0</v>
      </c>
      <c r="AC487" s="306">
        <f t="shared" si="117"/>
        <v>0</v>
      </c>
      <c r="AD487" s="314">
        <f t="shared" si="108"/>
        <v>0</v>
      </c>
      <c r="AE487" s="315">
        <f t="shared" si="118"/>
        <v>0</v>
      </c>
      <c r="AF487" s="316">
        <f t="shared" si="109"/>
        <v>0</v>
      </c>
      <c r="AG487" s="314">
        <v>1</v>
      </c>
      <c r="AH487" s="314">
        <f t="shared" si="119"/>
        <v>0</v>
      </c>
      <c r="AI487" s="314">
        <f t="shared" si="120"/>
        <v>0</v>
      </c>
      <c r="AJ487" s="317"/>
      <c r="AK487" s="315" t="e">
        <f t="shared" si="121"/>
        <v>#N/A</v>
      </c>
      <c r="AM487" s="561"/>
      <c r="AN487" s="561"/>
      <c r="AO487" s="561"/>
    </row>
    <row r="488" spans="2:41">
      <c r="B488" s="296"/>
      <c r="C488" s="299"/>
      <c r="D488" s="296"/>
      <c r="E488" s="298"/>
      <c r="F488" s="299"/>
      <c r="G488" s="300"/>
      <c r="H488" s="303"/>
      <c r="I488" s="303"/>
      <c r="J488" s="322">
        <f t="shared" si="107"/>
        <v>0</v>
      </c>
      <c r="K488" s="305" t="e">
        <f>IF(F488="MXN",1/HLOOKUP(YEAR(G488)+(MONTH(G488)/100),TC!$5:$37,DAY(G488)+2,FALSE),VLOOKUP(F488,Equivalencia!$5:$23,((MAX(Equivalencia!$3:$3)-YEAR(G488))*14)+MONTH(G488)+2,FALSE))</f>
        <v>#N/A</v>
      </c>
      <c r="L488" s="306" t="e">
        <f t="shared" si="110"/>
        <v>#N/A</v>
      </c>
      <c r="M488" s="305">
        <f>IF(G488=0,0,HLOOKUP(YEAR(G488)+(MONTH(G488)/100),TC!$5:$37,DAY(G488)+2,FALSE))</f>
        <v>0</v>
      </c>
      <c r="N488" s="306" t="e">
        <f t="shared" si="111"/>
        <v>#N/A</v>
      </c>
      <c r="O488" s="308">
        <f>IF(G488=0,0,VLOOKUP(YEAR(G488),INPC!$B$4:$P$30,MONTH(G488)+2))</f>
        <v>0</v>
      </c>
      <c r="P488" s="308">
        <f>IF(W488=0,0,IF(OR(C488=$AQ$5,C488=AQ492),VLOOKUP(YEAR(W488),INPC!$B$4:$P$30,MONTH(W488)+1),VLOOKUP(YEAR(W488),INPC!$B$4:$P$30,MONTH(W488)+2)))</f>
        <v>0</v>
      </c>
      <c r="Q488" s="309">
        <f t="shared" si="112"/>
        <v>0</v>
      </c>
      <c r="R488" s="310" t="e">
        <f t="shared" si="113"/>
        <v>#N/A</v>
      </c>
      <c r="S488" s="310">
        <f t="shared" si="114"/>
        <v>0</v>
      </c>
      <c r="T488" s="567" t="str">
        <f t="shared" si="115"/>
        <v>NO</v>
      </c>
      <c r="U488" s="323"/>
      <c r="V488" s="299"/>
      <c r="W488" s="300"/>
      <c r="X488" s="299"/>
      <c r="Y488" s="303"/>
      <c r="Z488" s="305">
        <f>IF(Y488=0,0,IF(X488="MXN",1/HLOOKUP(YEAR(W488)+(MONTH(W488)/100),TC!$5:$37,DAY(W488)+2,FALSE),VLOOKUP(X488,Equivalencia!$1:$23,((MAX(Equivalencia!$3:$3)-YEAR(W488))*14)+MONTH(W488)+2,FALSE)))</f>
        <v>0</v>
      </c>
      <c r="AA488" s="306">
        <f t="shared" si="116"/>
        <v>0</v>
      </c>
      <c r="AB488" s="305">
        <f>+IF(W488=0,0,HLOOKUP(YEAR(W488)+(MONTH(W488)/100),TC!$5:$37,DAY(W488)+2,FALSE))</f>
        <v>0</v>
      </c>
      <c r="AC488" s="306">
        <f t="shared" si="117"/>
        <v>0</v>
      </c>
      <c r="AD488" s="314">
        <f t="shared" si="108"/>
        <v>0</v>
      </c>
      <c r="AE488" s="315">
        <f t="shared" si="118"/>
        <v>0</v>
      </c>
      <c r="AF488" s="316">
        <f t="shared" si="109"/>
        <v>0</v>
      </c>
      <c r="AG488" s="314">
        <v>1</v>
      </c>
      <c r="AH488" s="314">
        <f t="shared" si="119"/>
        <v>0</v>
      </c>
      <c r="AI488" s="314">
        <f t="shared" si="120"/>
        <v>0</v>
      </c>
      <c r="AJ488" s="317"/>
      <c r="AK488" s="315" t="e">
        <f t="shared" si="121"/>
        <v>#N/A</v>
      </c>
      <c r="AM488" s="561"/>
      <c r="AN488" s="561"/>
      <c r="AO488" s="561"/>
    </row>
    <row r="489" spans="2:41">
      <c r="B489" s="296"/>
      <c r="C489" s="299"/>
      <c r="D489" s="296"/>
      <c r="E489" s="298"/>
      <c r="F489" s="299"/>
      <c r="G489" s="300"/>
      <c r="H489" s="303"/>
      <c r="I489" s="303"/>
      <c r="J489" s="322">
        <f t="shared" si="107"/>
        <v>0</v>
      </c>
      <c r="K489" s="305" t="e">
        <f>IF(F489="MXN",1/HLOOKUP(YEAR(G489)+(MONTH(G489)/100),TC!$5:$37,DAY(G489)+2,FALSE),VLOOKUP(F489,Equivalencia!$5:$23,((MAX(Equivalencia!$3:$3)-YEAR(G489))*14)+MONTH(G489)+2,FALSE))</f>
        <v>#N/A</v>
      </c>
      <c r="L489" s="306" t="e">
        <f t="shared" si="110"/>
        <v>#N/A</v>
      </c>
      <c r="M489" s="305">
        <f>IF(G489=0,0,HLOOKUP(YEAR(G489)+(MONTH(G489)/100),TC!$5:$37,DAY(G489)+2,FALSE))</f>
        <v>0</v>
      </c>
      <c r="N489" s="306" t="e">
        <f t="shared" si="111"/>
        <v>#N/A</v>
      </c>
      <c r="O489" s="308">
        <f>IF(G489=0,0,VLOOKUP(YEAR(G489),INPC!$B$4:$P$30,MONTH(G489)+2))</f>
        <v>0</v>
      </c>
      <c r="P489" s="308">
        <f>IF(W489=0,0,IF(OR(C489=$AQ$5,C489=AQ493),VLOOKUP(YEAR(W489),INPC!$B$4:$P$30,MONTH(W489)+1),VLOOKUP(YEAR(W489),INPC!$B$4:$P$30,MONTH(W489)+2)))</f>
        <v>0</v>
      </c>
      <c r="Q489" s="309">
        <f t="shared" si="112"/>
        <v>0</v>
      </c>
      <c r="R489" s="310" t="e">
        <f t="shared" si="113"/>
        <v>#N/A</v>
      </c>
      <c r="S489" s="310">
        <f t="shared" si="114"/>
        <v>0</v>
      </c>
      <c r="T489" s="567" t="str">
        <f t="shared" si="115"/>
        <v>NO</v>
      </c>
      <c r="U489" s="323"/>
      <c r="V489" s="299"/>
      <c r="W489" s="300"/>
      <c r="X489" s="299"/>
      <c r="Y489" s="303"/>
      <c r="Z489" s="305">
        <f>IF(Y489=0,0,IF(X489="MXN",1/HLOOKUP(YEAR(W489)+(MONTH(W489)/100),TC!$5:$37,DAY(W489)+2,FALSE),VLOOKUP(X489,Equivalencia!$1:$23,((MAX(Equivalencia!$3:$3)-YEAR(W489))*14)+MONTH(W489)+2,FALSE)))</f>
        <v>0</v>
      </c>
      <c r="AA489" s="306">
        <f t="shared" si="116"/>
        <v>0</v>
      </c>
      <c r="AB489" s="305">
        <f>+IF(W489=0,0,HLOOKUP(YEAR(W489)+(MONTH(W489)/100),TC!$5:$37,DAY(W489)+2,FALSE))</f>
        <v>0</v>
      </c>
      <c r="AC489" s="306">
        <f t="shared" si="117"/>
        <v>0</v>
      </c>
      <c r="AD489" s="314">
        <f t="shared" si="108"/>
        <v>0</v>
      </c>
      <c r="AE489" s="315">
        <f t="shared" si="118"/>
        <v>0</v>
      </c>
      <c r="AF489" s="316">
        <f t="shared" si="109"/>
        <v>0</v>
      </c>
      <c r="AG489" s="314">
        <v>1</v>
      </c>
      <c r="AH489" s="314">
        <f t="shared" si="119"/>
        <v>0</v>
      </c>
      <c r="AI489" s="314">
        <f t="shared" si="120"/>
        <v>0</v>
      </c>
      <c r="AJ489" s="317"/>
      <c r="AK489" s="315" t="e">
        <f t="shared" si="121"/>
        <v>#N/A</v>
      </c>
      <c r="AM489" s="561"/>
      <c r="AN489" s="561"/>
      <c r="AO489" s="561"/>
    </row>
    <row r="490" spans="2:41">
      <c r="B490" s="296"/>
      <c r="C490" s="299"/>
      <c r="D490" s="296"/>
      <c r="E490" s="298"/>
      <c r="F490" s="299"/>
      <c r="G490" s="300"/>
      <c r="H490" s="303"/>
      <c r="I490" s="303"/>
      <c r="J490" s="322">
        <f t="shared" si="107"/>
        <v>0</v>
      </c>
      <c r="K490" s="305" t="e">
        <f>IF(F490="MXN",1/HLOOKUP(YEAR(G490)+(MONTH(G490)/100),TC!$5:$37,DAY(G490)+2,FALSE),VLOOKUP(F490,Equivalencia!$5:$23,((MAX(Equivalencia!$3:$3)-YEAR(G490))*14)+MONTH(G490)+2,FALSE))</f>
        <v>#N/A</v>
      </c>
      <c r="L490" s="306" t="e">
        <f t="shared" si="110"/>
        <v>#N/A</v>
      </c>
      <c r="M490" s="305">
        <f>IF(G490=0,0,HLOOKUP(YEAR(G490)+(MONTH(G490)/100),TC!$5:$37,DAY(G490)+2,FALSE))</f>
        <v>0</v>
      </c>
      <c r="N490" s="306" t="e">
        <f t="shared" si="111"/>
        <v>#N/A</v>
      </c>
      <c r="O490" s="308">
        <f>IF(G490=0,0,VLOOKUP(YEAR(G490),INPC!$B$4:$P$30,MONTH(G490)+2))</f>
        <v>0</v>
      </c>
      <c r="P490" s="308">
        <f>IF(W490=0,0,IF(OR(C490=$AQ$5,C490=AQ494),VLOOKUP(YEAR(W490),INPC!$B$4:$P$30,MONTH(W490)+1),VLOOKUP(YEAR(W490),INPC!$B$4:$P$30,MONTH(W490)+2)))</f>
        <v>0</v>
      </c>
      <c r="Q490" s="309">
        <f t="shared" si="112"/>
        <v>0</v>
      </c>
      <c r="R490" s="310" t="e">
        <f t="shared" si="113"/>
        <v>#N/A</v>
      </c>
      <c r="S490" s="310">
        <f t="shared" si="114"/>
        <v>0</v>
      </c>
      <c r="T490" s="567" t="str">
        <f t="shared" si="115"/>
        <v>NO</v>
      </c>
      <c r="U490" s="323"/>
      <c r="V490" s="299"/>
      <c r="W490" s="300"/>
      <c r="X490" s="299"/>
      <c r="Y490" s="303"/>
      <c r="Z490" s="305">
        <f>IF(Y490=0,0,IF(X490="MXN",1/HLOOKUP(YEAR(W490)+(MONTH(W490)/100),TC!$5:$37,DAY(W490)+2,FALSE),VLOOKUP(X490,Equivalencia!$1:$23,((MAX(Equivalencia!$3:$3)-YEAR(W490))*14)+MONTH(W490)+2,FALSE)))</f>
        <v>0</v>
      </c>
      <c r="AA490" s="306">
        <f t="shared" si="116"/>
        <v>0</v>
      </c>
      <c r="AB490" s="305">
        <f>+IF(W490=0,0,HLOOKUP(YEAR(W490)+(MONTH(W490)/100),TC!$5:$37,DAY(W490)+2,FALSE))</f>
        <v>0</v>
      </c>
      <c r="AC490" s="306">
        <f t="shared" si="117"/>
        <v>0</v>
      </c>
      <c r="AD490" s="314">
        <f t="shared" si="108"/>
        <v>0</v>
      </c>
      <c r="AE490" s="315">
        <f t="shared" si="118"/>
        <v>0</v>
      </c>
      <c r="AF490" s="316">
        <f t="shared" si="109"/>
        <v>0</v>
      </c>
      <c r="AG490" s="314">
        <v>1</v>
      </c>
      <c r="AH490" s="314">
        <f t="shared" si="119"/>
        <v>0</v>
      </c>
      <c r="AI490" s="314">
        <f t="shared" si="120"/>
        <v>0</v>
      </c>
      <c r="AJ490" s="317"/>
      <c r="AK490" s="315" t="e">
        <f t="shared" si="121"/>
        <v>#N/A</v>
      </c>
      <c r="AM490" s="561"/>
      <c r="AN490" s="561"/>
      <c r="AO490" s="561"/>
    </row>
    <row r="491" spans="2:41">
      <c r="B491" s="296"/>
      <c r="C491" s="299"/>
      <c r="D491" s="296"/>
      <c r="E491" s="298"/>
      <c r="F491" s="299"/>
      <c r="G491" s="300"/>
      <c r="H491" s="303"/>
      <c r="I491" s="303"/>
      <c r="J491" s="322">
        <f t="shared" si="107"/>
        <v>0</v>
      </c>
      <c r="K491" s="305" t="e">
        <f>IF(F491="MXN",1/HLOOKUP(YEAR(G491)+(MONTH(G491)/100),TC!$5:$37,DAY(G491)+2,FALSE),VLOOKUP(F491,Equivalencia!$5:$23,((MAX(Equivalencia!$3:$3)-YEAR(G491))*14)+MONTH(G491)+2,FALSE))</f>
        <v>#N/A</v>
      </c>
      <c r="L491" s="306" t="e">
        <f t="shared" si="110"/>
        <v>#N/A</v>
      </c>
      <c r="M491" s="305">
        <f>IF(G491=0,0,HLOOKUP(YEAR(G491)+(MONTH(G491)/100),TC!$5:$37,DAY(G491)+2,FALSE))</f>
        <v>0</v>
      </c>
      <c r="N491" s="306" t="e">
        <f t="shared" si="111"/>
        <v>#N/A</v>
      </c>
      <c r="O491" s="308">
        <f>IF(G491=0,0,VLOOKUP(YEAR(G491),INPC!$B$4:$P$30,MONTH(G491)+2))</f>
        <v>0</v>
      </c>
      <c r="P491" s="308">
        <f>IF(W491=0,0,IF(OR(C491=$AQ$5,C491=AQ495),VLOOKUP(YEAR(W491),INPC!$B$4:$P$30,MONTH(W491)+1),VLOOKUP(YEAR(W491),INPC!$B$4:$P$30,MONTH(W491)+2)))</f>
        <v>0</v>
      </c>
      <c r="Q491" s="309">
        <f t="shared" si="112"/>
        <v>0</v>
      </c>
      <c r="R491" s="310" t="e">
        <f t="shared" si="113"/>
        <v>#N/A</v>
      </c>
      <c r="S491" s="310">
        <f t="shared" si="114"/>
        <v>0</v>
      </c>
      <c r="T491" s="567" t="str">
        <f t="shared" si="115"/>
        <v>NO</v>
      </c>
      <c r="U491" s="323"/>
      <c r="V491" s="299"/>
      <c r="W491" s="300"/>
      <c r="X491" s="299"/>
      <c r="Y491" s="303"/>
      <c r="Z491" s="305">
        <f>IF(Y491=0,0,IF(X491="MXN",1/HLOOKUP(YEAR(W491)+(MONTH(W491)/100),TC!$5:$37,DAY(W491)+2,FALSE),VLOOKUP(X491,Equivalencia!$1:$23,((MAX(Equivalencia!$3:$3)-YEAR(W491))*14)+MONTH(W491)+2,FALSE)))</f>
        <v>0</v>
      </c>
      <c r="AA491" s="306">
        <f t="shared" si="116"/>
        <v>0</v>
      </c>
      <c r="AB491" s="305">
        <f>+IF(W491=0,0,HLOOKUP(YEAR(W491)+(MONTH(W491)/100),TC!$5:$37,DAY(W491)+2,FALSE))</f>
        <v>0</v>
      </c>
      <c r="AC491" s="306">
        <f t="shared" si="117"/>
        <v>0</v>
      </c>
      <c r="AD491" s="314">
        <f t="shared" si="108"/>
        <v>0</v>
      </c>
      <c r="AE491" s="315">
        <f t="shared" si="118"/>
        <v>0</v>
      </c>
      <c r="AF491" s="316">
        <f t="shared" si="109"/>
        <v>0</v>
      </c>
      <c r="AG491" s="314">
        <v>1</v>
      </c>
      <c r="AH491" s="314">
        <f t="shared" si="119"/>
        <v>0</v>
      </c>
      <c r="AI491" s="314">
        <f t="shared" si="120"/>
        <v>0</v>
      </c>
      <c r="AJ491" s="317"/>
      <c r="AK491" s="315" t="e">
        <f t="shared" si="121"/>
        <v>#N/A</v>
      </c>
      <c r="AM491" s="561"/>
      <c r="AN491" s="561"/>
      <c r="AO491" s="561"/>
    </row>
    <row r="492" spans="2:41">
      <c r="B492" s="296"/>
      <c r="C492" s="299"/>
      <c r="D492" s="296"/>
      <c r="E492" s="298"/>
      <c r="F492" s="299"/>
      <c r="G492" s="300"/>
      <c r="H492" s="303"/>
      <c r="I492" s="303"/>
      <c r="J492" s="322">
        <f t="shared" si="107"/>
        <v>0</v>
      </c>
      <c r="K492" s="305" t="e">
        <f>IF(F492="MXN",1/HLOOKUP(YEAR(G492)+(MONTH(G492)/100),TC!$5:$37,DAY(G492)+2,FALSE),VLOOKUP(F492,Equivalencia!$5:$23,((MAX(Equivalencia!$3:$3)-YEAR(G492))*14)+MONTH(G492)+2,FALSE))</f>
        <v>#N/A</v>
      </c>
      <c r="L492" s="306" t="e">
        <f t="shared" si="110"/>
        <v>#N/A</v>
      </c>
      <c r="M492" s="305">
        <f>IF(G492=0,0,HLOOKUP(YEAR(G492)+(MONTH(G492)/100),TC!$5:$37,DAY(G492)+2,FALSE))</f>
        <v>0</v>
      </c>
      <c r="N492" s="306" t="e">
        <f t="shared" si="111"/>
        <v>#N/A</v>
      </c>
      <c r="O492" s="308">
        <f>IF(G492=0,0,VLOOKUP(YEAR(G492),INPC!$B$4:$P$30,MONTH(G492)+2))</f>
        <v>0</v>
      </c>
      <c r="P492" s="308">
        <f>IF(W492=0,0,IF(OR(C492=$AQ$5,C492=AQ496),VLOOKUP(YEAR(W492),INPC!$B$4:$P$30,MONTH(W492)+1),VLOOKUP(YEAR(W492),INPC!$B$4:$P$30,MONTH(W492)+2)))</f>
        <v>0</v>
      </c>
      <c r="Q492" s="309">
        <f t="shared" si="112"/>
        <v>0</v>
      </c>
      <c r="R492" s="310" t="e">
        <f t="shared" si="113"/>
        <v>#N/A</v>
      </c>
      <c r="S492" s="310">
        <f t="shared" si="114"/>
        <v>0</v>
      </c>
      <c r="T492" s="567" t="str">
        <f t="shared" si="115"/>
        <v>NO</v>
      </c>
      <c r="U492" s="323"/>
      <c r="V492" s="299"/>
      <c r="W492" s="300"/>
      <c r="X492" s="299"/>
      <c r="Y492" s="303"/>
      <c r="Z492" s="305">
        <f>IF(Y492=0,0,IF(X492="MXN",1/HLOOKUP(YEAR(W492)+(MONTH(W492)/100),TC!$5:$37,DAY(W492)+2,FALSE),VLOOKUP(X492,Equivalencia!$1:$23,((MAX(Equivalencia!$3:$3)-YEAR(W492))*14)+MONTH(W492)+2,FALSE)))</f>
        <v>0</v>
      </c>
      <c r="AA492" s="306">
        <f t="shared" si="116"/>
        <v>0</v>
      </c>
      <c r="AB492" s="305">
        <f>+IF(W492=0,0,HLOOKUP(YEAR(W492)+(MONTH(W492)/100),TC!$5:$37,DAY(W492)+2,FALSE))</f>
        <v>0</v>
      </c>
      <c r="AC492" s="306">
        <f t="shared" si="117"/>
        <v>0</v>
      </c>
      <c r="AD492" s="314">
        <f t="shared" si="108"/>
        <v>0</v>
      </c>
      <c r="AE492" s="315">
        <f t="shared" si="118"/>
        <v>0</v>
      </c>
      <c r="AF492" s="316">
        <f t="shared" si="109"/>
        <v>0</v>
      </c>
      <c r="AG492" s="314">
        <v>1</v>
      </c>
      <c r="AH492" s="314">
        <f t="shared" si="119"/>
        <v>0</v>
      </c>
      <c r="AI492" s="314">
        <f t="shared" si="120"/>
        <v>0</v>
      </c>
      <c r="AJ492" s="317"/>
      <c r="AK492" s="315" t="e">
        <f t="shared" si="121"/>
        <v>#N/A</v>
      </c>
      <c r="AM492" s="561"/>
      <c r="AN492" s="561"/>
      <c r="AO492" s="561"/>
    </row>
    <row r="493" spans="2:41">
      <c r="B493" s="296"/>
      <c r="C493" s="299"/>
      <c r="D493" s="296"/>
      <c r="E493" s="298"/>
      <c r="F493" s="299"/>
      <c r="G493" s="300"/>
      <c r="H493" s="303"/>
      <c r="I493" s="303"/>
      <c r="J493" s="322">
        <f t="shared" si="107"/>
        <v>0</v>
      </c>
      <c r="K493" s="305" t="e">
        <f>IF(F493="MXN",1/HLOOKUP(YEAR(G493)+(MONTH(G493)/100),TC!$5:$37,DAY(G493)+2,FALSE),VLOOKUP(F493,Equivalencia!$5:$23,((MAX(Equivalencia!$3:$3)-YEAR(G493))*14)+MONTH(G493)+2,FALSE))</f>
        <v>#N/A</v>
      </c>
      <c r="L493" s="306" t="e">
        <f t="shared" si="110"/>
        <v>#N/A</v>
      </c>
      <c r="M493" s="305">
        <f>IF(G493=0,0,HLOOKUP(YEAR(G493)+(MONTH(G493)/100),TC!$5:$37,DAY(G493)+2,FALSE))</f>
        <v>0</v>
      </c>
      <c r="N493" s="306" t="e">
        <f t="shared" si="111"/>
        <v>#N/A</v>
      </c>
      <c r="O493" s="308">
        <f>IF(G493=0,0,VLOOKUP(YEAR(G493),INPC!$B$4:$P$30,MONTH(G493)+2))</f>
        <v>0</v>
      </c>
      <c r="P493" s="308">
        <f>IF(W493=0,0,IF(OR(C493=$AQ$5,C493=AQ497),VLOOKUP(YEAR(W493),INPC!$B$4:$P$30,MONTH(W493)+1),VLOOKUP(YEAR(W493),INPC!$B$4:$P$30,MONTH(W493)+2)))</f>
        <v>0</v>
      </c>
      <c r="Q493" s="309">
        <f t="shared" si="112"/>
        <v>0</v>
      </c>
      <c r="R493" s="310" t="e">
        <f t="shared" si="113"/>
        <v>#N/A</v>
      </c>
      <c r="S493" s="310">
        <f t="shared" si="114"/>
        <v>0</v>
      </c>
      <c r="T493" s="567" t="str">
        <f t="shared" si="115"/>
        <v>NO</v>
      </c>
      <c r="U493" s="323"/>
      <c r="V493" s="299"/>
      <c r="W493" s="300"/>
      <c r="X493" s="299"/>
      <c r="Y493" s="303"/>
      <c r="Z493" s="305">
        <f>IF(Y493=0,0,IF(X493="MXN",1/HLOOKUP(YEAR(W493)+(MONTH(W493)/100),TC!$5:$37,DAY(W493)+2,FALSE),VLOOKUP(X493,Equivalencia!$1:$23,((MAX(Equivalencia!$3:$3)-YEAR(W493))*14)+MONTH(W493)+2,FALSE)))</f>
        <v>0</v>
      </c>
      <c r="AA493" s="306">
        <f t="shared" si="116"/>
        <v>0</v>
      </c>
      <c r="AB493" s="305">
        <f>+IF(W493=0,0,HLOOKUP(YEAR(W493)+(MONTH(W493)/100),TC!$5:$37,DAY(W493)+2,FALSE))</f>
        <v>0</v>
      </c>
      <c r="AC493" s="306">
        <f t="shared" si="117"/>
        <v>0</v>
      </c>
      <c r="AD493" s="314">
        <f t="shared" si="108"/>
        <v>0</v>
      </c>
      <c r="AE493" s="315">
        <f t="shared" si="118"/>
        <v>0</v>
      </c>
      <c r="AF493" s="316">
        <f t="shared" si="109"/>
        <v>0</v>
      </c>
      <c r="AG493" s="314">
        <v>1</v>
      </c>
      <c r="AH493" s="314">
        <f t="shared" si="119"/>
        <v>0</v>
      </c>
      <c r="AI493" s="314">
        <f t="shared" si="120"/>
        <v>0</v>
      </c>
      <c r="AJ493" s="317"/>
      <c r="AK493" s="315" t="e">
        <f t="shared" si="121"/>
        <v>#N/A</v>
      </c>
      <c r="AM493" s="561"/>
      <c r="AN493" s="561"/>
      <c r="AO493" s="561"/>
    </row>
    <row r="494" spans="2:41">
      <c r="B494" s="296"/>
      <c r="C494" s="299"/>
      <c r="D494" s="296"/>
      <c r="E494" s="298"/>
      <c r="F494" s="299"/>
      <c r="G494" s="300"/>
      <c r="H494" s="303"/>
      <c r="I494" s="303"/>
      <c r="J494" s="322">
        <f t="shared" si="107"/>
        <v>0</v>
      </c>
      <c r="K494" s="305" t="e">
        <f>IF(F494="MXN",1/HLOOKUP(YEAR(G494)+(MONTH(G494)/100),TC!$5:$37,DAY(G494)+2,FALSE),VLOOKUP(F494,Equivalencia!$5:$23,((MAX(Equivalencia!$3:$3)-YEAR(G494))*14)+MONTH(G494)+2,FALSE))</f>
        <v>#N/A</v>
      </c>
      <c r="L494" s="306" t="e">
        <f t="shared" si="110"/>
        <v>#N/A</v>
      </c>
      <c r="M494" s="305">
        <f>IF(G494=0,0,HLOOKUP(YEAR(G494)+(MONTH(G494)/100),TC!$5:$37,DAY(G494)+2,FALSE))</f>
        <v>0</v>
      </c>
      <c r="N494" s="306" t="e">
        <f t="shared" si="111"/>
        <v>#N/A</v>
      </c>
      <c r="O494" s="308">
        <f>IF(G494=0,0,VLOOKUP(YEAR(G494),INPC!$B$4:$P$30,MONTH(G494)+2))</f>
        <v>0</v>
      </c>
      <c r="P494" s="308">
        <f>IF(W494=0,0,IF(OR(C494=$AQ$5,C494=AQ498),VLOOKUP(YEAR(W494),INPC!$B$4:$P$30,MONTH(W494)+1),VLOOKUP(YEAR(W494),INPC!$B$4:$P$30,MONTH(W494)+2)))</f>
        <v>0</v>
      </c>
      <c r="Q494" s="309">
        <f t="shared" si="112"/>
        <v>0</v>
      </c>
      <c r="R494" s="310" t="e">
        <f t="shared" si="113"/>
        <v>#N/A</v>
      </c>
      <c r="S494" s="310">
        <f t="shared" si="114"/>
        <v>0</v>
      </c>
      <c r="T494" s="567" t="str">
        <f t="shared" si="115"/>
        <v>NO</v>
      </c>
      <c r="U494" s="323"/>
      <c r="V494" s="299"/>
      <c r="W494" s="300"/>
      <c r="X494" s="299"/>
      <c r="Y494" s="303"/>
      <c r="Z494" s="305">
        <f>IF(Y494=0,0,IF(X494="MXN",1/HLOOKUP(YEAR(W494)+(MONTH(W494)/100),TC!$5:$37,DAY(W494)+2,FALSE),VLOOKUP(X494,Equivalencia!$1:$23,((MAX(Equivalencia!$3:$3)-YEAR(W494))*14)+MONTH(W494)+2,FALSE)))</f>
        <v>0</v>
      </c>
      <c r="AA494" s="306">
        <f t="shared" si="116"/>
        <v>0</v>
      </c>
      <c r="AB494" s="305">
        <f>+IF(W494=0,0,HLOOKUP(YEAR(W494)+(MONTH(W494)/100),TC!$5:$37,DAY(W494)+2,FALSE))</f>
        <v>0</v>
      </c>
      <c r="AC494" s="306">
        <f t="shared" si="117"/>
        <v>0</v>
      </c>
      <c r="AD494" s="314">
        <f t="shared" si="108"/>
        <v>0</v>
      </c>
      <c r="AE494" s="315">
        <f t="shared" si="118"/>
        <v>0</v>
      </c>
      <c r="AF494" s="316">
        <f t="shared" si="109"/>
        <v>0</v>
      </c>
      <c r="AG494" s="314">
        <v>1</v>
      </c>
      <c r="AH494" s="314">
        <f t="shared" si="119"/>
        <v>0</v>
      </c>
      <c r="AI494" s="314">
        <f t="shared" si="120"/>
        <v>0</v>
      </c>
      <c r="AJ494" s="317"/>
      <c r="AK494" s="315" t="e">
        <f t="shared" si="121"/>
        <v>#N/A</v>
      </c>
      <c r="AM494" s="561"/>
      <c r="AN494" s="561"/>
      <c r="AO494" s="561"/>
    </row>
    <row r="495" spans="2:41">
      <c r="B495" s="296"/>
      <c r="C495" s="299"/>
      <c r="D495" s="296"/>
      <c r="E495" s="298"/>
      <c r="F495" s="299"/>
      <c r="G495" s="300"/>
      <c r="H495" s="303"/>
      <c r="I495" s="303"/>
      <c r="J495" s="322">
        <f t="shared" si="107"/>
        <v>0</v>
      </c>
      <c r="K495" s="305" t="e">
        <f>IF(F495="MXN",1/HLOOKUP(YEAR(G495)+(MONTH(G495)/100),TC!$5:$37,DAY(G495)+2,FALSE),VLOOKUP(F495,Equivalencia!$5:$23,((MAX(Equivalencia!$3:$3)-YEAR(G495))*14)+MONTH(G495)+2,FALSE))</f>
        <v>#N/A</v>
      </c>
      <c r="L495" s="306" t="e">
        <f t="shared" si="110"/>
        <v>#N/A</v>
      </c>
      <c r="M495" s="305">
        <f>IF(G495=0,0,HLOOKUP(YEAR(G495)+(MONTH(G495)/100),TC!$5:$37,DAY(G495)+2,FALSE))</f>
        <v>0</v>
      </c>
      <c r="N495" s="306" t="e">
        <f t="shared" si="111"/>
        <v>#N/A</v>
      </c>
      <c r="O495" s="308">
        <f>IF(G495=0,0,VLOOKUP(YEAR(G495),INPC!$B$4:$P$30,MONTH(G495)+2))</f>
        <v>0</v>
      </c>
      <c r="P495" s="308">
        <f>IF(W495=0,0,IF(OR(C495=$AQ$5,C495=AQ499),VLOOKUP(YEAR(W495),INPC!$B$4:$P$30,MONTH(W495)+1),VLOOKUP(YEAR(W495),INPC!$B$4:$P$30,MONTH(W495)+2)))</f>
        <v>0</v>
      </c>
      <c r="Q495" s="309">
        <f t="shared" si="112"/>
        <v>0</v>
      </c>
      <c r="R495" s="310" t="e">
        <f t="shared" si="113"/>
        <v>#N/A</v>
      </c>
      <c r="S495" s="310">
        <f t="shared" si="114"/>
        <v>0</v>
      </c>
      <c r="T495" s="567" t="str">
        <f t="shared" si="115"/>
        <v>NO</v>
      </c>
      <c r="U495" s="323"/>
      <c r="V495" s="299"/>
      <c r="W495" s="300"/>
      <c r="X495" s="299"/>
      <c r="Y495" s="303"/>
      <c r="Z495" s="305">
        <f>IF(Y495=0,0,IF(X495="MXN",1/HLOOKUP(YEAR(W495)+(MONTH(W495)/100),TC!$5:$37,DAY(W495)+2,FALSE),VLOOKUP(X495,Equivalencia!$1:$23,((MAX(Equivalencia!$3:$3)-YEAR(W495))*14)+MONTH(W495)+2,FALSE)))</f>
        <v>0</v>
      </c>
      <c r="AA495" s="306">
        <f t="shared" si="116"/>
        <v>0</v>
      </c>
      <c r="AB495" s="305">
        <f>+IF(W495=0,0,HLOOKUP(YEAR(W495)+(MONTH(W495)/100),TC!$5:$37,DAY(W495)+2,FALSE))</f>
        <v>0</v>
      </c>
      <c r="AC495" s="306">
        <f t="shared" si="117"/>
        <v>0</v>
      </c>
      <c r="AD495" s="314">
        <f t="shared" si="108"/>
        <v>0</v>
      </c>
      <c r="AE495" s="315">
        <f t="shared" si="118"/>
        <v>0</v>
      </c>
      <c r="AF495" s="316">
        <f t="shared" si="109"/>
        <v>0</v>
      </c>
      <c r="AG495" s="314">
        <v>1</v>
      </c>
      <c r="AH495" s="314">
        <f t="shared" si="119"/>
        <v>0</v>
      </c>
      <c r="AI495" s="314">
        <f t="shared" si="120"/>
        <v>0</v>
      </c>
      <c r="AJ495" s="317"/>
      <c r="AK495" s="315" t="e">
        <f t="shared" si="121"/>
        <v>#N/A</v>
      </c>
      <c r="AM495" s="561"/>
      <c r="AN495" s="561"/>
      <c r="AO495" s="561"/>
    </row>
    <row r="496" spans="2:41">
      <c r="B496" s="296"/>
      <c r="C496" s="299"/>
      <c r="D496" s="296"/>
      <c r="E496" s="298"/>
      <c r="F496" s="299"/>
      <c r="G496" s="300"/>
      <c r="H496" s="303"/>
      <c r="I496" s="303"/>
      <c r="J496" s="322">
        <f t="shared" si="107"/>
        <v>0</v>
      </c>
      <c r="K496" s="305" t="e">
        <f>IF(F496="MXN",1/HLOOKUP(YEAR(G496)+(MONTH(G496)/100),TC!$5:$37,DAY(G496)+2,FALSE),VLOOKUP(F496,Equivalencia!$5:$23,((MAX(Equivalencia!$3:$3)-YEAR(G496))*14)+MONTH(G496)+2,FALSE))</f>
        <v>#N/A</v>
      </c>
      <c r="L496" s="306" t="e">
        <f t="shared" si="110"/>
        <v>#N/A</v>
      </c>
      <c r="M496" s="305">
        <f>IF(G496=0,0,HLOOKUP(YEAR(G496)+(MONTH(G496)/100),TC!$5:$37,DAY(G496)+2,FALSE))</f>
        <v>0</v>
      </c>
      <c r="N496" s="306" t="e">
        <f t="shared" si="111"/>
        <v>#N/A</v>
      </c>
      <c r="O496" s="308">
        <f>IF(G496=0,0,VLOOKUP(YEAR(G496),INPC!$B$4:$P$30,MONTH(G496)+2))</f>
        <v>0</v>
      </c>
      <c r="P496" s="308">
        <f>IF(W496=0,0,IF(OR(C496=$AQ$5,C496=AQ500),VLOOKUP(YEAR(W496),INPC!$B$4:$P$30,MONTH(W496)+1),VLOOKUP(YEAR(W496),INPC!$B$4:$P$30,MONTH(W496)+2)))</f>
        <v>0</v>
      </c>
      <c r="Q496" s="309">
        <f t="shared" si="112"/>
        <v>0</v>
      </c>
      <c r="R496" s="310" t="e">
        <f t="shared" si="113"/>
        <v>#N/A</v>
      </c>
      <c r="S496" s="310">
        <f t="shared" si="114"/>
        <v>0</v>
      </c>
      <c r="T496" s="567" t="str">
        <f t="shared" si="115"/>
        <v>NO</v>
      </c>
      <c r="U496" s="323"/>
      <c r="V496" s="299"/>
      <c r="W496" s="300"/>
      <c r="X496" s="299"/>
      <c r="Y496" s="303"/>
      <c r="Z496" s="305">
        <f>IF(Y496=0,0,IF(X496="MXN",1/HLOOKUP(YEAR(W496)+(MONTH(W496)/100),TC!$5:$37,DAY(W496)+2,FALSE),VLOOKUP(X496,Equivalencia!$1:$23,((MAX(Equivalencia!$3:$3)-YEAR(W496))*14)+MONTH(W496)+2,FALSE)))</f>
        <v>0</v>
      </c>
      <c r="AA496" s="306">
        <f t="shared" si="116"/>
        <v>0</v>
      </c>
      <c r="AB496" s="305">
        <f>+IF(W496=0,0,HLOOKUP(YEAR(W496)+(MONTH(W496)/100),TC!$5:$37,DAY(W496)+2,FALSE))</f>
        <v>0</v>
      </c>
      <c r="AC496" s="306">
        <f t="shared" si="117"/>
        <v>0</v>
      </c>
      <c r="AD496" s="314">
        <f t="shared" si="108"/>
        <v>0</v>
      </c>
      <c r="AE496" s="315">
        <f t="shared" si="118"/>
        <v>0</v>
      </c>
      <c r="AF496" s="316">
        <f t="shared" si="109"/>
        <v>0</v>
      </c>
      <c r="AG496" s="314">
        <v>1</v>
      </c>
      <c r="AH496" s="314">
        <f t="shared" si="119"/>
        <v>0</v>
      </c>
      <c r="AI496" s="314">
        <f t="shared" si="120"/>
        <v>0</v>
      </c>
      <c r="AJ496" s="317"/>
      <c r="AK496" s="315" t="e">
        <f t="shared" si="121"/>
        <v>#N/A</v>
      </c>
      <c r="AM496" s="561"/>
      <c r="AN496" s="561"/>
      <c r="AO496" s="561"/>
    </row>
    <row r="497" spans="2:41">
      <c r="B497" s="296"/>
      <c r="C497" s="299"/>
      <c r="D497" s="296"/>
      <c r="E497" s="298"/>
      <c r="F497" s="299"/>
      <c r="G497" s="300"/>
      <c r="H497" s="303"/>
      <c r="I497" s="303"/>
      <c r="J497" s="322">
        <f t="shared" si="107"/>
        <v>0</v>
      </c>
      <c r="K497" s="305" t="e">
        <f>IF(F497="MXN",1/HLOOKUP(YEAR(G497)+(MONTH(G497)/100),TC!$5:$37,DAY(G497)+2,FALSE),VLOOKUP(F497,Equivalencia!$5:$23,((MAX(Equivalencia!$3:$3)-YEAR(G497))*14)+MONTH(G497)+2,FALSE))</f>
        <v>#N/A</v>
      </c>
      <c r="L497" s="306" t="e">
        <f t="shared" si="110"/>
        <v>#N/A</v>
      </c>
      <c r="M497" s="305">
        <f>IF(G497=0,0,HLOOKUP(YEAR(G497)+(MONTH(G497)/100),TC!$5:$37,DAY(G497)+2,FALSE))</f>
        <v>0</v>
      </c>
      <c r="N497" s="306" t="e">
        <f t="shared" si="111"/>
        <v>#N/A</v>
      </c>
      <c r="O497" s="308">
        <f>IF(G497=0,0,VLOOKUP(YEAR(G497),INPC!$B$4:$P$30,MONTH(G497)+2))</f>
        <v>0</v>
      </c>
      <c r="P497" s="308">
        <f>IF(W497=0,0,IF(OR(C497=$AQ$5,C497=AQ501),VLOOKUP(YEAR(W497),INPC!$B$4:$P$30,MONTH(W497)+1),VLOOKUP(YEAR(W497),INPC!$B$4:$P$30,MONTH(W497)+2)))</f>
        <v>0</v>
      </c>
      <c r="Q497" s="309">
        <f t="shared" si="112"/>
        <v>0</v>
      </c>
      <c r="R497" s="310" t="e">
        <f t="shared" si="113"/>
        <v>#N/A</v>
      </c>
      <c r="S497" s="310">
        <f t="shared" si="114"/>
        <v>0</v>
      </c>
      <c r="T497" s="567" t="str">
        <f t="shared" si="115"/>
        <v>NO</v>
      </c>
      <c r="U497" s="323"/>
      <c r="V497" s="299"/>
      <c r="W497" s="300"/>
      <c r="X497" s="299"/>
      <c r="Y497" s="303"/>
      <c r="Z497" s="305">
        <f>IF(Y497=0,0,IF(X497="MXN",1/HLOOKUP(YEAR(W497)+(MONTH(W497)/100),TC!$5:$37,DAY(W497)+2,FALSE),VLOOKUP(X497,Equivalencia!$1:$23,((MAX(Equivalencia!$3:$3)-YEAR(W497))*14)+MONTH(W497)+2,FALSE)))</f>
        <v>0</v>
      </c>
      <c r="AA497" s="306">
        <f t="shared" si="116"/>
        <v>0</v>
      </c>
      <c r="AB497" s="305">
        <f>+IF(W497=0,0,HLOOKUP(YEAR(W497)+(MONTH(W497)/100),TC!$5:$37,DAY(W497)+2,FALSE))</f>
        <v>0</v>
      </c>
      <c r="AC497" s="306">
        <f t="shared" si="117"/>
        <v>0</v>
      </c>
      <c r="AD497" s="314">
        <f t="shared" si="108"/>
        <v>0</v>
      </c>
      <c r="AE497" s="315">
        <f t="shared" si="118"/>
        <v>0</v>
      </c>
      <c r="AF497" s="316">
        <f t="shared" si="109"/>
        <v>0</v>
      </c>
      <c r="AG497" s="314">
        <v>1</v>
      </c>
      <c r="AH497" s="314">
        <f t="shared" si="119"/>
        <v>0</v>
      </c>
      <c r="AI497" s="314">
        <f t="shared" si="120"/>
        <v>0</v>
      </c>
      <c r="AJ497" s="317"/>
      <c r="AK497" s="315" t="e">
        <f t="shared" si="121"/>
        <v>#N/A</v>
      </c>
      <c r="AM497" s="561"/>
      <c r="AN497" s="561"/>
      <c r="AO497" s="561"/>
    </row>
    <row r="498" spans="2:41">
      <c r="B498" s="296"/>
      <c r="C498" s="299"/>
      <c r="D498" s="296"/>
      <c r="E498" s="298"/>
      <c r="F498" s="299"/>
      <c r="G498" s="300"/>
      <c r="H498" s="303"/>
      <c r="I498" s="303"/>
      <c r="J498" s="322">
        <f t="shared" si="107"/>
        <v>0</v>
      </c>
      <c r="K498" s="305" t="e">
        <f>IF(F498="MXN",1/HLOOKUP(YEAR(G498)+(MONTH(G498)/100),TC!$5:$37,DAY(G498)+2,FALSE),VLOOKUP(F498,Equivalencia!$5:$23,((MAX(Equivalencia!$3:$3)-YEAR(G498))*14)+MONTH(G498)+2,FALSE))</f>
        <v>#N/A</v>
      </c>
      <c r="L498" s="306" t="e">
        <f t="shared" si="110"/>
        <v>#N/A</v>
      </c>
      <c r="M498" s="305">
        <f>IF(G498=0,0,HLOOKUP(YEAR(G498)+(MONTH(G498)/100),TC!$5:$37,DAY(G498)+2,FALSE))</f>
        <v>0</v>
      </c>
      <c r="N498" s="306" t="e">
        <f t="shared" si="111"/>
        <v>#N/A</v>
      </c>
      <c r="O498" s="308">
        <f>IF(G498=0,0,VLOOKUP(YEAR(G498),INPC!$B$4:$P$30,MONTH(G498)+2))</f>
        <v>0</v>
      </c>
      <c r="P498" s="308">
        <f>IF(W498=0,0,IF(OR(C498=$AQ$5,C498=AQ502),VLOOKUP(YEAR(W498),INPC!$B$4:$P$30,MONTH(W498)+1),VLOOKUP(YEAR(W498),INPC!$B$4:$P$30,MONTH(W498)+2)))</f>
        <v>0</v>
      </c>
      <c r="Q498" s="309">
        <f t="shared" si="112"/>
        <v>0</v>
      </c>
      <c r="R498" s="310" t="e">
        <f t="shared" si="113"/>
        <v>#N/A</v>
      </c>
      <c r="S498" s="310">
        <f t="shared" si="114"/>
        <v>0</v>
      </c>
      <c r="T498" s="567" t="str">
        <f t="shared" si="115"/>
        <v>NO</v>
      </c>
      <c r="U498" s="323"/>
      <c r="V498" s="299"/>
      <c r="W498" s="300"/>
      <c r="X498" s="299"/>
      <c r="Y498" s="303"/>
      <c r="Z498" s="305">
        <f>IF(Y498=0,0,IF(X498="MXN",1/HLOOKUP(YEAR(W498)+(MONTH(W498)/100),TC!$5:$37,DAY(W498)+2,FALSE),VLOOKUP(X498,Equivalencia!$1:$23,((MAX(Equivalencia!$3:$3)-YEAR(W498))*14)+MONTH(W498)+2,FALSE)))</f>
        <v>0</v>
      </c>
      <c r="AA498" s="306">
        <f t="shared" si="116"/>
        <v>0</v>
      </c>
      <c r="AB498" s="305">
        <f>+IF(W498=0,0,HLOOKUP(YEAR(W498)+(MONTH(W498)/100),TC!$5:$37,DAY(W498)+2,FALSE))</f>
        <v>0</v>
      </c>
      <c r="AC498" s="306">
        <f t="shared" si="117"/>
        <v>0</v>
      </c>
      <c r="AD498" s="314">
        <f t="shared" si="108"/>
        <v>0</v>
      </c>
      <c r="AE498" s="315">
        <f t="shared" si="118"/>
        <v>0</v>
      </c>
      <c r="AF498" s="316">
        <f t="shared" si="109"/>
        <v>0</v>
      </c>
      <c r="AG498" s="314">
        <v>1</v>
      </c>
      <c r="AH498" s="314">
        <f t="shared" si="119"/>
        <v>0</v>
      </c>
      <c r="AI498" s="314">
        <f t="shared" si="120"/>
        <v>0</v>
      </c>
      <c r="AJ498" s="317"/>
      <c r="AK498" s="315" t="e">
        <f t="shared" si="121"/>
        <v>#N/A</v>
      </c>
      <c r="AM498" s="561"/>
      <c r="AN498" s="561"/>
      <c r="AO498" s="561"/>
    </row>
    <row r="499" spans="2:41">
      <c r="B499" s="296"/>
      <c r="C499" s="299"/>
      <c r="D499" s="296"/>
      <c r="E499" s="298"/>
      <c r="F499" s="299"/>
      <c r="G499" s="300"/>
      <c r="H499" s="303"/>
      <c r="I499" s="303"/>
      <c r="J499" s="322">
        <f t="shared" si="107"/>
        <v>0</v>
      </c>
      <c r="K499" s="305" t="e">
        <f>IF(F499="MXN",1/HLOOKUP(YEAR(G499)+(MONTH(G499)/100),TC!$5:$37,DAY(G499)+2,FALSE),VLOOKUP(F499,Equivalencia!$5:$23,((MAX(Equivalencia!$3:$3)-YEAR(G499))*14)+MONTH(G499)+2,FALSE))</f>
        <v>#N/A</v>
      </c>
      <c r="L499" s="306" t="e">
        <f t="shared" si="110"/>
        <v>#N/A</v>
      </c>
      <c r="M499" s="305">
        <f>IF(G499=0,0,HLOOKUP(YEAR(G499)+(MONTH(G499)/100),TC!$5:$37,DAY(G499)+2,FALSE))</f>
        <v>0</v>
      </c>
      <c r="N499" s="306" t="e">
        <f t="shared" si="111"/>
        <v>#N/A</v>
      </c>
      <c r="O499" s="308">
        <f>IF(G499=0,0,VLOOKUP(YEAR(G499),INPC!$B$4:$P$30,MONTH(G499)+2))</f>
        <v>0</v>
      </c>
      <c r="P499" s="308">
        <f>IF(W499=0,0,IF(OR(C499=$AQ$5,C499=AQ503),VLOOKUP(YEAR(W499),INPC!$B$4:$P$30,MONTH(W499)+1),VLOOKUP(YEAR(W499),INPC!$B$4:$P$30,MONTH(W499)+2)))</f>
        <v>0</v>
      </c>
      <c r="Q499" s="309">
        <f t="shared" si="112"/>
        <v>0</v>
      </c>
      <c r="R499" s="310" t="e">
        <f t="shared" si="113"/>
        <v>#N/A</v>
      </c>
      <c r="S499" s="310">
        <f t="shared" si="114"/>
        <v>0</v>
      </c>
      <c r="T499" s="567" t="str">
        <f t="shared" si="115"/>
        <v>NO</v>
      </c>
      <c r="U499" s="323"/>
      <c r="V499" s="299"/>
      <c r="W499" s="300"/>
      <c r="X499" s="299"/>
      <c r="Y499" s="303"/>
      <c r="Z499" s="305">
        <f>IF(Y499=0,0,IF(X499="MXN",1/HLOOKUP(YEAR(W499)+(MONTH(W499)/100),TC!$5:$37,DAY(W499)+2,FALSE),VLOOKUP(X499,Equivalencia!$1:$23,((MAX(Equivalencia!$3:$3)-YEAR(W499))*14)+MONTH(W499)+2,FALSE)))</f>
        <v>0</v>
      </c>
      <c r="AA499" s="306">
        <f t="shared" si="116"/>
        <v>0</v>
      </c>
      <c r="AB499" s="305">
        <f>+IF(W499=0,0,HLOOKUP(YEAR(W499)+(MONTH(W499)/100),TC!$5:$37,DAY(W499)+2,FALSE))</f>
        <v>0</v>
      </c>
      <c r="AC499" s="306">
        <f t="shared" si="117"/>
        <v>0</v>
      </c>
      <c r="AD499" s="314">
        <f t="shared" si="108"/>
        <v>0</v>
      </c>
      <c r="AE499" s="315">
        <f t="shared" si="118"/>
        <v>0</v>
      </c>
      <c r="AF499" s="316">
        <f t="shared" si="109"/>
        <v>0</v>
      </c>
      <c r="AG499" s="314">
        <v>1</v>
      </c>
      <c r="AH499" s="314">
        <f t="shared" si="119"/>
        <v>0</v>
      </c>
      <c r="AI499" s="314">
        <f t="shared" si="120"/>
        <v>0</v>
      </c>
      <c r="AJ499" s="317"/>
      <c r="AK499" s="315" t="e">
        <f t="shared" si="121"/>
        <v>#N/A</v>
      </c>
      <c r="AM499" s="561"/>
      <c r="AN499" s="561"/>
      <c r="AO499" s="561"/>
    </row>
    <row r="500" spans="2:41">
      <c r="B500" s="296"/>
      <c r="C500" s="299"/>
      <c r="D500" s="296"/>
      <c r="E500" s="298"/>
      <c r="F500" s="299"/>
      <c r="G500" s="300"/>
      <c r="H500" s="303"/>
      <c r="I500" s="303"/>
      <c r="J500" s="322">
        <f t="shared" si="107"/>
        <v>0</v>
      </c>
      <c r="K500" s="305" t="e">
        <f>IF(F500="MXN",1/HLOOKUP(YEAR(G500)+(MONTH(G500)/100),TC!$5:$37,DAY(G500)+2,FALSE),VLOOKUP(F500,Equivalencia!$5:$23,((MAX(Equivalencia!$3:$3)-YEAR(G500))*14)+MONTH(G500)+2,FALSE))</f>
        <v>#N/A</v>
      </c>
      <c r="L500" s="306" t="e">
        <f t="shared" si="110"/>
        <v>#N/A</v>
      </c>
      <c r="M500" s="305">
        <f>IF(G500=0,0,HLOOKUP(YEAR(G500)+(MONTH(G500)/100),TC!$5:$37,DAY(G500)+2,FALSE))</f>
        <v>0</v>
      </c>
      <c r="N500" s="306" t="e">
        <f t="shared" si="111"/>
        <v>#N/A</v>
      </c>
      <c r="O500" s="308">
        <f>IF(G500=0,0,VLOOKUP(YEAR(G500),INPC!$B$4:$P$30,MONTH(G500)+2))</f>
        <v>0</v>
      </c>
      <c r="P500" s="308">
        <f>IF(W500=0,0,IF(OR(C500=$AQ$5,C500=AQ504),VLOOKUP(YEAR(W500),INPC!$B$4:$P$30,MONTH(W500)+1),VLOOKUP(YEAR(W500),INPC!$B$4:$P$30,MONTH(W500)+2)))</f>
        <v>0</v>
      </c>
      <c r="Q500" s="309">
        <f t="shared" si="112"/>
        <v>0</v>
      </c>
      <c r="R500" s="310" t="e">
        <f t="shared" si="113"/>
        <v>#N/A</v>
      </c>
      <c r="S500" s="310">
        <f t="shared" si="114"/>
        <v>0</v>
      </c>
      <c r="T500" s="567" t="str">
        <f t="shared" si="115"/>
        <v>NO</v>
      </c>
      <c r="U500" s="323"/>
      <c r="V500" s="299"/>
      <c r="W500" s="300"/>
      <c r="X500" s="299"/>
      <c r="Y500" s="303"/>
      <c r="Z500" s="305">
        <f>IF(Y500=0,0,IF(X500="MXN",1/HLOOKUP(YEAR(W500)+(MONTH(W500)/100),TC!$5:$37,DAY(W500)+2,FALSE),VLOOKUP(X500,Equivalencia!$1:$23,((MAX(Equivalencia!$3:$3)-YEAR(W500))*14)+MONTH(W500)+2,FALSE)))</f>
        <v>0</v>
      </c>
      <c r="AA500" s="306">
        <f t="shared" si="116"/>
        <v>0</v>
      </c>
      <c r="AB500" s="305">
        <f>+IF(W500=0,0,HLOOKUP(YEAR(W500)+(MONTH(W500)/100),TC!$5:$37,DAY(W500)+2,FALSE))</f>
        <v>0</v>
      </c>
      <c r="AC500" s="306">
        <f t="shared" si="117"/>
        <v>0</v>
      </c>
      <c r="AD500" s="314">
        <f t="shared" si="108"/>
        <v>0</v>
      </c>
      <c r="AE500" s="315">
        <f t="shared" si="118"/>
        <v>0</v>
      </c>
      <c r="AF500" s="316">
        <f t="shared" si="109"/>
        <v>0</v>
      </c>
      <c r="AG500" s="314">
        <v>1</v>
      </c>
      <c r="AH500" s="314">
        <f t="shared" si="119"/>
        <v>0</v>
      </c>
      <c r="AI500" s="314">
        <f t="shared" si="120"/>
        <v>0</v>
      </c>
      <c r="AJ500" s="317"/>
      <c r="AK500" s="315" t="e">
        <f t="shared" si="121"/>
        <v>#N/A</v>
      </c>
      <c r="AM500" s="561"/>
      <c r="AN500" s="561"/>
      <c r="AO500" s="561"/>
    </row>
  </sheetData>
  <sheetProtection algorithmName="SHA-512" hashValue="xv+MdAq7ZdzqwGsRYJMDOiEsyJhJo6zEmzVzFjN507WhwMWmiMVfSHZvZ9FmDmMRaaTNwCnYjXImKvnMoqE5Jg==" saltValue="6gU9lHQdHcNxhjfNUNR6IA==" spinCount="100000" sheet="1" formatCells="0" formatColumns="0" formatRows="0" insertColumns="0" insertRows="0" insertHyperlinks="0" deleteColumns="0" deleteRows="0" sort="0" autoFilter="0" pivotTables="0"/>
  <autoFilter ref="B1:AT500" xr:uid="{CD41FCC3-53BE-A049-8AB3-663CAFFBE117}"/>
  <dataValidations count="3">
    <dataValidation type="list" allowBlank="1" showInputMessage="1" showErrorMessage="1" promptTitle="OJO:" prompt="Selecciona una opción" sqref="V2:V500" xr:uid="{765C506D-466A-C040-B136-AA7DFD3937A0}">
      <formula1>Operaciones</formula1>
    </dataValidation>
    <dataValidation type="list" allowBlank="1" showInputMessage="1" showErrorMessage="1" sqref="C2:C500" xr:uid="{DDEBFC4C-19AA-0E40-9881-415AEA8A5D0A}">
      <formula1>$AQ$3:$AQ$15</formula1>
    </dataValidation>
    <dataValidation type="list" allowBlank="1" showInputMessage="1" showErrorMessage="1" sqref="D2:D500" xr:uid="{F6B2C256-C72D-C341-B700-0207645A4597}">
      <formula1>$AR$3:$AR$19</formula1>
    </dataValidation>
  </dataValidations>
  <pageMargins left="0.7" right="0.7" top="0.75" bottom="0.75" header="0.3" footer="0.3"/>
  <pageSetup orientation="portrait" horizontalDpi="1200" verticalDpi="1200" r:id="rId1"/>
  <extLst>
    <ext xmlns:x14="http://schemas.microsoft.com/office/spreadsheetml/2009/9/main" uri="{CCE6A557-97BC-4b89-ADB6-D9C93CAAB3DF}">
      <x14:dataValidations xmlns:xm="http://schemas.microsoft.com/office/excel/2006/main" count="2">
        <x14:dataValidation type="list" showInputMessage="1" showErrorMessage="1" promptTitle="Instrucciones" prompt="Selecciona una moneda" xr:uid="{9D258574-1F96-664D-8A39-82B5E01D8F12}">
          <x14:formula1>
            <xm:f>Equivalencia!$A$4:$A$23</xm:f>
          </x14:formula1>
          <xm:sqref>X2:X500</xm:sqref>
        </x14:dataValidation>
        <x14:dataValidation type="list" allowBlank="1" showInputMessage="1" showErrorMessage="1" xr:uid="{CE594744-D913-C440-8E07-C5CD08B18F66}">
          <x14:formula1>
            <xm:f>Equivalencia!$A$4:$A$23</xm:f>
          </x14:formula1>
          <xm:sqref>F2:F500</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R53"/>
  <sheetViews>
    <sheetView zoomScale="90" zoomScaleNormal="90" workbookViewId="0">
      <selection activeCell="M42" sqref="M42"/>
    </sheetView>
  </sheetViews>
  <sheetFormatPr baseColWidth="10" defaultColWidth="10.83203125" defaultRowHeight="20" customHeight="1"/>
  <cols>
    <col min="1" max="43" width="10.83203125" style="1"/>
    <col min="44" max="44" width="7.33203125" style="1" customWidth="1"/>
    <col min="45" max="57" width="10.83203125" style="1"/>
    <col min="58" max="58" width="6.83203125" style="1" customWidth="1"/>
    <col min="59" max="70" width="11" style="1" bestFit="1" customWidth="1"/>
    <col min="71" max="71" width="10.83203125" style="1"/>
    <col min="72" max="72" width="5.83203125" style="1" bestFit="1" customWidth="1"/>
    <col min="73" max="84" width="12.83203125" style="1" customWidth="1"/>
    <col min="85" max="85" width="10.83203125" style="1"/>
    <col min="86" max="86" width="6.5" style="1" customWidth="1"/>
    <col min="87" max="98" width="10.6640625" style="1" customWidth="1"/>
    <col min="99" max="99" width="10.83203125" style="1"/>
    <col min="100" max="100" width="7.1640625" style="1" customWidth="1"/>
    <col min="101" max="112" width="12.6640625" style="1" bestFit="1" customWidth="1"/>
    <col min="113" max="113" width="10.83203125" style="1"/>
    <col min="114" max="114" width="5.83203125" style="1" bestFit="1" customWidth="1"/>
    <col min="115" max="126" width="12.6640625" style="1" bestFit="1" customWidth="1"/>
    <col min="127" max="127" width="10.83203125" style="1"/>
    <col min="128" max="128" width="5.83203125" style="1" bestFit="1" customWidth="1"/>
    <col min="129" max="140" width="12.6640625" style="1" bestFit="1" customWidth="1"/>
    <col min="141" max="141" width="10.83203125" style="1"/>
    <col min="142" max="142" width="5.83203125" style="1" bestFit="1" customWidth="1"/>
    <col min="143" max="154" width="12.6640625" style="1" bestFit="1" customWidth="1"/>
    <col min="155" max="155" width="10.83203125" style="1"/>
    <col min="156" max="156" width="5.83203125" style="1" bestFit="1" customWidth="1"/>
    <col min="157" max="168" width="12.6640625" style="1" bestFit="1" customWidth="1"/>
    <col min="169" max="169" width="10.83203125" style="1"/>
    <col min="170" max="170" width="5.83203125" style="1" bestFit="1" customWidth="1"/>
    <col min="171" max="182" width="12.6640625" style="1" bestFit="1" customWidth="1"/>
    <col min="183" max="183" width="10.83203125" style="1"/>
    <col min="184" max="184" width="5.83203125" style="1" bestFit="1" customWidth="1"/>
    <col min="185" max="196" width="12.6640625" style="1" bestFit="1" customWidth="1"/>
    <col min="197" max="197" width="10.83203125" style="1"/>
    <col min="198" max="198" width="5.83203125" style="1" bestFit="1" customWidth="1"/>
    <col min="199" max="210" width="12.6640625" style="1" bestFit="1" customWidth="1"/>
    <col min="211" max="211" width="10.83203125" style="1"/>
    <col min="212" max="212" width="5.83203125" style="1" bestFit="1" customWidth="1"/>
    <col min="213" max="224" width="12.6640625" style="1" bestFit="1" customWidth="1"/>
    <col min="225" max="225" width="10.83203125" style="1"/>
    <col min="226" max="226" width="5.83203125" style="1" bestFit="1" customWidth="1"/>
    <col min="227" max="238" width="12.6640625" style="1" bestFit="1" customWidth="1"/>
    <col min="239" max="239" width="10.83203125" style="1"/>
    <col min="240" max="240" width="5.83203125" style="3" bestFit="1" customWidth="1"/>
    <col min="241" max="252" width="12.6640625" style="1" bestFit="1" customWidth="1"/>
    <col min="253" max="16384" width="10.83203125" style="1"/>
  </cols>
  <sheetData>
    <row r="1" spans="1:252" ht="22" customHeight="1">
      <c r="B1" s="752" t="s">
        <v>631</v>
      </c>
      <c r="C1" s="752"/>
      <c r="D1" s="752"/>
      <c r="E1" s="752"/>
      <c r="F1" s="752"/>
      <c r="G1" s="752"/>
      <c r="H1" s="752"/>
      <c r="I1" s="752"/>
      <c r="J1" s="752"/>
      <c r="K1" s="752"/>
      <c r="L1" s="752"/>
      <c r="M1" s="752"/>
      <c r="N1" s="752"/>
      <c r="P1" s="752" t="s">
        <v>627</v>
      </c>
      <c r="Q1" s="752"/>
      <c r="R1" s="752"/>
      <c r="S1" s="752"/>
      <c r="T1" s="752"/>
      <c r="U1" s="752"/>
      <c r="V1" s="752"/>
      <c r="W1" s="752"/>
      <c r="X1" s="752"/>
      <c r="Y1" s="752"/>
      <c r="Z1" s="752"/>
      <c r="AA1" s="752"/>
      <c r="AB1" s="752"/>
      <c r="AD1" s="752" t="s">
        <v>591</v>
      </c>
      <c r="AE1" s="752"/>
      <c r="AF1" s="752"/>
      <c r="AG1" s="752"/>
      <c r="AH1" s="752"/>
      <c r="AI1" s="752"/>
      <c r="AJ1" s="752"/>
      <c r="AK1" s="752"/>
      <c r="AL1" s="752"/>
      <c r="AM1" s="752"/>
      <c r="AN1" s="752"/>
      <c r="AO1" s="752"/>
      <c r="AP1" s="752"/>
      <c r="AR1" s="752" t="s">
        <v>531</v>
      </c>
      <c r="AS1" s="752"/>
      <c r="AT1" s="752"/>
      <c r="AU1" s="752"/>
      <c r="AV1" s="752"/>
      <c r="AW1" s="752"/>
      <c r="AX1" s="752"/>
      <c r="AY1" s="752"/>
      <c r="AZ1" s="752"/>
      <c r="BA1" s="752"/>
      <c r="BB1" s="752"/>
      <c r="BC1" s="752"/>
      <c r="BD1" s="752"/>
      <c r="BF1" s="752" t="s">
        <v>469</v>
      </c>
      <c r="BG1" s="752"/>
      <c r="BH1" s="752"/>
      <c r="BI1" s="752"/>
      <c r="BJ1" s="752"/>
      <c r="BK1" s="752"/>
      <c r="BL1" s="752"/>
      <c r="BM1" s="752"/>
      <c r="BN1" s="752"/>
      <c r="BO1" s="752"/>
      <c r="BP1" s="752"/>
      <c r="BQ1" s="752"/>
      <c r="BR1" s="752"/>
      <c r="BT1" s="752" t="s">
        <v>470</v>
      </c>
      <c r="BU1" s="752"/>
      <c r="BV1" s="752"/>
      <c r="BW1" s="752"/>
      <c r="BX1" s="752"/>
      <c r="BY1" s="752"/>
      <c r="BZ1" s="752"/>
      <c r="CA1" s="752"/>
      <c r="CB1" s="752"/>
      <c r="CC1" s="752"/>
      <c r="CD1" s="752"/>
      <c r="CE1" s="752"/>
      <c r="CF1" s="752"/>
      <c r="CH1" s="748" t="s">
        <v>471</v>
      </c>
      <c r="CI1" s="748"/>
      <c r="CJ1" s="748"/>
      <c r="CK1" s="748"/>
      <c r="CL1" s="748"/>
      <c r="CM1" s="748"/>
      <c r="CN1" s="748"/>
      <c r="CO1" s="748"/>
      <c r="CP1" s="748"/>
      <c r="CQ1" s="748"/>
      <c r="CR1" s="748"/>
      <c r="CS1" s="748"/>
      <c r="CT1" s="748"/>
      <c r="CV1" s="752" t="s">
        <v>472</v>
      </c>
      <c r="CW1" s="752"/>
      <c r="CX1" s="752"/>
      <c r="CY1" s="752"/>
      <c r="CZ1" s="752"/>
      <c r="DA1" s="752"/>
      <c r="DB1" s="752"/>
      <c r="DC1" s="752"/>
      <c r="DD1" s="752"/>
      <c r="DE1" s="752"/>
      <c r="DF1" s="752"/>
      <c r="DG1" s="752"/>
      <c r="DH1" s="752"/>
      <c r="DJ1" s="752" t="s">
        <v>473</v>
      </c>
      <c r="DK1" s="752"/>
      <c r="DL1" s="752"/>
      <c r="DM1" s="752"/>
      <c r="DN1" s="752"/>
      <c r="DO1" s="752"/>
      <c r="DP1" s="752"/>
      <c r="DQ1" s="752"/>
      <c r="DR1" s="752"/>
      <c r="DS1" s="752"/>
      <c r="DT1" s="752"/>
      <c r="DU1" s="752"/>
      <c r="DV1" s="752"/>
      <c r="DX1" s="752" t="s">
        <v>474</v>
      </c>
      <c r="DY1" s="752"/>
      <c r="DZ1" s="752"/>
      <c r="EA1" s="752"/>
      <c r="EB1" s="752"/>
      <c r="EC1" s="752"/>
      <c r="ED1" s="752"/>
      <c r="EE1" s="752"/>
      <c r="EF1" s="752"/>
      <c r="EG1" s="752"/>
      <c r="EH1" s="752"/>
      <c r="EI1" s="752"/>
      <c r="EJ1" s="752"/>
      <c r="EL1" s="752" t="s">
        <v>475</v>
      </c>
      <c r="EM1" s="752"/>
      <c r="EN1" s="752"/>
      <c r="EO1" s="752"/>
      <c r="EP1" s="752"/>
      <c r="EQ1" s="752"/>
      <c r="ER1" s="752"/>
      <c r="ES1" s="752"/>
      <c r="ET1" s="752"/>
      <c r="EU1" s="752"/>
      <c r="EV1" s="752"/>
      <c r="EW1" s="752"/>
      <c r="EX1" s="752"/>
      <c r="EZ1" s="752" t="s">
        <v>476</v>
      </c>
      <c r="FA1" s="752"/>
      <c r="FB1" s="752"/>
      <c r="FC1" s="752"/>
      <c r="FD1" s="752"/>
      <c r="FE1" s="752"/>
      <c r="FF1" s="752"/>
      <c r="FG1" s="752"/>
      <c r="FH1" s="752"/>
      <c r="FI1" s="752"/>
      <c r="FJ1" s="752"/>
      <c r="FK1" s="752"/>
      <c r="FL1" s="752"/>
      <c r="FN1" s="752" t="s">
        <v>477</v>
      </c>
      <c r="FO1" s="752"/>
      <c r="FP1" s="752"/>
      <c r="FQ1" s="752"/>
      <c r="FR1" s="752"/>
      <c r="FS1" s="752"/>
      <c r="FT1" s="752"/>
      <c r="FU1" s="752"/>
      <c r="FV1" s="752"/>
      <c r="FW1" s="752"/>
      <c r="FX1" s="752"/>
      <c r="FY1" s="752"/>
      <c r="FZ1" s="752"/>
      <c r="GB1" s="752" t="s">
        <v>478</v>
      </c>
      <c r="GC1" s="752"/>
      <c r="GD1" s="752"/>
      <c r="GE1" s="752"/>
      <c r="GF1" s="752"/>
      <c r="GG1" s="752"/>
      <c r="GH1" s="752"/>
      <c r="GI1" s="752"/>
      <c r="GJ1" s="752"/>
      <c r="GK1" s="752"/>
      <c r="GL1" s="752"/>
      <c r="GM1" s="752"/>
      <c r="GN1" s="752"/>
      <c r="GP1" s="752" t="s">
        <v>479</v>
      </c>
      <c r="GQ1" s="752"/>
      <c r="GR1" s="752"/>
      <c r="GS1" s="752"/>
      <c r="GT1" s="752"/>
      <c r="GU1" s="752"/>
      <c r="GV1" s="752"/>
      <c r="GW1" s="752"/>
      <c r="GX1" s="752"/>
      <c r="GY1" s="752"/>
      <c r="GZ1" s="752"/>
      <c r="HA1" s="752"/>
      <c r="HB1" s="752"/>
      <c r="HD1" s="752" t="s">
        <v>480</v>
      </c>
      <c r="HE1" s="752"/>
      <c r="HF1" s="752"/>
      <c r="HG1" s="752"/>
      <c r="HH1" s="752"/>
      <c r="HI1" s="752"/>
      <c r="HJ1" s="752"/>
      <c r="HK1" s="752"/>
      <c r="HL1" s="752"/>
      <c r="HM1" s="752"/>
      <c r="HN1" s="752"/>
      <c r="HO1" s="752"/>
      <c r="HP1" s="752"/>
      <c r="HR1" s="752" t="s">
        <v>481</v>
      </c>
      <c r="HS1" s="752"/>
      <c r="HT1" s="752"/>
      <c r="HU1" s="752"/>
      <c r="HV1" s="752"/>
      <c r="HW1" s="752"/>
      <c r="HX1" s="752"/>
      <c r="HY1" s="752"/>
      <c r="HZ1" s="752"/>
      <c r="IA1" s="752"/>
      <c r="IB1" s="752"/>
      <c r="IC1" s="752"/>
      <c r="ID1" s="752"/>
      <c r="IF1" s="752" t="s">
        <v>482</v>
      </c>
      <c r="IG1" s="752"/>
      <c r="IH1" s="752"/>
      <c r="II1" s="752"/>
      <c r="IJ1" s="752"/>
      <c r="IK1" s="752"/>
      <c r="IL1" s="752"/>
      <c r="IM1" s="752"/>
      <c r="IN1" s="752"/>
      <c r="IO1" s="752"/>
      <c r="IP1" s="752"/>
      <c r="IQ1" s="752"/>
      <c r="IR1" s="752"/>
    </row>
    <row r="2" spans="1:252" ht="22" customHeight="1">
      <c r="AR2" s="134"/>
      <c r="AS2" s="134"/>
      <c r="AT2" s="134"/>
      <c r="AU2" s="134"/>
      <c r="AV2" s="134"/>
      <c r="AW2" s="134"/>
      <c r="AX2" s="134"/>
      <c r="AY2" s="134"/>
      <c r="AZ2" s="134"/>
      <c r="BA2" s="134"/>
      <c r="BB2" s="134"/>
      <c r="BC2" s="134"/>
      <c r="BD2" s="134"/>
    </row>
    <row r="3" spans="1:252" ht="22" customHeight="1">
      <c r="B3" s="427">
        <v>2022</v>
      </c>
      <c r="C3" s="660"/>
      <c r="D3" s="660"/>
      <c r="E3" s="660"/>
      <c r="F3" s="660"/>
      <c r="G3" s="660"/>
      <c r="H3" s="660"/>
      <c r="I3" s="660"/>
      <c r="J3" s="660"/>
      <c r="K3" s="660"/>
      <c r="L3" s="660"/>
      <c r="M3" s="660"/>
      <c r="N3" s="660"/>
      <c r="P3" s="427">
        <v>2021</v>
      </c>
      <c r="Q3" s="660"/>
      <c r="R3" s="660"/>
      <c r="S3" s="660"/>
      <c r="T3" s="660"/>
      <c r="U3" s="660"/>
      <c r="V3" s="660"/>
      <c r="W3" s="660"/>
      <c r="X3" s="660"/>
      <c r="Y3" s="660"/>
      <c r="Z3" s="660"/>
      <c r="AA3" s="660"/>
      <c r="AB3" s="660"/>
      <c r="AD3" s="427">
        <v>2020</v>
      </c>
      <c r="AE3" s="427"/>
      <c r="AF3" s="427"/>
      <c r="AG3" s="427"/>
      <c r="AH3" s="427"/>
      <c r="AI3" s="427"/>
      <c r="AJ3" s="427"/>
      <c r="AK3" s="427"/>
      <c r="AL3" s="427"/>
      <c r="AM3" s="427"/>
      <c r="AN3" s="427"/>
      <c r="AO3" s="427"/>
      <c r="AP3" s="427"/>
      <c r="AR3" s="427">
        <v>2019</v>
      </c>
      <c r="AS3" s="427"/>
      <c r="AT3" s="427"/>
      <c r="AU3" s="427"/>
      <c r="AV3" s="427"/>
      <c r="AW3" s="427"/>
      <c r="AX3" s="427"/>
      <c r="AY3" s="427"/>
      <c r="AZ3" s="427"/>
      <c r="BA3" s="427"/>
      <c r="BB3" s="427"/>
      <c r="BC3" s="427"/>
      <c r="BD3" s="427"/>
      <c r="BF3" s="427">
        <v>2018</v>
      </c>
      <c r="BG3" s="427"/>
      <c r="BH3" s="427"/>
      <c r="BI3" s="427"/>
      <c r="BJ3" s="427"/>
      <c r="BK3" s="427"/>
      <c r="BL3" s="427"/>
      <c r="BM3" s="427"/>
      <c r="BN3" s="427"/>
      <c r="BO3" s="427"/>
      <c r="BP3" s="427"/>
      <c r="BQ3" s="427"/>
      <c r="BR3" s="427"/>
      <c r="BT3" s="427">
        <v>2017</v>
      </c>
      <c r="BU3" s="427"/>
      <c r="BV3" s="427"/>
      <c r="BW3" s="427"/>
      <c r="BX3" s="427"/>
      <c r="BY3" s="427"/>
      <c r="BZ3" s="427"/>
      <c r="CA3" s="427"/>
      <c r="CB3" s="427"/>
      <c r="CC3" s="427"/>
      <c r="CD3" s="427"/>
      <c r="CE3" s="427"/>
      <c r="CF3" s="427"/>
      <c r="CH3" s="427">
        <v>2016</v>
      </c>
      <c r="CI3" s="427"/>
      <c r="CJ3" s="427"/>
      <c r="CK3" s="427"/>
      <c r="CL3" s="427"/>
      <c r="CM3" s="427"/>
      <c r="CN3" s="427"/>
      <c r="CO3" s="427"/>
      <c r="CP3" s="427"/>
      <c r="CQ3" s="427"/>
      <c r="CR3" s="427"/>
      <c r="CS3" s="427"/>
      <c r="CT3" s="427"/>
      <c r="CV3" s="427">
        <v>2015</v>
      </c>
      <c r="CW3" s="427"/>
      <c r="CX3" s="427"/>
      <c r="CY3" s="427"/>
      <c r="CZ3" s="427"/>
      <c r="DA3" s="427"/>
      <c r="DB3" s="427"/>
      <c r="DC3" s="427"/>
      <c r="DD3" s="427"/>
      <c r="DE3" s="427"/>
      <c r="DF3" s="427"/>
      <c r="DG3" s="427"/>
      <c r="DH3" s="427"/>
      <c r="DJ3" s="427">
        <v>2014</v>
      </c>
      <c r="DK3" s="427"/>
      <c r="DL3" s="427"/>
      <c r="DM3" s="427"/>
      <c r="DN3" s="427"/>
      <c r="DO3" s="427"/>
      <c r="DP3" s="427"/>
      <c r="DQ3" s="427"/>
      <c r="DR3" s="427"/>
      <c r="DS3" s="427"/>
      <c r="DT3" s="427"/>
      <c r="DU3" s="427"/>
      <c r="DV3" s="427"/>
      <c r="DX3" s="427">
        <v>2013</v>
      </c>
      <c r="DY3" s="427"/>
      <c r="DZ3" s="427"/>
      <c r="EA3" s="427"/>
      <c r="EB3" s="427"/>
      <c r="EC3" s="427"/>
      <c r="ED3" s="427"/>
      <c r="EE3" s="427"/>
      <c r="EF3" s="427"/>
      <c r="EG3" s="427"/>
      <c r="EH3" s="427"/>
      <c r="EI3" s="427"/>
      <c r="EJ3" s="427"/>
      <c r="EL3" s="427">
        <v>2012</v>
      </c>
      <c r="EM3" s="427"/>
      <c r="EN3" s="427"/>
      <c r="EO3" s="427"/>
      <c r="EP3" s="427"/>
      <c r="EQ3" s="427"/>
      <c r="ER3" s="427"/>
      <c r="ES3" s="427"/>
      <c r="ET3" s="427"/>
      <c r="EU3" s="427"/>
      <c r="EV3" s="427"/>
      <c r="EW3" s="427"/>
      <c r="EX3" s="427"/>
      <c r="EZ3" s="427">
        <v>2011</v>
      </c>
      <c r="FA3" s="427"/>
      <c r="FB3" s="427"/>
      <c r="FC3" s="427"/>
      <c r="FD3" s="427"/>
      <c r="FE3" s="427"/>
      <c r="FF3" s="427"/>
      <c r="FG3" s="427"/>
      <c r="FH3" s="427"/>
      <c r="FI3" s="427"/>
      <c r="FJ3" s="427"/>
      <c r="FK3" s="427"/>
      <c r="FL3" s="427"/>
      <c r="FN3" s="427">
        <v>2010</v>
      </c>
      <c r="FO3" s="427"/>
      <c r="FP3" s="427"/>
      <c r="FQ3" s="427"/>
      <c r="FR3" s="427"/>
      <c r="FS3" s="427"/>
      <c r="FT3" s="427"/>
      <c r="FU3" s="427"/>
      <c r="FV3" s="427"/>
      <c r="FW3" s="427"/>
      <c r="FX3" s="427"/>
      <c r="FY3" s="427"/>
      <c r="FZ3" s="427"/>
      <c r="GB3" s="427">
        <v>2009</v>
      </c>
      <c r="GC3" s="427"/>
      <c r="GD3" s="427"/>
      <c r="GE3" s="427"/>
      <c r="GF3" s="427"/>
      <c r="GG3" s="427"/>
      <c r="GH3" s="427"/>
      <c r="GI3" s="427"/>
      <c r="GJ3" s="427"/>
      <c r="GK3" s="427"/>
      <c r="GL3" s="427"/>
      <c r="GM3" s="427"/>
      <c r="GN3" s="427"/>
      <c r="GP3" s="427">
        <v>2008</v>
      </c>
      <c r="GQ3" s="427"/>
      <c r="GR3" s="427"/>
      <c r="GS3" s="427"/>
      <c r="GT3" s="427"/>
      <c r="GU3" s="427"/>
      <c r="GV3" s="427"/>
      <c r="GW3" s="427"/>
      <c r="GX3" s="427"/>
      <c r="GY3" s="427"/>
      <c r="GZ3" s="427"/>
      <c r="HA3" s="427"/>
      <c r="HB3" s="427"/>
      <c r="HD3" s="427">
        <v>2007</v>
      </c>
      <c r="HE3" s="427"/>
      <c r="HF3" s="427"/>
      <c r="HG3" s="427"/>
      <c r="HH3" s="427"/>
      <c r="HI3" s="427"/>
      <c r="HJ3" s="427"/>
      <c r="HK3" s="427"/>
      <c r="HL3" s="427"/>
      <c r="HM3" s="427"/>
      <c r="HN3" s="427"/>
      <c r="HO3" s="427"/>
      <c r="HP3" s="427"/>
      <c r="HR3" s="427">
        <v>2006</v>
      </c>
      <c r="HS3" s="427"/>
      <c r="HT3" s="427"/>
      <c r="HU3" s="427"/>
      <c r="HV3" s="427"/>
      <c r="HW3" s="427"/>
      <c r="HX3" s="427"/>
      <c r="HY3" s="427"/>
      <c r="HZ3" s="427"/>
      <c r="IA3" s="427"/>
      <c r="IB3" s="427"/>
      <c r="IC3" s="427"/>
      <c r="ID3" s="427"/>
      <c r="IF3" s="427">
        <v>2005</v>
      </c>
      <c r="IG3" s="427"/>
      <c r="IH3" s="427"/>
      <c r="II3" s="427"/>
      <c r="IJ3" s="427"/>
      <c r="IK3" s="427"/>
      <c r="IL3" s="427"/>
      <c r="IM3" s="427"/>
      <c r="IN3" s="427"/>
      <c r="IO3" s="427"/>
      <c r="IP3" s="427"/>
      <c r="IQ3" s="427"/>
      <c r="IR3" s="427"/>
    </row>
    <row r="4" spans="1:252" s="41" customFormat="1" ht="23" customHeight="1">
      <c r="A4" s="339" t="s">
        <v>60</v>
      </c>
      <c r="B4" s="428"/>
      <c r="C4" s="487" t="s">
        <v>115</v>
      </c>
      <c r="D4" s="487" t="s">
        <v>67</v>
      </c>
      <c r="E4" s="487" t="s">
        <v>116</v>
      </c>
      <c r="F4" s="487" t="s">
        <v>71</v>
      </c>
      <c r="G4" s="487" t="s">
        <v>117</v>
      </c>
      <c r="H4" s="487" t="s">
        <v>73</v>
      </c>
      <c r="I4" s="487" t="s">
        <v>74</v>
      </c>
      <c r="J4" s="487" t="s">
        <v>75</v>
      </c>
      <c r="K4" s="487" t="s">
        <v>76</v>
      </c>
      <c r="L4" s="487" t="s">
        <v>77</v>
      </c>
      <c r="M4" s="487" t="s">
        <v>78</v>
      </c>
      <c r="N4" s="487" t="s">
        <v>79</v>
      </c>
      <c r="O4" s="339"/>
      <c r="P4" s="428"/>
      <c r="Q4" s="487" t="s">
        <v>115</v>
      </c>
      <c r="R4" s="487" t="s">
        <v>67</v>
      </c>
      <c r="S4" s="487" t="s">
        <v>116</v>
      </c>
      <c r="T4" s="487" t="s">
        <v>71</v>
      </c>
      <c r="U4" s="487" t="s">
        <v>117</v>
      </c>
      <c r="V4" s="487" t="s">
        <v>73</v>
      </c>
      <c r="W4" s="487" t="s">
        <v>74</v>
      </c>
      <c r="X4" s="487" t="s">
        <v>75</v>
      </c>
      <c r="Y4" s="487" t="s">
        <v>76</v>
      </c>
      <c r="Z4" s="487" t="s">
        <v>77</v>
      </c>
      <c r="AA4" s="487" t="s">
        <v>78</v>
      </c>
      <c r="AB4" s="487" t="s">
        <v>79</v>
      </c>
      <c r="AC4" s="339"/>
      <c r="AD4" s="428"/>
      <c r="AE4" s="336" t="s">
        <v>115</v>
      </c>
      <c r="AF4" s="336" t="s">
        <v>67</v>
      </c>
      <c r="AG4" s="336" t="s">
        <v>116</v>
      </c>
      <c r="AH4" s="336" t="s">
        <v>71</v>
      </c>
      <c r="AI4" s="336" t="s">
        <v>117</v>
      </c>
      <c r="AJ4" s="336" t="s">
        <v>73</v>
      </c>
      <c r="AK4" s="336" t="s">
        <v>74</v>
      </c>
      <c r="AL4" s="336" t="s">
        <v>75</v>
      </c>
      <c r="AM4" s="336" t="s">
        <v>76</v>
      </c>
      <c r="AN4" s="336" t="s">
        <v>77</v>
      </c>
      <c r="AO4" s="336" t="s">
        <v>78</v>
      </c>
      <c r="AP4" s="336" t="s">
        <v>79</v>
      </c>
      <c r="AQ4" s="339"/>
      <c r="AR4" s="488"/>
      <c r="AS4" s="487" t="s">
        <v>115</v>
      </c>
      <c r="AT4" s="487" t="s">
        <v>67</v>
      </c>
      <c r="AU4" s="487" t="s">
        <v>116</v>
      </c>
      <c r="AV4" s="487" t="s">
        <v>71</v>
      </c>
      <c r="AW4" s="487" t="s">
        <v>117</v>
      </c>
      <c r="AX4" s="487" t="s">
        <v>73</v>
      </c>
      <c r="AY4" s="487" t="s">
        <v>74</v>
      </c>
      <c r="AZ4" s="487" t="s">
        <v>75</v>
      </c>
      <c r="BA4" s="487" t="s">
        <v>76</v>
      </c>
      <c r="BB4" s="487" t="s">
        <v>77</v>
      </c>
      <c r="BC4" s="487" t="s">
        <v>78</v>
      </c>
      <c r="BD4" s="487" t="s">
        <v>79</v>
      </c>
      <c r="BE4" s="339"/>
      <c r="BF4" s="428"/>
      <c r="BG4" s="336" t="s">
        <v>115</v>
      </c>
      <c r="BH4" s="336" t="s">
        <v>67</v>
      </c>
      <c r="BI4" s="336" t="s">
        <v>116</v>
      </c>
      <c r="BJ4" s="336" t="s">
        <v>71</v>
      </c>
      <c r="BK4" s="336" t="s">
        <v>117</v>
      </c>
      <c r="BL4" s="336" t="s">
        <v>73</v>
      </c>
      <c r="BM4" s="336" t="s">
        <v>74</v>
      </c>
      <c r="BN4" s="336" t="s">
        <v>75</v>
      </c>
      <c r="BO4" s="336" t="s">
        <v>76</v>
      </c>
      <c r="BP4" s="336" t="s">
        <v>77</v>
      </c>
      <c r="BQ4" s="336" t="s">
        <v>78</v>
      </c>
      <c r="BR4" s="336" t="s">
        <v>79</v>
      </c>
      <c r="BT4" s="428"/>
      <c r="BU4" s="336" t="s">
        <v>115</v>
      </c>
      <c r="BV4" s="336" t="s">
        <v>67</v>
      </c>
      <c r="BW4" s="336" t="s">
        <v>116</v>
      </c>
      <c r="BX4" s="336" t="s">
        <v>71</v>
      </c>
      <c r="BY4" s="336" t="s">
        <v>117</v>
      </c>
      <c r="BZ4" s="336" t="s">
        <v>73</v>
      </c>
      <c r="CA4" s="336" t="s">
        <v>74</v>
      </c>
      <c r="CB4" s="336" t="s">
        <v>75</v>
      </c>
      <c r="CC4" s="336" t="s">
        <v>76</v>
      </c>
      <c r="CD4" s="336" t="s">
        <v>77</v>
      </c>
      <c r="CE4" s="336" t="s">
        <v>78</v>
      </c>
      <c r="CF4" s="336" t="s">
        <v>79</v>
      </c>
      <c r="CH4" s="428"/>
      <c r="CI4" s="336" t="s">
        <v>115</v>
      </c>
      <c r="CJ4" s="336" t="s">
        <v>67</v>
      </c>
      <c r="CK4" s="336" t="s">
        <v>116</v>
      </c>
      <c r="CL4" s="336" t="s">
        <v>71</v>
      </c>
      <c r="CM4" s="336" t="s">
        <v>117</v>
      </c>
      <c r="CN4" s="336" t="s">
        <v>73</v>
      </c>
      <c r="CO4" s="336" t="s">
        <v>74</v>
      </c>
      <c r="CP4" s="336" t="s">
        <v>75</v>
      </c>
      <c r="CQ4" s="336" t="s">
        <v>76</v>
      </c>
      <c r="CR4" s="336" t="s">
        <v>77</v>
      </c>
      <c r="CS4" s="336" t="s">
        <v>78</v>
      </c>
      <c r="CT4" s="336" t="s">
        <v>79</v>
      </c>
      <c r="CV4" s="428"/>
      <c r="CW4" s="336" t="s">
        <v>115</v>
      </c>
      <c r="CX4" s="336" t="s">
        <v>67</v>
      </c>
      <c r="CY4" s="336" t="s">
        <v>116</v>
      </c>
      <c r="CZ4" s="336" t="s">
        <v>71</v>
      </c>
      <c r="DA4" s="336" t="s">
        <v>117</v>
      </c>
      <c r="DB4" s="336" t="s">
        <v>73</v>
      </c>
      <c r="DC4" s="336" t="s">
        <v>74</v>
      </c>
      <c r="DD4" s="336" t="s">
        <v>75</v>
      </c>
      <c r="DE4" s="336" t="s">
        <v>76</v>
      </c>
      <c r="DF4" s="336" t="s">
        <v>77</v>
      </c>
      <c r="DG4" s="336" t="s">
        <v>78</v>
      </c>
      <c r="DH4" s="336" t="s">
        <v>79</v>
      </c>
      <c r="DJ4" s="428"/>
      <c r="DK4" s="336" t="s">
        <v>115</v>
      </c>
      <c r="DL4" s="336" t="s">
        <v>67</v>
      </c>
      <c r="DM4" s="336" t="s">
        <v>116</v>
      </c>
      <c r="DN4" s="336" t="s">
        <v>71</v>
      </c>
      <c r="DO4" s="336" t="s">
        <v>117</v>
      </c>
      <c r="DP4" s="336" t="s">
        <v>73</v>
      </c>
      <c r="DQ4" s="336" t="s">
        <v>74</v>
      </c>
      <c r="DR4" s="336" t="s">
        <v>75</v>
      </c>
      <c r="DS4" s="336" t="s">
        <v>76</v>
      </c>
      <c r="DT4" s="336" t="s">
        <v>77</v>
      </c>
      <c r="DU4" s="336" t="s">
        <v>78</v>
      </c>
      <c r="DV4" s="336" t="s">
        <v>79</v>
      </c>
      <c r="DX4" s="428"/>
      <c r="DY4" s="336" t="s">
        <v>115</v>
      </c>
      <c r="DZ4" s="336" t="s">
        <v>67</v>
      </c>
      <c r="EA4" s="336" t="s">
        <v>116</v>
      </c>
      <c r="EB4" s="336" t="s">
        <v>71</v>
      </c>
      <c r="EC4" s="336" t="s">
        <v>117</v>
      </c>
      <c r="ED4" s="336" t="s">
        <v>73</v>
      </c>
      <c r="EE4" s="336" t="s">
        <v>74</v>
      </c>
      <c r="EF4" s="336" t="s">
        <v>75</v>
      </c>
      <c r="EG4" s="336" t="s">
        <v>76</v>
      </c>
      <c r="EH4" s="336" t="s">
        <v>77</v>
      </c>
      <c r="EI4" s="336" t="s">
        <v>78</v>
      </c>
      <c r="EJ4" s="336" t="s">
        <v>79</v>
      </c>
      <c r="EL4" s="428"/>
      <c r="EM4" s="336" t="s">
        <v>115</v>
      </c>
      <c r="EN4" s="336" t="s">
        <v>67</v>
      </c>
      <c r="EO4" s="336" t="s">
        <v>116</v>
      </c>
      <c r="EP4" s="336" t="s">
        <v>71</v>
      </c>
      <c r="EQ4" s="336" t="s">
        <v>117</v>
      </c>
      <c r="ER4" s="336" t="s">
        <v>73</v>
      </c>
      <c r="ES4" s="336" t="s">
        <v>74</v>
      </c>
      <c r="ET4" s="336" t="s">
        <v>75</v>
      </c>
      <c r="EU4" s="336" t="s">
        <v>76</v>
      </c>
      <c r="EV4" s="336" t="s">
        <v>77</v>
      </c>
      <c r="EW4" s="336" t="s">
        <v>78</v>
      </c>
      <c r="EX4" s="336" t="s">
        <v>79</v>
      </c>
      <c r="EZ4" s="428"/>
      <c r="FA4" s="336" t="s">
        <v>115</v>
      </c>
      <c r="FB4" s="336" t="s">
        <v>67</v>
      </c>
      <c r="FC4" s="336" t="s">
        <v>116</v>
      </c>
      <c r="FD4" s="336" t="s">
        <v>71</v>
      </c>
      <c r="FE4" s="336" t="s">
        <v>117</v>
      </c>
      <c r="FF4" s="336" t="s">
        <v>73</v>
      </c>
      <c r="FG4" s="336" t="s">
        <v>74</v>
      </c>
      <c r="FH4" s="336" t="s">
        <v>75</v>
      </c>
      <c r="FI4" s="336" t="s">
        <v>76</v>
      </c>
      <c r="FJ4" s="336" t="s">
        <v>77</v>
      </c>
      <c r="FK4" s="336" t="s">
        <v>78</v>
      </c>
      <c r="FL4" s="336" t="s">
        <v>79</v>
      </c>
      <c r="FN4" s="428"/>
      <c r="FO4" s="336" t="s">
        <v>115</v>
      </c>
      <c r="FP4" s="336" t="s">
        <v>67</v>
      </c>
      <c r="FQ4" s="336" t="s">
        <v>116</v>
      </c>
      <c r="FR4" s="336" t="s">
        <v>71</v>
      </c>
      <c r="FS4" s="336" t="s">
        <v>117</v>
      </c>
      <c r="FT4" s="336" t="s">
        <v>73</v>
      </c>
      <c r="FU4" s="336" t="s">
        <v>74</v>
      </c>
      <c r="FV4" s="336" t="s">
        <v>75</v>
      </c>
      <c r="FW4" s="336" t="s">
        <v>76</v>
      </c>
      <c r="FX4" s="336" t="s">
        <v>77</v>
      </c>
      <c r="FY4" s="336" t="s">
        <v>78</v>
      </c>
      <c r="FZ4" s="336" t="s">
        <v>79</v>
      </c>
      <c r="GB4" s="428"/>
      <c r="GC4" s="336" t="s">
        <v>115</v>
      </c>
      <c r="GD4" s="336" t="s">
        <v>67</v>
      </c>
      <c r="GE4" s="336" t="s">
        <v>116</v>
      </c>
      <c r="GF4" s="336" t="s">
        <v>71</v>
      </c>
      <c r="GG4" s="336" t="s">
        <v>117</v>
      </c>
      <c r="GH4" s="336" t="s">
        <v>73</v>
      </c>
      <c r="GI4" s="336" t="s">
        <v>74</v>
      </c>
      <c r="GJ4" s="336" t="s">
        <v>75</v>
      </c>
      <c r="GK4" s="336" t="s">
        <v>76</v>
      </c>
      <c r="GL4" s="336" t="s">
        <v>77</v>
      </c>
      <c r="GM4" s="336" t="s">
        <v>78</v>
      </c>
      <c r="GN4" s="336" t="s">
        <v>79</v>
      </c>
      <c r="GP4" s="428"/>
      <c r="GQ4" s="336" t="s">
        <v>115</v>
      </c>
      <c r="GR4" s="336" t="s">
        <v>67</v>
      </c>
      <c r="GS4" s="336" t="s">
        <v>116</v>
      </c>
      <c r="GT4" s="336" t="s">
        <v>71</v>
      </c>
      <c r="GU4" s="336" t="s">
        <v>117</v>
      </c>
      <c r="GV4" s="336" t="s">
        <v>73</v>
      </c>
      <c r="GW4" s="336" t="s">
        <v>74</v>
      </c>
      <c r="GX4" s="336" t="s">
        <v>75</v>
      </c>
      <c r="GY4" s="336" t="s">
        <v>76</v>
      </c>
      <c r="GZ4" s="336" t="s">
        <v>77</v>
      </c>
      <c r="HA4" s="336" t="s">
        <v>78</v>
      </c>
      <c r="HB4" s="336" t="s">
        <v>79</v>
      </c>
      <c r="HD4" s="428"/>
      <c r="HE4" s="336" t="s">
        <v>115</v>
      </c>
      <c r="HF4" s="336" t="s">
        <v>67</v>
      </c>
      <c r="HG4" s="336" t="s">
        <v>116</v>
      </c>
      <c r="HH4" s="336" t="s">
        <v>71</v>
      </c>
      <c r="HI4" s="336" t="s">
        <v>117</v>
      </c>
      <c r="HJ4" s="336" t="s">
        <v>73</v>
      </c>
      <c r="HK4" s="336" t="s">
        <v>74</v>
      </c>
      <c r="HL4" s="336" t="s">
        <v>75</v>
      </c>
      <c r="HM4" s="336" t="s">
        <v>76</v>
      </c>
      <c r="HN4" s="336" t="s">
        <v>77</v>
      </c>
      <c r="HO4" s="336" t="s">
        <v>78</v>
      </c>
      <c r="HP4" s="336" t="s">
        <v>79</v>
      </c>
      <c r="HR4" s="428"/>
      <c r="HS4" s="336" t="s">
        <v>115</v>
      </c>
      <c r="HT4" s="336" t="s">
        <v>67</v>
      </c>
      <c r="HU4" s="336" t="s">
        <v>116</v>
      </c>
      <c r="HV4" s="336" t="s">
        <v>71</v>
      </c>
      <c r="HW4" s="336" t="s">
        <v>117</v>
      </c>
      <c r="HX4" s="336" t="s">
        <v>73</v>
      </c>
      <c r="HY4" s="336" t="s">
        <v>74</v>
      </c>
      <c r="HZ4" s="336" t="s">
        <v>75</v>
      </c>
      <c r="IA4" s="336" t="s">
        <v>76</v>
      </c>
      <c r="IB4" s="336" t="s">
        <v>77</v>
      </c>
      <c r="IC4" s="336" t="s">
        <v>78</v>
      </c>
      <c r="ID4" s="336" t="s">
        <v>79</v>
      </c>
      <c r="IF4" s="428"/>
      <c r="IG4" s="336" t="s">
        <v>115</v>
      </c>
      <c r="IH4" s="336" t="s">
        <v>67</v>
      </c>
      <c r="II4" s="336" t="s">
        <v>116</v>
      </c>
      <c r="IJ4" s="336" t="s">
        <v>71</v>
      </c>
      <c r="IK4" s="336" t="s">
        <v>117</v>
      </c>
      <c r="IL4" s="336" t="s">
        <v>73</v>
      </c>
      <c r="IM4" s="336" t="s">
        <v>74</v>
      </c>
      <c r="IN4" s="336" t="s">
        <v>75</v>
      </c>
      <c r="IO4" s="336" t="s">
        <v>76</v>
      </c>
      <c r="IP4" s="336" t="s">
        <v>77</v>
      </c>
      <c r="IQ4" s="336" t="s">
        <v>78</v>
      </c>
      <c r="IR4" s="336" t="s">
        <v>79</v>
      </c>
    </row>
    <row r="5" spans="1:252" ht="22" customHeight="1" thickBot="1">
      <c r="A5" s="1" t="s">
        <v>118</v>
      </c>
      <c r="B5" s="429" t="s">
        <v>118</v>
      </c>
      <c r="C5" s="430">
        <v>0.70479999999999998</v>
      </c>
      <c r="D5" s="430">
        <v>0.72555000000000003</v>
      </c>
      <c r="E5" s="430">
        <v>0.75075000000000003</v>
      </c>
      <c r="F5" s="430">
        <v>0.71084999999999998</v>
      </c>
      <c r="G5" s="430">
        <v>0.71714999999999995</v>
      </c>
      <c r="H5" s="430">
        <v>0.68794999999999995</v>
      </c>
      <c r="I5" s="430">
        <v>0.69725000000000004</v>
      </c>
      <c r="J5" s="430">
        <v>0.68559999999999999</v>
      </c>
      <c r="K5" s="430">
        <v>0.64319999999999999</v>
      </c>
      <c r="L5" s="430">
        <v>0.63775000000000004</v>
      </c>
      <c r="M5" s="546"/>
      <c r="N5" s="546"/>
      <c r="P5" s="429" t="s">
        <v>118</v>
      </c>
      <c r="Q5" s="430">
        <v>0.76734999999999998</v>
      </c>
      <c r="R5" s="430">
        <v>0.77449999999999997</v>
      </c>
      <c r="S5" s="430">
        <v>0.76175000000000004</v>
      </c>
      <c r="T5" s="430">
        <v>0.77270000000000005</v>
      </c>
      <c r="U5" s="430">
        <v>0.77395000000000003</v>
      </c>
      <c r="V5" s="430">
        <v>0.75065000000000004</v>
      </c>
      <c r="W5" s="430">
        <v>0.7349</v>
      </c>
      <c r="X5" s="430">
        <v>0.73085</v>
      </c>
      <c r="Y5" s="430">
        <v>0.72235000000000005</v>
      </c>
      <c r="Z5" s="430">
        <v>0.75109999999999999</v>
      </c>
      <c r="AA5" s="430">
        <v>0.70945000000000003</v>
      </c>
      <c r="AB5" s="430">
        <v>0.72704999999999997</v>
      </c>
      <c r="AD5" s="429" t="s">
        <v>118</v>
      </c>
      <c r="AE5" s="430">
        <v>0.66925000000000001</v>
      </c>
      <c r="AF5" s="430">
        <v>0.64524999999999999</v>
      </c>
      <c r="AG5" s="430">
        <v>0.61150000000000004</v>
      </c>
      <c r="AH5" s="430">
        <v>0.65449999999999997</v>
      </c>
      <c r="AI5" s="430">
        <v>0.66374999999999995</v>
      </c>
      <c r="AJ5" s="430">
        <v>0.68864999999999998</v>
      </c>
      <c r="AK5" s="430">
        <v>0.71704999999999997</v>
      </c>
      <c r="AL5" s="430">
        <v>0.73965000000000003</v>
      </c>
      <c r="AM5" s="430">
        <v>0.71675</v>
      </c>
      <c r="AN5" s="430">
        <v>0.70325000000000004</v>
      </c>
      <c r="AO5" s="430">
        <v>0.73655000000000004</v>
      </c>
      <c r="AP5" s="430">
        <v>0.77164999999999995</v>
      </c>
      <c r="AR5" s="432" t="s">
        <v>118</v>
      </c>
      <c r="AS5" s="430">
        <v>0.72914999999999996</v>
      </c>
      <c r="AT5" s="430">
        <v>0.71150000000000002</v>
      </c>
      <c r="AU5" s="430">
        <v>0.70874999999999999</v>
      </c>
      <c r="AV5" s="430">
        <v>0.70384999999999998</v>
      </c>
      <c r="AW5" s="430">
        <v>0.69274999999999998</v>
      </c>
      <c r="AX5" s="430">
        <v>0.70169999999999999</v>
      </c>
      <c r="AY5" s="430">
        <v>0.68915000000000004</v>
      </c>
      <c r="AZ5" s="430">
        <v>0.67369999999999997</v>
      </c>
      <c r="BA5" s="430">
        <v>0.67449999999999999</v>
      </c>
      <c r="BB5" s="430">
        <v>0.68935000000000002</v>
      </c>
      <c r="BC5" s="430">
        <v>0.67635000000000001</v>
      </c>
      <c r="BD5" s="430">
        <v>0.70274999999999999</v>
      </c>
      <c r="BF5" s="429" t="s">
        <v>118</v>
      </c>
      <c r="BG5" s="430">
        <v>0.81010000000000004</v>
      </c>
      <c r="BH5" s="430">
        <v>0.77925</v>
      </c>
      <c r="BI5" s="430">
        <v>0.76675000000000004</v>
      </c>
      <c r="BJ5" s="430">
        <v>0.75460000000000005</v>
      </c>
      <c r="BK5" s="430">
        <v>0.75685000000000002</v>
      </c>
      <c r="BL5" s="430">
        <v>0.73880000000000001</v>
      </c>
      <c r="BM5" s="430">
        <v>0.74314999999999998</v>
      </c>
      <c r="BN5" s="430">
        <v>0.72314999999999996</v>
      </c>
      <c r="BO5" s="430">
        <v>0.72335000000000005</v>
      </c>
      <c r="BP5" s="430">
        <v>0.70855000000000001</v>
      </c>
      <c r="BQ5" s="430">
        <v>0.73014999999999997</v>
      </c>
      <c r="BR5" s="430">
        <v>0.70425000000000004</v>
      </c>
      <c r="BT5" s="429" t="s">
        <v>118</v>
      </c>
      <c r="BU5" s="430">
        <v>0.75929999999999997</v>
      </c>
      <c r="BV5" s="430">
        <v>0.76880000000000004</v>
      </c>
      <c r="BW5" s="430">
        <v>0.76280000000000003</v>
      </c>
      <c r="BX5" s="430">
        <v>0.74724999999999997</v>
      </c>
      <c r="BY5" s="430">
        <v>0.74419999999999997</v>
      </c>
      <c r="BZ5" s="430">
        <v>0.76700000000000002</v>
      </c>
      <c r="CA5" s="430">
        <v>0.79820000000000002</v>
      </c>
      <c r="CB5" s="430">
        <v>0.79290000000000005</v>
      </c>
      <c r="CC5" s="430">
        <v>0.78439999999999999</v>
      </c>
      <c r="CD5" s="430">
        <v>0.76470000000000005</v>
      </c>
      <c r="CE5" s="430">
        <v>0.75919999999999999</v>
      </c>
      <c r="CF5" s="430">
        <v>0.78210000000000002</v>
      </c>
      <c r="CH5" s="429" t="s">
        <v>118</v>
      </c>
      <c r="CI5" s="430">
        <v>0.70750000000000002</v>
      </c>
      <c r="CJ5" s="430">
        <v>0.71419999999999995</v>
      </c>
      <c r="CK5" s="430">
        <v>0.76900000000000002</v>
      </c>
      <c r="CL5" s="430">
        <v>0.76280000000000003</v>
      </c>
      <c r="CM5" s="430">
        <v>0.72460000000000002</v>
      </c>
      <c r="CN5" s="430">
        <v>0.74450000000000005</v>
      </c>
      <c r="CO5" s="430">
        <v>0.75960000000000005</v>
      </c>
      <c r="CP5" s="430">
        <v>0.75129999999999997</v>
      </c>
      <c r="CQ5" s="430">
        <v>0.76519999999999999</v>
      </c>
      <c r="CR5" s="430">
        <v>0.75939999999999996</v>
      </c>
      <c r="CS5" s="430">
        <v>0.73909999999999998</v>
      </c>
      <c r="CT5" s="430">
        <v>0.72399999999999998</v>
      </c>
      <c r="CV5" s="429" t="s">
        <v>118</v>
      </c>
      <c r="CW5" s="430">
        <v>0.77900000000000003</v>
      </c>
      <c r="CX5" s="430">
        <v>0.78290000000000004</v>
      </c>
      <c r="CY5" s="430">
        <v>0.76419999999999999</v>
      </c>
      <c r="CZ5" s="430">
        <v>0.78869999999999996</v>
      </c>
      <c r="DA5" s="430">
        <v>0.76570000000000005</v>
      </c>
      <c r="DB5" s="430">
        <v>0.76849999999999996</v>
      </c>
      <c r="DC5" s="430">
        <v>0.73460000000000003</v>
      </c>
      <c r="DD5" s="430">
        <v>0.70889999999999997</v>
      </c>
      <c r="DE5" s="430">
        <v>0.70230000000000004</v>
      </c>
      <c r="DF5" s="430">
        <v>0.7107</v>
      </c>
      <c r="DG5" s="430">
        <v>0.72440000000000004</v>
      </c>
      <c r="DH5" s="430">
        <v>0.72860000000000003</v>
      </c>
      <c r="DI5" s="431"/>
      <c r="DJ5" s="429" t="s">
        <v>118</v>
      </c>
      <c r="DK5" s="430">
        <v>0.87250000000000005</v>
      </c>
      <c r="DL5" s="430">
        <v>0.89480000000000004</v>
      </c>
      <c r="DM5" s="430">
        <v>0.92679999999999996</v>
      </c>
      <c r="DN5" s="430">
        <v>0.92649999999999999</v>
      </c>
      <c r="DO5" s="430">
        <v>0.93079999999999996</v>
      </c>
      <c r="DP5" s="430">
        <v>0.94379999999999997</v>
      </c>
      <c r="DQ5" s="430">
        <v>0.92969999999999997</v>
      </c>
      <c r="DR5" s="430">
        <v>0.93530000000000002</v>
      </c>
      <c r="DS5" s="430">
        <v>0.875</v>
      </c>
      <c r="DT5" s="430">
        <v>0.87739999999999996</v>
      </c>
      <c r="DU5" s="430">
        <v>0.85370000000000001</v>
      </c>
      <c r="DV5" s="430">
        <v>0.81830000000000003</v>
      </c>
      <c r="DW5" s="431"/>
      <c r="DX5" s="429" t="s">
        <v>118</v>
      </c>
      <c r="DY5" s="430">
        <v>1.0429999999999999</v>
      </c>
      <c r="DZ5" s="430">
        <v>1.0238</v>
      </c>
      <c r="EA5" s="430">
        <v>1.0428999999999999</v>
      </c>
      <c r="EB5" s="430">
        <v>1.0384</v>
      </c>
      <c r="EC5" s="430">
        <v>0.95899999999999996</v>
      </c>
      <c r="ED5" s="430">
        <v>0.91520000000000001</v>
      </c>
      <c r="EE5" s="430">
        <v>0.89739999999999998</v>
      </c>
      <c r="EF5" s="430">
        <v>0.89070000000000005</v>
      </c>
      <c r="EG5" s="430">
        <v>0.93510000000000004</v>
      </c>
      <c r="EH5" s="430">
        <v>0.9486</v>
      </c>
      <c r="EI5" s="430">
        <v>0.91379999999999995</v>
      </c>
      <c r="EJ5" s="430">
        <v>0.89459999999999995</v>
      </c>
      <c r="EK5" s="431"/>
      <c r="EL5" s="429" t="s">
        <v>118</v>
      </c>
      <c r="EM5" s="430">
        <v>1.0648</v>
      </c>
      <c r="EN5" s="430">
        <v>1.0843</v>
      </c>
      <c r="EO5" s="430">
        <v>1.0364</v>
      </c>
      <c r="EP5" s="430">
        <v>1.0415000000000001</v>
      </c>
      <c r="EQ5" s="430">
        <v>0.9718</v>
      </c>
      <c r="ER5" s="430">
        <v>1.0235000000000001</v>
      </c>
      <c r="ES5" s="430">
        <v>1.0508</v>
      </c>
      <c r="ET5" s="430">
        <v>1.0319</v>
      </c>
      <c r="EU5" s="430">
        <v>1.0385</v>
      </c>
      <c r="EV5" s="430">
        <v>1.0370999999999999</v>
      </c>
      <c r="EW5" s="430">
        <v>1.0417000000000001</v>
      </c>
      <c r="EX5" s="430">
        <v>1.038</v>
      </c>
      <c r="EY5" s="431"/>
      <c r="EZ5" s="429" t="s">
        <v>118</v>
      </c>
      <c r="FA5" s="430">
        <v>0.99690000000000001</v>
      </c>
      <c r="FB5" s="430">
        <v>1.018</v>
      </c>
      <c r="FC5" s="430">
        <v>1.0336000000000001</v>
      </c>
      <c r="FD5" s="430">
        <v>1.0931</v>
      </c>
      <c r="FE5" s="430">
        <v>1.0665</v>
      </c>
      <c r="FF5" s="430">
        <v>1.0730999999999999</v>
      </c>
      <c r="FG5" s="430">
        <v>1.0963000000000001</v>
      </c>
      <c r="FH5" s="430">
        <v>1.0701000000000001</v>
      </c>
      <c r="FI5" s="430">
        <v>0.97030000000000005</v>
      </c>
      <c r="FJ5" s="430">
        <v>1.0572999999999999</v>
      </c>
      <c r="FK5" s="430">
        <v>1.0284</v>
      </c>
      <c r="FL5" s="430">
        <v>1.0192000000000001</v>
      </c>
      <c r="FM5" s="431"/>
      <c r="FN5" s="429" t="s">
        <v>118</v>
      </c>
      <c r="FO5" s="430">
        <v>0.88890000000000002</v>
      </c>
      <c r="FP5" s="430">
        <v>0.89490000000000003</v>
      </c>
      <c r="FQ5" s="430">
        <v>0.91659999999999997</v>
      </c>
      <c r="FR5" s="430">
        <v>0.93079999999999996</v>
      </c>
      <c r="FS5" s="430">
        <v>0.83850000000000002</v>
      </c>
      <c r="FT5" s="430">
        <v>0.84419999999999995</v>
      </c>
      <c r="FU5" s="430">
        <v>0.90429999999999999</v>
      </c>
      <c r="FV5" s="430">
        <v>0.89019999999999999</v>
      </c>
      <c r="FW5" s="430">
        <v>0.96760000000000002</v>
      </c>
      <c r="FX5" s="430">
        <v>0.98009999999999997</v>
      </c>
      <c r="FY5" s="430">
        <v>0.95889999999999997</v>
      </c>
      <c r="FZ5" s="430">
        <v>1.0229999999999999</v>
      </c>
      <c r="GA5" s="431"/>
      <c r="GB5" s="429" t="s">
        <v>118</v>
      </c>
      <c r="GC5" s="430">
        <v>0.63560000000000005</v>
      </c>
      <c r="GD5" s="430">
        <v>0.6411</v>
      </c>
      <c r="GE5" s="430">
        <v>0.69230000000000003</v>
      </c>
      <c r="GF5" s="430">
        <v>0.7339</v>
      </c>
      <c r="GG5" s="430">
        <v>0.79949999999999999</v>
      </c>
      <c r="GH5" s="430">
        <v>0.80869999999999997</v>
      </c>
      <c r="GI5" s="430">
        <v>0.83089999999999997</v>
      </c>
      <c r="GJ5" s="430">
        <v>0.84099999999999997</v>
      </c>
      <c r="GK5" s="430">
        <v>0.8821</v>
      </c>
      <c r="GL5" s="430">
        <v>0.90449999999999997</v>
      </c>
      <c r="GM5" s="430">
        <v>0.91300000000000003</v>
      </c>
      <c r="GN5" s="430">
        <v>0.89949999999999997</v>
      </c>
      <c r="GO5" s="431"/>
      <c r="GP5" s="429" t="s">
        <v>118</v>
      </c>
      <c r="GQ5" s="430">
        <v>0.89280000000000004</v>
      </c>
      <c r="GR5" s="430">
        <v>0.93530000000000002</v>
      </c>
      <c r="GS5" s="430">
        <v>0.91279999999999994</v>
      </c>
      <c r="GT5" s="430">
        <v>0.9425</v>
      </c>
      <c r="GU5" s="430">
        <v>0.95299999999999996</v>
      </c>
      <c r="GV5" s="430">
        <v>0.95960000000000001</v>
      </c>
      <c r="GW5" s="430">
        <v>0.94040000000000001</v>
      </c>
      <c r="GX5" s="430">
        <v>0.86099999999999999</v>
      </c>
      <c r="GY5" s="430">
        <v>0.78910000000000002</v>
      </c>
      <c r="GZ5" s="430">
        <v>0.66349999999999998</v>
      </c>
      <c r="HA5" s="430">
        <v>0.65280000000000005</v>
      </c>
      <c r="HB5" s="430">
        <v>0.69130000000000003</v>
      </c>
      <c r="HC5" s="431"/>
      <c r="HD5" s="429" t="s">
        <v>118</v>
      </c>
      <c r="HE5" s="430">
        <v>0.77400000000000002</v>
      </c>
      <c r="HF5" s="430">
        <v>0.78779999999999994</v>
      </c>
      <c r="HG5" s="430">
        <v>0.81040000000000001</v>
      </c>
      <c r="HH5" s="430">
        <v>0.83189999999999997</v>
      </c>
      <c r="HI5" s="430">
        <v>0.82789999999999997</v>
      </c>
      <c r="HJ5" s="430">
        <v>0.84909999999999997</v>
      </c>
      <c r="HK5" s="430">
        <v>0.85680000000000001</v>
      </c>
      <c r="HL5" s="430">
        <v>0.81359999999999999</v>
      </c>
      <c r="HM5" s="430">
        <v>0.88470000000000004</v>
      </c>
      <c r="HN5" s="430">
        <v>0.92649999999999999</v>
      </c>
      <c r="HO5" s="430">
        <v>0.88349999999999995</v>
      </c>
      <c r="HP5" s="430">
        <v>0.87829999999999997</v>
      </c>
      <c r="HQ5" s="431"/>
      <c r="HR5" s="429" t="s">
        <v>118</v>
      </c>
      <c r="HS5" s="430">
        <v>0.75609999999999999</v>
      </c>
      <c r="HT5" s="430">
        <v>0.74229999999999996</v>
      </c>
      <c r="HU5" s="430">
        <v>0.71430000000000005</v>
      </c>
      <c r="HV5" s="430">
        <v>0.75849999999999995</v>
      </c>
      <c r="HW5" s="430">
        <v>0.75370000000000004</v>
      </c>
      <c r="HX5" s="430">
        <v>0.74270000000000003</v>
      </c>
      <c r="HY5" s="430">
        <v>0.76639999999999997</v>
      </c>
      <c r="HZ5" s="430">
        <v>0.76349999999999996</v>
      </c>
      <c r="IA5" s="430">
        <v>0.74609999999999999</v>
      </c>
      <c r="IB5" s="430">
        <v>0.77370000000000005</v>
      </c>
      <c r="IC5" s="430">
        <v>0.78939999999999999</v>
      </c>
      <c r="ID5" s="430">
        <v>0.78549999999999998</v>
      </c>
      <c r="IE5" s="431"/>
      <c r="IF5" s="429" t="s">
        <v>118</v>
      </c>
      <c r="IG5" s="430">
        <v>0.77549999999999997</v>
      </c>
      <c r="IH5" s="430">
        <v>0.79359999999999997</v>
      </c>
      <c r="II5" s="430">
        <v>0.77370000000000005</v>
      </c>
      <c r="IJ5" s="430">
        <v>0.78200000000000003</v>
      </c>
      <c r="IK5" s="430">
        <v>0.75760000000000005</v>
      </c>
      <c r="IL5" s="430">
        <v>0.76170000000000004</v>
      </c>
      <c r="IM5" s="430">
        <v>0.75939999999999996</v>
      </c>
      <c r="IN5" s="430">
        <v>0.75109999999999999</v>
      </c>
      <c r="IO5" s="430">
        <v>0.76319999999999999</v>
      </c>
      <c r="IP5" s="430">
        <v>0.74690000000000001</v>
      </c>
      <c r="IQ5" s="430">
        <v>0.7399</v>
      </c>
      <c r="IR5" s="430">
        <v>0.73340000000000005</v>
      </c>
    </row>
    <row r="6" spans="1:252" ht="22" customHeight="1" thickBot="1">
      <c r="A6" s="1" t="s">
        <v>119</v>
      </c>
      <c r="B6" s="429" t="s">
        <v>119</v>
      </c>
      <c r="C6" s="430">
        <v>0.1883</v>
      </c>
      <c r="D6" s="430">
        <v>0.19409999999999999</v>
      </c>
      <c r="E6" s="430">
        <v>0.21049999999999999</v>
      </c>
      <c r="F6" s="430">
        <v>0.20200000000000001</v>
      </c>
      <c r="G6" s="430">
        <v>0.21110000000000001</v>
      </c>
      <c r="H6" s="430">
        <v>0.1913</v>
      </c>
      <c r="I6" s="430">
        <v>0.19239999999999999</v>
      </c>
      <c r="J6" s="430">
        <v>0.19309999999999999</v>
      </c>
      <c r="K6" s="430">
        <v>0.18490000000000001</v>
      </c>
      <c r="L6" s="430">
        <v>0.1913</v>
      </c>
      <c r="M6" s="546"/>
      <c r="N6" s="546"/>
      <c r="P6" s="429" t="s">
        <v>119</v>
      </c>
      <c r="Q6" s="430">
        <v>0.183</v>
      </c>
      <c r="R6" s="430">
        <v>0.17949999999999999</v>
      </c>
      <c r="S6" s="430">
        <v>0.17730000000000001</v>
      </c>
      <c r="T6" s="430">
        <v>0.18440000000000001</v>
      </c>
      <c r="U6" s="430">
        <v>0.1905</v>
      </c>
      <c r="V6" s="430">
        <v>0.1993</v>
      </c>
      <c r="W6" s="430">
        <v>0.19439999999999999</v>
      </c>
      <c r="X6" s="430">
        <v>0.1953</v>
      </c>
      <c r="Y6" s="430">
        <v>0.18340000000000001</v>
      </c>
      <c r="Z6" s="430">
        <v>0.17749999999999999</v>
      </c>
      <c r="AA6" s="430">
        <v>0.17730000000000001</v>
      </c>
      <c r="AB6" s="430">
        <v>0.17949999999999999</v>
      </c>
      <c r="AD6" s="429" t="s">
        <v>119</v>
      </c>
      <c r="AE6" s="430">
        <v>0.2334</v>
      </c>
      <c r="AF6" s="430">
        <v>0.22309999999999999</v>
      </c>
      <c r="AG6" s="430">
        <v>0.1928</v>
      </c>
      <c r="AH6" s="430">
        <v>0.18459999999999999</v>
      </c>
      <c r="AI6" s="430">
        <v>0.18379999999999999</v>
      </c>
      <c r="AJ6" s="430">
        <v>0.18210000000000001</v>
      </c>
      <c r="AK6" s="430">
        <v>0.1918</v>
      </c>
      <c r="AL6" s="430">
        <v>0.1822</v>
      </c>
      <c r="AM6" s="430">
        <v>0.1774</v>
      </c>
      <c r="AN6" s="430">
        <v>0.17280000000000001</v>
      </c>
      <c r="AO6" s="430">
        <v>0.186</v>
      </c>
      <c r="AP6" s="430">
        <v>0.1925</v>
      </c>
      <c r="AR6" s="432" t="s">
        <v>119</v>
      </c>
      <c r="AS6" s="430">
        <v>0.2737</v>
      </c>
      <c r="AT6" s="430">
        <v>0.26700000000000002</v>
      </c>
      <c r="AU6" s="430">
        <v>0.25600000000000001</v>
      </c>
      <c r="AV6" s="430">
        <v>0.25430000000000003</v>
      </c>
      <c r="AW6" s="430">
        <v>0.255</v>
      </c>
      <c r="AX6" s="430">
        <v>0.26100000000000001</v>
      </c>
      <c r="AY6" s="430">
        <v>0.26629999999999998</v>
      </c>
      <c r="AZ6" s="430">
        <v>0.2417</v>
      </c>
      <c r="BA6" s="430">
        <v>0.24060000000000001</v>
      </c>
      <c r="BB6" s="430">
        <v>0.2492</v>
      </c>
      <c r="BC6" s="430">
        <v>0.2359</v>
      </c>
      <c r="BD6" s="430">
        <v>0.24879999999999999</v>
      </c>
      <c r="BF6" s="429" t="s">
        <v>119</v>
      </c>
      <c r="BG6" s="430">
        <v>0.31340000000000001</v>
      </c>
      <c r="BH6" s="430">
        <v>0.30840000000000001</v>
      </c>
      <c r="BI6" s="430">
        <v>0.29920000000000002</v>
      </c>
      <c r="BJ6" s="430">
        <v>0.2863</v>
      </c>
      <c r="BK6" s="430">
        <v>0.26819999999999999</v>
      </c>
      <c r="BL6" s="430">
        <v>0.25840000000000002</v>
      </c>
      <c r="BM6" s="430">
        <v>0.26650000000000001</v>
      </c>
      <c r="BN6" s="430">
        <v>0.24340000000000001</v>
      </c>
      <c r="BO6" s="430">
        <v>0.24859999999999999</v>
      </c>
      <c r="BP6" s="430">
        <v>0.26850000000000002</v>
      </c>
      <c r="BQ6" s="430">
        <v>0.25919999999999999</v>
      </c>
      <c r="BR6" s="430">
        <v>0.25769999999999998</v>
      </c>
      <c r="BT6" s="429" t="s">
        <v>119</v>
      </c>
      <c r="BU6" s="430">
        <v>0.31719999999999998</v>
      </c>
      <c r="BV6" s="430">
        <v>0.32140000000000002</v>
      </c>
      <c r="BW6" s="430">
        <v>0.31979999999999997</v>
      </c>
      <c r="BX6" s="430">
        <v>0.31390000000000001</v>
      </c>
      <c r="BY6" s="430">
        <v>0.30830000000000002</v>
      </c>
      <c r="BZ6" s="430">
        <v>0.30209999999999998</v>
      </c>
      <c r="CA6" s="430">
        <v>0.3196</v>
      </c>
      <c r="CB6" s="430">
        <v>0.31730000000000003</v>
      </c>
      <c r="CC6" s="430">
        <v>0.316</v>
      </c>
      <c r="CD6" s="430">
        <v>0.3054</v>
      </c>
      <c r="CE6" s="430">
        <v>0.30509999999999998</v>
      </c>
      <c r="CF6" s="430">
        <v>0.3019</v>
      </c>
      <c r="CH6" s="429" t="s">
        <v>119</v>
      </c>
      <c r="CI6" s="430">
        <v>0.24929999999999999</v>
      </c>
      <c r="CJ6" s="430">
        <v>0.251</v>
      </c>
      <c r="CK6" s="430">
        <v>0.2787</v>
      </c>
      <c r="CL6" s="430">
        <v>0.28910000000000002</v>
      </c>
      <c r="CM6" s="430">
        <v>0.27779999999999999</v>
      </c>
      <c r="CN6" s="430">
        <v>0.31240000000000001</v>
      </c>
      <c r="CO6" s="430">
        <v>0.30790000000000001</v>
      </c>
      <c r="CP6" s="430">
        <v>0.30890000000000001</v>
      </c>
      <c r="CQ6" s="430">
        <v>0.30819999999999997</v>
      </c>
      <c r="CR6" s="430">
        <v>0.31409999999999999</v>
      </c>
      <c r="CS6" s="430">
        <v>0.29509999999999997</v>
      </c>
      <c r="CT6" s="430">
        <v>0.30719999999999997</v>
      </c>
      <c r="CV6" s="429" t="s">
        <v>119</v>
      </c>
      <c r="CW6" s="430">
        <v>0.37269999999999998</v>
      </c>
      <c r="CX6" s="430">
        <v>0.35039999999999999</v>
      </c>
      <c r="CY6" s="430">
        <v>0.31109999999999999</v>
      </c>
      <c r="CZ6" s="430">
        <v>0.33250000000000002</v>
      </c>
      <c r="DA6" s="430">
        <v>0.31440000000000001</v>
      </c>
      <c r="DB6" s="430">
        <v>0.32269999999999999</v>
      </c>
      <c r="DC6" s="430">
        <v>0.29199999999999998</v>
      </c>
      <c r="DD6" s="430">
        <v>0.27600000000000002</v>
      </c>
      <c r="DE6" s="430">
        <v>0.25169999999999998</v>
      </c>
      <c r="DF6" s="430">
        <v>0.25900000000000001</v>
      </c>
      <c r="DG6" s="430">
        <v>0.25640000000000002</v>
      </c>
      <c r="DH6" s="430">
        <v>0.2525</v>
      </c>
      <c r="DI6" s="431"/>
      <c r="DJ6" s="429" t="s">
        <v>119</v>
      </c>
      <c r="DK6" s="430">
        <v>0.4143</v>
      </c>
      <c r="DL6" s="430">
        <v>0.42680000000000001</v>
      </c>
      <c r="DM6" s="430">
        <v>0.44130000000000003</v>
      </c>
      <c r="DN6" s="430">
        <v>0.44690000000000002</v>
      </c>
      <c r="DO6" s="430">
        <v>0.44619999999999999</v>
      </c>
      <c r="DP6" s="430">
        <v>0.45269999999999999</v>
      </c>
      <c r="DQ6" s="430">
        <v>0.44130000000000003</v>
      </c>
      <c r="DR6" s="430">
        <v>0.44669999999999999</v>
      </c>
      <c r="DS6" s="430">
        <v>0.40679999999999999</v>
      </c>
      <c r="DT6" s="430">
        <v>0.4037</v>
      </c>
      <c r="DU6" s="430">
        <v>0.38900000000000001</v>
      </c>
      <c r="DV6" s="430">
        <v>0.37730000000000002</v>
      </c>
      <c r="DW6" s="431"/>
      <c r="DX6" s="429" t="s">
        <v>119</v>
      </c>
      <c r="DY6" s="430">
        <v>0.50210999999999995</v>
      </c>
      <c r="DZ6" s="430">
        <v>0.50560000000000005</v>
      </c>
      <c r="EA6" s="430">
        <v>0.49769999999999998</v>
      </c>
      <c r="EB6" s="430">
        <v>0.4995</v>
      </c>
      <c r="EC6" s="430">
        <v>0.4672</v>
      </c>
      <c r="ED6" s="430">
        <v>0.4496</v>
      </c>
      <c r="EE6" s="430">
        <v>0.43609999999999999</v>
      </c>
      <c r="EF6" s="430">
        <v>0.41970000000000002</v>
      </c>
      <c r="EG6" s="430">
        <v>0.44879999999999998</v>
      </c>
      <c r="EH6" s="430">
        <v>0.44740000000000002</v>
      </c>
      <c r="EI6" s="430">
        <v>0.4279</v>
      </c>
      <c r="EJ6" s="430">
        <v>0.42320000000000002</v>
      </c>
      <c r="EK6" s="431"/>
      <c r="EL6" s="429" t="s">
        <v>119</v>
      </c>
      <c r="EM6" s="430">
        <v>0.57484000000000002</v>
      </c>
      <c r="EN6" s="430">
        <v>0.58750999999999998</v>
      </c>
      <c r="EO6" s="430">
        <v>0.54698999999999998</v>
      </c>
      <c r="EP6" s="430">
        <v>0.52910000000000001</v>
      </c>
      <c r="EQ6" s="430">
        <v>0.49606</v>
      </c>
      <c r="ER6" s="430">
        <v>0.49642999999999998</v>
      </c>
      <c r="ES6" s="430">
        <v>0.48785000000000001</v>
      </c>
      <c r="ET6" s="430">
        <v>0.49278</v>
      </c>
      <c r="EU6" s="430">
        <v>0.49247000000000002</v>
      </c>
      <c r="EV6" s="430">
        <v>0.49253999999999998</v>
      </c>
      <c r="EW6" s="430">
        <v>0.47372999999999998</v>
      </c>
      <c r="EX6" s="430">
        <v>0.48827999999999999</v>
      </c>
      <c r="EY6" s="431"/>
      <c r="EZ6" s="429" t="s">
        <v>119</v>
      </c>
      <c r="FA6" s="430">
        <v>0.59730000000000005</v>
      </c>
      <c r="FB6" s="430">
        <v>0.60294999999999999</v>
      </c>
      <c r="FC6" s="430">
        <v>0.61451</v>
      </c>
      <c r="FD6" s="430">
        <v>0.63553000000000004</v>
      </c>
      <c r="FE6" s="430">
        <v>0.63122999999999996</v>
      </c>
      <c r="FF6" s="430">
        <v>0.64056999999999997</v>
      </c>
      <c r="FG6" s="430">
        <v>0.64073999999999998</v>
      </c>
      <c r="FH6" s="430">
        <v>0.62944999999999995</v>
      </c>
      <c r="FI6" s="430">
        <v>0.53893999999999997</v>
      </c>
      <c r="FJ6" s="430">
        <v>0.59130000000000005</v>
      </c>
      <c r="FK6" s="430">
        <v>0.55525000000000002</v>
      </c>
      <c r="FL6" s="430">
        <v>0.53568000000000005</v>
      </c>
      <c r="FM6" s="431"/>
      <c r="FN6" s="429" t="s">
        <v>119</v>
      </c>
      <c r="FO6" s="430">
        <v>0.53615999999999997</v>
      </c>
      <c r="FP6" s="430">
        <v>0.55020999999999998</v>
      </c>
      <c r="FQ6" s="430">
        <v>0.56040999999999996</v>
      </c>
      <c r="FR6" s="430">
        <v>0.57777000000000001</v>
      </c>
      <c r="FS6" s="430">
        <v>0.55327999999999999</v>
      </c>
      <c r="FT6" s="430">
        <v>0.55559000000000003</v>
      </c>
      <c r="FU6" s="430">
        <v>0.56715000000000004</v>
      </c>
      <c r="FV6" s="430">
        <v>0.56982999999999995</v>
      </c>
      <c r="FW6" s="430">
        <v>0.58931</v>
      </c>
      <c r="FX6" s="430">
        <v>0.58850999999999998</v>
      </c>
      <c r="FY6" s="430">
        <v>0.58155999999999997</v>
      </c>
      <c r="FZ6" s="430">
        <v>0.60150000000000003</v>
      </c>
      <c r="GA6" s="431"/>
      <c r="GB6" s="429" t="s">
        <v>119</v>
      </c>
      <c r="GC6" s="430">
        <v>0.43778</v>
      </c>
      <c r="GD6" s="430">
        <v>0.42571999999999999</v>
      </c>
      <c r="GE6" s="430">
        <v>0.43290000000000001</v>
      </c>
      <c r="GF6" s="430">
        <v>0.45812999999999998</v>
      </c>
      <c r="GG6" s="430">
        <v>0.50678000000000001</v>
      </c>
      <c r="GH6" s="430">
        <v>0.51380999999999999</v>
      </c>
      <c r="GI6" s="430">
        <v>0.53283999999999998</v>
      </c>
      <c r="GJ6" s="430">
        <v>0.53003</v>
      </c>
      <c r="GK6" s="430">
        <v>0.56218999999999997</v>
      </c>
      <c r="GL6" s="430">
        <v>0.57552000000000003</v>
      </c>
      <c r="GM6" s="430">
        <v>0.57162999999999997</v>
      </c>
      <c r="GN6" s="430">
        <v>0.57298000000000004</v>
      </c>
      <c r="GO6" s="431"/>
      <c r="GP6" s="429" t="s">
        <v>119</v>
      </c>
      <c r="GQ6" s="430">
        <v>0.56201999999999996</v>
      </c>
      <c r="GR6" s="430">
        <v>0.59791000000000005</v>
      </c>
      <c r="GS6" s="430">
        <v>0.57238</v>
      </c>
      <c r="GT6" s="430">
        <v>0.58452000000000004</v>
      </c>
      <c r="GU6" s="430">
        <v>0.60724</v>
      </c>
      <c r="GV6" s="430">
        <v>0.62297999999999998</v>
      </c>
      <c r="GW6" s="430">
        <v>0.64024999999999999</v>
      </c>
      <c r="GX6" s="430">
        <v>0.61417999999999995</v>
      </c>
      <c r="GY6" s="430">
        <v>0.52205999999999997</v>
      </c>
      <c r="GZ6" s="430">
        <v>0.47486</v>
      </c>
      <c r="HA6" s="430">
        <v>0.43786999999999998</v>
      </c>
      <c r="HB6" s="430">
        <v>0.42543999999999998</v>
      </c>
      <c r="HC6" s="431"/>
      <c r="HD6" s="429" t="s">
        <v>119</v>
      </c>
      <c r="HE6" s="430">
        <v>0.46923999999999999</v>
      </c>
      <c r="HF6" s="430">
        <v>0.47360000000000002</v>
      </c>
      <c r="HG6" s="430">
        <v>0.48726999999999998</v>
      </c>
      <c r="HH6" s="430">
        <v>0.49279000000000001</v>
      </c>
      <c r="HI6" s="430">
        <v>0.51361000000000001</v>
      </c>
      <c r="HJ6" s="430">
        <v>0.51956999999999998</v>
      </c>
      <c r="HK6" s="430">
        <v>0.53003</v>
      </c>
      <c r="HL6" s="430">
        <v>0.50839999999999996</v>
      </c>
      <c r="HM6" s="430">
        <v>0.54318</v>
      </c>
      <c r="HN6" s="430">
        <v>0.57116999999999996</v>
      </c>
      <c r="HO6" s="430">
        <v>0.55828</v>
      </c>
      <c r="HP6" s="430">
        <v>0.56249000000000005</v>
      </c>
      <c r="HQ6" s="431"/>
      <c r="HR6" s="429" t="s">
        <v>119</v>
      </c>
      <c r="HS6" s="430">
        <v>0.45171</v>
      </c>
      <c r="HT6" s="430">
        <v>0.46511999999999998</v>
      </c>
      <c r="HU6" s="430">
        <v>0.45567999999999997</v>
      </c>
      <c r="HV6" s="430">
        <v>0.47434999999999999</v>
      </c>
      <c r="HW6" s="430">
        <v>0.42753000000000002</v>
      </c>
      <c r="HX6" s="430">
        <v>0.45684999999999998</v>
      </c>
      <c r="HY6" s="430">
        <v>0.45906999999999998</v>
      </c>
      <c r="HZ6" s="430">
        <v>0.46959000000000001</v>
      </c>
      <c r="IA6" s="430">
        <v>0.45956000000000002</v>
      </c>
      <c r="IB6" s="430">
        <v>0.46598000000000001</v>
      </c>
      <c r="IC6" s="430">
        <v>0.46083000000000002</v>
      </c>
      <c r="ID6" s="430">
        <v>0.46838000000000002</v>
      </c>
      <c r="IE6" s="431"/>
      <c r="IF6" s="429" t="s">
        <v>119</v>
      </c>
      <c r="IG6" s="430">
        <v>0.37803999999999999</v>
      </c>
      <c r="IH6" s="430">
        <v>0.37951000000000001</v>
      </c>
      <c r="II6" s="430">
        <v>0.37364999999999998</v>
      </c>
      <c r="IJ6" s="430">
        <v>0.39595999999999998</v>
      </c>
      <c r="IK6" s="430">
        <v>0.42096</v>
      </c>
      <c r="IL6" s="430">
        <v>0.42570999999999998</v>
      </c>
      <c r="IM6" s="430">
        <v>0.41391</v>
      </c>
      <c r="IN6" s="430">
        <v>0.41893999999999998</v>
      </c>
      <c r="IO6" s="430">
        <v>0.45167000000000002</v>
      </c>
      <c r="IP6" s="430">
        <v>0.44424999999999998</v>
      </c>
      <c r="IQ6" s="430">
        <v>0.45707999999999999</v>
      </c>
      <c r="IR6" s="430">
        <v>0.43035000000000001</v>
      </c>
    </row>
    <row r="7" spans="1:252" ht="22" customHeight="1" thickBot="1">
      <c r="A7" s="1" t="s">
        <v>120</v>
      </c>
      <c r="B7" s="429" t="s">
        <v>120</v>
      </c>
      <c r="C7" s="430">
        <v>0.78620000000000001</v>
      </c>
      <c r="D7" s="430">
        <v>0.78849999999999998</v>
      </c>
      <c r="E7" s="430">
        <v>0.80059999999999998</v>
      </c>
      <c r="F7" s="430">
        <v>0.78249999999999997</v>
      </c>
      <c r="G7" s="430">
        <v>0.79069999999999996</v>
      </c>
      <c r="H7" s="430">
        <v>0.77539999999999998</v>
      </c>
      <c r="I7" s="430">
        <v>0.78039999999999998</v>
      </c>
      <c r="J7" s="430">
        <v>0.76370000000000005</v>
      </c>
      <c r="K7" s="430">
        <v>0.72799999999999998</v>
      </c>
      <c r="L7" s="430">
        <v>0.73240000000000005</v>
      </c>
      <c r="M7" s="546"/>
      <c r="N7" s="546"/>
      <c r="P7" s="429" t="s">
        <v>120</v>
      </c>
      <c r="Q7" s="430">
        <v>0.78269999999999995</v>
      </c>
      <c r="R7" s="430">
        <v>0.79010000000000002</v>
      </c>
      <c r="S7" s="430">
        <v>0.79579999999999995</v>
      </c>
      <c r="T7" s="430">
        <v>0.81310000000000004</v>
      </c>
      <c r="U7" s="430">
        <v>0.82769999999999999</v>
      </c>
      <c r="V7" s="430">
        <v>0.80720000000000003</v>
      </c>
      <c r="W7" s="430">
        <v>0.80120000000000002</v>
      </c>
      <c r="X7" s="430">
        <v>0.79139999999999999</v>
      </c>
      <c r="Y7" s="430">
        <v>0.7893</v>
      </c>
      <c r="Z7" s="430">
        <v>0.80679999999999996</v>
      </c>
      <c r="AA7" s="430">
        <v>0.77980000000000005</v>
      </c>
      <c r="AB7" s="430">
        <v>0.79149999999999998</v>
      </c>
      <c r="AD7" s="429" t="s">
        <v>120</v>
      </c>
      <c r="AE7" s="430">
        <v>0.75600000000000001</v>
      </c>
      <c r="AF7" s="430">
        <v>0.74470000000000003</v>
      </c>
      <c r="AG7" s="430">
        <v>0.70199999999999996</v>
      </c>
      <c r="AH7" s="430">
        <v>0.72</v>
      </c>
      <c r="AI7" s="430">
        <v>0.72370000000000001</v>
      </c>
      <c r="AJ7" s="430">
        <v>0.73429999999999995</v>
      </c>
      <c r="AK7" s="430">
        <v>0.74619999999999997</v>
      </c>
      <c r="AL7" s="430">
        <v>0.76759999999999995</v>
      </c>
      <c r="AM7" s="430">
        <v>0.74850000000000005</v>
      </c>
      <c r="AN7" s="430">
        <v>0.75</v>
      </c>
      <c r="AO7" s="430">
        <v>0.77180000000000004</v>
      </c>
      <c r="AP7" s="430">
        <v>0.78500000000000003</v>
      </c>
      <c r="AR7" s="432" t="s">
        <v>120</v>
      </c>
      <c r="AS7" s="430">
        <v>0.76139999999999997</v>
      </c>
      <c r="AT7" s="430">
        <v>0.75900000000000001</v>
      </c>
      <c r="AU7" s="430">
        <v>0.74850000000000005</v>
      </c>
      <c r="AV7" s="430">
        <v>0.74350000000000005</v>
      </c>
      <c r="AW7" s="430">
        <v>0.73980000000000001</v>
      </c>
      <c r="AX7" s="430">
        <v>0.76529999999999998</v>
      </c>
      <c r="AY7" s="430">
        <v>0.76180000000000003</v>
      </c>
      <c r="AZ7" s="430">
        <v>0.75249999999999995</v>
      </c>
      <c r="BA7" s="430">
        <v>0.75539999999999996</v>
      </c>
      <c r="BB7" s="430">
        <v>0.76039999999999996</v>
      </c>
      <c r="BC7" s="430">
        <v>0.75290000000000001</v>
      </c>
      <c r="BD7" s="430">
        <v>0.77110000000000001</v>
      </c>
      <c r="BF7" s="429" t="s">
        <v>120</v>
      </c>
      <c r="BG7" s="430">
        <v>0.81510000000000005</v>
      </c>
      <c r="BH7" s="430">
        <v>0.78049999999999997</v>
      </c>
      <c r="BI7" s="430">
        <v>0.77580000000000005</v>
      </c>
      <c r="BJ7" s="430">
        <v>0.77980000000000005</v>
      </c>
      <c r="BK7" s="430">
        <v>0.77100000000000002</v>
      </c>
      <c r="BL7" s="430">
        <v>0.76039999999999996</v>
      </c>
      <c r="BM7" s="430">
        <v>0.76780000000000004</v>
      </c>
      <c r="BN7" s="430">
        <v>0.7671</v>
      </c>
      <c r="BO7" s="430">
        <v>0.77339999999999998</v>
      </c>
      <c r="BP7" s="430">
        <v>0.76139999999999997</v>
      </c>
      <c r="BQ7" s="430">
        <v>0.75219999999999998</v>
      </c>
      <c r="BR7" s="430">
        <v>0.73229999999999995</v>
      </c>
      <c r="BT7" s="429" t="s">
        <v>120</v>
      </c>
      <c r="BU7" s="430">
        <v>0.76690000000000003</v>
      </c>
      <c r="BV7" s="430">
        <v>0.75529999999999997</v>
      </c>
      <c r="BW7" s="430">
        <v>0.75</v>
      </c>
      <c r="BX7" s="430">
        <v>0.73129999999999995</v>
      </c>
      <c r="BY7" s="430">
        <v>0.74019999999999997</v>
      </c>
      <c r="BZ7" s="430">
        <v>0.7702</v>
      </c>
      <c r="CA7" s="430">
        <v>0.7994</v>
      </c>
      <c r="CB7" s="430">
        <v>0.7974</v>
      </c>
      <c r="CC7" s="430">
        <v>0.79979999999999996</v>
      </c>
      <c r="CD7" s="430">
        <v>0.77610000000000001</v>
      </c>
      <c r="CE7" s="430">
        <v>0.77659999999999996</v>
      </c>
      <c r="CF7" s="430">
        <v>0.79779999999999995</v>
      </c>
      <c r="CH7" s="429" t="s">
        <v>120</v>
      </c>
      <c r="CI7" s="430">
        <v>0.71060000000000001</v>
      </c>
      <c r="CJ7" s="430">
        <v>0.73860000000000003</v>
      </c>
      <c r="CK7" s="430">
        <v>0.77390000000000003</v>
      </c>
      <c r="CL7" s="430">
        <v>0.79849999999999999</v>
      </c>
      <c r="CM7" s="430">
        <v>0.76459999999999995</v>
      </c>
      <c r="CN7" s="430">
        <v>0.77010000000000001</v>
      </c>
      <c r="CO7" s="430">
        <v>0.76619999999999999</v>
      </c>
      <c r="CP7" s="430">
        <v>0.76180000000000003</v>
      </c>
      <c r="CQ7" s="430">
        <v>0.76100000000000001</v>
      </c>
      <c r="CR7" s="430">
        <v>0.74560000000000004</v>
      </c>
      <c r="CS7" s="430">
        <v>0.74390000000000001</v>
      </c>
      <c r="CT7" s="430">
        <v>0.74560000000000004</v>
      </c>
      <c r="CV7" s="429" t="s">
        <v>120</v>
      </c>
      <c r="CW7" s="430">
        <v>0.78879999999999995</v>
      </c>
      <c r="CX7" s="430">
        <v>0.80089999999999995</v>
      </c>
      <c r="CY7" s="430">
        <v>0.78959999999999997</v>
      </c>
      <c r="CZ7" s="430">
        <v>0.8256</v>
      </c>
      <c r="DA7" s="430">
        <v>0.80149999999999999</v>
      </c>
      <c r="DB7" s="430">
        <v>0.80120000000000002</v>
      </c>
      <c r="DC7" s="430">
        <v>0.76910000000000001</v>
      </c>
      <c r="DD7" s="430">
        <v>0.75139999999999996</v>
      </c>
      <c r="DE7" s="430">
        <v>0.74590000000000001</v>
      </c>
      <c r="DF7" s="430">
        <v>0.76029999999999998</v>
      </c>
      <c r="DG7" s="430">
        <v>0.75090000000000001</v>
      </c>
      <c r="DH7" s="430">
        <v>0.72299999999999998</v>
      </c>
      <c r="DI7" s="431"/>
      <c r="DJ7" s="429" t="s">
        <v>120</v>
      </c>
      <c r="DK7" s="430">
        <v>0.89690000000000003</v>
      </c>
      <c r="DL7" s="430">
        <v>0.90339999999999998</v>
      </c>
      <c r="DM7" s="430">
        <v>0.90600000000000003</v>
      </c>
      <c r="DN7" s="430">
        <v>0.91120000000000001</v>
      </c>
      <c r="DO7" s="430">
        <v>0.92100000000000004</v>
      </c>
      <c r="DP7" s="430">
        <v>0.93889999999999996</v>
      </c>
      <c r="DQ7" s="430">
        <v>0.91859999999999997</v>
      </c>
      <c r="DR7" s="430">
        <v>0.92179999999999995</v>
      </c>
      <c r="DS7" s="430">
        <v>0.89490000000000003</v>
      </c>
      <c r="DT7" s="430">
        <v>0.88360000000000005</v>
      </c>
      <c r="DU7" s="430">
        <v>0.877</v>
      </c>
      <c r="DV7" s="430">
        <v>0.86329999999999996</v>
      </c>
      <c r="DW7" s="431"/>
      <c r="DX7" s="429" t="s">
        <v>120</v>
      </c>
      <c r="DY7" s="430">
        <v>1.0012000000000001</v>
      </c>
      <c r="DZ7" s="430">
        <v>0.97289999999999999</v>
      </c>
      <c r="EA7" s="430">
        <v>0.98360000000000003</v>
      </c>
      <c r="EB7" s="430">
        <v>0.99429999999999996</v>
      </c>
      <c r="EC7" s="430">
        <v>0.96760000000000002</v>
      </c>
      <c r="ED7" s="430">
        <v>0.94799999999999995</v>
      </c>
      <c r="EE7" s="430">
        <v>0.97270000000000001</v>
      </c>
      <c r="EF7" s="430">
        <v>0.94810000000000005</v>
      </c>
      <c r="EG7" s="430">
        <v>0.97289999999999999</v>
      </c>
      <c r="EH7" s="430">
        <v>0.95779999999999998</v>
      </c>
      <c r="EI7" s="430">
        <v>0.9446</v>
      </c>
      <c r="EJ7" s="430">
        <v>0.94120000000000004</v>
      </c>
      <c r="EK7" s="431"/>
      <c r="EL7" s="429" t="s">
        <v>120</v>
      </c>
      <c r="EM7" s="430">
        <v>1.0011000000000001</v>
      </c>
      <c r="EN7" s="430">
        <v>1.0121500000000001</v>
      </c>
      <c r="EO7" s="430">
        <v>1.00261</v>
      </c>
      <c r="EP7" s="430">
        <v>1.0124500000000001</v>
      </c>
      <c r="EQ7" s="430">
        <v>0.97002999999999995</v>
      </c>
      <c r="ER7" s="430">
        <v>0.98126000000000002</v>
      </c>
      <c r="ES7" s="430">
        <v>0.99690999999999996</v>
      </c>
      <c r="ET7" s="430">
        <v>1.0124500000000001</v>
      </c>
      <c r="EU7" s="430">
        <v>1.01678</v>
      </c>
      <c r="EV7" s="430">
        <v>0.99980000000000002</v>
      </c>
      <c r="EW7" s="430">
        <v>1.00604</v>
      </c>
      <c r="EX7" s="430">
        <v>1.0045200000000001</v>
      </c>
      <c r="EY7" s="431"/>
      <c r="EZ7" s="429" t="s">
        <v>120</v>
      </c>
      <c r="FA7" s="430">
        <v>1.0008999999999999</v>
      </c>
      <c r="FB7" s="430">
        <v>1.02722</v>
      </c>
      <c r="FC7" s="430">
        <v>1.0301800000000001</v>
      </c>
      <c r="FD7" s="430">
        <v>1.0477799999999999</v>
      </c>
      <c r="FE7" s="430">
        <v>1.0345500000000001</v>
      </c>
      <c r="FF7" s="430">
        <v>1.0356300000000001</v>
      </c>
      <c r="FG7" s="430">
        <v>1.04559</v>
      </c>
      <c r="FH7" s="430">
        <v>1.02722</v>
      </c>
      <c r="FI7" s="430">
        <v>0.95794999999999997</v>
      </c>
      <c r="FJ7" s="430">
        <v>1.0017</v>
      </c>
      <c r="FK7" s="430">
        <v>0.98580000000000001</v>
      </c>
      <c r="FL7" s="430">
        <v>0.98087000000000002</v>
      </c>
      <c r="FM7" s="431"/>
      <c r="FN7" s="429" t="s">
        <v>120</v>
      </c>
      <c r="FO7" s="430">
        <v>0.93940999999999997</v>
      </c>
      <c r="FP7" s="430">
        <v>0.94598000000000004</v>
      </c>
      <c r="FQ7" s="430">
        <v>0.98463999999999996</v>
      </c>
      <c r="FR7" s="430">
        <v>0.98765000000000003</v>
      </c>
      <c r="FS7" s="430">
        <v>0.95355999999999996</v>
      </c>
      <c r="FT7" s="430">
        <v>0.94135000000000002</v>
      </c>
      <c r="FU7" s="430">
        <v>0.97050000000000003</v>
      </c>
      <c r="FV7" s="430">
        <v>0.93808999999999998</v>
      </c>
      <c r="FW7" s="430">
        <v>0.97333000000000003</v>
      </c>
      <c r="FX7" s="430">
        <v>0.98270000000000002</v>
      </c>
      <c r="FY7" s="430">
        <v>0.97389999999999999</v>
      </c>
      <c r="FZ7" s="430">
        <v>1.00634</v>
      </c>
      <c r="GA7" s="431"/>
      <c r="GB7" s="429" t="s">
        <v>120</v>
      </c>
      <c r="GC7" s="430">
        <v>0.80618999999999996</v>
      </c>
      <c r="GD7" s="430">
        <v>0.78932999999999998</v>
      </c>
      <c r="GE7" s="430">
        <v>0.79346000000000005</v>
      </c>
      <c r="GF7" s="430">
        <v>0.84082999999999997</v>
      </c>
      <c r="GG7" s="430">
        <v>0.91198999999999997</v>
      </c>
      <c r="GH7" s="430">
        <v>0.86124999999999996</v>
      </c>
      <c r="GI7" s="430">
        <v>0.92549999999999999</v>
      </c>
      <c r="GJ7" s="430">
        <v>0.90900999999999998</v>
      </c>
      <c r="GK7" s="430">
        <v>0.93240000000000001</v>
      </c>
      <c r="GL7" s="430">
        <v>0.92798999999999998</v>
      </c>
      <c r="GM7" s="430">
        <v>0.94606999999999997</v>
      </c>
      <c r="GN7" s="430">
        <v>0.95465</v>
      </c>
      <c r="GO7" s="431"/>
      <c r="GP7" s="429" t="s">
        <v>120</v>
      </c>
      <c r="GQ7" s="430">
        <v>0.99492999999999998</v>
      </c>
      <c r="GR7" s="430">
        <v>1.02166</v>
      </c>
      <c r="GS7" s="430">
        <v>0.97285999999999995</v>
      </c>
      <c r="GT7" s="430">
        <v>0.99285000000000001</v>
      </c>
      <c r="GU7" s="430">
        <v>1.00644</v>
      </c>
      <c r="GV7" s="430">
        <v>0.9859</v>
      </c>
      <c r="GW7" s="430">
        <v>0.97531999999999996</v>
      </c>
      <c r="GX7" s="430">
        <v>0.94447000000000003</v>
      </c>
      <c r="GY7" s="430">
        <v>0.94064999999999999</v>
      </c>
      <c r="GZ7" s="430">
        <v>0.82169000000000003</v>
      </c>
      <c r="HA7" s="430">
        <v>0.80522000000000005</v>
      </c>
      <c r="HB7" s="430">
        <v>0.81593000000000004</v>
      </c>
      <c r="HC7" s="431"/>
      <c r="HD7" s="429" t="s">
        <v>120</v>
      </c>
      <c r="HE7" s="430">
        <v>0.84702999999999995</v>
      </c>
      <c r="HF7" s="430">
        <v>0.85309999999999997</v>
      </c>
      <c r="HG7" s="430">
        <v>0.86812999999999996</v>
      </c>
      <c r="HH7" s="430">
        <v>0.90473000000000003</v>
      </c>
      <c r="HI7" s="430">
        <v>0.93537000000000003</v>
      </c>
      <c r="HJ7" s="430">
        <v>0.93913999999999997</v>
      </c>
      <c r="HK7" s="430">
        <v>0.93755999999999995</v>
      </c>
      <c r="HL7" s="430">
        <v>0.94589000000000001</v>
      </c>
      <c r="HM7" s="430">
        <v>0.99509999999999998</v>
      </c>
      <c r="HN7" s="430">
        <v>1.05274</v>
      </c>
      <c r="HO7" s="430">
        <v>1</v>
      </c>
      <c r="HP7" s="430">
        <v>1.0134799999999999</v>
      </c>
      <c r="HQ7" s="431"/>
      <c r="HR7" s="429" t="s">
        <v>120</v>
      </c>
      <c r="HS7" s="430">
        <v>0.87451000000000001</v>
      </c>
      <c r="HT7" s="430">
        <v>0.87880999999999998</v>
      </c>
      <c r="HU7" s="430">
        <v>0.85755999999999999</v>
      </c>
      <c r="HV7" s="430">
        <v>0.89237999999999995</v>
      </c>
      <c r="HW7" s="430">
        <v>0.90917000000000003</v>
      </c>
      <c r="HX7" s="430">
        <v>0.89831000000000005</v>
      </c>
      <c r="HY7" s="430">
        <v>0.88534999999999997</v>
      </c>
      <c r="HZ7" s="430">
        <v>0.90188000000000001</v>
      </c>
      <c r="IA7" s="430">
        <v>0.89581999999999995</v>
      </c>
      <c r="IB7" s="430">
        <v>0.89119000000000004</v>
      </c>
      <c r="IC7" s="430">
        <v>0.87573000000000001</v>
      </c>
      <c r="ID7" s="430">
        <v>0.85829999999999995</v>
      </c>
      <c r="IE7" s="431"/>
      <c r="IF7" s="429" t="s">
        <v>120</v>
      </c>
      <c r="IG7" s="430">
        <v>0.80730000000000002</v>
      </c>
      <c r="IH7" s="430">
        <v>0.81267999999999996</v>
      </c>
      <c r="II7" s="430">
        <v>0.82706000000000002</v>
      </c>
      <c r="IJ7" s="430">
        <v>0.79661999999999999</v>
      </c>
      <c r="IK7" s="430">
        <v>0.79757999999999996</v>
      </c>
      <c r="IL7" s="430">
        <v>0.81633</v>
      </c>
      <c r="IM7" s="430">
        <v>0.81533</v>
      </c>
      <c r="IN7" s="430">
        <v>0.84245999999999999</v>
      </c>
      <c r="IO7" s="430">
        <v>0.86102999999999996</v>
      </c>
      <c r="IP7" s="430">
        <v>0.84824999999999995</v>
      </c>
      <c r="IQ7" s="430">
        <v>0.85624</v>
      </c>
      <c r="IR7" s="430">
        <v>0.85668</v>
      </c>
    </row>
    <row r="8" spans="1:252" ht="22" customHeight="1" thickBot="1">
      <c r="A8" s="1" t="s">
        <v>121</v>
      </c>
      <c r="B8" s="429" t="s">
        <v>121</v>
      </c>
      <c r="C8" s="430">
        <v>1.0742</v>
      </c>
      <c r="D8" s="430">
        <v>1.0899000000000001</v>
      </c>
      <c r="E8" s="430">
        <v>1.0868</v>
      </c>
      <c r="F8" s="430">
        <v>1.0304</v>
      </c>
      <c r="G8" s="430">
        <v>1.0431999999999999</v>
      </c>
      <c r="H8" s="430">
        <v>1.0447</v>
      </c>
      <c r="I8" s="430">
        <v>1.0498000000000001</v>
      </c>
      <c r="J8" s="430">
        <v>1.0244</v>
      </c>
      <c r="K8" s="430">
        <v>1.0165999999999999</v>
      </c>
      <c r="L8" s="430">
        <v>0.99729999999999996</v>
      </c>
      <c r="M8" s="546"/>
      <c r="N8" s="546"/>
      <c r="P8" s="429" t="s">
        <v>121</v>
      </c>
      <c r="Q8" s="430">
        <v>1.1240000000000001</v>
      </c>
      <c r="R8" s="430">
        <v>1.1045</v>
      </c>
      <c r="S8" s="430">
        <v>1.0627</v>
      </c>
      <c r="T8" s="430">
        <v>1.0965</v>
      </c>
      <c r="U8" s="430">
        <v>1.1119000000000001</v>
      </c>
      <c r="V8" s="430">
        <v>1.0817000000000001</v>
      </c>
      <c r="W8" s="430">
        <v>1.1032999999999999</v>
      </c>
      <c r="X8" s="430">
        <v>1.0919000000000001</v>
      </c>
      <c r="Y8" s="430">
        <v>1.0719000000000001</v>
      </c>
      <c r="Z8" s="430">
        <v>1.0942000000000001</v>
      </c>
      <c r="AA8" s="430">
        <v>1.081</v>
      </c>
      <c r="AB8" s="430">
        <v>1.0975999999999999</v>
      </c>
      <c r="AD8" s="429" t="s">
        <v>121</v>
      </c>
      <c r="AE8" s="430">
        <v>1.0367999999999999</v>
      </c>
      <c r="AF8" s="430">
        <v>1.0335000000000001</v>
      </c>
      <c r="AG8" s="430">
        <v>1.0339</v>
      </c>
      <c r="AH8" s="430">
        <v>1.0356000000000001</v>
      </c>
      <c r="AI8" s="430">
        <v>1.0410999999999999</v>
      </c>
      <c r="AJ8" s="430">
        <v>1.0553999999999999</v>
      </c>
      <c r="AK8" s="430">
        <v>1.0995999999999999</v>
      </c>
      <c r="AL8" s="430">
        <v>1.1107</v>
      </c>
      <c r="AM8" s="430">
        <v>1.0884</v>
      </c>
      <c r="AN8" s="430">
        <v>1.0921000000000001</v>
      </c>
      <c r="AO8" s="430">
        <v>1.1044</v>
      </c>
      <c r="AP8" s="430">
        <v>1.1315</v>
      </c>
      <c r="AR8" s="432" t="s">
        <v>121</v>
      </c>
      <c r="AS8" s="430">
        <v>1.0084</v>
      </c>
      <c r="AT8" s="430">
        <v>1.0037</v>
      </c>
      <c r="AU8" s="430">
        <v>1.0043</v>
      </c>
      <c r="AV8" s="430">
        <v>0.98140000000000005</v>
      </c>
      <c r="AW8" s="430">
        <v>0.99450000000000005</v>
      </c>
      <c r="AX8" s="430">
        <v>1.0254000000000001</v>
      </c>
      <c r="AY8" s="430">
        <v>1.0104</v>
      </c>
      <c r="AZ8" s="430">
        <v>1.0108999999999999</v>
      </c>
      <c r="BA8" s="430">
        <v>1.0026999999999999</v>
      </c>
      <c r="BB8" s="430">
        <v>1.0128999999999999</v>
      </c>
      <c r="BC8" s="430">
        <v>1.0005999999999999</v>
      </c>
      <c r="BD8" s="430">
        <v>1.0326</v>
      </c>
      <c r="BF8" s="429" t="s">
        <v>121</v>
      </c>
      <c r="BG8" s="430">
        <v>1.0757000000000001</v>
      </c>
      <c r="BH8" s="430">
        <v>1.0585</v>
      </c>
      <c r="BI8" s="430">
        <v>1.0485</v>
      </c>
      <c r="BJ8" s="430">
        <v>1.0098</v>
      </c>
      <c r="BK8" s="430">
        <v>1.0169999999999999</v>
      </c>
      <c r="BL8" s="430">
        <v>1.0072000000000001</v>
      </c>
      <c r="BM8" s="430">
        <v>1.0104</v>
      </c>
      <c r="BN8" s="430">
        <v>1.0343</v>
      </c>
      <c r="BO8" s="430">
        <v>1.0236000000000001</v>
      </c>
      <c r="BP8" s="430">
        <v>0.99450000000000005</v>
      </c>
      <c r="BQ8" s="430">
        <v>1.0011000000000001</v>
      </c>
      <c r="BR8" s="430">
        <v>1.0148999999999999</v>
      </c>
      <c r="BT8" s="429" t="s">
        <v>121</v>
      </c>
      <c r="BU8" s="430">
        <v>1.0133000000000001</v>
      </c>
      <c r="BV8" s="430">
        <v>0.99829999999999997</v>
      </c>
      <c r="BW8" s="430">
        <v>0.99880000000000002</v>
      </c>
      <c r="BX8" s="430">
        <v>1.0047999999999999</v>
      </c>
      <c r="BY8" s="430">
        <v>1.0330999999999999</v>
      </c>
      <c r="BZ8" s="430">
        <v>1.044</v>
      </c>
      <c r="CA8" s="430">
        <v>1.0357000000000001</v>
      </c>
      <c r="CB8" s="430">
        <v>1.0401</v>
      </c>
      <c r="CC8" s="430">
        <v>1.0335000000000001</v>
      </c>
      <c r="CD8" s="430">
        <v>1.0023</v>
      </c>
      <c r="CE8" s="430">
        <v>1.0181</v>
      </c>
      <c r="CF8" s="430">
        <v>1.0259</v>
      </c>
      <c r="CH8" s="429" t="s">
        <v>121</v>
      </c>
      <c r="CI8" s="430">
        <v>0.97660000000000002</v>
      </c>
      <c r="CJ8" s="430">
        <v>1.0031000000000001</v>
      </c>
      <c r="CK8" s="430">
        <v>1.044</v>
      </c>
      <c r="CL8" s="430">
        <v>1.0434000000000001</v>
      </c>
      <c r="CM8" s="430">
        <v>1.0065999999999999</v>
      </c>
      <c r="CN8" s="430">
        <v>1.0267999999999999</v>
      </c>
      <c r="CO8" s="430">
        <v>1.0331999999999999</v>
      </c>
      <c r="CP8" s="430">
        <v>1.0176000000000001</v>
      </c>
      <c r="CQ8" s="430">
        <v>1.0309999999999999</v>
      </c>
      <c r="CR8" s="430">
        <v>1.0103</v>
      </c>
      <c r="CS8" s="430">
        <v>0.9819</v>
      </c>
      <c r="CT8" s="430">
        <v>0.98419999999999996</v>
      </c>
      <c r="CV8" s="429" t="s">
        <v>121</v>
      </c>
      <c r="CW8" s="430">
        <v>1.087</v>
      </c>
      <c r="CX8" s="430">
        <v>1.0546</v>
      </c>
      <c r="CY8" s="430">
        <v>1.0294000000000001</v>
      </c>
      <c r="CZ8" s="430">
        <v>1.0670999999999999</v>
      </c>
      <c r="DA8" s="430">
        <v>1.0593999999999999</v>
      </c>
      <c r="DB8" s="430">
        <v>1.0691999999999999</v>
      </c>
      <c r="DC8" s="430">
        <v>1.04</v>
      </c>
      <c r="DD8" s="430">
        <v>1.0341</v>
      </c>
      <c r="DE8" s="430">
        <v>1.0236000000000001</v>
      </c>
      <c r="DF8" s="430">
        <v>1.0136000000000001</v>
      </c>
      <c r="DG8" s="430">
        <v>0.97260000000000002</v>
      </c>
      <c r="DH8" s="430">
        <v>0.99980000000000002</v>
      </c>
      <c r="DI8" s="431"/>
      <c r="DJ8" s="429" t="s">
        <v>121</v>
      </c>
      <c r="DK8" s="430">
        <v>1.1040000000000001</v>
      </c>
      <c r="DL8" s="430">
        <v>1.1352</v>
      </c>
      <c r="DM8" s="430">
        <v>1.1322000000000001</v>
      </c>
      <c r="DN8" s="430">
        <v>1.1357999999999999</v>
      </c>
      <c r="DO8" s="430">
        <v>1.1187</v>
      </c>
      <c r="DP8" s="430">
        <v>1.1277999999999999</v>
      </c>
      <c r="DQ8" s="430">
        <v>1.0996999999999999</v>
      </c>
      <c r="DR8" s="430">
        <v>1.0918000000000001</v>
      </c>
      <c r="DS8" s="430">
        <v>1.0466</v>
      </c>
      <c r="DT8" s="430">
        <v>1.0368999999999999</v>
      </c>
      <c r="DU8" s="430">
        <v>1.0378000000000001</v>
      </c>
      <c r="DV8" s="430">
        <v>1.0064</v>
      </c>
      <c r="DW8" s="431"/>
      <c r="DX8" s="429" t="s">
        <v>121</v>
      </c>
      <c r="DY8" s="430">
        <v>1.09842</v>
      </c>
      <c r="DZ8" s="430">
        <v>1.0716000000000001</v>
      </c>
      <c r="EA8" s="430">
        <v>1.0487</v>
      </c>
      <c r="EB8" s="430">
        <v>1.0763</v>
      </c>
      <c r="EC8" s="430">
        <v>1.042</v>
      </c>
      <c r="ED8" s="430">
        <v>1.0569999999999999</v>
      </c>
      <c r="EE8" s="430">
        <v>1.0762</v>
      </c>
      <c r="EF8" s="430">
        <v>1.0724</v>
      </c>
      <c r="EG8" s="430">
        <v>1.1060000000000001</v>
      </c>
      <c r="EH8" s="430">
        <v>1.1049</v>
      </c>
      <c r="EI8" s="430">
        <v>1.1067</v>
      </c>
      <c r="EJ8" s="430">
        <v>1.1246</v>
      </c>
      <c r="EK8" s="431"/>
      <c r="EL8" s="429" t="s">
        <v>121</v>
      </c>
      <c r="EM8" s="430">
        <v>1.0907500000000001</v>
      </c>
      <c r="EN8" s="430">
        <v>1.11632</v>
      </c>
      <c r="EO8" s="430">
        <v>1.1082799999999999</v>
      </c>
      <c r="EP8" s="430">
        <v>1.1012</v>
      </c>
      <c r="EQ8" s="430">
        <v>1.03125</v>
      </c>
      <c r="ER8" s="430">
        <v>1.05385</v>
      </c>
      <c r="ES8" s="430">
        <v>1.02302</v>
      </c>
      <c r="ET8" s="430">
        <v>1.04921</v>
      </c>
      <c r="EU8" s="430">
        <v>1.0661</v>
      </c>
      <c r="EV8" s="430">
        <v>1.07619</v>
      </c>
      <c r="EW8" s="430">
        <v>1.0782799999999999</v>
      </c>
      <c r="EX8" s="430">
        <v>1.09493</v>
      </c>
      <c r="EY8" s="431"/>
      <c r="EZ8" s="429" t="s">
        <v>121</v>
      </c>
      <c r="FA8" s="430">
        <v>1.0651900000000001</v>
      </c>
      <c r="FB8" s="430">
        <v>1.0768899999999999</v>
      </c>
      <c r="FC8" s="430">
        <v>1.0939700000000001</v>
      </c>
      <c r="FD8" s="430">
        <v>1.1541999999999999</v>
      </c>
      <c r="FE8" s="430">
        <v>1.17137</v>
      </c>
      <c r="FF8" s="430">
        <v>1.1868000000000001</v>
      </c>
      <c r="FG8" s="430">
        <v>1.27162</v>
      </c>
      <c r="FH8" s="430">
        <v>1.24116</v>
      </c>
      <c r="FI8" s="430">
        <v>1.1052200000000001</v>
      </c>
      <c r="FJ8" s="430">
        <v>1.1489</v>
      </c>
      <c r="FK8" s="430">
        <v>1.09842</v>
      </c>
      <c r="FL8" s="430">
        <v>1.0664400000000001</v>
      </c>
      <c r="FM8" s="431"/>
      <c r="FN8" s="429" t="s">
        <v>121</v>
      </c>
      <c r="FO8" s="430">
        <v>0.94867999999999997</v>
      </c>
      <c r="FP8" s="430">
        <v>0.93223</v>
      </c>
      <c r="FQ8" s="430">
        <v>0.95011999999999996</v>
      </c>
      <c r="FR8" s="430">
        <v>0.92781999999999998</v>
      </c>
      <c r="FS8" s="430">
        <v>0.86587999999999998</v>
      </c>
      <c r="FT8" s="430">
        <v>0.92739000000000005</v>
      </c>
      <c r="FU8" s="430">
        <v>0.95694000000000001</v>
      </c>
      <c r="FV8" s="430">
        <v>0.98668</v>
      </c>
      <c r="FW8" s="430">
        <v>1.0235399999999999</v>
      </c>
      <c r="FX8" s="430">
        <v>1.01698</v>
      </c>
      <c r="FY8" s="430">
        <v>1.0034099999999999</v>
      </c>
      <c r="FZ8" s="430">
        <v>1.0743400000000001</v>
      </c>
      <c r="GA8" s="431"/>
      <c r="GB8" s="429" t="s">
        <v>121</v>
      </c>
      <c r="GC8" s="430">
        <v>0.86185</v>
      </c>
      <c r="GD8" s="430">
        <v>0.85895999999999995</v>
      </c>
      <c r="GE8" s="430">
        <v>0.87788999999999995</v>
      </c>
      <c r="GF8" s="430">
        <v>0.87849999999999995</v>
      </c>
      <c r="GG8" s="430">
        <v>0.93606999999999996</v>
      </c>
      <c r="GH8" s="430">
        <v>0.91971000000000003</v>
      </c>
      <c r="GI8" s="430">
        <v>0.92927999999999999</v>
      </c>
      <c r="GJ8" s="430">
        <v>0.94616</v>
      </c>
      <c r="GK8" s="430">
        <v>0.96386000000000005</v>
      </c>
      <c r="GL8" s="430">
        <v>0.97618000000000005</v>
      </c>
      <c r="GM8" s="430">
        <v>0.99422999999999995</v>
      </c>
      <c r="GN8" s="430">
        <v>0.96777000000000002</v>
      </c>
      <c r="GO8" s="431"/>
      <c r="GP8" s="429" t="s">
        <v>121</v>
      </c>
      <c r="GQ8" s="430">
        <v>0.92293000000000003</v>
      </c>
      <c r="GR8" s="430">
        <v>0.95794999999999997</v>
      </c>
      <c r="GS8" s="430">
        <v>1.00786</v>
      </c>
      <c r="GT8" s="430">
        <v>0.96006000000000002</v>
      </c>
      <c r="GU8" s="430">
        <v>0.95740000000000003</v>
      </c>
      <c r="GV8" s="430">
        <v>0.98212999999999995</v>
      </c>
      <c r="GW8" s="430">
        <v>0.95428999999999997</v>
      </c>
      <c r="GX8" s="430">
        <v>0.90991999999999995</v>
      </c>
      <c r="GY8" s="430">
        <v>0.89237999999999995</v>
      </c>
      <c r="GZ8" s="430">
        <v>0.85992000000000002</v>
      </c>
      <c r="HA8" s="430">
        <v>0.82284000000000002</v>
      </c>
      <c r="HB8" s="430">
        <v>0.95011999999999996</v>
      </c>
      <c r="HC8" s="431"/>
      <c r="HD8" s="429" t="s">
        <v>121</v>
      </c>
      <c r="HE8" s="430">
        <v>0.80225000000000002</v>
      </c>
      <c r="HF8" s="430">
        <v>0.81879999999999997</v>
      </c>
      <c r="HG8" s="430">
        <v>0.82494999999999996</v>
      </c>
      <c r="HH8" s="430">
        <v>0.82891000000000004</v>
      </c>
      <c r="HI8" s="430">
        <v>0.81579000000000002</v>
      </c>
      <c r="HJ8" s="430">
        <v>0.81638999999999995</v>
      </c>
      <c r="HK8" s="430">
        <v>0.83111999999999997</v>
      </c>
      <c r="HL8" s="430">
        <v>0.82781000000000005</v>
      </c>
      <c r="HM8" s="430">
        <v>0.85660000000000003</v>
      </c>
      <c r="HN8" s="430">
        <v>0.86273999999999995</v>
      </c>
      <c r="HO8" s="430">
        <v>0.88605</v>
      </c>
      <c r="HP8" s="430">
        <v>0.88307999999999998</v>
      </c>
      <c r="HQ8" s="431"/>
      <c r="HR8" s="429" t="s">
        <v>121</v>
      </c>
      <c r="HS8" s="430">
        <v>0.78039999999999998</v>
      </c>
      <c r="HT8" s="430">
        <v>0.76185000000000003</v>
      </c>
      <c r="HU8" s="430">
        <v>0.76675000000000004</v>
      </c>
      <c r="HV8" s="430">
        <v>0.80391999999999997</v>
      </c>
      <c r="HW8" s="430">
        <v>0.82257000000000002</v>
      </c>
      <c r="HX8" s="430">
        <v>0.81613000000000002</v>
      </c>
      <c r="HY8" s="430">
        <v>0.81235000000000002</v>
      </c>
      <c r="HZ8" s="430">
        <v>0.81128999999999996</v>
      </c>
      <c r="IA8" s="430">
        <v>0.79757999999999996</v>
      </c>
      <c r="IB8" s="430">
        <v>0.80444000000000004</v>
      </c>
      <c r="IC8" s="430">
        <v>0.83459000000000005</v>
      </c>
      <c r="ID8" s="430">
        <v>0.81852999999999998</v>
      </c>
      <c r="IE8" s="431"/>
      <c r="IF8" s="429" t="s">
        <v>121</v>
      </c>
      <c r="IG8" s="430">
        <v>0.84111000000000002</v>
      </c>
      <c r="IH8" s="430">
        <v>0.86319000000000001</v>
      </c>
      <c r="II8" s="430">
        <v>0.83696000000000004</v>
      </c>
      <c r="IJ8" s="430">
        <v>0.84075999999999995</v>
      </c>
      <c r="IK8" s="430">
        <v>0.80354000000000003</v>
      </c>
      <c r="IL8" s="430">
        <v>0.77973000000000003</v>
      </c>
      <c r="IM8" s="430">
        <v>0.77747999999999995</v>
      </c>
      <c r="IN8" s="430">
        <v>0.79422000000000004</v>
      </c>
      <c r="IO8" s="430">
        <v>0.77729999999999999</v>
      </c>
      <c r="IP8" s="430">
        <v>0.77441000000000004</v>
      </c>
      <c r="IQ8" s="430">
        <v>0.76097999999999999</v>
      </c>
      <c r="IR8" s="430">
        <v>0.75878000000000001</v>
      </c>
    </row>
    <row r="9" spans="1:252" ht="22" customHeight="1" thickBot="1">
      <c r="A9" s="1" t="s">
        <v>298</v>
      </c>
      <c r="B9" s="429" t="s">
        <v>298</v>
      </c>
      <c r="C9" s="430">
        <v>0.15065999999999999</v>
      </c>
      <c r="D9" s="430">
        <v>0.15095</v>
      </c>
      <c r="E9" s="430">
        <v>0.14951999999999999</v>
      </c>
      <c r="F9" s="430">
        <v>0.14180000000000001</v>
      </c>
      <c r="G9" s="430">
        <v>0.14398</v>
      </c>
      <c r="H9" s="430">
        <v>0.14055999999999999</v>
      </c>
      <c r="I9" s="430">
        <v>0.13689999999999999</v>
      </c>
      <c r="J9" s="430">
        <v>0.13519999999999999</v>
      </c>
      <c r="K9" s="430">
        <v>0.13177</v>
      </c>
      <c r="L9" s="430">
        <v>0.13288</v>
      </c>
      <c r="M9" s="546"/>
      <c r="N9" s="546"/>
      <c r="P9" s="429" t="s">
        <v>298</v>
      </c>
      <c r="Q9" s="430">
        <v>0.16331000000000001</v>
      </c>
      <c r="R9" s="430">
        <v>0.16322</v>
      </c>
      <c r="S9" s="430">
        <v>0.15805</v>
      </c>
      <c r="T9" s="430">
        <v>0.16191</v>
      </c>
      <c r="U9" s="430">
        <v>0.16436999999999999</v>
      </c>
      <c r="V9" s="430">
        <v>0.15944</v>
      </c>
      <c r="W9" s="430">
        <v>0.15939999999999999</v>
      </c>
      <c r="X9" s="430">
        <v>0.15873000000000001</v>
      </c>
      <c r="Y9" s="430">
        <v>0.15584999999999999</v>
      </c>
      <c r="Z9" s="430">
        <v>0.15556</v>
      </c>
      <c r="AA9" s="430">
        <v>0.15143999999999999</v>
      </c>
      <c r="AB9" s="430">
        <v>0.15290999999999999</v>
      </c>
      <c r="AD9" s="429" t="s">
        <v>298</v>
      </c>
      <c r="AE9" s="430">
        <v>0.1484</v>
      </c>
      <c r="AF9" s="430">
        <v>0.14760000000000001</v>
      </c>
      <c r="AG9" s="430">
        <v>0.14702999999999999</v>
      </c>
      <c r="AH9" s="430">
        <v>0.14674999999999999</v>
      </c>
      <c r="AI9" s="430">
        <v>0.14927000000000001</v>
      </c>
      <c r="AJ9" s="430">
        <v>0.15065999999999999</v>
      </c>
      <c r="AK9" s="430">
        <v>0.15883</v>
      </c>
      <c r="AL9" s="430">
        <v>0.16067999999999999</v>
      </c>
      <c r="AM9" s="430">
        <v>0.15754000000000001</v>
      </c>
      <c r="AN9" s="430">
        <v>0.15687000000000001</v>
      </c>
      <c r="AO9" s="430">
        <v>0.16070999999999999</v>
      </c>
      <c r="AP9" s="430">
        <v>0.16436999999999999</v>
      </c>
      <c r="AR9" s="432" t="s">
        <v>298</v>
      </c>
      <c r="AS9" s="430">
        <v>0.15329999999999999</v>
      </c>
      <c r="AT9" s="430">
        <v>0.1525</v>
      </c>
      <c r="AU9" s="430">
        <v>0.15029999999999999</v>
      </c>
      <c r="AV9" s="430">
        <v>0.15029999999999999</v>
      </c>
      <c r="AW9" s="430">
        <v>0.14949999999999999</v>
      </c>
      <c r="AX9" s="430">
        <v>0.15229999999999999</v>
      </c>
      <c r="AY9" s="430">
        <v>0.14910000000000001</v>
      </c>
      <c r="AZ9" s="430">
        <v>0.1472</v>
      </c>
      <c r="BA9" s="430">
        <v>0.14599999999999999</v>
      </c>
      <c r="BB9" s="430">
        <v>0.1492</v>
      </c>
      <c r="BC9" s="430">
        <v>0.1474</v>
      </c>
      <c r="BD9" s="430">
        <v>0.1502</v>
      </c>
      <c r="BF9" s="429" t="s">
        <v>298</v>
      </c>
      <c r="BG9" s="430">
        <v>0.1668</v>
      </c>
      <c r="BH9" s="430">
        <v>0.16389999999999999</v>
      </c>
      <c r="BI9" s="430">
        <v>0.1651</v>
      </c>
      <c r="BJ9" s="430">
        <v>0.1623</v>
      </c>
      <c r="BK9" s="430">
        <v>0.15690000000000001</v>
      </c>
      <c r="BL9" s="430">
        <v>0.15659999999999999</v>
      </c>
      <c r="BM9" s="430">
        <v>0.157</v>
      </c>
      <c r="BN9" s="430">
        <v>0.15559999999999999</v>
      </c>
      <c r="BO9" s="430">
        <v>0.15579999999999999</v>
      </c>
      <c r="BP9" s="430">
        <v>0.15160000000000001</v>
      </c>
      <c r="BQ9" s="430">
        <v>0.15160000000000001</v>
      </c>
      <c r="BR9" s="430">
        <v>0.15329999999999999</v>
      </c>
      <c r="BT9" s="429"/>
      <c r="BU9" s="430"/>
      <c r="BV9" s="430"/>
      <c r="BW9" s="430"/>
      <c r="BX9" s="430"/>
      <c r="BY9" s="430"/>
      <c r="BZ9" s="430"/>
      <c r="CA9" s="430"/>
      <c r="CB9" s="430"/>
      <c r="CC9" s="430"/>
      <c r="CD9" s="430"/>
      <c r="CE9" s="430"/>
      <c r="CF9" s="430"/>
      <c r="CH9" s="429"/>
      <c r="CI9" s="430"/>
      <c r="CJ9" s="430"/>
      <c r="CK9" s="430"/>
      <c r="CL9" s="430"/>
      <c r="CM9" s="430"/>
      <c r="CN9" s="430"/>
      <c r="CO9" s="430"/>
      <c r="CP9" s="430"/>
      <c r="CQ9" s="430"/>
      <c r="CR9" s="430"/>
      <c r="CS9" s="430"/>
      <c r="CT9" s="430"/>
      <c r="CV9" s="429"/>
      <c r="CW9" s="430"/>
      <c r="CX9" s="430"/>
      <c r="CY9" s="430"/>
      <c r="CZ9" s="430"/>
      <c r="DA9" s="430"/>
      <c r="DB9" s="430"/>
      <c r="DC9" s="430"/>
      <c r="DD9" s="430"/>
      <c r="DE9" s="430"/>
      <c r="DF9" s="430"/>
      <c r="DG9" s="430"/>
      <c r="DH9" s="430"/>
      <c r="DI9" s="431"/>
      <c r="DJ9" s="429"/>
      <c r="DK9" s="430"/>
      <c r="DL9" s="430"/>
      <c r="DM9" s="430"/>
      <c r="DN9" s="430"/>
      <c r="DO9" s="430"/>
      <c r="DP9" s="430"/>
      <c r="DQ9" s="430"/>
      <c r="DR9" s="430"/>
      <c r="DS9" s="430"/>
      <c r="DT9" s="430"/>
      <c r="DU9" s="430"/>
      <c r="DV9" s="430"/>
      <c r="DW9" s="431"/>
      <c r="DX9" s="429"/>
      <c r="DY9" s="430"/>
      <c r="DZ9" s="430"/>
      <c r="EA9" s="430"/>
      <c r="EB9" s="430"/>
      <c r="EC9" s="430"/>
      <c r="ED9" s="430"/>
      <c r="EE9" s="430"/>
      <c r="EF9" s="430"/>
      <c r="EG9" s="430"/>
      <c r="EH9" s="430"/>
      <c r="EI9" s="430"/>
      <c r="EJ9" s="430"/>
      <c r="EK9" s="431"/>
      <c r="EL9" s="429"/>
      <c r="EM9" s="430"/>
      <c r="EN9" s="430"/>
      <c r="EO9" s="430"/>
      <c r="EP9" s="430"/>
      <c r="EQ9" s="430"/>
      <c r="ER9" s="430"/>
      <c r="ES9" s="430"/>
      <c r="ET9" s="430"/>
      <c r="EU9" s="430"/>
      <c r="EV9" s="430"/>
      <c r="EW9" s="430"/>
      <c r="EX9" s="430"/>
      <c r="EY9" s="431"/>
      <c r="EZ9" s="429"/>
      <c r="FA9" s="430"/>
      <c r="FB9" s="430"/>
      <c r="FC9" s="430"/>
      <c r="FD9" s="430"/>
      <c r="FE9" s="430"/>
      <c r="FF9" s="430"/>
      <c r="FG9" s="430"/>
      <c r="FH9" s="430"/>
      <c r="FI9" s="430"/>
      <c r="FJ9" s="430"/>
      <c r="FK9" s="430"/>
      <c r="FL9" s="430"/>
      <c r="FM9" s="431"/>
      <c r="FN9" s="429"/>
      <c r="FO9" s="430"/>
      <c r="FP9" s="430"/>
      <c r="FQ9" s="430"/>
      <c r="FR9" s="430"/>
      <c r="FS9" s="430"/>
      <c r="FT9" s="430"/>
      <c r="FU9" s="430"/>
      <c r="FV9" s="430"/>
      <c r="FW9" s="430"/>
      <c r="FX9" s="430"/>
      <c r="FY9" s="430"/>
      <c r="FZ9" s="430"/>
      <c r="GA9" s="431"/>
      <c r="GB9" s="429"/>
      <c r="GC9" s="430"/>
      <c r="GD9" s="430"/>
      <c r="GE9" s="430"/>
      <c r="GF9" s="430"/>
      <c r="GG9" s="430"/>
      <c r="GH9" s="430"/>
      <c r="GI9" s="430"/>
      <c r="GJ9" s="430"/>
      <c r="GK9" s="430"/>
      <c r="GL9" s="430"/>
      <c r="GM9" s="430"/>
      <c r="GN9" s="430"/>
      <c r="GO9" s="431"/>
      <c r="GP9" s="429"/>
      <c r="GQ9" s="430"/>
      <c r="GR9" s="430"/>
      <c r="GS9" s="430"/>
      <c r="GT9" s="430"/>
      <c r="GU9" s="430"/>
      <c r="GV9" s="430"/>
      <c r="GW9" s="430"/>
      <c r="GX9" s="430"/>
      <c r="GY9" s="430"/>
      <c r="GZ9" s="430"/>
      <c r="HA9" s="430"/>
      <c r="HB9" s="430"/>
      <c r="HC9" s="431"/>
      <c r="HD9" s="429"/>
      <c r="HE9" s="430"/>
      <c r="HF9" s="430"/>
      <c r="HG9" s="430"/>
      <c r="HH9" s="430"/>
      <c r="HI9" s="430"/>
      <c r="HJ9" s="430"/>
      <c r="HK9" s="430"/>
      <c r="HL9" s="430"/>
      <c r="HM9" s="430"/>
      <c r="HN9" s="430"/>
      <c r="HO9" s="430"/>
      <c r="HP9" s="430"/>
      <c r="HQ9" s="431"/>
      <c r="HR9" s="429"/>
      <c r="HS9" s="430"/>
      <c r="HT9" s="430"/>
      <c r="HU9" s="430"/>
      <c r="HV9" s="430"/>
      <c r="HW9" s="430"/>
      <c r="HX9" s="430"/>
      <c r="HY9" s="430"/>
      <c r="HZ9" s="430"/>
      <c r="IA9" s="430"/>
      <c r="IB9" s="430"/>
      <c r="IC9" s="430"/>
      <c r="ID9" s="430"/>
      <c r="IE9" s="431"/>
      <c r="IF9" s="429"/>
      <c r="IG9" s="430"/>
      <c r="IH9" s="430"/>
      <c r="II9" s="430"/>
      <c r="IJ9" s="430"/>
      <c r="IK9" s="430"/>
      <c r="IL9" s="430"/>
      <c r="IM9" s="430"/>
      <c r="IN9" s="430"/>
      <c r="IO9" s="430"/>
      <c r="IP9" s="430"/>
      <c r="IQ9" s="430"/>
      <c r="IR9" s="430"/>
    </row>
    <row r="10" spans="1:252" ht="22" customHeight="1" thickBot="1">
      <c r="A10" s="1" t="s">
        <v>122</v>
      </c>
      <c r="B10" s="429" t="s">
        <v>122</v>
      </c>
      <c r="C10" s="430">
        <v>1.1209499999999999</v>
      </c>
      <c r="D10" s="430">
        <v>1.1228499999999999</v>
      </c>
      <c r="E10" s="430">
        <v>1.11215</v>
      </c>
      <c r="F10" s="430">
        <v>1.0548999999999999</v>
      </c>
      <c r="G10" s="430">
        <v>1.07115</v>
      </c>
      <c r="H10" s="430">
        <v>1.0454000000000001</v>
      </c>
      <c r="I10" s="430">
        <v>1.0192000000000001</v>
      </c>
      <c r="J10" s="430">
        <v>1.0056</v>
      </c>
      <c r="K10" s="430">
        <v>0.9798</v>
      </c>
      <c r="L10" s="430">
        <v>0.98885000000000001</v>
      </c>
      <c r="M10" s="546"/>
      <c r="N10" s="546"/>
      <c r="P10" s="429" t="s">
        <v>122</v>
      </c>
      <c r="Q10" s="430">
        <v>1.2145999999999999</v>
      </c>
      <c r="R10" s="430">
        <v>1.2136499999999999</v>
      </c>
      <c r="S10" s="430">
        <v>1.1754500000000001</v>
      </c>
      <c r="T10" s="430">
        <v>1.2040500000000001</v>
      </c>
      <c r="U10" s="430">
        <v>1.22245</v>
      </c>
      <c r="V10" s="430">
        <v>1.1856</v>
      </c>
      <c r="W10" s="430">
        <v>1.1856500000000001</v>
      </c>
      <c r="X10" s="430">
        <v>1.18045</v>
      </c>
      <c r="Y10" s="430">
        <v>1.1588499999999999</v>
      </c>
      <c r="Z10" s="430">
        <v>1.1572499999999999</v>
      </c>
      <c r="AA10" s="430">
        <v>1.1262000000000001</v>
      </c>
      <c r="AB10" s="430">
        <v>1.1372500000000001</v>
      </c>
      <c r="AD10" s="429" t="s">
        <v>122</v>
      </c>
      <c r="AE10" s="430">
        <v>1.1077999999999999</v>
      </c>
      <c r="AF10" s="430">
        <v>1.0983499999999999</v>
      </c>
      <c r="AG10" s="430">
        <v>1.0972</v>
      </c>
      <c r="AH10" s="430">
        <v>1.0948</v>
      </c>
      <c r="AI10" s="430">
        <v>1.1126</v>
      </c>
      <c r="AJ10" s="430">
        <v>1.1228499999999999</v>
      </c>
      <c r="AK10" s="430">
        <v>1.18285</v>
      </c>
      <c r="AL10" s="430">
        <v>1.1960500000000001</v>
      </c>
      <c r="AM10" s="430">
        <v>1.17275</v>
      </c>
      <c r="AN10" s="430">
        <v>1.1678500000000001</v>
      </c>
      <c r="AO10" s="430">
        <v>1.19635</v>
      </c>
      <c r="AP10" s="430">
        <v>1.2234</v>
      </c>
      <c r="AR10" s="432" t="s">
        <v>122</v>
      </c>
      <c r="AS10" s="430">
        <v>1.1476</v>
      </c>
      <c r="AT10" s="430">
        <v>1.13855</v>
      </c>
      <c r="AU10" s="430">
        <v>1.1226499999999999</v>
      </c>
      <c r="AV10" s="430">
        <v>1.1208499999999999</v>
      </c>
      <c r="AW10" s="430">
        <v>1.1146</v>
      </c>
      <c r="AX10" s="430">
        <v>1.1386499999999999</v>
      </c>
      <c r="AY10" s="430">
        <v>1.1134999999999999</v>
      </c>
      <c r="AZ10" s="430">
        <v>1.10155</v>
      </c>
      <c r="BA10" s="430">
        <v>1.0902499999999999</v>
      </c>
      <c r="BB10" s="430">
        <v>1.11405</v>
      </c>
      <c r="BC10" s="430">
        <v>1.1025499999999999</v>
      </c>
      <c r="BD10" s="430">
        <v>1.1225000000000001</v>
      </c>
      <c r="BF10" s="429" t="s">
        <v>122</v>
      </c>
      <c r="BG10" s="430">
        <v>1.2459</v>
      </c>
      <c r="BH10" s="430">
        <v>1.2198500000000001</v>
      </c>
      <c r="BI10" s="430">
        <v>1.2350000000000001</v>
      </c>
      <c r="BJ10" s="430">
        <v>1.2080500000000001</v>
      </c>
      <c r="BK10" s="430">
        <v>1.1673500000000001</v>
      </c>
      <c r="BL10" s="430">
        <v>1.1674500000000001</v>
      </c>
      <c r="BM10" s="430">
        <v>1.17015</v>
      </c>
      <c r="BN10" s="430">
        <v>1.1636500000000001</v>
      </c>
      <c r="BO10" s="430">
        <v>1.1613</v>
      </c>
      <c r="BP10" s="430">
        <v>1.1318999999999999</v>
      </c>
      <c r="BQ10" s="430">
        <v>1.13235</v>
      </c>
      <c r="BR10" s="430">
        <v>1.1434</v>
      </c>
      <c r="BT10" s="429" t="s">
        <v>122</v>
      </c>
      <c r="BU10" s="430">
        <v>1.0804499999999999</v>
      </c>
      <c r="BV10" s="430">
        <v>1.0624</v>
      </c>
      <c r="BW10" s="430">
        <v>1.06925</v>
      </c>
      <c r="BX10" s="430">
        <v>1.0889500000000001</v>
      </c>
      <c r="BY10" s="430">
        <v>1.12425</v>
      </c>
      <c r="BZ10" s="430">
        <v>1.1403000000000001</v>
      </c>
      <c r="CA10" s="430">
        <v>1.1787000000000001</v>
      </c>
      <c r="CB10" s="430">
        <v>1.18855</v>
      </c>
      <c r="CC10" s="430">
        <v>1.18215</v>
      </c>
      <c r="CD10" s="430">
        <v>1.1638999999999999</v>
      </c>
      <c r="CE10" s="430">
        <v>1.1920500000000001</v>
      </c>
      <c r="CF10" s="430">
        <v>1.20055</v>
      </c>
      <c r="CH10" s="429" t="s">
        <v>122</v>
      </c>
      <c r="CI10" s="430">
        <v>1.0825</v>
      </c>
      <c r="CJ10" s="430">
        <v>1.0867</v>
      </c>
      <c r="CK10" s="430">
        <v>1.1395</v>
      </c>
      <c r="CL10" s="430">
        <v>1.1451</v>
      </c>
      <c r="CM10" s="430">
        <v>1.1136999999999999</v>
      </c>
      <c r="CN10" s="430">
        <v>1.1114999999999999</v>
      </c>
      <c r="CO10" s="430">
        <v>1.1176999999999999</v>
      </c>
      <c r="CP10" s="430">
        <v>1.1134999999999999</v>
      </c>
      <c r="CQ10" s="430">
        <v>1.1234</v>
      </c>
      <c r="CR10" s="430">
        <v>1.0943000000000001</v>
      </c>
      <c r="CS10" s="430">
        <v>1.0608</v>
      </c>
      <c r="CT10" s="430">
        <v>1.0549999999999999</v>
      </c>
      <c r="CV10" s="429" t="s">
        <v>122</v>
      </c>
      <c r="CW10" s="430">
        <v>1.1284000000000001</v>
      </c>
      <c r="CX10" s="430">
        <v>1.1215999999999999</v>
      </c>
      <c r="CY10" s="430">
        <v>1.0742</v>
      </c>
      <c r="CZ10" s="430">
        <v>1.1201000000000001</v>
      </c>
      <c r="DA10" s="430">
        <v>1.0962000000000001</v>
      </c>
      <c r="DB10" s="430">
        <v>1.1141000000000001</v>
      </c>
      <c r="DC10" s="430">
        <v>1.1047</v>
      </c>
      <c r="DD10" s="430">
        <v>1.1207</v>
      </c>
      <c r="DE10" s="430">
        <v>1.1165</v>
      </c>
      <c r="DF10" s="430">
        <v>1.1052</v>
      </c>
      <c r="DG10" s="430">
        <v>1.0564</v>
      </c>
      <c r="DH10" s="430">
        <v>1.087</v>
      </c>
      <c r="DI10" s="431"/>
      <c r="DJ10" s="429" t="s">
        <v>122</v>
      </c>
      <c r="DK10" s="430">
        <v>1.3484</v>
      </c>
      <c r="DL10" s="430">
        <v>1.3811</v>
      </c>
      <c r="DM10" s="430">
        <v>1.3783000000000001</v>
      </c>
      <c r="DN10" s="430">
        <v>1.3864000000000001</v>
      </c>
      <c r="DO10" s="430">
        <v>1.3646</v>
      </c>
      <c r="DP10" s="430">
        <v>1.3691</v>
      </c>
      <c r="DQ10" s="430">
        <v>1.3381000000000001</v>
      </c>
      <c r="DR10" s="430">
        <v>1.3171999999999999</v>
      </c>
      <c r="DS10" s="430">
        <v>1.2633000000000001</v>
      </c>
      <c r="DT10" s="430">
        <v>1.2506999999999999</v>
      </c>
      <c r="DU10" s="430">
        <v>1.2465999999999999</v>
      </c>
      <c r="DV10" s="430">
        <v>1.2101</v>
      </c>
      <c r="DW10" s="431"/>
      <c r="DX10" s="429" t="s">
        <v>122</v>
      </c>
      <c r="DY10" s="430">
        <v>1.3573999999999999</v>
      </c>
      <c r="DZ10" s="430">
        <v>1.3072999999999999</v>
      </c>
      <c r="EA10" s="430">
        <v>1.2769999999999999</v>
      </c>
      <c r="EB10" s="430">
        <v>1.3185</v>
      </c>
      <c r="EC10" s="430">
        <v>1.296</v>
      </c>
      <c r="ED10" s="430">
        <v>1.3</v>
      </c>
      <c r="EE10" s="430">
        <v>1.3279000000000001</v>
      </c>
      <c r="EF10" s="430">
        <v>1.3185</v>
      </c>
      <c r="EG10" s="430">
        <v>1.3534999999999999</v>
      </c>
      <c r="EH10" s="430">
        <v>1.3617999999999999</v>
      </c>
      <c r="EI10" s="430">
        <v>1.3614999999999999</v>
      </c>
      <c r="EJ10" s="430">
        <v>1.3779999999999999</v>
      </c>
      <c r="EK10" s="431"/>
      <c r="EL10" s="429" t="s">
        <v>122</v>
      </c>
      <c r="EM10" s="430">
        <v>1.3141</v>
      </c>
      <c r="EN10" s="430">
        <v>1.3454999999999999</v>
      </c>
      <c r="EO10" s="430">
        <v>1.3344</v>
      </c>
      <c r="EP10" s="430">
        <v>1.3229</v>
      </c>
      <c r="EQ10" s="430">
        <v>1.2383999999999999</v>
      </c>
      <c r="ER10" s="430">
        <v>1.2669999999999999</v>
      </c>
      <c r="ES10" s="430">
        <v>1.2293000000000001</v>
      </c>
      <c r="ET10" s="430">
        <v>1.2599</v>
      </c>
      <c r="EU10" s="430">
        <v>1.2895000000000001</v>
      </c>
      <c r="EV10" s="430">
        <v>1.2989999999999999</v>
      </c>
      <c r="EW10" s="430">
        <v>1.2996000000000001</v>
      </c>
      <c r="EX10" s="430">
        <v>1.3218000000000001</v>
      </c>
      <c r="EY10" s="431"/>
      <c r="EZ10" s="429" t="s">
        <v>122</v>
      </c>
      <c r="FA10" s="430">
        <v>1.3716999999999999</v>
      </c>
      <c r="FB10" s="430">
        <v>1.3813</v>
      </c>
      <c r="FC10" s="430">
        <v>1.4181999999999999</v>
      </c>
      <c r="FD10" s="430">
        <v>1.4838</v>
      </c>
      <c r="FE10" s="430">
        <v>1.4408000000000001</v>
      </c>
      <c r="FF10" s="430">
        <v>1.4468000000000001</v>
      </c>
      <c r="FG10" s="430">
        <v>1.4387000000000001</v>
      </c>
      <c r="FH10" s="430">
        <v>1.4440999999999999</v>
      </c>
      <c r="FI10" s="430">
        <v>1.3431999999999999</v>
      </c>
      <c r="FJ10" s="430">
        <v>1.3991</v>
      </c>
      <c r="FK10" s="430">
        <v>1.3480000000000001</v>
      </c>
      <c r="FL10" s="430">
        <v>1.298</v>
      </c>
      <c r="FM10" s="431"/>
      <c r="FN10" s="429" t="s">
        <v>122</v>
      </c>
      <c r="FO10" s="430">
        <v>1.39</v>
      </c>
      <c r="FP10" s="430">
        <v>1.3646</v>
      </c>
      <c r="FQ10" s="430">
        <v>1.3524</v>
      </c>
      <c r="FR10" s="430">
        <v>1.3294999999999999</v>
      </c>
      <c r="FS10" s="430">
        <v>1.2264999999999999</v>
      </c>
      <c r="FT10" s="430">
        <v>1.2244999999999999</v>
      </c>
      <c r="FU10" s="430">
        <v>1.3032999999999999</v>
      </c>
      <c r="FV10" s="430">
        <v>1.2712000000000001</v>
      </c>
      <c r="FW10" s="430">
        <v>1.3646</v>
      </c>
      <c r="FX10" s="430">
        <v>1.39</v>
      </c>
      <c r="FY10" s="430">
        <v>1.3017000000000001</v>
      </c>
      <c r="FZ10" s="430">
        <v>1.3411999999999999</v>
      </c>
      <c r="GA10" s="431"/>
      <c r="GB10" s="429" t="s">
        <v>122</v>
      </c>
      <c r="GC10" s="430">
        <v>1.2815000000000001</v>
      </c>
      <c r="GD10" s="430">
        <v>1.2704</v>
      </c>
      <c r="GE10" s="430">
        <v>1.3261000000000001</v>
      </c>
      <c r="GF10" s="430">
        <v>1.3260000000000001</v>
      </c>
      <c r="GG10" s="430">
        <v>1.4131</v>
      </c>
      <c r="GH10" s="430">
        <v>1.4028</v>
      </c>
      <c r="GI10" s="430">
        <v>1.4175</v>
      </c>
      <c r="GJ10" s="430">
        <v>1.4349000000000001</v>
      </c>
      <c r="GK10" s="430">
        <v>1.4619</v>
      </c>
      <c r="GL10" s="430">
        <v>1.4751000000000001</v>
      </c>
      <c r="GM10" s="430">
        <v>1.4993000000000001</v>
      </c>
      <c r="GN10" s="430">
        <v>1.4347000000000001</v>
      </c>
      <c r="GO10" s="431"/>
      <c r="GP10" s="429" t="s">
        <v>122</v>
      </c>
      <c r="GQ10" s="430">
        <v>1.4815</v>
      </c>
      <c r="GR10" s="430">
        <v>1.5178</v>
      </c>
      <c r="GS10" s="430">
        <v>1.58</v>
      </c>
      <c r="GT10" s="430">
        <v>1.5568</v>
      </c>
      <c r="GU10" s="430">
        <v>1.5537000000000001</v>
      </c>
      <c r="GV10" s="430">
        <v>1.5762</v>
      </c>
      <c r="GW10" s="430">
        <v>1.5598000000000001</v>
      </c>
      <c r="GX10" s="430">
        <v>1.4705999999999999</v>
      </c>
      <c r="GY10" s="430">
        <v>1.4048</v>
      </c>
      <c r="GZ10" s="430">
        <v>1.2714000000000001</v>
      </c>
      <c r="HA10" s="430">
        <v>1.2682</v>
      </c>
      <c r="HB10" s="430">
        <v>1.4139999999999999</v>
      </c>
      <c r="HC10" s="431"/>
      <c r="HD10" s="429" t="s">
        <v>122</v>
      </c>
      <c r="HE10" s="430">
        <v>1.2998000000000001</v>
      </c>
      <c r="HF10" s="430">
        <v>1.3207</v>
      </c>
      <c r="HG10" s="430">
        <v>1.3373999999999999</v>
      </c>
      <c r="HH10" s="430">
        <v>1.3648</v>
      </c>
      <c r="HI10" s="430">
        <v>1.3452</v>
      </c>
      <c r="HJ10" s="430">
        <v>1.351</v>
      </c>
      <c r="HK10" s="430">
        <v>1.3693</v>
      </c>
      <c r="HL10" s="430">
        <v>1.3632</v>
      </c>
      <c r="HM10" s="430">
        <v>1.423</v>
      </c>
      <c r="HN10" s="430">
        <v>1.4463999999999999</v>
      </c>
      <c r="HO10" s="430">
        <v>1.4681</v>
      </c>
      <c r="HP10" s="430">
        <v>1.4611000000000001</v>
      </c>
      <c r="HQ10" s="431"/>
      <c r="HR10" s="429" t="s">
        <v>122</v>
      </c>
      <c r="HS10" s="430">
        <v>1.2138</v>
      </c>
      <c r="HT10" s="430">
        <v>1.1913</v>
      </c>
      <c r="HU10" s="430">
        <v>1.2115</v>
      </c>
      <c r="HV10" s="430">
        <v>1.2595000000000001</v>
      </c>
      <c r="HW10" s="430">
        <v>1.2836000000000001</v>
      </c>
      <c r="HX10" s="430">
        <v>1.2773000000000001</v>
      </c>
      <c r="HY10" s="430">
        <v>1.276</v>
      </c>
      <c r="HZ10" s="430">
        <v>1.2801</v>
      </c>
      <c r="IA10" s="430">
        <v>1.2664</v>
      </c>
      <c r="IB10" s="430">
        <v>1.2766999999999999</v>
      </c>
      <c r="IC10" s="430">
        <v>1.3251999999999999</v>
      </c>
      <c r="ID10" s="430">
        <v>1.3165</v>
      </c>
      <c r="IE10" s="431"/>
      <c r="IF10" s="429" t="s">
        <v>122</v>
      </c>
      <c r="IG10" s="430">
        <v>1.3028999999999999</v>
      </c>
      <c r="IH10" s="430">
        <v>1.3267</v>
      </c>
      <c r="II10" s="430">
        <v>1.2967</v>
      </c>
      <c r="IJ10" s="430">
        <v>1.2924</v>
      </c>
      <c r="IK10" s="430">
        <v>1.2350000000000001</v>
      </c>
      <c r="IL10" s="430">
        <v>1.2085999999999999</v>
      </c>
      <c r="IM10" s="430">
        <v>1.2134</v>
      </c>
      <c r="IN10" s="430">
        <v>1.2287999999999999</v>
      </c>
      <c r="IO10" s="430">
        <v>1.2075</v>
      </c>
      <c r="IP10" s="430">
        <v>1.1976</v>
      </c>
      <c r="IQ10" s="430">
        <v>1.1786000000000001</v>
      </c>
      <c r="IR10" s="430">
        <v>1.1791</v>
      </c>
    </row>
    <row r="11" spans="1:252" ht="22" customHeight="1" thickBot="1">
      <c r="A11" s="1" t="s">
        <v>123</v>
      </c>
      <c r="B11" s="429" t="s">
        <v>123</v>
      </c>
      <c r="C11" s="430">
        <v>1.34175</v>
      </c>
      <c r="D11" s="430">
        <v>1.34165</v>
      </c>
      <c r="E11" s="430">
        <v>1.3162499999999999</v>
      </c>
      <c r="F11" s="430">
        <v>1.2557499999999999</v>
      </c>
      <c r="G11" s="430">
        <v>1.2598</v>
      </c>
      <c r="H11" s="430">
        <v>1.21475</v>
      </c>
      <c r="I11" s="430">
        <v>1.2162500000000001</v>
      </c>
      <c r="J11" s="430">
        <v>1.1639999999999999</v>
      </c>
      <c r="K11" s="430">
        <v>1.1164499999999999</v>
      </c>
      <c r="L11" s="430">
        <v>1.1499999999999999</v>
      </c>
      <c r="M11" s="546"/>
      <c r="N11" s="546"/>
      <c r="P11" s="429" t="s">
        <v>123</v>
      </c>
      <c r="Q11" s="430">
        <v>1.3728499999999999</v>
      </c>
      <c r="R11" s="430">
        <v>1.3982000000000001</v>
      </c>
      <c r="S11" s="430">
        <v>1.38</v>
      </c>
      <c r="T11" s="430">
        <v>1.3849499999999999</v>
      </c>
      <c r="U11" s="430">
        <v>1.4209499999999999</v>
      </c>
      <c r="V11" s="430">
        <v>1.3815500000000001</v>
      </c>
      <c r="W11" s="430">
        <v>1.39045</v>
      </c>
      <c r="X11" s="430">
        <v>1.3764000000000001</v>
      </c>
      <c r="Y11" s="430">
        <v>1.3482000000000001</v>
      </c>
      <c r="Z11" s="430">
        <v>1.3708</v>
      </c>
      <c r="AA11" s="430">
        <v>1.3238000000000001</v>
      </c>
      <c r="AB11" s="430">
        <v>1.3546499999999999</v>
      </c>
      <c r="AD11" s="429" t="s">
        <v>123</v>
      </c>
      <c r="AE11" s="430">
        <v>1.3179000000000001</v>
      </c>
      <c r="AF11" s="430">
        <v>1.2774000000000001</v>
      </c>
      <c r="AG11" s="430">
        <v>1.2403999999999999</v>
      </c>
      <c r="AH11" s="430">
        <v>1.26075</v>
      </c>
      <c r="AI11" s="430">
        <v>1.2372000000000001</v>
      </c>
      <c r="AJ11" s="430">
        <v>1.2358499999999999</v>
      </c>
      <c r="AK11" s="430">
        <v>1.3126</v>
      </c>
      <c r="AL11" s="430">
        <v>1.3388500000000001</v>
      </c>
      <c r="AM11" s="430">
        <v>1.29295</v>
      </c>
      <c r="AN11" s="430">
        <v>1.29355</v>
      </c>
      <c r="AO11" s="430">
        <v>1.3347500000000001</v>
      </c>
      <c r="AP11" s="430">
        <v>1.3664000000000001</v>
      </c>
      <c r="AR11" s="432" t="s">
        <v>123</v>
      </c>
      <c r="AS11" s="430">
        <v>1.31545</v>
      </c>
      <c r="AT11" s="430">
        <v>1.3292999999999999</v>
      </c>
      <c r="AU11" s="430">
        <v>1.3</v>
      </c>
      <c r="AV11" s="430">
        <v>1.304</v>
      </c>
      <c r="AW11" s="430">
        <v>1.26065</v>
      </c>
      <c r="AX11" s="430">
        <v>1.27275</v>
      </c>
      <c r="AY11" s="430">
        <v>1.2241500000000001</v>
      </c>
      <c r="AZ11" s="430">
        <v>1.2181999999999999</v>
      </c>
      <c r="BA11" s="430">
        <v>1.23255</v>
      </c>
      <c r="BB11" s="430">
        <v>1.2932999999999999</v>
      </c>
      <c r="BC11" s="430">
        <v>1.29325</v>
      </c>
      <c r="BD11" s="430">
        <v>1.3244</v>
      </c>
      <c r="BF11" s="429" t="s">
        <v>123</v>
      </c>
      <c r="BG11" s="430">
        <v>1.4212</v>
      </c>
      <c r="BH11" s="430">
        <v>1.37805</v>
      </c>
      <c r="BI11" s="430">
        <v>1.4100999999999999</v>
      </c>
      <c r="BJ11" s="430">
        <v>1.3773</v>
      </c>
      <c r="BK11" s="430">
        <v>1.3311999999999999</v>
      </c>
      <c r="BL11" s="430">
        <v>1.3202499999999999</v>
      </c>
      <c r="BM11" s="430">
        <v>1.31155</v>
      </c>
      <c r="BN11" s="430">
        <v>1.2998000000000001</v>
      </c>
      <c r="BO11" s="430">
        <v>1.3038000000000001</v>
      </c>
      <c r="BP11" s="430">
        <v>1.27685</v>
      </c>
      <c r="BQ11" s="430">
        <v>1.27545</v>
      </c>
      <c r="BR11" s="430">
        <v>1.2746</v>
      </c>
      <c r="BT11" s="429" t="s">
        <v>123</v>
      </c>
      <c r="BU11" s="430">
        <v>1.2580499999999999</v>
      </c>
      <c r="BV11" s="430">
        <v>1.244</v>
      </c>
      <c r="BW11" s="430">
        <v>1.2498</v>
      </c>
      <c r="BX11" s="430">
        <v>1.2934000000000001</v>
      </c>
      <c r="BY11" s="430">
        <v>1.2904</v>
      </c>
      <c r="BZ11" s="430">
        <v>1.2982</v>
      </c>
      <c r="CA11" s="430">
        <v>1.31765</v>
      </c>
      <c r="CB11" s="430">
        <v>1.2884</v>
      </c>
      <c r="CC11" s="430">
        <v>1.3412999999999999</v>
      </c>
      <c r="CD11" s="430">
        <v>1.3244</v>
      </c>
      <c r="CE11" s="430">
        <v>1.35365</v>
      </c>
      <c r="CF11" s="430">
        <v>1.3530500000000001</v>
      </c>
      <c r="CH11" s="429" t="s">
        <v>123</v>
      </c>
      <c r="CI11" s="430">
        <v>1.4194</v>
      </c>
      <c r="CJ11" s="430">
        <v>1.3935999999999999</v>
      </c>
      <c r="CK11" s="430">
        <v>1.4375</v>
      </c>
      <c r="CL11" s="430">
        <v>1.4642999999999999</v>
      </c>
      <c r="CM11" s="430">
        <v>1.4554</v>
      </c>
      <c r="CN11" s="430">
        <v>1.3421000000000001</v>
      </c>
      <c r="CO11" s="430">
        <v>1.3269</v>
      </c>
      <c r="CP11" s="430">
        <v>1.31</v>
      </c>
      <c r="CQ11" s="430">
        <v>1.2983</v>
      </c>
      <c r="CR11" s="430">
        <v>1.2155</v>
      </c>
      <c r="CS11" s="430">
        <v>1.2483</v>
      </c>
      <c r="CT11" s="430">
        <v>1.2358</v>
      </c>
      <c r="CV11" s="429" t="s">
        <v>123</v>
      </c>
      <c r="CW11" s="430">
        <v>1.5018</v>
      </c>
      <c r="CX11" s="430">
        <v>1.5450999999999999</v>
      </c>
      <c r="CY11" s="430">
        <v>1.4846999999999999</v>
      </c>
      <c r="CZ11" s="430">
        <v>1.5367</v>
      </c>
      <c r="DA11" s="430">
        <v>1.5261</v>
      </c>
      <c r="DB11" s="430">
        <v>1.5729</v>
      </c>
      <c r="DC11" s="430">
        <v>1.5607</v>
      </c>
      <c r="DD11" s="430">
        <v>1.5378000000000001</v>
      </c>
      <c r="DE11" s="430">
        <v>1.5147999999999999</v>
      </c>
      <c r="DF11" s="430">
        <v>1.5390999999999999</v>
      </c>
      <c r="DG11" s="430">
        <v>1.5049999999999999</v>
      </c>
      <c r="DH11" s="430">
        <v>1.4746999999999999</v>
      </c>
      <c r="DI11" s="431"/>
      <c r="DJ11" s="429" t="s">
        <v>123</v>
      </c>
      <c r="DK11" s="430">
        <v>1.6434</v>
      </c>
      <c r="DL11" s="430">
        <v>1.6758</v>
      </c>
      <c r="DM11" s="430">
        <v>1.6673</v>
      </c>
      <c r="DN11" s="430">
        <v>1.6884999999999999</v>
      </c>
      <c r="DO11" s="430">
        <v>1.6774</v>
      </c>
      <c r="DP11" s="430">
        <v>1.7097</v>
      </c>
      <c r="DQ11" s="430">
        <v>1.6881999999999999</v>
      </c>
      <c r="DR11" s="430">
        <v>1.6607000000000001</v>
      </c>
      <c r="DS11" s="430">
        <v>1.6212</v>
      </c>
      <c r="DT11" s="430">
        <v>1.5974999999999999</v>
      </c>
      <c r="DU11" s="430">
        <v>1.5663</v>
      </c>
      <c r="DV11" s="430">
        <v>1.5591999999999999</v>
      </c>
      <c r="DW11" s="431"/>
      <c r="DX11" s="429" t="s">
        <v>123</v>
      </c>
      <c r="DY11" s="430">
        <v>1.5854999999999999</v>
      </c>
      <c r="DZ11" s="430">
        <v>1.5179</v>
      </c>
      <c r="EA11" s="430">
        <v>1.5108999999999999</v>
      </c>
      <c r="EB11" s="430">
        <v>1.5564</v>
      </c>
      <c r="EC11" s="430">
        <v>1.516</v>
      </c>
      <c r="ED11" s="430">
        <v>1.5295000000000001</v>
      </c>
      <c r="EE11" s="430">
        <v>1.5163</v>
      </c>
      <c r="EF11" s="430">
        <v>1.5470999999999999</v>
      </c>
      <c r="EG11" s="430">
        <v>1.6194</v>
      </c>
      <c r="EH11" s="430">
        <v>1.6052999999999999</v>
      </c>
      <c r="EI11" s="430">
        <v>1.6382000000000001</v>
      </c>
      <c r="EJ11" s="430">
        <v>1.6560999999999999</v>
      </c>
      <c r="EK11" s="431"/>
      <c r="EL11" s="429" t="s">
        <v>123</v>
      </c>
      <c r="EM11" s="430">
        <v>1.5782</v>
      </c>
      <c r="EN11" s="430">
        <v>1.5973999999999999</v>
      </c>
      <c r="EO11" s="430">
        <v>1.5983000000000001</v>
      </c>
      <c r="EP11" s="430">
        <v>1.6248</v>
      </c>
      <c r="EQ11" s="430">
        <v>1.5447</v>
      </c>
      <c r="ER11" s="430">
        <v>1.5685</v>
      </c>
      <c r="ES11" s="430">
        <v>1.5639000000000001</v>
      </c>
      <c r="ET11" s="430">
        <v>1.5863</v>
      </c>
      <c r="EU11" s="430">
        <v>1.6145</v>
      </c>
      <c r="EV11" s="430">
        <v>1.6112</v>
      </c>
      <c r="EW11" s="430">
        <v>1.5998000000000001</v>
      </c>
      <c r="EX11" s="430">
        <v>1.6249</v>
      </c>
      <c r="EY11" s="431"/>
      <c r="EZ11" s="429" t="s">
        <v>123</v>
      </c>
      <c r="FA11" s="430">
        <v>1.6021000000000001</v>
      </c>
      <c r="FB11" s="430">
        <v>1.6267</v>
      </c>
      <c r="FC11" s="430">
        <v>1.6045</v>
      </c>
      <c r="FD11" s="430">
        <v>1.6631</v>
      </c>
      <c r="FE11" s="430">
        <v>1.6478999999999999</v>
      </c>
      <c r="FF11" s="430">
        <v>1.6004</v>
      </c>
      <c r="FG11" s="430">
        <v>1.6417999999999999</v>
      </c>
      <c r="FH11" s="430">
        <v>1.6316999999999999</v>
      </c>
      <c r="FI11" s="430">
        <v>1.5562</v>
      </c>
      <c r="FJ11" s="430">
        <v>1.6043000000000001</v>
      </c>
      <c r="FK11" s="430">
        <v>1.5741000000000001</v>
      </c>
      <c r="FL11" s="430">
        <v>1.5541</v>
      </c>
      <c r="FM11" s="431"/>
      <c r="FN11" s="429" t="s">
        <v>123</v>
      </c>
      <c r="FO11" s="430">
        <v>1.6025</v>
      </c>
      <c r="FP11" s="430">
        <v>1.5218</v>
      </c>
      <c r="FQ11" s="430">
        <v>1.518</v>
      </c>
      <c r="FR11" s="430">
        <v>1.5315000000000001</v>
      </c>
      <c r="FS11" s="430">
        <v>1.4530000000000001</v>
      </c>
      <c r="FT11" s="430">
        <v>1.4961</v>
      </c>
      <c r="FU11" s="430">
        <v>1.5667</v>
      </c>
      <c r="FV11" s="430">
        <v>1.5367999999999999</v>
      </c>
      <c r="FW11" s="430">
        <v>1.5751999999999999</v>
      </c>
      <c r="FX11" s="430">
        <v>1.5985</v>
      </c>
      <c r="FY11" s="430">
        <v>1.5570999999999999</v>
      </c>
      <c r="FZ11" s="430">
        <v>1.5656000000000001</v>
      </c>
      <c r="GA11" s="431"/>
      <c r="GB11" s="429" t="s">
        <v>123</v>
      </c>
      <c r="GC11" s="430">
        <v>1.4407000000000001</v>
      </c>
      <c r="GD11" s="430">
        <v>1.4244000000000001</v>
      </c>
      <c r="GE11" s="430">
        <v>1.4306000000000001</v>
      </c>
      <c r="GF11" s="430">
        <v>1.4826999999999999</v>
      </c>
      <c r="GG11" s="430">
        <v>1.6116999999999999</v>
      </c>
      <c r="GH11" s="430">
        <v>1.6466000000000001</v>
      </c>
      <c r="GI11" s="430">
        <v>1.6573</v>
      </c>
      <c r="GJ11" s="430">
        <v>1.6287</v>
      </c>
      <c r="GK11" s="430">
        <v>1.5998000000000001</v>
      </c>
      <c r="GL11" s="430">
        <v>1.6483000000000001</v>
      </c>
      <c r="GM11" s="430">
        <v>1.6411</v>
      </c>
      <c r="GN11" s="430">
        <v>1.6147</v>
      </c>
      <c r="GO11" s="431"/>
      <c r="GP11" s="429" t="s">
        <v>123</v>
      </c>
      <c r="GQ11" s="430">
        <v>1.9879</v>
      </c>
      <c r="GR11" s="430">
        <v>1.9883999999999999</v>
      </c>
      <c r="GS11" s="430">
        <v>1.9851000000000001</v>
      </c>
      <c r="GT11" s="430">
        <v>1.9799</v>
      </c>
      <c r="GU11" s="430">
        <v>1.976</v>
      </c>
      <c r="GV11" s="430">
        <v>1.9908999999999999</v>
      </c>
      <c r="GW11" s="430">
        <v>1.9806999999999999</v>
      </c>
      <c r="GX11" s="430">
        <v>1.8248</v>
      </c>
      <c r="GY11" s="430">
        <v>1.7818000000000001</v>
      </c>
      <c r="GZ11" s="430">
        <v>1.6183000000000001</v>
      </c>
      <c r="HA11" s="430">
        <v>1.5317000000000001</v>
      </c>
      <c r="HB11" s="430">
        <v>1.4426000000000001</v>
      </c>
      <c r="HC11" s="431"/>
      <c r="HD11" s="429" t="s">
        <v>123</v>
      </c>
      <c r="HE11" s="430">
        <v>1.9578</v>
      </c>
      <c r="HF11" s="430">
        <v>1.9593</v>
      </c>
      <c r="HG11" s="430">
        <v>1.9689000000000001</v>
      </c>
      <c r="HH11" s="430">
        <v>1.9998</v>
      </c>
      <c r="HI11" s="430">
        <v>1.9774</v>
      </c>
      <c r="HJ11" s="430">
        <v>2.0057</v>
      </c>
      <c r="HK11" s="430">
        <v>2.0320999999999998</v>
      </c>
      <c r="HL11" s="430">
        <v>2.0165000000000002</v>
      </c>
      <c r="HM11" s="430">
        <v>2.0375999999999999</v>
      </c>
      <c r="HN11" s="430">
        <v>2.077</v>
      </c>
      <c r="HO11" s="430">
        <v>2.0546000000000002</v>
      </c>
      <c r="HP11" s="430">
        <v>1.9884999999999999</v>
      </c>
      <c r="HQ11" s="431"/>
      <c r="HR11" s="429" t="s">
        <v>123</v>
      </c>
      <c r="HS11" s="430">
        <v>1.7773000000000001</v>
      </c>
      <c r="HT11" s="430">
        <v>1.7514000000000001</v>
      </c>
      <c r="HU11" s="430">
        <v>1.7373000000000001</v>
      </c>
      <c r="HV11" s="430">
        <v>1.8173999999999999</v>
      </c>
      <c r="HW11" s="430">
        <v>1.8714</v>
      </c>
      <c r="HX11" s="430">
        <v>1.8486</v>
      </c>
      <c r="HY11" s="430">
        <v>1.8664000000000001</v>
      </c>
      <c r="HZ11" s="430">
        <v>1.9025000000000001</v>
      </c>
      <c r="IA11" s="430">
        <v>1.8666</v>
      </c>
      <c r="IB11" s="430">
        <v>1.9081999999999999</v>
      </c>
      <c r="IC11" s="430">
        <v>1.9664999999999999</v>
      </c>
      <c r="ID11" s="430">
        <v>1.9581</v>
      </c>
      <c r="IE11" s="431"/>
      <c r="IF11" s="429" t="s">
        <v>123</v>
      </c>
      <c r="IG11" s="430">
        <v>1.8861000000000001</v>
      </c>
      <c r="IH11" s="430">
        <v>1.9255</v>
      </c>
      <c r="II11" s="430">
        <v>1.8886000000000001</v>
      </c>
      <c r="IJ11" s="430">
        <v>1.9109</v>
      </c>
      <c r="IK11" s="430">
        <v>1.8228</v>
      </c>
      <c r="IL11" s="430">
        <v>1.7921</v>
      </c>
      <c r="IM11" s="430">
        <v>1.7579</v>
      </c>
      <c r="IN11" s="430">
        <v>1.7965</v>
      </c>
      <c r="IO11" s="430">
        <v>1.7726</v>
      </c>
      <c r="IP11" s="430">
        <v>1.7695000000000001</v>
      </c>
      <c r="IQ11" s="430">
        <v>1.7323</v>
      </c>
      <c r="IR11" s="430">
        <v>1.7188000000000001</v>
      </c>
    </row>
    <row r="12" spans="1:252" ht="22" customHeight="1" thickBot="1">
      <c r="A12" s="1" t="s">
        <v>124</v>
      </c>
      <c r="B12" s="429" t="s">
        <v>124</v>
      </c>
      <c r="C12" s="430">
        <v>8.6800000000000002E-3</v>
      </c>
      <c r="D12" s="430">
        <v>8.6800000000000002E-3</v>
      </c>
      <c r="E12" s="430">
        <v>8.2400000000000008E-3</v>
      </c>
      <c r="F12" s="430">
        <v>7.7200000000000003E-3</v>
      </c>
      <c r="G12" s="430">
        <v>7.77E-3</v>
      </c>
      <c r="H12" s="430">
        <v>7.3600000000000002E-3</v>
      </c>
      <c r="I12" s="430">
        <v>7.4799999999999997E-3</v>
      </c>
      <c r="J12" s="430">
        <v>7.2199999999999999E-3</v>
      </c>
      <c r="K12" s="430">
        <v>6.9100000000000003E-3</v>
      </c>
      <c r="L12" s="430">
        <v>6.7200000000000003E-3</v>
      </c>
      <c r="M12" s="546"/>
      <c r="N12" s="546"/>
      <c r="P12" s="429" t="s">
        <v>124</v>
      </c>
      <c r="Q12" s="430">
        <v>9.5499999999999995E-3</v>
      </c>
      <c r="R12" s="430">
        <v>9.3799999999999994E-3</v>
      </c>
      <c r="S12" s="430">
        <v>9.0500000000000008E-3</v>
      </c>
      <c r="T12" s="430">
        <v>9.1500000000000001E-3</v>
      </c>
      <c r="U12" s="430">
        <v>9.1400000000000006E-3</v>
      </c>
      <c r="V12" s="430">
        <v>9.0100000000000006E-3</v>
      </c>
      <c r="W12" s="430">
        <v>9.11E-3</v>
      </c>
      <c r="X12" s="430">
        <v>9.11E-3</v>
      </c>
      <c r="Y12" s="430">
        <v>8.9599999999999992E-3</v>
      </c>
      <c r="Z12" s="430">
        <v>8.77E-3</v>
      </c>
      <c r="AA12" s="430">
        <v>8.8100000000000001E-3</v>
      </c>
      <c r="AB12" s="430">
        <v>8.6899999999999998E-3</v>
      </c>
      <c r="AD12" s="429" t="s">
        <v>124</v>
      </c>
      <c r="AE12" s="430">
        <v>9.2200000000000008E-3</v>
      </c>
      <c r="AF12" s="430">
        <v>9.2700000000000005E-3</v>
      </c>
      <c r="AG12" s="430">
        <v>7.4000000000000003E-3</v>
      </c>
      <c r="AH12" s="430">
        <v>9.3500000000000007E-3</v>
      </c>
      <c r="AI12" s="430">
        <v>9.2899999999999996E-3</v>
      </c>
      <c r="AJ12" s="430">
        <v>9.2700000000000005E-3</v>
      </c>
      <c r="AK12" s="430">
        <v>9.4599999999999997E-3</v>
      </c>
      <c r="AL12" s="430">
        <v>9.4299999999999991E-3</v>
      </c>
      <c r="AM12" s="430">
        <v>9.4800000000000006E-3</v>
      </c>
      <c r="AN12" s="430">
        <v>9.5499999999999995E-3</v>
      </c>
      <c r="AO12" s="430">
        <v>9.5899999999999996E-3</v>
      </c>
      <c r="AP12" s="430">
        <v>9.6900000000000007E-3</v>
      </c>
      <c r="AR12" s="432" t="s">
        <v>124</v>
      </c>
      <c r="AS12" s="430">
        <v>9.1900000000000003E-3</v>
      </c>
      <c r="AT12" s="430">
        <v>8.9800000000000001E-3</v>
      </c>
      <c r="AU12" s="430">
        <v>9.0200000000000002E-3</v>
      </c>
      <c r="AV12" s="430">
        <v>8.9800000000000001E-3</v>
      </c>
      <c r="AW12" s="430">
        <v>9.2099999999999994E-3</v>
      </c>
      <c r="AX12" s="430">
        <v>9.2899999999999996E-3</v>
      </c>
      <c r="AY12" s="430">
        <v>9.2099999999999994E-3</v>
      </c>
      <c r="AZ12" s="430">
        <v>9.4199999999999996E-3</v>
      </c>
      <c r="BA12" s="430">
        <v>9.2499999999999995E-3</v>
      </c>
      <c r="BB12" s="430">
        <v>9.2399999999999999E-3</v>
      </c>
      <c r="BC12" s="430">
        <v>9.1299999999999992E-3</v>
      </c>
      <c r="BD12" s="430">
        <v>9.1999999999999998E-3</v>
      </c>
      <c r="BF12" s="429" t="s">
        <v>124</v>
      </c>
      <c r="BG12" s="430">
        <v>9.1599999999999997E-3</v>
      </c>
      <c r="BH12" s="430">
        <v>9.3699999999999999E-3</v>
      </c>
      <c r="BI12" s="430">
        <v>9.4199999999999996E-3</v>
      </c>
      <c r="BJ12" s="430">
        <v>9.1400000000000006E-3</v>
      </c>
      <c r="BK12" s="430">
        <v>9.2099999999999994E-3</v>
      </c>
      <c r="BL12" s="430">
        <v>9.0299999999999998E-3</v>
      </c>
      <c r="BM12" s="430">
        <v>8.94E-3</v>
      </c>
      <c r="BN12" s="430">
        <v>9.0200000000000002E-3</v>
      </c>
      <c r="BO12" s="430">
        <v>8.8000000000000005E-3</v>
      </c>
      <c r="BP12" s="430">
        <v>8.8400000000000006E-3</v>
      </c>
      <c r="BQ12" s="430">
        <v>7.9000000000000008E-3</v>
      </c>
      <c r="BR12" s="430">
        <v>9.11E-3</v>
      </c>
      <c r="BT12" s="429" t="s">
        <v>124</v>
      </c>
      <c r="BU12" s="430">
        <v>8.8900000000000003E-3</v>
      </c>
      <c r="BV12" s="430">
        <v>8.94E-3</v>
      </c>
      <c r="BW12" s="430">
        <v>8.9700000000000005E-3</v>
      </c>
      <c r="BX12" s="430">
        <v>8.9700000000000005E-3</v>
      </c>
      <c r="BY12" s="430">
        <v>9.0399999999999994E-3</v>
      </c>
      <c r="BZ12" s="430">
        <v>8.8999999999999999E-3</v>
      </c>
      <c r="CA12" s="430">
        <v>9.0500000000000008E-3</v>
      </c>
      <c r="CB12" s="430">
        <v>9.0900000000000009E-3</v>
      </c>
      <c r="CC12" s="430">
        <v>8.8900000000000003E-3</v>
      </c>
      <c r="CD12" s="430">
        <v>8.8199999999999997E-3</v>
      </c>
      <c r="CE12" s="430">
        <v>8.94E-3</v>
      </c>
      <c r="CF12" s="430">
        <v>8.8800000000000007E-3</v>
      </c>
      <c r="CH12" s="429" t="s">
        <v>124</v>
      </c>
      <c r="CI12" s="430">
        <v>8.26E-3</v>
      </c>
      <c r="CJ12" s="430">
        <v>8.8599999999999998E-3</v>
      </c>
      <c r="CK12" s="430">
        <v>8.8999999999999999E-3</v>
      </c>
      <c r="CL12" s="430">
        <v>9.3399999999999993E-3</v>
      </c>
      <c r="CM12" s="430">
        <v>9.0200000000000002E-3</v>
      </c>
      <c r="CN12" s="430">
        <v>9.7400000000000004E-3</v>
      </c>
      <c r="CO12" s="430">
        <v>9.75E-3</v>
      </c>
      <c r="CP12" s="430">
        <v>9.6699999999999998E-3</v>
      </c>
      <c r="CQ12" s="430">
        <v>9.8700000000000003E-3</v>
      </c>
      <c r="CR12" s="430">
        <v>9.5200000000000007E-3</v>
      </c>
      <c r="CS12" s="430">
        <v>8.7799999999999996E-3</v>
      </c>
      <c r="CT12" s="430">
        <v>8.5800000000000008E-3</v>
      </c>
      <c r="CV12" s="429" t="s">
        <v>124</v>
      </c>
      <c r="CW12" s="430">
        <v>8.5100000000000002E-3</v>
      </c>
      <c r="CX12" s="430">
        <v>8.3700000000000007E-3</v>
      </c>
      <c r="CY12" s="430">
        <v>8.3400000000000002E-3</v>
      </c>
      <c r="CZ12" s="430">
        <v>8.3599999999999994E-3</v>
      </c>
      <c r="DA12" s="430">
        <v>8.0599999999999995E-3</v>
      </c>
      <c r="DB12" s="430">
        <v>8.1700000000000002E-3</v>
      </c>
      <c r="DC12" s="430">
        <v>8.0700000000000008E-3</v>
      </c>
      <c r="DD12" s="430">
        <v>8.2500000000000004E-3</v>
      </c>
      <c r="DE12" s="430">
        <v>8.3499999999999998E-3</v>
      </c>
      <c r="DF12" s="430">
        <v>8.3000000000000001E-3</v>
      </c>
      <c r="DG12" s="430">
        <v>8.1099999999999992E-3</v>
      </c>
      <c r="DH12" s="430">
        <v>8.3199999999999993E-3</v>
      </c>
      <c r="DI12" s="431"/>
      <c r="DJ12" s="429" t="s">
        <v>124</v>
      </c>
      <c r="DK12" s="430">
        <v>9.8099999999999993E-3</v>
      </c>
      <c r="DL12" s="430">
        <v>9.7999999999999997E-3</v>
      </c>
      <c r="DM12" s="430">
        <v>9.7099999999999999E-3</v>
      </c>
      <c r="DN12" s="430">
        <v>9.7900000000000001E-3</v>
      </c>
      <c r="DO12" s="430">
        <v>9.8300000000000002E-3</v>
      </c>
      <c r="DP12" s="430">
        <v>9.8700000000000003E-3</v>
      </c>
      <c r="DQ12" s="430">
        <v>9.7300000000000008E-3</v>
      </c>
      <c r="DR12" s="430">
        <v>9.6299999999999997E-3</v>
      </c>
      <c r="DS12" s="430">
        <v>9.1199999999999996E-3</v>
      </c>
      <c r="DT12" s="430">
        <v>8.9099999999999995E-3</v>
      </c>
      <c r="DU12" s="430">
        <v>8.43E-3</v>
      </c>
      <c r="DV12" s="430">
        <v>8.3400000000000002E-3</v>
      </c>
      <c r="DW12" s="431"/>
      <c r="DX12" s="429" t="s">
        <v>124</v>
      </c>
      <c r="DY12" s="430">
        <v>1.0959999999999999E-2</v>
      </c>
      <c r="DZ12" s="430">
        <v>1.0840000000000001E-2</v>
      </c>
      <c r="EA12" s="430">
        <v>1.061E-2</v>
      </c>
      <c r="EB12" s="430">
        <v>1.027E-2</v>
      </c>
      <c r="EC12" s="430">
        <v>9.9100000000000004E-3</v>
      </c>
      <c r="ED12" s="430">
        <v>1.0070000000000001E-2</v>
      </c>
      <c r="EE12" s="430">
        <v>1.017E-2</v>
      </c>
      <c r="EF12" s="430">
        <v>1.0189999999999999E-2</v>
      </c>
      <c r="EG12" s="430">
        <v>1.0189999999999999E-2</v>
      </c>
      <c r="EH12" s="430">
        <v>1.017E-2</v>
      </c>
      <c r="EI12" s="430">
        <v>9.7699999999999992E-3</v>
      </c>
      <c r="EJ12" s="430">
        <v>9.5200000000000007E-3</v>
      </c>
      <c r="EK12" s="431"/>
      <c r="EL12" s="429" t="s">
        <v>124</v>
      </c>
      <c r="EM12" s="430">
        <v>1.312E-2</v>
      </c>
      <c r="EN12" s="430">
        <v>1.243E-2</v>
      </c>
      <c r="EO12" s="430">
        <v>1.2160000000000001E-2</v>
      </c>
      <c r="EP12" s="430">
        <v>1.251E-2</v>
      </c>
      <c r="EQ12" s="430">
        <v>1.274E-2</v>
      </c>
      <c r="ER12" s="430">
        <v>1.257E-2</v>
      </c>
      <c r="ES12" s="430">
        <v>1.278E-2</v>
      </c>
      <c r="ET12" s="430">
        <v>1.2760000000000001E-2</v>
      </c>
      <c r="EU12" s="430">
        <v>1.286E-2</v>
      </c>
      <c r="EV12" s="430">
        <v>1.252E-2</v>
      </c>
      <c r="EW12" s="430">
        <v>1.2120000000000001E-2</v>
      </c>
      <c r="EX12" s="430">
        <v>1.158E-2</v>
      </c>
      <c r="EY12" s="431"/>
      <c r="EZ12" s="429" t="s">
        <v>124</v>
      </c>
      <c r="FA12" s="430">
        <v>1.2200000000000001E-2</v>
      </c>
      <c r="FB12" s="430">
        <v>1.221E-2</v>
      </c>
      <c r="FC12" s="430">
        <v>1.2070000000000001E-2</v>
      </c>
      <c r="FD12" s="430">
        <v>1.2279999999999999E-2</v>
      </c>
      <c r="FE12" s="430">
        <v>1.2279999999999999E-2</v>
      </c>
      <c r="FF12" s="430">
        <v>1.2409999999999999E-2</v>
      </c>
      <c r="FG12" s="430">
        <v>1.298E-2</v>
      </c>
      <c r="FH12" s="430">
        <v>1.304E-2</v>
      </c>
      <c r="FI12" s="430">
        <v>1.302E-2</v>
      </c>
      <c r="FJ12" s="430">
        <v>1.282E-2</v>
      </c>
      <c r="FK12" s="430">
        <v>1.29E-2</v>
      </c>
      <c r="FL12" s="430">
        <v>1.2959999999999999E-2</v>
      </c>
      <c r="FM12" s="431"/>
      <c r="FN12" s="429" t="s">
        <v>124</v>
      </c>
      <c r="FO12" s="430">
        <v>1.103E-2</v>
      </c>
      <c r="FP12" s="430">
        <v>1.125E-2</v>
      </c>
      <c r="FQ12" s="430">
        <v>1.0710000000000001E-2</v>
      </c>
      <c r="FR12" s="430">
        <v>1.064E-2</v>
      </c>
      <c r="FS12" s="430">
        <v>1.098E-2</v>
      </c>
      <c r="FT12" s="430">
        <v>1.1299999999999999E-2</v>
      </c>
      <c r="FU12" s="430">
        <v>1.154E-2</v>
      </c>
      <c r="FV12" s="430">
        <v>1.191E-2</v>
      </c>
      <c r="FW12" s="430">
        <v>1.1979999999999999E-2</v>
      </c>
      <c r="FX12" s="430">
        <v>1.2409999999999999E-2</v>
      </c>
      <c r="FY12" s="430">
        <v>1.1939999999999999E-2</v>
      </c>
      <c r="FZ12" s="430">
        <v>1.235E-2</v>
      </c>
      <c r="GA12" s="431"/>
      <c r="GB12" s="429" t="s">
        <v>124</v>
      </c>
      <c r="GC12" s="430">
        <v>1.1140000000000001E-2</v>
      </c>
      <c r="GD12" s="430">
        <v>1.023E-2</v>
      </c>
      <c r="GE12" s="430">
        <v>1.009E-2</v>
      </c>
      <c r="GF12" s="430">
        <v>1.0160000000000001E-2</v>
      </c>
      <c r="GG12" s="430">
        <v>1.0460000000000001E-2</v>
      </c>
      <c r="GH12" s="430">
        <v>1.0370000000000001E-2</v>
      </c>
      <c r="GI12" s="430">
        <v>1.0500000000000001E-2</v>
      </c>
      <c r="GJ12" s="430">
        <v>1.0789999999999999E-2</v>
      </c>
      <c r="GK12" s="430">
        <v>1.116E-2</v>
      </c>
      <c r="GL12" s="430">
        <v>1.1050000000000001E-2</v>
      </c>
      <c r="GM12" s="430">
        <v>1.1599999999999999E-2</v>
      </c>
      <c r="GN12" s="430">
        <v>1.0749999999999999E-2</v>
      </c>
      <c r="GO12" s="431"/>
      <c r="GP12" s="429" t="s">
        <v>124</v>
      </c>
      <c r="GQ12" s="430">
        <v>9.41E-3</v>
      </c>
      <c r="GR12" s="430">
        <v>9.6100000000000005E-3</v>
      </c>
      <c r="GS12" s="430">
        <v>1.001E-2</v>
      </c>
      <c r="GT12" s="430">
        <v>9.5700000000000004E-3</v>
      </c>
      <c r="GU12" s="430">
        <v>9.4699999999999993E-3</v>
      </c>
      <c r="GV12" s="430">
        <v>9.4400000000000005E-3</v>
      </c>
      <c r="GW12" s="430">
        <v>9.2499999999999995E-3</v>
      </c>
      <c r="GX12" s="430">
        <v>9.2099999999999994E-3</v>
      </c>
      <c r="GY12" s="430">
        <v>9.4199999999999996E-3</v>
      </c>
      <c r="GZ12" s="430">
        <v>1.017E-2</v>
      </c>
      <c r="HA12" s="430">
        <v>1.0500000000000001E-2</v>
      </c>
      <c r="HB12" s="430">
        <v>1.1089999999999999E-2</v>
      </c>
      <c r="HC12" s="431"/>
      <c r="HD12" s="429" t="s">
        <v>124</v>
      </c>
      <c r="HE12" s="430">
        <v>8.2699999999999996E-3</v>
      </c>
      <c r="HF12" s="430">
        <v>8.4399999999999996E-3</v>
      </c>
      <c r="HG12" s="430">
        <v>8.5100000000000002E-3</v>
      </c>
      <c r="HH12" s="430">
        <v>8.3700000000000007E-3</v>
      </c>
      <c r="HI12" s="430">
        <v>8.2100000000000003E-3</v>
      </c>
      <c r="HJ12" s="430">
        <v>8.0999999999999996E-3</v>
      </c>
      <c r="HK12" s="430">
        <v>8.3999999999999995E-3</v>
      </c>
      <c r="HL12" s="430">
        <v>8.6300000000000005E-3</v>
      </c>
      <c r="HM12" s="430">
        <v>8.6999999999999994E-3</v>
      </c>
      <c r="HN12" s="430">
        <v>8.6700000000000006E-3</v>
      </c>
      <c r="HO12" s="430">
        <v>8.9999999999999993E-3</v>
      </c>
      <c r="HP12" s="430">
        <v>8.9499999999999996E-3</v>
      </c>
      <c r="HQ12" s="431"/>
      <c r="HR12" s="429" t="s">
        <v>124</v>
      </c>
      <c r="HS12" s="430">
        <v>8.5400000000000007E-3</v>
      </c>
      <c r="HT12" s="430">
        <v>8.6300000000000005E-3</v>
      </c>
      <c r="HU12" s="430">
        <v>8.5000000000000006E-3</v>
      </c>
      <c r="HV12" s="430">
        <v>8.7600000000000004E-3</v>
      </c>
      <c r="HW12" s="430">
        <v>8.8999999999999999E-3</v>
      </c>
      <c r="HX12" s="430">
        <v>8.7500000000000008E-3</v>
      </c>
      <c r="HY12" s="430">
        <v>8.7399999999999995E-3</v>
      </c>
      <c r="HZ12" s="430">
        <v>8.5299999999999994E-3</v>
      </c>
      <c r="IA12" s="430">
        <v>8.4700000000000001E-3</v>
      </c>
      <c r="IB12" s="430">
        <v>8.5400000000000007E-3</v>
      </c>
      <c r="IC12" s="430">
        <v>8.6499999999999997E-3</v>
      </c>
      <c r="ID12" s="430">
        <v>8.3899999999999999E-3</v>
      </c>
      <c r="IE12" s="431"/>
      <c r="IF12" s="429" t="s">
        <v>124</v>
      </c>
      <c r="IG12" s="430">
        <v>9.6600000000000002E-3</v>
      </c>
      <c r="IH12" s="430">
        <v>9.5999999999999992E-3</v>
      </c>
      <c r="II12" s="430">
        <v>9.3299999999999998E-3</v>
      </c>
      <c r="IJ12" s="430">
        <v>9.5399999999999999E-3</v>
      </c>
      <c r="IK12" s="430">
        <v>9.2800000000000001E-3</v>
      </c>
      <c r="IL12" s="430">
        <v>9.0200000000000002E-3</v>
      </c>
      <c r="IM12" s="430">
        <v>8.9099999999999995E-3</v>
      </c>
      <c r="IN12" s="430">
        <v>8.9999999999999993E-3</v>
      </c>
      <c r="IO12" s="430">
        <v>8.8500000000000002E-3</v>
      </c>
      <c r="IP12" s="430">
        <v>8.5900000000000004E-3</v>
      </c>
      <c r="IQ12" s="430">
        <v>8.3700000000000007E-3</v>
      </c>
      <c r="IR12" s="430">
        <v>8.4799999999999997E-3</v>
      </c>
    </row>
    <row r="13" spans="1:252" ht="22" customHeight="1" thickBot="1">
      <c r="A13" s="1" t="s">
        <v>125</v>
      </c>
      <c r="B13" s="429" t="s">
        <v>125</v>
      </c>
      <c r="C13" s="430">
        <v>0.11210000000000001</v>
      </c>
      <c r="D13" s="430">
        <v>0.1137</v>
      </c>
      <c r="E13" s="430">
        <v>0.1143</v>
      </c>
      <c r="F13" s="430">
        <v>0.1074</v>
      </c>
      <c r="G13" s="430">
        <v>0.10639999999999999</v>
      </c>
      <c r="H13" s="430">
        <v>0.1012</v>
      </c>
      <c r="I13" s="430">
        <v>0.10340000000000001</v>
      </c>
      <c r="J13" s="430">
        <v>0.1008</v>
      </c>
      <c r="K13" s="430">
        <v>9.1800000000000007E-2</v>
      </c>
      <c r="L13" s="430">
        <v>9.6100000000000005E-2</v>
      </c>
      <c r="M13" s="546"/>
      <c r="N13" s="546"/>
      <c r="P13" s="429" t="s">
        <v>125</v>
      </c>
      <c r="Q13" s="430">
        <v>0.1169</v>
      </c>
      <c r="R13" s="430">
        <v>0.1162</v>
      </c>
      <c r="S13" s="430">
        <v>0.1172</v>
      </c>
      <c r="T13" s="430">
        <v>0.12039999999999999</v>
      </c>
      <c r="U13" s="430">
        <v>0.1202</v>
      </c>
      <c r="V13" s="430">
        <v>0.1162</v>
      </c>
      <c r="W13" s="430">
        <v>0.1132</v>
      </c>
      <c r="X13" s="430">
        <v>0.1149</v>
      </c>
      <c r="Y13" s="430">
        <v>0.1145</v>
      </c>
      <c r="Z13" s="430">
        <v>0.1182</v>
      </c>
      <c r="AA13" s="430">
        <v>0.10979999999999999</v>
      </c>
      <c r="AB13" s="430">
        <v>0.1134</v>
      </c>
      <c r="AD13" s="429" t="s">
        <v>125</v>
      </c>
      <c r="AE13" s="430">
        <v>0.10879999999999999</v>
      </c>
      <c r="AF13" s="430">
        <v>0.1061</v>
      </c>
      <c r="AG13" s="430">
        <v>9.5100000000000004E-2</v>
      </c>
      <c r="AH13" s="430">
        <v>9.7799999999999998E-2</v>
      </c>
      <c r="AI13" s="430">
        <v>0.10290000000000001</v>
      </c>
      <c r="AJ13" s="430">
        <v>0.1036</v>
      </c>
      <c r="AK13" s="430">
        <v>0.1101</v>
      </c>
      <c r="AL13" s="430">
        <v>0.1152</v>
      </c>
      <c r="AM13" s="430">
        <v>0.1069</v>
      </c>
      <c r="AN13" s="430">
        <v>0.105</v>
      </c>
      <c r="AO13" s="430">
        <v>0.1129</v>
      </c>
      <c r="AP13" s="430">
        <v>0.1168</v>
      </c>
      <c r="AR13" s="432" t="s">
        <v>125</v>
      </c>
      <c r="AS13" s="430">
        <v>0.11849999999999999</v>
      </c>
      <c r="AT13" s="430">
        <v>0.1169</v>
      </c>
      <c r="AU13" s="430">
        <v>0.11609999999999999</v>
      </c>
      <c r="AV13" s="430">
        <v>0.11600000000000001</v>
      </c>
      <c r="AW13" s="430">
        <v>0.1142</v>
      </c>
      <c r="AX13" s="430">
        <v>0.1172</v>
      </c>
      <c r="AY13" s="430">
        <v>0.114</v>
      </c>
      <c r="AZ13" s="430">
        <v>0.1096</v>
      </c>
      <c r="BA13" s="430">
        <v>0.1099</v>
      </c>
      <c r="BB13" s="430">
        <v>0.1087</v>
      </c>
      <c r="BC13" s="430">
        <v>0.1085</v>
      </c>
      <c r="BD13" s="430">
        <v>0.1139</v>
      </c>
      <c r="BF13" s="429" t="s">
        <v>125</v>
      </c>
      <c r="BG13" s="430">
        <v>0.12970000000000001</v>
      </c>
      <c r="BH13" s="430">
        <v>0.12670000000000001</v>
      </c>
      <c r="BI13" s="430">
        <v>0.12690000000000001</v>
      </c>
      <c r="BJ13" s="430">
        <v>0.1249</v>
      </c>
      <c r="BK13" s="430">
        <v>0.1222</v>
      </c>
      <c r="BL13" s="430">
        <v>0.1225</v>
      </c>
      <c r="BM13" s="430">
        <v>0.1227</v>
      </c>
      <c r="BN13" s="430">
        <v>0.1192</v>
      </c>
      <c r="BO13" s="430">
        <v>0.1229</v>
      </c>
      <c r="BP13" s="430">
        <v>0.11849999999999999</v>
      </c>
      <c r="BQ13" s="430">
        <v>0.1163</v>
      </c>
      <c r="BR13" s="430">
        <v>0.11550000000000001</v>
      </c>
      <c r="BT13" s="429" t="s">
        <v>125</v>
      </c>
      <c r="BU13" s="430">
        <v>0.1212</v>
      </c>
      <c r="BV13" s="430">
        <v>0.11940000000000001</v>
      </c>
      <c r="BW13" s="430">
        <v>0.11650000000000001</v>
      </c>
      <c r="BX13" s="430">
        <v>0.1167</v>
      </c>
      <c r="BY13" s="430">
        <v>0.11840000000000001</v>
      </c>
      <c r="BZ13" s="430">
        <v>0.11940000000000001</v>
      </c>
      <c r="CA13" s="430">
        <v>0.1265</v>
      </c>
      <c r="CB13" s="430">
        <v>0.12859999999999999</v>
      </c>
      <c r="CC13" s="430">
        <v>0.1255</v>
      </c>
      <c r="CD13" s="430">
        <v>0.12230000000000001</v>
      </c>
      <c r="CE13" s="430">
        <v>0.1205</v>
      </c>
      <c r="CF13" s="430">
        <v>0.1221</v>
      </c>
      <c r="CH13" s="429" t="s">
        <v>125</v>
      </c>
      <c r="CI13" s="430">
        <v>0.1149</v>
      </c>
      <c r="CJ13" s="430">
        <v>0.115</v>
      </c>
      <c r="CK13" s="430">
        <v>0.12089999999999999</v>
      </c>
      <c r="CL13" s="430">
        <v>0.12379999999999999</v>
      </c>
      <c r="CM13" s="430">
        <v>0.1196</v>
      </c>
      <c r="CN13" s="430">
        <v>0.11890000000000001</v>
      </c>
      <c r="CO13" s="430">
        <v>0.11849999999999999</v>
      </c>
      <c r="CP13" s="430">
        <v>0.12</v>
      </c>
      <c r="CQ13" s="430">
        <v>0.12520000000000001</v>
      </c>
      <c r="CR13" s="430">
        <v>0.121</v>
      </c>
      <c r="CS13" s="430">
        <v>0.1174</v>
      </c>
      <c r="CT13" s="430">
        <v>0.1158</v>
      </c>
      <c r="CV13" s="429" t="s">
        <v>125</v>
      </c>
      <c r="CW13" s="430">
        <v>0.12920000000000001</v>
      </c>
      <c r="CX13" s="430">
        <v>0.13059999999999999</v>
      </c>
      <c r="CY13" s="430">
        <v>0.1242</v>
      </c>
      <c r="CZ13" s="430">
        <v>0.13220000000000001</v>
      </c>
      <c r="DA13" s="430">
        <v>0.12870000000000001</v>
      </c>
      <c r="DB13" s="430">
        <v>0.1275</v>
      </c>
      <c r="DC13" s="430">
        <v>0.1226</v>
      </c>
      <c r="DD13" s="430">
        <v>0.1205</v>
      </c>
      <c r="DE13" s="430">
        <v>0.1173</v>
      </c>
      <c r="DF13" s="430">
        <v>0.1177</v>
      </c>
      <c r="DG13" s="430">
        <v>0.11509999999999999</v>
      </c>
      <c r="DH13" s="430">
        <v>0.1128</v>
      </c>
      <c r="DI13" s="431"/>
      <c r="DJ13" s="429" t="s">
        <v>125</v>
      </c>
      <c r="DK13" s="430">
        <v>0.1593</v>
      </c>
      <c r="DL13" s="430">
        <v>0.1668</v>
      </c>
      <c r="DM13" s="430">
        <v>0.16700000000000001</v>
      </c>
      <c r="DN13" s="430">
        <v>0.16819999999999999</v>
      </c>
      <c r="DO13" s="430">
        <v>0.1673</v>
      </c>
      <c r="DP13" s="430">
        <v>0.16300000000000001</v>
      </c>
      <c r="DQ13" s="430">
        <v>0.159</v>
      </c>
      <c r="DR13" s="430">
        <v>0.16159999999999999</v>
      </c>
      <c r="DS13" s="430">
        <v>0.15559999999999999</v>
      </c>
      <c r="DT13" s="430">
        <v>0.14810000000000001</v>
      </c>
      <c r="DU13" s="430">
        <v>0.14249999999999999</v>
      </c>
      <c r="DV13" s="430">
        <v>0.13339999999999999</v>
      </c>
      <c r="DW13" s="431"/>
      <c r="DX13" s="429" t="s">
        <v>125</v>
      </c>
      <c r="DY13" s="430">
        <v>0.18257000000000001</v>
      </c>
      <c r="DZ13" s="430">
        <v>0.17449999999999999</v>
      </c>
      <c r="EA13" s="430">
        <v>0.17069999999999999</v>
      </c>
      <c r="EB13" s="430">
        <v>0.17319999999999999</v>
      </c>
      <c r="EC13" s="430">
        <v>0.17</v>
      </c>
      <c r="ED13" s="430">
        <v>0.16450000000000001</v>
      </c>
      <c r="EE13" s="430">
        <v>0.1691</v>
      </c>
      <c r="EF13" s="430">
        <v>0.16309999999999999</v>
      </c>
      <c r="EG13" s="430">
        <v>0.16619999999999999</v>
      </c>
      <c r="EH13" s="430">
        <v>0.16800000000000001</v>
      </c>
      <c r="EI13" s="430">
        <v>0.16309999999999999</v>
      </c>
      <c r="EJ13" s="430">
        <v>0.1648</v>
      </c>
      <c r="EK13" s="431"/>
      <c r="EL13" s="429" t="s">
        <v>125</v>
      </c>
      <c r="EM13" s="430">
        <v>0.17155999999999999</v>
      </c>
      <c r="EN13" s="430">
        <v>0.18054999999999999</v>
      </c>
      <c r="EO13" s="430">
        <v>0.17569000000000001</v>
      </c>
      <c r="EP13" s="430">
        <v>0.17441999999999999</v>
      </c>
      <c r="EQ13" s="430">
        <v>0.16364000000000001</v>
      </c>
      <c r="ER13" s="430">
        <v>0.16788</v>
      </c>
      <c r="ES13" s="430">
        <v>0.16563</v>
      </c>
      <c r="ET13" s="430">
        <v>0.17249999999999999</v>
      </c>
      <c r="EU13" s="430">
        <v>0.17438999999999999</v>
      </c>
      <c r="EV13" s="430">
        <v>0.17527000000000001</v>
      </c>
      <c r="EW13" s="430">
        <v>0.17641999999999999</v>
      </c>
      <c r="EX13" s="430">
        <v>0.17988999999999999</v>
      </c>
      <c r="EY13" s="431"/>
      <c r="EZ13" s="429" t="s">
        <v>125</v>
      </c>
      <c r="FA13" s="430">
        <v>0.17354</v>
      </c>
      <c r="FB13" s="430">
        <v>0.17938000000000001</v>
      </c>
      <c r="FC13" s="430">
        <v>0.18093999999999999</v>
      </c>
      <c r="FD13" s="430">
        <v>0.19072</v>
      </c>
      <c r="FE13" s="430">
        <v>0.18562999999999999</v>
      </c>
      <c r="FF13" s="430">
        <v>0.18622</v>
      </c>
      <c r="FG13" s="430">
        <v>0.18468999999999999</v>
      </c>
      <c r="FH13" s="430">
        <v>0.18673000000000001</v>
      </c>
      <c r="FI13" s="430">
        <v>0.17083999999999999</v>
      </c>
      <c r="FJ13" s="430">
        <v>0.18207999999999999</v>
      </c>
      <c r="FK13" s="430">
        <v>0.17357</v>
      </c>
      <c r="FL13" s="430">
        <v>0.16724</v>
      </c>
      <c r="FM13" s="431"/>
      <c r="FN13" s="429" t="s">
        <v>125</v>
      </c>
      <c r="FO13" s="430">
        <v>0.16986000000000001</v>
      </c>
      <c r="FP13" s="430">
        <v>0.16846</v>
      </c>
      <c r="FQ13" s="430">
        <v>0.16841999999999999</v>
      </c>
      <c r="FR13" s="430">
        <v>0.16927</v>
      </c>
      <c r="FS13" s="430">
        <v>0.15517</v>
      </c>
      <c r="FT13" s="430">
        <v>0.15390999999999999</v>
      </c>
      <c r="FU13" s="430">
        <v>0.16350000000000001</v>
      </c>
      <c r="FV13" s="430">
        <v>0.15876000000000001</v>
      </c>
      <c r="FW13" s="430">
        <v>0.17088</v>
      </c>
      <c r="FX13" s="430">
        <v>0.17008000000000001</v>
      </c>
      <c r="FY13" s="430">
        <v>0.16109000000000001</v>
      </c>
      <c r="FZ13" s="430">
        <v>0.17122000000000001</v>
      </c>
      <c r="GA13" s="431"/>
      <c r="GB13" s="429" t="s">
        <v>125</v>
      </c>
      <c r="GC13" s="430">
        <v>0.14584</v>
      </c>
      <c r="GD13" s="430">
        <v>0.14427999999999999</v>
      </c>
      <c r="GE13" s="430">
        <v>0.14599000000000001</v>
      </c>
      <c r="GF13" s="430">
        <v>0.15153</v>
      </c>
      <c r="GG13" s="430">
        <v>0.15876999999999999</v>
      </c>
      <c r="GH13" s="430">
        <v>0.15557000000000001</v>
      </c>
      <c r="GI13" s="430">
        <v>0.16217999999999999</v>
      </c>
      <c r="GJ13" s="430">
        <v>0.16572999999999999</v>
      </c>
      <c r="GK13" s="430">
        <v>0.17255000000000001</v>
      </c>
      <c r="GL13" s="430">
        <v>0.17604</v>
      </c>
      <c r="GM13" s="430">
        <v>0.17593</v>
      </c>
      <c r="GN13" s="430">
        <v>0.17357</v>
      </c>
      <c r="GO13" s="431"/>
      <c r="GP13" s="429" t="s">
        <v>125</v>
      </c>
      <c r="GQ13" s="430">
        <v>0.18357999999999999</v>
      </c>
      <c r="GR13" s="430">
        <v>0.19338</v>
      </c>
      <c r="GS13" s="430">
        <v>0.19663</v>
      </c>
      <c r="GT13" s="430">
        <v>0.19464999999999999</v>
      </c>
      <c r="GU13" s="430">
        <v>0.19650000000000001</v>
      </c>
      <c r="GV13" s="430">
        <v>0.19727</v>
      </c>
      <c r="GW13" s="430">
        <v>0.19420000000000001</v>
      </c>
      <c r="GX13" s="430">
        <v>0.18557000000000001</v>
      </c>
      <c r="GY13" s="430">
        <v>0.17263999999999999</v>
      </c>
      <c r="GZ13" s="430">
        <v>0.15110999999999999</v>
      </c>
      <c r="HA13" s="430">
        <v>0.14388000000000001</v>
      </c>
      <c r="HB13" s="430">
        <v>0.14288999999999999</v>
      </c>
      <c r="HC13" s="431"/>
      <c r="HD13" s="429" t="s">
        <v>125</v>
      </c>
      <c r="HE13" s="430">
        <v>0.15917000000000001</v>
      </c>
      <c r="HF13" s="430">
        <v>0.16359000000000001</v>
      </c>
      <c r="HG13" s="430">
        <v>0.16424</v>
      </c>
      <c r="HH13" s="430">
        <v>0.16767000000000001</v>
      </c>
      <c r="HI13" s="430">
        <v>0.16470000000000001</v>
      </c>
      <c r="HJ13" s="430">
        <v>0.16936000000000001</v>
      </c>
      <c r="HK13" s="430">
        <v>0.17086999999999999</v>
      </c>
      <c r="HL13" s="430">
        <v>0.17172000000000001</v>
      </c>
      <c r="HM13" s="430">
        <v>0.18318999999999999</v>
      </c>
      <c r="HN13" s="430">
        <v>0.18704999999999999</v>
      </c>
      <c r="HO13" s="430">
        <v>0.18171000000000001</v>
      </c>
      <c r="HP13" s="430">
        <v>0.18475</v>
      </c>
      <c r="HQ13" s="431"/>
      <c r="HR13" s="429" t="s">
        <v>125</v>
      </c>
      <c r="HS13" s="430">
        <v>0.15001999999999999</v>
      </c>
      <c r="HT13" s="430">
        <v>0.14751</v>
      </c>
      <c r="HU13" s="430">
        <v>0.15223</v>
      </c>
      <c r="HV13" s="430">
        <v>0.16098999999999999</v>
      </c>
      <c r="HW13" s="430">
        <v>0.16456999999999999</v>
      </c>
      <c r="HX13" s="430">
        <v>0.15848000000000001</v>
      </c>
      <c r="HY13" s="430">
        <v>0.16144</v>
      </c>
      <c r="HZ13" s="430">
        <v>0.15820000000000001</v>
      </c>
      <c r="IA13" s="430">
        <v>0.15465999999999999</v>
      </c>
      <c r="IB13" s="430">
        <v>0.15232999999999999</v>
      </c>
      <c r="IC13" s="430">
        <v>0.15981000000000001</v>
      </c>
      <c r="ID13" s="430">
        <v>0.15939999999999999</v>
      </c>
      <c r="IE13" s="431"/>
      <c r="IF13" s="429" t="s">
        <v>125</v>
      </c>
      <c r="IG13" s="430">
        <v>0.15790000000000001</v>
      </c>
      <c r="IH13" s="430">
        <v>0.15998000000000001</v>
      </c>
      <c r="II13" s="430">
        <v>0.15819</v>
      </c>
      <c r="IJ13" s="430">
        <v>0.15842999999999999</v>
      </c>
      <c r="IK13" s="430">
        <v>0.15626000000000001</v>
      </c>
      <c r="IL13" s="430">
        <v>0.15281</v>
      </c>
      <c r="IM13" s="430">
        <v>0.15325</v>
      </c>
      <c r="IN13" s="430">
        <v>0.15390000000000001</v>
      </c>
      <c r="IO13" s="430">
        <v>0.15322</v>
      </c>
      <c r="IP13" s="430">
        <v>0.15401999999999999</v>
      </c>
      <c r="IQ13" s="430">
        <v>0.14859</v>
      </c>
      <c r="IR13" s="430">
        <v>0.14768999999999999</v>
      </c>
    </row>
    <row r="14" spans="1:252" ht="22" customHeight="1" thickBot="1">
      <c r="A14" s="1" t="s">
        <v>126</v>
      </c>
      <c r="B14" s="429" t="s">
        <v>126</v>
      </c>
      <c r="C14" s="430">
        <v>0.65685000000000004</v>
      </c>
      <c r="D14" s="430">
        <v>0.67664999999999997</v>
      </c>
      <c r="E14" s="430">
        <v>0.69535000000000002</v>
      </c>
      <c r="F14" s="430">
        <v>0.64915</v>
      </c>
      <c r="G14" s="430">
        <v>0.65080000000000005</v>
      </c>
      <c r="H14" s="430">
        <v>0.62195</v>
      </c>
      <c r="I14" s="430">
        <v>0.62670000000000003</v>
      </c>
      <c r="J14" s="430">
        <v>0.61309999999999998</v>
      </c>
      <c r="K14" s="430">
        <v>0.56574999999999998</v>
      </c>
      <c r="L14" s="430">
        <v>0.57830000000000004</v>
      </c>
      <c r="M14" s="546"/>
      <c r="N14" s="546"/>
      <c r="P14" s="429" t="s">
        <v>126</v>
      </c>
      <c r="Q14" s="430">
        <v>0.72055000000000002</v>
      </c>
      <c r="R14" s="430">
        <v>0.72735000000000005</v>
      </c>
      <c r="S14" s="430">
        <v>0.70055000000000001</v>
      </c>
      <c r="T14" s="430">
        <v>0.71765000000000001</v>
      </c>
      <c r="U14" s="430">
        <v>0.72785</v>
      </c>
      <c r="V14" s="430">
        <v>0.69874999999999998</v>
      </c>
      <c r="W14" s="430">
        <v>0.69779999999999998</v>
      </c>
      <c r="X14" s="430">
        <v>0.70384999999999998</v>
      </c>
      <c r="Y14" s="430">
        <v>0.68984999999999996</v>
      </c>
      <c r="Z14" s="430">
        <v>0.71560000000000001</v>
      </c>
      <c r="AA14" s="430">
        <v>0.67889999999999995</v>
      </c>
      <c r="AB14" s="430">
        <v>0.68454999999999999</v>
      </c>
      <c r="AD14" s="429" t="s">
        <v>126</v>
      </c>
      <c r="AE14" s="430">
        <v>0.64705000000000001</v>
      </c>
      <c r="AF14" s="430">
        <v>0.62029999999999996</v>
      </c>
      <c r="AG14" s="430">
        <v>0.59275</v>
      </c>
      <c r="AH14" s="430">
        <v>0.61665000000000003</v>
      </c>
      <c r="AI14" s="430">
        <v>0.61944999999999995</v>
      </c>
      <c r="AJ14" s="430">
        <v>0.64385000000000003</v>
      </c>
      <c r="AK14" s="430">
        <v>0.66615000000000002</v>
      </c>
      <c r="AL14" s="430">
        <v>0.67600000000000005</v>
      </c>
      <c r="AM14" s="430">
        <v>0.66110000000000002</v>
      </c>
      <c r="AN14" s="430">
        <v>0.66295000000000004</v>
      </c>
      <c r="AO14" s="430">
        <v>0.70284999999999997</v>
      </c>
      <c r="AP14" s="430">
        <v>0.72014999999999996</v>
      </c>
      <c r="AR14" s="432" t="s">
        <v>126</v>
      </c>
      <c r="AS14" s="430">
        <v>0.69355</v>
      </c>
      <c r="AT14" s="430">
        <v>0.68140000000000001</v>
      </c>
      <c r="AU14" s="430">
        <v>0.68110000000000004</v>
      </c>
      <c r="AV14" s="430">
        <v>0.66685000000000005</v>
      </c>
      <c r="AW14" s="430">
        <v>0.65195000000000003</v>
      </c>
      <c r="AX14" s="430">
        <v>0.67164999999999997</v>
      </c>
      <c r="AY14" s="430">
        <v>0.65985000000000005</v>
      </c>
      <c r="AZ14" s="430">
        <v>0.63090000000000002</v>
      </c>
      <c r="BA14" s="430">
        <v>0.62705</v>
      </c>
      <c r="BB14" s="430">
        <v>0.64134999999999998</v>
      </c>
      <c r="BC14" s="430">
        <v>0.64195000000000002</v>
      </c>
      <c r="BD14" s="430">
        <v>0.67464999999999997</v>
      </c>
      <c r="BF14" s="429" t="s">
        <v>126</v>
      </c>
      <c r="BG14" s="430">
        <v>0.74050000000000005</v>
      </c>
      <c r="BH14" s="430">
        <v>0.72219999999999995</v>
      </c>
      <c r="BI14" s="430">
        <v>0.72219999999999995</v>
      </c>
      <c r="BJ14" s="430">
        <v>0.70440000000000003</v>
      </c>
      <c r="BK14" s="430">
        <v>0.70179999999999998</v>
      </c>
      <c r="BL14" s="430">
        <v>0.67710000000000004</v>
      </c>
      <c r="BM14" s="430">
        <v>0.68105000000000004</v>
      </c>
      <c r="BN14" s="430">
        <v>0.66344999999999998</v>
      </c>
      <c r="BO14" s="430">
        <v>0.66274999999999995</v>
      </c>
      <c r="BP14" s="430">
        <v>0.65329999999999999</v>
      </c>
      <c r="BQ14" s="430">
        <v>0.68679999999999997</v>
      </c>
      <c r="BR14" s="430">
        <v>0.67059999999999997</v>
      </c>
      <c r="BT14" s="429" t="s">
        <v>126</v>
      </c>
      <c r="BU14" s="430">
        <v>0.73340000000000005</v>
      </c>
      <c r="BV14" s="430">
        <v>0.72309999999999997</v>
      </c>
      <c r="BW14" s="430">
        <v>0.69879999999999998</v>
      </c>
      <c r="BX14" s="430">
        <v>0.68630000000000002</v>
      </c>
      <c r="BY14" s="430">
        <v>0.70979999999999999</v>
      </c>
      <c r="BZ14" s="430">
        <v>0.7319</v>
      </c>
      <c r="CA14" s="430">
        <v>0.74965000000000004</v>
      </c>
      <c r="CB14" s="430">
        <v>0.71609999999999996</v>
      </c>
      <c r="CC14" s="430">
        <v>0.72319999999999995</v>
      </c>
      <c r="CD14" s="430">
        <v>0.68379999999999996</v>
      </c>
      <c r="CE14" s="430">
        <v>0.68630000000000002</v>
      </c>
      <c r="CF14" s="430">
        <v>0.71125000000000005</v>
      </c>
      <c r="CH14" s="429" t="s">
        <v>126</v>
      </c>
      <c r="CI14" s="430">
        <v>0.6472</v>
      </c>
      <c r="CJ14" s="430">
        <v>0.65910000000000002</v>
      </c>
      <c r="CK14" s="430">
        <v>0.69399999999999995</v>
      </c>
      <c r="CL14" s="430">
        <v>0.69899999999999995</v>
      </c>
      <c r="CM14" s="430">
        <v>0.67649999999999999</v>
      </c>
      <c r="CN14" s="430">
        <v>0.71209999999999996</v>
      </c>
      <c r="CO14" s="430">
        <v>0.72070000000000001</v>
      </c>
      <c r="CP14" s="430">
        <v>0.72519999999999996</v>
      </c>
      <c r="CQ14" s="430">
        <v>0.72699999999999998</v>
      </c>
      <c r="CR14" s="430">
        <v>0.71450000000000002</v>
      </c>
      <c r="CS14" s="430">
        <v>0.70909999999999995</v>
      </c>
      <c r="CT14" s="430">
        <v>0.69715000000000005</v>
      </c>
      <c r="CV14" s="429" t="s">
        <v>126</v>
      </c>
      <c r="CW14" s="430">
        <v>0.7258</v>
      </c>
      <c r="CX14" s="430">
        <v>0.75680000000000003</v>
      </c>
      <c r="CY14" s="430">
        <v>0.74990000000000001</v>
      </c>
      <c r="CZ14" s="430">
        <v>0.76129999999999998</v>
      </c>
      <c r="DA14" s="430">
        <v>0.71150000000000002</v>
      </c>
      <c r="DB14" s="430">
        <v>0.67620000000000002</v>
      </c>
      <c r="DC14" s="430">
        <v>0.66439999999999999</v>
      </c>
      <c r="DD14" s="430">
        <v>0.63300000000000001</v>
      </c>
      <c r="DE14" s="430">
        <v>0.63970000000000005</v>
      </c>
      <c r="DF14" s="430">
        <v>0.67459999999999998</v>
      </c>
      <c r="DG14" s="430">
        <v>0.65880000000000005</v>
      </c>
      <c r="DH14" s="430">
        <v>0.68479999999999996</v>
      </c>
      <c r="DI14" s="431"/>
      <c r="DJ14" s="429" t="s">
        <v>126</v>
      </c>
      <c r="DK14" s="430">
        <v>0.80859999999999999</v>
      </c>
      <c r="DL14" s="430">
        <v>0.84019999999999995</v>
      </c>
      <c r="DM14" s="430">
        <v>0.86770000000000003</v>
      </c>
      <c r="DN14" s="430">
        <v>0.85909999999999997</v>
      </c>
      <c r="DO14" s="430">
        <v>0.84919999999999995</v>
      </c>
      <c r="DP14" s="430">
        <v>0.87549999999999994</v>
      </c>
      <c r="DQ14" s="430">
        <v>0.8488</v>
      </c>
      <c r="DR14" s="430">
        <v>0.83709999999999996</v>
      </c>
      <c r="DS14" s="430">
        <v>0.77949999999999997</v>
      </c>
      <c r="DT14" s="430">
        <v>0.77839999999999998</v>
      </c>
      <c r="DU14" s="430">
        <v>0.78510000000000002</v>
      </c>
      <c r="DV14" s="430">
        <v>0.78129999999999999</v>
      </c>
      <c r="DW14" s="431"/>
      <c r="DX14" s="429" t="s">
        <v>126</v>
      </c>
      <c r="DY14" s="430">
        <v>0.84040000000000004</v>
      </c>
      <c r="DZ14" s="430">
        <v>0.82909999999999995</v>
      </c>
      <c r="EA14" s="430">
        <v>0.83540000000000003</v>
      </c>
      <c r="EB14" s="430">
        <v>0.85780000000000001</v>
      </c>
      <c r="EC14" s="430">
        <v>0.79769999999999996</v>
      </c>
      <c r="ED14" s="430">
        <v>0.77229999999999999</v>
      </c>
      <c r="EE14" s="430">
        <v>0.79590000000000005</v>
      </c>
      <c r="EF14" s="430">
        <v>0.77329999999999999</v>
      </c>
      <c r="EG14" s="430">
        <v>0.83289999999999997</v>
      </c>
      <c r="EH14" s="430">
        <v>0.82779999999999998</v>
      </c>
      <c r="EI14" s="430">
        <v>0.81630000000000003</v>
      </c>
      <c r="EJ14" s="430">
        <v>0.82279999999999998</v>
      </c>
      <c r="EK14" s="431"/>
      <c r="EL14" s="429" t="s">
        <v>126</v>
      </c>
      <c r="EM14" s="430">
        <v>0.82740000000000002</v>
      </c>
      <c r="EN14" s="430">
        <v>0.84650000000000003</v>
      </c>
      <c r="EO14" s="430">
        <v>0.8206</v>
      </c>
      <c r="EP14" s="430">
        <v>0.81910000000000005</v>
      </c>
      <c r="EQ14" s="430">
        <v>0.75339999999999996</v>
      </c>
      <c r="ER14" s="430">
        <v>0.80220000000000002</v>
      </c>
      <c r="ES14" s="430">
        <v>0.80920000000000003</v>
      </c>
      <c r="ET14" s="430">
        <v>0.80230000000000001</v>
      </c>
      <c r="EU14" s="430">
        <v>0.82920000000000005</v>
      </c>
      <c r="EV14" s="430">
        <v>0.82140000000000002</v>
      </c>
      <c r="EW14" s="430">
        <v>0.8196</v>
      </c>
      <c r="EX14" s="430">
        <v>0.82320000000000004</v>
      </c>
      <c r="EY14" s="431"/>
      <c r="EZ14" s="429" t="s">
        <v>126</v>
      </c>
      <c r="FA14" s="430">
        <v>0.77329999999999999</v>
      </c>
      <c r="FB14" s="430">
        <v>0.75190000000000001</v>
      </c>
      <c r="FC14" s="430">
        <v>0.76270000000000004</v>
      </c>
      <c r="FD14" s="430">
        <v>0.80569999999999997</v>
      </c>
      <c r="FE14" s="430">
        <v>0.82379999999999998</v>
      </c>
      <c r="FF14" s="430">
        <v>0.8286</v>
      </c>
      <c r="FG14" s="430">
        <v>0.86950000000000005</v>
      </c>
      <c r="FH14" s="430">
        <v>0.85499999999999998</v>
      </c>
      <c r="FI14" s="430">
        <v>0.76519999999999999</v>
      </c>
      <c r="FJ14" s="430">
        <v>0.81200000000000006</v>
      </c>
      <c r="FK14" s="430">
        <v>0.78049999999999997</v>
      </c>
      <c r="FL14" s="430">
        <v>0.77539999999999998</v>
      </c>
      <c r="FM14" s="431"/>
      <c r="FN14" s="429" t="s">
        <v>126</v>
      </c>
      <c r="FO14" s="430">
        <v>0.7056</v>
      </c>
      <c r="FP14" s="430">
        <v>0.69479999999999997</v>
      </c>
      <c r="FQ14" s="430">
        <v>0.7077</v>
      </c>
      <c r="FR14" s="430">
        <v>0.73160000000000003</v>
      </c>
      <c r="FS14" s="430">
        <v>0.68140000000000001</v>
      </c>
      <c r="FT14" s="430">
        <v>0.68710000000000004</v>
      </c>
      <c r="FU14" s="430">
        <v>0.72230000000000005</v>
      </c>
      <c r="FV14" s="430">
        <v>0.69879999999999998</v>
      </c>
      <c r="FW14" s="430">
        <v>0.73770000000000002</v>
      </c>
      <c r="FX14" s="430">
        <v>0.7631</v>
      </c>
      <c r="FY14" s="430">
        <v>0.74460000000000004</v>
      </c>
      <c r="FZ14" s="430">
        <v>0.7752</v>
      </c>
      <c r="GA14" s="431"/>
      <c r="GB14" s="429" t="s">
        <v>126</v>
      </c>
      <c r="GC14" s="430">
        <v>0.51454999999999995</v>
      </c>
      <c r="GD14" s="430">
        <v>0.51027</v>
      </c>
      <c r="GE14" s="430">
        <v>0.56023999999999996</v>
      </c>
      <c r="GF14" s="430">
        <v>0.56574999999999998</v>
      </c>
      <c r="GG14" s="430">
        <v>0.63839999999999997</v>
      </c>
      <c r="GH14" s="430">
        <v>0.65090000000000003</v>
      </c>
      <c r="GI14" s="430">
        <v>0.65827999999999998</v>
      </c>
      <c r="GJ14" s="430">
        <v>0.68028</v>
      </c>
      <c r="GK14" s="430">
        <v>0.72233999999999998</v>
      </c>
      <c r="GL14" s="430">
        <v>0.72682999999999998</v>
      </c>
      <c r="GM14" s="430">
        <v>0.71360000000000001</v>
      </c>
      <c r="GN14" s="430">
        <v>0.72690999999999995</v>
      </c>
      <c r="GO14" s="431"/>
      <c r="GP14" s="429" t="s">
        <v>126</v>
      </c>
      <c r="GQ14" s="430">
        <v>0.78129999999999999</v>
      </c>
      <c r="GR14" s="430">
        <v>0.81688000000000005</v>
      </c>
      <c r="GS14" s="430">
        <v>0.78620000000000001</v>
      </c>
      <c r="GT14" s="430">
        <v>0.77559999999999996</v>
      </c>
      <c r="GU14" s="430">
        <v>0.77769999999999995</v>
      </c>
      <c r="GV14" s="430">
        <v>0.76219999999999999</v>
      </c>
      <c r="GW14" s="430">
        <v>0.73399999999999999</v>
      </c>
      <c r="GX14" s="430">
        <v>0.70130000000000003</v>
      </c>
      <c r="GY14" s="430">
        <v>0.6774</v>
      </c>
      <c r="GZ14" s="430">
        <v>0.58779999999999999</v>
      </c>
      <c r="HA14" s="430">
        <v>0.55389999999999995</v>
      </c>
      <c r="HB14" s="430">
        <v>0.57709999999999995</v>
      </c>
      <c r="HC14" s="431"/>
      <c r="HD14" s="429" t="s">
        <v>126</v>
      </c>
      <c r="HE14" s="430">
        <v>0.68910000000000005</v>
      </c>
      <c r="HF14" s="430">
        <v>0.70440000000000003</v>
      </c>
      <c r="HG14" s="430">
        <v>0.7147</v>
      </c>
      <c r="HH14" s="430">
        <v>0.74070000000000003</v>
      </c>
      <c r="HI14" s="430">
        <v>0.73</v>
      </c>
      <c r="HJ14" s="430">
        <v>0.76978000000000002</v>
      </c>
      <c r="HK14" s="430">
        <v>0.76405000000000001</v>
      </c>
      <c r="HL14" s="430">
        <v>0.70425000000000004</v>
      </c>
      <c r="HM14" s="430">
        <v>0.74924999999999997</v>
      </c>
      <c r="HN14" s="430">
        <v>0.76519999999999999</v>
      </c>
      <c r="HO14" s="430">
        <v>0.76975000000000005</v>
      </c>
      <c r="HP14" s="430">
        <v>0.77258000000000004</v>
      </c>
      <c r="HQ14" s="431"/>
      <c r="HR14" s="429" t="s">
        <v>126</v>
      </c>
      <c r="HS14" s="430">
        <v>0.68484999999999996</v>
      </c>
      <c r="HT14" s="430">
        <v>0.66039999999999999</v>
      </c>
      <c r="HU14" s="430">
        <v>0.61085</v>
      </c>
      <c r="HV14" s="430">
        <v>0.63475000000000004</v>
      </c>
      <c r="HW14" s="430">
        <v>0.63965000000000005</v>
      </c>
      <c r="HX14" s="430">
        <v>0.59665000000000001</v>
      </c>
      <c r="HY14" s="430">
        <v>0.61704999999999999</v>
      </c>
      <c r="HZ14" s="430">
        <v>0.6502</v>
      </c>
      <c r="IA14" s="430">
        <v>0.65605000000000002</v>
      </c>
      <c r="IB14" s="430">
        <v>0.66639999999999999</v>
      </c>
      <c r="IC14" s="430">
        <v>0.67854999999999999</v>
      </c>
      <c r="ID14" s="430">
        <v>0.70569999999999999</v>
      </c>
      <c r="IE14" s="431"/>
      <c r="IF14" s="429" t="s">
        <v>126</v>
      </c>
      <c r="IG14" s="430">
        <v>0.71104999999999996</v>
      </c>
      <c r="IH14" s="430">
        <v>0.72224999999999995</v>
      </c>
      <c r="II14" s="430">
        <v>0.70884999999999998</v>
      </c>
      <c r="IJ14" s="430">
        <v>0.72835000000000005</v>
      </c>
      <c r="IK14" s="430">
        <v>0.71155000000000002</v>
      </c>
      <c r="IL14" s="430">
        <v>0.69850000000000001</v>
      </c>
      <c r="IM14" s="430">
        <v>0.68330000000000002</v>
      </c>
      <c r="IN14" s="430">
        <v>0.68815000000000004</v>
      </c>
      <c r="IO14" s="430">
        <v>0.69094999999999995</v>
      </c>
      <c r="IP14" s="430">
        <v>0.69940000000000002</v>
      </c>
      <c r="IQ14" s="430">
        <v>0.70135000000000003</v>
      </c>
      <c r="IR14" s="430">
        <v>0.68230000000000002</v>
      </c>
    </row>
    <row r="15" spans="1:252" ht="22" customHeight="1" thickBot="1">
      <c r="A15" s="1" t="s">
        <v>127</v>
      </c>
      <c r="B15" s="429" t="s">
        <v>127</v>
      </c>
      <c r="C15" s="430">
        <v>0.15720000000000001</v>
      </c>
      <c r="D15" s="430">
        <v>0.1585</v>
      </c>
      <c r="E15" s="430">
        <v>0.1575</v>
      </c>
      <c r="F15" s="430">
        <v>0.15049999999999999</v>
      </c>
      <c r="G15" s="430">
        <v>0.1497</v>
      </c>
      <c r="H15" s="430">
        <v>0.1492</v>
      </c>
      <c r="I15" s="430">
        <v>0.14810000000000001</v>
      </c>
      <c r="J15" s="430">
        <v>0.14510000000000001</v>
      </c>
      <c r="K15" s="430">
        <v>0.14030000000000001</v>
      </c>
      <c r="L15" s="430">
        <v>0.13650000000000001</v>
      </c>
      <c r="M15" s="546"/>
      <c r="N15" s="546"/>
      <c r="P15" s="429" t="s">
        <v>127</v>
      </c>
      <c r="Q15" s="430">
        <v>0.1552</v>
      </c>
      <c r="R15" s="430">
        <v>0.15429999999999999</v>
      </c>
      <c r="S15" s="430">
        <v>0.15240000000000001</v>
      </c>
      <c r="T15" s="430">
        <v>0.15459999999999999</v>
      </c>
      <c r="U15" s="430">
        <v>0.15690000000000001</v>
      </c>
      <c r="V15" s="430">
        <v>0.15479999999999999</v>
      </c>
      <c r="W15" s="430">
        <v>0.1547</v>
      </c>
      <c r="X15" s="430">
        <v>0.155</v>
      </c>
      <c r="Y15" s="430">
        <v>0.15490000000000001</v>
      </c>
      <c r="Z15" s="430">
        <v>0.15620000000000001</v>
      </c>
      <c r="AA15" s="430">
        <v>0.15679999999999999</v>
      </c>
      <c r="AB15" s="430">
        <v>0.15720000000000001</v>
      </c>
      <c r="AD15" s="429" t="s">
        <v>127</v>
      </c>
      <c r="AE15" s="430">
        <v>0.1429</v>
      </c>
      <c r="AF15" s="430">
        <v>0.14319999999999999</v>
      </c>
      <c r="AG15" s="430">
        <v>0.1411</v>
      </c>
      <c r="AH15" s="430">
        <v>0.14169999999999999</v>
      </c>
      <c r="AI15" s="430">
        <v>0.1396</v>
      </c>
      <c r="AJ15" s="430">
        <v>0.14149999999999999</v>
      </c>
      <c r="AK15" s="430">
        <v>0.14330000000000001</v>
      </c>
      <c r="AL15" s="430">
        <v>0.14599999999999999</v>
      </c>
      <c r="AM15" s="430">
        <v>0.1474</v>
      </c>
      <c r="AN15" s="430">
        <v>0.14949999999999999</v>
      </c>
      <c r="AO15" s="430">
        <v>0.152</v>
      </c>
      <c r="AP15" s="430">
        <v>0.15390000000000001</v>
      </c>
      <c r="AR15" s="432" t="s">
        <v>127</v>
      </c>
      <c r="AS15" s="430">
        <v>0.14899999999999999</v>
      </c>
      <c r="AT15" s="430">
        <v>0.14929999999999999</v>
      </c>
      <c r="AU15" s="430">
        <v>0.1487</v>
      </c>
      <c r="AV15" s="430">
        <v>0.1484</v>
      </c>
      <c r="AW15" s="430">
        <v>0.14419999999999999</v>
      </c>
      <c r="AX15" s="430">
        <v>0.14549999999999999</v>
      </c>
      <c r="AY15" s="430">
        <v>0.1452</v>
      </c>
      <c r="AZ15" s="430">
        <v>0.13950000000000001</v>
      </c>
      <c r="BA15" s="430">
        <v>0.14000000000000001</v>
      </c>
      <c r="BB15" s="430">
        <v>0.1419</v>
      </c>
      <c r="BC15" s="430">
        <v>0.14219999999999999</v>
      </c>
      <c r="BD15" s="430">
        <v>0.14360000000000001</v>
      </c>
      <c r="BF15" s="429" t="s">
        <v>127</v>
      </c>
      <c r="BG15" s="430">
        <v>0.1588</v>
      </c>
      <c r="BH15" s="430">
        <v>0.158</v>
      </c>
      <c r="BI15" s="430">
        <v>0.159</v>
      </c>
      <c r="BJ15" s="430">
        <v>0.15840000000000001</v>
      </c>
      <c r="BK15" s="430">
        <v>0.156</v>
      </c>
      <c r="BL15" s="430">
        <v>0.1507</v>
      </c>
      <c r="BM15" s="430">
        <v>0.1472</v>
      </c>
      <c r="BN15" s="430">
        <v>0.14610000000000001</v>
      </c>
      <c r="BO15" s="430">
        <v>0.1454</v>
      </c>
      <c r="BP15" s="430">
        <v>0.14330000000000001</v>
      </c>
      <c r="BQ15" s="430">
        <v>0.1439</v>
      </c>
      <c r="BR15" s="430">
        <v>0.14560000000000001</v>
      </c>
      <c r="BT15" s="429" t="s">
        <v>127</v>
      </c>
      <c r="BU15" s="430">
        <v>0.14649999999999999</v>
      </c>
      <c r="BV15" s="430">
        <v>0.1459</v>
      </c>
      <c r="BW15" s="430">
        <v>0.14549999999999999</v>
      </c>
      <c r="BX15" s="430">
        <v>0.14499999999999999</v>
      </c>
      <c r="BY15" s="430">
        <v>0.1482</v>
      </c>
      <c r="BZ15" s="430">
        <v>0.14749999999999999</v>
      </c>
      <c r="CA15" s="430">
        <v>0.14860000000000001</v>
      </c>
      <c r="CB15" s="430">
        <v>0.15160000000000001</v>
      </c>
      <c r="CC15" s="430">
        <v>0.15040000000000001</v>
      </c>
      <c r="CD15" s="430">
        <v>0.15079999999999999</v>
      </c>
      <c r="CE15" s="430">
        <v>0.15110000000000001</v>
      </c>
      <c r="CF15" s="430">
        <v>0.1535</v>
      </c>
      <c r="CH15" s="429" t="s">
        <v>127</v>
      </c>
      <c r="CI15" s="430">
        <v>0.15160000000000001</v>
      </c>
      <c r="CJ15" s="430">
        <v>0.15260000000000001</v>
      </c>
      <c r="CK15" s="430">
        <v>0.1547</v>
      </c>
      <c r="CL15" s="430">
        <v>0.15409999999999999</v>
      </c>
      <c r="CM15" s="430">
        <v>0.15179999999999999</v>
      </c>
      <c r="CN15" s="430">
        <v>0.1497</v>
      </c>
      <c r="CO15" s="430">
        <v>0.1507</v>
      </c>
      <c r="CP15" s="430">
        <v>0.14949999999999999</v>
      </c>
      <c r="CQ15" s="430">
        <v>0.14990000000000001</v>
      </c>
      <c r="CR15" s="430">
        <v>0.14749999999999999</v>
      </c>
      <c r="CS15" s="430">
        <v>0.14460000000000001</v>
      </c>
      <c r="CT15" s="430">
        <v>0.14360000000000001</v>
      </c>
      <c r="CV15" s="429" t="s">
        <v>127</v>
      </c>
      <c r="CW15" s="430">
        <v>0.159</v>
      </c>
      <c r="CX15" s="430">
        <v>0.15909999999999999</v>
      </c>
      <c r="CY15" s="430">
        <v>0.16109999999999999</v>
      </c>
      <c r="CZ15" s="430">
        <v>0.161</v>
      </c>
      <c r="DA15" s="430">
        <v>0.16120000000000001</v>
      </c>
      <c r="DB15" s="430">
        <v>0.16120000000000001</v>
      </c>
      <c r="DC15" s="430">
        <v>0.1608</v>
      </c>
      <c r="DD15" s="430">
        <v>0.1552</v>
      </c>
      <c r="DE15" s="430">
        <v>0.15720000000000001</v>
      </c>
      <c r="DF15" s="430">
        <v>0.15820000000000001</v>
      </c>
      <c r="DG15" s="430">
        <v>0.15570000000000001</v>
      </c>
      <c r="DH15" s="430">
        <v>0.1522</v>
      </c>
      <c r="DI15" s="431"/>
      <c r="DJ15" s="429" t="s">
        <v>127</v>
      </c>
      <c r="DK15" s="430">
        <v>0.16569999999999999</v>
      </c>
      <c r="DL15" s="430">
        <v>0.16339999999999999</v>
      </c>
      <c r="DM15" s="430">
        <v>0.16089999999999999</v>
      </c>
      <c r="DN15" s="430">
        <v>0.15989999999999999</v>
      </c>
      <c r="DO15" s="430">
        <v>0.16009999999999999</v>
      </c>
      <c r="DP15" s="430">
        <v>0.16109999999999999</v>
      </c>
      <c r="DQ15" s="430">
        <v>0.16189999999999999</v>
      </c>
      <c r="DR15" s="430">
        <v>0.16259999999999999</v>
      </c>
      <c r="DS15" s="430">
        <v>0.1618</v>
      </c>
      <c r="DT15" s="430">
        <v>0.16320000000000001</v>
      </c>
      <c r="DU15" s="430">
        <v>0.1623</v>
      </c>
      <c r="DV15" s="430">
        <v>0.1608</v>
      </c>
      <c r="DW15" s="431"/>
      <c r="DX15" s="429" t="s">
        <v>127</v>
      </c>
      <c r="DY15" s="430">
        <v>0.1608</v>
      </c>
      <c r="DZ15" s="430">
        <v>0.16061</v>
      </c>
      <c r="EA15" s="430">
        <v>0.16105</v>
      </c>
      <c r="EB15" s="430">
        <v>0.16220999999999999</v>
      </c>
      <c r="EC15" s="430">
        <v>0.16300999999999999</v>
      </c>
      <c r="ED15" s="430">
        <v>0.16292999999999999</v>
      </c>
      <c r="EE15" s="430">
        <v>0.16309999999999999</v>
      </c>
      <c r="EF15" s="430">
        <v>0.16350000000000001</v>
      </c>
      <c r="EG15" s="430">
        <v>0.16350000000000001</v>
      </c>
      <c r="EH15" s="430">
        <v>0.16420000000000001</v>
      </c>
      <c r="EI15" s="430">
        <v>0.1643</v>
      </c>
      <c r="EJ15" s="430">
        <v>0.16500000000000001</v>
      </c>
      <c r="EK15" s="431"/>
      <c r="EL15" s="429" t="s">
        <v>127</v>
      </c>
      <c r="EM15" s="430">
        <v>0.15851999999999999</v>
      </c>
      <c r="EN15" s="430">
        <v>0.15889</v>
      </c>
      <c r="EO15" s="430">
        <v>0.15876999999999999</v>
      </c>
      <c r="EP15" s="430">
        <v>0.15925</v>
      </c>
      <c r="EQ15" s="430">
        <v>0.15701999999999999</v>
      </c>
      <c r="ER15" s="430">
        <v>0.15737999999999999</v>
      </c>
      <c r="ES15" s="430">
        <v>0.15719</v>
      </c>
      <c r="ET15" s="430">
        <v>0.15751999999999999</v>
      </c>
      <c r="EU15" s="430">
        <v>0.15912000000000001</v>
      </c>
      <c r="EV15" s="430">
        <v>0.16033</v>
      </c>
      <c r="EW15" s="430">
        <v>0.16059999999999999</v>
      </c>
      <c r="EX15" s="430">
        <v>0.1605</v>
      </c>
      <c r="EY15" s="431"/>
      <c r="EZ15" s="429" t="s">
        <v>127</v>
      </c>
      <c r="FA15" s="430">
        <v>0.15162999999999999</v>
      </c>
      <c r="FB15" s="430">
        <v>0.15215999999999999</v>
      </c>
      <c r="FC15" s="430">
        <v>0.15271000000000001</v>
      </c>
      <c r="FD15" s="430">
        <v>0.15403</v>
      </c>
      <c r="FE15" s="430">
        <v>0.15434999999999999</v>
      </c>
      <c r="FF15" s="430">
        <v>0.15470999999999999</v>
      </c>
      <c r="FG15" s="430">
        <v>0.15534999999999999</v>
      </c>
      <c r="FH15" s="430">
        <v>0.15679000000000001</v>
      </c>
      <c r="FI15" s="430">
        <v>0.15670999999999999</v>
      </c>
      <c r="FJ15" s="430">
        <v>0.15736</v>
      </c>
      <c r="FK15" s="430">
        <v>0.15676000000000001</v>
      </c>
      <c r="FL15" s="430">
        <v>0.15886</v>
      </c>
      <c r="FM15" s="431"/>
      <c r="FN15" s="429" t="s">
        <v>127</v>
      </c>
      <c r="FO15" s="430">
        <v>0.14648</v>
      </c>
      <c r="FP15" s="430">
        <v>0.14649999999999999</v>
      </c>
      <c r="FQ15" s="430">
        <v>0.14649999999999999</v>
      </c>
      <c r="FR15" s="430">
        <v>0.14651</v>
      </c>
      <c r="FS15" s="430">
        <v>0.14646000000000001</v>
      </c>
      <c r="FT15" s="430">
        <v>0.14745</v>
      </c>
      <c r="FU15" s="430">
        <v>0.14760999999999999</v>
      </c>
      <c r="FV15" s="430">
        <v>0.14688999999999999</v>
      </c>
      <c r="FW15" s="430">
        <v>0.14943000000000001</v>
      </c>
      <c r="FX15" s="430">
        <v>0.14990999999999999</v>
      </c>
      <c r="FY15" s="430">
        <v>0.14999000000000001</v>
      </c>
      <c r="FZ15" s="430">
        <v>0.15135000000000001</v>
      </c>
      <c r="GA15" s="431"/>
      <c r="GB15" s="429" t="s">
        <v>127</v>
      </c>
      <c r="GC15" s="430">
        <v>0.14624000000000001</v>
      </c>
      <c r="GD15" s="430">
        <v>0.14621999999999999</v>
      </c>
      <c r="GE15" s="430">
        <v>0.14627000000000001</v>
      </c>
      <c r="GF15" s="430">
        <v>0.14660999999999999</v>
      </c>
      <c r="GG15" s="430">
        <v>0.14643</v>
      </c>
      <c r="GH15" s="430">
        <v>0.1464</v>
      </c>
      <c r="GI15" s="430">
        <v>0.14637</v>
      </c>
      <c r="GJ15" s="430">
        <v>0.1464</v>
      </c>
      <c r="GK15" s="430">
        <v>0.14649000000000001</v>
      </c>
      <c r="GL15" s="430">
        <v>0.14646999999999999</v>
      </c>
      <c r="GM15" s="430">
        <v>0.14646999999999999</v>
      </c>
      <c r="GN15" s="430">
        <v>0.14648</v>
      </c>
      <c r="GO15" s="431"/>
      <c r="GP15" s="429" t="s">
        <v>127</v>
      </c>
      <c r="GQ15" s="430">
        <v>0.13905000000000001</v>
      </c>
      <c r="GR15" s="430">
        <v>0.14058000000000001</v>
      </c>
      <c r="GS15" s="430">
        <v>0.14260999999999999</v>
      </c>
      <c r="GT15" s="430">
        <v>0.14316999999999999</v>
      </c>
      <c r="GU15" s="430">
        <v>0.14413999999999999</v>
      </c>
      <c r="GV15" s="430">
        <v>0.14573</v>
      </c>
      <c r="GW15" s="430">
        <v>0.14649000000000001</v>
      </c>
      <c r="GX15" s="430">
        <v>0.14643999999999999</v>
      </c>
      <c r="GY15" s="430">
        <v>0.14609</v>
      </c>
      <c r="GZ15" s="430">
        <v>0.14618</v>
      </c>
      <c r="HA15" s="430">
        <v>0.14645</v>
      </c>
      <c r="HB15" s="430">
        <v>0.14638999999999999</v>
      </c>
      <c r="HC15" s="431"/>
      <c r="HD15" s="429" t="s">
        <v>127</v>
      </c>
      <c r="HE15" s="430">
        <v>0.12862000000000001</v>
      </c>
      <c r="HF15" s="430">
        <v>0.12917000000000001</v>
      </c>
      <c r="HG15" s="430">
        <v>0.12942000000000001</v>
      </c>
      <c r="HH15" s="430">
        <v>0.12963</v>
      </c>
      <c r="HI15" s="430">
        <v>0.13077</v>
      </c>
      <c r="HJ15" s="430">
        <v>0.13131999999999999</v>
      </c>
      <c r="HK15" s="430">
        <v>0.13211999999999999</v>
      </c>
      <c r="HL15" s="430">
        <v>0.13261000000000001</v>
      </c>
      <c r="HM15" s="430">
        <v>0.13305</v>
      </c>
      <c r="HN15" s="430">
        <v>0.13383999999999999</v>
      </c>
      <c r="HO15" s="430">
        <v>0.13539000000000001</v>
      </c>
      <c r="HP15" s="430">
        <v>0.13691</v>
      </c>
      <c r="HQ15" s="431"/>
      <c r="HR15" s="429" t="s">
        <v>127</v>
      </c>
      <c r="HS15" s="430">
        <v>0.12404</v>
      </c>
      <c r="HT15" s="430">
        <v>0.12436999999999999</v>
      </c>
      <c r="HU15" s="430">
        <v>0.12458</v>
      </c>
      <c r="HV15" s="430">
        <v>0.12475</v>
      </c>
      <c r="HW15" s="430">
        <v>0.1246</v>
      </c>
      <c r="HX15" s="430">
        <v>0.12506999999999999</v>
      </c>
      <c r="HY15" s="430">
        <v>0.12545999999999999</v>
      </c>
      <c r="HZ15" s="430">
        <v>0.12565000000000001</v>
      </c>
      <c r="IA15" s="430">
        <v>0.12664</v>
      </c>
      <c r="IB15" s="430">
        <v>0.127</v>
      </c>
      <c r="IC15" s="430">
        <v>0.12769</v>
      </c>
      <c r="ID15" s="430">
        <v>0.12797</v>
      </c>
      <c r="IE15" s="431"/>
      <c r="IF15" s="429" t="s">
        <v>127</v>
      </c>
      <c r="IG15" s="430">
        <v>0.12082</v>
      </c>
      <c r="IH15" s="430">
        <v>0.12082</v>
      </c>
      <c r="II15" s="430">
        <v>0.12082</v>
      </c>
      <c r="IJ15" s="430">
        <v>0.12082</v>
      </c>
      <c r="IK15" s="430">
        <v>0.12083000000000001</v>
      </c>
      <c r="IL15" s="430">
        <v>0.12082</v>
      </c>
      <c r="IM15" s="430">
        <v>0.12333</v>
      </c>
      <c r="IN15" s="430">
        <v>0.1235</v>
      </c>
      <c r="IO15" s="430">
        <v>0.12356</v>
      </c>
      <c r="IP15" s="430">
        <v>0.12368999999999999</v>
      </c>
      <c r="IQ15" s="430">
        <v>0.12371</v>
      </c>
      <c r="IR15" s="430">
        <v>0.1239</v>
      </c>
    </row>
    <row r="16" spans="1:252" ht="22" customHeight="1" thickBot="1">
      <c r="A16" s="1" t="s">
        <v>299</v>
      </c>
      <c r="B16" s="429" t="s">
        <v>299</v>
      </c>
      <c r="C16" s="430">
        <v>1.291E-2</v>
      </c>
      <c r="D16" s="430">
        <v>9.3900000000000008E-3</v>
      </c>
      <c r="E16" s="430">
        <v>1.208E-2</v>
      </c>
      <c r="F16" s="430">
        <v>1.4109999999999999E-2</v>
      </c>
      <c r="G16" s="430">
        <v>1.5879999999999998E-2</v>
      </c>
      <c r="H16" s="430">
        <v>1.8290000000000001E-2</v>
      </c>
      <c r="I16" s="430">
        <v>1.5740000000000001E-2</v>
      </c>
      <c r="J16" s="430">
        <v>1.653E-2</v>
      </c>
      <c r="K16" s="430">
        <v>1.6369999999999999E-2</v>
      </c>
      <c r="L16" s="430">
        <v>1.6230000000000001E-2</v>
      </c>
      <c r="M16" s="546"/>
      <c r="N16" s="546"/>
      <c r="P16" s="429" t="s">
        <v>299</v>
      </c>
      <c r="Q16" s="430">
        <v>1.3259999999999999E-2</v>
      </c>
      <c r="R16" s="430">
        <v>1.342E-2</v>
      </c>
      <c r="S16" s="430">
        <v>1.325E-2</v>
      </c>
      <c r="T16" s="430">
        <v>1.332E-2</v>
      </c>
      <c r="U16" s="430">
        <v>1.363E-2</v>
      </c>
      <c r="V16" s="430">
        <v>1.3690000000000001E-2</v>
      </c>
      <c r="W16" s="430">
        <v>1.367E-2</v>
      </c>
      <c r="X16" s="430">
        <v>1.3650000000000001E-2</v>
      </c>
      <c r="Y16" s="430">
        <v>1.374E-2</v>
      </c>
      <c r="Z16" s="430">
        <v>1.409E-2</v>
      </c>
      <c r="AA16" s="430">
        <v>1.3429999999999999E-2</v>
      </c>
      <c r="AB16" s="430">
        <v>1.3339999999999999E-2</v>
      </c>
      <c r="AD16" s="429" t="s">
        <v>299</v>
      </c>
      <c r="AE16" s="430">
        <v>1.566E-2</v>
      </c>
      <c r="AF16" s="430">
        <v>1.4930000000000001E-2</v>
      </c>
      <c r="AG16" s="430">
        <v>1.2800000000000001E-2</v>
      </c>
      <c r="AH16" s="430">
        <v>1.353E-2</v>
      </c>
      <c r="AI16" s="430">
        <v>1.4149999999999999E-2</v>
      </c>
      <c r="AJ16" s="430">
        <v>1.404E-2</v>
      </c>
      <c r="AK16" s="430">
        <v>1.3480000000000001E-2</v>
      </c>
      <c r="AL16" s="430">
        <v>1.35E-2</v>
      </c>
      <c r="AM16" s="430">
        <v>1.289E-2</v>
      </c>
      <c r="AN16" s="430">
        <v>1.26E-2</v>
      </c>
      <c r="AO16" s="430">
        <v>1.308E-2</v>
      </c>
      <c r="AP16" s="430">
        <v>1.3520000000000001E-2</v>
      </c>
      <c r="AR16" s="432" t="s">
        <v>299</v>
      </c>
      <c r="AS16" s="430">
        <v>1.525E-2</v>
      </c>
      <c r="AT16" s="430">
        <v>1.5180000000000001E-2</v>
      </c>
      <c r="AU16" s="430">
        <v>1.5219999999999999E-2</v>
      </c>
      <c r="AV16" s="430">
        <v>1.5480000000000001E-2</v>
      </c>
      <c r="AW16" s="430">
        <v>1.529E-2</v>
      </c>
      <c r="AX16" s="430">
        <v>1.584E-2</v>
      </c>
      <c r="AY16" s="430">
        <v>1.5789999999999998E-2</v>
      </c>
      <c r="AZ16" s="430">
        <v>1.498E-2</v>
      </c>
      <c r="BA16" s="430">
        <v>1.541E-2</v>
      </c>
      <c r="BB16" s="430">
        <v>1.559E-2</v>
      </c>
      <c r="BC16" s="430">
        <v>1.555E-2</v>
      </c>
      <c r="BD16" s="430">
        <v>1.6119999999999999E-2</v>
      </c>
      <c r="BF16" s="429" t="s">
        <v>299</v>
      </c>
      <c r="BG16" s="430">
        <v>1.7770000000000001E-2</v>
      </c>
      <c r="BH16" s="430">
        <v>1.7780000000000001E-2</v>
      </c>
      <c r="BI16" s="430">
        <v>1.729E-2</v>
      </c>
      <c r="BJ16" s="430">
        <v>1.5869999999999999E-2</v>
      </c>
      <c r="BK16" s="430">
        <v>1.602E-2</v>
      </c>
      <c r="BL16" s="430">
        <v>1.592E-2</v>
      </c>
      <c r="BM16" s="430">
        <v>1.602E-2</v>
      </c>
      <c r="BN16" s="430">
        <v>1.4829999999999999E-2</v>
      </c>
      <c r="BO16" s="430">
        <v>1.528E-2</v>
      </c>
      <c r="BP16" s="430">
        <v>1.5180000000000001E-2</v>
      </c>
      <c r="BQ16" s="430">
        <v>1.491E-2</v>
      </c>
      <c r="BR16" s="430">
        <v>1.4420000000000001E-2</v>
      </c>
      <c r="BT16" s="429"/>
      <c r="BU16" s="430"/>
      <c r="BV16" s="430"/>
      <c r="BW16" s="430"/>
      <c r="BX16" s="430"/>
      <c r="BY16" s="430"/>
      <c r="BZ16" s="430"/>
      <c r="CA16" s="430"/>
      <c r="CB16" s="430"/>
      <c r="CC16" s="430"/>
      <c r="CD16" s="430"/>
      <c r="CE16" s="430"/>
      <c r="CF16" s="430"/>
      <c r="CH16" s="429"/>
      <c r="CI16" s="430"/>
      <c r="CJ16" s="430"/>
      <c r="CK16" s="430"/>
      <c r="CL16" s="430"/>
      <c r="CM16" s="430"/>
      <c r="CN16" s="430"/>
      <c r="CO16" s="430"/>
      <c r="CP16" s="430"/>
      <c r="CQ16" s="430"/>
      <c r="CR16" s="430"/>
      <c r="CS16" s="430"/>
      <c r="CT16" s="430"/>
      <c r="CV16" s="429"/>
      <c r="CW16" s="430"/>
      <c r="CX16" s="430"/>
      <c r="CY16" s="430"/>
      <c r="CZ16" s="430"/>
      <c r="DA16" s="430"/>
      <c r="DB16" s="430"/>
      <c r="DC16" s="430"/>
      <c r="DD16" s="430"/>
      <c r="DE16" s="430"/>
      <c r="DF16" s="430"/>
      <c r="DG16" s="430"/>
      <c r="DH16" s="430"/>
      <c r="DI16" s="431"/>
      <c r="DJ16" s="429"/>
      <c r="DK16" s="430"/>
      <c r="DL16" s="430"/>
      <c r="DM16" s="430"/>
      <c r="DN16" s="430"/>
      <c r="DO16" s="430"/>
      <c r="DP16" s="430"/>
      <c r="DQ16" s="430"/>
      <c r="DR16" s="430"/>
      <c r="DS16" s="430"/>
      <c r="DT16" s="430"/>
      <c r="DU16" s="430"/>
      <c r="DV16" s="430"/>
      <c r="DW16" s="431"/>
      <c r="DX16" s="429"/>
      <c r="DY16" s="430"/>
      <c r="DZ16" s="430"/>
      <c r="EA16" s="430"/>
      <c r="EB16" s="430"/>
      <c r="EC16" s="430"/>
      <c r="ED16" s="430"/>
      <c r="EE16" s="430"/>
      <c r="EF16" s="430"/>
      <c r="EG16" s="430"/>
      <c r="EH16" s="430"/>
      <c r="EI16" s="430"/>
      <c r="EJ16" s="430"/>
      <c r="EK16" s="431"/>
      <c r="EL16" s="429"/>
      <c r="EM16" s="430"/>
      <c r="EN16" s="430"/>
      <c r="EO16" s="430"/>
      <c r="EP16" s="430"/>
      <c r="EQ16" s="430"/>
      <c r="ER16" s="430"/>
      <c r="ES16" s="430"/>
      <c r="ET16" s="430"/>
      <c r="EU16" s="430"/>
      <c r="EV16" s="430"/>
      <c r="EW16" s="430"/>
      <c r="EX16" s="430"/>
      <c r="EY16" s="431"/>
      <c r="EZ16" s="429"/>
      <c r="FA16" s="430"/>
      <c r="FB16" s="430"/>
      <c r="FC16" s="430"/>
      <c r="FD16" s="430"/>
      <c r="FE16" s="430"/>
      <c r="FF16" s="430"/>
      <c r="FG16" s="430"/>
      <c r="FH16" s="430"/>
      <c r="FI16" s="430"/>
      <c r="FJ16" s="430"/>
      <c r="FK16" s="430"/>
      <c r="FL16" s="430"/>
      <c r="FM16" s="431"/>
      <c r="FN16" s="429"/>
      <c r="FO16" s="430"/>
      <c r="FP16" s="430"/>
      <c r="FQ16" s="430"/>
      <c r="FR16" s="430"/>
      <c r="FS16" s="430"/>
      <c r="FT16" s="430"/>
      <c r="FU16" s="430"/>
      <c r="FV16" s="430"/>
      <c r="FW16" s="430"/>
      <c r="FX16" s="430"/>
      <c r="FY16" s="430"/>
      <c r="FZ16" s="430"/>
      <c r="GA16" s="431"/>
      <c r="GB16" s="429"/>
      <c r="GC16" s="430"/>
      <c r="GD16" s="430"/>
      <c r="GE16" s="430"/>
      <c r="GF16" s="430"/>
      <c r="GG16" s="430"/>
      <c r="GH16" s="430"/>
      <c r="GI16" s="430"/>
      <c r="GJ16" s="430"/>
      <c r="GK16" s="430"/>
      <c r="GL16" s="430"/>
      <c r="GM16" s="430"/>
      <c r="GN16" s="430"/>
      <c r="GO16" s="431"/>
      <c r="GP16" s="429"/>
      <c r="GQ16" s="430"/>
      <c r="GR16" s="430"/>
      <c r="GS16" s="430"/>
      <c r="GT16" s="430"/>
      <c r="GU16" s="430"/>
      <c r="GV16" s="430"/>
      <c r="GW16" s="430"/>
      <c r="GX16" s="430"/>
      <c r="GY16" s="430"/>
      <c r="GZ16" s="430"/>
      <c r="HA16" s="430"/>
      <c r="HB16" s="430"/>
      <c r="HC16" s="431"/>
      <c r="HD16" s="429"/>
      <c r="HE16" s="430"/>
      <c r="HF16" s="430"/>
      <c r="HG16" s="430"/>
      <c r="HH16" s="430"/>
      <c r="HI16" s="430"/>
      <c r="HJ16" s="430"/>
      <c r="HK16" s="430"/>
      <c r="HL16" s="430"/>
      <c r="HM16" s="430"/>
      <c r="HN16" s="430"/>
      <c r="HO16" s="430"/>
      <c r="HP16" s="430"/>
      <c r="HQ16" s="431"/>
      <c r="HR16" s="429"/>
      <c r="HS16" s="430"/>
      <c r="HT16" s="430"/>
      <c r="HU16" s="430"/>
      <c r="HV16" s="430"/>
      <c r="HW16" s="430"/>
      <c r="HX16" s="430"/>
      <c r="HY16" s="430"/>
      <c r="HZ16" s="430"/>
      <c r="IA16" s="430"/>
      <c r="IB16" s="430"/>
      <c r="IC16" s="430"/>
      <c r="ID16" s="430"/>
      <c r="IE16" s="431"/>
      <c r="IF16" s="429"/>
      <c r="IG16" s="430"/>
      <c r="IH16" s="430"/>
      <c r="II16" s="430"/>
      <c r="IJ16" s="430"/>
      <c r="IK16" s="430"/>
      <c r="IL16" s="430"/>
      <c r="IM16" s="430"/>
      <c r="IN16" s="430"/>
      <c r="IO16" s="430"/>
      <c r="IP16" s="430"/>
      <c r="IQ16" s="430"/>
      <c r="IR16" s="430"/>
    </row>
    <row r="17" spans="1:252" ht="22" customHeight="1" thickBot="1">
      <c r="A17" s="1" t="s">
        <v>128</v>
      </c>
      <c r="B17" s="429" t="s">
        <v>128</v>
      </c>
      <c r="C17" s="430">
        <v>7.4560000000000001E-2</v>
      </c>
      <c r="D17" s="430">
        <v>7.2309999999999999E-2</v>
      </c>
      <c r="E17" s="430">
        <v>6.8169999999999994E-2</v>
      </c>
      <c r="F17" s="430">
        <v>6.7299999999999999E-2</v>
      </c>
      <c r="G17" s="430">
        <v>6.1030000000000001E-2</v>
      </c>
      <c r="H17" s="430">
        <v>5.9900000000000002E-2</v>
      </c>
      <c r="I17" s="430">
        <v>5.5820000000000002E-2</v>
      </c>
      <c r="J17" s="430">
        <v>5.4949999999999999E-2</v>
      </c>
      <c r="K17" s="430">
        <v>5.3969999999999997E-2</v>
      </c>
      <c r="L17" s="430">
        <v>5.3740000000000003E-2</v>
      </c>
      <c r="M17" s="546"/>
      <c r="N17" s="546"/>
      <c r="P17" s="429" t="s">
        <v>128</v>
      </c>
      <c r="Q17" s="430">
        <v>0.13700999999999999</v>
      </c>
      <c r="R17" s="430">
        <v>0.13466</v>
      </c>
      <c r="S17" s="430">
        <v>0.12088</v>
      </c>
      <c r="T17" s="430">
        <v>0.12044000000000001</v>
      </c>
      <c r="U17" s="430">
        <v>0.11791</v>
      </c>
      <c r="V17" s="430">
        <v>0.11507000000000001</v>
      </c>
      <c r="W17" s="430">
        <v>0.11864</v>
      </c>
      <c r="X17" s="430">
        <v>0.12028</v>
      </c>
      <c r="Y17" s="430">
        <v>0.11255999999999999</v>
      </c>
      <c r="Z17" s="430">
        <v>0.10397000000000001</v>
      </c>
      <c r="AA17" s="430">
        <v>7.5439999999999993E-2</v>
      </c>
      <c r="AB17" s="430">
        <v>7.5190000000000007E-2</v>
      </c>
      <c r="AD17" s="429" t="s">
        <v>128</v>
      </c>
      <c r="AE17" s="430">
        <v>0.16708000000000001</v>
      </c>
      <c r="AF17" s="430">
        <v>0.16005</v>
      </c>
      <c r="AG17" s="430">
        <v>0.15179999999999999</v>
      </c>
      <c r="AH17" s="430">
        <v>0.14307</v>
      </c>
      <c r="AI17" s="430">
        <v>0.14646999999999999</v>
      </c>
      <c r="AJ17" s="430">
        <v>0.14588999999999999</v>
      </c>
      <c r="AK17" s="430">
        <v>0.14332</v>
      </c>
      <c r="AL17" s="430">
        <v>0.1358</v>
      </c>
      <c r="AM17" s="430">
        <v>0.12975</v>
      </c>
      <c r="AN17" s="430">
        <v>0.11953</v>
      </c>
      <c r="AO17" s="430">
        <v>0.12781999999999999</v>
      </c>
      <c r="AP17" s="430">
        <v>0.13457</v>
      </c>
      <c r="AR17" s="432" t="s">
        <v>128</v>
      </c>
      <c r="AS17" s="430">
        <v>0.19284999999999999</v>
      </c>
      <c r="AT17" s="430">
        <v>0.18748999999999999</v>
      </c>
      <c r="AU17" s="430">
        <v>0.17874000000000001</v>
      </c>
      <c r="AV17" s="430">
        <v>0.16761999999999999</v>
      </c>
      <c r="AW17" s="430">
        <v>0.17165</v>
      </c>
      <c r="AX17" s="430">
        <v>0.17272000000000001</v>
      </c>
      <c r="AY17" s="430">
        <v>0.18096000000000001</v>
      </c>
      <c r="AZ17" s="430">
        <v>0.17152999999999999</v>
      </c>
      <c r="BA17" s="430">
        <v>0.17699000000000001</v>
      </c>
      <c r="BB17" s="430">
        <v>0.17479</v>
      </c>
      <c r="BC17" s="430">
        <v>0.17394999999999999</v>
      </c>
      <c r="BD17" s="430">
        <v>0.16803000000000001</v>
      </c>
      <c r="BF17" s="429" t="s">
        <v>128</v>
      </c>
      <c r="BG17" s="430">
        <v>0.26618000000000003</v>
      </c>
      <c r="BH17" s="430">
        <v>0.26313999999999999</v>
      </c>
      <c r="BI17" s="430">
        <v>0.24951999999999999</v>
      </c>
      <c r="BJ17" s="430">
        <v>0.24612000000000001</v>
      </c>
      <c r="BK17" s="430">
        <v>0.22051999999999999</v>
      </c>
      <c r="BL17" s="430">
        <v>0.21768000000000001</v>
      </c>
      <c r="BM17" s="430">
        <v>0.20368</v>
      </c>
      <c r="BN17" s="430">
        <v>0.15198</v>
      </c>
      <c r="BO17" s="430">
        <v>0.16442000000000001</v>
      </c>
      <c r="BP17" s="430">
        <v>0.17856</v>
      </c>
      <c r="BQ17" s="430">
        <v>0.19073999999999999</v>
      </c>
      <c r="BR17" s="430">
        <v>0.18892</v>
      </c>
      <c r="BT17" s="429" t="s">
        <v>128</v>
      </c>
      <c r="BU17" s="430">
        <v>0.26434999999999997</v>
      </c>
      <c r="BV17" s="430">
        <v>0.27516000000000002</v>
      </c>
      <c r="BW17" s="430">
        <v>0.27543000000000001</v>
      </c>
      <c r="BX17" s="430">
        <v>0.28114</v>
      </c>
      <c r="BY17" s="430">
        <v>0.28341</v>
      </c>
      <c r="BZ17" s="430">
        <v>0.28444999999999998</v>
      </c>
      <c r="CA17" s="430">
        <v>0.28364</v>
      </c>
      <c r="CB17" s="430">
        <v>0.2893</v>
      </c>
      <c r="CC17" s="430">
        <v>0.28076000000000001</v>
      </c>
      <c r="CD17" s="430">
        <v>0.26369999999999999</v>
      </c>
      <c r="CE17" s="430">
        <v>0.25459999999999999</v>
      </c>
      <c r="CF17" s="430">
        <v>0.26407999999999998</v>
      </c>
      <c r="CH17" s="429" t="s">
        <v>128</v>
      </c>
      <c r="CI17" s="430">
        <v>0.33796999999999999</v>
      </c>
      <c r="CJ17" s="430">
        <v>0.33717999999999998</v>
      </c>
      <c r="CK17" s="430">
        <v>0.35444999999999999</v>
      </c>
      <c r="CL17" s="430">
        <v>0.35705999999999999</v>
      </c>
      <c r="CM17" s="430">
        <v>0.33907999999999999</v>
      </c>
      <c r="CN17" s="430">
        <v>0.34720000000000001</v>
      </c>
      <c r="CO17" s="430">
        <v>0.33461999999999997</v>
      </c>
      <c r="CP17" s="430">
        <v>0.33798</v>
      </c>
      <c r="CQ17" s="430">
        <v>0.33334000000000003</v>
      </c>
      <c r="CR17" s="430">
        <v>0.32307999999999998</v>
      </c>
      <c r="CS17" s="430">
        <v>0.29104000000000002</v>
      </c>
      <c r="CT17" s="430">
        <v>0.28377999999999998</v>
      </c>
      <c r="CV17" s="429" t="s">
        <v>128</v>
      </c>
      <c r="CW17" s="430">
        <v>0.40895999999999999</v>
      </c>
      <c r="CX17" s="430">
        <v>0.39912999999999998</v>
      </c>
      <c r="CY17" s="430">
        <v>0.38479999999999998</v>
      </c>
      <c r="CZ17" s="430">
        <v>0.37436000000000003</v>
      </c>
      <c r="DA17" s="430">
        <v>0.37579000000000001</v>
      </c>
      <c r="DB17" s="430">
        <v>0.37254999999999999</v>
      </c>
      <c r="DC17" s="430">
        <v>0.36098000000000002</v>
      </c>
      <c r="DD17" s="430">
        <v>0.34376000000000001</v>
      </c>
      <c r="DE17" s="430">
        <v>0.33037</v>
      </c>
      <c r="DF17" s="430">
        <v>0.34316999999999998</v>
      </c>
      <c r="DG17" s="430">
        <v>0.34332000000000001</v>
      </c>
      <c r="DH17" s="430">
        <v>0.34322000000000003</v>
      </c>
      <c r="DI17" s="431"/>
      <c r="DJ17" s="429" t="s">
        <v>128</v>
      </c>
      <c r="DK17" s="430">
        <v>0.44285999999999998</v>
      </c>
      <c r="DL17" s="430">
        <v>0.45423999999999998</v>
      </c>
      <c r="DM17" s="430">
        <v>0.46706999999999999</v>
      </c>
      <c r="DN17" s="430">
        <v>0.47242000000000001</v>
      </c>
      <c r="DO17" s="430">
        <v>0.47722999999999999</v>
      </c>
      <c r="DP17" s="430">
        <v>0.47214</v>
      </c>
      <c r="DQ17" s="430">
        <v>0.46627999999999997</v>
      </c>
      <c r="DR17" s="430">
        <v>0.46314</v>
      </c>
      <c r="DS17" s="430">
        <v>0.43897000000000003</v>
      </c>
      <c r="DT17" s="430">
        <v>0.44988</v>
      </c>
      <c r="DU17" s="430">
        <v>0.45040000000000002</v>
      </c>
      <c r="DV17" s="430">
        <v>0.42766999999999999</v>
      </c>
      <c r="DW17" s="431"/>
      <c r="DX17" s="429" t="s">
        <v>128</v>
      </c>
      <c r="DY17" s="430">
        <v>0.56869999999999998</v>
      </c>
      <c r="DZ17" s="430">
        <v>0.55656000000000005</v>
      </c>
      <c r="EA17" s="430">
        <v>0.55137000000000003</v>
      </c>
      <c r="EB17" s="430">
        <v>0.55747000000000002</v>
      </c>
      <c r="EC17" s="430">
        <v>0.53425999999999996</v>
      </c>
      <c r="ED17" s="430">
        <v>0.51854</v>
      </c>
      <c r="EE17" s="430">
        <v>0.51568000000000003</v>
      </c>
      <c r="EF17" s="430">
        <v>0.49068000000000001</v>
      </c>
      <c r="EG17" s="430">
        <v>0.49481999999999998</v>
      </c>
      <c r="EH17" s="430">
        <v>0.50139999999999996</v>
      </c>
      <c r="EI17" s="430">
        <v>0.49434</v>
      </c>
      <c r="EJ17" s="430">
        <v>0.46493000000000001</v>
      </c>
      <c r="EK17" s="431"/>
      <c r="EL17" s="429" t="s">
        <v>128</v>
      </c>
      <c r="EM17" s="430">
        <v>0.56477999999999995</v>
      </c>
      <c r="EN17" s="430">
        <v>0.57382</v>
      </c>
      <c r="EO17" s="430">
        <v>0.56079000000000001</v>
      </c>
      <c r="EP17" s="430">
        <v>0.56872999999999996</v>
      </c>
      <c r="EQ17" s="430">
        <v>0.53647999999999996</v>
      </c>
      <c r="ER17" s="430">
        <v>0.55313000000000001</v>
      </c>
      <c r="ES17" s="430">
        <v>0.55815999999999999</v>
      </c>
      <c r="ET17" s="430">
        <v>0.55062999999999995</v>
      </c>
      <c r="EU17" s="430">
        <v>0.55630000000000002</v>
      </c>
      <c r="EV17" s="430">
        <v>0.55725999999999998</v>
      </c>
      <c r="EW17" s="430">
        <v>0.55952999999999997</v>
      </c>
      <c r="EX17" s="430">
        <v>0.56035000000000001</v>
      </c>
      <c r="EY17" s="431"/>
      <c r="EZ17" s="429" t="s">
        <v>128</v>
      </c>
      <c r="FA17" s="430">
        <v>0.62417999999999996</v>
      </c>
      <c r="FB17" s="430">
        <v>0.62526999999999999</v>
      </c>
      <c r="FC17" s="430">
        <v>0.64798</v>
      </c>
      <c r="FD17" s="430">
        <v>0.65898000000000001</v>
      </c>
      <c r="FE17" s="430">
        <v>0.62656999999999996</v>
      </c>
      <c r="FF17" s="430">
        <v>0.61660000000000004</v>
      </c>
      <c r="FG17" s="430">
        <v>0.59411000000000003</v>
      </c>
      <c r="FH17" s="430">
        <v>0.58167000000000002</v>
      </c>
      <c r="FI17" s="430">
        <v>0.53703000000000001</v>
      </c>
      <c r="FJ17" s="430">
        <v>0.56840999999999997</v>
      </c>
      <c r="FK17" s="430">
        <v>0.54666000000000003</v>
      </c>
      <c r="FL17" s="430">
        <v>0.53</v>
      </c>
      <c r="FM17" s="431"/>
      <c r="FN17" s="429" t="s">
        <v>128</v>
      </c>
      <c r="FO17" s="430">
        <v>0.67159000000000002</v>
      </c>
      <c r="FP17" s="430">
        <v>0.64675000000000005</v>
      </c>
      <c r="FQ17" s="430">
        <v>0.65669</v>
      </c>
      <c r="FR17" s="430">
        <v>0.67335999999999996</v>
      </c>
      <c r="FS17" s="430">
        <v>0.63593</v>
      </c>
      <c r="FT17" s="430">
        <v>0.63166999999999995</v>
      </c>
      <c r="FU17" s="430">
        <v>0.66110999999999998</v>
      </c>
      <c r="FV17" s="430">
        <v>0.66110000000000002</v>
      </c>
      <c r="FW17" s="430">
        <v>0.66110000000000002</v>
      </c>
      <c r="FX17" s="430">
        <v>0.66110000000000002</v>
      </c>
      <c r="FY17" s="430">
        <v>0.66110000000000002</v>
      </c>
      <c r="FZ17" s="430">
        <v>0.66110000000000002</v>
      </c>
      <c r="GA17" s="431"/>
      <c r="GB17" s="429" t="s">
        <v>128</v>
      </c>
      <c r="GC17" s="430">
        <v>0.61350000000000005</v>
      </c>
      <c r="GD17" s="430">
        <v>0.59258999999999995</v>
      </c>
      <c r="GE17" s="430">
        <v>0.58735000000000004</v>
      </c>
      <c r="GF17" s="430">
        <v>0.62488999999999995</v>
      </c>
      <c r="GG17" s="430">
        <v>0.64880000000000004</v>
      </c>
      <c r="GH17" s="430">
        <v>0.65178000000000003</v>
      </c>
      <c r="GI17" s="430">
        <v>0.67613000000000001</v>
      </c>
      <c r="GJ17" s="430">
        <v>0.66522999999999999</v>
      </c>
      <c r="GK17" s="430">
        <v>0.67439000000000004</v>
      </c>
      <c r="GL17" s="430">
        <v>0.66881000000000002</v>
      </c>
      <c r="GM17" s="430">
        <v>0.65339000000000003</v>
      </c>
      <c r="GN17" s="430">
        <v>0.66932000000000003</v>
      </c>
      <c r="GO17" s="431"/>
      <c r="GP17" s="429" t="s">
        <v>128</v>
      </c>
      <c r="GQ17" s="430">
        <v>0.85121000000000002</v>
      </c>
      <c r="GR17" s="430">
        <v>0.84480999999999995</v>
      </c>
      <c r="GS17" s="430">
        <v>0.74811000000000005</v>
      </c>
      <c r="GT17" s="430">
        <v>0.77507000000000004</v>
      </c>
      <c r="GU17" s="430">
        <v>0.82284000000000002</v>
      </c>
      <c r="GV17" s="430">
        <v>0.81499999999999995</v>
      </c>
      <c r="GW17" s="430">
        <v>0.85580000000000001</v>
      </c>
      <c r="GX17" s="430">
        <v>0.84302999999999995</v>
      </c>
      <c r="GY17" s="430">
        <v>0.79378000000000004</v>
      </c>
      <c r="GZ17" s="430">
        <v>0.64990000000000003</v>
      </c>
      <c r="HA17" s="430">
        <v>0.63593</v>
      </c>
      <c r="HB17" s="430">
        <v>0.65715999999999997</v>
      </c>
      <c r="HC17" s="431"/>
      <c r="HD17" s="429" t="s">
        <v>128</v>
      </c>
      <c r="HE17" s="430">
        <v>0.69967000000000001</v>
      </c>
      <c r="HF17" s="430">
        <v>0.70618999999999998</v>
      </c>
      <c r="HG17" s="430">
        <v>0.71748999999999996</v>
      </c>
      <c r="HH17" s="430">
        <v>0.74850000000000005</v>
      </c>
      <c r="HI17" s="430">
        <v>0.75160000000000005</v>
      </c>
      <c r="HJ17" s="430">
        <v>0.76092000000000004</v>
      </c>
      <c r="HK17" s="430">
        <v>0.76944000000000001</v>
      </c>
      <c r="HL17" s="430">
        <v>0.76393999999999995</v>
      </c>
      <c r="HM17" s="430">
        <v>0.82369000000000003</v>
      </c>
      <c r="HN17" s="430">
        <v>0.84167999999999998</v>
      </c>
      <c r="HO17" s="430">
        <v>0.84140000000000004</v>
      </c>
      <c r="HP17" s="430">
        <v>0.85360999999999998</v>
      </c>
      <c r="HQ17" s="431"/>
      <c r="HR17" s="429" t="s">
        <v>128</v>
      </c>
      <c r="HS17" s="430">
        <v>0.75568999999999997</v>
      </c>
      <c r="HT17" s="430">
        <v>0.76075000000000004</v>
      </c>
      <c r="HU17" s="430">
        <v>0.73970000000000002</v>
      </c>
      <c r="HV17" s="430">
        <v>0.75651999999999997</v>
      </c>
      <c r="HW17" s="430">
        <v>0.64475000000000005</v>
      </c>
      <c r="HX17" s="430">
        <v>0.62444999999999995</v>
      </c>
      <c r="HY17" s="430">
        <v>0.67001999999999995</v>
      </c>
      <c r="HZ17" s="430">
        <v>0.68247999999999998</v>
      </c>
      <c r="IA17" s="430">
        <v>0.66346000000000005</v>
      </c>
      <c r="IB17" s="430">
        <v>0.68516999999999995</v>
      </c>
      <c r="IC17" s="430">
        <v>0.68293999999999999</v>
      </c>
      <c r="ID17" s="430">
        <v>0.70645999999999998</v>
      </c>
      <c r="IE17" s="431"/>
      <c r="IF17" s="429" t="s">
        <v>128</v>
      </c>
      <c r="IG17" s="430">
        <v>7.5000000000000002E-4</v>
      </c>
      <c r="IH17" s="430">
        <v>7.6999999999999996E-4</v>
      </c>
      <c r="II17" s="430">
        <v>7.2999999999999996E-4</v>
      </c>
      <c r="IJ17" s="430">
        <v>7.1000000000000002E-4</v>
      </c>
      <c r="IK17" s="430">
        <v>7.2999999999999996E-4</v>
      </c>
      <c r="IL17" s="430">
        <v>7.5000000000000002E-4</v>
      </c>
      <c r="IM17" s="430">
        <v>7.5000000000000002E-4</v>
      </c>
      <c r="IN17" s="430">
        <v>7.3999999999999999E-4</v>
      </c>
      <c r="IO17" s="430">
        <v>7.3999999999999999E-4</v>
      </c>
      <c r="IP17" s="430">
        <v>7.3999999999999999E-4</v>
      </c>
      <c r="IQ17" s="430">
        <v>7.3999999999999999E-4</v>
      </c>
      <c r="IR17" s="430">
        <v>7.3999999999999999E-4</v>
      </c>
    </row>
    <row r="18" spans="1:252" ht="22" customHeight="1" thickBot="1">
      <c r="A18" s="1" t="s">
        <v>629</v>
      </c>
      <c r="B18" s="429" t="s">
        <v>629</v>
      </c>
      <c r="C18" s="430">
        <v>3.15E-3</v>
      </c>
      <c r="D18" s="430">
        <v>3.0300000000000001E-3</v>
      </c>
      <c r="E18" s="430">
        <v>3.0300000000000001E-3</v>
      </c>
      <c r="F18" s="430">
        <v>2.7899999999999999E-3</v>
      </c>
      <c r="G18" s="430">
        <v>2.7000000000000001E-3</v>
      </c>
      <c r="H18" s="430">
        <v>2.63E-3</v>
      </c>
      <c r="I18" s="430">
        <v>2.5200000000000001E-3</v>
      </c>
      <c r="J18" s="430">
        <v>2.5000000000000001E-3</v>
      </c>
      <c r="K18" s="430">
        <v>2.32E-3</v>
      </c>
      <c r="L18" s="430">
        <v>2.4099999999999998E-3</v>
      </c>
      <c r="M18" s="546"/>
      <c r="N18" s="546"/>
      <c r="P18" s="429" t="s">
        <v>629</v>
      </c>
      <c r="Q18" s="430">
        <v>3.3999999999999998E-3</v>
      </c>
      <c r="R18" s="430">
        <v>3.3500000000000001E-3</v>
      </c>
      <c r="S18" s="430">
        <v>3.2399999999999998E-3</v>
      </c>
      <c r="T18" s="430">
        <v>3.3400000000000001E-3</v>
      </c>
      <c r="U18" s="430">
        <v>3.5200000000000001E-3</v>
      </c>
      <c r="V18" s="430">
        <v>3.3800000000000002E-3</v>
      </c>
      <c r="W18" s="430">
        <v>3.32E-3</v>
      </c>
      <c r="X18" s="430">
        <v>3.3800000000000002E-3</v>
      </c>
      <c r="Y18" s="430">
        <v>3.2299999999999998E-3</v>
      </c>
      <c r="Z18" s="430">
        <v>3.2200000000000002E-3</v>
      </c>
      <c r="AA18" s="430">
        <v>3.0799999999999998E-3</v>
      </c>
      <c r="AB18" s="430">
        <v>3.0799999999999998E-3</v>
      </c>
      <c r="AD18" s="429"/>
      <c r="AE18" s="430"/>
      <c r="AF18" s="430"/>
      <c r="AG18" s="430"/>
      <c r="AH18" s="430"/>
      <c r="AI18" s="430"/>
      <c r="AJ18" s="430"/>
      <c r="AK18" s="430"/>
      <c r="AL18" s="430"/>
      <c r="AM18" s="430"/>
      <c r="AN18" s="430"/>
      <c r="AO18" s="430"/>
      <c r="AP18" s="430"/>
      <c r="AR18" s="432"/>
      <c r="AS18" s="430"/>
      <c r="AT18" s="430"/>
      <c r="AU18" s="430"/>
      <c r="AV18" s="430"/>
      <c r="AW18" s="430"/>
      <c r="AX18" s="430"/>
      <c r="AY18" s="430"/>
      <c r="AZ18" s="430"/>
      <c r="BA18" s="430"/>
      <c r="BB18" s="430"/>
      <c r="BC18" s="430"/>
      <c r="BD18" s="430"/>
      <c r="BF18" s="429"/>
      <c r="BG18" s="430"/>
      <c r="BH18" s="430"/>
      <c r="BI18" s="430"/>
      <c r="BJ18" s="430"/>
      <c r="BK18" s="430"/>
      <c r="BL18" s="430"/>
      <c r="BM18" s="430"/>
      <c r="BN18" s="430"/>
      <c r="BO18" s="430"/>
      <c r="BP18" s="430"/>
      <c r="BQ18" s="430"/>
      <c r="BR18" s="430"/>
      <c r="BT18" s="429"/>
      <c r="BU18" s="430"/>
      <c r="BV18" s="430"/>
      <c r="BW18" s="430"/>
      <c r="BX18" s="430"/>
      <c r="BY18" s="430"/>
      <c r="BZ18" s="430"/>
      <c r="CA18" s="430"/>
      <c r="CB18" s="430"/>
      <c r="CC18" s="430"/>
      <c r="CD18" s="430"/>
      <c r="CE18" s="430"/>
      <c r="CF18" s="430"/>
      <c r="CH18" s="429"/>
      <c r="CI18" s="430"/>
      <c r="CJ18" s="430"/>
      <c r="CK18" s="430"/>
      <c r="CL18" s="430"/>
      <c r="CM18" s="430"/>
      <c r="CN18" s="430"/>
      <c r="CO18" s="430"/>
      <c r="CP18" s="430"/>
      <c r="CQ18" s="430"/>
      <c r="CR18" s="430"/>
      <c r="CS18" s="430"/>
      <c r="CT18" s="430"/>
      <c r="CV18" s="429"/>
      <c r="CW18" s="430"/>
      <c r="CX18" s="430"/>
      <c r="CY18" s="430"/>
      <c r="CZ18" s="430"/>
      <c r="DA18" s="430"/>
      <c r="DB18" s="430"/>
      <c r="DC18" s="430"/>
      <c r="DD18" s="430"/>
      <c r="DE18" s="430"/>
      <c r="DF18" s="430"/>
      <c r="DG18" s="430"/>
      <c r="DH18" s="430"/>
      <c r="DI18" s="431"/>
      <c r="DJ18" s="429"/>
      <c r="DK18" s="430"/>
      <c r="DL18" s="430"/>
      <c r="DM18" s="430"/>
      <c r="DN18" s="430"/>
      <c r="DO18" s="430"/>
      <c r="DP18" s="430"/>
      <c r="DQ18" s="430"/>
      <c r="DR18" s="430"/>
      <c r="DS18" s="430"/>
      <c r="DT18" s="430"/>
      <c r="DU18" s="430"/>
      <c r="DV18" s="430"/>
      <c r="DW18" s="431"/>
      <c r="DX18" s="429"/>
      <c r="DY18" s="430"/>
      <c r="DZ18" s="430"/>
      <c r="EA18" s="430"/>
      <c r="EB18" s="430"/>
      <c r="EC18" s="430"/>
      <c r="ED18" s="430"/>
      <c r="EE18" s="430"/>
      <c r="EF18" s="430"/>
      <c r="EG18" s="430"/>
      <c r="EH18" s="430"/>
      <c r="EI18" s="430"/>
      <c r="EJ18" s="430"/>
      <c r="EK18" s="431"/>
      <c r="EL18" s="429"/>
      <c r="EM18" s="430"/>
      <c r="EN18" s="430"/>
      <c r="EO18" s="430"/>
      <c r="EP18" s="430"/>
      <c r="EQ18" s="430"/>
      <c r="ER18" s="430"/>
      <c r="ES18" s="430"/>
      <c r="ET18" s="430"/>
      <c r="EU18" s="430"/>
      <c r="EV18" s="430"/>
      <c r="EW18" s="430"/>
      <c r="EX18" s="430"/>
      <c r="EY18" s="431"/>
      <c r="EZ18" s="429"/>
      <c r="FA18" s="430"/>
      <c r="FB18" s="430"/>
      <c r="FC18" s="430"/>
      <c r="FD18" s="430"/>
      <c r="FE18" s="430"/>
      <c r="FF18" s="430"/>
      <c r="FG18" s="430"/>
      <c r="FH18" s="430"/>
      <c r="FI18" s="430"/>
      <c r="FJ18" s="430"/>
      <c r="FK18" s="430"/>
      <c r="FL18" s="430"/>
      <c r="FM18" s="431"/>
      <c r="FN18" s="429"/>
      <c r="FO18" s="430"/>
      <c r="FP18" s="430"/>
      <c r="FQ18" s="430"/>
      <c r="FR18" s="430"/>
      <c r="FS18" s="430"/>
      <c r="FT18" s="430"/>
      <c r="FU18" s="430"/>
      <c r="FV18" s="430"/>
      <c r="FW18" s="430"/>
      <c r="FX18" s="430"/>
      <c r="FY18" s="430"/>
      <c r="FZ18" s="430"/>
      <c r="GA18" s="431"/>
      <c r="GB18" s="429"/>
      <c r="GC18" s="430"/>
      <c r="GD18" s="430"/>
      <c r="GE18" s="430"/>
      <c r="GF18" s="430"/>
      <c r="GG18" s="430"/>
      <c r="GH18" s="430"/>
      <c r="GI18" s="430"/>
      <c r="GJ18" s="430"/>
      <c r="GK18" s="430"/>
      <c r="GL18" s="430"/>
      <c r="GM18" s="430"/>
      <c r="GN18" s="430"/>
      <c r="GO18" s="431"/>
      <c r="GP18" s="429"/>
      <c r="GQ18" s="430"/>
      <c r="GR18" s="430"/>
      <c r="GS18" s="430"/>
      <c r="GT18" s="430"/>
      <c r="GU18" s="430"/>
      <c r="GV18" s="430"/>
      <c r="GW18" s="430"/>
      <c r="GX18" s="430"/>
      <c r="GY18" s="430"/>
      <c r="GZ18" s="430"/>
      <c r="HA18" s="430"/>
      <c r="HB18" s="430"/>
      <c r="HC18" s="431"/>
      <c r="HD18" s="429"/>
      <c r="HE18" s="430"/>
      <c r="HF18" s="430"/>
      <c r="HG18" s="430"/>
      <c r="HH18" s="430"/>
      <c r="HI18" s="430"/>
      <c r="HJ18" s="430"/>
      <c r="HK18" s="430"/>
      <c r="HL18" s="430"/>
      <c r="HM18" s="430"/>
      <c r="HN18" s="430"/>
      <c r="HO18" s="430"/>
      <c r="HP18" s="430"/>
      <c r="HQ18" s="431"/>
      <c r="HR18" s="429"/>
      <c r="HS18" s="430"/>
      <c r="HT18" s="430"/>
      <c r="HU18" s="430"/>
      <c r="HV18" s="430"/>
      <c r="HW18" s="430"/>
      <c r="HX18" s="430"/>
      <c r="HY18" s="430"/>
      <c r="HZ18" s="430"/>
      <c r="IA18" s="430"/>
      <c r="IB18" s="430"/>
      <c r="IC18" s="430"/>
      <c r="ID18" s="430"/>
      <c r="IE18" s="431"/>
      <c r="IF18" s="429"/>
      <c r="IG18" s="430"/>
      <c r="IH18" s="430"/>
      <c r="II18" s="430"/>
      <c r="IJ18" s="430"/>
      <c r="IK18" s="430"/>
      <c r="IL18" s="430"/>
      <c r="IM18" s="430"/>
      <c r="IN18" s="430"/>
      <c r="IO18" s="430"/>
      <c r="IP18" s="430"/>
      <c r="IQ18" s="430"/>
      <c r="IR18" s="430"/>
    </row>
    <row r="19" spans="1:252" ht="22" customHeight="1" thickBot="1">
      <c r="A19" s="1" t="s">
        <v>181</v>
      </c>
      <c r="B19" s="429" t="s">
        <v>181</v>
      </c>
      <c r="C19" s="430">
        <v>1.34E-2</v>
      </c>
      <c r="D19" s="430">
        <v>1.3270000000000001E-2</v>
      </c>
      <c r="E19" s="430">
        <v>1.321E-2</v>
      </c>
      <c r="F19" s="430">
        <v>1.308E-2</v>
      </c>
      <c r="G19" s="430">
        <v>1.2869999999999999E-2</v>
      </c>
      <c r="H19" s="430">
        <v>1.2659999999999999E-2</v>
      </c>
      <c r="I19" s="430">
        <v>1.261E-2</v>
      </c>
      <c r="J19" s="430">
        <v>1.259E-2</v>
      </c>
      <c r="K19" s="430">
        <v>1.2279999999999999E-2</v>
      </c>
      <c r="L19" s="430">
        <v>1.2070000000000001E-2</v>
      </c>
      <c r="M19" s="546"/>
      <c r="N19" s="546"/>
      <c r="P19" s="429" t="s">
        <v>181</v>
      </c>
      <c r="Q19" s="430">
        <v>1.371E-2</v>
      </c>
      <c r="R19" s="430">
        <v>1.3610000000000001E-2</v>
      </c>
      <c r="S19" s="430">
        <v>1.3679999999999999E-2</v>
      </c>
      <c r="T19" s="430">
        <v>1.35E-2</v>
      </c>
      <c r="U19" s="430">
        <v>1.3769999999999999E-2</v>
      </c>
      <c r="V19" s="430">
        <v>1.345E-2</v>
      </c>
      <c r="W19" s="430">
        <v>1.3440000000000001E-2</v>
      </c>
      <c r="X19" s="430">
        <v>1.37E-2</v>
      </c>
      <c r="Y19" s="430">
        <v>1.346E-2</v>
      </c>
      <c r="Z19" s="430">
        <v>1.3350000000000001E-2</v>
      </c>
      <c r="AA19" s="430">
        <v>1.3299999999999999E-2</v>
      </c>
      <c r="AB19" s="430">
        <v>1.346E-2</v>
      </c>
      <c r="AD19" s="429" t="s">
        <v>181</v>
      </c>
      <c r="AE19" s="430">
        <v>1.397E-2</v>
      </c>
      <c r="AF19" s="430">
        <v>1.384E-2</v>
      </c>
      <c r="AG19" s="430">
        <v>1.3259999999999999E-2</v>
      </c>
      <c r="AH19" s="430">
        <v>1.332E-2</v>
      </c>
      <c r="AI19" s="430">
        <v>1.3220000000000001E-2</v>
      </c>
      <c r="AJ19" s="430">
        <v>1.324E-2</v>
      </c>
      <c r="AK19" s="430">
        <v>1.337E-2</v>
      </c>
      <c r="AL19" s="430">
        <v>1.358E-2</v>
      </c>
      <c r="AM19" s="430">
        <v>1.355E-2</v>
      </c>
      <c r="AN19" s="430">
        <v>1.349E-2</v>
      </c>
      <c r="AO19" s="430">
        <v>1.35E-2</v>
      </c>
      <c r="AP19" s="430">
        <v>1.3679999999999999E-2</v>
      </c>
      <c r="AR19" s="432" t="s">
        <v>181</v>
      </c>
      <c r="AS19" s="430">
        <v>1.409E-2</v>
      </c>
      <c r="AT19" s="430">
        <v>1.4120000000000001E-2</v>
      </c>
      <c r="AU19" s="430">
        <v>1.443E-2</v>
      </c>
      <c r="AV19" s="430">
        <v>1.4370000000000001E-2</v>
      </c>
      <c r="AW19" s="430">
        <v>1.4370000000000001E-2</v>
      </c>
      <c r="AX19" s="430">
        <v>1.4500000000000001E-2</v>
      </c>
      <c r="AY19" s="430">
        <v>1.453E-2</v>
      </c>
      <c r="AZ19" s="430">
        <v>1.396E-2</v>
      </c>
      <c r="BA19" s="430">
        <v>1.4149999999999999E-2</v>
      </c>
      <c r="BB19" s="430">
        <v>1.406E-2</v>
      </c>
      <c r="BC19" s="430">
        <v>1.3939999999999999E-2</v>
      </c>
      <c r="BD19" s="430">
        <v>1.404E-2</v>
      </c>
      <c r="BF19" s="429" t="s">
        <v>181</v>
      </c>
      <c r="BG19" s="430">
        <v>1.5709999999999998E-2</v>
      </c>
      <c r="BH19" s="430">
        <v>1.5339999999999999E-2</v>
      </c>
      <c r="BI19" s="430">
        <v>1.5350000000000001E-2</v>
      </c>
      <c r="BJ19" s="430">
        <v>1.504E-2</v>
      </c>
      <c r="BK19" s="430">
        <v>1.4829999999999999E-2</v>
      </c>
      <c r="BL19" s="430">
        <v>1.461E-2</v>
      </c>
      <c r="BM19" s="430">
        <v>1.46E-2</v>
      </c>
      <c r="BN19" s="430">
        <v>1.4120000000000001E-2</v>
      </c>
      <c r="BO19" s="430">
        <v>1.379E-2</v>
      </c>
      <c r="BP19" s="430">
        <v>1.35E-2</v>
      </c>
      <c r="BQ19" s="430">
        <v>1.434E-2</v>
      </c>
      <c r="BR19" s="430">
        <v>1.438E-2</v>
      </c>
      <c r="BT19" s="429" t="s">
        <v>181</v>
      </c>
      <c r="BU19" s="430">
        <v>1.481E-2</v>
      </c>
      <c r="BV19" s="430">
        <v>1.4999999999999999E-2</v>
      </c>
      <c r="BW19" s="430">
        <v>1.5429999999999999E-2</v>
      </c>
      <c r="BX19" s="430">
        <v>1.5570000000000001E-2</v>
      </c>
      <c r="BY19" s="430">
        <v>1.5509999999999999E-2</v>
      </c>
      <c r="BZ19" s="430">
        <v>1.5480000000000001E-2</v>
      </c>
      <c r="CA19" s="430">
        <v>1.559E-2</v>
      </c>
      <c r="CB19" s="430">
        <v>1.5630000000000002E-2</v>
      </c>
      <c r="CC19" s="430">
        <v>1.5299999999999999E-2</v>
      </c>
      <c r="CD19" s="430">
        <v>1.546E-2</v>
      </c>
      <c r="CE19" s="430">
        <v>1.549E-2</v>
      </c>
      <c r="CF19" s="430">
        <v>1.566E-2</v>
      </c>
      <c r="CH19" s="429"/>
      <c r="CI19" s="430"/>
      <c r="CJ19" s="430"/>
      <c r="CK19" s="430"/>
      <c r="CL19" s="430"/>
      <c r="CM19" s="430"/>
      <c r="CN19" s="430"/>
      <c r="CO19" s="430"/>
      <c r="CP19" s="430"/>
      <c r="CQ19" s="430"/>
      <c r="CR19" s="430"/>
      <c r="CS19" s="430"/>
      <c r="CT19" s="430"/>
      <c r="CV19" s="429"/>
      <c r="CW19" s="430"/>
      <c r="CX19" s="430"/>
      <c r="CY19" s="430"/>
      <c r="CZ19" s="430"/>
      <c r="DA19" s="430"/>
      <c r="DB19" s="430"/>
      <c r="DC19" s="430"/>
      <c r="DD19" s="430"/>
      <c r="DE19" s="430"/>
      <c r="DF19" s="430"/>
      <c r="DG19" s="430"/>
      <c r="DH19" s="430"/>
      <c r="DJ19" s="429"/>
      <c r="DK19" s="430"/>
      <c r="DL19" s="430"/>
      <c r="DM19" s="430"/>
      <c r="DN19" s="430"/>
      <c r="DO19" s="430"/>
      <c r="DP19" s="430"/>
      <c r="DQ19" s="430"/>
      <c r="DR19" s="430"/>
      <c r="DS19" s="430"/>
      <c r="DT19" s="430"/>
      <c r="DU19" s="430"/>
      <c r="DV19" s="430"/>
      <c r="DX19" s="429"/>
      <c r="DY19" s="430"/>
      <c r="DZ19" s="430"/>
      <c r="EA19" s="430"/>
      <c r="EB19" s="430"/>
      <c r="EC19" s="430"/>
      <c r="ED19" s="430"/>
      <c r="EE19" s="430"/>
      <c r="EF19" s="430"/>
      <c r="EG19" s="430"/>
      <c r="EH19" s="430"/>
      <c r="EI19" s="430"/>
      <c r="EJ19" s="430"/>
      <c r="EL19" s="429"/>
      <c r="EM19" s="430"/>
      <c r="EN19" s="430"/>
      <c r="EO19" s="430"/>
      <c r="EP19" s="430"/>
      <c r="EQ19" s="430"/>
      <c r="ER19" s="430"/>
      <c r="ES19" s="430"/>
      <c r="ET19" s="430"/>
      <c r="EU19" s="430"/>
      <c r="EV19" s="430"/>
      <c r="EW19" s="430"/>
      <c r="EX19" s="430"/>
      <c r="EZ19" s="429"/>
      <c r="FA19" s="430"/>
      <c r="FB19" s="430"/>
      <c r="FC19" s="430"/>
      <c r="FD19" s="430"/>
      <c r="FE19" s="430"/>
      <c r="FF19" s="430"/>
      <c r="FG19" s="430"/>
      <c r="FH19" s="430"/>
      <c r="FI19" s="430"/>
      <c r="FJ19" s="430"/>
      <c r="FK19" s="430"/>
      <c r="FL19" s="430"/>
      <c r="FN19" s="429"/>
      <c r="FO19" s="430"/>
      <c r="FP19" s="430"/>
      <c r="FQ19" s="430"/>
      <c r="FR19" s="430"/>
      <c r="FS19" s="430"/>
      <c r="FT19" s="430"/>
      <c r="FU19" s="430"/>
      <c r="FV19" s="430"/>
      <c r="FW19" s="430"/>
      <c r="FX19" s="430"/>
      <c r="FY19" s="430"/>
      <c r="FZ19" s="430"/>
      <c r="GB19" s="429"/>
      <c r="GC19" s="430"/>
      <c r="GD19" s="430"/>
      <c r="GE19" s="430"/>
      <c r="GF19" s="430"/>
      <c r="GG19" s="430"/>
      <c r="GH19" s="430"/>
      <c r="GI19" s="430"/>
      <c r="GJ19" s="430"/>
      <c r="GK19" s="430"/>
      <c r="GL19" s="430"/>
      <c r="GM19" s="430"/>
      <c r="GN19" s="430"/>
      <c r="GP19" s="429"/>
      <c r="GQ19" s="430"/>
      <c r="GR19" s="430"/>
      <c r="GS19" s="430"/>
      <c r="GT19" s="430"/>
      <c r="GU19" s="430"/>
      <c r="GV19" s="430"/>
      <c r="GW19" s="430"/>
      <c r="GX19" s="430"/>
      <c r="GY19" s="430"/>
      <c r="GZ19" s="430"/>
      <c r="HA19" s="430"/>
      <c r="HB19" s="430"/>
      <c r="HD19" s="429"/>
      <c r="HE19" s="430"/>
      <c r="HF19" s="430"/>
      <c r="HG19" s="430"/>
      <c r="HH19" s="430"/>
      <c r="HI19" s="430"/>
      <c r="HJ19" s="430"/>
      <c r="HK19" s="430"/>
      <c r="HL19" s="430"/>
      <c r="HM19" s="430"/>
      <c r="HN19" s="430"/>
      <c r="HO19" s="430"/>
      <c r="HP19" s="430"/>
      <c r="HR19" s="429"/>
      <c r="HS19" s="430"/>
      <c r="HT19" s="430"/>
      <c r="HU19" s="430"/>
      <c r="HV19" s="430"/>
      <c r="HW19" s="430"/>
      <c r="HX19" s="430"/>
      <c r="HY19" s="430"/>
      <c r="HZ19" s="430"/>
      <c r="IA19" s="430"/>
      <c r="IB19" s="430"/>
      <c r="IC19" s="430"/>
      <c r="ID19" s="430"/>
      <c r="IF19" s="429"/>
      <c r="IG19" s="430"/>
      <c r="IH19" s="430"/>
      <c r="II19" s="430"/>
      <c r="IJ19" s="430"/>
      <c r="IK19" s="430"/>
      <c r="IL19" s="430"/>
      <c r="IM19" s="430"/>
      <c r="IN19" s="430"/>
      <c r="IO19" s="430"/>
      <c r="IP19" s="430"/>
      <c r="IQ19" s="430"/>
      <c r="IR19" s="430"/>
    </row>
    <row r="20" spans="1:252" ht="22" customHeight="1" thickBot="1">
      <c r="A20" s="1" t="s">
        <v>182</v>
      </c>
      <c r="B20" s="429" t="s">
        <v>182</v>
      </c>
      <c r="C20" s="430">
        <f>0.06957/1000</f>
        <v>6.9570000000000013E-5</v>
      </c>
      <c r="D20" s="430">
        <f>0.06954/1000</f>
        <v>6.9540000000000002E-5</v>
      </c>
      <c r="E20" s="430">
        <f>0.06962/1000</f>
        <v>6.9620000000000001E-5</v>
      </c>
      <c r="F20" s="430">
        <f>0.06906/1000</f>
        <v>6.9059999999999993E-5</v>
      </c>
      <c r="G20" s="430">
        <f>0.06866/1000</f>
        <v>6.8659999999999997E-5</v>
      </c>
      <c r="H20" s="430">
        <f>0.06711/1000</f>
        <v>6.711E-5</v>
      </c>
      <c r="I20" s="430">
        <f>0.06741/1000</f>
        <v>6.7409999999999993E-5</v>
      </c>
      <c r="J20" s="430">
        <f>0.06736/1000</f>
        <v>6.7360000000000006E-5</v>
      </c>
      <c r="K20" s="430">
        <f>0.06567/1000</f>
        <v>6.567E-5</v>
      </c>
      <c r="L20" s="430">
        <f>0.06411/1000</f>
        <v>6.4109999999999994E-5</v>
      </c>
      <c r="M20" s="546"/>
      <c r="N20" s="546"/>
      <c r="P20" s="429" t="s">
        <v>182</v>
      </c>
      <c r="Q20" s="430">
        <f>0.07125/1000</f>
        <v>7.1249999999999997E-5</v>
      </c>
      <c r="R20" s="430">
        <f>0.07021/1000</f>
        <v>7.0209999999999994E-5</v>
      </c>
      <c r="S20" s="430">
        <f>0.06881/1000</f>
        <v>6.881E-5</v>
      </c>
      <c r="T20" s="430">
        <f>0.06923/1000</f>
        <v>6.923E-5</v>
      </c>
      <c r="U20" s="430">
        <f>0.07003/1000</f>
        <v>7.0029999999999992E-5</v>
      </c>
      <c r="V20" s="430">
        <f>0.06896/1000</f>
        <v>6.895999999999999E-5</v>
      </c>
      <c r="W20" s="430">
        <f>0.06914/1000</f>
        <v>6.9139999999999992E-5</v>
      </c>
      <c r="X20" s="430">
        <f>0.07011/1000</f>
        <v>7.0110000000000005E-5</v>
      </c>
      <c r="Y20" s="430">
        <f>0.06986/1000</f>
        <v>6.9860000000000012E-5</v>
      </c>
      <c r="Z20" s="430">
        <f>0.07058/1000</f>
        <v>7.0580000000000005E-5</v>
      </c>
      <c r="AA20" s="430">
        <f>0.06977/1000</f>
        <v>6.9770000000000005E-5</v>
      </c>
      <c r="AB20" s="430">
        <f>0.07011/1000</f>
        <v>7.0110000000000005E-5</v>
      </c>
      <c r="AD20" s="429" t="s">
        <v>182</v>
      </c>
      <c r="AE20" s="430">
        <v>7.2559999999999996E-5</v>
      </c>
      <c r="AF20" s="430">
        <v>6.9750000000000001E-5</v>
      </c>
      <c r="AG20" s="430">
        <f>0.06131/1000</f>
        <v>6.1310000000000008E-5</v>
      </c>
      <c r="AH20" s="430">
        <f>0.06718/1000</f>
        <v>6.7180000000000004E-5</v>
      </c>
      <c r="AI20" s="430">
        <f>0.06842/1000</f>
        <v>6.8419999999999999E-5</v>
      </c>
      <c r="AJ20" s="430">
        <f>0.0701/1000</f>
        <v>7.0099999999999996E-5</v>
      </c>
      <c r="AK20" s="430">
        <f>0.06848/1000</f>
        <v>6.8479999999999995E-5</v>
      </c>
      <c r="AL20" s="430">
        <f>0.06865/1000</f>
        <v>6.8650000000000002E-5</v>
      </c>
      <c r="AM20" s="430">
        <f>0.0672/1000</f>
        <v>6.7199999999999994E-5</v>
      </c>
      <c r="AN20" s="430">
        <f>0.06833/1000</f>
        <v>6.8330000000000005E-5</v>
      </c>
      <c r="AO20" s="430">
        <f>0.0708/1000</f>
        <v>7.08E-5</v>
      </c>
      <c r="AP20" s="430">
        <f>0.07115/1000</f>
        <v>7.1150000000000008E-5</v>
      </c>
      <c r="AR20" s="432" t="s">
        <v>182</v>
      </c>
      <c r="AS20" s="430">
        <v>7.1730000000000006E-5</v>
      </c>
      <c r="AT20" s="430">
        <v>7.0699999999999997E-5</v>
      </c>
      <c r="AU20" s="430">
        <v>7.0160000000000006E-5</v>
      </c>
      <c r="AV20" s="430">
        <v>7.046E-5</v>
      </c>
      <c r="AW20" s="430">
        <v>6.991E-5</v>
      </c>
      <c r="AX20" s="430">
        <f>0.07079/1000</f>
        <v>7.0790000000000005E-5</v>
      </c>
      <c r="AY20" s="430">
        <v>7.1319999999999988E-5</v>
      </c>
      <c r="AZ20" s="430">
        <v>7.0470000000000008E-5</v>
      </c>
      <c r="BA20" s="430">
        <f>0.07053/1000</f>
        <v>7.052999999999999E-5</v>
      </c>
      <c r="BB20" s="430">
        <f>0.07099/1000</f>
        <v>7.0989999999999996E-5</v>
      </c>
      <c r="BC20" s="430">
        <f>0.07081/1000</f>
        <v>7.0809999999999995E-5</v>
      </c>
      <c r="BD20" s="430">
        <f>0.07222/1000</f>
        <v>7.222000000000001E-5</v>
      </c>
      <c r="BF20" s="429" t="s">
        <v>182</v>
      </c>
      <c r="BG20" s="430">
        <v>7.4719999999999989E-5</v>
      </c>
      <c r="BH20" s="430">
        <v>7.2639999999999996E-5</v>
      </c>
      <c r="BI20" s="430">
        <v>7.2739999999999998E-5</v>
      </c>
      <c r="BJ20" s="430">
        <v>7.1860000000000007E-5</v>
      </c>
      <c r="BK20" s="430">
        <v>7.1859999999999993E-5</v>
      </c>
      <c r="BL20" s="430">
        <v>7.0099999999999996E-5</v>
      </c>
      <c r="BM20" s="430">
        <v>6.9439999999999999E-5</v>
      </c>
      <c r="BN20" s="430">
        <v>6.7479999999999998E-5</v>
      </c>
      <c r="BO20" s="430">
        <v>6.7080000000000001E-5</v>
      </c>
      <c r="BP20" s="430">
        <f>0.06572/1000</f>
        <v>6.5720000000000001E-5</v>
      </c>
      <c r="BQ20" s="430">
        <f>0.06969/1000</f>
        <v>6.9690000000000005E-5</v>
      </c>
      <c r="BR20" s="430">
        <f>0.06936/1000</f>
        <v>6.936E-5</v>
      </c>
      <c r="BT20" s="429" t="s">
        <v>182</v>
      </c>
      <c r="BU20" s="430">
        <v>7.4889999999999996E-5</v>
      </c>
      <c r="BV20" s="430">
        <v>7.4919999999999994E-5</v>
      </c>
      <c r="BW20" s="430">
        <v>7.5079999999999993E-5</v>
      </c>
      <c r="BX20" s="430">
        <v>7.5019999999999997E-5</v>
      </c>
      <c r="BY20" s="430">
        <v>7.5160000000000005E-5</v>
      </c>
      <c r="BZ20" s="430">
        <v>7.4999999999999993E-5</v>
      </c>
      <c r="CA20" s="430">
        <v>7.5069999999999998E-5</v>
      </c>
      <c r="CB20" s="430">
        <v>7.5019999999999997E-5</v>
      </c>
      <c r="CC20" s="430">
        <v>7.4260000000000011E-5</v>
      </c>
      <c r="CD20" s="430">
        <v>7.3739999999999995E-5</v>
      </c>
      <c r="CE20" s="430">
        <v>7.3849999999999993E-5</v>
      </c>
      <c r="CF20" s="430">
        <v>7.36E-5</v>
      </c>
      <c r="CH20" s="429"/>
      <c r="CI20" s="430"/>
      <c r="CJ20" s="430"/>
      <c r="CK20" s="430"/>
      <c r="CL20" s="430"/>
      <c r="CM20" s="430"/>
      <c r="CN20" s="430"/>
      <c r="CO20" s="430"/>
      <c r="CP20" s="430"/>
      <c r="CQ20" s="430"/>
      <c r="CR20" s="430"/>
      <c r="CS20" s="430"/>
      <c r="CT20" s="430"/>
      <c r="CV20" s="429"/>
      <c r="CW20" s="430"/>
      <c r="CX20" s="430"/>
      <c r="CY20" s="430"/>
      <c r="CZ20" s="430"/>
      <c r="DA20" s="430"/>
      <c r="DB20" s="430"/>
      <c r="DC20" s="430"/>
      <c r="DD20" s="430"/>
      <c r="DE20" s="430"/>
      <c r="DF20" s="430"/>
      <c r="DG20" s="430"/>
      <c r="DH20" s="430"/>
      <c r="DJ20" s="429"/>
      <c r="DK20" s="430"/>
      <c r="DL20" s="430"/>
      <c r="DM20" s="430"/>
      <c r="DN20" s="430"/>
      <c r="DO20" s="430"/>
      <c r="DP20" s="430"/>
      <c r="DQ20" s="430"/>
      <c r="DR20" s="430"/>
      <c r="DS20" s="430"/>
      <c r="DT20" s="430"/>
      <c r="DU20" s="430"/>
      <c r="DV20" s="430"/>
      <c r="DX20" s="429"/>
      <c r="DY20" s="430"/>
      <c r="DZ20" s="430"/>
      <c r="EA20" s="430"/>
      <c r="EB20" s="430"/>
      <c r="EC20" s="430"/>
      <c r="ED20" s="430"/>
      <c r="EE20" s="430"/>
      <c r="EF20" s="430"/>
      <c r="EG20" s="430"/>
      <c r="EH20" s="430"/>
      <c r="EI20" s="430"/>
      <c r="EJ20" s="430"/>
      <c r="EL20" s="429"/>
      <c r="EM20" s="430"/>
      <c r="EN20" s="430"/>
      <c r="EO20" s="430"/>
      <c r="EP20" s="430"/>
      <c r="EQ20" s="430"/>
      <c r="ER20" s="430"/>
      <c r="ES20" s="430"/>
      <c r="ET20" s="430"/>
      <c r="EU20" s="430"/>
      <c r="EV20" s="430"/>
      <c r="EW20" s="430"/>
      <c r="EX20" s="430"/>
      <c r="EZ20" s="429"/>
      <c r="FA20" s="430"/>
      <c r="FB20" s="430"/>
      <c r="FC20" s="430"/>
      <c r="FD20" s="430"/>
      <c r="FE20" s="430"/>
      <c r="FF20" s="430"/>
      <c r="FG20" s="430"/>
      <c r="FH20" s="430"/>
      <c r="FI20" s="430"/>
      <c r="FJ20" s="430"/>
      <c r="FK20" s="430"/>
      <c r="FL20" s="430"/>
      <c r="FN20" s="429"/>
      <c r="FO20" s="430"/>
      <c r="FP20" s="430"/>
      <c r="FQ20" s="430"/>
      <c r="FR20" s="430"/>
      <c r="FS20" s="430"/>
      <c r="FT20" s="430"/>
      <c r="FU20" s="430"/>
      <c r="FV20" s="430"/>
      <c r="FW20" s="430"/>
      <c r="FX20" s="430"/>
      <c r="FY20" s="430"/>
      <c r="FZ20" s="430"/>
      <c r="GB20" s="429"/>
      <c r="GC20" s="430"/>
      <c r="GD20" s="430"/>
      <c r="GE20" s="430"/>
      <c r="GF20" s="430"/>
      <c r="GG20" s="430"/>
      <c r="GH20" s="430"/>
      <c r="GI20" s="430"/>
      <c r="GJ20" s="430"/>
      <c r="GK20" s="430"/>
      <c r="GL20" s="430"/>
      <c r="GM20" s="430"/>
      <c r="GN20" s="430"/>
      <c r="GP20" s="429"/>
      <c r="GQ20" s="430"/>
      <c r="GR20" s="430"/>
      <c r="GS20" s="430"/>
      <c r="GT20" s="430"/>
      <c r="GU20" s="430"/>
      <c r="GV20" s="430"/>
      <c r="GW20" s="430"/>
      <c r="GX20" s="430"/>
      <c r="GY20" s="430"/>
      <c r="GZ20" s="430"/>
      <c r="HA20" s="430"/>
      <c r="HB20" s="430"/>
      <c r="HD20" s="429"/>
      <c r="HE20" s="430"/>
      <c r="HF20" s="430"/>
      <c r="HG20" s="430"/>
      <c r="HH20" s="430"/>
      <c r="HI20" s="430"/>
      <c r="HJ20" s="430"/>
      <c r="HK20" s="430"/>
      <c r="HL20" s="430"/>
      <c r="HM20" s="430"/>
      <c r="HN20" s="430"/>
      <c r="HO20" s="430"/>
      <c r="HP20" s="430"/>
      <c r="HR20" s="429"/>
      <c r="HS20" s="430"/>
      <c r="HT20" s="430"/>
      <c r="HU20" s="430"/>
      <c r="HV20" s="430"/>
      <c r="HW20" s="430"/>
      <c r="HX20" s="430"/>
      <c r="HY20" s="430"/>
      <c r="HZ20" s="430"/>
      <c r="IA20" s="430"/>
      <c r="IB20" s="430"/>
      <c r="IC20" s="430"/>
      <c r="ID20" s="430"/>
      <c r="IF20" s="429"/>
      <c r="IG20" s="430"/>
      <c r="IH20" s="430"/>
      <c r="II20" s="430"/>
      <c r="IJ20" s="430"/>
      <c r="IK20" s="430"/>
      <c r="IL20" s="430"/>
      <c r="IM20" s="430"/>
      <c r="IN20" s="430"/>
      <c r="IO20" s="430"/>
      <c r="IP20" s="430"/>
      <c r="IQ20" s="430"/>
      <c r="IR20" s="430"/>
    </row>
    <row r="21" spans="1:252" ht="22" customHeight="1" thickBot="1">
      <c r="A21" s="1" t="s">
        <v>630</v>
      </c>
      <c r="B21" s="429" t="s">
        <v>630</v>
      </c>
      <c r="C21" s="430">
        <v>0.31455</v>
      </c>
      <c r="D21" s="430">
        <v>0.31187999999999999</v>
      </c>
      <c r="E21" s="430">
        <v>0.31337999999999999</v>
      </c>
      <c r="F21" s="430">
        <v>0.29916999999999999</v>
      </c>
      <c r="G21" s="430">
        <v>0.30026999999999998</v>
      </c>
      <c r="H21" s="430">
        <v>0.28556999999999999</v>
      </c>
      <c r="I21" s="430">
        <v>0.29329</v>
      </c>
      <c r="J21" s="430">
        <v>0.30048000000000002</v>
      </c>
      <c r="K21" s="430">
        <v>0.28100000000000003</v>
      </c>
      <c r="L21" s="430">
        <v>0.28351999999999999</v>
      </c>
      <c r="M21" s="546"/>
      <c r="N21" s="546"/>
      <c r="P21" s="429" t="s">
        <v>630</v>
      </c>
      <c r="Q21" s="430">
        <v>0.30531999999999998</v>
      </c>
      <c r="R21" s="430">
        <v>0.30192000000000002</v>
      </c>
      <c r="S21" s="430">
        <v>0.29994999999999999</v>
      </c>
      <c r="T21" s="430">
        <v>0.30836000000000002</v>
      </c>
      <c r="U21" s="430">
        <v>0.30787999999999999</v>
      </c>
      <c r="V21" s="430">
        <v>0.30681000000000003</v>
      </c>
      <c r="W21" s="430">
        <v>0.30989</v>
      </c>
      <c r="X21" s="430">
        <v>0.31211</v>
      </c>
      <c r="Y21" s="430">
        <v>0.30991000000000002</v>
      </c>
      <c r="Z21" s="430">
        <v>0.31663000000000002</v>
      </c>
      <c r="AA21" s="430">
        <v>0.31731999999999999</v>
      </c>
      <c r="AB21" s="430">
        <v>0.32144</v>
      </c>
      <c r="AD21" s="429"/>
      <c r="AE21" s="430"/>
      <c r="AF21" s="430"/>
      <c r="AG21" s="430"/>
      <c r="AH21" s="430"/>
      <c r="AI21" s="430"/>
      <c r="AJ21" s="430"/>
      <c r="AK21" s="430"/>
      <c r="AL21" s="430"/>
      <c r="AM21" s="430"/>
      <c r="AN21" s="430"/>
      <c r="AO21" s="430"/>
      <c r="AP21" s="430"/>
      <c r="AR21" s="432"/>
      <c r="AS21" s="430"/>
      <c r="AT21" s="430"/>
      <c r="AU21" s="430"/>
      <c r="AV21" s="430"/>
      <c r="AW21" s="430"/>
      <c r="AX21" s="430"/>
      <c r="AY21" s="430"/>
      <c r="AZ21" s="430"/>
      <c r="BA21" s="430"/>
      <c r="BB21" s="430"/>
      <c r="BC21" s="430"/>
      <c r="BD21" s="430"/>
      <c r="BF21" s="429"/>
      <c r="BG21" s="430"/>
      <c r="BH21" s="430"/>
      <c r="BI21" s="430"/>
      <c r="BJ21" s="430"/>
      <c r="BK21" s="430"/>
      <c r="BL21" s="430"/>
      <c r="BM21" s="430"/>
      <c r="BN21" s="430"/>
      <c r="BO21" s="430"/>
      <c r="BP21" s="430"/>
      <c r="BQ21" s="430"/>
      <c r="BR21" s="430"/>
      <c r="BT21" s="429"/>
      <c r="BU21" s="430"/>
      <c r="BV21" s="430"/>
      <c r="BW21" s="430"/>
      <c r="BX21" s="430"/>
      <c r="BY21" s="430"/>
      <c r="BZ21" s="430"/>
      <c r="CA21" s="430"/>
      <c r="CB21" s="430"/>
      <c r="CC21" s="430"/>
      <c r="CD21" s="430"/>
      <c r="CE21" s="430"/>
      <c r="CF21" s="430"/>
      <c r="CH21" s="429"/>
      <c r="CI21" s="430"/>
      <c r="CJ21" s="430"/>
      <c r="CK21" s="430"/>
      <c r="CL21" s="430"/>
      <c r="CM21" s="430"/>
      <c r="CN21" s="430"/>
      <c r="CO21" s="430"/>
      <c r="CP21" s="430"/>
      <c r="CQ21" s="430"/>
      <c r="CR21" s="430"/>
      <c r="CS21" s="430"/>
      <c r="CT21" s="430"/>
      <c r="CV21" s="429"/>
      <c r="CW21" s="430"/>
      <c r="CX21" s="430"/>
      <c r="CY21" s="430"/>
      <c r="CZ21" s="430"/>
      <c r="DA21" s="430"/>
      <c r="DB21" s="430"/>
      <c r="DC21" s="430"/>
      <c r="DD21" s="430"/>
      <c r="DE21" s="430"/>
      <c r="DF21" s="430"/>
      <c r="DG21" s="430"/>
      <c r="DH21" s="430"/>
      <c r="DJ21" s="429"/>
      <c r="DK21" s="430"/>
      <c r="DL21" s="430"/>
      <c r="DM21" s="430"/>
      <c r="DN21" s="430"/>
      <c r="DO21" s="430"/>
      <c r="DP21" s="430"/>
      <c r="DQ21" s="430"/>
      <c r="DR21" s="430"/>
      <c r="DS21" s="430"/>
      <c r="DT21" s="430"/>
      <c r="DU21" s="430"/>
      <c r="DV21" s="430"/>
      <c r="DX21" s="429"/>
      <c r="DY21" s="430"/>
      <c r="DZ21" s="430"/>
      <c r="EA21" s="430"/>
      <c r="EB21" s="430"/>
      <c r="EC21" s="430"/>
      <c r="ED21" s="430"/>
      <c r="EE21" s="430"/>
      <c r="EF21" s="430"/>
      <c r="EG21" s="430"/>
      <c r="EH21" s="430"/>
      <c r="EI21" s="430"/>
      <c r="EJ21" s="430"/>
      <c r="EL21" s="429"/>
      <c r="EM21" s="430"/>
      <c r="EN21" s="430"/>
      <c r="EO21" s="430"/>
      <c r="EP21" s="430"/>
      <c r="EQ21" s="430"/>
      <c r="ER21" s="430"/>
      <c r="ES21" s="430"/>
      <c r="ET21" s="430"/>
      <c r="EU21" s="430"/>
      <c r="EV21" s="430"/>
      <c r="EW21" s="430"/>
      <c r="EX21" s="430"/>
      <c r="EZ21" s="429"/>
      <c r="FA21" s="430"/>
      <c r="FB21" s="430"/>
      <c r="FC21" s="430"/>
      <c r="FD21" s="430"/>
      <c r="FE21" s="430"/>
      <c r="FF21" s="430"/>
      <c r="FG21" s="430"/>
      <c r="FH21" s="430"/>
      <c r="FI21" s="430"/>
      <c r="FJ21" s="430"/>
      <c r="FK21" s="430"/>
      <c r="FL21" s="430"/>
      <c r="FN21" s="429"/>
      <c r="FO21" s="430"/>
      <c r="FP21" s="430"/>
      <c r="FQ21" s="430"/>
      <c r="FR21" s="430"/>
      <c r="FS21" s="430"/>
      <c r="FT21" s="430"/>
      <c r="FU21" s="430"/>
      <c r="FV21" s="430"/>
      <c r="FW21" s="430"/>
      <c r="FX21" s="430"/>
      <c r="FY21" s="430"/>
      <c r="FZ21" s="430"/>
      <c r="GB21" s="429"/>
      <c r="GC21" s="430"/>
      <c r="GD21" s="430"/>
      <c r="GE21" s="430"/>
      <c r="GF21" s="430"/>
      <c r="GG21" s="430"/>
      <c r="GH21" s="430"/>
      <c r="GI21" s="430"/>
      <c r="GJ21" s="430"/>
      <c r="GK21" s="430"/>
      <c r="GL21" s="430"/>
      <c r="GM21" s="430"/>
      <c r="GN21" s="430"/>
      <c r="GP21" s="429"/>
      <c r="GQ21" s="430"/>
      <c r="GR21" s="430"/>
      <c r="GS21" s="430"/>
      <c r="GT21" s="430"/>
      <c r="GU21" s="430"/>
      <c r="GV21" s="430"/>
      <c r="GW21" s="430"/>
      <c r="GX21" s="430"/>
      <c r="GY21" s="430"/>
      <c r="GZ21" s="430"/>
      <c r="HA21" s="430"/>
      <c r="HB21" s="430"/>
      <c r="HD21" s="429"/>
      <c r="HE21" s="430"/>
      <c r="HF21" s="430"/>
      <c r="HG21" s="430"/>
      <c r="HH21" s="430"/>
      <c r="HI21" s="430"/>
      <c r="HJ21" s="430"/>
      <c r="HK21" s="430"/>
      <c r="HL21" s="430"/>
      <c r="HM21" s="430"/>
      <c r="HN21" s="430"/>
      <c r="HO21" s="430"/>
      <c r="HP21" s="430"/>
      <c r="HR21" s="429"/>
      <c r="HS21" s="430"/>
      <c r="HT21" s="430"/>
      <c r="HU21" s="430"/>
      <c r="HV21" s="430"/>
      <c r="HW21" s="430"/>
      <c r="HX21" s="430"/>
      <c r="HY21" s="430"/>
      <c r="HZ21" s="430"/>
      <c r="IA21" s="430"/>
      <c r="IB21" s="430"/>
      <c r="IC21" s="430"/>
      <c r="ID21" s="430"/>
      <c r="IF21" s="429"/>
      <c r="IG21" s="430"/>
      <c r="IH21" s="430"/>
      <c r="II21" s="430"/>
      <c r="IJ21" s="430"/>
      <c r="IK21" s="430"/>
      <c r="IL21" s="430"/>
      <c r="IM21" s="430"/>
      <c r="IN21" s="430"/>
      <c r="IO21" s="430"/>
      <c r="IP21" s="430"/>
      <c r="IQ21" s="430"/>
      <c r="IR21" s="430"/>
    </row>
    <row r="22" spans="1:252" ht="22" customHeight="1" thickBot="1">
      <c r="A22" s="1" t="s">
        <v>183</v>
      </c>
      <c r="B22" s="429" t="s">
        <v>183</v>
      </c>
      <c r="C22" s="430">
        <f>0.25382/1000</f>
        <v>2.5381999999999998E-4</v>
      </c>
      <c r="D22" s="430">
        <f>0.25647/1000</f>
        <v>2.5646999999999996E-4</v>
      </c>
      <c r="E22" s="430">
        <f>0.26648/1000</f>
        <v>2.6647999999999998E-4</v>
      </c>
      <c r="F22" s="430">
        <f>0.25167/1000</f>
        <v>2.5167000000000001E-4</v>
      </c>
      <c r="G22" s="430">
        <f>0.26469/1000</f>
        <v>2.6468999999999999E-4</v>
      </c>
      <c r="H22" s="430">
        <f>0.24037/1000</f>
        <v>2.4037E-4</v>
      </c>
      <c r="I22" s="430">
        <f>0.23244/1000</f>
        <v>2.3244000000000002E-4</v>
      </c>
      <c r="J22" s="430">
        <f>0.22617/1000</f>
        <v>2.2617000000000001E-4</v>
      </c>
      <c r="K22" s="430">
        <f>0.21799/1000</f>
        <v>2.1798999999999999E-4</v>
      </c>
      <c r="L22" s="430">
        <f>0.20508/1000</f>
        <v>2.0508000000000001E-4</v>
      </c>
      <c r="M22" s="546"/>
      <c r="N22" s="546"/>
      <c r="P22" s="429" t="s">
        <v>183</v>
      </c>
      <c r="Q22" s="430">
        <f>0.28066/1000</f>
        <v>2.8066000000000001E-4</v>
      </c>
      <c r="R22" s="430">
        <f>0.27655/1000</f>
        <v>2.7655000000000003E-4</v>
      </c>
      <c r="S22" s="430">
        <f>0.27205/1000</f>
        <v>2.7205000000000003E-4</v>
      </c>
      <c r="T22" s="430">
        <f>0.26794/1000</f>
        <v>2.6793999999999999E-4</v>
      </c>
      <c r="U22" s="430">
        <f>0.26963/1000</f>
        <v>2.6962999999999998E-4</v>
      </c>
      <c r="V22" s="430">
        <f>0.2674/1000</f>
        <v>2.6740000000000005E-4</v>
      </c>
      <c r="W22" s="430">
        <f>0.25877/1000</f>
        <v>2.5877000000000002E-4</v>
      </c>
      <c r="X22" s="430">
        <f>0.26572/1000</f>
        <v>2.6572E-4</v>
      </c>
      <c r="Y22" s="430">
        <f>0.26235/1000</f>
        <v>2.6235000000000001E-4</v>
      </c>
      <c r="Z22" s="430">
        <f>0.26361/1000</f>
        <v>2.6361000000000001E-4</v>
      </c>
      <c r="AA22" s="430">
        <f>0.24948/1000</f>
        <v>2.4948E-4</v>
      </c>
      <c r="AB22" s="430">
        <f>0.24552/1000</f>
        <v>2.4551999999999999E-4</v>
      </c>
      <c r="AD22" s="429" t="s">
        <v>183</v>
      </c>
      <c r="AE22" s="430">
        <v>2.9197000000000001E-4</v>
      </c>
      <c r="AF22" s="430">
        <v>2.8409000000000003E-4</v>
      </c>
      <c r="AG22" s="430">
        <f>0.24627/1000</f>
        <v>2.4626999999999999E-4</v>
      </c>
      <c r="AH22" s="430">
        <f>0.25507/1000</f>
        <v>2.5507000000000004E-4</v>
      </c>
      <c r="AI22" s="430">
        <f>0.26928/1000</f>
        <v>2.6928E-4</v>
      </c>
      <c r="AJ22" s="430">
        <f>0.26718/1000</f>
        <v>2.6718E-4</v>
      </c>
      <c r="AK22" s="430">
        <f>0.26813/1000</f>
        <v>2.6813E-4</v>
      </c>
      <c r="AL22" s="430">
        <f>0.26649/1000</f>
        <v>2.6648999999999998E-4</v>
      </c>
      <c r="AM22" s="430">
        <f>0.25919/1000</f>
        <v>2.5918999999999996E-4</v>
      </c>
      <c r="AN22" s="430">
        <f>0.25913/1000</f>
        <v>2.5913000000000005E-4</v>
      </c>
      <c r="AO22" s="430">
        <f>0.27881/1000</f>
        <v>2.7881E-4</v>
      </c>
      <c r="AP22" s="430">
        <f>0.29148/1000</f>
        <v>2.9147999999999999E-4</v>
      </c>
      <c r="AR22" s="432" t="s">
        <v>183</v>
      </c>
      <c r="AS22" s="430">
        <v>3.2190999999999996E-4</v>
      </c>
      <c r="AT22" s="430">
        <v>3.2466E-4</v>
      </c>
      <c r="AU22" s="430">
        <v>3.1359999999999998E-4</v>
      </c>
      <c r="AV22" s="430">
        <v>3.0964000000000002E-4</v>
      </c>
      <c r="AW22" s="430">
        <v>2.9806E-4</v>
      </c>
      <c r="AX22" s="430">
        <f>0.31157/1000</f>
        <v>3.1157E-4</v>
      </c>
      <c r="AY22" s="430">
        <v>3.0459000000000004E-4</v>
      </c>
      <c r="AZ22" s="430">
        <v>2.9049000000000002E-4</v>
      </c>
      <c r="BA22" s="430">
        <f>0.28752/1000</f>
        <v>2.8751999999999998E-4</v>
      </c>
      <c r="BB22" s="430">
        <f>0.29623/1000</f>
        <v>2.9622999999999997E-4</v>
      </c>
      <c r="BC22" s="430">
        <f>0.2846/1000</f>
        <v>2.8460000000000003E-4</v>
      </c>
      <c r="BD22" s="430">
        <f>0.30418/1000</f>
        <v>3.0418000000000003E-4</v>
      </c>
      <c r="BF22" s="429" t="s">
        <v>183</v>
      </c>
      <c r="BG22" s="430">
        <v>3.5324999999999999E-4</v>
      </c>
      <c r="BH22" s="430">
        <v>3.4918999999999998E-4</v>
      </c>
      <c r="BI22" s="430">
        <v>3.5777999999999998E-4</v>
      </c>
      <c r="BJ22" s="430">
        <v>3.5680999999999999E-4</v>
      </c>
      <c r="BK22" s="430">
        <v>3.4606999999999997E-4</v>
      </c>
      <c r="BL22" s="430">
        <v>3.4111000000000005E-4</v>
      </c>
      <c r="BM22" s="430">
        <v>3.4610999999999995E-4</v>
      </c>
      <c r="BN22" s="430">
        <v>3.2838000000000002E-4</v>
      </c>
      <c r="BO22" s="430">
        <v>3.3534999999999999E-4</v>
      </c>
      <c r="BP22" s="430">
        <f>0.31051/1000</f>
        <v>3.1051000000000001E-4</v>
      </c>
      <c r="BQ22" s="430">
        <f>0.3091/1000</f>
        <v>3.0909999999999998E-4</v>
      </c>
      <c r="BR22" s="430">
        <f>0.30772/1000</f>
        <v>3.0771999999999999E-4</v>
      </c>
      <c r="BT22" s="429" t="s">
        <v>183</v>
      </c>
      <c r="BU22" s="430">
        <v>3.4206999999999998E-4</v>
      </c>
      <c r="BV22" s="430">
        <v>3.4177999999999997E-4</v>
      </c>
      <c r="BW22" s="430">
        <v>3.4794999999999997E-4</v>
      </c>
      <c r="BX22" s="430">
        <v>3.3978000000000003E-4</v>
      </c>
      <c r="BY22" s="430">
        <v>3.4278999999999999E-4</v>
      </c>
      <c r="BZ22" s="430">
        <v>3.2845999999999998E-4</v>
      </c>
      <c r="CA22" s="430">
        <v>3.3377E-4</v>
      </c>
      <c r="CB22" s="430">
        <v>3.3934999999999998E-4</v>
      </c>
      <c r="CC22" s="430">
        <v>3.4042000000000002E-4</v>
      </c>
      <c r="CD22" s="430">
        <v>3.2874E-4</v>
      </c>
      <c r="CE22" s="430">
        <v>3.3150000000000003E-4</v>
      </c>
      <c r="CF22" s="430">
        <v>3.3492E-4</v>
      </c>
      <c r="CH22" s="429"/>
      <c r="CI22" s="430"/>
      <c r="CJ22" s="430"/>
      <c r="CK22" s="430"/>
      <c r="CL22" s="430"/>
      <c r="CM22" s="430"/>
      <c r="CN22" s="430"/>
      <c r="CO22" s="430"/>
      <c r="CP22" s="430"/>
      <c r="CQ22" s="430"/>
      <c r="CR22" s="430"/>
      <c r="CS22" s="430"/>
      <c r="CT22" s="430"/>
      <c r="CV22" s="429"/>
      <c r="CW22" s="430"/>
      <c r="CX22" s="430"/>
      <c r="CY22" s="430"/>
      <c r="CZ22" s="430"/>
      <c r="DA22" s="430"/>
      <c r="DB22" s="430"/>
      <c r="DC22" s="430"/>
      <c r="DD22" s="430"/>
      <c r="DE22" s="430"/>
      <c r="DF22" s="430"/>
      <c r="DG22" s="430"/>
      <c r="DH22" s="430"/>
      <c r="DJ22" s="429"/>
      <c r="DK22" s="430"/>
      <c r="DL22" s="430"/>
      <c r="DM22" s="430"/>
      <c r="DN22" s="430"/>
      <c r="DO22" s="430"/>
      <c r="DP22" s="430"/>
      <c r="DQ22" s="430"/>
      <c r="DR22" s="430"/>
      <c r="DS22" s="430"/>
      <c r="DT22" s="430"/>
      <c r="DU22" s="430"/>
      <c r="DV22" s="430"/>
      <c r="DX22" s="429"/>
      <c r="DY22" s="430"/>
      <c r="DZ22" s="430"/>
      <c r="EA22" s="430"/>
      <c r="EB22" s="430"/>
      <c r="EC22" s="430"/>
      <c r="ED22" s="430"/>
      <c r="EE22" s="430"/>
      <c r="EF22" s="430"/>
      <c r="EG22" s="430"/>
      <c r="EH22" s="430"/>
      <c r="EI22" s="430"/>
      <c r="EJ22" s="430"/>
      <c r="EL22" s="429"/>
      <c r="EM22" s="430"/>
      <c r="EN22" s="430"/>
      <c r="EO22" s="430"/>
      <c r="EP22" s="430"/>
      <c r="EQ22" s="430"/>
      <c r="ER22" s="430"/>
      <c r="ES22" s="430"/>
      <c r="ET22" s="430"/>
      <c r="EU22" s="430"/>
      <c r="EV22" s="430"/>
      <c r="EW22" s="430"/>
      <c r="EX22" s="430"/>
      <c r="EZ22" s="429"/>
      <c r="FA22" s="430"/>
      <c r="FB22" s="430"/>
      <c r="FC22" s="430"/>
      <c r="FD22" s="430"/>
      <c r="FE22" s="430"/>
      <c r="FF22" s="430"/>
      <c r="FG22" s="430"/>
      <c r="FH22" s="430"/>
      <c r="FI22" s="430"/>
      <c r="FJ22" s="430"/>
      <c r="FK22" s="430"/>
      <c r="FL22" s="430"/>
      <c r="FN22" s="429"/>
      <c r="FO22" s="430"/>
      <c r="FP22" s="430"/>
      <c r="FQ22" s="430"/>
      <c r="FR22" s="430"/>
      <c r="FS22" s="430"/>
      <c r="FT22" s="430"/>
      <c r="FU22" s="430"/>
      <c r="FV22" s="430"/>
      <c r="FW22" s="430"/>
      <c r="FX22" s="430"/>
      <c r="FY22" s="430"/>
      <c r="FZ22" s="430"/>
      <c r="GB22" s="429"/>
      <c r="GC22" s="430"/>
      <c r="GD22" s="430"/>
      <c r="GE22" s="430"/>
      <c r="GF22" s="430"/>
      <c r="GG22" s="430"/>
      <c r="GH22" s="430"/>
      <c r="GI22" s="430"/>
      <c r="GJ22" s="430"/>
      <c r="GK22" s="430"/>
      <c r="GL22" s="430"/>
      <c r="GM22" s="430"/>
      <c r="GN22" s="430"/>
      <c r="GP22" s="429"/>
      <c r="GQ22" s="430"/>
      <c r="GR22" s="430"/>
      <c r="GS22" s="430"/>
      <c r="GT22" s="430"/>
      <c r="GU22" s="430"/>
      <c r="GV22" s="430"/>
      <c r="GW22" s="430"/>
      <c r="GX22" s="430"/>
      <c r="GY22" s="430"/>
      <c r="GZ22" s="430"/>
      <c r="HA22" s="430"/>
      <c r="HB22" s="430"/>
      <c r="HD22" s="429"/>
      <c r="HE22" s="430"/>
      <c r="HF22" s="430"/>
      <c r="HG22" s="430"/>
      <c r="HH22" s="430"/>
      <c r="HI22" s="430"/>
      <c r="HJ22" s="430"/>
      <c r="HK22" s="430"/>
      <c r="HL22" s="430"/>
      <c r="HM22" s="430"/>
      <c r="HN22" s="430"/>
      <c r="HO22" s="430"/>
      <c r="HP22" s="430"/>
      <c r="HR22" s="429"/>
      <c r="HS22" s="430"/>
      <c r="HT22" s="430"/>
      <c r="HU22" s="430"/>
      <c r="HV22" s="430"/>
      <c r="HW22" s="430"/>
      <c r="HX22" s="430"/>
      <c r="HY22" s="430"/>
      <c r="HZ22" s="430"/>
      <c r="IA22" s="430"/>
      <c r="IB22" s="430"/>
      <c r="IC22" s="430"/>
      <c r="ID22" s="430"/>
      <c r="IF22" s="429"/>
      <c r="IG22" s="430"/>
      <c r="IH22" s="430"/>
      <c r="II22" s="430"/>
      <c r="IJ22" s="430"/>
      <c r="IK22" s="430"/>
      <c r="IL22" s="430"/>
      <c r="IM22" s="430"/>
      <c r="IN22" s="430"/>
      <c r="IO22" s="430"/>
      <c r="IP22" s="430"/>
      <c r="IQ22" s="430"/>
      <c r="IR22" s="430"/>
    </row>
    <row r="23" spans="1:252" ht="22" customHeight="1" thickBot="1">
      <c r="A23" s="1" t="s">
        <v>59</v>
      </c>
      <c r="B23" s="429" t="s">
        <v>59</v>
      </c>
      <c r="C23" s="430">
        <v>1</v>
      </c>
      <c r="D23" s="430">
        <v>1</v>
      </c>
      <c r="E23" s="430">
        <v>1</v>
      </c>
      <c r="F23" s="430">
        <v>1</v>
      </c>
      <c r="G23" s="430">
        <v>1</v>
      </c>
      <c r="H23" s="430">
        <v>1</v>
      </c>
      <c r="I23" s="430">
        <v>1</v>
      </c>
      <c r="J23" s="430">
        <v>1</v>
      </c>
      <c r="K23" s="430">
        <v>1</v>
      </c>
      <c r="L23" s="661">
        <v>1</v>
      </c>
      <c r="M23" s="661">
        <v>1</v>
      </c>
      <c r="N23" s="661">
        <v>1</v>
      </c>
      <c r="P23" s="429" t="s">
        <v>59</v>
      </c>
      <c r="Q23" s="430">
        <v>1</v>
      </c>
      <c r="R23" s="430">
        <v>1</v>
      </c>
      <c r="S23" s="430">
        <v>1</v>
      </c>
      <c r="T23" s="430">
        <v>1</v>
      </c>
      <c r="U23" s="430">
        <v>1</v>
      </c>
      <c r="V23" s="430">
        <v>1</v>
      </c>
      <c r="W23" s="430">
        <v>1</v>
      </c>
      <c r="X23" s="430">
        <v>1</v>
      </c>
      <c r="Y23" s="430">
        <v>1</v>
      </c>
      <c r="Z23" s="430">
        <v>1</v>
      </c>
      <c r="AA23" s="430">
        <v>1</v>
      </c>
      <c r="AB23" s="430">
        <v>1</v>
      </c>
      <c r="AD23" s="429" t="s">
        <v>59</v>
      </c>
      <c r="AE23" s="430">
        <v>1</v>
      </c>
      <c r="AF23" s="430">
        <v>1</v>
      </c>
      <c r="AG23" s="430">
        <v>1</v>
      </c>
      <c r="AH23" s="430">
        <v>1</v>
      </c>
      <c r="AI23" s="430">
        <v>1</v>
      </c>
      <c r="AJ23" s="430">
        <v>1</v>
      </c>
      <c r="AK23" s="430">
        <v>1</v>
      </c>
      <c r="AL23" s="430">
        <v>1</v>
      </c>
      <c r="AM23" s="430">
        <v>1</v>
      </c>
      <c r="AN23" s="430">
        <v>1</v>
      </c>
      <c r="AO23" s="430">
        <v>1</v>
      </c>
      <c r="AP23" s="430">
        <v>1</v>
      </c>
      <c r="AR23" s="432" t="s">
        <v>59</v>
      </c>
      <c r="AS23" s="430">
        <v>1</v>
      </c>
      <c r="AT23" s="430">
        <v>1</v>
      </c>
      <c r="AU23" s="430">
        <v>1</v>
      </c>
      <c r="AV23" s="430">
        <v>1</v>
      </c>
      <c r="AW23" s="430">
        <v>1</v>
      </c>
      <c r="AX23" s="430">
        <v>1</v>
      </c>
      <c r="AY23" s="430">
        <v>1</v>
      </c>
      <c r="AZ23" s="430">
        <v>1</v>
      </c>
      <c r="BA23" s="430">
        <v>1</v>
      </c>
      <c r="BB23" s="430">
        <v>1</v>
      </c>
      <c r="BC23" s="430">
        <v>1</v>
      </c>
      <c r="BD23" s="430">
        <v>1</v>
      </c>
      <c r="BF23" s="429" t="s">
        <v>59</v>
      </c>
      <c r="BG23" s="430">
        <v>1</v>
      </c>
      <c r="BH23" s="430">
        <v>1</v>
      </c>
      <c r="BI23" s="430">
        <v>1</v>
      </c>
      <c r="BJ23" s="430">
        <v>1</v>
      </c>
      <c r="BK23" s="430">
        <v>1</v>
      </c>
      <c r="BL23" s="430">
        <v>1</v>
      </c>
      <c r="BM23" s="430">
        <v>1</v>
      </c>
      <c r="BN23" s="430">
        <v>1</v>
      </c>
      <c r="BO23" s="430">
        <v>1</v>
      </c>
      <c r="BP23" s="430">
        <v>1</v>
      </c>
      <c r="BQ23" s="430">
        <v>1</v>
      </c>
      <c r="BR23" s="430">
        <v>1</v>
      </c>
      <c r="BT23" s="429" t="s">
        <v>59</v>
      </c>
      <c r="BU23" s="430">
        <v>1</v>
      </c>
      <c r="BV23" s="430">
        <v>1</v>
      </c>
      <c r="BW23" s="430">
        <v>1</v>
      </c>
      <c r="BX23" s="430">
        <v>1</v>
      </c>
      <c r="BY23" s="430">
        <v>1</v>
      </c>
      <c r="BZ23" s="430">
        <v>1</v>
      </c>
      <c r="CA23" s="430">
        <v>1</v>
      </c>
      <c r="CB23" s="430">
        <v>1</v>
      </c>
      <c r="CC23" s="430">
        <v>1</v>
      </c>
      <c r="CD23" s="430">
        <v>1</v>
      </c>
      <c r="CE23" s="430">
        <v>1</v>
      </c>
      <c r="CF23" s="430">
        <v>1</v>
      </c>
      <c r="CH23" s="429" t="s">
        <v>59</v>
      </c>
      <c r="CI23" s="430">
        <v>1</v>
      </c>
      <c r="CJ23" s="430">
        <v>1</v>
      </c>
      <c r="CK23" s="430">
        <v>1</v>
      </c>
      <c r="CL23" s="430">
        <v>1</v>
      </c>
      <c r="CM23" s="430">
        <v>1</v>
      </c>
      <c r="CN23" s="430">
        <v>1</v>
      </c>
      <c r="CO23" s="430">
        <v>1</v>
      </c>
      <c r="CP23" s="430">
        <v>1</v>
      </c>
      <c r="CQ23" s="430">
        <v>1</v>
      </c>
      <c r="CR23" s="430">
        <v>1</v>
      </c>
      <c r="CS23" s="430">
        <v>1</v>
      </c>
      <c r="CT23" s="430">
        <v>1</v>
      </c>
      <c r="CV23" s="429" t="s">
        <v>59</v>
      </c>
      <c r="CW23" s="430">
        <v>1</v>
      </c>
      <c r="CX23" s="430">
        <v>1</v>
      </c>
      <c r="CY23" s="430">
        <v>1</v>
      </c>
      <c r="CZ23" s="430">
        <v>1</v>
      </c>
      <c r="DA23" s="430">
        <v>1</v>
      </c>
      <c r="DB23" s="430">
        <v>1</v>
      </c>
      <c r="DC23" s="430">
        <v>1</v>
      </c>
      <c r="DD23" s="430">
        <v>1</v>
      </c>
      <c r="DE23" s="430">
        <v>1</v>
      </c>
      <c r="DF23" s="430">
        <v>1</v>
      </c>
      <c r="DG23" s="430">
        <v>1</v>
      </c>
      <c r="DH23" s="430">
        <v>1</v>
      </c>
      <c r="DI23" s="431"/>
      <c r="DJ23" s="429" t="s">
        <v>59</v>
      </c>
      <c r="DK23" s="430">
        <v>1</v>
      </c>
      <c r="DL23" s="430">
        <v>1</v>
      </c>
      <c r="DM23" s="430">
        <v>1</v>
      </c>
      <c r="DN23" s="430">
        <v>1</v>
      </c>
      <c r="DO23" s="430">
        <v>1</v>
      </c>
      <c r="DP23" s="430">
        <v>1</v>
      </c>
      <c r="DQ23" s="430">
        <v>1</v>
      </c>
      <c r="DR23" s="430">
        <v>1</v>
      </c>
      <c r="DS23" s="430">
        <v>1</v>
      </c>
      <c r="DT23" s="430">
        <v>1</v>
      </c>
      <c r="DU23" s="430">
        <v>1</v>
      </c>
      <c r="DV23" s="430">
        <v>1</v>
      </c>
      <c r="DW23" s="431"/>
      <c r="DX23" s="429" t="s">
        <v>59</v>
      </c>
      <c r="DY23" s="430">
        <v>1</v>
      </c>
      <c r="DZ23" s="430">
        <v>1</v>
      </c>
      <c r="EA23" s="430">
        <v>1</v>
      </c>
      <c r="EB23" s="430">
        <v>1</v>
      </c>
      <c r="EC23" s="430">
        <v>1</v>
      </c>
      <c r="ED23" s="430">
        <v>1</v>
      </c>
      <c r="EE23" s="430">
        <v>1</v>
      </c>
      <c r="EF23" s="430">
        <v>1</v>
      </c>
      <c r="EG23" s="430">
        <v>1</v>
      </c>
      <c r="EH23" s="430">
        <v>1</v>
      </c>
      <c r="EI23" s="430">
        <v>1</v>
      </c>
      <c r="EJ23" s="430">
        <v>1</v>
      </c>
      <c r="EK23" s="431"/>
      <c r="EL23" s="429" t="s">
        <v>59</v>
      </c>
      <c r="EM23" s="430">
        <v>1</v>
      </c>
      <c r="EN23" s="430">
        <v>1</v>
      </c>
      <c r="EO23" s="430">
        <v>1</v>
      </c>
      <c r="EP23" s="430">
        <v>1</v>
      </c>
      <c r="EQ23" s="430">
        <v>1</v>
      </c>
      <c r="ER23" s="430">
        <v>1</v>
      </c>
      <c r="ES23" s="430">
        <v>1</v>
      </c>
      <c r="ET23" s="430">
        <v>1</v>
      </c>
      <c r="EU23" s="430">
        <v>1</v>
      </c>
      <c r="EV23" s="430">
        <v>1</v>
      </c>
      <c r="EW23" s="430">
        <v>1</v>
      </c>
      <c r="EX23" s="430">
        <v>1</v>
      </c>
      <c r="EY23" s="431"/>
      <c r="EZ23" s="429" t="s">
        <v>59</v>
      </c>
      <c r="FA23" s="430">
        <v>1</v>
      </c>
      <c r="FB23" s="430">
        <v>1</v>
      </c>
      <c r="FC23" s="430">
        <v>1</v>
      </c>
      <c r="FD23" s="430">
        <v>1</v>
      </c>
      <c r="FE23" s="430">
        <v>1</v>
      </c>
      <c r="FF23" s="430">
        <v>1</v>
      </c>
      <c r="FG23" s="430">
        <v>1</v>
      </c>
      <c r="FH23" s="430">
        <v>1</v>
      </c>
      <c r="FI23" s="430">
        <v>1</v>
      </c>
      <c r="FJ23" s="430">
        <v>1</v>
      </c>
      <c r="FK23" s="430">
        <v>1</v>
      </c>
      <c r="FL23" s="430">
        <v>1</v>
      </c>
      <c r="FM23" s="431"/>
      <c r="FN23" s="429" t="s">
        <v>59</v>
      </c>
      <c r="FO23" s="430">
        <v>1</v>
      </c>
      <c r="FP23" s="430">
        <v>1</v>
      </c>
      <c r="FQ23" s="430">
        <v>1</v>
      </c>
      <c r="FR23" s="430">
        <v>1</v>
      </c>
      <c r="FS23" s="430">
        <v>1</v>
      </c>
      <c r="FT23" s="430">
        <v>1</v>
      </c>
      <c r="FU23" s="430">
        <v>1</v>
      </c>
      <c r="FV23" s="430">
        <v>1</v>
      </c>
      <c r="FW23" s="430">
        <v>1</v>
      </c>
      <c r="FX23" s="430">
        <v>1</v>
      </c>
      <c r="FY23" s="430">
        <v>1</v>
      </c>
      <c r="FZ23" s="430">
        <v>1</v>
      </c>
      <c r="GA23" s="431"/>
      <c r="GB23" s="429" t="s">
        <v>59</v>
      </c>
      <c r="GC23" s="430">
        <v>1</v>
      </c>
      <c r="GD23" s="430">
        <v>1</v>
      </c>
      <c r="GE23" s="430">
        <v>1</v>
      </c>
      <c r="GF23" s="430">
        <v>1</v>
      </c>
      <c r="GG23" s="430">
        <v>1</v>
      </c>
      <c r="GH23" s="430">
        <v>1</v>
      </c>
      <c r="GI23" s="430">
        <v>1</v>
      </c>
      <c r="GJ23" s="430">
        <v>1</v>
      </c>
      <c r="GK23" s="430">
        <v>1</v>
      </c>
      <c r="GL23" s="430">
        <v>1</v>
      </c>
      <c r="GM23" s="430">
        <v>1</v>
      </c>
      <c r="GN23" s="430">
        <v>1</v>
      </c>
      <c r="GO23" s="431"/>
      <c r="GP23" s="429" t="s">
        <v>59</v>
      </c>
      <c r="GQ23" s="430">
        <v>1</v>
      </c>
      <c r="GR23" s="430">
        <v>1</v>
      </c>
      <c r="GS23" s="430">
        <v>1</v>
      </c>
      <c r="GT23" s="430">
        <v>1</v>
      </c>
      <c r="GU23" s="430">
        <v>1</v>
      </c>
      <c r="GV23" s="430">
        <v>1</v>
      </c>
      <c r="GW23" s="430">
        <v>1</v>
      </c>
      <c r="GX23" s="430">
        <v>1</v>
      </c>
      <c r="GY23" s="430">
        <v>1</v>
      </c>
      <c r="GZ23" s="430">
        <v>1</v>
      </c>
      <c r="HA23" s="430">
        <v>1</v>
      </c>
      <c r="HB23" s="430">
        <v>1</v>
      </c>
      <c r="HC23" s="431"/>
      <c r="HD23" s="429" t="s">
        <v>59</v>
      </c>
      <c r="HE23" s="430">
        <v>1</v>
      </c>
      <c r="HF23" s="430">
        <v>1</v>
      </c>
      <c r="HG23" s="430">
        <v>1</v>
      </c>
      <c r="HH23" s="430">
        <v>1</v>
      </c>
      <c r="HI23" s="430">
        <v>1</v>
      </c>
      <c r="HJ23" s="430">
        <v>1</v>
      </c>
      <c r="HK23" s="430">
        <v>1</v>
      </c>
      <c r="HL23" s="430">
        <v>1</v>
      </c>
      <c r="HM23" s="430">
        <v>1</v>
      </c>
      <c r="HN23" s="430">
        <v>1</v>
      </c>
      <c r="HO23" s="430">
        <v>1</v>
      </c>
      <c r="HP23" s="430">
        <v>1</v>
      </c>
      <c r="HQ23" s="431"/>
      <c r="HR23" s="429" t="s">
        <v>59</v>
      </c>
      <c r="HS23" s="430">
        <v>1</v>
      </c>
      <c r="HT23" s="430">
        <v>1</v>
      </c>
      <c r="HU23" s="430">
        <v>1</v>
      </c>
      <c r="HV23" s="430">
        <v>1</v>
      </c>
      <c r="HW23" s="430">
        <v>1</v>
      </c>
      <c r="HX23" s="430">
        <v>1</v>
      </c>
      <c r="HY23" s="430">
        <v>1</v>
      </c>
      <c r="HZ23" s="430">
        <v>1</v>
      </c>
      <c r="IA23" s="430">
        <v>1</v>
      </c>
      <c r="IB23" s="430">
        <v>1</v>
      </c>
      <c r="IC23" s="430">
        <v>1</v>
      </c>
      <c r="ID23" s="430">
        <v>1</v>
      </c>
      <c r="IE23" s="431"/>
      <c r="IF23" s="429" t="s">
        <v>59</v>
      </c>
      <c r="IG23" s="430">
        <v>1</v>
      </c>
      <c r="IH23" s="430">
        <v>1</v>
      </c>
      <c r="II23" s="430">
        <v>1</v>
      </c>
      <c r="IJ23" s="430">
        <v>1</v>
      </c>
      <c r="IK23" s="430">
        <v>1</v>
      </c>
      <c r="IL23" s="430">
        <v>1</v>
      </c>
      <c r="IM23" s="430">
        <v>1</v>
      </c>
      <c r="IN23" s="430">
        <v>1</v>
      </c>
      <c r="IO23" s="430">
        <v>1</v>
      </c>
      <c r="IP23" s="430">
        <v>1</v>
      </c>
      <c r="IQ23" s="430">
        <v>1</v>
      </c>
      <c r="IR23" s="430">
        <v>1</v>
      </c>
    </row>
    <row r="25" spans="1:252" s="134" customFormat="1" ht="22" customHeight="1">
      <c r="CH25" s="134" t="s">
        <v>483</v>
      </c>
      <c r="IF25" s="204"/>
    </row>
    <row r="26" spans="1:252" s="134" customFormat="1" ht="20" customHeight="1">
      <c r="IF26" s="204"/>
    </row>
    <row r="27" spans="1:252" s="134" customFormat="1" ht="20" customHeight="1">
      <c r="IF27" s="204"/>
    </row>
    <row r="28" spans="1:252" s="134" customFormat="1" ht="22" customHeight="1">
      <c r="BH28" s="263" t="s">
        <v>484</v>
      </c>
      <c r="BI28" s="263" t="s">
        <v>485</v>
      </c>
      <c r="BJ28" s="263" t="s">
        <v>486</v>
      </c>
      <c r="CH28" s="134" t="s">
        <v>487</v>
      </c>
      <c r="IF28" s="204"/>
    </row>
    <row r="29" spans="1:252" s="134" customFormat="1" ht="22" customHeight="1">
      <c r="BH29" s="433">
        <v>42768</v>
      </c>
      <c r="BI29" s="204" t="s">
        <v>60</v>
      </c>
      <c r="BJ29" s="134">
        <v>4.8098197279565963E-2</v>
      </c>
      <c r="CH29" s="134" t="s">
        <v>488</v>
      </c>
      <c r="IF29" s="204"/>
    </row>
    <row r="30" spans="1:252" s="134" customFormat="1" ht="20" customHeight="1">
      <c r="IF30" s="204"/>
    </row>
    <row r="31" spans="1:252" s="134" customFormat="1" ht="20" customHeight="1">
      <c r="IF31" s="204"/>
    </row>
    <row r="32" spans="1:252" s="134" customFormat="1" ht="20" customHeight="1">
      <c r="IF32" s="204"/>
    </row>
    <row r="33" spans="240:240" s="134" customFormat="1" ht="20" customHeight="1">
      <c r="IF33" s="204"/>
    </row>
    <row r="34" spans="240:240" s="134" customFormat="1" ht="20" customHeight="1">
      <c r="IF34" s="204"/>
    </row>
    <row r="35" spans="240:240" s="134" customFormat="1" ht="20" customHeight="1">
      <c r="IF35" s="204"/>
    </row>
    <row r="36" spans="240:240" s="134" customFormat="1" ht="20" customHeight="1">
      <c r="IF36" s="204"/>
    </row>
    <row r="37" spans="240:240" s="134" customFormat="1" ht="20" customHeight="1">
      <c r="IF37" s="204"/>
    </row>
    <row r="38" spans="240:240" s="134" customFormat="1" ht="20" customHeight="1">
      <c r="IF38" s="204"/>
    </row>
    <row r="39" spans="240:240" s="134" customFormat="1" ht="20" customHeight="1">
      <c r="IF39" s="204"/>
    </row>
    <row r="40" spans="240:240" s="134" customFormat="1" ht="20" customHeight="1">
      <c r="IF40" s="204"/>
    </row>
    <row r="41" spans="240:240" s="134" customFormat="1" ht="20" customHeight="1">
      <c r="IF41" s="204"/>
    </row>
    <row r="42" spans="240:240" s="134" customFormat="1" ht="20" customHeight="1">
      <c r="IF42" s="204"/>
    </row>
    <row r="43" spans="240:240" s="134" customFormat="1" ht="20" customHeight="1">
      <c r="IF43" s="204"/>
    </row>
    <row r="44" spans="240:240" s="134" customFormat="1" ht="20" customHeight="1">
      <c r="IF44" s="204"/>
    </row>
    <row r="45" spans="240:240" s="134" customFormat="1" ht="20" customHeight="1">
      <c r="IF45" s="204"/>
    </row>
    <row r="46" spans="240:240" s="134" customFormat="1" ht="20" customHeight="1">
      <c r="IF46" s="204"/>
    </row>
    <row r="47" spans="240:240" s="134" customFormat="1" ht="20" customHeight="1">
      <c r="IF47" s="204"/>
    </row>
    <row r="48" spans="240:240" s="134" customFormat="1" ht="20" customHeight="1">
      <c r="IF48" s="204"/>
    </row>
    <row r="49" spans="240:240" s="134" customFormat="1" ht="20" customHeight="1">
      <c r="IF49" s="204"/>
    </row>
    <row r="50" spans="240:240" s="134" customFormat="1" ht="20" customHeight="1">
      <c r="IF50" s="204"/>
    </row>
    <row r="51" spans="240:240" s="134" customFormat="1" ht="20" customHeight="1">
      <c r="IF51" s="204"/>
    </row>
    <row r="52" spans="240:240" s="134" customFormat="1" ht="20" customHeight="1">
      <c r="IF52" s="204"/>
    </row>
    <row r="53" spans="240:240" s="134" customFormat="1" ht="20" customHeight="1">
      <c r="IF53" s="204"/>
    </row>
  </sheetData>
  <mergeCells count="18">
    <mergeCell ref="DJ1:DV1"/>
    <mergeCell ref="GP1:HB1"/>
    <mergeCell ref="HD1:HP1"/>
    <mergeCell ref="HR1:ID1"/>
    <mergeCell ref="AR1:BD1"/>
    <mergeCell ref="BF1:BR1"/>
    <mergeCell ref="BT1:CF1"/>
    <mergeCell ref="IF1:IR1"/>
    <mergeCell ref="DX1:EJ1"/>
    <mergeCell ref="EL1:EX1"/>
    <mergeCell ref="EZ1:FL1"/>
    <mergeCell ref="FN1:FZ1"/>
    <mergeCell ref="GB1:GN1"/>
    <mergeCell ref="CH1:CT1"/>
    <mergeCell ref="CV1:DH1"/>
    <mergeCell ref="P1:AB1"/>
    <mergeCell ref="AD1:AP1"/>
    <mergeCell ref="B1:N1"/>
  </mergeCells>
  <phoneticPr fontId="8" type="noConversion"/>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2:TW63"/>
  <sheetViews>
    <sheetView topLeftCell="A5" zoomScale="80" zoomScaleNormal="80" zoomScalePageLayoutView="150" workbookViewId="0">
      <selection activeCell="M7" sqref="M7:M10"/>
    </sheetView>
  </sheetViews>
  <sheetFormatPr baseColWidth="10" defaultColWidth="10.83203125" defaultRowHeight="20" customHeight="1"/>
  <cols>
    <col min="1" max="49" width="10.83203125" style="1"/>
    <col min="50" max="50" width="5.1640625" style="1" bestFit="1" customWidth="1"/>
    <col min="51" max="62" width="10.83203125" style="1"/>
    <col min="63" max="63" width="4.33203125" style="1" bestFit="1" customWidth="1"/>
    <col min="64" max="65" width="10.83203125" style="1"/>
    <col min="66" max="66" width="5.1640625" style="1" bestFit="1" customWidth="1"/>
    <col min="67" max="74" width="10.83203125" style="1"/>
    <col min="75" max="75" width="14.1640625" style="1" bestFit="1" customWidth="1"/>
    <col min="76" max="76" width="10.83203125" style="1"/>
    <col min="77" max="77" width="13.33203125" style="1" bestFit="1" customWidth="1"/>
    <col min="78" max="78" width="12.5" style="1" bestFit="1" customWidth="1"/>
    <col min="79" max="79" width="4.33203125" style="1" bestFit="1" customWidth="1"/>
    <col min="80" max="81" width="10.83203125" style="1"/>
    <col min="82" max="82" width="5.1640625" style="1" bestFit="1" customWidth="1"/>
    <col min="83" max="94" width="10.83203125" style="1"/>
    <col min="95" max="95" width="4.33203125" style="1" bestFit="1" customWidth="1"/>
    <col min="96" max="97" width="10.83203125" style="1"/>
    <col min="98" max="98" width="5.1640625" style="1" bestFit="1" customWidth="1"/>
    <col min="99" max="106" width="10.83203125" style="1"/>
    <col min="107" max="107" width="11.1640625" style="1" customWidth="1"/>
    <col min="108" max="109" width="10.83203125" style="1"/>
    <col min="110" max="110" width="12.1640625" style="1" bestFit="1" customWidth="1"/>
    <col min="111" max="111" width="4.33203125" style="1" bestFit="1" customWidth="1"/>
    <col min="112" max="113" width="10.83203125" style="1"/>
    <col min="114" max="114" width="5.1640625" style="1" bestFit="1" customWidth="1"/>
    <col min="115" max="126" width="10.83203125" style="1"/>
    <col min="127" max="127" width="4.33203125" style="1" bestFit="1" customWidth="1"/>
    <col min="128" max="129" width="10.83203125" style="1"/>
    <col min="130" max="130" width="5.1640625" style="1" bestFit="1" customWidth="1"/>
    <col min="131" max="142" width="10.83203125" style="1"/>
    <col min="143" max="143" width="4.33203125" style="1" bestFit="1" customWidth="1"/>
    <col min="144" max="145" width="10.83203125" style="1"/>
    <col min="146" max="146" width="5.1640625" style="1" bestFit="1" customWidth="1"/>
    <col min="147" max="158" width="10.83203125" style="1"/>
    <col min="159" max="159" width="4.33203125" style="1" bestFit="1" customWidth="1"/>
    <col min="160" max="161" width="10.83203125" style="1"/>
    <col min="162" max="162" width="5.1640625" style="1" bestFit="1" customWidth="1"/>
    <col min="163" max="174" width="10.83203125" style="1"/>
    <col min="175" max="175" width="4.33203125" style="1" bestFit="1" customWidth="1"/>
    <col min="176" max="177" width="10.83203125" style="1"/>
    <col min="178" max="178" width="5.1640625" style="1" bestFit="1" customWidth="1"/>
    <col min="179" max="190" width="10.83203125" style="1"/>
    <col min="191" max="191" width="4.33203125" style="1" bestFit="1" customWidth="1"/>
    <col min="192" max="193" width="10.83203125" style="1"/>
    <col min="194" max="194" width="5.1640625" style="1" bestFit="1" customWidth="1"/>
    <col min="195" max="206" width="10.83203125" style="1"/>
    <col min="207" max="207" width="4.33203125" style="1" bestFit="1" customWidth="1"/>
    <col min="208" max="209" width="10.83203125" style="1"/>
    <col min="210" max="210" width="5.1640625" style="1" bestFit="1" customWidth="1"/>
    <col min="211" max="222" width="10.83203125" style="1"/>
    <col min="223" max="223" width="4.33203125" style="1" bestFit="1" customWidth="1"/>
    <col min="224" max="238" width="10.83203125" style="1"/>
    <col min="239" max="239" width="4.33203125" style="1" bestFit="1" customWidth="1"/>
    <col min="240" max="241" width="10.83203125" style="1"/>
    <col min="242" max="242" width="5.1640625" style="1" bestFit="1" customWidth="1"/>
    <col min="243" max="254" width="10.83203125" style="1"/>
    <col min="255" max="255" width="4.33203125" style="1" bestFit="1" customWidth="1"/>
    <col min="256" max="257" width="10.83203125" style="1"/>
    <col min="258" max="258" width="5.1640625" style="1" bestFit="1" customWidth="1"/>
    <col min="259" max="270" width="10.83203125" style="1"/>
    <col min="271" max="271" width="4.33203125" style="1" bestFit="1" customWidth="1"/>
    <col min="272" max="273" width="10.83203125" style="1"/>
    <col min="274" max="274" width="5.1640625" style="1" bestFit="1" customWidth="1"/>
    <col min="275" max="286" width="10.83203125" style="1"/>
    <col min="287" max="287" width="4.33203125" style="1" bestFit="1" customWidth="1"/>
    <col min="288" max="289" width="10.83203125" style="1"/>
    <col min="290" max="290" width="5.1640625" style="1" bestFit="1" customWidth="1"/>
    <col min="291" max="302" width="10.83203125" style="1"/>
    <col min="303" max="303" width="4.33203125" style="1" bestFit="1" customWidth="1"/>
    <col min="304" max="305" width="10.83203125" style="1"/>
    <col min="306" max="306" width="5.1640625" style="1" bestFit="1" customWidth="1"/>
    <col min="307" max="318" width="10.83203125" style="1"/>
    <col min="319" max="319" width="4.33203125" style="1" bestFit="1" customWidth="1"/>
    <col min="320" max="321" width="10.83203125" style="1"/>
    <col min="322" max="322" width="5.1640625" style="1" bestFit="1" customWidth="1"/>
    <col min="323" max="334" width="10.83203125" style="1"/>
    <col min="335" max="335" width="4.33203125" style="1" bestFit="1" customWidth="1"/>
    <col min="336" max="337" width="10.83203125" style="1"/>
    <col min="338" max="338" width="5.1640625" style="1" bestFit="1" customWidth="1"/>
    <col min="339" max="350" width="10.83203125" style="1"/>
    <col min="351" max="351" width="4.33203125" style="1" bestFit="1" customWidth="1"/>
    <col min="352" max="353" width="10.83203125" style="1"/>
    <col min="354" max="354" width="5.1640625" style="1" bestFit="1" customWidth="1"/>
    <col min="355" max="366" width="10.83203125" style="1"/>
    <col min="367" max="367" width="4.33203125" style="1" bestFit="1" customWidth="1"/>
    <col min="368" max="369" width="10.83203125" style="1"/>
    <col min="370" max="370" width="5.1640625" style="1" bestFit="1" customWidth="1"/>
    <col min="371" max="382" width="10.83203125" style="1"/>
    <col min="383" max="383" width="4.33203125" style="1" bestFit="1" customWidth="1"/>
    <col min="384" max="385" width="10.83203125" style="1"/>
    <col min="386" max="386" width="5.1640625" style="1" bestFit="1" customWidth="1"/>
    <col min="387" max="398" width="10.83203125" style="1"/>
    <col min="399" max="399" width="4.33203125" style="1" bestFit="1" customWidth="1"/>
    <col min="400" max="401" width="10.83203125" style="1"/>
    <col min="402" max="402" width="5.1640625" style="1" bestFit="1" customWidth="1"/>
    <col min="403" max="414" width="10.83203125" style="1"/>
    <col min="415" max="415" width="4.33203125" style="1" bestFit="1" customWidth="1"/>
    <col min="416" max="417" width="10.83203125" style="1"/>
    <col min="418" max="418" width="5.1640625" style="1" bestFit="1" customWidth="1"/>
    <col min="419" max="430" width="10.83203125" style="1"/>
    <col min="431" max="431" width="4.33203125" style="1" bestFit="1" customWidth="1"/>
    <col min="432" max="433" width="10.83203125" style="1"/>
    <col min="434" max="434" width="5.1640625" style="1" bestFit="1" customWidth="1"/>
    <col min="435" max="446" width="10.83203125" style="1"/>
    <col min="447" max="447" width="4.33203125" style="1" bestFit="1" customWidth="1"/>
    <col min="448" max="449" width="10.83203125" style="1"/>
    <col min="450" max="450" width="5.1640625" style="1" bestFit="1" customWidth="1"/>
    <col min="451" max="462" width="10.83203125" style="1"/>
    <col min="463" max="463" width="4.33203125" style="1" bestFit="1" customWidth="1"/>
    <col min="464" max="465" width="10.83203125" style="1"/>
    <col min="466" max="466" width="5.1640625" style="1" bestFit="1" customWidth="1"/>
    <col min="467" max="478" width="10.83203125" style="1"/>
    <col min="479" max="479" width="4.33203125" style="1" bestFit="1" customWidth="1"/>
    <col min="480" max="481" width="10.83203125" style="1"/>
    <col min="482" max="482" width="5.1640625" style="1" bestFit="1" customWidth="1"/>
    <col min="483" max="494" width="10.83203125" style="1"/>
    <col min="495" max="495" width="4.33203125" style="1" bestFit="1" customWidth="1"/>
    <col min="496" max="497" width="10.83203125" style="1"/>
    <col min="498" max="498" width="5.1640625" style="1" bestFit="1" customWidth="1"/>
    <col min="499" max="510" width="10.83203125" style="1"/>
    <col min="511" max="511" width="4.33203125" style="1" bestFit="1" customWidth="1"/>
    <col min="512" max="513" width="10.83203125" style="1"/>
    <col min="514" max="514" width="5.1640625" style="1" bestFit="1" customWidth="1"/>
    <col min="515" max="526" width="10.83203125" style="1"/>
    <col min="527" max="527" width="4.33203125" style="1" bestFit="1" customWidth="1"/>
    <col min="528" max="529" width="10.83203125" style="1"/>
    <col min="530" max="530" width="5.1640625" style="1" bestFit="1" customWidth="1"/>
    <col min="531" max="542" width="10.83203125" style="1"/>
    <col min="543" max="543" width="4.33203125" style="1" bestFit="1" customWidth="1"/>
    <col min="544" max="16384" width="10.83203125" style="1"/>
  </cols>
  <sheetData>
    <row r="2" spans="2:543" ht="22" customHeight="1">
      <c r="B2" s="752" t="s">
        <v>129</v>
      </c>
      <c r="C2" s="752"/>
      <c r="D2" s="752"/>
      <c r="E2" s="752"/>
      <c r="F2" s="752"/>
      <c r="G2" s="752"/>
      <c r="H2" s="752"/>
      <c r="I2" s="752"/>
      <c r="J2" s="752"/>
      <c r="K2" s="752"/>
      <c r="L2" s="752"/>
      <c r="M2" s="752"/>
      <c r="N2" s="752"/>
      <c r="O2" s="752"/>
      <c r="R2" s="752" t="s">
        <v>129</v>
      </c>
      <c r="S2" s="752"/>
      <c r="T2" s="752"/>
      <c r="U2" s="752"/>
      <c r="V2" s="752"/>
      <c r="W2" s="752"/>
      <c r="X2" s="752"/>
      <c r="Y2" s="752"/>
      <c r="Z2" s="752"/>
      <c r="AA2" s="752"/>
      <c r="AB2" s="752"/>
      <c r="AC2" s="752"/>
      <c r="AD2" s="752"/>
      <c r="AE2" s="752"/>
      <c r="AH2" s="752" t="s">
        <v>129</v>
      </c>
      <c r="AI2" s="752"/>
      <c r="AJ2" s="752"/>
      <c r="AK2" s="752"/>
      <c r="AL2" s="752"/>
      <c r="AM2" s="752"/>
      <c r="AN2" s="752"/>
      <c r="AO2" s="752"/>
      <c r="AP2" s="752"/>
      <c r="AQ2" s="752"/>
      <c r="AR2" s="752"/>
      <c r="AS2" s="752"/>
      <c r="AT2" s="752"/>
      <c r="AU2" s="752"/>
      <c r="AX2" s="752" t="s">
        <v>129</v>
      </c>
      <c r="AY2" s="752"/>
      <c r="AZ2" s="752"/>
      <c r="BA2" s="752"/>
      <c r="BB2" s="752"/>
      <c r="BC2" s="752"/>
      <c r="BD2" s="752"/>
      <c r="BE2" s="752"/>
      <c r="BF2" s="752"/>
      <c r="BG2" s="752"/>
      <c r="BH2" s="752"/>
      <c r="BI2" s="752"/>
      <c r="BJ2" s="752"/>
      <c r="BK2" s="752"/>
      <c r="BN2" s="752" t="s">
        <v>129</v>
      </c>
      <c r="BO2" s="752"/>
      <c r="BP2" s="752"/>
      <c r="BQ2" s="752"/>
      <c r="BR2" s="752"/>
      <c r="BS2" s="752"/>
      <c r="BT2" s="752"/>
      <c r="BU2" s="752"/>
      <c r="BV2" s="752"/>
      <c r="BW2" s="752"/>
      <c r="BX2" s="752"/>
      <c r="BY2" s="752"/>
      <c r="BZ2" s="752"/>
      <c r="CA2" s="752"/>
      <c r="CD2" s="752" t="s">
        <v>129</v>
      </c>
      <c r="CE2" s="752"/>
      <c r="CF2" s="752"/>
      <c r="CG2" s="752"/>
      <c r="CH2" s="752"/>
      <c r="CI2" s="752"/>
      <c r="CJ2" s="752"/>
      <c r="CK2" s="752"/>
      <c r="CL2" s="752"/>
      <c r="CM2" s="752"/>
      <c r="CN2" s="752"/>
      <c r="CO2" s="752"/>
      <c r="CP2" s="752"/>
      <c r="CQ2" s="752"/>
      <c r="CT2" s="752" t="s">
        <v>129</v>
      </c>
      <c r="CU2" s="752"/>
      <c r="CV2" s="752"/>
      <c r="CW2" s="752"/>
      <c r="CX2" s="752"/>
      <c r="CY2" s="752"/>
      <c r="CZ2" s="752"/>
      <c r="DA2" s="752"/>
      <c r="DB2" s="752"/>
      <c r="DC2" s="752"/>
      <c r="DD2" s="752"/>
      <c r="DE2" s="752"/>
      <c r="DF2" s="752"/>
      <c r="DG2" s="752"/>
      <c r="DJ2" s="752" t="s">
        <v>129</v>
      </c>
      <c r="DK2" s="752"/>
      <c r="DL2" s="752"/>
      <c r="DM2" s="752"/>
      <c r="DN2" s="752"/>
      <c r="DO2" s="752"/>
      <c r="DP2" s="752"/>
      <c r="DQ2" s="752"/>
      <c r="DR2" s="752"/>
      <c r="DS2" s="752"/>
      <c r="DT2" s="752"/>
      <c r="DU2" s="752"/>
      <c r="DV2" s="752"/>
      <c r="DW2" s="752"/>
      <c r="DZ2" s="752" t="s">
        <v>129</v>
      </c>
      <c r="EA2" s="752"/>
      <c r="EB2" s="752"/>
      <c r="EC2" s="752"/>
      <c r="ED2" s="752"/>
      <c r="EE2" s="752"/>
      <c r="EF2" s="752"/>
      <c r="EG2" s="752"/>
      <c r="EH2" s="752"/>
      <c r="EI2" s="752"/>
      <c r="EJ2" s="752"/>
      <c r="EK2" s="752"/>
      <c r="EL2" s="752"/>
      <c r="EM2" s="752"/>
      <c r="EP2" s="752" t="s">
        <v>129</v>
      </c>
      <c r="EQ2" s="752"/>
      <c r="ER2" s="752"/>
      <c r="ES2" s="752"/>
      <c r="ET2" s="752"/>
      <c r="EU2" s="752"/>
      <c r="EV2" s="752"/>
      <c r="EW2" s="752"/>
      <c r="EX2" s="752"/>
      <c r="EY2" s="752"/>
      <c r="EZ2" s="752"/>
      <c r="FA2" s="752"/>
      <c r="FB2" s="752"/>
      <c r="FC2" s="752"/>
      <c r="FF2" s="752" t="s">
        <v>129</v>
      </c>
      <c r="FG2" s="752"/>
      <c r="FH2" s="752"/>
      <c r="FI2" s="752"/>
      <c r="FJ2" s="752"/>
      <c r="FK2" s="752"/>
      <c r="FL2" s="752"/>
      <c r="FM2" s="752"/>
      <c r="FN2" s="752"/>
      <c r="FO2" s="752"/>
      <c r="FP2" s="752"/>
      <c r="FQ2" s="752"/>
      <c r="FR2" s="752"/>
      <c r="FS2" s="752"/>
      <c r="FV2" s="752" t="s">
        <v>129</v>
      </c>
      <c r="FW2" s="752"/>
      <c r="FX2" s="752"/>
      <c r="FY2" s="752"/>
      <c r="FZ2" s="752"/>
      <c r="GA2" s="752"/>
      <c r="GB2" s="752"/>
      <c r="GC2" s="752"/>
      <c r="GD2" s="752"/>
      <c r="GE2" s="752"/>
      <c r="GF2" s="752"/>
      <c r="GG2" s="752"/>
      <c r="GH2" s="752"/>
      <c r="GI2" s="752"/>
      <c r="GL2" s="752" t="s">
        <v>129</v>
      </c>
      <c r="GM2" s="752"/>
      <c r="GN2" s="752"/>
      <c r="GO2" s="752"/>
      <c r="GP2" s="752"/>
      <c r="GQ2" s="752"/>
      <c r="GR2" s="752"/>
      <c r="GS2" s="752"/>
      <c r="GT2" s="752"/>
      <c r="GU2" s="752"/>
      <c r="GV2" s="752"/>
      <c r="GW2" s="752"/>
      <c r="GX2" s="752"/>
      <c r="GY2" s="752"/>
      <c r="HB2" s="752" t="s">
        <v>129</v>
      </c>
      <c r="HC2" s="752"/>
      <c r="HD2" s="752"/>
      <c r="HE2" s="752"/>
      <c r="HF2" s="752"/>
      <c r="HG2" s="752"/>
      <c r="HH2" s="752"/>
      <c r="HI2" s="752"/>
      <c r="HJ2" s="752"/>
      <c r="HK2" s="752"/>
      <c r="HL2" s="752"/>
      <c r="HM2" s="752"/>
      <c r="HN2" s="752"/>
      <c r="HO2" s="752"/>
      <c r="HP2" s="383"/>
      <c r="HQ2" s="383"/>
      <c r="HR2" s="752" t="s">
        <v>129</v>
      </c>
      <c r="HS2" s="752"/>
      <c r="HT2" s="752"/>
      <c r="HU2" s="752"/>
      <c r="HV2" s="752"/>
      <c r="HW2" s="752"/>
      <c r="HX2" s="752"/>
      <c r="HY2" s="752"/>
      <c r="HZ2" s="752"/>
      <c r="IA2" s="752"/>
      <c r="IB2" s="752"/>
      <c r="IC2" s="752"/>
      <c r="ID2" s="752"/>
      <c r="IE2" s="752"/>
      <c r="IF2" s="383"/>
      <c r="IG2" s="383"/>
      <c r="IH2" s="752" t="s">
        <v>129</v>
      </c>
      <c r="II2" s="752"/>
      <c r="IJ2" s="752"/>
      <c r="IK2" s="752"/>
      <c r="IL2" s="752"/>
      <c r="IM2" s="752"/>
      <c r="IN2" s="752"/>
      <c r="IO2" s="752"/>
      <c r="IP2" s="752"/>
      <c r="IQ2" s="752"/>
      <c r="IR2" s="752"/>
      <c r="IS2" s="752"/>
      <c r="IT2" s="752"/>
      <c r="IU2" s="752"/>
      <c r="IV2" s="383"/>
      <c r="IW2" s="383"/>
      <c r="IX2" s="752" t="s">
        <v>129</v>
      </c>
      <c r="IY2" s="752"/>
      <c r="IZ2" s="752"/>
      <c r="JA2" s="752"/>
      <c r="JB2" s="752"/>
      <c r="JC2" s="752"/>
      <c r="JD2" s="752"/>
      <c r="JE2" s="752"/>
      <c r="JF2" s="752"/>
      <c r="JG2" s="752"/>
      <c r="JH2" s="752"/>
      <c r="JI2" s="752"/>
      <c r="JJ2" s="752"/>
      <c r="JK2" s="752"/>
      <c r="JL2" s="383"/>
      <c r="JM2" s="383"/>
      <c r="JN2" s="752" t="s">
        <v>129</v>
      </c>
      <c r="JO2" s="752"/>
      <c r="JP2" s="752"/>
      <c r="JQ2" s="752"/>
      <c r="JR2" s="752"/>
      <c r="JS2" s="752"/>
      <c r="JT2" s="752"/>
      <c r="JU2" s="752"/>
      <c r="JV2" s="752"/>
      <c r="JW2" s="752"/>
      <c r="JX2" s="752"/>
      <c r="JY2" s="752"/>
      <c r="JZ2" s="752"/>
      <c r="KA2" s="752"/>
      <c r="KB2" s="383"/>
      <c r="KC2" s="383"/>
      <c r="KD2" s="752" t="s">
        <v>129</v>
      </c>
      <c r="KE2" s="752"/>
      <c r="KF2" s="752"/>
      <c r="KG2" s="752"/>
      <c r="KH2" s="752"/>
      <c r="KI2" s="752"/>
      <c r="KJ2" s="752"/>
      <c r="KK2" s="752"/>
      <c r="KL2" s="752"/>
      <c r="KM2" s="752"/>
      <c r="KN2" s="752"/>
      <c r="KO2" s="752"/>
      <c r="KP2" s="752"/>
      <c r="KQ2" s="752"/>
      <c r="KR2" s="383"/>
      <c r="KS2" s="383"/>
      <c r="KT2" s="752" t="s">
        <v>129</v>
      </c>
      <c r="KU2" s="752"/>
      <c r="KV2" s="752"/>
      <c r="KW2" s="752"/>
      <c r="KX2" s="752"/>
      <c r="KY2" s="752"/>
      <c r="KZ2" s="752"/>
      <c r="LA2" s="752"/>
      <c r="LB2" s="752"/>
      <c r="LC2" s="752"/>
      <c r="LD2" s="752"/>
      <c r="LE2" s="752"/>
      <c r="LF2" s="752"/>
      <c r="LG2" s="752"/>
      <c r="LH2" s="383"/>
      <c r="LI2" s="383"/>
      <c r="LJ2" s="752" t="s">
        <v>129</v>
      </c>
      <c r="LK2" s="752"/>
      <c r="LL2" s="752"/>
      <c r="LM2" s="752"/>
      <c r="LN2" s="752"/>
      <c r="LO2" s="752"/>
      <c r="LP2" s="752"/>
      <c r="LQ2" s="752"/>
      <c r="LR2" s="752"/>
      <c r="LS2" s="752"/>
      <c r="LT2" s="752"/>
      <c r="LU2" s="752"/>
      <c r="LV2" s="752"/>
      <c r="LW2" s="752"/>
      <c r="LX2" s="383"/>
      <c r="LY2" s="383"/>
      <c r="LZ2" s="752" t="s">
        <v>129</v>
      </c>
      <c r="MA2" s="752"/>
      <c r="MB2" s="752"/>
      <c r="MC2" s="752"/>
      <c r="MD2" s="752"/>
      <c r="ME2" s="752"/>
      <c r="MF2" s="752"/>
      <c r="MG2" s="752"/>
      <c r="MH2" s="752"/>
      <c r="MI2" s="752"/>
      <c r="MJ2" s="752"/>
      <c r="MK2" s="752"/>
      <c r="ML2" s="752"/>
      <c r="MM2" s="752"/>
      <c r="MN2" s="383"/>
      <c r="MO2" s="383"/>
      <c r="MP2" s="752" t="s">
        <v>129</v>
      </c>
      <c r="MQ2" s="752"/>
      <c r="MR2" s="752"/>
      <c r="MS2" s="752"/>
      <c r="MT2" s="752"/>
      <c r="MU2" s="752"/>
      <c r="MV2" s="752"/>
      <c r="MW2" s="752"/>
      <c r="MX2" s="752"/>
      <c r="MY2" s="752"/>
      <c r="MZ2" s="752"/>
      <c r="NA2" s="752"/>
      <c r="NB2" s="752"/>
      <c r="NC2" s="752"/>
      <c r="ND2" s="383"/>
      <c r="NE2" s="383"/>
      <c r="NF2" s="752" t="s">
        <v>129</v>
      </c>
      <c r="NG2" s="752"/>
      <c r="NH2" s="752"/>
      <c r="NI2" s="752"/>
      <c r="NJ2" s="752"/>
      <c r="NK2" s="752"/>
      <c r="NL2" s="752"/>
      <c r="NM2" s="752"/>
      <c r="NN2" s="752"/>
      <c r="NO2" s="752"/>
      <c r="NP2" s="752"/>
      <c r="NQ2" s="752"/>
      <c r="NR2" s="752"/>
      <c r="NS2" s="752"/>
      <c r="NT2" s="383"/>
      <c r="NU2" s="383"/>
      <c r="NV2" s="752" t="s">
        <v>129</v>
      </c>
      <c r="NW2" s="752"/>
      <c r="NX2" s="752"/>
      <c r="NY2" s="752"/>
      <c r="NZ2" s="752"/>
      <c r="OA2" s="752"/>
      <c r="OB2" s="752"/>
      <c r="OC2" s="752"/>
      <c r="OD2" s="752"/>
      <c r="OE2" s="752"/>
      <c r="OF2" s="752"/>
      <c r="OG2" s="752"/>
      <c r="OH2" s="752"/>
      <c r="OI2" s="752"/>
      <c r="OJ2" s="383"/>
      <c r="OK2" s="383"/>
      <c r="OL2" s="752" t="s">
        <v>129</v>
      </c>
      <c r="OM2" s="752"/>
      <c r="ON2" s="752"/>
      <c r="OO2" s="752"/>
      <c r="OP2" s="752"/>
      <c r="OQ2" s="752"/>
      <c r="OR2" s="752"/>
      <c r="OS2" s="752"/>
      <c r="OT2" s="752"/>
      <c r="OU2" s="752"/>
      <c r="OV2" s="752"/>
      <c r="OW2" s="752"/>
      <c r="OX2" s="752"/>
      <c r="OY2" s="752"/>
      <c r="OZ2" s="383"/>
      <c r="PA2" s="383"/>
      <c r="PB2" s="752" t="s">
        <v>129</v>
      </c>
      <c r="PC2" s="752"/>
      <c r="PD2" s="752"/>
      <c r="PE2" s="752"/>
      <c r="PF2" s="752"/>
      <c r="PG2" s="752"/>
      <c r="PH2" s="752"/>
      <c r="PI2" s="752"/>
      <c r="PJ2" s="752"/>
      <c r="PK2" s="752"/>
      <c r="PL2" s="752"/>
      <c r="PM2" s="752"/>
      <c r="PN2" s="752"/>
      <c r="PO2" s="752"/>
      <c r="PP2" s="383"/>
      <c r="PQ2" s="383"/>
      <c r="PR2" s="752" t="s">
        <v>129</v>
      </c>
      <c r="PS2" s="752"/>
      <c r="PT2" s="752"/>
      <c r="PU2" s="752"/>
      <c r="PV2" s="752"/>
      <c r="PW2" s="752"/>
      <c r="PX2" s="752"/>
      <c r="PY2" s="752"/>
      <c r="PZ2" s="752"/>
      <c r="QA2" s="752"/>
      <c r="QB2" s="752"/>
      <c r="QC2" s="752"/>
      <c r="QD2" s="752"/>
      <c r="QE2" s="752"/>
      <c r="QF2" s="383"/>
      <c r="QG2" s="383"/>
      <c r="QH2" s="752" t="s">
        <v>129</v>
      </c>
      <c r="QI2" s="752"/>
      <c r="QJ2" s="752"/>
      <c r="QK2" s="752"/>
      <c r="QL2" s="752"/>
      <c r="QM2" s="752"/>
      <c r="QN2" s="752"/>
      <c r="QO2" s="752"/>
      <c r="QP2" s="752"/>
      <c r="QQ2" s="752"/>
      <c r="QR2" s="752"/>
      <c r="QS2" s="752"/>
      <c r="QT2" s="752"/>
      <c r="QU2" s="752"/>
      <c r="QV2" s="383"/>
      <c r="QW2" s="383"/>
      <c r="QX2" s="752" t="s">
        <v>129</v>
      </c>
      <c r="QY2" s="752"/>
      <c r="QZ2" s="752"/>
      <c r="RA2" s="752"/>
      <c r="RB2" s="752"/>
      <c r="RC2" s="752"/>
      <c r="RD2" s="752"/>
      <c r="RE2" s="752"/>
      <c r="RF2" s="752"/>
      <c r="RG2" s="752"/>
      <c r="RH2" s="752"/>
      <c r="RI2" s="752"/>
      <c r="RJ2" s="752"/>
      <c r="RK2" s="752"/>
      <c r="RL2" s="383"/>
      <c r="RM2" s="383"/>
      <c r="RN2" s="752" t="s">
        <v>129</v>
      </c>
      <c r="RO2" s="752"/>
      <c r="RP2" s="752"/>
      <c r="RQ2" s="752"/>
      <c r="RR2" s="752"/>
      <c r="RS2" s="752"/>
      <c r="RT2" s="752"/>
      <c r="RU2" s="752"/>
      <c r="RV2" s="752"/>
      <c r="RW2" s="752"/>
      <c r="RX2" s="752"/>
      <c r="RY2" s="752"/>
      <c r="RZ2" s="752"/>
      <c r="SA2" s="752"/>
      <c r="SB2" s="383"/>
      <c r="SC2" s="383"/>
      <c r="SD2" s="752" t="s">
        <v>129</v>
      </c>
      <c r="SE2" s="752"/>
      <c r="SF2" s="752"/>
      <c r="SG2" s="752"/>
      <c r="SH2" s="752"/>
      <c r="SI2" s="752"/>
      <c r="SJ2" s="752"/>
      <c r="SK2" s="752"/>
      <c r="SL2" s="752"/>
      <c r="SM2" s="752"/>
      <c r="SN2" s="752"/>
      <c r="SO2" s="752"/>
      <c r="SP2" s="752"/>
      <c r="SQ2" s="752"/>
      <c r="SR2" s="383"/>
      <c r="SS2" s="383"/>
      <c r="ST2" s="752" t="s">
        <v>129</v>
      </c>
      <c r="SU2" s="752"/>
      <c r="SV2" s="752"/>
      <c r="SW2" s="752"/>
      <c r="SX2" s="752"/>
      <c r="SY2" s="752"/>
      <c r="SZ2" s="752"/>
      <c r="TA2" s="752"/>
      <c r="TB2" s="752"/>
      <c r="TC2" s="752"/>
      <c r="TD2" s="752"/>
      <c r="TE2" s="752"/>
      <c r="TF2" s="752"/>
      <c r="TG2" s="752"/>
      <c r="TH2" s="383"/>
      <c r="TI2" s="383"/>
      <c r="TJ2" s="752" t="s">
        <v>129</v>
      </c>
      <c r="TK2" s="752"/>
      <c r="TL2" s="752"/>
      <c r="TM2" s="752"/>
      <c r="TN2" s="752"/>
      <c r="TO2" s="752"/>
      <c r="TP2" s="752"/>
      <c r="TQ2" s="752"/>
      <c r="TR2" s="752"/>
      <c r="TS2" s="752"/>
      <c r="TT2" s="752"/>
      <c r="TU2" s="752"/>
      <c r="TV2" s="752"/>
      <c r="TW2" s="752"/>
    </row>
    <row r="3" spans="2:543" ht="22" customHeight="1">
      <c r="B3" s="752" t="s">
        <v>626</v>
      </c>
      <c r="C3" s="752"/>
      <c r="D3" s="752"/>
      <c r="E3" s="752"/>
      <c r="F3" s="752"/>
      <c r="G3" s="752"/>
      <c r="H3" s="752"/>
      <c r="I3" s="752"/>
      <c r="J3" s="752"/>
      <c r="K3" s="752"/>
      <c r="L3" s="752"/>
      <c r="M3" s="752"/>
      <c r="N3" s="752"/>
      <c r="O3" s="752"/>
      <c r="R3" s="752" t="s">
        <v>625</v>
      </c>
      <c r="S3" s="752"/>
      <c r="T3" s="752"/>
      <c r="U3" s="752"/>
      <c r="V3" s="752"/>
      <c r="W3" s="752"/>
      <c r="X3" s="752"/>
      <c r="Y3" s="752"/>
      <c r="Z3" s="752"/>
      <c r="AA3" s="752"/>
      <c r="AB3" s="752"/>
      <c r="AC3" s="752"/>
      <c r="AD3" s="752"/>
      <c r="AE3" s="752"/>
      <c r="AH3" s="752" t="s">
        <v>590</v>
      </c>
      <c r="AI3" s="752"/>
      <c r="AJ3" s="752"/>
      <c r="AK3" s="752"/>
      <c r="AL3" s="752"/>
      <c r="AM3" s="752"/>
      <c r="AN3" s="752"/>
      <c r="AO3" s="752"/>
      <c r="AP3" s="752"/>
      <c r="AQ3" s="752"/>
      <c r="AR3" s="752"/>
      <c r="AS3" s="752"/>
      <c r="AT3" s="752"/>
      <c r="AU3" s="752"/>
      <c r="AX3" s="752" t="s">
        <v>509</v>
      </c>
      <c r="AY3" s="752"/>
      <c r="AZ3" s="752"/>
      <c r="BA3" s="752"/>
      <c r="BB3" s="752"/>
      <c r="BC3" s="752"/>
      <c r="BD3" s="752"/>
      <c r="BE3" s="752"/>
      <c r="BF3" s="752"/>
      <c r="BG3" s="752"/>
      <c r="BH3" s="752"/>
      <c r="BI3" s="752"/>
      <c r="BJ3" s="752"/>
      <c r="BK3" s="752"/>
      <c r="BN3" s="752" t="s">
        <v>231</v>
      </c>
      <c r="BO3" s="752"/>
      <c r="BP3" s="752"/>
      <c r="BQ3" s="752"/>
      <c r="BR3" s="752"/>
      <c r="BS3" s="752"/>
      <c r="BT3" s="752"/>
      <c r="BU3" s="752"/>
      <c r="BV3" s="752"/>
      <c r="BW3" s="752"/>
      <c r="BX3" s="752"/>
      <c r="BY3" s="752"/>
      <c r="BZ3" s="752"/>
      <c r="CA3" s="752"/>
      <c r="CD3" s="752" t="s">
        <v>180</v>
      </c>
      <c r="CE3" s="752"/>
      <c r="CF3" s="752"/>
      <c r="CG3" s="752"/>
      <c r="CH3" s="752"/>
      <c r="CI3" s="752"/>
      <c r="CJ3" s="752"/>
      <c r="CK3" s="752"/>
      <c r="CL3" s="752"/>
      <c r="CM3" s="752"/>
      <c r="CN3" s="752"/>
      <c r="CO3" s="752"/>
      <c r="CP3" s="752"/>
      <c r="CQ3" s="752"/>
      <c r="CT3" s="752" t="s">
        <v>130</v>
      </c>
      <c r="CU3" s="752"/>
      <c r="CV3" s="752"/>
      <c r="CW3" s="752"/>
      <c r="CX3" s="752"/>
      <c r="CY3" s="752"/>
      <c r="CZ3" s="752"/>
      <c r="DA3" s="752"/>
      <c r="DB3" s="752"/>
      <c r="DC3" s="752"/>
      <c r="DD3" s="752"/>
      <c r="DE3" s="752"/>
      <c r="DF3" s="752"/>
      <c r="DG3" s="752"/>
      <c r="DJ3" s="752" t="s">
        <v>131</v>
      </c>
      <c r="DK3" s="752"/>
      <c r="DL3" s="752"/>
      <c r="DM3" s="752"/>
      <c r="DN3" s="752"/>
      <c r="DO3" s="752"/>
      <c r="DP3" s="752"/>
      <c r="DQ3" s="752"/>
      <c r="DR3" s="752"/>
      <c r="DS3" s="752"/>
      <c r="DT3" s="752"/>
      <c r="DU3" s="752"/>
      <c r="DV3" s="752"/>
      <c r="DW3" s="752"/>
      <c r="DZ3" s="752" t="s">
        <v>132</v>
      </c>
      <c r="EA3" s="752"/>
      <c r="EB3" s="752"/>
      <c r="EC3" s="752"/>
      <c r="ED3" s="752"/>
      <c r="EE3" s="752"/>
      <c r="EF3" s="752"/>
      <c r="EG3" s="752"/>
      <c r="EH3" s="752"/>
      <c r="EI3" s="752"/>
      <c r="EJ3" s="752"/>
      <c r="EK3" s="752"/>
      <c r="EL3" s="752"/>
      <c r="EM3" s="752"/>
      <c r="EP3" s="752" t="s">
        <v>133</v>
      </c>
      <c r="EQ3" s="752"/>
      <c r="ER3" s="752"/>
      <c r="ES3" s="752"/>
      <c r="ET3" s="752"/>
      <c r="EU3" s="752"/>
      <c r="EV3" s="752"/>
      <c r="EW3" s="752"/>
      <c r="EX3" s="752"/>
      <c r="EY3" s="752"/>
      <c r="EZ3" s="752"/>
      <c r="FA3" s="752"/>
      <c r="FB3" s="752"/>
      <c r="FC3" s="752"/>
      <c r="FF3" s="752" t="s">
        <v>134</v>
      </c>
      <c r="FG3" s="752"/>
      <c r="FH3" s="752"/>
      <c r="FI3" s="752"/>
      <c r="FJ3" s="752"/>
      <c r="FK3" s="752"/>
      <c r="FL3" s="752"/>
      <c r="FM3" s="752"/>
      <c r="FN3" s="752"/>
      <c r="FO3" s="752"/>
      <c r="FP3" s="752"/>
      <c r="FQ3" s="752"/>
      <c r="FR3" s="752"/>
      <c r="FS3" s="752"/>
      <c r="FV3" s="752" t="s">
        <v>135</v>
      </c>
      <c r="FW3" s="752"/>
      <c r="FX3" s="752"/>
      <c r="FY3" s="752"/>
      <c r="FZ3" s="752"/>
      <c r="GA3" s="752"/>
      <c r="GB3" s="752"/>
      <c r="GC3" s="752"/>
      <c r="GD3" s="752"/>
      <c r="GE3" s="752"/>
      <c r="GF3" s="752"/>
      <c r="GG3" s="752"/>
      <c r="GH3" s="752"/>
      <c r="GI3" s="752"/>
      <c r="GL3" s="752" t="s">
        <v>136</v>
      </c>
      <c r="GM3" s="752"/>
      <c r="GN3" s="752"/>
      <c r="GO3" s="752"/>
      <c r="GP3" s="752"/>
      <c r="GQ3" s="752"/>
      <c r="GR3" s="752"/>
      <c r="GS3" s="752"/>
      <c r="GT3" s="752"/>
      <c r="GU3" s="752"/>
      <c r="GV3" s="752"/>
      <c r="GW3" s="752"/>
      <c r="GX3" s="752"/>
      <c r="GY3" s="752"/>
      <c r="HB3" s="752" t="s">
        <v>510</v>
      </c>
      <c r="HC3" s="752"/>
      <c r="HD3" s="752"/>
      <c r="HE3" s="752"/>
      <c r="HF3" s="752"/>
      <c r="HG3" s="752"/>
      <c r="HH3" s="752"/>
      <c r="HI3" s="752"/>
      <c r="HJ3" s="752"/>
      <c r="HK3" s="752"/>
      <c r="HL3" s="752"/>
      <c r="HM3" s="752"/>
      <c r="HN3" s="752"/>
      <c r="HO3" s="752"/>
      <c r="HP3" s="383"/>
      <c r="HQ3" s="383"/>
      <c r="HR3" s="752" t="s">
        <v>511</v>
      </c>
      <c r="HS3" s="752"/>
      <c r="HT3" s="752"/>
      <c r="HU3" s="752"/>
      <c r="HV3" s="752"/>
      <c r="HW3" s="752"/>
      <c r="HX3" s="752"/>
      <c r="HY3" s="752"/>
      <c r="HZ3" s="752"/>
      <c r="IA3" s="752"/>
      <c r="IB3" s="752"/>
      <c r="IC3" s="752"/>
      <c r="ID3" s="752"/>
      <c r="IE3" s="752"/>
      <c r="IF3" s="383"/>
      <c r="IG3" s="383"/>
      <c r="IH3" s="752" t="s">
        <v>512</v>
      </c>
      <c r="II3" s="752"/>
      <c r="IJ3" s="752"/>
      <c r="IK3" s="752"/>
      <c r="IL3" s="752"/>
      <c r="IM3" s="752"/>
      <c r="IN3" s="752"/>
      <c r="IO3" s="752"/>
      <c r="IP3" s="752"/>
      <c r="IQ3" s="752"/>
      <c r="IR3" s="752"/>
      <c r="IS3" s="752"/>
      <c r="IT3" s="752"/>
      <c r="IU3" s="752"/>
      <c r="IV3" s="383"/>
      <c r="IW3" s="383"/>
      <c r="IX3" s="752" t="s">
        <v>513</v>
      </c>
      <c r="IY3" s="752"/>
      <c r="IZ3" s="752"/>
      <c r="JA3" s="752"/>
      <c r="JB3" s="752"/>
      <c r="JC3" s="752"/>
      <c r="JD3" s="752"/>
      <c r="JE3" s="752"/>
      <c r="JF3" s="752"/>
      <c r="JG3" s="752"/>
      <c r="JH3" s="752"/>
      <c r="JI3" s="752"/>
      <c r="JJ3" s="752"/>
      <c r="JK3" s="752"/>
      <c r="JL3" s="383"/>
      <c r="JM3" s="383"/>
      <c r="JN3" s="752" t="s">
        <v>514</v>
      </c>
      <c r="JO3" s="752"/>
      <c r="JP3" s="752"/>
      <c r="JQ3" s="752"/>
      <c r="JR3" s="752"/>
      <c r="JS3" s="752"/>
      <c r="JT3" s="752"/>
      <c r="JU3" s="752"/>
      <c r="JV3" s="752"/>
      <c r="JW3" s="752"/>
      <c r="JX3" s="752"/>
      <c r="JY3" s="752"/>
      <c r="JZ3" s="752"/>
      <c r="KA3" s="752"/>
      <c r="KB3" s="383"/>
      <c r="KC3" s="383"/>
      <c r="KD3" s="752" t="s">
        <v>515</v>
      </c>
      <c r="KE3" s="752"/>
      <c r="KF3" s="752"/>
      <c r="KG3" s="752"/>
      <c r="KH3" s="752"/>
      <c r="KI3" s="752"/>
      <c r="KJ3" s="752"/>
      <c r="KK3" s="752"/>
      <c r="KL3" s="752"/>
      <c r="KM3" s="752"/>
      <c r="KN3" s="752"/>
      <c r="KO3" s="752"/>
      <c r="KP3" s="752"/>
      <c r="KQ3" s="752"/>
      <c r="KR3" s="383"/>
      <c r="KS3" s="383"/>
      <c r="KT3" s="752" t="s">
        <v>516</v>
      </c>
      <c r="KU3" s="752"/>
      <c r="KV3" s="752"/>
      <c r="KW3" s="752"/>
      <c r="KX3" s="752"/>
      <c r="KY3" s="752"/>
      <c r="KZ3" s="752"/>
      <c r="LA3" s="752"/>
      <c r="LB3" s="752"/>
      <c r="LC3" s="752"/>
      <c r="LD3" s="752"/>
      <c r="LE3" s="752"/>
      <c r="LF3" s="752"/>
      <c r="LG3" s="752"/>
      <c r="LH3" s="383"/>
      <c r="LI3" s="383"/>
      <c r="LJ3" s="752" t="s">
        <v>517</v>
      </c>
      <c r="LK3" s="752"/>
      <c r="LL3" s="752"/>
      <c r="LM3" s="752"/>
      <c r="LN3" s="752"/>
      <c r="LO3" s="752"/>
      <c r="LP3" s="752"/>
      <c r="LQ3" s="752"/>
      <c r="LR3" s="752"/>
      <c r="LS3" s="752"/>
      <c r="LT3" s="752"/>
      <c r="LU3" s="752"/>
      <c r="LV3" s="752"/>
      <c r="LW3" s="752"/>
      <c r="LX3" s="383"/>
      <c r="LY3" s="383"/>
      <c r="LZ3" s="752" t="s">
        <v>518</v>
      </c>
      <c r="MA3" s="752"/>
      <c r="MB3" s="752"/>
      <c r="MC3" s="752"/>
      <c r="MD3" s="752"/>
      <c r="ME3" s="752"/>
      <c r="MF3" s="752"/>
      <c r="MG3" s="752"/>
      <c r="MH3" s="752"/>
      <c r="MI3" s="752"/>
      <c r="MJ3" s="752"/>
      <c r="MK3" s="752"/>
      <c r="ML3" s="752"/>
      <c r="MM3" s="752"/>
      <c r="MN3" s="383"/>
      <c r="MO3" s="383"/>
      <c r="MP3" s="752" t="s">
        <v>519</v>
      </c>
      <c r="MQ3" s="752"/>
      <c r="MR3" s="752"/>
      <c r="MS3" s="752"/>
      <c r="MT3" s="752"/>
      <c r="MU3" s="752"/>
      <c r="MV3" s="752"/>
      <c r="MW3" s="752"/>
      <c r="MX3" s="752"/>
      <c r="MY3" s="752"/>
      <c r="MZ3" s="752"/>
      <c r="NA3" s="752"/>
      <c r="NB3" s="752"/>
      <c r="NC3" s="752"/>
      <c r="ND3" s="383"/>
      <c r="NE3" s="383"/>
      <c r="NF3" s="752" t="s">
        <v>520</v>
      </c>
      <c r="NG3" s="752"/>
      <c r="NH3" s="752"/>
      <c r="NI3" s="752"/>
      <c r="NJ3" s="752"/>
      <c r="NK3" s="752"/>
      <c r="NL3" s="752"/>
      <c r="NM3" s="752"/>
      <c r="NN3" s="752"/>
      <c r="NO3" s="752"/>
      <c r="NP3" s="752"/>
      <c r="NQ3" s="752"/>
      <c r="NR3" s="752"/>
      <c r="NS3" s="752"/>
      <c r="NT3" s="383"/>
      <c r="NU3" s="383"/>
      <c r="NV3" s="752" t="s">
        <v>521</v>
      </c>
      <c r="NW3" s="752"/>
      <c r="NX3" s="752"/>
      <c r="NY3" s="752"/>
      <c r="NZ3" s="752"/>
      <c r="OA3" s="752"/>
      <c r="OB3" s="752"/>
      <c r="OC3" s="752"/>
      <c r="OD3" s="752"/>
      <c r="OE3" s="752"/>
      <c r="OF3" s="752"/>
      <c r="OG3" s="752"/>
      <c r="OH3" s="752"/>
      <c r="OI3" s="752"/>
      <c r="OJ3" s="383"/>
      <c r="OK3" s="383"/>
      <c r="OL3" s="752" t="s">
        <v>522</v>
      </c>
      <c r="OM3" s="752"/>
      <c r="ON3" s="752"/>
      <c r="OO3" s="752"/>
      <c r="OP3" s="752"/>
      <c r="OQ3" s="752"/>
      <c r="OR3" s="752"/>
      <c r="OS3" s="752"/>
      <c r="OT3" s="752"/>
      <c r="OU3" s="752"/>
      <c r="OV3" s="752"/>
      <c r="OW3" s="752"/>
      <c r="OX3" s="752"/>
      <c r="OY3" s="752"/>
      <c r="OZ3" s="383"/>
      <c r="PA3" s="383"/>
      <c r="PB3" s="752" t="s">
        <v>523</v>
      </c>
      <c r="PC3" s="752"/>
      <c r="PD3" s="752"/>
      <c r="PE3" s="752"/>
      <c r="PF3" s="752"/>
      <c r="PG3" s="752"/>
      <c r="PH3" s="752"/>
      <c r="PI3" s="752"/>
      <c r="PJ3" s="752"/>
      <c r="PK3" s="752"/>
      <c r="PL3" s="752"/>
      <c r="PM3" s="752"/>
      <c r="PN3" s="752"/>
      <c r="PO3" s="752"/>
      <c r="PP3" s="383"/>
      <c r="PQ3" s="383"/>
      <c r="PR3" s="752" t="s">
        <v>524</v>
      </c>
      <c r="PS3" s="752"/>
      <c r="PT3" s="752"/>
      <c r="PU3" s="752"/>
      <c r="PV3" s="752"/>
      <c r="PW3" s="752"/>
      <c r="PX3" s="752"/>
      <c r="PY3" s="752"/>
      <c r="PZ3" s="752"/>
      <c r="QA3" s="752"/>
      <c r="QB3" s="752"/>
      <c r="QC3" s="752"/>
      <c r="QD3" s="752"/>
      <c r="QE3" s="752"/>
      <c r="QF3" s="383"/>
      <c r="QG3" s="383"/>
      <c r="QH3" s="752" t="s">
        <v>525</v>
      </c>
      <c r="QI3" s="752"/>
      <c r="QJ3" s="752"/>
      <c r="QK3" s="752"/>
      <c r="QL3" s="752"/>
      <c r="QM3" s="752"/>
      <c r="QN3" s="752"/>
      <c r="QO3" s="752"/>
      <c r="QP3" s="752"/>
      <c r="QQ3" s="752"/>
      <c r="QR3" s="752"/>
      <c r="QS3" s="752"/>
      <c r="QT3" s="752"/>
      <c r="QU3" s="752"/>
      <c r="QV3" s="383"/>
      <c r="QW3" s="383"/>
      <c r="QX3" s="752" t="s">
        <v>526</v>
      </c>
      <c r="QY3" s="752"/>
      <c r="QZ3" s="752"/>
      <c r="RA3" s="752"/>
      <c r="RB3" s="752"/>
      <c r="RC3" s="752"/>
      <c r="RD3" s="752"/>
      <c r="RE3" s="752"/>
      <c r="RF3" s="752"/>
      <c r="RG3" s="752"/>
      <c r="RH3" s="752"/>
      <c r="RI3" s="752"/>
      <c r="RJ3" s="752"/>
      <c r="RK3" s="752"/>
      <c r="RL3" s="383"/>
      <c r="RM3" s="383"/>
      <c r="RN3" s="752" t="s">
        <v>527</v>
      </c>
      <c r="RO3" s="752"/>
      <c r="RP3" s="752"/>
      <c r="RQ3" s="752"/>
      <c r="RR3" s="752"/>
      <c r="RS3" s="752"/>
      <c r="RT3" s="752"/>
      <c r="RU3" s="752"/>
      <c r="RV3" s="752"/>
      <c r="RW3" s="752"/>
      <c r="RX3" s="752"/>
      <c r="RY3" s="752"/>
      <c r="RZ3" s="752"/>
      <c r="SA3" s="752"/>
      <c r="SB3" s="383"/>
      <c r="SC3" s="383"/>
      <c r="SD3" s="752" t="s">
        <v>528</v>
      </c>
      <c r="SE3" s="752"/>
      <c r="SF3" s="752"/>
      <c r="SG3" s="752"/>
      <c r="SH3" s="752"/>
      <c r="SI3" s="752"/>
      <c r="SJ3" s="752"/>
      <c r="SK3" s="752"/>
      <c r="SL3" s="752"/>
      <c r="SM3" s="752"/>
      <c r="SN3" s="752"/>
      <c r="SO3" s="752"/>
      <c r="SP3" s="752"/>
      <c r="SQ3" s="752"/>
      <c r="SR3" s="383"/>
      <c r="SS3" s="383"/>
      <c r="ST3" s="752" t="s">
        <v>529</v>
      </c>
      <c r="SU3" s="752"/>
      <c r="SV3" s="752"/>
      <c r="SW3" s="752"/>
      <c r="SX3" s="752"/>
      <c r="SY3" s="752"/>
      <c r="SZ3" s="752"/>
      <c r="TA3" s="752"/>
      <c r="TB3" s="752"/>
      <c r="TC3" s="752"/>
      <c r="TD3" s="752"/>
      <c r="TE3" s="752"/>
      <c r="TF3" s="752"/>
      <c r="TG3" s="752"/>
      <c r="TH3" s="383"/>
      <c r="TI3" s="383"/>
      <c r="TJ3" s="752" t="s">
        <v>530</v>
      </c>
      <c r="TK3" s="752"/>
      <c r="TL3" s="752"/>
      <c r="TM3" s="752"/>
      <c r="TN3" s="752"/>
      <c r="TO3" s="752"/>
      <c r="TP3" s="752"/>
      <c r="TQ3" s="752"/>
      <c r="TR3" s="752"/>
      <c r="TS3" s="752"/>
      <c r="TT3" s="752"/>
      <c r="TU3" s="752"/>
      <c r="TV3" s="752"/>
      <c r="TW3" s="752"/>
    </row>
    <row r="4" spans="2:543" ht="16">
      <c r="B4" s="136"/>
      <c r="C4" s="136"/>
      <c r="D4" s="136"/>
      <c r="E4" s="136"/>
      <c r="F4" s="136"/>
      <c r="G4" s="136"/>
      <c r="H4" s="136"/>
      <c r="I4" s="136"/>
      <c r="J4" s="136"/>
      <c r="K4" s="136"/>
      <c r="L4" s="136"/>
      <c r="M4" s="136"/>
      <c r="N4" s="136"/>
      <c r="O4" s="136"/>
      <c r="R4" s="136"/>
      <c r="S4" s="136"/>
      <c r="T4" s="136"/>
      <c r="U4" s="136"/>
      <c r="V4" s="136"/>
      <c r="W4" s="136"/>
      <c r="X4" s="136"/>
      <c r="Y4" s="136"/>
      <c r="Z4" s="136"/>
      <c r="AA4" s="136"/>
      <c r="AB4" s="136"/>
      <c r="AC4" s="136"/>
      <c r="AD4" s="136"/>
      <c r="AE4" s="136"/>
      <c r="AH4" s="136"/>
      <c r="AI4" s="136"/>
      <c r="AJ4" s="136"/>
      <c r="AK4" s="136"/>
      <c r="AL4" s="136"/>
      <c r="AM4" s="136"/>
      <c r="AN4" s="136"/>
      <c r="AO4" s="136"/>
      <c r="AP4" s="136"/>
      <c r="AQ4" s="136"/>
      <c r="AR4" s="136"/>
      <c r="AS4" s="136"/>
      <c r="AT4" s="136"/>
      <c r="AU4" s="136"/>
      <c r="AX4" s="136"/>
      <c r="AY4" s="136"/>
      <c r="AZ4" s="136"/>
      <c r="BA4" s="136"/>
      <c r="BB4" s="136"/>
      <c r="BC4" s="136"/>
      <c r="BD4" s="136"/>
      <c r="BE4" s="136"/>
      <c r="BF4" s="136"/>
      <c r="BG4" s="136"/>
      <c r="BH4" s="136"/>
      <c r="BI4" s="136"/>
      <c r="BJ4" s="136"/>
      <c r="BK4" s="136"/>
      <c r="BN4" s="136"/>
      <c r="BO4" s="136"/>
      <c r="BP4" s="136"/>
      <c r="BQ4" s="136"/>
      <c r="BR4" s="136"/>
      <c r="BS4" s="136"/>
      <c r="BT4" s="136"/>
      <c r="BU4" s="136"/>
      <c r="BV4" s="136"/>
      <c r="BW4" s="136"/>
      <c r="BX4" s="136"/>
      <c r="BY4" s="136"/>
      <c r="BZ4" s="136"/>
      <c r="CA4" s="136"/>
      <c r="CD4" s="136"/>
      <c r="CE4" s="136"/>
      <c r="CF4" s="136"/>
      <c r="CG4" s="136"/>
      <c r="CH4" s="136"/>
      <c r="CI4" s="136"/>
      <c r="CJ4" s="136"/>
      <c r="CK4" s="136"/>
      <c r="CL4" s="136"/>
      <c r="CM4" s="136"/>
      <c r="CN4" s="136"/>
      <c r="CO4" s="136"/>
      <c r="CP4" s="136"/>
      <c r="CQ4" s="136"/>
      <c r="HB4" s="136"/>
      <c r="HC4" s="136"/>
      <c r="HD4" s="136"/>
      <c r="HE4" s="136"/>
      <c r="HF4" s="136"/>
      <c r="HG4" s="136"/>
      <c r="HH4" s="136"/>
      <c r="HI4" s="136"/>
      <c r="HJ4" s="136"/>
      <c r="HK4" s="136"/>
      <c r="HL4" s="136"/>
      <c r="HM4" s="136"/>
      <c r="HN4" s="136"/>
      <c r="HO4" s="136"/>
      <c r="HP4" s="383"/>
      <c r="HQ4" s="383"/>
      <c r="HR4" s="136"/>
      <c r="HS4" s="136"/>
      <c r="HT4" s="136"/>
      <c r="HU4" s="136"/>
      <c r="HV4" s="136"/>
      <c r="HW4" s="136"/>
      <c r="HX4" s="136"/>
      <c r="HY4" s="136"/>
      <c r="HZ4" s="136"/>
      <c r="IA4" s="136"/>
      <c r="IB4" s="136"/>
      <c r="IC4" s="136"/>
      <c r="ID4" s="136"/>
      <c r="IE4" s="136"/>
      <c r="IF4" s="383"/>
      <c r="IG4" s="383"/>
      <c r="IH4" s="136"/>
      <c r="II4" s="136"/>
      <c r="IJ4" s="136"/>
      <c r="IK4" s="136"/>
      <c r="IL4" s="136"/>
      <c r="IM4" s="136"/>
      <c r="IN4" s="136"/>
      <c r="IO4" s="136"/>
      <c r="IP4" s="136"/>
      <c r="IQ4" s="136"/>
      <c r="IR4" s="136"/>
      <c r="IS4" s="136"/>
      <c r="IT4" s="136"/>
      <c r="IU4" s="136"/>
      <c r="IV4" s="383"/>
      <c r="IW4" s="383"/>
      <c r="IX4" s="136"/>
      <c r="IY4" s="136"/>
      <c r="IZ4" s="136"/>
      <c r="JA4" s="136"/>
      <c r="JB4" s="136"/>
      <c r="JC4" s="136"/>
      <c r="JD4" s="136"/>
      <c r="JE4" s="136"/>
      <c r="JF4" s="136"/>
      <c r="JG4" s="136"/>
      <c r="JH4" s="136"/>
      <c r="JI4" s="136"/>
      <c r="JJ4" s="136"/>
      <c r="JK4" s="136"/>
      <c r="JL4" s="383"/>
      <c r="JM4" s="383"/>
      <c r="JN4" s="136"/>
      <c r="JO4" s="136"/>
      <c r="JP4" s="136"/>
      <c r="JQ4" s="136"/>
      <c r="JR4" s="136"/>
      <c r="JS4" s="136"/>
      <c r="JT4" s="136"/>
      <c r="JU4" s="136"/>
      <c r="JV4" s="136"/>
      <c r="JW4" s="136"/>
      <c r="JX4" s="136"/>
      <c r="JY4" s="136"/>
      <c r="JZ4" s="136"/>
      <c r="KA4" s="136"/>
      <c r="KB4" s="383"/>
      <c r="KC4" s="383"/>
      <c r="KD4" s="136"/>
      <c r="KE4" s="136"/>
      <c r="KF4" s="136"/>
      <c r="KG4" s="136"/>
      <c r="KH4" s="136"/>
      <c r="KI4" s="136"/>
      <c r="KJ4" s="136"/>
      <c r="KK4" s="136"/>
      <c r="KL4" s="136"/>
      <c r="KM4" s="136"/>
      <c r="KN4" s="136"/>
      <c r="KO4" s="136"/>
      <c r="KP4" s="136"/>
      <c r="KQ4" s="136"/>
      <c r="KR4" s="383"/>
      <c r="KS4" s="383"/>
      <c r="KT4" s="136"/>
      <c r="KU4" s="136"/>
      <c r="KV4" s="136"/>
      <c r="KW4" s="136"/>
      <c r="KX4" s="136"/>
      <c r="KY4" s="136"/>
      <c r="KZ4" s="136"/>
      <c r="LA4" s="136"/>
      <c r="LB4" s="136"/>
      <c r="LC4" s="136"/>
      <c r="LD4" s="136"/>
      <c r="LE4" s="136"/>
      <c r="LF4" s="136"/>
      <c r="LG4" s="136"/>
      <c r="LH4" s="383"/>
      <c r="LI4" s="383"/>
      <c r="LJ4" s="136"/>
      <c r="LK4" s="136"/>
      <c r="LL4" s="136"/>
      <c r="LM4" s="136"/>
      <c r="LN4" s="136"/>
      <c r="LO4" s="136"/>
      <c r="LP4" s="136"/>
      <c r="LQ4" s="136"/>
      <c r="LR4" s="136"/>
      <c r="LS4" s="136"/>
      <c r="LT4" s="136"/>
      <c r="LU4" s="136"/>
      <c r="LV4" s="136"/>
      <c r="LW4" s="136"/>
      <c r="LX4" s="383"/>
      <c r="LY4" s="383"/>
      <c r="LZ4" s="136"/>
      <c r="MA4" s="136"/>
      <c r="MB4" s="136"/>
      <c r="MC4" s="136"/>
      <c r="MD4" s="136"/>
      <c r="ME4" s="136"/>
      <c r="MF4" s="136"/>
      <c r="MG4" s="136"/>
      <c r="MH4" s="136"/>
      <c r="MI4" s="136"/>
      <c r="MJ4" s="136"/>
      <c r="MK4" s="136"/>
      <c r="ML4" s="136"/>
      <c r="MM4" s="136"/>
      <c r="MN4" s="383"/>
      <c r="MO4" s="383"/>
      <c r="MP4" s="136"/>
      <c r="MQ4" s="136"/>
      <c r="MR4" s="136"/>
      <c r="MS4" s="136"/>
      <c r="MT4" s="136"/>
      <c r="MU4" s="136"/>
      <c r="MV4" s="136"/>
      <c r="MW4" s="136"/>
      <c r="MX4" s="136"/>
      <c r="MY4" s="136"/>
      <c r="MZ4" s="136"/>
      <c r="NA4" s="136"/>
      <c r="NB4" s="136"/>
      <c r="NC4" s="136"/>
      <c r="ND4" s="383"/>
      <c r="NE4" s="383"/>
      <c r="NF4" s="136"/>
      <c r="NG4" s="136"/>
      <c r="NH4" s="136"/>
      <c r="NI4" s="136"/>
      <c r="NJ4" s="136"/>
      <c r="NK4" s="136"/>
      <c r="NL4" s="136"/>
      <c r="NM4" s="136"/>
      <c r="NN4" s="136"/>
      <c r="NO4" s="136"/>
      <c r="NP4" s="136"/>
      <c r="NQ4" s="136"/>
      <c r="NR4" s="136"/>
      <c r="NS4" s="136"/>
      <c r="NT4" s="383"/>
      <c r="NU4" s="383"/>
      <c r="NV4" s="136"/>
      <c r="NW4" s="136"/>
      <c r="NX4" s="136"/>
      <c r="NY4" s="136"/>
      <c r="NZ4" s="136"/>
      <c r="OA4" s="136"/>
      <c r="OB4" s="136"/>
      <c r="OC4" s="136"/>
      <c r="OD4" s="136"/>
      <c r="OE4" s="136"/>
      <c r="OF4" s="136"/>
      <c r="OG4" s="136"/>
      <c r="OH4" s="136"/>
      <c r="OI4" s="136"/>
      <c r="OJ4" s="383"/>
      <c r="OK4" s="383"/>
      <c r="OL4" s="136"/>
      <c r="OM4" s="136"/>
      <c r="ON4" s="136"/>
      <c r="OO4" s="136"/>
      <c r="OP4" s="136"/>
      <c r="OQ4" s="136"/>
      <c r="OR4" s="136"/>
      <c r="OS4" s="136"/>
      <c r="OT4" s="136"/>
      <c r="OU4" s="136"/>
      <c r="OV4" s="136"/>
      <c r="OW4" s="136"/>
      <c r="OX4" s="136"/>
      <c r="OY4" s="136"/>
      <c r="OZ4" s="383"/>
      <c r="PA4" s="383"/>
      <c r="PB4" s="136"/>
      <c r="PC4" s="136"/>
      <c r="PD4" s="136"/>
      <c r="PE4" s="136"/>
      <c r="PF4" s="136"/>
      <c r="PG4" s="136"/>
      <c r="PH4" s="136"/>
      <c r="PI4" s="136"/>
      <c r="PJ4" s="136"/>
      <c r="PK4" s="136"/>
      <c r="PL4" s="136"/>
      <c r="PM4" s="136"/>
      <c r="PN4" s="136"/>
      <c r="PO4" s="136"/>
      <c r="PP4" s="383"/>
      <c r="PQ4" s="383"/>
      <c r="PR4" s="136"/>
      <c r="PS4" s="136"/>
      <c r="PT4" s="136"/>
      <c r="PU4" s="136"/>
      <c r="PV4" s="136"/>
      <c r="PW4" s="136"/>
      <c r="PX4" s="136"/>
      <c r="PY4" s="136"/>
      <c r="PZ4" s="136"/>
      <c r="QA4" s="136"/>
      <c r="QB4" s="136"/>
      <c r="QC4" s="136"/>
      <c r="QD4" s="136"/>
      <c r="QE4" s="136"/>
      <c r="QF4" s="383"/>
      <c r="QG4" s="383"/>
      <c r="QH4" s="136"/>
      <c r="QI4" s="136"/>
      <c r="QJ4" s="136"/>
      <c r="QK4" s="136"/>
      <c r="QL4" s="136"/>
      <c r="QM4" s="136"/>
      <c r="QN4" s="136"/>
      <c r="QO4" s="136"/>
      <c r="QP4" s="136"/>
      <c r="QQ4" s="136"/>
      <c r="QR4" s="136"/>
      <c r="QS4" s="136"/>
      <c r="QT4" s="136"/>
      <c r="QU4" s="136"/>
      <c r="QV4" s="383"/>
      <c r="QW4" s="383"/>
      <c r="QX4" s="136"/>
      <c r="QY4" s="136"/>
      <c r="QZ4" s="136"/>
      <c r="RA4" s="136"/>
      <c r="RB4" s="136"/>
      <c r="RC4" s="136"/>
      <c r="RD4" s="136"/>
      <c r="RE4" s="136"/>
      <c r="RF4" s="136"/>
      <c r="RG4" s="136"/>
      <c r="RH4" s="136"/>
      <c r="RI4" s="136"/>
      <c r="RJ4" s="136"/>
      <c r="RK4" s="136"/>
      <c r="RL4" s="383"/>
      <c r="RM4" s="383"/>
      <c r="RN4" s="136"/>
      <c r="RO4" s="136"/>
      <c r="RP4" s="136"/>
      <c r="RQ4" s="136"/>
      <c r="RR4" s="136"/>
      <c r="RS4" s="136"/>
      <c r="RT4" s="136"/>
      <c r="RU4" s="136"/>
      <c r="RV4" s="136"/>
      <c r="RW4" s="136"/>
      <c r="RX4" s="136"/>
      <c r="RY4" s="136"/>
      <c r="RZ4" s="136"/>
      <c r="SA4" s="136"/>
      <c r="SB4" s="383"/>
      <c r="SC4" s="383"/>
      <c r="SD4" s="136"/>
      <c r="SE4" s="136"/>
      <c r="SF4" s="136"/>
      <c r="SG4" s="136"/>
      <c r="SH4" s="136"/>
      <c r="SI4" s="136"/>
      <c r="SJ4" s="136"/>
      <c r="SK4" s="136"/>
      <c r="SL4" s="136"/>
      <c r="SM4" s="136"/>
      <c r="SN4" s="136"/>
      <c r="SO4" s="136"/>
      <c r="SP4" s="136"/>
      <c r="SQ4" s="136"/>
      <c r="SR4" s="383"/>
      <c r="SS4" s="383"/>
      <c r="ST4" s="136"/>
      <c r="SU4" s="136"/>
      <c r="SV4" s="136"/>
      <c r="SW4" s="136"/>
      <c r="SX4" s="136"/>
      <c r="SY4" s="136"/>
      <c r="SZ4" s="136"/>
      <c r="TA4" s="136"/>
      <c r="TB4" s="136"/>
      <c r="TC4" s="136"/>
      <c r="TD4" s="136"/>
      <c r="TE4" s="136"/>
      <c r="TF4" s="136"/>
      <c r="TG4" s="136"/>
      <c r="TH4" s="383"/>
      <c r="TI4" s="383"/>
      <c r="TJ4" s="136"/>
      <c r="TK4" s="136"/>
      <c r="TL4" s="136"/>
      <c r="TM4" s="136"/>
      <c r="TN4" s="136"/>
      <c r="TO4" s="136"/>
      <c r="TP4" s="136"/>
      <c r="TQ4" s="136"/>
      <c r="TR4" s="136"/>
      <c r="TS4" s="136"/>
      <c r="TT4" s="136"/>
      <c r="TU4" s="136"/>
      <c r="TV4" s="136"/>
      <c r="TW4" s="136"/>
    </row>
    <row r="5" spans="2:543" s="479" customFormat="1" ht="16">
      <c r="B5" s="335">
        <v>2022</v>
      </c>
      <c r="C5" s="479">
        <v>2022.01</v>
      </c>
      <c r="D5" s="479">
        <v>2022.02</v>
      </c>
      <c r="E5" s="479">
        <v>2022.03</v>
      </c>
      <c r="F5" s="479">
        <v>2022.04</v>
      </c>
      <c r="G5" s="479">
        <v>2022.05</v>
      </c>
      <c r="H5" s="479">
        <v>2022.06</v>
      </c>
      <c r="I5" s="479">
        <v>2022.07</v>
      </c>
      <c r="J5" s="479">
        <v>2022.08</v>
      </c>
      <c r="K5" s="479">
        <v>2022.09</v>
      </c>
      <c r="L5" s="479">
        <v>2022.1</v>
      </c>
      <c r="M5" s="479">
        <v>2022.11</v>
      </c>
      <c r="N5" s="479">
        <v>2022.12</v>
      </c>
      <c r="O5" s="335"/>
      <c r="R5" s="335">
        <v>2021</v>
      </c>
      <c r="S5" s="479">
        <v>2021.01</v>
      </c>
      <c r="T5" s="479">
        <v>2021.02</v>
      </c>
      <c r="U5" s="479">
        <v>2021.03</v>
      </c>
      <c r="V5" s="479">
        <v>2021.04</v>
      </c>
      <c r="W5" s="479">
        <v>2021.05</v>
      </c>
      <c r="X5" s="479">
        <v>2021.06</v>
      </c>
      <c r="Y5" s="479">
        <v>2021.07</v>
      </c>
      <c r="Z5" s="479">
        <v>2021.08</v>
      </c>
      <c r="AA5" s="479">
        <v>2021.09</v>
      </c>
      <c r="AB5" s="479">
        <v>2021.1</v>
      </c>
      <c r="AC5" s="479">
        <v>2021.11</v>
      </c>
      <c r="AD5" s="479">
        <v>2021.12</v>
      </c>
      <c r="AE5" s="335"/>
      <c r="AH5" s="335">
        <v>2020</v>
      </c>
      <c r="AI5" s="479">
        <v>2020.01</v>
      </c>
      <c r="AJ5" s="479">
        <v>2020.02</v>
      </c>
      <c r="AK5" s="479">
        <v>2020.03</v>
      </c>
      <c r="AL5" s="479">
        <v>2020.04</v>
      </c>
      <c r="AM5" s="479">
        <v>2020.05</v>
      </c>
      <c r="AN5" s="479">
        <v>2020.06</v>
      </c>
      <c r="AO5" s="479">
        <v>2020.07</v>
      </c>
      <c r="AP5" s="479">
        <v>2020.08</v>
      </c>
      <c r="AQ5" s="479">
        <v>2020.09</v>
      </c>
      <c r="AR5" s="479">
        <v>2020.1</v>
      </c>
      <c r="AS5" s="479">
        <v>2020.11</v>
      </c>
      <c r="AT5" s="479">
        <v>2020.12</v>
      </c>
      <c r="AU5" s="335"/>
      <c r="AX5" s="335">
        <f>+BN5+1</f>
        <v>2019</v>
      </c>
      <c r="AY5" s="335">
        <f>+AX5+0.01</f>
        <v>2019.01</v>
      </c>
      <c r="AZ5" s="335">
        <f t="shared" ref="AZ5:BJ5" si="0">+AY5+0.01</f>
        <v>2019.02</v>
      </c>
      <c r="BA5" s="335">
        <f t="shared" si="0"/>
        <v>2019.03</v>
      </c>
      <c r="BB5" s="335">
        <f t="shared" si="0"/>
        <v>2019.04</v>
      </c>
      <c r="BC5" s="335">
        <f t="shared" si="0"/>
        <v>2019.05</v>
      </c>
      <c r="BD5" s="335">
        <f t="shared" si="0"/>
        <v>2019.06</v>
      </c>
      <c r="BE5" s="335">
        <f t="shared" si="0"/>
        <v>2019.07</v>
      </c>
      <c r="BF5" s="335">
        <f t="shared" si="0"/>
        <v>2019.08</v>
      </c>
      <c r="BG5" s="335">
        <f t="shared" si="0"/>
        <v>2019.09</v>
      </c>
      <c r="BH5" s="335">
        <f t="shared" si="0"/>
        <v>2019.1</v>
      </c>
      <c r="BI5" s="335">
        <f t="shared" si="0"/>
        <v>2019.11</v>
      </c>
      <c r="BJ5" s="335">
        <f t="shared" si="0"/>
        <v>2019.12</v>
      </c>
      <c r="BK5" s="335"/>
      <c r="BN5" s="335">
        <v>2018</v>
      </c>
      <c r="BO5" s="479">
        <v>2018.01</v>
      </c>
      <c r="BP5" s="479">
        <v>2018.02</v>
      </c>
      <c r="BQ5" s="479">
        <v>2018.03</v>
      </c>
      <c r="BR5" s="479">
        <v>2018.04</v>
      </c>
      <c r="BS5" s="479">
        <v>2018.05</v>
      </c>
      <c r="BT5" s="479">
        <v>2018.06</v>
      </c>
      <c r="BU5" s="479">
        <v>2018.07</v>
      </c>
      <c r="BV5" s="479">
        <v>2018.08</v>
      </c>
      <c r="BW5" s="479">
        <v>2018.09</v>
      </c>
      <c r="BX5" s="479">
        <v>2018.1</v>
      </c>
      <c r="BY5" s="479">
        <v>2018.11</v>
      </c>
      <c r="BZ5" s="479">
        <v>2018.12</v>
      </c>
      <c r="CA5" s="335"/>
      <c r="CD5" s="335">
        <v>2017</v>
      </c>
      <c r="CE5" s="479">
        <v>2017.01</v>
      </c>
      <c r="CF5" s="479">
        <v>2017.02</v>
      </c>
      <c r="CG5" s="479">
        <v>2017.03</v>
      </c>
      <c r="CH5" s="479">
        <v>2017.04</v>
      </c>
      <c r="CI5" s="479">
        <v>2017.05</v>
      </c>
      <c r="CJ5" s="479">
        <v>2017.06</v>
      </c>
      <c r="CK5" s="479">
        <v>2017.07</v>
      </c>
      <c r="CL5" s="479">
        <v>2017.08</v>
      </c>
      <c r="CM5" s="479">
        <v>2017.09</v>
      </c>
      <c r="CN5" s="479">
        <v>2017.1</v>
      </c>
      <c r="CO5" s="479">
        <v>2017.11</v>
      </c>
      <c r="CP5" s="479">
        <v>2017.12</v>
      </c>
      <c r="CQ5" s="335"/>
      <c r="CT5" s="479">
        <f>+DJ5+1</f>
        <v>2016</v>
      </c>
      <c r="CU5" s="479">
        <f>+CT5+0.01</f>
        <v>2016.01</v>
      </c>
      <c r="CV5" s="479">
        <f t="shared" ref="CV5:DF5" si="1">+CU5+0.01</f>
        <v>2016.02</v>
      </c>
      <c r="CW5" s="479">
        <f t="shared" si="1"/>
        <v>2016.03</v>
      </c>
      <c r="CX5" s="479">
        <f t="shared" si="1"/>
        <v>2016.04</v>
      </c>
      <c r="CY5" s="479">
        <f t="shared" si="1"/>
        <v>2016.05</v>
      </c>
      <c r="CZ5" s="479">
        <f t="shared" si="1"/>
        <v>2016.06</v>
      </c>
      <c r="DA5" s="479">
        <f t="shared" si="1"/>
        <v>2016.07</v>
      </c>
      <c r="DB5" s="479">
        <f t="shared" si="1"/>
        <v>2016.08</v>
      </c>
      <c r="DC5" s="479">
        <f t="shared" si="1"/>
        <v>2016.09</v>
      </c>
      <c r="DD5" s="479">
        <f t="shared" si="1"/>
        <v>2016.1</v>
      </c>
      <c r="DE5" s="479">
        <f t="shared" si="1"/>
        <v>2016.11</v>
      </c>
      <c r="DF5" s="479">
        <f t="shared" si="1"/>
        <v>2016.12</v>
      </c>
      <c r="DJ5" s="479">
        <f>+DZ5+1</f>
        <v>2015</v>
      </c>
      <c r="DK5" s="479">
        <f>+DJ5+0.01</f>
        <v>2015.01</v>
      </c>
      <c r="DL5" s="479">
        <f t="shared" ref="DL5:DV5" si="2">+DK5+0.01</f>
        <v>2015.02</v>
      </c>
      <c r="DM5" s="479">
        <f t="shared" si="2"/>
        <v>2015.03</v>
      </c>
      <c r="DN5" s="479">
        <f t="shared" si="2"/>
        <v>2015.04</v>
      </c>
      <c r="DO5" s="479">
        <f t="shared" si="2"/>
        <v>2015.05</v>
      </c>
      <c r="DP5" s="479">
        <f t="shared" si="2"/>
        <v>2015.06</v>
      </c>
      <c r="DQ5" s="479">
        <f t="shared" si="2"/>
        <v>2015.07</v>
      </c>
      <c r="DR5" s="479">
        <f t="shared" si="2"/>
        <v>2015.08</v>
      </c>
      <c r="DS5" s="479">
        <f t="shared" si="2"/>
        <v>2015.09</v>
      </c>
      <c r="DT5" s="479">
        <f t="shared" si="2"/>
        <v>2015.1</v>
      </c>
      <c r="DU5" s="479">
        <f t="shared" si="2"/>
        <v>2015.11</v>
      </c>
      <c r="DV5" s="479">
        <f t="shared" si="2"/>
        <v>2015.12</v>
      </c>
      <c r="DZ5" s="479">
        <f>+EP5+1</f>
        <v>2014</v>
      </c>
      <c r="EA5" s="479">
        <f>+DZ5+0.01</f>
        <v>2014.01</v>
      </c>
      <c r="EB5" s="479">
        <f t="shared" ref="EB5:EL5" si="3">+EA5+0.01</f>
        <v>2014.02</v>
      </c>
      <c r="EC5" s="479">
        <f t="shared" si="3"/>
        <v>2014.03</v>
      </c>
      <c r="ED5" s="479">
        <f t="shared" si="3"/>
        <v>2014.04</v>
      </c>
      <c r="EE5" s="479">
        <f t="shared" si="3"/>
        <v>2014.05</v>
      </c>
      <c r="EF5" s="479">
        <f t="shared" si="3"/>
        <v>2014.06</v>
      </c>
      <c r="EG5" s="479">
        <f t="shared" si="3"/>
        <v>2014.07</v>
      </c>
      <c r="EH5" s="479">
        <f t="shared" si="3"/>
        <v>2014.08</v>
      </c>
      <c r="EI5" s="479">
        <f t="shared" si="3"/>
        <v>2014.09</v>
      </c>
      <c r="EJ5" s="479">
        <f t="shared" si="3"/>
        <v>2014.1</v>
      </c>
      <c r="EK5" s="479">
        <f t="shared" si="3"/>
        <v>2014.11</v>
      </c>
      <c r="EL5" s="479">
        <f t="shared" si="3"/>
        <v>2014.12</v>
      </c>
      <c r="EP5" s="479">
        <f>+FF5+1</f>
        <v>2013</v>
      </c>
      <c r="EQ5" s="479">
        <f>+EP5+0.01</f>
        <v>2013.01</v>
      </c>
      <c r="ER5" s="479">
        <f t="shared" ref="ER5:FB5" si="4">+EQ5+0.01</f>
        <v>2013.02</v>
      </c>
      <c r="ES5" s="479">
        <f t="shared" si="4"/>
        <v>2013.03</v>
      </c>
      <c r="ET5" s="479">
        <f t="shared" si="4"/>
        <v>2013.04</v>
      </c>
      <c r="EU5" s="479">
        <f t="shared" si="4"/>
        <v>2013.05</v>
      </c>
      <c r="EV5" s="479">
        <f t="shared" si="4"/>
        <v>2013.06</v>
      </c>
      <c r="EW5" s="479">
        <f t="shared" si="4"/>
        <v>2013.07</v>
      </c>
      <c r="EX5" s="479">
        <f t="shared" si="4"/>
        <v>2013.08</v>
      </c>
      <c r="EY5" s="479">
        <f t="shared" si="4"/>
        <v>2013.09</v>
      </c>
      <c r="EZ5" s="479">
        <f t="shared" si="4"/>
        <v>2013.1</v>
      </c>
      <c r="FA5" s="479">
        <f t="shared" si="4"/>
        <v>2013.11</v>
      </c>
      <c r="FB5" s="479">
        <f t="shared" si="4"/>
        <v>2013.12</v>
      </c>
      <c r="FF5" s="479">
        <f>+FV5+1</f>
        <v>2012</v>
      </c>
      <c r="FG5" s="479">
        <f>+FF5+0.01</f>
        <v>2012.01</v>
      </c>
      <c r="FH5" s="479">
        <f t="shared" ref="FH5:FR5" si="5">+FG5+0.01</f>
        <v>2012.02</v>
      </c>
      <c r="FI5" s="479">
        <f t="shared" si="5"/>
        <v>2012.03</v>
      </c>
      <c r="FJ5" s="479">
        <f t="shared" si="5"/>
        <v>2012.04</v>
      </c>
      <c r="FK5" s="479">
        <f t="shared" si="5"/>
        <v>2012.05</v>
      </c>
      <c r="FL5" s="479">
        <f t="shared" si="5"/>
        <v>2012.06</v>
      </c>
      <c r="FM5" s="479">
        <f t="shared" si="5"/>
        <v>2012.07</v>
      </c>
      <c r="FN5" s="479">
        <f t="shared" si="5"/>
        <v>2012.08</v>
      </c>
      <c r="FO5" s="479">
        <f t="shared" si="5"/>
        <v>2012.09</v>
      </c>
      <c r="FP5" s="479">
        <f t="shared" si="5"/>
        <v>2012.1</v>
      </c>
      <c r="FQ5" s="479">
        <f t="shared" si="5"/>
        <v>2012.11</v>
      </c>
      <c r="FR5" s="479">
        <f t="shared" si="5"/>
        <v>2012.12</v>
      </c>
      <c r="FV5" s="479">
        <f>+GL5+1</f>
        <v>2011</v>
      </c>
      <c r="FW5" s="479">
        <f>+FV5+0.01</f>
        <v>2011.01</v>
      </c>
      <c r="FX5" s="479">
        <f t="shared" ref="FX5:GH5" si="6">+FW5+0.01</f>
        <v>2011.02</v>
      </c>
      <c r="FY5" s="479">
        <f t="shared" si="6"/>
        <v>2011.03</v>
      </c>
      <c r="FZ5" s="479">
        <f t="shared" si="6"/>
        <v>2011.04</v>
      </c>
      <c r="GA5" s="479">
        <f t="shared" si="6"/>
        <v>2011.05</v>
      </c>
      <c r="GB5" s="479">
        <f t="shared" si="6"/>
        <v>2011.06</v>
      </c>
      <c r="GC5" s="479">
        <f t="shared" si="6"/>
        <v>2011.07</v>
      </c>
      <c r="GD5" s="479">
        <f t="shared" si="6"/>
        <v>2011.08</v>
      </c>
      <c r="GE5" s="479">
        <f t="shared" si="6"/>
        <v>2011.09</v>
      </c>
      <c r="GF5" s="479">
        <f t="shared" si="6"/>
        <v>2011.1</v>
      </c>
      <c r="GG5" s="479">
        <f t="shared" si="6"/>
        <v>2011.11</v>
      </c>
      <c r="GH5" s="479">
        <f t="shared" si="6"/>
        <v>2011.12</v>
      </c>
      <c r="GL5" s="479">
        <v>2010</v>
      </c>
      <c r="GM5" s="479">
        <f>+GL5+0.01</f>
        <v>2010.01</v>
      </c>
      <c r="GN5" s="479">
        <f t="shared" ref="GN5:GX5" si="7">+GM5+0.01</f>
        <v>2010.02</v>
      </c>
      <c r="GO5" s="479">
        <f t="shared" si="7"/>
        <v>2010.03</v>
      </c>
      <c r="GP5" s="479">
        <f t="shared" si="7"/>
        <v>2010.04</v>
      </c>
      <c r="GQ5" s="479">
        <f t="shared" si="7"/>
        <v>2010.05</v>
      </c>
      <c r="GR5" s="479">
        <f t="shared" si="7"/>
        <v>2010.06</v>
      </c>
      <c r="GS5" s="479">
        <f t="shared" si="7"/>
        <v>2010.07</v>
      </c>
      <c r="GT5" s="479">
        <f t="shared" si="7"/>
        <v>2010.08</v>
      </c>
      <c r="GU5" s="479">
        <f t="shared" si="7"/>
        <v>2010.09</v>
      </c>
      <c r="GV5" s="479">
        <f t="shared" si="7"/>
        <v>2010.1</v>
      </c>
      <c r="GW5" s="479">
        <f t="shared" si="7"/>
        <v>2010.11</v>
      </c>
      <c r="GX5" s="479">
        <f t="shared" si="7"/>
        <v>2010.12</v>
      </c>
      <c r="HB5" s="335">
        <v>2009</v>
      </c>
      <c r="HC5" s="335">
        <v>2009.01</v>
      </c>
      <c r="HD5" s="335">
        <v>2009.02</v>
      </c>
      <c r="HE5" s="335">
        <v>2009.03</v>
      </c>
      <c r="HF5" s="335">
        <v>2009.04</v>
      </c>
      <c r="HG5" s="335">
        <v>2009.05</v>
      </c>
      <c r="HH5" s="335">
        <v>2009.06</v>
      </c>
      <c r="HI5" s="335">
        <v>2009.07</v>
      </c>
      <c r="HJ5" s="335">
        <v>2009.08</v>
      </c>
      <c r="HK5" s="335">
        <v>2009.09</v>
      </c>
      <c r="HL5" s="335">
        <v>2009.1</v>
      </c>
      <c r="HM5" s="335">
        <v>2009.11</v>
      </c>
      <c r="HN5" s="335">
        <v>2009.12</v>
      </c>
      <c r="HO5" s="335"/>
      <c r="HP5" s="384"/>
      <c r="HQ5" s="384"/>
      <c r="HR5" s="335">
        <v>2008</v>
      </c>
      <c r="HS5" s="335">
        <v>2008.01</v>
      </c>
      <c r="HT5" s="335">
        <v>2008.02</v>
      </c>
      <c r="HU5" s="335">
        <v>2008.03</v>
      </c>
      <c r="HV5" s="335">
        <v>2008.04</v>
      </c>
      <c r="HW5" s="335">
        <v>2008.05</v>
      </c>
      <c r="HX5" s="335">
        <v>2008.06</v>
      </c>
      <c r="HY5" s="335">
        <v>2008.07</v>
      </c>
      <c r="HZ5" s="335">
        <v>2008.08</v>
      </c>
      <c r="IA5" s="335">
        <v>2008.09</v>
      </c>
      <c r="IB5" s="335">
        <v>2008.1</v>
      </c>
      <c r="IC5" s="335">
        <v>2008.11</v>
      </c>
      <c r="ID5" s="335">
        <v>2008.12</v>
      </c>
      <c r="IE5" s="335"/>
      <c r="IF5" s="384"/>
      <c r="IG5" s="384"/>
      <c r="IH5" s="335">
        <v>2007</v>
      </c>
      <c r="II5" s="335">
        <v>2007.01</v>
      </c>
      <c r="IJ5" s="335">
        <v>2007.02</v>
      </c>
      <c r="IK5" s="335">
        <v>2007.03</v>
      </c>
      <c r="IL5" s="335">
        <v>2007.04</v>
      </c>
      <c r="IM5" s="335">
        <v>2007.05</v>
      </c>
      <c r="IN5" s="335">
        <v>2007.06</v>
      </c>
      <c r="IO5" s="335">
        <v>2007.07</v>
      </c>
      <c r="IP5" s="335">
        <v>2007.08</v>
      </c>
      <c r="IQ5" s="335">
        <v>2007.09</v>
      </c>
      <c r="IR5" s="335">
        <v>2007.1</v>
      </c>
      <c r="IS5" s="335">
        <v>2007.11</v>
      </c>
      <c r="IT5" s="335">
        <v>2007.12</v>
      </c>
      <c r="IU5" s="335"/>
      <c r="IV5" s="384"/>
      <c r="IW5" s="384"/>
      <c r="IX5" s="335">
        <v>2006</v>
      </c>
      <c r="IY5" s="335">
        <v>2006.01</v>
      </c>
      <c r="IZ5" s="335">
        <v>2006.02</v>
      </c>
      <c r="JA5" s="335">
        <v>2006.03</v>
      </c>
      <c r="JB5" s="335">
        <v>2006.04</v>
      </c>
      <c r="JC5" s="335">
        <v>2006.05</v>
      </c>
      <c r="JD5" s="335">
        <v>2006.06</v>
      </c>
      <c r="JE5" s="335">
        <v>2006.07</v>
      </c>
      <c r="JF5" s="335">
        <v>2006.08</v>
      </c>
      <c r="JG5" s="335">
        <v>2006.09</v>
      </c>
      <c r="JH5" s="335">
        <v>2006.1</v>
      </c>
      <c r="JI5" s="335">
        <v>2006.11</v>
      </c>
      <c r="JJ5" s="335">
        <v>2006.12</v>
      </c>
      <c r="JK5" s="335"/>
      <c r="JL5" s="384"/>
      <c r="JM5" s="384"/>
      <c r="JN5" s="335">
        <v>2005</v>
      </c>
      <c r="JO5" s="335">
        <v>2005.01</v>
      </c>
      <c r="JP5" s="335">
        <v>2005.02</v>
      </c>
      <c r="JQ5" s="335">
        <v>2005.03</v>
      </c>
      <c r="JR5" s="335">
        <v>2005.04</v>
      </c>
      <c r="JS5" s="335">
        <v>2005.05</v>
      </c>
      <c r="JT5" s="335">
        <v>2005.06</v>
      </c>
      <c r="JU5" s="335">
        <v>2005.07</v>
      </c>
      <c r="JV5" s="335">
        <v>2005.08</v>
      </c>
      <c r="JW5" s="335">
        <v>2005.09</v>
      </c>
      <c r="JX5" s="335">
        <v>2005.1</v>
      </c>
      <c r="JY5" s="335">
        <v>2005.11</v>
      </c>
      <c r="JZ5" s="335">
        <v>2005.12</v>
      </c>
      <c r="KA5" s="335"/>
      <c r="KB5" s="384"/>
      <c r="KC5" s="384"/>
      <c r="KD5" s="335">
        <v>2004</v>
      </c>
      <c r="KE5" s="335">
        <v>2004.01</v>
      </c>
      <c r="KF5" s="335">
        <v>2004.02</v>
      </c>
      <c r="KG5" s="335">
        <v>2004.03</v>
      </c>
      <c r="KH5" s="335">
        <v>2004.04</v>
      </c>
      <c r="KI5" s="335">
        <v>2004.05</v>
      </c>
      <c r="KJ5" s="335">
        <v>2004.06</v>
      </c>
      <c r="KK5" s="335">
        <v>2004.07</v>
      </c>
      <c r="KL5" s="335">
        <v>2004.08</v>
      </c>
      <c r="KM5" s="335">
        <v>2004.09</v>
      </c>
      <c r="KN5" s="335">
        <v>2004.1</v>
      </c>
      <c r="KO5" s="335">
        <v>2004.11</v>
      </c>
      <c r="KP5" s="335">
        <v>2004.12</v>
      </c>
      <c r="KQ5" s="335"/>
      <c r="KR5" s="384"/>
      <c r="KS5" s="384"/>
      <c r="KT5" s="335">
        <v>2003</v>
      </c>
      <c r="KU5" s="335">
        <v>2003.01</v>
      </c>
      <c r="KV5" s="335">
        <v>2003.02</v>
      </c>
      <c r="KW5" s="335">
        <v>2003.03</v>
      </c>
      <c r="KX5" s="335">
        <v>2003.04</v>
      </c>
      <c r="KY5" s="335">
        <v>2003.05</v>
      </c>
      <c r="KZ5" s="335">
        <v>2003.06</v>
      </c>
      <c r="LA5" s="335">
        <v>2003.07</v>
      </c>
      <c r="LB5" s="335">
        <v>2003.08</v>
      </c>
      <c r="LC5" s="335">
        <v>2003.09</v>
      </c>
      <c r="LD5" s="335">
        <v>2003.1</v>
      </c>
      <c r="LE5" s="335">
        <v>2003.11</v>
      </c>
      <c r="LF5" s="335">
        <v>2003.12</v>
      </c>
      <c r="LG5" s="335"/>
      <c r="LH5" s="384"/>
      <c r="LI5" s="384"/>
      <c r="LJ5" s="335">
        <v>2002</v>
      </c>
      <c r="LK5" s="335">
        <v>2002.01</v>
      </c>
      <c r="LL5" s="335">
        <v>2002.02</v>
      </c>
      <c r="LM5" s="335">
        <v>2002.03</v>
      </c>
      <c r="LN5" s="335">
        <v>2002.04</v>
      </c>
      <c r="LO5" s="335">
        <v>2002.05</v>
      </c>
      <c r="LP5" s="335">
        <v>2002.06</v>
      </c>
      <c r="LQ5" s="335">
        <v>2002.07</v>
      </c>
      <c r="LR5" s="335">
        <v>2002.08</v>
      </c>
      <c r="LS5" s="335">
        <v>2002.09</v>
      </c>
      <c r="LT5" s="335">
        <v>2002.1</v>
      </c>
      <c r="LU5" s="335">
        <v>2002.11</v>
      </c>
      <c r="LV5" s="335">
        <v>2002.12</v>
      </c>
      <c r="LW5" s="335"/>
      <c r="LX5" s="384"/>
      <c r="LY5" s="384"/>
      <c r="LZ5" s="335">
        <v>2001</v>
      </c>
      <c r="MA5" s="335">
        <v>2001.01</v>
      </c>
      <c r="MB5" s="335">
        <v>2001.02</v>
      </c>
      <c r="MC5" s="335">
        <v>2001.03</v>
      </c>
      <c r="MD5" s="335">
        <v>2001.04</v>
      </c>
      <c r="ME5" s="335">
        <v>2001.05</v>
      </c>
      <c r="MF5" s="335">
        <v>2001.06</v>
      </c>
      <c r="MG5" s="335">
        <v>2001.07</v>
      </c>
      <c r="MH5" s="335">
        <v>2001.08</v>
      </c>
      <c r="MI5" s="335">
        <v>2001.09</v>
      </c>
      <c r="MJ5" s="335">
        <v>2001.1</v>
      </c>
      <c r="MK5" s="335">
        <v>2001.11</v>
      </c>
      <c r="ML5" s="335">
        <v>2001.12</v>
      </c>
      <c r="MM5" s="335"/>
      <c r="MN5" s="384"/>
      <c r="MO5" s="384"/>
      <c r="MP5" s="335">
        <v>2000</v>
      </c>
      <c r="MQ5" s="335">
        <v>2000.01</v>
      </c>
      <c r="MR5" s="335">
        <v>2000.02</v>
      </c>
      <c r="MS5" s="335">
        <v>2000.03</v>
      </c>
      <c r="MT5" s="335">
        <v>2000.04</v>
      </c>
      <c r="MU5" s="335">
        <v>2000.05</v>
      </c>
      <c r="MV5" s="335">
        <v>2000.06</v>
      </c>
      <c r="MW5" s="335">
        <v>2000.07</v>
      </c>
      <c r="MX5" s="335">
        <v>2000.08</v>
      </c>
      <c r="MY5" s="335">
        <v>2000.09</v>
      </c>
      <c r="MZ5" s="335">
        <v>2000.1</v>
      </c>
      <c r="NA5" s="335">
        <v>2000.11</v>
      </c>
      <c r="NB5" s="335">
        <v>2000.12</v>
      </c>
      <c r="NC5" s="335"/>
      <c r="ND5" s="384"/>
      <c r="NE5" s="384"/>
      <c r="NF5" s="335">
        <v>1999</v>
      </c>
      <c r="NG5" s="335">
        <v>1999.01</v>
      </c>
      <c r="NH5" s="335">
        <v>1999.02</v>
      </c>
      <c r="NI5" s="335">
        <v>1999.03</v>
      </c>
      <c r="NJ5" s="335">
        <v>1999.04</v>
      </c>
      <c r="NK5" s="335">
        <v>1999.05</v>
      </c>
      <c r="NL5" s="335">
        <v>1999.06</v>
      </c>
      <c r="NM5" s="335">
        <v>1999.07</v>
      </c>
      <c r="NN5" s="335">
        <v>1999.08</v>
      </c>
      <c r="NO5" s="335">
        <v>1999.09</v>
      </c>
      <c r="NP5" s="335">
        <v>1999.1</v>
      </c>
      <c r="NQ5" s="335">
        <v>1999.11</v>
      </c>
      <c r="NR5" s="335">
        <v>1999.12</v>
      </c>
      <c r="NS5" s="335"/>
      <c r="NT5" s="384"/>
      <c r="NU5" s="384"/>
      <c r="NV5" s="335">
        <v>1998</v>
      </c>
      <c r="NW5" s="335">
        <v>1998.01</v>
      </c>
      <c r="NX5" s="335">
        <v>1998.02</v>
      </c>
      <c r="NY5" s="335">
        <v>1998.03</v>
      </c>
      <c r="NZ5" s="335">
        <v>1998.04</v>
      </c>
      <c r="OA5" s="335">
        <v>1998.05</v>
      </c>
      <c r="OB5" s="335">
        <v>1998.06</v>
      </c>
      <c r="OC5" s="335">
        <v>1998.07</v>
      </c>
      <c r="OD5" s="335">
        <v>1998.08</v>
      </c>
      <c r="OE5" s="335">
        <v>1998.09</v>
      </c>
      <c r="OF5" s="335">
        <v>1998.1</v>
      </c>
      <c r="OG5" s="335">
        <v>1998.11</v>
      </c>
      <c r="OH5" s="335">
        <v>1998.12</v>
      </c>
      <c r="OI5" s="335"/>
      <c r="OJ5" s="384"/>
      <c r="OK5" s="384"/>
      <c r="OL5" s="335">
        <v>1997</v>
      </c>
      <c r="OM5" s="335">
        <v>1997.01</v>
      </c>
      <c r="ON5" s="335">
        <v>1997.02</v>
      </c>
      <c r="OO5" s="335">
        <v>1997.03</v>
      </c>
      <c r="OP5" s="335">
        <v>1997.04</v>
      </c>
      <c r="OQ5" s="335">
        <v>1997.05</v>
      </c>
      <c r="OR5" s="335">
        <v>1997.06</v>
      </c>
      <c r="OS5" s="335">
        <v>1997.07</v>
      </c>
      <c r="OT5" s="335">
        <v>1997.08</v>
      </c>
      <c r="OU5" s="335">
        <v>1997.09</v>
      </c>
      <c r="OV5" s="335">
        <v>1997.1</v>
      </c>
      <c r="OW5" s="335">
        <v>1997.11</v>
      </c>
      <c r="OX5" s="335">
        <v>1997.12</v>
      </c>
      <c r="OY5" s="335"/>
      <c r="OZ5" s="384"/>
      <c r="PA5" s="384"/>
      <c r="PB5" s="335">
        <v>1996</v>
      </c>
      <c r="PC5" s="335">
        <v>1996.01</v>
      </c>
      <c r="PD5" s="335">
        <v>1996.02</v>
      </c>
      <c r="PE5" s="335">
        <v>1996.03</v>
      </c>
      <c r="PF5" s="335">
        <v>1996.04</v>
      </c>
      <c r="PG5" s="335">
        <v>1996.05</v>
      </c>
      <c r="PH5" s="335">
        <v>1996.06</v>
      </c>
      <c r="PI5" s="335">
        <v>1996.07</v>
      </c>
      <c r="PJ5" s="335">
        <v>1996.08</v>
      </c>
      <c r="PK5" s="335">
        <v>1996.09</v>
      </c>
      <c r="PL5" s="335">
        <v>1996.1</v>
      </c>
      <c r="PM5" s="335">
        <v>1996.11</v>
      </c>
      <c r="PN5" s="335">
        <v>1996.12</v>
      </c>
      <c r="PO5" s="335"/>
      <c r="PP5" s="384"/>
      <c r="PQ5" s="384"/>
      <c r="PR5" s="335">
        <v>1995</v>
      </c>
      <c r="PS5" s="335">
        <v>1995.01</v>
      </c>
      <c r="PT5" s="335">
        <v>1995.02</v>
      </c>
      <c r="PU5" s="335">
        <v>1995.03</v>
      </c>
      <c r="PV5" s="335">
        <v>1995.04</v>
      </c>
      <c r="PW5" s="335">
        <v>1995.05</v>
      </c>
      <c r="PX5" s="335">
        <v>1995.06</v>
      </c>
      <c r="PY5" s="335">
        <v>1995.07</v>
      </c>
      <c r="PZ5" s="335">
        <v>1995.08</v>
      </c>
      <c r="QA5" s="335">
        <v>1995.09</v>
      </c>
      <c r="QB5" s="335">
        <v>1995.1</v>
      </c>
      <c r="QC5" s="335">
        <v>1995.11</v>
      </c>
      <c r="QD5" s="335">
        <v>1995.12</v>
      </c>
      <c r="QE5" s="335"/>
      <c r="QF5" s="384"/>
      <c r="QG5" s="384"/>
      <c r="QH5" s="335">
        <v>1994</v>
      </c>
      <c r="QI5" s="335">
        <v>1994.01</v>
      </c>
      <c r="QJ5" s="335">
        <v>1994.02</v>
      </c>
      <c r="QK5" s="335">
        <v>1994.03</v>
      </c>
      <c r="QL5" s="335">
        <v>1994.04</v>
      </c>
      <c r="QM5" s="335">
        <v>1994.05</v>
      </c>
      <c r="QN5" s="335">
        <v>1994.06</v>
      </c>
      <c r="QO5" s="335">
        <v>1994.07</v>
      </c>
      <c r="QP5" s="335">
        <v>1994.08</v>
      </c>
      <c r="QQ5" s="335">
        <v>1994.09</v>
      </c>
      <c r="QR5" s="335">
        <v>1994.1</v>
      </c>
      <c r="QS5" s="335">
        <v>1994.11</v>
      </c>
      <c r="QT5" s="335">
        <v>1994.12</v>
      </c>
      <c r="QU5" s="335"/>
      <c r="QV5" s="384"/>
      <c r="QW5" s="384"/>
      <c r="QX5" s="335">
        <v>1993</v>
      </c>
      <c r="QY5" s="335">
        <v>1993.01</v>
      </c>
      <c r="QZ5" s="335">
        <v>1993.02</v>
      </c>
      <c r="RA5" s="335">
        <v>1993.03</v>
      </c>
      <c r="RB5" s="335">
        <v>1993.04</v>
      </c>
      <c r="RC5" s="335">
        <v>1993.05</v>
      </c>
      <c r="RD5" s="335">
        <v>1993.06</v>
      </c>
      <c r="RE5" s="335">
        <v>1993.07</v>
      </c>
      <c r="RF5" s="335">
        <v>1993.08</v>
      </c>
      <c r="RG5" s="335">
        <v>1993.09</v>
      </c>
      <c r="RH5" s="335">
        <v>1993.1</v>
      </c>
      <c r="RI5" s="335">
        <v>1993.11</v>
      </c>
      <c r="RJ5" s="335">
        <v>1993.12</v>
      </c>
      <c r="RK5" s="335"/>
      <c r="RL5" s="384"/>
      <c r="RM5" s="384"/>
      <c r="RN5" s="335">
        <v>1992</v>
      </c>
      <c r="RO5" s="335">
        <v>1992.01</v>
      </c>
      <c r="RP5" s="335">
        <v>1992.02</v>
      </c>
      <c r="RQ5" s="335">
        <v>1992.03</v>
      </c>
      <c r="RR5" s="335">
        <v>1992.04</v>
      </c>
      <c r="RS5" s="335">
        <v>1992.05</v>
      </c>
      <c r="RT5" s="335">
        <v>1992.06</v>
      </c>
      <c r="RU5" s="335">
        <v>1992.07</v>
      </c>
      <c r="RV5" s="335">
        <v>1992.08</v>
      </c>
      <c r="RW5" s="335">
        <v>1992.09</v>
      </c>
      <c r="RX5" s="335">
        <v>1992.1</v>
      </c>
      <c r="RY5" s="335">
        <v>1992.11</v>
      </c>
      <c r="RZ5" s="335">
        <v>1992.12</v>
      </c>
      <c r="SA5" s="335"/>
      <c r="SB5" s="384"/>
      <c r="SC5" s="384"/>
      <c r="SD5" s="335">
        <v>1991</v>
      </c>
      <c r="SE5" s="335">
        <v>1991.01</v>
      </c>
      <c r="SF5" s="335">
        <v>1991.02</v>
      </c>
      <c r="SG5" s="335">
        <v>1991.03</v>
      </c>
      <c r="SH5" s="335">
        <v>1991.04</v>
      </c>
      <c r="SI5" s="335">
        <v>1991.05</v>
      </c>
      <c r="SJ5" s="335">
        <v>1991.06</v>
      </c>
      <c r="SK5" s="335">
        <v>1991.07</v>
      </c>
      <c r="SL5" s="335">
        <v>1991.08</v>
      </c>
      <c r="SM5" s="335">
        <v>1991.09</v>
      </c>
      <c r="SN5" s="335">
        <v>1991.1</v>
      </c>
      <c r="SO5" s="335">
        <v>1991.11</v>
      </c>
      <c r="SP5" s="335">
        <v>1991.12</v>
      </c>
      <c r="SQ5" s="335"/>
      <c r="SR5" s="384"/>
      <c r="SS5" s="384"/>
      <c r="ST5" s="335">
        <v>1990</v>
      </c>
      <c r="SU5" s="335">
        <v>1990.01</v>
      </c>
      <c r="SV5" s="335">
        <v>1990.02</v>
      </c>
      <c r="SW5" s="335">
        <v>1990.03</v>
      </c>
      <c r="SX5" s="335">
        <v>1990.04</v>
      </c>
      <c r="SY5" s="335">
        <v>1990.05</v>
      </c>
      <c r="SZ5" s="335">
        <v>1990.06</v>
      </c>
      <c r="TA5" s="335">
        <v>1990.07</v>
      </c>
      <c r="TB5" s="335">
        <v>1990.08</v>
      </c>
      <c r="TC5" s="335">
        <v>1990.09</v>
      </c>
      <c r="TD5" s="335">
        <v>1990.1</v>
      </c>
      <c r="TE5" s="335">
        <v>1990.11</v>
      </c>
      <c r="TF5" s="335">
        <v>1990.12</v>
      </c>
      <c r="TG5" s="335"/>
      <c r="TH5" s="384"/>
      <c r="TI5" s="384"/>
      <c r="TJ5" s="335">
        <v>1989</v>
      </c>
      <c r="TK5" s="335">
        <v>1989.01</v>
      </c>
      <c r="TL5" s="335">
        <v>1989.02</v>
      </c>
      <c r="TM5" s="335">
        <v>1989.03</v>
      </c>
      <c r="TN5" s="335">
        <v>1989.04</v>
      </c>
      <c r="TO5" s="335">
        <v>1989.05</v>
      </c>
      <c r="TP5" s="335">
        <v>1989.06</v>
      </c>
      <c r="TQ5" s="335">
        <v>1989.07</v>
      </c>
      <c r="TR5" s="335">
        <v>1989.08</v>
      </c>
      <c r="TS5" s="335">
        <v>1989.09</v>
      </c>
      <c r="TT5" s="335">
        <v>1989.1</v>
      </c>
      <c r="TU5" s="335">
        <v>1989.11</v>
      </c>
      <c r="TV5" s="335">
        <v>1989.12</v>
      </c>
      <c r="TW5" s="335"/>
    </row>
    <row r="6" spans="2:543" ht="33" customHeight="1">
      <c r="B6" s="336" t="s">
        <v>137</v>
      </c>
      <c r="C6" s="336" t="s">
        <v>138</v>
      </c>
      <c r="D6" s="336" t="s">
        <v>139</v>
      </c>
      <c r="E6" s="336" t="s">
        <v>140</v>
      </c>
      <c r="F6" s="336" t="s">
        <v>141</v>
      </c>
      <c r="G6" s="336" t="s">
        <v>142</v>
      </c>
      <c r="H6" s="336" t="s">
        <v>143</v>
      </c>
      <c r="I6" s="336" t="s">
        <v>144</v>
      </c>
      <c r="J6" s="336" t="s">
        <v>145</v>
      </c>
      <c r="K6" s="336" t="s">
        <v>146</v>
      </c>
      <c r="L6" s="336" t="s">
        <v>147</v>
      </c>
      <c r="M6" s="336" t="s">
        <v>148</v>
      </c>
      <c r="N6" s="336" t="s">
        <v>149</v>
      </c>
      <c r="O6" s="336" t="s">
        <v>137</v>
      </c>
      <c r="R6" s="336" t="s">
        <v>137</v>
      </c>
      <c r="S6" s="336" t="s">
        <v>138</v>
      </c>
      <c r="T6" s="336" t="s">
        <v>139</v>
      </c>
      <c r="U6" s="336" t="s">
        <v>140</v>
      </c>
      <c r="V6" s="336" t="s">
        <v>141</v>
      </c>
      <c r="W6" s="336" t="s">
        <v>142</v>
      </c>
      <c r="X6" s="336" t="s">
        <v>143</v>
      </c>
      <c r="Y6" s="336" t="s">
        <v>144</v>
      </c>
      <c r="Z6" s="336" t="s">
        <v>145</v>
      </c>
      <c r="AA6" s="336" t="s">
        <v>146</v>
      </c>
      <c r="AB6" s="336" t="s">
        <v>147</v>
      </c>
      <c r="AC6" s="336" t="s">
        <v>148</v>
      </c>
      <c r="AD6" s="336" t="s">
        <v>149</v>
      </c>
      <c r="AE6" s="336" t="s">
        <v>137</v>
      </c>
      <c r="AH6" s="336" t="s">
        <v>137</v>
      </c>
      <c r="AI6" s="336" t="s">
        <v>138</v>
      </c>
      <c r="AJ6" s="336" t="s">
        <v>139</v>
      </c>
      <c r="AK6" s="336" t="s">
        <v>140</v>
      </c>
      <c r="AL6" s="336" t="s">
        <v>141</v>
      </c>
      <c r="AM6" s="336" t="s">
        <v>142</v>
      </c>
      <c r="AN6" s="336" t="s">
        <v>143</v>
      </c>
      <c r="AO6" s="336" t="s">
        <v>144</v>
      </c>
      <c r="AP6" s="336" t="s">
        <v>145</v>
      </c>
      <c r="AQ6" s="336" t="s">
        <v>146</v>
      </c>
      <c r="AR6" s="336" t="s">
        <v>147</v>
      </c>
      <c r="AS6" s="336" t="s">
        <v>148</v>
      </c>
      <c r="AT6" s="336" t="s">
        <v>149</v>
      </c>
      <c r="AU6" s="336" t="s">
        <v>137</v>
      </c>
      <c r="AX6" s="336" t="s">
        <v>137</v>
      </c>
      <c r="AY6" s="336" t="s">
        <v>138</v>
      </c>
      <c r="AZ6" s="336" t="s">
        <v>139</v>
      </c>
      <c r="BA6" s="336" t="s">
        <v>140</v>
      </c>
      <c r="BB6" s="336" t="s">
        <v>141</v>
      </c>
      <c r="BC6" s="336" t="s">
        <v>142</v>
      </c>
      <c r="BD6" s="336" t="s">
        <v>143</v>
      </c>
      <c r="BE6" s="336" t="s">
        <v>144</v>
      </c>
      <c r="BF6" s="336" t="s">
        <v>145</v>
      </c>
      <c r="BG6" s="336" t="s">
        <v>146</v>
      </c>
      <c r="BH6" s="336" t="s">
        <v>147</v>
      </c>
      <c r="BI6" s="336" t="s">
        <v>148</v>
      </c>
      <c r="BJ6" s="336" t="s">
        <v>149</v>
      </c>
      <c r="BK6" s="336" t="s">
        <v>137</v>
      </c>
      <c r="BN6" s="336" t="s">
        <v>137</v>
      </c>
      <c r="BO6" s="336" t="s">
        <v>138</v>
      </c>
      <c r="BP6" s="336" t="s">
        <v>139</v>
      </c>
      <c r="BQ6" s="336" t="s">
        <v>140</v>
      </c>
      <c r="BR6" s="336" t="s">
        <v>141</v>
      </c>
      <c r="BS6" s="336" t="s">
        <v>142</v>
      </c>
      <c r="BT6" s="336" t="s">
        <v>143</v>
      </c>
      <c r="BU6" s="336" t="s">
        <v>144</v>
      </c>
      <c r="BV6" s="336" t="s">
        <v>145</v>
      </c>
      <c r="BW6" s="336" t="s">
        <v>146</v>
      </c>
      <c r="BX6" s="336" t="s">
        <v>147</v>
      </c>
      <c r="BY6" s="336" t="s">
        <v>148</v>
      </c>
      <c r="BZ6" s="336" t="s">
        <v>149</v>
      </c>
      <c r="CA6" s="336" t="s">
        <v>137</v>
      </c>
      <c r="CD6" s="336" t="s">
        <v>137</v>
      </c>
      <c r="CE6" s="336" t="s">
        <v>138</v>
      </c>
      <c r="CF6" s="336" t="s">
        <v>139</v>
      </c>
      <c r="CG6" s="336" t="s">
        <v>140</v>
      </c>
      <c r="CH6" s="336" t="s">
        <v>141</v>
      </c>
      <c r="CI6" s="336" t="s">
        <v>142</v>
      </c>
      <c r="CJ6" s="336" t="s">
        <v>143</v>
      </c>
      <c r="CK6" s="336" t="s">
        <v>144</v>
      </c>
      <c r="CL6" s="336" t="s">
        <v>145</v>
      </c>
      <c r="CM6" s="336" t="s">
        <v>146</v>
      </c>
      <c r="CN6" s="336" t="s">
        <v>147</v>
      </c>
      <c r="CO6" s="336" t="s">
        <v>148</v>
      </c>
      <c r="CP6" s="336" t="s">
        <v>149</v>
      </c>
      <c r="CQ6" s="336" t="s">
        <v>137</v>
      </c>
      <c r="CT6" s="336" t="s">
        <v>137</v>
      </c>
      <c r="CU6" s="336" t="s">
        <v>138</v>
      </c>
      <c r="CV6" s="336" t="s">
        <v>139</v>
      </c>
      <c r="CW6" s="336" t="s">
        <v>140</v>
      </c>
      <c r="CX6" s="336" t="s">
        <v>141</v>
      </c>
      <c r="CY6" s="336" t="s">
        <v>142</v>
      </c>
      <c r="CZ6" s="336" t="s">
        <v>143</v>
      </c>
      <c r="DA6" s="336" t="s">
        <v>144</v>
      </c>
      <c r="DB6" s="336" t="s">
        <v>145</v>
      </c>
      <c r="DC6" s="336" t="s">
        <v>146</v>
      </c>
      <c r="DD6" s="336" t="s">
        <v>147</v>
      </c>
      <c r="DE6" s="336" t="s">
        <v>148</v>
      </c>
      <c r="DF6" s="336" t="s">
        <v>149</v>
      </c>
      <c r="DG6" s="336" t="s">
        <v>137</v>
      </c>
      <c r="DJ6" s="336" t="s">
        <v>137</v>
      </c>
      <c r="DK6" s="336" t="s">
        <v>138</v>
      </c>
      <c r="DL6" s="336" t="s">
        <v>139</v>
      </c>
      <c r="DM6" s="336" t="s">
        <v>140</v>
      </c>
      <c r="DN6" s="336" t="s">
        <v>141</v>
      </c>
      <c r="DO6" s="336" t="s">
        <v>142</v>
      </c>
      <c r="DP6" s="336" t="s">
        <v>143</v>
      </c>
      <c r="DQ6" s="336" t="s">
        <v>144</v>
      </c>
      <c r="DR6" s="336" t="s">
        <v>145</v>
      </c>
      <c r="DS6" s="336" t="s">
        <v>146</v>
      </c>
      <c r="DT6" s="336" t="s">
        <v>147</v>
      </c>
      <c r="DU6" s="336" t="s">
        <v>148</v>
      </c>
      <c r="DV6" s="336" t="s">
        <v>149</v>
      </c>
      <c r="DW6" s="336" t="s">
        <v>137</v>
      </c>
      <c r="DZ6" s="336" t="s">
        <v>137</v>
      </c>
      <c r="EA6" s="336" t="s">
        <v>138</v>
      </c>
      <c r="EB6" s="336" t="s">
        <v>139</v>
      </c>
      <c r="EC6" s="336" t="s">
        <v>140</v>
      </c>
      <c r="ED6" s="336" t="s">
        <v>141</v>
      </c>
      <c r="EE6" s="336" t="s">
        <v>142</v>
      </c>
      <c r="EF6" s="336" t="s">
        <v>143</v>
      </c>
      <c r="EG6" s="336" t="s">
        <v>144</v>
      </c>
      <c r="EH6" s="336" t="s">
        <v>145</v>
      </c>
      <c r="EI6" s="336" t="s">
        <v>146</v>
      </c>
      <c r="EJ6" s="336" t="s">
        <v>147</v>
      </c>
      <c r="EK6" s="336" t="s">
        <v>148</v>
      </c>
      <c r="EL6" s="336" t="s">
        <v>149</v>
      </c>
      <c r="EM6" s="336" t="s">
        <v>137</v>
      </c>
      <c r="EP6" s="336" t="s">
        <v>137</v>
      </c>
      <c r="EQ6" s="336" t="s">
        <v>138</v>
      </c>
      <c r="ER6" s="336" t="s">
        <v>139</v>
      </c>
      <c r="ES6" s="336" t="s">
        <v>140</v>
      </c>
      <c r="ET6" s="336" t="s">
        <v>141</v>
      </c>
      <c r="EU6" s="336" t="s">
        <v>142</v>
      </c>
      <c r="EV6" s="336" t="s">
        <v>143</v>
      </c>
      <c r="EW6" s="336" t="s">
        <v>144</v>
      </c>
      <c r="EX6" s="336" t="s">
        <v>145</v>
      </c>
      <c r="EY6" s="336" t="s">
        <v>146</v>
      </c>
      <c r="EZ6" s="336" t="s">
        <v>147</v>
      </c>
      <c r="FA6" s="336" t="s">
        <v>148</v>
      </c>
      <c r="FB6" s="336" t="s">
        <v>149</v>
      </c>
      <c r="FC6" s="336" t="s">
        <v>137</v>
      </c>
      <c r="FF6" s="336" t="s">
        <v>137</v>
      </c>
      <c r="FG6" s="336" t="s">
        <v>138</v>
      </c>
      <c r="FH6" s="336" t="s">
        <v>139</v>
      </c>
      <c r="FI6" s="336" t="s">
        <v>140</v>
      </c>
      <c r="FJ6" s="336" t="s">
        <v>141</v>
      </c>
      <c r="FK6" s="336" t="s">
        <v>142</v>
      </c>
      <c r="FL6" s="336" t="s">
        <v>143</v>
      </c>
      <c r="FM6" s="336" t="s">
        <v>144</v>
      </c>
      <c r="FN6" s="336" t="s">
        <v>145</v>
      </c>
      <c r="FO6" s="336" t="s">
        <v>146</v>
      </c>
      <c r="FP6" s="336" t="s">
        <v>147</v>
      </c>
      <c r="FQ6" s="336" t="s">
        <v>148</v>
      </c>
      <c r="FR6" s="336" t="s">
        <v>149</v>
      </c>
      <c r="FS6" s="336" t="s">
        <v>137</v>
      </c>
      <c r="FV6" s="336" t="s">
        <v>137</v>
      </c>
      <c r="FW6" s="336" t="s">
        <v>138</v>
      </c>
      <c r="FX6" s="336" t="s">
        <v>139</v>
      </c>
      <c r="FY6" s="336" t="s">
        <v>140</v>
      </c>
      <c r="FZ6" s="336" t="s">
        <v>141</v>
      </c>
      <c r="GA6" s="336" t="s">
        <v>142</v>
      </c>
      <c r="GB6" s="336" t="s">
        <v>143</v>
      </c>
      <c r="GC6" s="336" t="s">
        <v>144</v>
      </c>
      <c r="GD6" s="336" t="s">
        <v>145</v>
      </c>
      <c r="GE6" s="336" t="s">
        <v>146</v>
      </c>
      <c r="GF6" s="336" t="s">
        <v>147</v>
      </c>
      <c r="GG6" s="336" t="s">
        <v>148</v>
      </c>
      <c r="GH6" s="336" t="s">
        <v>149</v>
      </c>
      <c r="GI6" s="336" t="s">
        <v>137</v>
      </c>
      <c r="GL6" s="336" t="s">
        <v>137</v>
      </c>
      <c r="GM6" s="336" t="s">
        <v>138</v>
      </c>
      <c r="GN6" s="336" t="s">
        <v>139</v>
      </c>
      <c r="GO6" s="336" t="s">
        <v>140</v>
      </c>
      <c r="GP6" s="336" t="s">
        <v>141</v>
      </c>
      <c r="GQ6" s="336" t="s">
        <v>142</v>
      </c>
      <c r="GR6" s="336" t="s">
        <v>143</v>
      </c>
      <c r="GS6" s="336" t="s">
        <v>144</v>
      </c>
      <c r="GT6" s="336" t="s">
        <v>145</v>
      </c>
      <c r="GU6" s="336" t="s">
        <v>146</v>
      </c>
      <c r="GV6" s="336" t="s">
        <v>147</v>
      </c>
      <c r="GW6" s="336" t="s">
        <v>148</v>
      </c>
      <c r="GX6" s="336" t="s">
        <v>149</v>
      </c>
      <c r="GY6" s="336" t="s">
        <v>137</v>
      </c>
      <c r="HB6" s="336" t="s">
        <v>137</v>
      </c>
      <c r="HC6" s="336" t="s">
        <v>138</v>
      </c>
      <c r="HD6" s="336" t="s">
        <v>139</v>
      </c>
      <c r="HE6" s="336" t="s">
        <v>140</v>
      </c>
      <c r="HF6" s="336" t="s">
        <v>141</v>
      </c>
      <c r="HG6" s="336" t="s">
        <v>142</v>
      </c>
      <c r="HH6" s="336" t="s">
        <v>143</v>
      </c>
      <c r="HI6" s="336" t="s">
        <v>144</v>
      </c>
      <c r="HJ6" s="336" t="s">
        <v>145</v>
      </c>
      <c r="HK6" s="336" t="s">
        <v>146</v>
      </c>
      <c r="HL6" s="336" t="s">
        <v>147</v>
      </c>
      <c r="HM6" s="336" t="s">
        <v>148</v>
      </c>
      <c r="HN6" s="336" t="s">
        <v>149</v>
      </c>
      <c r="HO6" s="336" t="s">
        <v>137</v>
      </c>
      <c r="HP6" s="383"/>
      <c r="HQ6" s="383"/>
      <c r="HR6" s="336" t="s">
        <v>137</v>
      </c>
      <c r="HS6" s="336" t="s">
        <v>138</v>
      </c>
      <c r="HT6" s="336" t="s">
        <v>139</v>
      </c>
      <c r="HU6" s="336" t="s">
        <v>140</v>
      </c>
      <c r="HV6" s="336" t="s">
        <v>141</v>
      </c>
      <c r="HW6" s="336" t="s">
        <v>142</v>
      </c>
      <c r="HX6" s="336" t="s">
        <v>143</v>
      </c>
      <c r="HY6" s="336" t="s">
        <v>144</v>
      </c>
      <c r="HZ6" s="336" t="s">
        <v>145</v>
      </c>
      <c r="IA6" s="336" t="s">
        <v>146</v>
      </c>
      <c r="IB6" s="336" t="s">
        <v>147</v>
      </c>
      <c r="IC6" s="336" t="s">
        <v>148</v>
      </c>
      <c r="ID6" s="336" t="s">
        <v>149</v>
      </c>
      <c r="IE6" s="336" t="s">
        <v>137</v>
      </c>
      <c r="IF6" s="383"/>
      <c r="IG6" s="383"/>
      <c r="IH6" s="336" t="s">
        <v>137</v>
      </c>
      <c r="II6" s="336" t="s">
        <v>138</v>
      </c>
      <c r="IJ6" s="336" t="s">
        <v>139</v>
      </c>
      <c r="IK6" s="336" t="s">
        <v>140</v>
      </c>
      <c r="IL6" s="336" t="s">
        <v>141</v>
      </c>
      <c r="IM6" s="336" t="s">
        <v>142</v>
      </c>
      <c r="IN6" s="336" t="s">
        <v>143</v>
      </c>
      <c r="IO6" s="336" t="s">
        <v>144</v>
      </c>
      <c r="IP6" s="336" t="s">
        <v>145</v>
      </c>
      <c r="IQ6" s="336" t="s">
        <v>146</v>
      </c>
      <c r="IR6" s="336" t="s">
        <v>147</v>
      </c>
      <c r="IS6" s="336" t="s">
        <v>148</v>
      </c>
      <c r="IT6" s="336" t="s">
        <v>149</v>
      </c>
      <c r="IU6" s="336" t="s">
        <v>137</v>
      </c>
      <c r="IV6" s="383"/>
      <c r="IW6" s="383"/>
      <c r="IX6" s="336" t="s">
        <v>137</v>
      </c>
      <c r="IY6" s="336" t="s">
        <v>138</v>
      </c>
      <c r="IZ6" s="336" t="s">
        <v>139</v>
      </c>
      <c r="JA6" s="336" t="s">
        <v>140</v>
      </c>
      <c r="JB6" s="336" t="s">
        <v>141</v>
      </c>
      <c r="JC6" s="336" t="s">
        <v>142</v>
      </c>
      <c r="JD6" s="336" t="s">
        <v>143</v>
      </c>
      <c r="JE6" s="336" t="s">
        <v>144</v>
      </c>
      <c r="JF6" s="336" t="s">
        <v>145</v>
      </c>
      <c r="JG6" s="336" t="s">
        <v>146</v>
      </c>
      <c r="JH6" s="336" t="s">
        <v>147</v>
      </c>
      <c r="JI6" s="336" t="s">
        <v>148</v>
      </c>
      <c r="JJ6" s="336" t="s">
        <v>149</v>
      </c>
      <c r="JK6" s="336" t="s">
        <v>137</v>
      </c>
      <c r="JL6" s="383"/>
      <c r="JM6" s="383"/>
      <c r="JN6" s="336" t="s">
        <v>137</v>
      </c>
      <c r="JO6" s="336" t="s">
        <v>138</v>
      </c>
      <c r="JP6" s="336" t="s">
        <v>139</v>
      </c>
      <c r="JQ6" s="336" t="s">
        <v>140</v>
      </c>
      <c r="JR6" s="336" t="s">
        <v>141</v>
      </c>
      <c r="JS6" s="336" t="s">
        <v>142</v>
      </c>
      <c r="JT6" s="336" t="s">
        <v>143</v>
      </c>
      <c r="JU6" s="336" t="s">
        <v>144</v>
      </c>
      <c r="JV6" s="336" t="s">
        <v>145</v>
      </c>
      <c r="JW6" s="336" t="s">
        <v>146</v>
      </c>
      <c r="JX6" s="336" t="s">
        <v>147</v>
      </c>
      <c r="JY6" s="336" t="s">
        <v>148</v>
      </c>
      <c r="JZ6" s="336" t="s">
        <v>149</v>
      </c>
      <c r="KA6" s="336" t="s">
        <v>137</v>
      </c>
      <c r="KB6" s="383"/>
      <c r="KC6" s="383"/>
      <c r="KD6" s="336" t="s">
        <v>137</v>
      </c>
      <c r="KE6" s="336" t="s">
        <v>138</v>
      </c>
      <c r="KF6" s="336" t="s">
        <v>139</v>
      </c>
      <c r="KG6" s="336" t="s">
        <v>140</v>
      </c>
      <c r="KH6" s="336" t="s">
        <v>141</v>
      </c>
      <c r="KI6" s="336" t="s">
        <v>142</v>
      </c>
      <c r="KJ6" s="336" t="s">
        <v>143</v>
      </c>
      <c r="KK6" s="336" t="s">
        <v>144</v>
      </c>
      <c r="KL6" s="336" t="s">
        <v>145</v>
      </c>
      <c r="KM6" s="336" t="s">
        <v>146</v>
      </c>
      <c r="KN6" s="336" t="s">
        <v>147</v>
      </c>
      <c r="KO6" s="336" t="s">
        <v>148</v>
      </c>
      <c r="KP6" s="336" t="s">
        <v>149</v>
      </c>
      <c r="KQ6" s="336" t="s">
        <v>137</v>
      </c>
      <c r="KR6" s="383"/>
      <c r="KS6" s="383"/>
      <c r="KT6" s="336" t="s">
        <v>137</v>
      </c>
      <c r="KU6" s="336" t="s">
        <v>138</v>
      </c>
      <c r="KV6" s="336" t="s">
        <v>139</v>
      </c>
      <c r="KW6" s="336" t="s">
        <v>140</v>
      </c>
      <c r="KX6" s="336" t="s">
        <v>141</v>
      </c>
      <c r="KY6" s="336" t="s">
        <v>142</v>
      </c>
      <c r="KZ6" s="336" t="s">
        <v>143</v>
      </c>
      <c r="LA6" s="336" t="s">
        <v>144</v>
      </c>
      <c r="LB6" s="336" t="s">
        <v>145</v>
      </c>
      <c r="LC6" s="336" t="s">
        <v>146</v>
      </c>
      <c r="LD6" s="336" t="s">
        <v>147</v>
      </c>
      <c r="LE6" s="336" t="s">
        <v>148</v>
      </c>
      <c r="LF6" s="336" t="s">
        <v>149</v>
      </c>
      <c r="LG6" s="336" t="s">
        <v>137</v>
      </c>
      <c r="LH6" s="383"/>
      <c r="LI6" s="383"/>
      <c r="LJ6" s="336" t="s">
        <v>137</v>
      </c>
      <c r="LK6" s="336" t="s">
        <v>138</v>
      </c>
      <c r="LL6" s="336" t="s">
        <v>139</v>
      </c>
      <c r="LM6" s="336" t="s">
        <v>140</v>
      </c>
      <c r="LN6" s="336" t="s">
        <v>141</v>
      </c>
      <c r="LO6" s="336" t="s">
        <v>142</v>
      </c>
      <c r="LP6" s="336" t="s">
        <v>143</v>
      </c>
      <c r="LQ6" s="336" t="s">
        <v>144</v>
      </c>
      <c r="LR6" s="336" t="s">
        <v>145</v>
      </c>
      <c r="LS6" s="336" t="s">
        <v>146</v>
      </c>
      <c r="LT6" s="336" t="s">
        <v>147</v>
      </c>
      <c r="LU6" s="336" t="s">
        <v>148</v>
      </c>
      <c r="LV6" s="336" t="s">
        <v>149</v>
      </c>
      <c r="LW6" s="336" t="s">
        <v>137</v>
      </c>
      <c r="LX6" s="383"/>
      <c r="LY6" s="383"/>
      <c r="LZ6" s="336" t="s">
        <v>137</v>
      </c>
      <c r="MA6" s="336" t="s">
        <v>138</v>
      </c>
      <c r="MB6" s="336" t="s">
        <v>139</v>
      </c>
      <c r="MC6" s="336" t="s">
        <v>140</v>
      </c>
      <c r="MD6" s="336" t="s">
        <v>141</v>
      </c>
      <c r="ME6" s="336" t="s">
        <v>142</v>
      </c>
      <c r="MF6" s="336" t="s">
        <v>143</v>
      </c>
      <c r="MG6" s="336" t="s">
        <v>144</v>
      </c>
      <c r="MH6" s="336" t="s">
        <v>145</v>
      </c>
      <c r="MI6" s="336" t="s">
        <v>146</v>
      </c>
      <c r="MJ6" s="336" t="s">
        <v>147</v>
      </c>
      <c r="MK6" s="336" t="s">
        <v>148</v>
      </c>
      <c r="ML6" s="336" t="s">
        <v>149</v>
      </c>
      <c r="MM6" s="336" t="s">
        <v>137</v>
      </c>
      <c r="MN6" s="383"/>
      <c r="MO6" s="383"/>
      <c r="MP6" s="336" t="s">
        <v>137</v>
      </c>
      <c r="MQ6" s="336" t="s">
        <v>138</v>
      </c>
      <c r="MR6" s="336" t="s">
        <v>139</v>
      </c>
      <c r="MS6" s="336" t="s">
        <v>140</v>
      </c>
      <c r="MT6" s="336" t="s">
        <v>141</v>
      </c>
      <c r="MU6" s="336" t="s">
        <v>142</v>
      </c>
      <c r="MV6" s="336" t="s">
        <v>143</v>
      </c>
      <c r="MW6" s="336" t="s">
        <v>144</v>
      </c>
      <c r="MX6" s="336" t="s">
        <v>145</v>
      </c>
      <c r="MY6" s="336" t="s">
        <v>146</v>
      </c>
      <c r="MZ6" s="336" t="s">
        <v>147</v>
      </c>
      <c r="NA6" s="336" t="s">
        <v>148</v>
      </c>
      <c r="NB6" s="336" t="s">
        <v>149</v>
      </c>
      <c r="NC6" s="336" t="s">
        <v>137</v>
      </c>
      <c r="ND6" s="383"/>
      <c r="NE6" s="383"/>
      <c r="NF6" s="336" t="s">
        <v>137</v>
      </c>
      <c r="NG6" s="336" t="s">
        <v>138</v>
      </c>
      <c r="NH6" s="336" t="s">
        <v>139</v>
      </c>
      <c r="NI6" s="336" t="s">
        <v>140</v>
      </c>
      <c r="NJ6" s="336" t="s">
        <v>141</v>
      </c>
      <c r="NK6" s="336" t="s">
        <v>142</v>
      </c>
      <c r="NL6" s="336" t="s">
        <v>143</v>
      </c>
      <c r="NM6" s="336" t="s">
        <v>144</v>
      </c>
      <c r="NN6" s="336" t="s">
        <v>145</v>
      </c>
      <c r="NO6" s="336" t="s">
        <v>146</v>
      </c>
      <c r="NP6" s="336" t="s">
        <v>147</v>
      </c>
      <c r="NQ6" s="336" t="s">
        <v>148</v>
      </c>
      <c r="NR6" s="336" t="s">
        <v>149</v>
      </c>
      <c r="NS6" s="336" t="s">
        <v>137</v>
      </c>
      <c r="NT6" s="383"/>
      <c r="NU6" s="383"/>
      <c r="NV6" s="336" t="s">
        <v>137</v>
      </c>
      <c r="NW6" s="336" t="s">
        <v>138</v>
      </c>
      <c r="NX6" s="336" t="s">
        <v>139</v>
      </c>
      <c r="NY6" s="336" t="s">
        <v>140</v>
      </c>
      <c r="NZ6" s="336" t="s">
        <v>141</v>
      </c>
      <c r="OA6" s="336" t="s">
        <v>142</v>
      </c>
      <c r="OB6" s="336" t="s">
        <v>143</v>
      </c>
      <c r="OC6" s="336" t="s">
        <v>144</v>
      </c>
      <c r="OD6" s="336" t="s">
        <v>145</v>
      </c>
      <c r="OE6" s="336" t="s">
        <v>146</v>
      </c>
      <c r="OF6" s="336" t="s">
        <v>147</v>
      </c>
      <c r="OG6" s="336" t="s">
        <v>148</v>
      </c>
      <c r="OH6" s="336" t="s">
        <v>149</v>
      </c>
      <c r="OI6" s="336" t="s">
        <v>137</v>
      </c>
      <c r="OJ6" s="383"/>
      <c r="OK6" s="383"/>
      <c r="OL6" s="336" t="s">
        <v>137</v>
      </c>
      <c r="OM6" s="336" t="s">
        <v>138</v>
      </c>
      <c r="ON6" s="336" t="s">
        <v>139</v>
      </c>
      <c r="OO6" s="336" t="s">
        <v>140</v>
      </c>
      <c r="OP6" s="336" t="s">
        <v>141</v>
      </c>
      <c r="OQ6" s="336" t="s">
        <v>142</v>
      </c>
      <c r="OR6" s="336" t="s">
        <v>143</v>
      </c>
      <c r="OS6" s="336" t="s">
        <v>144</v>
      </c>
      <c r="OT6" s="336" t="s">
        <v>145</v>
      </c>
      <c r="OU6" s="336" t="s">
        <v>146</v>
      </c>
      <c r="OV6" s="336" t="s">
        <v>147</v>
      </c>
      <c r="OW6" s="336" t="s">
        <v>148</v>
      </c>
      <c r="OX6" s="336" t="s">
        <v>149</v>
      </c>
      <c r="OY6" s="336" t="s">
        <v>137</v>
      </c>
      <c r="OZ6" s="383"/>
      <c r="PA6" s="383"/>
      <c r="PB6" s="336" t="s">
        <v>137</v>
      </c>
      <c r="PC6" s="336" t="s">
        <v>138</v>
      </c>
      <c r="PD6" s="336" t="s">
        <v>139</v>
      </c>
      <c r="PE6" s="336" t="s">
        <v>140</v>
      </c>
      <c r="PF6" s="336" t="s">
        <v>141</v>
      </c>
      <c r="PG6" s="336" t="s">
        <v>142</v>
      </c>
      <c r="PH6" s="336" t="s">
        <v>143</v>
      </c>
      <c r="PI6" s="336" t="s">
        <v>144</v>
      </c>
      <c r="PJ6" s="336" t="s">
        <v>145</v>
      </c>
      <c r="PK6" s="336" t="s">
        <v>146</v>
      </c>
      <c r="PL6" s="336" t="s">
        <v>147</v>
      </c>
      <c r="PM6" s="336" t="s">
        <v>148</v>
      </c>
      <c r="PN6" s="336" t="s">
        <v>149</v>
      </c>
      <c r="PO6" s="336" t="s">
        <v>137</v>
      </c>
      <c r="PP6" s="383"/>
      <c r="PQ6" s="383"/>
      <c r="PR6" s="336" t="s">
        <v>137</v>
      </c>
      <c r="PS6" s="336" t="s">
        <v>138</v>
      </c>
      <c r="PT6" s="336" t="s">
        <v>139</v>
      </c>
      <c r="PU6" s="336" t="s">
        <v>140</v>
      </c>
      <c r="PV6" s="336" t="s">
        <v>141</v>
      </c>
      <c r="PW6" s="336" t="s">
        <v>142</v>
      </c>
      <c r="PX6" s="336" t="s">
        <v>143</v>
      </c>
      <c r="PY6" s="336" t="s">
        <v>144</v>
      </c>
      <c r="PZ6" s="336" t="s">
        <v>145</v>
      </c>
      <c r="QA6" s="336" t="s">
        <v>146</v>
      </c>
      <c r="QB6" s="336" t="s">
        <v>147</v>
      </c>
      <c r="QC6" s="336" t="s">
        <v>148</v>
      </c>
      <c r="QD6" s="336" t="s">
        <v>149</v>
      </c>
      <c r="QE6" s="336" t="s">
        <v>137</v>
      </c>
      <c r="QF6" s="383"/>
      <c r="QG6" s="383"/>
      <c r="QH6" s="336" t="s">
        <v>137</v>
      </c>
      <c r="QI6" s="336" t="s">
        <v>138</v>
      </c>
      <c r="QJ6" s="336" t="s">
        <v>139</v>
      </c>
      <c r="QK6" s="336" t="s">
        <v>140</v>
      </c>
      <c r="QL6" s="336" t="s">
        <v>141</v>
      </c>
      <c r="QM6" s="336" t="s">
        <v>142</v>
      </c>
      <c r="QN6" s="336" t="s">
        <v>143</v>
      </c>
      <c r="QO6" s="336" t="s">
        <v>144</v>
      </c>
      <c r="QP6" s="336" t="s">
        <v>145</v>
      </c>
      <c r="QQ6" s="336" t="s">
        <v>146</v>
      </c>
      <c r="QR6" s="336" t="s">
        <v>147</v>
      </c>
      <c r="QS6" s="336" t="s">
        <v>148</v>
      </c>
      <c r="QT6" s="336" t="s">
        <v>149</v>
      </c>
      <c r="QU6" s="336" t="s">
        <v>137</v>
      </c>
      <c r="QV6" s="383"/>
      <c r="QW6" s="383"/>
      <c r="QX6" s="336" t="s">
        <v>137</v>
      </c>
      <c r="QY6" s="336" t="s">
        <v>138</v>
      </c>
      <c r="QZ6" s="336" t="s">
        <v>139</v>
      </c>
      <c r="RA6" s="336" t="s">
        <v>140</v>
      </c>
      <c r="RB6" s="336" t="s">
        <v>141</v>
      </c>
      <c r="RC6" s="336" t="s">
        <v>142</v>
      </c>
      <c r="RD6" s="336" t="s">
        <v>143</v>
      </c>
      <c r="RE6" s="336" t="s">
        <v>144</v>
      </c>
      <c r="RF6" s="336" t="s">
        <v>145</v>
      </c>
      <c r="RG6" s="336" t="s">
        <v>146</v>
      </c>
      <c r="RH6" s="336" t="s">
        <v>147</v>
      </c>
      <c r="RI6" s="336" t="s">
        <v>148</v>
      </c>
      <c r="RJ6" s="336" t="s">
        <v>149</v>
      </c>
      <c r="RK6" s="336" t="s">
        <v>137</v>
      </c>
      <c r="RL6" s="383"/>
      <c r="RM6" s="383"/>
      <c r="RN6" s="336" t="s">
        <v>137</v>
      </c>
      <c r="RO6" s="336" t="s">
        <v>138</v>
      </c>
      <c r="RP6" s="336" t="s">
        <v>139</v>
      </c>
      <c r="RQ6" s="336" t="s">
        <v>140</v>
      </c>
      <c r="RR6" s="336" t="s">
        <v>141</v>
      </c>
      <c r="RS6" s="336" t="s">
        <v>142</v>
      </c>
      <c r="RT6" s="336" t="s">
        <v>143</v>
      </c>
      <c r="RU6" s="336" t="s">
        <v>144</v>
      </c>
      <c r="RV6" s="336" t="s">
        <v>145</v>
      </c>
      <c r="RW6" s="336" t="s">
        <v>146</v>
      </c>
      <c r="RX6" s="336" t="s">
        <v>147</v>
      </c>
      <c r="RY6" s="336" t="s">
        <v>148</v>
      </c>
      <c r="RZ6" s="336" t="s">
        <v>149</v>
      </c>
      <c r="SA6" s="336" t="s">
        <v>137</v>
      </c>
      <c r="SB6" s="383"/>
      <c r="SC6" s="383"/>
      <c r="SD6" s="336" t="s">
        <v>137</v>
      </c>
      <c r="SE6" s="336" t="s">
        <v>138</v>
      </c>
      <c r="SF6" s="336" t="s">
        <v>139</v>
      </c>
      <c r="SG6" s="336" t="s">
        <v>140</v>
      </c>
      <c r="SH6" s="336" t="s">
        <v>141</v>
      </c>
      <c r="SI6" s="336" t="s">
        <v>142</v>
      </c>
      <c r="SJ6" s="336" t="s">
        <v>143</v>
      </c>
      <c r="SK6" s="336" t="s">
        <v>144</v>
      </c>
      <c r="SL6" s="336" t="s">
        <v>145</v>
      </c>
      <c r="SM6" s="336" t="s">
        <v>146</v>
      </c>
      <c r="SN6" s="336" t="s">
        <v>147</v>
      </c>
      <c r="SO6" s="336" t="s">
        <v>148</v>
      </c>
      <c r="SP6" s="336" t="s">
        <v>149</v>
      </c>
      <c r="SQ6" s="336" t="s">
        <v>137</v>
      </c>
      <c r="SR6" s="383"/>
      <c r="SS6" s="383"/>
      <c r="ST6" s="336" t="s">
        <v>137</v>
      </c>
      <c r="SU6" s="336" t="s">
        <v>138</v>
      </c>
      <c r="SV6" s="336" t="s">
        <v>139</v>
      </c>
      <c r="SW6" s="336" t="s">
        <v>140</v>
      </c>
      <c r="SX6" s="336" t="s">
        <v>141</v>
      </c>
      <c r="SY6" s="336" t="s">
        <v>142</v>
      </c>
      <c r="SZ6" s="336" t="s">
        <v>143</v>
      </c>
      <c r="TA6" s="336" t="s">
        <v>144</v>
      </c>
      <c r="TB6" s="336" t="s">
        <v>145</v>
      </c>
      <c r="TC6" s="336" t="s">
        <v>146</v>
      </c>
      <c r="TD6" s="336" t="s">
        <v>147</v>
      </c>
      <c r="TE6" s="336" t="s">
        <v>148</v>
      </c>
      <c r="TF6" s="336" t="s">
        <v>149</v>
      </c>
      <c r="TG6" s="336" t="s">
        <v>137</v>
      </c>
      <c r="TH6" s="383"/>
      <c r="TI6" s="383"/>
      <c r="TJ6" s="336" t="s">
        <v>137</v>
      </c>
      <c r="TK6" s="336" t="s">
        <v>138</v>
      </c>
      <c r="TL6" s="336" t="s">
        <v>139</v>
      </c>
      <c r="TM6" s="336" t="s">
        <v>140</v>
      </c>
      <c r="TN6" s="336" t="s">
        <v>141</v>
      </c>
      <c r="TO6" s="336" t="s">
        <v>142</v>
      </c>
      <c r="TP6" s="336" t="s">
        <v>143</v>
      </c>
      <c r="TQ6" s="336" t="s">
        <v>144</v>
      </c>
      <c r="TR6" s="336" t="s">
        <v>145</v>
      </c>
      <c r="TS6" s="336" t="s">
        <v>146</v>
      </c>
      <c r="TT6" s="336" t="s">
        <v>147</v>
      </c>
      <c r="TU6" s="336" t="s">
        <v>148</v>
      </c>
      <c r="TV6" s="336" t="s">
        <v>149</v>
      </c>
      <c r="TW6" s="336" t="s">
        <v>137</v>
      </c>
    </row>
    <row r="7" spans="2:543" s="4" customFormat="1" ht="23" customHeight="1">
      <c r="B7" s="516">
        <v>1</v>
      </c>
      <c r="C7" s="549">
        <v>20.515699999999999</v>
      </c>
      <c r="D7" s="549">
        <v>20.8597</v>
      </c>
      <c r="E7" s="549">
        <v>20.4465</v>
      </c>
      <c r="F7" s="549">
        <v>19.863199999999999</v>
      </c>
      <c r="G7" s="549">
        <v>20.567</v>
      </c>
      <c r="H7" s="549">
        <v>19.4953</v>
      </c>
      <c r="I7" s="549">
        <v>20.144300000000001</v>
      </c>
      <c r="J7" s="549">
        <v>20.377800000000001</v>
      </c>
      <c r="K7" s="549">
        <v>20.1465</v>
      </c>
      <c r="L7" s="549">
        <v>20.192699999999999</v>
      </c>
      <c r="M7" s="549">
        <v>19.830300000000001</v>
      </c>
      <c r="N7" s="662">
        <f>+M36</f>
        <v>19.746300000000002</v>
      </c>
      <c r="O7" s="516">
        <v>1</v>
      </c>
      <c r="R7" s="516">
        <v>1</v>
      </c>
      <c r="S7" s="549">
        <v>19.935199999999998</v>
      </c>
      <c r="T7" s="549">
        <v>20.2697</v>
      </c>
      <c r="U7" s="549">
        <v>20.8523</v>
      </c>
      <c r="V7" s="549">
        <v>20.602499999999999</v>
      </c>
      <c r="W7" s="549">
        <v>20.097799999999999</v>
      </c>
      <c r="X7" s="549">
        <v>19.944199999999999</v>
      </c>
      <c r="Y7" s="549">
        <v>19.8157</v>
      </c>
      <c r="Z7" s="549">
        <v>19.844799999999999</v>
      </c>
      <c r="AA7" s="549">
        <v>20.1403</v>
      </c>
      <c r="AB7" s="549">
        <v>20.497699999999998</v>
      </c>
      <c r="AC7" s="549">
        <v>20.325500000000002</v>
      </c>
      <c r="AD7" s="549">
        <v>21.7333</v>
      </c>
      <c r="AE7" s="516">
        <v>1</v>
      </c>
      <c r="AH7" s="516">
        <v>1</v>
      </c>
      <c r="AI7" s="549">
        <v>18.872699999999998</v>
      </c>
      <c r="AJ7" s="549">
        <v>18.785299999999999</v>
      </c>
      <c r="AK7" s="549">
        <v>19.397300000000001</v>
      </c>
      <c r="AL7" s="549">
        <v>24.285299999999999</v>
      </c>
      <c r="AM7" s="549">
        <v>24.0002</v>
      </c>
      <c r="AN7" s="549">
        <v>22.204000000000001</v>
      </c>
      <c r="AO7" s="549">
        <v>23.1325</v>
      </c>
      <c r="AP7" s="549">
        <v>22.172699999999999</v>
      </c>
      <c r="AQ7" s="549">
        <v>21.860199999999999</v>
      </c>
      <c r="AR7" s="549">
        <v>22.3598</v>
      </c>
      <c r="AS7" s="549">
        <v>21.376999999999999</v>
      </c>
      <c r="AT7" s="549">
        <v>20.0777</v>
      </c>
      <c r="AU7" s="516">
        <v>1</v>
      </c>
      <c r="AX7" s="516">
        <v>1</v>
      </c>
      <c r="AY7" s="535">
        <v>19.656600000000001</v>
      </c>
      <c r="AZ7" s="535">
        <v>19.162299999999998</v>
      </c>
      <c r="BA7" s="535">
        <v>19.220099999999999</v>
      </c>
      <c r="BB7" s="535">
        <v>19.379300000000001</v>
      </c>
      <c r="BC7" s="535">
        <v>19.012</v>
      </c>
      <c r="BD7" s="535">
        <v>19.068300000000001</v>
      </c>
      <c r="BE7" s="535">
        <v>19.168500000000002</v>
      </c>
      <c r="BF7" s="535">
        <v>19.0747</v>
      </c>
      <c r="BG7" s="535">
        <v>20.098800000000001</v>
      </c>
      <c r="BH7" s="535">
        <v>19.680800000000001</v>
      </c>
      <c r="BI7" s="535">
        <v>19.164300000000001</v>
      </c>
      <c r="BJ7" s="535">
        <v>19.6113</v>
      </c>
      <c r="BK7" s="516">
        <v>1</v>
      </c>
      <c r="BN7" s="516">
        <v>1</v>
      </c>
      <c r="BO7" s="535">
        <v>19.735399999999998</v>
      </c>
      <c r="BP7" s="535">
        <v>18.6982</v>
      </c>
      <c r="BQ7" s="535">
        <v>18.790199999999999</v>
      </c>
      <c r="BR7" s="535">
        <v>18.3445</v>
      </c>
      <c r="BS7" s="535">
        <v>18.684699999999999</v>
      </c>
      <c r="BT7" s="535">
        <v>19.732199999999999</v>
      </c>
      <c r="BU7" s="535">
        <v>19.863299999999999</v>
      </c>
      <c r="BV7" s="535">
        <v>18.5413</v>
      </c>
      <c r="BW7" s="535">
        <v>19.125800000000002</v>
      </c>
      <c r="BX7" s="535">
        <v>18.812000000000001</v>
      </c>
      <c r="BY7" s="535">
        <v>20.0258</v>
      </c>
      <c r="BZ7" s="535">
        <v>20.221699999999998</v>
      </c>
      <c r="CA7" s="516">
        <v>1</v>
      </c>
      <c r="CD7" s="516">
        <v>1</v>
      </c>
      <c r="CE7" s="535">
        <v>20.664000000000001</v>
      </c>
      <c r="CF7" s="535">
        <v>20.758800000000001</v>
      </c>
      <c r="CG7" s="535">
        <v>19.8322</v>
      </c>
      <c r="CH7" s="535">
        <v>18.707899999999999</v>
      </c>
      <c r="CI7" s="535">
        <v>19.067</v>
      </c>
      <c r="CJ7" s="535">
        <v>18.664300000000001</v>
      </c>
      <c r="CK7" s="535">
        <v>18.027899999999999</v>
      </c>
      <c r="CL7" s="535">
        <v>17.743500000000001</v>
      </c>
      <c r="CM7" s="535">
        <v>17.775300000000001</v>
      </c>
      <c r="CN7" s="535">
        <v>18.197900000000001</v>
      </c>
      <c r="CO7" s="535">
        <v>19.218800000000002</v>
      </c>
      <c r="CP7" s="535">
        <v>18.518999999999998</v>
      </c>
      <c r="CQ7" s="516">
        <v>1</v>
      </c>
      <c r="CT7" s="516">
        <v>1</v>
      </c>
      <c r="CU7" s="535">
        <v>17.3398</v>
      </c>
      <c r="CV7" s="535">
        <v>18.290600000000001</v>
      </c>
      <c r="CW7" s="535">
        <v>18.1706</v>
      </c>
      <c r="CX7" s="535">
        <v>17.250900000000001</v>
      </c>
      <c r="CY7" s="535">
        <v>17.212499999999999</v>
      </c>
      <c r="CZ7" s="535">
        <v>18.477699999999999</v>
      </c>
      <c r="DA7" s="535">
        <v>18.555</v>
      </c>
      <c r="DB7" s="535">
        <v>18.8979</v>
      </c>
      <c r="DC7" s="535">
        <v>18.795300000000001</v>
      </c>
      <c r="DD7" s="535">
        <v>19.4086</v>
      </c>
      <c r="DE7" s="535">
        <v>18.730399999999999</v>
      </c>
      <c r="DF7" s="535">
        <v>20.622499999999999</v>
      </c>
      <c r="DG7" s="516">
        <v>1</v>
      </c>
      <c r="DJ7" s="516">
        <v>1</v>
      </c>
      <c r="DK7" s="535">
        <v>14.7348</v>
      </c>
      <c r="DL7" s="535">
        <v>14.8414</v>
      </c>
      <c r="DM7" s="535">
        <v>14.962400000000001</v>
      </c>
      <c r="DN7" s="535">
        <v>15.242699999999999</v>
      </c>
      <c r="DO7" s="535">
        <v>15.2043</v>
      </c>
      <c r="DP7" s="535">
        <v>15.373699999999999</v>
      </c>
      <c r="DQ7" s="535">
        <v>15.6599</v>
      </c>
      <c r="DR7" s="535">
        <v>16.213999999999999</v>
      </c>
      <c r="DS7" s="535">
        <v>16.7684</v>
      </c>
      <c r="DT7" s="535">
        <v>17.077100000000002</v>
      </c>
      <c r="DU7" s="535">
        <v>16.6219</v>
      </c>
      <c r="DV7" s="535">
        <v>16.578399999999998</v>
      </c>
      <c r="DW7" s="516">
        <v>1</v>
      </c>
      <c r="DZ7" s="516">
        <v>1</v>
      </c>
      <c r="EA7" s="535">
        <v>13.065200000000001</v>
      </c>
      <c r="EB7" s="535">
        <v>13.3207</v>
      </c>
      <c r="EC7" s="535">
        <v>13.3066</v>
      </c>
      <c r="ED7" s="535">
        <v>13.084099999999999</v>
      </c>
      <c r="EE7" s="535">
        <v>13.103899999999999</v>
      </c>
      <c r="EF7" s="535">
        <v>12.8462</v>
      </c>
      <c r="EG7" s="535">
        <v>13.0002</v>
      </c>
      <c r="EH7" s="535">
        <v>13.1357</v>
      </c>
      <c r="EI7" s="535">
        <v>13.110900000000001</v>
      </c>
      <c r="EJ7" s="535">
        <v>13.489100000000001</v>
      </c>
      <c r="EK7" s="535">
        <v>13.4316</v>
      </c>
      <c r="EL7" s="535">
        <v>13.7667</v>
      </c>
      <c r="EM7" s="516">
        <v>1</v>
      </c>
      <c r="EP7" s="516">
        <v>1</v>
      </c>
      <c r="EQ7" s="535">
        <v>12.988</v>
      </c>
      <c r="ER7" s="535">
        <v>12.7408</v>
      </c>
      <c r="ES7" s="535">
        <v>12.8322</v>
      </c>
      <c r="ET7" s="535">
        <v>12.3546</v>
      </c>
      <c r="EU7" s="535">
        <v>12.1326</v>
      </c>
      <c r="EV7" s="535">
        <v>12.7781</v>
      </c>
      <c r="EW7" s="535">
        <v>13.0235</v>
      </c>
      <c r="EX7" s="535">
        <v>12.763500000000001</v>
      </c>
      <c r="EY7" s="535">
        <v>13.3104</v>
      </c>
      <c r="EZ7" s="535">
        <v>13.145</v>
      </c>
      <c r="FA7" s="535">
        <v>12.864000000000001</v>
      </c>
      <c r="FB7" s="535">
        <v>13.083600000000001</v>
      </c>
      <c r="FC7" s="516">
        <v>1</v>
      </c>
      <c r="FF7" s="516">
        <v>1</v>
      </c>
      <c r="FG7" s="535">
        <v>13.9787</v>
      </c>
      <c r="FH7" s="535">
        <v>13.0063</v>
      </c>
      <c r="FI7" s="535">
        <v>12.8575</v>
      </c>
      <c r="FJ7" s="535">
        <v>12.8489</v>
      </c>
      <c r="FK7" s="535">
        <v>13.014099999999999</v>
      </c>
      <c r="FL7" s="535">
        <v>14.0749</v>
      </c>
      <c r="FM7" s="535">
        <v>13.653</v>
      </c>
      <c r="FN7" s="535">
        <v>13.2644</v>
      </c>
      <c r="FO7" s="535">
        <v>13.417199999999999</v>
      </c>
      <c r="FP7" s="535">
        <v>12.8521</v>
      </c>
      <c r="FQ7" s="535">
        <v>13.049799999999999</v>
      </c>
      <c r="FR7" s="535">
        <v>12.9617</v>
      </c>
      <c r="FS7" s="516">
        <v>1</v>
      </c>
      <c r="FV7" s="516">
        <v>1</v>
      </c>
      <c r="FW7" s="535">
        <v>12.3817</v>
      </c>
      <c r="FX7" s="535">
        <v>12.1214</v>
      </c>
      <c r="FY7" s="535">
        <v>12.1235</v>
      </c>
      <c r="FZ7" s="535">
        <v>11.921900000000001</v>
      </c>
      <c r="GA7" s="535">
        <v>11.5428</v>
      </c>
      <c r="GB7" s="535">
        <v>11.612299999999999</v>
      </c>
      <c r="GC7" s="535">
        <v>11.774800000000001</v>
      </c>
      <c r="GD7" s="535">
        <v>11.6821</v>
      </c>
      <c r="GE7" s="535">
        <v>12.4838</v>
      </c>
      <c r="GF7" s="535">
        <v>13.4567</v>
      </c>
      <c r="GG7" s="535">
        <v>13.113200000000001</v>
      </c>
      <c r="GH7" s="535">
        <v>13.953799999999999</v>
      </c>
      <c r="GI7" s="516">
        <v>1</v>
      </c>
      <c r="GL7" s="516">
        <v>1</v>
      </c>
      <c r="GM7" s="535">
        <v>13.043699999999999</v>
      </c>
      <c r="GN7" s="535">
        <v>12.9975</v>
      </c>
      <c r="GO7" s="535">
        <v>12.850300000000001</v>
      </c>
      <c r="GP7" s="535">
        <v>12.4145</v>
      </c>
      <c r="GQ7" s="535">
        <v>12.246499999999999</v>
      </c>
      <c r="GR7" s="535">
        <v>12.8589</v>
      </c>
      <c r="GS7" s="535">
        <v>12.839399999999999</v>
      </c>
      <c r="GT7" s="535">
        <v>12.703799999999999</v>
      </c>
      <c r="GU7" s="535">
        <v>13.136699999999999</v>
      </c>
      <c r="GV7" s="535">
        <v>12.4801</v>
      </c>
      <c r="GW7" s="535">
        <v>12.4023</v>
      </c>
      <c r="GX7" s="535">
        <v>12.553800000000001</v>
      </c>
      <c r="GY7" s="516">
        <v>1</v>
      </c>
      <c r="HB7" s="516">
        <v>1</v>
      </c>
      <c r="HC7" s="535">
        <v>13.7738</v>
      </c>
      <c r="HD7" s="535">
        <v>14.1975</v>
      </c>
      <c r="HE7" s="535">
        <v>14.9322</v>
      </c>
      <c r="HF7" s="535">
        <v>14.3855</v>
      </c>
      <c r="HG7" s="535">
        <v>13.6485</v>
      </c>
      <c r="HH7" s="535">
        <v>13.233700000000001</v>
      </c>
      <c r="HI7" s="535">
        <v>13.1812</v>
      </c>
      <c r="HJ7" s="535">
        <v>13.222300000000001</v>
      </c>
      <c r="HK7" s="535">
        <v>13.257899999999999</v>
      </c>
      <c r="HL7" s="535">
        <v>13.551299999999999</v>
      </c>
      <c r="HM7" s="535">
        <v>13.0825</v>
      </c>
      <c r="HN7" s="535">
        <v>12.9139</v>
      </c>
      <c r="HO7" s="516">
        <v>1</v>
      </c>
      <c r="HP7" s="536"/>
      <c r="HQ7" s="536"/>
      <c r="HR7" s="516">
        <v>1</v>
      </c>
      <c r="HS7" s="535">
        <v>10.904299999999999</v>
      </c>
      <c r="HT7" s="535">
        <v>10.837400000000001</v>
      </c>
      <c r="HU7" s="535">
        <v>10.6813</v>
      </c>
      <c r="HV7" s="535">
        <v>10.698700000000001</v>
      </c>
      <c r="HW7" s="535">
        <v>10.527200000000001</v>
      </c>
      <c r="HX7" s="535">
        <v>10.3066</v>
      </c>
      <c r="HY7" s="535">
        <v>10.3028</v>
      </c>
      <c r="HZ7" s="535">
        <v>10.034000000000001</v>
      </c>
      <c r="IA7" s="535">
        <v>10.1822</v>
      </c>
      <c r="IB7" s="535">
        <v>10.9397</v>
      </c>
      <c r="IC7" s="535">
        <v>12.834199999999999</v>
      </c>
      <c r="ID7" s="535">
        <v>13.2325</v>
      </c>
      <c r="IE7" s="516">
        <v>1</v>
      </c>
      <c r="IF7" s="536"/>
      <c r="IG7" s="536"/>
      <c r="IH7" s="516">
        <v>1</v>
      </c>
      <c r="II7" s="535">
        <v>10.875500000000001</v>
      </c>
      <c r="IJ7" s="535">
        <v>11.0548</v>
      </c>
      <c r="IK7" s="535">
        <v>11.1493</v>
      </c>
      <c r="IL7" s="535">
        <v>11.050700000000001</v>
      </c>
      <c r="IM7" s="535">
        <v>10.9305</v>
      </c>
      <c r="IN7" s="535">
        <v>10.818</v>
      </c>
      <c r="IO7" s="535">
        <v>10.7926</v>
      </c>
      <c r="IP7" s="535">
        <v>10.981199999999999</v>
      </c>
      <c r="IQ7" s="535">
        <v>11.0848</v>
      </c>
      <c r="IR7" s="535">
        <v>10.920299999999999</v>
      </c>
      <c r="IS7" s="535">
        <v>10.719799999999999</v>
      </c>
      <c r="IT7" s="535">
        <v>10.941700000000001</v>
      </c>
      <c r="IU7" s="516">
        <v>1</v>
      </c>
      <c r="IV7" s="536"/>
      <c r="IW7" s="536"/>
      <c r="IX7" s="516">
        <v>1</v>
      </c>
      <c r="IY7" s="535">
        <v>10.710900000000001</v>
      </c>
      <c r="IZ7" s="535">
        <v>10.441599999999999</v>
      </c>
      <c r="JA7" s="535">
        <v>10.466100000000001</v>
      </c>
      <c r="JB7" s="535">
        <v>10.922800000000001</v>
      </c>
      <c r="JC7" s="535">
        <v>11.1135</v>
      </c>
      <c r="JD7" s="535">
        <v>11.269299999999999</v>
      </c>
      <c r="JE7" s="535">
        <v>11.4009</v>
      </c>
      <c r="JF7" s="535">
        <v>10.8947</v>
      </c>
      <c r="JG7" s="535">
        <v>10.865</v>
      </c>
      <c r="JH7" s="535">
        <v>11.0502</v>
      </c>
      <c r="JI7" s="535">
        <v>10.773999999999999</v>
      </c>
      <c r="JJ7" s="535">
        <v>10.9983</v>
      </c>
      <c r="JK7" s="516">
        <v>1</v>
      </c>
      <c r="JL7" s="536"/>
      <c r="JM7" s="536"/>
      <c r="JN7" s="516">
        <v>1</v>
      </c>
      <c r="JO7" s="535">
        <v>11.218299999999999</v>
      </c>
      <c r="JP7" s="535">
        <v>11.2613</v>
      </c>
      <c r="JQ7" s="535">
        <v>11.108599999999999</v>
      </c>
      <c r="JR7" s="535">
        <v>11.2293</v>
      </c>
      <c r="JS7" s="535">
        <v>11.1159</v>
      </c>
      <c r="JT7" s="535">
        <v>10.869899999999999</v>
      </c>
      <c r="JU7" s="535">
        <v>10.7645</v>
      </c>
      <c r="JV7" s="535">
        <v>10.620100000000001</v>
      </c>
      <c r="JW7" s="535">
        <v>10.8377</v>
      </c>
      <c r="JX7" s="535">
        <v>10.8131</v>
      </c>
      <c r="JY7" s="535">
        <v>10.8447</v>
      </c>
      <c r="JZ7" s="535">
        <v>10.5702</v>
      </c>
      <c r="KA7" s="516">
        <v>1</v>
      </c>
      <c r="KB7" s="536"/>
      <c r="KC7" s="536"/>
      <c r="KD7" s="516">
        <v>1</v>
      </c>
      <c r="KE7" s="535">
        <v>11.1998</v>
      </c>
      <c r="KF7" s="535">
        <v>11.084300000000001</v>
      </c>
      <c r="KG7" s="535">
        <v>11.0715</v>
      </c>
      <c r="KH7" s="535">
        <v>11.2103</v>
      </c>
      <c r="KI7" s="535">
        <v>11.4068</v>
      </c>
      <c r="KJ7" s="535">
        <v>11.412800000000001</v>
      </c>
      <c r="KK7" s="535">
        <v>11.5297</v>
      </c>
      <c r="KL7" s="535">
        <v>11.430199999999999</v>
      </c>
      <c r="KM7" s="535">
        <v>11.4231</v>
      </c>
      <c r="KN7" s="535">
        <v>11.428800000000001</v>
      </c>
      <c r="KO7" s="535">
        <v>11.529299999999999</v>
      </c>
      <c r="KP7" s="535">
        <v>11.266</v>
      </c>
      <c r="KQ7" s="516">
        <v>1</v>
      </c>
      <c r="KR7" s="536"/>
      <c r="KS7" s="536"/>
      <c r="KT7" s="516">
        <v>1</v>
      </c>
      <c r="KU7" s="535">
        <v>10.3613</v>
      </c>
      <c r="KV7" s="535">
        <v>10.8636</v>
      </c>
      <c r="KW7" s="535">
        <v>11.033300000000001</v>
      </c>
      <c r="KX7" s="535">
        <v>10.6698</v>
      </c>
      <c r="KY7" s="535">
        <v>10.345000000000001</v>
      </c>
      <c r="KZ7" s="535">
        <v>10.320499999999999</v>
      </c>
      <c r="LA7" s="535">
        <v>10.4176</v>
      </c>
      <c r="LB7" s="535">
        <v>10.487</v>
      </c>
      <c r="LC7" s="535">
        <v>10.980600000000001</v>
      </c>
      <c r="LD7" s="535">
        <v>11.044600000000001</v>
      </c>
      <c r="LE7" s="535">
        <v>11.1058</v>
      </c>
      <c r="LF7" s="535">
        <v>11.3385</v>
      </c>
      <c r="LG7" s="516">
        <v>1</v>
      </c>
      <c r="LH7" s="536"/>
      <c r="LI7" s="536"/>
      <c r="LJ7" s="516">
        <v>1</v>
      </c>
      <c r="LK7" s="535">
        <v>9.1692</v>
      </c>
      <c r="LL7" s="535">
        <v>9.1974</v>
      </c>
      <c r="LM7" s="535">
        <v>9.0919000000000008</v>
      </c>
      <c r="LN7" s="535">
        <v>9.0243000000000002</v>
      </c>
      <c r="LO7" s="535">
        <v>9.3542000000000005</v>
      </c>
      <c r="LP7" s="535">
        <v>9.7148000000000003</v>
      </c>
      <c r="LQ7" s="535">
        <v>9.9614999999999991</v>
      </c>
      <c r="LR7" s="535">
        <v>9.7409999999999997</v>
      </c>
      <c r="LS7" s="535">
        <v>9.9192999999999998</v>
      </c>
      <c r="LT7" s="535">
        <v>10.1767</v>
      </c>
      <c r="LU7" s="535">
        <v>10.2263</v>
      </c>
      <c r="LV7" s="535">
        <v>10.119300000000001</v>
      </c>
      <c r="LW7" s="516">
        <v>1</v>
      </c>
      <c r="LX7" s="536"/>
      <c r="LY7" s="536"/>
      <c r="LZ7" s="516">
        <v>1</v>
      </c>
      <c r="MA7" s="535">
        <v>9.5997000000000003</v>
      </c>
      <c r="MB7" s="535">
        <v>9.6692</v>
      </c>
      <c r="MC7" s="535">
        <v>9.6827000000000005</v>
      </c>
      <c r="MD7" s="535">
        <v>9.5203000000000007</v>
      </c>
      <c r="ME7" s="535">
        <v>9.3048999999999999</v>
      </c>
      <c r="MF7" s="535">
        <v>9.1653000000000002</v>
      </c>
      <c r="MG7" s="535">
        <v>9.09</v>
      </c>
      <c r="MH7" s="535">
        <v>9.1471999999999998</v>
      </c>
      <c r="MI7" s="535">
        <v>9.1692</v>
      </c>
      <c r="MJ7" s="535">
        <v>9.5541999999999998</v>
      </c>
      <c r="MK7" s="535">
        <v>9.2682000000000002</v>
      </c>
      <c r="ML7" s="535">
        <v>9.2814999999999994</v>
      </c>
      <c r="MM7" s="516">
        <v>1</v>
      </c>
      <c r="MN7" s="536"/>
      <c r="MO7" s="536"/>
      <c r="MP7" s="516">
        <v>1</v>
      </c>
      <c r="MQ7" s="535">
        <v>9.5221999999999998</v>
      </c>
      <c r="MR7" s="535">
        <v>9.5726999999999993</v>
      </c>
      <c r="MS7" s="535">
        <v>9.4032999999999998</v>
      </c>
      <c r="MT7" s="535">
        <v>9.3015000000000008</v>
      </c>
      <c r="MU7" s="535">
        <v>9.4520999999999997</v>
      </c>
      <c r="MV7" s="535">
        <v>9.516</v>
      </c>
      <c r="MW7" s="535">
        <v>9.9002999999999997</v>
      </c>
      <c r="MX7" s="535">
        <v>9.3577999999999992</v>
      </c>
      <c r="MY7" s="535">
        <v>9.2108000000000008</v>
      </c>
      <c r="MZ7" s="535">
        <v>9.4290000000000003</v>
      </c>
      <c r="NA7" s="535">
        <v>9.5995000000000008</v>
      </c>
      <c r="NB7" s="535">
        <v>9.3972999999999995</v>
      </c>
      <c r="NC7" s="516">
        <v>1</v>
      </c>
      <c r="ND7" s="536"/>
      <c r="NE7" s="536"/>
      <c r="NF7" s="516">
        <v>1</v>
      </c>
      <c r="NG7" s="535">
        <v>9.9395000000000007</v>
      </c>
      <c r="NH7" s="535">
        <v>10.1752</v>
      </c>
      <c r="NI7" s="535">
        <v>9.9835999999999991</v>
      </c>
      <c r="NJ7" s="535">
        <v>9.5375999999999994</v>
      </c>
      <c r="NK7" s="535">
        <v>9.2622</v>
      </c>
      <c r="NL7" s="535">
        <v>9.7833000000000006</v>
      </c>
      <c r="NM7" s="535">
        <v>9.4164999999999992</v>
      </c>
      <c r="NN7" s="535">
        <v>9.4260000000000002</v>
      </c>
      <c r="NO7" s="535">
        <v>9.4094999999999995</v>
      </c>
      <c r="NP7" s="535">
        <v>9.3565000000000005</v>
      </c>
      <c r="NQ7" s="535">
        <v>9.6356999999999999</v>
      </c>
      <c r="NR7" s="535">
        <v>9.3736999999999995</v>
      </c>
      <c r="NS7" s="516">
        <v>1</v>
      </c>
      <c r="NT7" s="536"/>
      <c r="NU7" s="536"/>
      <c r="NV7" s="516">
        <v>1</v>
      </c>
      <c r="NW7" s="535">
        <v>8.0640000000000001</v>
      </c>
      <c r="NX7" s="535">
        <v>8.4640000000000004</v>
      </c>
      <c r="NY7" s="535">
        <v>8.5582999999999991</v>
      </c>
      <c r="NZ7" s="535">
        <v>8.5352999999999994</v>
      </c>
      <c r="OA7" s="535">
        <v>8.5029000000000003</v>
      </c>
      <c r="OB7" s="535">
        <v>8.7873000000000001</v>
      </c>
      <c r="OC7" s="535">
        <v>9.0228000000000002</v>
      </c>
      <c r="OD7" s="535">
        <v>8.9008000000000003</v>
      </c>
      <c r="OE7" s="535">
        <v>10.0275</v>
      </c>
      <c r="OF7" s="535">
        <v>10.1119</v>
      </c>
      <c r="OG7" s="535">
        <v>10.219799999999999</v>
      </c>
      <c r="OH7" s="535">
        <v>9.9675999999999991</v>
      </c>
      <c r="OI7" s="516">
        <v>1</v>
      </c>
      <c r="OJ7" s="536"/>
      <c r="OK7" s="536"/>
      <c r="OL7" s="516">
        <v>1</v>
      </c>
      <c r="OM7" s="535">
        <v>7.8556999999999997</v>
      </c>
      <c r="ON7" s="535">
        <v>7.8409000000000004</v>
      </c>
      <c r="OO7" s="535">
        <v>7.8357999999999999</v>
      </c>
      <c r="OP7" s="535">
        <v>7.9126000000000003</v>
      </c>
      <c r="OQ7" s="535">
        <v>7.9743000000000004</v>
      </c>
      <c r="OR7" s="535">
        <v>7.9081999999999999</v>
      </c>
      <c r="OS7" s="535">
        <v>7.9516999999999998</v>
      </c>
      <c r="OT7" s="535">
        <v>7.7657999999999996</v>
      </c>
      <c r="OU7" s="535">
        <v>7.7746000000000004</v>
      </c>
      <c r="OV7" s="535">
        <v>7.8158000000000003</v>
      </c>
      <c r="OW7" s="535">
        <v>8.3432999999999993</v>
      </c>
      <c r="OX7" s="535">
        <v>8.2164999999999999</v>
      </c>
      <c r="OY7" s="516">
        <v>1</v>
      </c>
      <c r="OZ7" s="536"/>
      <c r="PA7" s="536"/>
      <c r="PB7" s="516">
        <v>1</v>
      </c>
      <c r="PC7" s="535">
        <v>7.6841999999999997</v>
      </c>
      <c r="PD7" s="535">
        <v>7.3699000000000003</v>
      </c>
      <c r="PE7" s="535">
        <v>7.5572999999999997</v>
      </c>
      <c r="PF7" s="535">
        <v>7.5526</v>
      </c>
      <c r="PG7" s="535">
        <v>7.4526000000000003</v>
      </c>
      <c r="PH7" s="535">
        <v>7.4367000000000001</v>
      </c>
      <c r="PI7" s="535">
        <v>7.6322999999999999</v>
      </c>
      <c r="PJ7" s="535">
        <v>7.5712999999999999</v>
      </c>
      <c r="PK7" s="535">
        <v>7.5205000000000002</v>
      </c>
      <c r="PL7" s="535">
        <v>7.5382999999999996</v>
      </c>
      <c r="PM7" s="535">
        <v>7.9882999999999997</v>
      </c>
      <c r="PN7" s="535">
        <v>7.8857999999999997</v>
      </c>
      <c r="PO7" s="516">
        <v>1</v>
      </c>
      <c r="PP7" s="536"/>
      <c r="PQ7" s="536"/>
      <c r="PR7" s="516">
        <v>1</v>
      </c>
      <c r="PS7" s="535">
        <v>4.9400000000000004</v>
      </c>
      <c r="PT7" s="535">
        <v>6.5</v>
      </c>
      <c r="PU7" s="535">
        <v>6.0774999999999997</v>
      </c>
      <c r="PV7" s="535">
        <v>6.78</v>
      </c>
      <c r="PW7" s="535">
        <v>5.8982999999999999</v>
      </c>
      <c r="PX7" s="535">
        <v>6.26</v>
      </c>
      <c r="PY7" s="535">
        <v>6.2621000000000002</v>
      </c>
      <c r="PZ7" s="535">
        <v>6.1052</v>
      </c>
      <c r="QA7" s="535">
        <v>6.28</v>
      </c>
      <c r="QB7" s="535">
        <v>6.4042000000000003</v>
      </c>
      <c r="QC7" s="535">
        <v>6.9341999999999997</v>
      </c>
      <c r="QD7" s="535">
        <v>7.4775</v>
      </c>
      <c r="QE7" s="516">
        <v>1</v>
      </c>
      <c r="QF7" s="536"/>
      <c r="QG7" s="536"/>
      <c r="QH7" s="516">
        <v>1</v>
      </c>
      <c r="QI7" s="535">
        <v>3.1099000000000001</v>
      </c>
      <c r="QJ7" s="535">
        <v>3.1059000000000001</v>
      </c>
      <c r="QK7" s="535">
        <v>3.2113</v>
      </c>
      <c r="QL7" s="535">
        <v>3.35</v>
      </c>
      <c r="QM7" s="535">
        <v>3.2763</v>
      </c>
      <c r="QN7" s="535">
        <v>3.3275999999999999</v>
      </c>
      <c r="QO7" s="535">
        <v>3.3864999999999998</v>
      </c>
      <c r="QP7" s="535">
        <v>3.4005999999999998</v>
      </c>
      <c r="QQ7" s="535">
        <v>3.3815</v>
      </c>
      <c r="QR7" s="535">
        <v>3.3980000000000001</v>
      </c>
      <c r="QS7" s="535">
        <v>3.4359999999999999</v>
      </c>
      <c r="QT7" s="535">
        <v>3.4409999999999998</v>
      </c>
      <c r="QU7" s="516">
        <v>1</v>
      </c>
      <c r="QV7" s="536"/>
      <c r="QW7" s="536"/>
      <c r="QX7" s="516">
        <v>1</v>
      </c>
      <c r="QY7" s="535">
        <v>3.1230000000000002</v>
      </c>
      <c r="QZ7" s="535">
        <v>3.1030000000000002</v>
      </c>
      <c r="RA7" s="535">
        <v>3.0973999999999999</v>
      </c>
      <c r="RB7" s="535">
        <v>3.0937000000000001</v>
      </c>
      <c r="RC7" s="535">
        <v>3.1152000000000002</v>
      </c>
      <c r="RD7" s="535">
        <v>3.1223999999999998</v>
      </c>
      <c r="RE7" s="535">
        <v>3.1185999999999998</v>
      </c>
      <c r="RF7" s="535">
        <v>3.1204000000000001</v>
      </c>
      <c r="RG7" s="535">
        <v>3.1141999999999999</v>
      </c>
      <c r="RH7" s="535">
        <v>3.1177999999999999</v>
      </c>
      <c r="RI7" s="535">
        <v>3.1293000000000002</v>
      </c>
      <c r="RJ7" s="535">
        <v>3.1065</v>
      </c>
      <c r="RK7" s="516">
        <v>1</v>
      </c>
      <c r="RL7" s="536"/>
      <c r="RM7" s="536"/>
      <c r="RN7" s="516">
        <v>1</v>
      </c>
      <c r="RO7" s="535">
        <v>3.0739000000000001</v>
      </c>
      <c r="RP7" s="535">
        <v>3.0684999999999998</v>
      </c>
      <c r="RQ7" s="535">
        <v>3.0608</v>
      </c>
      <c r="RR7" s="535">
        <v>3.0682999999999998</v>
      </c>
      <c r="RS7" s="535">
        <v>3.0794000000000001</v>
      </c>
      <c r="RT7" s="535">
        <v>3.1168</v>
      </c>
      <c r="RU7" s="535">
        <v>3.1229</v>
      </c>
      <c r="RV7" s="535">
        <v>3.1113</v>
      </c>
      <c r="RW7" s="535">
        <v>3.081</v>
      </c>
      <c r="RX7" s="535">
        <v>3.1131000000000002</v>
      </c>
      <c r="RY7" s="535">
        <v>3.1309</v>
      </c>
      <c r="RZ7" s="535">
        <v>3.1149</v>
      </c>
      <c r="SA7" s="516">
        <v>1</v>
      </c>
      <c r="SB7" s="536"/>
      <c r="SC7" s="536"/>
      <c r="SD7" s="516">
        <v>1</v>
      </c>
      <c r="SE7" s="535">
        <v>2.9453999999999998</v>
      </c>
      <c r="SF7" s="535">
        <v>2.9586000000000001</v>
      </c>
      <c r="SG7" s="535">
        <v>2.9698000000000002</v>
      </c>
      <c r="SH7" s="535">
        <v>2.9813999999999998</v>
      </c>
      <c r="SI7" s="535">
        <v>2.9942000000000002</v>
      </c>
      <c r="SJ7" s="535">
        <v>3.0066000000000002</v>
      </c>
      <c r="SK7" s="535">
        <v>3.0177999999999998</v>
      </c>
      <c r="SL7" s="535">
        <v>3.0310000000000001</v>
      </c>
      <c r="SM7" s="535">
        <v>3.0430000000000001</v>
      </c>
      <c r="SN7" s="535">
        <v>3.0562</v>
      </c>
      <c r="SO7" s="535">
        <v>3.0686</v>
      </c>
      <c r="SP7" s="535">
        <v>3.0676899999999998</v>
      </c>
      <c r="SQ7" s="516">
        <v>1</v>
      </c>
      <c r="SR7" s="536"/>
      <c r="SS7" s="536"/>
      <c r="ST7" s="516">
        <v>1</v>
      </c>
      <c r="SU7" s="535">
        <v>2.641</v>
      </c>
      <c r="SV7" s="535">
        <v>2.6739999999999999</v>
      </c>
      <c r="SW7" s="535">
        <v>2.702</v>
      </c>
      <c r="SX7" s="535">
        <v>2.7320000000000002</v>
      </c>
      <c r="SY7" s="535">
        <v>2.7610000000000001</v>
      </c>
      <c r="SZ7" s="535">
        <v>2.7938000000000001</v>
      </c>
      <c r="TA7" s="535">
        <v>2.8170000000000002</v>
      </c>
      <c r="TB7" s="535">
        <v>2.8426</v>
      </c>
      <c r="TC7" s="535">
        <v>2.8673999999999999</v>
      </c>
      <c r="TD7" s="535">
        <v>2.8898000000000001</v>
      </c>
      <c r="TE7" s="535">
        <v>2.278</v>
      </c>
      <c r="TF7" s="535">
        <v>2.9338000000000002</v>
      </c>
      <c r="TG7" s="516">
        <v>1</v>
      </c>
      <c r="TH7" s="536"/>
      <c r="TI7" s="536"/>
      <c r="TJ7" s="516">
        <v>1</v>
      </c>
      <c r="TK7" s="535"/>
      <c r="TL7" s="535">
        <v>2.3090000000000002</v>
      </c>
      <c r="TM7" s="535">
        <v>2.3370000000000002</v>
      </c>
      <c r="TN7" s="535">
        <v>2.3679999999999999</v>
      </c>
      <c r="TO7" s="535">
        <v>2.3959999999999999</v>
      </c>
      <c r="TP7" s="535">
        <v>2.4289999999999998</v>
      </c>
      <c r="TQ7" s="535">
        <v>2.4590000000000001</v>
      </c>
      <c r="TR7" s="535">
        <v>2.488</v>
      </c>
      <c r="TS7" s="535">
        <v>2.5209999999999999</v>
      </c>
      <c r="TT7" s="535">
        <v>2.5499999999999998</v>
      </c>
      <c r="TU7" s="535">
        <v>2.5819999999999999</v>
      </c>
      <c r="TV7" s="535">
        <v>2.6120000000000001</v>
      </c>
      <c r="TW7" s="516">
        <v>1</v>
      </c>
    </row>
    <row r="8" spans="2:543" s="4" customFormat="1" ht="23" customHeight="1">
      <c r="B8" s="516">
        <v>2</v>
      </c>
      <c r="C8" s="549">
        <v>20.515699999999999</v>
      </c>
      <c r="D8" s="549">
        <v>20.635200000000001</v>
      </c>
      <c r="E8" s="549">
        <v>20.425699999999999</v>
      </c>
      <c r="F8" s="549">
        <v>19.911200000000001</v>
      </c>
      <c r="G8" s="549">
        <v>20.567</v>
      </c>
      <c r="H8" s="549">
        <v>19.693999999999999</v>
      </c>
      <c r="I8" s="549">
        <v>20.133500000000002</v>
      </c>
      <c r="J8" s="549">
        <v>20.348500000000001</v>
      </c>
      <c r="K8" s="549">
        <v>20.0962</v>
      </c>
      <c r="L8" s="549">
        <v>20.192699999999999</v>
      </c>
      <c r="M8" s="549">
        <v>19.8245</v>
      </c>
      <c r="N8" s="662">
        <f t="shared" ref="N8:N36" si="8">+N7</f>
        <v>19.746300000000002</v>
      </c>
      <c r="O8" s="516">
        <v>2</v>
      </c>
      <c r="R8" s="516">
        <v>2</v>
      </c>
      <c r="S8" s="549">
        <v>19.935199999999998</v>
      </c>
      <c r="T8" s="549">
        <v>20.2697</v>
      </c>
      <c r="U8" s="549">
        <v>20.939</v>
      </c>
      <c r="V8" s="549">
        <v>20.602499999999999</v>
      </c>
      <c r="W8" s="549">
        <v>20.097799999999999</v>
      </c>
      <c r="X8" s="549">
        <v>19.921299999999999</v>
      </c>
      <c r="Y8" s="549">
        <v>19.906199999999998</v>
      </c>
      <c r="Z8" s="549">
        <v>19.844799999999999</v>
      </c>
      <c r="AA8" s="549">
        <v>20.060500000000001</v>
      </c>
      <c r="AB8" s="549">
        <v>20.5623</v>
      </c>
      <c r="AC8" s="549">
        <v>20.529699999999998</v>
      </c>
      <c r="AD8" s="549">
        <v>21.4453</v>
      </c>
      <c r="AE8" s="516">
        <v>2</v>
      </c>
      <c r="AH8" s="516">
        <v>2</v>
      </c>
      <c r="AI8" s="549">
        <v>18.872699999999998</v>
      </c>
      <c r="AJ8" s="549">
        <v>18.785299999999999</v>
      </c>
      <c r="AK8" s="549">
        <v>19.397300000000001</v>
      </c>
      <c r="AL8" s="549">
        <v>23.4847</v>
      </c>
      <c r="AM8" s="549">
        <v>24.0002</v>
      </c>
      <c r="AN8" s="549">
        <v>22.177800000000001</v>
      </c>
      <c r="AO8" s="549">
        <v>23.089300000000001</v>
      </c>
      <c r="AP8" s="549">
        <v>22.172699999999999</v>
      </c>
      <c r="AQ8" s="549">
        <v>21.888000000000002</v>
      </c>
      <c r="AR8" s="549">
        <v>22.143799999999999</v>
      </c>
      <c r="AS8" s="549">
        <v>21.376999999999999</v>
      </c>
      <c r="AT8" s="549">
        <v>20.139800000000001</v>
      </c>
      <c r="AU8" s="516">
        <v>2</v>
      </c>
      <c r="AX8" s="516">
        <v>2</v>
      </c>
      <c r="AY8" s="535">
        <v>19.656600000000001</v>
      </c>
      <c r="AZ8" s="535">
        <v>19.038799999999998</v>
      </c>
      <c r="BA8" s="535">
        <v>19.2607</v>
      </c>
      <c r="BB8" s="535">
        <v>19.3779</v>
      </c>
      <c r="BC8" s="535">
        <v>19.012</v>
      </c>
      <c r="BD8" s="535">
        <v>19.068300000000001</v>
      </c>
      <c r="BE8" s="535">
        <v>19.2087</v>
      </c>
      <c r="BF8" s="535">
        <v>18.992899999999999</v>
      </c>
      <c r="BG8" s="535">
        <v>20.098800000000001</v>
      </c>
      <c r="BH8" s="535">
        <v>19.734500000000001</v>
      </c>
      <c r="BI8" s="535">
        <v>19.194800000000001</v>
      </c>
      <c r="BJ8" s="535">
        <v>19.6113</v>
      </c>
      <c r="BK8" s="516">
        <v>2</v>
      </c>
      <c r="BN8" s="516">
        <v>2</v>
      </c>
      <c r="BO8" s="535">
        <v>19.735399999999998</v>
      </c>
      <c r="BP8" s="535">
        <v>18.6069</v>
      </c>
      <c r="BQ8" s="537">
        <v>18.833100000000002</v>
      </c>
      <c r="BR8" s="535">
        <v>18.3445</v>
      </c>
      <c r="BS8" s="535">
        <v>18.684699999999999</v>
      </c>
      <c r="BT8" s="535">
        <v>19.975899999999999</v>
      </c>
      <c r="BU8" s="535">
        <v>19.863299999999999</v>
      </c>
      <c r="BV8" s="535">
        <v>18.645700000000001</v>
      </c>
      <c r="BW8" s="535">
        <v>19.125800000000002</v>
      </c>
      <c r="BX8" s="535">
        <v>18.723099999999999</v>
      </c>
      <c r="BY8" s="535">
        <v>20.317699999999999</v>
      </c>
      <c r="BZ8" s="535">
        <v>20.221699999999998</v>
      </c>
      <c r="CA8" s="516">
        <v>2</v>
      </c>
      <c r="CD8" s="516">
        <v>2</v>
      </c>
      <c r="CE8" s="535">
        <v>20.664000000000001</v>
      </c>
      <c r="CF8" s="535">
        <v>20.790800000000001</v>
      </c>
      <c r="CG8" s="535">
        <v>19.995699999999999</v>
      </c>
      <c r="CH8" s="535">
        <v>18.707899999999999</v>
      </c>
      <c r="CI8" s="535">
        <v>19.067</v>
      </c>
      <c r="CJ8" s="535">
        <v>18.690899999999999</v>
      </c>
      <c r="CK8" s="535">
        <v>18.027899999999999</v>
      </c>
      <c r="CL8" s="535">
        <v>17.864599999999999</v>
      </c>
      <c r="CM8" s="535">
        <v>17.814499999999999</v>
      </c>
      <c r="CN8" s="535">
        <v>18.197900000000001</v>
      </c>
      <c r="CO8" s="535">
        <v>19.1478</v>
      </c>
      <c r="CP8" s="535">
        <v>18.622900000000001</v>
      </c>
      <c r="CQ8" s="516">
        <v>2</v>
      </c>
      <c r="CT8" s="516">
        <v>2</v>
      </c>
      <c r="CU8" s="535">
        <v>17.3398</v>
      </c>
      <c r="CV8" s="535">
        <v>18.290600000000001</v>
      </c>
      <c r="CW8" s="535">
        <v>18.102</v>
      </c>
      <c r="CX8" s="535">
        <v>17.236999999999998</v>
      </c>
      <c r="CY8" s="535">
        <v>17.212499999999999</v>
      </c>
      <c r="CZ8" s="535">
        <v>18.411799999999999</v>
      </c>
      <c r="DA8" s="535">
        <v>18.464600000000001</v>
      </c>
      <c r="DB8" s="535">
        <v>18.7837</v>
      </c>
      <c r="DC8" s="535">
        <v>18.8611</v>
      </c>
      <c r="DD8" s="535">
        <v>19.4086</v>
      </c>
      <c r="DE8" s="535">
        <v>18.8887</v>
      </c>
      <c r="DF8" s="535">
        <v>20.515499999999999</v>
      </c>
      <c r="DG8" s="516">
        <v>2</v>
      </c>
      <c r="DJ8" s="516">
        <v>2</v>
      </c>
      <c r="DK8" s="535">
        <v>14.7348</v>
      </c>
      <c r="DL8" s="535">
        <v>14.8414</v>
      </c>
      <c r="DM8" s="535">
        <v>14.962400000000001</v>
      </c>
      <c r="DN8" s="535">
        <v>15.264699999999999</v>
      </c>
      <c r="DO8" s="535">
        <v>15.2043</v>
      </c>
      <c r="DP8" s="535">
        <v>15.381500000000001</v>
      </c>
      <c r="DQ8" s="535">
        <v>15.6854</v>
      </c>
      <c r="DR8" s="535">
        <v>16.213999999999999</v>
      </c>
      <c r="DS8" s="535">
        <v>16.782900000000001</v>
      </c>
      <c r="DT8" s="535">
        <v>16.9053</v>
      </c>
      <c r="DU8" s="535">
        <v>16.6219</v>
      </c>
      <c r="DV8" s="535">
        <v>16.585599999999999</v>
      </c>
      <c r="DW8" s="516">
        <v>2</v>
      </c>
      <c r="DZ8" s="516">
        <v>2</v>
      </c>
      <c r="EA8" s="535">
        <v>13.065200000000001</v>
      </c>
      <c r="EB8" s="535">
        <v>13.3207</v>
      </c>
      <c r="EC8" s="535">
        <v>13.3066</v>
      </c>
      <c r="ED8" s="535">
        <v>13.0549</v>
      </c>
      <c r="EE8" s="535">
        <v>13.103899999999999</v>
      </c>
      <c r="EF8" s="535">
        <v>12.8462</v>
      </c>
      <c r="EG8" s="535">
        <v>12.9712</v>
      </c>
      <c r="EH8" s="535">
        <v>13.226900000000001</v>
      </c>
      <c r="EI8" s="535">
        <v>13.0763</v>
      </c>
      <c r="EJ8" s="535">
        <v>13.433</v>
      </c>
      <c r="EK8" s="535">
        <v>13.4316</v>
      </c>
      <c r="EL8" s="535">
        <v>13.8965</v>
      </c>
      <c r="EM8" s="516">
        <v>2</v>
      </c>
      <c r="EP8" s="516">
        <v>2</v>
      </c>
      <c r="EQ8" s="535">
        <v>12.988</v>
      </c>
      <c r="ER8" s="535">
        <v>12.7094</v>
      </c>
      <c r="ES8" s="535">
        <v>12.779500000000001</v>
      </c>
      <c r="ET8" s="535">
        <v>12.3612</v>
      </c>
      <c r="EU8" s="535">
        <v>12.1326</v>
      </c>
      <c r="EV8" s="535">
        <v>12.7781</v>
      </c>
      <c r="EW8" s="535">
        <v>13.027900000000001</v>
      </c>
      <c r="EX8" s="535">
        <v>12.846399999999999</v>
      </c>
      <c r="EY8" s="535">
        <v>13.3104</v>
      </c>
      <c r="EZ8" s="535">
        <v>13.1747</v>
      </c>
      <c r="FA8" s="535">
        <v>13.0067</v>
      </c>
      <c r="FB8" s="535">
        <v>13.083600000000001</v>
      </c>
      <c r="FC8" s="516">
        <v>2</v>
      </c>
      <c r="FF8" s="516">
        <v>2</v>
      </c>
      <c r="FG8" s="535">
        <v>13.9787</v>
      </c>
      <c r="FH8" s="535">
        <v>13.0077</v>
      </c>
      <c r="FI8" s="535">
        <v>12.789099999999999</v>
      </c>
      <c r="FJ8" s="535">
        <v>12.8489</v>
      </c>
      <c r="FK8" s="535">
        <v>13.014099999999999</v>
      </c>
      <c r="FL8" s="535">
        <v>14.3047</v>
      </c>
      <c r="FM8" s="535">
        <v>13.653</v>
      </c>
      <c r="FN8" s="535">
        <v>13.283300000000001</v>
      </c>
      <c r="FO8" s="535">
        <v>13.417199999999999</v>
      </c>
      <c r="FP8" s="535">
        <v>12.8695</v>
      </c>
      <c r="FQ8" s="535">
        <v>13.091100000000001</v>
      </c>
      <c r="FR8" s="535">
        <v>12.9617</v>
      </c>
      <c r="FS8" s="516">
        <v>2</v>
      </c>
      <c r="FV8" s="516">
        <v>2</v>
      </c>
      <c r="FW8" s="535">
        <v>12.3817</v>
      </c>
      <c r="FX8" s="535">
        <v>12.151899999999999</v>
      </c>
      <c r="FY8" s="535">
        <v>12.106199999999999</v>
      </c>
      <c r="FZ8" s="535">
        <v>11.9084</v>
      </c>
      <c r="GA8" s="535">
        <v>11.5428</v>
      </c>
      <c r="GB8" s="535">
        <v>11.577999999999999</v>
      </c>
      <c r="GC8" s="535">
        <v>11.723000000000001</v>
      </c>
      <c r="GD8" s="535">
        <v>11.7425</v>
      </c>
      <c r="GE8" s="535">
        <v>12.348000000000001</v>
      </c>
      <c r="GF8" s="535">
        <v>13.4567</v>
      </c>
      <c r="GG8" s="535">
        <v>13.180199999999999</v>
      </c>
      <c r="GH8" s="535">
        <v>13.61</v>
      </c>
      <c r="GI8" s="516">
        <v>2</v>
      </c>
      <c r="GL8" s="516">
        <v>2</v>
      </c>
      <c r="GM8" s="535">
        <v>13.043699999999999</v>
      </c>
      <c r="GN8" s="535">
        <v>12.9975</v>
      </c>
      <c r="GO8" s="535">
        <v>12.776899999999999</v>
      </c>
      <c r="GP8" s="535">
        <v>12.4145</v>
      </c>
      <c r="GQ8" s="535">
        <v>12.246499999999999</v>
      </c>
      <c r="GR8" s="535">
        <v>12.9146</v>
      </c>
      <c r="GS8" s="535">
        <v>12.844099999999999</v>
      </c>
      <c r="GT8" s="535">
        <v>12.703799999999999</v>
      </c>
      <c r="GU8" s="535">
        <v>13.1676</v>
      </c>
      <c r="GV8" s="535">
        <v>12.5998</v>
      </c>
      <c r="GW8" s="535">
        <v>12.338699999999999</v>
      </c>
      <c r="GX8" s="535">
        <v>12.4664</v>
      </c>
      <c r="GY8" s="516">
        <v>2</v>
      </c>
      <c r="HB8" s="516">
        <v>2</v>
      </c>
      <c r="HC8" s="535">
        <v>13.7738</v>
      </c>
      <c r="HD8" s="535">
        <v>14.1975</v>
      </c>
      <c r="HE8" s="535">
        <v>14.9322</v>
      </c>
      <c r="HF8" s="535">
        <v>14.1517</v>
      </c>
      <c r="HG8" s="535">
        <v>13.6485</v>
      </c>
      <c r="HH8" s="535">
        <v>13.166700000000001</v>
      </c>
      <c r="HI8" s="535">
        <v>13.1722</v>
      </c>
      <c r="HJ8" s="535">
        <v>13.222300000000001</v>
      </c>
      <c r="HK8" s="535">
        <v>13.314</v>
      </c>
      <c r="HL8" s="535">
        <v>13.492800000000001</v>
      </c>
      <c r="HM8" s="535">
        <v>13.0825</v>
      </c>
      <c r="HN8" s="535">
        <v>12.915699999999999</v>
      </c>
      <c r="HO8" s="516">
        <v>2</v>
      </c>
      <c r="HP8" s="536"/>
      <c r="HQ8" s="536"/>
      <c r="HR8" s="516">
        <v>2</v>
      </c>
      <c r="HS8" s="535">
        <v>10.904299999999999</v>
      </c>
      <c r="HT8" s="535">
        <v>10.8262</v>
      </c>
      <c r="HU8" s="535">
        <v>10.6813</v>
      </c>
      <c r="HV8" s="535">
        <v>10.648199999999999</v>
      </c>
      <c r="HW8" s="535">
        <v>10.527200000000001</v>
      </c>
      <c r="HX8" s="535">
        <v>10.3066</v>
      </c>
      <c r="HY8" s="535">
        <v>10.306900000000001</v>
      </c>
      <c r="HZ8" s="535">
        <v>10.035299999999999</v>
      </c>
      <c r="IA8" s="535">
        <v>10.284700000000001</v>
      </c>
      <c r="IB8" s="535">
        <v>10.981400000000001</v>
      </c>
      <c r="IC8" s="535">
        <v>12.834199999999999</v>
      </c>
      <c r="ID8" s="535">
        <v>13.3225</v>
      </c>
      <c r="IE8" s="516">
        <v>2</v>
      </c>
      <c r="IF8" s="536"/>
      <c r="IG8" s="536"/>
      <c r="IH8" s="516">
        <v>2</v>
      </c>
      <c r="II8" s="535">
        <v>10.875500000000001</v>
      </c>
      <c r="IJ8" s="535">
        <v>11.0382</v>
      </c>
      <c r="IK8" s="535">
        <v>11.168200000000001</v>
      </c>
      <c r="IL8" s="535">
        <v>11.050700000000001</v>
      </c>
      <c r="IM8" s="535">
        <v>10.9305</v>
      </c>
      <c r="IN8" s="535">
        <v>10.7445</v>
      </c>
      <c r="IO8" s="535">
        <v>10.7926</v>
      </c>
      <c r="IP8" s="535">
        <v>10.927300000000001</v>
      </c>
      <c r="IQ8" s="535">
        <v>11.0848</v>
      </c>
      <c r="IR8" s="535">
        <v>10.9315</v>
      </c>
      <c r="IS8" s="535">
        <v>10.702299999999999</v>
      </c>
      <c r="IT8" s="535">
        <v>10.941700000000001</v>
      </c>
      <c r="IU8" s="516">
        <v>2</v>
      </c>
      <c r="IV8" s="536"/>
      <c r="IW8" s="536"/>
      <c r="IX8" s="516">
        <v>2</v>
      </c>
      <c r="IY8" s="535">
        <v>10.710900000000001</v>
      </c>
      <c r="IZ8" s="535">
        <v>10.443300000000001</v>
      </c>
      <c r="JA8" s="535">
        <v>10.456</v>
      </c>
      <c r="JB8" s="535">
        <v>10.922800000000001</v>
      </c>
      <c r="JC8" s="535">
        <v>11.1135</v>
      </c>
      <c r="JD8" s="535">
        <v>11.2966</v>
      </c>
      <c r="JE8" s="535">
        <v>11.4009</v>
      </c>
      <c r="JF8" s="535">
        <v>10.918100000000001</v>
      </c>
      <c r="JG8" s="535">
        <v>10.903700000000001</v>
      </c>
      <c r="JH8" s="535">
        <v>11.0502</v>
      </c>
      <c r="JI8" s="535">
        <v>10.763999999999999</v>
      </c>
      <c r="JJ8" s="535">
        <v>10.9983</v>
      </c>
      <c r="JK8" s="516">
        <v>2</v>
      </c>
      <c r="JL8" s="536"/>
      <c r="JM8" s="536"/>
      <c r="JN8" s="516">
        <v>2</v>
      </c>
      <c r="JO8" s="535">
        <v>11.218299999999999</v>
      </c>
      <c r="JP8" s="535">
        <v>11.2141</v>
      </c>
      <c r="JQ8" s="535">
        <v>11.096500000000001</v>
      </c>
      <c r="JR8" s="535">
        <v>11.1783</v>
      </c>
      <c r="JS8" s="535">
        <v>11.1159</v>
      </c>
      <c r="JT8" s="535">
        <v>10.916</v>
      </c>
      <c r="JU8" s="535">
        <v>10.7752</v>
      </c>
      <c r="JV8" s="535">
        <v>10.605700000000001</v>
      </c>
      <c r="JW8" s="535">
        <v>10.7995</v>
      </c>
      <c r="JX8" s="535">
        <v>10.8131</v>
      </c>
      <c r="JY8" s="535">
        <v>10.7857</v>
      </c>
      <c r="JZ8" s="535">
        <v>10.5793</v>
      </c>
      <c r="KA8" s="516">
        <v>2</v>
      </c>
      <c r="KB8" s="536"/>
      <c r="KC8" s="536"/>
      <c r="KD8" s="516">
        <v>2</v>
      </c>
      <c r="KE8" s="535">
        <v>11.1998</v>
      </c>
      <c r="KF8" s="535">
        <v>11.084300000000001</v>
      </c>
      <c r="KG8" s="535">
        <v>11.060600000000001</v>
      </c>
      <c r="KH8" s="535">
        <v>11.174799999999999</v>
      </c>
      <c r="KI8" s="535">
        <v>11.4068</v>
      </c>
      <c r="KJ8" s="535">
        <v>11.4147</v>
      </c>
      <c r="KK8" s="535">
        <v>11.5258</v>
      </c>
      <c r="KL8" s="535">
        <v>11.430199999999999</v>
      </c>
      <c r="KM8" s="535">
        <v>11.380699999999999</v>
      </c>
      <c r="KN8" s="535">
        <v>11.388400000000001</v>
      </c>
      <c r="KO8" s="535">
        <v>11.539</v>
      </c>
      <c r="KP8" s="535">
        <v>11.237299999999999</v>
      </c>
      <c r="KQ8" s="516">
        <v>2</v>
      </c>
      <c r="KR8" s="536"/>
      <c r="KS8" s="536"/>
      <c r="KT8" s="516">
        <v>2</v>
      </c>
      <c r="KU8" s="535">
        <v>10.3613</v>
      </c>
      <c r="KV8" s="535">
        <v>10.8636</v>
      </c>
      <c r="KW8" s="535">
        <v>11.033300000000001</v>
      </c>
      <c r="KX8" s="535">
        <v>10.7889</v>
      </c>
      <c r="KY8" s="535">
        <v>10.345000000000001</v>
      </c>
      <c r="KZ8" s="535">
        <v>10.320499999999999</v>
      </c>
      <c r="LA8" s="535">
        <v>10.436999999999999</v>
      </c>
      <c r="LB8" s="535">
        <v>10.5243</v>
      </c>
      <c r="LC8" s="535">
        <v>11.047499999999999</v>
      </c>
      <c r="LD8" s="535">
        <v>11.013299999999999</v>
      </c>
      <c r="LE8" s="535">
        <v>11.1058</v>
      </c>
      <c r="LF8" s="535">
        <v>11.3985</v>
      </c>
      <c r="LG8" s="516">
        <v>2</v>
      </c>
      <c r="LH8" s="536"/>
      <c r="LI8" s="536"/>
      <c r="LJ8" s="516">
        <v>2</v>
      </c>
      <c r="LK8" s="535">
        <v>9.1692</v>
      </c>
      <c r="LL8" s="535">
        <v>9.1463000000000001</v>
      </c>
      <c r="LM8" s="535">
        <v>9.1303000000000001</v>
      </c>
      <c r="LN8" s="535">
        <v>9.016</v>
      </c>
      <c r="LO8" s="535">
        <v>9.3542000000000005</v>
      </c>
      <c r="LP8" s="535">
        <v>9.7148000000000003</v>
      </c>
      <c r="LQ8" s="535">
        <v>9.9567999999999994</v>
      </c>
      <c r="LR8" s="535">
        <v>9.7860999999999994</v>
      </c>
      <c r="LS8" s="535">
        <v>9.9192999999999998</v>
      </c>
      <c r="LT8" s="535">
        <v>10.229900000000001</v>
      </c>
      <c r="LU8" s="535">
        <v>10.155200000000001</v>
      </c>
      <c r="LV8" s="535">
        <v>10.119300000000001</v>
      </c>
      <c r="LW8" s="516">
        <v>2</v>
      </c>
      <c r="LX8" s="536"/>
      <c r="LY8" s="536"/>
      <c r="LZ8" s="516">
        <v>2</v>
      </c>
      <c r="MA8" s="535">
        <v>9.5997000000000003</v>
      </c>
      <c r="MB8" s="535">
        <v>9.6828000000000003</v>
      </c>
      <c r="MC8" s="535">
        <v>9.7025000000000006</v>
      </c>
      <c r="MD8" s="535">
        <v>9.5203000000000007</v>
      </c>
      <c r="ME8" s="535">
        <v>9.3048999999999999</v>
      </c>
      <c r="MF8" s="535">
        <v>9.1835000000000004</v>
      </c>
      <c r="MG8" s="535">
        <v>9.09</v>
      </c>
      <c r="MH8" s="535">
        <v>9.1408000000000005</v>
      </c>
      <c r="MI8" s="535">
        <v>9.1692</v>
      </c>
      <c r="MJ8" s="535">
        <v>9.5098000000000003</v>
      </c>
      <c r="MK8" s="535">
        <v>9.2542000000000009</v>
      </c>
      <c r="ML8" s="535">
        <v>9.2814999999999994</v>
      </c>
      <c r="MM8" s="516">
        <v>2</v>
      </c>
      <c r="MN8" s="536"/>
      <c r="MO8" s="536"/>
      <c r="MP8" s="516">
        <v>2</v>
      </c>
      <c r="MQ8" s="535">
        <v>9.5221999999999998</v>
      </c>
      <c r="MR8" s="535">
        <v>9.6252999999999993</v>
      </c>
      <c r="MS8" s="535">
        <v>9.3661999999999992</v>
      </c>
      <c r="MT8" s="535">
        <v>9.3015000000000008</v>
      </c>
      <c r="MU8" s="535">
        <v>9.4520999999999997</v>
      </c>
      <c r="MV8" s="535">
        <v>9.5109999999999992</v>
      </c>
      <c r="MW8" s="535">
        <v>9.9002999999999997</v>
      </c>
      <c r="MX8" s="535">
        <v>9.3666999999999998</v>
      </c>
      <c r="MY8" s="535">
        <v>9.1995000000000005</v>
      </c>
      <c r="MZ8" s="535">
        <v>9.4290000000000003</v>
      </c>
      <c r="NA8" s="535">
        <v>9.5641999999999996</v>
      </c>
      <c r="NB8" s="535">
        <v>9.3972999999999995</v>
      </c>
      <c r="NC8" s="516">
        <v>2</v>
      </c>
      <c r="ND8" s="536"/>
      <c r="NE8" s="536"/>
      <c r="NF8" s="516">
        <v>2</v>
      </c>
      <c r="NG8" s="535">
        <v>9.9395000000000007</v>
      </c>
      <c r="NH8" s="535">
        <v>10.154299999999999</v>
      </c>
      <c r="NI8" s="535">
        <v>9.9441000000000006</v>
      </c>
      <c r="NJ8" s="535">
        <v>9.5375999999999994</v>
      </c>
      <c r="NK8" s="535">
        <v>9.2622</v>
      </c>
      <c r="NL8" s="535">
        <v>9.6872000000000007</v>
      </c>
      <c r="NM8" s="535">
        <v>9.4408999999999992</v>
      </c>
      <c r="NN8" s="535">
        <v>9.4260000000000002</v>
      </c>
      <c r="NO8" s="535">
        <v>9.4094999999999995</v>
      </c>
      <c r="NP8" s="535">
        <v>9.3483000000000001</v>
      </c>
      <c r="NQ8" s="535">
        <v>9.625</v>
      </c>
      <c r="NR8" s="535">
        <v>9.4320000000000004</v>
      </c>
      <c r="NS8" s="516">
        <v>2</v>
      </c>
      <c r="NT8" s="536"/>
      <c r="NU8" s="536"/>
      <c r="NV8" s="516">
        <v>2</v>
      </c>
      <c r="NW8" s="535">
        <v>8.0640000000000001</v>
      </c>
      <c r="NX8" s="535">
        <v>8.4640000000000004</v>
      </c>
      <c r="NY8" s="535">
        <v>8.5582999999999991</v>
      </c>
      <c r="NZ8" s="535">
        <v>8.5191999999999997</v>
      </c>
      <c r="OA8" s="535">
        <v>8.5029000000000003</v>
      </c>
      <c r="OB8" s="535">
        <v>8.8163999999999998</v>
      </c>
      <c r="OC8" s="535">
        <v>8.9852000000000007</v>
      </c>
      <c r="OD8" s="535">
        <v>8.9008000000000003</v>
      </c>
      <c r="OE8" s="535">
        <v>10.0275</v>
      </c>
      <c r="OF8" s="535">
        <v>10.193300000000001</v>
      </c>
      <c r="OG8" s="535">
        <v>10.219799999999999</v>
      </c>
      <c r="OH8" s="535">
        <v>9.9994999999999994</v>
      </c>
      <c r="OI8" s="516">
        <v>2</v>
      </c>
      <c r="OJ8" s="536"/>
      <c r="OK8" s="536"/>
      <c r="OL8" s="516">
        <v>2</v>
      </c>
      <c r="OM8" s="535">
        <v>7.8556999999999997</v>
      </c>
      <c r="ON8" s="535">
        <v>7.8409000000000004</v>
      </c>
      <c r="OO8" s="535">
        <v>7.8357999999999999</v>
      </c>
      <c r="OP8" s="535">
        <v>7.9313000000000002</v>
      </c>
      <c r="OQ8" s="535">
        <v>7.9743000000000004</v>
      </c>
      <c r="OR8" s="535">
        <v>7.9081999999999999</v>
      </c>
      <c r="OS8" s="535">
        <v>7.9504000000000001</v>
      </c>
      <c r="OT8" s="535">
        <v>7.8247999999999998</v>
      </c>
      <c r="OU8" s="535">
        <v>7.7746000000000004</v>
      </c>
      <c r="OV8" s="535">
        <v>7.7706999999999997</v>
      </c>
      <c r="OW8" s="535">
        <v>8.3432999999999993</v>
      </c>
      <c r="OX8" s="535">
        <v>8.2134999999999998</v>
      </c>
      <c r="OY8" s="516">
        <v>2</v>
      </c>
      <c r="OZ8" s="536"/>
      <c r="PA8" s="536"/>
      <c r="PB8" s="516">
        <v>2</v>
      </c>
      <c r="PC8" s="535">
        <v>7.6841999999999997</v>
      </c>
      <c r="PD8" s="535">
        <v>7.4211999999999998</v>
      </c>
      <c r="PE8" s="535">
        <v>7.6295999999999999</v>
      </c>
      <c r="PF8" s="535">
        <v>7.5374999999999996</v>
      </c>
      <c r="PG8" s="535">
        <v>7.4526000000000003</v>
      </c>
      <c r="PH8" s="535">
        <v>7.4367000000000001</v>
      </c>
      <c r="PI8" s="535">
        <v>7.5814000000000004</v>
      </c>
      <c r="PJ8" s="535">
        <v>7.5892999999999997</v>
      </c>
      <c r="PK8" s="535">
        <v>7.5205000000000002</v>
      </c>
      <c r="PL8" s="535">
        <v>7.5518999999999998</v>
      </c>
      <c r="PM8" s="535">
        <v>8.0478000000000005</v>
      </c>
      <c r="PN8" s="535">
        <v>7.8857999999999997</v>
      </c>
      <c r="PO8" s="516">
        <v>2</v>
      </c>
      <c r="PP8" s="536"/>
      <c r="PQ8" s="536"/>
      <c r="PR8" s="516">
        <v>2</v>
      </c>
      <c r="PS8" s="535">
        <v>4.9400000000000004</v>
      </c>
      <c r="PT8" s="535">
        <v>5.9</v>
      </c>
      <c r="PU8" s="535">
        <v>6.0049999999999999</v>
      </c>
      <c r="PV8" s="535">
        <v>6.78</v>
      </c>
      <c r="PW8" s="535">
        <v>5.8982999999999999</v>
      </c>
      <c r="PX8" s="535">
        <v>6.1807999999999996</v>
      </c>
      <c r="PY8" s="535">
        <v>6.2621000000000002</v>
      </c>
      <c r="PZ8" s="535">
        <v>6.1142000000000003</v>
      </c>
      <c r="QA8" s="535">
        <v>6.28</v>
      </c>
      <c r="QB8" s="535">
        <v>6.4042000000000003</v>
      </c>
      <c r="QC8" s="535">
        <v>7.1471</v>
      </c>
      <c r="QD8" s="535">
        <v>7.5467000000000004</v>
      </c>
      <c r="QE8" s="516">
        <v>2</v>
      </c>
      <c r="QF8" s="536"/>
      <c r="QG8" s="536"/>
      <c r="QH8" s="516">
        <v>2</v>
      </c>
      <c r="QI8" s="535">
        <v>3.1099000000000001</v>
      </c>
      <c r="QJ8" s="535">
        <v>3.1053999999999999</v>
      </c>
      <c r="QK8" s="535">
        <v>3.1932999999999998</v>
      </c>
      <c r="QL8" s="535">
        <v>3.35</v>
      </c>
      <c r="QM8" s="535">
        <v>3.2763</v>
      </c>
      <c r="QN8" s="535">
        <v>3.3214000000000001</v>
      </c>
      <c r="QO8" s="535">
        <v>3.3938000000000001</v>
      </c>
      <c r="QP8" s="535">
        <v>3.4005999999999998</v>
      </c>
      <c r="QQ8" s="535">
        <v>3.3902999999999999</v>
      </c>
      <c r="QR8" s="535">
        <v>3.3980000000000001</v>
      </c>
      <c r="QS8" s="535">
        <v>3.4359999999999999</v>
      </c>
      <c r="QT8" s="535">
        <v>3.4409999999999998</v>
      </c>
      <c r="QU8" s="516">
        <v>2</v>
      </c>
      <c r="QV8" s="536"/>
      <c r="QW8" s="536"/>
      <c r="QX8" s="516">
        <v>2</v>
      </c>
      <c r="QY8" s="535">
        <v>3.1230000000000002</v>
      </c>
      <c r="QZ8" s="535">
        <v>3.1139999999999999</v>
      </c>
      <c r="RA8" s="535">
        <v>3.0987</v>
      </c>
      <c r="RB8" s="535">
        <v>3.0937000000000001</v>
      </c>
      <c r="RC8" s="535">
        <v>3.1152000000000002</v>
      </c>
      <c r="RD8" s="535">
        <v>3.1190000000000002</v>
      </c>
      <c r="RE8" s="535">
        <v>3.1179999999999999</v>
      </c>
      <c r="RF8" s="535">
        <v>3.1204000000000001</v>
      </c>
      <c r="RG8" s="535">
        <v>3.1141999999999999</v>
      </c>
      <c r="RH8" s="535">
        <v>3.1179000000000001</v>
      </c>
      <c r="RI8" s="535">
        <v>3.1293000000000002</v>
      </c>
      <c r="RJ8" s="535">
        <v>3.1042000000000001</v>
      </c>
      <c r="RK8" s="516">
        <v>2</v>
      </c>
      <c r="RL8" s="536"/>
      <c r="RM8" s="536"/>
      <c r="RN8" s="516">
        <v>2</v>
      </c>
      <c r="RO8" s="535">
        <v>3.0739000000000001</v>
      </c>
      <c r="RP8" s="535">
        <v>3.0684999999999998</v>
      </c>
      <c r="RQ8" s="535">
        <v>3.0608</v>
      </c>
      <c r="RR8" s="535">
        <v>3.0619999999999998</v>
      </c>
      <c r="RS8" s="535">
        <v>3.0794000000000001</v>
      </c>
      <c r="RT8" s="535">
        <v>3.1150000000000002</v>
      </c>
      <c r="RU8" s="535">
        <v>3.1230000000000002</v>
      </c>
      <c r="RV8" s="535">
        <v>3.1113</v>
      </c>
      <c r="RW8" s="535">
        <v>3.0764999999999998</v>
      </c>
      <c r="RX8" s="535">
        <v>3.109</v>
      </c>
      <c r="RY8" s="535">
        <v>3.1309</v>
      </c>
      <c r="RZ8" s="535">
        <v>3.1141000000000001</v>
      </c>
      <c r="SA8" s="516">
        <v>2</v>
      </c>
      <c r="SB8" s="536"/>
      <c r="SC8" s="536"/>
      <c r="SD8" s="516">
        <v>2</v>
      </c>
      <c r="SE8" s="535">
        <v>2.9466000000000001</v>
      </c>
      <c r="SF8" s="535">
        <v>2.9590000000000001</v>
      </c>
      <c r="SG8" s="535">
        <v>2.9702000000000002</v>
      </c>
      <c r="SH8" s="535">
        <v>2.9817999999999998</v>
      </c>
      <c r="SI8" s="535">
        <v>2.9946000000000002</v>
      </c>
      <c r="SJ8" s="535">
        <v>3.0066000000000002</v>
      </c>
      <c r="SK8" s="535">
        <v>3.0182000000000002</v>
      </c>
      <c r="SL8" s="535">
        <v>3.0314000000000001</v>
      </c>
      <c r="SM8" s="535">
        <v>3.0430000000000001</v>
      </c>
      <c r="SN8" s="535">
        <v>3.0566</v>
      </c>
      <c r="SO8" s="535">
        <v>3.069</v>
      </c>
      <c r="SP8" s="535">
        <v>3.0676899999999998</v>
      </c>
      <c r="SQ8" s="516">
        <v>2</v>
      </c>
      <c r="SR8" s="536"/>
      <c r="SS8" s="536"/>
      <c r="ST8" s="516">
        <v>2</v>
      </c>
      <c r="SU8" s="535">
        <v>2.6440000000000001</v>
      </c>
      <c r="SV8" s="535">
        <v>2.6749999999999998</v>
      </c>
      <c r="SW8" s="535">
        <v>2.7029999999999998</v>
      </c>
      <c r="SX8" s="535">
        <v>2.7320000000000002</v>
      </c>
      <c r="SY8" s="535">
        <v>2.762</v>
      </c>
      <c r="SZ8" s="535">
        <v>2.7946</v>
      </c>
      <c r="TA8" s="535">
        <v>2.8170000000000002</v>
      </c>
      <c r="TB8" s="535">
        <v>2.8433999999999999</v>
      </c>
      <c r="TC8" s="535">
        <v>2.8673999999999999</v>
      </c>
      <c r="TD8" s="535">
        <v>2.8906000000000001</v>
      </c>
      <c r="TE8" s="535">
        <v>2.9169999999999998</v>
      </c>
      <c r="TF8" s="535">
        <v>2.9338000000000002</v>
      </c>
      <c r="TG8" s="516">
        <v>2</v>
      </c>
      <c r="TH8" s="536"/>
      <c r="TI8" s="536"/>
      <c r="TJ8" s="516">
        <v>2</v>
      </c>
      <c r="TK8" s="535">
        <v>2.278</v>
      </c>
      <c r="TL8" s="535">
        <v>2.31</v>
      </c>
      <c r="TM8" s="535">
        <v>2.3380000000000001</v>
      </c>
      <c r="TN8" s="535">
        <v>2.3679999999999999</v>
      </c>
      <c r="TO8" s="535">
        <v>2.3969999999999998</v>
      </c>
      <c r="TP8" s="535">
        <v>2.4300000000000002</v>
      </c>
      <c r="TQ8" s="535">
        <v>2.4590000000000001</v>
      </c>
      <c r="TR8" s="535">
        <v>2.4910000000000001</v>
      </c>
      <c r="TS8" s="535">
        <v>2.5219999999999998</v>
      </c>
      <c r="TT8" s="535">
        <v>2.5499999999999998</v>
      </c>
      <c r="TU8" s="535">
        <v>2.5830000000000002</v>
      </c>
      <c r="TV8" s="535">
        <v>2.613</v>
      </c>
      <c r="TW8" s="516">
        <v>2</v>
      </c>
    </row>
    <row r="9" spans="2:543" s="4" customFormat="1" ht="23" customHeight="1">
      <c r="B9" s="516">
        <v>3</v>
      </c>
      <c r="C9" s="549">
        <v>20.515699999999999</v>
      </c>
      <c r="D9" s="549">
        <v>20.58</v>
      </c>
      <c r="E9" s="549">
        <v>20.527200000000001</v>
      </c>
      <c r="F9" s="549">
        <v>19.911200000000001</v>
      </c>
      <c r="G9" s="549">
        <v>20.372800000000002</v>
      </c>
      <c r="H9" s="549">
        <v>19.738800000000001</v>
      </c>
      <c r="I9" s="549">
        <v>20.133500000000002</v>
      </c>
      <c r="J9" s="549">
        <v>20.263300000000001</v>
      </c>
      <c r="K9" s="549">
        <v>20.247299999999999</v>
      </c>
      <c r="L9" s="549">
        <v>20.192699999999999</v>
      </c>
      <c r="M9" s="549">
        <v>19.8245</v>
      </c>
      <c r="N9" s="662">
        <f t="shared" si="8"/>
        <v>19.746300000000002</v>
      </c>
      <c r="O9" s="516">
        <v>3</v>
      </c>
      <c r="R9" s="516">
        <v>3</v>
      </c>
      <c r="S9" s="549">
        <v>19.935199999999998</v>
      </c>
      <c r="T9" s="549">
        <v>20.224799999999998</v>
      </c>
      <c r="U9" s="549">
        <v>20.612300000000001</v>
      </c>
      <c r="V9" s="549">
        <v>20.602499999999999</v>
      </c>
      <c r="W9" s="549">
        <v>20.097799999999999</v>
      </c>
      <c r="X9" s="549">
        <v>19.892700000000001</v>
      </c>
      <c r="Y9" s="549">
        <v>20.036799999999999</v>
      </c>
      <c r="Z9" s="549">
        <v>19.845500000000001</v>
      </c>
      <c r="AA9" s="549">
        <v>19.961500000000001</v>
      </c>
      <c r="AB9" s="549">
        <v>20.5623</v>
      </c>
      <c r="AC9" s="549">
        <v>20.529699999999998</v>
      </c>
      <c r="AD9" s="549">
        <v>21.271000000000001</v>
      </c>
      <c r="AE9" s="516">
        <v>3</v>
      </c>
      <c r="AH9" s="516">
        <v>3</v>
      </c>
      <c r="AI9" s="549">
        <v>18.8642</v>
      </c>
      <c r="AJ9" s="549">
        <v>18.785299999999999</v>
      </c>
      <c r="AK9" s="549">
        <v>19.776</v>
      </c>
      <c r="AL9" s="549">
        <v>24.491800000000001</v>
      </c>
      <c r="AM9" s="549">
        <v>24.0002</v>
      </c>
      <c r="AN9" s="549">
        <v>22.0168</v>
      </c>
      <c r="AO9" s="549">
        <v>22.8078</v>
      </c>
      <c r="AP9" s="549">
        <v>22.172699999999999</v>
      </c>
      <c r="AQ9" s="549">
        <v>21.744499999999999</v>
      </c>
      <c r="AR9" s="549">
        <v>21.956199999999999</v>
      </c>
      <c r="AS9" s="549">
        <v>21.376999999999999</v>
      </c>
      <c r="AT9" s="549">
        <v>20.050799999999999</v>
      </c>
      <c r="AU9" s="516">
        <v>3</v>
      </c>
      <c r="AX9" s="516">
        <v>3</v>
      </c>
      <c r="AY9" s="535">
        <v>19.651199999999999</v>
      </c>
      <c r="AZ9" s="535">
        <v>19.038799999999998</v>
      </c>
      <c r="BA9" s="535">
        <v>19.2607</v>
      </c>
      <c r="BB9" s="535">
        <v>19.216899999999999</v>
      </c>
      <c r="BC9" s="535">
        <v>19.009899999999998</v>
      </c>
      <c r="BD9" s="535">
        <v>19.068300000000001</v>
      </c>
      <c r="BE9" s="535">
        <v>19.076000000000001</v>
      </c>
      <c r="BF9" s="535">
        <v>19.162700000000001</v>
      </c>
      <c r="BG9" s="535">
        <v>20.069600000000001</v>
      </c>
      <c r="BH9" s="535">
        <v>19.779199999999999</v>
      </c>
      <c r="BI9" s="535">
        <v>19.194800000000001</v>
      </c>
      <c r="BJ9" s="535">
        <v>19.5352</v>
      </c>
      <c r="BK9" s="516">
        <v>3</v>
      </c>
      <c r="BN9" s="516">
        <v>3</v>
      </c>
      <c r="BO9" s="535">
        <v>19.6629</v>
      </c>
      <c r="BP9" s="535">
        <v>18.400400000000001</v>
      </c>
      <c r="BQ9" s="537">
        <v>18.861000000000001</v>
      </c>
      <c r="BR9" s="535">
        <v>18.270900000000001</v>
      </c>
      <c r="BS9" s="535">
        <v>18.787800000000001</v>
      </c>
      <c r="BT9" s="535">
        <v>19.975899999999999</v>
      </c>
      <c r="BU9" s="535">
        <v>19.691199999999998</v>
      </c>
      <c r="BV9" s="535">
        <v>18.5899</v>
      </c>
      <c r="BW9" s="535">
        <v>19.125800000000002</v>
      </c>
      <c r="BX9" s="535">
        <v>18.653099999999998</v>
      </c>
      <c r="BY9" s="535">
        <v>20.317699999999999</v>
      </c>
      <c r="BZ9" s="535">
        <v>20.221699999999998</v>
      </c>
      <c r="CA9" s="516">
        <v>3</v>
      </c>
      <c r="CD9" s="516">
        <v>3</v>
      </c>
      <c r="CE9" s="535">
        <v>20.619399999999999</v>
      </c>
      <c r="CF9" s="535">
        <v>20.775200000000002</v>
      </c>
      <c r="CG9" s="535">
        <v>19.900700000000001</v>
      </c>
      <c r="CH9" s="535">
        <v>18.707899999999999</v>
      </c>
      <c r="CI9" s="535">
        <v>18.959399999999999</v>
      </c>
      <c r="CJ9" s="535">
        <v>18.594100000000001</v>
      </c>
      <c r="CK9" s="535">
        <v>18.027899999999999</v>
      </c>
      <c r="CL9" s="535">
        <v>17.8108</v>
      </c>
      <c r="CM9" s="535">
        <v>17.814499999999999</v>
      </c>
      <c r="CN9" s="535">
        <v>18.158999999999999</v>
      </c>
      <c r="CO9" s="535">
        <v>19.1478</v>
      </c>
      <c r="CP9" s="535">
        <v>18.622900000000001</v>
      </c>
      <c r="CQ9" s="516">
        <v>3</v>
      </c>
      <c r="CT9" s="516">
        <v>3</v>
      </c>
      <c r="CU9" s="535">
        <v>17.3398</v>
      </c>
      <c r="CV9" s="535">
        <v>18.1935</v>
      </c>
      <c r="CW9" s="535">
        <v>17.943200000000001</v>
      </c>
      <c r="CX9" s="535">
        <v>17.236999999999998</v>
      </c>
      <c r="CY9" s="535">
        <v>17.1767</v>
      </c>
      <c r="CZ9" s="535">
        <v>18.529900000000001</v>
      </c>
      <c r="DA9" s="535">
        <v>18.464600000000001</v>
      </c>
      <c r="DB9" s="535">
        <v>18.8504</v>
      </c>
      <c r="DC9" s="535">
        <v>18.8523</v>
      </c>
      <c r="DD9" s="535">
        <v>19.4086</v>
      </c>
      <c r="DE9" s="535">
        <v>18.8887</v>
      </c>
      <c r="DF9" s="535">
        <v>20.748799999999999</v>
      </c>
      <c r="DG9" s="516">
        <v>3</v>
      </c>
      <c r="DJ9" s="516">
        <v>3</v>
      </c>
      <c r="DK9" s="535">
        <v>14.741400000000001</v>
      </c>
      <c r="DL9" s="535">
        <v>14.8414</v>
      </c>
      <c r="DM9" s="535">
        <v>14.955299999999999</v>
      </c>
      <c r="DN9" s="535">
        <v>15.264699999999999</v>
      </c>
      <c r="DO9" s="535">
        <v>15.2043</v>
      </c>
      <c r="DP9" s="535">
        <v>15.484500000000001</v>
      </c>
      <c r="DQ9" s="535">
        <v>15.7829</v>
      </c>
      <c r="DR9" s="535">
        <v>16.4512</v>
      </c>
      <c r="DS9" s="535">
        <v>16.869199999999999</v>
      </c>
      <c r="DT9" s="535">
        <v>16.9053</v>
      </c>
      <c r="DU9" s="535">
        <v>16.6219</v>
      </c>
      <c r="DV9" s="535">
        <v>16.510400000000001</v>
      </c>
      <c r="DW9" s="516">
        <v>3</v>
      </c>
      <c r="DZ9" s="516">
        <v>3</v>
      </c>
      <c r="EA9" s="535">
        <v>13.084300000000001</v>
      </c>
      <c r="EB9" s="535">
        <v>13.3207</v>
      </c>
      <c r="EC9" s="535">
        <v>13.3066</v>
      </c>
      <c r="ED9" s="535">
        <v>13.0313</v>
      </c>
      <c r="EE9" s="535">
        <v>13.0901</v>
      </c>
      <c r="EF9" s="535">
        <v>12.860900000000001</v>
      </c>
      <c r="EG9" s="535">
        <v>12.9605</v>
      </c>
      <c r="EH9" s="535">
        <v>13.226900000000001</v>
      </c>
      <c r="EI9" s="535">
        <v>13.083299999999999</v>
      </c>
      <c r="EJ9" s="535">
        <v>13.445499999999999</v>
      </c>
      <c r="EK9" s="535">
        <v>13.4316</v>
      </c>
      <c r="EL9" s="535">
        <v>13.9262</v>
      </c>
      <c r="EM9" s="516">
        <v>3</v>
      </c>
      <c r="EP9" s="516">
        <v>3</v>
      </c>
      <c r="EQ9" s="535">
        <v>12.9658</v>
      </c>
      <c r="ER9" s="535">
        <v>12.7094</v>
      </c>
      <c r="ES9" s="535">
        <v>12.779500000000001</v>
      </c>
      <c r="ET9" s="535">
        <v>12.3438</v>
      </c>
      <c r="EU9" s="535">
        <v>12.1456</v>
      </c>
      <c r="EV9" s="535">
        <v>12.7781</v>
      </c>
      <c r="EW9" s="535">
        <v>12.9131</v>
      </c>
      <c r="EX9" s="535">
        <v>12.806800000000001</v>
      </c>
      <c r="EY9" s="535">
        <v>13.3415</v>
      </c>
      <c r="EZ9" s="535">
        <v>13.1294</v>
      </c>
      <c r="FA9" s="535">
        <v>13.0067</v>
      </c>
      <c r="FB9" s="535">
        <v>13.110099999999999</v>
      </c>
      <c r="FC9" s="516">
        <v>3</v>
      </c>
      <c r="FF9" s="516">
        <v>3</v>
      </c>
      <c r="FG9" s="535">
        <v>13.9476</v>
      </c>
      <c r="FH9" s="535">
        <v>12.89</v>
      </c>
      <c r="FI9" s="535">
        <v>12.776400000000001</v>
      </c>
      <c r="FJ9" s="535">
        <v>12.8093</v>
      </c>
      <c r="FK9" s="535">
        <v>12.994199999999999</v>
      </c>
      <c r="FL9" s="535">
        <v>14.3047</v>
      </c>
      <c r="FM9" s="535">
        <v>13.4084</v>
      </c>
      <c r="FN9" s="535">
        <v>13.2867</v>
      </c>
      <c r="FO9" s="535">
        <v>13.417199999999999</v>
      </c>
      <c r="FP9" s="535">
        <v>12.8178</v>
      </c>
      <c r="FQ9" s="535">
        <v>13.091100000000001</v>
      </c>
      <c r="FR9" s="535">
        <v>12.9617</v>
      </c>
      <c r="FS9" s="516">
        <v>3</v>
      </c>
      <c r="FV9" s="516">
        <v>3</v>
      </c>
      <c r="FW9" s="535">
        <v>12.3817</v>
      </c>
      <c r="FX9" s="535">
        <v>12.016999999999999</v>
      </c>
      <c r="FY9" s="535">
        <v>12.0929</v>
      </c>
      <c r="FZ9" s="535">
        <v>11.9084</v>
      </c>
      <c r="GA9" s="535">
        <v>11.527799999999999</v>
      </c>
      <c r="GB9" s="535">
        <v>11.627700000000001</v>
      </c>
      <c r="GC9" s="535">
        <v>11.723000000000001</v>
      </c>
      <c r="GD9" s="535">
        <v>11.7514</v>
      </c>
      <c r="GE9" s="535">
        <v>12.2616</v>
      </c>
      <c r="GF9" s="535">
        <v>13.4567</v>
      </c>
      <c r="GG9" s="535">
        <v>13.180199999999999</v>
      </c>
      <c r="GH9" s="535">
        <v>13.589399999999999</v>
      </c>
      <c r="GI9" s="516">
        <v>3</v>
      </c>
      <c r="GL9" s="516">
        <v>3</v>
      </c>
      <c r="GM9" s="535">
        <v>13.043699999999999</v>
      </c>
      <c r="GN9" s="535">
        <v>13.0098</v>
      </c>
      <c r="GO9" s="535">
        <v>12.7454</v>
      </c>
      <c r="GP9" s="535">
        <v>12.4145</v>
      </c>
      <c r="GQ9" s="535">
        <v>12.246499999999999</v>
      </c>
      <c r="GR9" s="535">
        <v>12.901199999999999</v>
      </c>
      <c r="GS9" s="535">
        <v>13.032500000000001</v>
      </c>
      <c r="GT9" s="535">
        <v>12.6455</v>
      </c>
      <c r="GU9" s="535">
        <v>13.053800000000001</v>
      </c>
      <c r="GV9" s="535">
        <v>12.5998</v>
      </c>
      <c r="GW9" s="535">
        <v>12.338699999999999</v>
      </c>
      <c r="GX9" s="535">
        <v>12.396699999999999</v>
      </c>
      <c r="GY9" s="516">
        <v>3</v>
      </c>
      <c r="HB9" s="516">
        <v>3</v>
      </c>
      <c r="HC9" s="535">
        <v>13.8325</v>
      </c>
      <c r="HD9" s="535">
        <v>14.1975</v>
      </c>
      <c r="HE9" s="535">
        <v>15.069800000000001</v>
      </c>
      <c r="HF9" s="535">
        <v>13.9108</v>
      </c>
      <c r="HG9" s="535">
        <v>13.6485</v>
      </c>
      <c r="HH9" s="535">
        <v>13.154999999999999</v>
      </c>
      <c r="HI9" s="535">
        <v>13.097200000000001</v>
      </c>
      <c r="HJ9" s="535">
        <v>13.222300000000001</v>
      </c>
      <c r="HK9" s="535">
        <v>13.5246</v>
      </c>
      <c r="HL9" s="535">
        <v>13.6242</v>
      </c>
      <c r="HM9" s="535">
        <v>13.0825</v>
      </c>
      <c r="HN9" s="535">
        <v>12.855700000000001</v>
      </c>
      <c r="HO9" s="516">
        <v>3</v>
      </c>
      <c r="HP9" s="536"/>
      <c r="HQ9" s="536"/>
      <c r="HR9" s="516">
        <v>3</v>
      </c>
      <c r="HS9" s="535">
        <v>10.915699999999999</v>
      </c>
      <c r="HT9" s="535">
        <v>10.8262</v>
      </c>
      <c r="HU9" s="535">
        <v>10.6813</v>
      </c>
      <c r="HV9" s="535">
        <v>10.5985</v>
      </c>
      <c r="HW9" s="535">
        <v>10.509499999999999</v>
      </c>
      <c r="HX9" s="535">
        <v>10.3306</v>
      </c>
      <c r="HY9" s="535">
        <v>10.3908</v>
      </c>
      <c r="HZ9" s="535">
        <v>10.035299999999999</v>
      </c>
      <c r="IA9" s="535">
        <v>10.3423</v>
      </c>
      <c r="IB9" s="535">
        <v>10.9811</v>
      </c>
      <c r="IC9" s="535">
        <v>12.834199999999999</v>
      </c>
      <c r="ID9" s="535">
        <v>13.58</v>
      </c>
      <c r="IE9" s="516">
        <v>3</v>
      </c>
      <c r="IF9" s="536"/>
      <c r="IG9" s="536"/>
      <c r="IH9" s="516">
        <v>3</v>
      </c>
      <c r="II9" s="535">
        <v>10.8116</v>
      </c>
      <c r="IJ9" s="535">
        <v>10.981999999999999</v>
      </c>
      <c r="IK9" s="535">
        <v>11.191700000000001</v>
      </c>
      <c r="IL9" s="535">
        <v>11.0322</v>
      </c>
      <c r="IM9" s="535">
        <v>10.9278</v>
      </c>
      <c r="IN9" s="535">
        <v>10.7445</v>
      </c>
      <c r="IO9" s="535">
        <v>10.794600000000001</v>
      </c>
      <c r="IP9" s="535">
        <v>10.9663</v>
      </c>
      <c r="IQ9" s="535">
        <v>11.0848</v>
      </c>
      <c r="IR9" s="535">
        <v>10.9224</v>
      </c>
      <c r="IS9" s="535">
        <v>10.702299999999999</v>
      </c>
      <c r="IT9" s="535">
        <v>10.941700000000001</v>
      </c>
      <c r="IU9" s="516">
        <v>3</v>
      </c>
      <c r="IV9" s="536"/>
      <c r="IW9" s="536"/>
      <c r="IX9" s="516">
        <v>3</v>
      </c>
      <c r="IY9" s="535">
        <v>10.634399999999999</v>
      </c>
      <c r="IZ9" s="535">
        <v>10.430300000000001</v>
      </c>
      <c r="JA9" s="535">
        <v>10.4673</v>
      </c>
      <c r="JB9" s="535">
        <v>10.922800000000001</v>
      </c>
      <c r="JC9" s="535">
        <v>11.090299999999999</v>
      </c>
      <c r="JD9" s="535">
        <v>11.2843</v>
      </c>
      <c r="JE9" s="535">
        <v>11.4009</v>
      </c>
      <c r="JF9" s="535">
        <v>11.020300000000001</v>
      </c>
      <c r="JG9" s="535">
        <v>10.903700000000001</v>
      </c>
      <c r="JH9" s="535">
        <v>10.993499999999999</v>
      </c>
      <c r="JI9" s="535">
        <v>10.763999999999999</v>
      </c>
      <c r="JJ9" s="535">
        <v>10.9983</v>
      </c>
      <c r="JK9" s="516">
        <v>3</v>
      </c>
      <c r="JL9" s="536"/>
      <c r="JM9" s="536"/>
      <c r="JN9" s="516">
        <v>3</v>
      </c>
      <c r="JO9" s="535">
        <v>11.218299999999999</v>
      </c>
      <c r="JP9" s="535">
        <v>11.1714</v>
      </c>
      <c r="JQ9" s="535">
        <v>11.103999999999999</v>
      </c>
      <c r="JR9" s="535">
        <v>11.1783</v>
      </c>
      <c r="JS9" s="535">
        <v>11.0832</v>
      </c>
      <c r="JT9" s="535">
        <v>10.844200000000001</v>
      </c>
      <c r="JU9" s="535">
        <v>10.7752</v>
      </c>
      <c r="JV9" s="535">
        <v>10.599399999999999</v>
      </c>
      <c r="JW9" s="535">
        <v>10.7234</v>
      </c>
      <c r="JX9" s="535">
        <v>10.8131</v>
      </c>
      <c r="JY9" s="535">
        <v>10.764699999999999</v>
      </c>
      <c r="JZ9" s="535">
        <v>10.524699999999999</v>
      </c>
      <c r="KA9" s="516">
        <v>3</v>
      </c>
      <c r="KB9" s="536"/>
      <c r="KC9" s="536"/>
      <c r="KD9" s="516">
        <v>3</v>
      </c>
      <c r="KE9" s="535">
        <v>11.2372</v>
      </c>
      <c r="KF9" s="535">
        <v>11.0214</v>
      </c>
      <c r="KG9" s="535">
        <v>10.9794</v>
      </c>
      <c r="KH9" s="535">
        <v>11.1828</v>
      </c>
      <c r="KI9" s="535">
        <v>11.4068</v>
      </c>
      <c r="KJ9" s="535">
        <v>11.484500000000001</v>
      </c>
      <c r="KK9" s="535">
        <v>11.4922</v>
      </c>
      <c r="KL9" s="535">
        <v>11.4079</v>
      </c>
      <c r="KM9" s="535">
        <v>11.4145</v>
      </c>
      <c r="KN9" s="535">
        <v>11.388400000000001</v>
      </c>
      <c r="KO9" s="535">
        <v>11.533099999999999</v>
      </c>
      <c r="KP9" s="535">
        <v>11.1713</v>
      </c>
      <c r="KQ9" s="516">
        <v>3</v>
      </c>
      <c r="KR9" s="536"/>
      <c r="KS9" s="536"/>
      <c r="KT9" s="516">
        <v>3</v>
      </c>
      <c r="KU9" s="535">
        <v>10.439299999999999</v>
      </c>
      <c r="KV9" s="535">
        <v>10.8636</v>
      </c>
      <c r="KW9" s="535">
        <v>11.033300000000001</v>
      </c>
      <c r="KX9" s="535">
        <v>10.7362</v>
      </c>
      <c r="KY9" s="535">
        <v>10.3</v>
      </c>
      <c r="KZ9" s="535">
        <v>10.3377</v>
      </c>
      <c r="LA9" s="535">
        <v>10.4495</v>
      </c>
      <c r="LB9" s="535">
        <v>10.5243</v>
      </c>
      <c r="LC9" s="535">
        <v>11.045999999999999</v>
      </c>
      <c r="LD9" s="535">
        <v>10.961399999999999</v>
      </c>
      <c r="LE9" s="535">
        <v>11.1058</v>
      </c>
      <c r="LF9" s="535">
        <v>11.378299999999999</v>
      </c>
      <c r="LG9" s="516">
        <v>3</v>
      </c>
      <c r="LH9" s="536"/>
      <c r="LI9" s="536"/>
      <c r="LJ9" s="516">
        <v>3</v>
      </c>
      <c r="LK9" s="535">
        <v>9.1694999999999993</v>
      </c>
      <c r="LL9" s="535">
        <v>9.1463000000000001</v>
      </c>
      <c r="LM9" s="535">
        <v>9.1303000000000001</v>
      </c>
      <c r="LN9" s="535">
        <v>9.0048999999999992</v>
      </c>
      <c r="LO9" s="535">
        <v>9.3719999999999999</v>
      </c>
      <c r="LP9" s="535">
        <v>9.7148000000000003</v>
      </c>
      <c r="LQ9" s="535">
        <v>9.9283000000000001</v>
      </c>
      <c r="LR9" s="535">
        <v>9.8768999999999991</v>
      </c>
      <c r="LS9" s="535">
        <v>9.9108999999999998</v>
      </c>
      <c r="LT9" s="535">
        <v>10.157299999999999</v>
      </c>
      <c r="LU9" s="535">
        <v>10.155200000000001</v>
      </c>
      <c r="LV9" s="535">
        <v>10.1465</v>
      </c>
      <c r="LW9" s="516">
        <v>3</v>
      </c>
      <c r="LX9" s="536"/>
      <c r="LY9" s="536"/>
      <c r="LZ9" s="516">
        <v>3</v>
      </c>
      <c r="MA9" s="535">
        <v>9.6097999999999999</v>
      </c>
      <c r="MB9" s="535">
        <v>9.7327999999999992</v>
      </c>
      <c r="MC9" s="535">
        <v>9.7051999999999996</v>
      </c>
      <c r="MD9" s="535">
        <v>9.4932999999999996</v>
      </c>
      <c r="ME9" s="535">
        <v>9.2537000000000003</v>
      </c>
      <c r="MF9" s="535">
        <v>9.1835000000000004</v>
      </c>
      <c r="MG9" s="535">
        <v>9.0708000000000002</v>
      </c>
      <c r="MH9" s="535">
        <v>9.2111000000000001</v>
      </c>
      <c r="MI9" s="535">
        <v>9.1692</v>
      </c>
      <c r="MJ9" s="535">
        <v>9.5037000000000003</v>
      </c>
      <c r="MK9" s="535">
        <v>9.2891999999999992</v>
      </c>
      <c r="ML9" s="535">
        <v>9.2814999999999994</v>
      </c>
      <c r="MM9" s="516">
        <v>3</v>
      </c>
      <c r="MN9" s="536"/>
      <c r="MO9" s="536"/>
      <c r="MP9" s="516">
        <v>3</v>
      </c>
      <c r="MQ9" s="535">
        <v>9.5221999999999998</v>
      </c>
      <c r="MR9" s="535">
        <v>9.5955999999999992</v>
      </c>
      <c r="MS9" s="535">
        <v>9.3633000000000006</v>
      </c>
      <c r="MT9" s="535">
        <v>9.3015000000000008</v>
      </c>
      <c r="MU9" s="535">
        <v>9.4126999999999992</v>
      </c>
      <c r="MV9" s="535">
        <v>9.4987999999999992</v>
      </c>
      <c r="MW9" s="535">
        <v>9.9002999999999997</v>
      </c>
      <c r="MX9" s="535">
        <v>9.3428000000000004</v>
      </c>
      <c r="MY9" s="535">
        <v>9.1995000000000005</v>
      </c>
      <c r="MZ9" s="535">
        <v>9.4459</v>
      </c>
      <c r="NA9" s="535">
        <v>9.5641999999999996</v>
      </c>
      <c r="NB9" s="535">
        <v>9.3972999999999995</v>
      </c>
      <c r="NC9" s="516">
        <v>3</v>
      </c>
      <c r="ND9" s="536"/>
      <c r="NE9" s="536"/>
      <c r="NF9" s="516">
        <v>3</v>
      </c>
      <c r="NG9" s="535">
        <v>9.9395000000000007</v>
      </c>
      <c r="NH9" s="535">
        <v>10.098599999999999</v>
      </c>
      <c r="NI9" s="535">
        <v>9.9071999999999996</v>
      </c>
      <c r="NJ9" s="535">
        <v>9.5375999999999994</v>
      </c>
      <c r="NK9" s="535">
        <v>9.2622</v>
      </c>
      <c r="NL9" s="535">
        <v>9.8155999999999999</v>
      </c>
      <c r="NM9" s="535">
        <v>9.3773</v>
      </c>
      <c r="NN9" s="535">
        <v>9.4009999999999998</v>
      </c>
      <c r="NO9" s="535">
        <v>9.3849999999999998</v>
      </c>
      <c r="NP9" s="535">
        <v>9.3483000000000001</v>
      </c>
      <c r="NQ9" s="535">
        <v>9.625</v>
      </c>
      <c r="NR9" s="535">
        <v>9.4682999999999993</v>
      </c>
      <c r="NS9" s="516">
        <v>3</v>
      </c>
      <c r="NT9" s="536"/>
      <c r="NU9" s="536"/>
      <c r="NV9" s="516">
        <v>3</v>
      </c>
      <c r="NW9" s="535">
        <v>8.0680999999999994</v>
      </c>
      <c r="NX9" s="535">
        <v>8.4642999999999997</v>
      </c>
      <c r="NY9" s="535">
        <v>8.5252999999999997</v>
      </c>
      <c r="NZ9" s="535">
        <v>8.5096000000000007</v>
      </c>
      <c r="OA9" s="535">
        <v>8.5029000000000003</v>
      </c>
      <c r="OB9" s="535">
        <v>8.8983000000000008</v>
      </c>
      <c r="OC9" s="535">
        <v>8.9375</v>
      </c>
      <c r="OD9" s="535">
        <v>8.9008000000000003</v>
      </c>
      <c r="OE9" s="535">
        <v>9.9717000000000002</v>
      </c>
      <c r="OF9" s="535">
        <v>10.313700000000001</v>
      </c>
      <c r="OG9" s="535">
        <v>10.219799999999999</v>
      </c>
      <c r="OH9" s="535">
        <v>10.0318</v>
      </c>
      <c r="OI9" s="516">
        <v>3</v>
      </c>
      <c r="OJ9" s="536"/>
      <c r="OK9" s="536"/>
      <c r="OL9" s="516">
        <v>3</v>
      </c>
      <c r="OM9" s="535">
        <v>7.8703000000000003</v>
      </c>
      <c r="ON9" s="535">
        <v>7.8409000000000004</v>
      </c>
      <c r="OO9" s="535">
        <v>7.8357999999999999</v>
      </c>
      <c r="OP9" s="535">
        <v>7.9116999999999997</v>
      </c>
      <c r="OQ9" s="535">
        <v>7.9519000000000002</v>
      </c>
      <c r="OR9" s="535">
        <v>7.9166999999999996</v>
      </c>
      <c r="OS9" s="535">
        <v>7.9298000000000002</v>
      </c>
      <c r="OT9" s="535">
        <v>7.8247999999999998</v>
      </c>
      <c r="OU9" s="535">
        <v>7.7853000000000003</v>
      </c>
      <c r="OV9" s="535">
        <v>7.7535999999999996</v>
      </c>
      <c r="OW9" s="535">
        <v>8.3432999999999993</v>
      </c>
      <c r="OX9" s="535">
        <v>8.1809999999999992</v>
      </c>
      <c r="OY9" s="516">
        <v>3</v>
      </c>
      <c r="OZ9" s="536"/>
      <c r="PA9" s="536"/>
      <c r="PB9" s="516">
        <v>3</v>
      </c>
      <c r="PC9" s="535">
        <v>7.7396000000000003</v>
      </c>
      <c r="PD9" s="535">
        <v>7.4169999999999998</v>
      </c>
      <c r="PE9" s="535">
        <v>7.6295999999999999</v>
      </c>
      <c r="PF9" s="535">
        <v>7.5126999999999997</v>
      </c>
      <c r="PG9" s="535">
        <v>7.4462000000000002</v>
      </c>
      <c r="PH9" s="535">
        <v>7.4367000000000001</v>
      </c>
      <c r="PI9" s="535">
        <v>7.6215000000000002</v>
      </c>
      <c r="PJ9" s="535">
        <v>7.5709</v>
      </c>
      <c r="PK9" s="535">
        <v>7.5831</v>
      </c>
      <c r="PL9" s="535">
        <v>7.5316999999999998</v>
      </c>
      <c r="PM9" s="535">
        <v>8.0478000000000005</v>
      </c>
      <c r="PN9" s="535">
        <v>7.8929999999999998</v>
      </c>
      <c r="PO9" s="516">
        <v>3</v>
      </c>
      <c r="PP9" s="536"/>
      <c r="PQ9" s="536"/>
      <c r="PR9" s="516">
        <v>3</v>
      </c>
      <c r="PS9" s="535">
        <v>4.9950000000000001</v>
      </c>
      <c r="PT9" s="535">
        <v>5.5125000000000002</v>
      </c>
      <c r="PU9" s="535">
        <v>5.9775</v>
      </c>
      <c r="PV9" s="535">
        <v>6.78</v>
      </c>
      <c r="PW9" s="535">
        <v>6.0517000000000003</v>
      </c>
      <c r="PX9" s="535">
        <v>6.2167000000000003</v>
      </c>
      <c r="PY9" s="535">
        <v>6.2621000000000002</v>
      </c>
      <c r="PZ9" s="535">
        <v>6.1295999999999999</v>
      </c>
      <c r="QA9" s="535">
        <v>6.28</v>
      </c>
      <c r="QB9" s="535">
        <v>6.3848000000000003</v>
      </c>
      <c r="QC9" s="535">
        <v>7.1471</v>
      </c>
      <c r="QD9" s="535">
        <v>7.5467000000000004</v>
      </c>
      <c r="QE9" s="516">
        <v>3</v>
      </c>
      <c r="QF9" s="536"/>
      <c r="QG9" s="536"/>
      <c r="QH9" s="516">
        <v>3</v>
      </c>
      <c r="QI9" s="535">
        <v>3.1099000000000001</v>
      </c>
      <c r="QJ9" s="535">
        <v>3.105</v>
      </c>
      <c r="QK9" s="535">
        <v>3.1943999999999999</v>
      </c>
      <c r="QL9" s="535">
        <v>3.35</v>
      </c>
      <c r="QM9" s="535">
        <v>3.2747999999999999</v>
      </c>
      <c r="QN9" s="535">
        <v>3.3269000000000002</v>
      </c>
      <c r="QO9" s="535">
        <v>3.3938000000000001</v>
      </c>
      <c r="QP9" s="535">
        <v>3.3988999999999998</v>
      </c>
      <c r="QQ9" s="535">
        <v>3.3908</v>
      </c>
      <c r="QR9" s="535">
        <v>3.3980000000000001</v>
      </c>
      <c r="QS9" s="535">
        <v>3.4359999999999999</v>
      </c>
      <c r="QT9" s="535">
        <v>3.4386000000000001</v>
      </c>
      <c r="QU9" s="516">
        <v>3</v>
      </c>
      <c r="QV9" s="536"/>
      <c r="QW9" s="536"/>
      <c r="QX9" s="516">
        <v>3</v>
      </c>
      <c r="QY9" s="535">
        <v>3.1230000000000002</v>
      </c>
      <c r="QZ9" s="535">
        <v>3.1019000000000001</v>
      </c>
      <c r="RA9" s="535">
        <v>3.0939000000000001</v>
      </c>
      <c r="RB9" s="535">
        <v>3.0939999999999999</v>
      </c>
      <c r="RC9" s="535">
        <v>3.1152000000000002</v>
      </c>
      <c r="RD9" s="535">
        <v>3.1263999999999998</v>
      </c>
      <c r="RE9" s="535">
        <v>3.1292</v>
      </c>
      <c r="RF9" s="535">
        <v>3.1179000000000001</v>
      </c>
      <c r="RG9" s="535">
        <v>3.1137000000000001</v>
      </c>
      <c r="RH9" s="535">
        <v>3.1179000000000001</v>
      </c>
      <c r="RI9" s="535">
        <v>3.1293000000000002</v>
      </c>
      <c r="RJ9" s="535">
        <v>3.1034000000000002</v>
      </c>
      <c r="RK9" s="516">
        <v>3</v>
      </c>
      <c r="RL9" s="536"/>
      <c r="RM9" s="536"/>
      <c r="RN9" s="516">
        <v>3</v>
      </c>
      <c r="RO9" s="535">
        <v>3.0779999999999998</v>
      </c>
      <c r="RP9" s="535">
        <v>3.0684999999999998</v>
      </c>
      <c r="RQ9" s="535">
        <v>3.0609000000000002</v>
      </c>
      <c r="RR9" s="535">
        <v>3.0609000000000002</v>
      </c>
      <c r="RS9" s="535">
        <v>3.0794000000000001</v>
      </c>
      <c r="RT9" s="535">
        <v>3.1105999999999998</v>
      </c>
      <c r="RU9" s="535">
        <v>3.1223999999999998</v>
      </c>
      <c r="RV9" s="535">
        <v>3.1113</v>
      </c>
      <c r="RW9" s="535">
        <v>3.0714999999999999</v>
      </c>
      <c r="RX9" s="535">
        <v>3.1110000000000002</v>
      </c>
      <c r="RY9" s="535">
        <v>3.1309</v>
      </c>
      <c r="RZ9" s="535">
        <v>3.117</v>
      </c>
      <c r="SA9" s="516">
        <v>3</v>
      </c>
      <c r="SB9" s="536"/>
      <c r="SC9" s="536"/>
      <c r="SD9" s="516">
        <v>3</v>
      </c>
      <c r="SE9" s="535">
        <v>2.9470000000000001</v>
      </c>
      <c r="SF9" s="535">
        <v>2.9590000000000001</v>
      </c>
      <c r="SG9" s="535">
        <v>2.9702000000000002</v>
      </c>
      <c r="SH9" s="535">
        <v>2.9830000000000001</v>
      </c>
      <c r="SI9" s="535">
        <v>2.9950000000000001</v>
      </c>
      <c r="SJ9" s="535">
        <v>3.0066000000000002</v>
      </c>
      <c r="SK9" s="535">
        <v>3.0194000000000001</v>
      </c>
      <c r="SL9" s="535">
        <v>3.0318000000000001</v>
      </c>
      <c r="SM9" s="535">
        <v>3.0434000000000001</v>
      </c>
      <c r="SN9" s="535">
        <v>3.0569999999999999</v>
      </c>
      <c r="SO9" s="535">
        <v>3.069</v>
      </c>
      <c r="SP9" s="535">
        <v>3.0671900000000001</v>
      </c>
      <c r="SQ9" s="516">
        <v>3</v>
      </c>
      <c r="SR9" s="536"/>
      <c r="SS9" s="536"/>
      <c r="ST9" s="516">
        <v>3</v>
      </c>
      <c r="SU9" s="535">
        <v>2.645</v>
      </c>
      <c r="SV9" s="535">
        <v>2.6760000000000002</v>
      </c>
      <c r="SW9" s="535">
        <v>2.7040000000000002</v>
      </c>
      <c r="SX9" s="535">
        <v>2.7330000000000001</v>
      </c>
      <c r="SY9" s="535">
        <v>2.7650000000000001</v>
      </c>
      <c r="SZ9" s="535">
        <v>2.7946</v>
      </c>
      <c r="TA9" s="535">
        <v>2.8178000000000001</v>
      </c>
      <c r="TB9" s="535">
        <v>2.8441999999999998</v>
      </c>
      <c r="TC9" s="535">
        <v>2.8673999999999999</v>
      </c>
      <c r="TD9" s="535">
        <v>2.8929999999999998</v>
      </c>
      <c r="TE9" s="535">
        <v>2.9178000000000002</v>
      </c>
      <c r="TF9" s="535">
        <v>2.9338000000000002</v>
      </c>
      <c r="TG9" s="516">
        <v>3</v>
      </c>
      <c r="TH9" s="536"/>
      <c r="TI9" s="536"/>
      <c r="TJ9" s="516">
        <v>3</v>
      </c>
      <c r="TK9" s="535">
        <v>2.278</v>
      </c>
      <c r="TL9" s="535">
        <v>2.3109999999999999</v>
      </c>
      <c r="TM9" s="535">
        <v>2.339</v>
      </c>
      <c r="TN9" s="535">
        <v>2.3679999999999999</v>
      </c>
      <c r="TO9" s="535">
        <v>2.4</v>
      </c>
      <c r="TP9" s="535">
        <v>2.431</v>
      </c>
      <c r="TQ9" s="535">
        <v>2.4590000000000001</v>
      </c>
      <c r="TR9" s="535">
        <v>2.492</v>
      </c>
      <c r="TS9" s="535">
        <v>2.5219999999999998</v>
      </c>
      <c r="TT9" s="535">
        <v>2.5510000000000002</v>
      </c>
      <c r="TU9" s="535">
        <v>2.5840000000000001</v>
      </c>
      <c r="TV9" s="535">
        <v>2.613</v>
      </c>
      <c r="TW9" s="516">
        <v>3</v>
      </c>
    </row>
    <row r="10" spans="2:543" s="4" customFormat="1" ht="23" customHeight="1">
      <c r="B10" s="516">
        <v>4</v>
      </c>
      <c r="C10" s="549">
        <v>20.467199999999998</v>
      </c>
      <c r="D10" s="549">
        <v>20.600300000000001</v>
      </c>
      <c r="E10" s="549">
        <v>20.7193</v>
      </c>
      <c r="F10" s="549">
        <v>19.911200000000001</v>
      </c>
      <c r="G10" s="549">
        <v>20.407499999999999</v>
      </c>
      <c r="H10" s="549">
        <v>19.558499999999999</v>
      </c>
      <c r="I10" s="549">
        <v>20.133500000000002</v>
      </c>
      <c r="J10" s="549">
        <v>20.5152</v>
      </c>
      <c r="K10" s="549">
        <v>20.247299999999999</v>
      </c>
      <c r="L10" s="549">
        <v>20.092500000000001</v>
      </c>
      <c r="M10" s="549">
        <v>19.746300000000002</v>
      </c>
      <c r="N10" s="662">
        <f t="shared" si="8"/>
        <v>19.746300000000002</v>
      </c>
      <c r="O10" s="516">
        <v>4</v>
      </c>
      <c r="R10" s="516">
        <v>4</v>
      </c>
      <c r="S10" s="549">
        <v>19.935199999999998</v>
      </c>
      <c r="T10" s="549">
        <v>20.1722</v>
      </c>
      <c r="U10" s="549">
        <v>20.690300000000001</v>
      </c>
      <c r="V10" s="549">
        <v>20.602499999999999</v>
      </c>
      <c r="W10" s="549">
        <v>20.182200000000002</v>
      </c>
      <c r="X10" s="549">
        <v>19.927700000000002</v>
      </c>
      <c r="Y10" s="549">
        <v>20.036799999999999</v>
      </c>
      <c r="Z10" s="549">
        <v>19.852</v>
      </c>
      <c r="AA10" s="549">
        <v>19.970300000000002</v>
      </c>
      <c r="AB10" s="549">
        <v>20.5623</v>
      </c>
      <c r="AC10" s="549">
        <v>20.8598</v>
      </c>
      <c r="AD10" s="549">
        <v>21.3033</v>
      </c>
      <c r="AE10" s="516">
        <v>4</v>
      </c>
      <c r="AH10" s="516">
        <v>4</v>
      </c>
      <c r="AI10" s="549">
        <v>18.881699999999999</v>
      </c>
      <c r="AJ10" s="549">
        <v>18.785299999999999</v>
      </c>
      <c r="AK10" s="549">
        <v>19.698499999999999</v>
      </c>
      <c r="AL10" s="549">
        <v>24.108699999999999</v>
      </c>
      <c r="AM10" s="549">
        <v>24.0002</v>
      </c>
      <c r="AN10" s="549">
        <v>21.682700000000001</v>
      </c>
      <c r="AO10" s="549">
        <v>22.522500000000001</v>
      </c>
      <c r="AP10" s="549">
        <v>22.2012</v>
      </c>
      <c r="AQ10" s="549">
        <v>21.839300000000001</v>
      </c>
      <c r="AR10" s="549">
        <v>21.956199999999999</v>
      </c>
      <c r="AS10" s="549">
        <v>21.250800000000002</v>
      </c>
      <c r="AT10" s="549">
        <v>20.049700000000001</v>
      </c>
      <c r="AU10" s="516">
        <v>4</v>
      </c>
      <c r="AX10" s="516">
        <v>4</v>
      </c>
      <c r="AY10" s="535">
        <v>19.587800000000001</v>
      </c>
      <c r="AZ10" s="535">
        <v>19.038799999999998</v>
      </c>
      <c r="BA10" s="535">
        <v>19.2607</v>
      </c>
      <c r="BB10" s="535">
        <v>19.227900000000002</v>
      </c>
      <c r="BC10" s="535">
        <v>19.101400000000002</v>
      </c>
      <c r="BD10" s="535">
        <v>19.642600000000002</v>
      </c>
      <c r="BE10" s="535">
        <v>19.069400000000002</v>
      </c>
      <c r="BF10" s="535">
        <v>19.162700000000001</v>
      </c>
      <c r="BG10" s="535">
        <v>20.125299999999999</v>
      </c>
      <c r="BH10" s="535">
        <v>19.798500000000001</v>
      </c>
      <c r="BI10" s="535">
        <v>19.194800000000001</v>
      </c>
      <c r="BJ10" s="535">
        <v>19.5717</v>
      </c>
      <c r="BK10" s="516">
        <v>4</v>
      </c>
      <c r="BN10" s="516">
        <v>4</v>
      </c>
      <c r="BO10" s="535">
        <v>19.489899999999999</v>
      </c>
      <c r="BP10" s="535">
        <v>18.400400000000001</v>
      </c>
      <c r="BQ10" s="537">
        <v>18.861000000000001</v>
      </c>
      <c r="BR10" s="535">
        <v>18.296700000000001</v>
      </c>
      <c r="BS10" s="535">
        <v>19.0943</v>
      </c>
      <c r="BT10" s="535">
        <v>19.975899999999999</v>
      </c>
      <c r="BU10" s="535">
        <v>20.145299999999999</v>
      </c>
      <c r="BV10" s="535">
        <v>18.634899999999998</v>
      </c>
      <c r="BW10" s="535">
        <v>19.179200000000002</v>
      </c>
      <c r="BX10" s="535">
        <v>18.750299999999999</v>
      </c>
      <c r="BY10" s="535">
        <v>20.317699999999999</v>
      </c>
      <c r="BZ10" s="535">
        <v>20.345500000000001</v>
      </c>
      <c r="CA10" s="516">
        <v>4</v>
      </c>
      <c r="CD10" s="516">
        <v>4</v>
      </c>
      <c r="CE10" s="535">
        <v>20.732299999999999</v>
      </c>
      <c r="CF10" s="535">
        <v>20.575700000000001</v>
      </c>
      <c r="CG10" s="535">
        <v>19.9373</v>
      </c>
      <c r="CH10" s="535">
        <v>18.795500000000001</v>
      </c>
      <c r="CI10" s="535">
        <v>18.773099999999999</v>
      </c>
      <c r="CJ10" s="535">
        <v>18.594100000000001</v>
      </c>
      <c r="CK10" s="535">
        <v>18.0626</v>
      </c>
      <c r="CL10" s="535">
        <v>17.869599999999998</v>
      </c>
      <c r="CM10" s="535">
        <v>17.814499999999999</v>
      </c>
      <c r="CN10" s="535">
        <v>18.233699999999999</v>
      </c>
      <c r="CO10" s="535">
        <v>19.124099999999999</v>
      </c>
      <c r="CP10" s="535">
        <v>18.622900000000001</v>
      </c>
      <c r="CQ10" s="516">
        <v>4</v>
      </c>
      <c r="CT10" s="516">
        <v>4</v>
      </c>
      <c r="CU10" s="535">
        <v>17.3398</v>
      </c>
      <c r="CV10" s="535">
        <v>18.490200000000002</v>
      </c>
      <c r="CW10" s="535">
        <v>17.856100000000001</v>
      </c>
      <c r="CX10" s="535">
        <v>17.236999999999998</v>
      </c>
      <c r="CY10" s="535">
        <v>17.227900000000002</v>
      </c>
      <c r="CZ10" s="535">
        <v>18.6097</v>
      </c>
      <c r="DA10" s="535">
        <v>18.464600000000001</v>
      </c>
      <c r="DB10" s="535">
        <v>18.896599999999999</v>
      </c>
      <c r="DC10" s="535">
        <v>18.8523</v>
      </c>
      <c r="DD10" s="535">
        <v>19.377600000000001</v>
      </c>
      <c r="DE10" s="535">
        <v>19.130600000000001</v>
      </c>
      <c r="DF10" s="535">
        <v>20.748799999999999</v>
      </c>
      <c r="DG10" s="516">
        <v>4</v>
      </c>
      <c r="DJ10" s="516">
        <v>4</v>
      </c>
      <c r="DK10" s="535">
        <v>14.741400000000001</v>
      </c>
      <c r="DL10" s="535">
        <v>14.9885</v>
      </c>
      <c r="DM10" s="535">
        <v>14.9862</v>
      </c>
      <c r="DN10" s="535">
        <v>15.264699999999999</v>
      </c>
      <c r="DO10" s="535">
        <v>15.2043</v>
      </c>
      <c r="DP10" s="535">
        <v>15.412800000000001</v>
      </c>
      <c r="DQ10" s="535">
        <v>15.7829</v>
      </c>
      <c r="DR10" s="535">
        <v>16.077200000000001</v>
      </c>
      <c r="DS10" s="535">
        <v>16.944400000000002</v>
      </c>
      <c r="DT10" s="535">
        <v>16.9053</v>
      </c>
      <c r="DU10" s="535">
        <v>16.5244</v>
      </c>
      <c r="DV10" s="535">
        <v>16.593299999999999</v>
      </c>
      <c r="DW10" s="516">
        <v>4</v>
      </c>
      <c r="DZ10" s="516">
        <v>4</v>
      </c>
      <c r="EA10" s="535">
        <v>13.101100000000001</v>
      </c>
      <c r="EB10" s="535">
        <v>13.3207</v>
      </c>
      <c r="EC10" s="535">
        <v>13.2379</v>
      </c>
      <c r="ED10" s="535">
        <v>13.0991</v>
      </c>
      <c r="EE10" s="535">
        <v>13.0901</v>
      </c>
      <c r="EF10" s="535">
        <v>12.9108</v>
      </c>
      <c r="EG10" s="535">
        <v>12.9673</v>
      </c>
      <c r="EH10" s="535">
        <v>13.226900000000001</v>
      </c>
      <c r="EI10" s="535">
        <v>13.129899999999999</v>
      </c>
      <c r="EJ10" s="535">
        <v>13.4026</v>
      </c>
      <c r="EK10" s="535">
        <v>13.4773</v>
      </c>
      <c r="EL10" s="535">
        <v>14.076000000000001</v>
      </c>
      <c r="EM10" s="516">
        <v>4</v>
      </c>
      <c r="EP10" s="516">
        <v>4</v>
      </c>
      <c r="EQ10" s="535">
        <v>12.748799999999999</v>
      </c>
      <c r="ER10" s="535">
        <v>12.7094</v>
      </c>
      <c r="ES10" s="535">
        <v>12.779500000000001</v>
      </c>
      <c r="ET10" s="535">
        <v>12.2728</v>
      </c>
      <c r="EU10" s="535">
        <v>12.175599999999999</v>
      </c>
      <c r="EV10" s="535">
        <v>12.8035</v>
      </c>
      <c r="EW10" s="535">
        <v>12.984999999999999</v>
      </c>
      <c r="EX10" s="535">
        <v>12.806800000000001</v>
      </c>
      <c r="EY10" s="535">
        <v>13.307</v>
      </c>
      <c r="EZ10" s="535">
        <v>13.1593</v>
      </c>
      <c r="FA10" s="535">
        <v>13.0067</v>
      </c>
      <c r="FB10" s="535">
        <v>13.2041</v>
      </c>
      <c r="FC10" s="516">
        <v>4</v>
      </c>
      <c r="FF10" s="516">
        <v>4</v>
      </c>
      <c r="FG10" s="535">
        <v>13.934200000000001</v>
      </c>
      <c r="FH10" s="535">
        <v>12.803800000000001</v>
      </c>
      <c r="FI10" s="535">
        <v>12.776400000000001</v>
      </c>
      <c r="FJ10" s="535">
        <v>12.7691</v>
      </c>
      <c r="FK10" s="535">
        <v>12.962899999999999</v>
      </c>
      <c r="FL10" s="535">
        <v>14.3047</v>
      </c>
      <c r="FM10" s="535">
        <v>13.397</v>
      </c>
      <c r="FN10" s="535">
        <v>13.3927</v>
      </c>
      <c r="FO10" s="535">
        <v>13.257099999999999</v>
      </c>
      <c r="FP10" s="535">
        <v>12.8375</v>
      </c>
      <c r="FQ10" s="535">
        <v>13.091100000000001</v>
      </c>
      <c r="FR10" s="535">
        <v>12.9268</v>
      </c>
      <c r="FS10" s="516">
        <v>4</v>
      </c>
      <c r="FV10" s="516">
        <v>4</v>
      </c>
      <c r="FW10" s="535">
        <v>12.349600000000001</v>
      </c>
      <c r="FX10" s="535">
        <v>12.019</v>
      </c>
      <c r="FY10" s="535">
        <v>12.098100000000001</v>
      </c>
      <c r="FZ10" s="535">
        <v>11.9084</v>
      </c>
      <c r="GA10" s="535">
        <v>11.5023</v>
      </c>
      <c r="GB10" s="535">
        <v>11.6739</v>
      </c>
      <c r="GC10" s="535">
        <v>11.723000000000001</v>
      </c>
      <c r="GD10" s="535">
        <v>11.765700000000001</v>
      </c>
      <c r="GE10" s="535">
        <v>12.2616</v>
      </c>
      <c r="GF10" s="535">
        <v>13.7994</v>
      </c>
      <c r="GG10" s="535">
        <v>13.6282</v>
      </c>
      <c r="GH10" s="535">
        <v>13.589399999999999</v>
      </c>
      <c r="GI10" s="516">
        <v>4</v>
      </c>
      <c r="GL10" s="516">
        <v>4</v>
      </c>
      <c r="GM10" s="535">
        <v>13.043699999999999</v>
      </c>
      <c r="GN10" s="535">
        <v>12.869899999999999</v>
      </c>
      <c r="GO10" s="535">
        <v>12.725899999999999</v>
      </c>
      <c r="GP10" s="535">
        <v>12.4145</v>
      </c>
      <c r="GQ10" s="535">
        <v>12.262600000000001</v>
      </c>
      <c r="GR10" s="535">
        <v>12.862500000000001</v>
      </c>
      <c r="GS10" s="535">
        <v>13.032500000000001</v>
      </c>
      <c r="GT10" s="535">
        <v>12.572800000000001</v>
      </c>
      <c r="GU10" s="535">
        <v>13.055</v>
      </c>
      <c r="GV10" s="535">
        <v>12.5998</v>
      </c>
      <c r="GW10" s="535">
        <v>12.3452</v>
      </c>
      <c r="GX10" s="535">
        <v>12.3546</v>
      </c>
      <c r="GY10" s="516">
        <v>4</v>
      </c>
      <c r="HB10" s="516">
        <v>4</v>
      </c>
      <c r="HC10" s="535">
        <v>13.8325</v>
      </c>
      <c r="HD10" s="535">
        <v>14.309699999999999</v>
      </c>
      <c r="HE10" s="535">
        <v>15.365</v>
      </c>
      <c r="HF10" s="535">
        <v>13.792400000000001</v>
      </c>
      <c r="HG10" s="535">
        <v>13.6485</v>
      </c>
      <c r="HH10" s="535">
        <v>13.260899999999999</v>
      </c>
      <c r="HI10" s="535">
        <v>13.169499999999999</v>
      </c>
      <c r="HJ10" s="535">
        <v>13.2125</v>
      </c>
      <c r="HK10" s="535">
        <v>13.6427</v>
      </c>
      <c r="HL10" s="535">
        <v>13.6242</v>
      </c>
      <c r="HM10" s="535">
        <v>13.1479</v>
      </c>
      <c r="HN10" s="535">
        <v>12.8026</v>
      </c>
      <c r="HO10" s="516">
        <v>4</v>
      </c>
      <c r="HP10" s="536"/>
      <c r="HQ10" s="536"/>
      <c r="HR10" s="516">
        <v>4</v>
      </c>
      <c r="HS10" s="535">
        <v>10.8972</v>
      </c>
      <c r="HT10" s="535">
        <v>10.8262</v>
      </c>
      <c r="HU10" s="535">
        <v>10.724299999999999</v>
      </c>
      <c r="HV10" s="535">
        <v>10.5557</v>
      </c>
      <c r="HW10" s="535">
        <v>10.509499999999999</v>
      </c>
      <c r="HX10" s="535">
        <v>10.341699999999999</v>
      </c>
      <c r="HY10" s="535">
        <v>10.372199999999999</v>
      </c>
      <c r="HZ10" s="535">
        <v>10.035299999999999</v>
      </c>
      <c r="IA10" s="535">
        <v>10.3781</v>
      </c>
      <c r="IB10" s="535">
        <v>11.1296</v>
      </c>
      <c r="IC10" s="535">
        <v>12.7125</v>
      </c>
      <c r="ID10" s="535">
        <v>13.53</v>
      </c>
      <c r="IE10" s="516">
        <v>4</v>
      </c>
      <c r="IF10" s="536"/>
      <c r="IG10" s="536"/>
      <c r="IH10" s="516">
        <v>4</v>
      </c>
      <c r="II10" s="535">
        <v>10.781499999999999</v>
      </c>
      <c r="IJ10" s="535">
        <v>10.981999999999999</v>
      </c>
      <c r="IK10" s="535">
        <v>11.191700000000001</v>
      </c>
      <c r="IL10" s="535">
        <v>11.0336</v>
      </c>
      <c r="IM10" s="535">
        <v>10.9262</v>
      </c>
      <c r="IN10" s="535">
        <v>10.7445</v>
      </c>
      <c r="IO10" s="535">
        <v>10.7697</v>
      </c>
      <c r="IP10" s="535">
        <v>10.940200000000001</v>
      </c>
      <c r="IQ10" s="535">
        <v>11.037800000000001</v>
      </c>
      <c r="IR10" s="535">
        <v>10.920999999999999</v>
      </c>
      <c r="IS10" s="535">
        <v>10.702299999999999</v>
      </c>
      <c r="IT10" s="535">
        <v>10.896800000000001</v>
      </c>
      <c r="IU10" s="516">
        <v>4</v>
      </c>
      <c r="IV10" s="536"/>
      <c r="IW10" s="536"/>
      <c r="IX10" s="516">
        <v>4</v>
      </c>
      <c r="IY10" s="535">
        <v>10.625299999999999</v>
      </c>
      <c r="IZ10" s="535">
        <v>10.480499999999999</v>
      </c>
      <c r="JA10" s="535">
        <v>10.5113</v>
      </c>
      <c r="JB10" s="535">
        <v>10.8935</v>
      </c>
      <c r="JC10" s="535">
        <v>11.032299999999999</v>
      </c>
      <c r="JD10" s="535">
        <v>11.2843</v>
      </c>
      <c r="JE10" s="535">
        <v>11.2723</v>
      </c>
      <c r="JF10" s="535">
        <v>10.9537</v>
      </c>
      <c r="JG10" s="535">
        <v>10.903700000000001</v>
      </c>
      <c r="JH10" s="535">
        <v>10.9733</v>
      </c>
      <c r="JI10" s="535">
        <v>10.744899999999999</v>
      </c>
      <c r="JJ10" s="535">
        <v>10.9983</v>
      </c>
      <c r="JK10" s="516">
        <v>4</v>
      </c>
      <c r="JL10" s="536"/>
      <c r="JM10" s="536"/>
      <c r="JN10" s="516">
        <v>4</v>
      </c>
      <c r="JO10" s="535">
        <v>11.1495</v>
      </c>
      <c r="JP10" s="535">
        <v>11.167</v>
      </c>
      <c r="JQ10" s="535">
        <v>11.1073</v>
      </c>
      <c r="JR10" s="535">
        <v>11.1783</v>
      </c>
      <c r="JS10" s="535">
        <v>11.027100000000001</v>
      </c>
      <c r="JT10" s="535">
        <v>10.814399999999999</v>
      </c>
      <c r="JU10" s="535">
        <v>10.7752</v>
      </c>
      <c r="JV10" s="535">
        <v>10.5968</v>
      </c>
      <c r="JW10" s="535">
        <v>10.7234</v>
      </c>
      <c r="JX10" s="535">
        <v>10.790699999999999</v>
      </c>
      <c r="JY10" s="535">
        <v>10.7613</v>
      </c>
      <c r="JZ10" s="535">
        <v>10.524699999999999</v>
      </c>
      <c r="KA10" s="516">
        <v>4</v>
      </c>
      <c r="KB10" s="536"/>
      <c r="KC10" s="536"/>
      <c r="KD10" s="516">
        <v>4</v>
      </c>
      <c r="KE10" s="535">
        <v>11.2372</v>
      </c>
      <c r="KF10" s="535">
        <v>10.954499999999999</v>
      </c>
      <c r="KG10" s="535">
        <v>10.962300000000001</v>
      </c>
      <c r="KH10" s="535">
        <v>11.1828</v>
      </c>
      <c r="KI10" s="535">
        <v>11.4093</v>
      </c>
      <c r="KJ10" s="535">
        <v>11.426500000000001</v>
      </c>
      <c r="KK10" s="535">
        <v>11.4922</v>
      </c>
      <c r="KL10" s="535">
        <v>11.4253</v>
      </c>
      <c r="KM10" s="535">
        <v>11.4725</v>
      </c>
      <c r="KN10" s="535">
        <v>11.388400000000001</v>
      </c>
      <c r="KO10" s="535">
        <v>11.499700000000001</v>
      </c>
      <c r="KP10" s="535">
        <v>11.145300000000001</v>
      </c>
      <c r="KQ10" s="516">
        <v>4</v>
      </c>
      <c r="KR10" s="536"/>
      <c r="KS10" s="536"/>
      <c r="KT10" s="516">
        <v>4</v>
      </c>
      <c r="KU10" s="535">
        <v>10.3626</v>
      </c>
      <c r="KV10" s="535">
        <v>10.9069</v>
      </c>
      <c r="KW10" s="535">
        <v>11.032400000000001</v>
      </c>
      <c r="KX10" s="535">
        <v>10.6676</v>
      </c>
      <c r="KY10" s="535">
        <v>10.3</v>
      </c>
      <c r="KZ10" s="535">
        <v>10.2402</v>
      </c>
      <c r="LA10" s="535">
        <v>10.4779</v>
      </c>
      <c r="LB10" s="535">
        <v>10.5243</v>
      </c>
      <c r="LC10" s="535">
        <v>11.0313</v>
      </c>
      <c r="LD10" s="535">
        <v>11.160299999999999</v>
      </c>
      <c r="LE10" s="535">
        <v>11.0525</v>
      </c>
      <c r="LF10" s="535">
        <v>11.3535</v>
      </c>
      <c r="LG10" s="516">
        <v>4</v>
      </c>
      <c r="LH10" s="536"/>
      <c r="LI10" s="536"/>
      <c r="LJ10" s="516">
        <v>4</v>
      </c>
      <c r="LK10" s="535">
        <v>9.1036999999999999</v>
      </c>
      <c r="LL10" s="535">
        <v>9.1463000000000001</v>
      </c>
      <c r="LM10" s="535">
        <v>9.1303000000000001</v>
      </c>
      <c r="LN10" s="535">
        <v>8.9979999999999993</v>
      </c>
      <c r="LO10" s="535">
        <v>9.4169999999999998</v>
      </c>
      <c r="LP10" s="535">
        <v>9.6562000000000001</v>
      </c>
      <c r="LQ10" s="535">
        <v>9.9611999999999998</v>
      </c>
      <c r="LR10" s="535">
        <v>9.8768999999999991</v>
      </c>
      <c r="LS10" s="535">
        <v>9.9186999999999994</v>
      </c>
      <c r="LT10" s="535">
        <v>10.1248</v>
      </c>
      <c r="LU10" s="535">
        <v>10.155200000000001</v>
      </c>
      <c r="LV10" s="535">
        <v>10.1036</v>
      </c>
      <c r="LW10" s="516">
        <v>4</v>
      </c>
      <c r="LX10" s="536"/>
      <c r="LY10" s="536"/>
      <c r="LZ10" s="516">
        <v>4</v>
      </c>
      <c r="MA10" s="535">
        <v>9.7140000000000004</v>
      </c>
      <c r="MB10" s="535">
        <v>9.7327999999999992</v>
      </c>
      <c r="MC10" s="535">
        <v>9.7051999999999996</v>
      </c>
      <c r="MD10" s="535">
        <v>9.4152000000000005</v>
      </c>
      <c r="ME10" s="535">
        <v>9.2829999999999995</v>
      </c>
      <c r="MF10" s="535">
        <v>9.1835000000000004</v>
      </c>
      <c r="MG10" s="535">
        <v>9.0221</v>
      </c>
      <c r="MH10" s="535">
        <v>9.1698000000000004</v>
      </c>
      <c r="MI10" s="535">
        <v>9.1999999999999993</v>
      </c>
      <c r="MJ10" s="535">
        <v>9.5216999999999992</v>
      </c>
      <c r="MK10" s="535">
        <v>9.2891999999999992</v>
      </c>
      <c r="ML10" s="535">
        <v>9.2681000000000004</v>
      </c>
      <c r="MM10" s="516">
        <v>4</v>
      </c>
      <c r="MN10" s="536"/>
      <c r="MO10" s="536"/>
      <c r="MP10" s="516">
        <v>4</v>
      </c>
      <c r="MQ10" s="535">
        <v>9.4985999999999997</v>
      </c>
      <c r="MR10" s="535">
        <v>9.5724</v>
      </c>
      <c r="MS10" s="535">
        <v>9.3382000000000005</v>
      </c>
      <c r="MT10" s="535">
        <v>9.2844999999999995</v>
      </c>
      <c r="MU10" s="535">
        <v>9.3374000000000006</v>
      </c>
      <c r="MV10" s="535">
        <v>9.4987999999999992</v>
      </c>
      <c r="MW10" s="535">
        <v>9.8242999999999991</v>
      </c>
      <c r="MX10" s="535">
        <v>9.3461999999999996</v>
      </c>
      <c r="MY10" s="535">
        <v>9.1995000000000005</v>
      </c>
      <c r="MZ10" s="535">
        <v>9.4141999999999992</v>
      </c>
      <c r="NA10" s="535">
        <v>9.5823999999999998</v>
      </c>
      <c r="NB10" s="535">
        <v>9.3972999999999995</v>
      </c>
      <c r="NC10" s="516">
        <v>4</v>
      </c>
      <c r="ND10" s="536"/>
      <c r="NE10" s="536"/>
      <c r="NF10" s="516">
        <v>4</v>
      </c>
      <c r="NG10" s="535">
        <v>9.9395000000000007</v>
      </c>
      <c r="NH10" s="535">
        <v>10.0823</v>
      </c>
      <c r="NI10" s="535">
        <v>9.9527999999999999</v>
      </c>
      <c r="NJ10" s="535">
        <v>9.5375999999999994</v>
      </c>
      <c r="NK10" s="535">
        <v>9.2446999999999999</v>
      </c>
      <c r="NL10" s="535">
        <v>9.7652999999999999</v>
      </c>
      <c r="NM10" s="535">
        <v>9.3773</v>
      </c>
      <c r="NN10" s="535">
        <v>9.4057999999999993</v>
      </c>
      <c r="NO10" s="535">
        <v>9.3739000000000008</v>
      </c>
      <c r="NP10" s="535">
        <v>9.3483000000000001</v>
      </c>
      <c r="NQ10" s="535">
        <v>9.6207999999999991</v>
      </c>
      <c r="NR10" s="535">
        <v>9.5326000000000004</v>
      </c>
      <c r="NS10" s="516">
        <v>4</v>
      </c>
      <c r="NT10" s="536"/>
      <c r="NU10" s="536"/>
      <c r="NV10" s="516">
        <v>4</v>
      </c>
      <c r="NW10" s="535">
        <v>8.0680999999999994</v>
      </c>
      <c r="NX10" s="535">
        <v>8.4367000000000001</v>
      </c>
      <c r="NY10" s="535">
        <v>8.4956999999999994</v>
      </c>
      <c r="NZ10" s="535">
        <v>8.5213999999999999</v>
      </c>
      <c r="OA10" s="535">
        <v>8.5029000000000003</v>
      </c>
      <c r="OB10" s="535">
        <v>8.8818000000000001</v>
      </c>
      <c r="OC10" s="535">
        <v>8.9863</v>
      </c>
      <c r="OD10" s="535">
        <v>8.9215</v>
      </c>
      <c r="OE10" s="535">
        <v>9.9458000000000002</v>
      </c>
      <c r="OF10" s="535">
        <v>10.313700000000001</v>
      </c>
      <c r="OG10" s="535">
        <v>10.1137</v>
      </c>
      <c r="OH10" s="535">
        <v>9.9681999999999995</v>
      </c>
      <c r="OI10" s="516">
        <v>4</v>
      </c>
      <c r="OJ10" s="536"/>
      <c r="OK10" s="536"/>
      <c r="OL10" s="516">
        <v>4</v>
      </c>
      <c r="OM10" s="535">
        <v>7.9027000000000003</v>
      </c>
      <c r="ON10" s="535">
        <v>7.8216999999999999</v>
      </c>
      <c r="OO10" s="535">
        <v>7.9740000000000002</v>
      </c>
      <c r="OP10" s="535">
        <v>7.9248000000000003</v>
      </c>
      <c r="OQ10" s="535">
        <v>7.9519000000000002</v>
      </c>
      <c r="OR10" s="535">
        <v>7.9183000000000003</v>
      </c>
      <c r="OS10" s="535">
        <v>7.9394999999999998</v>
      </c>
      <c r="OT10" s="535">
        <v>7.8247999999999998</v>
      </c>
      <c r="OU10" s="535">
        <v>7.7770000000000001</v>
      </c>
      <c r="OV10" s="535">
        <v>7.7530000000000001</v>
      </c>
      <c r="OW10" s="535">
        <v>8.3682999999999996</v>
      </c>
      <c r="OX10" s="535">
        <v>8.1538000000000004</v>
      </c>
      <c r="OY10" s="516">
        <v>4</v>
      </c>
      <c r="OZ10" s="536"/>
      <c r="PA10" s="536"/>
      <c r="PB10" s="516">
        <v>4</v>
      </c>
      <c r="PC10" s="535">
        <v>7.6958000000000002</v>
      </c>
      <c r="PD10" s="535">
        <v>7.4169999999999998</v>
      </c>
      <c r="PE10" s="535">
        <v>7.6295999999999999</v>
      </c>
      <c r="PF10" s="535">
        <v>7.5110000000000001</v>
      </c>
      <c r="PG10" s="535">
        <v>7.4691999999999998</v>
      </c>
      <c r="PH10" s="535">
        <v>7.4207999999999998</v>
      </c>
      <c r="PI10" s="535">
        <v>7.5842000000000001</v>
      </c>
      <c r="PJ10" s="535">
        <v>7.5709</v>
      </c>
      <c r="PK10" s="535">
        <v>7.5490000000000004</v>
      </c>
      <c r="PL10" s="535">
        <v>7.5183</v>
      </c>
      <c r="PM10" s="535">
        <v>8.0478000000000005</v>
      </c>
      <c r="PN10" s="535">
        <v>7.8928000000000003</v>
      </c>
      <c r="PO10" s="516">
        <v>4</v>
      </c>
      <c r="PP10" s="536"/>
      <c r="PQ10" s="536"/>
      <c r="PR10" s="516">
        <v>4</v>
      </c>
      <c r="PS10" s="535">
        <v>5.27</v>
      </c>
      <c r="PT10" s="535">
        <v>5.4550000000000001</v>
      </c>
      <c r="PU10" s="535">
        <v>5.9625000000000004</v>
      </c>
      <c r="PV10" s="535">
        <v>6.8475000000000001</v>
      </c>
      <c r="PW10" s="535">
        <v>5.9566999999999997</v>
      </c>
      <c r="PX10" s="535">
        <v>6.2167000000000003</v>
      </c>
      <c r="PY10" s="535">
        <v>6.2607999999999997</v>
      </c>
      <c r="PZ10" s="535">
        <v>6.1143000000000001</v>
      </c>
      <c r="QA10" s="535">
        <v>6.28</v>
      </c>
      <c r="QB10" s="535">
        <v>6.4341999999999997</v>
      </c>
      <c r="QC10" s="535">
        <v>7.4032999999999998</v>
      </c>
      <c r="QD10" s="535">
        <v>7.5467000000000004</v>
      </c>
      <c r="QE10" s="516">
        <v>4</v>
      </c>
      <c r="QF10" s="536"/>
      <c r="QG10" s="536"/>
      <c r="QH10" s="516">
        <v>4</v>
      </c>
      <c r="QI10" s="535">
        <v>3.1071</v>
      </c>
      <c r="QJ10" s="535">
        <v>3.1053000000000002</v>
      </c>
      <c r="QK10" s="535">
        <v>3.2663000000000002</v>
      </c>
      <c r="QL10" s="535">
        <v>3.35</v>
      </c>
      <c r="QM10" s="535">
        <v>3.2747999999999999</v>
      </c>
      <c r="QN10" s="535">
        <v>3.3252999999999999</v>
      </c>
      <c r="QO10" s="535">
        <v>3.3938000000000001</v>
      </c>
      <c r="QP10" s="535">
        <v>3.3788999999999998</v>
      </c>
      <c r="QQ10" s="535">
        <v>3.3908</v>
      </c>
      <c r="QR10" s="535">
        <v>3.3982999999999999</v>
      </c>
      <c r="QS10" s="535">
        <v>3.4380999999999999</v>
      </c>
      <c r="QT10" s="535">
        <v>3.4386000000000001</v>
      </c>
      <c r="QU10" s="516">
        <v>4</v>
      </c>
      <c r="QV10" s="536"/>
      <c r="QW10" s="536"/>
      <c r="QX10" s="516">
        <v>4</v>
      </c>
      <c r="QY10" s="535">
        <v>3.1230000000000002</v>
      </c>
      <c r="QZ10" s="535">
        <v>3.0998999999999999</v>
      </c>
      <c r="RA10" s="535">
        <v>3.0939000000000001</v>
      </c>
      <c r="RB10" s="535">
        <v>3.0939999999999999</v>
      </c>
      <c r="RC10" s="535">
        <v>3.1139000000000001</v>
      </c>
      <c r="RD10" s="535">
        <v>3.1219000000000001</v>
      </c>
      <c r="RE10" s="535">
        <v>3.1292</v>
      </c>
      <c r="RF10" s="535">
        <v>3.1162000000000001</v>
      </c>
      <c r="RG10" s="535">
        <v>3.1139000000000001</v>
      </c>
      <c r="RH10" s="535">
        <v>3.1179000000000001</v>
      </c>
      <c r="RI10" s="535">
        <v>3.1259000000000001</v>
      </c>
      <c r="RJ10" s="535">
        <v>3.1036999999999999</v>
      </c>
      <c r="RK10" s="516">
        <v>4</v>
      </c>
      <c r="RL10" s="536"/>
      <c r="RM10" s="536"/>
      <c r="RN10" s="516">
        <v>4</v>
      </c>
      <c r="RO10" s="535">
        <v>3.0752999999999999</v>
      </c>
      <c r="RP10" s="535">
        <v>3.0672999999999999</v>
      </c>
      <c r="RQ10" s="535">
        <v>3.0611000000000002</v>
      </c>
      <c r="RR10" s="535">
        <v>3.0609000000000002</v>
      </c>
      <c r="RS10" s="535">
        <v>3.0794000000000001</v>
      </c>
      <c r="RT10" s="535">
        <v>3.1175999999999999</v>
      </c>
      <c r="RU10" s="535">
        <v>3.1204000000000001</v>
      </c>
      <c r="RV10" s="535">
        <v>3.1124000000000001</v>
      </c>
      <c r="RW10" s="535">
        <v>3.0693999999999999</v>
      </c>
      <c r="RX10" s="535">
        <v>3.1110000000000002</v>
      </c>
      <c r="RY10" s="535">
        <v>3.1255999999999999</v>
      </c>
      <c r="RZ10" s="535">
        <v>3.1160000000000001</v>
      </c>
      <c r="SA10" s="516">
        <v>4</v>
      </c>
      <c r="SB10" s="536"/>
      <c r="SC10" s="536"/>
      <c r="SD10" s="516">
        <v>4</v>
      </c>
      <c r="SE10" s="535">
        <v>2.9474</v>
      </c>
      <c r="SF10" s="535">
        <v>2.9590000000000001</v>
      </c>
      <c r="SG10" s="535">
        <v>2.9702000000000002</v>
      </c>
      <c r="SH10" s="535">
        <v>2.9834000000000001</v>
      </c>
      <c r="SI10" s="535">
        <v>2.9954000000000001</v>
      </c>
      <c r="SJ10" s="535">
        <v>3.0070000000000001</v>
      </c>
      <c r="SK10" s="535">
        <v>3.0198</v>
      </c>
      <c r="SL10" s="535">
        <v>3.0318000000000001</v>
      </c>
      <c r="SM10" s="535">
        <v>3.0446</v>
      </c>
      <c r="SN10" s="535">
        <v>3.0573999999999999</v>
      </c>
      <c r="SO10" s="535">
        <v>3.069</v>
      </c>
      <c r="SP10" s="535">
        <v>3.0661900000000002</v>
      </c>
      <c r="SQ10" s="516">
        <v>4</v>
      </c>
      <c r="SR10" s="536"/>
      <c r="SS10" s="536"/>
      <c r="ST10" s="516">
        <v>4</v>
      </c>
      <c r="SU10" s="535">
        <v>2.6459999999999999</v>
      </c>
      <c r="SV10" s="535">
        <v>2.6760000000000002</v>
      </c>
      <c r="SW10" s="535">
        <v>2.7040000000000002</v>
      </c>
      <c r="SX10" s="535">
        <v>2.7360000000000002</v>
      </c>
      <c r="SY10" s="535">
        <v>2.766</v>
      </c>
      <c r="SZ10" s="535">
        <v>2.7946</v>
      </c>
      <c r="TA10" s="535">
        <v>2.8201999999999998</v>
      </c>
      <c r="TB10" s="535">
        <v>2.8450000000000002</v>
      </c>
      <c r="TC10" s="535">
        <v>2.8681999999999999</v>
      </c>
      <c r="TD10" s="535">
        <v>2.8938000000000001</v>
      </c>
      <c r="TE10" s="535">
        <v>2.9178000000000002</v>
      </c>
      <c r="TF10" s="535">
        <v>2.9342000000000001</v>
      </c>
      <c r="TG10" s="516">
        <v>4</v>
      </c>
      <c r="TH10" s="536"/>
      <c r="TI10" s="536"/>
      <c r="TJ10" s="516">
        <v>4</v>
      </c>
      <c r="TK10" s="535">
        <v>2.2810000000000001</v>
      </c>
      <c r="TL10" s="535">
        <v>2.3119999999999998</v>
      </c>
      <c r="TM10" s="535">
        <v>2.34</v>
      </c>
      <c r="TN10" s="535">
        <v>2.3690000000000002</v>
      </c>
      <c r="TO10" s="535">
        <v>2.4009999999999998</v>
      </c>
      <c r="TP10" s="535">
        <v>2.431</v>
      </c>
      <c r="TQ10" s="535">
        <v>2.46</v>
      </c>
      <c r="TR10" s="535">
        <v>2.4929999999999999</v>
      </c>
      <c r="TS10" s="535">
        <v>2.5219999999999998</v>
      </c>
      <c r="TT10" s="535">
        <v>2.5539999999999998</v>
      </c>
      <c r="TU10" s="535">
        <v>2.585</v>
      </c>
      <c r="TV10" s="535">
        <v>2.613</v>
      </c>
      <c r="TW10" s="516">
        <v>4</v>
      </c>
    </row>
    <row r="11" spans="2:543" s="4" customFormat="1" ht="23" customHeight="1">
      <c r="B11" s="516">
        <v>5</v>
      </c>
      <c r="C11" s="549">
        <v>20.588999999999999</v>
      </c>
      <c r="D11" s="549">
        <v>20.5562</v>
      </c>
      <c r="E11" s="549">
        <v>20.703299999999999</v>
      </c>
      <c r="F11" s="549">
        <v>19.8432</v>
      </c>
      <c r="G11" s="549">
        <v>20.335000000000001</v>
      </c>
      <c r="H11" s="549">
        <v>19.558499999999999</v>
      </c>
      <c r="I11" s="549">
        <v>20.381699999999999</v>
      </c>
      <c r="J11" s="549">
        <v>20.630500000000001</v>
      </c>
      <c r="K11" s="549">
        <v>20.247299999999999</v>
      </c>
      <c r="L11" s="549">
        <v>20.000800000000002</v>
      </c>
      <c r="M11" s="662">
        <f t="shared" ref="M11:M36" si="9">+M10</f>
        <v>19.746300000000002</v>
      </c>
      <c r="N11" s="662">
        <f t="shared" si="8"/>
        <v>19.746300000000002</v>
      </c>
      <c r="O11" s="516">
        <v>5</v>
      </c>
      <c r="R11" s="516">
        <v>5</v>
      </c>
      <c r="S11" s="549">
        <v>19.9087</v>
      </c>
      <c r="T11" s="549">
        <v>20.1953</v>
      </c>
      <c r="U11" s="549">
        <v>20.895700000000001</v>
      </c>
      <c r="V11" s="549">
        <v>20.602499999999999</v>
      </c>
      <c r="W11" s="549">
        <v>20.190200000000001</v>
      </c>
      <c r="X11" s="549">
        <v>20.060500000000001</v>
      </c>
      <c r="Y11" s="549">
        <v>20.036799999999999</v>
      </c>
      <c r="Z11" s="549">
        <v>19.891999999999999</v>
      </c>
      <c r="AA11" s="549">
        <v>19.970300000000002</v>
      </c>
      <c r="AB11" s="549">
        <v>20.510300000000001</v>
      </c>
      <c r="AC11" s="549">
        <v>20.8352</v>
      </c>
      <c r="AD11" s="549">
        <v>21.3033</v>
      </c>
      <c r="AE11" s="516">
        <v>5</v>
      </c>
      <c r="AH11" s="516">
        <v>5</v>
      </c>
      <c r="AI11" s="549">
        <v>18.881699999999999</v>
      </c>
      <c r="AJ11" s="549">
        <v>18.908200000000001</v>
      </c>
      <c r="AK11" s="549">
        <v>19.2837</v>
      </c>
      <c r="AL11" s="549">
        <v>24.108699999999999</v>
      </c>
      <c r="AM11" s="549">
        <v>23.9283</v>
      </c>
      <c r="AN11" s="549">
        <v>21.604299999999999</v>
      </c>
      <c r="AO11" s="549">
        <v>22.522500000000001</v>
      </c>
      <c r="AP11" s="549">
        <v>22.614000000000001</v>
      </c>
      <c r="AQ11" s="549">
        <v>21.638300000000001</v>
      </c>
      <c r="AR11" s="549">
        <v>21.956199999999999</v>
      </c>
      <c r="AS11" s="549">
        <v>21.1555</v>
      </c>
      <c r="AT11" s="549">
        <v>19.908300000000001</v>
      </c>
      <c r="AU11" s="516">
        <v>5</v>
      </c>
      <c r="AX11" s="516">
        <v>5</v>
      </c>
      <c r="AY11" s="535">
        <v>19.607299999999999</v>
      </c>
      <c r="AZ11" s="535">
        <v>19.038799999999998</v>
      </c>
      <c r="BA11" s="535">
        <v>19.297799999999999</v>
      </c>
      <c r="BB11" s="535">
        <v>19.180499999999999</v>
      </c>
      <c r="BC11" s="535">
        <v>19.101400000000002</v>
      </c>
      <c r="BD11" s="535">
        <v>19.760899999999999</v>
      </c>
      <c r="BE11" s="535">
        <v>19.0502</v>
      </c>
      <c r="BF11" s="535">
        <v>19.162700000000001</v>
      </c>
      <c r="BG11" s="535">
        <v>20.003900000000002</v>
      </c>
      <c r="BH11" s="535">
        <v>19.736799999999999</v>
      </c>
      <c r="BI11" s="535">
        <v>19.105799999999999</v>
      </c>
      <c r="BJ11" s="535">
        <v>19.567799999999998</v>
      </c>
      <c r="BK11" s="516">
        <v>5</v>
      </c>
      <c r="BN11" s="516">
        <v>5</v>
      </c>
      <c r="BO11" s="535">
        <v>19.371700000000001</v>
      </c>
      <c r="BP11" s="535">
        <v>18.400400000000001</v>
      </c>
      <c r="BQ11" s="537">
        <v>18.861000000000001</v>
      </c>
      <c r="BR11" s="535">
        <v>18.2044</v>
      </c>
      <c r="BS11" s="535">
        <v>19.122299999999999</v>
      </c>
      <c r="BT11" s="535">
        <v>19.866199999999999</v>
      </c>
      <c r="BU11" s="535">
        <v>19.5974</v>
      </c>
      <c r="BV11" s="535">
        <v>18.634899999999998</v>
      </c>
      <c r="BW11" s="535">
        <v>19.213699999999999</v>
      </c>
      <c r="BX11" s="535">
        <v>18.801400000000001</v>
      </c>
      <c r="BY11" s="535">
        <v>20.317699999999999</v>
      </c>
      <c r="BZ11" s="535">
        <v>20.2346</v>
      </c>
      <c r="CA11" s="516">
        <v>5</v>
      </c>
      <c r="CD11" s="516">
        <v>5</v>
      </c>
      <c r="CE11" s="535">
        <v>20.852</v>
      </c>
      <c r="CF11" s="535">
        <v>20.575700000000001</v>
      </c>
      <c r="CG11" s="535">
        <v>19.9373</v>
      </c>
      <c r="CH11" s="535">
        <v>18.731999999999999</v>
      </c>
      <c r="CI11" s="535">
        <v>18.803100000000001</v>
      </c>
      <c r="CJ11" s="535">
        <v>18.594100000000001</v>
      </c>
      <c r="CK11" s="535">
        <v>18.206399999999999</v>
      </c>
      <c r="CL11" s="535">
        <v>17.8733</v>
      </c>
      <c r="CM11" s="535">
        <v>17.786100000000001</v>
      </c>
      <c r="CN11" s="535">
        <v>18.211300000000001</v>
      </c>
      <c r="CO11" s="535">
        <v>19.124099999999999</v>
      </c>
      <c r="CP11" s="535">
        <v>18.639900000000001</v>
      </c>
      <c r="CQ11" s="516">
        <v>5</v>
      </c>
      <c r="CT11" s="516">
        <v>5</v>
      </c>
      <c r="CU11" s="535">
        <v>17.248699999999999</v>
      </c>
      <c r="CV11" s="535">
        <v>18.453700000000001</v>
      </c>
      <c r="CW11" s="535">
        <v>17.897099999999998</v>
      </c>
      <c r="CX11" s="535">
        <v>17.3338</v>
      </c>
      <c r="CY11" s="535">
        <v>17.523399999999999</v>
      </c>
      <c r="CZ11" s="535">
        <v>18.6097</v>
      </c>
      <c r="DA11" s="535">
        <v>18.309000000000001</v>
      </c>
      <c r="DB11" s="535">
        <v>18.9117</v>
      </c>
      <c r="DC11" s="535">
        <v>18.8523</v>
      </c>
      <c r="DD11" s="535">
        <v>19.321100000000001</v>
      </c>
      <c r="DE11" s="535">
        <v>19.2014</v>
      </c>
      <c r="DF11" s="535">
        <v>20.748799999999999</v>
      </c>
      <c r="DG11" s="516">
        <v>5</v>
      </c>
      <c r="DJ11" s="516">
        <v>5</v>
      </c>
      <c r="DK11" s="535">
        <v>14.741400000000001</v>
      </c>
      <c r="DL11" s="535">
        <v>14.756600000000001</v>
      </c>
      <c r="DM11" s="535">
        <v>14.9544</v>
      </c>
      <c r="DN11" s="535">
        <v>15.264699999999999</v>
      </c>
      <c r="DO11" s="535">
        <v>15.3714</v>
      </c>
      <c r="DP11" s="535">
        <v>15.4833</v>
      </c>
      <c r="DQ11" s="535">
        <v>15.7829</v>
      </c>
      <c r="DR11" s="535">
        <v>16.1129</v>
      </c>
      <c r="DS11" s="535">
        <v>16.944400000000002</v>
      </c>
      <c r="DT11" s="535">
        <v>16.8566</v>
      </c>
      <c r="DU11" s="535">
        <v>16.419599999999999</v>
      </c>
      <c r="DV11" s="535">
        <v>16.709499999999998</v>
      </c>
      <c r="DW11" s="516">
        <v>5</v>
      </c>
      <c r="DZ11" s="516">
        <v>5</v>
      </c>
      <c r="EA11" s="535">
        <v>13.101100000000001</v>
      </c>
      <c r="EB11" s="535">
        <v>13.376899999999999</v>
      </c>
      <c r="EC11" s="535">
        <v>13.3201</v>
      </c>
      <c r="ED11" s="535">
        <v>13.132400000000001</v>
      </c>
      <c r="EE11" s="535">
        <v>13.0901</v>
      </c>
      <c r="EF11" s="535">
        <v>12.944699999999999</v>
      </c>
      <c r="EG11" s="535">
        <v>12.982900000000001</v>
      </c>
      <c r="EH11" s="535">
        <v>13.193199999999999</v>
      </c>
      <c r="EI11" s="535">
        <v>13.0892</v>
      </c>
      <c r="EJ11" s="535">
        <v>13.4026</v>
      </c>
      <c r="EK11" s="535">
        <v>13.5503</v>
      </c>
      <c r="EL11" s="535">
        <v>14.091799999999999</v>
      </c>
      <c r="EM11" s="516">
        <v>5</v>
      </c>
      <c r="EP11" s="516">
        <v>5</v>
      </c>
      <c r="EQ11" s="535">
        <v>12.743</v>
      </c>
      <c r="ER11" s="535">
        <v>12.7094</v>
      </c>
      <c r="ES11" s="535">
        <v>12.8012</v>
      </c>
      <c r="ET11" s="535">
        <v>12.326599999999999</v>
      </c>
      <c r="EU11" s="535">
        <v>12.175599999999999</v>
      </c>
      <c r="EV11" s="535">
        <v>12.7882</v>
      </c>
      <c r="EW11" s="535">
        <v>13.037699999999999</v>
      </c>
      <c r="EX11" s="535">
        <v>12.806800000000001</v>
      </c>
      <c r="EY11" s="535">
        <v>13.439399999999999</v>
      </c>
      <c r="EZ11" s="535">
        <v>13.266299999999999</v>
      </c>
      <c r="FA11" s="535">
        <v>13.078900000000001</v>
      </c>
      <c r="FB11" s="535">
        <v>13.2372</v>
      </c>
      <c r="FC11" s="516">
        <v>5</v>
      </c>
      <c r="FF11" s="516">
        <v>5</v>
      </c>
      <c r="FG11" s="535">
        <v>13.6882</v>
      </c>
      <c r="FH11" s="535">
        <v>12.803800000000001</v>
      </c>
      <c r="FI11" s="535">
        <v>12.776400000000001</v>
      </c>
      <c r="FJ11" s="535">
        <v>12.7317</v>
      </c>
      <c r="FK11" s="535">
        <v>12.9725</v>
      </c>
      <c r="FL11" s="535">
        <v>14.3949</v>
      </c>
      <c r="FM11" s="535">
        <v>13.317399999999999</v>
      </c>
      <c r="FN11" s="535">
        <v>13.3927</v>
      </c>
      <c r="FO11" s="535">
        <v>13.191000000000001</v>
      </c>
      <c r="FP11" s="535">
        <v>12.8528</v>
      </c>
      <c r="FQ11" s="535">
        <v>13.091100000000001</v>
      </c>
      <c r="FR11" s="535">
        <v>12.9335</v>
      </c>
      <c r="FS11" s="516">
        <v>5</v>
      </c>
      <c r="FV11" s="516">
        <v>5</v>
      </c>
      <c r="FW11" s="535">
        <v>12.257400000000001</v>
      </c>
      <c r="FX11" s="535">
        <v>12.049899999999999</v>
      </c>
      <c r="FY11" s="535">
        <v>12.036799999999999</v>
      </c>
      <c r="FZ11" s="535">
        <v>11.841200000000001</v>
      </c>
      <c r="GA11" s="535">
        <v>11.5665</v>
      </c>
      <c r="GB11" s="535">
        <v>11.6739</v>
      </c>
      <c r="GC11" s="535">
        <v>11.636799999999999</v>
      </c>
      <c r="GD11" s="535">
        <v>11.847300000000001</v>
      </c>
      <c r="GE11" s="535">
        <v>12.2616</v>
      </c>
      <c r="GF11" s="535">
        <v>13.896699999999999</v>
      </c>
      <c r="GG11" s="535">
        <v>13.412800000000001</v>
      </c>
      <c r="GH11" s="535">
        <v>13.589399999999999</v>
      </c>
      <c r="GI11" s="516">
        <v>5</v>
      </c>
      <c r="GL11" s="516">
        <v>5</v>
      </c>
      <c r="GM11" s="535">
        <v>13.065899999999999</v>
      </c>
      <c r="GN11" s="535">
        <v>12.939500000000001</v>
      </c>
      <c r="GO11" s="535">
        <v>12.69</v>
      </c>
      <c r="GP11" s="535">
        <v>12.4145</v>
      </c>
      <c r="GQ11" s="535">
        <v>12.2605</v>
      </c>
      <c r="GR11" s="535">
        <v>12.7644</v>
      </c>
      <c r="GS11" s="535">
        <v>13.032500000000001</v>
      </c>
      <c r="GT11" s="535">
        <v>12.604799999999999</v>
      </c>
      <c r="GU11" s="535">
        <v>13.055</v>
      </c>
      <c r="GV11" s="535">
        <v>12.5511</v>
      </c>
      <c r="GW11" s="535">
        <v>12.3041</v>
      </c>
      <c r="GX11" s="535">
        <v>12.3546</v>
      </c>
      <c r="GY11" s="516">
        <v>5</v>
      </c>
      <c r="HB11" s="516">
        <v>5</v>
      </c>
      <c r="HC11" s="535">
        <v>13.8325</v>
      </c>
      <c r="HD11" s="535">
        <v>14.5404</v>
      </c>
      <c r="HE11" s="535">
        <v>15.337199999999999</v>
      </c>
      <c r="HF11" s="535">
        <v>13.792400000000001</v>
      </c>
      <c r="HG11" s="535">
        <v>13.8443</v>
      </c>
      <c r="HH11" s="535">
        <v>13.3172</v>
      </c>
      <c r="HI11" s="535">
        <v>13.169499999999999</v>
      </c>
      <c r="HJ11" s="535">
        <v>13.129300000000001</v>
      </c>
      <c r="HK11" s="535">
        <v>13.5898</v>
      </c>
      <c r="HL11" s="535">
        <v>13.6242</v>
      </c>
      <c r="HM11" s="535">
        <v>13.290800000000001</v>
      </c>
      <c r="HN11" s="535">
        <v>12.665800000000001</v>
      </c>
      <c r="HO11" s="516">
        <v>5</v>
      </c>
      <c r="HP11" s="536"/>
      <c r="HQ11" s="536"/>
      <c r="HR11" s="516">
        <v>5</v>
      </c>
      <c r="HS11" s="535">
        <v>10.8842</v>
      </c>
      <c r="HT11" s="535">
        <v>10.8262</v>
      </c>
      <c r="HU11" s="535">
        <v>10.704599999999999</v>
      </c>
      <c r="HV11" s="535">
        <v>10.564399999999999</v>
      </c>
      <c r="HW11" s="535">
        <v>10.509499999999999</v>
      </c>
      <c r="HX11" s="535">
        <v>10.299200000000001</v>
      </c>
      <c r="HY11" s="535">
        <v>10.369199999999999</v>
      </c>
      <c r="HZ11" s="535">
        <v>9.9704999999999995</v>
      </c>
      <c r="IA11" s="535">
        <v>10.385199999999999</v>
      </c>
      <c r="IB11" s="535">
        <v>11.1296</v>
      </c>
      <c r="IC11" s="535">
        <v>12.7875</v>
      </c>
      <c r="ID11" s="535">
        <v>13.599600000000001</v>
      </c>
      <c r="IE11" s="516">
        <v>5</v>
      </c>
      <c r="IF11" s="536"/>
      <c r="IG11" s="536"/>
      <c r="IH11" s="516">
        <v>5</v>
      </c>
      <c r="II11" s="535">
        <v>10.770799999999999</v>
      </c>
      <c r="IJ11" s="535">
        <v>10.981999999999999</v>
      </c>
      <c r="IK11" s="535">
        <v>11.191700000000001</v>
      </c>
      <c r="IL11" s="535">
        <v>10.979699999999999</v>
      </c>
      <c r="IM11" s="535">
        <v>10.901999999999999</v>
      </c>
      <c r="IN11" s="535">
        <v>10.713100000000001</v>
      </c>
      <c r="IO11" s="535">
        <v>10.7698</v>
      </c>
      <c r="IP11" s="535">
        <v>10.940200000000001</v>
      </c>
      <c r="IQ11" s="535">
        <v>11.0169</v>
      </c>
      <c r="IR11" s="535">
        <v>10.868499999999999</v>
      </c>
      <c r="IS11" s="535">
        <v>10.702299999999999</v>
      </c>
      <c r="IT11" s="535">
        <v>10.9124</v>
      </c>
      <c r="IU11" s="516">
        <v>5</v>
      </c>
      <c r="IV11" s="536"/>
      <c r="IW11" s="536"/>
      <c r="IX11" s="516">
        <v>5</v>
      </c>
      <c r="IY11" s="535">
        <v>10.6455</v>
      </c>
      <c r="IZ11" s="535">
        <v>10.480499999999999</v>
      </c>
      <c r="JA11" s="535">
        <v>10.5113</v>
      </c>
      <c r="JB11" s="535">
        <v>10.871700000000001</v>
      </c>
      <c r="JC11" s="535">
        <v>10.960800000000001</v>
      </c>
      <c r="JD11" s="535">
        <v>11.2843</v>
      </c>
      <c r="JE11" s="535">
        <v>11.1302</v>
      </c>
      <c r="JF11" s="535">
        <v>10.9802</v>
      </c>
      <c r="JG11" s="535">
        <v>10.895200000000001</v>
      </c>
      <c r="JH11" s="535">
        <v>11.0404</v>
      </c>
      <c r="JI11" s="535">
        <v>10.744899999999999</v>
      </c>
      <c r="JJ11" s="535">
        <v>10.9975</v>
      </c>
      <c r="JK11" s="516">
        <v>5</v>
      </c>
      <c r="JL11" s="536"/>
      <c r="JM11" s="536"/>
      <c r="JN11" s="516">
        <v>5</v>
      </c>
      <c r="JO11" s="535">
        <v>11.200699999999999</v>
      </c>
      <c r="JP11" s="535">
        <v>11.1683</v>
      </c>
      <c r="JQ11" s="535">
        <v>11.0837</v>
      </c>
      <c r="JR11" s="535">
        <v>11.189299999999999</v>
      </c>
      <c r="JS11" s="535">
        <v>11.0284</v>
      </c>
      <c r="JT11" s="535">
        <v>10.814399999999999</v>
      </c>
      <c r="JU11" s="535">
        <v>10.732699999999999</v>
      </c>
      <c r="JV11" s="535">
        <v>10.613799999999999</v>
      </c>
      <c r="JW11" s="535">
        <v>10.7234</v>
      </c>
      <c r="JX11" s="535">
        <v>10.7683</v>
      </c>
      <c r="JY11" s="535">
        <v>10.7218</v>
      </c>
      <c r="JZ11" s="535">
        <v>10.524699999999999</v>
      </c>
      <c r="KA11" s="516">
        <v>5</v>
      </c>
      <c r="KB11" s="536"/>
      <c r="KC11" s="536"/>
      <c r="KD11" s="516">
        <v>5</v>
      </c>
      <c r="KE11" s="535">
        <v>11.2372</v>
      </c>
      <c r="KF11" s="535">
        <v>11.082000000000001</v>
      </c>
      <c r="KG11" s="535">
        <v>11.030099999999999</v>
      </c>
      <c r="KH11" s="535">
        <v>11.1828</v>
      </c>
      <c r="KI11" s="535">
        <v>11.430999999999999</v>
      </c>
      <c r="KJ11" s="535">
        <v>11.4373</v>
      </c>
      <c r="KK11" s="535">
        <v>11.4922</v>
      </c>
      <c r="KL11" s="535">
        <v>11.405200000000001</v>
      </c>
      <c r="KM11" s="535">
        <v>11.4725</v>
      </c>
      <c r="KN11" s="535">
        <v>11.350300000000001</v>
      </c>
      <c r="KO11" s="535">
        <v>11.424799999999999</v>
      </c>
      <c r="KP11" s="535">
        <v>11.145300000000001</v>
      </c>
      <c r="KQ11" s="516">
        <v>5</v>
      </c>
      <c r="KR11" s="536"/>
      <c r="KS11" s="536"/>
      <c r="KT11" s="516">
        <v>5</v>
      </c>
      <c r="KU11" s="535">
        <v>10.3626</v>
      </c>
      <c r="KV11" s="535">
        <v>10.8833</v>
      </c>
      <c r="KW11" s="535">
        <v>10.9902</v>
      </c>
      <c r="KX11" s="535">
        <v>10.661899999999999</v>
      </c>
      <c r="KY11" s="535">
        <v>10.3</v>
      </c>
      <c r="KZ11" s="535">
        <v>10.2598</v>
      </c>
      <c r="LA11" s="535">
        <v>10.446999999999999</v>
      </c>
      <c r="LB11" s="535">
        <v>10.5997</v>
      </c>
      <c r="LC11" s="535">
        <v>10.938599999999999</v>
      </c>
      <c r="LD11" s="535">
        <v>11.160299999999999</v>
      </c>
      <c r="LE11" s="535">
        <v>10.988099999999999</v>
      </c>
      <c r="LF11" s="535">
        <v>11.249599999999999</v>
      </c>
      <c r="LG11" s="516">
        <v>5</v>
      </c>
      <c r="LH11" s="536"/>
      <c r="LI11" s="536"/>
      <c r="LJ11" s="516">
        <v>5</v>
      </c>
      <c r="LK11" s="535">
        <v>9.1142000000000003</v>
      </c>
      <c r="LL11" s="535">
        <v>9.1544000000000008</v>
      </c>
      <c r="LM11" s="535">
        <v>9.0957000000000008</v>
      </c>
      <c r="LN11" s="535">
        <v>9.0397999999999996</v>
      </c>
      <c r="LO11" s="535">
        <v>9.4169999999999998</v>
      </c>
      <c r="LP11" s="535">
        <v>9.6397999999999993</v>
      </c>
      <c r="LQ11" s="535">
        <v>9.9670000000000005</v>
      </c>
      <c r="LR11" s="535">
        <v>9.8768999999999991</v>
      </c>
      <c r="LS11" s="535">
        <v>9.9788999999999994</v>
      </c>
      <c r="LT11" s="535">
        <v>10.139799999999999</v>
      </c>
      <c r="LU11" s="535">
        <v>10.199199999999999</v>
      </c>
      <c r="LV11" s="535">
        <v>10.142099999999999</v>
      </c>
      <c r="LW11" s="516">
        <v>5</v>
      </c>
      <c r="LX11" s="536"/>
      <c r="LY11" s="536"/>
      <c r="LZ11" s="516">
        <v>5</v>
      </c>
      <c r="MA11" s="535">
        <v>9.8339999999999996</v>
      </c>
      <c r="MB11" s="535">
        <v>9.7327999999999992</v>
      </c>
      <c r="MC11" s="535">
        <v>9.7051999999999996</v>
      </c>
      <c r="MD11" s="535">
        <v>9.3914000000000009</v>
      </c>
      <c r="ME11" s="535">
        <v>9.2873000000000001</v>
      </c>
      <c r="MF11" s="535">
        <v>9.1735000000000007</v>
      </c>
      <c r="MG11" s="535">
        <v>9.0258000000000003</v>
      </c>
      <c r="MH11" s="535">
        <v>9.1698000000000004</v>
      </c>
      <c r="MI11" s="535">
        <v>9.1936</v>
      </c>
      <c r="MJ11" s="535">
        <v>9.5273000000000003</v>
      </c>
      <c r="MK11" s="535">
        <v>9.2891999999999992</v>
      </c>
      <c r="ML11" s="535">
        <v>9.2050000000000001</v>
      </c>
      <c r="MM11" s="516">
        <v>5</v>
      </c>
      <c r="MN11" s="536"/>
      <c r="MO11" s="536"/>
      <c r="MP11" s="516">
        <v>5</v>
      </c>
      <c r="MQ11" s="535">
        <v>9.3948999999999998</v>
      </c>
      <c r="MR11" s="535">
        <v>9.5010999999999992</v>
      </c>
      <c r="MS11" s="535">
        <v>9.3382000000000005</v>
      </c>
      <c r="MT11" s="535">
        <v>9.2760999999999996</v>
      </c>
      <c r="MU11" s="535">
        <v>9.3848000000000003</v>
      </c>
      <c r="MV11" s="535">
        <v>9.4987999999999992</v>
      </c>
      <c r="MW11" s="535">
        <v>9.5460999999999991</v>
      </c>
      <c r="MX11" s="535">
        <v>9.3880999999999997</v>
      </c>
      <c r="MY11" s="535">
        <v>9.2013999999999996</v>
      </c>
      <c r="MZ11" s="535">
        <v>9.4014000000000006</v>
      </c>
      <c r="NA11" s="535">
        <v>9.5823999999999998</v>
      </c>
      <c r="NB11" s="535">
        <v>9.4154999999999998</v>
      </c>
      <c r="NC11" s="516">
        <v>5</v>
      </c>
      <c r="ND11" s="536"/>
      <c r="NE11" s="536"/>
      <c r="NF11" s="516">
        <v>5</v>
      </c>
      <c r="NG11" s="535">
        <v>9.8963000000000001</v>
      </c>
      <c r="NH11" s="535">
        <v>10.113799999999999</v>
      </c>
      <c r="NI11" s="535">
        <v>9.9641000000000002</v>
      </c>
      <c r="NJ11" s="535">
        <v>9.5375999999999994</v>
      </c>
      <c r="NK11" s="535">
        <v>9.2689000000000004</v>
      </c>
      <c r="NL11" s="535">
        <v>9.6545000000000005</v>
      </c>
      <c r="NM11" s="535">
        <v>9.3773</v>
      </c>
      <c r="NN11" s="535">
        <v>9.4551999999999996</v>
      </c>
      <c r="NO11" s="535">
        <v>9.3739000000000008</v>
      </c>
      <c r="NP11" s="535">
        <v>9.4062999999999999</v>
      </c>
      <c r="NQ11" s="535">
        <v>9.5551999999999992</v>
      </c>
      <c r="NR11" s="535">
        <v>9.5326000000000004</v>
      </c>
      <c r="NS11" s="516">
        <v>5</v>
      </c>
      <c r="NT11" s="536"/>
      <c r="NU11" s="536"/>
      <c r="NV11" s="516">
        <v>5</v>
      </c>
      <c r="NW11" s="535">
        <v>8.0680999999999994</v>
      </c>
      <c r="NX11" s="535">
        <v>8.4322999999999997</v>
      </c>
      <c r="NY11" s="535">
        <v>8.5347000000000008</v>
      </c>
      <c r="NZ11" s="535">
        <v>8.5213999999999999</v>
      </c>
      <c r="OA11" s="535">
        <v>8.4898000000000007</v>
      </c>
      <c r="OB11" s="535">
        <v>8.7957999999999998</v>
      </c>
      <c r="OC11" s="535">
        <v>8.9863</v>
      </c>
      <c r="OD11" s="535">
        <v>8.9544999999999995</v>
      </c>
      <c r="OE11" s="535">
        <v>10.107200000000001</v>
      </c>
      <c r="OF11" s="535">
        <v>10.313700000000001</v>
      </c>
      <c r="OG11" s="535">
        <v>10.0312</v>
      </c>
      <c r="OH11" s="535">
        <v>9.9876000000000005</v>
      </c>
      <c r="OI11" s="516">
        <v>5</v>
      </c>
      <c r="OJ11" s="536"/>
      <c r="OK11" s="536"/>
      <c r="OL11" s="516">
        <v>5</v>
      </c>
      <c r="OM11" s="535">
        <v>7.9027000000000003</v>
      </c>
      <c r="ON11" s="535">
        <v>7.8182999999999998</v>
      </c>
      <c r="OO11" s="535">
        <v>8.0116999999999994</v>
      </c>
      <c r="OP11" s="535">
        <v>7.9720000000000004</v>
      </c>
      <c r="OQ11" s="535">
        <v>7.9519000000000002</v>
      </c>
      <c r="OR11" s="535">
        <v>7.9118000000000004</v>
      </c>
      <c r="OS11" s="535">
        <v>7.9497</v>
      </c>
      <c r="OT11" s="535">
        <v>7.8243999999999998</v>
      </c>
      <c r="OU11" s="535">
        <v>7.7686999999999999</v>
      </c>
      <c r="OV11" s="535">
        <v>7.7530000000000001</v>
      </c>
      <c r="OW11" s="535">
        <v>8.2367000000000008</v>
      </c>
      <c r="OX11" s="535">
        <v>8.1305999999999994</v>
      </c>
      <c r="OY11" s="516">
        <v>5</v>
      </c>
      <c r="OZ11" s="536"/>
      <c r="PA11" s="536"/>
      <c r="PB11" s="516">
        <v>5</v>
      </c>
      <c r="PC11" s="535">
        <v>7.5595999999999997</v>
      </c>
      <c r="PD11" s="535">
        <v>7.4169999999999998</v>
      </c>
      <c r="PE11" s="535">
        <v>7.5891000000000002</v>
      </c>
      <c r="PF11" s="535">
        <v>7.5110000000000001</v>
      </c>
      <c r="PG11" s="535">
        <v>7.4691999999999998</v>
      </c>
      <c r="PH11" s="535">
        <v>7.4747000000000003</v>
      </c>
      <c r="PI11" s="535">
        <v>7.5925000000000002</v>
      </c>
      <c r="PJ11" s="535">
        <v>7.5709</v>
      </c>
      <c r="PK11" s="535">
        <v>7.5827999999999998</v>
      </c>
      <c r="PL11" s="535">
        <v>7.5301999999999998</v>
      </c>
      <c r="PM11" s="535">
        <v>7.9653</v>
      </c>
      <c r="PN11" s="535">
        <v>7.8787000000000003</v>
      </c>
      <c r="PO11" s="516">
        <v>5</v>
      </c>
      <c r="PP11" s="536"/>
      <c r="PQ11" s="536"/>
      <c r="PR11" s="516">
        <v>5</v>
      </c>
      <c r="PS11" s="535">
        <v>5.5</v>
      </c>
      <c r="PT11" s="535">
        <v>5.4550000000000001</v>
      </c>
      <c r="PU11" s="535">
        <v>5.9625000000000004</v>
      </c>
      <c r="PV11" s="535">
        <v>6.8025000000000002</v>
      </c>
      <c r="PW11" s="535">
        <v>5.8692000000000002</v>
      </c>
      <c r="PX11" s="535">
        <v>6.2167000000000003</v>
      </c>
      <c r="PY11" s="535">
        <v>6.2424999999999997</v>
      </c>
      <c r="PZ11" s="535">
        <v>6.1257999999999999</v>
      </c>
      <c r="QA11" s="535">
        <v>6.2763</v>
      </c>
      <c r="QB11" s="535">
        <v>6.5883000000000003</v>
      </c>
      <c r="QC11" s="535">
        <v>7.4032999999999998</v>
      </c>
      <c r="QD11" s="535">
        <v>7.5766999999999998</v>
      </c>
      <c r="QE11" s="516">
        <v>5</v>
      </c>
      <c r="QF11" s="536"/>
      <c r="QG11" s="536"/>
      <c r="QH11" s="516">
        <v>5</v>
      </c>
      <c r="QI11" s="535">
        <v>3.1074999999999999</v>
      </c>
      <c r="QJ11" s="535">
        <v>3.1055999999999999</v>
      </c>
      <c r="QK11" s="535">
        <v>3.2513000000000001</v>
      </c>
      <c r="QL11" s="535">
        <v>3.3605999999999998</v>
      </c>
      <c r="QM11" s="535">
        <v>3.3144999999999998</v>
      </c>
      <c r="QN11" s="535">
        <v>3.3252999999999999</v>
      </c>
      <c r="QO11" s="535">
        <v>3.3944999999999999</v>
      </c>
      <c r="QP11" s="535">
        <v>3.3753000000000002</v>
      </c>
      <c r="QQ11" s="535">
        <v>3.3908</v>
      </c>
      <c r="QR11" s="535">
        <v>3.3984000000000001</v>
      </c>
      <c r="QS11" s="535">
        <v>3.4350000000000001</v>
      </c>
      <c r="QT11" s="535">
        <v>3.4386000000000001</v>
      </c>
      <c r="QU11" s="516">
        <v>5</v>
      </c>
      <c r="QV11" s="536"/>
      <c r="QW11" s="536"/>
      <c r="QX11" s="516">
        <v>5</v>
      </c>
      <c r="QY11" s="535">
        <v>3.1208999999999998</v>
      </c>
      <c r="QZ11" s="535">
        <v>3.1017000000000001</v>
      </c>
      <c r="RA11" s="535">
        <v>3.0948000000000002</v>
      </c>
      <c r="RB11" s="535">
        <v>3.0939999999999999</v>
      </c>
      <c r="RC11" s="535">
        <v>3.1078999999999999</v>
      </c>
      <c r="RD11" s="535">
        <v>3.125</v>
      </c>
      <c r="RE11" s="535">
        <v>3.1292</v>
      </c>
      <c r="RF11" s="535">
        <v>3.1107</v>
      </c>
      <c r="RG11" s="535">
        <v>3.1139000000000001</v>
      </c>
      <c r="RH11" s="535">
        <v>3.1162999999999998</v>
      </c>
      <c r="RI11" s="535">
        <v>3.1480999999999999</v>
      </c>
      <c r="RJ11" s="535">
        <v>3.1036999999999999</v>
      </c>
      <c r="RK11" s="516">
        <v>5</v>
      </c>
      <c r="RL11" s="536"/>
      <c r="RM11" s="536"/>
      <c r="RN11" s="516">
        <v>5</v>
      </c>
      <c r="RO11" s="535">
        <v>3.0752999999999999</v>
      </c>
      <c r="RP11" s="535">
        <v>3.0655999999999999</v>
      </c>
      <c r="RQ11" s="535">
        <v>3.0625</v>
      </c>
      <c r="RR11" s="535">
        <v>3.0609000000000002</v>
      </c>
      <c r="RS11" s="535">
        <v>3.0785999999999998</v>
      </c>
      <c r="RT11" s="535">
        <v>3.1185</v>
      </c>
      <c r="RU11" s="535">
        <v>3.1204000000000001</v>
      </c>
      <c r="RV11" s="535">
        <v>3.1093999999999999</v>
      </c>
      <c r="RW11" s="535">
        <v>3.0699000000000001</v>
      </c>
      <c r="RX11" s="535">
        <v>3.1110000000000002</v>
      </c>
      <c r="RY11" s="535">
        <v>3.1257999999999999</v>
      </c>
      <c r="RZ11" s="535">
        <v>3.1139000000000001</v>
      </c>
      <c r="SA11" s="516">
        <v>5</v>
      </c>
      <c r="SB11" s="536"/>
      <c r="SC11" s="536"/>
      <c r="SD11" s="516">
        <v>5</v>
      </c>
      <c r="SE11" s="535">
        <v>2.9478</v>
      </c>
      <c r="SF11" s="535">
        <v>2.9594</v>
      </c>
      <c r="SG11" s="535">
        <v>2.9706000000000001</v>
      </c>
      <c r="SH11" s="535">
        <v>2.9838</v>
      </c>
      <c r="SI11" s="535">
        <v>2.9954000000000001</v>
      </c>
      <c r="SJ11" s="535">
        <v>3.0082</v>
      </c>
      <c r="SK11" s="535">
        <v>3.0202</v>
      </c>
      <c r="SL11" s="535">
        <v>3.0318000000000001</v>
      </c>
      <c r="SM11" s="535">
        <v>3.0449999999999999</v>
      </c>
      <c r="SN11" s="535">
        <v>3.0586000000000002</v>
      </c>
      <c r="SO11" s="535">
        <v>3.0701999999999998</v>
      </c>
      <c r="SP11" s="535">
        <v>3.06656</v>
      </c>
      <c r="SQ11" s="516">
        <v>5</v>
      </c>
      <c r="SR11" s="536"/>
      <c r="SS11" s="536"/>
      <c r="ST11" s="516">
        <v>5</v>
      </c>
      <c r="SU11" s="535">
        <v>2.6469999999999998</v>
      </c>
      <c r="SV11" s="535">
        <v>2.6760000000000002</v>
      </c>
      <c r="SW11" s="535">
        <v>2.7040000000000002</v>
      </c>
      <c r="SX11" s="535">
        <v>2.7370000000000001</v>
      </c>
      <c r="SY11" s="535">
        <v>2.7669999999999999</v>
      </c>
      <c r="SZ11" s="535">
        <v>2.7953999999999999</v>
      </c>
      <c r="TA11" s="535">
        <v>2.8210000000000002</v>
      </c>
      <c r="TB11" s="535">
        <v>2.8450000000000002</v>
      </c>
      <c r="TC11" s="535">
        <v>2.8706</v>
      </c>
      <c r="TD11" s="535">
        <v>2.8946000000000001</v>
      </c>
      <c r="TE11" s="535">
        <v>2.9178000000000002</v>
      </c>
      <c r="TF11" s="535">
        <v>2.9354</v>
      </c>
      <c r="TG11" s="516">
        <v>5</v>
      </c>
      <c r="TH11" s="536"/>
      <c r="TI11" s="536"/>
      <c r="TJ11" s="516">
        <v>5</v>
      </c>
      <c r="TK11" s="535">
        <v>2.282</v>
      </c>
      <c r="TL11" s="535">
        <v>2.3119999999999998</v>
      </c>
      <c r="TM11" s="535">
        <v>2.34</v>
      </c>
      <c r="TN11" s="535">
        <v>2.3719999999999999</v>
      </c>
      <c r="TO11" s="535">
        <v>2.4020000000000001</v>
      </c>
      <c r="TP11" s="535">
        <v>2.431</v>
      </c>
      <c r="TQ11" s="535">
        <v>2.4630000000000001</v>
      </c>
      <c r="TR11" s="535">
        <v>2.4940000000000002</v>
      </c>
      <c r="TS11" s="535">
        <v>2.5230000000000001</v>
      </c>
      <c r="TT11" s="535">
        <v>2.5550000000000002</v>
      </c>
      <c r="TU11" s="535">
        <v>2.585</v>
      </c>
      <c r="TV11" s="535">
        <v>2.6139999999999999</v>
      </c>
      <c r="TW11" s="516">
        <v>5</v>
      </c>
    </row>
    <row r="12" spans="2:543" s="4" customFormat="1" ht="23" customHeight="1">
      <c r="B12" s="516">
        <v>6</v>
      </c>
      <c r="C12" s="549">
        <v>20.4742</v>
      </c>
      <c r="D12" s="549">
        <v>20.5562</v>
      </c>
      <c r="E12" s="549">
        <v>20.703299999999999</v>
      </c>
      <c r="F12" s="549">
        <v>19.744299999999999</v>
      </c>
      <c r="G12" s="549">
        <v>20.335000000000001</v>
      </c>
      <c r="H12" s="549">
        <v>19.558499999999999</v>
      </c>
      <c r="I12" s="549">
        <v>20.287700000000001</v>
      </c>
      <c r="J12" s="549">
        <v>20.335799999999999</v>
      </c>
      <c r="K12" s="549">
        <v>19.975300000000001</v>
      </c>
      <c r="L12" s="549">
        <v>19.969799999999999</v>
      </c>
      <c r="M12" s="662">
        <f t="shared" si="9"/>
        <v>19.746300000000002</v>
      </c>
      <c r="N12" s="662">
        <f t="shared" si="8"/>
        <v>19.746300000000002</v>
      </c>
      <c r="O12" s="516">
        <v>6</v>
      </c>
      <c r="R12" s="516">
        <v>6</v>
      </c>
      <c r="S12" s="549">
        <v>19.845700000000001</v>
      </c>
      <c r="T12" s="549">
        <v>20.4435</v>
      </c>
      <c r="U12" s="549">
        <v>20.849799999999998</v>
      </c>
      <c r="V12" s="549">
        <v>20.440000000000001</v>
      </c>
      <c r="W12" s="549">
        <v>20.190200000000001</v>
      </c>
      <c r="X12" s="549">
        <v>20.060500000000001</v>
      </c>
      <c r="Y12" s="549">
        <v>19.881699999999999</v>
      </c>
      <c r="Z12" s="549">
        <v>19.954699999999999</v>
      </c>
      <c r="AA12" s="549">
        <v>19.970300000000002</v>
      </c>
      <c r="AB12" s="549">
        <v>20.5747</v>
      </c>
      <c r="AC12" s="549">
        <v>20.624199999999998</v>
      </c>
      <c r="AD12" s="549">
        <v>21.3033</v>
      </c>
      <c r="AE12" s="516">
        <v>6</v>
      </c>
      <c r="AH12" s="516">
        <v>6</v>
      </c>
      <c r="AI12" s="549">
        <v>18.881699999999999</v>
      </c>
      <c r="AJ12" s="549">
        <v>18.6797</v>
      </c>
      <c r="AK12" s="549">
        <v>19.5335</v>
      </c>
      <c r="AL12" s="549">
        <v>24.108699999999999</v>
      </c>
      <c r="AM12" s="549">
        <v>24.3812</v>
      </c>
      <c r="AN12" s="549">
        <v>21.838799999999999</v>
      </c>
      <c r="AO12" s="549">
        <v>22.522500000000001</v>
      </c>
      <c r="AP12" s="549">
        <v>22.784500000000001</v>
      </c>
      <c r="AQ12" s="549">
        <v>21.638300000000001</v>
      </c>
      <c r="AR12" s="549">
        <v>21.702500000000001</v>
      </c>
      <c r="AS12" s="549">
        <v>21.034500000000001</v>
      </c>
      <c r="AT12" s="549">
        <v>19.908300000000001</v>
      </c>
      <c r="AU12" s="516">
        <v>6</v>
      </c>
      <c r="AX12" s="516">
        <v>6</v>
      </c>
      <c r="AY12" s="535">
        <v>19.607299999999999</v>
      </c>
      <c r="AZ12" s="535">
        <v>19.1098</v>
      </c>
      <c r="BA12" s="535">
        <v>19.303899999999999</v>
      </c>
      <c r="BB12" s="535">
        <v>19.172799999999999</v>
      </c>
      <c r="BC12" s="535">
        <v>19.101400000000002</v>
      </c>
      <c r="BD12" s="535">
        <v>19.6007</v>
      </c>
      <c r="BE12" s="535">
        <v>18.994700000000002</v>
      </c>
      <c r="BF12" s="535">
        <v>19.311599999999999</v>
      </c>
      <c r="BG12" s="535">
        <v>19.7806</v>
      </c>
      <c r="BH12" s="535">
        <v>19.736799999999999</v>
      </c>
      <c r="BI12" s="535">
        <v>19.1525</v>
      </c>
      <c r="BJ12" s="535">
        <v>19.470700000000001</v>
      </c>
      <c r="BK12" s="516">
        <v>6</v>
      </c>
      <c r="BN12" s="516">
        <v>6</v>
      </c>
      <c r="BO12" s="535">
        <v>19.242699999999999</v>
      </c>
      <c r="BP12" s="535">
        <v>18.400400000000001</v>
      </c>
      <c r="BQ12" s="537">
        <v>18.890899999999998</v>
      </c>
      <c r="BR12" s="535">
        <v>18.224399999999999</v>
      </c>
      <c r="BS12" s="535">
        <v>19.122299999999999</v>
      </c>
      <c r="BT12" s="535">
        <v>19.993400000000001</v>
      </c>
      <c r="BU12" s="535">
        <v>19.4284</v>
      </c>
      <c r="BV12" s="535">
        <v>18.634899999999998</v>
      </c>
      <c r="BW12" s="535">
        <v>19.360900000000001</v>
      </c>
      <c r="BX12" s="535">
        <v>19.1328</v>
      </c>
      <c r="BY12" s="535">
        <v>20.132899999999999</v>
      </c>
      <c r="BZ12" s="535">
        <v>20.5123</v>
      </c>
      <c r="CA12" s="516">
        <v>6</v>
      </c>
      <c r="CD12" s="516">
        <v>6</v>
      </c>
      <c r="CE12" s="535">
        <v>21.379899999999999</v>
      </c>
      <c r="CF12" s="535">
        <v>20.575700000000001</v>
      </c>
      <c r="CG12" s="535">
        <v>19.9373</v>
      </c>
      <c r="CH12" s="535">
        <v>18.833400000000001</v>
      </c>
      <c r="CI12" s="535">
        <v>18.803100000000001</v>
      </c>
      <c r="CJ12" s="535">
        <v>18.6204</v>
      </c>
      <c r="CK12" s="535">
        <v>18.203600000000002</v>
      </c>
      <c r="CL12" s="535">
        <v>17.8733</v>
      </c>
      <c r="CM12" s="535">
        <v>17.868300000000001</v>
      </c>
      <c r="CN12" s="535">
        <v>18.228200000000001</v>
      </c>
      <c r="CO12" s="535">
        <v>19.124099999999999</v>
      </c>
      <c r="CP12" s="535">
        <v>18.641999999999999</v>
      </c>
      <c r="CQ12" s="516">
        <v>6</v>
      </c>
      <c r="CT12" s="516">
        <v>6</v>
      </c>
      <c r="CU12" s="535">
        <v>17.352900000000002</v>
      </c>
      <c r="CV12" s="535">
        <v>18.1891</v>
      </c>
      <c r="CW12" s="535">
        <v>17.897099999999998</v>
      </c>
      <c r="CX12" s="535">
        <v>17.448399999999999</v>
      </c>
      <c r="CY12" s="535">
        <v>17.523399999999999</v>
      </c>
      <c r="CZ12" s="535">
        <v>18.6097</v>
      </c>
      <c r="DA12" s="535">
        <v>18.3858</v>
      </c>
      <c r="DB12" s="535">
        <v>18.8612</v>
      </c>
      <c r="DC12" s="535">
        <v>18.658899999999999</v>
      </c>
      <c r="DD12" s="535">
        <v>19.213799999999999</v>
      </c>
      <c r="DE12" s="535">
        <v>19.2014</v>
      </c>
      <c r="DF12" s="535">
        <v>20.614899999999999</v>
      </c>
      <c r="DG12" s="516">
        <v>6</v>
      </c>
      <c r="DJ12" s="516">
        <v>6</v>
      </c>
      <c r="DK12" s="535">
        <v>14.829000000000001</v>
      </c>
      <c r="DL12" s="535">
        <v>14.8011</v>
      </c>
      <c r="DM12" s="535">
        <v>15.0756</v>
      </c>
      <c r="DN12" s="535">
        <v>15.264699999999999</v>
      </c>
      <c r="DO12" s="535">
        <v>15.494</v>
      </c>
      <c r="DP12" s="535">
        <v>15.4833</v>
      </c>
      <c r="DQ12" s="535">
        <v>15.6821</v>
      </c>
      <c r="DR12" s="535">
        <v>16.1736</v>
      </c>
      <c r="DS12" s="535">
        <v>16.944400000000002</v>
      </c>
      <c r="DT12" s="535">
        <v>16.816199999999998</v>
      </c>
      <c r="DU12" s="535">
        <v>16.514700000000001</v>
      </c>
      <c r="DV12" s="535">
        <v>16.709499999999998</v>
      </c>
      <c r="DW12" s="516">
        <v>6</v>
      </c>
      <c r="DZ12" s="516">
        <v>6</v>
      </c>
      <c r="EA12" s="535">
        <v>13.101100000000001</v>
      </c>
      <c r="EB12" s="535">
        <v>13.392799999999999</v>
      </c>
      <c r="EC12" s="535">
        <v>13.2752</v>
      </c>
      <c r="ED12" s="535">
        <v>13.132400000000001</v>
      </c>
      <c r="EE12" s="535">
        <v>12.998100000000001</v>
      </c>
      <c r="EF12" s="535">
        <v>12.9527</v>
      </c>
      <c r="EG12" s="535">
        <v>12.982900000000001</v>
      </c>
      <c r="EH12" s="535">
        <v>13.196199999999999</v>
      </c>
      <c r="EI12" s="535">
        <v>13.0959</v>
      </c>
      <c r="EJ12" s="535">
        <v>13.4026</v>
      </c>
      <c r="EK12" s="535">
        <v>13.592499999999999</v>
      </c>
      <c r="EL12" s="535">
        <v>14.1165</v>
      </c>
      <c r="EM12" s="516">
        <v>6</v>
      </c>
      <c r="EP12" s="516">
        <v>6</v>
      </c>
      <c r="EQ12" s="535">
        <v>12.743</v>
      </c>
      <c r="ER12" s="535">
        <v>12.637700000000001</v>
      </c>
      <c r="ES12" s="535">
        <v>12.7814</v>
      </c>
      <c r="ET12" s="535">
        <v>12.319699999999999</v>
      </c>
      <c r="EU12" s="535">
        <v>12.175599999999999</v>
      </c>
      <c r="EV12" s="535">
        <v>12.7317</v>
      </c>
      <c r="EW12" s="535">
        <v>12.8902</v>
      </c>
      <c r="EX12" s="535">
        <v>12.6904</v>
      </c>
      <c r="EY12" s="535">
        <v>13.3065</v>
      </c>
      <c r="EZ12" s="535">
        <v>13.266299999999999</v>
      </c>
      <c r="FA12" s="535">
        <v>12.9869</v>
      </c>
      <c r="FB12" s="535">
        <v>13.082599999999999</v>
      </c>
      <c r="FC12" s="516">
        <v>6</v>
      </c>
      <c r="FF12" s="516">
        <v>6</v>
      </c>
      <c r="FG12" s="535">
        <v>13.714399999999999</v>
      </c>
      <c r="FH12" s="535">
        <v>12.803800000000001</v>
      </c>
      <c r="FI12" s="535">
        <v>12.7723</v>
      </c>
      <c r="FJ12" s="535">
        <v>12.7317</v>
      </c>
      <c r="FK12" s="535">
        <v>12.9725</v>
      </c>
      <c r="FL12" s="535">
        <v>14.244300000000001</v>
      </c>
      <c r="FM12" s="535">
        <v>13.361700000000001</v>
      </c>
      <c r="FN12" s="535">
        <v>13.3927</v>
      </c>
      <c r="FO12" s="535">
        <v>13.1793</v>
      </c>
      <c r="FP12" s="535">
        <v>12.758900000000001</v>
      </c>
      <c r="FQ12" s="535">
        <v>13.0387</v>
      </c>
      <c r="FR12" s="535">
        <v>12.96</v>
      </c>
      <c r="FS12" s="516">
        <v>6</v>
      </c>
      <c r="FV12" s="516">
        <v>6</v>
      </c>
      <c r="FW12" s="535">
        <v>12.261900000000001</v>
      </c>
      <c r="FX12" s="535">
        <v>12.049899999999999</v>
      </c>
      <c r="FY12" s="535">
        <v>12.036799999999999</v>
      </c>
      <c r="FZ12" s="535">
        <v>11.853300000000001</v>
      </c>
      <c r="GA12" s="535">
        <v>11.6214</v>
      </c>
      <c r="GB12" s="535">
        <v>11.6739</v>
      </c>
      <c r="GC12" s="535">
        <v>11.592499999999999</v>
      </c>
      <c r="GD12" s="535">
        <v>11.952299999999999</v>
      </c>
      <c r="GE12" s="535">
        <v>12.3735</v>
      </c>
      <c r="GF12" s="535">
        <v>13.971399999999999</v>
      </c>
      <c r="GG12" s="535">
        <v>13.412800000000001</v>
      </c>
      <c r="GH12" s="535">
        <v>13.5488</v>
      </c>
      <c r="GI12" s="516">
        <v>6</v>
      </c>
      <c r="GL12" s="516">
        <v>6</v>
      </c>
      <c r="GM12" s="535">
        <v>12.922599999999999</v>
      </c>
      <c r="GN12" s="535">
        <v>13.0687</v>
      </c>
      <c r="GO12" s="535">
        <v>12.7182</v>
      </c>
      <c r="GP12" s="535">
        <v>12.3306</v>
      </c>
      <c r="GQ12" s="535">
        <v>12.428800000000001</v>
      </c>
      <c r="GR12" s="535">
        <v>12.7644</v>
      </c>
      <c r="GS12" s="535">
        <v>13.058999999999999</v>
      </c>
      <c r="GT12" s="535">
        <v>12.5535</v>
      </c>
      <c r="GU12" s="535">
        <v>13.055</v>
      </c>
      <c r="GV12" s="535">
        <v>12.5875</v>
      </c>
      <c r="GW12" s="535">
        <v>12.238099999999999</v>
      </c>
      <c r="GX12" s="535">
        <v>12.3546</v>
      </c>
      <c r="GY12" s="516">
        <v>6</v>
      </c>
      <c r="HB12" s="516">
        <v>6</v>
      </c>
      <c r="HC12" s="535">
        <v>13.767799999999999</v>
      </c>
      <c r="HD12" s="535">
        <v>14.466699999999999</v>
      </c>
      <c r="HE12" s="535">
        <v>15.2178</v>
      </c>
      <c r="HF12" s="535">
        <v>13.792400000000001</v>
      </c>
      <c r="HG12" s="535">
        <v>13.35</v>
      </c>
      <c r="HH12" s="535">
        <v>13.2675</v>
      </c>
      <c r="HI12" s="535">
        <v>13.169499999999999</v>
      </c>
      <c r="HJ12" s="535">
        <v>13.1073</v>
      </c>
      <c r="HK12" s="535">
        <v>13.5898</v>
      </c>
      <c r="HL12" s="535">
        <v>13.677300000000001</v>
      </c>
      <c r="HM12" s="535">
        <v>13.270799999999999</v>
      </c>
      <c r="HN12" s="535">
        <v>12.665800000000001</v>
      </c>
      <c r="HO12" s="516">
        <v>6</v>
      </c>
      <c r="HP12" s="536"/>
      <c r="HQ12" s="536"/>
      <c r="HR12" s="516">
        <v>6</v>
      </c>
      <c r="HS12" s="535">
        <v>10.8842</v>
      </c>
      <c r="HT12" s="535">
        <v>10.813800000000001</v>
      </c>
      <c r="HU12" s="535">
        <v>10.7098</v>
      </c>
      <c r="HV12" s="535">
        <v>10.564399999999999</v>
      </c>
      <c r="HW12" s="535">
        <v>10.458500000000001</v>
      </c>
      <c r="HX12" s="535">
        <v>10.321099999999999</v>
      </c>
      <c r="HY12" s="535">
        <v>10.369199999999999</v>
      </c>
      <c r="HZ12" s="535">
        <v>9.9335000000000004</v>
      </c>
      <c r="IA12" s="535">
        <v>10.4658</v>
      </c>
      <c r="IB12" s="535">
        <v>11.1296</v>
      </c>
      <c r="IC12" s="535">
        <v>12.4862</v>
      </c>
      <c r="ID12" s="535">
        <v>13.5358</v>
      </c>
      <c r="IE12" s="516">
        <v>6</v>
      </c>
      <c r="IF12" s="536"/>
      <c r="IG12" s="536"/>
      <c r="IH12" s="516">
        <v>6</v>
      </c>
      <c r="II12" s="535">
        <v>10.865</v>
      </c>
      <c r="IJ12" s="535">
        <v>10.981999999999999</v>
      </c>
      <c r="IK12" s="535">
        <v>11.181699999999999</v>
      </c>
      <c r="IL12" s="535">
        <v>10.979699999999999</v>
      </c>
      <c r="IM12" s="535">
        <v>10.901999999999999</v>
      </c>
      <c r="IN12" s="535">
        <v>10.7441</v>
      </c>
      <c r="IO12" s="535">
        <v>10.76</v>
      </c>
      <c r="IP12" s="535">
        <v>10.940200000000001</v>
      </c>
      <c r="IQ12" s="535">
        <v>11.0265</v>
      </c>
      <c r="IR12" s="535">
        <v>10.8963</v>
      </c>
      <c r="IS12" s="535">
        <v>10.6639</v>
      </c>
      <c r="IT12" s="535">
        <v>10.905900000000001</v>
      </c>
      <c r="IU12" s="516">
        <v>6</v>
      </c>
      <c r="IV12" s="536"/>
      <c r="IW12" s="536"/>
      <c r="IX12" s="516">
        <v>6</v>
      </c>
      <c r="IY12" s="535">
        <v>10.5815</v>
      </c>
      <c r="IZ12" s="535">
        <v>10.480499999999999</v>
      </c>
      <c r="JA12" s="535">
        <v>10.5113</v>
      </c>
      <c r="JB12" s="535">
        <v>10.854799999999999</v>
      </c>
      <c r="JC12" s="535">
        <v>10.9694</v>
      </c>
      <c r="JD12" s="535">
        <v>11.297000000000001</v>
      </c>
      <c r="JE12" s="535">
        <v>11.0642</v>
      </c>
      <c r="JF12" s="535">
        <v>10.9802</v>
      </c>
      <c r="JG12" s="535">
        <v>10.8476</v>
      </c>
      <c r="JH12" s="535">
        <v>11.0533</v>
      </c>
      <c r="JI12" s="535">
        <v>10.744899999999999</v>
      </c>
      <c r="JJ12" s="535">
        <v>10.9595</v>
      </c>
      <c r="JK12" s="516">
        <v>6</v>
      </c>
      <c r="JL12" s="536"/>
      <c r="JM12" s="536"/>
      <c r="JN12" s="516">
        <v>6</v>
      </c>
      <c r="JO12" s="535">
        <v>11.3087</v>
      </c>
      <c r="JP12" s="535">
        <v>11.1683</v>
      </c>
      <c r="JQ12" s="535">
        <v>11.0837</v>
      </c>
      <c r="JR12" s="535">
        <v>11.217499999999999</v>
      </c>
      <c r="JS12" s="535">
        <v>10.981999999999999</v>
      </c>
      <c r="JT12" s="535">
        <v>10.814399999999999</v>
      </c>
      <c r="JU12" s="535">
        <v>10.7438</v>
      </c>
      <c r="JV12" s="535">
        <v>10.5831</v>
      </c>
      <c r="JW12" s="535">
        <v>10.683999999999999</v>
      </c>
      <c r="JX12" s="535">
        <v>10.685700000000001</v>
      </c>
      <c r="JY12" s="535">
        <v>10.7218</v>
      </c>
      <c r="JZ12" s="535">
        <v>10.4558</v>
      </c>
      <c r="KA12" s="516">
        <v>6</v>
      </c>
      <c r="KB12" s="536"/>
      <c r="KC12" s="536"/>
      <c r="KD12" s="516">
        <v>6</v>
      </c>
      <c r="KE12" s="535">
        <v>11.0885</v>
      </c>
      <c r="KF12" s="535">
        <v>11.082000000000001</v>
      </c>
      <c r="KG12" s="535">
        <v>10.9955</v>
      </c>
      <c r="KH12" s="535">
        <v>11.1815</v>
      </c>
      <c r="KI12" s="535">
        <v>11.410500000000001</v>
      </c>
      <c r="KJ12" s="535">
        <v>11.4373</v>
      </c>
      <c r="KK12" s="535">
        <v>11.4763</v>
      </c>
      <c r="KL12" s="535">
        <v>11.4527</v>
      </c>
      <c r="KM12" s="535">
        <v>11.4725</v>
      </c>
      <c r="KN12" s="535">
        <v>11.350199999999999</v>
      </c>
      <c r="KO12" s="535">
        <v>11.411799999999999</v>
      </c>
      <c r="KP12" s="535">
        <v>11.145300000000001</v>
      </c>
      <c r="KQ12" s="516">
        <v>6</v>
      </c>
      <c r="KR12" s="536"/>
      <c r="KS12" s="536"/>
      <c r="KT12" s="516">
        <v>6</v>
      </c>
      <c r="KU12" s="535">
        <v>10.3626</v>
      </c>
      <c r="KV12" s="535">
        <v>10.8833</v>
      </c>
      <c r="KW12" s="535">
        <v>11.136699999999999</v>
      </c>
      <c r="KX12" s="535">
        <v>10.661899999999999</v>
      </c>
      <c r="KY12" s="535">
        <v>10.2003</v>
      </c>
      <c r="KZ12" s="535">
        <v>10.388199999999999</v>
      </c>
      <c r="LA12" s="535">
        <v>10.446999999999999</v>
      </c>
      <c r="LB12" s="535">
        <v>10.586399999999999</v>
      </c>
      <c r="LC12" s="535">
        <v>10.8575</v>
      </c>
      <c r="LD12" s="535">
        <v>11.160299999999999</v>
      </c>
      <c r="LE12" s="535">
        <v>10.9998</v>
      </c>
      <c r="LF12" s="535">
        <v>11.2224</v>
      </c>
      <c r="LG12" s="516">
        <v>6</v>
      </c>
      <c r="LH12" s="536"/>
      <c r="LI12" s="536"/>
      <c r="LJ12" s="516">
        <v>6</v>
      </c>
      <c r="LK12" s="535">
        <v>9.1142000000000003</v>
      </c>
      <c r="LL12" s="535">
        <v>9.1544000000000008</v>
      </c>
      <c r="LM12" s="535">
        <v>9.0723000000000003</v>
      </c>
      <c r="LN12" s="535">
        <v>9.0467999999999993</v>
      </c>
      <c r="LO12" s="535">
        <v>9.4169999999999998</v>
      </c>
      <c r="LP12" s="535">
        <v>9.7059999999999995</v>
      </c>
      <c r="LQ12" s="535">
        <v>9.9502000000000006</v>
      </c>
      <c r="LR12" s="535">
        <v>9.8412000000000006</v>
      </c>
      <c r="LS12" s="535">
        <v>10.0154</v>
      </c>
      <c r="LT12" s="535">
        <v>10.139799999999999</v>
      </c>
      <c r="LU12" s="535">
        <v>10.182</v>
      </c>
      <c r="LV12" s="535">
        <v>10.2287</v>
      </c>
      <c r="LW12" s="516">
        <v>6</v>
      </c>
      <c r="LX12" s="536"/>
      <c r="LY12" s="536"/>
      <c r="LZ12" s="516">
        <v>6</v>
      </c>
      <c r="MA12" s="535">
        <v>9.7080000000000002</v>
      </c>
      <c r="MB12" s="535">
        <v>9.7327999999999992</v>
      </c>
      <c r="MC12" s="535">
        <v>9.6687999999999992</v>
      </c>
      <c r="MD12" s="535">
        <v>9.4200999999999997</v>
      </c>
      <c r="ME12" s="535">
        <v>9.2873000000000001</v>
      </c>
      <c r="MF12" s="535">
        <v>9.1369000000000007</v>
      </c>
      <c r="MG12" s="535">
        <v>9.0707000000000004</v>
      </c>
      <c r="MH12" s="535">
        <v>9.1698000000000004</v>
      </c>
      <c r="MI12" s="535">
        <v>9.1957000000000004</v>
      </c>
      <c r="MJ12" s="535">
        <v>9.5243000000000002</v>
      </c>
      <c r="MK12" s="535">
        <v>9.2782999999999998</v>
      </c>
      <c r="ML12" s="535">
        <v>9.2196999999999996</v>
      </c>
      <c r="MM12" s="516">
        <v>6</v>
      </c>
      <c r="MN12" s="536"/>
      <c r="MO12" s="536"/>
      <c r="MP12" s="516">
        <v>6</v>
      </c>
      <c r="MQ12" s="535">
        <v>9.4564000000000004</v>
      </c>
      <c r="MR12" s="535">
        <v>9.5010999999999992</v>
      </c>
      <c r="MS12" s="535">
        <v>9.3382000000000005</v>
      </c>
      <c r="MT12" s="535">
        <v>9.2878000000000007</v>
      </c>
      <c r="MU12" s="535">
        <v>9.3848000000000003</v>
      </c>
      <c r="MV12" s="535">
        <v>9.5460999999999991</v>
      </c>
      <c r="MW12" s="535">
        <v>9.4876000000000005</v>
      </c>
      <c r="MX12" s="535">
        <v>9.3880999999999997</v>
      </c>
      <c r="MY12" s="535">
        <v>9.2231000000000005</v>
      </c>
      <c r="MZ12" s="535">
        <v>9.4291999999999998</v>
      </c>
      <c r="NA12" s="535">
        <v>9.5823999999999998</v>
      </c>
      <c r="NB12" s="535">
        <v>9.4131999999999998</v>
      </c>
      <c r="NC12" s="516">
        <v>6</v>
      </c>
      <c r="ND12" s="536"/>
      <c r="NE12" s="536"/>
      <c r="NF12" s="516">
        <v>6</v>
      </c>
      <c r="NG12" s="535">
        <v>9.8376000000000001</v>
      </c>
      <c r="NH12" s="535">
        <v>10.113799999999999</v>
      </c>
      <c r="NI12" s="535">
        <v>9.9334000000000007</v>
      </c>
      <c r="NJ12" s="535">
        <v>9.5218000000000007</v>
      </c>
      <c r="NK12" s="535">
        <v>9.2689000000000004</v>
      </c>
      <c r="NL12" s="535">
        <v>9.6545000000000005</v>
      </c>
      <c r="NM12" s="535">
        <v>9.3513000000000002</v>
      </c>
      <c r="NN12" s="535">
        <v>9.4364000000000008</v>
      </c>
      <c r="NO12" s="535">
        <v>9.3739000000000008</v>
      </c>
      <c r="NP12" s="535">
        <v>9.4530999999999992</v>
      </c>
      <c r="NQ12" s="535">
        <v>9.4711999999999996</v>
      </c>
      <c r="NR12" s="535">
        <v>9.5326000000000004</v>
      </c>
      <c r="NS12" s="516">
        <v>6</v>
      </c>
      <c r="NT12" s="536"/>
      <c r="NU12" s="536"/>
      <c r="NV12" s="516">
        <v>6</v>
      </c>
      <c r="NW12" s="535">
        <v>8.0585000000000004</v>
      </c>
      <c r="NX12" s="535">
        <v>8.4322999999999997</v>
      </c>
      <c r="NY12" s="535">
        <v>8.5824999999999996</v>
      </c>
      <c r="NZ12" s="535">
        <v>8.5213999999999999</v>
      </c>
      <c r="OA12" s="535">
        <v>8.4898000000000007</v>
      </c>
      <c r="OB12" s="535">
        <v>8.7803000000000004</v>
      </c>
      <c r="OC12" s="535">
        <v>8.9863</v>
      </c>
      <c r="OD12" s="535">
        <v>8.9648000000000003</v>
      </c>
      <c r="OE12" s="535">
        <v>10.107200000000001</v>
      </c>
      <c r="OF12" s="535">
        <v>10.313700000000001</v>
      </c>
      <c r="OG12" s="535">
        <v>9.9365000000000006</v>
      </c>
      <c r="OH12" s="535">
        <v>9.9876000000000005</v>
      </c>
      <c r="OI12" s="516">
        <v>6</v>
      </c>
      <c r="OJ12" s="536"/>
      <c r="OK12" s="536"/>
      <c r="OL12" s="516">
        <v>6</v>
      </c>
      <c r="OM12" s="535">
        <v>7.9027000000000003</v>
      </c>
      <c r="ON12" s="535">
        <v>7.8182999999999998</v>
      </c>
      <c r="OO12" s="535">
        <v>7.9737</v>
      </c>
      <c r="OP12" s="535">
        <v>7.9720000000000004</v>
      </c>
      <c r="OQ12" s="535">
        <v>7.9519000000000002</v>
      </c>
      <c r="OR12" s="535">
        <v>7.9283000000000001</v>
      </c>
      <c r="OS12" s="535">
        <v>7.9497</v>
      </c>
      <c r="OT12" s="535">
        <v>7.8310000000000004</v>
      </c>
      <c r="OU12" s="535">
        <v>7.7881999999999998</v>
      </c>
      <c r="OV12" s="535">
        <v>7.7530000000000001</v>
      </c>
      <c r="OW12" s="535">
        <v>8.2535000000000007</v>
      </c>
      <c r="OX12" s="535">
        <v>8.1057000000000006</v>
      </c>
      <c r="OY12" s="516">
        <v>6</v>
      </c>
      <c r="OZ12" s="536"/>
      <c r="PA12" s="536"/>
      <c r="PB12" s="516">
        <v>6</v>
      </c>
      <c r="PC12" s="535">
        <v>7.57</v>
      </c>
      <c r="PD12" s="535">
        <v>7.4169999999999998</v>
      </c>
      <c r="PE12" s="535">
        <v>7.5747</v>
      </c>
      <c r="PF12" s="535">
        <v>7.5110000000000001</v>
      </c>
      <c r="PG12" s="535">
        <v>7.4691999999999998</v>
      </c>
      <c r="PH12" s="535">
        <v>7.4313000000000002</v>
      </c>
      <c r="PI12" s="535">
        <v>7.6093000000000002</v>
      </c>
      <c r="PJ12" s="535">
        <v>7.5374999999999996</v>
      </c>
      <c r="PK12" s="535">
        <v>7.5620000000000003</v>
      </c>
      <c r="PL12" s="535">
        <v>7.5301999999999998</v>
      </c>
      <c r="PM12" s="535">
        <v>7.9241999999999999</v>
      </c>
      <c r="PN12" s="535">
        <v>7.8625999999999996</v>
      </c>
      <c r="PO12" s="516">
        <v>6</v>
      </c>
      <c r="PP12" s="536"/>
      <c r="PQ12" s="536"/>
      <c r="PR12" s="516">
        <v>6</v>
      </c>
      <c r="PS12" s="535">
        <v>5.53</v>
      </c>
      <c r="PT12" s="535">
        <v>5.4550000000000001</v>
      </c>
      <c r="PU12" s="535">
        <v>5.9625000000000004</v>
      </c>
      <c r="PV12" s="535">
        <v>6.5883000000000003</v>
      </c>
      <c r="PW12" s="535">
        <v>5.8692000000000002</v>
      </c>
      <c r="PX12" s="535">
        <v>6.2016999999999998</v>
      </c>
      <c r="PY12" s="535">
        <v>6.2683</v>
      </c>
      <c r="PZ12" s="535">
        <v>6.1257999999999999</v>
      </c>
      <c r="QA12" s="535">
        <v>6.2453000000000003</v>
      </c>
      <c r="QB12" s="535">
        <v>6.5425000000000004</v>
      </c>
      <c r="QC12" s="535">
        <v>7.4032999999999998</v>
      </c>
      <c r="QD12" s="535">
        <v>7.6166999999999998</v>
      </c>
      <c r="QE12" s="516">
        <v>6</v>
      </c>
      <c r="QF12" s="536"/>
      <c r="QG12" s="536"/>
      <c r="QH12" s="516">
        <v>6</v>
      </c>
      <c r="QI12" s="535">
        <v>3.1128999999999998</v>
      </c>
      <c r="QJ12" s="535">
        <v>3.1055999999999999</v>
      </c>
      <c r="QK12" s="535">
        <v>3.2513000000000001</v>
      </c>
      <c r="QL12" s="535">
        <v>3.3626</v>
      </c>
      <c r="QM12" s="535">
        <v>3.3144999999999998</v>
      </c>
      <c r="QN12" s="535">
        <v>3.3252999999999999</v>
      </c>
      <c r="QO12" s="535">
        <v>3.399</v>
      </c>
      <c r="QP12" s="535">
        <v>3.3780999999999999</v>
      </c>
      <c r="QQ12" s="535">
        <v>3.3778000000000001</v>
      </c>
      <c r="QR12" s="535">
        <v>3.4142999999999999</v>
      </c>
      <c r="QS12" s="535">
        <v>3.4350000000000001</v>
      </c>
      <c r="QT12" s="535">
        <v>3.4379</v>
      </c>
      <c r="QU12" s="516">
        <v>6</v>
      </c>
      <c r="QV12" s="536"/>
      <c r="QW12" s="536"/>
      <c r="QX12" s="516">
        <v>6</v>
      </c>
      <c r="QY12" s="535">
        <v>3.117</v>
      </c>
      <c r="QZ12" s="535">
        <v>3.1017000000000001</v>
      </c>
      <c r="RA12" s="535">
        <v>3.0960999999999999</v>
      </c>
      <c r="RB12" s="535">
        <v>3.0937000000000001</v>
      </c>
      <c r="RC12" s="535">
        <v>3.1078999999999999</v>
      </c>
      <c r="RD12" s="535">
        <v>3.125</v>
      </c>
      <c r="RE12" s="535">
        <v>3.1223999999999998</v>
      </c>
      <c r="RF12" s="535">
        <v>3.1097000000000001</v>
      </c>
      <c r="RG12" s="535">
        <v>3.1139000000000001</v>
      </c>
      <c r="RH12" s="535">
        <v>3.1131000000000002</v>
      </c>
      <c r="RI12" s="535">
        <v>3.1476000000000002</v>
      </c>
      <c r="RJ12" s="535">
        <v>3.1036999999999999</v>
      </c>
      <c r="RK12" s="516">
        <v>6</v>
      </c>
      <c r="RL12" s="536"/>
      <c r="RM12" s="536"/>
      <c r="RN12" s="516">
        <v>6</v>
      </c>
      <c r="RO12" s="535">
        <v>3.0752999999999999</v>
      </c>
      <c r="RP12" s="535">
        <v>3.0655999999999999</v>
      </c>
      <c r="RQ12" s="535">
        <v>3.0606</v>
      </c>
      <c r="RR12" s="535">
        <v>3.0609000000000002</v>
      </c>
      <c r="RS12" s="535">
        <v>3.0785999999999998</v>
      </c>
      <c r="RT12" s="535">
        <v>3.1179000000000001</v>
      </c>
      <c r="RU12" s="535">
        <v>3.1204000000000001</v>
      </c>
      <c r="RV12" s="535">
        <v>3.1071</v>
      </c>
      <c r="RW12" s="535">
        <v>3.0699000000000001</v>
      </c>
      <c r="RX12" s="535">
        <v>3.1145</v>
      </c>
      <c r="RY12" s="535">
        <v>3.1271</v>
      </c>
      <c r="RZ12" s="535">
        <v>3.1139000000000001</v>
      </c>
      <c r="SA12" s="516">
        <v>6</v>
      </c>
      <c r="SB12" s="536"/>
      <c r="SC12" s="536"/>
      <c r="SD12" s="516">
        <v>6</v>
      </c>
      <c r="SE12" s="535">
        <v>2.9478</v>
      </c>
      <c r="SF12" s="535">
        <v>2.9605999999999999</v>
      </c>
      <c r="SG12" s="535">
        <v>2.9718</v>
      </c>
      <c r="SH12" s="535">
        <v>2.9842</v>
      </c>
      <c r="SI12" s="535">
        <v>2.9954000000000001</v>
      </c>
      <c r="SJ12" s="535">
        <v>3.0085999999999999</v>
      </c>
      <c r="SK12" s="535">
        <v>3.0206</v>
      </c>
      <c r="SL12" s="535">
        <v>3.0322</v>
      </c>
      <c r="SM12" s="535">
        <v>3.0453999999999999</v>
      </c>
      <c r="SN12" s="535">
        <v>3.0586000000000002</v>
      </c>
      <c r="SO12" s="535">
        <v>3.0706000000000002</v>
      </c>
      <c r="SP12" s="535">
        <v>3.0660400000000001</v>
      </c>
      <c r="SQ12" s="516">
        <v>6</v>
      </c>
      <c r="SR12" s="536"/>
      <c r="SS12" s="536"/>
      <c r="ST12" s="516">
        <v>6</v>
      </c>
      <c r="SU12" s="535">
        <v>2.6480000000000001</v>
      </c>
      <c r="SV12" s="535">
        <v>2.677</v>
      </c>
      <c r="SW12" s="535">
        <v>2.7050000000000001</v>
      </c>
      <c r="SX12" s="535">
        <v>2.738</v>
      </c>
      <c r="SY12" s="535">
        <v>2.7669999999999999</v>
      </c>
      <c r="SZ12" s="535">
        <v>2.7978000000000001</v>
      </c>
      <c r="TA12" s="535">
        <v>2.8218000000000001</v>
      </c>
      <c r="TB12" s="535">
        <v>2.8450000000000002</v>
      </c>
      <c r="TC12" s="535">
        <v>2.8714</v>
      </c>
      <c r="TD12" s="535">
        <v>2.8954</v>
      </c>
      <c r="TE12" s="535">
        <v>2.9186000000000001</v>
      </c>
      <c r="TF12" s="535">
        <v>2.9358</v>
      </c>
      <c r="TG12" s="516">
        <v>6</v>
      </c>
      <c r="TH12" s="536"/>
      <c r="TI12" s="536"/>
      <c r="TJ12" s="516">
        <v>6</v>
      </c>
      <c r="TK12" s="535">
        <v>2.2829999999999999</v>
      </c>
      <c r="TL12" s="535">
        <v>2.3119999999999998</v>
      </c>
      <c r="TM12" s="535">
        <v>2.34</v>
      </c>
      <c r="TN12" s="535">
        <v>2.3730000000000002</v>
      </c>
      <c r="TO12" s="535">
        <v>2.403</v>
      </c>
      <c r="TP12" s="535">
        <v>2.4319999999999999</v>
      </c>
      <c r="TQ12" s="535">
        <v>2.464</v>
      </c>
      <c r="TR12" s="535">
        <v>2.4940000000000002</v>
      </c>
      <c r="TS12" s="535">
        <v>2.5259999999999998</v>
      </c>
      <c r="TT12" s="535">
        <v>2.556</v>
      </c>
      <c r="TU12" s="535">
        <v>2.585</v>
      </c>
      <c r="TV12" s="535">
        <v>2.617</v>
      </c>
      <c r="TW12" s="516">
        <v>6</v>
      </c>
    </row>
    <row r="13" spans="2:543" s="4" customFormat="1" ht="23" customHeight="1">
      <c r="B13" s="516">
        <v>7</v>
      </c>
      <c r="C13" s="549">
        <v>20.3977</v>
      </c>
      <c r="D13" s="549">
        <v>20.5562</v>
      </c>
      <c r="E13" s="549">
        <v>20.703299999999999</v>
      </c>
      <c r="F13" s="549">
        <v>19.901199999999999</v>
      </c>
      <c r="G13" s="549">
        <v>20.253499999999999</v>
      </c>
      <c r="H13" s="549">
        <v>19.574200000000001</v>
      </c>
      <c r="I13" s="549">
        <v>20.559799999999999</v>
      </c>
      <c r="J13" s="549">
        <v>20.335799999999999</v>
      </c>
      <c r="K13" s="549">
        <v>19.962</v>
      </c>
      <c r="L13" s="549">
        <v>20.1267</v>
      </c>
      <c r="M13" s="662">
        <f t="shared" si="9"/>
        <v>19.746300000000002</v>
      </c>
      <c r="N13" s="662">
        <f t="shared" si="8"/>
        <v>19.746300000000002</v>
      </c>
      <c r="O13" s="516">
        <v>7</v>
      </c>
      <c r="R13" s="516">
        <v>7</v>
      </c>
      <c r="S13" s="549">
        <v>19.9437</v>
      </c>
      <c r="T13" s="549">
        <v>20.4435</v>
      </c>
      <c r="U13" s="549">
        <v>20.849799999999998</v>
      </c>
      <c r="V13" s="549">
        <v>20.2483</v>
      </c>
      <c r="W13" s="549">
        <v>20.223500000000001</v>
      </c>
      <c r="X13" s="549">
        <v>20.060500000000001</v>
      </c>
      <c r="Y13" s="549">
        <v>19.853200000000001</v>
      </c>
      <c r="Z13" s="549">
        <v>19.929300000000001</v>
      </c>
      <c r="AA13" s="549">
        <v>19.8992</v>
      </c>
      <c r="AB13" s="549">
        <v>20.581800000000001</v>
      </c>
      <c r="AC13" s="549">
        <v>20.624199999999998</v>
      </c>
      <c r="AD13" s="549">
        <v>21.4177</v>
      </c>
      <c r="AE13" s="516">
        <v>7</v>
      </c>
      <c r="AH13" s="516">
        <v>7</v>
      </c>
      <c r="AI13" s="549">
        <v>18.8673</v>
      </c>
      <c r="AJ13" s="549">
        <v>18.624500000000001</v>
      </c>
      <c r="AK13" s="549">
        <v>19.8095</v>
      </c>
      <c r="AL13" s="549">
        <v>24.6938</v>
      </c>
      <c r="AM13" s="549">
        <v>23.834299999999999</v>
      </c>
      <c r="AN13" s="549">
        <v>21.838799999999999</v>
      </c>
      <c r="AO13" s="549">
        <v>22.4147</v>
      </c>
      <c r="AP13" s="549">
        <v>22.4068</v>
      </c>
      <c r="AQ13" s="549">
        <v>21.638300000000001</v>
      </c>
      <c r="AR13" s="549">
        <v>21.396000000000001</v>
      </c>
      <c r="AS13" s="549">
        <v>20.761199999999999</v>
      </c>
      <c r="AT13" s="549">
        <v>19.908300000000001</v>
      </c>
      <c r="AU13" s="516">
        <v>7</v>
      </c>
      <c r="AX13" s="516">
        <v>7</v>
      </c>
      <c r="AY13" s="535">
        <v>19.607299999999999</v>
      </c>
      <c r="AZ13" s="535">
        <v>19.0824</v>
      </c>
      <c r="BA13" s="537">
        <v>19.259699999999999</v>
      </c>
      <c r="BB13" s="535">
        <v>19.172799999999999</v>
      </c>
      <c r="BC13" s="535">
        <v>19.001200000000001</v>
      </c>
      <c r="BD13" s="535">
        <v>19.541799999999999</v>
      </c>
      <c r="BE13" s="535">
        <v>18.994700000000002</v>
      </c>
      <c r="BF13" s="535">
        <v>19.5731</v>
      </c>
      <c r="BG13" s="535">
        <v>19.683399999999999</v>
      </c>
      <c r="BH13" s="535">
        <v>19.736799999999999</v>
      </c>
      <c r="BI13" s="535">
        <v>19.212499999999999</v>
      </c>
      <c r="BJ13" s="535">
        <v>19.3688</v>
      </c>
      <c r="BK13" s="516">
        <v>7</v>
      </c>
      <c r="BN13" s="516">
        <v>7</v>
      </c>
      <c r="BO13" s="535">
        <v>19.242699999999999</v>
      </c>
      <c r="BP13" s="535">
        <v>18.524799999999999</v>
      </c>
      <c r="BQ13" s="537">
        <v>18.883800000000001</v>
      </c>
      <c r="BR13" s="535">
        <v>18.1081</v>
      </c>
      <c r="BS13" s="535">
        <v>19.122299999999999</v>
      </c>
      <c r="BT13" s="535">
        <v>20.386299999999999</v>
      </c>
      <c r="BU13" s="535">
        <v>19.251300000000001</v>
      </c>
      <c r="BV13" s="535">
        <v>18.572500000000002</v>
      </c>
      <c r="BW13" s="535">
        <v>19.443300000000001</v>
      </c>
      <c r="BX13" s="535">
        <v>19.1328</v>
      </c>
      <c r="BY13" s="535">
        <v>19.9636</v>
      </c>
      <c r="BZ13" s="535">
        <v>20.5672</v>
      </c>
      <c r="CA13" s="516">
        <v>7</v>
      </c>
      <c r="CD13" s="516">
        <v>7</v>
      </c>
      <c r="CE13" s="535">
        <v>21.366099999999999</v>
      </c>
      <c r="CF13" s="535">
        <v>20.575700000000001</v>
      </c>
      <c r="CG13" s="535">
        <v>19.614699999999999</v>
      </c>
      <c r="CH13" s="535">
        <v>18.719200000000001</v>
      </c>
      <c r="CI13" s="535">
        <v>18.803100000000001</v>
      </c>
      <c r="CJ13" s="535">
        <v>18.381900000000002</v>
      </c>
      <c r="CK13" s="535">
        <v>18.355599999999999</v>
      </c>
      <c r="CL13" s="535">
        <v>17.8733</v>
      </c>
      <c r="CM13" s="535">
        <v>17.835999999999999</v>
      </c>
      <c r="CN13" s="535">
        <v>18.306000000000001</v>
      </c>
      <c r="CO13" s="535">
        <v>19.184999999999999</v>
      </c>
      <c r="CP13" s="535">
        <v>18.695799999999998</v>
      </c>
      <c r="CQ13" s="516">
        <v>7</v>
      </c>
      <c r="CT13" s="516">
        <v>7</v>
      </c>
      <c r="CU13" s="535">
        <v>17.345600000000001</v>
      </c>
      <c r="CV13" s="535">
        <v>18.1891</v>
      </c>
      <c r="CW13" s="535">
        <v>17.897099999999998</v>
      </c>
      <c r="CX13" s="535">
        <v>17.725200000000001</v>
      </c>
      <c r="CY13" s="535">
        <v>17.735800000000001</v>
      </c>
      <c r="CZ13" s="535">
        <v>18.628299999999999</v>
      </c>
      <c r="DA13" s="535">
        <v>18.753599999999999</v>
      </c>
      <c r="DB13" s="535">
        <v>18.8612</v>
      </c>
      <c r="DC13" s="535">
        <v>18.5581</v>
      </c>
      <c r="DD13" s="535">
        <v>19.255400000000002</v>
      </c>
      <c r="DE13" s="535">
        <v>19.2014</v>
      </c>
      <c r="DF13" s="535">
        <v>20.592700000000001</v>
      </c>
      <c r="DG13" s="516">
        <v>7</v>
      </c>
      <c r="DJ13" s="516">
        <v>7</v>
      </c>
      <c r="DK13" s="535">
        <v>14.946899999999999</v>
      </c>
      <c r="DL13" s="535">
        <v>14.754799999999999</v>
      </c>
      <c r="DM13" s="535">
        <v>15.1686</v>
      </c>
      <c r="DN13" s="535">
        <v>15.1206</v>
      </c>
      <c r="DO13" s="535">
        <v>15.3225</v>
      </c>
      <c r="DP13" s="535">
        <v>15.4833</v>
      </c>
      <c r="DQ13" s="535">
        <v>15.691800000000001</v>
      </c>
      <c r="DR13" s="535">
        <v>16.376200000000001</v>
      </c>
      <c r="DS13" s="535">
        <v>16.791799999999999</v>
      </c>
      <c r="DT13" s="535">
        <v>16.694099999999999</v>
      </c>
      <c r="DU13" s="535">
        <v>16.5959</v>
      </c>
      <c r="DV13" s="535">
        <v>16.709499999999998</v>
      </c>
      <c r="DW13" s="516">
        <v>7</v>
      </c>
      <c r="DZ13" s="516">
        <v>7</v>
      </c>
      <c r="EA13" s="535">
        <v>13.091100000000001</v>
      </c>
      <c r="EB13" s="535">
        <v>13.3705</v>
      </c>
      <c r="EC13" s="535">
        <v>13.251899999999999</v>
      </c>
      <c r="ED13" s="535">
        <v>13.132400000000001</v>
      </c>
      <c r="EE13" s="535">
        <v>13.010199999999999</v>
      </c>
      <c r="EF13" s="535">
        <v>12.886799999999999</v>
      </c>
      <c r="EG13" s="535">
        <v>12.982900000000001</v>
      </c>
      <c r="EH13" s="535">
        <v>13.271599999999999</v>
      </c>
      <c r="EI13" s="535">
        <v>13.0959</v>
      </c>
      <c r="EJ13" s="535">
        <v>13.483499999999999</v>
      </c>
      <c r="EK13" s="535">
        <v>13.606999999999999</v>
      </c>
      <c r="EL13" s="535">
        <v>14.1165</v>
      </c>
      <c r="EM13" s="516">
        <v>7</v>
      </c>
      <c r="EP13" s="516">
        <v>7</v>
      </c>
      <c r="EQ13" s="535">
        <v>12.743</v>
      </c>
      <c r="ER13" s="535">
        <v>12.6294</v>
      </c>
      <c r="ES13" s="535">
        <v>12.7355</v>
      </c>
      <c r="ET13" s="535">
        <v>12.319699999999999</v>
      </c>
      <c r="EU13" s="535">
        <v>12.085100000000001</v>
      </c>
      <c r="EV13" s="535">
        <v>12.816700000000001</v>
      </c>
      <c r="EW13" s="535">
        <v>12.8902</v>
      </c>
      <c r="EX13" s="535">
        <v>12.6759</v>
      </c>
      <c r="EY13" s="535">
        <v>13.4079</v>
      </c>
      <c r="EZ13" s="535">
        <v>13.266299999999999</v>
      </c>
      <c r="FA13" s="535">
        <v>13.1341</v>
      </c>
      <c r="FB13" s="535">
        <v>13.005699999999999</v>
      </c>
      <c r="FC13" s="516">
        <v>7</v>
      </c>
      <c r="FF13" s="516">
        <v>7</v>
      </c>
      <c r="FG13" s="535">
        <v>13.7409</v>
      </c>
      <c r="FH13" s="535">
        <v>12.803800000000001</v>
      </c>
      <c r="FI13" s="535">
        <v>12.8339</v>
      </c>
      <c r="FJ13" s="535">
        <v>12.7317</v>
      </c>
      <c r="FK13" s="535">
        <v>12.9725</v>
      </c>
      <c r="FL13" s="535">
        <v>14.2319</v>
      </c>
      <c r="FM13" s="535">
        <v>13.3508</v>
      </c>
      <c r="FN13" s="535">
        <v>13.1357</v>
      </c>
      <c r="FO13" s="535">
        <v>13.1221</v>
      </c>
      <c r="FP13" s="535">
        <v>12.758900000000001</v>
      </c>
      <c r="FQ13" s="535">
        <v>13.0449</v>
      </c>
      <c r="FR13" s="535">
        <v>12.9284</v>
      </c>
      <c r="FS13" s="516">
        <v>7</v>
      </c>
      <c r="FV13" s="516">
        <v>7</v>
      </c>
      <c r="FW13" s="535">
        <v>12.2064</v>
      </c>
      <c r="FX13" s="535">
        <v>12.049899999999999</v>
      </c>
      <c r="FY13" s="535">
        <v>12.036799999999999</v>
      </c>
      <c r="FZ13" s="535">
        <v>11.8322</v>
      </c>
      <c r="GA13" s="535">
        <v>11.6934</v>
      </c>
      <c r="GB13" s="535">
        <v>11.668900000000001</v>
      </c>
      <c r="GC13" s="535">
        <v>11.619400000000001</v>
      </c>
      <c r="GD13" s="535">
        <v>11.952299999999999</v>
      </c>
      <c r="GE13" s="535">
        <v>12.535299999999999</v>
      </c>
      <c r="GF13" s="535">
        <v>13.6675</v>
      </c>
      <c r="GG13" s="535">
        <v>13.412800000000001</v>
      </c>
      <c r="GH13" s="535">
        <v>13.4786</v>
      </c>
      <c r="GI13" s="516">
        <v>7</v>
      </c>
      <c r="GL13" s="516">
        <v>7</v>
      </c>
      <c r="GM13" s="535">
        <v>12.8241</v>
      </c>
      <c r="GN13" s="535">
        <v>13.0687</v>
      </c>
      <c r="GO13" s="535">
        <v>12.7182</v>
      </c>
      <c r="GP13" s="535">
        <v>12.2658</v>
      </c>
      <c r="GQ13" s="535">
        <v>12.663500000000001</v>
      </c>
      <c r="GR13" s="535">
        <v>12.7644</v>
      </c>
      <c r="GS13" s="535">
        <v>13.0953</v>
      </c>
      <c r="GT13" s="535">
        <v>12.5367</v>
      </c>
      <c r="GU13" s="535">
        <v>12.9526</v>
      </c>
      <c r="GV13" s="535">
        <v>12.5099</v>
      </c>
      <c r="GW13" s="535">
        <v>12.238099999999999</v>
      </c>
      <c r="GX13" s="535">
        <v>12.3597</v>
      </c>
      <c r="GY13" s="516">
        <v>7</v>
      </c>
      <c r="HB13" s="516">
        <v>7</v>
      </c>
      <c r="HC13" s="535">
        <v>13.550700000000001</v>
      </c>
      <c r="HD13" s="535">
        <v>14.294499999999999</v>
      </c>
      <c r="HE13" s="535">
        <v>15.285500000000001</v>
      </c>
      <c r="HF13" s="535">
        <v>13.6137</v>
      </c>
      <c r="HG13" s="535">
        <v>13.2242</v>
      </c>
      <c r="HH13" s="535">
        <v>13.2675</v>
      </c>
      <c r="HI13" s="535">
        <v>13.242800000000001</v>
      </c>
      <c r="HJ13" s="535">
        <v>13.105</v>
      </c>
      <c r="HK13" s="535">
        <v>13.5898</v>
      </c>
      <c r="HL13" s="535">
        <v>13.654999999999999</v>
      </c>
      <c r="HM13" s="535">
        <v>13.343</v>
      </c>
      <c r="HN13" s="535">
        <v>12.665800000000001</v>
      </c>
      <c r="HO13" s="516">
        <v>7</v>
      </c>
      <c r="HP13" s="536"/>
      <c r="HQ13" s="536"/>
      <c r="HR13" s="516">
        <v>7</v>
      </c>
      <c r="HS13" s="535">
        <v>10.8842</v>
      </c>
      <c r="HT13" s="535">
        <v>10.828900000000001</v>
      </c>
      <c r="HU13" s="535">
        <v>10.697800000000001</v>
      </c>
      <c r="HV13" s="535">
        <v>10.564399999999999</v>
      </c>
      <c r="HW13" s="535">
        <v>10.4687</v>
      </c>
      <c r="HX13" s="535">
        <v>10.3108</v>
      </c>
      <c r="HY13" s="535">
        <v>10.369199999999999</v>
      </c>
      <c r="HZ13" s="535">
        <v>9.9179999999999993</v>
      </c>
      <c r="IA13" s="535">
        <v>10.4658</v>
      </c>
      <c r="IB13" s="535">
        <v>11.1188</v>
      </c>
      <c r="IC13" s="535">
        <v>12.604200000000001</v>
      </c>
      <c r="ID13" s="535">
        <v>13.5358</v>
      </c>
      <c r="IE13" s="516">
        <v>7</v>
      </c>
      <c r="IF13" s="536"/>
      <c r="IG13" s="536"/>
      <c r="IH13" s="516">
        <v>7</v>
      </c>
      <c r="II13" s="535">
        <v>10.865</v>
      </c>
      <c r="IJ13" s="535">
        <v>10.992100000000001</v>
      </c>
      <c r="IK13" s="535">
        <v>11.1762</v>
      </c>
      <c r="IL13" s="535">
        <v>10.979699999999999</v>
      </c>
      <c r="IM13" s="535">
        <v>10.901999999999999</v>
      </c>
      <c r="IN13" s="535">
        <v>10.780900000000001</v>
      </c>
      <c r="IO13" s="535">
        <v>10.7936</v>
      </c>
      <c r="IP13" s="535">
        <v>10.967700000000001</v>
      </c>
      <c r="IQ13" s="535">
        <v>11.0848</v>
      </c>
      <c r="IR13" s="535">
        <v>10.8963</v>
      </c>
      <c r="IS13" s="535">
        <v>10.7308</v>
      </c>
      <c r="IT13" s="535">
        <v>10.8592</v>
      </c>
      <c r="IU13" s="516">
        <v>7</v>
      </c>
      <c r="IV13" s="536"/>
      <c r="IW13" s="536"/>
      <c r="IX13" s="516">
        <v>7</v>
      </c>
      <c r="IY13" s="535">
        <v>10.5907</v>
      </c>
      <c r="IZ13" s="535">
        <v>10.480499999999999</v>
      </c>
      <c r="JA13" s="535">
        <v>10.575900000000001</v>
      </c>
      <c r="JB13" s="535">
        <v>10.9467</v>
      </c>
      <c r="JC13" s="535">
        <v>10.9694</v>
      </c>
      <c r="JD13" s="535">
        <v>11.285399999999999</v>
      </c>
      <c r="JE13" s="535">
        <v>11.190099999999999</v>
      </c>
      <c r="JF13" s="535">
        <v>10.9802</v>
      </c>
      <c r="JG13" s="535">
        <v>10.8438</v>
      </c>
      <c r="JH13" s="535">
        <v>11.0185</v>
      </c>
      <c r="JI13" s="535">
        <v>10.7948</v>
      </c>
      <c r="JJ13" s="535">
        <v>10.894</v>
      </c>
      <c r="JK13" s="516">
        <v>7</v>
      </c>
      <c r="JL13" s="536"/>
      <c r="JM13" s="536"/>
      <c r="JN13" s="516">
        <v>7</v>
      </c>
      <c r="JO13" s="535">
        <v>11.341799999999999</v>
      </c>
      <c r="JP13" s="535">
        <v>11.1683</v>
      </c>
      <c r="JQ13" s="535">
        <v>11.0837</v>
      </c>
      <c r="JR13" s="535">
        <v>11.217599999999999</v>
      </c>
      <c r="JS13" s="535">
        <v>10.948700000000001</v>
      </c>
      <c r="JT13" s="535">
        <v>10.8179</v>
      </c>
      <c r="JU13" s="535">
        <v>10.7555</v>
      </c>
      <c r="JV13" s="535">
        <v>10.5831</v>
      </c>
      <c r="JW13" s="535">
        <v>10.668900000000001</v>
      </c>
      <c r="JX13" s="535">
        <v>10.711499999999999</v>
      </c>
      <c r="JY13" s="535">
        <v>10.7218</v>
      </c>
      <c r="JZ13" s="535">
        <v>10.4741</v>
      </c>
      <c r="KA13" s="516">
        <v>7</v>
      </c>
      <c r="KB13" s="536"/>
      <c r="KC13" s="536"/>
      <c r="KD13" s="516">
        <v>7</v>
      </c>
      <c r="KE13" s="535">
        <v>10.980499999999999</v>
      </c>
      <c r="KF13" s="535">
        <v>11.0608</v>
      </c>
      <c r="KG13" s="535">
        <v>10.9955</v>
      </c>
      <c r="KH13" s="535">
        <v>11.159800000000001</v>
      </c>
      <c r="KI13" s="535">
        <v>11.3887</v>
      </c>
      <c r="KJ13" s="535">
        <v>11.4373</v>
      </c>
      <c r="KK13" s="535">
        <v>11.443199999999999</v>
      </c>
      <c r="KL13" s="535">
        <v>11.457000000000001</v>
      </c>
      <c r="KM13" s="535">
        <v>11.527900000000001</v>
      </c>
      <c r="KN13" s="535">
        <v>11.3149</v>
      </c>
      <c r="KO13" s="535">
        <v>11.411799999999999</v>
      </c>
      <c r="KP13" s="535">
        <v>11.1213</v>
      </c>
      <c r="KQ13" s="516">
        <v>7</v>
      </c>
      <c r="KR13" s="536"/>
      <c r="KS13" s="536"/>
      <c r="KT13" s="516">
        <v>7</v>
      </c>
      <c r="KU13" s="535">
        <v>10.3856</v>
      </c>
      <c r="KV13" s="535">
        <v>10.982200000000001</v>
      </c>
      <c r="KW13" s="535">
        <v>11.1927</v>
      </c>
      <c r="KX13" s="535">
        <v>10.661899999999999</v>
      </c>
      <c r="KY13" s="535">
        <v>10.181699999999999</v>
      </c>
      <c r="KZ13" s="535">
        <v>10.559799999999999</v>
      </c>
      <c r="LA13" s="535">
        <v>10.446999999999999</v>
      </c>
      <c r="LB13" s="535">
        <v>10.7117</v>
      </c>
      <c r="LC13" s="535">
        <v>10.8575</v>
      </c>
      <c r="LD13" s="535">
        <v>11.247299999999999</v>
      </c>
      <c r="LE13" s="535">
        <v>10.982900000000001</v>
      </c>
      <c r="LF13" s="535">
        <v>11.2224</v>
      </c>
      <c r="LG13" s="516">
        <v>7</v>
      </c>
      <c r="LH13" s="536"/>
      <c r="LI13" s="536"/>
      <c r="LJ13" s="516">
        <v>7</v>
      </c>
      <c r="LK13" s="535">
        <v>9.1142000000000003</v>
      </c>
      <c r="LL13" s="535">
        <v>9.1626999999999992</v>
      </c>
      <c r="LM13" s="535">
        <v>9.077</v>
      </c>
      <c r="LN13" s="535">
        <v>9.0467999999999993</v>
      </c>
      <c r="LO13" s="535">
        <v>9.4977999999999998</v>
      </c>
      <c r="LP13" s="535">
        <v>9.7345000000000006</v>
      </c>
      <c r="LQ13" s="535">
        <v>9.9502000000000006</v>
      </c>
      <c r="LR13" s="535">
        <v>9.7927999999999997</v>
      </c>
      <c r="LS13" s="535">
        <v>10.008599999999999</v>
      </c>
      <c r="LT13" s="535">
        <v>10.139799999999999</v>
      </c>
      <c r="LU13" s="535">
        <v>10.209899999999999</v>
      </c>
      <c r="LV13" s="535">
        <v>10.245200000000001</v>
      </c>
      <c r="LW13" s="516">
        <v>7</v>
      </c>
      <c r="LX13" s="536"/>
      <c r="LY13" s="536"/>
      <c r="LZ13" s="516">
        <v>7</v>
      </c>
      <c r="MA13" s="535">
        <v>9.7080000000000002</v>
      </c>
      <c r="MB13" s="535">
        <v>9.7560000000000002</v>
      </c>
      <c r="MC13" s="535">
        <v>9.6370000000000005</v>
      </c>
      <c r="MD13" s="535">
        <v>9.4139999999999997</v>
      </c>
      <c r="ME13" s="535">
        <v>9.2873000000000001</v>
      </c>
      <c r="MF13" s="535">
        <v>9.1722000000000001</v>
      </c>
      <c r="MG13" s="535">
        <v>9.0312000000000001</v>
      </c>
      <c r="MH13" s="535">
        <v>9.1638000000000002</v>
      </c>
      <c r="MI13" s="535">
        <v>9.2586999999999993</v>
      </c>
      <c r="MJ13" s="535">
        <v>9.5243000000000002</v>
      </c>
      <c r="MK13" s="535">
        <v>9.2220999999999993</v>
      </c>
      <c r="ML13" s="535">
        <v>9.2164999999999999</v>
      </c>
      <c r="MM13" s="516">
        <v>7</v>
      </c>
      <c r="MN13" s="536"/>
      <c r="MO13" s="536"/>
      <c r="MP13" s="516">
        <v>7</v>
      </c>
      <c r="MQ13" s="535">
        <v>9.5455000000000005</v>
      </c>
      <c r="MR13" s="535">
        <v>9.5010999999999992</v>
      </c>
      <c r="MS13" s="535">
        <v>9.3115000000000006</v>
      </c>
      <c r="MT13" s="535">
        <v>9.3834999999999997</v>
      </c>
      <c r="MU13" s="535">
        <v>9.3848000000000003</v>
      </c>
      <c r="MV13" s="535">
        <v>9.5442</v>
      </c>
      <c r="MW13" s="535">
        <v>9.5383999999999993</v>
      </c>
      <c r="MX13" s="535">
        <v>9.3880999999999997</v>
      </c>
      <c r="MY13" s="535">
        <v>9.2612000000000005</v>
      </c>
      <c r="MZ13" s="535">
        <v>9.4514999999999993</v>
      </c>
      <c r="NA13" s="535">
        <v>9.5990000000000002</v>
      </c>
      <c r="NB13" s="535">
        <v>9.3736999999999995</v>
      </c>
      <c r="NC13" s="516">
        <v>7</v>
      </c>
      <c r="ND13" s="536"/>
      <c r="NE13" s="536"/>
      <c r="NF13" s="516">
        <v>7</v>
      </c>
      <c r="NG13" s="535">
        <v>9.7920999999999996</v>
      </c>
      <c r="NH13" s="535">
        <v>10.113799999999999</v>
      </c>
      <c r="NI13" s="535">
        <v>9.9334000000000007</v>
      </c>
      <c r="NJ13" s="535">
        <v>9.4817999999999998</v>
      </c>
      <c r="NK13" s="535">
        <v>9.2749000000000006</v>
      </c>
      <c r="NL13" s="535">
        <v>9.6545000000000005</v>
      </c>
      <c r="NM13" s="535">
        <v>9.3167000000000009</v>
      </c>
      <c r="NN13" s="535">
        <v>9.5097000000000005</v>
      </c>
      <c r="NO13" s="535">
        <v>9.3382000000000005</v>
      </c>
      <c r="NP13" s="535">
        <v>9.4757999999999996</v>
      </c>
      <c r="NQ13" s="535">
        <v>9.4711999999999996</v>
      </c>
      <c r="NR13" s="535">
        <v>9.4941999999999993</v>
      </c>
      <c r="NS13" s="516">
        <v>7</v>
      </c>
      <c r="NT13" s="536"/>
      <c r="NU13" s="536"/>
      <c r="NV13" s="516">
        <v>7</v>
      </c>
      <c r="NW13" s="535">
        <v>8.0422999999999991</v>
      </c>
      <c r="NX13" s="535">
        <v>8.4135000000000009</v>
      </c>
      <c r="NY13" s="535">
        <v>8.6202000000000005</v>
      </c>
      <c r="NZ13" s="535">
        <v>8.5410000000000004</v>
      </c>
      <c r="OA13" s="535">
        <v>8.4770000000000003</v>
      </c>
      <c r="OB13" s="535">
        <v>8.7803000000000004</v>
      </c>
      <c r="OC13" s="535">
        <v>8.9497</v>
      </c>
      <c r="OD13" s="535">
        <v>9.0061999999999998</v>
      </c>
      <c r="OE13" s="535">
        <v>10.107200000000001</v>
      </c>
      <c r="OF13" s="535">
        <v>10.218</v>
      </c>
      <c r="OG13" s="535">
        <v>9.9885999999999999</v>
      </c>
      <c r="OH13" s="535">
        <v>9.9876000000000005</v>
      </c>
      <c r="OI13" s="516">
        <v>7</v>
      </c>
      <c r="OJ13" s="536"/>
      <c r="OK13" s="536"/>
      <c r="OL13" s="516">
        <v>7</v>
      </c>
      <c r="OM13" s="535">
        <v>7.8663999999999996</v>
      </c>
      <c r="ON13" s="535">
        <v>7.8322000000000003</v>
      </c>
      <c r="OO13" s="535">
        <v>8.0437999999999992</v>
      </c>
      <c r="OP13" s="535">
        <v>7.9720000000000004</v>
      </c>
      <c r="OQ13" s="535">
        <v>7.9112999999999998</v>
      </c>
      <c r="OR13" s="535">
        <v>7.9481999999999999</v>
      </c>
      <c r="OS13" s="535">
        <v>7.9497</v>
      </c>
      <c r="OT13" s="535">
        <v>7.8051000000000004</v>
      </c>
      <c r="OU13" s="535">
        <v>7.7881999999999998</v>
      </c>
      <c r="OV13" s="535">
        <v>7.7561999999999998</v>
      </c>
      <c r="OW13" s="535">
        <v>8.1659000000000006</v>
      </c>
      <c r="OX13" s="535">
        <v>8.1057000000000006</v>
      </c>
      <c r="OY13" s="516">
        <v>7</v>
      </c>
      <c r="OZ13" s="536"/>
      <c r="PA13" s="536"/>
      <c r="PB13" s="516">
        <v>7</v>
      </c>
      <c r="PC13" s="535">
        <v>7.57</v>
      </c>
      <c r="PD13" s="535">
        <v>7.4241000000000001</v>
      </c>
      <c r="PE13" s="535">
        <v>7.5862999999999996</v>
      </c>
      <c r="PF13" s="535">
        <v>7.5110000000000001</v>
      </c>
      <c r="PG13" s="535">
        <v>7.4748999999999999</v>
      </c>
      <c r="PH13" s="535">
        <v>7.4650999999999996</v>
      </c>
      <c r="PI13" s="535">
        <v>7.6093000000000002</v>
      </c>
      <c r="PJ13" s="535">
        <v>7.5503999999999998</v>
      </c>
      <c r="PK13" s="535">
        <v>7.5995999999999997</v>
      </c>
      <c r="PL13" s="535">
        <v>7.5301999999999998</v>
      </c>
      <c r="PM13" s="535">
        <v>7.8920000000000003</v>
      </c>
      <c r="PN13" s="535">
        <v>7.8884999999999996</v>
      </c>
      <c r="PO13" s="516">
        <v>7</v>
      </c>
      <c r="PP13" s="536"/>
      <c r="PQ13" s="536"/>
      <c r="PR13" s="516">
        <v>7</v>
      </c>
      <c r="PS13" s="535">
        <v>5.39</v>
      </c>
      <c r="PT13" s="535">
        <v>5.3775000000000004</v>
      </c>
      <c r="PU13" s="535">
        <v>6.0724999999999998</v>
      </c>
      <c r="PV13" s="535">
        <v>6.4850000000000003</v>
      </c>
      <c r="PW13" s="535">
        <v>5.8692000000000002</v>
      </c>
      <c r="PX13" s="535">
        <v>6.1407999999999996</v>
      </c>
      <c r="PY13" s="535">
        <v>6.2633000000000001</v>
      </c>
      <c r="PZ13" s="535">
        <v>6.1257999999999999</v>
      </c>
      <c r="QA13" s="535">
        <v>6.2336999999999998</v>
      </c>
      <c r="QB13" s="535">
        <v>6.5425000000000004</v>
      </c>
      <c r="QC13" s="535">
        <v>7.6849999999999996</v>
      </c>
      <c r="QD13" s="535">
        <v>7.6707999999999998</v>
      </c>
      <c r="QE13" s="516">
        <v>7</v>
      </c>
      <c r="QF13" s="536"/>
      <c r="QG13" s="536"/>
      <c r="QH13" s="516">
        <v>7</v>
      </c>
      <c r="QI13" s="535">
        <v>3.1059999999999999</v>
      </c>
      <c r="QJ13" s="535">
        <v>3.1055999999999999</v>
      </c>
      <c r="QK13" s="535">
        <v>3.2513000000000001</v>
      </c>
      <c r="QL13" s="535">
        <v>3.363</v>
      </c>
      <c r="QM13" s="535">
        <v>3.3052999999999999</v>
      </c>
      <c r="QN13" s="535">
        <v>3.3243</v>
      </c>
      <c r="QO13" s="535">
        <v>3.3994</v>
      </c>
      <c r="QP13" s="535">
        <v>3.3780999999999999</v>
      </c>
      <c r="QQ13" s="535">
        <v>3.3896000000000002</v>
      </c>
      <c r="QR13" s="535">
        <v>3.4127999999999998</v>
      </c>
      <c r="QS13" s="535">
        <v>3.4350000000000001</v>
      </c>
      <c r="QT13" s="535">
        <v>3.4418000000000002</v>
      </c>
      <c r="QU13" s="516">
        <v>7</v>
      </c>
      <c r="QV13" s="536"/>
      <c r="QW13" s="536"/>
      <c r="QX13" s="516">
        <v>7</v>
      </c>
      <c r="QY13" s="535">
        <v>3.1179999999999999</v>
      </c>
      <c r="QZ13" s="535">
        <v>3.1017000000000001</v>
      </c>
      <c r="RA13" s="535">
        <v>3.0960999999999999</v>
      </c>
      <c r="RB13" s="535">
        <v>3.0937000000000001</v>
      </c>
      <c r="RC13" s="535">
        <v>3.1246</v>
      </c>
      <c r="RD13" s="535">
        <v>3.125</v>
      </c>
      <c r="RE13" s="535">
        <v>3.1223999999999998</v>
      </c>
      <c r="RF13" s="535">
        <v>3.1149</v>
      </c>
      <c r="RG13" s="535">
        <v>3.1139000000000001</v>
      </c>
      <c r="RH13" s="535">
        <v>3.1147999999999998</v>
      </c>
      <c r="RI13" s="535">
        <v>3.1476000000000002</v>
      </c>
      <c r="RJ13" s="535">
        <v>3.1036000000000001</v>
      </c>
      <c r="RK13" s="516">
        <v>7</v>
      </c>
      <c r="RL13" s="536"/>
      <c r="RM13" s="536"/>
      <c r="RN13" s="516">
        <v>7</v>
      </c>
      <c r="RO13" s="535">
        <v>3.0743999999999998</v>
      </c>
      <c r="RP13" s="535">
        <v>3.0644999999999998</v>
      </c>
      <c r="RQ13" s="535">
        <v>3.0609000000000002</v>
      </c>
      <c r="RR13" s="535">
        <v>3.0609000000000002</v>
      </c>
      <c r="RS13" s="535">
        <v>3.0815999999999999</v>
      </c>
      <c r="RT13" s="535">
        <v>3.1179000000000001</v>
      </c>
      <c r="RU13" s="535">
        <v>3.1179000000000001</v>
      </c>
      <c r="RV13" s="535">
        <v>3.1084000000000001</v>
      </c>
      <c r="RW13" s="535">
        <v>3.0699000000000001</v>
      </c>
      <c r="RX13" s="535">
        <v>3.113</v>
      </c>
      <c r="RY13" s="535">
        <v>3.1253000000000002</v>
      </c>
      <c r="RZ13" s="535">
        <v>3.1139000000000001</v>
      </c>
      <c r="SA13" s="516">
        <v>7</v>
      </c>
      <c r="SB13" s="536"/>
      <c r="SC13" s="536"/>
      <c r="SD13" s="516">
        <v>7</v>
      </c>
      <c r="SE13" s="535">
        <v>2.9478</v>
      </c>
      <c r="SF13" s="535">
        <v>2.9609999999999999</v>
      </c>
      <c r="SG13" s="535">
        <v>2.9722</v>
      </c>
      <c r="SH13" s="535">
        <v>2.9842</v>
      </c>
      <c r="SI13" s="535">
        <v>2.9958</v>
      </c>
      <c r="SJ13" s="535">
        <v>3.0089999999999999</v>
      </c>
      <c r="SK13" s="535">
        <v>3.0206</v>
      </c>
      <c r="SL13" s="535">
        <v>3.0333999999999999</v>
      </c>
      <c r="SM13" s="535">
        <v>3.0457999999999998</v>
      </c>
      <c r="SN13" s="535">
        <v>3.0586000000000002</v>
      </c>
      <c r="SO13" s="535">
        <v>3.0710000000000002</v>
      </c>
      <c r="SP13" s="535">
        <v>3.0653800000000002</v>
      </c>
      <c r="SQ13" s="516">
        <v>7</v>
      </c>
      <c r="SR13" s="536"/>
      <c r="SS13" s="536"/>
      <c r="ST13" s="516">
        <v>7</v>
      </c>
      <c r="SU13" s="535">
        <v>2.6480000000000001</v>
      </c>
      <c r="SV13" s="535">
        <v>2.68</v>
      </c>
      <c r="SW13" s="535">
        <v>2.7080000000000002</v>
      </c>
      <c r="SX13" s="535">
        <v>2.7389999999999999</v>
      </c>
      <c r="SY13" s="535">
        <v>2.7669999999999999</v>
      </c>
      <c r="SZ13" s="535">
        <v>2.7986</v>
      </c>
      <c r="TA13" s="535">
        <v>2.8226</v>
      </c>
      <c r="TB13" s="535">
        <v>2.8458000000000001</v>
      </c>
      <c r="TC13" s="535">
        <v>2.8721999999999999</v>
      </c>
      <c r="TD13" s="535">
        <v>2.8954</v>
      </c>
      <c r="TE13" s="535">
        <v>2.9209999999999998</v>
      </c>
      <c r="TF13" s="535">
        <v>2.9361999999999999</v>
      </c>
      <c r="TG13" s="516">
        <v>7</v>
      </c>
      <c r="TH13" s="536"/>
      <c r="TI13" s="536"/>
      <c r="TJ13" s="516">
        <v>7</v>
      </c>
      <c r="TK13" s="535">
        <v>2.2839999999999998</v>
      </c>
      <c r="TL13" s="535">
        <v>2.3130000000000002</v>
      </c>
      <c r="TM13" s="535">
        <v>2.3410000000000002</v>
      </c>
      <c r="TN13" s="535">
        <v>2.3740000000000001</v>
      </c>
      <c r="TO13" s="535">
        <v>2.403</v>
      </c>
      <c r="TP13" s="535">
        <v>2.4350000000000001</v>
      </c>
      <c r="TQ13" s="535">
        <v>2.4649999999999999</v>
      </c>
      <c r="TR13" s="535">
        <v>2.4940000000000002</v>
      </c>
      <c r="TS13" s="535">
        <v>2.5270000000000001</v>
      </c>
      <c r="TT13" s="535">
        <v>2.5569999999999999</v>
      </c>
      <c r="TU13" s="535">
        <v>2.5859999999999999</v>
      </c>
      <c r="TV13" s="535">
        <v>2.6179999999999999</v>
      </c>
      <c r="TW13" s="516">
        <v>7</v>
      </c>
    </row>
    <row r="14" spans="2:543" s="4" customFormat="1" ht="23" customHeight="1">
      <c r="B14" s="516">
        <v>8</v>
      </c>
      <c r="C14" s="549">
        <v>20.4588</v>
      </c>
      <c r="D14" s="549">
        <v>20.5562</v>
      </c>
      <c r="E14" s="549">
        <v>20.926200000000001</v>
      </c>
      <c r="F14" s="549">
        <v>20.066500000000001</v>
      </c>
      <c r="G14" s="549">
        <v>20.253499999999999</v>
      </c>
      <c r="H14" s="549">
        <v>19.5547</v>
      </c>
      <c r="I14" s="549">
        <v>20.722799999999999</v>
      </c>
      <c r="J14" s="549">
        <v>20.335799999999999</v>
      </c>
      <c r="K14" s="549">
        <v>20.138000000000002</v>
      </c>
      <c r="L14" s="549">
        <v>20.108699999999999</v>
      </c>
      <c r="M14" s="662">
        <f t="shared" si="9"/>
        <v>19.746300000000002</v>
      </c>
      <c r="N14" s="662">
        <f t="shared" si="8"/>
        <v>19.746300000000002</v>
      </c>
      <c r="O14" s="516">
        <v>8</v>
      </c>
      <c r="R14" s="516">
        <v>8</v>
      </c>
      <c r="S14" s="549">
        <v>19.725000000000001</v>
      </c>
      <c r="T14" s="549">
        <v>20.4435</v>
      </c>
      <c r="U14" s="549">
        <v>20.849799999999998</v>
      </c>
      <c r="V14" s="549">
        <v>20.161200000000001</v>
      </c>
      <c r="W14" s="549">
        <v>20.183800000000002</v>
      </c>
      <c r="X14" s="549">
        <v>19.9328</v>
      </c>
      <c r="Y14" s="549">
        <v>19.965800000000002</v>
      </c>
      <c r="Z14" s="549">
        <v>19.929300000000001</v>
      </c>
      <c r="AA14" s="549">
        <v>19.887799999999999</v>
      </c>
      <c r="AB14" s="549">
        <v>20.694700000000001</v>
      </c>
      <c r="AC14" s="549">
        <v>20.624199999999998</v>
      </c>
      <c r="AD14" s="549">
        <v>21.204699999999999</v>
      </c>
      <c r="AE14" s="516">
        <v>8</v>
      </c>
      <c r="AH14" s="516">
        <v>8</v>
      </c>
      <c r="AI14" s="549">
        <v>18.827000000000002</v>
      </c>
      <c r="AJ14" s="549">
        <v>18.6645</v>
      </c>
      <c r="AK14" s="549">
        <v>19.8095</v>
      </c>
      <c r="AL14" s="549">
        <v>24.689499999999999</v>
      </c>
      <c r="AM14" s="549">
        <v>24.2942</v>
      </c>
      <c r="AN14" s="549">
        <v>21.838799999999999</v>
      </c>
      <c r="AO14" s="549">
        <v>22.280799999999999</v>
      </c>
      <c r="AP14" s="549">
        <v>22.365200000000002</v>
      </c>
      <c r="AQ14" s="549">
        <v>21.611499999999999</v>
      </c>
      <c r="AR14" s="549">
        <v>21.450700000000001</v>
      </c>
      <c r="AS14" s="549">
        <v>20.761199999999999</v>
      </c>
      <c r="AT14" s="549">
        <v>19.783799999999999</v>
      </c>
      <c r="AU14" s="516">
        <v>8</v>
      </c>
      <c r="AX14" s="516">
        <v>8</v>
      </c>
      <c r="AY14" s="535">
        <v>19.490200000000002</v>
      </c>
      <c r="AZ14" s="535">
        <v>19.105799999999999</v>
      </c>
      <c r="BA14" s="535">
        <v>19.370799999999999</v>
      </c>
      <c r="BB14" s="535">
        <v>19.172799999999999</v>
      </c>
      <c r="BC14" s="535">
        <v>18.978100000000001</v>
      </c>
      <c r="BD14" s="535">
        <v>19.708400000000001</v>
      </c>
      <c r="BE14" s="535">
        <v>18.994700000000002</v>
      </c>
      <c r="BF14" s="535">
        <v>19.629100000000001</v>
      </c>
      <c r="BG14" s="535">
        <v>19.683399999999999</v>
      </c>
      <c r="BH14" s="535">
        <v>19.525500000000001</v>
      </c>
      <c r="BI14" s="535">
        <v>19.1953</v>
      </c>
      <c r="BJ14" s="535">
        <v>19.3688</v>
      </c>
      <c r="BK14" s="516">
        <v>8</v>
      </c>
      <c r="BN14" s="516">
        <v>8</v>
      </c>
      <c r="BO14" s="535">
        <v>19.242699999999999</v>
      </c>
      <c r="BP14" s="535">
        <v>18.700900000000001</v>
      </c>
      <c r="BQ14" s="537">
        <v>18.724599999999999</v>
      </c>
      <c r="BR14" s="535">
        <v>18.1081</v>
      </c>
      <c r="BS14" s="535">
        <v>19.201699999999999</v>
      </c>
      <c r="BT14" s="535">
        <v>20.312899999999999</v>
      </c>
      <c r="BU14" s="535">
        <v>19.251300000000001</v>
      </c>
      <c r="BV14" s="535">
        <v>18.543299999999999</v>
      </c>
      <c r="BW14" s="535">
        <v>19.354600000000001</v>
      </c>
      <c r="BX14" s="535">
        <v>19.1328</v>
      </c>
      <c r="BY14" s="535">
        <v>19.860900000000001</v>
      </c>
      <c r="BZ14" s="535">
        <v>20.470500000000001</v>
      </c>
      <c r="CA14" s="516">
        <v>8</v>
      </c>
      <c r="CD14" s="516">
        <v>8</v>
      </c>
      <c r="CE14" s="535">
        <v>21.366099999999999</v>
      </c>
      <c r="CF14" s="535">
        <v>20.343900000000001</v>
      </c>
      <c r="CG14" s="535">
        <v>19.553799999999999</v>
      </c>
      <c r="CH14" s="535">
        <v>18.769600000000001</v>
      </c>
      <c r="CI14" s="535">
        <v>18.803100000000001</v>
      </c>
      <c r="CJ14" s="535">
        <v>18.276199999999999</v>
      </c>
      <c r="CK14" s="535">
        <v>18.322700000000001</v>
      </c>
      <c r="CL14" s="535">
        <v>17.879799999999999</v>
      </c>
      <c r="CM14" s="535">
        <v>17.813600000000001</v>
      </c>
      <c r="CN14" s="535">
        <v>18.306000000000001</v>
      </c>
      <c r="CO14" s="535">
        <v>19.081399999999999</v>
      </c>
      <c r="CP14" s="535">
        <v>18.889700000000001</v>
      </c>
      <c r="CQ14" s="516">
        <v>8</v>
      </c>
      <c r="CT14" s="516">
        <v>8</v>
      </c>
      <c r="CU14" s="535">
        <v>17.441099999999999</v>
      </c>
      <c r="CV14" s="535">
        <v>18.1891</v>
      </c>
      <c r="CW14" s="535">
        <v>17.772300000000001</v>
      </c>
      <c r="CX14" s="535">
        <v>17.7286</v>
      </c>
      <c r="CY14" s="535">
        <v>17.735800000000001</v>
      </c>
      <c r="CZ14" s="535">
        <v>18.588899999999999</v>
      </c>
      <c r="DA14" s="535">
        <v>18.816099999999999</v>
      </c>
      <c r="DB14" s="535">
        <v>18.8612</v>
      </c>
      <c r="DC14" s="535">
        <v>18.352399999999999</v>
      </c>
      <c r="DD14" s="535">
        <v>19.243300000000001</v>
      </c>
      <c r="DE14" s="535">
        <v>19.0792</v>
      </c>
      <c r="DF14" s="535">
        <v>20.386299999999999</v>
      </c>
      <c r="DG14" s="516">
        <v>8</v>
      </c>
      <c r="DJ14" s="516">
        <v>8</v>
      </c>
      <c r="DK14" s="535">
        <v>14.847899999999999</v>
      </c>
      <c r="DL14" s="535">
        <v>14.754799999999999</v>
      </c>
      <c r="DM14" s="535">
        <v>15.1686</v>
      </c>
      <c r="DN14" s="535">
        <v>14.8003</v>
      </c>
      <c r="DO14" s="535">
        <v>15.282500000000001</v>
      </c>
      <c r="DP14" s="535">
        <v>15.534700000000001</v>
      </c>
      <c r="DQ14" s="535">
        <v>15.753</v>
      </c>
      <c r="DR14" s="535">
        <v>16.376200000000001</v>
      </c>
      <c r="DS14" s="535">
        <v>16.845400000000001</v>
      </c>
      <c r="DT14" s="535">
        <v>16.687799999999999</v>
      </c>
      <c r="DU14" s="535">
        <v>16.5959</v>
      </c>
      <c r="DV14" s="535">
        <v>16.675699999999999</v>
      </c>
      <c r="DW14" s="516">
        <v>8</v>
      </c>
      <c r="DZ14" s="516">
        <v>8</v>
      </c>
      <c r="EA14" s="535">
        <v>13.0905</v>
      </c>
      <c r="EB14" s="535">
        <v>13.2211</v>
      </c>
      <c r="EC14" s="535">
        <v>13.147600000000001</v>
      </c>
      <c r="ED14" s="535">
        <v>13.0345</v>
      </c>
      <c r="EE14" s="535">
        <v>13.0129</v>
      </c>
      <c r="EF14" s="535">
        <v>12.886799999999999</v>
      </c>
      <c r="EG14" s="535">
        <v>12.976800000000001</v>
      </c>
      <c r="EH14" s="535">
        <v>13.257999999999999</v>
      </c>
      <c r="EI14" s="535">
        <v>13.0959</v>
      </c>
      <c r="EJ14" s="535">
        <v>13.408899999999999</v>
      </c>
      <c r="EK14" s="535">
        <v>13.6173</v>
      </c>
      <c r="EL14" s="535">
        <v>14.1165</v>
      </c>
      <c r="EM14" s="516">
        <v>8</v>
      </c>
      <c r="EP14" s="516">
        <v>8</v>
      </c>
      <c r="EQ14" s="535">
        <v>12.7597</v>
      </c>
      <c r="ER14" s="535">
        <v>12.666399999999999</v>
      </c>
      <c r="ES14" s="535">
        <v>12.734500000000001</v>
      </c>
      <c r="ET14" s="535">
        <v>12.319699999999999</v>
      </c>
      <c r="EU14" s="535">
        <v>12.1074</v>
      </c>
      <c r="EV14" s="535">
        <v>12.9079</v>
      </c>
      <c r="EW14" s="535">
        <v>12.8902</v>
      </c>
      <c r="EX14" s="535">
        <v>12.644500000000001</v>
      </c>
      <c r="EY14" s="535">
        <v>13.4079</v>
      </c>
      <c r="EZ14" s="535">
        <v>13.0976</v>
      </c>
      <c r="FA14" s="535">
        <v>13.1388</v>
      </c>
      <c r="FB14" s="535">
        <v>13.005699999999999</v>
      </c>
      <c r="FC14" s="516">
        <v>8</v>
      </c>
      <c r="FF14" s="516">
        <v>8</v>
      </c>
      <c r="FG14" s="535">
        <v>13.7409</v>
      </c>
      <c r="FH14" s="535">
        <v>12.712</v>
      </c>
      <c r="FI14" s="535">
        <v>12.9777</v>
      </c>
      <c r="FJ14" s="535">
        <v>12.7317</v>
      </c>
      <c r="FK14" s="535">
        <v>13.134399999999999</v>
      </c>
      <c r="FL14" s="535">
        <v>14.111599999999999</v>
      </c>
      <c r="FM14" s="535">
        <v>13.3508</v>
      </c>
      <c r="FN14" s="535">
        <v>13.0708</v>
      </c>
      <c r="FO14" s="535">
        <v>13.048299999999999</v>
      </c>
      <c r="FP14" s="535">
        <v>12.758900000000001</v>
      </c>
      <c r="FQ14" s="535">
        <v>12.976900000000001</v>
      </c>
      <c r="FR14" s="535">
        <v>12.9102</v>
      </c>
      <c r="FS14" s="516">
        <v>8</v>
      </c>
      <c r="FV14" s="516">
        <v>8</v>
      </c>
      <c r="FW14" s="535">
        <v>12.2256</v>
      </c>
      <c r="FX14" s="535">
        <v>12.049899999999999</v>
      </c>
      <c r="FY14" s="535">
        <v>12.006399999999999</v>
      </c>
      <c r="FZ14" s="535">
        <v>11.7836</v>
      </c>
      <c r="GA14" s="535">
        <v>11.6934</v>
      </c>
      <c r="GB14" s="535">
        <v>11.6983</v>
      </c>
      <c r="GC14" s="535">
        <v>11.654400000000001</v>
      </c>
      <c r="GD14" s="535">
        <v>11.952299999999999</v>
      </c>
      <c r="GE14" s="535">
        <v>12.510199999999999</v>
      </c>
      <c r="GF14" s="535">
        <v>13.5341</v>
      </c>
      <c r="GG14" s="535">
        <v>13.469799999999999</v>
      </c>
      <c r="GH14" s="535">
        <v>13.497</v>
      </c>
      <c r="GI14" s="516">
        <v>8</v>
      </c>
      <c r="GL14" s="516">
        <v>8</v>
      </c>
      <c r="GM14" s="535">
        <v>12.748900000000001</v>
      </c>
      <c r="GN14" s="535">
        <v>13.0687</v>
      </c>
      <c r="GO14" s="535">
        <v>12.7182</v>
      </c>
      <c r="GP14" s="535">
        <v>12.2454</v>
      </c>
      <c r="GQ14" s="535">
        <v>12.788399999999999</v>
      </c>
      <c r="GR14" s="535">
        <v>12.860300000000001</v>
      </c>
      <c r="GS14" s="535">
        <v>12.9308</v>
      </c>
      <c r="GT14" s="535">
        <v>12.5367</v>
      </c>
      <c r="GU14" s="535">
        <v>12.939500000000001</v>
      </c>
      <c r="GV14" s="535">
        <v>12.4779</v>
      </c>
      <c r="GW14" s="535">
        <v>12.238099999999999</v>
      </c>
      <c r="GX14" s="535">
        <v>12.388400000000001</v>
      </c>
      <c r="GY14" s="516">
        <v>8</v>
      </c>
      <c r="HB14" s="516">
        <v>8</v>
      </c>
      <c r="HC14" s="535">
        <v>13.345800000000001</v>
      </c>
      <c r="HD14" s="535">
        <v>14.294499999999999</v>
      </c>
      <c r="HE14" s="535">
        <v>15.285500000000001</v>
      </c>
      <c r="HF14" s="535">
        <v>13.6325</v>
      </c>
      <c r="HG14" s="535">
        <v>13.226800000000001</v>
      </c>
      <c r="HH14" s="535">
        <v>13.2675</v>
      </c>
      <c r="HI14" s="535">
        <v>13.2547</v>
      </c>
      <c r="HJ14" s="535">
        <v>12.992599999999999</v>
      </c>
      <c r="HK14" s="535">
        <v>13.4658</v>
      </c>
      <c r="HL14" s="535">
        <v>13.494300000000001</v>
      </c>
      <c r="HM14" s="535">
        <v>13.343</v>
      </c>
      <c r="HN14" s="535">
        <v>12.5969</v>
      </c>
      <c r="HO14" s="516">
        <v>8</v>
      </c>
      <c r="HP14" s="536"/>
      <c r="HQ14" s="536"/>
      <c r="HR14" s="516">
        <v>8</v>
      </c>
      <c r="HS14" s="535">
        <v>10.9277</v>
      </c>
      <c r="HT14" s="535">
        <v>10.822699999999999</v>
      </c>
      <c r="HU14" s="535">
        <v>10.764900000000001</v>
      </c>
      <c r="HV14" s="535">
        <v>10.558999999999999</v>
      </c>
      <c r="HW14" s="535">
        <v>10.4937</v>
      </c>
      <c r="HX14" s="535">
        <v>10.3108</v>
      </c>
      <c r="HY14" s="535">
        <v>10.341100000000001</v>
      </c>
      <c r="HZ14" s="535">
        <v>9.9484999999999992</v>
      </c>
      <c r="IA14" s="535">
        <v>10.4658</v>
      </c>
      <c r="IB14" s="535">
        <v>11.7667</v>
      </c>
      <c r="IC14" s="535">
        <v>12.95</v>
      </c>
      <c r="ID14" s="535">
        <v>13.5358</v>
      </c>
      <c r="IE14" s="516">
        <v>8</v>
      </c>
      <c r="IF14" s="536"/>
      <c r="IG14" s="536"/>
      <c r="IH14" s="516">
        <v>8</v>
      </c>
      <c r="II14" s="535">
        <v>10.865</v>
      </c>
      <c r="IJ14" s="535">
        <v>10.9192</v>
      </c>
      <c r="IK14" s="535">
        <v>11.1473</v>
      </c>
      <c r="IL14" s="535">
        <v>10.979699999999999</v>
      </c>
      <c r="IM14" s="535">
        <v>10.885199999999999</v>
      </c>
      <c r="IN14" s="535">
        <v>10.845000000000001</v>
      </c>
      <c r="IO14" s="535">
        <v>10.7936</v>
      </c>
      <c r="IP14" s="535">
        <v>10.9886</v>
      </c>
      <c r="IQ14" s="535">
        <v>11.065799999999999</v>
      </c>
      <c r="IR14" s="535">
        <v>10.8963</v>
      </c>
      <c r="IS14" s="535">
        <v>10.704599999999999</v>
      </c>
      <c r="IT14" s="535">
        <v>10.8367</v>
      </c>
      <c r="IU14" s="516">
        <v>8</v>
      </c>
      <c r="IV14" s="536"/>
      <c r="IW14" s="536"/>
      <c r="IX14" s="516">
        <v>8</v>
      </c>
      <c r="IY14" s="535">
        <v>10.5907</v>
      </c>
      <c r="IZ14" s="535">
        <v>10.498100000000001</v>
      </c>
      <c r="JA14" s="535">
        <v>10.611800000000001</v>
      </c>
      <c r="JB14" s="535">
        <v>11.0557</v>
      </c>
      <c r="JC14" s="535">
        <v>10.9694</v>
      </c>
      <c r="JD14" s="535">
        <v>11.3667</v>
      </c>
      <c r="JE14" s="535">
        <v>11.1061</v>
      </c>
      <c r="JF14" s="535">
        <v>10.8908</v>
      </c>
      <c r="JG14" s="535">
        <v>10.938000000000001</v>
      </c>
      <c r="JH14" s="535">
        <v>11.0185</v>
      </c>
      <c r="JI14" s="535">
        <v>10.8344</v>
      </c>
      <c r="JJ14" s="535">
        <v>10.862</v>
      </c>
      <c r="JK14" s="516">
        <v>8</v>
      </c>
      <c r="JL14" s="536"/>
      <c r="JM14" s="536"/>
      <c r="JN14" s="516">
        <v>8</v>
      </c>
      <c r="JO14" s="535">
        <v>11.4018</v>
      </c>
      <c r="JP14" s="535">
        <v>11.141400000000001</v>
      </c>
      <c r="JQ14" s="535">
        <v>11.0458</v>
      </c>
      <c r="JR14" s="535">
        <v>11.230700000000001</v>
      </c>
      <c r="JS14" s="535">
        <v>10.948700000000001</v>
      </c>
      <c r="JT14" s="535">
        <v>10.879200000000001</v>
      </c>
      <c r="JU14" s="535">
        <v>10.7689</v>
      </c>
      <c r="JV14" s="535">
        <v>10.5831</v>
      </c>
      <c r="JW14" s="535">
        <v>10.6868</v>
      </c>
      <c r="JX14" s="535">
        <v>10.768700000000001</v>
      </c>
      <c r="JY14" s="535">
        <v>10.749499999999999</v>
      </c>
      <c r="JZ14" s="535">
        <v>10.409700000000001</v>
      </c>
      <c r="KA14" s="516">
        <v>8</v>
      </c>
      <c r="KB14" s="536"/>
      <c r="KC14" s="536"/>
      <c r="KD14" s="516">
        <v>8</v>
      </c>
      <c r="KE14" s="535">
        <v>10.9686</v>
      </c>
      <c r="KF14" s="535">
        <v>11.0608</v>
      </c>
      <c r="KG14" s="535">
        <v>10.9955</v>
      </c>
      <c r="KH14" s="535">
        <v>11.1631</v>
      </c>
      <c r="KI14" s="535">
        <v>11.4358</v>
      </c>
      <c r="KJ14" s="535">
        <v>11.4224</v>
      </c>
      <c r="KK14" s="535">
        <v>11.4948</v>
      </c>
      <c r="KL14" s="535">
        <v>11.457000000000001</v>
      </c>
      <c r="KM14" s="535">
        <v>11.519299999999999</v>
      </c>
      <c r="KN14" s="535">
        <v>11.2745</v>
      </c>
      <c r="KO14" s="535">
        <v>11.411799999999999</v>
      </c>
      <c r="KP14" s="535">
        <v>11.1355</v>
      </c>
      <c r="KQ14" s="516">
        <v>8</v>
      </c>
      <c r="KR14" s="536"/>
      <c r="KS14" s="536"/>
      <c r="KT14" s="516">
        <v>8</v>
      </c>
      <c r="KU14" s="535">
        <v>10.419499999999999</v>
      </c>
      <c r="KV14" s="535">
        <v>10.873100000000001</v>
      </c>
      <c r="KW14" s="535">
        <v>11.225</v>
      </c>
      <c r="KX14" s="535">
        <v>10.6823</v>
      </c>
      <c r="KY14" s="535">
        <v>10.267799999999999</v>
      </c>
      <c r="KZ14" s="535">
        <v>10.559799999999999</v>
      </c>
      <c r="LA14" s="535">
        <v>10.4087</v>
      </c>
      <c r="LB14" s="535">
        <v>10.7058</v>
      </c>
      <c r="LC14" s="535">
        <v>10.8575</v>
      </c>
      <c r="LD14" s="535">
        <v>11.2193</v>
      </c>
      <c r="LE14" s="535">
        <v>10.9903</v>
      </c>
      <c r="LF14" s="535">
        <v>11.2224</v>
      </c>
      <c r="LG14" s="516">
        <v>8</v>
      </c>
      <c r="LH14" s="536"/>
      <c r="LI14" s="536"/>
      <c r="LJ14" s="516">
        <v>8</v>
      </c>
      <c r="LK14" s="535">
        <v>9.1367999999999991</v>
      </c>
      <c r="LL14" s="535">
        <v>9.1294000000000004</v>
      </c>
      <c r="LM14" s="535">
        <v>9.0797000000000008</v>
      </c>
      <c r="LN14" s="535">
        <v>9.0467999999999993</v>
      </c>
      <c r="LO14" s="535">
        <v>9.4913000000000007</v>
      </c>
      <c r="LP14" s="535">
        <v>9.7759999999999998</v>
      </c>
      <c r="LQ14" s="535">
        <v>9.9502000000000006</v>
      </c>
      <c r="LR14" s="535">
        <v>9.7472999999999992</v>
      </c>
      <c r="LS14" s="535">
        <v>10.008599999999999</v>
      </c>
      <c r="LT14" s="535">
        <v>10.183999999999999</v>
      </c>
      <c r="LU14" s="535">
        <v>10.1698</v>
      </c>
      <c r="LV14" s="535">
        <v>10.245200000000001</v>
      </c>
      <c r="LW14" s="516">
        <v>8</v>
      </c>
      <c r="LX14" s="536"/>
      <c r="LY14" s="536"/>
      <c r="LZ14" s="516">
        <v>8</v>
      </c>
      <c r="MA14" s="535">
        <v>9.7080000000000002</v>
      </c>
      <c r="MB14" s="535">
        <v>9.6997999999999998</v>
      </c>
      <c r="MC14" s="535">
        <v>9.6409000000000002</v>
      </c>
      <c r="MD14" s="535">
        <v>9.4139999999999997</v>
      </c>
      <c r="ME14" s="535">
        <v>9.2578999999999994</v>
      </c>
      <c r="MF14" s="535">
        <v>9.1207999999999991</v>
      </c>
      <c r="MG14" s="535">
        <v>9.0312000000000001</v>
      </c>
      <c r="MH14" s="535">
        <v>9.1292000000000009</v>
      </c>
      <c r="MI14" s="535">
        <v>9.2897999999999996</v>
      </c>
      <c r="MJ14" s="535">
        <v>9.5243000000000002</v>
      </c>
      <c r="MK14" s="535">
        <v>9.2132000000000005</v>
      </c>
      <c r="ML14" s="535">
        <v>9.2401</v>
      </c>
      <c r="MM14" s="516">
        <v>8</v>
      </c>
      <c r="MN14" s="536"/>
      <c r="MO14" s="536"/>
      <c r="MP14" s="516">
        <v>8</v>
      </c>
      <c r="MQ14" s="535">
        <v>9.5704999999999991</v>
      </c>
      <c r="MR14" s="535">
        <v>9.4802999999999997</v>
      </c>
      <c r="MS14" s="535">
        <v>9.3215000000000003</v>
      </c>
      <c r="MT14" s="535">
        <v>9.3535000000000004</v>
      </c>
      <c r="MU14" s="535">
        <v>9.3848000000000003</v>
      </c>
      <c r="MV14" s="535">
        <v>9.657</v>
      </c>
      <c r="MW14" s="535">
        <v>9.5459999999999994</v>
      </c>
      <c r="MX14" s="535">
        <v>9.3574000000000002</v>
      </c>
      <c r="MY14" s="535">
        <v>9.3115000000000006</v>
      </c>
      <c r="MZ14" s="535">
        <v>9.4514999999999993</v>
      </c>
      <c r="NA14" s="535">
        <v>9.6438000000000006</v>
      </c>
      <c r="NB14" s="535">
        <v>9.4019999999999992</v>
      </c>
      <c r="NC14" s="516">
        <v>8</v>
      </c>
      <c r="ND14" s="536"/>
      <c r="NE14" s="536"/>
      <c r="NF14" s="516">
        <v>8</v>
      </c>
      <c r="NG14" s="535">
        <v>9.7754999999999992</v>
      </c>
      <c r="NH14" s="535">
        <v>10.113799999999999</v>
      </c>
      <c r="NI14" s="535">
        <v>9.9334000000000007</v>
      </c>
      <c r="NJ14" s="535">
        <v>9.4846000000000004</v>
      </c>
      <c r="NK14" s="535">
        <v>9.3330000000000002</v>
      </c>
      <c r="NL14" s="535">
        <v>9.6272000000000002</v>
      </c>
      <c r="NM14" s="535">
        <v>9.3314000000000004</v>
      </c>
      <c r="NN14" s="535">
        <v>9.5097000000000005</v>
      </c>
      <c r="NO14" s="535">
        <v>9.3461999999999996</v>
      </c>
      <c r="NP14" s="535">
        <v>9.4322999999999997</v>
      </c>
      <c r="NQ14" s="535">
        <v>9.4711999999999996</v>
      </c>
      <c r="NR14" s="535">
        <v>9.4562000000000008</v>
      </c>
      <c r="NS14" s="516">
        <v>8</v>
      </c>
      <c r="NT14" s="536"/>
      <c r="NU14" s="536"/>
      <c r="NV14" s="516">
        <v>8</v>
      </c>
      <c r="NW14" s="535">
        <v>8.0421999999999993</v>
      </c>
      <c r="NX14" s="535">
        <v>8.4135000000000009</v>
      </c>
      <c r="NY14" s="535">
        <v>8.6202000000000005</v>
      </c>
      <c r="NZ14" s="535">
        <v>8.52</v>
      </c>
      <c r="OA14" s="535">
        <v>8.4793000000000003</v>
      </c>
      <c r="OB14" s="535">
        <v>8.7803000000000004</v>
      </c>
      <c r="OC14" s="535">
        <v>8.9694000000000003</v>
      </c>
      <c r="OD14" s="535">
        <v>9.0254999999999992</v>
      </c>
      <c r="OE14" s="535">
        <v>10.161799999999999</v>
      </c>
      <c r="OF14" s="535">
        <v>10.1729</v>
      </c>
      <c r="OG14" s="535">
        <v>9.9885999999999999</v>
      </c>
      <c r="OH14" s="535">
        <v>9.9896999999999991</v>
      </c>
      <c r="OI14" s="516">
        <v>8</v>
      </c>
      <c r="OJ14" s="536"/>
      <c r="OK14" s="536"/>
      <c r="OL14" s="516">
        <v>8</v>
      </c>
      <c r="OM14" s="535">
        <v>7.8507999999999996</v>
      </c>
      <c r="ON14" s="535">
        <v>7.8281999999999998</v>
      </c>
      <c r="OO14" s="535">
        <v>8.0091999999999999</v>
      </c>
      <c r="OP14" s="535">
        <v>7.9592000000000001</v>
      </c>
      <c r="OQ14" s="535">
        <v>7.8780999999999999</v>
      </c>
      <c r="OR14" s="535">
        <v>7.9481999999999999</v>
      </c>
      <c r="OS14" s="535">
        <v>7.9660000000000002</v>
      </c>
      <c r="OT14" s="535">
        <v>7.7805999999999997</v>
      </c>
      <c r="OU14" s="535">
        <v>7.7881999999999998</v>
      </c>
      <c r="OV14" s="535">
        <v>7.7601000000000004</v>
      </c>
      <c r="OW14" s="535">
        <v>8.3650000000000002</v>
      </c>
      <c r="OX14" s="535">
        <v>8.1057000000000006</v>
      </c>
      <c r="OY14" s="516">
        <v>8</v>
      </c>
      <c r="OZ14" s="536"/>
      <c r="PA14" s="536"/>
      <c r="PB14" s="516">
        <v>8</v>
      </c>
      <c r="PC14" s="535">
        <v>7.57</v>
      </c>
      <c r="PD14" s="535">
        <v>7.4821</v>
      </c>
      <c r="PE14" s="535">
        <v>7.5952000000000002</v>
      </c>
      <c r="PF14" s="535">
        <v>7.5110000000000001</v>
      </c>
      <c r="PG14" s="535">
        <v>7.5282999999999998</v>
      </c>
      <c r="PH14" s="535">
        <v>7.5016999999999996</v>
      </c>
      <c r="PI14" s="535">
        <v>7.6093000000000002</v>
      </c>
      <c r="PJ14" s="535">
        <v>7.5339999999999998</v>
      </c>
      <c r="PK14" s="535">
        <v>7.5995999999999997</v>
      </c>
      <c r="PL14" s="535">
        <v>7.5273000000000003</v>
      </c>
      <c r="PM14" s="535">
        <v>7.9215</v>
      </c>
      <c r="PN14" s="535">
        <v>7.8884999999999996</v>
      </c>
      <c r="PO14" s="516">
        <v>8</v>
      </c>
      <c r="PP14" s="536"/>
      <c r="PQ14" s="536"/>
      <c r="PR14" s="516">
        <v>8</v>
      </c>
      <c r="PS14" s="535">
        <v>5.39</v>
      </c>
      <c r="PT14" s="535">
        <v>5.3650000000000002</v>
      </c>
      <c r="PU14" s="535">
        <v>6.6349999999999998</v>
      </c>
      <c r="PV14" s="535">
        <v>6.3807999999999998</v>
      </c>
      <c r="PW14" s="535">
        <v>5.8692000000000002</v>
      </c>
      <c r="PX14" s="535">
        <v>6.1108000000000002</v>
      </c>
      <c r="PY14" s="535">
        <v>6.2370999999999999</v>
      </c>
      <c r="PZ14" s="535">
        <v>6.1528999999999998</v>
      </c>
      <c r="QA14" s="535">
        <v>6.2643000000000004</v>
      </c>
      <c r="QB14" s="535">
        <v>6.5425000000000004</v>
      </c>
      <c r="QC14" s="535">
        <v>7.3483000000000001</v>
      </c>
      <c r="QD14" s="535">
        <v>7.6712999999999996</v>
      </c>
      <c r="QE14" s="516">
        <v>8</v>
      </c>
      <c r="QF14" s="536"/>
      <c r="QG14" s="536"/>
      <c r="QH14" s="516">
        <v>8</v>
      </c>
      <c r="QI14" s="535">
        <v>3.1057000000000001</v>
      </c>
      <c r="QJ14" s="535">
        <v>3.1055999999999999</v>
      </c>
      <c r="QK14" s="535">
        <v>3.2355</v>
      </c>
      <c r="QL14" s="535">
        <v>3.3614999999999999</v>
      </c>
      <c r="QM14" s="535">
        <v>3.3052999999999999</v>
      </c>
      <c r="QN14" s="535">
        <v>3.335</v>
      </c>
      <c r="QO14" s="535">
        <v>3.3997999999999999</v>
      </c>
      <c r="QP14" s="535">
        <v>3.3780999999999999</v>
      </c>
      <c r="QQ14" s="535">
        <v>3.4039999999999999</v>
      </c>
      <c r="QR14" s="535">
        <v>3.4159000000000002</v>
      </c>
      <c r="QS14" s="535">
        <v>3.4296000000000002</v>
      </c>
      <c r="QT14" s="535">
        <v>3.4468999999999999</v>
      </c>
      <c r="QU14" s="516">
        <v>8</v>
      </c>
      <c r="QV14" s="536"/>
      <c r="QW14" s="536"/>
      <c r="QX14" s="516">
        <v>8</v>
      </c>
      <c r="QY14" s="535">
        <v>3.1124000000000001</v>
      </c>
      <c r="QZ14" s="535">
        <v>3.1017000000000001</v>
      </c>
      <c r="RA14" s="535">
        <v>3.0960999999999999</v>
      </c>
      <c r="RB14" s="535">
        <v>3.0939999999999999</v>
      </c>
      <c r="RC14" s="535">
        <v>3.1328999999999998</v>
      </c>
      <c r="RD14" s="535">
        <v>3.1251000000000002</v>
      </c>
      <c r="RE14" s="535">
        <v>3.1223999999999998</v>
      </c>
      <c r="RF14" s="535">
        <v>3.1149</v>
      </c>
      <c r="RG14" s="535">
        <v>3.1116999999999999</v>
      </c>
      <c r="RH14" s="535">
        <v>3.1141999999999999</v>
      </c>
      <c r="RI14" s="535">
        <v>3.1476000000000002</v>
      </c>
      <c r="RJ14" s="535">
        <v>3.1052</v>
      </c>
      <c r="RK14" s="516">
        <v>8</v>
      </c>
      <c r="RL14" s="536"/>
      <c r="RM14" s="536"/>
      <c r="RN14" s="516">
        <v>8</v>
      </c>
      <c r="RO14" s="535">
        <v>3.0695000000000001</v>
      </c>
      <c r="RP14" s="535">
        <v>3.0648</v>
      </c>
      <c r="RQ14" s="535">
        <v>3.0609000000000002</v>
      </c>
      <c r="RR14" s="535">
        <v>3.0609000000000002</v>
      </c>
      <c r="RS14" s="535">
        <v>3.0884999999999998</v>
      </c>
      <c r="RT14" s="535">
        <v>3.1179000000000001</v>
      </c>
      <c r="RU14" s="535">
        <v>3.1183000000000001</v>
      </c>
      <c r="RV14" s="535">
        <v>3.1021000000000001</v>
      </c>
      <c r="RW14" s="535">
        <v>3.0680999999999998</v>
      </c>
      <c r="RX14" s="535">
        <v>3.1137000000000001</v>
      </c>
      <c r="RY14" s="535">
        <v>3.1253000000000002</v>
      </c>
      <c r="RZ14" s="535">
        <v>3.1158000000000001</v>
      </c>
      <c r="SA14" s="516">
        <v>8</v>
      </c>
      <c r="SB14" s="536"/>
      <c r="SC14" s="536"/>
      <c r="SD14" s="516">
        <v>8</v>
      </c>
      <c r="SE14" s="535">
        <v>2.9481999999999999</v>
      </c>
      <c r="SF14" s="535">
        <v>2.9613999999999998</v>
      </c>
      <c r="SG14" s="535">
        <v>2.9725999999999999</v>
      </c>
      <c r="SH14" s="535">
        <v>2.9842</v>
      </c>
      <c r="SI14" s="535">
        <v>2.9969999999999999</v>
      </c>
      <c r="SJ14" s="535">
        <v>3.0093999999999999</v>
      </c>
      <c r="SK14" s="535">
        <v>3.0206</v>
      </c>
      <c r="SL14" s="535">
        <v>3.0337999999999998</v>
      </c>
      <c r="SM14" s="535">
        <v>3.0457999999999998</v>
      </c>
      <c r="SN14" s="535">
        <v>3.0590000000000002</v>
      </c>
      <c r="SO14" s="535">
        <v>3.0714000000000001</v>
      </c>
      <c r="SP14" s="535">
        <v>3.0653800000000002</v>
      </c>
      <c r="SQ14" s="516">
        <v>8</v>
      </c>
      <c r="SR14" s="536"/>
      <c r="SS14" s="536"/>
      <c r="ST14" s="516">
        <v>8</v>
      </c>
      <c r="SU14" s="535">
        <v>2.6480000000000001</v>
      </c>
      <c r="SV14" s="535">
        <v>2.681</v>
      </c>
      <c r="SW14" s="535">
        <v>2.7090000000000001</v>
      </c>
      <c r="SX14" s="535">
        <v>2.7389999999999999</v>
      </c>
      <c r="SY14" s="535">
        <v>2.7679999999999998</v>
      </c>
      <c r="SZ14" s="535">
        <v>2.7993999999999999</v>
      </c>
      <c r="TA14" s="535">
        <v>2.8226</v>
      </c>
      <c r="TB14" s="535">
        <v>2.8481999999999998</v>
      </c>
      <c r="TC14" s="535">
        <v>2.8730000000000002</v>
      </c>
      <c r="TD14" s="535">
        <v>2.8954</v>
      </c>
      <c r="TE14" s="535">
        <v>2.9218000000000002</v>
      </c>
      <c r="TF14" s="535">
        <v>2.9365999999999999</v>
      </c>
      <c r="TG14" s="516">
        <v>8</v>
      </c>
      <c r="TH14" s="536"/>
      <c r="TI14" s="536"/>
      <c r="TJ14" s="516">
        <v>8</v>
      </c>
      <c r="TK14" s="535">
        <v>2.2839999999999998</v>
      </c>
      <c r="TL14" s="535">
        <v>2.3159999999999998</v>
      </c>
      <c r="TM14" s="535">
        <v>2.3439999999999999</v>
      </c>
      <c r="TN14" s="535">
        <v>2.375</v>
      </c>
      <c r="TO14" s="535">
        <v>2.403</v>
      </c>
      <c r="TP14" s="535">
        <v>2.4359999999999999</v>
      </c>
      <c r="TQ14" s="535">
        <v>2.4660000000000002</v>
      </c>
      <c r="TR14" s="535">
        <v>2.4950000000000001</v>
      </c>
      <c r="TS14" s="535">
        <v>2.528</v>
      </c>
      <c r="TT14" s="535">
        <v>2.5569999999999999</v>
      </c>
      <c r="TU14" s="535">
        <v>2.589</v>
      </c>
      <c r="TV14" s="535">
        <v>2.6190000000000002</v>
      </c>
      <c r="TW14" s="516">
        <v>8</v>
      </c>
    </row>
    <row r="15" spans="2:543" s="4" customFormat="1" ht="23" customHeight="1">
      <c r="B15" s="516">
        <v>9</v>
      </c>
      <c r="C15" s="549">
        <v>20.4588</v>
      </c>
      <c r="D15" s="549">
        <v>20.732500000000002</v>
      </c>
      <c r="E15" s="549">
        <v>21.194700000000001</v>
      </c>
      <c r="F15" s="549">
        <v>20.160499999999999</v>
      </c>
      <c r="G15" s="549">
        <v>20.253499999999999</v>
      </c>
      <c r="H15" s="549">
        <v>19.599799999999998</v>
      </c>
      <c r="I15" s="549">
        <v>20.6022</v>
      </c>
      <c r="J15" s="549">
        <v>20.401</v>
      </c>
      <c r="K15" s="549">
        <v>20.029699999999998</v>
      </c>
      <c r="L15" s="549">
        <v>20.108699999999999</v>
      </c>
      <c r="M15" s="662">
        <f t="shared" si="9"/>
        <v>19.746300000000002</v>
      </c>
      <c r="N15" s="662">
        <f t="shared" si="8"/>
        <v>19.746300000000002</v>
      </c>
      <c r="O15" s="516">
        <v>9</v>
      </c>
      <c r="R15" s="516">
        <v>9</v>
      </c>
      <c r="S15" s="549">
        <v>19.91</v>
      </c>
      <c r="T15" s="549">
        <v>20.1388</v>
      </c>
      <c r="U15" s="549">
        <v>21.263500000000001</v>
      </c>
      <c r="V15" s="549">
        <v>20.176500000000001</v>
      </c>
      <c r="W15" s="549">
        <v>20.183800000000002</v>
      </c>
      <c r="X15" s="549">
        <v>19.797000000000001</v>
      </c>
      <c r="Y15" s="549">
        <v>19.991499999999998</v>
      </c>
      <c r="Z15" s="549">
        <v>19.929300000000001</v>
      </c>
      <c r="AA15" s="549">
        <v>19.943999999999999</v>
      </c>
      <c r="AB15" s="549">
        <v>20.603999999999999</v>
      </c>
      <c r="AC15" s="549">
        <v>20.392499999999998</v>
      </c>
      <c r="AD15" s="549">
        <v>21.090699999999998</v>
      </c>
      <c r="AE15" s="516">
        <v>9</v>
      </c>
      <c r="AH15" s="516">
        <v>9</v>
      </c>
      <c r="AI15" s="549">
        <v>18.885200000000001</v>
      </c>
      <c r="AJ15" s="549">
        <v>18.6645</v>
      </c>
      <c r="AK15" s="549">
        <v>19.8095</v>
      </c>
      <c r="AL15" s="549">
        <v>24.038799999999998</v>
      </c>
      <c r="AM15" s="549">
        <v>24.0563</v>
      </c>
      <c r="AN15" s="549">
        <v>21.5837</v>
      </c>
      <c r="AO15" s="549">
        <v>22.621300000000002</v>
      </c>
      <c r="AP15" s="549">
        <v>22.365200000000002</v>
      </c>
      <c r="AQ15" s="549">
        <v>21.588699999999999</v>
      </c>
      <c r="AR15" s="549">
        <v>21.492999999999999</v>
      </c>
      <c r="AS15" s="549">
        <v>20.761199999999999</v>
      </c>
      <c r="AT15" s="549">
        <v>19.821300000000001</v>
      </c>
      <c r="AU15" s="516">
        <v>9</v>
      </c>
      <c r="AX15" s="516">
        <v>9</v>
      </c>
      <c r="AY15" s="535">
        <v>19.320799999999998</v>
      </c>
      <c r="AZ15" s="535">
        <v>19.079999999999998</v>
      </c>
      <c r="BA15" s="535">
        <v>19.522500000000001</v>
      </c>
      <c r="BB15" s="535">
        <v>19.080500000000001</v>
      </c>
      <c r="BC15" s="535">
        <v>19.049900000000001</v>
      </c>
      <c r="BD15" s="535">
        <v>19.708400000000001</v>
      </c>
      <c r="BE15" s="535">
        <v>19.044599999999999</v>
      </c>
      <c r="BF15" s="535">
        <v>19.6953</v>
      </c>
      <c r="BG15" s="535">
        <v>19.683399999999999</v>
      </c>
      <c r="BH15" s="535">
        <v>19.552199999999999</v>
      </c>
      <c r="BI15" s="535">
        <v>19.1327</v>
      </c>
      <c r="BJ15" s="535">
        <v>19.3688</v>
      </c>
      <c r="BK15" s="516">
        <v>9</v>
      </c>
      <c r="BN15" s="516">
        <v>9</v>
      </c>
      <c r="BO15" s="535">
        <v>19.273700000000002</v>
      </c>
      <c r="BP15" s="535">
        <v>18.6492</v>
      </c>
      <c r="BQ15" s="537">
        <v>18.792200000000001</v>
      </c>
      <c r="BR15" s="535">
        <v>18.1081</v>
      </c>
      <c r="BS15" s="535">
        <v>19.423200000000001</v>
      </c>
      <c r="BT15" s="535">
        <v>20.46</v>
      </c>
      <c r="BU15" s="535">
        <v>19.251300000000001</v>
      </c>
      <c r="BV15" s="535">
        <v>18.463100000000001</v>
      </c>
      <c r="BW15" s="535">
        <v>19.354600000000001</v>
      </c>
      <c r="BX15" s="535">
        <v>18.944400000000002</v>
      </c>
      <c r="BY15" s="535">
        <v>19.8245</v>
      </c>
      <c r="BZ15" s="535">
        <v>20.470500000000001</v>
      </c>
      <c r="CA15" s="516">
        <v>9</v>
      </c>
      <c r="CD15" s="516">
        <v>9</v>
      </c>
      <c r="CE15" s="535">
        <v>21.366099999999999</v>
      </c>
      <c r="CF15" s="535">
        <v>20.637</v>
      </c>
      <c r="CG15" s="535">
        <v>19.521000000000001</v>
      </c>
      <c r="CH15" s="535">
        <v>18.769600000000001</v>
      </c>
      <c r="CI15" s="535">
        <v>19.0137</v>
      </c>
      <c r="CJ15" s="535">
        <v>18.227799999999998</v>
      </c>
      <c r="CK15" s="535">
        <v>18.322700000000001</v>
      </c>
      <c r="CL15" s="535">
        <v>17.964099999999998</v>
      </c>
      <c r="CM15" s="535">
        <v>17.6965</v>
      </c>
      <c r="CN15" s="535">
        <v>18.306000000000001</v>
      </c>
      <c r="CO15" s="535">
        <v>19.134899999999998</v>
      </c>
      <c r="CP15" s="535">
        <v>18.9315</v>
      </c>
      <c r="CQ15" s="516">
        <v>9</v>
      </c>
      <c r="CT15" s="516">
        <v>9</v>
      </c>
      <c r="CU15" s="535">
        <v>17.6568</v>
      </c>
      <c r="CV15" s="535">
        <v>18.3748</v>
      </c>
      <c r="CW15" s="535">
        <v>17.752600000000001</v>
      </c>
      <c r="CX15" s="535">
        <v>17.893000000000001</v>
      </c>
      <c r="CY15" s="535">
        <v>17.735800000000001</v>
      </c>
      <c r="CZ15" s="535">
        <v>18.506699999999999</v>
      </c>
      <c r="DA15" s="535">
        <v>18.860700000000001</v>
      </c>
      <c r="DB15" s="535">
        <v>18.8691</v>
      </c>
      <c r="DC15" s="535">
        <v>18.3689</v>
      </c>
      <c r="DD15" s="535">
        <v>19.243300000000001</v>
      </c>
      <c r="DE15" s="535">
        <v>18.619199999999999</v>
      </c>
      <c r="DF15" s="535">
        <v>20.296700000000001</v>
      </c>
      <c r="DG15" s="516">
        <v>9</v>
      </c>
      <c r="DJ15" s="516">
        <v>9</v>
      </c>
      <c r="DK15" s="535">
        <v>14.7936</v>
      </c>
      <c r="DL15" s="535">
        <v>14.754799999999999</v>
      </c>
      <c r="DM15" s="535">
        <v>15.1686</v>
      </c>
      <c r="DN15" s="535">
        <v>14.9039</v>
      </c>
      <c r="DO15" s="535">
        <v>15.339700000000001</v>
      </c>
      <c r="DP15" s="535">
        <v>15.6958</v>
      </c>
      <c r="DQ15" s="535">
        <v>15.828099999999999</v>
      </c>
      <c r="DR15" s="535">
        <v>16.376200000000001</v>
      </c>
      <c r="DS15" s="535">
        <v>16.988</v>
      </c>
      <c r="DT15" s="535">
        <v>16.5762</v>
      </c>
      <c r="DU15" s="535">
        <v>16.5959</v>
      </c>
      <c r="DV15" s="535">
        <v>16.904399999999999</v>
      </c>
      <c r="DW15" s="516">
        <v>9</v>
      </c>
      <c r="DZ15" s="516">
        <v>9</v>
      </c>
      <c r="EA15" s="535">
        <v>13.0337</v>
      </c>
      <c r="EB15" s="535">
        <v>13.2211</v>
      </c>
      <c r="EC15" s="535">
        <v>13.147600000000001</v>
      </c>
      <c r="ED15" s="535">
        <v>13.017899999999999</v>
      </c>
      <c r="EE15" s="535">
        <v>12.9876</v>
      </c>
      <c r="EF15" s="535">
        <v>12.886799999999999</v>
      </c>
      <c r="EG15" s="535">
        <v>12.994899999999999</v>
      </c>
      <c r="EH15" s="535">
        <v>13.255100000000001</v>
      </c>
      <c r="EI15" s="535">
        <v>13.078799999999999</v>
      </c>
      <c r="EJ15" s="535">
        <v>13.433199999999999</v>
      </c>
      <c r="EK15" s="535">
        <v>13.6173</v>
      </c>
      <c r="EL15" s="535">
        <v>14.304500000000001</v>
      </c>
      <c r="EM15" s="516">
        <v>9</v>
      </c>
      <c r="EP15" s="516">
        <v>9</v>
      </c>
      <c r="EQ15" s="535">
        <v>12.767899999999999</v>
      </c>
      <c r="ER15" s="535">
        <v>12.7105</v>
      </c>
      <c r="ES15" s="535">
        <v>12.783899999999999</v>
      </c>
      <c r="ET15" s="535">
        <v>12.238300000000001</v>
      </c>
      <c r="EU15" s="535">
        <v>12.0733</v>
      </c>
      <c r="EV15" s="535">
        <v>12.9079</v>
      </c>
      <c r="EW15" s="535">
        <v>13.056699999999999</v>
      </c>
      <c r="EX15" s="535">
        <v>12.6989</v>
      </c>
      <c r="EY15" s="535">
        <v>13.4079</v>
      </c>
      <c r="EZ15" s="535">
        <v>13.0959</v>
      </c>
      <c r="FA15" s="535">
        <v>13.1912</v>
      </c>
      <c r="FB15" s="535">
        <v>13.005699999999999</v>
      </c>
      <c r="FC15" s="516">
        <v>9</v>
      </c>
      <c r="FF15" s="516">
        <v>9</v>
      </c>
      <c r="FG15" s="535">
        <v>13.7409</v>
      </c>
      <c r="FH15" s="535">
        <v>12.6472</v>
      </c>
      <c r="FI15" s="535">
        <v>12.946899999999999</v>
      </c>
      <c r="FJ15" s="535">
        <v>12.7317</v>
      </c>
      <c r="FK15" s="535">
        <v>13.165900000000001</v>
      </c>
      <c r="FL15" s="535">
        <v>13.935499999999999</v>
      </c>
      <c r="FM15" s="535">
        <v>13.3508</v>
      </c>
      <c r="FN15" s="535">
        <v>13.184900000000001</v>
      </c>
      <c r="FO15" s="535">
        <v>13.048299999999999</v>
      </c>
      <c r="FP15" s="535">
        <v>12.698700000000001</v>
      </c>
      <c r="FQ15" s="535">
        <v>13.043200000000001</v>
      </c>
      <c r="FR15" s="535">
        <v>12.9102</v>
      </c>
      <c r="FS15" s="516">
        <v>9</v>
      </c>
      <c r="FV15" s="516">
        <v>9</v>
      </c>
      <c r="FW15" s="535">
        <v>12.2256</v>
      </c>
      <c r="FX15" s="535">
        <v>11.9946</v>
      </c>
      <c r="FY15" s="535">
        <v>12.016999999999999</v>
      </c>
      <c r="FZ15" s="535">
        <v>11.793100000000001</v>
      </c>
      <c r="GA15" s="535">
        <v>11.6934</v>
      </c>
      <c r="GB15" s="535">
        <v>11.7196</v>
      </c>
      <c r="GC15" s="535">
        <v>11.5738</v>
      </c>
      <c r="GD15" s="535">
        <v>11.9794</v>
      </c>
      <c r="GE15" s="535">
        <v>12.466100000000001</v>
      </c>
      <c r="GF15" s="535">
        <v>13.5341</v>
      </c>
      <c r="GG15" s="535">
        <v>13.4504</v>
      </c>
      <c r="GH15" s="535">
        <v>13.511799999999999</v>
      </c>
      <c r="GI15" s="516">
        <v>9</v>
      </c>
      <c r="GL15" s="516">
        <v>9</v>
      </c>
      <c r="GM15" s="535">
        <v>12.7646</v>
      </c>
      <c r="GN15" s="535">
        <v>13.1753</v>
      </c>
      <c r="GO15" s="535">
        <v>12.6557</v>
      </c>
      <c r="GP15" s="535">
        <v>12.2218</v>
      </c>
      <c r="GQ15" s="535">
        <v>12.788399999999999</v>
      </c>
      <c r="GR15" s="535">
        <v>12.920199999999999</v>
      </c>
      <c r="GS15" s="535">
        <v>12.897500000000001</v>
      </c>
      <c r="GT15" s="535">
        <v>12.5367</v>
      </c>
      <c r="GU15" s="535">
        <v>13.0566</v>
      </c>
      <c r="GV15" s="535">
        <v>12.527699999999999</v>
      </c>
      <c r="GW15" s="535">
        <v>12.205500000000001</v>
      </c>
      <c r="GX15" s="535">
        <v>12.4123</v>
      </c>
      <c r="GY15" s="516">
        <v>9</v>
      </c>
      <c r="HB15" s="516">
        <v>9</v>
      </c>
      <c r="HC15" s="535">
        <v>13.413600000000001</v>
      </c>
      <c r="HD15" s="535">
        <v>14.294499999999999</v>
      </c>
      <c r="HE15" s="535">
        <v>15.285500000000001</v>
      </c>
      <c r="HF15" s="535">
        <v>13.571199999999999</v>
      </c>
      <c r="HG15" s="535">
        <v>13.110300000000001</v>
      </c>
      <c r="HH15" s="535">
        <v>13.2768</v>
      </c>
      <c r="HI15" s="535">
        <v>13.272399999999999</v>
      </c>
      <c r="HJ15" s="535">
        <v>12.992599999999999</v>
      </c>
      <c r="HK15" s="535">
        <v>13.364599999999999</v>
      </c>
      <c r="HL15" s="535">
        <v>13.4673</v>
      </c>
      <c r="HM15" s="535">
        <v>13.343</v>
      </c>
      <c r="HN15" s="535">
        <v>12.655799999999999</v>
      </c>
      <c r="HO15" s="516">
        <v>9</v>
      </c>
      <c r="HP15" s="536"/>
      <c r="HQ15" s="536"/>
      <c r="HR15" s="516">
        <v>9</v>
      </c>
      <c r="HS15" s="535">
        <v>10.9208</v>
      </c>
      <c r="HT15" s="535">
        <v>10.804</v>
      </c>
      <c r="HU15" s="535">
        <v>10.764900000000001</v>
      </c>
      <c r="HV15" s="535">
        <v>10.5395</v>
      </c>
      <c r="HW15" s="535">
        <v>10.539</v>
      </c>
      <c r="HX15" s="535">
        <v>10.3108</v>
      </c>
      <c r="HY15" s="535">
        <v>10.3263</v>
      </c>
      <c r="HZ15" s="535">
        <v>9.9877000000000002</v>
      </c>
      <c r="IA15" s="535">
        <v>10.5143</v>
      </c>
      <c r="IB15" s="535">
        <v>12.1196</v>
      </c>
      <c r="IC15" s="535">
        <v>12.95</v>
      </c>
      <c r="ID15" s="535">
        <v>13.7567</v>
      </c>
      <c r="IE15" s="516">
        <v>9</v>
      </c>
      <c r="IF15" s="536"/>
      <c r="IG15" s="536"/>
      <c r="IH15" s="516">
        <v>9</v>
      </c>
      <c r="II15" s="535">
        <v>10.935499999999999</v>
      </c>
      <c r="IJ15" s="535">
        <v>10.936999999999999</v>
      </c>
      <c r="IK15" s="535">
        <v>11.1555</v>
      </c>
      <c r="IL15" s="535">
        <v>10.979699999999999</v>
      </c>
      <c r="IM15" s="535">
        <v>10.8558</v>
      </c>
      <c r="IN15" s="535">
        <v>10.904299999999999</v>
      </c>
      <c r="IO15" s="535">
        <v>10.7936</v>
      </c>
      <c r="IP15" s="535">
        <v>10.9613</v>
      </c>
      <c r="IQ15" s="535">
        <v>11.065799999999999</v>
      </c>
      <c r="IR15" s="535">
        <v>10.855700000000001</v>
      </c>
      <c r="IS15" s="535">
        <v>10.743499999999999</v>
      </c>
      <c r="IT15" s="535">
        <v>10.8367</v>
      </c>
      <c r="IU15" s="516">
        <v>9</v>
      </c>
      <c r="IV15" s="536"/>
      <c r="IW15" s="536"/>
      <c r="IX15" s="516">
        <v>9</v>
      </c>
      <c r="IY15" s="535">
        <v>10.5907</v>
      </c>
      <c r="IZ15" s="535">
        <v>10.4758</v>
      </c>
      <c r="JA15" s="535">
        <v>10.7003</v>
      </c>
      <c r="JB15" s="535">
        <v>11.0557</v>
      </c>
      <c r="JC15" s="535">
        <v>10.9587</v>
      </c>
      <c r="JD15" s="535">
        <v>11.324999999999999</v>
      </c>
      <c r="JE15" s="535">
        <v>11.1061</v>
      </c>
      <c r="JF15" s="535">
        <v>10.883800000000001</v>
      </c>
      <c r="JG15" s="535">
        <v>11.019600000000001</v>
      </c>
      <c r="JH15" s="535">
        <v>11.0185</v>
      </c>
      <c r="JI15" s="535">
        <v>10.82</v>
      </c>
      <c r="JJ15" s="535">
        <v>10.8558</v>
      </c>
      <c r="JK15" s="516">
        <v>9</v>
      </c>
      <c r="JL15" s="536"/>
      <c r="JM15" s="536"/>
      <c r="JN15" s="516">
        <v>9</v>
      </c>
      <c r="JO15" s="535">
        <v>11.4018</v>
      </c>
      <c r="JP15" s="535">
        <v>11.190899999999999</v>
      </c>
      <c r="JQ15" s="535">
        <v>11.0349</v>
      </c>
      <c r="JR15" s="535">
        <v>11.1945</v>
      </c>
      <c r="JS15" s="535">
        <v>10.948700000000001</v>
      </c>
      <c r="JT15" s="535">
        <v>10.8695</v>
      </c>
      <c r="JU15" s="535">
        <v>10.7997</v>
      </c>
      <c r="JV15" s="535">
        <v>10.5921</v>
      </c>
      <c r="JW15" s="535">
        <v>10.701499999999999</v>
      </c>
      <c r="JX15" s="535">
        <v>10.768700000000001</v>
      </c>
      <c r="JY15" s="535">
        <v>10.7072</v>
      </c>
      <c r="JZ15" s="535">
        <v>10.44</v>
      </c>
      <c r="KA15" s="516">
        <v>9</v>
      </c>
      <c r="KB15" s="536"/>
      <c r="KC15" s="536"/>
      <c r="KD15" s="516">
        <v>9</v>
      </c>
      <c r="KE15" s="535">
        <v>10.904400000000001</v>
      </c>
      <c r="KF15" s="535">
        <v>11.0608</v>
      </c>
      <c r="KG15" s="535">
        <v>10.939299999999999</v>
      </c>
      <c r="KH15" s="535">
        <v>11.1631</v>
      </c>
      <c r="KI15" s="535">
        <v>11.4358</v>
      </c>
      <c r="KJ15" s="535">
        <v>11.3498</v>
      </c>
      <c r="KK15" s="535">
        <v>11.467000000000001</v>
      </c>
      <c r="KL15" s="535">
        <v>11.457000000000001</v>
      </c>
      <c r="KM15" s="535">
        <v>11.568899999999999</v>
      </c>
      <c r="KN15" s="535">
        <v>11.2874</v>
      </c>
      <c r="KO15" s="535">
        <v>11.4031</v>
      </c>
      <c r="KP15" s="535">
        <v>11.170400000000001</v>
      </c>
      <c r="KQ15" s="516">
        <v>9</v>
      </c>
      <c r="KR15" s="536"/>
      <c r="KS15" s="536"/>
      <c r="KT15" s="516">
        <v>9</v>
      </c>
      <c r="KU15" s="535">
        <v>10.327999999999999</v>
      </c>
      <c r="KV15" s="535">
        <v>10.873100000000001</v>
      </c>
      <c r="KW15" s="535">
        <v>11.225</v>
      </c>
      <c r="KX15" s="535">
        <v>10.6896</v>
      </c>
      <c r="KY15" s="535">
        <v>10.211499999999999</v>
      </c>
      <c r="KZ15" s="535">
        <v>10.559799999999999</v>
      </c>
      <c r="LA15" s="535">
        <v>10.394600000000001</v>
      </c>
      <c r="LB15" s="535">
        <v>10.700100000000001</v>
      </c>
      <c r="LC15" s="535">
        <v>10.862</v>
      </c>
      <c r="LD15" s="535">
        <v>11.292299999999999</v>
      </c>
      <c r="LE15" s="535">
        <v>10.9903</v>
      </c>
      <c r="LF15" s="535">
        <v>11.1959</v>
      </c>
      <c r="LG15" s="516">
        <v>9</v>
      </c>
      <c r="LH15" s="536"/>
      <c r="LI15" s="536"/>
      <c r="LJ15" s="516">
        <v>9</v>
      </c>
      <c r="LK15" s="535">
        <v>9.1554000000000002</v>
      </c>
      <c r="LL15" s="535">
        <v>9.1380999999999997</v>
      </c>
      <c r="LM15" s="535">
        <v>9.0753000000000004</v>
      </c>
      <c r="LN15" s="535">
        <v>9.0266000000000002</v>
      </c>
      <c r="LO15" s="535">
        <v>9.4827999999999992</v>
      </c>
      <c r="LP15" s="535">
        <v>9.7759999999999998</v>
      </c>
      <c r="LQ15" s="535">
        <v>9.9033999999999995</v>
      </c>
      <c r="LR15" s="535">
        <v>9.7347999999999999</v>
      </c>
      <c r="LS15" s="535">
        <v>10.008599999999999</v>
      </c>
      <c r="LT15" s="535">
        <v>10.215400000000001</v>
      </c>
      <c r="LU15" s="535">
        <v>10.242800000000001</v>
      </c>
      <c r="LV15" s="535">
        <v>10.245200000000001</v>
      </c>
      <c r="LW15" s="516">
        <v>9</v>
      </c>
      <c r="LX15" s="536"/>
      <c r="LY15" s="536"/>
      <c r="LZ15" s="516">
        <v>9</v>
      </c>
      <c r="MA15" s="535">
        <v>9.7545999999999999</v>
      </c>
      <c r="MB15" s="535">
        <v>9.6944999999999997</v>
      </c>
      <c r="MC15" s="535">
        <v>9.6541999999999994</v>
      </c>
      <c r="MD15" s="535">
        <v>9.4139999999999997</v>
      </c>
      <c r="ME15" s="535">
        <v>9.2211999999999996</v>
      </c>
      <c r="MF15" s="535">
        <v>9.1234999999999999</v>
      </c>
      <c r="MG15" s="535">
        <v>9.0312000000000001</v>
      </c>
      <c r="MH15" s="535">
        <v>9.1199999999999992</v>
      </c>
      <c r="MI15" s="535">
        <v>9.2897999999999996</v>
      </c>
      <c r="MJ15" s="535">
        <v>9.5808</v>
      </c>
      <c r="MK15" s="535">
        <v>9.2088000000000001</v>
      </c>
      <c r="ML15" s="535">
        <v>9.2401</v>
      </c>
      <c r="MM15" s="516">
        <v>9</v>
      </c>
      <c r="MN15" s="536"/>
      <c r="MO15" s="536"/>
      <c r="MP15" s="516">
        <v>9</v>
      </c>
      <c r="MQ15" s="535">
        <v>9.5704999999999991</v>
      </c>
      <c r="MR15" s="535">
        <v>9.4327000000000005</v>
      </c>
      <c r="MS15" s="535">
        <v>9.3009000000000004</v>
      </c>
      <c r="MT15" s="535">
        <v>9.3535000000000004</v>
      </c>
      <c r="MU15" s="535">
        <v>9.3927999999999994</v>
      </c>
      <c r="MV15" s="535">
        <v>9.7942</v>
      </c>
      <c r="MW15" s="535">
        <v>9.5459999999999994</v>
      </c>
      <c r="MX15" s="535">
        <v>9.3353000000000002</v>
      </c>
      <c r="MY15" s="535">
        <v>9.3140999999999998</v>
      </c>
      <c r="MZ15" s="535">
        <v>9.4514999999999993</v>
      </c>
      <c r="NA15" s="535">
        <v>9.6544000000000008</v>
      </c>
      <c r="NB15" s="535">
        <v>9.4262999999999995</v>
      </c>
      <c r="NC15" s="516">
        <v>9</v>
      </c>
      <c r="ND15" s="536"/>
      <c r="NE15" s="536"/>
      <c r="NF15" s="516">
        <v>9</v>
      </c>
      <c r="NG15" s="535">
        <v>9.8527000000000005</v>
      </c>
      <c r="NH15" s="535">
        <v>10.121700000000001</v>
      </c>
      <c r="NI15" s="535">
        <v>9.8732000000000006</v>
      </c>
      <c r="NJ15" s="535">
        <v>9.4968000000000004</v>
      </c>
      <c r="NK15" s="535">
        <v>9.3330000000000002</v>
      </c>
      <c r="NL15" s="535">
        <v>9.5045000000000002</v>
      </c>
      <c r="NM15" s="535">
        <v>9.3636999999999997</v>
      </c>
      <c r="NN15" s="535">
        <v>9.5097000000000005</v>
      </c>
      <c r="NO15" s="535">
        <v>9.3497000000000003</v>
      </c>
      <c r="NP15" s="535">
        <v>9.4597999999999995</v>
      </c>
      <c r="NQ15" s="535">
        <v>9.4518000000000004</v>
      </c>
      <c r="NR15" s="535">
        <v>9.4415999999999993</v>
      </c>
      <c r="NS15" s="516">
        <v>9</v>
      </c>
      <c r="NT15" s="536"/>
      <c r="NU15" s="536"/>
      <c r="NV15" s="516">
        <v>9</v>
      </c>
      <c r="NW15" s="535">
        <v>8.0597999999999992</v>
      </c>
      <c r="NX15" s="535">
        <v>8.4135000000000009</v>
      </c>
      <c r="NY15" s="535">
        <v>8.6202000000000005</v>
      </c>
      <c r="NZ15" s="535">
        <v>8.5274000000000001</v>
      </c>
      <c r="OA15" s="535">
        <v>8.5007000000000001</v>
      </c>
      <c r="OB15" s="535">
        <v>8.7619000000000007</v>
      </c>
      <c r="OC15" s="535">
        <v>8.9558</v>
      </c>
      <c r="OD15" s="535">
        <v>9.0254999999999992</v>
      </c>
      <c r="OE15" s="535">
        <v>10.1967</v>
      </c>
      <c r="OF15" s="535">
        <v>10.1835</v>
      </c>
      <c r="OG15" s="535">
        <v>9.9885999999999999</v>
      </c>
      <c r="OH15" s="535">
        <v>9.9992999999999999</v>
      </c>
      <c r="OI15" s="516">
        <v>9</v>
      </c>
      <c r="OJ15" s="536"/>
      <c r="OK15" s="536"/>
      <c r="OL15" s="516">
        <v>9</v>
      </c>
      <c r="OM15" s="535">
        <v>7.8375000000000004</v>
      </c>
      <c r="ON15" s="535">
        <v>7.8281999999999998</v>
      </c>
      <c r="OO15" s="535">
        <v>8.0091999999999999</v>
      </c>
      <c r="OP15" s="535">
        <v>7.9061000000000003</v>
      </c>
      <c r="OQ15" s="535">
        <v>7.9203000000000001</v>
      </c>
      <c r="OR15" s="535">
        <v>7.9481999999999999</v>
      </c>
      <c r="OS15" s="535">
        <v>7.9071999999999996</v>
      </c>
      <c r="OT15" s="535">
        <v>7.7895000000000003</v>
      </c>
      <c r="OU15" s="535">
        <v>7.8070000000000004</v>
      </c>
      <c r="OV15" s="535">
        <v>7.7496999999999998</v>
      </c>
      <c r="OW15" s="535">
        <v>8.3650000000000002</v>
      </c>
      <c r="OX15" s="535">
        <v>8.1440000000000001</v>
      </c>
      <c r="OY15" s="516">
        <v>9</v>
      </c>
      <c r="OZ15" s="536"/>
      <c r="PA15" s="536"/>
      <c r="PB15" s="516">
        <v>9</v>
      </c>
      <c r="PC15" s="535">
        <v>7.5674999999999999</v>
      </c>
      <c r="PD15" s="535">
        <v>7.48</v>
      </c>
      <c r="PE15" s="535">
        <v>7.5712999999999999</v>
      </c>
      <c r="PF15" s="535">
        <v>7.5180999999999996</v>
      </c>
      <c r="PG15" s="535">
        <v>7.5119999999999996</v>
      </c>
      <c r="PH15" s="535">
        <v>7.5016999999999996</v>
      </c>
      <c r="PI15" s="535">
        <v>7.6318000000000001</v>
      </c>
      <c r="PJ15" s="535">
        <v>7.5118999999999998</v>
      </c>
      <c r="PK15" s="535">
        <v>7.5995999999999997</v>
      </c>
      <c r="PL15" s="535">
        <v>7.5281000000000002</v>
      </c>
      <c r="PM15" s="535">
        <v>7.9527000000000001</v>
      </c>
      <c r="PN15" s="535">
        <v>7.8884999999999996</v>
      </c>
      <c r="PO15" s="516">
        <v>9</v>
      </c>
      <c r="PP15" s="536"/>
      <c r="PQ15" s="536"/>
      <c r="PR15" s="516">
        <v>9</v>
      </c>
      <c r="PS15" s="535">
        <v>5.39</v>
      </c>
      <c r="PT15" s="535">
        <v>5.3624999999999998</v>
      </c>
      <c r="PU15" s="535">
        <v>6.875</v>
      </c>
      <c r="PV15" s="535">
        <v>6.3807999999999998</v>
      </c>
      <c r="PW15" s="535">
        <v>5.8757999999999999</v>
      </c>
      <c r="PX15" s="535">
        <v>6.1616999999999997</v>
      </c>
      <c r="PY15" s="535">
        <v>6.2370999999999999</v>
      </c>
      <c r="PZ15" s="535">
        <v>6.1289999999999996</v>
      </c>
      <c r="QA15" s="535">
        <v>6.2568000000000001</v>
      </c>
      <c r="QB15" s="535">
        <v>6.5425000000000004</v>
      </c>
      <c r="QC15" s="535">
        <v>7.5167000000000002</v>
      </c>
      <c r="QD15" s="535">
        <v>7.7083000000000004</v>
      </c>
      <c r="QE15" s="516">
        <v>9</v>
      </c>
      <c r="QF15" s="536"/>
      <c r="QG15" s="536"/>
      <c r="QH15" s="516">
        <v>9</v>
      </c>
      <c r="QI15" s="535">
        <v>3.1057000000000001</v>
      </c>
      <c r="QJ15" s="535">
        <v>3.1055999999999999</v>
      </c>
      <c r="QK15" s="535">
        <v>3.2519999999999998</v>
      </c>
      <c r="QL15" s="535">
        <v>3.363</v>
      </c>
      <c r="QM15" s="535">
        <v>3.3052999999999999</v>
      </c>
      <c r="QN15" s="535">
        <v>3.3650000000000002</v>
      </c>
      <c r="QO15" s="535">
        <v>3.4001999999999999</v>
      </c>
      <c r="QP15" s="535">
        <v>3.3828999999999998</v>
      </c>
      <c r="QQ15" s="535">
        <v>3.3982999999999999</v>
      </c>
      <c r="QR15" s="535">
        <v>3.4159000000000002</v>
      </c>
      <c r="QS15" s="535">
        <v>3.4272999999999998</v>
      </c>
      <c r="QT15" s="535">
        <v>3.4519000000000002</v>
      </c>
      <c r="QU15" s="516">
        <v>9</v>
      </c>
      <c r="QV15" s="536"/>
      <c r="QW15" s="536"/>
      <c r="QX15" s="516">
        <v>9</v>
      </c>
      <c r="QY15" s="535">
        <v>3.1063000000000001</v>
      </c>
      <c r="QZ15" s="535">
        <v>3.1012</v>
      </c>
      <c r="RA15" s="535">
        <v>3.101</v>
      </c>
      <c r="RB15" s="535">
        <v>3.0939999999999999</v>
      </c>
      <c r="RC15" s="535">
        <v>3.1328999999999998</v>
      </c>
      <c r="RD15" s="535">
        <v>3.1255999999999999</v>
      </c>
      <c r="RE15" s="535">
        <v>3.1236000000000002</v>
      </c>
      <c r="RF15" s="535">
        <v>3.1149</v>
      </c>
      <c r="RG15" s="535">
        <v>3.113</v>
      </c>
      <c r="RH15" s="535">
        <v>3.1156000000000001</v>
      </c>
      <c r="RI15" s="535">
        <v>3.1520000000000001</v>
      </c>
      <c r="RJ15" s="535">
        <v>3.1046999999999998</v>
      </c>
      <c r="RK15" s="516">
        <v>9</v>
      </c>
      <c r="RL15" s="536"/>
      <c r="RM15" s="536"/>
      <c r="RN15" s="516">
        <v>9</v>
      </c>
      <c r="RO15" s="535">
        <v>3.0665</v>
      </c>
      <c r="RP15" s="535">
        <v>3.0648</v>
      </c>
      <c r="RQ15" s="535">
        <v>3.0609000000000002</v>
      </c>
      <c r="RR15" s="535">
        <v>3.0608</v>
      </c>
      <c r="RS15" s="535">
        <v>3.1</v>
      </c>
      <c r="RT15" s="535">
        <v>3.1131000000000002</v>
      </c>
      <c r="RU15" s="535">
        <v>3.1166</v>
      </c>
      <c r="RV15" s="535">
        <v>3.1021000000000001</v>
      </c>
      <c r="RW15" s="535">
        <v>3.0638000000000001</v>
      </c>
      <c r="RX15" s="535">
        <v>3.1118999999999999</v>
      </c>
      <c r="RY15" s="535">
        <v>3.1253000000000002</v>
      </c>
      <c r="RZ15" s="535">
        <v>3.1175999999999999</v>
      </c>
      <c r="SA15" s="516">
        <v>9</v>
      </c>
      <c r="SB15" s="536"/>
      <c r="SC15" s="536"/>
      <c r="SD15" s="516">
        <v>9</v>
      </c>
      <c r="SE15" s="535">
        <v>2.9493999999999998</v>
      </c>
      <c r="SF15" s="535">
        <v>2.9618000000000002</v>
      </c>
      <c r="SG15" s="535">
        <v>2.9729999999999999</v>
      </c>
      <c r="SH15" s="535">
        <v>2.9845999999999999</v>
      </c>
      <c r="SI15" s="535">
        <v>2.9973999999999998</v>
      </c>
      <c r="SJ15" s="535">
        <v>3.0093999999999999</v>
      </c>
      <c r="SK15" s="535">
        <v>3.0209999999999999</v>
      </c>
      <c r="SL15" s="535">
        <v>3.0341999999999998</v>
      </c>
      <c r="SM15" s="535">
        <v>3.0457999999999998</v>
      </c>
      <c r="SN15" s="535">
        <v>3.0594000000000001</v>
      </c>
      <c r="SO15" s="535">
        <v>3.0726</v>
      </c>
      <c r="SP15" s="535">
        <v>3.0653800000000002</v>
      </c>
      <c r="SQ15" s="516">
        <v>9</v>
      </c>
      <c r="SR15" s="536"/>
      <c r="SS15" s="536"/>
      <c r="ST15" s="516">
        <v>9</v>
      </c>
      <c r="SU15" s="535">
        <v>2.6509999999999998</v>
      </c>
      <c r="SV15" s="535">
        <v>2.6819999999999999</v>
      </c>
      <c r="SW15" s="535">
        <v>2.71</v>
      </c>
      <c r="SX15" s="535">
        <v>2.7389999999999999</v>
      </c>
      <c r="SY15" s="535">
        <v>2.7709999999999999</v>
      </c>
      <c r="SZ15" s="535">
        <v>2.8001999999999998</v>
      </c>
      <c r="TA15" s="535">
        <v>2.8226</v>
      </c>
      <c r="TB15" s="535">
        <v>2.8490000000000002</v>
      </c>
      <c r="TC15" s="535">
        <v>2.8730000000000002</v>
      </c>
      <c r="TD15" s="535">
        <v>2.8961999999999999</v>
      </c>
      <c r="TE15" s="535">
        <v>2.9226000000000001</v>
      </c>
      <c r="TF15" s="535">
        <v>2.9365999999999999</v>
      </c>
      <c r="TG15" s="516">
        <v>9</v>
      </c>
      <c r="TH15" s="536"/>
      <c r="TI15" s="536"/>
      <c r="TJ15" s="516">
        <v>9</v>
      </c>
      <c r="TK15" s="535">
        <v>2.2839999999999998</v>
      </c>
      <c r="TL15" s="535">
        <v>2.3170000000000002</v>
      </c>
      <c r="TM15" s="535">
        <v>2.3450000000000002</v>
      </c>
      <c r="TN15" s="535">
        <v>2.375</v>
      </c>
      <c r="TO15" s="535">
        <v>2.4039999999999999</v>
      </c>
      <c r="TP15" s="535">
        <v>2.4369999999999998</v>
      </c>
      <c r="TQ15" s="535">
        <v>2.4660000000000002</v>
      </c>
      <c r="TR15" s="535">
        <v>2.4980000000000002</v>
      </c>
      <c r="TS15" s="535">
        <v>2.5289999999999999</v>
      </c>
      <c r="TT15" s="535">
        <v>2.5569999999999999</v>
      </c>
      <c r="TU15" s="535">
        <v>2.59</v>
      </c>
      <c r="TV15" s="535">
        <v>2.62</v>
      </c>
      <c r="TW15" s="516">
        <v>9</v>
      </c>
    </row>
    <row r="16" spans="2:543" s="4" customFormat="1" ht="23" customHeight="1">
      <c r="B16" s="516">
        <v>10</v>
      </c>
      <c r="C16" s="549">
        <v>20.4588</v>
      </c>
      <c r="D16" s="549">
        <v>20.641300000000001</v>
      </c>
      <c r="E16" s="549">
        <v>21.377500000000001</v>
      </c>
      <c r="F16" s="549">
        <v>20.160499999999999</v>
      </c>
      <c r="G16" s="549">
        <v>20.108499999999999</v>
      </c>
      <c r="H16" s="549">
        <v>19.59</v>
      </c>
      <c r="I16" s="549">
        <v>20.6022</v>
      </c>
      <c r="J16" s="549">
        <v>20.2789</v>
      </c>
      <c r="K16" s="549">
        <v>20.020299999999999</v>
      </c>
      <c r="L16" s="549">
        <v>20.108699999999999</v>
      </c>
      <c r="M16" s="662">
        <f t="shared" si="9"/>
        <v>19.746300000000002</v>
      </c>
      <c r="N16" s="662">
        <f t="shared" si="8"/>
        <v>19.746300000000002</v>
      </c>
      <c r="O16" s="516">
        <v>10</v>
      </c>
      <c r="R16" s="516">
        <v>10</v>
      </c>
      <c r="S16" s="549">
        <v>19.91</v>
      </c>
      <c r="T16" s="549">
        <v>20.122699999999998</v>
      </c>
      <c r="U16" s="549">
        <v>21.4177</v>
      </c>
      <c r="V16" s="549">
        <v>20.088999999999999</v>
      </c>
      <c r="W16" s="549">
        <v>20.183800000000002</v>
      </c>
      <c r="X16" s="549">
        <v>19.7728</v>
      </c>
      <c r="Y16" s="549">
        <v>20.007000000000001</v>
      </c>
      <c r="Z16" s="549">
        <v>20.003699999999998</v>
      </c>
      <c r="AA16" s="549">
        <v>19.938300000000002</v>
      </c>
      <c r="AB16" s="549">
        <v>20.603999999999999</v>
      </c>
      <c r="AC16" s="549">
        <v>20.326499999999999</v>
      </c>
      <c r="AD16" s="549">
        <v>20.933</v>
      </c>
      <c r="AE16" s="516">
        <v>10</v>
      </c>
      <c r="AH16" s="516">
        <v>10</v>
      </c>
      <c r="AI16" s="549">
        <v>18.797999999999998</v>
      </c>
      <c r="AJ16" s="549">
        <v>18.6645</v>
      </c>
      <c r="AK16" s="549">
        <v>20.162299999999998</v>
      </c>
      <c r="AL16" s="549">
        <v>24.038799999999998</v>
      </c>
      <c r="AM16" s="549">
        <v>24.0563</v>
      </c>
      <c r="AN16" s="549">
        <v>21.655200000000001</v>
      </c>
      <c r="AO16" s="549">
        <v>22.822500000000002</v>
      </c>
      <c r="AP16" s="549">
        <v>22.365200000000002</v>
      </c>
      <c r="AQ16" s="549">
        <v>21.713799999999999</v>
      </c>
      <c r="AR16" s="549">
        <v>21.431799999999999</v>
      </c>
      <c r="AS16" s="549">
        <v>20.62</v>
      </c>
      <c r="AT16" s="549">
        <v>19.753699999999998</v>
      </c>
      <c r="AU16" s="516">
        <v>10</v>
      </c>
      <c r="AX16" s="516">
        <v>10</v>
      </c>
      <c r="AY16" s="535">
        <v>19.347899999999999</v>
      </c>
      <c r="AZ16" s="535">
        <v>19.079999999999998</v>
      </c>
      <c r="BA16" s="535">
        <v>19.522500000000001</v>
      </c>
      <c r="BB16" s="535">
        <v>18.970099999999999</v>
      </c>
      <c r="BC16" s="535">
        <v>19.0837</v>
      </c>
      <c r="BD16" s="535">
        <v>19.708400000000001</v>
      </c>
      <c r="BE16" s="535">
        <v>18.9116</v>
      </c>
      <c r="BF16" s="535">
        <v>19.511800000000001</v>
      </c>
      <c r="BG16" s="535">
        <v>19.5623</v>
      </c>
      <c r="BH16" s="535">
        <v>19.584</v>
      </c>
      <c r="BI16" s="535">
        <v>19.1327</v>
      </c>
      <c r="BJ16" s="535">
        <v>19.3247</v>
      </c>
      <c r="BK16" s="516">
        <v>10</v>
      </c>
      <c r="BN16" s="516">
        <v>10</v>
      </c>
      <c r="BO16" s="535">
        <v>19.232299999999999</v>
      </c>
      <c r="BP16" s="535">
        <v>18.881499999999999</v>
      </c>
      <c r="BQ16" s="537">
        <v>18.7148</v>
      </c>
      <c r="BR16" s="535">
        <v>18.288799999999998</v>
      </c>
      <c r="BS16" s="535">
        <v>19.578099999999999</v>
      </c>
      <c r="BT16" s="535">
        <v>20.46</v>
      </c>
      <c r="BU16" s="535">
        <v>19.071899999999999</v>
      </c>
      <c r="BV16" s="535">
        <v>18.4542</v>
      </c>
      <c r="BW16" s="535">
        <v>19.354600000000001</v>
      </c>
      <c r="BX16" s="535">
        <v>18.923400000000001</v>
      </c>
      <c r="BY16" s="535">
        <v>20.043800000000001</v>
      </c>
      <c r="BZ16" s="535">
        <v>20.470500000000001</v>
      </c>
      <c r="CA16" s="516">
        <v>10</v>
      </c>
      <c r="CD16" s="516">
        <v>10</v>
      </c>
      <c r="CE16" s="535">
        <v>21.314399999999999</v>
      </c>
      <c r="CF16" s="535">
        <v>20.499400000000001</v>
      </c>
      <c r="CG16" s="535">
        <v>19.6007</v>
      </c>
      <c r="CH16" s="535">
        <v>18.769600000000001</v>
      </c>
      <c r="CI16" s="535">
        <v>19.116399999999999</v>
      </c>
      <c r="CJ16" s="535">
        <v>18.194600000000001</v>
      </c>
      <c r="CK16" s="535">
        <v>18.322700000000001</v>
      </c>
      <c r="CL16" s="535">
        <v>17.916</v>
      </c>
      <c r="CM16" s="535">
        <v>17.6965</v>
      </c>
      <c r="CN16" s="535">
        <v>18.552199999999999</v>
      </c>
      <c r="CO16" s="535">
        <v>19.0718</v>
      </c>
      <c r="CP16" s="535">
        <v>18.9315</v>
      </c>
      <c r="CQ16" s="516">
        <v>10</v>
      </c>
      <c r="CT16" s="516">
        <v>10</v>
      </c>
      <c r="CU16" s="535">
        <v>17.6568</v>
      </c>
      <c r="CV16" s="535">
        <v>18.695900000000002</v>
      </c>
      <c r="CW16" s="535">
        <v>17.904399999999999</v>
      </c>
      <c r="CX16" s="535">
        <v>17.893000000000001</v>
      </c>
      <c r="CY16" s="535">
        <v>17.920400000000001</v>
      </c>
      <c r="CZ16" s="535">
        <v>18.149100000000001</v>
      </c>
      <c r="DA16" s="535">
        <v>18.860700000000001</v>
      </c>
      <c r="DB16" s="535">
        <v>18.5716</v>
      </c>
      <c r="DC16" s="535">
        <v>18.5427</v>
      </c>
      <c r="DD16" s="535">
        <v>19.243300000000001</v>
      </c>
      <c r="DE16" s="535">
        <v>18.508900000000001</v>
      </c>
      <c r="DF16" s="535">
        <v>20.4162</v>
      </c>
      <c r="DG16" s="516">
        <v>10</v>
      </c>
      <c r="DJ16" s="516">
        <v>10</v>
      </c>
      <c r="DK16" s="535">
        <v>14.6274</v>
      </c>
      <c r="DL16" s="535">
        <v>14.9024</v>
      </c>
      <c r="DM16" s="535">
        <v>15.4445</v>
      </c>
      <c r="DN16" s="535">
        <v>14.9072</v>
      </c>
      <c r="DO16" s="535">
        <v>15.339700000000001</v>
      </c>
      <c r="DP16" s="535">
        <v>15.6715</v>
      </c>
      <c r="DQ16" s="535">
        <v>15.817399999999999</v>
      </c>
      <c r="DR16" s="535">
        <v>16.353300000000001</v>
      </c>
      <c r="DS16" s="535">
        <v>16.797899999999998</v>
      </c>
      <c r="DT16" s="535">
        <v>16.5762</v>
      </c>
      <c r="DU16" s="535">
        <v>16.838200000000001</v>
      </c>
      <c r="DV16" s="535">
        <v>17.016400000000001</v>
      </c>
      <c r="DW16" s="516">
        <v>10</v>
      </c>
      <c r="DZ16" s="516">
        <v>10</v>
      </c>
      <c r="EA16" s="535">
        <v>13.0846</v>
      </c>
      <c r="EB16" s="535">
        <v>13.2211</v>
      </c>
      <c r="EC16" s="535">
        <v>13.147600000000001</v>
      </c>
      <c r="ED16" s="535">
        <v>12.9642</v>
      </c>
      <c r="EE16" s="535">
        <v>12.947699999999999</v>
      </c>
      <c r="EF16" s="535">
        <v>12.898099999999999</v>
      </c>
      <c r="EG16" s="535">
        <v>13.0006</v>
      </c>
      <c r="EH16" s="535">
        <v>13.255100000000001</v>
      </c>
      <c r="EI16" s="535">
        <v>13.081300000000001</v>
      </c>
      <c r="EJ16" s="535">
        <v>13.4786</v>
      </c>
      <c r="EK16" s="535">
        <v>13.6173</v>
      </c>
      <c r="EL16" s="535">
        <v>14.404199999999999</v>
      </c>
      <c r="EM16" s="516">
        <v>10</v>
      </c>
      <c r="EP16" s="516">
        <v>10</v>
      </c>
      <c r="EQ16" s="535">
        <v>12.801500000000001</v>
      </c>
      <c r="ER16" s="535">
        <v>12.7105</v>
      </c>
      <c r="ES16" s="535">
        <v>12.783899999999999</v>
      </c>
      <c r="ET16" s="535">
        <v>12.158799999999999</v>
      </c>
      <c r="EU16" s="535">
        <v>12.039300000000001</v>
      </c>
      <c r="EV16" s="535">
        <v>12.9079</v>
      </c>
      <c r="EW16" s="535">
        <v>12.9267</v>
      </c>
      <c r="EX16" s="535">
        <v>12.646000000000001</v>
      </c>
      <c r="EY16" s="535">
        <v>13.241300000000001</v>
      </c>
      <c r="EZ16" s="535">
        <v>13.1417</v>
      </c>
      <c r="FA16" s="535">
        <v>13.1912</v>
      </c>
      <c r="FB16" s="535">
        <v>12.9299</v>
      </c>
      <c r="FC16" s="516">
        <v>10</v>
      </c>
      <c r="FF16" s="516">
        <v>10</v>
      </c>
      <c r="FG16" s="535">
        <v>13.722799999999999</v>
      </c>
      <c r="FH16" s="535">
        <v>12.683299999999999</v>
      </c>
      <c r="FI16" s="535">
        <v>12.784000000000001</v>
      </c>
      <c r="FJ16" s="535">
        <v>12.8155</v>
      </c>
      <c r="FK16" s="535">
        <v>13.337400000000001</v>
      </c>
      <c r="FL16" s="535">
        <v>13.935499999999999</v>
      </c>
      <c r="FM16" s="535">
        <v>13.4925</v>
      </c>
      <c r="FN16" s="535">
        <v>13.1891</v>
      </c>
      <c r="FO16" s="535">
        <v>13.048299999999999</v>
      </c>
      <c r="FP16" s="535">
        <v>12.842599999999999</v>
      </c>
      <c r="FQ16" s="535">
        <v>13.1168</v>
      </c>
      <c r="FR16" s="535">
        <v>12.9102</v>
      </c>
      <c r="FS16" s="516">
        <v>10</v>
      </c>
      <c r="FV16" s="516">
        <v>10</v>
      </c>
      <c r="FW16" s="535">
        <v>12.2256</v>
      </c>
      <c r="FX16" s="535">
        <v>11.9937</v>
      </c>
      <c r="FY16" s="535">
        <v>12.025399999999999</v>
      </c>
      <c r="FZ16" s="535">
        <v>11.793100000000001</v>
      </c>
      <c r="GA16" s="535">
        <v>11.609</v>
      </c>
      <c r="GB16" s="535">
        <v>11.8001</v>
      </c>
      <c r="GC16" s="535">
        <v>11.5738</v>
      </c>
      <c r="GD16" s="535">
        <v>12.1845</v>
      </c>
      <c r="GE16" s="535">
        <v>12.4956</v>
      </c>
      <c r="GF16" s="535">
        <v>13.5341</v>
      </c>
      <c r="GG16" s="535">
        <v>13.385199999999999</v>
      </c>
      <c r="GH16" s="535">
        <v>13.6569</v>
      </c>
      <c r="GI16" s="516">
        <v>10</v>
      </c>
      <c r="GL16" s="516">
        <v>10</v>
      </c>
      <c r="GM16" s="535">
        <v>12.7646</v>
      </c>
      <c r="GN16" s="535">
        <v>13.164</v>
      </c>
      <c r="GO16" s="535">
        <v>12.661799999999999</v>
      </c>
      <c r="GP16" s="535">
        <v>12.248799999999999</v>
      </c>
      <c r="GQ16" s="535">
        <v>12.788399999999999</v>
      </c>
      <c r="GR16" s="535">
        <v>12.928800000000001</v>
      </c>
      <c r="GS16" s="535">
        <v>12.8232</v>
      </c>
      <c r="GT16" s="535">
        <v>12.654999999999999</v>
      </c>
      <c r="GU16" s="535">
        <v>13.003399999999999</v>
      </c>
      <c r="GV16" s="535">
        <v>12.527699999999999</v>
      </c>
      <c r="GW16" s="535">
        <v>12.2483</v>
      </c>
      <c r="GX16" s="535">
        <v>12.448399999999999</v>
      </c>
      <c r="GY16" s="516">
        <v>10</v>
      </c>
      <c r="HB16" s="516">
        <v>10</v>
      </c>
      <c r="HC16" s="535">
        <v>13.5045</v>
      </c>
      <c r="HD16" s="535">
        <v>14.1778</v>
      </c>
      <c r="HE16" s="535">
        <v>15.263299999999999</v>
      </c>
      <c r="HF16" s="535">
        <v>13.571199999999999</v>
      </c>
      <c r="HG16" s="535">
        <v>13.110300000000001</v>
      </c>
      <c r="HH16" s="535">
        <v>13.45</v>
      </c>
      <c r="HI16" s="535">
        <v>13.433299999999999</v>
      </c>
      <c r="HJ16" s="535">
        <v>12.992599999999999</v>
      </c>
      <c r="HK16" s="535">
        <v>13.2826</v>
      </c>
      <c r="HL16" s="535">
        <v>13.322699999999999</v>
      </c>
      <c r="HM16" s="535">
        <v>13.3758</v>
      </c>
      <c r="HN16" s="535">
        <v>12.8399</v>
      </c>
      <c r="HO16" s="516">
        <v>10</v>
      </c>
      <c r="HP16" s="536"/>
      <c r="HQ16" s="536"/>
      <c r="HR16" s="516">
        <v>10</v>
      </c>
      <c r="HS16" s="535">
        <v>10.885</v>
      </c>
      <c r="HT16" s="535">
        <v>10.804</v>
      </c>
      <c r="HU16" s="535">
        <v>10.764900000000001</v>
      </c>
      <c r="HV16" s="535">
        <v>10.561</v>
      </c>
      <c r="HW16" s="535">
        <v>10.5465</v>
      </c>
      <c r="HX16" s="535">
        <v>10.3582</v>
      </c>
      <c r="HY16" s="535">
        <v>10.3363</v>
      </c>
      <c r="HZ16" s="535">
        <v>9.9877000000000002</v>
      </c>
      <c r="IA16" s="535">
        <v>10.481</v>
      </c>
      <c r="IB16" s="535">
        <v>13.041700000000001</v>
      </c>
      <c r="IC16" s="535">
        <v>12.95</v>
      </c>
      <c r="ID16" s="535">
        <v>13.4597</v>
      </c>
      <c r="IE16" s="516">
        <v>10</v>
      </c>
      <c r="IF16" s="536"/>
      <c r="IG16" s="536"/>
      <c r="IH16" s="516">
        <v>10</v>
      </c>
      <c r="II16" s="535">
        <v>10.970499999999999</v>
      </c>
      <c r="IJ16" s="535">
        <v>10.968299999999999</v>
      </c>
      <c r="IK16" s="535">
        <v>11.1426</v>
      </c>
      <c r="IL16" s="535">
        <v>10.9976</v>
      </c>
      <c r="IM16" s="535">
        <v>10.8513</v>
      </c>
      <c r="IN16" s="535">
        <v>10.904299999999999</v>
      </c>
      <c r="IO16" s="535">
        <v>10.7828</v>
      </c>
      <c r="IP16" s="535">
        <v>10.9209</v>
      </c>
      <c r="IQ16" s="535">
        <v>11.065799999999999</v>
      </c>
      <c r="IR16" s="535">
        <v>10.8589</v>
      </c>
      <c r="IS16" s="535">
        <v>10.8108</v>
      </c>
      <c r="IT16" s="535">
        <v>10.8367</v>
      </c>
      <c r="IU16" s="516">
        <v>10</v>
      </c>
      <c r="IV16" s="536"/>
      <c r="IW16" s="536"/>
      <c r="IX16" s="516">
        <v>10</v>
      </c>
      <c r="IY16" s="535">
        <v>10.5726</v>
      </c>
      <c r="IZ16" s="535">
        <v>10.527699999999999</v>
      </c>
      <c r="JA16" s="535">
        <v>10.756</v>
      </c>
      <c r="JB16" s="535">
        <v>11.0557</v>
      </c>
      <c r="JC16" s="535">
        <v>10.9381</v>
      </c>
      <c r="JD16" s="535">
        <v>11.419</v>
      </c>
      <c r="JE16" s="535">
        <v>11.1061</v>
      </c>
      <c r="JF16" s="535">
        <v>10.911300000000001</v>
      </c>
      <c r="JG16" s="535">
        <v>11.019600000000001</v>
      </c>
      <c r="JH16" s="535">
        <v>11.0624</v>
      </c>
      <c r="JI16" s="535">
        <v>10.8598</v>
      </c>
      <c r="JJ16" s="535">
        <v>10.8558</v>
      </c>
      <c r="JK16" s="516">
        <v>10</v>
      </c>
      <c r="JL16" s="536"/>
      <c r="JM16" s="536"/>
      <c r="JN16" s="516">
        <v>10</v>
      </c>
      <c r="JO16" s="535">
        <v>11.4018</v>
      </c>
      <c r="JP16" s="535">
        <v>11.215199999999999</v>
      </c>
      <c r="JQ16" s="535">
        <v>10.978999999999999</v>
      </c>
      <c r="JR16" s="535">
        <v>11.1945</v>
      </c>
      <c r="JS16" s="535">
        <v>10.943300000000001</v>
      </c>
      <c r="JT16" s="535">
        <v>10.849399999999999</v>
      </c>
      <c r="JU16" s="535">
        <v>10.7997</v>
      </c>
      <c r="JV16" s="535">
        <v>10.601800000000001</v>
      </c>
      <c r="JW16" s="535">
        <v>10.7126</v>
      </c>
      <c r="JX16" s="535">
        <v>10.768700000000001</v>
      </c>
      <c r="JY16" s="535">
        <v>10.728199999999999</v>
      </c>
      <c r="JZ16" s="535">
        <v>10.502000000000001</v>
      </c>
      <c r="KA16" s="516">
        <v>10</v>
      </c>
      <c r="KB16" s="536"/>
      <c r="KC16" s="536"/>
      <c r="KD16" s="516">
        <v>10</v>
      </c>
      <c r="KE16" s="535">
        <v>10.8847</v>
      </c>
      <c r="KF16" s="535">
        <v>11.1305</v>
      </c>
      <c r="KG16" s="535">
        <v>10.9329</v>
      </c>
      <c r="KH16" s="535">
        <v>11.1631</v>
      </c>
      <c r="KI16" s="535">
        <v>11.4358</v>
      </c>
      <c r="KJ16" s="535">
        <v>11.339700000000001</v>
      </c>
      <c r="KK16" s="535">
        <v>11.531499999999999</v>
      </c>
      <c r="KL16" s="535">
        <v>11.4124</v>
      </c>
      <c r="KM16" s="535">
        <v>11.589499999999999</v>
      </c>
      <c r="KN16" s="535">
        <v>11.2874</v>
      </c>
      <c r="KO16" s="535">
        <v>11.395300000000001</v>
      </c>
      <c r="KP16" s="535">
        <v>11.2738</v>
      </c>
      <c r="KQ16" s="516">
        <v>10</v>
      </c>
      <c r="KR16" s="536"/>
      <c r="KS16" s="536"/>
      <c r="KT16" s="516">
        <v>10</v>
      </c>
      <c r="KU16" s="535">
        <v>10.361700000000001</v>
      </c>
      <c r="KV16" s="535">
        <v>10.873100000000001</v>
      </c>
      <c r="KW16" s="535">
        <v>11.225</v>
      </c>
      <c r="KX16" s="535">
        <v>10.739800000000001</v>
      </c>
      <c r="KY16" s="535">
        <v>10.17</v>
      </c>
      <c r="KZ16" s="535">
        <v>10.5608</v>
      </c>
      <c r="LA16" s="535">
        <v>10.542999999999999</v>
      </c>
      <c r="LB16" s="535">
        <v>10.700100000000001</v>
      </c>
      <c r="LC16" s="535">
        <v>10.9185</v>
      </c>
      <c r="LD16" s="535">
        <v>11.249000000000001</v>
      </c>
      <c r="LE16" s="535">
        <v>10.9903</v>
      </c>
      <c r="LF16" s="535">
        <v>11.239100000000001</v>
      </c>
      <c r="LG16" s="516">
        <v>10</v>
      </c>
      <c r="LH16" s="536"/>
      <c r="LI16" s="536"/>
      <c r="LJ16" s="516">
        <v>10</v>
      </c>
      <c r="LK16" s="535">
        <v>9.1677999999999997</v>
      </c>
      <c r="LL16" s="535">
        <v>9.1380999999999997</v>
      </c>
      <c r="LM16" s="535">
        <v>9.0753000000000004</v>
      </c>
      <c r="LN16" s="535">
        <v>9.0216999999999992</v>
      </c>
      <c r="LO16" s="535">
        <v>9.4169999999999998</v>
      </c>
      <c r="LP16" s="535">
        <v>9.7759999999999998</v>
      </c>
      <c r="LQ16" s="535">
        <v>9.9222999999999999</v>
      </c>
      <c r="LR16" s="535">
        <v>9.7334999999999994</v>
      </c>
      <c r="LS16" s="535">
        <v>9.9620999999999995</v>
      </c>
      <c r="LT16" s="535">
        <v>10.157500000000001</v>
      </c>
      <c r="LU16" s="535">
        <v>10.242800000000001</v>
      </c>
      <c r="LV16" s="535">
        <v>10.272399999999999</v>
      </c>
      <c r="LW16" s="516">
        <v>10</v>
      </c>
      <c r="LX16" s="536"/>
      <c r="LY16" s="536"/>
      <c r="LZ16" s="516">
        <v>10</v>
      </c>
      <c r="MA16" s="535">
        <v>9.69</v>
      </c>
      <c r="MB16" s="535">
        <v>9.6463999999999999</v>
      </c>
      <c r="MC16" s="535">
        <v>9.6468000000000007</v>
      </c>
      <c r="MD16" s="535">
        <v>9.4059000000000008</v>
      </c>
      <c r="ME16" s="535">
        <v>9.2048000000000005</v>
      </c>
      <c r="MF16" s="535">
        <v>9.1234999999999999</v>
      </c>
      <c r="MG16" s="535">
        <v>9.1502999999999997</v>
      </c>
      <c r="MH16" s="535">
        <v>9.0958000000000006</v>
      </c>
      <c r="MI16" s="535">
        <v>9.2897999999999996</v>
      </c>
      <c r="MJ16" s="535">
        <v>9.5665999999999993</v>
      </c>
      <c r="MK16" s="535">
        <v>9.2114999999999991</v>
      </c>
      <c r="ML16" s="535">
        <v>9.2401</v>
      </c>
      <c r="MM16" s="516">
        <v>10</v>
      </c>
      <c r="MN16" s="536"/>
      <c r="MO16" s="536"/>
      <c r="MP16" s="516">
        <v>10</v>
      </c>
      <c r="MQ16" s="535">
        <v>9.5704999999999991</v>
      </c>
      <c r="MR16" s="535">
        <v>9.4017999999999997</v>
      </c>
      <c r="MS16" s="535">
        <v>9.2661999999999995</v>
      </c>
      <c r="MT16" s="535">
        <v>9.3535000000000004</v>
      </c>
      <c r="MU16" s="535">
        <v>9.4917999999999996</v>
      </c>
      <c r="MV16" s="535">
        <v>9.8519000000000005</v>
      </c>
      <c r="MW16" s="535">
        <v>9.5459999999999994</v>
      </c>
      <c r="MX16" s="535">
        <v>9.3353000000000002</v>
      </c>
      <c r="MY16" s="535">
        <v>9.3140999999999998</v>
      </c>
      <c r="MZ16" s="535">
        <v>9.4600000000000009</v>
      </c>
      <c r="NA16" s="535">
        <v>9.6166</v>
      </c>
      <c r="NB16" s="535">
        <v>9.4262999999999995</v>
      </c>
      <c r="NC16" s="516">
        <v>10</v>
      </c>
      <c r="ND16" s="536"/>
      <c r="NE16" s="536"/>
      <c r="NF16" s="516">
        <v>10</v>
      </c>
      <c r="NG16" s="535">
        <v>9.8527000000000005</v>
      </c>
      <c r="NH16" s="535">
        <v>10.082100000000001</v>
      </c>
      <c r="NI16" s="535">
        <v>9.8434000000000008</v>
      </c>
      <c r="NJ16" s="535">
        <v>9.4771000000000001</v>
      </c>
      <c r="NK16" s="535">
        <v>9.3330000000000002</v>
      </c>
      <c r="NL16" s="535">
        <v>9.4878999999999998</v>
      </c>
      <c r="NM16" s="535">
        <v>9.3302999999999994</v>
      </c>
      <c r="NN16" s="535">
        <v>9.4962</v>
      </c>
      <c r="NO16" s="535">
        <v>9.3577999999999992</v>
      </c>
      <c r="NP16" s="535">
        <v>9.4597999999999995</v>
      </c>
      <c r="NQ16" s="535">
        <v>9.4571000000000005</v>
      </c>
      <c r="NR16" s="535">
        <v>9.4755000000000003</v>
      </c>
      <c r="NS16" s="516">
        <v>10</v>
      </c>
      <c r="NT16" s="536"/>
      <c r="NU16" s="536"/>
      <c r="NV16" s="516">
        <v>10</v>
      </c>
      <c r="NW16" s="535">
        <v>8.0775000000000006</v>
      </c>
      <c r="NX16" s="535">
        <v>8.4222000000000001</v>
      </c>
      <c r="NY16" s="535">
        <v>8.5977999999999994</v>
      </c>
      <c r="NZ16" s="535">
        <v>8.5274000000000001</v>
      </c>
      <c r="OA16" s="535">
        <v>8.5007000000000001</v>
      </c>
      <c r="OB16" s="535">
        <v>8.8252000000000006</v>
      </c>
      <c r="OC16" s="535">
        <v>8.9242000000000008</v>
      </c>
      <c r="OD16" s="535">
        <v>9.0254999999999992</v>
      </c>
      <c r="OE16" s="535">
        <v>10.2742</v>
      </c>
      <c r="OF16" s="535">
        <v>10.354900000000001</v>
      </c>
      <c r="OG16" s="535">
        <v>9.9717000000000002</v>
      </c>
      <c r="OH16" s="535">
        <v>9.9422999999999995</v>
      </c>
      <c r="OI16" s="516">
        <v>10</v>
      </c>
      <c r="OJ16" s="536"/>
      <c r="OK16" s="536"/>
      <c r="OL16" s="516">
        <v>10</v>
      </c>
      <c r="OM16" s="535">
        <v>7.8174000000000001</v>
      </c>
      <c r="ON16" s="535">
        <v>7.8281999999999998</v>
      </c>
      <c r="OO16" s="535">
        <v>8.0091999999999999</v>
      </c>
      <c r="OP16" s="535">
        <v>7.8851000000000004</v>
      </c>
      <c r="OQ16" s="535">
        <v>7.9253</v>
      </c>
      <c r="OR16" s="535">
        <v>7.9870000000000001</v>
      </c>
      <c r="OS16" s="535">
        <v>7.9146999999999998</v>
      </c>
      <c r="OT16" s="535">
        <v>7.7895000000000003</v>
      </c>
      <c r="OU16" s="535">
        <v>7.7839999999999998</v>
      </c>
      <c r="OV16" s="535">
        <v>7.7603</v>
      </c>
      <c r="OW16" s="535">
        <v>8.3650000000000002</v>
      </c>
      <c r="OX16" s="535">
        <v>8.1105</v>
      </c>
      <c r="OY16" s="516">
        <v>10</v>
      </c>
      <c r="OZ16" s="536"/>
      <c r="PA16" s="536"/>
      <c r="PB16" s="516">
        <v>10</v>
      </c>
      <c r="PC16" s="535">
        <v>7.5388000000000002</v>
      </c>
      <c r="PD16" s="535">
        <v>7.4863</v>
      </c>
      <c r="PE16" s="535">
        <v>7.5712999999999999</v>
      </c>
      <c r="PF16" s="535">
        <v>7.5724999999999998</v>
      </c>
      <c r="PG16" s="535">
        <v>7.4828000000000001</v>
      </c>
      <c r="PH16" s="535">
        <v>7.5016999999999996</v>
      </c>
      <c r="PI16" s="535">
        <v>7.6688000000000001</v>
      </c>
      <c r="PJ16" s="535">
        <v>7.5349000000000004</v>
      </c>
      <c r="PK16" s="535">
        <v>7.5768000000000004</v>
      </c>
      <c r="PL16" s="535">
        <v>7.54</v>
      </c>
      <c r="PM16" s="535">
        <v>7.9527000000000001</v>
      </c>
      <c r="PN16" s="535">
        <v>7.9260000000000002</v>
      </c>
      <c r="PO16" s="516">
        <v>10</v>
      </c>
      <c r="PP16" s="536"/>
      <c r="PQ16" s="536"/>
      <c r="PR16" s="516">
        <v>10</v>
      </c>
      <c r="PS16" s="535">
        <v>5.5949999999999998</v>
      </c>
      <c r="PT16" s="535">
        <v>5.3624999999999998</v>
      </c>
      <c r="PU16" s="535">
        <v>6.8224999999999998</v>
      </c>
      <c r="PV16" s="535">
        <v>6.3807999999999998</v>
      </c>
      <c r="PW16" s="535">
        <v>5.8417000000000003</v>
      </c>
      <c r="PX16" s="535">
        <v>6.2317</v>
      </c>
      <c r="PY16" s="535">
        <v>6.2370999999999999</v>
      </c>
      <c r="PZ16" s="535">
        <v>6.1460999999999997</v>
      </c>
      <c r="QA16" s="535">
        <v>6.2568000000000001</v>
      </c>
      <c r="QB16" s="535">
        <v>6.5404</v>
      </c>
      <c r="QC16" s="535">
        <v>7.82</v>
      </c>
      <c r="QD16" s="535">
        <v>7.7083000000000004</v>
      </c>
      <c r="QE16" s="516">
        <v>10</v>
      </c>
      <c r="QF16" s="536"/>
      <c r="QG16" s="536"/>
      <c r="QH16" s="516">
        <v>10</v>
      </c>
      <c r="QI16" s="535">
        <v>3.1057000000000001</v>
      </c>
      <c r="QJ16" s="535">
        <v>3.1057999999999999</v>
      </c>
      <c r="QK16" s="535">
        <v>3.2565</v>
      </c>
      <c r="QL16" s="535">
        <v>3.363</v>
      </c>
      <c r="QM16" s="535">
        <v>3.3222999999999998</v>
      </c>
      <c r="QN16" s="535">
        <v>3.3534999999999999</v>
      </c>
      <c r="QO16" s="535">
        <v>3.4001999999999999</v>
      </c>
      <c r="QP16" s="535">
        <v>3.387</v>
      </c>
      <c r="QQ16" s="535">
        <v>3.4014000000000002</v>
      </c>
      <c r="QR16" s="535">
        <v>3.4159000000000002</v>
      </c>
      <c r="QS16" s="535">
        <v>3.4241000000000001</v>
      </c>
      <c r="QT16" s="535">
        <v>3.4510999999999998</v>
      </c>
      <c r="QU16" s="516">
        <v>10</v>
      </c>
      <c r="QV16" s="536"/>
      <c r="QW16" s="536"/>
      <c r="QX16" s="516">
        <v>10</v>
      </c>
      <c r="QY16" s="535">
        <v>3.1063000000000001</v>
      </c>
      <c r="QZ16" s="535">
        <v>3.0981000000000001</v>
      </c>
      <c r="RA16" s="535">
        <v>3.1021000000000001</v>
      </c>
      <c r="RB16" s="535">
        <v>3.0939999999999999</v>
      </c>
      <c r="RC16" s="535">
        <v>3.1328999999999998</v>
      </c>
      <c r="RD16" s="535">
        <v>3.1320999999999999</v>
      </c>
      <c r="RE16" s="535">
        <v>3.1261000000000001</v>
      </c>
      <c r="RF16" s="535">
        <v>3.1137000000000001</v>
      </c>
      <c r="RG16" s="535">
        <v>3.1124000000000001</v>
      </c>
      <c r="RH16" s="535">
        <v>3.1156000000000001</v>
      </c>
      <c r="RI16" s="535">
        <v>3.1520000000000001</v>
      </c>
      <c r="RJ16" s="535">
        <v>3.1046999999999998</v>
      </c>
      <c r="RK16" s="516">
        <v>10</v>
      </c>
      <c r="RL16" s="536"/>
      <c r="RM16" s="536"/>
      <c r="RN16" s="516">
        <v>10</v>
      </c>
      <c r="RO16" s="535">
        <v>3.0663</v>
      </c>
      <c r="RP16" s="535">
        <v>3.0648</v>
      </c>
      <c r="RQ16" s="535">
        <v>3.0608</v>
      </c>
      <c r="RR16" s="535">
        <v>3.0655999999999999</v>
      </c>
      <c r="RS16" s="535">
        <v>3.1</v>
      </c>
      <c r="RT16" s="535">
        <v>3.1145999999999998</v>
      </c>
      <c r="RU16" s="535">
        <v>3.117</v>
      </c>
      <c r="RV16" s="535">
        <v>3.1021000000000001</v>
      </c>
      <c r="RW16" s="535">
        <v>3.0636000000000001</v>
      </c>
      <c r="RX16" s="535">
        <v>3.1151</v>
      </c>
      <c r="RY16" s="535">
        <v>3.1187999999999998</v>
      </c>
      <c r="RZ16" s="535">
        <v>3.1132</v>
      </c>
      <c r="SA16" s="516">
        <v>10</v>
      </c>
      <c r="SB16" s="536"/>
      <c r="SC16" s="536"/>
      <c r="SD16" s="516">
        <v>10</v>
      </c>
      <c r="SE16" s="535">
        <v>2.9498000000000002</v>
      </c>
      <c r="SF16" s="535">
        <v>2.9618000000000002</v>
      </c>
      <c r="SG16" s="535">
        <v>2.9729999999999999</v>
      </c>
      <c r="SH16" s="535">
        <v>2.9857999999999998</v>
      </c>
      <c r="SI16" s="535">
        <v>2.9977999999999998</v>
      </c>
      <c r="SJ16" s="535">
        <v>3.0093999999999999</v>
      </c>
      <c r="SK16" s="535">
        <v>3.0222000000000002</v>
      </c>
      <c r="SL16" s="535">
        <v>3.0346000000000002</v>
      </c>
      <c r="SM16" s="535">
        <v>3.0461999999999998</v>
      </c>
      <c r="SN16" s="535">
        <v>3.0598000000000001</v>
      </c>
      <c r="SO16" s="535">
        <v>3.0726</v>
      </c>
      <c r="SP16" s="535">
        <v>3.0643099999999999</v>
      </c>
      <c r="SQ16" s="516">
        <v>10</v>
      </c>
      <c r="SR16" s="536"/>
      <c r="SS16" s="536"/>
      <c r="ST16" s="516">
        <v>10</v>
      </c>
      <c r="SU16" s="535">
        <v>2.6520000000000001</v>
      </c>
      <c r="SV16" s="535">
        <v>2.6829999999999998</v>
      </c>
      <c r="SW16" s="535">
        <v>2.7109999999999999</v>
      </c>
      <c r="SX16" s="535">
        <v>2.74</v>
      </c>
      <c r="SY16" s="535">
        <v>2.7719999999999998</v>
      </c>
      <c r="SZ16" s="535">
        <v>2.8001999999999998</v>
      </c>
      <c r="TA16" s="535">
        <v>2.8233999999999999</v>
      </c>
      <c r="TB16" s="535">
        <v>2.8498000000000001</v>
      </c>
      <c r="TC16" s="535">
        <v>2.8730000000000002</v>
      </c>
      <c r="TD16" s="535">
        <v>2.8986000000000001</v>
      </c>
      <c r="TE16" s="535">
        <v>2.9234</v>
      </c>
      <c r="TF16" s="535">
        <v>2.9365999999999999</v>
      </c>
      <c r="TG16" s="516">
        <v>10</v>
      </c>
      <c r="TH16" s="536"/>
      <c r="TI16" s="536"/>
      <c r="TJ16" s="516">
        <v>10</v>
      </c>
      <c r="TK16" s="535">
        <v>2.2850000000000001</v>
      </c>
      <c r="TL16" s="535">
        <v>2.3180000000000001</v>
      </c>
      <c r="TM16" s="535">
        <v>2.3460000000000001</v>
      </c>
      <c r="TN16" s="535">
        <v>2.375</v>
      </c>
      <c r="TO16" s="535">
        <v>2.407</v>
      </c>
      <c r="TP16" s="535">
        <v>2.4380000000000002</v>
      </c>
      <c r="TQ16" s="535">
        <v>2.4660000000000002</v>
      </c>
      <c r="TR16" s="535">
        <v>2.4990000000000001</v>
      </c>
      <c r="TS16" s="535">
        <v>2.5289999999999999</v>
      </c>
      <c r="TT16" s="535">
        <v>2.5579999999999998</v>
      </c>
      <c r="TU16" s="535">
        <v>2.5910000000000002</v>
      </c>
      <c r="TV16" s="535">
        <v>2.62</v>
      </c>
      <c r="TW16" s="516">
        <v>10</v>
      </c>
    </row>
    <row r="17" spans="2:543" s="4" customFormat="1" ht="23" customHeight="1">
      <c r="B17" s="516">
        <v>11</v>
      </c>
      <c r="C17" s="549">
        <v>20.4237</v>
      </c>
      <c r="D17" s="549">
        <v>20.500800000000002</v>
      </c>
      <c r="E17" s="549">
        <v>20.967700000000001</v>
      </c>
      <c r="F17" s="549">
        <v>20.160499999999999</v>
      </c>
      <c r="G17" s="549">
        <v>20.3172</v>
      </c>
      <c r="H17" s="549">
        <v>19.6128</v>
      </c>
      <c r="I17" s="549">
        <v>20.6022</v>
      </c>
      <c r="J17" s="549">
        <v>20.2715</v>
      </c>
      <c r="K17" s="549">
        <v>20.020299999999999</v>
      </c>
      <c r="L17" s="549">
        <v>20.0502</v>
      </c>
      <c r="M17" s="662">
        <f t="shared" si="9"/>
        <v>19.746300000000002</v>
      </c>
      <c r="N17" s="662">
        <f t="shared" si="8"/>
        <v>19.746300000000002</v>
      </c>
      <c r="O17" s="516">
        <v>11</v>
      </c>
      <c r="R17" s="516">
        <v>11</v>
      </c>
      <c r="S17" s="549">
        <v>19.91</v>
      </c>
      <c r="T17" s="549">
        <v>20.0913</v>
      </c>
      <c r="U17" s="549">
        <v>21.2575</v>
      </c>
      <c r="V17" s="549">
        <v>20.088999999999999</v>
      </c>
      <c r="W17" s="549">
        <v>19.9223</v>
      </c>
      <c r="X17" s="549">
        <v>19.689699999999998</v>
      </c>
      <c r="Y17" s="549">
        <v>20.007000000000001</v>
      </c>
      <c r="Z17" s="549">
        <v>20.064800000000002</v>
      </c>
      <c r="AA17" s="549">
        <v>19.931799999999999</v>
      </c>
      <c r="AB17" s="549">
        <v>20.603999999999999</v>
      </c>
      <c r="AC17" s="549">
        <v>20.283300000000001</v>
      </c>
      <c r="AD17" s="549">
        <v>21.032800000000002</v>
      </c>
      <c r="AE17" s="516">
        <v>11</v>
      </c>
      <c r="AH17" s="516">
        <v>11</v>
      </c>
      <c r="AI17" s="549">
        <v>18.845300000000002</v>
      </c>
      <c r="AJ17" s="549">
        <v>18.776299999999999</v>
      </c>
      <c r="AK17" s="549">
        <v>21.111699999999999</v>
      </c>
      <c r="AL17" s="549">
        <v>24.038799999999998</v>
      </c>
      <c r="AM17" s="549">
        <v>24.0563</v>
      </c>
      <c r="AN17" s="549">
        <v>21.725200000000001</v>
      </c>
      <c r="AO17" s="549">
        <v>22.694500000000001</v>
      </c>
      <c r="AP17" s="549">
        <v>22.4892</v>
      </c>
      <c r="AQ17" s="549">
        <v>21.537700000000001</v>
      </c>
      <c r="AR17" s="549">
        <v>21.431799999999999</v>
      </c>
      <c r="AS17" s="549">
        <v>20.36</v>
      </c>
      <c r="AT17" s="549">
        <v>19.8368</v>
      </c>
      <c r="AU17" s="516">
        <v>11</v>
      </c>
      <c r="AX17" s="516">
        <v>11</v>
      </c>
      <c r="AY17" s="535">
        <v>19.2456</v>
      </c>
      <c r="AZ17" s="535">
        <v>19.079999999999998</v>
      </c>
      <c r="BA17" s="535">
        <v>19.522500000000001</v>
      </c>
      <c r="BB17" s="535">
        <v>18.922899999999998</v>
      </c>
      <c r="BC17" s="535">
        <v>19.2623</v>
      </c>
      <c r="BD17" s="535">
        <v>19.652799999999999</v>
      </c>
      <c r="BE17" s="535">
        <v>19.004300000000001</v>
      </c>
      <c r="BF17" s="535">
        <v>19.511800000000001</v>
      </c>
      <c r="BG17" s="535">
        <v>19.5398</v>
      </c>
      <c r="BH17" s="535">
        <v>19.568899999999999</v>
      </c>
      <c r="BI17" s="535">
        <v>19.1327</v>
      </c>
      <c r="BJ17" s="535">
        <v>19.2302</v>
      </c>
      <c r="BK17" s="516">
        <v>11</v>
      </c>
      <c r="BN17" s="516">
        <v>11</v>
      </c>
      <c r="BO17" s="535">
        <v>19.3065</v>
      </c>
      <c r="BP17" s="535">
        <v>18.881499999999999</v>
      </c>
      <c r="BQ17" s="537">
        <v>18.7148</v>
      </c>
      <c r="BR17" s="535">
        <v>18.275300000000001</v>
      </c>
      <c r="BS17" s="535">
        <v>19.538699999999999</v>
      </c>
      <c r="BT17" s="535">
        <v>20.46</v>
      </c>
      <c r="BU17" s="535">
        <v>19.156300000000002</v>
      </c>
      <c r="BV17" s="535">
        <v>18.6511</v>
      </c>
      <c r="BW17" s="535">
        <v>19.2394</v>
      </c>
      <c r="BX17" s="535">
        <v>19</v>
      </c>
      <c r="BY17" s="535">
        <v>20.043800000000001</v>
      </c>
      <c r="BZ17" s="535">
        <v>20.260899999999999</v>
      </c>
      <c r="CA17" s="516">
        <v>11</v>
      </c>
      <c r="CD17" s="516">
        <v>11</v>
      </c>
      <c r="CE17" s="535">
        <v>21.321899999999999</v>
      </c>
      <c r="CF17" s="535">
        <v>20.4163</v>
      </c>
      <c r="CG17" s="535">
        <v>19.7974</v>
      </c>
      <c r="CH17" s="535">
        <v>18.655999999999999</v>
      </c>
      <c r="CI17" s="535">
        <v>19.136399999999998</v>
      </c>
      <c r="CJ17" s="535">
        <v>18.194600000000001</v>
      </c>
      <c r="CK17" s="535">
        <v>18.139399999999998</v>
      </c>
      <c r="CL17" s="535">
        <v>17.967099999999999</v>
      </c>
      <c r="CM17" s="535">
        <v>17.6965</v>
      </c>
      <c r="CN17" s="535">
        <v>18.6646</v>
      </c>
      <c r="CO17" s="535">
        <v>19.09</v>
      </c>
      <c r="CP17" s="535">
        <v>18.9315</v>
      </c>
      <c r="CQ17" s="516">
        <v>11</v>
      </c>
      <c r="CT17" s="516">
        <v>11</v>
      </c>
      <c r="CU17" s="535">
        <v>17.6568</v>
      </c>
      <c r="CV17" s="535">
        <v>18.7818</v>
      </c>
      <c r="CW17" s="535">
        <v>17.752300000000002</v>
      </c>
      <c r="CX17" s="535">
        <v>17.893000000000001</v>
      </c>
      <c r="CY17" s="535">
        <v>18.103300000000001</v>
      </c>
      <c r="CZ17" s="535">
        <v>18.2742</v>
      </c>
      <c r="DA17" s="535">
        <v>18.860700000000001</v>
      </c>
      <c r="DB17" s="535">
        <v>18.3842</v>
      </c>
      <c r="DC17" s="535">
        <v>18.5427</v>
      </c>
      <c r="DD17" s="535">
        <v>19.299399999999999</v>
      </c>
      <c r="DE17" s="535">
        <v>19.925000000000001</v>
      </c>
      <c r="DF17" s="535">
        <v>20.4162</v>
      </c>
      <c r="DG17" s="516">
        <v>11</v>
      </c>
      <c r="DJ17" s="516">
        <v>11</v>
      </c>
      <c r="DK17" s="535">
        <v>14.6274</v>
      </c>
      <c r="DL17" s="535">
        <v>14.801399999999999</v>
      </c>
      <c r="DM17" s="535">
        <v>15.4544</v>
      </c>
      <c r="DN17" s="535">
        <v>15.055400000000001</v>
      </c>
      <c r="DO17" s="535">
        <v>15.339700000000001</v>
      </c>
      <c r="DP17" s="535">
        <v>15.564500000000001</v>
      </c>
      <c r="DQ17" s="535">
        <v>15.817399999999999</v>
      </c>
      <c r="DR17" s="535">
        <v>16.1645</v>
      </c>
      <c r="DS17" s="535">
        <v>16.7773</v>
      </c>
      <c r="DT17" s="535">
        <v>16.5762</v>
      </c>
      <c r="DU17" s="535">
        <v>16.87</v>
      </c>
      <c r="DV17" s="535">
        <v>17.015999999999998</v>
      </c>
      <c r="DW17" s="516">
        <v>11</v>
      </c>
      <c r="DZ17" s="516">
        <v>11</v>
      </c>
      <c r="EA17" s="535">
        <v>13.1403</v>
      </c>
      <c r="EB17" s="535">
        <v>13.3285</v>
      </c>
      <c r="EC17" s="535">
        <v>13.179500000000001</v>
      </c>
      <c r="ED17" s="535">
        <v>13.0604</v>
      </c>
      <c r="EE17" s="535">
        <v>12.947699999999999</v>
      </c>
      <c r="EF17" s="535">
        <v>12.991199999999999</v>
      </c>
      <c r="EG17" s="535">
        <v>12.978</v>
      </c>
      <c r="EH17" s="535">
        <v>13.255100000000001</v>
      </c>
      <c r="EI17" s="535">
        <v>13.216200000000001</v>
      </c>
      <c r="EJ17" s="535">
        <v>13.3789</v>
      </c>
      <c r="EK17" s="535">
        <v>13.5573</v>
      </c>
      <c r="EL17" s="535">
        <v>14.3674</v>
      </c>
      <c r="EM17" s="516">
        <v>11</v>
      </c>
      <c r="EP17" s="516">
        <v>11</v>
      </c>
      <c r="EQ17" s="535">
        <v>12.750299999999999</v>
      </c>
      <c r="ER17" s="535">
        <v>12.7105</v>
      </c>
      <c r="ES17" s="535">
        <v>12.783899999999999</v>
      </c>
      <c r="ET17" s="535">
        <v>12.1304</v>
      </c>
      <c r="EU17" s="535">
        <v>11.980700000000001</v>
      </c>
      <c r="EV17" s="535">
        <v>12.7173</v>
      </c>
      <c r="EW17" s="535">
        <v>12.865399999999999</v>
      </c>
      <c r="EX17" s="535">
        <v>12.646000000000001</v>
      </c>
      <c r="EY17" s="535">
        <v>13.1471</v>
      </c>
      <c r="EZ17" s="535">
        <v>13.2126</v>
      </c>
      <c r="FA17" s="535">
        <v>13.1912</v>
      </c>
      <c r="FB17" s="535">
        <v>12.8612</v>
      </c>
      <c r="FC17" s="516">
        <v>11</v>
      </c>
      <c r="FF17" s="516">
        <v>11</v>
      </c>
      <c r="FG17" s="535">
        <v>13.7437</v>
      </c>
      <c r="FH17" s="535">
        <v>12.72</v>
      </c>
      <c r="FI17" s="535">
        <v>12.784000000000001</v>
      </c>
      <c r="FJ17" s="535">
        <v>12.9902</v>
      </c>
      <c r="FK17" s="535">
        <v>13.515000000000001</v>
      </c>
      <c r="FL17" s="535">
        <v>13.935499999999999</v>
      </c>
      <c r="FM17" s="535">
        <v>13.4533</v>
      </c>
      <c r="FN17" s="535">
        <v>13.1188</v>
      </c>
      <c r="FO17" s="535">
        <v>12.9976</v>
      </c>
      <c r="FP17" s="535">
        <v>12.868</v>
      </c>
      <c r="FQ17" s="535">
        <v>13.1168</v>
      </c>
      <c r="FR17" s="535">
        <v>12.8469</v>
      </c>
      <c r="FS17" s="516">
        <v>11</v>
      </c>
      <c r="FV17" s="516">
        <v>11</v>
      </c>
      <c r="FW17" s="535">
        <v>12.2369</v>
      </c>
      <c r="FX17" s="535">
        <v>12.043200000000001</v>
      </c>
      <c r="FY17" s="535">
        <v>11.968</v>
      </c>
      <c r="FZ17" s="535">
        <v>11.793100000000001</v>
      </c>
      <c r="GA17" s="535">
        <v>11.641</v>
      </c>
      <c r="GB17" s="535">
        <v>11.7965</v>
      </c>
      <c r="GC17" s="535">
        <v>11.5738</v>
      </c>
      <c r="GD17" s="535">
        <v>12.371</v>
      </c>
      <c r="GE17" s="535">
        <v>12.4956</v>
      </c>
      <c r="GF17" s="535">
        <v>13.314299999999999</v>
      </c>
      <c r="GG17" s="535">
        <v>13.5252</v>
      </c>
      <c r="GH17" s="535">
        <v>13.6569</v>
      </c>
      <c r="GI17" s="516">
        <v>11</v>
      </c>
      <c r="GL17" s="516">
        <v>11</v>
      </c>
      <c r="GM17" s="535">
        <v>12.7646</v>
      </c>
      <c r="GN17" s="535">
        <v>13.083600000000001</v>
      </c>
      <c r="GO17" s="535">
        <v>12.657400000000001</v>
      </c>
      <c r="GP17" s="535">
        <v>12.248799999999999</v>
      </c>
      <c r="GQ17" s="535">
        <v>12.917899999999999</v>
      </c>
      <c r="GR17" s="535">
        <v>12.8093</v>
      </c>
      <c r="GS17" s="535">
        <v>12.8232</v>
      </c>
      <c r="GT17" s="535">
        <v>12.646100000000001</v>
      </c>
      <c r="GU17" s="535">
        <v>12.985300000000001</v>
      </c>
      <c r="GV17" s="535">
        <v>12.527699999999999</v>
      </c>
      <c r="GW17" s="535">
        <v>12.206799999999999</v>
      </c>
      <c r="GX17" s="535">
        <v>12.458600000000001</v>
      </c>
      <c r="GY17" s="516">
        <v>11</v>
      </c>
      <c r="HB17" s="516">
        <v>11</v>
      </c>
      <c r="HC17" s="535">
        <v>13.5045</v>
      </c>
      <c r="HD17" s="535">
        <v>14.139200000000001</v>
      </c>
      <c r="HE17" s="535">
        <v>15.351699999999999</v>
      </c>
      <c r="HF17" s="535">
        <v>13.571199999999999</v>
      </c>
      <c r="HG17" s="535">
        <v>13.110300000000001</v>
      </c>
      <c r="HH17" s="535">
        <v>13.4793</v>
      </c>
      <c r="HI17" s="535">
        <v>13.575799999999999</v>
      </c>
      <c r="HJ17" s="535">
        <v>12.934900000000001</v>
      </c>
      <c r="HK17" s="535">
        <v>13.392300000000001</v>
      </c>
      <c r="HL17" s="535">
        <v>13.322699999999999</v>
      </c>
      <c r="HM17" s="535">
        <v>13.2996</v>
      </c>
      <c r="HN17" s="535">
        <v>12.9862</v>
      </c>
      <c r="HO17" s="516">
        <v>11</v>
      </c>
      <c r="HP17" s="536"/>
      <c r="HQ17" s="536"/>
      <c r="HR17" s="516">
        <v>11</v>
      </c>
      <c r="HS17" s="535">
        <v>10.962</v>
      </c>
      <c r="HT17" s="535">
        <v>10.804</v>
      </c>
      <c r="HU17" s="535">
        <v>10.8383</v>
      </c>
      <c r="HV17" s="535">
        <v>10.555199999999999</v>
      </c>
      <c r="HW17" s="535">
        <v>10.5465</v>
      </c>
      <c r="HX17" s="535">
        <v>10.362</v>
      </c>
      <c r="HY17" s="535">
        <v>10.299300000000001</v>
      </c>
      <c r="HZ17" s="535">
        <v>9.9877000000000002</v>
      </c>
      <c r="IA17" s="535">
        <v>10.501300000000001</v>
      </c>
      <c r="IB17" s="535">
        <v>12.443300000000001</v>
      </c>
      <c r="IC17" s="535">
        <v>12.8392</v>
      </c>
      <c r="ID17" s="535">
        <v>13.492100000000001</v>
      </c>
      <c r="IE17" s="516">
        <v>11</v>
      </c>
      <c r="IF17" s="536"/>
      <c r="IG17" s="536"/>
      <c r="IH17" s="516">
        <v>11</v>
      </c>
      <c r="II17" s="535">
        <v>11.0091</v>
      </c>
      <c r="IJ17" s="535">
        <v>10.968299999999999</v>
      </c>
      <c r="IK17" s="535">
        <v>11.1426</v>
      </c>
      <c r="IL17" s="535">
        <v>10.970499999999999</v>
      </c>
      <c r="IM17" s="535">
        <v>10.8269</v>
      </c>
      <c r="IN17" s="535">
        <v>10.904299999999999</v>
      </c>
      <c r="IO17" s="535">
        <v>10.7531</v>
      </c>
      <c r="IP17" s="535">
        <v>10.9832</v>
      </c>
      <c r="IQ17" s="535">
        <v>11.1227</v>
      </c>
      <c r="IR17" s="535">
        <v>10.837899999999999</v>
      </c>
      <c r="IS17" s="535">
        <v>10.8108</v>
      </c>
      <c r="IT17" s="535">
        <v>10.812799999999999</v>
      </c>
      <c r="IU17" s="516">
        <v>11</v>
      </c>
      <c r="IV17" s="536"/>
      <c r="IW17" s="536"/>
      <c r="IX17" s="516">
        <v>11</v>
      </c>
      <c r="IY17" s="535">
        <v>10.544600000000001</v>
      </c>
      <c r="IZ17" s="535">
        <v>10.4803</v>
      </c>
      <c r="JA17" s="535">
        <v>10.7094</v>
      </c>
      <c r="JB17" s="535">
        <v>11.144299999999999</v>
      </c>
      <c r="JC17" s="535">
        <v>10.925800000000001</v>
      </c>
      <c r="JD17" s="535">
        <v>11.419</v>
      </c>
      <c r="JE17" s="535">
        <v>11.0243</v>
      </c>
      <c r="JF17" s="535">
        <v>10.8386</v>
      </c>
      <c r="JG17" s="535">
        <v>11.019600000000001</v>
      </c>
      <c r="JH17" s="535">
        <v>11.084199999999999</v>
      </c>
      <c r="JI17" s="535">
        <v>10.863200000000001</v>
      </c>
      <c r="JJ17" s="535">
        <v>10.8558</v>
      </c>
      <c r="JK17" s="516">
        <v>11</v>
      </c>
      <c r="JL17" s="536"/>
      <c r="JM17" s="536"/>
      <c r="JN17" s="516">
        <v>11</v>
      </c>
      <c r="JO17" s="535">
        <v>11.3643</v>
      </c>
      <c r="JP17" s="535">
        <v>11.1919</v>
      </c>
      <c r="JQ17" s="535">
        <v>11.0181</v>
      </c>
      <c r="JR17" s="535">
        <v>11.1945</v>
      </c>
      <c r="JS17" s="535">
        <v>10.9693</v>
      </c>
      <c r="JT17" s="535">
        <v>10.886799999999999</v>
      </c>
      <c r="JU17" s="535">
        <v>10.7997</v>
      </c>
      <c r="JV17" s="535">
        <v>10.638299999999999</v>
      </c>
      <c r="JW17" s="535">
        <v>10.7126</v>
      </c>
      <c r="JX17" s="535">
        <v>10.794</v>
      </c>
      <c r="JY17" s="535">
        <v>10.7104</v>
      </c>
      <c r="JZ17" s="535">
        <v>10.502000000000001</v>
      </c>
      <c r="KA17" s="516">
        <v>11</v>
      </c>
      <c r="KB17" s="536"/>
      <c r="KC17" s="536"/>
      <c r="KD17" s="516">
        <v>11</v>
      </c>
      <c r="KE17" s="535">
        <v>10.8847</v>
      </c>
      <c r="KF17" s="535">
        <v>11.103899999999999</v>
      </c>
      <c r="KG17" s="535">
        <v>10.9695</v>
      </c>
      <c r="KH17" s="535">
        <v>11.1631</v>
      </c>
      <c r="KI17" s="535">
        <v>11.527200000000001</v>
      </c>
      <c r="KJ17" s="535">
        <v>11.380800000000001</v>
      </c>
      <c r="KK17" s="535">
        <v>11.531499999999999</v>
      </c>
      <c r="KL17" s="535">
        <v>11.377599999999999</v>
      </c>
      <c r="KM17" s="535">
        <v>11.5717</v>
      </c>
      <c r="KN17" s="535">
        <v>11.2874</v>
      </c>
      <c r="KO17" s="535">
        <v>11.4465</v>
      </c>
      <c r="KP17" s="535">
        <v>11.291</v>
      </c>
      <c r="KQ17" s="516">
        <v>11</v>
      </c>
      <c r="KR17" s="536"/>
      <c r="KS17" s="536"/>
      <c r="KT17" s="516">
        <v>11</v>
      </c>
      <c r="KU17" s="535">
        <v>10.411199999999999</v>
      </c>
      <c r="KV17" s="535">
        <v>10.8979</v>
      </c>
      <c r="KW17" s="535">
        <v>11.106400000000001</v>
      </c>
      <c r="KX17" s="535">
        <v>10.754099999999999</v>
      </c>
      <c r="KY17" s="535">
        <v>10.17</v>
      </c>
      <c r="KZ17" s="535">
        <v>10.7431</v>
      </c>
      <c r="LA17" s="535">
        <v>10.4795</v>
      </c>
      <c r="LB17" s="535">
        <v>10.700100000000001</v>
      </c>
      <c r="LC17" s="535">
        <v>11.023300000000001</v>
      </c>
      <c r="LD17" s="535">
        <v>11.2356</v>
      </c>
      <c r="LE17" s="535">
        <v>10.9688</v>
      </c>
      <c r="LF17" s="535">
        <v>11.163500000000001</v>
      </c>
      <c r="LG17" s="516">
        <v>11</v>
      </c>
      <c r="LH17" s="536"/>
      <c r="LI17" s="536"/>
      <c r="LJ17" s="516">
        <v>11</v>
      </c>
      <c r="LK17" s="535">
        <v>9.2043999999999997</v>
      </c>
      <c r="LL17" s="535">
        <v>9.1380999999999997</v>
      </c>
      <c r="LM17" s="535">
        <v>9.0753000000000004</v>
      </c>
      <c r="LN17" s="535">
        <v>9.0421999999999993</v>
      </c>
      <c r="LO17" s="535">
        <v>9.4463000000000008</v>
      </c>
      <c r="LP17" s="535">
        <v>9.7411999999999992</v>
      </c>
      <c r="LQ17" s="535">
        <v>9.8552</v>
      </c>
      <c r="LR17" s="535">
        <v>9.7334999999999994</v>
      </c>
      <c r="LS17" s="535">
        <v>9.9604999999999997</v>
      </c>
      <c r="LT17" s="535">
        <v>10.204800000000001</v>
      </c>
      <c r="LU17" s="535">
        <v>10.242800000000001</v>
      </c>
      <c r="LV17" s="535">
        <v>10.1852</v>
      </c>
      <c r="LW17" s="516">
        <v>11</v>
      </c>
      <c r="LX17" s="536"/>
      <c r="LY17" s="536"/>
      <c r="LZ17" s="516">
        <v>11</v>
      </c>
      <c r="MA17" s="535">
        <v>9.7416999999999998</v>
      </c>
      <c r="MB17" s="535">
        <v>9.6463999999999999</v>
      </c>
      <c r="MC17" s="535">
        <v>9.6468000000000007</v>
      </c>
      <c r="MD17" s="535">
        <v>9.3587000000000007</v>
      </c>
      <c r="ME17" s="535">
        <v>9.2159999999999993</v>
      </c>
      <c r="MF17" s="535">
        <v>9.1234999999999999</v>
      </c>
      <c r="MG17" s="535">
        <v>9.1193000000000008</v>
      </c>
      <c r="MH17" s="535">
        <v>9.0897000000000006</v>
      </c>
      <c r="MI17" s="535">
        <v>9.3241999999999994</v>
      </c>
      <c r="MJ17" s="535">
        <v>9.5162999999999993</v>
      </c>
      <c r="MK17" s="535">
        <v>9.2114999999999991</v>
      </c>
      <c r="ML17" s="535">
        <v>9.2124000000000006</v>
      </c>
      <c r="MM17" s="516">
        <v>11</v>
      </c>
      <c r="MN17" s="536"/>
      <c r="MO17" s="536"/>
      <c r="MP17" s="516">
        <v>11</v>
      </c>
      <c r="MQ17" s="535">
        <v>9.5150000000000006</v>
      </c>
      <c r="MR17" s="535">
        <v>9.3998000000000008</v>
      </c>
      <c r="MS17" s="535">
        <v>9.2836999999999996</v>
      </c>
      <c r="MT17" s="535">
        <v>9.3217999999999996</v>
      </c>
      <c r="MU17" s="535">
        <v>9.4855</v>
      </c>
      <c r="MV17" s="535">
        <v>9.8519000000000005</v>
      </c>
      <c r="MW17" s="535">
        <v>9.5195000000000007</v>
      </c>
      <c r="MX17" s="535">
        <v>9.3260000000000005</v>
      </c>
      <c r="MY17" s="535">
        <v>9.3140999999999998</v>
      </c>
      <c r="MZ17" s="535">
        <v>9.4753000000000007</v>
      </c>
      <c r="NA17" s="535">
        <v>9.6532999999999998</v>
      </c>
      <c r="NB17" s="535">
        <v>9.4262999999999995</v>
      </c>
      <c r="NC17" s="516">
        <v>11</v>
      </c>
      <c r="ND17" s="536"/>
      <c r="NE17" s="536"/>
      <c r="NF17" s="516">
        <v>11</v>
      </c>
      <c r="NG17" s="535">
        <v>9.8527000000000005</v>
      </c>
      <c r="NH17" s="535">
        <v>10.0764</v>
      </c>
      <c r="NI17" s="535">
        <v>9.7927</v>
      </c>
      <c r="NJ17" s="535">
        <v>9.4771000000000001</v>
      </c>
      <c r="NK17" s="535">
        <v>9.3480000000000008</v>
      </c>
      <c r="NL17" s="535">
        <v>9.5816999999999997</v>
      </c>
      <c r="NM17" s="535">
        <v>9.3302999999999994</v>
      </c>
      <c r="NN17" s="535">
        <v>9.4873999999999992</v>
      </c>
      <c r="NO17" s="535">
        <v>9.3470999999999993</v>
      </c>
      <c r="NP17" s="535">
        <v>9.4597999999999995</v>
      </c>
      <c r="NQ17" s="535">
        <v>9.4158000000000008</v>
      </c>
      <c r="NR17" s="535">
        <v>9.4288000000000007</v>
      </c>
      <c r="NS17" s="516">
        <v>11</v>
      </c>
      <c r="NT17" s="536"/>
      <c r="NU17" s="536"/>
      <c r="NV17" s="516">
        <v>11</v>
      </c>
      <c r="NW17" s="535">
        <v>8.0775000000000006</v>
      </c>
      <c r="NX17" s="535">
        <v>8.4528999999999996</v>
      </c>
      <c r="NY17" s="535">
        <v>8.6273</v>
      </c>
      <c r="NZ17" s="535">
        <v>8.5274000000000001</v>
      </c>
      <c r="OA17" s="535">
        <v>8.5007000000000001</v>
      </c>
      <c r="OB17" s="535">
        <v>8.8360000000000003</v>
      </c>
      <c r="OC17" s="535">
        <v>8.9431999999999992</v>
      </c>
      <c r="OD17" s="535">
        <v>9.0187000000000008</v>
      </c>
      <c r="OE17" s="535">
        <v>10.3499</v>
      </c>
      <c r="OF17" s="535">
        <v>10.354900000000001</v>
      </c>
      <c r="OG17" s="535">
        <v>10.0015</v>
      </c>
      <c r="OH17" s="535">
        <v>9.9517000000000007</v>
      </c>
      <c r="OI17" s="516">
        <v>11</v>
      </c>
      <c r="OJ17" s="536"/>
      <c r="OK17" s="536"/>
      <c r="OL17" s="516">
        <v>11</v>
      </c>
      <c r="OM17" s="535">
        <v>7.8208000000000002</v>
      </c>
      <c r="ON17" s="535">
        <v>7.8048000000000002</v>
      </c>
      <c r="OO17" s="535">
        <v>8.0152000000000001</v>
      </c>
      <c r="OP17" s="535">
        <v>7.8913000000000002</v>
      </c>
      <c r="OQ17" s="535">
        <v>7.9253</v>
      </c>
      <c r="OR17" s="535">
        <v>7.9878</v>
      </c>
      <c r="OS17" s="535">
        <v>7.8952999999999998</v>
      </c>
      <c r="OT17" s="535">
        <v>7.7895000000000003</v>
      </c>
      <c r="OU17" s="535">
        <v>7.7790999999999997</v>
      </c>
      <c r="OV17" s="535">
        <v>7.77</v>
      </c>
      <c r="OW17" s="535">
        <v>8.3766999999999996</v>
      </c>
      <c r="OX17" s="535">
        <v>8.1148000000000007</v>
      </c>
      <c r="OY17" s="516">
        <v>11</v>
      </c>
      <c r="OZ17" s="536"/>
      <c r="PA17" s="536"/>
      <c r="PB17" s="516">
        <v>11</v>
      </c>
      <c r="PC17" s="535">
        <v>7.4779</v>
      </c>
      <c r="PD17" s="535">
        <v>7.4863</v>
      </c>
      <c r="PE17" s="535">
        <v>7.5712999999999999</v>
      </c>
      <c r="PF17" s="535">
        <v>7.5366</v>
      </c>
      <c r="PG17" s="535">
        <v>7.4762000000000004</v>
      </c>
      <c r="PH17" s="535">
        <v>7.5278</v>
      </c>
      <c r="PI17" s="535">
        <v>7.6383000000000001</v>
      </c>
      <c r="PJ17" s="535">
        <v>7.5349000000000004</v>
      </c>
      <c r="PK17" s="535">
        <v>7.5426000000000002</v>
      </c>
      <c r="PL17" s="535">
        <v>7.5740999999999996</v>
      </c>
      <c r="PM17" s="535">
        <v>7.9527000000000001</v>
      </c>
      <c r="PN17" s="535">
        <v>7.9032</v>
      </c>
      <c r="PO17" s="516">
        <v>11</v>
      </c>
      <c r="PP17" s="536"/>
      <c r="PQ17" s="536"/>
      <c r="PR17" s="516">
        <v>11</v>
      </c>
      <c r="PS17" s="535">
        <v>5.3949999999999996</v>
      </c>
      <c r="PT17" s="535">
        <v>5.59</v>
      </c>
      <c r="PU17" s="535">
        <v>7.5875000000000004</v>
      </c>
      <c r="PV17" s="535">
        <v>6.2933000000000003</v>
      </c>
      <c r="PW17" s="535">
        <v>5.8883000000000001</v>
      </c>
      <c r="PX17" s="535">
        <v>6.2317</v>
      </c>
      <c r="PY17" s="535">
        <v>6.165</v>
      </c>
      <c r="PZ17" s="535">
        <v>6.1384999999999996</v>
      </c>
      <c r="QA17" s="535">
        <v>6.2568000000000001</v>
      </c>
      <c r="QB17" s="535">
        <v>6.5740999999999996</v>
      </c>
      <c r="QC17" s="535">
        <v>8.1382999999999992</v>
      </c>
      <c r="QD17" s="535">
        <v>7.7083000000000004</v>
      </c>
      <c r="QE17" s="516">
        <v>11</v>
      </c>
      <c r="QF17" s="536"/>
      <c r="QG17" s="536"/>
      <c r="QH17" s="516">
        <v>11</v>
      </c>
      <c r="QI17" s="535">
        <v>3.1057000000000001</v>
      </c>
      <c r="QJ17" s="535">
        <v>3.1055000000000001</v>
      </c>
      <c r="QK17" s="535">
        <v>3.3149999999999999</v>
      </c>
      <c r="QL17" s="535">
        <v>3.363</v>
      </c>
      <c r="QM17" s="535">
        <v>3.3395999999999999</v>
      </c>
      <c r="QN17" s="535">
        <v>3.3588</v>
      </c>
      <c r="QO17" s="535">
        <v>3.4001999999999999</v>
      </c>
      <c r="QP17" s="535">
        <v>3.3881999999999999</v>
      </c>
      <c r="QQ17" s="535">
        <v>3.4014000000000002</v>
      </c>
      <c r="QR17" s="535">
        <v>3.4175</v>
      </c>
      <c r="QS17" s="535">
        <v>3.4285000000000001</v>
      </c>
      <c r="QT17" s="535">
        <v>3.4510999999999998</v>
      </c>
      <c r="QU17" s="516">
        <v>11</v>
      </c>
      <c r="QV17" s="536"/>
      <c r="QW17" s="536"/>
      <c r="QX17" s="516">
        <v>11</v>
      </c>
      <c r="QY17" s="535">
        <v>3.1063000000000001</v>
      </c>
      <c r="QZ17" s="535">
        <v>3.0977000000000001</v>
      </c>
      <c r="RA17" s="535">
        <v>3.113</v>
      </c>
      <c r="RB17" s="535">
        <v>3.0939999999999999</v>
      </c>
      <c r="RC17" s="535">
        <v>3.1335000000000002</v>
      </c>
      <c r="RD17" s="535">
        <v>3.1269</v>
      </c>
      <c r="RE17" s="535">
        <v>3.1261000000000001</v>
      </c>
      <c r="RF17" s="535">
        <v>3.11</v>
      </c>
      <c r="RG17" s="535">
        <v>3.1126999999999998</v>
      </c>
      <c r="RH17" s="535">
        <v>3.1156000000000001</v>
      </c>
      <c r="RI17" s="535">
        <v>3.2450000000000001</v>
      </c>
      <c r="RJ17" s="535">
        <v>3.1074999999999999</v>
      </c>
      <c r="RK17" s="516">
        <v>11</v>
      </c>
      <c r="RL17" s="536"/>
      <c r="RM17" s="536"/>
      <c r="RN17" s="516">
        <v>11</v>
      </c>
      <c r="RO17" s="535">
        <v>3.0661999999999998</v>
      </c>
      <c r="RP17" s="535">
        <v>3.0644999999999998</v>
      </c>
      <c r="RQ17" s="535">
        <v>3.0611999999999999</v>
      </c>
      <c r="RR17" s="535">
        <v>3.0695000000000001</v>
      </c>
      <c r="RS17" s="535">
        <v>3.1</v>
      </c>
      <c r="RT17" s="535">
        <v>3.1175999999999999</v>
      </c>
      <c r="RU17" s="535">
        <v>3.1099000000000001</v>
      </c>
      <c r="RV17" s="535">
        <v>3.1019999999999999</v>
      </c>
      <c r="RW17" s="535">
        <v>3.0630000000000002</v>
      </c>
      <c r="RX17" s="535">
        <v>3.1151</v>
      </c>
      <c r="RY17" s="535">
        <v>3.1248999999999998</v>
      </c>
      <c r="RZ17" s="535">
        <v>3.1128</v>
      </c>
      <c r="SA17" s="516">
        <v>11</v>
      </c>
      <c r="SB17" s="536"/>
      <c r="SC17" s="536"/>
      <c r="SD17" s="516">
        <v>11</v>
      </c>
      <c r="SE17" s="535">
        <v>2.9502000000000002</v>
      </c>
      <c r="SF17" s="535">
        <v>2.9618000000000002</v>
      </c>
      <c r="SG17" s="535">
        <v>2.9729999999999999</v>
      </c>
      <c r="SH17" s="535">
        <v>2.9862000000000002</v>
      </c>
      <c r="SI17" s="535">
        <v>2.9982000000000002</v>
      </c>
      <c r="SJ17" s="535">
        <v>3.0097999999999998</v>
      </c>
      <c r="SK17" s="535">
        <v>3.0226000000000002</v>
      </c>
      <c r="SL17" s="535">
        <v>3.0346000000000002</v>
      </c>
      <c r="SM17" s="535">
        <v>3.0474000000000001</v>
      </c>
      <c r="SN17" s="535">
        <v>3.0602</v>
      </c>
      <c r="SO17" s="535">
        <v>3.0726</v>
      </c>
      <c r="SP17" s="535">
        <v>3.0624799999999999</v>
      </c>
      <c r="SQ17" s="516">
        <v>11</v>
      </c>
      <c r="SR17" s="536"/>
      <c r="SS17" s="536"/>
      <c r="ST17" s="516">
        <v>11</v>
      </c>
      <c r="SU17" s="535">
        <v>2.653</v>
      </c>
      <c r="SV17" s="535">
        <v>2.6829999999999998</v>
      </c>
      <c r="SW17" s="535">
        <v>2.7109999999999999</v>
      </c>
      <c r="SX17" s="535">
        <v>2.7429999999999999</v>
      </c>
      <c r="SY17" s="535">
        <v>2.7730000000000001</v>
      </c>
      <c r="SZ17" s="535">
        <v>2.8001999999999998</v>
      </c>
      <c r="TA17" s="535">
        <v>2.8258000000000001</v>
      </c>
      <c r="TB17" s="535">
        <v>2.8506</v>
      </c>
      <c r="TC17" s="535">
        <v>2.8738000000000001</v>
      </c>
      <c r="TD17" s="535">
        <v>2.8994</v>
      </c>
      <c r="TE17" s="535">
        <v>2.9234</v>
      </c>
      <c r="TF17" s="535">
        <v>2.9369999999999998</v>
      </c>
      <c r="TG17" s="516">
        <v>11</v>
      </c>
      <c r="TH17" s="536"/>
      <c r="TI17" s="536"/>
      <c r="TJ17" s="516">
        <v>11</v>
      </c>
      <c r="TK17" s="535">
        <v>2.2879999999999998</v>
      </c>
      <c r="TL17" s="535">
        <v>2.319</v>
      </c>
      <c r="TM17" s="535">
        <v>2.347</v>
      </c>
      <c r="TN17" s="535">
        <v>2.3759999999999999</v>
      </c>
      <c r="TO17" s="535">
        <v>2.4079999999999999</v>
      </c>
      <c r="TP17" s="535">
        <v>2.4380000000000002</v>
      </c>
      <c r="TQ17" s="535">
        <v>2.4670000000000001</v>
      </c>
      <c r="TR17" s="535">
        <v>2.5</v>
      </c>
      <c r="TS17" s="535">
        <v>2.5289999999999999</v>
      </c>
      <c r="TT17" s="535">
        <v>2.5609999999999999</v>
      </c>
      <c r="TU17" s="535">
        <v>2.5920000000000001</v>
      </c>
      <c r="TV17" s="535">
        <v>2.62</v>
      </c>
      <c r="TW17" s="516">
        <v>11</v>
      </c>
    </row>
    <row r="18" spans="2:543" s="4" customFormat="1" ht="23" customHeight="1">
      <c r="B18" s="516">
        <v>12</v>
      </c>
      <c r="C18" s="549">
        <v>20.4453</v>
      </c>
      <c r="D18" s="549">
        <v>20.4148</v>
      </c>
      <c r="E18" s="549">
        <v>20.974299999999999</v>
      </c>
      <c r="F18" s="549">
        <v>20.12</v>
      </c>
      <c r="G18" s="549">
        <v>20.372</v>
      </c>
      <c r="H18" s="549">
        <v>19.6128</v>
      </c>
      <c r="I18" s="549">
        <v>20.442299999999999</v>
      </c>
      <c r="J18" s="549">
        <v>19.956199999999999</v>
      </c>
      <c r="K18" s="549">
        <v>20.020299999999999</v>
      </c>
      <c r="L18" s="549">
        <v>19.975200000000001</v>
      </c>
      <c r="M18" s="662">
        <f t="shared" si="9"/>
        <v>19.746300000000002</v>
      </c>
      <c r="N18" s="662">
        <f t="shared" si="8"/>
        <v>19.746300000000002</v>
      </c>
      <c r="O18" s="516">
        <v>12</v>
      </c>
      <c r="R18" s="516">
        <v>12</v>
      </c>
      <c r="S18" s="549">
        <v>19.970500000000001</v>
      </c>
      <c r="T18" s="549">
        <v>20.058800000000002</v>
      </c>
      <c r="U18" s="549">
        <v>20.985299999999999</v>
      </c>
      <c r="V18" s="549">
        <v>20.088999999999999</v>
      </c>
      <c r="W18" s="549">
        <v>19.885999999999999</v>
      </c>
      <c r="X18" s="549">
        <v>19.700199999999999</v>
      </c>
      <c r="Y18" s="549">
        <v>20.007000000000001</v>
      </c>
      <c r="Z18" s="549">
        <v>20.1038</v>
      </c>
      <c r="AA18" s="549">
        <v>19.931799999999999</v>
      </c>
      <c r="AB18" s="549">
        <v>20.729299999999999</v>
      </c>
      <c r="AC18" s="549">
        <v>20.470199999999998</v>
      </c>
      <c r="AD18" s="549">
        <v>21.032800000000002</v>
      </c>
      <c r="AE18" s="516">
        <v>12</v>
      </c>
      <c r="AH18" s="516">
        <v>12</v>
      </c>
      <c r="AI18" s="549">
        <v>18.845300000000002</v>
      </c>
      <c r="AJ18" s="549">
        <v>18.7653</v>
      </c>
      <c r="AK18" s="549">
        <v>21.026700000000002</v>
      </c>
      <c r="AL18" s="549">
        <v>24.038799999999998</v>
      </c>
      <c r="AM18" s="549">
        <v>23.680499999999999</v>
      </c>
      <c r="AN18" s="549">
        <v>21.922999999999998</v>
      </c>
      <c r="AO18" s="549">
        <v>22.694500000000001</v>
      </c>
      <c r="AP18" s="549">
        <v>22.484999999999999</v>
      </c>
      <c r="AQ18" s="549">
        <v>21.2773</v>
      </c>
      <c r="AR18" s="549">
        <v>21.431799999999999</v>
      </c>
      <c r="AS18" s="549">
        <v>20.401800000000001</v>
      </c>
      <c r="AT18" s="549">
        <v>19.9572</v>
      </c>
      <c r="AU18" s="516">
        <v>12</v>
      </c>
      <c r="AX18" s="516">
        <v>12</v>
      </c>
      <c r="AY18" s="535">
        <v>19.171399999999998</v>
      </c>
      <c r="AZ18" s="535">
        <v>19.089300000000001</v>
      </c>
      <c r="BA18" s="535">
        <v>19.490200000000002</v>
      </c>
      <c r="BB18" s="535">
        <v>18.835999999999999</v>
      </c>
      <c r="BC18" s="535">
        <v>19.2623</v>
      </c>
      <c r="BD18" s="535">
        <v>19.204000000000001</v>
      </c>
      <c r="BE18" s="535">
        <v>19.2425</v>
      </c>
      <c r="BF18" s="535">
        <v>19.511800000000001</v>
      </c>
      <c r="BG18" s="535">
        <v>19.535399999999999</v>
      </c>
      <c r="BH18" s="535">
        <v>19.476400000000002</v>
      </c>
      <c r="BI18" s="535">
        <v>19.1068</v>
      </c>
      <c r="BJ18" s="535">
        <v>19.2362</v>
      </c>
      <c r="BK18" s="516">
        <v>12</v>
      </c>
      <c r="BN18" s="516">
        <v>12</v>
      </c>
      <c r="BO18" s="535">
        <v>19.240500000000001</v>
      </c>
      <c r="BP18" s="535">
        <v>18.881499999999999</v>
      </c>
      <c r="BQ18" s="537">
        <v>18.7148</v>
      </c>
      <c r="BR18" s="535">
        <v>18.2882</v>
      </c>
      <c r="BS18" s="535">
        <v>19.2989</v>
      </c>
      <c r="BT18" s="535">
        <v>20.528099999999998</v>
      </c>
      <c r="BU18" s="535">
        <v>19.055900000000001</v>
      </c>
      <c r="BV18" s="535">
        <v>18.6511</v>
      </c>
      <c r="BW18" s="535">
        <v>19.2989</v>
      </c>
      <c r="BX18" s="535">
        <v>19.118300000000001</v>
      </c>
      <c r="BY18" s="535">
        <v>20.043800000000001</v>
      </c>
      <c r="BZ18" s="535">
        <v>20.362100000000002</v>
      </c>
      <c r="CA18" s="516">
        <v>12</v>
      </c>
      <c r="CD18" s="516">
        <v>12</v>
      </c>
      <c r="CE18" s="535">
        <v>21.616800000000001</v>
      </c>
      <c r="CF18" s="535">
        <v>20.4163</v>
      </c>
      <c r="CG18" s="535">
        <v>19.7974</v>
      </c>
      <c r="CH18" s="535">
        <v>18.692299999999999</v>
      </c>
      <c r="CI18" s="535">
        <v>18.9587</v>
      </c>
      <c r="CJ18" s="535">
        <v>18.194600000000001</v>
      </c>
      <c r="CK18" s="535">
        <v>17.975100000000001</v>
      </c>
      <c r="CL18" s="535">
        <v>17.907299999999999</v>
      </c>
      <c r="CM18" s="535">
        <v>17.7331</v>
      </c>
      <c r="CN18" s="535">
        <v>18.6327</v>
      </c>
      <c r="CO18" s="535">
        <v>19.09</v>
      </c>
      <c r="CP18" s="535">
        <v>18.944500000000001</v>
      </c>
      <c r="CQ18" s="516">
        <v>12</v>
      </c>
      <c r="CT18" s="516">
        <v>12</v>
      </c>
      <c r="CU18" s="535">
        <v>17.9283</v>
      </c>
      <c r="CV18" s="535">
        <v>18.808900000000001</v>
      </c>
      <c r="CW18" s="535">
        <v>17.860099999999999</v>
      </c>
      <c r="CX18" s="535">
        <v>17.739100000000001</v>
      </c>
      <c r="CY18" s="535">
        <v>18.020499999999998</v>
      </c>
      <c r="CZ18" s="535">
        <v>18.2742</v>
      </c>
      <c r="DA18" s="535">
        <v>18.5991</v>
      </c>
      <c r="DB18" s="535">
        <v>18.347899999999999</v>
      </c>
      <c r="DC18" s="535">
        <v>18.5427</v>
      </c>
      <c r="DD18" s="535">
        <v>18.878599999999999</v>
      </c>
      <c r="DE18" s="535">
        <v>20.481200000000001</v>
      </c>
      <c r="DF18" s="535">
        <v>20.4162</v>
      </c>
      <c r="DG18" s="516">
        <v>12</v>
      </c>
      <c r="DJ18" s="516">
        <v>12</v>
      </c>
      <c r="DK18" s="535">
        <v>14.6274</v>
      </c>
      <c r="DL18" s="535">
        <v>14.930899999999999</v>
      </c>
      <c r="DM18" s="535">
        <v>15.5837</v>
      </c>
      <c r="DN18" s="535">
        <v>15.055400000000001</v>
      </c>
      <c r="DO18" s="535">
        <v>15.1424</v>
      </c>
      <c r="DP18" s="535">
        <v>15.4779</v>
      </c>
      <c r="DQ18" s="535">
        <v>15.817399999999999</v>
      </c>
      <c r="DR18" s="535">
        <v>16.165199999999999</v>
      </c>
      <c r="DS18" s="535">
        <v>16.7773</v>
      </c>
      <c r="DT18" s="535">
        <v>16.546399999999998</v>
      </c>
      <c r="DU18" s="535">
        <v>16.765799999999999</v>
      </c>
      <c r="DV18" s="535">
        <v>17.074999999999999</v>
      </c>
      <c r="DW18" s="516">
        <v>12</v>
      </c>
      <c r="DZ18" s="516">
        <v>12</v>
      </c>
      <c r="EA18" s="535">
        <v>13.1403</v>
      </c>
      <c r="EB18" s="535">
        <v>13.3134</v>
      </c>
      <c r="EC18" s="535">
        <v>13.2248</v>
      </c>
      <c r="ED18" s="535">
        <v>13.045299999999999</v>
      </c>
      <c r="EE18" s="535">
        <v>12.947699999999999</v>
      </c>
      <c r="EF18" s="535">
        <v>13.0486</v>
      </c>
      <c r="EG18" s="535">
        <v>13.0015</v>
      </c>
      <c r="EH18" s="535">
        <v>13.236000000000001</v>
      </c>
      <c r="EI18" s="535">
        <v>13.214399999999999</v>
      </c>
      <c r="EJ18" s="535">
        <v>13.3789</v>
      </c>
      <c r="EK18" s="535">
        <v>13.5528</v>
      </c>
      <c r="EL18" s="535">
        <v>14.5181</v>
      </c>
      <c r="EM18" s="516">
        <v>12</v>
      </c>
      <c r="EP18" s="516">
        <v>12</v>
      </c>
      <c r="EQ18" s="535">
        <v>12.6555</v>
      </c>
      <c r="ER18" s="535">
        <v>12.730700000000001</v>
      </c>
      <c r="ES18" s="535">
        <v>12.6684</v>
      </c>
      <c r="ET18" s="535">
        <v>12.114000000000001</v>
      </c>
      <c r="EU18" s="535">
        <v>11.980700000000001</v>
      </c>
      <c r="EV18" s="535">
        <v>12.857200000000001</v>
      </c>
      <c r="EW18" s="535">
        <v>12.949400000000001</v>
      </c>
      <c r="EX18" s="535">
        <v>12.646000000000001</v>
      </c>
      <c r="EY18" s="535">
        <v>13.1119</v>
      </c>
      <c r="EZ18" s="535">
        <v>13.0913</v>
      </c>
      <c r="FA18" s="535">
        <v>13.241199999999999</v>
      </c>
      <c r="FB18" s="535">
        <v>12.8574</v>
      </c>
      <c r="FC18" s="516">
        <v>12</v>
      </c>
      <c r="FF18" s="516">
        <v>12</v>
      </c>
      <c r="FG18" s="535">
        <v>13.6204</v>
      </c>
      <c r="FH18" s="535">
        <v>12.72</v>
      </c>
      <c r="FI18" s="535">
        <v>12.784000000000001</v>
      </c>
      <c r="FJ18" s="535">
        <v>13.1568</v>
      </c>
      <c r="FK18" s="535">
        <v>13.446999999999999</v>
      </c>
      <c r="FL18" s="535">
        <v>14.0351</v>
      </c>
      <c r="FM18" s="535">
        <v>13.292400000000001</v>
      </c>
      <c r="FN18" s="535">
        <v>13.1188</v>
      </c>
      <c r="FO18" s="535">
        <v>12.992100000000001</v>
      </c>
      <c r="FP18" s="535">
        <v>12.911899999999999</v>
      </c>
      <c r="FQ18" s="535">
        <v>13.1168</v>
      </c>
      <c r="FR18" s="535">
        <v>12.7964</v>
      </c>
      <c r="FS18" s="516">
        <v>12</v>
      </c>
      <c r="FV18" s="516">
        <v>12</v>
      </c>
      <c r="FW18" s="535">
        <v>12.254200000000001</v>
      </c>
      <c r="FX18" s="535">
        <v>12.0937</v>
      </c>
      <c r="FY18" s="535">
        <v>11.9755</v>
      </c>
      <c r="FZ18" s="535">
        <v>11.742100000000001</v>
      </c>
      <c r="GA18" s="535">
        <v>11.600899999999999</v>
      </c>
      <c r="GB18" s="535">
        <v>11.7965</v>
      </c>
      <c r="GC18" s="535">
        <v>11.633699999999999</v>
      </c>
      <c r="GD18" s="535">
        <v>12.322100000000001</v>
      </c>
      <c r="GE18" s="535">
        <v>12.4956</v>
      </c>
      <c r="GF18" s="535">
        <v>13.2751</v>
      </c>
      <c r="GG18" s="535">
        <v>13.562200000000001</v>
      </c>
      <c r="GH18" s="535">
        <v>13.6569</v>
      </c>
      <c r="GI18" s="516">
        <v>12</v>
      </c>
      <c r="GL18" s="516">
        <v>12</v>
      </c>
      <c r="GM18" s="535">
        <v>12.724299999999999</v>
      </c>
      <c r="GN18" s="535">
        <v>13.0601</v>
      </c>
      <c r="GO18" s="535">
        <v>12.6028</v>
      </c>
      <c r="GP18" s="535">
        <v>12.248799999999999</v>
      </c>
      <c r="GQ18" s="535">
        <v>12.5297</v>
      </c>
      <c r="GR18" s="535">
        <v>12.7441</v>
      </c>
      <c r="GS18" s="535">
        <v>12.8232</v>
      </c>
      <c r="GT18" s="535">
        <v>12.6927</v>
      </c>
      <c r="GU18" s="535">
        <v>12.985300000000001</v>
      </c>
      <c r="GV18" s="535">
        <v>12.4895</v>
      </c>
      <c r="GW18" s="535">
        <v>12.2714</v>
      </c>
      <c r="GX18" s="535">
        <v>12.458600000000001</v>
      </c>
      <c r="GY18" s="516">
        <v>12</v>
      </c>
      <c r="HB18" s="516">
        <v>12</v>
      </c>
      <c r="HC18" s="535">
        <v>13.5045</v>
      </c>
      <c r="HD18" s="535">
        <v>14.3575</v>
      </c>
      <c r="HE18" s="535">
        <v>15.3142</v>
      </c>
      <c r="HF18" s="535">
        <v>13.571199999999999</v>
      </c>
      <c r="HG18" s="535">
        <v>13.1067</v>
      </c>
      <c r="HH18" s="535">
        <v>13.650700000000001</v>
      </c>
      <c r="HI18" s="535">
        <v>13.575799999999999</v>
      </c>
      <c r="HJ18" s="535">
        <v>12.922000000000001</v>
      </c>
      <c r="HK18" s="535">
        <v>13.4582</v>
      </c>
      <c r="HL18" s="535">
        <v>13.322699999999999</v>
      </c>
      <c r="HM18" s="535">
        <v>13.2308</v>
      </c>
      <c r="HN18" s="535">
        <v>12.9739</v>
      </c>
      <c r="HO18" s="516">
        <v>12</v>
      </c>
      <c r="HP18" s="536"/>
      <c r="HQ18" s="536"/>
      <c r="HR18" s="516">
        <v>12</v>
      </c>
      <c r="HS18" s="535">
        <v>10.9572</v>
      </c>
      <c r="HT18" s="535">
        <v>10.7575</v>
      </c>
      <c r="HU18" s="535">
        <v>10.847799999999999</v>
      </c>
      <c r="HV18" s="535">
        <v>10.5503</v>
      </c>
      <c r="HW18" s="535">
        <v>10.5465</v>
      </c>
      <c r="HX18" s="535">
        <v>10.3847</v>
      </c>
      <c r="HY18" s="535">
        <v>10.307600000000001</v>
      </c>
      <c r="HZ18" s="535">
        <v>10.1305</v>
      </c>
      <c r="IA18" s="535">
        <v>10.5862</v>
      </c>
      <c r="IB18" s="535">
        <v>12.443300000000001</v>
      </c>
      <c r="IC18" s="535">
        <v>12.785</v>
      </c>
      <c r="ID18" s="535">
        <v>13.472200000000001</v>
      </c>
      <c r="IE18" s="516">
        <v>12</v>
      </c>
      <c r="IF18" s="536"/>
      <c r="IG18" s="536"/>
      <c r="IH18" s="516">
        <v>12</v>
      </c>
      <c r="II18" s="535">
        <v>11.033300000000001</v>
      </c>
      <c r="IJ18" s="535">
        <v>10.968299999999999</v>
      </c>
      <c r="IK18" s="535">
        <v>11.1426</v>
      </c>
      <c r="IL18" s="535">
        <v>11.012600000000001</v>
      </c>
      <c r="IM18" s="535">
        <v>10.8178</v>
      </c>
      <c r="IN18" s="535">
        <v>10.9702</v>
      </c>
      <c r="IO18" s="535">
        <v>10.791700000000001</v>
      </c>
      <c r="IP18" s="535">
        <v>10.9832</v>
      </c>
      <c r="IQ18" s="535">
        <v>11.140700000000001</v>
      </c>
      <c r="IR18" s="535">
        <v>10.8383</v>
      </c>
      <c r="IS18" s="535">
        <v>10.8108</v>
      </c>
      <c r="IT18" s="535">
        <v>10.8185</v>
      </c>
      <c r="IU18" s="516">
        <v>12</v>
      </c>
      <c r="IV18" s="536"/>
      <c r="IW18" s="536"/>
      <c r="IX18" s="516">
        <v>12</v>
      </c>
      <c r="IY18" s="535">
        <v>10.599</v>
      </c>
      <c r="IZ18" s="535">
        <v>10.4803</v>
      </c>
      <c r="JA18" s="535">
        <v>10.7094</v>
      </c>
      <c r="JB18" s="535">
        <v>11.095599999999999</v>
      </c>
      <c r="JC18" s="535">
        <v>10.842499999999999</v>
      </c>
      <c r="JD18" s="535">
        <v>11.419</v>
      </c>
      <c r="JE18" s="535">
        <v>10.954700000000001</v>
      </c>
      <c r="JF18" s="535">
        <v>10.880800000000001</v>
      </c>
      <c r="JG18" s="535">
        <v>11.027100000000001</v>
      </c>
      <c r="JH18" s="535">
        <v>11.059699999999999</v>
      </c>
      <c r="JI18" s="535">
        <v>10.863200000000001</v>
      </c>
      <c r="JJ18" s="535">
        <v>10.8606</v>
      </c>
      <c r="JK18" s="516">
        <v>12</v>
      </c>
      <c r="JL18" s="536"/>
      <c r="JM18" s="536"/>
      <c r="JN18" s="516">
        <v>12</v>
      </c>
      <c r="JO18" s="535">
        <v>11.2667</v>
      </c>
      <c r="JP18" s="535">
        <v>11.1533</v>
      </c>
      <c r="JQ18" s="535">
        <v>11.032400000000001</v>
      </c>
      <c r="JR18" s="535">
        <v>11.158300000000001</v>
      </c>
      <c r="JS18" s="535">
        <v>11.0082</v>
      </c>
      <c r="JT18" s="535">
        <v>10.886799999999999</v>
      </c>
      <c r="JU18" s="535">
        <v>10.742800000000001</v>
      </c>
      <c r="JV18" s="535">
        <v>10.587400000000001</v>
      </c>
      <c r="JW18" s="535">
        <v>10.7126</v>
      </c>
      <c r="JX18" s="535">
        <v>10.7965</v>
      </c>
      <c r="JY18" s="535">
        <v>10.714</v>
      </c>
      <c r="JZ18" s="535">
        <v>10.502000000000001</v>
      </c>
      <c r="KA18" s="516">
        <v>12</v>
      </c>
      <c r="KB18" s="536"/>
      <c r="KC18" s="536"/>
      <c r="KD18" s="516">
        <v>12</v>
      </c>
      <c r="KE18" s="535">
        <v>10.8847</v>
      </c>
      <c r="KF18" s="535">
        <v>11.1069</v>
      </c>
      <c r="KG18" s="535">
        <v>10.9368</v>
      </c>
      <c r="KH18" s="535">
        <v>11.1631</v>
      </c>
      <c r="KI18" s="535">
        <v>11.6328</v>
      </c>
      <c r="KJ18" s="535">
        <v>11.366</v>
      </c>
      <c r="KK18" s="535">
        <v>11.531499999999999</v>
      </c>
      <c r="KL18" s="535">
        <v>11.394299999999999</v>
      </c>
      <c r="KM18" s="535">
        <v>11.5717</v>
      </c>
      <c r="KN18" s="535">
        <v>11.240600000000001</v>
      </c>
      <c r="KO18" s="535">
        <v>11.4299</v>
      </c>
      <c r="KP18" s="535">
        <v>11.291</v>
      </c>
      <c r="KQ18" s="516">
        <v>12</v>
      </c>
      <c r="KR18" s="536"/>
      <c r="KS18" s="536"/>
      <c r="KT18" s="516">
        <v>12</v>
      </c>
      <c r="KU18" s="535">
        <v>10.411199999999999</v>
      </c>
      <c r="KV18" s="535">
        <v>10.9948</v>
      </c>
      <c r="KW18" s="535">
        <v>11.0998</v>
      </c>
      <c r="KX18" s="535">
        <v>10.7651</v>
      </c>
      <c r="KY18" s="535">
        <v>10.17</v>
      </c>
      <c r="KZ18" s="535">
        <v>10.714499999999999</v>
      </c>
      <c r="LA18" s="535">
        <v>10.4482</v>
      </c>
      <c r="LB18" s="535">
        <v>10.6623</v>
      </c>
      <c r="LC18" s="535">
        <v>10.950200000000001</v>
      </c>
      <c r="LD18" s="535">
        <v>11.2356</v>
      </c>
      <c r="LE18" s="535">
        <v>11.0097</v>
      </c>
      <c r="LF18" s="535">
        <v>11.214499999999999</v>
      </c>
      <c r="LG18" s="516">
        <v>12</v>
      </c>
      <c r="LH18" s="536"/>
      <c r="LI18" s="536"/>
      <c r="LJ18" s="516">
        <v>12</v>
      </c>
      <c r="LK18" s="535">
        <v>9.2444000000000006</v>
      </c>
      <c r="LL18" s="535">
        <v>9.1464999999999996</v>
      </c>
      <c r="LM18" s="535">
        <v>9.0728000000000009</v>
      </c>
      <c r="LN18" s="535">
        <v>9.0446000000000009</v>
      </c>
      <c r="LO18" s="535">
        <v>9.4463000000000008</v>
      </c>
      <c r="LP18" s="535">
        <v>9.6992999999999991</v>
      </c>
      <c r="LQ18" s="535">
        <v>9.8338000000000001</v>
      </c>
      <c r="LR18" s="535">
        <v>9.7334999999999994</v>
      </c>
      <c r="LS18" s="535">
        <v>9.9511000000000003</v>
      </c>
      <c r="LT18" s="535">
        <v>10.2195</v>
      </c>
      <c r="LU18" s="535">
        <v>10.295299999999999</v>
      </c>
      <c r="LV18" s="535">
        <v>10.1744</v>
      </c>
      <c r="LW18" s="516">
        <v>12</v>
      </c>
      <c r="LX18" s="536"/>
      <c r="LY18" s="536"/>
      <c r="LZ18" s="516">
        <v>12</v>
      </c>
      <c r="MA18" s="535">
        <v>9.8167000000000009</v>
      </c>
      <c r="MB18" s="535">
        <v>9.6463999999999999</v>
      </c>
      <c r="MC18" s="535">
        <v>9.6468000000000007</v>
      </c>
      <c r="MD18" s="535">
        <v>9.3093000000000004</v>
      </c>
      <c r="ME18" s="535">
        <v>9.1966999999999999</v>
      </c>
      <c r="MF18" s="535">
        <v>9.0679999999999996</v>
      </c>
      <c r="MG18" s="535">
        <v>9.1476000000000006</v>
      </c>
      <c r="MH18" s="535">
        <v>9.0897000000000006</v>
      </c>
      <c r="MI18" s="535">
        <v>9.3716000000000008</v>
      </c>
      <c r="MJ18" s="535">
        <v>9.4053000000000004</v>
      </c>
      <c r="MK18" s="535">
        <v>9.2114999999999991</v>
      </c>
      <c r="ML18" s="535">
        <v>9.1865000000000006</v>
      </c>
      <c r="MM18" s="516">
        <v>12</v>
      </c>
      <c r="MN18" s="536"/>
      <c r="MO18" s="536"/>
      <c r="MP18" s="516">
        <v>12</v>
      </c>
      <c r="MQ18" s="535">
        <v>9.4464000000000006</v>
      </c>
      <c r="MR18" s="535">
        <v>9.4347999999999992</v>
      </c>
      <c r="MS18" s="535">
        <v>9.2836999999999996</v>
      </c>
      <c r="MT18" s="535">
        <v>9.2867999999999995</v>
      </c>
      <c r="MU18" s="535">
        <v>9.5701999999999998</v>
      </c>
      <c r="MV18" s="535">
        <v>9.8519000000000005</v>
      </c>
      <c r="MW18" s="535">
        <v>9.5023</v>
      </c>
      <c r="MX18" s="535">
        <v>9.3198000000000008</v>
      </c>
      <c r="MY18" s="535">
        <v>9.3242999999999991</v>
      </c>
      <c r="MZ18" s="535">
        <v>9.4632000000000005</v>
      </c>
      <c r="NA18" s="535">
        <v>9.6532999999999998</v>
      </c>
      <c r="NB18" s="535">
        <v>9.3984000000000005</v>
      </c>
      <c r="NC18" s="516">
        <v>12</v>
      </c>
      <c r="ND18" s="536"/>
      <c r="NE18" s="536"/>
      <c r="NF18" s="516">
        <v>12</v>
      </c>
      <c r="NG18" s="535">
        <v>9.8091000000000008</v>
      </c>
      <c r="NH18" s="535">
        <v>10.060600000000001</v>
      </c>
      <c r="NI18" s="535">
        <v>9.8011999999999997</v>
      </c>
      <c r="NJ18" s="535">
        <v>9.4771000000000001</v>
      </c>
      <c r="NK18" s="535">
        <v>9.2992000000000008</v>
      </c>
      <c r="NL18" s="535">
        <v>9.5984999999999996</v>
      </c>
      <c r="NM18" s="535">
        <v>9.3302999999999994</v>
      </c>
      <c r="NN18" s="535">
        <v>9.5062999999999995</v>
      </c>
      <c r="NO18" s="535">
        <v>9.3470999999999993</v>
      </c>
      <c r="NP18" s="535">
        <v>9.4681999999999995</v>
      </c>
      <c r="NQ18" s="535">
        <v>9.4125999999999994</v>
      </c>
      <c r="NR18" s="535">
        <v>9.4288000000000007</v>
      </c>
      <c r="NS18" s="516">
        <v>12</v>
      </c>
      <c r="NT18" s="536"/>
      <c r="NU18" s="536"/>
      <c r="NV18" s="516">
        <v>12</v>
      </c>
      <c r="NW18" s="535">
        <v>8.0775000000000006</v>
      </c>
      <c r="NX18" s="535">
        <v>8.4849999999999994</v>
      </c>
      <c r="NY18" s="535">
        <v>8.6273</v>
      </c>
      <c r="NZ18" s="535">
        <v>8.5274000000000001</v>
      </c>
      <c r="OA18" s="535">
        <v>8.4833999999999996</v>
      </c>
      <c r="OB18" s="535">
        <v>8.8808000000000007</v>
      </c>
      <c r="OC18" s="535">
        <v>8.9431999999999992</v>
      </c>
      <c r="OD18" s="535">
        <v>9.1252999999999993</v>
      </c>
      <c r="OE18" s="535">
        <v>10.532500000000001</v>
      </c>
      <c r="OF18" s="535">
        <v>10.354900000000001</v>
      </c>
      <c r="OG18" s="535">
        <v>10.025600000000001</v>
      </c>
      <c r="OH18" s="535">
        <v>9.9499999999999993</v>
      </c>
      <c r="OI18" s="516">
        <v>12</v>
      </c>
      <c r="OJ18" s="536"/>
      <c r="OK18" s="536"/>
      <c r="OL18" s="516">
        <v>12</v>
      </c>
      <c r="OM18" s="535">
        <v>7.8208000000000002</v>
      </c>
      <c r="ON18" s="535">
        <v>7.7988</v>
      </c>
      <c r="OO18" s="535">
        <v>7.9589999999999996</v>
      </c>
      <c r="OP18" s="535">
        <v>7.9153000000000002</v>
      </c>
      <c r="OQ18" s="535">
        <v>7.9253</v>
      </c>
      <c r="OR18" s="535">
        <v>7.9688999999999997</v>
      </c>
      <c r="OS18" s="535">
        <v>7.8913000000000002</v>
      </c>
      <c r="OT18" s="535">
        <v>7.8262999999999998</v>
      </c>
      <c r="OU18" s="535">
        <v>7.7769000000000004</v>
      </c>
      <c r="OV18" s="535">
        <v>7.77</v>
      </c>
      <c r="OW18" s="535">
        <v>8.2627000000000006</v>
      </c>
      <c r="OX18" s="535">
        <v>8.1394000000000002</v>
      </c>
      <c r="OY18" s="516">
        <v>12</v>
      </c>
      <c r="OZ18" s="536"/>
      <c r="PA18" s="536"/>
      <c r="PB18" s="516">
        <v>12</v>
      </c>
      <c r="PC18" s="535">
        <v>7.5187999999999997</v>
      </c>
      <c r="PD18" s="535">
        <v>7.4863</v>
      </c>
      <c r="PE18" s="535">
        <v>7.5892999999999997</v>
      </c>
      <c r="PF18" s="535">
        <v>7.4950000000000001</v>
      </c>
      <c r="PG18" s="535">
        <v>7.4762000000000004</v>
      </c>
      <c r="PH18" s="535">
        <v>7.5148999999999999</v>
      </c>
      <c r="PI18" s="535">
        <v>7.6182999999999996</v>
      </c>
      <c r="PJ18" s="535">
        <v>7.5349000000000004</v>
      </c>
      <c r="PK18" s="535">
        <v>7.5385</v>
      </c>
      <c r="PL18" s="535">
        <v>7.6109</v>
      </c>
      <c r="PM18" s="535">
        <v>7.9005000000000001</v>
      </c>
      <c r="PN18" s="535">
        <v>7.8723000000000001</v>
      </c>
      <c r="PO18" s="516">
        <v>12</v>
      </c>
      <c r="PP18" s="536"/>
      <c r="PQ18" s="536"/>
      <c r="PR18" s="516">
        <v>12</v>
      </c>
      <c r="PS18" s="535">
        <v>5.78</v>
      </c>
      <c r="PT18" s="535">
        <v>5.59</v>
      </c>
      <c r="PU18" s="535">
        <v>7.5875000000000004</v>
      </c>
      <c r="PV18" s="535">
        <v>6.2916999999999996</v>
      </c>
      <c r="PW18" s="535">
        <v>5.9574999999999996</v>
      </c>
      <c r="PX18" s="535">
        <v>6.2317</v>
      </c>
      <c r="PY18" s="535">
        <v>6.1074999999999999</v>
      </c>
      <c r="PZ18" s="535">
        <v>6.1452999999999998</v>
      </c>
      <c r="QA18" s="535">
        <v>6.2754000000000003</v>
      </c>
      <c r="QB18" s="535">
        <v>6.8132999999999999</v>
      </c>
      <c r="QC18" s="535">
        <v>8.1382999999999992</v>
      </c>
      <c r="QD18" s="535">
        <v>7.79</v>
      </c>
      <c r="QE18" s="516">
        <v>12</v>
      </c>
      <c r="QF18" s="536"/>
      <c r="QG18" s="536"/>
      <c r="QH18" s="516">
        <v>12</v>
      </c>
      <c r="QI18" s="535">
        <v>3.1150000000000002</v>
      </c>
      <c r="QJ18" s="535">
        <v>3.105</v>
      </c>
      <c r="QK18" s="535">
        <v>3.2888000000000002</v>
      </c>
      <c r="QL18" s="535">
        <v>3.3641999999999999</v>
      </c>
      <c r="QM18" s="535">
        <v>3.3163</v>
      </c>
      <c r="QN18" s="535">
        <v>3.3588</v>
      </c>
      <c r="QO18" s="535">
        <v>3.4005999999999998</v>
      </c>
      <c r="QP18" s="535">
        <v>3.403</v>
      </c>
      <c r="QQ18" s="535">
        <v>3.4014000000000002</v>
      </c>
      <c r="QR18" s="535">
        <v>3.4159999999999999</v>
      </c>
      <c r="QS18" s="535">
        <v>3.4424000000000001</v>
      </c>
      <c r="QT18" s="535">
        <v>3.4510999999999998</v>
      </c>
      <c r="QU18" s="516">
        <v>12</v>
      </c>
      <c r="QV18" s="536"/>
      <c r="QW18" s="536"/>
      <c r="QX18" s="516">
        <v>12</v>
      </c>
      <c r="QY18" s="535">
        <v>3.1107999999999998</v>
      </c>
      <c r="QZ18" s="535">
        <v>3.0975000000000001</v>
      </c>
      <c r="RA18" s="535">
        <v>3.1173999999999999</v>
      </c>
      <c r="RB18" s="535">
        <v>3.0939999999999999</v>
      </c>
      <c r="RC18" s="535">
        <v>3.1309</v>
      </c>
      <c r="RD18" s="535">
        <v>3.1282000000000001</v>
      </c>
      <c r="RE18" s="535">
        <v>3.1261000000000001</v>
      </c>
      <c r="RF18" s="535">
        <v>3.1110000000000002</v>
      </c>
      <c r="RG18" s="535">
        <v>3.1126999999999998</v>
      </c>
      <c r="RH18" s="535">
        <v>3.1158000000000001</v>
      </c>
      <c r="RI18" s="535">
        <v>3.24</v>
      </c>
      <c r="RJ18" s="535">
        <v>3.1074999999999999</v>
      </c>
      <c r="RK18" s="516">
        <v>12</v>
      </c>
      <c r="RL18" s="536"/>
      <c r="RM18" s="536"/>
      <c r="RN18" s="516">
        <v>12</v>
      </c>
      <c r="RO18" s="535">
        <v>3.0661999999999998</v>
      </c>
      <c r="RP18" s="535">
        <v>3.0674000000000001</v>
      </c>
      <c r="RQ18" s="535">
        <v>3.0611999999999999</v>
      </c>
      <c r="RR18" s="535">
        <v>3.0695000000000001</v>
      </c>
      <c r="RS18" s="535">
        <v>3.1107999999999998</v>
      </c>
      <c r="RT18" s="535">
        <v>3.1168999999999998</v>
      </c>
      <c r="RU18" s="535">
        <v>3.1099000000000001</v>
      </c>
      <c r="RV18" s="535">
        <v>3.0983999999999998</v>
      </c>
      <c r="RW18" s="535">
        <v>3.0768</v>
      </c>
      <c r="RX18" s="535">
        <v>3.1151</v>
      </c>
      <c r="RY18" s="535">
        <v>3.1196999999999999</v>
      </c>
      <c r="RZ18" s="535">
        <v>3.1116999999999999</v>
      </c>
      <c r="SA18" s="516">
        <v>12</v>
      </c>
      <c r="SB18" s="536"/>
      <c r="SC18" s="536"/>
      <c r="SD18" s="516">
        <v>12</v>
      </c>
      <c r="SE18" s="535">
        <v>2.9506000000000001</v>
      </c>
      <c r="SF18" s="535">
        <v>2.9622000000000002</v>
      </c>
      <c r="SG18" s="535">
        <v>2.9733999999999998</v>
      </c>
      <c r="SH18" s="535">
        <v>2.9866000000000001</v>
      </c>
      <c r="SI18" s="535">
        <v>2.9982000000000002</v>
      </c>
      <c r="SJ18" s="535">
        <v>3.0110000000000001</v>
      </c>
      <c r="SK18" s="535">
        <v>3.0230000000000001</v>
      </c>
      <c r="SL18" s="535">
        <v>3.0346000000000002</v>
      </c>
      <c r="SM18" s="535">
        <v>3.0478000000000001</v>
      </c>
      <c r="SN18" s="535">
        <v>3.0613999999999999</v>
      </c>
      <c r="SO18" s="535">
        <v>3.073</v>
      </c>
      <c r="SP18" s="535">
        <v>3.0623300000000002</v>
      </c>
      <c r="SQ18" s="516">
        <v>12</v>
      </c>
      <c r="SR18" s="536"/>
      <c r="SS18" s="536"/>
      <c r="ST18" s="516">
        <v>12</v>
      </c>
      <c r="SU18" s="535">
        <v>2.6539999999999999</v>
      </c>
      <c r="SV18" s="535">
        <v>2.6829999999999998</v>
      </c>
      <c r="SW18" s="535">
        <v>2.7109999999999999</v>
      </c>
      <c r="SX18" s="535">
        <v>2.7440000000000002</v>
      </c>
      <c r="SY18" s="535">
        <v>2.774</v>
      </c>
      <c r="SZ18" s="535">
        <v>2.8010000000000002</v>
      </c>
      <c r="TA18" s="535">
        <v>2.8266</v>
      </c>
      <c r="TB18" s="535">
        <v>2.8506</v>
      </c>
      <c r="TC18" s="535">
        <v>2.8761999999999999</v>
      </c>
      <c r="TD18" s="535">
        <v>2.9001999999999999</v>
      </c>
      <c r="TE18" s="535">
        <v>2.9234</v>
      </c>
      <c r="TF18" s="535">
        <v>2.9382000000000001</v>
      </c>
      <c r="TG18" s="516">
        <v>12</v>
      </c>
      <c r="TH18" s="536"/>
      <c r="TI18" s="536"/>
      <c r="TJ18" s="516">
        <v>12</v>
      </c>
      <c r="TK18" s="535">
        <v>2.2890000000000001</v>
      </c>
      <c r="TL18" s="535">
        <v>2.319</v>
      </c>
      <c r="TM18" s="535">
        <v>2.347</v>
      </c>
      <c r="TN18" s="535">
        <v>2.379</v>
      </c>
      <c r="TO18" s="535">
        <v>2.4089999999999998</v>
      </c>
      <c r="TP18" s="535">
        <v>2.4380000000000002</v>
      </c>
      <c r="TQ18" s="535">
        <v>2.4700000000000002</v>
      </c>
      <c r="TR18" s="535">
        <v>2.5009999999999999</v>
      </c>
      <c r="TS18" s="535">
        <v>2.5299999999999998</v>
      </c>
      <c r="TT18" s="535">
        <v>2.5619999999999998</v>
      </c>
      <c r="TU18" s="535">
        <v>2.5920000000000001</v>
      </c>
      <c r="TV18" s="535">
        <v>2.621</v>
      </c>
      <c r="TW18" s="516">
        <v>12</v>
      </c>
    </row>
    <row r="19" spans="2:543" s="4" customFormat="1" ht="23" customHeight="1">
      <c r="B19" s="516">
        <v>13</v>
      </c>
      <c r="C19" s="549">
        <v>20.378499999999999</v>
      </c>
      <c r="D19" s="549">
        <v>20.4148</v>
      </c>
      <c r="E19" s="549">
        <v>20.974299999999999</v>
      </c>
      <c r="F19" s="549">
        <v>20.0093</v>
      </c>
      <c r="G19" s="549">
        <v>20.2592</v>
      </c>
      <c r="H19" s="549">
        <v>19.6128</v>
      </c>
      <c r="I19" s="549">
        <v>20.747299999999999</v>
      </c>
      <c r="J19" s="549">
        <v>19.959499999999998</v>
      </c>
      <c r="K19" s="549">
        <v>19.902699999999999</v>
      </c>
      <c r="L19" s="549">
        <v>19.965199999999999</v>
      </c>
      <c r="M19" s="662">
        <f t="shared" si="9"/>
        <v>19.746300000000002</v>
      </c>
      <c r="N19" s="662">
        <f t="shared" si="8"/>
        <v>19.746300000000002</v>
      </c>
      <c r="O19" s="516">
        <v>13</v>
      </c>
      <c r="R19" s="516">
        <v>13</v>
      </c>
      <c r="S19" s="549">
        <v>20.113</v>
      </c>
      <c r="T19" s="549">
        <v>19.953499999999998</v>
      </c>
      <c r="U19" s="549">
        <v>20.7133</v>
      </c>
      <c r="V19" s="549">
        <v>20.163</v>
      </c>
      <c r="W19" s="549">
        <v>19.884799999999998</v>
      </c>
      <c r="X19" s="549">
        <v>19.700199999999999</v>
      </c>
      <c r="Y19" s="549">
        <v>19.88</v>
      </c>
      <c r="Z19" s="549">
        <v>19.952999999999999</v>
      </c>
      <c r="AA19" s="549">
        <v>19.931799999999999</v>
      </c>
      <c r="AB19" s="549">
        <v>20.8017</v>
      </c>
      <c r="AC19" s="549">
        <v>20.465199999999999</v>
      </c>
      <c r="AD19" s="549">
        <v>21.032800000000002</v>
      </c>
      <c r="AE19" s="516">
        <v>13</v>
      </c>
      <c r="AH19" s="516">
        <v>13</v>
      </c>
      <c r="AI19" s="549">
        <v>18.845300000000002</v>
      </c>
      <c r="AJ19" s="549">
        <v>18.673999999999999</v>
      </c>
      <c r="AK19" s="549">
        <v>21.213000000000001</v>
      </c>
      <c r="AL19" s="549">
        <v>24.038799999999998</v>
      </c>
      <c r="AM19" s="549">
        <v>23.869299999999999</v>
      </c>
      <c r="AN19" s="549">
        <v>22.4252</v>
      </c>
      <c r="AO19" s="549">
        <v>22.694500000000001</v>
      </c>
      <c r="AP19" s="549">
        <v>22.349</v>
      </c>
      <c r="AQ19" s="549">
        <v>21.2773</v>
      </c>
      <c r="AR19" s="549">
        <v>21.182200000000002</v>
      </c>
      <c r="AS19" s="549">
        <v>20.577200000000001</v>
      </c>
      <c r="AT19" s="549">
        <v>19.9572</v>
      </c>
      <c r="AU19" s="516">
        <v>13</v>
      </c>
      <c r="AX19" s="516">
        <v>13</v>
      </c>
      <c r="AY19" s="535">
        <v>19.171399999999998</v>
      </c>
      <c r="AZ19" s="535">
        <v>19.252400000000002</v>
      </c>
      <c r="BA19" s="535">
        <v>19.424299999999999</v>
      </c>
      <c r="BB19" s="535">
        <v>18.8432</v>
      </c>
      <c r="BC19" s="535">
        <v>19.2623</v>
      </c>
      <c r="BD19" s="535">
        <v>19.122199999999999</v>
      </c>
      <c r="BE19" s="535">
        <v>19.122699999999998</v>
      </c>
      <c r="BF19" s="535">
        <v>19.4283</v>
      </c>
      <c r="BG19" s="535">
        <v>19.547799999999999</v>
      </c>
      <c r="BH19" s="535">
        <v>19.476400000000002</v>
      </c>
      <c r="BI19" s="535">
        <v>19.109000000000002</v>
      </c>
      <c r="BJ19" s="535">
        <v>19.2362</v>
      </c>
      <c r="BK19" s="516">
        <v>13</v>
      </c>
      <c r="BN19" s="516">
        <v>13</v>
      </c>
      <c r="BO19" s="535">
        <v>19.343299999999999</v>
      </c>
      <c r="BP19" s="535">
        <v>18.862300000000001</v>
      </c>
      <c r="BQ19" s="537">
        <v>18.581199999999999</v>
      </c>
      <c r="BR19" s="535">
        <v>18.201799999999999</v>
      </c>
      <c r="BS19" s="535">
        <v>19.2989</v>
      </c>
      <c r="BT19" s="535">
        <v>20.472200000000001</v>
      </c>
      <c r="BU19" s="535">
        <v>18.963200000000001</v>
      </c>
      <c r="BV19" s="535">
        <v>18.6511</v>
      </c>
      <c r="BW19" s="535">
        <v>19.268000000000001</v>
      </c>
      <c r="BX19" s="535">
        <v>19.021699999999999</v>
      </c>
      <c r="BY19" s="535">
        <v>20.3614</v>
      </c>
      <c r="BZ19" s="535">
        <v>20.362100000000002</v>
      </c>
      <c r="CA19" s="516">
        <v>13</v>
      </c>
      <c r="CD19" s="516">
        <v>13</v>
      </c>
      <c r="CE19" s="535">
        <v>21.907599999999999</v>
      </c>
      <c r="CF19" s="535">
        <v>20.4163</v>
      </c>
      <c r="CG19" s="535">
        <v>19.7974</v>
      </c>
      <c r="CH19" s="535">
        <v>18.764600000000002</v>
      </c>
      <c r="CI19" s="535">
        <v>18.9039</v>
      </c>
      <c r="CJ19" s="535">
        <v>18.193899999999999</v>
      </c>
      <c r="CK19" s="535">
        <v>17.9482</v>
      </c>
      <c r="CL19" s="535">
        <v>17.907299999999999</v>
      </c>
      <c r="CM19" s="535">
        <v>17.644300000000001</v>
      </c>
      <c r="CN19" s="535">
        <v>18.718</v>
      </c>
      <c r="CO19" s="535">
        <v>19.09</v>
      </c>
      <c r="CP19" s="535">
        <v>18.944500000000001</v>
      </c>
      <c r="CQ19" s="516">
        <v>13</v>
      </c>
      <c r="CT19" s="516">
        <v>13</v>
      </c>
      <c r="CU19" s="535">
        <v>17.930399999999999</v>
      </c>
      <c r="CV19" s="535">
        <v>19.1754</v>
      </c>
      <c r="CW19" s="535">
        <v>17.860099999999999</v>
      </c>
      <c r="CX19" s="535">
        <v>17.645199999999999</v>
      </c>
      <c r="CY19" s="535">
        <v>17.954899999999999</v>
      </c>
      <c r="CZ19" s="535">
        <v>18.2742</v>
      </c>
      <c r="DA19" s="535">
        <v>18.459700000000002</v>
      </c>
      <c r="DB19" s="535">
        <v>18.267800000000001</v>
      </c>
      <c r="DC19" s="535">
        <v>18.845099999999999</v>
      </c>
      <c r="DD19" s="535">
        <v>18.953099999999999</v>
      </c>
      <c r="DE19" s="535">
        <v>20.481200000000001</v>
      </c>
      <c r="DF19" s="535">
        <v>20.4162</v>
      </c>
      <c r="DG19" s="516">
        <v>13</v>
      </c>
      <c r="DJ19" s="516">
        <v>13</v>
      </c>
      <c r="DK19" s="535">
        <v>14.580399999999999</v>
      </c>
      <c r="DL19" s="535">
        <v>15.1099</v>
      </c>
      <c r="DM19" s="535">
        <v>15.445499999999999</v>
      </c>
      <c r="DN19" s="535">
        <v>15.055400000000001</v>
      </c>
      <c r="DO19" s="535">
        <v>15.2624</v>
      </c>
      <c r="DP19" s="535">
        <v>15.4779</v>
      </c>
      <c r="DQ19" s="535">
        <v>15.785600000000001</v>
      </c>
      <c r="DR19" s="535">
        <v>16.324100000000001</v>
      </c>
      <c r="DS19" s="535">
        <v>16.7773</v>
      </c>
      <c r="DT19" s="535">
        <v>16.417999999999999</v>
      </c>
      <c r="DU19" s="535">
        <v>16.717300000000002</v>
      </c>
      <c r="DV19" s="535">
        <v>17.074999999999999</v>
      </c>
      <c r="DW19" s="516">
        <v>13</v>
      </c>
      <c r="DZ19" s="516">
        <v>13</v>
      </c>
      <c r="EA19" s="535">
        <v>13.1403</v>
      </c>
      <c r="EB19" s="535">
        <v>13.291600000000001</v>
      </c>
      <c r="EC19" s="535">
        <v>13.243</v>
      </c>
      <c r="ED19" s="535">
        <v>13.045299999999999</v>
      </c>
      <c r="EE19" s="535">
        <v>12.984299999999999</v>
      </c>
      <c r="EF19" s="535">
        <v>13.0306</v>
      </c>
      <c r="EG19" s="535">
        <v>13.0015</v>
      </c>
      <c r="EH19" s="535">
        <v>13.1998</v>
      </c>
      <c r="EI19" s="535">
        <v>13.214399999999999</v>
      </c>
      <c r="EJ19" s="535">
        <v>13.3789</v>
      </c>
      <c r="EK19" s="535">
        <v>13.587400000000001</v>
      </c>
      <c r="EL19" s="535">
        <v>14.5181</v>
      </c>
      <c r="EM19" s="516">
        <v>13</v>
      </c>
      <c r="EP19" s="516">
        <v>13</v>
      </c>
      <c r="EQ19" s="535">
        <v>12.6555</v>
      </c>
      <c r="ER19" s="535">
        <v>12.7706</v>
      </c>
      <c r="ES19" s="535">
        <v>12.530799999999999</v>
      </c>
      <c r="ET19" s="535">
        <v>12.069100000000001</v>
      </c>
      <c r="EU19" s="535">
        <v>11.980700000000001</v>
      </c>
      <c r="EV19" s="535">
        <v>12.884600000000001</v>
      </c>
      <c r="EW19" s="535">
        <v>12.8599</v>
      </c>
      <c r="EX19" s="535">
        <v>12.588900000000001</v>
      </c>
      <c r="EY19" s="535">
        <v>13.0938</v>
      </c>
      <c r="EZ19" s="535">
        <v>13.0913</v>
      </c>
      <c r="FA19" s="535">
        <v>13.231400000000001</v>
      </c>
      <c r="FB19" s="535">
        <v>12.8574</v>
      </c>
      <c r="FC19" s="516">
        <v>13</v>
      </c>
      <c r="FF19" s="516">
        <v>13</v>
      </c>
      <c r="FG19" s="535">
        <v>13.6592</v>
      </c>
      <c r="FH19" s="535">
        <v>12.72</v>
      </c>
      <c r="FI19" s="535">
        <v>12.629899999999999</v>
      </c>
      <c r="FJ19" s="535">
        <v>13.132400000000001</v>
      </c>
      <c r="FK19" s="535">
        <v>13.446999999999999</v>
      </c>
      <c r="FL19" s="535">
        <v>13.9625</v>
      </c>
      <c r="FM19" s="535">
        <v>13.3241</v>
      </c>
      <c r="FN19" s="535">
        <v>13.1188</v>
      </c>
      <c r="FO19" s="535">
        <v>12.9992</v>
      </c>
      <c r="FP19" s="535">
        <v>12.879200000000001</v>
      </c>
      <c r="FQ19" s="535">
        <v>13.178900000000001</v>
      </c>
      <c r="FR19" s="535">
        <v>12.7964</v>
      </c>
      <c r="FS19" s="516">
        <v>13</v>
      </c>
      <c r="FV19" s="516">
        <v>13</v>
      </c>
      <c r="FW19" s="535">
        <v>12.1907</v>
      </c>
      <c r="FX19" s="535">
        <v>12.0937</v>
      </c>
      <c r="FY19" s="535">
        <v>11.9755</v>
      </c>
      <c r="FZ19" s="535">
        <v>11.7447</v>
      </c>
      <c r="GA19" s="535">
        <v>11.6075</v>
      </c>
      <c r="GB19" s="535">
        <v>11.7965</v>
      </c>
      <c r="GC19" s="535">
        <v>11.727399999999999</v>
      </c>
      <c r="GD19" s="535">
        <v>12.389900000000001</v>
      </c>
      <c r="GE19" s="535">
        <v>12.632400000000001</v>
      </c>
      <c r="GF19" s="535">
        <v>13.326599999999999</v>
      </c>
      <c r="GG19" s="535">
        <v>13.562200000000001</v>
      </c>
      <c r="GH19" s="535">
        <v>13.6569</v>
      </c>
      <c r="GI19" s="516">
        <v>13</v>
      </c>
      <c r="GL19" s="516">
        <v>13</v>
      </c>
      <c r="GM19" s="535">
        <v>12.6692</v>
      </c>
      <c r="GN19" s="535">
        <v>13.0609</v>
      </c>
      <c r="GO19" s="535">
        <v>12.619199999999999</v>
      </c>
      <c r="GP19" s="535">
        <v>12.1997</v>
      </c>
      <c r="GQ19" s="535">
        <v>12.5025</v>
      </c>
      <c r="GR19" s="535">
        <v>12.7441</v>
      </c>
      <c r="GS19" s="535">
        <v>12.7859</v>
      </c>
      <c r="GT19" s="535">
        <v>12.7432</v>
      </c>
      <c r="GU19" s="535">
        <v>12.985300000000001</v>
      </c>
      <c r="GV19" s="535">
        <v>12.4224</v>
      </c>
      <c r="GW19" s="535">
        <v>12.259600000000001</v>
      </c>
      <c r="GX19" s="535">
        <v>12.458600000000001</v>
      </c>
      <c r="GY19" s="516">
        <v>13</v>
      </c>
      <c r="HB19" s="516">
        <v>13</v>
      </c>
      <c r="HC19" s="535">
        <v>13.700799999999999</v>
      </c>
      <c r="HD19" s="535">
        <v>14.5313</v>
      </c>
      <c r="HE19" s="535">
        <v>15.1145</v>
      </c>
      <c r="HF19" s="535">
        <v>13.571199999999999</v>
      </c>
      <c r="HG19" s="535">
        <v>13.1008</v>
      </c>
      <c r="HH19" s="535">
        <v>13.4581</v>
      </c>
      <c r="HI19" s="535">
        <v>13.575799999999999</v>
      </c>
      <c r="HJ19" s="535">
        <v>12.9937</v>
      </c>
      <c r="HK19" s="535">
        <v>13.4582</v>
      </c>
      <c r="HL19" s="535">
        <v>13.255000000000001</v>
      </c>
      <c r="HM19" s="535">
        <v>13.1622</v>
      </c>
      <c r="HN19" s="535">
        <v>12.9739</v>
      </c>
      <c r="HO19" s="516">
        <v>13</v>
      </c>
      <c r="HP19" s="536"/>
      <c r="HQ19" s="536"/>
      <c r="HR19" s="516">
        <v>13</v>
      </c>
      <c r="HS19" s="535">
        <v>10.9572</v>
      </c>
      <c r="HT19" s="535">
        <v>10.7736</v>
      </c>
      <c r="HU19" s="535">
        <v>10.7965</v>
      </c>
      <c r="HV19" s="535">
        <v>10.5503</v>
      </c>
      <c r="HW19" s="535">
        <v>10.566599999999999</v>
      </c>
      <c r="HX19" s="535">
        <v>10.4268</v>
      </c>
      <c r="HY19" s="535">
        <v>10.307600000000001</v>
      </c>
      <c r="HZ19" s="535">
        <v>10.1295</v>
      </c>
      <c r="IA19" s="535">
        <v>10.6745</v>
      </c>
      <c r="IB19" s="535">
        <v>12.443300000000001</v>
      </c>
      <c r="IC19" s="535">
        <v>12.9892</v>
      </c>
      <c r="ID19" s="535">
        <v>13.472200000000001</v>
      </c>
      <c r="IE19" s="516">
        <v>13</v>
      </c>
      <c r="IF19" s="536"/>
      <c r="IG19" s="536"/>
      <c r="IH19" s="516">
        <v>13</v>
      </c>
      <c r="II19" s="535">
        <v>10.965</v>
      </c>
      <c r="IJ19" s="535">
        <v>10.960100000000001</v>
      </c>
      <c r="IK19" s="535">
        <v>11.1205</v>
      </c>
      <c r="IL19" s="535">
        <v>10.984</v>
      </c>
      <c r="IM19" s="535">
        <v>10.8178</v>
      </c>
      <c r="IN19" s="535">
        <v>10.9307</v>
      </c>
      <c r="IO19" s="535">
        <v>10.8248</v>
      </c>
      <c r="IP19" s="535">
        <v>10.9832</v>
      </c>
      <c r="IQ19" s="535">
        <v>11.105700000000001</v>
      </c>
      <c r="IR19" s="535">
        <v>10.8101</v>
      </c>
      <c r="IS19" s="535">
        <v>10.880800000000001</v>
      </c>
      <c r="IT19" s="535">
        <v>10.8185</v>
      </c>
      <c r="IU19" s="516">
        <v>13</v>
      </c>
      <c r="IV19" s="536"/>
      <c r="IW19" s="536"/>
      <c r="IX19" s="516">
        <v>13</v>
      </c>
      <c r="IY19" s="535">
        <v>10.6097</v>
      </c>
      <c r="IZ19" s="535">
        <v>10.4803</v>
      </c>
      <c r="JA19" s="535">
        <v>10.7094</v>
      </c>
      <c r="JB19" s="535">
        <v>11.0708</v>
      </c>
      <c r="JC19" s="535">
        <v>10.838100000000001</v>
      </c>
      <c r="JD19" s="535">
        <v>11.377700000000001</v>
      </c>
      <c r="JE19" s="535">
        <v>11.009499999999999</v>
      </c>
      <c r="JF19" s="535">
        <v>10.880800000000001</v>
      </c>
      <c r="JG19" s="535">
        <v>11.070499999999999</v>
      </c>
      <c r="JH19" s="535">
        <v>11.024800000000001</v>
      </c>
      <c r="JI19" s="535">
        <v>10.863200000000001</v>
      </c>
      <c r="JJ19" s="535">
        <v>10.8606</v>
      </c>
      <c r="JK19" s="516">
        <v>13</v>
      </c>
      <c r="JL19" s="536"/>
      <c r="JM19" s="536"/>
      <c r="JN19" s="516">
        <v>13</v>
      </c>
      <c r="JO19" s="535">
        <v>11.2209</v>
      </c>
      <c r="JP19" s="535">
        <v>11.1533</v>
      </c>
      <c r="JQ19" s="535">
        <v>11.032400000000001</v>
      </c>
      <c r="JR19" s="535">
        <v>11.087899999999999</v>
      </c>
      <c r="JS19" s="535">
        <v>11.032299999999999</v>
      </c>
      <c r="JT19" s="535">
        <v>10.886799999999999</v>
      </c>
      <c r="JU19" s="535">
        <v>10.704499999999999</v>
      </c>
      <c r="JV19" s="535">
        <v>10.5815</v>
      </c>
      <c r="JW19" s="535">
        <v>10.708</v>
      </c>
      <c r="JX19" s="535">
        <v>10.800700000000001</v>
      </c>
      <c r="JY19" s="535">
        <v>10.714</v>
      </c>
      <c r="JZ19" s="535">
        <v>10.502000000000001</v>
      </c>
      <c r="KA19" s="516">
        <v>13</v>
      </c>
      <c r="KB19" s="536"/>
      <c r="KC19" s="536"/>
      <c r="KD19" s="516">
        <v>13</v>
      </c>
      <c r="KE19" s="535">
        <v>10.8376</v>
      </c>
      <c r="KF19" s="535">
        <v>10.986599999999999</v>
      </c>
      <c r="KG19" s="535">
        <v>10.9633</v>
      </c>
      <c r="KH19" s="535">
        <v>11.2233</v>
      </c>
      <c r="KI19" s="535">
        <v>11.6325</v>
      </c>
      <c r="KJ19" s="535">
        <v>11.366</v>
      </c>
      <c r="KK19" s="535">
        <v>11.5152</v>
      </c>
      <c r="KL19" s="535">
        <v>11.4436</v>
      </c>
      <c r="KM19" s="535">
        <v>11.5717</v>
      </c>
      <c r="KN19" s="535">
        <v>11.244899999999999</v>
      </c>
      <c r="KO19" s="535">
        <v>11.399699999999999</v>
      </c>
      <c r="KP19" s="535">
        <v>11.291</v>
      </c>
      <c r="KQ19" s="516">
        <v>13</v>
      </c>
      <c r="KR19" s="536"/>
      <c r="KS19" s="536"/>
      <c r="KT19" s="516">
        <v>13</v>
      </c>
      <c r="KU19" s="535">
        <v>10.411199999999999</v>
      </c>
      <c r="KV19" s="535">
        <v>10.94</v>
      </c>
      <c r="KW19" s="535">
        <v>11.0052</v>
      </c>
      <c r="KX19" s="535">
        <v>10.7651</v>
      </c>
      <c r="KY19" s="535">
        <v>10.1068</v>
      </c>
      <c r="KZ19" s="535">
        <v>10.6119</v>
      </c>
      <c r="LA19" s="535">
        <v>10.4482</v>
      </c>
      <c r="LB19" s="535">
        <v>10.690899999999999</v>
      </c>
      <c r="LC19" s="535">
        <v>10.973699999999999</v>
      </c>
      <c r="LD19" s="535">
        <v>11.2356</v>
      </c>
      <c r="LE19" s="535">
        <v>10.9582</v>
      </c>
      <c r="LF19" s="535">
        <v>11.214499999999999</v>
      </c>
      <c r="LG19" s="516">
        <v>13</v>
      </c>
      <c r="LH19" s="536"/>
      <c r="LI19" s="536"/>
      <c r="LJ19" s="516">
        <v>13</v>
      </c>
      <c r="LK19" s="535">
        <v>9.2444000000000006</v>
      </c>
      <c r="LL19" s="535">
        <v>9.0786999999999995</v>
      </c>
      <c r="LM19" s="535">
        <v>9.0702999999999996</v>
      </c>
      <c r="LN19" s="535">
        <v>9.0770999999999997</v>
      </c>
      <c r="LO19" s="535">
        <v>9.4463000000000008</v>
      </c>
      <c r="LP19" s="535">
        <v>9.6607000000000003</v>
      </c>
      <c r="LQ19" s="535">
        <v>9.7979000000000003</v>
      </c>
      <c r="LR19" s="535">
        <v>9.7639999999999993</v>
      </c>
      <c r="LS19" s="535">
        <v>9.9654000000000007</v>
      </c>
      <c r="LT19" s="535">
        <v>10.2195</v>
      </c>
      <c r="LU19" s="535">
        <v>10.333399999999999</v>
      </c>
      <c r="LV19" s="535">
        <v>10.1744</v>
      </c>
      <c r="LW19" s="516">
        <v>13</v>
      </c>
      <c r="LX19" s="536"/>
      <c r="LY19" s="536"/>
      <c r="LZ19" s="516">
        <v>13</v>
      </c>
      <c r="MA19" s="535">
        <v>9.8547999999999991</v>
      </c>
      <c r="MB19" s="535">
        <v>9.7238000000000007</v>
      </c>
      <c r="MC19" s="535">
        <v>9.6702999999999992</v>
      </c>
      <c r="MD19" s="535">
        <v>9.3093000000000004</v>
      </c>
      <c r="ME19" s="535">
        <v>9.1966999999999999</v>
      </c>
      <c r="MF19" s="535">
        <v>9.0289999999999999</v>
      </c>
      <c r="MG19" s="535">
        <v>9.2952999999999992</v>
      </c>
      <c r="MH19" s="535">
        <v>9.0897000000000006</v>
      </c>
      <c r="MI19" s="535">
        <v>9.5474999999999994</v>
      </c>
      <c r="MJ19" s="535">
        <v>9.3397000000000006</v>
      </c>
      <c r="MK19" s="535">
        <v>9.2317999999999998</v>
      </c>
      <c r="ML19" s="535">
        <v>9.1865000000000006</v>
      </c>
      <c r="MM19" s="516">
        <v>13</v>
      </c>
      <c r="MN19" s="536"/>
      <c r="MO19" s="536"/>
      <c r="MP19" s="516">
        <v>13</v>
      </c>
      <c r="MQ19" s="535">
        <v>9.4779999999999998</v>
      </c>
      <c r="MR19" s="535">
        <v>9.4347999999999992</v>
      </c>
      <c r="MS19" s="535">
        <v>9.2836999999999996</v>
      </c>
      <c r="MT19" s="535">
        <v>9.3917999999999999</v>
      </c>
      <c r="MU19" s="535">
        <v>9.5768000000000004</v>
      </c>
      <c r="MV19" s="535">
        <v>9.9262999999999995</v>
      </c>
      <c r="MW19" s="535">
        <v>9.4280000000000008</v>
      </c>
      <c r="MX19" s="535">
        <v>9.3198000000000008</v>
      </c>
      <c r="MY19" s="535">
        <v>9.2813999999999997</v>
      </c>
      <c r="MZ19" s="535">
        <v>9.4789999999999992</v>
      </c>
      <c r="NA19" s="535">
        <v>9.6532999999999998</v>
      </c>
      <c r="NB19" s="535">
        <v>9.3984000000000005</v>
      </c>
      <c r="NC19" s="516">
        <v>13</v>
      </c>
      <c r="ND19" s="536"/>
      <c r="NE19" s="536"/>
      <c r="NF19" s="516">
        <v>13</v>
      </c>
      <c r="NG19" s="535">
        <v>9.9393999999999991</v>
      </c>
      <c r="NH19" s="535">
        <v>9.9793000000000003</v>
      </c>
      <c r="NI19" s="535">
        <v>9.7479999999999993</v>
      </c>
      <c r="NJ19" s="535">
        <v>9.5728000000000009</v>
      </c>
      <c r="NK19" s="535">
        <v>9.2532999999999994</v>
      </c>
      <c r="NL19" s="535">
        <v>9.5984999999999996</v>
      </c>
      <c r="NM19" s="535">
        <v>9.3522999999999996</v>
      </c>
      <c r="NN19" s="535">
        <v>9.4149999999999991</v>
      </c>
      <c r="NO19" s="535">
        <v>9.3470999999999993</v>
      </c>
      <c r="NP19" s="535">
        <v>9.4506999999999994</v>
      </c>
      <c r="NQ19" s="535">
        <v>9.3856999999999999</v>
      </c>
      <c r="NR19" s="535">
        <v>9.4288000000000007</v>
      </c>
      <c r="NS19" s="516">
        <v>13</v>
      </c>
      <c r="NT19" s="536"/>
      <c r="NU19" s="536"/>
      <c r="NV19" s="516">
        <v>13</v>
      </c>
      <c r="NW19" s="535">
        <v>8.0856999999999992</v>
      </c>
      <c r="NX19" s="535">
        <v>8.4521999999999995</v>
      </c>
      <c r="NY19" s="535">
        <v>8.6690000000000005</v>
      </c>
      <c r="NZ19" s="535">
        <v>8.5274000000000001</v>
      </c>
      <c r="OA19" s="535">
        <v>8.4672999999999998</v>
      </c>
      <c r="OB19" s="535">
        <v>8.9609000000000005</v>
      </c>
      <c r="OC19" s="535">
        <v>8.9431999999999992</v>
      </c>
      <c r="OD19" s="535">
        <v>9.2015999999999991</v>
      </c>
      <c r="OE19" s="535">
        <v>10.532500000000001</v>
      </c>
      <c r="OF19" s="535">
        <v>10.2157</v>
      </c>
      <c r="OG19" s="535">
        <v>10.006</v>
      </c>
      <c r="OH19" s="535">
        <v>9.9499999999999993</v>
      </c>
      <c r="OI19" s="516">
        <v>13</v>
      </c>
      <c r="OJ19" s="536"/>
      <c r="OK19" s="536"/>
      <c r="OL19" s="516">
        <v>13</v>
      </c>
      <c r="OM19" s="535">
        <v>7.8208000000000002</v>
      </c>
      <c r="ON19" s="535">
        <v>7.7927</v>
      </c>
      <c r="OO19" s="535">
        <v>7.9779999999999998</v>
      </c>
      <c r="OP19" s="535">
        <v>7.9153000000000002</v>
      </c>
      <c r="OQ19" s="535">
        <v>7.9028</v>
      </c>
      <c r="OR19" s="535">
        <v>7.9752999999999998</v>
      </c>
      <c r="OS19" s="535">
        <v>7.8913000000000002</v>
      </c>
      <c r="OT19" s="535">
        <v>7.8059000000000003</v>
      </c>
      <c r="OU19" s="535">
        <v>7.7847</v>
      </c>
      <c r="OV19" s="535">
        <v>7.77</v>
      </c>
      <c r="OW19" s="535">
        <v>8.31</v>
      </c>
      <c r="OX19" s="535">
        <v>8.1394000000000002</v>
      </c>
      <c r="OY19" s="516">
        <v>13</v>
      </c>
      <c r="OZ19" s="536"/>
      <c r="PA19" s="536"/>
      <c r="PB19" s="516">
        <v>13</v>
      </c>
      <c r="PC19" s="535">
        <v>7.5213000000000001</v>
      </c>
      <c r="PD19" s="535">
        <v>7.4928999999999997</v>
      </c>
      <c r="PE19" s="535">
        <v>7.6237000000000004</v>
      </c>
      <c r="PF19" s="535">
        <v>7.4989999999999997</v>
      </c>
      <c r="PG19" s="535">
        <v>7.4762000000000004</v>
      </c>
      <c r="PH19" s="535">
        <v>7.6307999999999998</v>
      </c>
      <c r="PI19" s="535">
        <v>7.6429</v>
      </c>
      <c r="PJ19" s="535">
        <v>7.5171999999999999</v>
      </c>
      <c r="PK19" s="535">
        <v>7.5561999999999996</v>
      </c>
      <c r="PL19" s="535">
        <v>7.6109</v>
      </c>
      <c r="PM19" s="535">
        <v>7.9016999999999999</v>
      </c>
      <c r="PN19" s="535">
        <v>7.8723000000000001</v>
      </c>
      <c r="PO19" s="516">
        <v>13</v>
      </c>
      <c r="PP19" s="536"/>
      <c r="PQ19" s="536"/>
      <c r="PR19" s="516">
        <v>13</v>
      </c>
      <c r="PS19" s="535">
        <v>5.7575000000000003</v>
      </c>
      <c r="PT19" s="535">
        <v>5.59</v>
      </c>
      <c r="PU19" s="535">
        <v>7.5875000000000004</v>
      </c>
      <c r="PV19" s="535">
        <v>6.3033000000000001</v>
      </c>
      <c r="PW19" s="535">
        <v>5.9082999999999997</v>
      </c>
      <c r="PX19" s="535">
        <v>6.2824999999999998</v>
      </c>
      <c r="PY19" s="535">
        <v>6.1208999999999998</v>
      </c>
      <c r="PZ19" s="535">
        <v>6.1452999999999998</v>
      </c>
      <c r="QA19" s="535">
        <v>6.2885999999999997</v>
      </c>
      <c r="QB19" s="535">
        <v>6.7466999999999997</v>
      </c>
      <c r="QC19" s="535">
        <v>8.1382999999999992</v>
      </c>
      <c r="QD19" s="535">
        <v>7.79</v>
      </c>
      <c r="QE19" s="516">
        <v>13</v>
      </c>
      <c r="QF19" s="536"/>
      <c r="QG19" s="536"/>
      <c r="QH19" s="516">
        <v>13</v>
      </c>
      <c r="QI19" s="535">
        <v>3.1097999999999999</v>
      </c>
      <c r="QJ19" s="535">
        <v>3.105</v>
      </c>
      <c r="QK19" s="535">
        <v>3.2888000000000002</v>
      </c>
      <c r="QL19" s="535">
        <v>3.3654000000000002</v>
      </c>
      <c r="QM19" s="535">
        <v>3.3172999999999999</v>
      </c>
      <c r="QN19" s="535">
        <v>3.3588</v>
      </c>
      <c r="QO19" s="535">
        <v>3.4018000000000002</v>
      </c>
      <c r="QP19" s="535">
        <v>3.3980000000000001</v>
      </c>
      <c r="QQ19" s="535">
        <v>3.4123000000000001</v>
      </c>
      <c r="QR19" s="535">
        <v>3.4199000000000002</v>
      </c>
      <c r="QS19" s="535">
        <v>3.4424000000000001</v>
      </c>
      <c r="QT19" s="535">
        <v>3.4510999999999998</v>
      </c>
      <c r="QU19" s="516">
        <v>13</v>
      </c>
      <c r="QV19" s="536"/>
      <c r="QW19" s="536"/>
      <c r="QX19" s="516">
        <v>13</v>
      </c>
      <c r="QY19" s="535">
        <v>3.1168999999999998</v>
      </c>
      <c r="QZ19" s="535">
        <v>3.1009000000000002</v>
      </c>
      <c r="RA19" s="535">
        <v>3.1196999999999999</v>
      </c>
      <c r="RB19" s="535">
        <v>3.0985</v>
      </c>
      <c r="RC19" s="535">
        <v>3.1355</v>
      </c>
      <c r="RD19" s="535">
        <v>3.1282000000000001</v>
      </c>
      <c r="RE19" s="535">
        <v>3.1246</v>
      </c>
      <c r="RF19" s="535">
        <v>3.11</v>
      </c>
      <c r="RG19" s="535">
        <v>3.1126999999999998</v>
      </c>
      <c r="RH19" s="535">
        <v>3.1158000000000001</v>
      </c>
      <c r="RI19" s="535">
        <v>3.2162999999999999</v>
      </c>
      <c r="RJ19" s="535">
        <v>3.1074999999999999</v>
      </c>
      <c r="RK19" s="516">
        <v>13</v>
      </c>
      <c r="RL19" s="536"/>
      <c r="RM19" s="536"/>
      <c r="RN19" s="516">
        <v>13</v>
      </c>
      <c r="RO19" s="535">
        <v>3.0661999999999998</v>
      </c>
      <c r="RP19" s="535">
        <v>3.0644</v>
      </c>
      <c r="RQ19" s="535">
        <v>3.0608</v>
      </c>
      <c r="RR19" s="535">
        <v>3.0695000000000001</v>
      </c>
      <c r="RS19" s="535">
        <v>3.0968</v>
      </c>
      <c r="RT19" s="535">
        <v>3.1191</v>
      </c>
      <c r="RU19" s="535">
        <v>3.1099000000000001</v>
      </c>
      <c r="RV19" s="535">
        <v>3.0880999999999998</v>
      </c>
      <c r="RW19" s="535">
        <v>3.0768</v>
      </c>
      <c r="RX19" s="535">
        <v>3.1151</v>
      </c>
      <c r="RY19" s="535">
        <v>3.1147999999999998</v>
      </c>
      <c r="RZ19" s="535">
        <v>3.1116999999999999</v>
      </c>
      <c r="SA19" s="516">
        <v>13</v>
      </c>
      <c r="SB19" s="536"/>
      <c r="SC19" s="536"/>
      <c r="SD19" s="516">
        <v>13</v>
      </c>
      <c r="SE19" s="535">
        <v>2.9506000000000001</v>
      </c>
      <c r="SF19" s="535">
        <v>2.9634</v>
      </c>
      <c r="SG19" s="535">
        <v>2.9746000000000001</v>
      </c>
      <c r="SH19" s="535">
        <v>2.9870000000000001</v>
      </c>
      <c r="SI19" s="535">
        <v>2.9982000000000002</v>
      </c>
      <c r="SJ19" s="535">
        <v>3.0114000000000001</v>
      </c>
      <c r="SK19" s="535">
        <v>3.0234000000000001</v>
      </c>
      <c r="SL19" s="535">
        <v>3.0350000000000001</v>
      </c>
      <c r="SM19" s="535">
        <v>3.0482</v>
      </c>
      <c r="SN19" s="535">
        <v>3.0613999999999999</v>
      </c>
      <c r="SO19" s="535">
        <v>3.07403</v>
      </c>
      <c r="SP19" s="535">
        <v>3.0629900000000001</v>
      </c>
      <c r="SQ19" s="516">
        <v>13</v>
      </c>
      <c r="SR19" s="536"/>
      <c r="SS19" s="536"/>
      <c r="ST19" s="516">
        <v>13</v>
      </c>
      <c r="SU19" s="535">
        <v>2.6549999999999998</v>
      </c>
      <c r="SV19" s="535">
        <v>2.6840000000000002</v>
      </c>
      <c r="SW19" s="535">
        <v>2.7120000000000002</v>
      </c>
      <c r="SX19" s="535">
        <v>2.7450000000000001</v>
      </c>
      <c r="SY19" s="535">
        <v>2.774</v>
      </c>
      <c r="SZ19" s="535">
        <v>2.8033999999999999</v>
      </c>
      <c r="TA19" s="535">
        <v>2.8273999999999999</v>
      </c>
      <c r="TB19" s="535">
        <v>2.8506</v>
      </c>
      <c r="TC19" s="535">
        <v>2.8769999999999998</v>
      </c>
      <c r="TD19" s="535">
        <v>2.9009999999999998</v>
      </c>
      <c r="TE19" s="535">
        <v>2.9241999999999999</v>
      </c>
      <c r="TF19" s="535">
        <v>2.9386000000000001</v>
      </c>
      <c r="TG19" s="516">
        <v>13</v>
      </c>
      <c r="TH19" s="536"/>
      <c r="TI19" s="536"/>
      <c r="TJ19" s="516">
        <v>13</v>
      </c>
      <c r="TK19" s="535">
        <v>2.29</v>
      </c>
      <c r="TL19" s="535">
        <v>2.319</v>
      </c>
      <c r="TM19" s="535">
        <v>2.347</v>
      </c>
      <c r="TN19" s="535">
        <v>2.38</v>
      </c>
      <c r="TO19" s="535">
        <v>2.41</v>
      </c>
      <c r="TP19" s="535">
        <v>2.4390000000000001</v>
      </c>
      <c r="TQ19" s="535">
        <v>2.4710000000000001</v>
      </c>
      <c r="TR19" s="535">
        <v>2.5009999999999999</v>
      </c>
      <c r="TS19" s="535">
        <v>2.5329999999999999</v>
      </c>
      <c r="TT19" s="535">
        <v>2.5630000000000002</v>
      </c>
      <c r="TU19" s="535">
        <v>2.5920000000000001</v>
      </c>
      <c r="TV19" s="535">
        <v>2.6240000000000001</v>
      </c>
      <c r="TW19" s="516">
        <v>13</v>
      </c>
    </row>
    <row r="20" spans="2:543" s="4" customFormat="1" ht="23" customHeight="1">
      <c r="B20" s="516">
        <v>14</v>
      </c>
      <c r="C20" s="549">
        <v>20.366</v>
      </c>
      <c r="D20" s="549">
        <v>20.4148</v>
      </c>
      <c r="E20" s="549">
        <v>20.974299999999999</v>
      </c>
      <c r="F20" s="549">
        <v>19.840699999999998</v>
      </c>
      <c r="G20" s="549">
        <v>20.32</v>
      </c>
      <c r="H20" s="549">
        <v>19.9297</v>
      </c>
      <c r="I20" s="549">
        <v>20.7882</v>
      </c>
      <c r="J20" s="549">
        <v>19.959499999999998</v>
      </c>
      <c r="K20" s="549">
        <v>19.7957</v>
      </c>
      <c r="L20" s="549">
        <v>20.0352</v>
      </c>
      <c r="M20" s="662">
        <f t="shared" si="9"/>
        <v>19.746300000000002</v>
      </c>
      <c r="N20" s="662">
        <f t="shared" si="8"/>
        <v>19.746300000000002</v>
      </c>
      <c r="O20" s="516">
        <v>14</v>
      </c>
      <c r="R20" s="516">
        <v>14</v>
      </c>
      <c r="S20" s="549">
        <v>19.9373</v>
      </c>
      <c r="T20" s="549">
        <v>19.953499999999998</v>
      </c>
      <c r="U20" s="549">
        <v>20.7133</v>
      </c>
      <c r="V20" s="549">
        <v>20.094999999999999</v>
      </c>
      <c r="W20" s="549">
        <v>20.094000000000001</v>
      </c>
      <c r="X20" s="549">
        <v>19.700199999999999</v>
      </c>
      <c r="Y20" s="549">
        <v>19.857700000000001</v>
      </c>
      <c r="Z20" s="549">
        <v>19.890699999999999</v>
      </c>
      <c r="AA20" s="549">
        <v>19.871700000000001</v>
      </c>
      <c r="AB20" s="549">
        <v>20.776700000000002</v>
      </c>
      <c r="AC20" s="549">
        <v>20.465199999999999</v>
      </c>
      <c r="AD20" s="549">
        <v>20.892199999999999</v>
      </c>
      <c r="AE20" s="516">
        <v>14</v>
      </c>
      <c r="AH20" s="516">
        <v>14</v>
      </c>
      <c r="AI20" s="549">
        <v>18.773199999999999</v>
      </c>
      <c r="AJ20" s="549">
        <v>18.630800000000001</v>
      </c>
      <c r="AK20" s="549">
        <v>22.151800000000001</v>
      </c>
      <c r="AL20" s="549">
        <v>24.092500000000001</v>
      </c>
      <c r="AM20" s="549">
        <v>24.0487</v>
      </c>
      <c r="AN20" s="549">
        <v>22.4252</v>
      </c>
      <c r="AO20" s="549">
        <v>22.534199999999998</v>
      </c>
      <c r="AP20" s="549">
        <v>22.345700000000001</v>
      </c>
      <c r="AQ20" s="549">
        <v>21.2773</v>
      </c>
      <c r="AR20" s="549">
        <v>21.218299999999999</v>
      </c>
      <c r="AS20" s="549">
        <v>20.5303</v>
      </c>
      <c r="AT20" s="549">
        <v>19.9572</v>
      </c>
      <c r="AU20" s="516">
        <v>14</v>
      </c>
      <c r="AX20" s="516">
        <v>14</v>
      </c>
      <c r="AY20" s="535">
        <v>19.171399999999998</v>
      </c>
      <c r="AZ20" s="535">
        <v>19.2592</v>
      </c>
      <c r="BA20" s="535">
        <v>19.3049</v>
      </c>
      <c r="BB20" s="535">
        <v>18.8432</v>
      </c>
      <c r="BC20" s="535">
        <v>19.1374</v>
      </c>
      <c r="BD20" s="535">
        <v>19.138300000000001</v>
      </c>
      <c r="BE20" s="535">
        <v>19.122699999999998</v>
      </c>
      <c r="BF20" s="535">
        <v>19.580300000000001</v>
      </c>
      <c r="BG20" s="535">
        <v>19.426500000000001</v>
      </c>
      <c r="BH20" s="535">
        <v>19.476400000000002</v>
      </c>
      <c r="BI20" s="535">
        <v>19.2178</v>
      </c>
      <c r="BJ20" s="535">
        <v>19.1785</v>
      </c>
      <c r="BK20" s="516">
        <v>14</v>
      </c>
      <c r="BN20" s="516">
        <v>14</v>
      </c>
      <c r="BO20" s="535">
        <v>19.343299999999999</v>
      </c>
      <c r="BP20" s="535">
        <v>18.670300000000001</v>
      </c>
      <c r="BQ20" s="537">
        <v>18.619900000000001</v>
      </c>
      <c r="BR20" s="535">
        <v>18.135300000000001</v>
      </c>
      <c r="BS20" s="535">
        <v>19.2989</v>
      </c>
      <c r="BT20" s="535">
        <v>20.596</v>
      </c>
      <c r="BU20" s="535">
        <v>18.824100000000001</v>
      </c>
      <c r="BV20" s="535">
        <v>18.927299999999999</v>
      </c>
      <c r="BW20" s="535">
        <v>19.051100000000002</v>
      </c>
      <c r="BX20" s="535">
        <v>19.021699999999999</v>
      </c>
      <c r="BY20" s="535">
        <v>20.317900000000002</v>
      </c>
      <c r="BZ20" s="535">
        <v>20.288900000000002</v>
      </c>
      <c r="CA20" s="516">
        <v>14</v>
      </c>
      <c r="CD20" s="516">
        <v>14</v>
      </c>
      <c r="CE20" s="535">
        <v>21.720400000000001</v>
      </c>
      <c r="CF20" s="535">
        <v>20.3535</v>
      </c>
      <c r="CG20" s="535">
        <v>19.6279</v>
      </c>
      <c r="CH20" s="535">
        <v>18.764600000000002</v>
      </c>
      <c r="CI20" s="535">
        <v>18.9039</v>
      </c>
      <c r="CJ20" s="535">
        <v>18.180199999999999</v>
      </c>
      <c r="CK20" s="535">
        <v>17.770800000000001</v>
      </c>
      <c r="CL20" s="535">
        <v>17.907299999999999</v>
      </c>
      <c r="CM20" s="535">
        <v>17.780999999999999</v>
      </c>
      <c r="CN20" s="535">
        <v>18.763100000000001</v>
      </c>
      <c r="CO20" s="535">
        <v>19.052600000000002</v>
      </c>
      <c r="CP20" s="535">
        <v>18.974</v>
      </c>
      <c r="CQ20" s="516">
        <v>14</v>
      </c>
      <c r="CT20" s="516">
        <v>14</v>
      </c>
      <c r="CU20" s="535">
        <v>17.911899999999999</v>
      </c>
      <c r="CV20" s="535">
        <v>19.1754</v>
      </c>
      <c r="CW20" s="535">
        <v>17.860099999999999</v>
      </c>
      <c r="CX20" s="535">
        <v>17.571899999999999</v>
      </c>
      <c r="CY20" s="535">
        <v>17.991499999999998</v>
      </c>
      <c r="CZ20" s="535">
        <v>18.5046</v>
      </c>
      <c r="DA20" s="535">
        <v>18.300599999999999</v>
      </c>
      <c r="DB20" s="535">
        <v>18.267800000000001</v>
      </c>
      <c r="DC20" s="535">
        <v>19.064599999999999</v>
      </c>
      <c r="DD20" s="535">
        <v>18.962199999999999</v>
      </c>
      <c r="DE20" s="535">
        <v>20.481200000000001</v>
      </c>
      <c r="DF20" s="535">
        <v>20.330500000000001</v>
      </c>
      <c r="DG20" s="516">
        <v>14</v>
      </c>
      <c r="DJ20" s="516">
        <v>14</v>
      </c>
      <c r="DK20" s="535">
        <v>14.639799999999999</v>
      </c>
      <c r="DL20" s="535">
        <v>14.916700000000001</v>
      </c>
      <c r="DM20" s="535">
        <v>15.4003</v>
      </c>
      <c r="DN20" s="535">
        <v>15.1706</v>
      </c>
      <c r="DO20" s="535">
        <v>15.321099999999999</v>
      </c>
      <c r="DP20" s="535">
        <v>15.4779</v>
      </c>
      <c r="DQ20" s="535">
        <v>15.732900000000001</v>
      </c>
      <c r="DR20" s="535">
        <v>16.297599999999999</v>
      </c>
      <c r="DS20" s="535">
        <v>16.810300000000002</v>
      </c>
      <c r="DT20" s="535">
        <v>16.421900000000001</v>
      </c>
      <c r="DU20" s="535">
        <v>16.740600000000001</v>
      </c>
      <c r="DV20" s="535">
        <v>17.074999999999999</v>
      </c>
      <c r="DW20" s="516">
        <v>14</v>
      </c>
      <c r="DZ20" s="516">
        <v>14</v>
      </c>
      <c r="EA20" s="535">
        <v>13.006500000000001</v>
      </c>
      <c r="EB20" s="535">
        <v>13.3056</v>
      </c>
      <c r="EC20" s="535">
        <v>13.2659</v>
      </c>
      <c r="ED20" s="535">
        <v>13.045299999999999</v>
      </c>
      <c r="EE20" s="535">
        <v>12.9534</v>
      </c>
      <c r="EF20" s="535">
        <v>12.9815</v>
      </c>
      <c r="EG20" s="535">
        <v>13.0015</v>
      </c>
      <c r="EH20" s="535">
        <v>13.159000000000001</v>
      </c>
      <c r="EI20" s="535">
        <v>13.214399999999999</v>
      </c>
      <c r="EJ20" s="535">
        <v>13.4331</v>
      </c>
      <c r="EK20" s="535">
        <v>13.561299999999999</v>
      </c>
      <c r="EL20" s="535">
        <v>14.5181</v>
      </c>
      <c r="EM20" s="516">
        <v>14</v>
      </c>
      <c r="EP20" s="516">
        <v>14</v>
      </c>
      <c r="EQ20" s="535">
        <v>12.6555</v>
      </c>
      <c r="ER20" s="535">
        <v>12.7364</v>
      </c>
      <c r="ES20" s="535">
        <v>12.4641</v>
      </c>
      <c r="ET20" s="535">
        <v>12.069100000000001</v>
      </c>
      <c r="EU20" s="535">
        <v>12.109400000000001</v>
      </c>
      <c r="EV20" s="535">
        <v>12.844200000000001</v>
      </c>
      <c r="EW20" s="535">
        <v>12.8599</v>
      </c>
      <c r="EX20" s="535">
        <v>12.566599999999999</v>
      </c>
      <c r="EY20" s="535">
        <v>13.0854</v>
      </c>
      <c r="EZ20" s="535">
        <v>13.0913</v>
      </c>
      <c r="FA20" s="535">
        <v>13.187900000000001</v>
      </c>
      <c r="FB20" s="535">
        <v>12.934200000000001</v>
      </c>
      <c r="FC20" s="516">
        <v>14</v>
      </c>
      <c r="FF20" s="516">
        <v>14</v>
      </c>
      <c r="FG20" s="535">
        <v>13.5982</v>
      </c>
      <c r="FH20" s="535">
        <v>12.7857</v>
      </c>
      <c r="FI20" s="535">
        <v>12.715</v>
      </c>
      <c r="FJ20" s="535">
        <v>13.073600000000001</v>
      </c>
      <c r="FK20" s="535">
        <v>13.446999999999999</v>
      </c>
      <c r="FL20" s="535">
        <v>14.006</v>
      </c>
      <c r="FM20" s="535">
        <v>13.4795</v>
      </c>
      <c r="FN20" s="535">
        <v>13.109400000000001</v>
      </c>
      <c r="FO20" s="535">
        <v>13.0305</v>
      </c>
      <c r="FP20" s="535">
        <v>12.879200000000001</v>
      </c>
      <c r="FQ20" s="535">
        <v>13.1975</v>
      </c>
      <c r="FR20" s="535">
        <v>12.7584</v>
      </c>
      <c r="FS20" s="516">
        <v>14</v>
      </c>
      <c r="FV20" s="516">
        <v>14</v>
      </c>
      <c r="FW20" s="535">
        <v>12.075699999999999</v>
      </c>
      <c r="FX20" s="535">
        <v>12.0937</v>
      </c>
      <c r="FY20" s="535">
        <v>11.9755</v>
      </c>
      <c r="FZ20" s="535">
        <v>11.826599999999999</v>
      </c>
      <c r="GA20" s="535">
        <v>11.6656</v>
      </c>
      <c r="GB20" s="535">
        <v>11.868600000000001</v>
      </c>
      <c r="GC20" s="535">
        <v>11.7867</v>
      </c>
      <c r="GD20" s="535">
        <v>12.389900000000001</v>
      </c>
      <c r="GE20" s="535">
        <v>12.768700000000001</v>
      </c>
      <c r="GF20" s="535">
        <v>13.221299999999999</v>
      </c>
      <c r="GG20" s="535">
        <v>13.562200000000001</v>
      </c>
      <c r="GH20" s="535">
        <v>13.640599999999999</v>
      </c>
      <c r="GI20" s="516">
        <v>14</v>
      </c>
      <c r="GL20" s="516">
        <v>14</v>
      </c>
      <c r="GM20" s="535">
        <v>12.729100000000001</v>
      </c>
      <c r="GN20" s="535">
        <v>13.0609</v>
      </c>
      <c r="GO20" s="535">
        <v>12.619199999999999</v>
      </c>
      <c r="GP20" s="535">
        <v>12.1808</v>
      </c>
      <c r="GQ20" s="535">
        <v>12.4351</v>
      </c>
      <c r="GR20" s="535">
        <v>12.7441</v>
      </c>
      <c r="GS20" s="535">
        <v>12.8233</v>
      </c>
      <c r="GT20" s="535">
        <v>12.7258</v>
      </c>
      <c r="GU20" s="535">
        <v>12.961600000000001</v>
      </c>
      <c r="GV20" s="535">
        <v>12.432</v>
      </c>
      <c r="GW20" s="535">
        <v>12.259600000000001</v>
      </c>
      <c r="GX20" s="535">
        <v>12.4617</v>
      </c>
      <c r="GY20" s="516">
        <v>14</v>
      </c>
      <c r="HB20" s="516">
        <v>14</v>
      </c>
      <c r="HC20" s="535">
        <v>13.7608</v>
      </c>
      <c r="HD20" s="535">
        <v>14.6013</v>
      </c>
      <c r="HE20" s="535">
        <v>14.908300000000001</v>
      </c>
      <c r="HF20" s="535">
        <v>13.364800000000001</v>
      </c>
      <c r="HG20" s="535">
        <v>13.220800000000001</v>
      </c>
      <c r="HH20" s="535">
        <v>13.4581</v>
      </c>
      <c r="HI20" s="535">
        <v>13.7052</v>
      </c>
      <c r="HJ20" s="535">
        <v>12.997</v>
      </c>
      <c r="HK20" s="535">
        <v>13.4582</v>
      </c>
      <c r="HL20" s="535">
        <v>13.2178</v>
      </c>
      <c r="HM20" s="535">
        <v>13.206099999999999</v>
      </c>
      <c r="HN20" s="535">
        <v>12.9739</v>
      </c>
      <c r="HO20" s="516">
        <v>14</v>
      </c>
      <c r="HP20" s="536"/>
      <c r="HQ20" s="536"/>
      <c r="HR20" s="516">
        <v>14</v>
      </c>
      <c r="HS20" s="535">
        <v>10.9572</v>
      </c>
      <c r="HT20" s="535">
        <v>10.746499999999999</v>
      </c>
      <c r="HU20" s="535">
        <v>10.7735</v>
      </c>
      <c r="HV20" s="535">
        <v>10.5503</v>
      </c>
      <c r="HW20" s="535">
        <v>10.505800000000001</v>
      </c>
      <c r="HX20" s="535">
        <v>10.395</v>
      </c>
      <c r="HY20" s="535">
        <v>10.307600000000001</v>
      </c>
      <c r="HZ20" s="535">
        <v>10.159000000000001</v>
      </c>
      <c r="IA20" s="535">
        <v>10.6745</v>
      </c>
      <c r="IB20" s="535">
        <v>13.0867</v>
      </c>
      <c r="IC20" s="535">
        <v>13.0875</v>
      </c>
      <c r="ID20" s="535">
        <v>13.472200000000001</v>
      </c>
      <c r="IE20" s="516">
        <v>14</v>
      </c>
      <c r="IF20" s="536"/>
      <c r="IG20" s="536"/>
      <c r="IH20" s="516">
        <v>14</v>
      </c>
      <c r="II20" s="535">
        <v>10.965</v>
      </c>
      <c r="IJ20" s="535">
        <v>11.0227</v>
      </c>
      <c r="IK20" s="535">
        <v>11.148300000000001</v>
      </c>
      <c r="IL20" s="535">
        <v>11.013500000000001</v>
      </c>
      <c r="IM20" s="535">
        <v>10.8178</v>
      </c>
      <c r="IN20" s="535">
        <v>10.9331</v>
      </c>
      <c r="IO20" s="535">
        <v>10.7799</v>
      </c>
      <c r="IP20" s="535">
        <v>11.017300000000001</v>
      </c>
      <c r="IQ20" s="535">
        <v>11.071999999999999</v>
      </c>
      <c r="IR20" s="535">
        <v>10.8101</v>
      </c>
      <c r="IS20" s="535">
        <v>10.937799999999999</v>
      </c>
      <c r="IT20" s="535">
        <v>10.8025</v>
      </c>
      <c r="IU20" s="516">
        <v>14</v>
      </c>
      <c r="IV20" s="536"/>
      <c r="IW20" s="536"/>
      <c r="IX20" s="516">
        <v>14</v>
      </c>
      <c r="IY20" s="535">
        <v>10.5732</v>
      </c>
      <c r="IZ20" s="535">
        <v>10.487</v>
      </c>
      <c r="JA20" s="535">
        <v>10.7125</v>
      </c>
      <c r="JB20" s="535">
        <v>11.0708</v>
      </c>
      <c r="JC20" s="535">
        <v>10.838100000000001</v>
      </c>
      <c r="JD20" s="535">
        <v>11.3827</v>
      </c>
      <c r="JE20" s="535">
        <v>11.0303</v>
      </c>
      <c r="JF20" s="535">
        <v>10.880800000000001</v>
      </c>
      <c r="JG20" s="535">
        <v>11.036099999999999</v>
      </c>
      <c r="JH20" s="535">
        <v>10.9406</v>
      </c>
      <c r="JI20" s="535">
        <v>10.915800000000001</v>
      </c>
      <c r="JJ20" s="535">
        <v>10.8375</v>
      </c>
      <c r="JK20" s="516">
        <v>14</v>
      </c>
      <c r="JL20" s="536"/>
      <c r="JM20" s="536"/>
      <c r="JN20" s="516">
        <v>14</v>
      </c>
      <c r="JO20" s="535">
        <v>11.1761</v>
      </c>
      <c r="JP20" s="535">
        <v>11.1533</v>
      </c>
      <c r="JQ20" s="535">
        <v>11.032400000000001</v>
      </c>
      <c r="JR20" s="535">
        <v>11.115500000000001</v>
      </c>
      <c r="JS20" s="535">
        <v>11.0189</v>
      </c>
      <c r="JT20" s="535">
        <v>10.864800000000001</v>
      </c>
      <c r="JU20" s="535">
        <v>10.6881</v>
      </c>
      <c r="JV20" s="535">
        <v>10.5815</v>
      </c>
      <c r="JW20" s="535">
        <v>10.699400000000001</v>
      </c>
      <c r="JX20" s="535">
        <v>10.8842</v>
      </c>
      <c r="JY20" s="535">
        <v>10.714</v>
      </c>
      <c r="JZ20" s="535">
        <v>10.624000000000001</v>
      </c>
      <c r="KA20" s="516">
        <v>14</v>
      </c>
      <c r="KB20" s="536"/>
      <c r="KC20" s="536"/>
      <c r="KD20" s="516">
        <v>14</v>
      </c>
      <c r="KE20" s="535">
        <v>10.818</v>
      </c>
      <c r="KF20" s="535">
        <v>10.9626</v>
      </c>
      <c r="KG20" s="535">
        <v>10.9633</v>
      </c>
      <c r="KH20" s="535">
        <v>11.2211</v>
      </c>
      <c r="KI20" s="535">
        <v>11.624599999999999</v>
      </c>
      <c r="KJ20" s="535">
        <v>11.366</v>
      </c>
      <c r="KK20" s="535">
        <v>11.5009</v>
      </c>
      <c r="KL20" s="535">
        <v>11.4414</v>
      </c>
      <c r="KM20" s="535">
        <v>11.6005</v>
      </c>
      <c r="KN20" s="535">
        <v>11.2865</v>
      </c>
      <c r="KO20" s="535">
        <v>11.399699999999999</v>
      </c>
      <c r="KP20" s="535">
        <v>11.334300000000001</v>
      </c>
      <c r="KQ20" s="516">
        <v>14</v>
      </c>
      <c r="KR20" s="536"/>
      <c r="KS20" s="536"/>
      <c r="KT20" s="516">
        <v>14</v>
      </c>
      <c r="KU20" s="535">
        <v>10.4672</v>
      </c>
      <c r="KV20" s="535">
        <v>10.9832</v>
      </c>
      <c r="KW20" s="535">
        <v>10.907299999999999</v>
      </c>
      <c r="KX20" s="535">
        <v>10.7651</v>
      </c>
      <c r="KY20" s="535">
        <v>10.177300000000001</v>
      </c>
      <c r="KZ20" s="535">
        <v>10.577500000000001</v>
      </c>
      <c r="LA20" s="535">
        <v>10.4482</v>
      </c>
      <c r="LB20" s="535">
        <v>10.7448</v>
      </c>
      <c r="LC20" s="535">
        <v>10.973699999999999</v>
      </c>
      <c r="LD20" s="535">
        <v>11.194599999999999</v>
      </c>
      <c r="LE20" s="535">
        <v>11.058199999999999</v>
      </c>
      <c r="LF20" s="535">
        <v>11.214499999999999</v>
      </c>
      <c r="LG20" s="516">
        <v>14</v>
      </c>
      <c r="LH20" s="536"/>
      <c r="LI20" s="536"/>
      <c r="LJ20" s="516">
        <v>14</v>
      </c>
      <c r="LK20" s="535">
        <v>9.2444000000000006</v>
      </c>
      <c r="LL20" s="535">
        <v>9.0896000000000008</v>
      </c>
      <c r="LM20" s="535">
        <v>9.0753000000000004</v>
      </c>
      <c r="LN20" s="535">
        <v>9.0770999999999997</v>
      </c>
      <c r="LO20" s="535">
        <v>9.5101999999999993</v>
      </c>
      <c r="LP20" s="535">
        <v>9.7035</v>
      </c>
      <c r="LQ20" s="535">
        <v>9.7979000000000003</v>
      </c>
      <c r="LR20" s="535">
        <v>9.8401999999999994</v>
      </c>
      <c r="LS20" s="535">
        <v>10.0023</v>
      </c>
      <c r="LT20" s="535">
        <v>10.2195</v>
      </c>
      <c r="LU20" s="535">
        <v>10.3447</v>
      </c>
      <c r="LV20" s="535">
        <v>10.1785</v>
      </c>
      <c r="LW20" s="516">
        <v>14</v>
      </c>
      <c r="LX20" s="536"/>
      <c r="LY20" s="536"/>
      <c r="LZ20" s="516">
        <v>14</v>
      </c>
      <c r="MA20" s="535">
        <v>9.8547999999999991</v>
      </c>
      <c r="MB20" s="535">
        <v>9.7388999999999992</v>
      </c>
      <c r="MC20" s="535">
        <v>9.6624999999999996</v>
      </c>
      <c r="MD20" s="535">
        <v>9.3093000000000004</v>
      </c>
      <c r="ME20" s="535">
        <v>9.1966999999999999</v>
      </c>
      <c r="MF20" s="535">
        <v>9.0939999999999994</v>
      </c>
      <c r="MG20" s="535">
        <v>9.3420000000000005</v>
      </c>
      <c r="MH20" s="535">
        <v>9.1247000000000007</v>
      </c>
      <c r="MI20" s="535">
        <v>9.4446999999999992</v>
      </c>
      <c r="MJ20" s="535">
        <v>9.3397000000000006</v>
      </c>
      <c r="MK20" s="535">
        <v>9.2707999999999995</v>
      </c>
      <c r="ML20" s="535">
        <v>9.1819000000000006</v>
      </c>
      <c r="MM20" s="516">
        <v>14</v>
      </c>
      <c r="MN20" s="536"/>
      <c r="MO20" s="536"/>
      <c r="MP20" s="516">
        <v>14</v>
      </c>
      <c r="MQ20" s="535">
        <v>9.5351999999999997</v>
      </c>
      <c r="MR20" s="535">
        <v>9.4347999999999992</v>
      </c>
      <c r="MS20" s="535">
        <v>9.3125</v>
      </c>
      <c r="MT20" s="535">
        <v>9.3964999999999996</v>
      </c>
      <c r="MU20" s="535">
        <v>9.5768000000000004</v>
      </c>
      <c r="MV20" s="535">
        <v>9.8545999999999996</v>
      </c>
      <c r="MW20" s="535">
        <v>9.4748000000000001</v>
      </c>
      <c r="MX20" s="535">
        <v>9.3198000000000008</v>
      </c>
      <c r="MY20" s="535">
        <v>9.2542000000000009</v>
      </c>
      <c r="MZ20" s="535">
        <v>9.5192999999999994</v>
      </c>
      <c r="NA20" s="535">
        <v>9.6007999999999996</v>
      </c>
      <c r="NB20" s="535">
        <v>9.4418000000000006</v>
      </c>
      <c r="NC20" s="516">
        <v>14</v>
      </c>
      <c r="ND20" s="536"/>
      <c r="NE20" s="536"/>
      <c r="NF20" s="516">
        <v>14</v>
      </c>
      <c r="NG20" s="535">
        <v>10.0848</v>
      </c>
      <c r="NH20" s="535">
        <v>9.9793000000000003</v>
      </c>
      <c r="NI20" s="535">
        <v>9.7479999999999993</v>
      </c>
      <c r="NJ20" s="535">
        <v>9.5569000000000006</v>
      </c>
      <c r="NK20" s="535">
        <v>9.3247</v>
      </c>
      <c r="NL20" s="535">
        <v>9.5984999999999996</v>
      </c>
      <c r="NM20" s="535">
        <v>9.4358000000000004</v>
      </c>
      <c r="NN20" s="535">
        <v>9.3533000000000008</v>
      </c>
      <c r="NO20" s="535">
        <v>9.3173999999999992</v>
      </c>
      <c r="NP20" s="535">
        <v>9.4674999999999994</v>
      </c>
      <c r="NQ20" s="535">
        <v>9.3856999999999999</v>
      </c>
      <c r="NR20" s="535">
        <v>9.4143000000000008</v>
      </c>
      <c r="NS20" s="516">
        <v>14</v>
      </c>
      <c r="NT20" s="536"/>
      <c r="NU20" s="536"/>
      <c r="NV20" s="516">
        <v>14</v>
      </c>
      <c r="NW20" s="535">
        <v>8.2774999999999999</v>
      </c>
      <c r="NX20" s="535">
        <v>8.4495000000000005</v>
      </c>
      <c r="NY20" s="535">
        <v>8.5672999999999995</v>
      </c>
      <c r="NZ20" s="535">
        <v>8.5106000000000002</v>
      </c>
      <c r="OA20" s="535">
        <v>8.4964999999999993</v>
      </c>
      <c r="OB20" s="535">
        <v>8.9609000000000005</v>
      </c>
      <c r="OC20" s="535">
        <v>8.9535</v>
      </c>
      <c r="OD20" s="535">
        <v>9.1761999999999997</v>
      </c>
      <c r="OE20" s="535">
        <v>10.532500000000001</v>
      </c>
      <c r="OF20" s="535">
        <v>10.1555</v>
      </c>
      <c r="OG20" s="535">
        <v>10.0563</v>
      </c>
      <c r="OH20" s="535">
        <v>9.9499999999999993</v>
      </c>
      <c r="OI20" s="516">
        <v>14</v>
      </c>
      <c r="OJ20" s="536"/>
      <c r="OK20" s="536"/>
      <c r="OL20" s="516">
        <v>14</v>
      </c>
      <c r="OM20" s="535">
        <v>7.8606999999999996</v>
      </c>
      <c r="ON20" s="535">
        <v>7.7968000000000002</v>
      </c>
      <c r="OO20" s="535">
        <v>7.9611000000000001</v>
      </c>
      <c r="OP20" s="535">
        <v>7.9153000000000002</v>
      </c>
      <c r="OQ20" s="535">
        <v>7.9242999999999997</v>
      </c>
      <c r="OR20" s="535">
        <v>7.9633000000000003</v>
      </c>
      <c r="OS20" s="535">
        <v>7.8913000000000002</v>
      </c>
      <c r="OT20" s="535">
        <v>7.782</v>
      </c>
      <c r="OU20" s="535">
        <v>7.7847</v>
      </c>
      <c r="OV20" s="535">
        <v>7.7591999999999999</v>
      </c>
      <c r="OW20" s="535">
        <v>8.3582999999999998</v>
      </c>
      <c r="OX20" s="535">
        <v>8.1394000000000002</v>
      </c>
      <c r="OY20" s="516">
        <v>14</v>
      </c>
      <c r="OZ20" s="536"/>
      <c r="PA20" s="536"/>
      <c r="PB20" s="516">
        <v>14</v>
      </c>
      <c r="PC20" s="535">
        <v>7.5213000000000001</v>
      </c>
      <c r="PD20" s="535">
        <v>7.5278999999999998</v>
      </c>
      <c r="PE20" s="535">
        <v>7.6044999999999998</v>
      </c>
      <c r="PF20" s="535">
        <v>7.4989999999999997</v>
      </c>
      <c r="PG20" s="535">
        <v>7.4469000000000003</v>
      </c>
      <c r="PH20" s="535">
        <v>7.5743</v>
      </c>
      <c r="PI20" s="535">
        <v>7.6429</v>
      </c>
      <c r="PJ20" s="535">
        <v>7.5106000000000002</v>
      </c>
      <c r="PK20" s="535">
        <v>7.5416999999999996</v>
      </c>
      <c r="PL20" s="535">
        <v>7.6109</v>
      </c>
      <c r="PM20" s="535">
        <v>7.9154999999999998</v>
      </c>
      <c r="PN20" s="535">
        <v>7.8723000000000001</v>
      </c>
      <c r="PO20" s="516">
        <v>14</v>
      </c>
      <c r="PP20" s="536"/>
      <c r="PQ20" s="536"/>
      <c r="PR20" s="516">
        <v>14</v>
      </c>
      <c r="PS20" s="535">
        <v>5.6875</v>
      </c>
      <c r="PT20" s="535">
        <v>5.6375000000000002</v>
      </c>
      <c r="PU20" s="535">
        <v>6.4675000000000002</v>
      </c>
      <c r="PV20" s="535">
        <v>6.3033000000000001</v>
      </c>
      <c r="PW20" s="535">
        <v>5.9082999999999997</v>
      </c>
      <c r="PX20" s="535">
        <v>6.2792000000000003</v>
      </c>
      <c r="PY20" s="535">
        <v>6.0971000000000002</v>
      </c>
      <c r="PZ20" s="535">
        <v>6.1452999999999998</v>
      </c>
      <c r="QA20" s="535">
        <v>6.2850000000000001</v>
      </c>
      <c r="QB20" s="535">
        <v>6.7042000000000002</v>
      </c>
      <c r="QC20" s="535">
        <v>7.665</v>
      </c>
      <c r="QD20" s="535">
        <v>7.7504</v>
      </c>
      <c r="QE20" s="516">
        <v>14</v>
      </c>
      <c r="QF20" s="536"/>
      <c r="QG20" s="536"/>
      <c r="QH20" s="516">
        <v>14</v>
      </c>
      <c r="QI20" s="535">
        <v>3.1093999999999999</v>
      </c>
      <c r="QJ20" s="535">
        <v>3.105</v>
      </c>
      <c r="QK20" s="535">
        <v>3.2888000000000002</v>
      </c>
      <c r="QL20" s="535">
        <v>3.3656999999999999</v>
      </c>
      <c r="QM20" s="535">
        <v>3.3325</v>
      </c>
      <c r="QN20" s="535">
        <v>3.3613</v>
      </c>
      <c r="QO20" s="535">
        <v>3.4022000000000001</v>
      </c>
      <c r="QP20" s="535">
        <v>3.3980000000000001</v>
      </c>
      <c r="QQ20" s="535">
        <v>3.4134000000000002</v>
      </c>
      <c r="QR20" s="535">
        <v>3.4169999999999998</v>
      </c>
      <c r="QS20" s="535">
        <v>3.4424000000000001</v>
      </c>
      <c r="QT20" s="535">
        <v>3.4533999999999998</v>
      </c>
      <c r="QU20" s="516">
        <v>14</v>
      </c>
      <c r="QV20" s="536"/>
      <c r="QW20" s="536"/>
      <c r="QX20" s="516">
        <v>14</v>
      </c>
      <c r="QY20" s="535">
        <v>3.1095999999999999</v>
      </c>
      <c r="QZ20" s="535">
        <v>3.1009000000000002</v>
      </c>
      <c r="RA20" s="535">
        <v>3.1196999999999999</v>
      </c>
      <c r="RB20" s="535">
        <v>3.0962000000000001</v>
      </c>
      <c r="RC20" s="535">
        <v>3.1291000000000002</v>
      </c>
      <c r="RD20" s="535">
        <v>3.1282000000000001</v>
      </c>
      <c r="RE20" s="535">
        <v>3.1294</v>
      </c>
      <c r="RF20" s="535">
        <v>3.1164999999999998</v>
      </c>
      <c r="RG20" s="535">
        <v>3.1118999999999999</v>
      </c>
      <c r="RH20" s="535">
        <v>3.1135999999999999</v>
      </c>
      <c r="RI20" s="535">
        <v>3.2162999999999999</v>
      </c>
      <c r="RJ20" s="535">
        <v>3.1168999999999998</v>
      </c>
      <c r="RK20" s="516">
        <v>14</v>
      </c>
      <c r="RL20" s="536"/>
      <c r="RM20" s="536"/>
      <c r="RN20" s="516">
        <v>14</v>
      </c>
      <c r="RO20" s="535">
        <v>3.0668000000000002</v>
      </c>
      <c r="RP20" s="535">
        <v>3.0632999999999999</v>
      </c>
      <c r="RQ20" s="535">
        <v>3.0609999999999999</v>
      </c>
      <c r="RR20" s="535">
        <v>3.0657000000000001</v>
      </c>
      <c r="RS20" s="535">
        <v>3.0863</v>
      </c>
      <c r="RT20" s="535">
        <v>3.1191</v>
      </c>
      <c r="RU20" s="535">
        <v>3.1179999999999999</v>
      </c>
      <c r="RV20" s="535">
        <v>3.0758999999999999</v>
      </c>
      <c r="RW20" s="535">
        <v>3.0768</v>
      </c>
      <c r="RX20" s="535">
        <v>3.1137999999999999</v>
      </c>
      <c r="RY20" s="535">
        <v>3.1156000000000001</v>
      </c>
      <c r="RZ20" s="535">
        <v>3.1116999999999999</v>
      </c>
      <c r="SA20" s="516">
        <v>14</v>
      </c>
      <c r="SB20" s="536"/>
      <c r="SC20" s="536"/>
      <c r="SD20" s="516">
        <v>14</v>
      </c>
      <c r="SE20" s="535">
        <v>2.9506000000000001</v>
      </c>
      <c r="SF20" s="535">
        <v>2.9638</v>
      </c>
      <c r="SG20" s="535">
        <v>2.9750000000000001</v>
      </c>
      <c r="SH20" s="535">
        <v>2.9870000000000001</v>
      </c>
      <c r="SI20" s="535">
        <v>2.9986000000000002</v>
      </c>
      <c r="SJ20" s="535">
        <v>3.0118</v>
      </c>
      <c r="SK20" s="535">
        <v>3.0234000000000001</v>
      </c>
      <c r="SL20" s="535">
        <v>3.0362</v>
      </c>
      <c r="SM20" s="535">
        <v>3.0486</v>
      </c>
      <c r="SN20" s="535">
        <v>3.0613999999999999</v>
      </c>
      <c r="SO20" s="535">
        <v>3.07348</v>
      </c>
      <c r="SP20" s="535">
        <v>3.0629900000000001</v>
      </c>
      <c r="SQ20" s="516">
        <v>14</v>
      </c>
      <c r="SR20" s="536"/>
      <c r="SS20" s="536"/>
      <c r="ST20" s="516">
        <v>14</v>
      </c>
      <c r="SU20" s="535">
        <v>2.6549999999999998</v>
      </c>
      <c r="SV20" s="535">
        <v>2.6869999999999998</v>
      </c>
      <c r="SW20" s="535">
        <v>2.7149999999999999</v>
      </c>
      <c r="SX20" s="535">
        <v>2.746</v>
      </c>
      <c r="SY20" s="535">
        <v>2.774</v>
      </c>
      <c r="SZ20" s="535">
        <v>2.8041999999999998</v>
      </c>
      <c r="TA20" s="535">
        <v>2.8281999999999998</v>
      </c>
      <c r="TB20" s="535">
        <v>2.8513999999999999</v>
      </c>
      <c r="TC20" s="535">
        <v>2.8778000000000001</v>
      </c>
      <c r="TD20" s="535">
        <v>2.9009999999999998</v>
      </c>
      <c r="TE20" s="535">
        <v>2.9266000000000001</v>
      </c>
      <c r="TF20" s="535">
        <v>2.9390000000000001</v>
      </c>
      <c r="TG20" s="516">
        <v>14</v>
      </c>
      <c r="TH20" s="536"/>
      <c r="TI20" s="536"/>
      <c r="TJ20" s="516">
        <v>14</v>
      </c>
      <c r="TK20" s="535">
        <v>2.2909999999999999</v>
      </c>
      <c r="TL20" s="535">
        <v>2.3199999999999998</v>
      </c>
      <c r="TM20" s="535">
        <v>2.3479999999999999</v>
      </c>
      <c r="TN20" s="535">
        <v>2.3809999999999998</v>
      </c>
      <c r="TO20" s="535">
        <v>2.41</v>
      </c>
      <c r="TP20" s="535">
        <v>2.4420000000000002</v>
      </c>
      <c r="TQ20" s="535">
        <v>2.472</v>
      </c>
      <c r="TR20" s="535">
        <v>2.5009999999999999</v>
      </c>
      <c r="TS20" s="535">
        <v>2.5339999999999998</v>
      </c>
      <c r="TT20" s="535">
        <v>2.5640000000000001</v>
      </c>
      <c r="TU20" s="535">
        <v>2.593</v>
      </c>
      <c r="TV20" s="535">
        <v>2.625</v>
      </c>
      <c r="TW20" s="516">
        <v>14</v>
      </c>
    </row>
    <row r="21" spans="2:543" s="4" customFormat="1" ht="23" customHeight="1">
      <c r="B21" s="516">
        <v>15</v>
      </c>
      <c r="C21" s="549">
        <v>20.360700000000001</v>
      </c>
      <c r="D21" s="549">
        <v>20.418800000000001</v>
      </c>
      <c r="E21" s="549">
        <v>20.9695</v>
      </c>
      <c r="F21" s="549">
        <v>19.840699999999998</v>
      </c>
      <c r="G21" s="549">
        <v>20.32</v>
      </c>
      <c r="H21" s="549">
        <v>20.4527</v>
      </c>
      <c r="I21" s="549">
        <v>20.761299999999999</v>
      </c>
      <c r="J21" s="549">
        <v>19.959499999999998</v>
      </c>
      <c r="K21" s="549">
        <v>20.055</v>
      </c>
      <c r="L21" s="549">
        <v>20.0398</v>
      </c>
      <c r="M21" s="662">
        <f t="shared" si="9"/>
        <v>19.746300000000002</v>
      </c>
      <c r="N21" s="662">
        <f t="shared" si="8"/>
        <v>19.746300000000002</v>
      </c>
      <c r="O21" s="516">
        <v>15</v>
      </c>
      <c r="R21" s="516">
        <v>15</v>
      </c>
      <c r="S21" s="549">
        <v>19.793500000000002</v>
      </c>
      <c r="T21" s="549">
        <v>19.953499999999998</v>
      </c>
      <c r="U21" s="549">
        <v>20.7133</v>
      </c>
      <c r="V21" s="549">
        <v>20.073499999999999</v>
      </c>
      <c r="W21" s="549">
        <v>20.049499999999998</v>
      </c>
      <c r="X21" s="549">
        <v>19.882300000000001</v>
      </c>
      <c r="Y21" s="549">
        <v>19.998799999999999</v>
      </c>
      <c r="Z21" s="549">
        <v>19.890699999999999</v>
      </c>
      <c r="AA21" s="549">
        <v>19.867699999999999</v>
      </c>
      <c r="AB21" s="549">
        <v>20.682700000000001</v>
      </c>
      <c r="AC21" s="549">
        <v>20.465199999999999</v>
      </c>
      <c r="AD21" s="549">
        <v>20.938300000000002</v>
      </c>
      <c r="AE21" s="516">
        <v>15</v>
      </c>
      <c r="AH21" s="516">
        <v>15</v>
      </c>
      <c r="AI21" s="549">
        <v>18.8215</v>
      </c>
      <c r="AJ21" s="549">
        <v>18.645800000000001</v>
      </c>
      <c r="AK21" s="549">
        <v>22.151800000000001</v>
      </c>
      <c r="AL21" s="549">
        <v>23.742699999999999</v>
      </c>
      <c r="AM21" s="549">
        <v>24.211300000000001</v>
      </c>
      <c r="AN21" s="549">
        <v>22.4252</v>
      </c>
      <c r="AO21" s="549">
        <v>22.4633</v>
      </c>
      <c r="AP21" s="549">
        <v>22.262799999999999</v>
      </c>
      <c r="AQ21" s="549">
        <v>21.321000000000002</v>
      </c>
      <c r="AR21" s="549">
        <v>21.367699999999999</v>
      </c>
      <c r="AS21" s="549">
        <v>20.5303</v>
      </c>
      <c r="AT21" s="549">
        <v>20.107500000000002</v>
      </c>
      <c r="AU21" s="516">
        <v>15</v>
      </c>
      <c r="AX21" s="516">
        <v>15</v>
      </c>
      <c r="AY21" s="535">
        <v>19.1236</v>
      </c>
      <c r="AZ21" s="535">
        <v>19.4084</v>
      </c>
      <c r="BA21" s="535">
        <v>19.332000000000001</v>
      </c>
      <c r="BB21" s="535">
        <v>18.8432</v>
      </c>
      <c r="BC21" s="535">
        <v>19.192799999999998</v>
      </c>
      <c r="BD21" s="535">
        <v>19.1645</v>
      </c>
      <c r="BE21" s="535">
        <v>19.122699999999998</v>
      </c>
      <c r="BF21" s="535">
        <v>19.463000000000001</v>
      </c>
      <c r="BG21" s="535">
        <v>19.426500000000001</v>
      </c>
      <c r="BH21" s="535">
        <v>19.3217</v>
      </c>
      <c r="BI21" s="535">
        <v>19.4543</v>
      </c>
      <c r="BJ21" s="535">
        <v>19.1785</v>
      </c>
      <c r="BK21" s="516">
        <v>15</v>
      </c>
      <c r="BN21" s="516">
        <v>15</v>
      </c>
      <c r="BO21" s="535">
        <v>19.343299999999999</v>
      </c>
      <c r="BP21" s="535">
        <v>18.626899999999999</v>
      </c>
      <c r="BQ21" s="537">
        <v>18.560400000000001</v>
      </c>
      <c r="BR21" s="535">
        <v>18.135300000000001</v>
      </c>
      <c r="BS21" s="535">
        <v>19.353899999999999</v>
      </c>
      <c r="BT21" s="535">
        <v>20.625900000000001</v>
      </c>
      <c r="BU21" s="535">
        <v>18.824100000000001</v>
      </c>
      <c r="BV21" s="535">
        <v>19.180099999999999</v>
      </c>
      <c r="BW21" s="535">
        <v>18.877500000000001</v>
      </c>
      <c r="BX21" s="535">
        <v>19.021699999999999</v>
      </c>
      <c r="BY21" s="535">
        <v>20.515799999999999</v>
      </c>
      <c r="BZ21" s="535">
        <v>20.256599999999999</v>
      </c>
      <c r="CA21" s="516">
        <v>15</v>
      </c>
      <c r="CD21" s="516">
        <v>15</v>
      </c>
      <c r="CE21" s="535">
        <v>21.720400000000001</v>
      </c>
      <c r="CF21" s="535">
        <v>20.327999999999999</v>
      </c>
      <c r="CG21" s="535">
        <v>19.580300000000001</v>
      </c>
      <c r="CH21" s="535">
        <v>18.764600000000002</v>
      </c>
      <c r="CI21" s="535">
        <v>18.9039</v>
      </c>
      <c r="CJ21" s="535">
        <v>18.072500000000002</v>
      </c>
      <c r="CK21" s="535">
        <v>17.7422</v>
      </c>
      <c r="CL21" s="535">
        <v>17.847000000000001</v>
      </c>
      <c r="CM21" s="535">
        <v>17.7836</v>
      </c>
      <c r="CN21" s="535">
        <v>18.763100000000001</v>
      </c>
      <c r="CO21" s="535">
        <v>19.167999999999999</v>
      </c>
      <c r="CP21" s="535">
        <v>19.139099999999999</v>
      </c>
      <c r="CQ21" s="516">
        <v>15</v>
      </c>
      <c r="CT21" s="516">
        <v>15</v>
      </c>
      <c r="CU21" s="535">
        <v>17.850000000000001</v>
      </c>
      <c r="CV21" s="535">
        <v>19.1754</v>
      </c>
      <c r="CW21" s="535">
        <v>17.700199999999999</v>
      </c>
      <c r="CX21" s="535">
        <v>17.489999999999998</v>
      </c>
      <c r="CY21" s="535">
        <v>17.991499999999998</v>
      </c>
      <c r="CZ21" s="535">
        <v>18.791499999999999</v>
      </c>
      <c r="DA21" s="535">
        <v>18.393699999999999</v>
      </c>
      <c r="DB21" s="535">
        <v>18.267800000000001</v>
      </c>
      <c r="DC21" s="535">
        <v>19.152000000000001</v>
      </c>
      <c r="DD21" s="535">
        <v>19.039899999999999</v>
      </c>
      <c r="DE21" s="535">
        <v>21.051100000000002</v>
      </c>
      <c r="DF21" s="535">
        <v>20.256699999999999</v>
      </c>
      <c r="DG21" s="516">
        <v>15</v>
      </c>
      <c r="DJ21" s="516">
        <v>15</v>
      </c>
      <c r="DK21" s="535">
        <v>14.555899999999999</v>
      </c>
      <c r="DL21" s="535">
        <v>14.916700000000001</v>
      </c>
      <c r="DM21" s="535">
        <v>15.4003</v>
      </c>
      <c r="DN21" s="535">
        <v>15.294700000000001</v>
      </c>
      <c r="DO21" s="535">
        <v>15.221299999999999</v>
      </c>
      <c r="DP21" s="535">
        <v>15.440899999999999</v>
      </c>
      <c r="DQ21" s="535">
        <v>15.740399999999999</v>
      </c>
      <c r="DR21" s="535">
        <v>16.297599999999999</v>
      </c>
      <c r="DS21" s="535">
        <v>16.8261</v>
      </c>
      <c r="DT21" s="535">
        <v>16.584800000000001</v>
      </c>
      <c r="DU21" s="535">
        <v>16.740600000000001</v>
      </c>
      <c r="DV21" s="535">
        <v>17.359200000000001</v>
      </c>
      <c r="DW21" s="516">
        <v>15</v>
      </c>
      <c r="DZ21" s="516">
        <v>15</v>
      </c>
      <c r="EA21" s="535">
        <v>12.988899999999999</v>
      </c>
      <c r="EB21" s="535">
        <v>13.332000000000001</v>
      </c>
      <c r="EC21" s="535">
        <v>13.2456</v>
      </c>
      <c r="ED21" s="535">
        <v>13.078799999999999</v>
      </c>
      <c r="EE21" s="535">
        <v>12.923400000000001</v>
      </c>
      <c r="EF21" s="535">
        <v>12.9815</v>
      </c>
      <c r="EG21" s="535">
        <v>12.984999999999999</v>
      </c>
      <c r="EH21" s="535">
        <v>13.1113</v>
      </c>
      <c r="EI21" s="535">
        <v>13.214399999999999</v>
      </c>
      <c r="EJ21" s="535">
        <v>13.420299999999999</v>
      </c>
      <c r="EK21" s="535">
        <v>13.599500000000001</v>
      </c>
      <c r="EL21" s="535">
        <v>14.5181</v>
      </c>
      <c r="EM21" s="516">
        <v>15</v>
      </c>
      <c r="EP21" s="516">
        <v>15</v>
      </c>
      <c r="EQ21" s="535">
        <v>12.6478</v>
      </c>
      <c r="ER21" s="535">
        <v>12.711600000000001</v>
      </c>
      <c r="ES21" s="535">
        <v>12.396699999999999</v>
      </c>
      <c r="ET21" s="535">
        <v>12.069100000000001</v>
      </c>
      <c r="EU21" s="535">
        <v>12.1448</v>
      </c>
      <c r="EV21" s="535">
        <v>12.7812</v>
      </c>
      <c r="EW21" s="535">
        <v>12.8599</v>
      </c>
      <c r="EX21" s="535">
        <v>12.7545</v>
      </c>
      <c r="EY21" s="535">
        <v>13.0854</v>
      </c>
      <c r="EZ21" s="535">
        <v>13.051399999999999</v>
      </c>
      <c r="FA21" s="535">
        <v>13.103</v>
      </c>
      <c r="FB21" s="535">
        <v>12.934200000000001</v>
      </c>
      <c r="FC21" s="516">
        <v>15</v>
      </c>
      <c r="FF21" s="516">
        <v>15</v>
      </c>
      <c r="FG21" s="535">
        <v>13.5982</v>
      </c>
      <c r="FH21" s="535">
        <v>12.7392</v>
      </c>
      <c r="FI21" s="535">
        <v>12.633599999999999</v>
      </c>
      <c r="FJ21" s="535">
        <v>13.073600000000001</v>
      </c>
      <c r="FK21" s="535">
        <v>13.492900000000001</v>
      </c>
      <c r="FL21" s="535">
        <v>13.97</v>
      </c>
      <c r="FM21" s="535">
        <v>13.4795</v>
      </c>
      <c r="FN21" s="535">
        <v>13.147399999999999</v>
      </c>
      <c r="FO21" s="535">
        <v>12.9749</v>
      </c>
      <c r="FP21" s="535">
        <v>12.879200000000001</v>
      </c>
      <c r="FQ21" s="535">
        <v>13.228400000000001</v>
      </c>
      <c r="FR21" s="535">
        <v>12.786899999999999</v>
      </c>
      <c r="FS21" s="516">
        <v>15</v>
      </c>
      <c r="FV21" s="516">
        <v>15</v>
      </c>
      <c r="FW21" s="535">
        <v>12.1028</v>
      </c>
      <c r="FX21" s="535">
        <v>12.063499999999999</v>
      </c>
      <c r="FY21" s="535">
        <v>11.944100000000001</v>
      </c>
      <c r="FZ21" s="535">
        <v>11.790699999999999</v>
      </c>
      <c r="GA21" s="535">
        <v>11.6656</v>
      </c>
      <c r="GB21" s="535">
        <v>11.868</v>
      </c>
      <c r="GC21" s="535">
        <v>11.717000000000001</v>
      </c>
      <c r="GD21" s="535">
        <v>12.389900000000001</v>
      </c>
      <c r="GE21" s="535">
        <v>12.8994</v>
      </c>
      <c r="GF21" s="535">
        <v>13.364699999999999</v>
      </c>
      <c r="GG21" s="535">
        <v>13.416499999999999</v>
      </c>
      <c r="GH21" s="535">
        <v>13.7714</v>
      </c>
      <c r="GI21" s="516">
        <v>15</v>
      </c>
      <c r="GL21" s="516">
        <v>15</v>
      </c>
      <c r="GM21" s="535">
        <v>12.7698</v>
      </c>
      <c r="GN21" s="535">
        <v>13.0609</v>
      </c>
      <c r="GO21" s="535">
        <v>12.619199999999999</v>
      </c>
      <c r="GP21" s="535">
        <v>12.212199999999999</v>
      </c>
      <c r="GQ21" s="535">
        <v>12.350099999999999</v>
      </c>
      <c r="GR21" s="535">
        <v>12.674799999999999</v>
      </c>
      <c r="GS21" s="535">
        <v>12.714</v>
      </c>
      <c r="GT21" s="535">
        <v>12.7258</v>
      </c>
      <c r="GU21" s="535">
        <v>12.8729</v>
      </c>
      <c r="GV21" s="535">
        <v>12.3683</v>
      </c>
      <c r="GW21" s="535">
        <v>12.259600000000001</v>
      </c>
      <c r="GX21" s="535">
        <v>12.386900000000001</v>
      </c>
      <c r="GY21" s="516">
        <v>15</v>
      </c>
      <c r="HB21" s="516">
        <v>15</v>
      </c>
      <c r="HC21" s="535">
        <v>13.839</v>
      </c>
      <c r="HD21" s="535">
        <v>14.6013</v>
      </c>
      <c r="HE21" s="535">
        <v>14.908300000000001</v>
      </c>
      <c r="HF21" s="535">
        <v>13.0914</v>
      </c>
      <c r="HG21" s="535">
        <v>13.3177</v>
      </c>
      <c r="HH21" s="535">
        <v>13.4581</v>
      </c>
      <c r="HI21" s="535">
        <v>13.810499999999999</v>
      </c>
      <c r="HJ21" s="535">
        <v>12.8658</v>
      </c>
      <c r="HK21" s="535">
        <v>13.3432</v>
      </c>
      <c r="HL21" s="535">
        <v>13.1774</v>
      </c>
      <c r="HM21" s="535">
        <v>13.206099999999999</v>
      </c>
      <c r="HN21" s="535">
        <v>12.9253</v>
      </c>
      <c r="HO21" s="516">
        <v>15</v>
      </c>
      <c r="HP21" s="536"/>
      <c r="HQ21" s="536"/>
      <c r="HR21" s="516">
        <v>15</v>
      </c>
      <c r="HS21" s="535">
        <v>10.931800000000001</v>
      </c>
      <c r="HT21" s="535">
        <v>10.7509</v>
      </c>
      <c r="HU21" s="535">
        <v>10.777799999999999</v>
      </c>
      <c r="HV21" s="535">
        <v>10.5337</v>
      </c>
      <c r="HW21" s="535">
        <v>10.483499999999999</v>
      </c>
      <c r="HX21" s="535">
        <v>10.395</v>
      </c>
      <c r="HY21" s="535">
        <v>10.311999999999999</v>
      </c>
      <c r="HZ21" s="535">
        <v>10.1968</v>
      </c>
      <c r="IA21" s="535">
        <v>10.6745</v>
      </c>
      <c r="IB21" s="535">
        <v>12.3743</v>
      </c>
      <c r="IC21" s="535">
        <v>13.1663</v>
      </c>
      <c r="ID21" s="535">
        <v>13.472200000000001</v>
      </c>
      <c r="IE21" s="516">
        <v>15</v>
      </c>
      <c r="IF21" s="536"/>
      <c r="IG21" s="536"/>
      <c r="IH21" s="516">
        <v>15</v>
      </c>
      <c r="II21" s="535">
        <v>10.965</v>
      </c>
      <c r="IJ21" s="535">
        <v>10.9915</v>
      </c>
      <c r="IK21" s="535">
        <v>11.172700000000001</v>
      </c>
      <c r="IL21" s="535">
        <v>11.013500000000001</v>
      </c>
      <c r="IM21" s="535">
        <v>10.8148</v>
      </c>
      <c r="IN21" s="535">
        <v>10.953799999999999</v>
      </c>
      <c r="IO21" s="535">
        <v>10.7799</v>
      </c>
      <c r="IP21" s="535">
        <v>10.9915</v>
      </c>
      <c r="IQ21" s="535">
        <v>11.074299999999999</v>
      </c>
      <c r="IR21" s="535">
        <v>10.8101</v>
      </c>
      <c r="IS21" s="535">
        <v>10.8941</v>
      </c>
      <c r="IT21" s="535">
        <v>10.8376</v>
      </c>
      <c r="IU21" s="516">
        <v>15</v>
      </c>
      <c r="IV21" s="536"/>
      <c r="IW21" s="536"/>
      <c r="IX21" s="516">
        <v>15</v>
      </c>
      <c r="IY21" s="535">
        <v>10.5732</v>
      </c>
      <c r="IZ21" s="535">
        <v>10.5258</v>
      </c>
      <c r="JA21" s="535">
        <v>10.7126</v>
      </c>
      <c r="JB21" s="535">
        <v>11.0708</v>
      </c>
      <c r="JC21" s="535">
        <v>10.838100000000001</v>
      </c>
      <c r="JD21" s="535">
        <v>11.432700000000001</v>
      </c>
      <c r="JE21" s="535">
        <v>11.052300000000001</v>
      </c>
      <c r="JF21" s="535">
        <v>10.8147</v>
      </c>
      <c r="JG21" s="535">
        <v>11.011699999999999</v>
      </c>
      <c r="JH21" s="535">
        <v>10.9406</v>
      </c>
      <c r="JI21" s="535">
        <v>10.926299999999999</v>
      </c>
      <c r="JJ21" s="535">
        <v>10.8255</v>
      </c>
      <c r="JK21" s="516">
        <v>15</v>
      </c>
      <c r="JL21" s="536"/>
      <c r="JM21" s="536"/>
      <c r="JN21" s="516">
        <v>15</v>
      </c>
      <c r="JO21" s="535">
        <v>11.1858</v>
      </c>
      <c r="JP21" s="535">
        <v>11.1532</v>
      </c>
      <c r="JQ21" s="535">
        <v>11.0223</v>
      </c>
      <c r="JR21" s="535">
        <v>11.061500000000001</v>
      </c>
      <c r="JS21" s="535">
        <v>11.0189</v>
      </c>
      <c r="JT21" s="535">
        <v>10.868</v>
      </c>
      <c r="JU21" s="535">
        <v>10.6898</v>
      </c>
      <c r="JV21" s="535">
        <v>10.5815</v>
      </c>
      <c r="JW21" s="535">
        <v>10.7456</v>
      </c>
      <c r="JX21" s="535">
        <v>10.940799999999999</v>
      </c>
      <c r="JY21" s="535">
        <v>10.683299999999999</v>
      </c>
      <c r="JZ21" s="535">
        <v>10.636799999999999</v>
      </c>
      <c r="KA21" s="516">
        <v>15</v>
      </c>
      <c r="KB21" s="536"/>
      <c r="KC21" s="536"/>
      <c r="KD21" s="516">
        <v>15</v>
      </c>
      <c r="KE21" s="535">
        <v>10.8369</v>
      </c>
      <c r="KF21" s="535">
        <v>10.9626</v>
      </c>
      <c r="KG21" s="535">
        <v>10.9633</v>
      </c>
      <c r="KH21" s="535">
        <v>11.270200000000001</v>
      </c>
      <c r="KI21" s="535">
        <v>11.6281</v>
      </c>
      <c r="KJ21" s="535">
        <v>11.3689</v>
      </c>
      <c r="KK21" s="535">
        <v>11.494899999999999</v>
      </c>
      <c r="KL21" s="535">
        <v>11.4414</v>
      </c>
      <c r="KM21" s="535">
        <v>11.576000000000001</v>
      </c>
      <c r="KN21" s="535">
        <v>11.302099999999999</v>
      </c>
      <c r="KO21" s="535">
        <v>11.399699999999999</v>
      </c>
      <c r="KP21" s="535">
        <v>11.304500000000001</v>
      </c>
      <c r="KQ21" s="516">
        <v>15</v>
      </c>
      <c r="KR21" s="536"/>
      <c r="KS21" s="536"/>
      <c r="KT21" s="516">
        <v>15</v>
      </c>
      <c r="KU21" s="535">
        <v>10.536799999999999</v>
      </c>
      <c r="KV21" s="535">
        <v>10.972300000000001</v>
      </c>
      <c r="KW21" s="535">
        <v>10.817299999999999</v>
      </c>
      <c r="KX21" s="535">
        <v>10.702</v>
      </c>
      <c r="KY21" s="535">
        <v>10.160500000000001</v>
      </c>
      <c r="KZ21" s="535">
        <v>10.577500000000001</v>
      </c>
      <c r="LA21" s="535">
        <v>10.4213</v>
      </c>
      <c r="LB21" s="535">
        <v>10.7562</v>
      </c>
      <c r="LC21" s="535">
        <v>10.973699999999999</v>
      </c>
      <c r="LD21" s="535">
        <v>11.1853</v>
      </c>
      <c r="LE21" s="535">
        <v>11.175700000000001</v>
      </c>
      <c r="LF21" s="535">
        <v>11.214499999999999</v>
      </c>
      <c r="LG21" s="516">
        <v>15</v>
      </c>
      <c r="LH21" s="536"/>
      <c r="LI21" s="536"/>
      <c r="LJ21" s="516">
        <v>15</v>
      </c>
      <c r="LK21" s="535">
        <v>9.2734000000000005</v>
      </c>
      <c r="LL21" s="535">
        <v>9.0607000000000006</v>
      </c>
      <c r="LM21" s="535">
        <v>9.1152999999999995</v>
      </c>
      <c r="LN21" s="535">
        <v>9.0770999999999997</v>
      </c>
      <c r="LO21" s="535">
        <v>9.4932999999999996</v>
      </c>
      <c r="LP21" s="535">
        <v>9.6532</v>
      </c>
      <c r="LQ21" s="535">
        <v>9.7979000000000003</v>
      </c>
      <c r="LR21" s="535">
        <v>9.9512</v>
      </c>
      <c r="LS21" s="535">
        <v>10.0023</v>
      </c>
      <c r="LT21" s="535">
        <v>10.1592</v>
      </c>
      <c r="LU21" s="535">
        <v>10.278700000000001</v>
      </c>
      <c r="LV21" s="535">
        <v>10.1785</v>
      </c>
      <c r="LW21" s="516">
        <v>15</v>
      </c>
      <c r="LX21" s="536"/>
      <c r="LY21" s="536"/>
      <c r="LZ21" s="516">
        <v>15</v>
      </c>
      <c r="MA21" s="535">
        <v>9.8547999999999991</v>
      </c>
      <c r="MB21" s="535">
        <v>9.7065000000000001</v>
      </c>
      <c r="MC21" s="535">
        <v>9.6319999999999997</v>
      </c>
      <c r="MD21" s="535">
        <v>9.3093000000000004</v>
      </c>
      <c r="ME21" s="535">
        <v>9.2249999999999996</v>
      </c>
      <c r="MF21" s="535">
        <v>9.1180000000000003</v>
      </c>
      <c r="MG21" s="535">
        <v>9.3420000000000005</v>
      </c>
      <c r="MH21" s="535">
        <v>9.0862999999999996</v>
      </c>
      <c r="MI21" s="535">
        <v>9.4748000000000001</v>
      </c>
      <c r="MJ21" s="535">
        <v>9.3397000000000006</v>
      </c>
      <c r="MK21" s="535">
        <v>9.2518999999999991</v>
      </c>
      <c r="ML21" s="535">
        <v>9.1204000000000001</v>
      </c>
      <c r="MM21" s="516">
        <v>15</v>
      </c>
      <c r="MN21" s="536"/>
      <c r="MO21" s="536"/>
      <c r="MP21" s="516">
        <v>15</v>
      </c>
      <c r="MQ21" s="535">
        <v>9.5056999999999992</v>
      </c>
      <c r="MR21" s="535">
        <v>9.4212000000000007</v>
      </c>
      <c r="MS21" s="535">
        <v>9.3338000000000001</v>
      </c>
      <c r="MT21" s="535">
        <v>9.3987999999999996</v>
      </c>
      <c r="MU21" s="535">
        <v>9.5768000000000004</v>
      </c>
      <c r="MV21" s="535">
        <v>9.7645</v>
      </c>
      <c r="MW21" s="535">
        <v>9.4367999999999999</v>
      </c>
      <c r="MX21" s="535">
        <v>9.2918000000000003</v>
      </c>
      <c r="MY21" s="535">
        <v>9.2859999999999996</v>
      </c>
      <c r="MZ21" s="535">
        <v>9.5192999999999994</v>
      </c>
      <c r="NA21" s="535">
        <v>9.5579999999999998</v>
      </c>
      <c r="NB21" s="535">
        <v>9.4497</v>
      </c>
      <c r="NC21" s="516">
        <v>15</v>
      </c>
      <c r="ND21" s="536"/>
      <c r="NE21" s="536"/>
      <c r="NF21" s="516">
        <v>15</v>
      </c>
      <c r="NG21" s="535">
        <v>10.6</v>
      </c>
      <c r="NH21" s="535">
        <v>9.9793000000000003</v>
      </c>
      <c r="NI21" s="535">
        <v>9.7479999999999993</v>
      </c>
      <c r="NJ21" s="535">
        <v>9.5058000000000007</v>
      </c>
      <c r="NK21" s="535">
        <v>9.2698</v>
      </c>
      <c r="NL21" s="535">
        <v>9.5451999999999995</v>
      </c>
      <c r="NM21" s="535">
        <v>9.4589999999999996</v>
      </c>
      <c r="NN21" s="535">
        <v>9.3533000000000008</v>
      </c>
      <c r="NO21" s="535">
        <v>9.3192000000000004</v>
      </c>
      <c r="NP21" s="535">
        <v>9.5190000000000001</v>
      </c>
      <c r="NQ21" s="535">
        <v>9.3856999999999999</v>
      </c>
      <c r="NR21" s="535">
        <v>9.4143000000000008</v>
      </c>
      <c r="NS21" s="516">
        <v>15</v>
      </c>
      <c r="NT21" s="536"/>
      <c r="NU21" s="536"/>
      <c r="NV21" s="516">
        <v>15</v>
      </c>
      <c r="NW21" s="535">
        <v>8.1628000000000007</v>
      </c>
      <c r="NX21" s="535">
        <v>8.4495000000000005</v>
      </c>
      <c r="NY21" s="535">
        <v>8.5672999999999995</v>
      </c>
      <c r="NZ21" s="535">
        <v>8.5129999999999999</v>
      </c>
      <c r="OA21" s="535">
        <v>8.5198</v>
      </c>
      <c r="OB21" s="535">
        <v>8.9609000000000005</v>
      </c>
      <c r="OC21" s="535">
        <v>8.9024999999999999</v>
      </c>
      <c r="OD21" s="535">
        <v>9.2324999999999999</v>
      </c>
      <c r="OE21" s="535">
        <v>10.5792</v>
      </c>
      <c r="OF21" s="535">
        <v>10.186299999999999</v>
      </c>
      <c r="OG21" s="535">
        <v>10.0563</v>
      </c>
      <c r="OH21" s="535">
        <v>9.9481999999999999</v>
      </c>
      <c r="OI21" s="516">
        <v>15</v>
      </c>
      <c r="OJ21" s="536"/>
      <c r="OK21" s="536"/>
      <c r="OL21" s="516">
        <v>15</v>
      </c>
      <c r="OM21" s="535">
        <v>7.8125</v>
      </c>
      <c r="ON21" s="535">
        <v>7.7897999999999996</v>
      </c>
      <c r="OO21" s="535">
        <v>7.9987000000000004</v>
      </c>
      <c r="OP21" s="535">
        <v>7.9222000000000001</v>
      </c>
      <c r="OQ21" s="535">
        <v>7.9065000000000003</v>
      </c>
      <c r="OR21" s="535">
        <v>7.9633000000000003</v>
      </c>
      <c r="OS21" s="535">
        <v>7.8525999999999998</v>
      </c>
      <c r="OT21" s="535">
        <v>7.7827999999999999</v>
      </c>
      <c r="OU21" s="535">
        <v>7.7847</v>
      </c>
      <c r="OV21" s="535">
        <v>7.7483000000000004</v>
      </c>
      <c r="OW21" s="535">
        <v>8.3800000000000008</v>
      </c>
      <c r="OX21" s="535">
        <v>8.1394000000000002</v>
      </c>
      <c r="OY21" s="516">
        <v>15</v>
      </c>
      <c r="OZ21" s="536"/>
      <c r="PA21" s="536"/>
      <c r="PB21" s="516">
        <v>15</v>
      </c>
      <c r="PC21" s="535">
        <v>7.5213000000000001</v>
      </c>
      <c r="PD21" s="535">
        <v>7.5688000000000004</v>
      </c>
      <c r="PE21" s="535">
        <v>7.5892999999999997</v>
      </c>
      <c r="PF21" s="535">
        <v>7.4989999999999997</v>
      </c>
      <c r="PG21" s="535">
        <v>7.4433999999999996</v>
      </c>
      <c r="PH21" s="535">
        <v>7.6342999999999996</v>
      </c>
      <c r="PI21" s="535">
        <v>7.6429</v>
      </c>
      <c r="PJ21" s="535">
        <v>7.4897</v>
      </c>
      <c r="PK21" s="535">
        <v>7.5416999999999996</v>
      </c>
      <c r="PL21" s="535">
        <v>7.6265000000000001</v>
      </c>
      <c r="PM21" s="535">
        <v>7.9215</v>
      </c>
      <c r="PN21" s="535">
        <v>7.8723000000000001</v>
      </c>
      <c r="PO21" s="516">
        <v>15</v>
      </c>
      <c r="PP21" s="536"/>
      <c r="PQ21" s="536"/>
      <c r="PR21" s="516">
        <v>15</v>
      </c>
      <c r="PS21" s="535">
        <v>5.6875</v>
      </c>
      <c r="PT21" s="535">
        <v>5.6150000000000002</v>
      </c>
      <c r="PU21" s="535">
        <v>6.47</v>
      </c>
      <c r="PV21" s="535">
        <v>6.3033000000000001</v>
      </c>
      <c r="PW21" s="535">
        <v>5.9082999999999997</v>
      </c>
      <c r="PX21" s="535">
        <v>6.1807999999999996</v>
      </c>
      <c r="PY21" s="535">
        <v>6.0282999999999998</v>
      </c>
      <c r="PZ21" s="535">
        <v>6.14</v>
      </c>
      <c r="QA21" s="535">
        <v>6.2743000000000002</v>
      </c>
      <c r="QB21" s="535">
        <v>6.7042000000000002</v>
      </c>
      <c r="QC21" s="535">
        <v>7.8724999999999996</v>
      </c>
      <c r="QD21" s="535">
        <v>7.7949999999999999</v>
      </c>
      <c r="QE21" s="516">
        <v>15</v>
      </c>
      <c r="QF21" s="536"/>
      <c r="QG21" s="536"/>
      <c r="QH21" s="516">
        <v>15</v>
      </c>
      <c r="QI21" s="535">
        <v>3.1061000000000001</v>
      </c>
      <c r="QJ21" s="535">
        <v>3.105</v>
      </c>
      <c r="QK21" s="535">
        <v>3.3025000000000002</v>
      </c>
      <c r="QL21" s="535">
        <v>3.3660000000000001</v>
      </c>
      <c r="QM21" s="535">
        <v>3.3325</v>
      </c>
      <c r="QN21" s="535">
        <v>3.3784000000000001</v>
      </c>
      <c r="QO21" s="535">
        <v>3.4026000000000001</v>
      </c>
      <c r="QP21" s="535">
        <v>3.3980000000000001</v>
      </c>
      <c r="QQ21" s="535">
        <v>3.4199000000000002</v>
      </c>
      <c r="QR21" s="535">
        <v>3.4136000000000002</v>
      </c>
      <c r="QS21" s="535">
        <v>3.4434999999999998</v>
      </c>
      <c r="QT21" s="535">
        <v>3.4584999999999999</v>
      </c>
      <c r="QU21" s="516">
        <v>15</v>
      </c>
      <c r="QV21" s="536"/>
      <c r="QW21" s="536"/>
      <c r="QX21" s="516">
        <v>15</v>
      </c>
      <c r="QY21" s="535">
        <v>3.113</v>
      </c>
      <c r="QZ21" s="535">
        <v>3.1009000000000002</v>
      </c>
      <c r="RA21" s="535">
        <v>3.1196999999999999</v>
      </c>
      <c r="RB21" s="535">
        <v>3.1006999999999998</v>
      </c>
      <c r="RC21" s="535">
        <v>3.1309999999999998</v>
      </c>
      <c r="RD21" s="535">
        <v>3.121</v>
      </c>
      <c r="RE21" s="535">
        <v>3.1284000000000001</v>
      </c>
      <c r="RF21" s="535">
        <v>3.1164999999999998</v>
      </c>
      <c r="RG21" s="535">
        <v>3.1118999999999999</v>
      </c>
      <c r="RH21" s="535">
        <v>3.1128999999999998</v>
      </c>
      <c r="RI21" s="535">
        <v>3.2162999999999999</v>
      </c>
      <c r="RJ21" s="535">
        <v>3.113</v>
      </c>
      <c r="RK21" s="516">
        <v>15</v>
      </c>
      <c r="RL21" s="536"/>
      <c r="RM21" s="536"/>
      <c r="RN21" s="516">
        <v>15</v>
      </c>
      <c r="RO21" s="535">
        <v>3.0661</v>
      </c>
      <c r="RP21" s="535">
        <v>3.0640000000000001</v>
      </c>
      <c r="RQ21" s="535">
        <v>3.0609999999999999</v>
      </c>
      <c r="RR21" s="535">
        <v>3.0625</v>
      </c>
      <c r="RS21" s="535">
        <v>3.0884999999999998</v>
      </c>
      <c r="RT21" s="535">
        <v>3.1191</v>
      </c>
      <c r="RU21" s="535">
        <v>3.1156000000000001</v>
      </c>
      <c r="RV21" s="535">
        <v>3.0733000000000001</v>
      </c>
      <c r="RW21" s="535">
        <v>3.0948000000000002</v>
      </c>
      <c r="RX21" s="535">
        <v>3.1219000000000001</v>
      </c>
      <c r="RY21" s="535">
        <v>3.1156000000000001</v>
      </c>
      <c r="RZ21" s="535">
        <v>3.1137000000000001</v>
      </c>
      <c r="SA21" s="516">
        <v>15</v>
      </c>
      <c r="SB21" s="536"/>
      <c r="SC21" s="536"/>
      <c r="SD21" s="516">
        <v>15</v>
      </c>
      <c r="SE21" s="535">
        <v>2.9510000000000001</v>
      </c>
      <c r="SF21" s="535">
        <v>2.9641999999999999</v>
      </c>
      <c r="SG21" s="535">
        <v>2.9754</v>
      </c>
      <c r="SH21" s="535">
        <v>2.9870000000000001</v>
      </c>
      <c r="SI21" s="535">
        <v>2.9998</v>
      </c>
      <c r="SJ21" s="535">
        <v>3.0122</v>
      </c>
      <c r="SK21" s="535">
        <v>3.0234000000000001</v>
      </c>
      <c r="SL21" s="535">
        <v>3.0366</v>
      </c>
      <c r="SM21" s="535">
        <v>3.0486</v>
      </c>
      <c r="SN21" s="535">
        <v>3.0617999999999999</v>
      </c>
      <c r="SO21" s="535">
        <v>3.0711499999999998</v>
      </c>
      <c r="SP21" s="535">
        <v>3.0629900000000001</v>
      </c>
      <c r="SQ21" s="516">
        <v>15</v>
      </c>
      <c r="SR21" s="536"/>
      <c r="SS21" s="536"/>
      <c r="ST21" s="516">
        <v>15</v>
      </c>
      <c r="SU21" s="535">
        <v>2.6549999999999998</v>
      </c>
      <c r="SV21" s="535">
        <v>2.6880000000000002</v>
      </c>
      <c r="SW21" s="535">
        <v>2.7160000000000002</v>
      </c>
      <c r="SX21" s="535">
        <v>2.746</v>
      </c>
      <c r="SY21" s="535">
        <v>2.7749999999999999</v>
      </c>
      <c r="SZ21" s="535">
        <v>2.8050000000000002</v>
      </c>
      <c r="TA21" s="535">
        <v>2.8281999999999998</v>
      </c>
      <c r="TB21" s="535">
        <v>2.8538000000000001</v>
      </c>
      <c r="TC21" s="535">
        <v>2.8786</v>
      </c>
      <c r="TD21" s="535">
        <v>2.9009999999999998</v>
      </c>
      <c r="TE21" s="535">
        <v>2.9274</v>
      </c>
      <c r="TF21" s="535">
        <v>2.9394</v>
      </c>
      <c r="TG21" s="516">
        <v>15</v>
      </c>
      <c r="TH21" s="536"/>
      <c r="TI21" s="536"/>
      <c r="TJ21" s="516">
        <v>15</v>
      </c>
      <c r="TK21" s="535">
        <v>2.2909999999999999</v>
      </c>
      <c r="TL21" s="535">
        <v>2.323</v>
      </c>
      <c r="TM21" s="535">
        <v>2.351</v>
      </c>
      <c r="TN21" s="535">
        <v>2.3820000000000001</v>
      </c>
      <c r="TO21" s="535">
        <v>2.41</v>
      </c>
      <c r="TP21" s="535">
        <v>2.4430000000000001</v>
      </c>
      <c r="TQ21" s="535">
        <v>2.4729999999999999</v>
      </c>
      <c r="TR21" s="535">
        <v>2.5019999999999998</v>
      </c>
      <c r="TS21" s="535">
        <v>2.5350000000000001</v>
      </c>
      <c r="TT21" s="535">
        <v>2.5640000000000001</v>
      </c>
      <c r="TU21" s="535">
        <v>2.5960000000000001</v>
      </c>
      <c r="TV21" s="535">
        <v>2.6259999999999999</v>
      </c>
      <c r="TW21" s="516">
        <v>15</v>
      </c>
    </row>
    <row r="22" spans="2:543" s="4" customFormat="1" ht="23" customHeight="1">
      <c r="B22" s="516">
        <v>16</v>
      </c>
      <c r="C22" s="549">
        <v>20.360700000000001</v>
      </c>
      <c r="D22" s="549">
        <v>20.411000000000001</v>
      </c>
      <c r="E22" s="549">
        <v>20.890799999999999</v>
      </c>
      <c r="F22" s="549">
        <v>19.840699999999998</v>
      </c>
      <c r="G22" s="549">
        <v>20.32</v>
      </c>
      <c r="H22" s="549">
        <v>20.658300000000001</v>
      </c>
      <c r="I22" s="549">
        <v>20.941500000000001</v>
      </c>
      <c r="J22" s="549">
        <v>19.873999999999999</v>
      </c>
      <c r="K22" s="549">
        <v>19.976800000000001</v>
      </c>
      <c r="L22" s="549">
        <v>20.0398</v>
      </c>
      <c r="M22" s="662">
        <f t="shared" si="9"/>
        <v>19.746300000000002</v>
      </c>
      <c r="N22" s="662">
        <f t="shared" si="8"/>
        <v>19.746300000000002</v>
      </c>
      <c r="O22" s="516">
        <v>16</v>
      </c>
      <c r="R22" s="516">
        <v>16</v>
      </c>
      <c r="S22" s="549">
        <v>19.779299999999999</v>
      </c>
      <c r="T22" s="549">
        <v>19.962199999999999</v>
      </c>
      <c r="U22" s="549">
        <v>20.7133</v>
      </c>
      <c r="V22" s="549">
        <v>20.058299999999999</v>
      </c>
      <c r="W22" s="549">
        <v>20.049499999999998</v>
      </c>
      <c r="X22" s="549">
        <v>19.906500000000001</v>
      </c>
      <c r="Y22" s="549">
        <v>19.8992</v>
      </c>
      <c r="Z22" s="549">
        <v>19.890699999999999</v>
      </c>
      <c r="AA22" s="549">
        <v>19.903500000000001</v>
      </c>
      <c r="AB22" s="549">
        <v>20.607500000000002</v>
      </c>
      <c r="AC22" s="549">
        <v>20.465199999999999</v>
      </c>
      <c r="AD22" s="549">
        <v>21.164999999999999</v>
      </c>
      <c r="AE22" s="516">
        <v>16</v>
      </c>
      <c r="AH22" s="516">
        <v>16</v>
      </c>
      <c r="AI22" s="549">
        <v>18.812000000000001</v>
      </c>
      <c r="AJ22" s="549">
        <v>18.645800000000001</v>
      </c>
      <c r="AK22" s="549">
        <v>22.151800000000001</v>
      </c>
      <c r="AL22" s="549">
        <v>23.564499999999999</v>
      </c>
      <c r="AM22" s="549">
        <v>24.270800000000001</v>
      </c>
      <c r="AN22" s="549">
        <v>22.334700000000002</v>
      </c>
      <c r="AO22" s="549">
        <v>22.6173</v>
      </c>
      <c r="AP22" s="549">
        <v>22.262799999999999</v>
      </c>
      <c r="AQ22" s="549">
        <v>21.072800000000001</v>
      </c>
      <c r="AR22" s="549">
        <v>21.299800000000001</v>
      </c>
      <c r="AS22" s="549">
        <v>20.5303</v>
      </c>
      <c r="AT22" s="549">
        <v>20.177800000000001</v>
      </c>
      <c r="AU22" s="516">
        <v>16</v>
      </c>
      <c r="AX22" s="516">
        <v>16</v>
      </c>
      <c r="AY22" s="535">
        <v>19.006399999999999</v>
      </c>
      <c r="AZ22" s="535">
        <v>19.3569</v>
      </c>
      <c r="BA22" s="535">
        <v>19.3233</v>
      </c>
      <c r="BB22" s="535">
        <v>18.771899999999999</v>
      </c>
      <c r="BC22" s="535">
        <v>19.142700000000001</v>
      </c>
      <c r="BD22" s="535">
        <v>19.1645</v>
      </c>
      <c r="BE22" s="535">
        <v>19.0307</v>
      </c>
      <c r="BF22" s="535">
        <v>19.5763</v>
      </c>
      <c r="BG22" s="535">
        <v>19.426500000000001</v>
      </c>
      <c r="BH22" s="535">
        <v>19.2652</v>
      </c>
      <c r="BI22" s="535">
        <v>19.422799999999999</v>
      </c>
      <c r="BJ22" s="535">
        <v>19.1785</v>
      </c>
      <c r="BK22" s="516">
        <v>16</v>
      </c>
      <c r="BN22" s="516">
        <v>16</v>
      </c>
      <c r="BO22" s="535">
        <v>19.044599999999999</v>
      </c>
      <c r="BP22" s="535">
        <v>18.602499999999999</v>
      </c>
      <c r="BQ22" s="537">
        <v>18.5854</v>
      </c>
      <c r="BR22" s="535">
        <v>18.135300000000001</v>
      </c>
      <c r="BS22" s="535">
        <v>19.5214</v>
      </c>
      <c r="BT22" s="535">
        <v>20.6953</v>
      </c>
      <c r="BU22" s="535">
        <v>18.824100000000001</v>
      </c>
      <c r="BV22" s="535">
        <v>18.997299999999999</v>
      </c>
      <c r="BW22" s="535">
        <v>18.877500000000001</v>
      </c>
      <c r="BX22" s="535">
        <v>18.920200000000001</v>
      </c>
      <c r="BY22" s="535">
        <v>20.3979</v>
      </c>
      <c r="BZ22" s="535">
        <v>20.256599999999999</v>
      </c>
      <c r="CA22" s="516">
        <v>16</v>
      </c>
      <c r="CD22" s="516">
        <v>16</v>
      </c>
      <c r="CE22" s="535">
        <v>21.720400000000001</v>
      </c>
      <c r="CF22" s="535">
        <v>20.3507</v>
      </c>
      <c r="CG22" s="535">
        <v>19.654299999999999</v>
      </c>
      <c r="CH22" s="535">
        <v>18.764600000000002</v>
      </c>
      <c r="CI22" s="535">
        <v>18.759399999999999</v>
      </c>
      <c r="CJ22" s="535">
        <v>17.9343</v>
      </c>
      <c r="CK22" s="535">
        <v>17.7422</v>
      </c>
      <c r="CL22" s="535">
        <v>17.775500000000001</v>
      </c>
      <c r="CM22" s="535">
        <v>17.727799999999998</v>
      </c>
      <c r="CN22" s="535">
        <v>18.763100000000001</v>
      </c>
      <c r="CO22" s="535">
        <v>19.133400000000002</v>
      </c>
      <c r="CP22" s="535">
        <v>19.120200000000001</v>
      </c>
      <c r="CQ22" s="516">
        <v>16</v>
      </c>
      <c r="CT22" s="516">
        <v>16</v>
      </c>
      <c r="CU22" s="535">
        <v>17.912099999999999</v>
      </c>
      <c r="CV22" s="535">
        <v>19.039200000000001</v>
      </c>
      <c r="CW22" s="535">
        <v>17.769100000000002</v>
      </c>
      <c r="CX22" s="535">
        <v>17.388000000000002</v>
      </c>
      <c r="CY22" s="535">
        <v>17.991499999999998</v>
      </c>
      <c r="CZ22" s="535">
        <v>18.981400000000001</v>
      </c>
      <c r="DA22" s="535">
        <v>18.306100000000001</v>
      </c>
      <c r="DB22" s="535">
        <v>18.2455</v>
      </c>
      <c r="DC22" s="535">
        <v>19.227499999999999</v>
      </c>
      <c r="DD22" s="535">
        <v>19.039899999999999</v>
      </c>
      <c r="DE22" s="535">
        <v>20.872900000000001</v>
      </c>
      <c r="DF22" s="535">
        <v>20.2226</v>
      </c>
      <c r="DG22" s="516">
        <v>16</v>
      </c>
      <c r="DJ22" s="516">
        <v>16</v>
      </c>
      <c r="DK22" s="535">
        <v>14.564399999999999</v>
      </c>
      <c r="DL22" s="535">
        <v>14.916700000000001</v>
      </c>
      <c r="DM22" s="535">
        <v>15.4003</v>
      </c>
      <c r="DN22" s="535">
        <v>15.2339</v>
      </c>
      <c r="DO22" s="535">
        <v>15.1235</v>
      </c>
      <c r="DP22" s="535">
        <v>15.4129</v>
      </c>
      <c r="DQ22" s="535">
        <v>15.672800000000001</v>
      </c>
      <c r="DR22" s="535">
        <v>16.297599999999999</v>
      </c>
      <c r="DS22" s="535">
        <v>16.816800000000001</v>
      </c>
      <c r="DT22" s="535">
        <v>16.580400000000001</v>
      </c>
      <c r="DU22" s="535">
        <v>16.740600000000001</v>
      </c>
      <c r="DV22" s="535">
        <v>17.377600000000001</v>
      </c>
      <c r="DW22" s="516">
        <v>16</v>
      </c>
      <c r="DZ22" s="516">
        <v>16</v>
      </c>
      <c r="EA22" s="535">
        <v>13.095599999999999</v>
      </c>
      <c r="EB22" s="535">
        <v>13.332000000000001</v>
      </c>
      <c r="EC22" s="535">
        <v>13.2456</v>
      </c>
      <c r="ED22" s="535">
        <v>13.049300000000001</v>
      </c>
      <c r="EE22" s="535">
        <v>12.8993</v>
      </c>
      <c r="EF22" s="535">
        <v>12.9815</v>
      </c>
      <c r="EG22" s="535">
        <v>12.9755</v>
      </c>
      <c r="EH22" s="535">
        <v>13.0717</v>
      </c>
      <c r="EI22" s="535">
        <v>13.2644</v>
      </c>
      <c r="EJ22" s="535">
        <v>13.4094</v>
      </c>
      <c r="EK22" s="535">
        <v>13.599500000000001</v>
      </c>
      <c r="EL22" s="535">
        <v>14.6648</v>
      </c>
      <c r="EM22" s="516">
        <v>16</v>
      </c>
      <c r="EP22" s="516">
        <v>16</v>
      </c>
      <c r="EQ22" s="535">
        <v>12.6533</v>
      </c>
      <c r="ER22" s="535">
        <v>12.6982</v>
      </c>
      <c r="ES22" s="535">
        <v>12.454499999999999</v>
      </c>
      <c r="ET22" s="535">
        <v>12.0824</v>
      </c>
      <c r="EU22" s="535">
        <v>12.1485</v>
      </c>
      <c r="EV22" s="535">
        <v>12.7812</v>
      </c>
      <c r="EW22" s="535">
        <v>12.823399999999999</v>
      </c>
      <c r="EX22" s="535">
        <v>12.7255</v>
      </c>
      <c r="EY22" s="535">
        <v>13.0854</v>
      </c>
      <c r="EZ22" s="535">
        <v>13.049200000000001</v>
      </c>
      <c r="FA22" s="535">
        <v>13.017300000000001</v>
      </c>
      <c r="FB22" s="535">
        <v>12.934200000000001</v>
      </c>
      <c r="FC22" s="516">
        <v>16</v>
      </c>
      <c r="FF22" s="516">
        <v>16</v>
      </c>
      <c r="FG22" s="535">
        <v>13.5982</v>
      </c>
      <c r="FH22" s="535">
        <v>12.7753</v>
      </c>
      <c r="FI22" s="535">
        <v>12.671900000000001</v>
      </c>
      <c r="FJ22" s="535">
        <v>13.073600000000001</v>
      </c>
      <c r="FK22" s="535">
        <v>13.6739</v>
      </c>
      <c r="FL22" s="535">
        <v>13.997400000000001</v>
      </c>
      <c r="FM22" s="535">
        <v>13.4795</v>
      </c>
      <c r="FN22" s="535">
        <v>13.1311</v>
      </c>
      <c r="FO22" s="535">
        <v>12.9749</v>
      </c>
      <c r="FP22" s="535">
        <v>12.8901</v>
      </c>
      <c r="FQ22" s="535">
        <v>13.235300000000001</v>
      </c>
      <c r="FR22" s="535">
        <v>12.786899999999999</v>
      </c>
      <c r="FS22" s="516">
        <v>16</v>
      </c>
      <c r="FV22" s="516">
        <v>16</v>
      </c>
      <c r="FW22" s="535">
        <v>12.1028</v>
      </c>
      <c r="FX22" s="535">
        <v>12.046099999999999</v>
      </c>
      <c r="FY22" s="535">
        <v>11.923500000000001</v>
      </c>
      <c r="FZ22" s="535">
        <v>11.767899999999999</v>
      </c>
      <c r="GA22" s="535">
        <v>11.6656</v>
      </c>
      <c r="GB22" s="535">
        <v>11.7982</v>
      </c>
      <c r="GC22" s="535">
        <v>11.701000000000001</v>
      </c>
      <c r="GD22" s="535">
        <v>12.299200000000001</v>
      </c>
      <c r="GE22" s="535">
        <v>12.964600000000001</v>
      </c>
      <c r="GF22" s="535">
        <v>13.364699999999999</v>
      </c>
      <c r="GG22" s="535">
        <v>13.5122</v>
      </c>
      <c r="GH22" s="535">
        <v>13.9412</v>
      </c>
      <c r="GI22" s="516">
        <v>16</v>
      </c>
      <c r="GL22" s="516">
        <v>16</v>
      </c>
      <c r="GM22" s="535">
        <v>12.7364</v>
      </c>
      <c r="GN22" s="535">
        <v>12.9764</v>
      </c>
      <c r="GO22" s="535">
        <v>12.619199999999999</v>
      </c>
      <c r="GP22" s="535">
        <v>12.182700000000001</v>
      </c>
      <c r="GQ22" s="535">
        <v>12.350099999999999</v>
      </c>
      <c r="GR22" s="535">
        <v>12.5974</v>
      </c>
      <c r="GS22" s="535">
        <v>12.717599999999999</v>
      </c>
      <c r="GT22" s="535">
        <v>12.7258</v>
      </c>
      <c r="GU22" s="535">
        <v>12.8355</v>
      </c>
      <c r="GV22" s="535">
        <v>12.4101</v>
      </c>
      <c r="GW22" s="535">
        <v>12.259600000000001</v>
      </c>
      <c r="GX22" s="535">
        <v>12.3703</v>
      </c>
      <c r="GY22" s="516">
        <v>16</v>
      </c>
      <c r="HB22" s="516">
        <v>16</v>
      </c>
      <c r="HC22" s="535">
        <v>14.1083</v>
      </c>
      <c r="HD22" s="535">
        <v>14.6013</v>
      </c>
      <c r="HE22" s="535">
        <v>14.908300000000001</v>
      </c>
      <c r="HF22" s="535">
        <v>13.086</v>
      </c>
      <c r="HG22" s="535">
        <v>13.298299999999999</v>
      </c>
      <c r="HH22" s="535">
        <v>13.399699999999999</v>
      </c>
      <c r="HI22" s="535">
        <v>13.7645</v>
      </c>
      <c r="HJ22" s="535">
        <v>12.8658</v>
      </c>
      <c r="HK22" s="535">
        <v>13.389200000000001</v>
      </c>
      <c r="HL22" s="535">
        <v>13.0779</v>
      </c>
      <c r="HM22" s="535">
        <v>13.206099999999999</v>
      </c>
      <c r="HN22" s="535">
        <v>12.810499999999999</v>
      </c>
      <c r="HO22" s="516">
        <v>16</v>
      </c>
      <c r="HP22" s="536"/>
      <c r="HQ22" s="536"/>
      <c r="HR22" s="516">
        <v>16</v>
      </c>
      <c r="HS22" s="535">
        <v>10.914</v>
      </c>
      <c r="HT22" s="535">
        <v>10.741300000000001</v>
      </c>
      <c r="HU22" s="535">
        <v>10.777799999999999</v>
      </c>
      <c r="HV22" s="535">
        <v>10.491899999999999</v>
      </c>
      <c r="HW22" s="535">
        <v>10.4884</v>
      </c>
      <c r="HX22" s="535">
        <v>10.395</v>
      </c>
      <c r="HY22" s="535">
        <v>10.2925</v>
      </c>
      <c r="HZ22" s="535">
        <v>10.1586</v>
      </c>
      <c r="IA22" s="535">
        <v>10.582800000000001</v>
      </c>
      <c r="IB22" s="535">
        <v>12.345000000000001</v>
      </c>
      <c r="IC22" s="535">
        <v>13.1663</v>
      </c>
      <c r="ID22" s="535">
        <v>13.1821</v>
      </c>
      <c r="IE22" s="516">
        <v>16</v>
      </c>
      <c r="IF22" s="536"/>
      <c r="IG22" s="536"/>
      <c r="IH22" s="516">
        <v>16</v>
      </c>
      <c r="II22" s="535">
        <v>10.9765</v>
      </c>
      <c r="IJ22" s="535">
        <v>10.9152</v>
      </c>
      <c r="IK22" s="535">
        <v>11.1867</v>
      </c>
      <c r="IL22" s="535">
        <v>11.013500000000001</v>
      </c>
      <c r="IM22" s="535">
        <v>10.7987</v>
      </c>
      <c r="IN22" s="535">
        <v>10.901199999999999</v>
      </c>
      <c r="IO22" s="535">
        <v>10.7799</v>
      </c>
      <c r="IP22" s="535">
        <v>11.0549</v>
      </c>
      <c r="IQ22" s="535">
        <v>11.074299999999999</v>
      </c>
      <c r="IR22" s="535">
        <v>10.825200000000001</v>
      </c>
      <c r="IS22" s="535">
        <v>10.868499999999999</v>
      </c>
      <c r="IT22" s="535">
        <v>10.8376</v>
      </c>
      <c r="IU22" s="516">
        <v>16</v>
      </c>
      <c r="IV22" s="536"/>
      <c r="IW22" s="536"/>
      <c r="IX22" s="516">
        <v>16</v>
      </c>
      <c r="IY22" s="535">
        <v>10.5732</v>
      </c>
      <c r="IZ22" s="535">
        <v>10.524900000000001</v>
      </c>
      <c r="JA22" s="535">
        <v>10.6942</v>
      </c>
      <c r="JB22" s="535">
        <v>11.0708</v>
      </c>
      <c r="JC22" s="535">
        <v>11.032500000000001</v>
      </c>
      <c r="JD22" s="535">
        <v>11.4527</v>
      </c>
      <c r="JE22" s="535">
        <v>11.052300000000001</v>
      </c>
      <c r="JF22" s="535">
        <v>10.8028</v>
      </c>
      <c r="JG22" s="535">
        <v>10.9818</v>
      </c>
      <c r="JH22" s="535">
        <v>10.9406</v>
      </c>
      <c r="JI22" s="535">
        <v>10.8675</v>
      </c>
      <c r="JJ22" s="535">
        <v>10.792199999999999</v>
      </c>
      <c r="JK22" s="516">
        <v>16</v>
      </c>
      <c r="JL22" s="536"/>
      <c r="JM22" s="536"/>
      <c r="JN22" s="516">
        <v>16</v>
      </c>
      <c r="JO22" s="535">
        <v>11.1858</v>
      </c>
      <c r="JP22" s="535">
        <v>11.155799999999999</v>
      </c>
      <c r="JQ22" s="535">
        <v>11.135</v>
      </c>
      <c r="JR22" s="535">
        <v>11.103199999999999</v>
      </c>
      <c r="JS22" s="535">
        <v>11.0189</v>
      </c>
      <c r="JT22" s="535">
        <v>10.8392</v>
      </c>
      <c r="JU22" s="535">
        <v>10.6372</v>
      </c>
      <c r="JV22" s="535">
        <v>10.6343</v>
      </c>
      <c r="JW22" s="535">
        <v>10.8355</v>
      </c>
      <c r="JX22" s="535">
        <v>10.940799999999999</v>
      </c>
      <c r="JY22" s="535">
        <v>10.6897</v>
      </c>
      <c r="JZ22" s="535">
        <v>10.693099999999999</v>
      </c>
      <c r="KA22" s="516">
        <v>16</v>
      </c>
      <c r="KB22" s="536"/>
      <c r="KC22" s="536"/>
      <c r="KD22" s="516">
        <v>16</v>
      </c>
      <c r="KE22" s="535">
        <v>10.8231</v>
      </c>
      <c r="KF22" s="535">
        <v>10.9626</v>
      </c>
      <c r="KG22" s="535">
        <v>10.963800000000001</v>
      </c>
      <c r="KH22" s="535">
        <v>11.284800000000001</v>
      </c>
      <c r="KI22" s="535">
        <v>11.6281</v>
      </c>
      <c r="KJ22" s="535">
        <v>11.432700000000001</v>
      </c>
      <c r="KK22" s="535">
        <v>11.4552</v>
      </c>
      <c r="KL22" s="535">
        <v>11.4414</v>
      </c>
      <c r="KM22" s="535">
        <v>11.585100000000001</v>
      </c>
      <c r="KN22" s="535">
        <v>11.3195</v>
      </c>
      <c r="KO22" s="535">
        <v>11.381</v>
      </c>
      <c r="KP22" s="535">
        <v>11.2903</v>
      </c>
      <c r="KQ22" s="516">
        <v>16</v>
      </c>
      <c r="KR22" s="536"/>
      <c r="KS22" s="536"/>
      <c r="KT22" s="516">
        <v>16</v>
      </c>
      <c r="KU22" s="535">
        <v>10.5274</v>
      </c>
      <c r="KV22" s="535">
        <v>10.972300000000001</v>
      </c>
      <c r="KW22" s="535">
        <v>10.817299999999999</v>
      </c>
      <c r="KX22" s="535">
        <v>10.610200000000001</v>
      </c>
      <c r="KY22" s="535">
        <v>10.142799999999999</v>
      </c>
      <c r="KZ22" s="535">
        <v>10.577500000000001</v>
      </c>
      <c r="LA22" s="535">
        <v>10.382099999999999</v>
      </c>
      <c r="LB22" s="535">
        <v>10.696099999999999</v>
      </c>
      <c r="LC22" s="535">
        <v>10.9793</v>
      </c>
      <c r="LD22" s="535">
        <v>11.2347</v>
      </c>
      <c r="LE22" s="535">
        <v>11.175700000000001</v>
      </c>
      <c r="LF22" s="535">
        <v>11.1877</v>
      </c>
      <c r="LG22" s="516">
        <v>16</v>
      </c>
      <c r="LH22" s="536"/>
      <c r="LI22" s="536"/>
      <c r="LJ22" s="516">
        <v>16</v>
      </c>
      <c r="LK22" s="535">
        <v>9.1922999999999995</v>
      </c>
      <c r="LL22" s="535">
        <v>9.0838000000000001</v>
      </c>
      <c r="LM22" s="535">
        <v>9.1181999999999999</v>
      </c>
      <c r="LN22" s="535">
        <v>9.0748999999999995</v>
      </c>
      <c r="LO22" s="535">
        <v>9.5204000000000004</v>
      </c>
      <c r="LP22" s="535">
        <v>9.6532</v>
      </c>
      <c r="LQ22" s="535">
        <v>9.7072000000000003</v>
      </c>
      <c r="LR22" s="535">
        <v>9.9667999999999992</v>
      </c>
      <c r="LS22" s="535">
        <v>10.0023</v>
      </c>
      <c r="LT22" s="535">
        <v>10.1084</v>
      </c>
      <c r="LU22" s="535">
        <v>10.209199999999999</v>
      </c>
      <c r="LV22" s="535">
        <v>10.1785</v>
      </c>
      <c r="LW22" s="516">
        <v>16</v>
      </c>
      <c r="LX22" s="536"/>
      <c r="LY22" s="536"/>
      <c r="LZ22" s="516">
        <v>16</v>
      </c>
      <c r="MA22" s="535">
        <v>9.8797999999999995</v>
      </c>
      <c r="MB22" s="535">
        <v>9.7218999999999998</v>
      </c>
      <c r="MC22" s="535">
        <v>9.5760000000000005</v>
      </c>
      <c r="MD22" s="535">
        <v>9.3093000000000004</v>
      </c>
      <c r="ME22" s="535">
        <v>9.1921999999999997</v>
      </c>
      <c r="MF22" s="535">
        <v>9.0523000000000007</v>
      </c>
      <c r="MG22" s="535">
        <v>9.3420000000000005</v>
      </c>
      <c r="MH22" s="535">
        <v>9.1205999999999996</v>
      </c>
      <c r="MI22" s="535">
        <v>9.4748000000000001</v>
      </c>
      <c r="MJ22" s="535">
        <v>9.3537999999999997</v>
      </c>
      <c r="MK22" s="535">
        <v>9.2362000000000002</v>
      </c>
      <c r="ML22" s="535">
        <v>9.1204000000000001</v>
      </c>
      <c r="MM22" s="516">
        <v>16</v>
      </c>
      <c r="MN22" s="536"/>
      <c r="MO22" s="536"/>
      <c r="MP22" s="516">
        <v>16</v>
      </c>
      <c r="MQ22" s="535">
        <v>9.5056999999999992</v>
      </c>
      <c r="MR22" s="535">
        <v>9.3987999999999996</v>
      </c>
      <c r="MS22" s="535">
        <v>9.3126999999999995</v>
      </c>
      <c r="MT22" s="535">
        <v>9.3987999999999996</v>
      </c>
      <c r="MU22" s="535">
        <v>9.5661000000000005</v>
      </c>
      <c r="MV22" s="535">
        <v>9.7879000000000005</v>
      </c>
      <c r="MW22" s="535">
        <v>9.4367999999999999</v>
      </c>
      <c r="MX22" s="535">
        <v>9.2515999999999998</v>
      </c>
      <c r="MY22" s="535">
        <v>9.3125</v>
      </c>
      <c r="MZ22" s="535">
        <v>9.5192999999999994</v>
      </c>
      <c r="NA22" s="535">
        <v>9.4962999999999997</v>
      </c>
      <c r="NB22" s="535">
        <v>9.4126999999999992</v>
      </c>
      <c r="NC22" s="516">
        <v>16</v>
      </c>
      <c r="ND22" s="536"/>
      <c r="NE22" s="536"/>
      <c r="NF22" s="516">
        <v>16</v>
      </c>
      <c r="NG22" s="535">
        <v>10.5383</v>
      </c>
      <c r="NH22" s="535">
        <v>9.9486000000000008</v>
      </c>
      <c r="NI22" s="535">
        <v>9.7527000000000008</v>
      </c>
      <c r="NJ22" s="535">
        <v>9.5084999999999997</v>
      </c>
      <c r="NK22" s="535">
        <v>9.2698</v>
      </c>
      <c r="NL22" s="535">
        <v>9.5767000000000007</v>
      </c>
      <c r="NM22" s="535">
        <v>9.3388000000000009</v>
      </c>
      <c r="NN22" s="535">
        <v>9.3533000000000008</v>
      </c>
      <c r="NO22" s="535">
        <v>9.3323</v>
      </c>
      <c r="NP22" s="535">
        <v>9.6308000000000007</v>
      </c>
      <c r="NQ22" s="535">
        <v>9.3787000000000003</v>
      </c>
      <c r="NR22" s="535">
        <v>9.4109999999999996</v>
      </c>
      <c r="NS22" s="516">
        <v>16</v>
      </c>
      <c r="NT22" s="536"/>
      <c r="NU22" s="536"/>
      <c r="NV22" s="516">
        <v>16</v>
      </c>
      <c r="NW22" s="535">
        <v>8.1661999999999999</v>
      </c>
      <c r="NX22" s="535">
        <v>8.4495000000000005</v>
      </c>
      <c r="NY22" s="535">
        <v>8.5672999999999995</v>
      </c>
      <c r="NZ22" s="535">
        <v>8.4928000000000008</v>
      </c>
      <c r="OA22" s="535">
        <v>8.5068999999999999</v>
      </c>
      <c r="OB22" s="535">
        <v>9.0463000000000005</v>
      </c>
      <c r="OC22" s="535">
        <v>8.8547999999999991</v>
      </c>
      <c r="OD22" s="535">
        <v>9.2324999999999999</v>
      </c>
      <c r="OE22" s="535">
        <v>10.523300000000001</v>
      </c>
      <c r="OF22" s="535">
        <v>10.18</v>
      </c>
      <c r="OG22" s="535">
        <v>10.0563</v>
      </c>
      <c r="OH22" s="535">
        <v>9.9490999999999996</v>
      </c>
      <c r="OI22" s="516">
        <v>16</v>
      </c>
      <c r="OJ22" s="536"/>
      <c r="OK22" s="536"/>
      <c r="OL22" s="516">
        <v>16</v>
      </c>
      <c r="OM22" s="535">
        <v>7.8005000000000004</v>
      </c>
      <c r="ON22" s="535">
        <v>7.7897999999999996</v>
      </c>
      <c r="OO22" s="535">
        <v>7.9987000000000004</v>
      </c>
      <c r="OP22" s="535">
        <v>7.9063999999999997</v>
      </c>
      <c r="OQ22" s="535">
        <v>7.8925000000000001</v>
      </c>
      <c r="OR22" s="535">
        <v>7.9633000000000003</v>
      </c>
      <c r="OS22" s="535">
        <v>7.8693</v>
      </c>
      <c r="OT22" s="535">
        <v>7.766</v>
      </c>
      <c r="OU22" s="535">
        <v>7.7793999999999999</v>
      </c>
      <c r="OV22" s="535">
        <v>7.7427000000000001</v>
      </c>
      <c r="OW22" s="535">
        <v>8.3800000000000008</v>
      </c>
      <c r="OX22" s="535">
        <v>8.1997999999999998</v>
      </c>
      <c r="OY22" s="516">
        <v>16</v>
      </c>
      <c r="OZ22" s="536"/>
      <c r="PA22" s="536"/>
      <c r="PB22" s="516">
        <v>16</v>
      </c>
      <c r="PC22" s="535">
        <v>7.4679000000000002</v>
      </c>
      <c r="PD22" s="535">
        <v>7.5297999999999998</v>
      </c>
      <c r="PE22" s="535">
        <v>7.5616000000000003</v>
      </c>
      <c r="PF22" s="535">
        <v>7.4995000000000003</v>
      </c>
      <c r="PG22" s="535">
        <v>7.4074999999999998</v>
      </c>
      <c r="PH22" s="535">
        <v>7.6342999999999996</v>
      </c>
      <c r="PI22" s="535">
        <v>7.6390000000000002</v>
      </c>
      <c r="PJ22" s="535">
        <v>7.4867999999999997</v>
      </c>
      <c r="PK22" s="535">
        <v>7.5416999999999996</v>
      </c>
      <c r="PL22" s="535">
        <v>7.6923000000000004</v>
      </c>
      <c r="PM22" s="535">
        <v>7.9181999999999997</v>
      </c>
      <c r="PN22" s="535">
        <v>7.8723000000000001</v>
      </c>
      <c r="PO22" s="516">
        <v>16</v>
      </c>
      <c r="PP22" s="536"/>
      <c r="PQ22" s="536"/>
      <c r="PR22" s="516">
        <v>16</v>
      </c>
      <c r="PS22" s="535">
        <v>5.6875</v>
      </c>
      <c r="PT22" s="535">
        <v>5.7675000000000001</v>
      </c>
      <c r="PU22" s="535">
        <v>6.57</v>
      </c>
      <c r="PV22" s="535">
        <v>6.3033000000000001</v>
      </c>
      <c r="PW22" s="535">
        <v>5.9408000000000003</v>
      </c>
      <c r="PX22" s="535">
        <v>6.2275</v>
      </c>
      <c r="PY22" s="535">
        <v>6.0282999999999998</v>
      </c>
      <c r="PZ22" s="535">
        <v>6.1425999999999998</v>
      </c>
      <c r="QA22" s="535">
        <v>6.2775999999999996</v>
      </c>
      <c r="QB22" s="535">
        <v>6.7042000000000002</v>
      </c>
      <c r="QC22" s="535">
        <v>8.0950000000000006</v>
      </c>
      <c r="QD22" s="535">
        <v>7.8192000000000004</v>
      </c>
      <c r="QE22" s="516">
        <v>16</v>
      </c>
      <c r="QF22" s="536"/>
      <c r="QG22" s="536"/>
      <c r="QH22" s="516">
        <v>16</v>
      </c>
      <c r="QI22" s="535">
        <v>3.1061000000000001</v>
      </c>
      <c r="QJ22" s="535">
        <v>3.1055000000000001</v>
      </c>
      <c r="QK22" s="535">
        <v>3.2848999999999999</v>
      </c>
      <c r="QL22" s="535">
        <v>3.3666</v>
      </c>
      <c r="QM22" s="535">
        <v>3.3325</v>
      </c>
      <c r="QN22" s="535">
        <v>3.3734000000000002</v>
      </c>
      <c r="QO22" s="535">
        <v>3.4024999999999999</v>
      </c>
      <c r="QP22" s="535">
        <v>3.3996</v>
      </c>
      <c r="QQ22" s="535">
        <v>3.4167999999999998</v>
      </c>
      <c r="QR22" s="535">
        <v>3.4136000000000002</v>
      </c>
      <c r="QS22" s="535">
        <v>3.4512999999999998</v>
      </c>
      <c r="QT22" s="535">
        <v>3.4542999999999999</v>
      </c>
      <c r="QU22" s="516">
        <v>16</v>
      </c>
      <c r="QV22" s="536"/>
      <c r="QW22" s="536"/>
      <c r="QX22" s="516">
        <v>16</v>
      </c>
      <c r="QY22" s="535">
        <v>3.113</v>
      </c>
      <c r="QZ22" s="535">
        <v>3.0966999999999998</v>
      </c>
      <c r="RA22" s="535">
        <v>3.1196000000000002</v>
      </c>
      <c r="RB22" s="535">
        <v>3.0989</v>
      </c>
      <c r="RC22" s="535">
        <v>3.1309999999999998</v>
      </c>
      <c r="RD22" s="535">
        <v>3.1221999999999999</v>
      </c>
      <c r="RE22" s="535">
        <v>3.1234999999999999</v>
      </c>
      <c r="RF22" s="535">
        <v>3.1164999999999998</v>
      </c>
      <c r="RG22" s="535">
        <v>3.1109</v>
      </c>
      <c r="RH22" s="535">
        <v>3.1135000000000002</v>
      </c>
      <c r="RI22" s="535">
        <v>3.2324999999999999</v>
      </c>
      <c r="RJ22" s="535">
        <v>3.1118000000000001</v>
      </c>
      <c r="RK22" s="516">
        <v>16</v>
      </c>
      <c r="RL22" s="536"/>
      <c r="RM22" s="536"/>
      <c r="RN22" s="516">
        <v>16</v>
      </c>
      <c r="RO22" s="535">
        <v>3.0642</v>
      </c>
      <c r="RP22" s="535">
        <v>3.0640000000000001</v>
      </c>
      <c r="RQ22" s="535">
        <v>3.0609999999999999</v>
      </c>
      <c r="RR22" s="535">
        <v>3.0649999999999999</v>
      </c>
      <c r="RS22" s="535">
        <v>3.1093999999999999</v>
      </c>
      <c r="RT22" s="535">
        <v>3.1191</v>
      </c>
      <c r="RU22" s="535">
        <v>3.1173999999999999</v>
      </c>
      <c r="RV22" s="535">
        <v>3.0733000000000001</v>
      </c>
      <c r="RW22" s="535">
        <v>3.0941000000000001</v>
      </c>
      <c r="RX22" s="535">
        <v>3.1360000000000001</v>
      </c>
      <c r="RY22" s="535">
        <v>3.1156000000000001</v>
      </c>
      <c r="RZ22" s="535">
        <v>3.1168999999999998</v>
      </c>
      <c r="SA22" s="516">
        <v>16</v>
      </c>
      <c r="SB22" s="536"/>
      <c r="SC22" s="536"/>
      <c r="SD22" s="516">
        <v>16</v>
      </c>
      <c r="SE22" s="535">
        <v>2.9521999999999999</v>
      </c>
      <c r="SF22" s="535">
        <v>2.9645999999999999</v>
      </c>
      <c r="SG22" s="535">
        <v>2.9758</v>
      </c>
      <c r="SH22" s="535">
        <v>2.9874000000000001</v>
      </c>
      <c r="SI22" s="535">
        <v>3.0002</v>
      </c>
      <c r="SJ22" s="535">
        <v>3.0122</v>
      </c>
      <c r="SK22" s="535">
        <v>3.0238</v>
      </c>
      <c r="SL22" s="535">
        <v>3.0369999999999999</v>
      </c>
      <c r="SM22" s="535">
        <v>3.0486</v>
      </c>
      <c r="SN22" s="535">
        <v>3.0621999999999998</v>
      </c>
      <c r="SO22" s="535">
        <v>3.07179</v>
      </c>
      <c r="SP22" s="535">
        <v>3.0629900000000001</v>
      </c>
      <c r="SQ22" s="516">
        <v>16</v>
      </c>
      <c r="SR22" s="536"/>
      <c r="SS22" s="536"/>
      <c r="ST22" s="516">
        <v>16</v>
      </c>
      <c r="SU22" s="535">
        <v>2.6560000000000001</v>
      </c>
      <c r="SV22" s="535">
        <v>2.6890000000000001</v>
      </c>
      <c r="SW22" s="535">
        <v>2.7170000000000001</v>
      </c>
      <c r="SX22" s="535">
        <v>2.746</v>
      </c>
      <c r="SY22" s="535">
        <v>2.778</v>
      </c>
      <c r="SZ22" s="535">
        <v>2.8058000000000001</v>
      </c>
      <c r="TA22" s="535">
        <v>2.8281999999999998</v>
      </c>
      <c r="TB22" s="535">
        <v>2.8546</v>
      </c>
      <c r="TC22" s="535">
        <v>2.8786</v>
      </c>
      <c r="TD22" s="535">
        <v>2.9018000000000002</v>
      </c>
      <c r="TE22" s="535">
        <v>2.9278</v>
      </c>
      <c r="TF22" s="535">
        <v>2.9394</v>
      </c>
      <c r="TG22" s="516">
        <v>16</v>
      </c>
      <c r="TH22" s="536"/>
      <c r="TI22" s="536"/>
      <c r="TJ22" s="516">
        <v>16</v>
      </c>
      <c r="TK22" s="535">
        <v>2.2909999999999999</v>
      </c>
      <c r="TL22" s="535">
        <v>2.3239999999999998</v>
      </c>
      <c r="TM22" s="535">
        <v>2.3519999999999999</v>
      </c>
      <c r="TN22" s="535">
        <v>2.3820000000000001</v>
      </c>
      <c r="TO22" s="535">
        <v>2.411</v>
      </c>
      <c r="TP22" s="535">
        <v>2.444</v>
      </c>
      <c r="TQ22" s="535">
        <v>2.4729999999999999</v>
      </c>
      <c r="TR22" s="535">
        <v>2.5049999999999999</v>
      </c>
      <c r="TS22" s="535">
        <v>2.536</v>
      </c>
      <c r="TT22" s="535">
        <v>2.5640000000000001</v>
      </c>
      <c r="TU22" s="535">
        <v>2.597</v>
      </c>
      <c r="TV22" s="535">
        <v>2.6269999999999998</v>
      </c>
      <c r="TW22" s="516">
        <v>16</v>
      </c>
    </row>
    <row r="23" spans="2:543" s="4" customFormat="1" ht="23" customHeight="1">
      <c r="B23" s="516">
        <v>17</v>
      </c>
      <c r="C23" s="549">
        <v>20.360700000000001</v>
      </c>
      <c r="D23" s="549">
        <v>20.3992</v>
      </c>
      <c r="E23" s="549">
        <v>20.874300000000002</v>
      </c>
      <c r="F23" s="549">
        <v>19.840699999999998</v>
      </c>
      <c r="G23" s="549">
        <v>20.144300000000001</v>
      </c>
      <c r="H23" s="549">
        <v>20.6675</v>
      </c>
      <c r="I23" s="549">
        <v>20.941500000000001</v>
      </c>
      <c r="J23" s="549">
        <v>19.861799999999999</v>
      </c>
      <c r="K23" s="549">
        <v>19.976800000000001</v>
      </c>
      <c r="L23" s="549">
        <v>20.0398</v>
      </c>
      <c r="M23" s="662">
        <f t="shared" si="9"/>
        <v>19.746300000000002</v>
      </c>
      <c r="N23" s="662">
        <f t="shared" si="8"/>
        <v>19.746300000000002</v>
      </c>
      <c r="O23" s="516">
        <v>17</v>
      </c>
      <c r="R23" s="516">
        <v>17</v>
      </c>
      <c r="S23" s="549">
        <v>19.779299999999999</v>
      </c>
      <c r="T23" s="549">
        <v>19.951799999999999</v>
      </c>
      <c r="U23" s="549">
        <v>20.7637</v>
      </c>
      <c r="V23" s="549">
        <v>19.927</v>
      </c>
      <c r="W23" s="549">
        <v>20.049499999999998</v>
      </c>
      <c r="X23" s="549">
        <v>20.1235</v>
      </c>
      <c r="Y23" s="549">
        <v>19.941199999999998</v>
      </c>
      <c r="Z23" s="549">
        <v>19.860299999999999</v>
      </c>
      <c r="AA23" s="549">
        <v>19.903500000000001</v>
      </c>
      <c r="AB23" s="549">
        <v>20.607500000000002</v>
      </c>
      <c r="AC23" s="549">
        <v>20.507200000000001</v>
      </c>
      <c r="AD23" s="549">
        <v>21.2393</v>
      </c>
      <c r="AE23" s="516">
        <v>17</v>
      </c>
      <c r="AH23" s="516">
        <v>17</v>
      </c>
      <c r="AI23" s="549">
        <v>18.807700000000001</v>
      </c>
      <c r="AJ23" s="549">
        <v>18.645800000000001</v>
      </c>
      <c r="AK23" s="549">
        <v>22.151800000000001</v>
      </c>
      <c r="AL23" s="549">
        <v>24.115500000000001</v>
      </c>
      <c r="AM23" s="549">
        <v>24.270800000000001</v>
      </c>
      <c r="AN23" s="549">
        <v>22.543500000000002</v>
      </c>
      <c r="AO23" s="549">
        <v>22.364699999999999</v>
      </c>
      <c r="AP23" s="549">
        <v>22.262799999999999</v>
      </c>
      <c r="AQ23" s="549">
        <v>21.072800000000001</v>
      </c>
      <c r="AR23" s="549">
        <v>21.383199999999999</v>
      </c>
      <c r="AS23" s="549">
        <v>20.5303</v>
      </c>
      <c r="AT23" s="549">
        <v>20.1113</v>
      </c>
      <c r="AU23" s="516">
        <v>17</v>
      </c>
      <c r="AX23" s="516">
        <v>17</v>
      </c>
      <c r="AY23" s="535">
        <v>19.0457</v>
      </c>
      <c r="AZ23" s="535">
        <v>19.3569</v>
      </c>
      <c r="BA23" s="535">
        <v>19.3233</v>
      </c>
      <c r="BB23" s="535">
        <v>18.8489</v>
      </c>
      <c r="BC23" s="535">
        <v>19.1236</v>
      </c>
      <c r="BD23" s="535">
        <v>19.1645</v>
      </c>
      <c r="BE23" s="535">
        <v>18.9803</v>
      </c>
      <c r="BF23" s="535">
        <v>19.636500000000002</v>
      </c>
      <c r="BG23" s="535">
        <v>19.426500000000001</v>
      </c>
      <c r="BH23" s="535">
        <v>19.251999999999999</v>
      </c>
      <c r="BI23" s="535">
        <v>19.422799999999999</v>
      </c>
      <c r="BJ23" s="535">
        <v>19.045500000000001</v>
      </c>
      <c r="BK23" s="516">
        <v>17</v>
      </c>
      <c r="BN23" s="516">
        <v>17</v>
      </c>
      <c r="BO23" s="535">
        <v>18.811299999999999</v>
      </c>
      <c r="BP23" s="535">
        <v>18.515899999999998</v>
      </c>
      <c r="BQ23" s="537">
        <v>18.702300000000001</v>
      </c>
      <c r="BR23" s="535">
        <v>18.087</v>
      </c>
      <c r="BS23" s="535">
        <v>19.785399999999999</v>
      </c>
      <c r="BT23" s="535">
        <v>20.6953</v>
      </c>
      <c r="BU23" s="535">
        <v>18.885400000000001</v>
      </c>
      <c r="BV23" s="535">
        <v>19.233899999999998</v>
      </c>
      <c r="BW23" s="535">
        <v>18.877500000000001</v>
      </c>
      <c r="BX23" s="535">
        <v>18.8096</v>
      </c>
      <c r="BY23" s="535">
        <v>20.3371</v>
      </c>
      <c r="BZ23" s="535">
        <v>20.256599999999999</v>
      </c>
      <c r="CA23" s="516">
        <v>17</v>
      </c>
      <c r="CD23" s="516">
        <v>17</v>
      </c>
      <c r="CE23" s="535">
        <v>21.632999999999999</v>
      </c>
      <c r="CF23" s="535">
        <v>20.325399999999998</v>
      </c>
      <c r="CG23" s="535">
        <v>19.449300000000001</v>
      </c>
      <c r="CH23" s="535">
        <v>18.764600000000002</v>
      </c>
      <c r="CI23" s="535">
        <v>18.670000000000002</v>
      </c>
      <c r="CJ23" s="535">
        <v>18.115400000000001</v>
      </c>
      <c r="CK23" s="535">
        <v>17.7422</v>
      </c>
      <c r="CL23" s="535">
        <v>17.848299999999998</v>
      </c>
      <c r="CM23" s="535">
        <v>17.727799999999998</v>
      </c>
      <c r="CN23" s="535">
        <v>18.9008</v>
      </c>
      <c r="CO23" s="535">
        <v>19.226800000000001</v>
      </c>
      <c r="CP23" s="535">
        <v>19.120200000000001</v>
      </c>
      <c r="CQ23" s="516">
        <v>17</v>
      </c>
      <c r="CT23" s="516">
        <v>17</v>
      </c>
      <c r="CU23" s="535">
        <v>17.912099999999999</v>
      </c>
      <c r="CV23" s="535">
        <v>18.847100000000001</v>
      </c>
      <c r="CW23" s="535">
        <v>17.925999999999998</v>
      </c>
      <c r="CX23" s="535">
        <v>17.388000000000002</v>
      </c>
      <c r="CY23" s="535">
        <v>18.156199999999998</v>
      </c>
      <c r="CZ23" s="535">
        <v>18.8672</v>
      </c>
      <c r="DA23" s="535">
        <v>18.306100000000001</v>
      </c>
      <c r="DB23" s="535">
        <v>18.036300000000001</v>
      </c>
      <c r="DC23" s="535">
        <v>19.227499999999999</v>
      </c>
      <c r="DD23" s="535">
        <v>19.039899999999999</v>
      </c>
      <c r="DE23" s="535">
        <v>20.349</v>
      </c>
      <c r="DF23" s="535">
        <v>20.597300000000001</v>
      </c>
      <c r="DG23" s="516">
        <v>17</v>
      </c>
      <c r="DJ23" s="516">
        <v>17</v>
      </c>
      <c r="DK23" s="535">
        <v>14.582100000000001</v>
      </c>
      <c r="DL23" s="535">
        <v>14.8605</v>
      </c>
      <c r="DM23" s="535">
        <v>15.4003</v>
      </c>
      <c r="DN23" s="535">
        <v>15.389099999999999</v>
      </c>
      <c r="DO23" s="535">
        <v>15.1235</v>
      </c>
      <c r="DP23" s="535">
        <v>15.432700000000001</v>
      </c>
      <c r="DQ23" s="535">
        <v>15.747</v>
      </c>
      <c r="DR23" s="535">
        <v>16.354099999999999</v>
      </c>
      <c r="DS23" s="535">
        <v>16.816800000000001</v>
      </c>
      <c r="DT23" s="535">
        <v>16.580400000000001</v>
      </c>
      <c r="DU23" s="535">
        <v>16.740600000000001</v>
      </c>
      <c r="DV23" s="535">
        <v>17.152899999999999</v>
      </c>
      <c r="DW23" s="516">
        <v>17</v>
      </c>
      <c r="DZ23" s="516">
        <v>17</v>
      </c>
      <c r="EA23" s="535">
        <v>13.168900000000001</v>
      </c>
      <c r="EB23" s="535">
        <v>13.332000000000001</v>
      </c>
      <c r="EC23" s="535">
        <v>13.2456</v>
      </c>
      <c r="ED23" s="535">
        <v>13.098599999999999</v>
      </c>
      <c r="EE23" s="535">
        <v>12.9755</v>
      </c>
      <c r="EF23" s="535">
        <v>13.016400000000001</v>
      </c>
      <c r="EG23" s="535">
        <v>12.9611</v>
      </c>
      <c r="EH23" s="535">
        <v>13.0717</v>
      </c>
      <c r="EI23" s="535">
        <v>13.2644</v>
      </c>
      <c r="EJ23" s="535">
        <v>13.542299999999999</v>
      </c>
      <c r="EK23" s="535">
        <v>13.599500000000001</v>
      </c>
      <c r="EL23" s="535">
        <v>14.785299999999999</v>
      </c>
      <c r="EM23" s="516">
        <v>17</v>
      </c>
      <c r="EP23" s="516">
        <v>17</v>
      </c>
      <c r="EQ23" s="535">
        <v>12.6526</v>
      </c>
      <c r="ER23" s="535">
        <v>12.6982</v>
      </c>
      <c r="ES23" s="535">
        <v>12.454499999999999</v>
      </c>
      <c r="ET23" s="535">
        <v>12.1729</v>
      </c>
      <c r="EU23" s="535">
        <v>12.231299999999999</v>
      </c>
      <c r="EV23" s="535">
        <v>12.7812</v>
      </c>
      <c r="EW23" s="535">
        <v>12.7387</v>
      </c>
      <c r="EX23" s="535">
        <v>12.862500000000001</v>
      </c>
      <c r="EY23" s="535">
        <v>13.0854</v>
      </c>
      <c r="EZ23" s="535">
        <v>12.9725</v>
      </c>
      <c r="FA23" s="535">
        <v>13.017300000000001</v>
      </c>
      <c r="FB23" s="535">
        <v>12.951499999999999</v>
      </c>
      <c r="FC23" s="516">
        <v>17</v>
      </c>
      <c r="FF23" s="516">
        <v>17</v>
      </c>
      <c r="FG23" s="535">
        <v>13.626300000000001</v>
      </c>
      <c r="FH23" s="535">
        <v>12.7658</v>
      </c>
      <c r="FI23" s="535">
        <v>12.6591</v>
      </c>
      <c r="FJ23" s="535">
        <v>13.145799999999999</v>
      </c>
      <c r="FK23" s="535">
        <v>13.7302</v>
      </c>
      <c r="FL23" s="535">
        <v>13.997400000000001</v>
      </c>
      <c r="FM23" s="535">
        <v>13.344900000000001</v>
      </c>
      <c r="FN23" s="535">
        <v>13.1639</v>
      </c>
      <c r="FO23" s="535">
        <v>12.9749</v>
      </c>
      <c r="FP23" s="535">
        <v>12.8188</v>
      </c>
      <c r="FQ23" s="535">
        <v>13.2522</v>
      </c>
      <c r="FR23" s="535">
        <v>12.786899999999999</v>
      </c>
      <c r="FS23" s="516">
        <v>17</v>
      </c>
      <c r="FV23" s="516">
        <v>17</v>
      </c>
      <c r="FW23" s="535">
        <v>12.1028</v>
      </c>
      <c r="FX23" s="535">
        <v>12.114000000000001</v>
      </c>
      <c r="FY23" s="535">
        <v>12.017099999999999</v>
      </c>
      <c r="FZ23" s="535">
        <v>11.767899999999999</v>
      </c>
      <c r="GA23" s="535">
        <v>11.7219</v>
      </c>
      <c r="GB23" s="535">
        <v>11.8751</v>
      </c>
      <c r="GC23" s="535">
        <v>11.701000000000001</v>
      </c>
      <c r="GD23" s="535">
        <v>12.2424</v>
      </c>
      <c r="GE23" s="535">
        <v>12.964600000000001</v>
      </c>
      <c r="GF23" s="535">
        <v>13.364699999999999</v>
      </c>
      <c r="GG23" s="535">
        <v>13.5672</v>
      </c>
      <c r="GH23" s="535">
        <v>13.823</v>
      </c>
      <c r="GI23" s="516">
        <v>17</v>
      </c>
      <c r="GL23" s="516">
        <v>17</v>
      </c>
      <c r="GM23" s="535">
        <v>12.7364</v>
      </c>
      <c r="GN23" s="535">
        <v>12.942</v>
      </c>
      <c r="GO23" s="535">
        <v>12.5527</v>
      </c>
      <c r="GP23" s="535">
        <v>12.1934</v>
      </c>
      <c r="GQ23" s="535">
        <v>12.350099999999999</v>
      </c>
      <c r="GR23" s="535">
        <v>12.600099999999999</v>
      </c>
      <c r="GS23" s="535">
        <v>12.779500000000001</v>
      </c>
      <c r="GT23" s="535">
        <v>12.7256</v>
      </c>
      <c r="GU23" s="535">
        <v>12.8355</v>
      </c>
      <c r="GV23" s="535">
        <v>12.4101</v>
      </c>
      <c r="GW23" s="535">
        <v>12.262600000000001</v>
      </c>
      <c r="GX23" s="535">
        <v>12.3963</v>
      </c>
      <c r="GY23" s="516">
        <v>17</v>
      </c>
      <c r="HB23" s="516">
        <v>17</v>
      </c>
      <c r="HC23" s="535">
        <v>14.219200000000001</v>
      </c>
      <c r="HD23" s="535">
        <v>14.432600000000001</v>
      </c>
      <c r="HE23" s="535">
        <v>14.908300000000001</v>
      </c>
      <c r="HF23" s="535">
        <v>13.1683</v>
      </c>
      <c r="HG23" s="535">
        <v>13.298299999999999</v>
      </c>
      <c r="HH23" s="535">
        <v>13.452299999999999</v>
      </c>
      <c r="HI23" s="535">
        <v>13.6526</v>
      </c>
      <c r="HJ23" s="535">
        <v>12.8658</v>
      </c>
      <c r="HK23" s="535">
        <v>13.389200000000001</v>
      </c>
      <c r="HL23" s="535">
        <v>13.0884</v>
      </c>
      <c r="HM23" s="535">
        <v>13.206099999999999</v>
      </c>
      <c r="HN23" s="535">
        <v>12.7234</v>
      </c>
      <c r="HO23" s="516">
        <v>17</v>
      </c>
      <c r="HP23" s="536"/>
      <c r="HQ23" s="536"/>
      <c r="HR23" s="516">
        <v>17</v>
      </c>
      <c r="HS23" s="535">
        <v>10.920299999999999</v>
      </c>
      <c r="HT23" s="535">
        <v>10.741300000000001</v>
      </c>
      <c r="HU23" s="535">
        <v>10.777799999999999</v>
      </c>
      <c r="HV23" s="535">
        <v>10.484299999999999</v>
      </c>
      <c r="HW23" s="535">
        <v>10.476900000000001</v>
      </c>
      <c r="HX23" s="535">
        <v>10.365500000000001</v>
      </c>
      <c r="HY23" s="535">
        <v>10.322900000000001</v>
      </c>
      <c r="HZ23" s="535">
        <v>10.1586</v>
      </c>
      <c r="IA23" s="535">
        <v>10.582800000000001</v>
      </c>
      <c r="IB23" s="535">
        <v>12.719200000000001</v>
      </c>
      <c r="IC23" s="535">
        <v>13.1663</v>
      </c>
      <c r="ID23" s="535">
        <v>13.3317</v>
      </c>
      <c r="IE23" s="516">
        <v>17</v>
      </c>
      <c r="IF23" s="536"/>
      <c r="IG23" s="536"/>
      <c r="IH23" s="516">
        <v>17</v>
      </c>
      <c r="II23" s="535">
        <v>10.9419</v>
      </c>
      <c r="IJ23" s="535">
        <v>10.952199999999999</v>
      </c>
      <c r="IK23" s="535">
        <v>11.1348</v>
      </c>
      <c r="IL23" s="535">
        <v>10.9917</v>
      </c>
      <c r="IM23" s="535">
        <v>10.8032</v>
      </c>
      <c r="IN23" s="535">
        <v>10.901199999999999</v>
      </c>
      <c r="IO23" s="535">
        <v>10.7608</v>
      </c>
      <c r="IP23" s="535">
        <v>11.114800000000001</v>
      </c>
      <c r="IQ23" s="535">
        <v>11.074299999999999</v>
      </c>
      <c r="IR23" s="535">
        <v>10.8133</v>
      </c>
      <c r="IS23" s="535">
        <v>10.9145</v>
      </c>
      <c r="IT23" s="535">
        <v>10.8376</v>
      </c>
      <c r="IU23" s="516">
        <v>17</v>
      </c>
      <c r="IV23" s="536"/>
      <c r="IW23" s="536"/>
      <c r="IX23" s="516">
        <v>17</v>
      </c>
      <c r="IY23" s="535">
        <v>10.575200000000001</v>
      </c>
      <c r="IZ23" s="535">
        <v>10.516999999999999</v>
      </c>
      <c r="JA23" s="535">
        <v>10.666700000000001</v>
      </c>
      <c r="JB23" s="535">
        <v>11.0708</v>
      </c>
      <c r="JC23" s="535">
        <v>11.1532</v>
      </c>
      <c r="JD23" s="535">
        <v>11.411300000000001</v>
      </c>
      <c r="JE23" s="535">
        <v>11.052300000000001</v>
      </c>
      <c r="JF23" s="535">
        <v>10.824999999999999</v>
      </c>
      <c r="JG23" s="535">
        <v>10.9818</v>
      </c>
      <c r="JH23" s="535">
        <v>10.8765</v>
      </c>
      <c r="JI23" s="535">
        <v>10.859500000000001</v>
      </c>
      <c r="JJ23" s="535">
        <v>10.792199999999999</v>
      </c>
      <c r="JK23" s="516">
        <v>17</v>
      </c>
      <c r="JL23" s="536"/>
      <c r="JM23" s="536"/>
      <c r="JN23" s="516">
        <v>17</v>
      </c>
      <c r="JO23" s="535">
        <v>11.1858</v>
      </c>
      <c r="JP23" s="535">
        <v>11.153499999999999</v>
      </c>
      <c r="JQ23" s="535">
        <v>11.203799999999999</v>
      </c>
      <c r="JR23" s="535">
        <v>11.103199999999999</v>
      </c>
      <c r="JS23" s="535">
        <v>11.029</v>
      </c>
      <c r="JT23" s="535">
        <v>10.8332</v>
      </c>
      <c r="JU23" s="535">
        <v>10.6372</v>
      </c>
      <c r="JV23" s="535">
        <v>10.603999999999999</v>
      </c>
      <c r="JW23" s="535">
        <v>10.8355</v>
      </c>
      <c r="JX23" s="535">
        <v>10.940799999999999</v>
      </c>
      <c r="JY23" s="535">
        <v>10.650499999999999</v>
      </c>
      <c r="JZ23" s="535">
        <v>10.7378</v>
      </c>
      <c r="KA23" s="516">
        <v>17</v>
      </c>
      <c r="KB23" s="536"/>
      <c r="KC23" s="536"/>
      <c r="KD23" s="516">
        <v>17</v>
      </c>
      <c r="KE23" s="535">
        <v>10.8514</v>
      </c>
      <c r="KF23" s="535">
        <v>10.9627</v>
      </c>
      <c r="KG23" s="535">
        <v>10.9621</v>
      </c>
      <c r="KH23" s="535">
        <v>11.27</v>
      </c>
      <c r="KI23" s="535">
        <v>11.6281</v>
      </c>
      <c r="KJ23" s="535">
        <v>11.4259</v>
      </c>
      <c r="KK23" s="535">
        <v>11.4909</v>
      </c>
      <c r="KL23" s="535">
        <v>11.4048</v>
      </c>
      <c r="KM23" s="535">
        <v>11.585100000000001</v>
      </c>
      <c r="KN23" s="535">
        <v>11.3195</v>
      </c>
      <c r="KO23" s="535">
        <v>11.3583</v>
      </c>
      <c r="KP23" s="535">
        <v>11.2028</v>
      </c>
      <c r="KQ23" s="516">
        <v>17</v>
      </c>
      <c r="KR23" s="536"/>
      <c r="KS23" s="536"/>
      <c r="KT23" s="516">
        <v>17</v>
      </c>
      <c r="KU23" s="535">
        <v>10.487500000000001</v>
      </c>
      <c r="KV23" s="535">
        <v>10.972300000000001</v>
      </c>
      <c r="KW23" s="535">
        <v>10.817299999999999</v>
      </c>
      <c r="KX23" s="535">
        <v>10.639799999999999</v>
      </c>
      <c r="KY23" s="535">
        <v>10.2927</v>
      </c>
      <c r="KZ23" s="535">
        <v>10.5946</v>
      </c>
      <c r="LA23" s="535">
        <v>10.4308</v>
      </c>
      <c r="LB23" s="535">
        <v>10.696099999999999</v>
      </c>
      <c r="LC23" s="535">
        <v>10.9793</v>
      </c>
      <c r="LD23" s="535">
        <v>11.1785</v>
      </c>
      <c r="LE23" s="535">
        <v>11.175700000000001</v>
      </c>
      <c r="LF23" s="535">
        <v>11.2728</v>
      </c>
      <c r="LG23" s="516">
        <v>17</v>
      </c>
      <c r="LH23" s="536"/>
      <c r="LI23" s="536"/>
      <c r="LJ23" s="516">
        <v>17</v>
      </c>
      <c r="LK23" s="535">
        <v>9.1710999999999991</v>
      </c>
      <c r="LL23" s="535">
        <v>9.0838000000000001</v>
      </c>
      <c r="LM23" s="535">
        <v>9.1181999999999999</v>
      </c>
      <c r="LN23" s="535">
        <v>9.1714000000000002</v>
      </c>
      <c r="LO23" s="535">
        <v>9.4717000000000002</v>
      </c>
      <c r="LP23" s="535">
        <v>9.6532</v>
      </c>
      <c r="LQ23" s="535">
        <v>9.7522000000000002</v>
      </c>
      <c r="LR23" s="535">
        <v>9.9291999999999998</v>
      </c>
      <c r="LS23" s="535">
        <v>10.0023</v>
      </c>
      <c r="LT23" s="535">
        <v>10.068300000000001</v>
      </c>
      <c r="LU23" s="535">
        <v>10.209199999999999</v>
      </c>
      <c r="LV23" s="535">
        <v>10.185</v>
      </c>
      <c r="LW23" s="516">
        <v>17</v>
      </c>
      <c r="LX23" s="536"/>
      <c r="LY23" s="536"/>
      <c r="LZ23" s="516">
        <v>17</v>
      </c>
      <c r="MA23" s="535">
        <v>9.9017999999999997</v>
      </c>
      <c r="MB23" s="535">
        <v>9.6762999999999995</v>
      </c>
      <c r="MC23" s="535">
        <v>9.5843000000000007</v>
      </c>
      <c r="MD23" s="535">
        <v>9.2908000000000008</v>
      </c>
      <c r="ME23" s="535">
        <v>9.1609999999999996</v>
      </c>
      <c r="MF23" s="535">
        <v>9.0523000000000007</v>
      </c>
      <c r="MG23" s="535">
        <v>9.3542000000000005</v>
      </c>
      <c r="MH23" s="535">
        <v>9.0939999999999994</v>
      </c>
      <c r="MI23" s="535">
        <v>9.4748000000000001</v>
      </c>
      <c r="MJ23" s="535">
        <v>9.2752999999999997</v>
      </c>
      <c r="MK23" s="535">
        <v>9.2027999999999999</v>
      </c>
      <c r="ML23" s="535">
        <v>9.1204000000000001</v>
      </c>
      <c r="MM23" s="516">
        <v>17</v>
      </c>
      <c r="MN23" s="536"/>
      <c r="MO23" s="536"/>
      <c r="MP23" s="516">
        <v>17</v>
      </c>
      <c r="MQ23" s="535">
        <v>9.5056999999999992</v>
      </c>
      <c r="MR23" s="535">
        <v>9.3879999999999999</v>
      </c>
      <c r="MS23" s="535">
        <v>9.3436000000000003</v>
      </c>
      <c r="MT23" s="535">
        <v>9.3987999999999996</v>
      </c>
      <c r="MU23" s="535">
        <v>9.5820000000000007</v>
      </c>
      <c r="MV23" s="535">
        <v>9.8477999999999994</v>
      </c>
      <c r="MW23" s="535">
        <v>9.4367999999999999</v>
      </c>
      <c r="MX23" s="535">
        <v>9.2504000000000008</v>
      </c>
      <c r="MY23" s="535">
        <v>9.3125</v>
      </c>
      <c r="MZ23" s="535">
        <v>9.5878999999999994</v>
      </c>
      <c r="NA23" s="535">
        <v>9.4625000000000004</v>
      </c>
      <c r="NB23" s="535">
        <v>9.4126999999999992</v>
      </c>
      <c r="NC23" s="516">
        <v>17</v>
      </c>
      <c r="ND23" s="536"/>
      <c r="NE23" s="536"/>
      <c r="NF23" s="516">
        <v>17</v>
      </c>
      <c r="NG23" s="535">
        <v>10.5383</v>
      </c>
      <c r="NH23" s="535">
        <v>9.9314999999999998</v>
      </c>
      <c r="NI23" s="535">
        <v>9.7052999999999994</v>
      </c>
      <c r="NJ23" s="535">
        <v>9.5429999999999993</v>
      </c>
      <c r="NK23" s="535">
        <v>9.2698</v>
      </c>
      <c r="NL23" s="535">
        <v>9.5017999999999994</v>
      </c>
      <c r="NM23" s="535">
        <v>9.3343000000000007</v>
      </c>
      <c r="NN23" s="535">
        <v>9.3882999999999992</v>
      </c>
      <c r="NO23" s="535">
        <v>9.3323</v>
      </c>
      <c r="NP23" s="535">
        <v>9.6308000000000007</v>
      </c>
      <c r="NQ23" s="535">
        <v>9.3684999999999992</v>
      </c>
      <c r="NR23" s="535">
        <v>9.3789999999999996</v>
      </c>
      <c r="NS23" s="516">
        <v>17</v>
      </c>
      <c r="NT23" s="536"/>
      <c r="NU23" s="536"/>
      <c r="NV23" s="516">
        <v>17</v>
      </c>
      <c r="NW23" s="535">
        <v>8.2761999999999993</v>
      </c>
      <c r="NX23" s="535">
        <v>8.4651999999999994</v>
      </c>
      <c r="NY23" s="535">
        <v>8.5594999999999999</v>
      </c>
      <c r="NZ23" s="535">
        <v>8.4716000000000005</v>
      </c>
      <c r="OA23" s="535">
        <v>8.5068999999999999</v>
      </c>
      <c r="OB23" s="535">
        <v>9.0374999999999996</v>
      </c>
      <c r="OC23" s="535">
        <v>8.8535000000000004</v>
      </c>
      <c r="OD23" s="535">
        <v>9.2324999999999999</v>
      </c>
      <c r="OE23" s="535">
        <v>10.523300000000001</v>
      </c>
      <c r="OF23" s="535">
        <v>10.1312</v>
      </c>
      <c r="OG23" s="535">
        <v>9.9964999999999993</v>
      </c>
      <c r="OH23" s="535">
        <v>9.9497999999999998</v>
      </c>
      <c r="OI23" s="516">
        <v>17</v>
      </c>
      <c r="OJ23" s="536"/>
      <c r="OK23" s="536"/>
      <c r="OL23" s="516">
        <v>17</v>
      </c>
      <c r="OM23" s="535">
        <v>7.8085000000000004</v>
      </c>
      <c r="ON23" s="535">
        <v>7.7897999999999996</v>
      </c>
      <c r="OO23" s="535">
        <v>7.9987000000000004</v>
      </c>
      <c r="OP23" s="535">
        <v>7.8876999999999997</v>
      </c>
      <c r="OQ23" s="535">
        <v>7.9031000000000002</v>
      </c>
      <c r="OR23" s="535">
        <v>7.9581</v>
      </c>
      <c r="OS23" s="535">
        <v>7.8860999999999999</v>
      </c>
      <c r="OT23" s="535">
        <v>7.766</v>
      </c>
      <c r="OU23" s="535">
        <v>7.7793999999999999</v>
      </c>
      <c r="OV23" s="535">
        <v>7.7403000000000004</v>
      </c>
      <c r="OW23" s="535">
        <v>8.3800000000000008</v>
      </c>
      <c r="OX23" s="535">
        <v>8.1376000000000008</v>
      </c>
      <c r="OY23" s="516">
        <v>17</v>
      </c>
      <c r="OZ23" s="536"/>
      <c r="PA23" s="536"/>
      <c r="PB23" s="516">
        <v>17</v>
      </c>
      <c r="PC23" s="535">
        <v>7.5246000000000004</v>
      </c>
      <c r="PD23" s="535">
        <v>7.5007999999999999</v>
      </c>
      <c r="PE23" s="535">
        <v>7.5616000000000003</v>
      </c>
      <c r="PF23" s="535">
        <v>7.4736000000000002</v>
      </c>
      <c r="PG23" s="535">
        <v>7.4466999999999999</v>
      </c>
      <c r="PH23" s="535">
        <v>7.6342999999999996</v>
      </c>
      <c r="PI23" s="535">
        <v>7.6452999999999998</v>
      </c>
      <c r="PJ23" s="535">
        <v>7.5076999999999998</v>
      </c>
      <c r="PK23" s="535">
        <v>7.5416999999999996</v>
      </c>
      <c r="PL23" s="535">
        <v>7.7472000000000003</v>
      </c>
      <c r="PM23" s="535">
        <v>7.9181999999999997</v>
      </c>
      <c r="PN23" s="535">
        <v>7.9016999999999999</v>
      </c>
      <c r="PO23" s="516">
        <v>17</v>
      </c>
      <c r="PP23" s="536"/>
      <c r="PQ23" s="536"/>
      <c r="PR23" s="516">
        <v>17</v>
      </c>
      <c r="PS23" s="535">
        <v>5.3949999999999996</v>
      </c>
      <c r="PT23" s="535">
        <v>5.9924999999999997</v>
      </c>
      <c r="PU23" s="535">
        <v>6.9725000000000001</v>
      </c>
      <c r="PV23" s="535">
        <v>6.3033000000000001</v>
      </c>
      <c r="PW23" s="535">
        <v>5.9741999999999997</v>
      </c>
      <c r="PX23" s="535">
        <v>6.1867000000000001</v>
      </c>
      <c r="PY23" s="535">
        <v>6.0282999999999998</v>
      </c>
      <c r="PZ23" s="535">
        <v>6.1544999999999996</v>
      </c>
      <c r="QA23" s="535">
        <v>6.2775999999999996</v>
      </c>
      <c r="QB23" s="535">
        <v>6.7480000000000002</v>
      </c>
      <c r="QC23" s="535">
        <v>7.9</v>
      </c>
      <c r="QD23" s="535">
        <v>7.8192000000000004</v>
      </c>
      <c r="QE23" s="516">
        <v>17</v>
      </c>
      <c r="QF23" s="536"/>
      <c r="QG23" s="536"/>
      <c r="QH23" s="516">
        <v>17</v>
      </c>
      <c r="QI23" s="535">
        <v>3.1061000000000001</v>
      </c>
      <c r="QJ23" s="535">
        <v>3.105</v>
      </c>
      <c r="QK23" s="535">
        <v>3.3106</v>
      </c>
      <c r="QL23" s="535">
        <v>3.3666</v>
      </c>
      <c r="QM23" s="535">
        <v>3.3298000000000001</v>
      </c>
      <c r="QN23" s="535">
        <v>3.3673000000000002</v>
      </c>
      <c r="QO23" s="535">
        <v>3.4024999999999999</v>
      </c>
      <c r="QP23" s="535">
        <v>3.4047999999999998</v>
      </c>
      <c r="QQ23" s="535">
        <v>3.4167999999999998</v>
      </c>
      <c r="QR23" s="535">
        <v>3.4136000000000002</v>
      </c>
      <c r="QS23" s="535">
        <v>3.4525999999999999</v>
      </c>
      <c r="QT23" s="535">
        <v>3.4605999999999999</v>
      </c>
      <c r="QU23" s="516">
        <v>17</v>
      </c>
      <c r="QV23" s="536"/>
      <c r="QW23" s="536"/>
      <c r="QX23" s="516">
        <v>17</v>
      </c>
      <c r="QY23" s="535">
        <v>3.113</v>
      </c>
      <c r="QZ23" s="535">
        <v>3.1</v>
      </c>
      <c r="RA23" s="535">
        <v>3.1181999999999999</v>
      </c>
      <c r="RB23" s="535">
        <v>3.0939999999999999</v>
      </c>
      <c r="RC23" s="535">
        <v>3.1309999999999998</v>
      </c>
      <c r="RD23" s="535">
        <v>3.1166</v>
      </c>
      <c r="RE23" s="535">
        <v>3.1242000000000001</v>
      </c>
      <c r="RF23" s="535">
        <v>3.1078999999999999</v>
      </c>
      <c r="RG23" s="535">
        <v>3.1109</v>
      </c>
      <c r="RH23" s="535">
        <v>3.1135000000000002</v>
      </c>
      <c r="RI23" s="535">
        <v>3.2124999999999999</v>
      </c>
      <c r="RJ23" s="535">
        <v>3.1065</v>
      </c>
      <c r="RK23" s="516">
        <v>17</v>
      </c>
      <c r="RL23" s="536"/>
      <c r="RM23" s="536"/>
      <c r="RN23" s="516">
        <v>17</v>
      </c>
      <c r="RO23" s="535">
        <v>3.0646</v>
      </c>
      <c r="RP23" s="535">
        <v>3.0640000000000001</v>
      </c>
      <c r="RQ23" s="535">
        <v>3.0621999999999998</v>
      </c>
      <c r="RR23" s="535">
        <v>3.0649999999999999</v>
      </c>
      <c r="RS23" s="535">
        <v>3.1093999999999999</v>
      </c>
      <c r="RT23" s="535">
        <v>3.1193</v>
      </c>
      <c r="RU23" s="535">
        <v>3.1183999999999998</v>
      </c>
      <c r="RV23" s="535">
        <v>3.0733000000000001</v>
      </c>
      <c r="RW23" s="535">
        <v>3.0941000000000001</v>
      </c>
      <c r="RX23" s="535">
        <v>3.1343999999999999</v>
      </c>
      <c r="RY23" s="535">
        <v>3.113</v>
      </c>
      <c r="RZ23" s="535">
        <v>3.1372</v>
      </c>
      <c r="SA23" s="516">
        <v>17</v>
      </c>
      <c r="SB23" s="536"/>
      <c r="SC23" s="536"/>
      <c r="SD23" s="516">
        <v>17</v>
      </c>
      <c r="SE23" s="535">
        <v>2.9525999999999999</v>
      </c>
      <c r="SF23" s="535">
        <v>2.9645999999999999</v>
      </c>
      <c r="SG23" s="535">
        <v>2.9758</v>
      </c>
      <c r="SH23" s="535">
        <v>2.9885999999999999</v>
      </c>
      <c r="SI23" s="535">
        <v>3.0005999999999999</v>
      </c>
      <c r="SJ23" s="535">
        <v>3.0122</v>
      </c>
      <c r="SK23" s="535">
        <v>3.0249999999999999</v>
      </c>
      <c r="SL23" s="535">
        <v>3.0373999999999999</v>
      </c>
      <c r="SM23" s="535">
        <v>3.0489999999999999</v>
      </c>
      <c r="SN23" s="535">
        <v>3.0626000000000002</v>
      </c>
      <c r="SO23" s="535">
        <v>3.07179</v>
      </c>
      <c r="SP23" s="535">
        <v>3.06216</v>
      </c>
      <c r="SQ23" s="516">
        <v>17</v>
      </c>
      <c r="SR23" s="536"/>
      <c r="SS23" s="536"/>
      <c r="ST23" s="516">
        <v>17</v>
      </c>
      <c r="SU23" s="535">
        <v>2.6589999999999998</v>
      </c>
      <c r="SV23" s="535">
        <v>2.69</v>
      </c>
      <c r="SW23" s="535">
        <v>2.718</v>
      </c>
      <c r="SX23" s="535">
        <v>2.7469999999999999</v>
      </c>
      <c r="SY23" s="535">
        <v>2.7789999999999999</v>
      </c>
      <c r="SZ23" s="535">
        <v>2.8058000000000001</v>
      </c>
      <c r="TA23" s="535">
        <v>2.8290000000000002</v>
      </c>
      <c r="TB23" s="535">
        <v>2.8553999999999999</v>
      </c>
      <c r="TC23" s="535">
        <v>2.8786</v>
      </c>
      <c r="TD23" s="535">
        <v>2.9041999999999999</v>
      </c>
      <c r="TE23" s="535">
        <v>2.9281999999999999</v>
      </c>
      <c r="TF23" s="535">
        <v>2.9394</v>
      </c>
      <c r="TG23" s="516">
        <v>17</v>
      </c>
      <c r="TH23" s="536"/>
      <c r="TI23" s="536"/>
      <c r="TJ23" s="516">
        <v>17</v>
      </c>
      <c r="TK23" s="535">
        <v>2.2919999999999998</v>
      </c>
      <c r="TL23" s="535">
        <v>2.3250000000000002</v>
      </c>
      <c r="TM23" s="535">
        <v>2.3530000000000002</v>
      </c>
      <c r="TN23" s="535">
        <v>2.3820000000000001</v>
      </c>
      <c r="TO23" s="535">
        <v>2.4140000000000001</v>
      </c>
      <c r="TP23" s="535">
        <v>2.4449999999999998</v>
      </c>
      <c r="TQ23" s="535">
        <v>2.4729999999999999</v>
      </c>
      <c r="TR23" s="535">
        <v>2.5059999999999998</v>
      </c>
      <c r="TS23" s="535">
        <v>2.536</v>
      </c>
      <c r="TT23" s="535">
        <v>2.5649999999999999</v>
      </c>
      <c r="TU23" s="535">
        <v>2.5979999999999999</v>
      </c>
      <c r="TV23" s="535">
        <v>2.6269999999999998</v>
      </c>
      <c r="TW23" s="516">
        <v>17</v>
      </c>
    </row>
    <row r="24" spans="2:543" s="4" customFormat="1" ht="23" customHeight="1">
      <c r="B24" s="516">
        <v>18</v>
      </c>
      <c r="C24" s="549">
        <v>20.311800000000002</v>
      </c>
      <c r="D24" s="549">
        <v>20.333500000000001</v>
      </c>
      <c r="E24" s="549">
        <v>20.703499999999998</v>
      </c>
      <c r="F24" s="549">
        <v>19.840699999999998</v>
      </c>
      <c r="G24" s="549">
        <v>20.078199999999999</v>
      </c>
      <c r="H24" s="549">
        <v>20.572800000000001</v>
      </c>
      <c r="I24" s="549">
        <v>20.941500000000001</v>
      </c>
      <c r="J24" s="549">
        <v>19.930299999999999</v>
      </c>
      <c r="K24" s="549">
        <v>19.976800000000001</v>
      </c>
      <c r="L24" s="549">
        <v>20.0838</v>
      </c>
      <c r="M24" s="662">
        <f t="shared" si="9"/>
        <v>19.746300000000002</v>
      </c>
      <c r="N24" s="662">
        <f t="shared" si="8"/>
        <v>19.746300000000002</v>
      </c>
      <c r="O24" s="516">
        <v>18</v>
      </c>
      <c r="R24" s="516">
        <v>18</v>
      </c>
      <c r="S24" s="549">
        <v>19.779299999999999</v>
      </c>
      <c r="T24" s="549">
        <v>20.202300000000001</v>
      </c>
      <c r="U24" s="549">
        <v>20.575299999999999</v>
      </c>
      <c r="V24" s="549">
        <v>19.927</v>
      </c>
      <c r="W24" s="549">
        <v>19.848700000000001</v>
      </c>
      <c r="X24" s="549">
        <v>20.058800000000002</v>
      </c>
      <c r="Y24" s="549">
        <v>19.941199999999998</v>
      </c>
      <c r="Z24" s="549">
        <v>19.886299999999999</v>
      </c>
      <c r="AA24" s="549">
        <v>19.900300000000001</v>
      </c>
      <c r="AB24" s="549">
        <v>20.607500000000002</v>
      </c>
      <c r="AC24" s="549">
        <v>20.809200000000001</v>
      </c>
      <c r="AD24" s="549">
        <v>20.9238</v>
      </c>
      <c r="AE24" s="516">
        <v>18</v>
      </c>
      <c r="AH24" s="516">
        <v>18</v>
      </c>
      <c r="AI24" s="549">
        <v>18.792999999999999</v>
      </c>
      <c r="AJ24" s="549">
        <v>18.571200000000001</v>
      </c>
      <c r="AK24" s="549">
        <v>21.928799999999999</v>
      </c>
      <c r="AL24" s="549">
        <v>24.209800000000001</v>
      </c>
      <c r="AM24" s="549">
        <v>24.270800000000001</v>
      </c>
      <c r="AN24" s="549">
        <v>22.216799999999999</v>
      </c>
      <c r="AO24" s="549">
        <v>22.3032</v>
      </c>
      <c r="AP24" s="549">
        <v>22.031300000000002</v>
      </c>
      <c r="AQ24" s="549">
        <v>21.069199999999999</v>
      </c>
      <c r="AR24" s="549">
        <v>21.383199999999999</v>
      </c>
      <c r="AS24" s="549">
        <v>20.4833</v>
      </c>
      <c r="AT24" s="549">
        <v>19.9513</v>
      </c>
      <c r="AU24" s="516">
        <v>18</v>
      </c>
      <c r="AX24" s="516">
        <v>18</v>
      </c>
      <c r="AY24" s="535">
        <v>18.9908</v>
      </c>
      <c r="AZ24" s="535">
        <v>19.3569</v>
      </c>
      <c r="BA24" s="535">
        <v>19.3233</v>
      </c>
      <c r="BB24" s="535">
        <v>18.951599999999999</v>
      </c>
      <c r="BC24" s="535">
        <v>19.071000000000002</v>
      </c>
      <c r="BD24" s="535">
        <v>19.148700000000002</v>
      </c>
      <c r="BE24" s="535">
        <v>19.078099999999999</v>
      </c>
      <c r="BF24" s="535">
        <v>19.636500000000002</v>
      </c>
      <c r="BG24" s="535">
        <v>19.366499999999998</v>
      </c>
      <c r="BH24" s="535">
        <v>19.2135</v>
      </c>
      <c r="BI24" s="535">
        <v>19.422799999999999</v>
      </c>
      <c r="BJ24" s="535">
        <v>18.970199999999998</v>
      </c>
      <c r="BK24" s="516">
        <v>18</v>
      </c>
      <c r="BN24" s="516">
        <v>18</v>
      </c>
      <c r="BO24" s="535">
        <v>18.836200000000002</v>
      </c>
      <c r="BP24" s="535">
        <v>18.515899999999998</v>
      </c>
      <c r="BQ24" s="537">
        <v>18.702300000000001</v>
      </c>
      <c r="BR24" s="535">
        <v>18.039400000000001</v>
      </c>
      <c r="BS24" s="535">
        <v>19.709399999999999</v>
      </c>
      <c r="BT24" s="535">
        <v>20.6953</v>
      </c>
      <c r="BU24" s="535">
        <v>18.835999999999999</v>
      </c>
      <c r="BV24" s="535">
        <v>19.010000000000002</v>
      </c>
      <c r="BW24" s="535">
        <v>18.8689</v>
      </c>
      <c r="BX24" s="535">
        <v>18.769300000000001</v>
      </c>
      <c r="BY24" s="535">
        <v>20.3371</v>
      </c>
      <c r="BZ24" s="535">
        <v>20.3337</v>
      </c>
      <c r="CA24" s="516">
        <v>18</v>
      </c>
      <c r="CD24" s="516">
        <v>18</v>
      </c>
      <c r="CE24" s="535">
        <v>21.664300000000001</v>
      </c>
      <c r="CF24" s="535">
        <v>20.3325</v>
      </c>
      <c r="CG24" s="535">
        <v>19.172999999999998</v>
      </c>
      <c r="CH24" s="535">
        <v>18.752800000000001</v>
      </c>
      <c r="CI24" s="535">
        <v>18.618300000000001</v>
      </c>
      <c r="CJ24" s="535">
        <v>18.115400000000001</v>
      </c>
      <c r="CK24" s="535">
        <v>17.561299999999999</v>
      </c>
      <c r="CL24" s="535">
        <v>17.716000000000001</v>
      </c>
      <c r="CM24" s="535">
        <v>17.727799999999998</v>
      </c>
      <c r="CN24" s="535">
        <v>19.075299999999999</v>
      </c>
      <c r="CO24" s="535">
        <v>19.122399999999999</v>
      </c>
      <c r="CP24" s="535">
        <v>19.120200000000001</v>
      </c>
      <c r="CQ24" s="516">
        <v>18</v>
      </c>
      <c r="CT24" s="516">
        <v>18</v>
      </c>
      <c r="CU24" s="535">
        <v>17.912099999999999</v>
      </c>
      <c r="CV24" s="535">
        <v>18.814800000000002</v>
      </c>
      <c r="CW24" s="535">
        <v>17.930800000000001</v>
      </c>
      <c r="CX24" s="535">
        <v>17.388000000000002</v>
      </c>
      <c r="CY24" s="535">
        <v>18.179500000000001</v>
      </c>
      <c r="CZ24" s="535">
        <v>18.9968</v>
      </c>
      <c r="DA24" s="535">
        <v>18.306100000000001</v>
      </c>
      <c r="DB24" s="535">
        <v>17.986899999999999</v>
      </c>
      <c r="DC24" s="535">
        <v>19.227499999999999</v>
      </c>
      <c r="DD24" s="535">
        <v>19.0046</v>
      </c>
      <c r="DE24" s="535">
        <v>20.288399999999999</v>
      </c>
      <c r="DF24" s="535">
        <v>20.597300000000001</v>
      </c>
      <c r="DG24" s="516">
        <v>18</v>
      </c>
      <c r="DJ24" s="516">
        <v>18</v>
      </c>
      <c r="DK24" s="535">
        <v>14.582100000000001</v>
      </c>
      <c r="DL24" s="535">
        <v>14.8979</v>
      </c>
      <c r="DM24" s="535">
        <v>15.4892</v>
      </c>
      <c r="DN24" s="535">
        <v>15.2455</v>
      </c>
      <c r="DO24" s="535">
        <v>15.1235</v>
      </c>
      <c r="DP24" s="535">
        <v>15.4192</v>
      </c>
      <c r="DQ24" s="535">
        <v>15.747</v>
      </c>
      <c r="DR24" s="535">
        <v>16.3658</v>
      </c>
      <c r="DS24" s="535">
        <v>16.771599999999999</v>
      </c>
      <c r="DT24" s="535">
        <v>16.580400000000001</v>
      </c>
      <c r="DU24" s="535">
        <v>16.7395</v>
      </c>
      <c r="DV24" s="535">
        <v>17.135999999999999</v>
      </c>
      <c r="DW24" s="516">
        <v>18</v>
      </c>
      <c r="DZ24" s="516">
        <v>18</v>
      </c>
      <c r="EA24" s="535">
        <v>13.290699999999999</v>
      </c>
      <c r="EB24" s="535">
        <v>13.2477</v>
      </c>
      <c r="EC24" s="535">
        <v>13.2456</v>
      </c>
      <c r="ED24" s="535">
        <v>13.098599999999999</v>
      </c>
      <c r="EE24" s="535">
        <v>12.9755</v>
      </c>
      <c r="EF24" s="535">
        <v>13.032299999999999</v>
      </c>
      <c r="EG24" s="535">
        <v>12.939</v>
      </c>
      <c r="EH24" s="535">
        <v>13.0717</v>
      </c>
      <c r="EI24" s="535">
        <v>13.222300000000001</v>
      </c>
      <c r="EJ24" s="535">
        <v>13.5616</v>
      </c>
      <c r="EK24" s="535">
        <v>13.599500000000001</v>
      </c>
      <c r="EL24" s="535">
        <v>14.7499</v>
      </c>
      <c r="EM24" s="516">
        <v>18</v>
      </c>
      <c r="EP24" s="516">
        <v>18</v>
      </c>
      <c r="EQ24" s="535">
        <v>12.6305</v>
      </c>
      <c r="ER24" s="535">
        <v>12.6982</v>
      </c>
      <c r="ES24" s="535">
        <v>12.454499999999999</v>
      </c>
      <c r="ET24" s="535">
        <v>12.1668</v>
      </c>
      <c r="EU24" s="535">
        <v>12.2378</v>
      </c>
      <c r="EV24" s="535">
        <v>12.691599999999999</v>
      </c>
      <c r="EW24" s="535">
        <v>12.629899999999999</v>
      </c>
      <c r="EX24" s="535">
        <v>12.862500000000001</v>
      </c>
      <c r="EY24" s="535">
        <v>13.054</v>
      </c>
      <c r="EZ24" s="535">
        <v>12.881600000000001</v>
      </c>
      <c r="FA24" s="535">
        <v>13.017300000000001</v>
      </c>
      <c r="FB24" s="535">
        <v>12.943899999999999</v>
      </c>
      <c r="FC24" s="516">
        <v>18</v>
      </c>
      <c r="FF24" s="516">
        <v>18</v>
      </c>
      <c r="FG24" s="535">
        <v>13.540100000000001</v>
      </c>
      <c r="FH24" s="535">
        <v>12.882199999999999</v>
      </c>
      <c r="FI24" s="535">
        <v>12.6591</v>
      </c>
      <c r="FJ24" s="535">
        <v>13.216799999999999</v>
      </c>
      <c r="FK24" s="535">
        <v>13.774699999999999</v>
      </c>
      <c r="FL24" s="535">
        <v>13.997400000000001</v>
      </c>
      <c r="FM24" s="535">
        <v>13.283200000000001</v>
      </c>
      <c r="FN24" s="535">
        <v>13.143000000000001</v>
      </c>
      <c r="FO24" s="535">
        <v>12.745799999999999</v>
      </c>
      <c r="FP24" s="535">
        <v>12.807700000000001</v>
      </c>
      <c r="FQ24" s="535">
        <v>13.2522</v>
      </c>
      <c r="FR24" s="535">
        <v>12.7768</v>
      </c>
      <c r="FS24" s="516">
        <v>18</v>
      </c>
      <c r="FV24" s="516">
        <v>18</v>
      </c>
      <c r="FW24" s="535">
        <v>12.0871</v>
      </c>
      <c r="FX24" s="535">
        <v>12.095700000000001</v>
      </c>
      <c r="FY24" s="535">
        <v>12.071</v>
      </c>
      <c r="FZ24" s="535">
        <v>11.767899999999999</v>
      </c>
      <c r="GA24" s="535">
        <v>11.7094</v>
      </c>
      <c r="GB24" s="535">
        <v>11.959099999999999</v>
      </c>
      <c r="GC24" s="535">
        <v>11.701000000000001</v>
      </c>
      <c r="GD24" s="535">
        <v>12.2631</v>
      </c>
      <c r="GE24" s="535">
        <v>12.964600000000001</v>
      </c>
      <c r="GF24" s="535">
        <v>13.271100000000001</v>
      </c>
      <c r="GG24" s="535">
        <v>13.5847</v>
      </c>
      <c r="GH24" s="535">
        <v>13.823</v>
      </c>
      <c r="GI24" s="516">
        <v>18</v>
      </c>
      <c r="GL24" s="516">
        <v>18</v>
      </c>
      <c r="GM24" s="535">
        <v>12.7364</v>
      </c>
      <c r="GN24" s="535">
        <v>12.8683</v>
      </c>
      <c r="GO24" s="535">
        <v>12.525399999999999</v>
      </c>
      <c r="GP24" s="535">
        <v>12.1934</v>
      </c>
      <c r="GQ24" s="535">
        <v>12.5684</v>
      </c>
      <c r="GR24" s="535">
        <v>12.5878</v>
      </c>
      <c r="GS24" s="535">
        <v>12.779500000000001</v>
      </c>
      <c r="GT24" s="535">
        <v>12.645799999999999</v>
      </c>
      <c r="GU24" s="535">
        <v>12.8355</v>
      </c>
      <c r="GV24" s="535">
        <v>12.4101</v>
      </c>
      <c r="GW24" s="535">
        <v>12.4353</v>
      </c>
      <c r="GX24" s="535">
        <v>12.4505</v>
      </c>
      <c r="GY24" s="516">
        <v>18</v>
      </c>
      <c r="HB24" s="516">
        <v>18</v>
      </c>
      <c r="HC24" s="535">
        <v>14.219200000000001</v>
      </c>
      <c r="HD24" s="535">
        <v>14.5288</v>
      </c>
      <c r="HE24" s="535">
        <v>14.569000000000001</v>
      </c>
      <c r="HF24" s="535">
        <v>13.0511</v>
      </c>
      <c r="HG24" s="535">
        <v>13.298299999999999</v>
      </c>
      <c r="HH24" s="535">
        <v>13.352499999999999</v>
      </c>
      <c r="HI24" s="535">
        <v>13.587</v>
      </c>
      <c r="HJ24" s="535">
        <v>12.8766</v>
      </c>
      <c r="HK24" s="535">
        <v>13.3475</v>
      </c>
      <c r="HL24" s="535">
        <v>13.0884</v>
      </c>
      <c r="HM24" s="535">
        <v>13.1012</v>
      </c>
      <c r="HN24" s="535">
        <v>12.698</v>
      </c>
      <c r="HO24" s="516">
        <v>18</v>
      </c>
      <c r="HP24" s="536"/>
      <c r="HQ24" s="536"/>
      <c r="HR24" s="516">
        <v>18</v>
      </c>
      <c r="HS24" s="535">
        <v>10.9458</v>
      </c>
      <c r="HT24" s="535">
        <v>10.741300000000001</v>
      </c>
      <c r="HU24" s="535">
        <v>10.777799999999999</v>
      </c>
      <c r="HV24" s="535">
        <v>10.4579</v>
      </c>
      <c r="HW24" s="535">
        <v>10.476900000000001</v>
      </c>
      <c r="HX24" s="535">
        <v>10.3399</v>
      </c>
      <c r="HY24" s="535">
        <v>10.2608</v>
      </c>
      <c r="HZ24" s="535">
        <v>10.1586</v>
      </c>
      <c r="IA24" s="535">
        <v>10.705399999999999</v>
      </c>
      <c r="IB24" s="535">
        <v>13.0633</v>
      </c>
      <c r="IC24" s="535">
        <v>13.1663</v>
      </c>
      <c r="ID24" s="535">
        <v>13.271699999999999</v>
      </c>
      <c r="IE24" s="516">
        <v>18</v>
      </c>
      <c r="IF24" s="536"/>
      <c r="IG24" s="536"/>
      <c r="IH24" s="516">
        <v>18</v>
      </c>
      <c r="II24" s="535">
        <v>10.986000000000001</v>
      </c>
      <c r="IJ24" s="535">
        <v>10.952199999999999</v>
      </c>
      <c r="IK24" s="535">
        <v>11.1348</v>
      </c>
      <c r="IL24" s="535">
        <v>10.9856</v>
      </c>
      <c r="IM24" s="535">
        <v>10.7905</v>
      </c>
      <c r="IN24" s="535">
        <v>10.901199999999999</v>
      </c>
      <c r="IO24" s="535">
        <v>10.7653</v>
      </c>
      <c r="IP24" s="535">
        <v>11.2676</v>
      </c>
      <c r="IQ24" s="535">
        <v>11.111000000000001</v>
      </c>
      <c r="IR24" s="535">
        <v>10.841799999999999</v>
      </c>
      <c r="IS24" s="535">
        <v>10.9145</v>
      </c>
      <c r="IT24" s="535">
        <v>10.8249</v>
      </c>
      <c r="IU24" s="516">
        <v>18</v>
      </c>
      <c r="IV24" s="536"/>
      <c r="IW24" s="536"/>
      <c r="IX24" s="516">
        <v>18</v>
      </c>
      <c r="IY24" s="535">
        <v>10.558999999999999</v>
      </c>
      <c r="IZ24" s="535">
        <v>10.5175</v>
      </c>
      <c r="JA24" s="535">
        <v>10.6212</v>
      </c>
      <c r="JB24" s="535">
        <v>11.047700000000001</v>
      </c>
      <c r="JC24" s="535">
        <v>11.0518</v>
      </c>
      <c r="JD24" s="535">
        <v>11.411300000000001</v>
      </c>
      <c r="JE24" s="535">
        <v>11.0275</v>
      </c>
      <c r="JF24" s="535">
        <v>10.75</v>
      </c>
      <c r="JG24" s="535">
        <v>10.9818</v>
      </c>
      <c r="JH24" s="535">
        <v>10.836399999999999</v>
      </c>
      <c r="JI24" s="535">
        <v>10.8527</v>
      </c>
      <c r="JJ24" s="535">
        <v>10.792199999999999</v>
      </c>
      <c r="JK24" s="516">
        <v>18</v>
      </c>
      <c r="JL24" s="536"/>
      <c r="JM24" s="536"/>
      <c r="JN24" s="516">
        <v>18</v>
      </c>
      <c r="JO24" s="535">
        <v>11.2339</v>
      </c>
      <c r="JP24" s="535">
        <v>11.1625</v>
      </c>
      <c r="JQ24" s="535">
        <v>11.227600000000001</v>
      </c>
      <c r="JR24" s="535">
        <v>11.103199999999999</v>
      </c>
      <c r="JS24" s="535">
        <v>11.037599999999999</v>
      </c>
      <c r="JT24" s="535">
        <v>10.800700000000001</v>
      </c>
      <c r="JU24" s="535">
        <v>10.6372</v>
      </c>
      <c r="JV24" s="535">
        <v>10.5809</v>
      </c>
      <c r="JW24" s="535">
        <v>10.8355</v>
      </c>
      <c r="JX24" s="535">
        <v>10.916399999999999</v>
      </c>
      <c r="JY24" s="535">
        <v>10.635</v>
      </c>
      <c r="JZ24" s="535">
        <v>10.7378</v>
      </c>
      <c r="KA24" s="516">
        <v>18</v>
      </c>
      <c r="KB24" s="536"/>
      <c r="KC24" s="536"/>
      <c r="KD24" s="516">
        <v>18</v>
      </c>
      <c r="KE24" s="535">
        <v>10.8514</v>
      </c>
      <c r="KF24" s="535">
        <v>10.9434</v>
      </c>
      <c r="KG24" s="535">
        <v>11.039</v>
      </c>
      <c r="KH24" s="535">
        <v>11.27</v>
      </c>
      <c r="KI24" s="535">
        <v>11.571300000000001</v>
      </c>
      <c r="KJ24" s="535">
        <v>11.399100000000001</v>
      </c>
      <c r="KK24" s="535">
        <v>11.4909</v>
      </c>
      <c r="KL24" s="535">
        <v>11.3848</v>
      </c>
      <c r="KM24" s="535">
        <v>11.533300000000001</v>
      </c>
      <c r="KN24" s="535">
        <v>11.3195</v>
      </c>
      <c r="KO24" s="535">
        <v>11.3508</v>
      </c>
      <c r="KP24" s="535">
        <v>11.2316</v>
      </c>
      <c r="KQ24" s="516">
        <v>18</v>
      </c>
      <c r="KR24" s="536"/>
      <c r="KS24" s="536"/>
      <c r="KT24" s="516">
        <v>18</v>
      </c>
      <c r="KU24" s="535">
        <v>10.5083</v>
      </c>
      <c r="KV24" s="535">
        <v>10.882300000000001</v>
      </c>
      <c r="KW24" s="535">
        <v>10.848100000000001</v>
      </c>
      <c r="KX24" s="535">
        <v>10.639799999999999</v>
      </c>
      <c r="KY24" s="535">
        <v>10.2927</v>
      </c>
      <c r="KZ24" s="535">
        <v>10.4983</v>
      </c>
      <c r="LA24" s="535">
        <v>10.4079</v>
      </c>
      <c r="LB24" s="535">
        <v>10.696099999999999</v>
      </c>
      <c r="LC24" s="535">
        <v>10.971299999999999</v>
      </c>
      <c r="LD24" s="535">
        <v>11.247199999999999</v>
      </c>
      <c r="LE24" s="535">
        <v>11.1442</v>
      </c>
      <c r="LF24" s="535">
        <v>11.306100000000001</v>
      </c>
      <c r="LG24" s="516">
        <v>18</v>
      </c>
      <c r="LH24" s="536"/>
      <c r="LI24" s="536"/>
      <c r="LJ24" s="516">
        <v>18</v>
      </c>
      <c r="LK24" s="535">
        <v>9.1992999999999991</v>
      </c>
      <c r="LL24" s="535">
        <v>9.0838000000000001</v>
      </c>
      <c r="LM24" s="535">
        <v>9.1181999999999999</v>
      </c>
      <c r="LN24" s="535">
        <v>9.1597000000000008</v>
      </c>
      <c r="LO24" s="535">
        <v>9.4863</v>
      </c>
      <c r="LP24" s="535">
        <v>9.6684000000000001</v>
      </c>
      <c r="LQ24" s="535">
        <v>9.7345000000000006</v>
      </c>
      <c r="LR24" s="535">
        <v>9.9291999999999998</v>
      </c>
      <c r="LS24" s="535">
        <v>9.9673999999999996</v>
      </c>
      <c r="LT24" s="535">
        <v>10.075699999999999</v>
      </c>
      <c r="LU24" s="535">
        <v>10.209199999999999</v>
      </c>
      <c r="LV24" s="535">
        <v>10.1966</v>
      </c>
      <c r="LW24" s="516">
        <v>18</v>
      </c>
      <c r="LX24" s="536"/>
      <c r="LY24" s="536"/>
      <c r="LZ24" s="516">
        <v>18</v>
      </c>
      <c r="MA24" s="535">
        <v>9.9778000000000002</v>
      </c>
      <c r="MB24" s="535">
        <v>9.6762999999999995</v>
      </c>
      <c r="MC24" s="535">
        <v>9.5843000000000007</v>
      </c>
      <c r="MD24" s="535">
        <v>9.3230000000000004</v>
      </c>
      <c r="ME24" s="535">
        <v>9.1645000000000003</v>
      </c>
      <c r="MF24" s="535">
        <v>9.0523000000000007</v>
      </c>
      <c r="MG24" s="535">
        <v>9.2918000000000003</v>
      </c>
      <c r="MH24" s="535">
        <v>9.0832999999999995</v>
      </c>
      <c r="MI24" s="535">
        <v>9.4941999999999993</v>
      </c>
      <c r="MJ24" s="535">
        <v>9.2349999999999994</v>
      </c>
      <c r="MK24" s="535">
        <v>9.2027999999999999</v>
      </c>
      <c r="ML24" s="535">
        <v>9.0798000000000005</v>
      </c>
      <c r="MM24" s="516">
        <v>18</v>
      </c>
      <c r="MN24" s="536"/>
      <c r="MO24" s="536"/>
      <c r="MP24" s="516">
        <v>18</v>
      </c>
      <c r="MQ24" s="535">
        <v>9.4482999999999997</v>
      </c>
      <c r="MR24" s="535">
        <v>9.3710000000000004</v>
      </c>
      <c r="MS24" s="535">
        <v>9.3224</v>
      </c>
      <c r="MT24" s="535">
        <v>9.4841999999999995</v>
      </c>
      <c r="MU24" s="535">
        <v>9.5088000000000008</v>
      </c>
      <c r="MV24" s="535">
        <v>9.8477999999999994</v>
      </c>
      <c r="MW24" s="535">
        <v>9.4152000000000005</v>
      </c>
      <c r="MX24" s="535">
        <v>9.1922999999999995</v>
      </c>
      <c r="MY24" s="535">
        <v>9.3125</v>
      </c>
      <c r="MZ24" s="535">
        <v>9.5350999999999999</v>
      </c>
      <c r="NA24" s="535">
        <v>9.4827999999999992</v>
      </c>
      <c r="NB24" s="535">
        <v>9.4126999999999992</v>
      </c>
      <c r="NC24" s="516">
        <v>18</v>
      </c>
      <c r="ND24" s="536"/>
      <c r="NE24" s="536"/>
      <c r="NF24" s="516">
        <v>18</v>
      </c>
      <c r="NG24" s="535">
        <v>10.5383</v>
      </c>
      <c r="NH24" s="535">
        <v>9.9190000000000005</v>
      </c>
      <c r="NI24" s="535">
        <v>9.6586999999999996</v>
      </c>
      <c r="NJ24" s="535">
        <v>9.5429999999999993</v>
      </c>
      <c r="NK24" s="535">
        <v>9.3590999999999998</v>
      </c>
      <c r="NL24" s="535">
        <v>9.4585000000000008</v>
      </c>
      <c r="NM24" s="535">
        <v>9.3343000000000007</v>
      </c>
      <c r="NN24" s="535">
        <v>9.3567999999999998</v>
      </c>
      <c r="NO24" s="535">
        <v>9.3092000000000006</v>
      </c>
      <c r="NP24" s="535">
        <v>9.6308000000000007</v>
      </c>
      <c r="NQ24" s="535">
        <v>9.4017999999999997</v>
      </c>
      <c r="NR24" s="535">
        <v>9.3577999999999992</v>
      </c>
      <c r="NS24" s="516">
        <v>18</v>
      </c>
      <c r="NT24" s="536"/>
      <c r="NU24" s="536"/>
      <c r="NV24" s="516">
        <v>18</v>
      </c>
      <c r="NW24" s="535">
        <v>8.2761999999999993</v>
      </c>
      <c r="NX24" s="535">
        <v>8.4628999999999994</v>
      </c>
      <c r="NY24" s="535">
        <v>8.5927000000000007</v>
      </c>
      <c r="NZ24" s="535">
        <v>8.5008999999999997</v>
      </c>
      <c r="OA24" s="535">
        <v>8.5068999999999999</v>
      </c>
      <c r="OB24" s="535">
        <v>8.9815000000000005</v>
      </c>
      <c r="OC24" s="535">
        <v>8.8392999999999997</v>
      </c>
      <c r="OD24" s="535">
        <v>9.1812000000000005</v>
      </c>
      <c r="OE24" s="535">
        <v>10.2058</v>
      </c>
      <c r="OF24" s="535">
        <v>10.1312</v>
      </c>
      <c r="OG24" s="535">
        <v>9.9764999999999997</v>
      </c>
      <c r="OH24" s="535">
        <v>9.8827999999999996</v>
      </c>
      <c r="OI24" s="516">
        <v>18</v>
      </c>
      <c r="OJ24" s="536"/>
      <c r="OK24" s="536"/>
      <c r="OL24" s="516">
        <v>18</v>
      </c>
      <c r="OM24" s="535">
        <v>7.8221999999999996</v>
      </c>
      <c r="ON24" s="535">
        <v>7.7779999999999996</v>
      </c>
      <c r="OO24" s="535">
        <v>7.9789000000000003</v>
      </c>
      <c r="OP24" s="535">
        <v>7.8978000000000002</v>
      </c>
      <c r="OQ24" s="535">
        <v>7.9031000000000002</v>
      </c>
      <c r="OR24" s="535">
        <v>7.9537000000000004</v>
      </c>
      <c r="OS24" s="535">
        <v>7.9282000000000004</v>
      </c>
      <c r="OT24" s="535">
        <v>7.766</v>
      </c>
      <c r="OU24" s="535">
        <v>7.7676999999999996</v>
      </c>
      <c r="OV24" s="535">
        <v>7.7336</v>
      </c>
      <c r="OW24" s="535">
        <v>8.3275000000000006</v>
      </c>
      <c r="OX24" s="535">
        <v>8.0915999999999997</v>
      </c>
      <c r="OY24" s="516">
        <v>18</v>
      </c>
      <c r="OZ24" s="536"/>
      <c r="PA24" s="536"/>
      <c r="PB24" s="516">
        <v>18</v>
      </c>
      <c r="PC24" s="535">
        <v>7.5254000000000003</v>
      </c>
      <c r="PD24" s="535">
        <v>7.5007999999999999</v>
      </c>
      <c r="PE24" s="535">
        <v>7.5616000000000003</v>
      </c>
      <c r="PF24" s="535">
        <v>7.4314999999999998</v>
      </c>
      <c r="PG24" s="535">
        <v>7.4179000000000004</v>
      </c>
      <c r="PH24" s="535">
        <v>7.5934999999999997</v>
      </c>
      <c r="PI24" s="535">
        <v>7.6574999999999998</v>
      </c>
      <c r="PJ24" s="535">
        <v>7.5076999999999998</v>
      </c>
      <c r="PK24" s="535">
        <v>7.5138999999999996</v>
      </c>
      <c r="PL24" s="535">
        <v>7.7949999999999999</v>
      </c>
      <c r="PM24" s="535">
        <v>7.9181999999999997</v>
      </c>
      <c r="PN24" s="535">
        <v>7.9272</v>
      </c>
      <c r="PO24" s="516">
        <v>18</v>
      </c>
      <c r="PP24" s="536"/>
      <c r="PQ24" s="536"/>
      <c r="PR24" s="516">
        <v>18</v>
      </c>
      <c r="PS24" s="535">
        <v>5.49</v>
      </c>
      <c r="PT24" s="535">
        <v>6.1</v>
      </c>
      <c r="PU24" s="535">
        <v>7.2074999999999996</v>
      </c>
      <c r="PV24" s="535">
        <v>6.2866999999999997</v>
      </c>
      <c r="PW24" s="535">
        <v>5.9492000000000003</v>
      </c>
      <c r="PX24" s="535">
        <v>6.1867000000000001</v>
      </c>
      <c r="PY24" s="535">
        <v>6.0449999999999999</v>
      </c>
      <c r="PZ24" s="535">
        <v>6.1673</v>
      </c>
      <c r="QA24" s="535">
        <v>6.2775999999999996</v>
      </c>
      <c r="QB24" s="535">
        <v>6.75</v>
      </c>
      <c r="QC24" s="535">
        <v>7.8</v>
      </c>
      <c r="QD24" s="535">
        <v>7.8192000000000004</v>
      </c>
      <c r="QE24" s="516">
        <v>18</v>
      </c>
      <c r="QF24" s="536"/>
      <c r="QG24" s="536"/>
      <c r="QH24" s="516">
        <v>18</v>
      </c>
      <c r="QI24" s="535">
        <v>3.1088</v>
      </c>
      <c r="QJ24" s="535">
        <v>3.1055000000000001</v>
      </c>
      <c r="QK24" s="535">
        <v>3.3033000000000001</v>
      </c>
      <c r="QL24" s="535">
        <v>3.3666</v>
      </c>
      <c r="QM24" s="535">
        <v>3.3319000000000001</v>
      </c>
      <c r="QN24" s="535">
        <v>3.3675000000000002</v>
      </c>
      <c r="QO24" s="535">
        <v>3.4024999999999999</v>
      </c>
      <c r="QP24" s="535">
        <v>3.4077999999999999</v>
      </c>
      <c r="QQ24" s="535">
        <v>3.4167999999999998</v>
      </c>
      <c r="QR24" s="535">
        <v>3.4178999999999999</v>
      </c>
      <c r="QS24" s="535">
        <v>3.4529999999999998</v>
      </c>
      <c r="QT24" s="535">
        <v>3.4605999999999999</v>
      </c>
      <c r="QU24" s="516">
        <v>18</v>
      </c>
      <c r="QV24" s="536"/>
      <c r="QW24" s="536"/>
      <c r="QX24" s="516">
        <v>18</v>
      </c>
      <c r="QY24" s="535">
        <v>3.113</v>
      </c>
      <c r="QZ24" s="535">
        <v>3.0977000000000001</v>
      </c>
      <c r="RA24" s="535">
        <v>3.12</v>
      </c>
      <c r="RB24" s="535">
        <v>3.0939999999999999</v>
      </c>
      <c r="RC24" s="535">
        <v>3.1288999999999998</v>
      </c>
      <c r="RD24" s="535">
        <v>3.1198999999999999</v>
      </c>
      <c r="RE24" s="535">
        <v>3.1242000000000001</v>
      </c>
      <c r="RF24" s="535">
        <v>3.1110000000000002</v>
      </c>
      <c r="RG24" s="535">
        <v>3.1107999999999998</v>
      </c>
      <c r="RH24" s="535">
        <v>3.1135000000000002</v>
      </c>
      <c r="RI24" s="535">
        <v>3.1850000000000001</v>
      </c>
      <c r="RJ24" s="535">
        <v>3.1053000000000002</v>
      </c>
      <c r="RK24" s="516">
        <v>18</v>
      </c>
      <c r="RL24" s="536"/>
      <c r="RM24" s="536"/>
      <c r="RN24" s="516">
        <v>18</v>
      </c>
      <c r="RO24" s="535">
        <v>3.0678999999999998</v>
      </c>
      <c r="RP24" s="535">
        <v>3.0634000000000001</v>
      </c>
      <c r="RQ24" s="535">
        <v>3.0609000000000002</v>
      </c>
      <c r="RR24" s="535">
        <v>3.0649999999999999</v>
      </c>
      <c r="RS24" s="535">
        <v>3.1093999999999999</v>
      </c>
      <c r="RT24" s="535">
        <v>3.121</v>
      </c>
      <c r="RU24" s="535">
        <v>3.1175000000000002</v>
      </c>
      <c r="RV24" s="535">
        <v>3.0768</v>
      </c>
      <c r="RW24" s="535">
        <v>3.0926</v>
      </c>
      <c r="RX24" s="535">
        <v>3.1343999999999999</v>
      </c>
      <c r="RY24" s="535">
        <v>3.1194999999999999</v>
      </c>
      <c r="RZ24" s="535">
        <v>3.1352000000000002</v>
      </c>
      <c r="SA24" s="516">
        <v>18</v>
      </c>
      <c r="SB24" s="536"/>
      <c r="SC24" s="536"/>
      <c r="SD24" s="516">
        <v>18</v>
      </c>
      <c r="SE24" s="535">
        <v>2.9529999999999998</v>
      </c>
      <c r="SF24" s="535">
        <v>2.9645999999999999</v>
      </c>
      <c r="SG24" s="535">
        <v>2.9758</v>
      </c>
      <c r="SH24" s="535">
        <v>2.9889999999999999</v>
      </c>
      <c r="SI24" s="535">
        <v>3.0009999999999999</v>
      </c>
      <c r="SJ24" s="535">
        <v>3.0125999999999999</v>
      </c>
      <c r="SK24" s="535">
        <v>3.0253999999999999</v>
      </c>
      <c r="SL24" s="535">
        <v>3.0373999999999999</v>
      </c>
      <c r="SM24" s="535">
        <v>3.0501999999999998</v>
      </c>
      <c r="SN24" s="535">
        <v>3.0630000000000002</v>
      </c>
      <c r="SO24" s="535">
        <v>3.07179</v>
      </c>
      <c r="SP24" s="535">
        <v>3.07531</v>
      </c>
      <c r="SQ24" s="516">
        <v>18</v>
      </c>
      <c r="SR24" s="536"/>
      <c r="SS24" s="536"/>
      <c r="ST24" s="516">
        <v>18</v>
      </c>
      <c r="SU24" s="535">
        <v>2.66</v>
      </c>
      <c r="SV24" s="535">
        <v>2.69</v>
      </c>
      <c r="SW24" s="535">
        <v>2.718</v>
      </c>
      <c r="SX24" s="535">
        <v>2.75</v>
      </c>
      <c r="SY24" s="535">
        <v>2.78</v>
      </c>
      <c r="SZ24" s="535">
        <v>2.8058000000000001</v>
      </c>
      <c r="TA24" s="535">
        <v>2.8313999999999999</v>
      </c>
      <c r="TB24" s="535">
        <v>2.8561999999999999</v>
      </c>
      <c r="TC24" s="535">
        <v>2.8794</v>
      </c>
      <c r="TD24" s="535">
        <v>2.9049999999999998</v>
      </c>
      <c r="TE24" s="535">
        <v>2.9281999999999999</v>
      </c>
      <c r="TF24" s="535">
        <v>2.9398</v>
      </c>
      <c r="TG24" s="516">
        <v>18</v>
      </c>
      <c r="TH24" s="536"/>
      <c r="TI24" s="536"/>
      <c r="TJ24" s="516">
        <v>18</v>
      </c>
      <c r="TK24" s="535">
        <v>2.2949999999999999</v>
      </c>
      <c r="TL24" s="535">
        <v>2.3260000000000001</v>
      </c>
      <c r="TM24" s="535">
        <v>2.3540000000000001</v>
      </c>
      <c r="TN24" s="535">
        <v>2.383</v>
      </c>
      <c r="TO24" s="535">
        <v>2.415</v>
      </c>
      <c r="TP24" s="535">
        <v>2.4449999999999998</v>
      </c>
      <c r="TQ24" s="535">
        <v>2.4740000000000002</v>
      </c>
      <c r="TR24" s="535">
        <v>2.5070000000000001</v>
      </c>
      <c r="TS24" s="535">
        <v>2.536</v>
      </c>
      <c r="TT24" s="535">
        <v>2.5680000000000001</v>
      </c>
      <c r="TU24" s="535">
        <v>2.5990000000000002</v>
      </c>
      <c r="TV24" s="535">
        <v>2.6269999999999998</v>
      </c>
      <c r="TW24" s="516">
        <v>18</v>
      </c>
    </row>
    <row r="25" spans="2:543" s="4" customFormat="1" ht="23" customHeight="1">
      <c r="B25" s="516">
        <v>19</v>
      </c>
      <c r="C25" s="549">
        <v>20.3002</v>
      </c>
      <c r="D25" s="549">
        <v>20.297799999999999</v>
      </c>
      <c r="E25" s="549">
        <v>20.558499999999999</v>
      </c>
      <c r="F25" s="549">
        <v>19.796700000000001</v>
      </c>
      <c r="G25" s="549">
        <v>19.963699999999999</v>
      </c>
      <c r="H25" s="549">
        <v>20.572800000000001</v>
      </c>
      <c r="I25" s="549">
        <v>20.611000000000001</v>
      </c>
      <c r="J25" s="549">
        <v>20.038699999999999</v>
      </c>
      <c r="K25" s="549">
        <v>19.976800000000001</v>
      </c>
      <c r="L25" s="549">
        <v>19.991299999999999</v>
      </c>
      <c r="M25" s="662">
        <f t="shared" si="9"/>
        <v>19.746300000000002</v>
      </c>
      <c r="N25" s="662">
        <f t="shared" si="8"/>
        <v>19.746300000000002</v>
      </c>
      <c r="O25" s="516">
        <v>19</v>
      </c>
      <c r="R25" s="516">
        <v>19</v>
      </c>
      <c r="S25" s="549">
        <v>19.787500000000001</v>
      </c>
      <c r="T25" s="549">
        <v>20.2257</v>
      </c>
      <c r="U25" s="549">
        <v>20.6828</v>
      </c>
      <c r="V25" s="549">
        <v>19.927</v>
      </c>
      <c r="W25" s="549">
        <v>19.802800000000001</v>
      </c>
      <c r="X25" s="549">
        <v>20.429200000000002</v>
      </c>
      <c r="Y25" s="549">
        <v>19.941199999999998</v>
      </c>
      <c r="Z25" s="549">
        <v>19.991199999999999</v>
      </c>
      <c r="AA25" s="549">
        <v>19.900300000000001</v>
      </c>
      <c r="AB25" s="549">
        <v>20.467199999999998</v>
      </c>
      <c r="AC25" s="549">
        <v>20.691199999999998</v>
      </c>
      <c r="AD25" s="549">
        <v>20.9238</v>
      </c>
      <c r="AE25" s="516">
        <v>19</v>
      </c>
      <c r="AH25" s="516">
        <v>19</v>
      </c>
      <c r="AI25" s="549">
        <v>18.792999999999999</v>
      </c>
      <c r="AJ25" s="549">
        <v>18.5715</v>
      </c>
      <c r="AK25" s="549">
        <v>23.057300000000001</v>
      </c>
      <c r="AL25" s="549">
        <v>24.209800000000001</v>
      </c>
      <c r="AM25" s="549">
        <v>23.957999999999998</v>
      </c>
      <c r="AN25" s="549">
        <v>22.278300000000002</v>
      </c>
      <c r="AO25" s="549">
        <v>22.3032</v>
      </c>
      <c r="AP25" s="549">
        <v>22.056999999999999</v>
      </c>
      <c r="AQ25" s="549">
        <v>20.984999999999999</v>
      </c>
      <c r="AR25" s="549">
        <v>21.383199999999999</v>
      </c>
      <c r="AS25" s="549">
        <v>20.321200000000001</v>
      </c>
      <c r="AT25" s="549">
        <v>19.817299999999999</v>
      </c>
      <c r="AU25" s="516">
        <v>19</v>
      </c>
      <c r="AX25" s="516">
        <v>19</v>
      </c>
      <c r="AY25" s="535">
        <v>19.062999999999999</v>
      </c>
      <c r="AZ25" s="535">
        <v>19.362500000000001</v>
      </c>
      <c r="BA25" s="535">
        <v>19.3233</v>
      </c>
      <c r="BB25" s="535">
        <v>18.951599999999999</v>
      </c>
      <c r="BC25" s="535">
        <v>19.071000000000002</v>
      </c>
      <c r="BD25" s="535">
        <v>19.192399999999999</v>
      </c>
      <c r="BE25" s="535">
        <v>19.023299999999999</v>
      </c>
      <c r="BF25" s="535">
        <v>19.636500000000002</v>
      </c>
      <c r="BG25" s="535">
        <v>19.426200000000001</v>
      </c>
      <c r="BH25" s="535">
        <v>19.1602</v>
      </c>
      <c r="BI25" s="535">
        <v>19.422799999999999</v>
      </c>
      <c r="BJ25" s="535">
        <v>18.916499999999999</v>
      </c>
      <c r="BK25" s="516">
        <v>19</v>
      </c>
      <c r="BN25" s="516">
        <v>19</v>
      </c>
      <c r="BO25" s="535">
        <v>18.655000000000001</v>
      </c>
      <c r="BP25" s="535">
        <v>18.515899999999998</v>
      </c>
      <c r="BQ25" s="537">
        <v>18.702300000000001</v>
      </c>
      <c r="BR25" s="535">
        <v>17.9787</v>
      </c>
      <c r="BS25" s="535">
        <v>19.703299999999999</v>
      </c>
      <c r="BT25" s="535">
        <v>20.716000000000001</v>
      </c>
      <c r="BU25" s="535">
        <v>18.876300000000001</v>
      </c>
      <c r="BV25" s="535">
        <v>19.010000000000002</v>
      </c>
      <c r="BW25" s="535">
        <v>18.8399</v>
      </c>
      <c r="BX25" s="535">
        <v>18.801200000000001</v>
      </c>
      <c r="BY25" s="535">
        <v>20.3371</v>
      </c>
      <c r="BZ25" s="535">
        <v>20.1126</v>
      </c>
      <c r="CA25" s="516">
        <v>19</v>
      </c>
      <c r="CD25" s="516">
        <v>19</v>
      </c>
      <c r="CE25" s="535">
        <v>21.573799999999999</v>
      </c>
      <c r="CF25" s="535">
        <v>20.3325</v>
      </c>
      <c r="CG25" s="535">
        <v>19.172999999999998</v>
      </c>
      <c r="CH25" s="535">
        <v>18.558199999999999</v>
      </c>
      <c r="CI25" s="535">
        <v>18.676100000000002</v>
      </c>
      <c r="CJ25" s="535">
        <v>18.115400000000001</v>
      </c>
      <c r="CK25" s="535">
        <v>17.583600000000001</v>
      </c>
      <c r="CL25" s="535">
        <v>17.732399999999998</v>
      </c>
      <c r="CM25" s="535">
        <v>17.685700000000001</v>
      </c>
      <c r="CN25" s="535">
        <v>19.011700000000001</v>
      </c>
      <c r="CO25" s="535">
        <v>19.122399999999999</v>
      </c>
      <c r="CP25" s="535">
        <v>19.128900000000002</v>
      </c>
      <c r="CQ25" s="516">
        <v>19</v>
      </c>
      <c r="CT25" s="516">
        <v>19</v>
      </c>
      <c r="CU25" s="535">
        <v>18.210799999999999</v>
      </c>
      <c r="CV25" s="535">
        <v>18.389500000000002</v>
      </c>
      <c r="CW25" s="535">
        <v>17.403400000000001</v>
      </c>
      <c r="CX25" s="535">
        <v>17.5669</v>
      </c>
      <c r="CY25" s="535">
        <v>18.3217</v>
      </c>
      <c r="CZ25" s="535">
        <v>18.9968</v>
      </c>
      <c r="DA25" s="535">
        <v>18.492000000000001</v>
      </c>
      <c r="DB25" s="535">
        <v>18.259799999999998</v>
      </c>
      <c r="DC25" s="535">
        <v>19.227499999999999</v>
      </c>
      <c r="DD25" s="535">
        <v>18.872299999999999</v>
      </c>
      <c r="DE25" s="535">
        <v>20.189800000000002</v>
      </c>
      <c r="DF25" s="535">
        <v>20.597300000000001</v>
      </c>
      <c r="DG25" s="516">
        <v>19</v>
      </c>
      <c r="DJ25" s="516">
        <v>19</v>
      </c>
      <c r="DK25" s="535">
        <v>14.582100000000001</v>
      </c>
      <c r="DL25" s="535">
        <v>14.8971</v>
      </c>
      <c r="DM25" s="535">
        <v>15.427099999999999</v>
      </c>
      <c r="DN25" s="535">
        <v>15.2455</v>
      </c>
      <c r="DO25" s="535">
        <v>15.022500000000001</v>
      </c>
      <c r="DP25" s="535">
        <v>15.4199</v>
      </c>
      <c r="DQ25" s="535">
        <v>15.747</v>
      </c>
      <c r="DR25" s="535">
        <v>16.3993</v>
      </c>
      <c r="DS25" s="535">
        <v>16.771599999999999</v>
      </c>
      <c r="DT25" s="535">
        <v>16.425000000000001</v>
      </c>
      <c r="DU25" s="535">
        <v>16.757000000000001</v>
      </c>
      <c r="DV25" s="535">
        <v>17.100000000000001</v>
      </c>
      <c r="DW25" s="516">
        <v>19</v>
      </c>
      <c r="DZ25" s="516">
        <v>19</v>
      </c>
      <c r="EA25" s="535">
        <v>13.290699999999999</v>
      </c>
      <c r="EB25" s="535">
        <v>13.194900000000001</v>
      </c>
      <c r="EC25" s="535">
        <v>13.234</v>
      </c>
      <c r="ED25" s="535">
        <v>13.098599999999999</v>
      </c>
      <c r="EE25" s="535">
        <v>12.9755</v>
      </c>
      <c r="EF25" s="535">
        <v>13.1007</v>
      </c>
      <c r="EG25" s="535">
        <v>12.945399999999999</v>
      </c>
      <c r="EH25" s="535">
        <v>13.0748</v>
      </c>
      <c r="EI25" s="535">
        <v>13.1762</v>
      </c>
      <c r="EJ25" s="535">
        <v>13.5616</v>
      </c>
      <c r="EK25" s="535">
        <v>13.534800000000001</v>
      </c>
      <c r="EL25" s="535">
        <v>14.6028</v>
      </c>
      <c r="EM25" s="516">
        <v>19</v>
      </c>
      <c r="EP25" s="516">
        <v>19</v>
      </c>
      <c r="EQ25" s="535">
        <v>12.5868</v>
      </c>
      <c r="ER25" s="535">
        <v>12.6866</v>
      </c>
      <c r="ES25" s="535">
        <v>12.454499999999999</v>
      </c>
      <c r="ET25" s="535">
        <v>12.237</v>
      </c>
      <c r="EU25" s="535">
        <v>12.2378</v>
      </c>
      <c r="EV25" s="535">
        <v>12.737</v>
      </c>
      <c r="EW25" s="535">
        <v>12.545500000000001</v>
      </c>
      <c r="EX25" s="535">
        <v>12.862500000000001</v>
      </c>
      <c r="EY25" s="535">
        <v>12.924099999999999</v>
      </c>
      <c r="EZ25" s="535">
        <v>12.771699999999999</v>
      </c>
      <c r="FA25" s="535">
        <v>13.017300000000001</v>
      </c>
      <c r="FB25" s="535">
        <v>12.9575</v>
      </c>
      <c r="FC25" s="516">
        <v>19</v>
      </c>
      <c r="FF25" s="516">
        <v>19</v>
      </c>
      <c r="FG25" s="535">
        <v>13.4621</v>
      </c>
      <c r="FH25" s="535">
        <v>12.882199999999999</v>
      </c>
      <c r="FI25" s="535">
        <v>12.6591</v>
      </c>
      <c r="FJ25" s="535">
        <v>13.0816</v>
      </c>
      <c r="FK25" s="535">
        <v>13.7994</v>
      </c>
      <c r="FL25" s="535">
        <v>13.9115</v>
      </c>
      <c r="FM25" s="535">
        <v>13.2226</v>
      </c>
      <c r="FN25" s="535">
        <v>13.143000000000001</v>
      </c>
      <c r="FO25" s="535">
        <v>12.7492</v>
      </c>
      <c r="FP25" s="535">
        <v>12.7981</v>
      </c>
      <c r="FQ25" s="535">
        <v>13.2522</v>
      </c>
      <c r="FR25" s="535">
        <v>12.7624</v>
      </c>
      <c r="FS25" s="516">
        <v>19</v>
      </c>
      <c r="FV25" s="516">
        <v>19</v>
      </c>
      <c r="FW25" s="535">
        <v>12.0299</v>
      </c>
      <c r="FX25" s="535">
        <v>12.048299999999999</v>
      </c>
      <c r="FY25" s="535">
        <v>12.092499999999999</v>
      </c>
      <c r="FZ25" s="535">
        <v>11.709</v>
      </c>
      <c r="GA25" s="535">
        <v>11.766</v>
      </c>
      <c r="GB25" s="535">
        <v>11.959099999999999</v>
      </c>
      <c r="GC25" s="535">
        <v>11.7178</v>
      </c>
      <c r="GD25" s="535">
        <v>12.165100000000001</v>
      </c>
      <c r="GE25" s="535">
        <v>12.964600000000001</v>
      </c>
      <c r="GF25" s="535">
        <v>13.295199999999999</v>
      </c>
      <c r="GG25" s="535">
        <v>13.637499999999999</v>
      </c>
      <c r="GH25" s="535">
        <v>13.823</v>
      </c>
      <c r="GI25" s="516">
        <v>19</v>
      </c>
      <c r="GL25" s="516">
        <v>19</v>
      </c>
      <c r="GM25" s="535">
        <v>12.6884</v>
      </c>
      <c r="GN25" s="535">
        <v>12.8781</v>
      </c>
      <c r="GO25" s="535">
        <v>12.4892</v>
      </c>
      <c r="GP25" s="535">
        <v>12.1934</v>
      </c>
      <c r="GQ25" s="535">
        <v>12.692600000000001</v>
      </c>
      <c r="GR25" s="535">
        <v>12.592499999999999</v>
      </c>
      <c r="GS25" s="535">
        <v>12.779500000000001</v>
      </c>
      <c r="GT25" s="535">
        <v>12.5944</v>
      </c>
      <c r="GU25" s="535">
        <v>12.8355</v>
      </c>
      <c r="GV25" s="535">
        <v>12.4276</v>
      </c>
      <c r="GW25" s="535">
        <v>12.378299999999999</v>
      </c>
      <c r="GX25" s="535">
        <v>12.4505</v>
      </c>
      <c r="GY25" s="516">
        <v>19</v>
      </c>
      <c r="HB25" s="516">
        <v>19</v>
      </c>
      <c r="HC25" s="535">
        <v>14.219200000000001</v>
      </c>
      <c r="HD25" s="535">
        <v>14.611800000000001</v>
      </c>
      <c r="HE25" s="535">
        <v>14.0502</v>
      </c>
      <c r="HF25" s="535">
        <v>13.0511</v>
      </c>
      <c r="HG25" s="535">
        <v>13.2058</v>
      </c>
      <c r="HH25" s="535">
        <v>13.469799999999999</v>
      </c>
      <c r="HI25" s="535">
        <v>13.587</v>
      </c>
      <c r="HJ25" s="535">
        <v>12.9963</v>
      </c>
      <c r="HK25" s="535">
        <v>13.23</v>
      </c>
      <c r="HL25" s="535">
        <v>13.0884</v>
      </c>
      <c r="HM25" s="535">
        <v>13.0875</v>
      </c>
      <c r="HN25" s="535">
        <v>12.9331</v>
      </c>
      <c r="HO25" s="516">
        <v>19</v>
      </c>
      <c r="HP25" s="536"/>
      <c r="HQ25" s="536"/>
      <c r="HR25" s="516">
        <v>19</v>
      </c>
      <c r="HS25" s="535">
        <v>10.9445</v>
      </c>
      <c r="HT25" s="535">
        <v>10.7653</v>
      </c>
      <c r="HU25" s="535">
        <v>10.7613</v>
      </c>
      <c r="HV25" s="535">
        <v>10.482799999999999</v>
      </c>
      <c r="HW25" s="535">
        <v>10.476900000000001</v>
      </c>
      <c r="HX25" s="535">
        <v>10.315300000000001</v>
      </c>
      <c r="HY25" s="535">
        <v>10.2311</v>
      </c>
      <c r="HZ25" s="535">
        <v>10.1966</v>
      </c>
      <c r="IA25" s="535">
        <v>10.870200000000001</v>
      </c>
      <c r="IB25" s="535">
        <v>13.0633</v>
      </c>
      <c r="IC25" s="535">
        <v>13.0242</v>
      </c>
      <c r="ID25" s="535">
        <v>13.1275</v>
      </c>
      <c r="IE25" s="516">
        <v>19</v>
      </c>
      <c r="IF25" s="536"/>
      <c r="IG25" s="536"/>
      <c r="IH25" s="516">
        <v>19</v>
      </c>
      <c r="II25" s="535">
        <v>10.923400000000001</v>
      </c>
      <c r="IJ25" s="535">
        <v>10.952199999999999</v>
      </c>
      <c r="IK25" s="535">
        <v>11.1348</v>
      </c>
      <c r="IL25" s="535">
        <v>10.991099999999999</v>
      </c>
      <c r="IM25" s="535">
        <v>10.8033</v>
      </c>
      <c r="IN25" s="535">
        <v>10.8148</v>
      </c>
      <c r="IO25" s="535">
        <v>10.7628</v>
      </c>
      <c r="IP25" s="535">
        <v>11.2676</v>
      </c>
      <c r="IQ25" s="535">
        <v>11.1471</v>
      </c>
      <c r="IR25" s="535">
        <v>10.818099999999999</v>
      </c>
      <c r="IS25" s="535">
        <v>10.9145</v>
      </c>
      <c r="IT25" s="535">
        <v>10.846</v>
      </c>
      <c r="IU25" s="516">
        <v>19</v>
      </c>
      <c r="IV25" s="536"/>
      <c r="IW25" s="536"/>
      <c r="IX25" s="516">
        <v>19</v>
      </c>
      <c r="IY25" s="535">
        <v>10.5372</v>
      </c>
      <c r="IZ25" s="535">
        <v>10.5175</v>
      </c>
      <c r="JA25" s="535">
        <v>10.6212</v>
      </c>
      <c r="JB25" s="535">
        <v>11.084199999999999</v>
      </c>
      <c r="JC25" s="535">
        <v>11.132999999999999</v>
      </c>
      <c r="JD25" s="535">
        <v>11.411300000000001</v>
      </c>
      <c r="JE25" s="535">
        <v>10.991400000000001</v>
      </c>
      <c r="JF25" s="535">
        <v>10.747999999999999</v>
      </c>
      <c r="JG25" s="535">
        <v>10.9468</v>
      </c>
      <c r="JH25" s="535">
        <v>10.8703</v>
      </c>
      <c r="JI25" s="535">
        <v>10.8527</v>
      </c>
      <c r="JJ25" s="535">
        <v>10.773999999999999</v>
      </c>
      <c r="JK25" s="516">
        <v>19</v>
      </c>
      <c r="JL25" s="536"/>
      <c r="JM25" s="536"/>
      <c r="JN25" s="516">
        <v>19</v>
      </c>
      <c r="JO25" s="535">
        <v>11.2285</v>
      </c>
      <c r="JP25" s="535">
        <v>11.1389</v>
      </c>
      <c r="JQ25" s="535">
        <v>11.2193</v>
      </c>
      <c r="JR25" s="535">
        <v>11.1021</v>
      </c>
      <c r="JS25" s="535">
        <v>10.9963</v>
      </c>
      <c r="JT25" s="535">
        <v>10.800700000000001</v>
      </c>
      <c r="JU25" s="535">
        <v>10.6312</v>
      </c>
      <c r="JV25" s="535">
        <v>10.6088</v>
      </c>
      <c r="JW25" s="535">
        <v>10.8355</v>
      </c>
      <c r="JX25" s="535">
        <v>10.8462</v>
      </c>
      <c r="JY25" s="535">
        <v>10.676</v>
      </c>
      <c r="JZ25" s="535">
        <v>10.7378</v>
      </c>
      <c r="KA25" s="516">
        <v>19</v>
      </c>
      <c r="KB25" s="536"/>
      <c r="KC25" s="536"/>
      <c r="KD25" s="516">
        <v>19</v>
      </c>
      <c r="KE25" s="535">
        <v>10.8514</v>
      </c>
      <c r="KF25" s="535">
        <v>10.9337</v>
      </c>
      <c r="KG25" s="535">
        <v>10.998799999999999</v>
      </c>
      <c r="KH25" s="535">
        <v>11.27</v>
      </c>
      <c r="KI25" s="535">
        <v>11.5282</v>
      </c>
      <c r="KJ25" s="535">
        <v>11.3523</v>
      </c>
      <c r="KK25" s="535">
        <v>11.4909</v>
      </c>
      <c r="KL25" s="535">
        <v>11.348100000000001</v>
      </c>
      <c r="KM25" s="535">
        <v>11.533300000000001</v>
      </c>
      <c r="KN25" s="535">
        <v>11.454000000000001</v>
      </c>
      <c r="KO25" s="535">
        <v>11.3271</v>
      </c>
      <c r="KP25" s="535">
        <v>11.2316</v>
      </c>
      <c r="KQ25" s="516">
        <v>19</v>
      </c>
      <c r="KR25" s="536"/>
      <c r="KS25" s="536"/>
      <c r="KT25" s="516">
        <v>19</v>
      </c>
      <c r="KU25" s="535">
        <v>10.5083</v>
      </c>
      <c r="KV25" s="535">
        <v>10.7667</v>
      </c>
      <c r="KW25" s="535">
        <v>10.8713</v>
      </c>
      <c r="KX25" s="535">
        <v>10.639799999999999</v>
      </c>
      <c r="KY25" s="535">
        <v>10.2927</v>
      </c>
      <c r="KZ25" s="535">
        <v>10.5014</v>
      </c>
      <c r="LA25" s="535">
        <v>10.349</v>
      </c>
      <c r="LB25" s="535">
        <v>10.7273</v>
      </c>
      <c r="LC25" s="535">
        <v>10.9054</v>
      </c>
      <c r="LD25" s="535">
        <v>11.247199999999999</v>
      </c>
      <c r="LE25" s="535">
        <v>11.1823</v>
      </c>
      <c r="LF25" s="535">
        <v>11.2676</v>
      </c>
      <c r="LG25" s="516">
        <v>19</v>
      </c>
      <c r="LH25" s="536"/>
      <c r="LI25" s="536"/>
      <c r="LJ25" s="516">
        <v>19</v>
      </c>
      <c r="LK25" s="535">
        <v>9.1255000000000006</v>
      </c>
      <c r="LL25" s="535">
        <v>9.0652000000000008</v>
      </c>
      <c r="LM25" s="535">
        <v>9.0929000000000002</v>
      </c>
      <c r="LN25" s="535">
        <v>9.1904000000000003</v>
      </c>
      <c r="LO25" s="535">
        <v>9.4863</v>
      </c>
      <c r="LP25" s="535">
        <v>9.6077999999999992</v>
      </c>
      <c r="LQ25" s="535">
        <v>9.6468000000000007</v>
      </c>
      <c r="LR25" s="535">
        <v>9.9291999999999998</v>
      </c>
      <c r="LS25" s="535">
        <v>9.9657999999999998</v>
      </c>
      <c r="LT25" s="535">
        <v>9.9987999999999992</v>
      </c>
      <c r="LU25" s="535">
        <v>10.2484</v>
      </c>
      <c r="LV25" s="535">
        <v>10.205299999999999</v>
      </c>
      <c r="LW25" s="516">
        <v>19</v>
      </c>
      <c r="LX25" s="536"/>
      <c r="LY25" s="536"/>
      <c r="LZ25" s="516">
        <v>19</v>
      </c>
      <c r="MA25" s="535">
        <v>9.8878000000000004</v>
      </c>
      <c r="MB25" s="535">
        <v>9.6762999999999995</v>
      </c>
      <c r="MC25" s="535">
        <v>9.5843000000000007</v>
      </c>
      <c r="MD25" s="535">
        <v>9.2722999999999995</v>
      </c>
      <c r="ME25" s="535">
        <v>8.9952000000000005</v>
      </c>
      <c r="MF25" s="535">
        <v>9.0521999999999991</v>
      </c>
      <c r="MG25" s="535">
        <v>9.1854999999999993</v>
      </c>
      <c r="MH25" s="535">
        <v>9.0832999999999995</v>
      </c>
      <c r="MI25" s="535">
        <v>9.4478000000000009</v>
      </c>
      <c r="MJ25" s="535">
        <v>9.234</v>
      </c>
      <c r="MK25" s="535">
        <v>9.2027999999999999</v>
      </c>
      <c r="ML25" s="535">
        <v>9.1197999999999997</v>
      </c>
      <c r="MM25" s="516">
        <v>19</v>
      </c>
      <c r="MN25" s="536"/>
      <c r="MO25" s="536"/>
      <c r="MP25" s="516">
        <v>19</v>
      </c>
      <c r="MQ25" s="535">
        <v>9.4171999999999993</v>
      </c>
      <c r="MR25" s="535">
        <v>9.3904999999999994</v>
      </c>
      <c r="MS25" s="535">
        <v>9.3224</v>
      </c>
      <c r="MT25" s="535">
        <v>9.4882000000000009</v>
      </c>
      <c r="MU25" s="535">
        <v>9.5450999999999997</v>
      </c>
      <c r="MV25" s="535">
        <v>9.8477999999999994</v>
      </c>
      <c r="MW25" s="535">
        <v>9.3491</v>
      </c>
      <c r="MX25" s="535">
        <v>9.1873000000000005</v>
      </c>
      <c r="MY25" s="535">
        <v>9.3516999999999992</v>
      </c>
      <c r="MZ25" s="535">
        <v>9.5442999999999998</v>
      </c>
      <c r="NA25" s="535">
        <v>9.4827999999999992</v>
      </c>
      <c r="NB25" s="535">
        <v>9.4078999999999997</v>
      </c>
      <c r="NC25" s="516">
        <v>19</v>
      </c>
      <c r="ND25" s="536"/>
      <c r="NE25" s="536"/>
      <c r="NF25" s="516">
        <v>19</v>
      </c>
      <c r="NG25" s="535">
        <v>10.3485</v>
      </c>
      <c r="NH25" s="535">
        <v>9.9042999999999992</v>
      </c>
      <c r="NI25" s="535">
        <v>9.6888000000000005</v>
      </c>
      <c r="NJ25" s="535">
        <v>9.5429999999999993</v>
      </c>
      <c r="NK25" s="535">
        <v>9.3663000000000007</v>
      </c>
      <c r="NL25" s="535">
        <v>9.4038000000000004</v>
      </c>
      <c r="NM25" s="535">
        <v>9.3343000000000007</v>
      </c>
      <c r="NN25" s="535">
        <v>9.3331999999999997</v>
      </c>
      <c r="NO25" s="535">
        <v>9.3092000000000006</v>
      </c>
      <c r="NP25" s="535">
        <v>9.7113999999999994</v>
      </c>
      <c r="NQ25" s="535">
        <v>9.3549000000000007</v>
      </c>
      <c r="NR25" s="535">
        <v>9.3577999999999992</v>
      </c>
      <c r="NS25" s="516">
        <v>19</v>
      </c>
      <c r="NT25" s="536"/>
      <c r="NU25" s="536"/>
      <c r="NV25" s="516">
        <v>19</v>
      </c>
      <c r="NW25" s="535">
        <v>8.2761999999999993</v>
      </c>
      <c r="NX25" s="535">
        <v>8.4578000000000007</v>
      </c>
      <c r="NY25" s="535">
        <v>8.6047999999999991</v>
      </c>
      <c r="NZ25" s="535">
        <v>8.5008999999999997</v>
      </c>
      <c r="OA25" s="535">
        <v>8.5146999999999995</v>
      </c>
      <c r="OB25" s="535">
        <v>8.8803000000000001</v>
      </c>
      <c r="OC25" s="535">
        <v>8.8392999999999997</v>
      </c>
      <c r="OD25" s="535">
        <v>9.3018000000000001</v>
      </c>
      <c r="OE25" s="535">
        <v>10.315799999999999</v>
      </c>
      <c r="OF25" s="535">
        <v>10.1312</v>
      </c>
      <c r="OG25" s="535">
        <v>9.9440000000000008</v>
      </c>
      <c r="OH25" s="535">
        <v>9.7863000000000007</v>
      </c>
      <c r="OI25" s="516">
        <v>19</v>
      </c>
      <c r="OJ25" s="536"/>
      <c r="OK25" s="536"/>
      <c r="OL25" s="516">
        <v>19</v>
      </c>
      <c r="OM25" s="535">
        <v>7.8221999999999996</v>
      </c>
      <c r="ON25" s="535">
        <v>7.7691999999999997</v>
      </c>
      <c r="OO25" s="535">
        <v>7.992</v>
      </c>
      <c r="OP25" s="535">
        <v>7.8852000000000002</v>
      </c>
      <c r="OQ25" s="535">
        <v>7.9031000000000002</v>
      </c>
      <c r="OR25" s="535">
        <v>7.9424000000000001</v>
      </c>
      <c r="OS25" s="535">
        <v>7.8556999999999997</v>
      </c>
      <c r="OT25" s="535">
        <v>7.7645999999999997</v>
      </c>
      <c r="OU25" s="535">
        <v>7.7545999999999999</v>
      </c>
      <c r="OV25" s="535">
        <v>7.7336</v>
      </c>
      <c r="OW25" s="535">
        <v>8.2424999999999997</v>
      </c>
      <c r="OX25" s="535">
        <v>8.0786999999999995</v>
      </c>
      <c r="OY25" s="516">
        <v>19</v>
      </c>
      <c r="OZ25" s="536"/>
      <c r="PA25" s="536"/>
      <c r="PB25" s="516">
        <v>19</v>
      </c>
      <c r="PC25" s="535">
        <v>7.51</v>
      </c>
      <c r="PD25" s="535">
        <v>7.5007999999999999</v>
      </c>
      <c r="PE25" s="535">
        <v>7.5762</v>
      </c>
      <c r="PF25" s="535">
        <v>7.4276</v>
      </c>
      <c r="PG25" s="535">
        <v>7.4179000000000004</v>
      </c>
      <c r="PH25" s="535">
        <v>7.5842999999999998</v>
      </c>
      <c r="PI25" s="535">
        <v>7.6536</v>
      </c>
      <c r="PJ25" s="535">
        <v>7.5076999999999998</v>
      </c>
      <c r="PK25" s="535">
        <v>7.5054999999999996</v>
      </c>
      <c r="PL25" s="535">
        <v>7.7725999999999997</v>
      </c>
      <c r="PM25" s="535">
        <v>7.9020000000000001</v>
      </c>
      <c r="PN25" s="535">
        <v>7.8771000000000004</v>
      </c>
      <c r="PO25" s="516">
        <v>19</v>
      </c>
      <c r="PP25" s="536"/>
      <c r="PQ25" s="536"/>
      <c r="PR25" s="516">
        <v>19</v>
      </c>
      <c r="PS25" s="535">
        <v>5.3075000000000001</v>
      </c>
      <c r="PT25" s="535">
        <v>6.1</v>
      </c>
      <c r="PU25" s="535">
        <v>7.2074999999999996</v>
      </c>
      <c r="PV25" s="535">
        <v>6.2732999999999999</v>
      </c>
      <c r="PW25" s="535">
        <v>5.9275000000000002</v>
      </c>
      <c r="PX25" s="535">
        <v>6.1867000000000001</v>
      </c>
      <c r="PY25" s="535">
        <v>5.9896000000000003</v>
      </c>
      <c r="PZ25" s="535">
        <v>6.1849999999999996</v>
      </c>
      <c r="QA25" s="535">
        <v>6.2750000000000004</v>
      </c>
      <c r="QB25" s="535">
        <v>6.7607999999999997</v>
      </c>
      <c r="QC25" s="535">
        <v>7.8</v>
      </c>
      <c r="QD25" s="535">
        <v>7.7695999999999996</v>
      </c>
      <c r="QE25" s="516">
        <v>19</v>
      </c>
      <c r="QF25" s="536"/>
      <c r="QG25" s="536"/>
      <c r="QH25" s="516">
        <v>19</v>
      </c>
      <c r="QI25" s="535">
        <v>3.1061000000000001</v>
      </c>
      <c r="QJ25" s="535">
        <v>3.1053000000000002</v>
      </c>
      <c r="QK25" s="535">
        <v>3.3043</v>
      </c>
      <c r="QL25" s="535">
        <v>3.367</v>
      </c>
      <c r="QM25" s="535">
        <v>3.3290000000000002</v>
      </c>
      <c r="QN25" s="535">
        <v>3.3675000000000002</v>
      </c>
      <c r="QO25" s="535">
        <v>3.4020000000000001</v>
      </c>
      <c r="QP25" s="535">
        <v>3.3845000000000001</v>
      </c>
      <c r="QQ25" s="535">
        <v>3.4167999999999998</v>
      </c>
      <c r="QR25" s="535">
        <v>3.4215</v>
      </c>
      <c r="QS25" s="535">
        <v>3.4533999999999998</v>
      </c>
      <c r="QT25" s="535">
        <v>3.4605999999999999</v>
      </c>
      <c r="QU25" s="516">
        <v>19</v>
      </c>
      <c r="QV25" s="536"/>
      <c r="QW25" s="536"/>
      <c r="QX25" s="516">
        <v>19</v>
      </c>
      <c r="QY25" s="535">
        <v>3.1103000000000001</v>
      </c>
      <c r="QZ25" s="535">
        <v>3.0985999999999998</v>
      </c>
      <c r="RA25" s="535">
        <v>3.1190000000000002</v>
      </c>
      <c r="RB25" s="535">
        <v>3.0939999999999999</v>
      </c>
      <c r="RC25" s="535">
        <v>3.1269999999999998</v>
      </c>
      <c r="RD25" s="535">
        <v>3.1171000000000002</v>
      </c>
      <c r="RE25" s="535">
        <v>3.1242000000000001</v>
      </c>
      <c r="RF25" s="535">
        <v>3.1103999999999998</v>
      </c>
      <c r="RG25" s="535">
        <v>3.1107999999999998</v>
      </c>
      <c r="RH25" s="535">
        <v>3.1139999999999999</v>
      </c>
      <c r="RI25" s="535">
        <v>3.1608000000000001</v>
      </c>
      <c r="RJ25" s="535">
        <v>3.1053000000000002</v>
      </c>
      <c r="RK25" s="516">
        <v>19</v>
      </c>
      <c r="RL25" s="536"/>
      <c r="RM25" s="536"/>
      <c r="RN25" s="516">
        <v>19</v>
      </c>
      <c r="RO25" s="535">
        <v>3.0678999999999998</v>
      </c>
      <c r="RP25" s="535">
        <v>3.0621</v>
      </c>
      <c r="RQ25" s="535">
        <v>3.0617999999999999</v>
      </c>
      <c r="RR25" s="535">
        <v>3.0649999999999999</v>
      </c>
      <c r="RS25" s="535">
        <v>3.1038999999999999</v>
      </c>
      <c r="RT25" s="535">
        <v>3.1219999999999999</v>
      </c>
      <c r="RU25" s="535">
        <v>3.1175000000000002</v>
      </c>
      <c r="RV25" s="535">
        <v>3.0869</v>
      </c>
      <c r="RW25" s="535">
        <v>3.0916000000000001</v>
      </c>
      <c r="RX25" s="535">
        <v>3.1343999999999999</v>
      </c>
      <c r="RY25" s="535">
        <v>3.1168</v>
      </c>
      <c r="RZ25" s="535">
        <v>3.1204000000000001</v>
      </c>
      <c r="SA25" s="516">
        <v>19</v>
      </c>
      <c r="SB25" s="536"/>
      <c r="SC25" s="536"/>
      <c r="SD25" s="516">
        <v>19</v>
      </c>
      <c r="SE25" s="535">
        <v>2.9533999999999998</v>
      </c>
      <c r="SF25" s="535">
        <v>2.9649999999999999</v>
      </c>
      <c r="SG25" s="535">
        <v>2.9762</v>
      </c>
      <c r="SH25" s="535">
        <v>2.9893999999999998</v>
      </c>
      <c r="SI25" s="535">
        <v>3.0009999999999999</v>
      </c>
      <c r="SJ25" s="535">
        <v>3.0137999999999998</v>
      </c>
      <c r="SK25" s="535">
        <v>3.0257999999999998</v>
      </c>
      <c r="SL25" s="535">
        <v>3.0373999999999999</v>
      </c>
      <c r="SM25" s="535">
        <v>3.0506000000000002</v>
      </c>
      <c r="SN25" s="535">
        <v>3.0642</v>
      </c>
      <c r="SO25" s="535">
        <v>3.0683799999999999</v>
      </c>
      <c r="SP25" s="535">
        <v>3.0755599999999998</v>
      </c>
      <c r="SQ25" s="516">
        <v>19</v>
      </c>
      <c r="SR25" s="536"/>
      <c r="SS25" s="536"/>
      <c r="ST25" s="516">
        <v>19</v>
      </c>
      <c r="SU25" s="535">
        <v>2.661</v>
      </c>
      <c r="SV25" s="535">
        <v>2.69</v>
      </c>
      <c r="SW25" s="535">
        <v>2.718</v>
      </c>
      <c r="SX25" s="535">
        <v>2.7509999999999999</v>
      </c>
      <c r="SY25" s="535">
        <v>2.7810000000000001</v>
      </c>
      <c r="SZ25" s="535">
        <v>2.8066</v>
      </c>
      <c r="TA25" s="535">
        <v>2.8321999999999998</v>
      </c>
      <c r="TB25" s="535">
        <v>2.8561999999999999</v>
      </c>
      <c r="TC25" s="535">
        <v>2.8818000000000001</v>
      </c>
      <c r="TD25" s="535">
        <v>2.9058000000000002</v>
      </c>
      <c r="TE25" s="535">
        <v>2.9281999999999999</v>
      </c>
      <c r="TF25" s="535">
        <v>2.9409999999999998</v>
      </c>
      <c r="TG25" s="516">
        <v>19</v>
      </c>
      <c r="TH25" s="536"/>
      <c r="TI25" s="536"/>
      <c r="TJ25" s="516">
        <v>19</v>
      </c>
      <c r="TK25" s="535">
        <v>2.2959999999999998</v>
      </c>
      <c r="TL25" s="535">
        <v>2.3260000000000001</v>
      </c>
      <c r="TM25" s="535">
        <v>2.3540000000000001</v>
      </c>
      <c r="TN25" s="535">
        <v>2.3860000000000001</v>
      </c>
      <c r="TO25" s="535">
        <v>2.4159999999999999</v>
      </c>
      <c r="TP25" s="535">
        <v>2.4449999999999998</v>
      </c>
      <c r="TQ25" s="535">
        <v>2.4769999999999999</v>
      </c>
      <c r="TR25" s="535">
        <v>2.508</v>
      </c>
      <c r="TS25" s="535">
        <v>2.5369999999999999</v>
      </c>
      <c r="TT25" s="535">
        <v>2.569</v>
      </c>
      <c r="TU25" s="535">
        <v>2.5990000000000002</v>
      </c>
      <c r="TV25" s="535">
        <v>2.6280000000000001</v>
      </c>
      <c r="TW25" s="516">
        <v>19</v>
      </c>
    </row>
    <row r="26" spans="2:543" s="4" customFormat="1" ht="23" customHeight="1">
      <c r="B26" s="516">
        <v>20</v>
      </c>
      <c r="C26" s="549">
        <v>20.402999999999999</v>
      </c>
      <c r="D26" s="549">
        <v>20.297799999999999</v>
      </c>
      <c r="E26" s="549">
        <v>20.558499999999999</v>
      </c>
      <c r="F26" s="549">
        <v>19.9377</v>
      </c>
      <c r="G26" s="549">
        <v>19.9663</v>
      </c>
      <c r="H26" s="549">
        <v>20.572800000000001</v>
      </c>
      <c r="I26" s="549">
        <v>20.395700000000001</v>
      </c>
      <c r="J26" s="549">
        <v>20.083500000000001</v>
      </c>
      <c r="K26" s="549">
        <v>20.052499999999998</v>
      </c>
      <c r="L26" s="549">
        <v>20.020700000000001</v>
      </c>
      <c r="M26" s="662">
        <f t="shared" si="9"/>
        <v>19.746300000000002</v>
      </c>
      <c r="N26" s="662">
        <f t="shared" si="8"/>
        <v>19.746300000000002</v>
      </c>
      <c r="O26" s="516">
        <v>20</v>
      </c>
      <c r="R26" s="516">
        <v>20</v>
      </c>
      <c r="S26" s="549">
        <v>19.757000000000001</v>
      </c>
      <c r="T26" s="549">
        <v>20.416499999999999</v>
      </c>
      <c r="U26" s="549">
        <v>20.441500000000001</v>
      </c>
      <c r="V26" s="549">
        <v>19.915800000000001</v>
      </c>
      <c r="W26" s="549">
        <v>19.831299999999999</v>
      </c>
      <c r="X26" s="549">
        <v>20.429200000000002</v>
      </c>
      <c r="Y26" s="549">
        <v>19.8537</v>
      </c>
      <c r="Z26" s="549">
        <v>20.0107</v>
      </c>
      <c r="AA26" s="549">
        <v>19.900300000000001</v>
      </c>
      <c r="AB26" s="549">
        <v>20.358699999999999</v>
      </c>
      <c r="AC26" s="549">
        <v>20.762799999999999</v>
      </c>
      <c r="AD26" s="549">
        <v>20.9238</v>
      </c>
      <c r="AE26" s="516">
        <v>20</v>
      </c>
      <c r="AH26" s="516">
        <v>20</v>
      </c>
      <c r="AI26" s="549">
        <v>18.792999999999999</v>
      </c>
      <c r="AJ26" s="549">
        <v>18.595199999999998</v>
      </c>
      <c r="AK26" s="549">
        <v>23.9008</v>
      </c>
      <c r="AL26" s="549">
        <v>24.209800000000001</v>
      </c>
      <c r="AM26" s="549">
        <v>23.603200000000001</v>
      </c>
      <c r="AN26" s="549">
        <v>22.608799999999999</v>
      </c>
      <c r="AO26" s="549">
        <v>22.3032</v>
      </c>
      <c r="AP26" s="549">
        <v>22.153500000000001</v>
      </c>
      <c r="AQ26" s="549">
        <v>20.984999999999999</v>
      </c>
      <c r="AR26" s="549">
        <v>21.176500000000001</v>
      </c>
      <c r="AS26" s="549">
        <v>20.238800000000001</v>
      </c>
      <c r="AT26" s="549">
        <v>19.817299999999999</v>
      </c>
      <c r="AU26" s="516">
        <v>20</v>
      </c>
      <c r="AX26" s="516">
        <v>20</v>
      </c>
      <c r="AY26" s="535">
        <v>19.062999999999999</v>
      </c>
      <c r="AZ26" s="535">
        <v>19.2578</v>
      </c>
      <c r="BA26" s="537">
        <v>19.217600000000001</v>
      </c>
      <c r="BB26" s="535">
        <v>18.951599999999999</v>
      </c>
      <c r="BC26" s="535">
        <v>19.071000000000002</v>
      </c>
      <c r="BD26" s="535">
        <v>19.101099999999999</v>
      </c>
      <c r="BE26" s="535">
        <v>19.0108</v>
      </c>
      <c r="BF26" s="535">
        <v>19.5669</v>
      </c>
      <c r="BG26" s="535">
        <v>19.352799999999998</v>
      </c>
      <c r="BH26" s="535">
        <v>19.1602</v>
      </c>
      <c r="BI26" s="535">
        <v>19.206299999999999</v>
      </c>
      <c r="BJ26" s="535">
        <v>18.9542</v>
      </c>
      <c r="BK26" s="516">
        <v>20</v>
      </c>
      <c r="BN26" s="516">
        <v>20</v>
      </c>
      <c r="BO26" s="535">
        <v>18.636099999999999</v>
      </c>
      <c r="BP26" s="535">
        <v>18.479700000000001</v>
      </c>
      <c r="BQ26" s="537">
        <v>18.702300000000001</v>
      </c>
      <c r="BR26" s="535">
        <v>18.033300000000001</v>
      </c>
      <c r="BS26" s="535">
        <v>19.703299999999999</v>
      </c>
      <c r="BT26" s="535">
        <v>20.6968</v>
      </c>
      <c r="BU26" s="535">
        <v>18.91</v>
      </c>
      <c r="BV26" s="535">
        <v>19.010000000000002</v>
      </c>
      <c r="BW26" s="535">
        <v>18.769400000000001</v>
      </c>
      <c r="BX26" s="535">
        <v>19.101800000000001</v>
      </c>
      <c r="BY26" s="535">
        <v>20.3371</v>
      </c>
      <c r="BZ26" s="535">
        <v>20.127700000000001</v>
      </c>
      <c r="CA26" s="516">
        <v>20</v>
      </c>
      <c r="CD26" s="516">
        <v>20</v>
      </c>
      <c r="CE26" s="535">
        <v>21.851400000000002</v>
      </c>
      <c r="CF26" s="535">
        <v>20.3325</v>
      </c>
      <c r="CG26" s="535">
        <v>19.172999999999998</v>
      </c>
      <c r="CH26" s="535">
        <v>18.4863</v>
      </c>
      <c r="CI26" s="535">
        <v>18.889800000000001</v>
      </c>
      <c r="CJ26" s="535">
        <v>17.932099999999998</v>
      </c>
      <c r="CK26" s="535">
        <v>17.513400000000001</v>
      </c>
      <c r="CL26" s="535">
        <v>17.732399999999998</v>
      </c>
      <c r="CM26" s="535">
        <v>17.760999999999999</v>
      </c>
      <c r="CN26" s="535">
        <v>18.886900000000001</v>
      </c>
      <c r="CO26" s="535">
        <v>19.122399999999999</v>
      </c>
      <c r="CP26" s="535">
        <v>19.0289</v>
      </c>
      <c r="CQ26" s="516">
        <v>20</v>
      </c>
      <c r="CT26" s="516">
        <v>20</v>
      </c>
      <c r="CU26" s="535">
        <v>18.232700000000001</v>
      </c>
      <c r="CV26" s="535">
        <v>18.143899999999999</v>
      </c>
      <c r="CW26" s="535">
        <v>17.403400000000001</v>
      </c>
      <c r="CX26" s="535">
        <v>17.459800000000001</v>
      </c>
      <c r="CY26" s="535">
        <v>18.376100000000001</v>
      </c>
      <c r="CZ26" s="535">
        <v>18.9968</v>
      </c>
      <c r="DA26" s="535">
        <v>18.4879</v>
      </c>
      <c r="DB26" s="535">
        <v>18.083200000000001</v>
      </c>
      <c r="DC26" s="535">
        <v>19.2514</v>
      </c>
      <c r="DD26" s="535">
        <v>18.672599999999999</v>
      </c>
      <c r="DE26" s="535">
        <v>20.189800000000002</v>
      </c>
      <c r="DF26" s="535">
        <v>20.428000000000001</v>
      </c>
      <c r="DG26" s="516">
        <v>20</v>
      </c>
      <c r="DJ26" s="516">
        <v>20</v>
      </c>
      <c r="DK26" s="535">
        <v>14.622299999999999</v>
      </c>
      <c r="DL26" s="535">
        <v>14.9473</v>
      </c>
      <c r="DM26" s="535">
        <v>15.4192</v>
      </c>
      <c r="DN26" s="535">
        <v>15.2455</v>
      </c>
      <c r="DO26" s="535">
        <v>15.12</v>
      </c>
      <c r="DP26" s="535">
        <v>15.4199</v>
      </c>
      <c r="DQ26" s="535">
        <v>15.801399999999999</v>
      </c>
      <c r="DR26" s="535">
        <v>16.431699999999999</v>
      </c>
      <c r="DS26" s="535">
        <v>16.771599999999999</v>
      </c>
      <c r="DT26" s="535">
        <v>16.395900000000001</v>
      </c>
      <c r="DU26" s="535">
        <v>16.7636</v>
      </c>
      <c r="DV26" s="535">
        <v>17.100000000000001</v>
      </c>
      <c r="DW26" s="516">
        <v>20</v>
      </c>
      <c r="DZ26" s="516">
        <v>20</v>
      </c>
      <c r="EA26" s="535">
        <v>13.290699999999999</v>
      </c>
      <c r="EB26" s="535">
        <v>13.226100000000001</v>
      </c>
      <c r="EC26" s="535">
        <v>13.1675</v>
      </c>
      <c r="ED26" s="535">
        <v>13.098599999999999</v>
      </c>
      <c r="EE26" s="535">
        <v>12.9193</v>
      </c>
      <c r="EF26" s="535">
        <v>13.0672</v>
      </c>
      <c r="EG26" s="535">
        <v>12.945399999999999</v>
      </c>
      <c r="EH26" s="535">
        <v>13.0505</v>
      </c>
      <c r="EI26" s="535">
        <v>13.2402</v>
      </c>
      <c r="EJ26" s="535">
        <v>13.5616</v>
      </c>
      <c r="EK26" s="535">
        <v>13.544499999999999</v>
      </c>
      <c r="EL26" s="535">
        <v>14.5562</v>
      </c>
      <c r="EM26" s="516">
        <v>20</v>
      </c>
      <c r="EP26" s="516">
        <v>20</v>
      </c>
      <c r="EQ26" s="535">
        <v>12.5868</v>
      </c>
      <c r="ER26" s="535">
        <v>12.6959</v>
      </c>
      <c r="ES26" s="535">
        <v>12.439</v>
      </c>
      <c r="ET26" s="535">
        <v>12.2479</v>
      </c>
      <c r="EU26" s="535">
        <v>12.2378</v>
      </c>
      <c r="EV26" s="535">
        <v>12.88</v>
      </c>
      <c r="EW26" s="535">
        <v>12.4976</v>
      </c>
      <c r="EX26" s="535">
        <v>12.872199999999999</v>
      </c>
      <c r="EY26" s="535">
        <v>12.9687</v>
      </c>
      <c r="EZ26" s="535">
        <v>12.771699999999999</v>
      </c>
      <c r="FA26" s="535">
        <v>12.952400000000001</v>
      </c>
      <c r="FB26" s="535">
        <v>12.9937</v>
      </c>
      <c r="FC26" s="516">
        <v>20</v>
      </c>
      <c r="FF26" s="516">
        <v>20</v>
      </c>
      <c r="FG26" s="535">
        <v>13.326700000000001</v>
      </c>
      <c r="FH26" s="535">
        <v>12.882199999999999</v>
      </c>
      <c r="FI26" s="535">
        <v>12.6591</v>
      </c>
      <c r="FJ26" s="535">
        <v>13.132199999999999</v>
      </c>
      <c r="FK26" s="535">
        <v>13.7994</v>
      </c>
      <c r="FL26" s="535">
        <v>13.9154</v>
      </c>
      <c r="FM26" s="535">
        <v>13.120100000000001</v>
      </c>
      <c r="FN26" s="535">
        <v>13.143000000000001</v>
      </c>
      <c r="FO26" s="535">
        <v>12.8192</v>
      </c>
      <c r="FP26" s="535">
        <v>12.8299</v>
      </c>
      <c r="FQ26" s="535">
        <v>13.2522</v>
      </c>
      <c r="FR26" s="535">
        <v>12.723599999999999</v>
      </c>
      <c r="FS26" s="516">
        <v>20</v>
      </c>
      <c r="FV26" s="516">
        <v>20</v>
      </c>
      <c r="FW26" s="535">
        <v>12.0261</v>
      </c>
      <c r="FX26" s="535">
        <v>12.048299999999999</v>
      </c>
      <c r="FY26" s="535">
        <v>12.092499999999999</v>
      </c>
      <c r="FZ26" s="535">
        <v>11.7783</v>
      </c>
      <c r="GA26" s="535">
        <v>11.7234</v>
      </c>
      <c r="GB26" s="535">
        <v>11.959099999999999</v>
      </c>
      <c r="GC26" s="535">
        <v>11.787699999999999</v>
      </c>
      <c r="GD26" s="535">
        <v>12.368499999999999</v>
      </c>
      <c r="GE26" s="535">
        <v>12.912699999999999</v>
      </c>
      <c r="GF26" s="535">
        <v>13.4445</v>
      </c>
      <c r="GG26" s="535">
        <v>13.637499999999999</v>
      </c>
      <c r="GH26" s="535">
        <v>13.845000000000001</v>
      </c>
      <c r="GI26" s="516">
        <v>20</v>
      </c>
      <c r="GL26" s="516">
        <v>20</v>
      </c>
      <c r="GM26" s="535">
        <v>12.666399999999999</v>
      </c>
      <c r="GN26" s="535">
        <v>12.844200000000001</v>
      </c>
      <c r="GO26" s="535">
        <v>12.472899999999999</v>
      </c>
      <c r="GP26" s="535">
        <v>12.2356</v>
      </c>
      <c r="GQ26" s="535">
        <v>12.5787</v>
      </c>
      <c r="GR26" s="535">
        <v>12.592499999999999</v>
      </c>
      <c r="GS26" s="535">
        <v>12.901300000000001</v>
      </c>
      <c r="GT26" s="535">
        <v>12.6073</v>
      </c>
      <c r="GU26" s="535">
        <v>12.8355</v>
      </c>
      <c r="GV26" s="535">
        <v>12.413500000000001</v>
      </c>
      <c r="GW26" s="535">
        <v>12.292400000000001</v>
      </c>
      <c r="GX26" s="535">
        <v>12.4505</v>
      </c>
      <c r="GY26" s="516">
        <v>20</v>
      </c>
      <c r="HB26" s="516">
        <v>20</v>
      </c>
      <c r="HC26" s="535">
        <v>13.905799999999999</v>
      </c>
      <c r="HD26" s="535">
        <v>14.672499999999999</v>
      </c>
      <c r="HE26" s="535">
        <v>14.1457</v>
      </c>
      <c r="HF26" s="535">
        <v>13.0511</v>
      </c>
      <c r="HG26" s="535">
        <v>13.1363</v>
      </c>
      <c r="HH26" s="535">
        <v>13.369400000000001</v>
      </c>
      <c r="HI26" s="535">
        <v>13.587</v>
      </c>
      <c r="HJ26" s="535">
        <v>12.955500000000001</v>
      </c>
      <c r="HK26" s="535">
        <v>13.23</v>
      </c>
      <c r="HL26" s="535">
        <v>13.105700000000001</v>
      </c>
      <c r="HM26" s="535">
        <v>12.9818</v>
      </c>
      <c r="HN26" s="535">
        <v>12.9331</v>
      </c>
      <c r="HO26" s="516">
        <v>20</v>
      </c>
      <c r="HP26" s="536"/>
      <c r="HQ26" s="536"/>
      <c r="HR26" s="516">
        <v>20</v>
      </c>
      <c r="HS26" s="535">
        <v>10.9445</v>
      </c>
      <c r="HT26" s="535">
        <v>10.734999999999999</v>
      </c>
      <c r="HU26" s="535">
        <v>10.704000000000001</v>
      </c>
      <c r="HV26" s="535">
        <v>10.482799999999999</v>
      </c>
      <c r="HW26" s="535">
        <v>10.426600000000001</v>
      </c>
      <c r="HX26" s="535">
        <v>10.2935</v>
      </c>
      <c r="HY26" s="535">
        <v>10.2311</v>
      </c>
      <c r="HZ26" s="535">
        <v>10.1395</v>
      </c>
      <c r="IA26" s="535">
        <v>10.836499999999999</v>
      </c>
      <c r="IB26" s="535">
        <v>13.0633</v>
      </c>
      <c r="IC26" s="535">
        <v>13.195</v>
      </c>
      <c r="ID26" s="535">
        <v>13.215</v>
      </c>
      <c r="IE26" s="516">
        <v>20</v>
      </c>
      <c r="IF26" s="536"/>
      <c r="IG26" s="536"/>
      <c r="IH26" s="516">
        <v>20</v>
      </c>
      <c r="II26" s="535">
        <v>10.9232</v>
      </c>
      <c r="IJ26" s="535">
        <v>10.995799999999999</v>
      </c>
      <c r="IK26" s="535">
        <v>11.1348</v>
      </c>
      <c r="IL26" s="535">
        <v>10.992000000000001</v>
      </c>
      <c r="IM26" s="535">
        <v>10.8033</v>
      </c>
      <c r="IN26" s="535">
        <v>10.776</v>
      </c>
      <c r="IO26" s="535">
        <v>10.752000000000001</v>
      </c>
      <c r="IP26" s="535">
        <v>11.2676</v>
      </c>
      <c r="IQ26" s="535">
        <v>11.0959</v>
      </c>
      <c r="IR26" s="535">
        <v>10.8133</v>
      </c>
      <c r="IS26" s="535">
        <v>10.9145</v>
      </c>
      <c r="IT26" s="535">
        <v>10.8553</v>
      </c>
      <c r="IU26" s="516">
        <v>20</v>
      </c>
      <c r="IV26" s="536"/>
      <c r="IW26" s="536"/>
      <c r="IX26" s="516">
        <v>20</v>
      </c>
      <c r="IY26" s="535">
        <v>10.5778</v>
      </c>
      <c r="IZ26" s="535">
        <v>10.5175</v>
      </c>
      <c r="JA26" s="535">
        <v>10.6212</v>
      </c>
      <c r="JB26" s="535">
        <v>11.001099999999999</v>
      </c>
      <c r="JC26" s="535">
        <v>11.2005</v>
      </c>
      <c r="JD26" s="535">
        <v>11.414</v>
      </c>
      <c r="JE26" s="535">
        <v>10.9618</v>
      </c>
      <c r="JF26" s="535">
        <v>10.747999999999999</v>
      </c>
      <c r="JG26" s="535">
        <v>10.927300000000001</v>
      </c>
      <c r="JH26" s="535">
        <v>10.825699999999999</v>
      </c>
      <c r="JI26" s="535">
        <v>10.8527</v>
      </c>
      <c r="JJ26" s="535">
        <v>10.8002</v>
      </c>
      <c r="JK26" s="516">
        <v>20</v>
      </c>
      <c r="JL26" s="536"/>
      <c r="JM26" s="536"/>
      <c r="JN26" s="516">
        <v>20</v>
      </c>
      <c r="JO26" s="535">
        <v>11.249499999999999</v>
      </c>
      <c r="JP26" s="535">
        <v>11.1389</v>
      </c>
      <c r="JQ26" s="535">
        <v>11.2193</v>
      </c>
      <c r="JR26" s="535">
        <v>11.129</v>
      </c>
      <c r="JS26" s="535">
        <v>10.966799999999999</v>
      </c>
      <c r="JT26" s="535">
        <v>10.800700000000001</v>
      </c>
      <c r="JU26" s="535">
        <v>10.595800000000001</v>
      </c>
      <c r="JV26" s="535">
        <v>10.6601</v>
      </c>
      <c r="JW26" s="535">
        <v>10.807</v>
      </c>
      <c r="JX26" s="535">
        <v>10.8307</v>
      </c>
      <c r="JY26" s="535">
        <v>10.676</v>
      </c>
      <c r="JZ26" s="535">
        <v>10.7567</v>
      </c>
      <c r="KA26" s="516">
        <v>20</v>
      </c>
      <c r="KB26" s="536"/>
      <c r="KC26" s="536"/>
      <c r="KD26" s="516">
        <v>20</v>
      </c>
      <c r="KE26" s="535">
        <v>10.8172</v>
      </c>
      <c r="KF26" s="535">
        <v>10.905799999999999</v>
      </c>
      <c r="KG26" s="535">
        <v>11.0128</v>
      </c>
      <c r="KH26" s="535">
        <v>11.2525</v>
      </c>
      <c r="KI26" s="535">
        <v>11.4933</v>
      </c>
      <c r="KJ26" s="535">
        <v>11.3523</v>
      </c>
      <c r="KK26" s="535">
        <v>11.4352</v>
      </c>
      <c r="KL26" s="535">
        <v>11.347200000000001</v>
      </c>
      <c r="KM26" s="535">
        <v>11.533300000000001</v>
      </c>
      <c r="KN26" s="535">
        <v>11.5068</v>
      </c>
      <c r="KO26" s="535">
        <v>11.333500000000001</v>
      </c>
      <c r="KP26" s="535">
        <v>11.2316</v>
      </c>
      <c r="KQ26" s="516">
        <v>20</v>
      </c>
      <c r="KR26" s="536"/>
      <c r="KS26" s="536"/>
      <c r="KT26" s="516">
        <v>20</v>
      </c>
      <c r="KU26" s="535">
        <v>10.5083</v>
      </c>
      <c r="KV26" s="535">
        <v>10.7722</v>
      </c>
      <c r="KW26" s="535">
        <v>10.8147</v>
      </c>
      <c r="KX26" s="535">
        <v>10.639799999999999</v>
      </c>
      <c r="KY26" s="535">
        <v>10.375999999999999</v>
      </c>
      <c r="KZ26" s="535">
        <v>10.5883</v>
      </c>
      <c r="LA26" s="535">
        <v>10.349</v>
      </c>
      <c r="LB26" s="535">
        <v>10.723000000000001</v>
      </c>
      <c r="LC26" s="535">
        <v>10.9163</v>
      </c>
      <c r="LD26" s="535">
        <v>11.247199999999999</v>
      </c>
      <c r="LE26" s="535">
        <v>11.164300000000001</v>
      </c>
      <c r="LF26" s="535">
        <v>11.2193</v>
      </c>
      <c r="LG26" s="516">
        <v>20</v>
      </c>
      <c r="LH26" s="536"/>
      <c r="LI26" s="536"/>
      <c r="LJ26" s="516">
        <v>20</v>
      </c>
      <c r="LK26" s="535">
        <v>9.1255000000000006</v>
      </c>
      <c r="LL26" s="535">
        <v>9.0638000000000005</v>
      </c>
      <c r="LM26" s="535">
        <v>9.0732999999999997</v>
      </c>
      <c r="LN26" s="535">
        <v>9.2345000000000006</v>
      </c>
      <c r="LO26" s="535">
        <v>9.4863</v>
      </c>
      <c r="LP26" s="535">
        <v>9.6257999999999999</v>
      </c>
      <c r="LQ26" s="535">
        <v>9.6462000000000003</v>
      </c>
      <c r="LR26" s="535">
        <v>9.8643000000000001</v>
      </c>
      <c r="LS26" s="535">
        <v>10.0116</v>
      </c>
      <c r="LT26" s="535">
        <v>9.9987999999999992</v>
      </c>
      <c r="LU26" s="535">
        <v>10.176</v>
      </c>
      <c r="LV26" s="535">
        <v>10.252599999999999</v>
      </c>
      <c r="LW26" s="516">
        <v>20</v>
      </c>
      <c r="LX26" s="536"/>
      <c r="LY26" s="536"/>
      <c r="LZ26" s="516">
        <v>20</v>
      </c>
      <c r="MA26" s="535">
        <v>9.8870000000000005</v>
      </c>
      <c r="MB26" s="535">
        <v>9.7021999999999995</v>
      </c>
      <c r="MC26" s="535">
        <v>9.6233000000000004</v>
      </c>
      <c r="MD26" s="535">
        <v>9.1966000000000001</v>
      </c>
      <c r="ME26" s="535">
        <v>8.9952000000000005</v>
      </c>
      <c r="MF26" s="535">
        <v>9.0502000000000002</v>
      </c>
      <c r="MG26" s="535">
        <v>9.1282999999999994</v>
      </c>
      <c r="MH26" s="535">
        <v>9.0832999999999995</v>
      </c>
      <c r="MI26" s="535">
        <v>9.4454999999999991</v>
      </c>
      <c r="MJ26" s="535">
        <v>9.2309999999999999</v>
      </c>
      <c r="MK26" s="535">
        <v>9.2120999999999995</v>
      </c>
      <c r="ML26" s="535">
        <v>9.1052</v>
      </c>
      <c r="MM26" s="516">
        <v>20</v>
      </c>
      <c r="MN26" s="536"/>
      <c r="MO26" s="536"/>
      <c r="MP26" s="516">
        <v>20</v>
      </c>
      <c r="MQ26" s="535">
        <v>9.4382999999999999</v>
      </c>
      <c r="MR26" s="535">
        <v>9.3904999999999994</v>
      </c>
      <c r="MS26" s="535">
        <v>9.3224</v>
      </c>
      <c r="MT26" s="535">
        <v>9.4388000000000005</v>
      </c>
      <c r="MU26" s="535">
        <v>9.5751000000000008</v>
      </c>
      <c r="MV26" s="535">
        <v>9.9243000000000006</v>
      </c>
      <c r="MW26" s="535">
        <v>9.3327000000000009</v>
      </c>
      <c r="MX26" s="535">
        <v>9.1873000000000005</v>
      </c>
      <c r="MY26" s="535">
        <v>9.4171999999999993</v>
      </c>
      <c r="MZ26" s="535">
        <v>9.5764999999999993</v>
      </c>
      <c r="NA26" s="535">
        <v>9.4827999999999992</v>
      </c>
      <c r="NB26" s="535">
        <v>9.3788</v>
      </c>
      <c r="NC26" s="516">
        <v>20</v>
      </c>
      <c r="ND26" s="536"/>
      <c r="NE26" s="536"/>
      <c r="NF26" s="516">
        <v>20</v>
      </c>
      <c r="NG26" s="535">
        <v>10.2258</v>
      </c>
      <c r="NH26" s="535">
        <v>9.8809000000000005</v>
      </c>
      <c r="NI26" s="535">
        <v>9.6462000000000003</v>
      </c>
      <c r="NJ26" s="535">
        <v>9.5236999999999998</v>
      </c>
      <c r="NK26" s="535">
        <v>9.2982999999999993</v>
      </c>
      <c r="NL26" s="535">
        <v>9.4038000000000004</v>
      </c>
      <c r="NM26" s="535">
        <v>9.3562999999999992</v>
      </c>
      <c r="NN26" s="535">
        <v>9.3217999999999996</v>
      </c>
      <c r="NO26" s="535">
        <v>9.3092000000000006</v>
      </c>
      <c r="NP26" s="535">
        <v>9.7142999999999997</v>
      </c>
      <c r="NQ26" s="535">
        <v>9.3460000000000001</v>
      </c>
      <c r="NR26" s="535">
        <v>9.3577999999999992</v>
      </c>
      <c r="NS26" s="516">
        <v>20</v>
      </c>
      <c r="NT26" s="536"/>
      <c r="NU26" s="536"/>
      <c r="NV26" s="516">
        <v>20</v>
      </c>
      <c r="NW26" s="535">
        <v>8.1978000000000009</v>
      </c>
      <c r="NX26" s="535">
        <v>8.5427</v>
      </c>
      <c r="NY26" s="535">
        <v>8.5640999999999998</v>
      </c>
      <c r="NZ26" s="535">
        <v>8.5008999999999997</v>
      </c>
      <c r="OA26" s="535">
        <v>8.5303000000000004</v>
      </c>
      <c r="OB26" s="535">
        <v>8.8966999999999992</v>
      </c>
      <c r="OC26" s="535">
        <v>8.8392999999999997</v>
      </c>
      <c r="OD26" s="535">
        <v>9.2302</v>
      </c>
      <c r="OE26" s="535">
        <v>10.315799999999999</v>
      </c>
      <c r="OF26" s="535">
        <v>10.093299999999999</v>
      </c>
      <c r="OG26" s="535">
        <v>9.9305000000000003</v>
      </c>
      <c r="OH26" s="535">
        <v>9.7863000000000007</v>
      </c>
      <c r="OI26" s="516">
        <v>20</v>
      </c>
      <c r="OJ26" s="536"/>
      <c r="OK26" s="536"/>
      <c r="OL26" s="516">
        <v>20</v>
      </c>
      <c r="OM26" s="535">
        <v>7.8221999999999996</v>
      </c>
      <c r="ON26" s="535">
        <v>7.8010000000000002</v>
      </c>
      <c r="OO26" s="535">
        <v>7.9492000000000003</v>
      </c>
      <c r="OP26" s="535">
        <v>7.8852000000000002</v>
      </c>
      <c r="OQ26" s="535">
        <v>7.8941999999999997</v>
      </c>
      <c r="OR26" s="535">
        <v>7.9097999999999997</v>
      </c>
      <c r="OS26" s="535">
        <v>7.8556999999999997</v>
      </c>
      <c r="OT26" s="535">
        <v>7.7756999999999996</v>
      </c>
      <c r="OU26" s="535">
        <v>7.7560000000000002</v>
      </c>
      <c r="OV26" s="535">
        <v>7.7336</v>
      </c>
      <c r="OW26" s="535">
        <v>8.2642000000000007</v>
      </c>
      <c r="OX26" s="535">
        <v>8.0739999999999998</v>
      </c>
      <c r="OY26" s="516">
        <v>20</v>
      </c>
      <c r="OZ26" s="536"/>
      <c r="PA26" s="536"/>
      <c r="PB26" s="516">
        <v>20</v>
      </c>
      <c r="PC26" s="535">
        <v>7.4667000000000003</v>
      </c>
      <c r="PD26" s="535">
        <v>7.5446</v>
      </c>
      <c r="PE26" s="535">
        <v>7.5560999999999998</v>
      </c>
      <c r="PF26" s="535">
        <v>7.4409999999999998</v>
      </c>
      <c r="PG26" s="535">
        <v>7.4179000000000004</v>
      </c>
      <c r="PH26" s="535">
        <v>7.5552000000000001</v>
      </c>
      <c r="PI26" s="535">
        <v>7.6452999999999998</v>
      </c>
      <c r="PJ26" s="535">
        <v>7.4789000000000003</v>
      </c>
      <c r="PK26" s="535">
        <v>7.4907000000000004</v>
      </c>
      <c r="PL26" s="535">
        <v>7.7725999999999997</v>
      </c>
      <c r="PM26" s="535">
        <v>7.9085000000000001</v>
      </c>
      <c r="PN26" s="535">
        <v>7.8810000000000002</v>
      </c>
      <c r="PO26" s="516">
        <v>20</v>
      </c>
      <c r="PP26" s="536"/>
      <c r="PQ26" s="536"/>
      <c r="PR26" s="516">
        <v>20</v>
      </c>
      <c r="PS26" s="535">
        <v>5.2824999999999998</v>
      </c>
      <c r="PT26" s="535">
        <v>6.1</v>
      </c>
      <c r="PU26" s="535">
        <v>7.2074999999999996</v>
      </c>
      <c r="PV26" s="535">
        <v>6.2450000000000001</v>
      </c>
      <c r="PW26" s="535">
        <v>5.92</v>
      </c>
      <c r="PX26" s="535">
        <v>6.1807999999999996</v>
      </c>
      <c r="PY26" s="535">
        <v>6.0412999999999997</v>
      </c>
      <c r="PZ26" s="535">
        <v>6.1849999999999996</v>
      </c>
      <c r="QA26" s="535">
        <v>6.2874999999999996</v>
      </c>
      <c r="QB26" s="535">
        <v>6.7061999999999999</v>
      </c>
      <c r="QC26" s="535">
        <v>7.8</v>
      </c>
      <c r="QD26" s="535">
        <v>7.7587999999999999</v>
      </c>
      <c r="QE26" s="516">
        <v>20</v>
      </c>
      <c r="QF26" s="536"/>
      <c r="QG26" s="536"/>
      <c r="QH26" s="516">
        <v>20</v>
      </c>
      <c r="QI26" s="535">
        <v>3.1057999999999999</v>
      </c>
      <c r="QJ26" s="535">
        <v>3.1053000000000002</v>
      </c>
      <c r="QK26" s="535">
        <v>3.3043</v>
      </c>
      <c r="QL26" s="535">
        <v>3.3681999999999999</v>
      </c>
      <c r="QM26" s="535">
        <v>3.3309000000000002</v>
      </c>
      <c r="QN26" s="535">
        <v>3.3675000000000002</v>
      </c>
      <c r="QO26" s="535">
        <v>3.3997999999999999</v>
      </c>
      <c r="QP26" s="535">
        <v>3.3769</v>
      </c>
      <c r="QQ26" s="535">
        <v>3.4144999999999999</v>
      </c>
      <c r="QR26" s="535">
        <v>3.4216000000000002</v>
      </c>
      <c r="QS26" s="535">
        <v>3.4533999999999998</v>
      </c>
      <c r="QT26" s="535">
        <v>3.4634999999999998</v>
      </c>
      <c r="QU26" s="516">
        <v>20</v>
      </c>
      <c r="QV26" s="536"/>
      <c r="QW26" s="536"/>
      <c r="QX26" s="516">
        <v>20</v>
      </c>
      <c r="QY26" s="535">
        <v>3.1095000000000002</v>
      </c>
      <c r="QZ26" s="535">
        <v>3.0943000000000001</v>
      </c>
      <c r="RA26" s="535">
        <v>3.1168999999999998</v>
      </c>
      <c r="RB26" s="535">
        <v>3.0939999999999999</v>
      </c>
      <c r="RC26" s="535">
        <v>3.1168999999999998</v>
      </c>
      <c r="RD26" s="535">
        <v>3.1171000000000002</v>
      </c>
      <c r="RE26" s="535">
        <v>3.1244000000000001</v>
      </c>
      <c r="RF26" s="535">
        <v>3.1118999999999999</v>
      </c>
      <c r="RG26" s="535">
        <v>3.1107999999999998</v>
      </c>
      <c r="RH26" s="535">
        <v>3.1122999999999998</v>
      </c>
      <c r="RI26" s="535">
        <v>3.1114000000000002</v>
      </c>
      <c r="RJ26" s="535">
        <v>3.1053000000000002</v>
      </c>
      <c r="RK26" s="516">
        <v>20</v>
      </c>
      <c r="RL26" s="536"/>
      <c r="RM26" s="536"/>
      <c r="RN26" s="516">
        <v>20</v>
      </c>
      <c r="RO26" s="535">
        <v>3.0678999999999998</v>
      </c>
      <c r="RP26" s="535">
        <v>3.0617999999999999</v>
      </c>
      <c r="RQ26" s="535">
        <v>3.0678999999999998</v>
      </c>
      <c r="RR26" s="535">
        <v>3.0649999999999999</v>
      </c>
      <c r="RS26" s="535">
        <v>3.0973999999999999</v>
      </c>
      <c r="RT26" s="535">
        <v>3.1202999999999999</v>
      </c>
      <c r="RU26" s="535">
        <v>3.1175000000000002</v>
      </c>
      <c r="RV26" s="535">
        <v>3.0876000000000001</v>
      </c>
      <c r="RW26" s="535">
        <v>3.0916000000000001</v>
      </c>
      <c r="RX26" s="535">
        <v>3.1339999999999999</v>
      </c>
      <c r="RY26" s="535">
        <v>3.1150000000000002</v>
      </c>
      <c r="RZ26" s="535">
        <v>3.1204000000000001</v>
      </c>
      <c r="SA26" s="516">
        <v>20</v>
      </c>
      <c r="SB26" s="536"/>
      <c r="SC26" s="536"/>
      <c r="SD26" s="516">
        <v>20</v>
      </c>
      <c r="SE26" s="535">
        <v>2.9533999999999998</v>
      </c>
      <c r="SF26" s="535">
        <v>2.9662000000000002</v>
      </c>
      <c r="SG26" s="535">
        <v>2.9773999999999998</v>
      </c>
      <c r="SH26" s="535">
        <v>2.9897999999999998</v>
      </c>
      <c r="SI26" s="535">
        <v>3.0009999999999999</v>
      </c>
      <c r="SJ26" s="535">
        <v>3.0142000000000002</v>
      </c>
      <c r="SK26" s="535">
        <v>3.0261999999999998</v>
      </c>
      <c r="SL26" s="535">
        <v>3.0377999999999998</v>
      </c>
      <c r="SM26" s="535">
        <v>3.0510000000000002</v>
      </c>
      <c r="SN26" s="535">
        <v>3.0642</v>
      </c>
      <c r="SO26" s="535">
        <v>3.0672600000000001</v>
      </c>
      <c r="SP26" s="535">
        <v>3.0760000000000001</v>
      </c>
      <c r="SQ26" s="516">
        <v>20</v>
      </c>
      <c r="SR26" s="536"/>
      <c r="SS26" s="536"/>
      <c r="ST26" s="516">
        <v>20</v>
      </c>
      <c r="SU26" s="535">
        <v>2.6619999999999999</v>
      </c>
      <c r="SV26" s="535">
        <v>2.6909999999999998</v>
      </c>
      <c r="SW26" s="535">
        <v>2.7189999999999999</v>
      </c>
      <c r="SX26" s="535">
        <v>2.7519999999999998</v>
      </c>
      <c r="SY26" s="535">
        <v>2.7810000000000001</v>
      </c>
      <c r="SZ26" s="535">
        <v>2.8090000000000002</v>
      </c>
      <c r="TA26" s="535">
        <v>2.8330000000000002</v>
      </c>
      <c r="TB26" s="535">
        <v>2.8561999999999999</v>
      </c>
      <c r="TC26" s="535">
        <v>2.8826000000000001</v>
      </c>
      <c r="TD26" s="535">
        <v>2.9066000000000001</v>
      </c>
      <c r="TE26" s="535">
        <v>2.9285999999999999</v>
      </c>
      <c r="TF26" s="535">
        <v>2.9413999999999998</v>
      </c>
      <c r="TG26" s="516">
        <v>20</v>
      </c>
      <c r="TH26" s="536"/>
      <c r="TI26" s="536"/>
      <c r="TJ26" s="516">
        <v>20</v>
      </c>
      <c r="TK26" s="535">
        <v>2.2970000000000002</v>
      </c>
      <c r="TL26" s="535">
        <v>2.3260000000000001</v>
      </c>
      <c r="TM26" s="535">
        <v>2.3540000000000001</v>
      </c>
      <c r="TN26" s="535">
        <v>2.387</v>
      </c>
      <c r="TO26" s="535">
        <v>2.4169999999999998</v>
      </c>
      <c r="TP26" s="535">
        <v>2.4460000000000002</v>
      </c>
      <c r="TQ26" s="535">
        <v>2.4780000000000002</v>
      </c>
      <c r="TR26" s="535">
        <v>2.508</v>
      </c>
      <c r="TS26" s="535">
        <v>2.54</v>
      </c>
      <c r="TT26" s="535">
        <v>2.57</v>
      </c>
      <c r="TU26" s="535">
        <v>2.5990000000000002</v>
      </c>
      <c r="TV26" s="535">
        <v>2.6309999999999998</v>
      </c>
      <c r="TW26" s="516">
        <v>20</v>
      </c>
    </row>
    <row r="27" spans="2:543" s="4" customFormat="1" ht="23" customHeight="1">
      <c r="B27" s="516">
        <v>21</v>
      </c>
      <c r="C27" s="549">
        <v>20.46</v>
      </c>
      <c r="D27" s="549">
        <v>20.297799999999999</v>
      </c>
      <c r="E27" s="549">
        <v>20.558499999999999</v>
      </c>
      <c r="F27" s="549">
        <v>20.044699999999999</v>
      </c>
      <c r="G27" s="549">
        <v>19.9267</v>
      </c>
      <c r="H27" s="549">
        <v>20.475999999999999</v>
      </c>
      <c r="I27" s="549">
        <v>20.4407</v>
      </c>
      <c r="J27" s="549">
        <v>20.083500000000001</v>
      </c>
      <c r="K27" s="549">
        <v>19.994299999999999</v>
      </c>
      <c r="L27" s="549">
        <v>20.127199999999998</v>
      </c>
      <c r="M27" s="662">
        <f t="shared" si="9"/>
        <v>19.746300000000002</v>
      </c>
      <c r="N27" s="662">
        <f t="shared" si="8"/>
        <v>19.746300000000002</v>
      </c>
      <c r="O27" s="516">
        <v>21</v>
      </c>
      <c r="R27" s="516">
        <v>21</v>
      </c>
      <c r="S27" s="549">
        <v>19.678799999999999</v>
      </c>
      <c r="T27" s="549">
        <v>20.416499999999999</v>
      </c>
      <c r="U27" s="549">
        <v>20.441500000000001</v>
      </c>
      <c r="V27" s="549">
        <v>19.814499999999999</v>
      </c>
      <c r="W27" s="549">
        <v>19.814299999999999</v>
      </c>
      <c r="X27" s="549">
        <v>20.429200000000002</v>
      </c>
      <c r="Y27" s="549">
        <v>20</v>
      </c>
      <c r="Z27" s="549">
        <v>20.1175</v>
      </c>
      <c r="AA27" s="549">
        <v>19.985299999999999</v>
      </c>
      <c r="AB27" s="549">
        <v>20.264700000000001</v>
      </c>
      <c r="AC27" s="549">
        <v>20.762799999999999</v>
      </c>
      <c r="AD27" s="549">
        <v>20.733699999999999</v>
      </c>
      <c r="AE27" s="516">
        <v>21</v>
      </c>
      <c r="AH27" s="516">
        <v>21</v>
      </c>
      <c r="AI27" s="549">
        <v>18.738800000000001</v>
      </c>
      <c r="AJ27" s="549">
        <v>18.591000000000001</v>
      </c>
      <c r="AK27" s="549">
        <v>24.0868</v>
      </c>
      <c r="AL27" s="549">
        <v>23.901199999999999</v>
      </c>
      <c r="AM27" s="549">
        <v>23.6023</v>
      </c>
      <c r="AN27" s="549">
        <v>22.608799999999999</v>
      </c>
      <c r="AO27" s="549">
        <v>22.489699999999999</v>
      </c>
      <c r="AP27" s="549">
        <v>22.052700000000002</v>
      </c>
      <c r="AQ27" s="549">
        <v>20.984999999999999</v>
      </c>
      <c r="AR27" s="549">
        <v>21.1342</v>
      </c>
      <c r="AS27" s="549">
        <v>20.1858</v>
      </c>
      <c r="AT27" s="549">
        <v>19.817299999999999</v>
      </c>
      <c r="AU27" s="516">
        <v>21</v>
      </c>
      <c r="AX27" s="516">
        <v>21</v>
      </c>
      <c r="AY27" s="535">
        <v>19.062999999999999</v>
      </c>
      <c r="AZ27" s="535">
        <v>19.177800000000001</v>
      </c>
      <c r="BA27" s="537">
        <v>19.000399999999999</v>
      </c>
      <c r="BB27" s="535">
        <v>18.951599999999999</v>
      </c>
      <c r="BC27" s="535">
        <v>19.145399999999999</v>
      </c>
      <c r="BD27" s="535">
        <v>19.1753</v>
      </c>
      <c r="BE27" s="535">
        <v>19.0108</v>
      </c>
      <c r="BF27" s="535">
        <v>19.815300000000001</v>
      </c>
      <c r="BG27" s="535">
        <v>19.398099999999999</v>
      </c>
      <c r="BH27" s="535">
        <v>19.1602</v>
      </c>
      <c r="BI27" s="535">
        <v>19.3687</v>
      </c>
      <c r="BJ27" s="535">
        <v>18.963999999999999</v>
      </c>
      <c r="BK27" s="516">
        <v>21</v>
      </c>
      <c r="BN27" s="516">
        <v>21</v>
      </c>
      <c r="BO27" s="535">
        <v>18.636099999999999</v>
      </c>
      <c r="BP27" s="535">
        <v>18.536000000000001</v>
      </c>
      <c r="BQ27" s="537">
        <v>18.721599999999999</v>
      </c>
      <c r="BR27" s="535">
        <v>18.2819</v>
      </c>
      <c r="BS27" s="535">
        <v>19.703299999999999</v>
      </c>
      <c r="BT27" s="535">
        <v>20.553100000000001</v>
      </c>
      <c r="BU27" s="535">
        <v>19.079000000000001</v>
      </c>
      <c r="BV27" s="535">
        <v>19.061499999999999</v>
      </c>
      <c r="BW27" s="535">
        <v>18.767199999999999</v>
      </c>
      <c r="BX27" s="535">
        <v>19.101800000000001</v>
      </c>
      <c r="BY27" s="535">
        <v>20.155000000000001</v>
      </c>
      <c r="BZ27" s="535">
        <v>20.029299999999999</v>
      </c>
      <c r="CA27" s="516">
        <v>21</v>
      </c>
      <c r="CD27" s="516">
        <v>21</v>
      </c>
      <c r="CE27" s="535">
        <v>21.904399999999999</v>
      </c>
      <c r="CF27" s="535">
        <v>20.4526</v>
      </c>
      <c r="CG27" s="535">
        <v>19.172999999999998</v>
      </c>
      <c r="CH27" s="535">
        <v>18.837399999999999</v>
      </c>
      <c r="CI27" s="535">
        <v>18.889800000000001</v>
      </c>
      <c r="CJ27" s="535">
        <v>17.951899999999998</v>
      </c>
      <c r="CK27" s="535">
        <v>17.4937</v>
      </c>
      <c r="CL27" s="535">
        <v>17.732399999999998</v>
      </c>
      <c r="CM27" s="535">
        <v>17.764299999999999</v>
      </c>
      <c r="CN27" s="535">
        <v>18.8248</v>
      </c>
      <c r="CO27" s="535">
        <v>19.122399999999999</v>
      </c>
      <c r="CP27" s="535">
        <v>19.191299999999998</v>
      </c>
      <c r="CQ27" s="516">
        <v>21</v>
      </c>
      <c r="CT27" s="516">
        <v>21</v>
      </c>
      <c r="CU27" s="535">
        <v>18.194700000000001</v>
      </c>
      <c r="CV27" s="535">
        <v>18.143899999999999</v>
      </c>
      <c r="CW27" s="535">
        <v>17.403400000000001</v>
      </c>
      <c r="CX27" s="535">
        <v>17.282499999999999</v>
      </c>
      <c r="CY27" s="535">
        <v>18.546500000000002</v>
      </c>
      <c r="CZ27" s="535">
        <v>18.852699999999999</v>
      </c>
      <c r="DA27" s="535">
        <v>18.571899999999999</v>
      </c>
      <c r="DB27" s="535">
        <v>18.083200000000001</v>
      </c>
      <c r="DC27" s="535">
        <v>19.6097</v>
      </c>
      <c r="DD27" s="535">
        <v>18.589400000000001</v>
      </c>
      <c r="DE27" s="535">
        <v>20.189800000000002</v>
      </c>
      <c r="DF27" s="535">
        <v>20.409800000000001</v>
      </c>
      <c r="DG27" s="516">
        <v>21</v>
      </c>
      <c r="DJ27" s="516">
        <v>21</v>
      </c>
      <c r="DK27" s="535">
        <v>14.6524</v>
      </c>
      <c r="DL27" s="535">
        <v>14.958299999999999</v>
      </c>
      <c r="DM27" s="535">
        <v>15.295999999999999</v>
      </c>
      <c r="DN27" s="535">
        <v>15.312799999999999</v>
      </c>
      <c r="DO27" s="535">
        <v>15.200799999999999</v>
      </c>
      <c r="DP27" s="535">
        <v>15.4199</v>
      </c>
      <c r="DQ27" s="535">
        <v>15.912100000000001</v>
      </c>
      <c r="DR27" s="535">
        <v>16.4908</v>
      </c>
      <c r="DS27" s="535">
        <v>16.568000000000001</v>
      </c>
      <c r="DT27" s="535">
        <v>16.489899999999999</v>
      </c>
      <c r="DU27" s="535">
        <v>16.5748</v>
      </c>
      <c r="DV27" s="535">
        <v>17.100000000000001</v>
      </c>
      <c r="DW27" s="516">
        <v>21</v>
      </c>
      <c r="DZ27" s="516">
        <v>21</v>
      </c>
      <c r="EA27" s="535">
        <v>13.2737</v>
      </c>
      <c r="EB27" s="535">
        <v>13.2714</v>
      </c>
      <c r="EC27" s="535">
        <v>13.169499999999999</v>
      </c>
      <c r="ED27" s="535">
        <v>13.098599999999999</v>
      </c>
      <c r="EE27" s="535">
        <v>12.894399999999999</v>
      </c>
      <c r="EF27" s="535">
        <v>12.9885</v>
      </c>
      <c r="EG27" s="535">
        <v>12.945399999999999</v>
      </c>
      <c r="EH27" s="535">
        <v>13.0532</v>
      </c>
      <c r="EI27" s="535">
        <v>13.2402</v>
      </c>
      <c r="EJ27" s="535">
        <v>13.523099999999999</v>
      </c>
      <c r="EK27" s="535">
        <v>13.614599999999999</v>
      </c>
      <c r="EL27" s="535">
        <v>14.5562</v>
      </c>
      <c r="EM27" s="516">
        <v>21</v>
      </c>
      <c r="EP27" s="516">
        <v>21</v>
      </c>
      <c r="EQ27" s="535">
        <v>12.5868</v>
      </c>
      <c r="ER27" s="535">
        <v>12.6873</v>
      </c>
      <c r="ES27" s="535">
        <v>12.4339</v>
      </c>
      <c r="ET27" s="535">
        <v>12.2479</v>
      </c>
      <c r="EU27" s="535">
        <v>12.3177</v>
      </c>
      <c r="EV27" s="535">
        <v>12.8695</v>
      </c>
      <c r="EW27" s="535">
        <v>12.4976</v>
      </c>
      <c r="EX27" s="535">
        <v>13.0124</v>
      </c>
      <c r="EY27" s="535">
        <v>12.7179</v>
      </c>
      <c r="EZ27" s="535">
        <v>12.771699999999999</v>
      </c>
      <c r="FA27" s="535">
        <v>12.886900000000001</v>
      </c>
      <c r="FB27" s="535">
        <v>12.973000000000001</v>
      </c>
      <c r="FC27" s="516">
        <v>21</v>
      </c>
      <c r="FF27" s="516">
        <v>21</v>
      </c>
      <c r="FG27" s="535">
        <v>13.2516</v>
      </c>
      <c r="FH27" s="535">
        <v>12.785600000000001</v>
      </c>
      <c r="FI27" s="535">
        <v>12.6645</v>
      </c>
      <c r="FJ27" s="535">
        <v>13.2288</v>
      </c>
      <c r="FK27" s="535">
        <v>13.7994</v>
      </c>
      <c r="FL27" s="535">
        <v>13.7033</v>
      </c>
      <c r="FM27" s="535">
        <v>13.1921</v>
      </c>
      <c r="FN27" s="535">
        <v>13.1745</v>
      </c>
      <c r="FO27" s="535">
        <v>12.823499999999999</v>
      </c>
      <c r="FP27" s="535">
        <v>12.8299</v>
      </c>
      <c r="FQ27" s="535">
        <v>13.206300000000001</v>
      </c>
      <c r="FR27" s="535">
        <v>12.732699999999999</v>
      </c>
      <c r="FS27" s="516">
        <v>21</v>
      </c>
      <c r="FV27" s="516">
        <v>21</v>
      </c>
      <c r="FW27" s="535">
        <v>12.074400000000001</v>
      </c>
      <c r="FX27" s="535">
        <v>12.048299999999999</v>
      </c>
      <c r="FY27" s="535">
        <v>12.092499999999999</v>
      </c>
      <c r="FZ27" s="535">
        <v>11.692500000000001</v>
      </c>
      <c r="GA27" s="535">
        <v>11.658799999999999</v>
      </c>
      <c r="GB27" s="535">
        <v>11.900600000000001</v>
      </c>
      <c r="GC27" s="535">
        <v>11.696400000000001</v>
      </c>
      <c r="GD27" s="535">
        <v>12.368499999999999</v>
      </c>
      <c r="GE27" s="535">
        <v>13.186</v>
      </c>
      <c r="GF27" s="535">
        <v>13.3733</v>
      </c>
      <c r="GG27" s="535">
        <v>13.637499999999999</v>
      </c>
      <c r="GH27" s="535">
        <v>13.854200000000001</v>
      </c>
      <c r="GI27" s="516">
        <v>21</v>
      </c>
      <c r="GL27" s="516">
        <v>21</v>
      </c>
      <c r="GM27" s="535">
        <v>12.6478</v>
      </c>
      <c r="GN27" s="535">
        <v>12.844200000000001</v>
      </c>
      <c r="GO27" s="535">
        <v>12.472899999999999</v>
      </c>
      <c r="GP27" s="535">
        <v>12.3064</v>
      </c>
      <c r="GQ27" s="535">
        <v>12.9138</v>
      </c>
      <c r="GR27" s="535">
        <v>12.592499999999999</v>
      </c>
      <c r="GS27" s="535">
        <v>12.9162</v>
      </c>
      <c r="GT27" s="535">
        <v>12.7226</v>
      </c>
      <c r="GU27" s="535">
        <v>12.779299999999999</v>
      </c>
      <c r="GV27" s="535">
        <v>12.4818</v>
      </c>
      <c r="GW27" s="535">
        <v>12.292400000000001</v>
      </c>
      <c r="GX27" s="535">
        <v>12.4345</v>
      </c>
      <c r="GY27" s="516">
        <v>21</v>
      </c>
      <c r="HB27" s="516">
        <v>21</v>
      </c>
      <c r="HC27" s="535">
        <v>13.9777</v>
      </c>
      <c r="HD27" s="535">
        <v>14.5505</v>
      </c>
      <c r="HE27" s="535">
        <v>14.08</v>
      </c>
      <c r="HF27" s="535">
        <v>13.155799999999999</v>
      </c>
      <c r="HG27" s="535">
        <v>12.968</v>
      </c>
      <c r="HH27" s="535">
        <v>13.369400000000001</v>
      </c>
      <c r="HI27" s="535">
        <v>13.3895</v>
      </c>
      <c r="HJ27" s="535">
        <v>12.915900000000001</v>
      </c>
      <c r="HK27" s="535">
        <v>13.23</v>
      </c>
      <c r="HL27" s="535">
        <v>13.084</v>
      </c>
      <c r="HM27" s="535">
        <v>13.0502</v>
      </c>
      <c r="HN27" s="535">
        <v>12.9331</v>
      </c>
      <c r="HO27" s="516">
        <v>21</v>
      </c>
      <c r="HP27" s="536"/>
      <c r="HQ27" s="536"/>
      <c r="HR27" s="516">
        <v>21</v>
      </c>
      <c r="HS27" s="535">
        <v>10.9445</v>
      </c>
      <c r="HT27" s="535">
        <v>10.748900000000001</v>
      </c>
      <c r="HU27" s="535">
        <v>10.704000000000001</v>
      </c>
      <c r="HV27" s="535">
        <v>10.482799999999999</v>
      </c>
      <c r="HW27" s="535">
        <v>10.379200000000001</v>
      </c>
      <c r="HX27" s="535">
        <v>10.3156</v>
      </c>
      <c r="HY27" s="535">
        <v>10.2311</v>
      </c>
      <c r="HZ27" s="535">
        <v>10.1867</v>
      </c>
      <c r="IA27" s="535">
        <v>10.836499999999999</v>
      </c>
      <c r="IB27" s="535">
        <v>12.8475</v>
      </c>
      <c r="IC27" s="535">
        <v>13.18</v>
      </c>
      <c r="ID27" s="535">
        <v>13.215</v>
      </c>
      <c r="IE27" s="516">
        <v>21</v>
      </c>
      <c r="IF27" s="536"/>
      <c r="IG27" s="536"/>
      <c r="IH27" s="516">
        <v>21</v>
      </c>
      <c r="II27" s="535">
        <v>10.9232</v>
      </c>
      <c r="IJ27" s="535">
        <v>10.9778</v>
      </c>
      <c r="IK27" s="535">
        <v>11.166399999999999</v>
      </c>
      <c r="IL27" s="535">
        <v>11.004799999999999</v>
      </c>
      <c r="IM27" s="535">
        <v>10.8033</v>
      </c>
      <c r="IN27" s="535">
        <v>10.7494</v>
      </c>
      <c r="IO27" s="535">
        <v>10.720700000000001</v>
      </c>
      <c r="IP27" s="535">
        <v>11.1259</v>
      </c>
      <c r="IQ27" s="535">
        <v>10.9871</v>
      </c>
      <c r="IR27" s="535">
        <v>10.8133</v>
      </c>
      <c r="IS27" s="535">
        <v>10.9353</v>
      </c>
      <c r="IT27" s="535">
        <v>10.841200000000001</v>
      </c>
      <c r="IU27" s="516">
        <v>21</v>
      </c>
      <c r="IV27" s="536"/>
      <c r="IW27" s="536"/>
      <c r="IX27" s="516">
        <v>21</v>
      </c>
      <c r="IY27" s="535">
        <v>10.5589</v>
      </c>
      <c r="IZ27" s="535">
        <v>10.4528</v>
      </c>
      <c r="JA27" s="535">
        <v>10.688499999999999</v>
      </c>
      <c r="JB27" s="535">
        <v>10.9773</v>
      </c>
      <c r="JC27" s="535">
        <v>11.2005</v>
      </c>
      <c r="JD27" s="535">
        <v>11.4459</v>
      </c>
      <c r="JE27" s="535">
        <v>10.904500000000001</v>
      </c>
      <c r="JF27" s="535">
        <v>10.747999999999999</v>
      </c>
      <c r="JG27" s="535">
        <v>10.922700000000001</v>
      </c>
      <c r="JH27" s="535">
        <v>10.805999999999999</v>
      </c>
      <c r="JI27" s="535">
        <v>10.8527</v>
      </c>
      <c r="JJ27" s="535">
        <v>10.8492</v>
      </c>
      <c r="JK27" s="516">
        <v>21</v>
      </c>
      <c r="JL27" s="536"/>
      <c r="JM27" s="536"/>
      <c r="JN27" s="516">
        <v>21</v>
      </c>
      <c r="JO27" s="535">
        <v>11.232799999999999</v>
      </c>
      <c r="JP27" s="535">
        <v>11.1389</v>
      </c>
      <c r="JQ27" s="535">
        <v>11.2193</v>
      </c>
      <c r="JR27" s="535">
        <v>11.0776</v>
      </c>
      <c r="JS27" s="535">
        <v>10.9283</v>
      </c>
      <c r="JT27" s="535">
        <v>10.7913</v>
      </c>
      <c r="JU27" s="535">
        <v>10.6227</v>
      </c>
      <c r="JV27" s="535">
        <v>10.6601</v>
      </c>
      <c r="JW27" s="535">
        <v>10.8558</v>
      </c>
      <c r="JX27" s="535">
        <v>10.8752</v>
      </c>
      <c r="JY27" s="535">
        <v>10.676</v>
      </c>
      <c r="JZ27" s="535">
        <v>10.728300000000001</v>
      </c>
      <c r="KA27" s="516">
        <v>21</v>
      </c>
      <c r="KB27" s="536"/>
      <c r="KC27" s="536"/>
      <c r="KD27" s="516">
        <v>21</v>
      </c>
      <c r="KE27" s="535">
        <v>10.8264</v>
      </c>
      <c r="KF27" s="535">
        <v>10.9688</v>
      </c>
      <c r="KG27" s="535">
        <v>11.0128</v>
      </c>
      <c r="KH27" s="535">
        <v>11.250999999999999</v>
      </c>
      <c r="KI27" s="535">
        <v>11.5448</v>
      </c>
      <c r="KJ27" s="535">
        <v>11.3523</v>
      </c>
      <c r="KK27" s="535">
        <v>11.378500000000001</v>
      </c>
      <c r="KL27" s="535">
        <v>11.355</v>
      </c>
      <c r="KM27" s="535">
        <v>11.477399999999999</v>
      </c>
      <c r="KN27" s="535">
        <v>11.450699999999999</v>
      </c>
      <c r="KO27" s="535">
        <v>11.333500000000001</v>
      </c>
      <c r="KP27" s="535">
        <v>11.2403</v>
      </c>
      <c r="KQ27" s="516">
        <v>21</v>
      </c>
      <c r="KR27" s="536"/>
      <c r="KS27" s="536"/>
      <c r="KT27" s="516">
        <v>21</v>
      </c>
      <c r="KU27" s="535">
        <v>10.59</v>
      </c>
      <c r="KV27" s="535">
        <v>10.84</v>
      </c>
      <c r="KW27" s="535">
        <v>10.863300000000001</v>
      </c>
      <c r="KX27" s="535">
        <v>10.639799999999999</v>
      </c>
      <c r="KY27" s="535">
        <v>10.3498</v>
      </c>
      <c r="KZ27" s="535">
        <v>10.485799999999999</v>
      </c>
      <c r="LA27" s="535">
        <v>10.349</v>
      </c>
      <c r="LB27" s="535">
        <v>10.800700000000001</v>
      </c>
      <c r="LC27" s="535">
        <v>10.9163</v>
      </c>
      <c r="LD27" s="535">
        <v>11.280200000000001</v>
      </c>
      <c r="LE27" s="535">
        <v>11.164300000000001</v>
      </c>
      <c r="LF27" s="535">
        <v>11.2193</v>
      </c>
      <c r="LG27" s="516">
        <v>21</v>
      </c>
      <c r="LH27" s="536"/>
      <c r="LI27" s="536"/>
      <c r="LJ27" s="516">
        <v>21</v>
      </c>
      <c r="LK27" s="535">
        <v>9.1255000000000006</v>
      </c>
      <c r="LL27" s="535">
        <v>9.0690000000000008</v>
      </c>
      <c r="LM27" s="535">
        <v>9.0741999999999994</v>
      </c>
      <c r="LN27" s="535">
        <v>9.2345000000000006</v>
      </c>
      <c r="LO27" s="535">
        <v>9.4710000000000001</v>
      </c>
      <c r="LP27" s="535">
        <v>9.6982999999999997</v>
      </c>
      <c r="LQ27" s="535">
        <v>9.6462000000000003</v>
      </c>
      <c r="LR27" s="535">
        <v>9.7746999999999993</v>
      </c>
      <c r="LS27" s="535">
        <v>10.062799999999999</v>
      </c>
      <c r="LT27" s="535">
        <v>9.9987999999999992</v>
      </c>
      <c r="LU27" s="535">
        <v>10.176</v>
      </c>
      <c r="LV27" s="535">
        <v>10.192</v>
      </c>
      <c r="LW27" s="516">
        <v>21</v>
      </c>
      <c r="LX27" s="536"/>
      <c r="LY27" s="536"/>
      <c r="LZ27" s="516">
        <v>21</v>
      </c>
      <c r="MA27" s="535">
        <v>9.8870000000000005</v>
      </c>
      <c r="MB27" s="535">
        <v>9.7043999999999997</v>
      </c>
      <c r="MC27" s="535">
        <v>9.5683000000000007</v>
      </c>
      <c r="MD27" s="535">
        <v>9.2748000000000008</v>
      </c>
      <c r="ME27" s="535">
        <v>8.9952000000000005</v>
      </c>
      <c r="MF27" s="535">
        <v>9.0792000000000002</v>
      </c>
      <c r="MG27" s="535">
        <v>9.1999999999999993</v>
      </c>
      <c r="MH27" s="535">
        <v>9.1155000000000008</v>
      </c>
      <c r="MI27" s="535">
        <v>9.4184999999999999</v>
      </c>
      <c r="MJ27" s="535">
        <v>9.2309999999999999</v>
      </c>
      <c r="MK27" s="535">
        <v>9.2120999999999995</v>
      </c>
      <c r="ML27" s="535">
        <v>9.1174999999999997</v>
      </c>
      <c r="MM27" s="516">
        <v>21</v>
      </c>
      <c r="MN27" s="536"/>
      <c r="MO27" s="536"/>
      <c r="MP27" s="516">
        <v>21</v>
      </c>
      <c r="MQ27" s="535">
        <v>9.4085999999999999</v>
      </c>
      <c r="MR27" s="535">
        <v>9.3904999999999994</v>
      </c>
      <c r="MS27" s="535">
        <v>9.3254999999999999</v>
      </c>
      <c r="MT27" s="535">
        <v>9.4388000000000005</v>
      </c>
      <c r="MU27" s="535">
        <v>9.5751000000000008</v>
      </c>
      <c r="MV27" s="535">
        <v>9.9031000000000002</v>
      </c>
      <c r="MW27" s="535">
        <v>9.4117999999999995</v>
      </c>
      <c r="MX27" s="535">
        <v>9.1873000000000005</v>
      </c>
      <c r="MY27" s="535">
        <v>9.4250000000000007</v>
      </c>
      <c r="MZ27" s="535">
        <v>9.5333000000000006</v>
      </c>
      <c r="NA27" s="535">
        <v>9.4827999999999992</v>
      </c>
      <c r="NB27" s="535">
        <v>9.3789999999999996</v>
      </c>
      <c r="NC27" s="516">
        <v>21</v>
      </c>
      <c r="ND27" s="536"/>
      <c r="NE27" s="536"/>
      <c r="NF27" s="516">
        <v>21</v>
      </c>
      <c r="NG27" s="535">
        <v>10.2783</v>
      </c>
      <c r="NH27" s="535">
        <v>9.8809000000000005</v>
      </c>
      <c r="NI27" s="535">
        <v>9.6462000000000003</v>
      </c>
      <c r="NJ27" s="535">
        <v>9.3831000000000007</v>
      </c>
      <c r="NK27" s="535">
        <v>9.3086000000000002</v>
      </c>
      <c r="NL27" s="535">
        <v>9.4038000000000004</v>
      </c>
      <c r="NM27" s="535">
        <v>9.3008000000000006</v>
      </c>
      <c r="NN27" s="535">
        <v>9.3744999999999994</v>
      </c>
      <c r="NO27" s="535">
        <v>9.3712</v>
      </c>
      <c r="NP27" s="535">
        <v>9.6713000000000005</v>
      </c>
      <c r="NQ27" s="535">
        <v>9.3460000000000001</v>
      </c>
      <c r="NR27" s="535">
        <v>9.3298000000000005</v>
      </c>
      <c r="NS27" s="516">
        <v>21</v>
      </c>
      <c r="NT27" s="536"/>
      <c r="NU27" s="536"/>
      <c r="NV27" s="516">
        <v>21</v>
      </c>
      <c r="NW27" s="535">
        <v>8.1803000000000008</v>
      </c>
      <c r="NX27" s="535">
        <v>8.5449000000000002</v>
      </c>
      <c r="NY27" s="535">
        <v>8.5638000000000005</v>
      </c>
      <c r="NZ27" s="535">
        <v>8.4945000000000004</v>
      </c>
      <c r="OA27" s="535">
        <v>8.5848999999999993</v>
      </c>
      <c r="OB27" s="535">
        <v>8.8966999999999992</v>
      </c>
      <c r="OC27" s="535">
        <v>8.8217999999999996</v>
      </c>
      <c r="OD27" s="535">
        <v>9.1873000000000005</v>
      </c>
      <c r="OE27" s="535">
        <v>10.315799999999999</v>
      </c>
      <c r="OF27" s="535">
        <v>10.0863</v>
      </c>
      <c r="OG27" s="535">
        <v>9.9305000000000003</v>
      </c>
      <c r="OH27" s="535">
        <v>9.7863000000000007</v>
      </c>
      <c r="OI27" s="516">
        <v>21</v>
      </c>
      <c r="OJ27" s="536"/>
      <c r="OK27" s="536"/>
      <c r="OL27" s="516">
        <v>21</v>
      </c>
      <c r="OM27" s="535">
        <v>7.8274999999999997</v>
      </c>
      <c r="ON27" s="535">
        <v>7.7887000000000004</v>
      </c>
      <c r="OO27" s="535">
        <v>7.9233000000000002</v>
      </c>
      <c r="OP27" s="535">
        <v>7.8852000000000002</v>
      </c>
      <c r="OQ27" s="535">
        <v>7.8933999999999997</v>
      </c>
      <c r="OR27" s="535">
        <v>7.9168000000000003</v>
      </c>
      <c r="OS27" s="535">
        <v>7.8556999999999997</v>
      </c>
      <c r="OT27" s="535">
        <v>7.7575000000000003</v>
      </c>
      <c r="OU27" s="535">
        <v>7.7560000000000002</v>
      </c>
      <c r="OV27" s="535">
        <v>7.7484000000000002</v>
      </c>
      <c r="OW27" s="535">
        <v>8.2642000000000007</v>
      </c>
      <c r="OX27" s="535">
        <v>8.0739999999999998</v>
      </c>
      <c r="OY27" s="516">
        <v>21</v>
      </c>
      <c r="OZ27" s="536"/>
      <c r="PA27" s="536"/>
      <c r="PB27" s="516">
        <v>21</v>
      </c>
      <c r="PC27" s="535">
        <v>7.4667000000000003</v>
      </c>
      <c r="PD27" s="535">
        <v>7.5457999999999998</v>
      </c>
      <c r="PE27" s="535">
        <v>7.5242000000000004</v>
      </c>
      <c r="PF27" s="535">
        <v>7.4409999999999998</v>
      </c>
      <c r="PG27" s="535">
        <v>7.4019000000000004</v>
      </c>
      <c r="PH27" s="535">
        <v>7.5267999999999997</v>
      </c>
      <c r="PI27" s="535">
        <v>7.6452999999999998</v>
      </c>
      <c r="PJ27" s="535">
        <v>7.4854000000000003</v>
      </c>
      <c r="PK27" s="535">
        <v>7.5052000000000003</v>
      </c>
      <c r="PL27" s="535">
        <v>7.7725999999999997</v>
      </c>
      <c r="PM27" s="535">
        <v>7.9085000000000001</v>
      </c>
      <c r="PN27" s="535">
        <v>7.8673999999999999</v>
      </c>
      <c r="PO27" s="516">
        <v>21</v>
      </c>
      <c r="PP27" s="536"/>
      <c r="PQ27" s="536"/>
      <c r="PR27" s="516">
        <v>21</v>
      </c>
      <c r="PS27" s="535">
        <v>5.6074999999999999</v>
      </c>
      <c r="PT27" s="535">
        <v>5.7149999999999999</v>
      </c>
      <c r="PU27" s="535">
        <v>7.0824999999999996</v>
      </c>
      <c r="PV27" s="535">
        <v>6.1391999999999998</v>
      </c>
      <c r="PW27" s="535">
        <v>5.92</v>
      </c>
      <c r="PX27" s="535">
        <v>6.2008000000000001</v>
      </c>
      <c r="PY27" s="535">
        <v>6.0792999999999999</v>
      </c>
      <c r="PZ27" s="535">
        <v>6.1849999999999996</v>
      </c>
      <c r="QA27" s="535">
        <v>6.3055000000000003</v>
      </c>
      <c r="QB27" s="535">
        <v>6.6908000000000003</v>
      </c>
      <c r="QC27" s="535">
        <v>7.8</v>
      </c>
      <c r="QD27" s="535">
        <v>7.6809000000000003</v>
      </c>
      <c r="QE27" s="516">
        <v>21</v>
      </c>
      <c r="QF27" s="536"/>
      <c r="QG27" s="536"/>
      <c r="QH27" s="516">
        <v>21</v>
      </c>
      <c r="QI27" s="535">
        <v>3.1055999999999999</v>
      </c>
      <c r="QJ27" s="535">
        <v>3.1053000000000002</v>
      </c>
      <c r="QK27" s="535">
        <v>3.3043</v>
      </c>
      <c r="QL27" s="535">
        <v>3.3685999999999998</v>
      </c>
      <c r="QM27" s="535">
        <v>3.3220000000000001</v>
      </c>
      <c r="QN27" s="535">
        <v>3.3675000000000002</v>
      </c>
      <c r="QO27" s="535">
        <v>3.4011</v>
      </c>
      <c r="QP27" s="535">
        <v>3.3769</v>
      </c>
      <c r="QQ27" s="535">
        <v>3.4077999999999999</v>
      </c>
      <c r="QR27" s="535">
        <v>3.4106000000000001</v>
      </c>
      <c r="QS27" s="535">
        <v>3.4533999999999998</v>
      </c>
      <c r="QT27" s="535">
        <v>3.4662000000000002</v>
      </c>
      <c r="QU27" s="516">
        <v>21</v>
      </c>
      <c r="QV27" s="536"/>
      <c r="QW27" s="536"/>
      <c r="QX27" s="516">
        <v>21</v>
      </c>
      <c r="QY27" s="535">
        <v>3.1082000000000001</v>
      </c>
      <c r="QZ27" s="535">
        <v>3.0943000000000001</v>
      </c>
      <c r="RA27" s="535">
        <v>3.1168999999999998</v>
      </c>
      <c r="RB27" s="535">
        <v>3.0935999999999999</v>
      </c>
      <c r="RC27" s="535">
        <v>3.1132</v>
      </c>
      <c r="RD27" s="535">
        <v>3.1171000000000002</v>
      </c>
      <c r="RE27" s="535">
        <v>3.1255000000000002</v>
      </c>
      <c r="RF27" s="535">
        <v>3.1131000000000002</v>
      </c>
      <c r="RG27" s="535">
        <v>3.1093000000000002</v>
      </c>
      <c r="RH27" s="535">
        <v>3.1124999999999998</v>
      </c>
      <c r="RI27" s="535">
        <v>3.1114000000000002</v>
      </c>
      <c r="RJ27" s="535">
        <v>3.1055000000000001</v>
      </c>
      <c r="RK27" s="516">
        <v>21</v>
      </c>
      <c r="RL27" s="536"/>
      <c r="RM27" s="536"/>
      <c r="RN27" s="516">
        <v>21</v>
      </c>
      <c r="RO27" s="535">
        <v>3.0657000000000001</v>
      </c>
      <c r="RP27" s="535">
        <v>3.0608</v>
      </c>
      <c r="RQ27" s="535">
        <v>3.0737999999999999</v>
      </c>
      <c r="RR27" s="535">
        <v>3.0670000000000002</v>
      </c>
      <c r="RS27" s="535">
        <v>3.1023999999999998</v>
      </c>
      <c r="RT27" s="535">
        <v>3.1202999999999999</v>
      </c>
      <c r="RU27" s="535">
        <v>3.1149</v>
      </c>
      <c r="RV27" s="535">
        <v>3.0853000000000002</v>
      </c>
      <c r="RW27" s="535">
        <v>3.0916000000000001</v>
      </c>
      <c r="RX27" s="535">
        <v>3.1429</v>
      </c>
      <c r="RY27" s="535">
        <v>3.1150000000000002</v>
      </c>
      <c r="RZ27" s="535">
        <v>3.1204000000000001</v>
      </c>
      <c r="SA27" s="516">
        <v>21</v>
      </c>
      <c r="SB27" s="536"/>
      <c r="SC27" s="536"/>
      <c r="SD27" s="516">
        <v>21</v>
      </c>
      <c r="SE27" s="535">
        <v>2.9533999999999998</v>
      </c>
      <c r="SF27" s="535">
        <v>2.9666000000000001</v>
      </c>
      <c r="SG27" s="535">
        <v>2.9777999999999998</v>
      </c>
      <c r="SH27" s="535">
        <v>2.9897999999999998</v>
      </c>
      <c r="SI27" s="535">
        <v>3.0013999999999998</v>
      </c>
      <c r="SJ27" s="535">
        <v>3.0146000000000002</v>
      </c>
      <c r="SK27" s="535">
        <v>3.0261999999999998</v>
      </c>
      <c r="SL27" s="535">
        <v>3.0390000000000001</v>
      </c>
      <c r="SM27" s="535">
        <v>3.0514000000000001</v>
      </c>
      <c r="SN27" s="535">
        <v>3.0642</v>
      </c>
      <c r="SO27" s="535">
        <v>3.0661299999999998</v>
      </c>
      <c r="SP27" s="535">
        <v>3.0747499999999999</v>
      </c>
      <c r="SQ27" s="516">
        <v>21</v>
      </c>
      <c r="SR27" s="536"/>
      <c r="SS27" s="536"/>
      <c r="ST27" s="516">
        <v>21</v>
      </c>
      <c r="SU27" s="535">
        <v>2.6619999999999999</v>
      </c>
      <c r="SV27" s="535">
        <v>2.694</v>
      </c>
      <c r="SW27" s="535">
        <v>2.722</v>
      </c>
      <c r="SX27" s="535">
        <v>2.7530000000000001</v>
      </c>
      <c r="SY27" s="535">
        <v>2.7810000000000001</v>
      </c>
      <c r="SZ27" s="535">
        <v>2.8098000000000001</v>
      </c>
      <c r="TA27" s="535">
        <v>2.8338000000000001</v>
      </c>
      <c r="TB27" s="535">
        <v>2.8570000000000002</v>
      </c>
      <c r="TC27" s="535">
        <v>2.8834</v>
      </c>
      <c r="TD27" s="535">
        <v>2.9066000000000001</v>
      </c>
      <c r="TE27" s="535">
        <v>2.9298000000000002</v>
      </c>
      <c r="TF27" s="535">
        <v>2.9418000000000002</v>
      </c>
      <c r="TG27" s="516">
        <v>21</v>
      </c>
      <c r="TH27" s="536"/>
      <c r="TI27" s="536"/>
      <c r="TJ27" s="516">
        <v>21</v>
      </c>
      <c r="TK27" s="535">
        <v>2.298</v>
      </c>
      <c r="TL27" s="535">
        <v>2.327</v>
      </c>
      <c r="TM27" s="535">
        <v>2.355</v>
      </c>
      <c r="TN27" s="535">
        <v>2.3879999999999999</v>
      </c>
      <c r="TO27" s="535">
        <v>2.4169999999999998</v>
      </c>
      <c r="TP27" s="535">
        <v>2.4489999999999998</v>
      </c>
      <c r="TQ27" s="535">
        <v>2.4790000000000001</v>
      </c>
      <c r="TR27" s="535">
        <v>2.508</v>
      </c>
      <c r="TS27" s="535">
        <v>2.5409999999999999</v>
      </c>
      <c r="TT27" s="535">
        <v>2.5710000000000002</v>
      </c>
      <c r="TU27" s="535">
        <v>2.6</v>
      </c>
      <c r="TV27" s="535">
        <v>2.6320000000000001</v>
      </c>
      <c r="TW27" s="516">
        <v>21</v>
      </c>
    </row>
    <row r="28" spans="2:543" s="4" customFormat="1" ht="23" customHeight="1">
      <c r="B28" s="516">
        <v>22</v>
      </c>
      <c r="C28" s="549">
        <v>20.450700000000001</v>
      </c>
      <c r="D28" s="549">
        <v>20.3063</v>
      </c>
      <c r="E28" s="549">
        <v>20.558499999999999</v>
      </c>
      <c r="F28" s="549">
        <v>20.0383</v>
      </c>
      <c r="G28" s="549">
        <v>19.9267</v>
      </c>
      <c r="H28" s="549">
        <v>20.244199999999999</v>
      </c>
      <c r="I28" s="549">
        <v>20.491299999999999</v>
      </c>
      <c r="J28" s="549">
        <v>20.083500000000001</v>
      </c>
      <c r="K28" s="549">
        <v>20</v>
      </c>
      <c r="L28" s="549">
        <v>20.044799999999999</v>
      </c>
      <c r="M28" s="662">
        <f t="shared" si="9"/>
        <v>19.746300000000002</v>
      </c>
      <c r="N28" s="662">
        <f t="shared" si="8"/>
        <v>19.746300000000002</v>
      </c>
      <c r="O28" s="516">
        <v>22</v>
      </c>
      <c r="R28" s="516">
        <v>22</v>
      </c>
      <c r="S28" s="549">
        <v>19.5793</v>
      </c>
      <c r="T28" s="549">
        <v>20.416499999999999</v>
      </c>
      <c r="U28" s="549">
        <v>20.441500000000001</v>
      </c>
      <c r="V28" s="549">
        <v>19.887699999999999</v>
      </c>
      <c r="W28" s="549">
        <v>19.881</v>
      </c>
      <c r="X28" s="549">
        <v>20.700199999999999</v>
      </c>
      <c r="Y28" s="549">
        <v>20.134799999999998</v>
      </c>
      <c r="Z28" s="549">
        <v>20.1175</v>
      </c>
      <c r="AA28" s="549">
        <v>20.173500000000001</v>
      </c>
      <c r="AB28" s="549">
        <v>20.184999999999999</v>
      </c>
      <c r="AC28" s="549">
        <v>20.762799999999999</v>
      </c>
      <c r="AD28" s="549">
        <v>20.7363</v>
      </c>
      <c r="AE28" s="516">
        <v>22</v>
      </c>
      <c r="AH28" s="516">
        <v>22</v>
      </c>
      <c r="AI28" s="549">
        <v>18.672499999999999</v>
      </c>
      <c r="AJ28" s="549">
        <v>18.799199999999999</v>
      </c>
      <c r="AK28" s="549">
        <v>24.0868</v>
      </c>
      <c r="AL28" s="549">
        <v>24.0077</v>
      </c>
      <c r="AM28" s="549">
        <v>23.296199999999999</v>
      </c>
      <c r="AN28" s="549">
        <v>22.608799999999999</v>
      </c>
      <c r="AO28" s="549">
        <v>22.627800000000001</v>
      </c>
      <c r="AP28" s="549">
        <v>22.175999999999998</v>
      </c>
      <c r="AQ28" s="549">
        <v>20.9697</v>
      </c>
      <c r="AR28" s="549">
        <v>21.090199999999999</v>
      </c>
      <c r="AS28" s="549">
        <v>20.1858</v>
      </c>
      <c r="AT28" s="549">
        <v>19.948699999999999</v>
      </c>
      <c r="AU28" s="516">
        <v>22</v>
      </c>
      <c r="AX28" s="516">
        <v>22</v>
      </c>
      <c r="AY28" s="535">
        <v>19.084399999999999</v>
      </c>
      <c r="AZ28" s="535">
        <v>19.183499999999999</v>
      </c>
      <c r="BA28" s="535">
        <v>18.909800000000001</v>
      </c>
      <c r="BB28" s="535">
        <v>18.951599999999999</v>
      </c>
      <c r="BC28" s="535">
        <v>19.090800000000002</v>
      </c>
      <c r="BD28" s="535">
        <v>18.980399999999999</v>
      </c>
      <c r="BE28" s="535">
        <v>19.0108</v>
      </c>
      <c r="BF28" s="535">
        <v>19.752199999999998</v>
      </c>
      <c r="BG28" s="535">
        <v>19.398099999999999</v>
      </c>
      <c r="BH28" s="535">
        <v>19.1492</v>
      </c>
      <c r="BI28" s="535">
        <v>19.48</v>
      </c>
      <c r="BJ28" s="535">
        <v>18.963999999999999</v>
      </c>
      <c r="BK28" s="516">
        <v>22</v>
      </c>
      <c r="BN28" s="516">
        <v>22</v>
      </c>
      <c r="BO28" s="535">
        <v>18.636099999999999</v>
      </c>
      <c r="BP28" s="535">
        <v>18.659400000000002</v>
      </c>
      <c r="BQ28" s="537">
        <v>18.761399999999998</v>
      </c>
      <c r="BR28" s="535">
        <v>18.2819</v>
      </c>
      <c r="BS28" s="535">
        <v>19.931899999999999</v>
      </c>
      <c r="BT28" s="535">
        <v>20.393699999999999</v>
      </c>
      <c r="BU28" s="535">
        <v>19.079000000000001</v>
      </c>
      <c r="BV28" s="535">
        <v>19.0305</v>
      </c>
      <c r="BW28" s="535">
        <v>18.829599999999999</v>
      </c>
      <c r="BX28" s="535">
        <v>19.101800000000001</v>
      </c>
      <c r="BY28" s="535">
        <v>20.412299999999998</v>
      </c>
      <c r="BZ28" s="535">
        <v>19.908200000000001</v>
      </c>
      <c r="CA28" s="516">
        <v>22</v>
      </c>
      <c r="CD28" s="516">
        <v>22</v>
      </c>
      <c r="CE28" s="535">
        <v>21.904399999999999</v>
      </c>
      <c r="CF28" s="535">
        <v>20.405899999999999</v>
      </c>
      <c r="CG28" s="535">
        <v>19.117000000000001</v>
      </c>
      <c r="CH28" s="535">
        <v>18.8187</v>
      </c>
      <c r="CI28" s="535">
        <v>18.889800000000001</v>
      </c>
      <c r="CJ28" s="535">
        <v>18.116700000000002</v>
      </c>
      <c r="CK28" s="535">
        <v>17.526</v>
      </c>
      <c r="CL28" s="535">
        <v>17.8584</v>
      </c>
      <c r="CM28" s="535">
        <v>17.700900000000001</v>
      </c>
      <c r="CN28" s="535">
        <v>18.8248</v>
      </c>
      <c r="CO28" s="535">
        <v>18.9724</v>
      </c>
      <c r="CP28" s="535">
        <v>19.229099999999999</v>
      </c>
      <c r="CQ28" s="516">
        <v>22</v>
      </c>
      <c r="CT28" s="516">
        <v>22</v>
      </c>
      <c r="CU28" s="535">
        <v>18.608000000000001</v>
      </c>
      <c r="CV28" s="535">
        <v>18.143899999999999</v>
      </c>
      <c r="CW28" s="535">
        <v>17.403400000000001</v>
      </c>
      <c r="CX28" s="535">
        <v>17.3078</v>
      </c>
      <c r="CY28" s="535">
        <v>18.546500000000002</v>
      </c>
      <c r="CZ28" s="535">
        <v>18.655899999999999</v>
      </c>
      <c r="DA28" s="535">
        <v>18.572900000000001</v>
      </c>
      <c r="DB28" s="535">
        <v>18.083200000000001</v>
      </c>
      <c r="DC28" s="535">
        <v>19.777000000000001</v>
      </c>
      <c r="DD28" s="535">
        <v>18.5945</v>
      </c>
      <c r="DE28" s="535">
        <v>20.189800000000002</v>
      </c>
      <c r="DF28" s="535">
        <v>20.43</v>
      </c>
      <c r="DG28" s="516">
        <v>22</v>
      </c>
      <c r="DJ28" s="516">
        <v>22</v>
      </c>
      <c r="DK28" s="535">
        <v>14.648400000000001</v>
      </c>
      <c r="DL28" s="535">
        <v>14.958299999999999</v>
      </c>
      <c r="DM28" s="535">
        <v>15.295999999999999</v>
      </c>
      <c r="DN28" s="535">
        <v>15.3973</v>
      </c>
      <c r="DO28" s="535">
        <v>15.212</v>
      </c>
      <c r="DP28" s="535">
        <v>15.2828</v>
      </c>
      <c r="DQ28" s="535">
        <v>15.9856</v>
      </c>
      <c r="DR28" s="535">
        <v>16.4908</v>
      </c>
      <c r="DS28" s="535">
        <v>16.539000000000001</v>
      </c>
      <c r="DT28" s="535">
        <v>16.561800000000002</v>
      </c>
      <c r="DU28" s="535">
        <v>16.5748</v>
      </c>
      <c r="DV28" s="535">
        <v>17.0139</v>
      </c>
      <c r="DW28" s="516">
        <v>22</v>
      </c>
      <c r="DZ28" s="516">
        <v>22</v>
      </c>
      <c r="EA28" s="535">
        <v>13.242000000000001</v>
      </c>
      <c r="EB28" s="535">
        <v>13.2913</v>
      </c>
      <c r="EC28" s="535">
        <v>13.270300000000001</v>
      </c>
      <c r="ED28" s="535">
        <v>13.0603</v>
      </c>
      <c r="EE28" s="535">
        <v>12.942500000000001</v>
      </c>
      <c r="EF28" s="535">
        <v>12.9885</v>
      </c>
      <c r="EG28" s="535">
        <v>12.9588</v>
      </c>
      <c r="EH28" s="535">
        <v>13.0814</v>
      </c>
      <c r="EI28" s="535">
        <v>13.2402</v>
      </c>
      <c r="EJ28" s="535">
        <v>13.5357</v>
      </c>
      <c r="EK28" s="535">
        <v>13.611499999999999</v>
      </c>
      <c r="EL28" s="535">
        <v>14.5562</v>
      </c>
      <c r="EM28" s="516">
        <v>22</v>
      </c>
      <c r="EP28" s="516">
        <v>22</v>
      </c>
      <c r="EQ28" s="535">
        <v>12.6555</v>
      </c>
      <c r="ER28" s="535">
        <v>12.6694</v>
      </c>
      <c r="ES28" s="535">
        <v>12.3909</v>
      </c>
      <c r="ET28" s="535">
        <v>12.2479</v>
      </c>
      <c r="EU28" s="535">
        <v>12.325799999999999</v>
      </c>
      <c r="EV28" s="535">
        <v>13.4015</v>
      </c>
      <c r="EW28" s="535">
        <v>12.4976</v>
      </c>
      <c r="EX28" s="535">
        <v>13.006399999999999</v>
      </c>
      <c r="EY28" s="535">
        <v>12.7179</v>
      </c>
      <c r="EZ28" s="535">
        <v>12.7988</v>
      </c>
      <c r="FA28" s="535">
        <v>12.9697</v>
      </c>
      <c r="FB28" s="535">
        <v>12.973000000000001</v>
      </c>
      <c r="FC28" s="516">
        <v>22</v>
      </c>
      <c r="FF28" s="516">
        <v>22</v>
      </c>
      <c r="FG28" s="535">
        <v>13.2516</v>
      </c>
      <c r="FH28" s="535">
        <v>12.6793</v>
      </c>
      <c r="FI28" s="535">
        <v>12.6935</v>
      </c>
      <c r="FJ28" s="535">
        <v>13.2288</v>
      </c>
      <c r="FK28" s="535">
        <v>13.780900000000001</v>
      </c>
      <c r="FL28" s="535">
        <v>13.7257</v>
      </c>
      <c r="FM28" s="535">
        <v>13.1921</v>
      </c>
      <c r="FN28" s="535">
        <v>13.126099999999999</v>
      </c>
      <c r="FO28" s="535">
        <v>12.904199999999999</v>
      </c>
      <c r="FP28" s="535">
        <v>12.8299</v>
      </c>
      <c r="FQ28" s="535">
        <v>13.0245</v>
      </c>
      <c r="FR28" s="535">
        <v>12.777699999999999</v>
      </c>
      <c r="FS28" s="516">
        <v>22</v>
      </c>
      <c r="FV28" s="516">
        <v>22</v>
      </c>
      <c r="FW28" s="535">
        <v>12.090299999999999</v>
      </c>
      <c r="FX28" s="535">
        <v>12.017200000000001</v>
      </c>
      <c r="FY28" s="535">
        <v>12.092499999999999</v>
      </c>
      <c r="FZ28" s="535">
        <v>11.692500000000001</v>
      </c>
      <c r="GA28" s="535">
        <v>11.658799999999999</v>
      </c>
      <c r="GB28" s="535">
        <v>11.8916</v>
      </c>
      <c r="GC28" s="535">
        <v>11.6638</v>
      </c>
      <c r="GD28" s="535">
        <v>12.368499999999999</v>
      </c>
      <c r="GE28" s="535">
        <v>13.1669</v>
      </c>
      <c r="GF28" s="535">
        <v>13.662800000000001</v>
      </c>
      <c r="GG28" s="535">
        <v>13.637499999999999</v>
      </c>
      <c r="GH28" s="535">
        <v>13.772</v>
      </c>
      <c r="GI28" s="516">
        <v>22</v>
      </c>
      <c r="GL28" s="516">
        <v>22</v>
      </c>
      <c r="GM28" s="535">
        <v>12.738799999999999</v>
      </c>
      <c r="GN28" s="535">
        <v>12.844200000000001</v>
      </c>
      <c r="GO28" s="535">
        <v>12.472899999999999</v>
      </c>
      <c r="GP28" s="535">
        <v>12.2188</v>
      </c>
      <c r="GQ28" s="535">
        <v>13.1412</v>
      </c>
      <c r="GR28" s="535">
        <v>12.54</v>
      </c>
      <c r="GS28" s="535">
        <v>12.854900000000001</v>
      </c>
      <c r="GT28" s="535">
        <v>12.7226</v>
      </c>
      <c r="GU28" s="535">
        <v>12.7623</v>
      </c>
      <c r="GV28" s="535">
        <v>12.4117</v>
      </c>
      <c r="GW28" s="535">
        <v>12.292400000000001</v>
      </c>
      <c r="GX28" s="535">
        <v>12.417</v>
      </c>
      <c r="GY28" s="516">
        <v>22</v>
      </c>
      <c r="HB28" s="516">
        <v>22</v>
      </c>
      <c r="HC28" s="535">
        <v>13.9382</v>
      </c>
      <c r="HD28" s="535">
        <v>14.5505</v>
      </c>
      <c r="HE28" s="535">
        <v>14.08</v>
      </c>
      <c r="HF28" s="535">
        <v>13.32</v>
      </c>
      <c r="HG28" s="535">
        <v>12.8695</v>
      </c>
      <c r="HH28" s="535">
        <v>13.369400000000001</v>
      </c>
      <c r="HI28" s="535">
        <v>13.315799999999999</v>
      </c>
      <c r="HJ28" s="535">
        <v>12.8733</v>
      </c>
      <c r="HK28" s="535">
        <v>13.241300000000001</v>
      </c>
      <c r="HL28" s="535">
        <v>12.9407</v>
      </c>
      <c r="HM28" s="535">
        <v>13.0502</v>
      </c>
      <c r="HN28" s="535">
        <v>12.8979</v>
      </c>
      <c r="HO28" s="516">
        <v>22</v>
      </c>
      <c r="HP28" s="536"/>
      <c r="HQ28" s="536"/>
      <c r="HR28" s="516">
        <v>22</v>
      </c>
      <c r="HS28" s="535">
        <v>10.923500000000001</v>
      </c>
      <c r="HT28" s="535">
        <v>10.793900000000001</v>
      </c>
      <c r="HU28" s="535">
        <v>10.704000000000001</v>
      </c>
      <c r="HV28" s="535">
        <v>10.461</v>
      </c>
      <c r="HW28" s="535">
        <v>10.4002</v>
      </c>
      <c r="HX28" s="535">
        <v>10.3156</v>
      </c>
      <c r="HY28" s="535">
        <v>10.204700000000001</v>
      </c>
      <c r="HZ28" s="535">
        <v>10.1343</v>
      </c>
      <c r="IA28" s="535">
        <v>10.836499999999999</v>
      </c>
      <c r="IB28" s="535">
        <v>12.761699999999999</v>
      </c>
      <c r="IC28" s="535">
        <v>13.575799999999999</v>
      </c>
      <c r="ID28" s="535">
        <v>13.215</v>
      </c>
      <c r="IE28" s="516">
        <v>22</v>
      </c>
      <c r="IF28" s="536"/>
      <c r="IG28" s="536"/>
      <c r="IH28" s="516">
        <v>22</v>
      </c>
      <c r="II28" s="535">
        <v>10.9232</v>
      </c>
      <c r="IJ28" s="535">
        <v>10.9755</v>
      </c>
      <c r="IK28" s="535">
        <v>11.112</v>
      </c>
      <c r="IL28" s="535">
        <v>11.004799999999999</v>
      </c>
      <c r="IM28" s="535">
        <v>10.8223</v>
      </c>
      <c r="IN28" s="535">
        <v>10.7713</v>
      </c>
      <c r="IO28" s="535">
        <v>10.720700000000001</v>
      </c>
      <c r="IP28" s="535">
        <v>11.1053</v>
      </c>
      <c r="IQ28" s="535">
        <v>10.9687</v>
      </c>
      <c r="IR28" s="535">
        <v>10.8133</v>
      </c>
      <c r="IS28" s="535">
        <v>10.9687</v>
      </c>
      <c r="IT28" s="535">
        <v>10.8363</v>
      </c>
      <c r="IU28" s="516">
        <v>22</v>
      </c>
      <c r="IV28" s="536"/>
      <c r="IW28" s="536"/>
      <c r="IX28" s="516">
        <v>22</v>
      </c>
      <c r="IY28" s="535">
        <v>10.5589</v>
      </c>
      <c r="IZ28" s="535">
        <v>10.440099999999999</v>
      </c>
      <c r="JA28" s="535">
        <v>10.688499999999999</v>
      </c>
      <c r="JB28" s="535">
        <v>11.030200000000001</v>
      </c>
      <c r="JC28" s="535">
        <v>11.2005</v>
      </c>
      <c r="JD28" s="535">
        <v>11.4809</v>
      </c>
      <c r="JE28" s="535">
        <v>10.870799999999999</v>
      </c>
      <c r="JF28" s="535">
        <v>10.8217</v>
      </c>
      <c r="JG28" s="535">
        <v>10.9346</v>
      </c>
      <c r="JH28" s="535">
        <v>10.805999999999999</v>
      </c>
      <c r="JI28" s="535">
        <v>10.952400000000001</v>
      </c>
      <c r="JJ28" s="535">
        <v>10.807499999999999</v>
      </c>
      <c r="JK28" s="516">
        <v>22</v>
      </c>
      <c r="JL28" s="536"/>
      <c r="JM28" s="536"/>
      <c r="JN28" s="516">
        <v>22</v>
      </c>
      <c r="JO28" s="535">
        <v>11.2515</v>
      </c>
      <c r="JP28" s="535">
        <v>11.0732</v>
      </c>
      <c r="JQ28" s="535">
        <v>11.2193</v>
      </c>
      <c r="JR28" s="535">
        <v>11.061400000000001</v>
      </c>
      <c r="JS28" s="535">
        <v>10.9283</v>
      </c>
      <c r="JT28" s="535">
        <v>10.834199999999999</v>
      </c>
      <c r="JU28" s="535">
        <v>10.649800000000001</v>
      </c>
      <c r="JV28" s="535">
        <v>10.6601</v>
      </c>
      <c r="JW28" s="535">
        <v>10.8232</v>
      </c>
      <c r="JX28" s="535">
        <v>10.8393</v>
      </c>
      <c r="JY28" s="535">
        <v>10.654299999999999</v>
      </c>
      <c r="JZ28" s="535">
        <v>10.6997</v>
      </c>
      <c r="KA28" s="516">
        <v>22</v>
      </c>
      <c r="KB28" s="536"/>
      <c r="KC28" s="536"/>
      <c r="KD28" s="516">
        <v>22</v>
      </c>
      <c r="KE28" s="535">
        <v>10.847</v>
      </c>
      <c r="KF28" s="535">
        <v>10.9688</v>
      </c>
      <c r="KG28" s="535">
        <v>11.0128</v>
      </c>
      <c r="KH28" s="535">
        <v>11.3065</v>
      </c>
      <c r="KI28" s="535">
        <v>11.573499999999999</v>
      </c>
      <c r="KJ28" s="535">
        <v>11.331200000000001</v>
      </c>
      <c r="KK28" s="535">
        <v>11.3954</v>
      </c>
      <c r="KL28" s="535">
        <v>11.355</v>
      </c>
      <c r="KM28" s="535">
        <v>11.4557</v>
      </c>
      <c r="KN28" s="535">
        <v>11.454800000000001</v>
      </c>
      <c r="KO28" s="535">
        <v>11.333500000000001</v>
      </c>
      <c r="KP28" s="535">
        <v>11.1555</v>
      </c>
      <c r="KQ28" s="516">
        <v>22</v>
      </c>
      <c r="KR28" s="536"/>
      <c r="KS28" s="536"/>
      <c r="KT28" s="516">
        <v>22</v>
      </c>
      <c r="KU28" s="535">
        <v>10.622199999999999</v>
      </c>
      <c r="KV28" s="535">
        <v>10.899800000000001</v>
      </c>
      <c r="KW28" s="535">
        <v>10.863300000000001</v>
      </c>
      <c r="KX28" s="535">
        <v>10.6225</v>
      </c>
      <c r="KY28" s="535">
        <v>10.266299999999999</v>
      </c>
      <c r="KZ28" s="535">
        <v>10.485799999999999</v>
      </c>
      <c r="LA28" s="535">
        <v>10.36</v>
      </c>
      <c r="LB28" s="535">
        <v>10.837899999999999</v>
      </c>
      <c r="LC28" s="535">
        <v>10.9163</v>
      </c>
      <c r="LD28" s="535">
        <v>11.174799999999999</v>
      </c>
      <c r="LE28" s="535">
        <v>11.2094</v>
      </c>
      <c r="LF28" s="535">
        <v>11.2193</v>
      </c>
      <c r="LG28" s="516">
        <v>22</v>
      </c>
      <c r="LH28" s="536"/>
      <c r="LI28" s="536"/>
      <c r="LJ28" s="516">
        <v>22</v>
      </c>
      <c r="LK28" s="535">
        <v>9.1189999999999998</v>
      </c>
      <c r="LL28" s="535">
        <v>9.0858000000000008</v>
      </c>
      <c r="LM28" s="535">
        <v>9.0741999999999994</v>
      </c>
      <c r="LN28" s="535">
        <v>9.2345000000000006</v>
      </c>
      <c r="LO28" s="535">
        <v>9.4909999999999997</v>
      </c>
      <c r="LP28" s="535">
        <v>9.7675999999999998</v>
      </c>
      <c r="LQ28" s="535">
        <v>9.6462000000000003</v>
      </c>
      <c r="LR28" s="535">
        <v>9.7713000000000001</v>
      </c>
      <c r="LS28" s="535">
        <v>10.062799999999999</v>
      </c>
      <c r="LT28" s="535">
        <v>9.9841999999999995</v>
      </c>
      <c r="LU28" s="535">
        <v>10.163500000000001</v>
      </c>
      <c r="LV28" s="535">
        <v>10.192</v>
      </c>
      <c r="LW28" s="516">
        <v>22</v>
      </c>
      <c r="LX28" s="536"/>
      <c r="LY28" s="536"/>
      <c r="LZ28" s="516">
        <v>22</v>
      </c>
      <c r="MA28" s="535">
        <v>9.8870000000000005</v>
      </c>
      <c r="MB28" s="535">
        <v>9.6797000000000004</v>
      </c>
      <c r="MC28" s="535">
        <v>9.5683000000000007</v>
      </c>
      <c r="MD28" s="535">
        <v>9.2748000000000008</v>
      </c>
      <c r="ME28" s="535">
        <v>8.9773999999999994</v>
      </c>
      <c r="MF28" s="535">
        <v>9.0798000000000005</v>
      </c>
      <c r="MG28" s="535">
        <v>9.1999999999999993</v>
      </c>
      <c r="MH28" s="535">
        <v>9.1382999999999992</v>
      </c>
      <c r="MI28" s="535">
        <v>9.4802</v>
      </c>
      <c r="MJ28" s="535">
        <v>9.2309999999999999</v>
      </c>
      <c r="MK28" s="535">
        <v>9.1967999999999996</v>
      </c>
      <c r="ML28" s="535">
        <v>9.1682000000000006</v>
      </c>
      <c r="MM28" s="516">
        <v>22</v>
      </c>
      <c r="MN28" s="536"/>
      <c r="MO28" s="536"/>
      <c r="MP28" s="516">
        <v>22</v>
      </c>
      <c r="MQ28" s="535">
        <v>9.4038000000000004</v>
      </c>
      <c r="MR28" s="535">
        <v>9.3591999999999995</v>
      </c>
      <c r="MS28" s="535">
        <v>9.3254999999999999</v>
      </c>
      <c r="MT28" s="535">
        <v>9.4388000000000005</v>
      </c>
      <c r="MU28" s="535">
        <v>9.5751000000000008</v>
      </c>
      <c r="MV28" s="535">
        <v>9.8643999999999998</v>
      </c>
      <c r="MW28" s="535">
        <v>9.3607999999999993</v>
      </c>
      <c r="MX28" s="535">
        <v>9.2293000000000003</v>
      </c>
      <c r="MY28" s="535">
        <v>9.4482999999999997</v>
      </c>
      <c r="MZ28" s="535">
        <v>9.5333000000000006</v>
      </c>
      <c r="NA28" s="535">
        <v>9.4827999999999992</v>
      </c>
      <c r="NB28" s="535">
        <v>9.4347999999999992</v>
      </c>
      <c r="NC28" s="516">
        <v>22</v>
      </c>
      <c r="ND28" s="536"/>
      <c r="NE28" s="536"/>
      <c r="NF28" s="516">
        <v>22</v>
      </c>
      <c r="NG28" s="535">
        <v>10.178000000000001</v>
      </c>
      <c r="NH28" s="535">
        <v>9.8809000000000005</v>
      </c>
      <c r="NI28" s="535">
        <v>9.6462000000000003</v>
      </c>
      <c r="NJ28" s="535">
        <v>9.4077000000000002</v>
      </c>
      <c r="NK28" s="535">
        <v>9.3241999999999994</v>
      </c>
      <c r="NL28" s="535">
        <v>9.3550000000000004</v>
      </c>
      <c r="NM28" s="535">
        <v>9.3012999999999995</v>
      </c>
      <c r="NN28" s="535">
        <v>9.3744999999999994</v>
      </c>
      <c r="NO28" s="535">
        <v>9.3223000000000003</v>
      </c>
      <c r="NP28" s="535">
        <v>9.6113999999999997</v>
      </c>
      <c r="NQ28" s="535">
        <v>9.3460000000000001</v>
      </c>
      <c r="NR28" s="535">
        <v>9.3338000000000001</v>
      </c>
      <c r="NS28" s="516">
        <v>22</v>
      </c>
      <c r="NT28" s="536"/>
      <c r="NU28" s="536"/>
      <c r="NV28" s="516">
        <v>22</v>
      </c>
      <c r="NW28" s="535">
        <v>8.2144999999999992</v>
      </c>
      <c r="NX28" s="535">
        <v>8.5449000000000002</v>
      </c>
      <c r="NY28" s="535">
        <v>8.5638000000000005</v>
      </c>
      <c r="NZ28" s="535">
        <v>8.4727999999999994</v>
      </c>
      <c r="OA28" s="535">
        <v>8.6212</v>
      </c>
      <c r="OB28" s="535">
        <v>8.8966999999999992</v>
      </c>
      <c r="OC28" s="535">
        <v>8.7896000000000001</v>
      </c>
      <c r="OD28" s="535">
        <v>9.3133999999999997</v>
      </c>
      <c r="OE28" s="535">
        <v>10.138299999999999</v>
      </c>
      <c r="OF28" s="535">
        <v>10.042</v>
      </c>
      <c r="OG28" s="535">
        <v>9.9305000000000003</v>
      </c>
      <c r="OH28" s="535">
        <v>9.7972000000000001</v>
      </c>
      <c r="OI28" s="516">
        <v>22</v>
      </c>
      <c r="OJ28" s="536"/>
      <c r="OK28" s="536"/>
      <c r="OL28" s="516">
        <v>22</v>
      </c>
      <c r="OM28" s="535">
        <v>7.8082000000000003</v>
      </c>
      <c r="ON28" s="535">
        <v>7.7460000000000004</v>
      </c>
      <c r="OO28" s="535">
        <v>7.9233000000000002</v>
      </c>
      <c r="OP28" s="535">
        <v>7.8738000000000001</v>
      </c>
      <c r="OQ28" s="535">
        <v>7.8878000000000004</v>
      </c>
      <c r="OR28" s="535">
        <v>7.9168000000000003</v>
      </c>
      <c r="OS28" s="535">
        <v>7.9097</v>
      </c>
      <c r="OT28" s="535">
        <v>7.7614999999999998</v>
      </c>
      <c r="OU28" s="535">
        <v>7.7560000000000002</v>
      </c>
      <c r="OV28" s="535">
        <v>7.7270000000000003</v>
      </c>
      <c r="OW28" s="535">
        <v>8.2882999999999996</v>
      </c>
      <c r="OX28" s="535">
        <v>8.0739999999999998</v>
      </c>
      <c r="OY28" s="516">
        <v>22</v>
      </c>
      <c r="OZ28" s="536"/>
      <c r="PA28" s="536"/>
      <c r="PB28" s="516">
        <v>22</v>
      </c>
      <c r="PC28" s="535">
        <v>7.4667000000000003</v>
      </c>
      <c r="PD28" s="535">
        <v>7.5785</v>
      </c>
      <c r="PE28" s="535">
        <v>7.5242000000000004</v>
      </c>
      <c r="PF28" s="535">
        <v>7.4409999999999998</v>
      </c>
      <c r="PG28" s="535">
        <v>7.4123999999999999</v>
      </c>
      <c r="PH28" s="535">
        <v>7.5506000000000002</v>
      </c>
      <c r="PI28" s="535">
        <v>7.6452999999999998</v>
      </c>
      <c r="PJ28" s="535">
        <v>7.4778000000000002</v>
      </c>
      <c r="PK28" s="535">
        <v>7.5052000000000003</v>
      </c>
      <c r="PL28" s="535">
        <v>7.7306999999999997</v>
      </c>
      <c r="PM28" s="535">
        <v>7.8975</v>
      </c>
      <c r="PN28" s="535">
        <v>7.8673999999999999</v>
      </c>
      <c r="PO28" s="516">
        <v>22</v>
      </c>
      <c r="PP28" s="536"/>
      <c r="PQ28" s="536"/>
      <c r="PR28" s="516">
        <v>22</v>
      </c>
      <c r="PS28" s="535">
        <v>5.6074999999999999</v>
      </c>
      <c r="PT28" s="535">
        <v>5.5225</v>
      </c>
      <c r="PU28" s="535">
        <v>7.0824999999999996</v>
      </c>
      <c r="PV28" s="535">
        <v>6.0483000000000002</v>
      </c>
      <c r="PW28" s="535">
        <v>5.92</v>
      </c>
      <c r="PX28" s="535">
        <v>6.2516999999999996</v>
      </c>
      <c r="PY28" s="535">
        <v>6.1582999999999997</v>
      </c>
      <c r="PZ28" s="535">
        <v>6.2651000000000003</v>
      </c>
      <c r="QA28" s="535">
        <v>6.3296999999999999</v>
      </c>
      <c r="QB28" s="535">
        <v>6.6908000000000003</v>
      </c>
      <c r="QC28" s="535">
        <v>7.7507999999999999</v>
      </c>
      <c r="QD28" s="535">
        <v>7.55</v>
      </c>
      <c r="QE28" s="516">
        <v>22</v>
      </c>
      <c r="QF28" s="536"/>
      <c r="QG28" s="536"/>
      <c r="QH28" s="516">
        <v>22</v>
      </c>
      <c r="QI28" s="535">
        <v>3.1059999999999999</v>
      </c>
      <c r="QJ28" s="535">
        <v>3.1057000000000001</v>
      </c>
      <c r="QK28" s="535">
        <v>3.3043</v>
      </c>
      <c r="QL28" s="535">
        <v>3.3690000000000002</v>
      </c>
      <c r="QM28" s="535">
        <v>3.3220000000000001</v>
      </c>
      <c r="QN28" s="535">
        <v>3.3702999999999999</v>
      </c>
      <c r="QO28" s="535">
        <v>3.4051999999999998</v>
      </c>
      <c r="QP28" s="535">
        <v>3.3769</v>
      </c>
      <c r="QQ28" s="535">
        <v>3.4068000000000001</v>
      </c>
      <c r="QR28" s="535">
        <v>3.4173</v>
      </c>
      <c r="QS28" s="535">
        <v>3.4538000000000002</v>
      </c>
      <c r="QT28" s="535">
        <v>3.9413</v>
      </c>
      <c r="QU28" s="516">
        <v>22</v>
      </c>
      <c r="QV28" s="536"/>
      <c r="QW28" s="536"/>
      <c r="QX28" s="516">
        <v>22</v>
      </c>
      <c r="QY28" s="535">
        <v>3.1051000000000002</v>
      </c>
      <c r="QZ28" s="535">
        <v>3.0943000000000001</v>
      </c>
      <c r="RA28" s="535">
        <v>3.1168999999999998</v>
      </c>
      <c r="RB28" s="535">
        <v>3.0935000000000001</v>
      </c>
      <c r="RC28" s="535">
        <v>3.1109</v>
      </c>
      <c r="RD28" s="535">
        <v>3.1168999999999998</v>
      </c>
      <c r="RE28" s="535">
        <v>3.1240999999999999</v>
      </c>
      <c r="RF28" s="535">
        <v>3.1131000000000002</v>
      </c>
      <c r="RG28" s="535">
        <v>3.1073</v>
      </c>
      <c r="RH28" s="535">
        <v>3.1114999999999999</v>
      </c>
      <c r="RI28" s="535">
        <v>3.1114000000000002</v>
      </c>
      <c r="RJ28" s="535">
        <v>3.1114000000000002</v>
      </c>
      <c r="RK28" s="516">
        <v>22</v>
      </c>
      <c r="RL28" s="536"/>
      <c r="RM28" s="536"/>
      <c r="RN28" s="516">
        <v>22</v>
      </c>
      <c r="RO28" s="535">
        <v>3.0630999999999999</v>
      </c>
      <c r="RP28" s="535">
        <v>3.0621</v>
      </c>
      <c r="RQ28" s="535">
        <v>3.0737999999999999</v>
      </c>
      <c r="RR28" s="535">
        <v>3.0636000000000001</v>
      </c>
      <c r="RS28" s="535">
        <v>3.105</v>
      </c>
      <c r="RT28" s="535">
        <v>3.1202999999999999</v>
      </c>
      <c r="RU28" s="535">
        <v>3.1166</v>
      </c>
      <c r="RV28" s="535">
        <v>3.0813999999999999</v>
      </c>
      <c r="RW28" s="535">
        <v>3.0863999999999998</v>
      </c>
      <c r="RX28" s="535">
        <v>3.1355</v>
      </c>
      <c r="RY28" s="535">
        <v>3.1150000000000002</v>
      </c>
      <c r="RZ28" s="535">
        <v>3.1204999999999998</v>
      </c>
      <c r="SA28" s="516">
        <v>22</v>
      </c>
      <c r="SB28" s="536"/>
      <c r="SC28" s="536"/>
      <c r="SD28" s="516">
        <v>22</v>
      </c>
      <c r="SE28" s="535">
        <v>2.9538000000000002</v>
      </c>
      <c r="SF28" s="535">
        <v>2.9670000000000001</v>
      </c>
      <c r="SG28" s="535">
        <v>2.9782000000000002</v>
      </c>
      <c r="SH28" s="535">
        <v>2.9897999999999998</v>
      </c>
      <c r="SI28" s="535">
        <v>3.0026000000000002</v>
      </c>
      <c r="SJ28" s="535">
        <v>3.0150000000000001</v>
      </c>
      <c r="SK28" s="535">
        <v>3.0261999999999998</v>
      </c>
      <c r="SL28" s="535">
        <v>3.0394000000000001</v>
      </c>
      <c r="SM28" s="535">
        <v>3.0514000000000001</v>
      </c>
      <c r="SN28" s="535">
        <v>3.0646</v>
      </c>
      <c r="SO28" s="535">
        <v>3.0661299999999998</v>
      </c>
      <c r="SP28" s="535">
        <v>3.0747499999999999</v>
      </c>
      <c r="SQ28" s="516">
        <v>22</v>
      </c>
      <c r="SR28" s="536"/>
      <c r="SS28" s="536"/>
      <c r="ST28" s="516">
        <v>22</v>
      </c>
      <c r="SU28" s="535">
        <v>2.6619999999999999</v>
      </c>
      <c r="SV28" s="535">
        <v>2.6949999999999998</v>
      </c>
      <c r="SW28" s="535">
        <v>2.7229999999999999</v>
      </c>
      <c r="SX28" s="535">
        <v>2.7530000000000001</v>
      </c>
      <c r="SY28" s="535">
        <v>2.782</v>
      </c>
      <c r="SZ28" s="535">
        <v>2.8106</v>
      </c>
      <c r="TA28" s="535">
        <v>2.8338000000000001</v>
      </c>
      <c r="TB28" s="535">
        <v>2.8593999999999999</v>
      </c>
      <c r="TC28" s="535">
        <v>2.8841999999999999</v>
      </c>
      <c r="TD28" s="535">
        <v>2.9066000000000001</v>
      </c>
      <c r="TE28" s="535">
        <v>2.9302000000000001</v>
      </c>
      <c r="TF28" s="535">
        <v>2.9422000000000001</v>
      </c>
      <c r="TG28" s="516">
        <v>22</v>
      </c>
      <c r="TH28" s="536"/>
      <c r="TI28" s="536"/>
      <c r="TJ28" s="516">
        <v>22</v>
      </c>
      <c r="TK28" s="535">
        <v>2.298</v>
      </c>
      <c r="TL28" s="535">
        <v>2.33</v>
      </c>
      <c r="TM28" s="535">
        <v>2.3580000000000001</v>
      </c>
      <c r="TN28" s="535">
        <v>2.3889999999999998</v>
      </c>
      <c r="TO28" s="535">
        <v>2.4169999999999998</v>
      </c>
      <c r="TP28" s="535">
        <v>2.4500000000000002</v>
      </c>
      <c r="TQ28" s="535">
        <v>2.48</v>
      </c>
      <c r="TR28" s="535">
        <v>2.5089999999999999</v>
      </c>
      <c r="TS28" s="535">
        <v>2.5419999999999998</v>
      </c>
      <c r="TT28" s="535">
        <v>2.5710000000000002</v>
      </c>
      <c r="TU28" s="535">
        <v>2.6030000000000002</v>
      </c>
      <c r="TV28" s="535">
        <v>2.633</v>
      </c>
      <c r="TW28" s="516">
        <v>22</v>
      </c>
    </row>
    <row r="29" spans="2:543" s="4" customFormat="1" ht="23" customHeight="1">
      <c r="B29" s="516">
        <v>23</v>
      </c>
      <c r="C29" s="549">
        <v>20.450700000000001</v>
      </c>
      <c r="D29" s="549">
        <v>20.282499999999999</v>
      </c>
      <c r="E29" s="549">
        <v>20.4145</v>
      </c>
      <c r="F29" s="549">
        <v>20.180199999999999</v>
      </c>
      <c r="G29" s="549">
        <v>19.9267</v>
      </c>
      <c r="H29" s="549">
        <v>20.196300000000001</v>
      </c>
      <c r="I29" s="549">
        <v>20.656199999999998</v>
      </c>
      <c r="J29" s="549">
        <v>20.195699999999999</v>
      </c>
      <c r="K29" s="549">
        <v>20.002700000000001</v>
      </c>
      <c r="L29" s="549">
        <v>20.044799999999999</v>
      </c>
      <c r="M29" s="662">
        <f t="shared" si="9"/>
        <v>19.746300000000002</v>
      </c>
      <c r="N29" s="662">
        <f t="shared" si="8"/>
        <v>19.746300000000002</v>
      </c>
      <c r="O29" s="516">
        <v>23</v>
      </c>
      <c r="R29" s="516">
        <v>23</v>
      </c>
      <c r="S29" s="549">
        <v>19.7393</v>
      </c>
      <c r="T29" s="549">
        <v>20.4222</v>
      </c>
      <c r="U29" s="549">
        <v>20.482299999999999</v>
      </c>
      <c r="V29" s="549">
        <v>19.873999999999999</v>
      </c>
      <c r="W29" s="549">
        <v>19.881</v>
      </c>
      <c r="X29" s="549">
        <v>20.6</v>
      </c>
      <c r="Y29" s="549">
        <v>20.1907</v>
      </c>
      <c r="Z29" s="549">
        <v>20.1175</v>
      </c>
      <c r="AA29" s="549">
        <v>20.143799999999999</v>
      </c>
      <c r="AB29" s="549">
        <v>20.264299999999999</v>
      </c>
      <c r="AC29" s="549">
        <v>20.828299999999999</v>
      </c>
      <c r="AD29" s="549">
        <v>20.782299999999999</v>
      </c>
      <c r="AE29" s="516">
        <v>23</v>
      </c>
      <c r="AH29" s="516">
        <v>23</v>
      </c>
      <c r="AI29" s="549">
        <v>18.700700000000001</v>
      </c>
      <c r="AJ29" s="549">
        <v>18.799199999999999</v>
      </c>
      <c r="AK29" s="549">
        <v>24.0868</v>
      </c>
      <c r="AL29" s="549">
        <v>24.424800000000001</v>
      </c>
      <c r="AM29" s="549">
        <v>22.96</v>
      </c>
      <c r="AN29" s="549">
        <v>22.63</v>
      </c>
      <c r="AO29" s="549">
        <v>22.3597</v>
      </c>
      <c r="AP29" s="549">
        <v>22.175999999999998</v>
      </c>
      <c r="AQ29" s="549">
        <v>21.504999999999999</v>
      </c>
      <c r="AR29" s="549">
        <v>21.064</v>
      </c>
      <c r="AS29" s="549">
        <v>20.1858</v>
      </c>
      <c r="AT29" s="549">
        <v>20.090499999999999</v>
      </c>
      <c r="AU29" s="516">
        <v>23</v>
      </c>
      <c r="AX29" s="516">
        <v>23</v>
      </c>
      <c r="AY29" s="535">
        <v>19.190200000000001</v>
      </c>
      <c r="AZ29" s="535">
        <v>19.2652</v>
      </c>
      <c r="BA29" s="535">
        <v>18.869399999999999</v>
      </c>
      <c r="BB29" s="535">
        <v>18.847999999999999</v>
      </c>
      <c r="BC29" s="535">
        <v>19.030899999999999</v>
      </c>
      <c r="BD29" s="535">
        <v>18.980399999999999</v>
      </c>
      <c r="BE29" s="535">
        <v>19.0123</v>
      </c>
      <c r="BF29" s="535">
        <v>19.6798</v>
      </c>
      <c r="BG29" s="535">
        <v>19.398099999999999</v>
      </c>
      <c r="BH29" s="535">
        <v>19.142199999999999</v>
      </c>
      <c r="BI29" s="535">
        <v>19.413799999999998</v>
      </c>
      <c r="BJ29" s="535">
        <v>18.963999999999999</v>
      </c>
      <c r="BK29" s="516">
        <v>23</v>
      </c>
      <c r="BN29" s="516">
        <v>23</v>
      </c>
      <c r="BO29" s="535">
        <v>18.581299999999999</v>
      </c>
      <c r="BP29" s="535">
        <v>18.651800000000001</v>
      </c>
      <c r="BQ29" s="537">
        <v>18.600100000000001</v>
      </c>
      <c r="BR29" s="535">
        <v>18.2819</v>
      </c>
      <c r="BS29" s="535">
        <v>19.9054</v>
      </c>
      <c r="BT29" s="535">
        <v>20.3689</v>
      </c>
      <c r="BU29" s="535">
        <v>19.079000000000001</v>
      </c>
      <c r="BV29" s="535">
        <v>18.878399999999999</v>
      </c>
      <c r="BW29" s="535">
        <v>18.829599999999999</v>
      </c>
      <c r="BX29" s="535">
        <v>19.218299999999999</v>
      </c>
      <c r="BY29" s="535">
        <v>20.202300000000001</v>
      </c>
      <c r="BZ29" s="535">
        <v>19.908200000000001</v>
      </c>
      <c r="CA29" s="516">
        <v>23</v>
      </c>
      <c r="CD29" s="516">
        <v>23</v>
      </c>
      <c r="CE29" s="535">
        <v>21.904399999999999</v>
      </c>
      <c r="CF29" s="535">
        <v>20.448899999999998</v>
      </c>
      <c r="CG29" s="535">
        <v>19.106999999999999</v>
      </c>
      <c r="CH29" s="535">
        <v>18.8187</v>
      </c>
      <c r="CI29" s="535">
        <v>18.6859</v>
      </c>
      <c r="CJ29" s="535">
        <v>18.157</v>
      </c>
      <c r="CK29" s="535">
        <v>17.526</v>
      </c>
      <c r="CL29" s="535">
        <v>17.650099999999998</v>
      </c>
      <c r="CM29" s="535">
        <v>17.854500000000002</v>
      </c>
      <c r="CN29" s="535">
        <v>18.8248</v>
      </c>
      <c r="CO29" s="535">
        <v>18.824200000000001</v>
      </c>
      <c r="CP29" s="535">
        <v>19.3962</v>
      </c>
      <c r="CQ29" s="516">
        <v>23</v>
      </c>
      <c r="CT29" s="516">
        <v>23</v>
      </c>
      <c r="CU29" s="535">
        <v>18.508400000000002</v>
      </c>
      <c r="CV29" s="535">
        <v>18.276199999999999</v>
      </c>
      <c r="CW29" s="535">
        <v>17.299499999999998</v>
      </c>
      <c r="CX29" s="535">
        <v>17.420200000000001</v>
      </c>
      <c r="CY29" s="535">
        <v>18.546500000000002</v>
      </c>
      <c r="CZ29" s="535">
        <v>18.644400000000001</v>
      </c>
      <c r="DA29" s="535">
        <v>18.6022</v>
      </c>
      <c r="DB29" s="535">
        <v>18.267399999999999</v>
      </c>
      <c r="DC29" s="535">
        <v>19.839400000000001</v>
      </c>
      <c r="DD29" s="535">
        <v>18.5945</v>
      </c>
      <c r="DE29" s="535">
        <v>20.4193</v>
      </c>
      <c r="DF29" s="535">
        <v>20.492100000000001</v>
      </c>
      <c r="DG29" s="516">
        <v>23</v>
      </c>
      <c r="DJ29" s="516">
        <v>23</v>
      </c>
      <c r="DK29" s="535">
        <v>14.6983</v>
      </c>
      <c r="DL29" s="535">
        <v>14.958299999999999</v>
      </c>
      <c r="DM29" s="535">
        <v>15.295999999999999</v>
      </c>
      <c r="DN29" s="535">
        <v>15.383699999999999</v>
      </c>
      <c r="DO29" s="535">
        <v>15.2326</v>
      </c>
      <c r="DP29" s="535">
        <v>15.327400000000001</v>
      </c>
      <c r="DQ29" s="535">
        <v>15.972799999999999</v>
      </c>
      <c r="DR29" s="535">
        <v>16.4908</v>
      </c>
      <c r="DS29" s="535">
        <v>16.686499999999999</v>
      </c>
      <c r="DT29" s="535">
        <v>16.66</v>
      </c>
      <c r="DU29" s="535">
        <v>16.5748</v>
      </c>
      <c r="DV29" s="535">
        <v>17.103400000000001</v>
      </c>
      <c r="DW29" s="516">
        <v>23</v>
      </c>
      <c r="DZ29" s="516">
        <v>23</v>
      </c>
      <c r="EA29" s="535">
        <v>13.298400000000001</v>
      </c>
      <c r="EB29" s="535">
        <v>13.2913</v>
      </c>
      <c r="EC29" s="535">
        <v>13.270300000000001</v>
      </c>
      <c r="ED29" s="535">
        <v>13.0413</v>
      </c>
      <c r="EE29" s="535">
        <v>12.9132</v>
      </c>
      <c r="EF29" s="535">
        <v>12.9885</v>
      </c>
      <c r="EG29" s="535">
        <v>12.975099999999999</v>
      </c>
      <c r="EH29" s="535">
        <v>13.096299999999999</v>
      </c>
      <c r="EI29" s="535">
        <v>13.2369</v>
      </c>
      <c r="EJ29" s="535">
        <v>13.498900000000001</v>
      </c>
      <c r="EK29" s="535">
        <v>13.611499999999999</v>
      </c>
      <c r="EL29" s="535">
        <v>14.6378</v>
      </c>
      <c r="EM29" s="516">
        <v>23</v>
      </c>
      <c r="EP29" s="516">
        <v>23</v>
      </c>
      <c r="EQ29" s="535">
        <v>12.7098</v>
      </c>
      <c r="ER29" s="535">
        <v>12.7699</v>
      </c>
      <c r="ES29" s="535">
        <v>12.3841</v>
      </c>
      <c r="ET29" s="535">
        <v>12.2254</v>
      </c>
      <c r="EU29" s="535">
        <v>12.3414</v>
      </c>
      <c r="EV29" s="535">
        <v>13.4015</v>
      </c>
      <c r="EW29" s="535">
        <v>12.549899999999999</v>
      </c>
      <c r="EX29" s="535">
        <v>13.1424</v>
      </c>
      <c r="EY29" s="535">
        <v>12.7179</v>
      </c>
      <c r="EZ29" s="535">
        <v>12.9314</v>
      </c>
      <c r="FA29" s="535">
        <v>13.0617</v>
      </c>
      <c r="FB29" s="535">
        <v>12.973000000000001</v>
      </c>
      <c r="FC29" s="516">
        <v>23</v>
      </c>
      <c r="FF29" s="516">
        <v>23</v>
      </c>
      <c r="FG29" s="535">
        <v>13.2516</v>
      </c>
      <c r="FH29" s="535">
        <v>12.7408</v>
      </c>
      <c r="FI29" s="535">
        <v>12.683299999999999</v>
      </c>
      <c r="FJ29" s="535">
        <v>13.2288</v>
      </c>
      <c r="FK29" s="535">
        <v>13.7935</v>
      </c>
      <c r="FL29" s="535">
        <v>13.7668</v>
      </c>
      <c r="FM29" s="535">
        <v>13.1921</v>
      </c>
      <c r="FN29" s="535">
        <v>13.0854</v>
      </c>
      <c r="FO29" s="535">
        <v>12.904199999999999</v>
      </c>
      <c r="FP29" s="535">
        <v>12.8551</v>
      </c>
      <c r="FQ29" s="535">
        <v>13.0395</v>
      </c>
      <c r="FR29" s="535">
        <v>12.777699999999999</v>
      </c>
      <c r="FS29" s="516">
        <v>23</v>
      </c>
      <c r="FV29" s="516">
        <v>23</v>
      </c>
      <c r="FW29" s="535">
        <v>12.090299999999999</v>
      </c>
      <c r="FX29" s="535">
        <v>12.0558</v>
      </c>
      <c r="FY29" s="535">
        <v>12.061500000000001</v>
      </c>
      <c r="FZ29" s="535">
        <v>11.692500000000001</v>
      </c>
      <c r="GA29" s="535">
        <v>11.658799999999999</v>
      </c>
      <c r="GB29" s="535">
        <v>11.813000000000001</v>
      </c>
      <c r="GC29" s="535">
        <v>11.6174</v>
      </c>
      <c r="GD29" s="535">
        <v>12.2386</v>
      </c>
      <c r="GE29" s="535">
        <v>13.404500000000001</v>
      </c>
      <c r="GF29" s="535">
        <v>13.662800000000001</v>
      </c>
      <c r="GG29" s="535">
        <v>13.7033</v>
      </c>
      <c r="GH29" s="535">
        <v>13.852600000000001</v>
      </c>
      <c r="GI29" s="516">
        <v>23</v>
      </c>
      <c r="GL29" s="516">
        <v>23</v>
      </c>
      <c r="GM29" s="535">
        <v>12.772</v>
      </c>
      <c r="GN29" s="535">
        <v>12.8337</v>
      </c>
      <c r="GO29" s="535">
        <v>12.579599999999999</v>
      </c>
      <c r="GP29" s="535">
        <v>12.1896</v>
      </c>
      <c r="GQ29" s="535">
        <v>13.1412</v>
      </c>
      <c r="GR29" s="535">
        <v>12.4604</v>
      </c>
      <c r="GS29" s="535">
        <v>12.7798</v>
      </c>
      <c r="GT29" s="535">
        <v>12.7226</v>
      </c>
      <c r="GU29" s="535">
        <v>12.759399999999999</v>
      </c>
      <c r="GV29" s="535">
        <v>12.3613</v>
      </c>
      <c r="GW29" s="535">
        <v>12.2996</v>
      </c>
      <c r="GX29" s="535">
        <v>12.372</v>
      </c>
      <c r="GY29" s="516">
        <v>23</v>
      </c>
      <c r="HB29" s="516">
        <v>23</v>
      </c>
      <c r="HC29" s="535">
        <v>13.9145</v>
      </c>
      <c r="HD29" s="535">
        <v>14.5505</v>
      </c>
      <c r="HE29" s="535">
        <v>14.08</v>
      </c>
      <c r="HF29" s="535">
        <v>13.175000000000001</v>
      </c>
      <c r="HG29" s="535">
        <v>13.103</v>
      </c>
      <c r="HH29" s="535">
        <v>13.3248</v>
      </c>
      <c r="HI29" s="535">
        <v>13.2879</v>
      </c>
      <c r="HJ29" s="535">
        <v>12.8733</v>
      </c>
      <c r="HK29" s="535">
        <v>13.353</v>
      </c>
      <c r="HL29" s="535">
        <v>12.919600000000001</v>
      </c>
      <c r="HM29" s="535">
        <v>13.0502</v>
      </c>
      <c r="HN29" s="535">
        <v>12.812099999999999</v>
      </c>
      <c r="HO29" s="516">
        <v>23</v>
      </c>
      <c r="HP29" s="536"/>
      <c r="HQ29" s="536"/>
      <c r="HR29" s="516">
        <v>23</v>
      </c>
      <c r="HS29" s="535">
        <v>10.981299999999999</v>
      </c>
      <c r="HT29" s="535">
        <v>10.798</v>
      </c>
      <c r="HU29" s="535">
        <v>10.704000000000001</v>
      </c>
      <c r="HV29" s="535">
        <v>10.5223</v>
      </c>
      <c r="HW29" s="535">
        <v>10.3644</v>
      </c>
      <c r="HX29" s="535">
        <v>10.3156</v>
      </c>
      <c r="HY29" s="535">
        <v>10.1708</v>
      </c>
      <c r="HZ29" s="535">
        <v>10.1106</v>
      </c>
      <c r="IA29" s="535">
        <v>10.613300000000001</v>
      </c>
      <c r="IB29" s="535">
        <v>13.1233</v>
      </c>
      <c r="IC29" s="535">
        <v>13.575799999999999</v>
      </c>
      <c r="ID29" s="535">
        <v>13.1197</v>
      </c>
      <c r="IE29" s="516">
        <v>23</v>
      </c>
      <c r="IF29" s="536"/>
      <c r="IG29" s="536"/>
      <c r="IH29" s="516">
        <v>23</v>
      </c>
      <c r="II29" s="535">
        <v>10.882400000000001</v>
      </c>
      <c r="IJ29" s="535">
        <v>11.0023</v>
      </c>
      <c r="IK29" s="535">
        <v>11.079599999999999</v>
      </c>
      <c r="IL29" s="535">
        <v>11.004799999999999</v>
      </c>
      <c r="IM29" s="535">
        <v>10.7963</v>
      </c>
      <c r="IN29" s="535">
        <v>10.826599999999999</v>
      </c>
      <c r="IO29" s="535">
        <v>10.720700000000001</v>
      </c>
      <c r="IP29" s="535">
        <v>11.1213</v>
      </c>
      <c r="IQ29" s="535">
        <v>10.9687</v>
      </c>
      <c r="IR29" s="535">
        <v>10.797599999999999</v>
      </c>
      <c r="IS29" s="535">
        <v>11.0037</v>
      </c>
      <c r="IT29" s="535">
        <v>10.8363</v>
      </c>
      <c r="IU29" s="516">
        <v>23</v>
      </c>
      <c r="IV29" s="536"/>
      <c r="IW29" s="536"/>
      <c r="IX29" s="516">
        <v>23</v>
      </c>
      <c r="IY29" s="535">
        <v>10.5589</v>
      </c>
      <c r="IZ29" s="535">
        <v>10.438800000000001</v>
      </c>
      <c r="JA29" s="535">
        <v>10.7568</v>
      </c>
      <c r="JB29" s="535">
        <v>11.030200000000001</v>
      </c>
      <c r="JC29" s="535">
        <v>11.1915</v>
      </c>
      <c r="JD29" s="535">
        <v>11.444100000000001</v>
      </c>
      <c r="JE29" s="535">
        <v>10.870799999999999</v>
      </c>
      <c r="JF29" s="535">
        <v>10.803800000000001</v>
      </c>
      <c r="JG29" s="535">
        <v>10.9953</v>
      </c>
      <c r="JH29" s="535">
        <v>10.805999999999999</v>
      </c>
      <c r="JI29" s="535">
        <v>11.0021</v>
      </c>
      <c r="JJ29" s="535">
        <v>10.841100000000001</v>
      </c>
      <c r="JK29" s="516">
        <v>23</v>
      </c>
      <c r="JL29" s="536"/>
      <c r="JM29" s="536"/>
      <c r="JN29" s="516">
        <v>23</v>
      </c>
      <c r="JO29" s="535">
        <v>11.2515</v>
      </c>
      <c r="JP29" s="535">
        <v>11.068</v>
      </c>
      <c r="JQ29" s="535">
        <v>11.1759</v>
      </c>
      <c r="JR29" s="535">
        <v>11.041</v>
      </c>
      <c r="JS29" s="535">
        <v>10.9283</v>
      </c>
      <c r="JT29" s="535">
        <v>10.7982</v>
      </c>
      <c r="JU29" s="535">
        <v>10.594200000000001</v>
      </c>
      <c r="JV29" s="535">
        <v>10.7753</v>
      </c>
      <c r="JW29" s="535">
        <v>10.7798</v>
      </c>
      <c r="JX29" s="535">
        <v>10.8393</v>
      </c>
      <c r="JY29" s="535">
        <v>10.6425</v>
      </c>
      <c r="JZ29" s="535">
        <v>10.6457</v>
      </c>
      <c r="KA29" s="516">
        <v>23</v>
      </c>
      <c r="KB29" s="536"/>
      <c r="KC29" s="536"/>
      <c r="KD29" s="516">
        <v>23</v>
      </c>
      <c r="KE29" s="535">
        <v>10.9521</v>
      </c>
      <c r="KF29" s="535">
        <v>10.9688</v>
      </c>
      <c r="KG29" s="535">
        <v>10.9863</v>
      </c>
      <c r="KH29" s="535">
        <v>11.3119</v>
      </c>
      <c r="KI29" s="535">
        <v>11.573499999999999</v>
      </c>
      <c r="KJ29" s="535">
        <v>11.314299999999999</v>
      </c>
      <c r="KK29" s="535">
        <v>11.46</v>
      </c>
      <c r="KL29" s="535">
        <v>11.355</v>
      </c>
      <c r="KM29" s="535">
        <v>11.429399999999999</v>
      </c>
      <c r="KN29" s="535">
        <v>11.472200000000001</v>
      </c>
      <c r="KO29" s="535">
        <v>11.3637</v>
      </c>
      <c r="KP29" s="535">
        <v>11.1873</v>
      </c>
      <c r="KQ29" s="516">
        <v>23</v>
      </c>
      <c r="KR29" s="536"/>
      <c r="KS29" s="536"/>
      <c r="KT29" s="516">
        <v>23</v>
      </c>
      <c r="KU29" s="535">
        <v>10.6866</v>
      </c>
      <c r="KV29" s="535">
        <v>10.899800000000001</v>
      </c>
      <c r="KW29" s="535">
        <v>10.863300000000001</v>
      </c>
      <c r="KX29" s="535">
        <v>10.554500000000001</v>
      </c>
      <c r="KY29" s="535">
        <v>10.253</v>
      </c>
      <c r="KZ29" s="535">
        <v>10.485799999999999</v>
      </c>
      <c r="LA29" s="535">
        <v>10.410500000000001</v>
      </c>
      <c r="LB29" s="535">
        <v>10.8507</v>
      </c>
      <c r="LC29" s="535">
        <v>10.8955</v>
      </c>
      <c r="LD29" s="535">
        <v>11.139699999999999</v>
      </c>
      <c r="LE29" s="535">
        <v>11.2094</v>
      </c>
      <c r="LF29" s="535">
        <v>11.2295</v>
      </c>
      <c r="LG29" s="516">
        <v>23</v>
      </c>
      <c r="LH29" s="536"/>
      <c r="LI29" s="536"/>
      <c r="LJ29" s="516">
        <v>23</v>
      </c>
      <c r="LK29" s="535">
        <v>9.1219000000000001</v>
      </c>
      <c r="LL29" s="535">
        <v>9.0756999999999994</v>
      </c>
      <c r="LM29" s="535">
        <v>9.0707000000000004</v>
      </c>
      <c r="LN29" s="535">
        <v>9.2247000000000003</v>
      </c>
      <c r="LO29" s="535">
        <v>9.5132999999999992</v>
      </c>
      <c r="LP29" s="535">
        <v>9.7675999999999998</v>
      </c>
      <c r="LQ29" s="535">
        <v>9.7052999999999994</v>
      </c>
      <c r="LR29" s="535">
        <v>9.7853999999999992</v>
      </c>
      <c r="LS29" s="535">
        <v>10.062799999999999</v>
      </c>
      <c r="LT29" s="535">
        <v>9.9382999999999999</v>
      </c>
      <c r="LU29" s="535">
        <v>10.087400000000001</v>
      </c>
      <c r="LV29" s="535">
        <v>10.192</v>
      </c>
      <c r="LW29" s="516">
        <v>23</v>
      </c>
      <c r="LX29" s="536"/>
      <c r="LY29" s="536"/>
      <c r="LZ29" s="516">
        <v>23</v>
      </c>
      <c r="MA29" s="535">
        <v>9.7952999999999992</v>
      </c>
      <c r="MB29" s="535">
        <v>9.7089999999999996</v>
      </c>
      <c r="MC29" s="535">
        <v>9.5188000000000006</v>
      </c>
      <c r="MD29" s="535">
        <v>9.2748000000000008</v>
      </c>
      <c r="ME29" s="535">
        <v>8.9428000000000001</v>
      </c>
      <c r="MF29" s="535">
        <v>9.0570000000000004</v>
      </c>
      <c r="MG29" s="535">
        <v>9.1999999999999993</v>
      </c>
      <c r="MH29" s="535">
        <v>9.1227</v>
      </c>
      <c r="MI29" s="535">
        <v>9.4802</v>
      </c>
      <c r="MJ29" s="535">
        <v>9.1971000000000007</v>
      </c>
      <c r="MK29" s="535">
        <v>9.1409000000000002</v>
      </c>
      <c r="ML29" s="535">
        <v>9.1682000000000006</v>
      </c>
      <c r="MM29" s="516">
        <v>23</v>
      </c>
      <c r="MN29" s="536"/>
      <c r="MO29" s="536"/>
      <c r="MP29" s="516">
        <v>23</v>
      </c>
      <c r="MQ29" s="535">
        <v>9.4038000000000004</v>
      </c>
      <c r="MR29" s="535">
        <v>9.4108000000000001</v>
      </c>
      <c r="MS29" s="535">
        <v>9.3185000000000002</v>
      </c>
      <c r="MT29" s="535">
        <v>9.4388000000000005</v>
      </c>
      <c r="MU29" s="535">
        <v>9.6150000000000002</v>
      </c>
      <c r="MV29" s="535">
        <v>9.8567999999999998</v>
      </c>
      <c r="MW29" s="535">
        <v>9.3607999999999993</v>
      </c>
      <c r="MX29" s="535">
        <v>9.2562999999999995</v>
      </c>
      <c r="MY29" s="535">
        <v>9.4346999999999994</v>
      </c>
      <c r="MZ29" s="535">
        <v>9.5333000000000006</v>
      </c>
      <c r="NA29" s="535">
        <v>9.4098000000000006</v>
      </c>
      <c r="NB29" s="535">
        <v>9.5726999999999993</v>
      </c>
      <c r="NC29" s="516">
        <v>23</v>
      </c>
      <c r="ND29" s="536"/>
      <c r="NE29" s="536"/>
      <c r="NF29" s="516">
        <v>23</v>
      </c>
      <c r="NG29" s="535">
        <v>10.2874</v>
      </c>
      <c r="NH29" s="535">
        <v>9.9332999999999991</v>
      </c>
      <c r="NI29" s="535">
        <v>9.6675000000000004</v>
      </c>
      <c r="NJ29" s="535">
        <v>9.3643000000000001</v>
      </c>
      <c r="NK29" s="535">
        <v>9.3241999999999994</v>
      </c>
      <c r="NL29" s="535">
        <v>9.3780999999999999</v>
      </c>
      <c r="NM29" s="535">
        <v>9.3347999999999995</v>
      </c>
      <c r="NN29" s="535">
        <v>9.3744999999999994</v>
      </c>
      <c r="NO29" s="535">
        <v>9.3043999999999993</v>
      </c>
      <c r="NP29" s="535">
        <v>9.6481999999999992</v>
      </c>
      <c r="NQ29" s="535">
        <v>9.3287999999999993</v>
      </c>
      <c r="NR29" s="535">
        <v>9.3141999999999996</v>
      </c>
      <c r="NS29" s="516">
        <v>23</v>
      </c>
      <c r="NT29" s="536"/>
      <c r="NU29" s="536"/>
      <c r="NV29" s="516">
        <v>23</v>
      </c>
      <c r="NW29" s="535">
        <v>8.2682000000000002</v>
      </c>
      <c r="NX29" s="535">
        <v>8.5449000000000002</v>
      </c>
      <c r="NY29" s="535">
        <v>8.5638000000000005</v>
      </c>
      <c r="NZ29" s="535">
        <v>8.4550000000000001</v>
      </c>
      <c r="OA29" s="535">
        <v>8.6222999999999992</v>
      </c>
      <c r="OB29" s="535">
        <v>8.8928999999999991</v>
      </c>
      <c r="OC29" s="535">
        <v>8.8033000000000001</v>
      </c>
      <c r="OD29" s="535">
        <v>9.3133999999999997</v>
      </c>
      <c r="OE29" s="535">
        <v>10.305</v>
      </c>
      <c r="OF29" s="535">
        <v>10.033799999999999</v>
      </c>
      <c r="OG29" s="535">
        <v>9.9305000000000003</v>
      </c>
      <c r="OH29" s="535">
        <v>9.7568000000000001</v>
      </c>
      <c r="OI29" s="516">
        <v>23</v>
      </c>
      <c r="OJ29" s="536"/>
      <c r="OK29" s="536"/>
      <c r="OL29" s="516">
        <v>23</v>
      </c>
      <c r="OM29" s="535">
        <v>7.8033000000000001</v>
      </c>
      <c r="ON29" s="535">
        <v>7.7460000000000004</v>
      </c>
      <c r="OO29" s="535">
        <v>7.9233000000000002</v>
      </c>
      <c r="OP29" s="535">
        <v>7.8773</v>
      </c>
      <c r="OQ29" s="535">
        <v>7.8654999999999999</v>
      </c>
      <c r="OR29" s="535">
        <v>7.9168000000000003</v>
      </c>
      <c r="OS29" s="535">
        <v>7.8868</v>
      </c>
      <c r="OT29" s="535">
        <v>7.7596999999999996</v>
      </c>
      <c r="OU29" s="535">
        <v>7.7557999999999998</v>
      </c>
      <c r="OV29" s="535">
        <v>7.7195999999999998</v>
      </c>
      <c r="OW29" s="535">
        <v>8.2882999999999996</v>
      </c>
      <c r="OX29" s="535">
        <v>8.1318000000000001</v>
      </c>
      <c r="OY29" s="516">
        <v>23</v>
      </c>
      <c r="OZ29" s="536"/>
      <c r="PA29" s="536"/>
      <c r="PB29" s="516">
        <v>23</v>
      </c>
      <c r="PC29" s="535">
        <v>7.4295999999999998</v>
      </c>
      <c r="PD29" s="535">
        <v>7.5381</v>
      </c>
      <c r="PE29" s="535">
        <v>7.5431999999999997</v>
      </c>
      <c r="PF29" s="535">
        <v>7.4053000000000004</v>
      </c>
      <c r="PG29" s="535">
        <v>7.3940000000000001</v>
      </c>
      <c r="PH29" s="535">
        <v>7.5506000000000002</v>
      </c>
      <c r="PI29" s="535">
        <v>7.6167999999999996</v>
      </c>
      <c r="PJ29" s="535">
        <v>7.4858000000000002</v>
      </c>
      <c r="PK29" s="535">
        <v>7.5052000000000003</v>
      </c>
      <c r="PL29" s="535">
        <v>7.7381000000000002</v>
      </c>
      <c r="PM29" s="535">
        <v>7.8959999999999999</v>
      </c>
      <c r="PN29" s="535">
        <v>7.8673999999999999</v>
      </c>
      <c r="PO29" s="516">
        <v>23</v>
      </c>
      <c r="PP29" s="536"/>
      <c r="PQ29" s="536"/>
      <c r="PR29" s="516">
        <v>23</v>
      </c>
      <c r="PS29" s="535">
        <v>5.6074999999999999</v>
      </c>
      <c r="PT29" s="535">
        <v>5.47</v>
      </c>
      <c r="PU29" s="535">
        <v>7.0875000000000004</v>
      </c>
      <c r="PV29" s="535">
        <v>6.0483000000000002</v>
      </c>
      <c r="PW29" s="535">
        <v>5.9175000000000004</v>
      </c>
      <c r="PX29" s="535">
        <v>6.2866999999999997</v>
      </c>
      <c r="PY29" s="535">
        <v>6.1582999999999997</v>
      </c>
      <c r="PZ29" s="535">
        <v>6.2278000000000002</v>
      </c>
      <c r="QA29" s="535">
        <v>6.3128000000000002</v>
      </c>
      <c r="QB29" s="535">
        <v>6.6908000000000003</v>
      </c>
      <c r="QC29" s="535">
        <v>7.7066999999999997</v>
      </c>
      <c r="QD29" s="535">
        <v>7.5857999999999999</v>
      </c>
      <c r="QE29" s="516">
        <v>23</v>
      </c>
      <c r="QF29" s="536"/>
      <c r="QG29" s="536"/>
      <c r="QH29" s="516">
        <v>23</v>
      </c>
      <c r="QI29" s="535">
        <v>3.1059999999999999</v>
      </c>
      <c r="QJ29" s="535">
        <v>3.1061000000000001</v>
      </c>
      <c r="QK29" s="535">
        <v>3.3248000000000002</v>
      </c>
      <c r="QL29" s="535">
        <v>3.3694000000000002</v>
      </c>
      <c r="QM29" s="535">
        <v>3.3220000000000001</v>
      </c>
      <c r="QN29" s="535">
        <v>3.3742999999999999</v>
      </c>
      <c r="QO29" s="535">
        <v>3.4056000000000002</v>
      </c>
      <c r="QP29" s="535">
        <v>3.3593000000000002</v>
      </c>
      <c r="QQ29" s="535">
        <v>3.403</v>
      </c>
      <c r="QR29" s="535">
        <v>3.4173</v>
      </c>
      <c r="QS29" s="535">
        <v>3.4455</v>
      </c>
      <c r="QT29" s="535">
        <v>3.9969999999999999</v>
      </c>
      <c r="QU29" s="516">
        <v>23</v>
      </c>
      <c r="QV29" s="536"/>
      <c r="QW29" s="536"/>
      <c r="QX29" s="516">
        <v>23</v>
      </c>
      <c r="QY29" s="535">
        <v>3.1051000000000002</v>
      </c>
      <c r="QZ29" s="535">
        <v>3.0950000000000002</v>
      </c>
      <c r="RA29" s="535">
        <v>3.1124000000000001</v>
      </c>
      <c r="RB29" s="535">
        <v>3.0933999999999999</v>
      </c>
      <c r="RC29" s="535">
        <v>3.1109</v>
      </c>
      <c r="RD29" s="535">
        <v>3.1139000000000001</v>
      </c>
      <c r="RE29" s="535">
        <v>3.1230000000000002</v>
      </c>
      <c r="RF29" s="535">
        <v>3.1131000000000002</v>
      </c>
      <c r="RG29" s="535">
        <v>3.11</v>
      </c>
      <c r="RH29" s="535">
        <v>3.1120000000000001</v>
      </c>
      <c r="RI29" s="535">
        <v>3.1147999999999998</v>
      </c>
      <c r="RJ29" s="535">
        <v>3.1111</v>
      </c>
      <c r="RK29" s="516">
        <v>23</v>
      </c>
      <c r="RL29" s="536"/>
      <c r="RM29" s="536"/>
      <c r="RN29" s="516">
        <v>23</v>
      </c>
      <c r="RO29" s="535">
        <v>3.0625</v>
      </c>
      <c r="RP29" s="535">
        <v>3.0621</v>
      </c>
      <c r="RQ29" s="535">
        <v>3.0737999999999999</v>
      </c>
      <c r="RR29" s="535">
        <v>3.0670999999999999</v>
      </c>
      <c r="RS29" s="535">
        <v>3.1055999999999999</v>
      </c>
      <c r="RT29" s="535">
        <v>3.1168</v>
      </c>
      <c r="RU29" s="535">
        <v>3.1156000000000001</v>
      </c>
      <c r="RV29" s="535">
        <v>3.0813999999999999</v>
      </c>
      <c r="RW29" s="535">
        <v>3.0884</v>
      </c>
      <c r="RX29" s="535">
        <v>3.1284999999999998</v>
      </c>
      <c r="RY29" s="535">
        <v>3.1150000000000002</v>
      </c>
      <c r="RZ29" s="535">
        <v>3.1179000000000001</v>
      </c>
      <c r="SA29" s="516">
        <v>23</v>
      </c>
      <c r="SB29" s="536"/>
      <c r="SC29" s="536"/>
      <c r="SD29" s="516">
        <v>23</v>
      </c>
      <c r="SE29" s="535">
        <v>2.9550000000000001</v>
      </c>
      <c r="SF29" s="535">
        <v>2.9674</v>
      </c>
      <c r="SG29" s="535">
        <v>2.9786000000000001</v>
      </c>
      <c r="SH29" s="535">
        <v>2.9902000000000002</v>
      </c>
      <c r="SI29" s="535">
        <v>3.0030000000000001</v>
      </c>
      <c r="SJ29" s="535">
        <v>3.0150000000000001</v>
      </c>
      <c r="SK29" s="535">
        <v>3.0266000000000002</v>
      </c>
      <c r="SL29" s="535">
        <v>3.0398000000000001</v>
      </c>
      <c r="SM29" s="535">
        <v>3.0514000000000001</v>
      </c>
      <c r="SN29" s="535">
        <v>3.0649999999999999</v>
      </c>
      <c r="SO29" s="535">
        <v>3.0631900000000001</v>
      </c>
      <c r="SP29" s="535">
        <v>3.0747499999999999</v>
      </c>
      <c r="SQ29" s="516">
        <v>23</v>
      </c>
      <c r="SR29" s="536"/>
      <c r="SS29" s="536"/>
      <c r="ST29" s="516">
        <v>23</v>
      </c>
      <c r="SU29" s="535">
        <v>2.6629999999999998</v>
      </c>
      <c r="SV29" s="535">
        <v>2.6960000000000002</v>
      </c>
      <c r="SW29" s="535">
        <v>2.7240000000000002</v>
      </c>
      <c r="SX29" s="535">
        <v>2.7530000000000001</v>
      </c>
      <c r="SY29" s="535">
        <v>2.7850000000000001</v>
      </c>
      <c r="SZ29" s="535">
        <v>2.8113999999999999</v>
      </c>
      <c r="TA29" s="535">
        <v>2.8338000000000001</v>
      </c>
      <c r="TB29" s="535">
        <v>2.8601999999999999</v>
      </c>
      <c r="TC29" s="535">
        <v>2.8841999999999999</v>
      </c>
      <c r="TD29" s="535">
        <v>2.9074</v>
      </c>
      <c r="TE29" s="535">
        <v>2.9306000000000001</v>
      </c>
      <c r="TF29" s="535">
        <v>2.9422000000000001</v>
      </c>
      <c r="TG29" s="516">
        <v>23</v>
      </c>
      <c r="TH29" s="536"/>
      <c r="TI29" s="536"/>
      <c r="TJ29" s="516">
        <v>23</v>
      </c>
      <c r="TK29" s="535">
        <v>2.298</v>
      </c>
      <c r="TL29" s="535">
        <v>2.331</v>
      </c>
      <c r="TM29" s="535">
        <v>2.359</v>
      </c>
      <c r="TN29" s="535">
        <v>2.3889999999999998</v>
      </c>
      <c r="TO29" s="535">
        <v>2.4180000000000001</v>
      </c>
      <c r="TP29" s="535">
        <v>2.4510000000000001</v>
      </c>
      <c r="TQ29" s="535">
        <v>2.48</v>
      </c>
      <c r="TR29" s="535">
        <v>2.512</v>
      </c>
      <c r="TS29" s="535">
        <v>2.5430000000000001</v>
      </c>
      <c r="TT29" s="535">
        <v>2.5710000000000002</v>
      </c>
      <c r="TU29" s="535">
        <v>2.6040000000000001</v>
      </c>
      <c r="TV29" s="535">
        <v>2.6339999999999999</v>
      </c>
      <c r="TW29" s="516">
        <v>23</v>
      </c>
    </row>
    <row r="30" spans="2:543" s="4" customFormat="1" ht="23" customHeight="1">
      <c r="B30" s="516">
        <v>24</v>
      </c>
      <c r="C30" s="549">
        <v>20.450700000000001</v>
      </c>
      <c r="D30" s="549">
        <v>20.297699999999999</v>
      </c>
      <c r="E30" s="549">
        <v>20.278199999999998</v>
      </c>
      <c r="F30" s="549">
        <v>20.180199999999999</v>
      </c>
      <c r="G30" s="549">
        <v>19.8657</v>
      </c>
      <c r="H30" s="549">
        <v>20.046500000000002</v>
      </c>
      <c r="I30" s="549">
        <v>20.656199999999998</v>
      </c>
      <c r="J30" s="549">
        <v>20.159800000000001</v>
      </c>
      <c r="K30" s="549">
        <v>19.960799999999999</v>
      </c>
      <c r="L30" s="549">
        <v>20.044799999999999</v>
      </c>
      <c r="M30" s="662">
        <f t="shared" si="9"/>
        <v>19.746300000000002</v>
      </c>
      <c r="N30" s="662">
        <f t="shared" si="8"/>
        <v>19.746300000000002</v>
      </c>
      <c r="O30" s="516">
        <v>24</v>
      </c>
      <c r="R30" s="516">
        <v>24</v>
      </c>
      <c r="S30" s="549">
        <v>19.7393</v>
      </c>
      <c r="T30" s="549">
        <v>20.6783</v>
      </c>
      <c r="U30" s="549">
        <v>20.578800000000001</v>
      </c>
      <c r="V30" s="549">
        <v>19.886500000000002</v>
      </c>
      <c r="W30" s="549">
        <v>19.881</v>
      </c>
      <c r="X30" s="549">
        <v>20.571200000000001</v>
      </c>
      <c r="Y30" s="549">
        <v>20.1812</v>
      </c>
      <c r="Z30" s="549">
        <v>20.402000000000001</v>
      </c>
      <c r="AA30" s="549">
        <v>20.032800000000002</v>
      </c>
      <c r="AB30" s="549">
        <v>20.264299999999999</v>
      </c>
      <c r="AC30" s="549">
        <v>20.963200000000001</v>
      </c>
      <c r="AD30" s="549">
        <v>20.752700000000001</v>
      </c>
      <c r="AE30" s="516">
        <v>24</v>
      </c>
      <c r="AH30" s="516">
        <v>24</v>
      </c>
      <c r="AI30" s="549">
        <v>18.688300000000002</v>
      </c>
      <c r="AJ30" s="549">
        <v>18.799199999999999</v>
      </c>
      <c r="AK30" s="549">
        <v>24.1113</v>
      </c>
      <c r="AL30" s="549">
        <v>24.5883</v>
      </c>
      <c r="AM30" s="549">
        <v>22.96</v>
      </c>
      <c r="AN30" s="549">
        <v>22.441299999999998</v>
      </c>
      <c r="AO30" s="549">
        <v>22.251000000000001</v>
      </c>
      <c r="AP30" s="549">
        <v>22.175999999999998</v>
      </c>
      <c r="AQ30" s="549">
        <v>21.568200000000001</v>
      </c>
      <c r="AR30" s="549">
        <v>21.03</v>
      </c>
      <c r="AS30" s="549">
        <v>20.1172</v>
      </c>
      <c r="AT30" s="549">
        <v>20.0562</v>
      </c>
      <c r="AU30" s="516">
        <v>24</v>
      </c>
      <c r="AX30" s="516">
        <v>24</v>
      </c>
      <c r="AY30" s="535">
        <v>19.1297</v>
      </c>
      <c r="AZ30" s="535">
        <v>19.2652</v>
      </c>
      <c r="BA30" s="535">
        <v>18.869399999999999</v>
      </c>
      <c r="BB30" s="535">
        <v>18.835899999999999</v>
      </c>
      <c r="BC30" s="535">
        <v>18.9755</v>
      </c>
      <c r="BD30" s="535">
        <v>18.980399999999999</v>
      </c>
      <c r="BE30" s="535">
        <v>19.065899999999999</v>
      </c>
      <c r="BF30" s="535">
        <v>19.746700000000001</v>
      </c>
      <c r="BG30" s="535">
        <v>19.447800000000001</v>
      </c>
      <c r="BH30" s="535">
        <v>19.105</v>
      </c>
      <c r="BI30" s="535">
        <v>19.413799999999998</v>
      </c>
      <c r="BJ30" s="535">
        <v>18.9133</v>
      </c>
      <c r="BK30" s="516">
        <v>24</v>
      </c>
      <c r="BN30" s="516">
        <v>24</v>
      </c>
      <c r="BO30" s="537">
        <v>18.7118</v>
      </c>
      <c r="BP30" s="537">
        <v>18.657399999999999</v>
      </c>
      <c r="BQ30" s="535">
        <v>18.5078</v>
      </c>
      <c r="BR30" s="535">
        <v>18.620999999999999</v>
      </c>
      <c r="BS30" s="535">
        <v>19.752800000000001</v>
      </c>
      <c r="BT30" s="535">
        <v>20.3689</v>
      </c>
      <c r="BU30" s="535">
        <v>19.069400000000002</v>
      </c>
      <c r="BV30" s="535">
        <v>18.817599999999999</v>
      </c>
      <c r="BW30" s="535">
        <v>18.829599999999999</v>
      </c>
      <c r="BX30" s="535">
        <v>19.366900000000001</v>
      </c>
      <c r="BY30" s="535">
        <v>20.298400000000001</v>
      </c>
      <c r="BZ30" s="535">
        <v>19.908200000000001</v>
      </c>
      <c r="CA30" s="516">
        <v>24</v>
      </c>
      <c r="CD30" s="516">
        <v>24</v>
      </c>
      <c r="CE30" s="535">
        <v>21.700199999999999</v>
      </c>
      <c r="CF30" s="535">
        <v>19.912700000000001</v>
      </c>
      <c r="CG30" s="535">
        <v>19.0837</v>
      </c>
      <c r="CH30" s="535">
        <v>18.8187</v>
      </c>
      <c r="CI30" s="535">
        <v>18.6633</v>
      </c>
      <c r="CJ30" s="535">
        <v>18.126999999999999</v>
      </c>
      <c r="CK30" s="535">
        <v>17.526</v>
      </c>
      <c r="CL30" s="535">
        <v>17.645800000000001</v>
      </c>
      <c r="CM30" s="535">
        <v>17.854500000000002</v>
      </c>
      <c r="CN30" s="535">
        <v>19.007999999999999</v>
      </c>
      <c r="CO30" s="535">
        <v>18.739999999999998</v>
      </c>
      <c r="CP30" s="535">
        <v>19.3962</v>
      </c>
      <c r="CQ30" s="516">
        <v>24</v>
      </c>
      <c r="CT30" s="516">
        <v>24</v>
      </c>
      <c r="CU30" s="535">
        <v>18.508400000000002</v>
      </c>
      <c r="CV30" s="535">
        <v>18.056799999999999</v>
      </c>
      <c r="CW30" s="535">
        <v>17.336099999999998</v>
      </c>
      <c r="CX30" s="535">
        <v>17.420200000000001</v>
      </c>
      <c r="CY30" s="535">
        <v>18.3826</v>
      </c>
      <c r="CZ30" s="535">
        <v>18.532499999999999</v>
      </c>
      <c r="DA30" s="535">
        <v>18.6022</v>
      </c>
      <c r="DB30" s="535">
        <v>18.302299999999999</v>
      </c>
      <c r="DC30" s="535">
        <v>19.596499999999999</v>
      </c>
      <c r="DD30" s="535">
        <v>18.5945</v>
      </c>
      <c r="DE30" s="535">
        <v>20.520499999999998</v>
      </c>
      <c r="DF30" s="535">
        <v>20.7179</v>
      </c>
      <c r="DG30" s="516">
        <v>24</v>
      </c>
      <c r="DJ30" s="516">
        <v>24</v>
      </c>
      <c r="DK30" s="535">
        <v>14.612</v>
      </c>
      <c r="DL30" s="535">
        <v>15.075699999999999</v>
      </c>
      <c r="DM30" s="535">
        <v>15.031700000000001</v>
      </c>
      <c r="DN30" s="535">
        <v>15.4518</v>
      </c>
      <c r="DO30" s="535">
        <v>15.2326</v>
      </c>
      <c r="DP30" s="535">
        <v>15.3072</v>
      </c>
      <c r="DQ30" s="535">
        <v>16.094999999999999</v>
      </c>
      <c r="DR30" s="535">
        <v>16.7182</v>
      </c>
      <c r="DS30" s="535">
        <v>16.871300000000002</v>
      </c>
      <c r="DT30" s="535">
        <v>16.528400000000001</v>
      </c>
      <c r="DU30" s="535">
        <v>16.512</v>
      </c>
      <c r="DV30" s="535">
        <v>17.184699999999999</v>
      </c>
      <c r="DW30" s="516">
        <v>24</v>
      </c>
      <c r="DZ30" s="516">
        <v>24</v>
      </c>
      <c r="EA30" s="535">
        <v>13.3194</v>
      </c>
      <c r="EB30" s="535">
        <v>13.2913</v>
      </c>
      <c r="EC30" s="535">
        <v>13.270300000000001</v>
      </c>
      <c r="ED30" s="535">
        <v>13.0448</v>
      </c>
      <c r="EE30" s="535">
        <v>12.880100000000001</v>
      </c>
      <c r="EF30" s="535">
        <v>13.0124</v>
      </c>
      <c r="EG30" s="535">
        <v>12.939299999999999</v>
      </c>
      <c r="EH30" s="535">
        <v>13.096299999999999</v>
      </c>
      <c r="EI30" s="535">
        <v>13.256600000000001</v>
      </c>
      <c r="EJ30" s="535">
        <v>13.555899999999999</v>
      </c>
      <c r="EK30" s="535">
        <v>13.611499999999999</v>
      </c>
      <c r="EL30" s="535">
        <v>14.635899999999999</v>
      </c>
      <c r="EM30" s="516">
        <v>24</v>
      </c>
      <c r="EP30" s="516">
        <v>24</v>
      </c>
      <c r="EQ30" s="535">
        <v>12.681699999999999</v>
      </c>
      <c r="ER30" s="535">
        <v>12.7699</v>
      </c>
      <c r="ES30" s="535">
        <v>12.3841</v>
      </c>
      <c r="ET30" s="535">
        <v>12.322699999999999</v>
      </c>
      <c r="EU30" s="535">
        <v>12.311299999999999</v>
      </c>
      <c r="EV30" s="535">
        <v>13.4015</v>
      </c>
      <c r="EW30" s="535">
        <v>12.5054</v>
      </c>
      <c r="EX30" s="535">
        <v>13.1486</v>
      </c>
      <c r="EY30" s="535">
        <v>12.7685</v>
      </c>
      <c r="EZ30" s="535">
        <v>12.8713</v>
      </c>
      <c r="FA30" s="535">
        <v>13.0617</v>
      </c>
      <c r="FB30" s="535">
        <v>12.9574</v>
      </c>
      <c r="FC30" s="516">
        <v>24</v>
      </c>
      <c r="FF30" s="516">
        <v>24</v>
      </c>
      <c r="FG30" s="535">
        <v>13.224</v>
      </c>
      <c r="FH30" s="535">
        <v>12.829599999999999</v>
      </c>
      <c r="FI30" s="535">
        <v>12.833</v>
      </c>
      <c r="FJ30" s="535">
        <v>13.117100000000001</v>
      </c>
      <c r="FK30" s="535">
        <v>13.7203</v>
      </c>
      <c r="FL30" s="535">
        <v>13.7668</v>
      </c>
      <c r="FM30" s="535">
        <v>13.2928</v>
      </c>
      <c r="FN30" s="535">
        <v>13.1762</v>
      </c>
      <c r="FO30" s="535">
        <v>12.904199999999999</v>
      </c>
      <c r="FP30" s="535">
        <v>12.857100000000001</v>
      </c>
      <c r="FQ30" s="535">
        <v>13.018800000000001</v>
      </c>
      <c r="FR30" s="535">
        <v>12.777699999999999</v>
      </c>
      <c r="FS30" s="516">
        <v>24</v>
      </c>
      <c r="FV30" s="516">
        <v>24</v>
      </c>
      <c r="FW30" s="535">
        <v>12.090299999999999</v>
      </c>
      <c r="FX30" s="535">
        <v>12.091699999999999</v>
      </c>
      <c r="FY30" s="535">
        <v>11.9885</v>
      </c>
      <c r="FZ30" s="535">
        <v>11.692500000000001</v>
      </c>
      <c r="GA30" s="535">
        <v>11.646699999999999</v>
      </c>
      <c r="GB30" s="535">
        <v>11.7789</v>
      </c>
      <c r="GC30" s="535">
        <v>11.6174</v>
      </c>
      <c r="GD30" s="535">
        <v>12.2948</v>
      </c>
      <c r="GE30" s="535">
        <v>13.8917</v>
      </c>
      <c r="GF30" s="535">
        <v>13.662800000000001</v>
      </c>
      <c r="GG30" s="535">
        <v>13.981199999999999</v>
      </c>
      <c r="GH30" s="535">
        <v>13.8169</v>
      </c>
      <c r="GI30" s="516">
        <v>24</v>
      </c>
      <c r="GL30" s="516">
        <v>24</v>
      </c>
      <c r="GM30" s="535">
        <v>12.772</v>
      </c>
      <c r="GN30" s="535">
        <v>12.8017</v>
      </c>
      <c r="GO30" s="535">
        <v>12.6052</v>
      </c>
      <c r="GP30" s="535">
        <v>12.240500000000001</v>
      </c>
      <c r="GQ30" s="535">
        <v>13.1412</v>
      </c>
      <c r="GR30" s="535">
        <v>12.5246</v>
      </c>
      <c r="GS30" s="535">
        <v>12.756</v>
      </c>
      <c r="GT30" s="535">
        <v>12.7683</v>
      </c>
      <c r="GU30" s="535">
        <v>12.688599999999999</v>
      </c>
      <c r="GV30" s="535">
        <v>12.3613</v>
      </c>
      <c r="GW30" s="535">
        <v>12.308999999999999</v>
      </c>
      <c r="GX30" s="535">
        <v>12.337899999999999</v>
      </c>
      <c r="GY30" s="516">
        <v>24</v>
      </c>
      <c r="HB30" s="516">
        <v>24</v>
      </c>
      <c r="HC30" s="535">
        <v>13.932499999999999</v>
      </c>
      <c r="HD30" s="535">
        <v>14.8163</v>
      </c>
      <c r="HE30" s="535">
        <v>14.148</v>
      </c>
      <c r="HF30" s="535">
        <v>13.1457</v>
      </c>
      <c r="HG30" s="535">
        <v>13.103</v>
      </c>
      <c r="HH30" s="535">
        <v>13.3782</v>
      </c>
      <c r="HI30" s="535">
        <v>13.231199999999999</v>
      </c>
      <c r="HJ30" s="535">
        <v>12.8733</v>
      </c>
      <c r="HK30" s="535">
        <v>13.3186</v>
      </c>
      <c r="HL30" s="535">
        <v>12.9495</v>
      </c>
      <c r="HM30" s="535">
        <v>13.089499999999999</v>
      </c>
      <c r="HN30" s="535">
        <v>12.944900000000001</v>
      </c>
      <c r="HO30" s="516">
        <v>24</v>
      </c>
      <c r="HP30" s="536"/>
      <c r="HQ30" s="536"/>
      <c r="HR30" s="516">
        <v>24</v>
      </c>
      <c r="HS30" s="535">
        <v>10.9232</v>
      </c>
      <c r="HT30" s="535">
        <v>10.798</v>
      </c>
      <c r="HU30" s="535">
        <v>10.704000000000001</v>
      </c>
      <c r="HV30" s="535">
        <v>10.5181</v>
      </c>
      <c r="HW30" s="535">
        <v>10.381</v>
      </c>
      <c r="HX30" s="535">
        <v>10.2753</v>
      </c>
      <c r="HY30" s="535">
        <v>10.117800000000001</v>
      </c>
      <c r="HZ30" s="535">
        <v>10.1106</v>
      </c>
      <c r="IA30" s="535">
        <v>10.587899999999999</v>
      </c>
      <c r="IB30" s="535">
        <v>13.559200000000001</v>
      </c>
      <c r="IC30" s="535">
        <v>13.575799999999999</v>
      </c>
      <c r="ID30" s="535">
        <v>13.174200000000001</v>
      </c>
      <c r="IE30" s="516">
        <v>24</v>
      </c>
      <c r="IF30" s="536"/>
      <c r="IG30" s="536"/>
      <c r="IH30" s="516">
        <v>24</v>
      </c>
      <c r="II30" s="535">
        <v>10.8918</v>
      </c>
      <c r="IJ30" s="535">
        <v>10.968299999999999</v>
      </c>
      <c r="IK30" s="535">
        <v>11.022</v>
      </c>
      <c r="IL30" s="535">
        <v>10.978999999999999</v>
      </c>
      <c r="IM30" s="535">
        <v>10.7598</v>
      </c>
      <c r="IN30" s="535">
        <v>10.826599999999999</v>
      </c>
      <c r="IO30" s="535">
        <v>10.7843</v>
      </c>
      <c r="IP30" s="535">
        <v>11.073600000000001</v>
      </c>
      <c r="IQ30" s="535">
        <v>10.9687</v>
      </c>
      <c r="IR30" s="535">
        <v>10.840400000000001</v>
      </c>
      <c r="IS30" s="535">
        <v>10.978999999999999</v>
      </c>
      <c r="IT30" s="535">
        <v>10.8363</v>
      </c>
      <c r="IU30" s="516">
        <v>24</v>
      </c>
      <c r="IV30" s="536"/>
      <c r="IW30" s="536"/>
      <c r="IX30" s="516">
        <v>24</v>
      </c>
      <c r="IY30" s="535">
        <v>10.5078</v>
      </c>
      <c r="IZ30" s="535">
        <v>10.499000000000001</v>
      </c>
      <c r="JA30" s="535">
        <v>10.8628</v>
      </c>
      <c r="JB30" s="535">
        <v>11.030200000000001</v>
      </c>
      <c r="JC30" s="535">
        <v>11.2799</v>
      </c>
      <c r="JD30" s="535">
        <v>11.4405</v>
      </c>
      <c r="JE30" s="535">
        <v>10.870799999999999</v>
      </c>
      <c r="JF30" s="535">
        <v>10.804</v>
      </c>
      <c r="JG30" s="535">
        <v>10.9953</v>
      </c>
      <c r="JH30" s="535">
        <v>10.8169</v>
      </c>
      <c r="JI30" s="535">
        <v>10.9756</v>
      </c>
      <c r="JJ30" s="535">
        <v>10.841100000000001</v>
      </c>
      <c r="JK30" s="516">
        <v>24</v>
      </c>
      <c r="JL30" s="536"/>
      <c r="JM30" s="536"/>
      <c r="JN30" s="516">
        <v>24</v>
      </c>
      <c r="JO30" s="535">
        <v>11.2515</v>
      </c>
      <c r="JP30" s="535">
        <v>11.0487</v>
      </c>
      <c r="JQ30" s="535">
        <v>11.1898</v>
      </c>
      <c r="JR30" s="535">
        <v>11.041</v>
      </c>
      <c r="JS30" s="535">
        <v>10.971500000000001</v>
      </c>
      <c r="JT30" s="535">
        <v>10.760999999999999</v>
      </c>
      <c r="JU30" s="535">
        <v>10.594200000000001</v>
      </c>
      <c r="JV30" s="535">
        <v>10.7356</v>
      </c>
      <c r="JW30" s="535">
        <v>10.834099999999999</v>
      </c>
      <c r="JX30" s="535">
        <v>10.8393</v>
      </c>
      <c r="JY30" s="535">
        <v>10.6678</v>
      </c>
      <c r="JZ30" s="535">
        <v>10.6532</v>
      </c>
      <c r="KA30" s="516">
        <v>24</v>
      </c>
      <c r="KB30" s="536"/>
      <c r="KC30" s="536"/>
      <c r="KD30" s="516">
        <v>24</v>
      </c>
      <c r="KE30" s="535">
        <v>11.001200000000001</v>
      </c>
      <c r="KF30" s="535">
        <v>10.942299999999999</v>
      </c>
      <c r="KG30" s="535">
        <v>10.973699999999999</v>
      </c>
      <c r="KH30" s="535">
        <v>11.3256</v>
      </c>
      <c r="KI30" s="535">
        <v>11.573499999999999</v>
      </c>
      <c r="KJ30" s="535">
        <v>11.307700000000001</v>
      </c>
      <c r="KK30" s="535">
        <v>11.446300000000001</v>
      </c>
      <c r="KL30" s="535">
        <v>11.3453</v>
      </c>
      <c r="KM30" s="535">
        <v>11.401199999999999</v>
      </c>
      <c r="KN30" s="535">
        <v>11.472200000000001</v>
      </c>
      <c r="KO30" s="535">
        <v>11.3949</v>
      </c>
      <c r="KP30" s="535">
        <v>11.1814</v>
      </c>
      <c r="KQ30" s="516">
        <v>24</v>
      </c>
      <c r="KR30" s="536"/>
      <c r="KS30" s="536"/>
      <c r="KT30" s="516">
        <v>24</v>
      </c>
      <c r="KU30" s="535">
        <v>10.8263</v>
      </c>
      <c r="KV30" s="535">
        <v>10.899800000000001</v>
      </c>
      <c r="KW30" s="535">
        <v>10.863300000000001</v>
      </c>
      <c r="KX30" s="535">
        <v>10.5525</v>
      </c>
      <c r="KY30" s="535">
        <v>10.238300000000001</v>
      </c>
      <c r="KZ30" s="535">
        <v>10.466900000000001</v>
      </c>
      <c r="LA30" s="535">
        <v>10.436199999999999</v>
      </c>
      <c r="LB30" s="535">
        <v>10.8507</v>
      </c>
      <c r="LC30" s="535">
        <v>10.827500000000001</v>
      </c>
      <c r="LD30" s="535">
        <v>11.2178</v>
      </c>
      <c r="LE30" s="535">
        <v>11.2094</v>
      </c>
      <c r="LF30" s="535">
        <v>11.285500000000001</v>
      </c>
      <c r="LG30" s="516">
        <v>24</v>
      </c>
      <c r="LH30" s="536"/>
      <c r="LI30" s="536"/>
      <c r="LJ30" s="516">
        <v>24</v>
      </c>
      <c r="LK30" s="535">
        <v>9.1521000000000008</v>
      </c>
      <c r="LL30" s="535">
        <v>9.0756999999999994</v>
      </c>
      <c r="LM30" s="535">
        <v>9.0707000000000004</v>
      </c>
      <c r="LN30" s="535">
        <v>9.2662999999999993</v>
      </c>
      <c r="LO30" s="535">
        <v>9.5244999999999997</v>
      </c>
      <c r="LP30" s="535">
        <v>9.7675999999999998</v>
      </c>
      <c r="LQ30" s="535">
        <v>9.6285000000000007</v>
      </c>
      <c r="LR30" s="535">
        <v>9.8388000000000009</v>
      </c>
      <c r="LS30" s="535">
        <v>10.2265</v>
      </c>
      <c r="LT30" s="535">
        <v>9.9723000000000006</v>
      </c>
      <c r="LU30" s="535">
        <v>10.087400000000001</v>
      </c>
      <c r="LV30" s="535">
        <v>10.1836</v>
      </c>
      <c r="LW30" s="516">
        <v>24</v>
      </c>
      <c r="LX30" s="536"/>
      <c r="LY30" s="536"/>
      <c r="LZ30" s="516">
        <v>24</v>
      </c>
      <c r="MA30" s="535">
        <v>9.7863000000000007</v>
      </c>
      <c r="MB30" s="535">
        <v>9.7278000000000002</v>
      </c>
      <c r="MC30" s="535">
        <v>9.5722000000000005</v>
      </c>
      <c r="MD30" s="535">
        <v>9.3524999999999991</v>
      </c>
      <c r="ME30" s="535">
        <v>8.9659999999999993</v>
      </c>
      <c r="MF30" s="535">
        <v>9.0570000000000004</v>
      </c>
      <c r="MG30" s="535">
        <v>9.1796000000000006</v>
      </c>
      <c r="MH30" s="535">
        <v>9.1158000000000001</v>
      </c>
      <c r="MI30" s="535">
        <v>9.4802</v>
      </c>
      <c r="MJ30" s="535">
        <v>9.1976999999999993</v>
      </c>
      <c r="MK30" s="535">
        <v>9.1547000000000001</v>
      </c>
      <c r="ML30" s="535">
        <v>9.1682000000000006</v>
      </c>
      <c r="MM30" s="516">
        <v>24</v>
      </c>
      <c r="MN30" s="536"/>
      <c r="MO30" s="536"/>
      <c r="MP30" s="516">
        <v>24</v>
      </c>
      <c r="MQ30" s="535">
        <v>9.4038000000000004</v>
      </c>
      <c r="MR30" s="535">
        <v>9.4395000000000007</v>
      </c>
      <c r="MS30" s="535">
        <v>9.2765000000000004</v>
      </c>
      <c r="MT30" s="535">
        <v>9.4388000000000005</v>
      </c>
      <c r="MU30" s="535">
        <v>9.5777999999999999</v>
      </c>
      <c r="MV30" s="535">
        <v>9.8706999999999994</v>
      </c>
      <c r="MW30" s="535">
        <v>9.3607999999999993</v>
      </c>
      <c r="MX30" s="535">
        <v>9.2322000000000006</v>
      </c>
      <c r="MY30" s="535">
        <v>9.4346999999999994</v>
      </c>
      <c r="MZ30" s="535">
        <v>9.5604999999999993</v>
      </c>
      <c r="NA30" s="535">
        <v>9.3789999999999996</v>
      </c>
      <c r="NB30" s="535">
        <v>9.5726999999999993</v>
      </c>
      <c r="NC30" s="516">
        <v>24</v>
      </c>
      <c r="ND30" s="536"/>
      <c r="NE30" s="536"/>
      <c r="NF30" s="516">
        <v>24</v>
      </c>
      <c r="NG30" s="535">
        <v>10.2874</v>
      </c>
      <c r="NH30" s="535">
        <v>9.9314999999999998</v>
      </c>
      <c r="NI30" s="535">
        <v>9.7116000000000007</v>
      </c>
      <c r="NJ30" s="535">
        <v>9.3316999999999997</v>
      </c>
      <c r="NK30" s="535">
        <v>9.3241999999999994</v>
      </c>
      <c r="NL30" s="535">
        <v>9.3717000000000006</v>
      </c>
      <c r="NM30" s="535">
        <v>9.3745999999999992</v>
      </c>
      <c r="NN30" s="535">
        <v>9.3867999999999991</v>
      </c>
      <c r="NO30" s="535">
        <v>9.2858000000000001</v>
      </c>
      <c r="NP30" s="535">
        <v>9.6481999999999992</v>
      </c>
      <c r="NQ30" s="535">
        <v>9.3190000000000008</v>
      </c>
      <c r="NR30" s="535">
        <v>9.3094999999999999</v>
      </c>
      <c r="NS30" s="516">
        <v>24</v>
      </c>
      <c r="NT30" s="536"/>
      <c r="NU30" s="536"/>
      <c r="NV30" s="516">
        <v>24</v>
      </c>
      <c r="NW30" s="535">
        <v>8.3320000000000007</v>
      </c>
      <c r="NX30" s="535">
        <v>8.5891999999999999</v>
      </c>
      <c r="NY30" s="535">
        <v>8.5784000000000002</v>
      </c>
      <c r="NZ30" s="535">
        <v>8.4616000000000007</v>
      </c>
      <c r="OA30" s="535">
        <v>8.6222999999999992</v>
      </c>
      <c r="OB30" s="535">
        <v>8.9123000000000001</v>
      </c>
      <c r="OC30" s="535">
        <v>8.8720999999999997</v>
      </c>
      <c r="OD30" s="535">
        <v>9.3133999999999997</v>
      </c>
      <c r="OE30" s="535">
        <v>10.0962</v>
      </c>
      <c r="OF30" s="535">
        <v>9.9930000000000003</v>
      </c>
      <c r="OG30" s="535">
        <v>9.9202999999999992</v>
      </c>
      <c r="OH30" s="535">
        <v>9.8027999999999995</v>
      </c>
      <c r="OI30" s="516">
        <v>24</v>
      </c>
      <c r="OJ30" s="536"/>
      <c r="OK30" s="536"/>
      <c r="OL30" s="516">
        <v>24</v>
      </c>
      <c r="OM30" s="535">
        <v>7.7946</v>
      </c>
      <c r="ON30" s="535">
        <v>7.7460000000000004</v>
      </c>
      <c r="OO30" s="535">
        <v>7.9233000000000002</v>
      </c>
      <c r="OP30" s="535">
        <v>7.8703000000000003</v>
      </c>
      <c r="OQ30" s="535">
        <v>7.8689</v>
      </c>
      <c r="OR30" s="535">
        <v>7.9581999999999997</v>
      </c>
      <c r="OS30" s="535">
        <v>7.8571</v>
      </c>
      <c r="OT30" s="535">
        <v>7.7596999999999996</v>
      </c>
      <c r="OU30" s="535">
        <v>7.7244999999999999</v>
      </c>
      <c r="OV30" s="535">
        <v>7.7229000000000001</v>
      </c>
      <c r="OW30" s="535">
        <v>8.2882999999999996</v>
      </c>
      <c r="OX30" s="535">
        <v>8.1156000000000006</v>
      </c>
      <c r="OY30" s="516">
        <v>24</v>
      </c>
      <c r="OZ30" s="536"/>
      <c r="PA30" s="536"/>
      <c r="PB30" s="516">
        <v>24</v>
      </c>
      <c r="PC30" s="535">
        <v>7.3122999999999996</v>
      </c>
      <c r="PD30" s="535">
        <v>7.5476999999999999</v>
      </c>
      <c r="PE30" s="535">
        <v>7.5431999999999997</v>
      </c>
      <c r="PF30" s="535">
        <v>7.3776000000000002</v>
      </c>
      <c r="PG30" s="535">
        <v>7.3860999999999999</v>
      </c>
      <c r="PH30" s="535">
        <v>7.5506000000000002</v>
      </c>
      <c r="PI30" s="535">
        <v>7.6292999999999997</v>
      </c>
      <c r="PJ30" s="535">
        <v>7.4756999999999998</v>
      </c>
      <c r="PK30" s="535">
        <v>7.5378999999999996</v>
      </c>
      <c r="PL30" s="535">
        <v>7.7625000000000002</v>
      </c>
      <c r="PM30" s="535">
        <v>7.8959999999999999</v>
      </c>
      <c r="PN30" s="535">
        <v>7.8426999999999998</v>
      </c>
      <c r="PO30" s="516">
        <v>24</v>
      </c>
      <c r="PP30" s="536"/>
      <c r="PQ30" s="536"/>
      <c r="PR30" s="516">
        <v>24</v>
      </c>
      <c r="PS30" s="535">
        <v>5.7050000000000001</v>
      </c>
      <c r="PT30" s="535">
        <v>5.95</v>
      </c>
      <c r="PU30" s="535">
        <v>7.28</v>
      </c>
      <c r="PV30" s="535">
        <v>6.0483000000000002</v>
      </c>
      <c r="PW30" s="535">
        <v>5.9192</v>
      </c>
      <c r="PX30" s="535">
        <v>6.2424999999999997</v>
      </c>
      <c r="PY30" s="535">
        <v>6.1582999999999997</v>
      </c>
      <c r="PZ30" s="535">
        <v>6.2149999999999999</v>
      </c>
      <c r="QA30" s="535">
        <v>6.3128000000000002</v>
      </c>
      <c r="QB30" s="535">
        <v>6.6695000000000002</v>
      </c>
      <c r="QC30" s="535">
        <v>7.7241999999999997</v>
      </c>
      <c r="QD30" s="535">
        <v>7.5857999999999999</v>
      </c>
      <c r="QE30" s="516">
        <v>24</v>
      </c>
      <c r="QF30" s="536"/>
      <c r="QG30" s="536"/>
      <c r="QH30" s="516">
        <v>24</v>
      </c>
      <c r="QI30" s="535">
        <v>3.1059999999999999</v>
      </c>
      <c r="QJ30" s="535">
        <v>3.1110000000000002</v>
      </c>
      <c r="QK30" s="535">
        <v>3.3325999999999998</v>
      </c>
      <c r="QL30" s="535">
        <v>3.3694000000000002</v>
      </c>
      <c r="QM30" s="535">
        <v>3.302</v>
      </c>
      <c r="QN30" s="535">
        <v>3.379</v>
      </c>
      <c r="QO30" s="535">
        <v>3.4056000000000002</v>
      </c>
      <c r="QP30" s="535">
        <v>3.3357999999999999</v>
      </c>
      <c r="QQ30" s="535">
        <v>3.4087999999999998</v>
      </c>
      <c r="QR30" s="535">
        <v>3.4173</v>
      </c>
      <c r="QS30" s="535">
        <v>3.4472999999999998</v>
      </c>
      <c r="QT30" s="535">
        <v>4.8875000000000002</v>
      </c>
      <c r="QU30" s="516">
        <v>24</v>
      </c>
      <c r="QV30" s="536"/>
      <c r="QW30" s="536"/>
      <c r="QX30" s="516">
        <v>24</v>
      </c>
      <c r="QY30" s="535">
        <v>3.1051000000000002</v>
      </c>
      <c r="QZ30" s="535">
        <v>3.0939999999999999</v>
      </c>
      <c r="RA30" s="535">
        <v>3.1172</v>
      </c>
      <c r="RB30" s="535">
        <v>3.0937000000000001</v>
      </c>
      <c r="RC30" s="535">
        <v>3.1109</v>
      </c>
      <c r="RD30" s="535">
        <v>3.1166</v>
      </c>
      <c r="RE30" s="535">
        <v>3.1229</v>
      </c>
      <c r="RF30" s="535">
        <v>3.1124000000000001</v>
      </c>
      <c r="RG30" s="535">
        <v>3.1162999999999998</v>
      </c>
      <c r="RH30" s="535">
        <v>3.1120000000000001</v>
      </c>
      <c r="RI30" s="535">
        <v>3.101</v>
      </c>
      <c r="RJ30" s="535">
        <v>3.1154999999999999</v>
      </c>
      <c r="RK30" s="516">
        <v>24</v>
      </c>
      <c r="RL30" s="536"/>
      <c r="RM30" s="536"/>
      <c r="RN30" s="516">
        <v>24</v>
      </c>
      <c r="RO30" s="535">
        <v>3.0617000000000001</v>
      </c>
      <c r="RP30" s="535">
        <v>3.0621</v>
      </c>
      <c r="RQ30" s="535">
        <v>3.0688</v>
      </c>
      <c r="RR30" s="535">
        <v>3.0828000000000002</v>
      </c>
      <c r="RS30" s="535">
        <v>3.1055999999999999</v>
      </c>
      <c r="RT30" s="535">
        <v>3.1215999999999999</v>
      </c>
      <c r="RU30" s="535">
        <v>3.1124999999999998</v>
      </c>
      <c r="RV30" s="535">
        <v>3.0813999999999999</v>
      </c>
      <c r="RW30" s="535">
        <v>3.1111</v>
      </c>
      <c r="RX30" s="535">
        <v>3.1252</v>
      </c>
      <c r="RY30" s="535">
        <v>3.1143000000000001</v>
      </c>
      <c r="RZ30" s="535">
        <v>3.1244999999999998</v>
      </c>
      <c r="SA30" s="516">
        <v>24</v>
      </c>
      <c r="SB30" s="536"/>
      <c r="SC30" s="536"/>
      <c r="SD30" s="516">
        <v>24</v>
      </c>
      <c r="SE30" s="535">
        <v>2.9554</v>
      </c>
      <c r="SF30" s="535">
        <v>2.9674</v>
      </c>
      <c r="SG30" s="535">
        <v>2.9786000000000001</v>
      </c>
      <c r="SH30" s="535">
        <v>2.9914000000000001</v>
      </c>
      <c r="SI30" s="535">
        <v>3.0034000000000001</v>
      </c>
      <c r="SJ30" s="535">
        <v>3.0150000000000001</v>
      </c>
      <c r="SK30" s="535">
        <v>3.0278</v>
      </c>
      <c r="SL30" s="535">
        <v>3.0402</v>
      </c>
      <c r="SM30" s="535">
        <v>3.0518000000000001</v>
      </c>
      <c r="SN30" s="535">
        <v>3.0653999999999999</v>
      </c>
      <c r="SO30" s="535">
        <v>3.0631900000000001</v>
      </c>
      <c r="SP30" s="535">
        <v>3.0773799999999998</v>
      </c>
      <c r="SQ30" s="516">
        <v>24</v>
      </c>
      <c r="SR30" s="536"/>
      <c r="SS30" s="536"/>
      <c r="ST30" s="516">
        <v>24</v>
      </c>
      <c r="SU30" s="535">
        <v>2.6659999999999999</v>
      </c>
      <c r="SV30" s="535">
        <v>2.6970000000000001</v>
      </c>
      <c r="SW30" s="535">
        <v>2.7250000000000001</v>
      </c>
      <c r="SX30" s="535">
        <v>2.754</v>
      </c>
      <c r="SY30" s="535">
        <v>2.786</v>
      </c>
      <c r="SZ30" s="535">
        <v>2.8113999999999999</v>
      </c>
      <c r="TA30" s="535">
        <v>2.8346</v>
      </c>
      <c r="TB30" s="535">
        <v>2.8610000000000002</v>
      </c>
      <c r="TC30" s="535">
        <v>2.8841999999999999</v>
      </c>
      <c r="TD30" s="535">
        <v>2.9098000000000002</v>
      </c>
      <c r="TE30" s="535">
        <v>2.931</v>
      </c>
      <c r="TF30" s="535">
        <v>2.9422000000000001</v>
      </c>
      <c r="TG30" s="516">
        <v>24</v>
      </c>
      <c r="TH30" s="536"/>
      <c r="TI30" s="536"/>
      <c r="TJ30" s="516">
        <v>24</v>
      </c>
      <c r="TK30" s="535">
        <v>2.2989999999999999</v>
      </c>
      <c r="TL30" s="535">
        <v>2.3319999999999999</v>
      </c>
      <c r="TM30" s="535">
        <v>2.36</v>
      </c>
      <c r="TN30" s="535">
        <v>2.3889999999999998</v>
      </c>
      <c r="TO30" s="535">
        <v>2.4209999999999998</v>
      </c>
      <c r="TP30" s="535">
        <v>2.452</v>
      </c>
      <c r="TQ30" s="535">
        <v>2.48</v>
      </c>
      <c r="TR30" s="535">
        <v>2.5129999999999999</v>
      </c>
      <c r="TS30" s="535">
        <v>2.5430000000000001</v>
      </c>
      <c r="TT30" s="535">
        <v>2.5720000000000001</v>
      </c>
      <c r="TU30" s="535">
        <v>2.605</v>
      </c>
      <c r="TV30" s="535">
        <v>2.6339999999999999</v>
      </c>
      <c r="TW30" s="516">
        <v>24</v>
      </c>
    </row>
    <row r="31" spans="2:543" s="4" customFormat="1" ht="23" customHeight="1">
      <c r="B31" s="516">
        <v>25</v>
      </c>
      <c r="C31" s="549">
        <v>20.459800000000001</v>
      </c>
      <c r="D31" s="549">
        <v>20.243500000000001</v>
      </c>
      <c r="E31" s="549">
        <v>20.18</v>
      </c>
      <c r="F31" s="549">
        <v>20.180199999999999</v>
      </c>
      <c r="G31" s="549">
        <v>19.828199999999999</v>
      </c>
      <c r="H31" s="549">
        <v>20.0365</v>
      </c>
      <c r="I31" s="549">
        <v>20.656199999999998</v>
      </c>
      <c r="J31" s="549">
        <v>19.998200000000001</v>
      </c>
      <c r="K31" s="549">
        <v>19.960799999999999</v>
      </c>
      <c r="L31" s="549">
        <v>19.964700000000001</v>
      </c>
      <c r="M31" s="662">
        <f t="shared" si="9"/>
        <v>19.746300000000002</v>
      </c>
      <c r="N31" s="662">
        <f t="shared" si="8"/>
        <v>19.746300000000002</v>
      </c>
      <c r="O31" s="516">
        <v>25</v>
      </c>
      <c r="R31" s="516">
        <v>25</v>
      </c>
      <c r="S31" s="549">
        <v>19.7393</v>
      </c>
      <c r="T31" s="549">
        <v>20.583300000000001</v>
      </c>
      <c r="U31" s="549">
        <v>20.640799999999999</v>
      </c>
      <c r="V31" s="549">
        <v>19.886500000000002</v>
      </c>
      <c r="W31" s="549">
        <v>19.951000000000001</v>
      </c>
      <c r="X31" s="549">
        <v>20.250499999999999</v>
      </c>
      <c r="Y31" s="549">
        <v>20.1812</v>
      </c>
      <c r="Z31" s="549">
        <v>20.390699999999999</v>
      </c>
      <c r="AA31" s="549">
        <v>20.027999999999999</v>
      </c>
      <c r="AB31" s="549">
        <v>20.264299999999999</v>
      </c>
      <c r="AC31" s="549">
        <v>21.210699999999999</v>
      </c>
      <c r="AD31" s="549">
        <v>20.658200000000001</v>
      </c>
      <c r="AE31" s="516">
        <v>25</v>
      </c>
      <c r="AH31" s="516">
        <v>25</v>
      </c>
      <c r="AI31" s="549">
        <v>18.8018</v>
      </c>
      <c r="AJ31" s="549">
        <v>18.913799999999998</v>
      </c>
      <c r="AK31" s="549">
        <v>25.078199999999999</v>
      </c>
      <c r="AL31" s="549">
        <v>24.623000000000001</v>
      </c>
      <c r="AM31" s="549">
        <v>22.96</v>
      </c>
      <c r="AN31" s="549">
        <v>22.413</v>
      </c>
      <c r="AO31" s="549">
        <v>22.3627</v>
      </c>
      <c r="AP31" s="549">
        <v>22.036200000000001</v>
      </c>
      <c r="AQ31" s="549">
        <v>22.089700000000001</v>
      </c>
      <c r="AR31" s="549">
        <v>21.03</v>
      </c>
      <c r="AS31" s="549">
        <v>20.101199999999999</v>
      </c>
      <c r="AT31" s="549">
        <v>20.1175</v>
      </c>
      <c r="AU31" s="516">
        <v>25</v>
      </c>
      <c r="AX31" s="516">
        <v>25</v>
      </c>
      <c r="AY31" s="535">
        <v>19.077100000000002</v>
      </c>
      <c r="AZ31" s="535">
        <v>19.2652</v>
      </c>
      <c r="BA31" s="535">
        <v>18.869399999999999</v>
      </c>
      <c r="BB31" s="535">
        <v>18.957799999999999</v>
      </c>
      <c r="BC31" s="535">
        <v>19.0122</v>
      </c>
      <c r="BD31" s="535">
        <v>19.066099999999999</v>
      </c>
      <c r="BE31" s="535">
        <v>19.131499999999999</v>
      </c>
      <c r="BF31" s="535">
        <v>19.746700000000001</v>
      </c>
      <c r="BG31" s="535">
        <v>19.445900000000002</v>
      </c>
      <c r="BH31" s="535">
        <v>19.125800000000002</v>
      </c>
      <c r="BI31" s="535">
        <v>19.413799999999998</v>
      </c>
      <c r="BJ31" s="535">
        <v>18.938500000000001</v>
      </c>
      <c r="BK31" s="516">
        <v>25</v>
      </c>
      <c r="BN31" s="516">
        <v>25</v>
      </c>
      <c r="BO31" s="535">
        <v>18.797999999999998</v>
      </c>
      <c r="BP31" s="535">
        <v>18.657399999999999</v>
      </c>
      <c r="BQ31" s="535">
        <v>18.5078</v>
      </c>
      <c r="BR31" s="535">
        <v>18.8628</v>
      </c>
      <c r="BS31" s="535">
        <v>19.766100000000002</v>
      </c>
      <c r="BT31" s="535">
        <v>20.3689</v>
      </c>
      <c r="BU31" s="535">
        <v>19.0761</v>
      </c>
      <c r="BV31" s="535">
        <v>18.8672</v>
      </c>
      <c r="BW31" s="535">
        <v>18.853899999999999</v>
      </c>
      <c r="BX31" s="535">
        <v>19.416899999999998</v>
      </c>
      <c r="BY31" s="535">
        <v>20.298400000000001</v>
      </c>
      <c r="BZ31" s="535">
        <v>19.927499999999998</v>
      </c>
      <c r="CA31" s="516">
        <v>25</v>
      </c>
      <c r="CD31" s="516">
        <v>25</v>
      </c>
      <c r="CE31" s="535">
        <v>21.4512</v>
      </c>
      <c r="CF31" s="535">
        <v>19.7011</v>
      </c>
      <c r="CG31" s="535">
        <v>18.9877</v>
      </c>
      <c r="CH31" s="535">
        <v>18.8413</v>
      </c>
      <c r="CI31" s="535">
        <v>18.614999999999998</v>
      </c>
      <c r="CJ31" s="535">
        <v>18.126999999999999</v>
      </c>
      <c r="CK31" s="535">
        <v>17.561800000000002</v>
      </c>
      <c r="CL31" s="535">
        <v>17.711300000000001</v>
      </c>
      <c r="CM31" s="535">
        <v>17.854500000000002</v>
      </c>
      <c r="CN31" s="535">
        <v>19.0489</v>
      </c>
      <c r="CO31" s="535">
        <v>18.604099999999999</v>
      </c>
      <c r="CP31" s="535">
        <v>19.3962</v>
      </c>
      <c r="CQ31" s="516">
        <v>25</v>
      </c>
      <c r="CT31" s="516">
        <v>25</v>
      </c>
      <c r="CU31" s="535">
        <v>18.508400000000002</v>
      </c>
      <c r="CV31" s="535">
        <v>18.194800000000001</v>
      </c>
      <c r="CW31" s="535">
        <v>17.336099999999998</v>
      </c>
      <c r="CX31" s="535">
        <v>17.420200000000001</v>
      </c>
      <c r="CY31" s="535">
        <v>18.444400000000002</v>
      </c>
      <c r="CZ31" s="535">
        <v>18.320699999999999</v>
      </c>
      <c r="DA31" s="535">
        <v>18.6022</v>
      </c>
      <c r="DB31" s="535">
        <v>18.3202</v>
      </c>
      <c r="DC31" s="535">
        <v>19.596499999999999</v>
      </c>
      <c r="DD31" s="535">
        <v>18.648099999999999</v>
      </c>
      <c r="DE31" s="535">
        <v>20.690100000000001</v>
      </c>
      <c r="DF31" s="535">
        <v>20.7179</v>
      </c>
      <c r="DG31" s="516">
        <v>25</v>
      </c>
      <c r="DJ31" s="516">
        <v>25</v>
      </c>
      <c r="DK31" s="535">
        <v>14.612</v>
      </c>
      <c r="DL31" s="535">
        <v>15.0832</v>
      </c>
      <c r="DM31" s="535">
        <v>14.964399999999999</v>
      </c>
      <c r="DN31" s="535">
        <v>15.353899999999999</v>
      </c>
      <c r="DO31" s="535">
        <v>15.2326</v>
      </c>
      <c r="DP31" s="535">
        <v>15.408799999999999</v>
      </c>
      <c r="DQ31" s="535">
        <v>16.094999999999999</v>
      </c>
      <c r="DR31" s="535">
        <v>16.917100000000001</v>
      </c>
      <c r="DS31" s="535">
        <v>17.045300000000001</v>
      </c>
      <c r="DT31" s="535">
        <v>16.528400000000001</v>
      </c>
      <c r="DU31" s="535">
        <v>16.5306</v>
      </c>
      <c r="DV31" s="535">
        <v>17.1953</v>
      </c>
      <c r="DW31" s="516">
        <v>25</v>
      </c>
      <c r="DZ31" s="516">
        <v>25</v>
      </c>
      <c r="EA31" s="535">
        <v>13.372199999999999</v>
      </c>
      <c r="EB31" s="535">
        <v>13.2704</v>
      </c>
      <c r="EC31" s="535">
        <v>13.22</v>
      </c>
      <c r="ED31" s="535">
        <v>13.0908</v>
      </c>
      <c r="EE31" s="535">
        <v>12.880100000000001</v>
      </c>
      <c r="EF31" s="535">
        <v>13.005599999999999</v>
      </c>
      <c r="EG31" s="535">
        <v>12.928599999999999</v>
      </c>
      <c r="EH31" s="535">
        <v>13.096299999999999</v>
      </c>
      <c r="EI31" s="535">
        <v>13.2768</v>
      </c>
      <c r="EJ31" s="535">
        <v>13.5288</v>
      </c>
      <c r="EK31" s="535">
        <v>13.6152</v>
      </c>
      <c r="EL31" s="535">
        <v>14.700799999999999</v>
      </c>
      <c r="EM31" s="516">
        <v>25</v>
      </c>
      <c r="EP31" s="516">
        <v>25</v>
      </c>
      <c r="EQ31" s="535">
        <v>12.6616</v>
      </c>
      <c r="ER31" s="535">
        <v>12.7699</v>
      </c>
      <c r="ES31" s="535">
        <v>12.3841</v>
      </c>
      <c r="ET31" s="535">
        <v>12.2492</v>
      </c>
      <c r="EU31" s="535">
        <v>12.4764</v>
      </c>
      <c r="EV31" s="535">
        <v>13.4041</v>
      </c>
      <c r="EW31" s="535">
        <v>12.5093</v>
      </c>
      <c r="EX31" s="535">
        <v>13.1486</v>
      </c>
      <c r="EY31" s="535">
        <v>12.784599999999999</v>
      </c>
      <c r="EZ31" s="535">
        <v>12.943300000000001</v>
      </c>
      <c r="FA31" s="535">
        <v>13.0617</v>
      </c>
      <c r="FB31" s="535">
        <v>12.961</v>
      </c>
      <c r="FC31" s="516">
        <v>25</v>
      </c>
      <c r="FF31" s="516">
        <v>25</v>
      </c>
      <c r="FG31" s="535">
        <v>13.138299999999999</v>
      </c>
      <c r="FH31" s="535">
        <v>12.8294</v>
      </c>
      <c r="FI31" s="535">
        <v>12.833</v>
      </c>
      <c r="FJ31" s="535">
        <v>13.2087</v>
      </c>
      <c r="FK31" s="535">
        <v>14.0335</v>
      </c>
      <c r="FL31" s="535">
        <v>13.7668</v>
      </c>
      <c r="FM31" s="535">
        <v>13.521800000000001</v>
      </c>
      <c r="FN31" s="535">
        <v>13.128399999999999</v>
      </c>
      <c r="FO31" s="535">
        <v>12.8376</v>
      </c>
      <c r="FP31" s="535">
        <v>12.975899999999999</v>
      </c>
      <c r="FQ31" s="535">
        <v>13.018800000000001</v>
      </c>
      <c r="FR31" s="535">
        <v>12.899100000000001</v>
      </c>
      <c r="FS31" s="516">
        <v>25</v>
      </c>
      <c r="FV31" s="516">
        <v>25</v>
      </c>
      <c r="FW31" s="535">
        <v>12.0482</v>
      </c>
      <c r="FX31" s="535">
        <v>12.19</v>
      </c>
      <c r="FY31" s="535">
        <v>12.000400000000001</v>
      </c>
      <c r="FZ31" s="535">
        <v>11.692500000000001</v>
      </c>
      <c r="GA31" s="535">
        <v>11.729200000000001</v>
      </c>
      <c r="GB31" s="535">
        <v>11.881600000000001</v>
      </c>
      <c r="GC31" s="535">
        <v>11.6174</v>
      </c>
      <c r="GD31" s="535">
        <v>12.335699999999999</v>
      </c>
      <c r="GE31" s="535">
        <v>13.8917</v>
      </c>
      <c r="GF31" s="535">
        <v>13.599600000000001</v>
      </c>
      <c r="GG31" s="535">
        <v>14.129099999999999</v>
      </c>
      <c r="GH31" s="535">
        <v>13.8169</v>
      </c>
      <c r="GI31" s="516">
        <v>25</v>
      </c>
      <c r="GL31" s="516">
        <v>25</v>
      </c>
      <c r="GM31" s="535">
        <v>12.772</v>
      </c>
      <c r="GN31" s="535">
        <v>12.8584</v>
      </c>
      <c r="GO31" s="535">
        <v>12.5284</v>
      </c>
      <c r="GP31" s="535">
        <v>12.240500000000001</v>
      </c>
      <c r="GQ31" s="535">
        <v>13.033799999999999</v>
      </c>
      <c r="GR31" s="535">
        <v>12.698399999999999</v>
      </c>
      <c r="GS31" s="535">
        <v>12.756</v>
      </c>
      <c r="GT31" s="535">
        <v>12.8492</v>
      </c>
      <c r="GU31" s="535">
        <v>12.642200000000001</v>
      </c>
      <c r="GV31" s="535">
        <v>12.3613</v>
      </c>
      <c r="GW31" s="535">
        <v>12.457700000000001</v>
      </c>
      <c r="GX31" s="535">
        <v>12.3332</v>
      </c>
      <c r="GY31" s="516">
        <v>25</v>
      </c>
      <c r="HB31" s="516">
        <v>25</v>
      </c>
      <c r="HC31" s="535">
        <v>13.932499999999999</v>
      </c>
      <c r="HD31" s="535">
        <v>14.8528</v>
      </c>
      <c r="HE31" s="535">
        <v>14.320399999999999</v>
      </c>
      <c r="HF31" s="535">
        <v>13.309900000000001</v>
      </c>
      <c r="HG31" s="535">
        <v>13.103</v>
      </c>
      <c r="HH31" s="535">
        <v>13.3187</v>
      </c>
      <c r="HI31" s="535">
        <v>13.1915</v>
      </c>
      <c r="HJ31" s="535">
        <v>12.822699999999999</v>
      </c>
      <c r="HK31" s="535">
        <v>13.3733</v>
      </c>
      <c r="HL31" s="535">
        <v>12.9495</v>
      </c>
      <c r="HM31" s="535">
        <v>13.0151</v>
      </c>
      <c r="HN31" s="535">
        <v>12.8896</v>
      </c>
      <c r="HO31" s="516">
        <v>25</v>
      </c>
      <c r="HP31" s="536"/>
      <c r="HQ31" s="536"/>
      <c r="HR31" s="516">
        <v>25</v>
      </c>
      <c r="HS31" s="535">
        <v>10.952199999999999</v>
      </c>
      <c r="HT31" s="535">
        <v>10.798</v>
      </c>
      <c r="HU31" s="535">
        <v>10.6944</v>
      </c>
      <c r="HV31" s="535">
        <v>10.486800000000001</v>
      </c>
      <c r="HW31" s="535">
        <v>10.381</v>
      </c>
      <c r="HX31" s="535">
        <v>10.3032</v>
      </c>
      <c r="HY31" s="535">
        <v>10.055199999999999</v>
      </c>
      <c r="HZ31" s="535">
        <v>10.1106</v>
      </c>
      <c r="IA31" s="535">
        <v>10.7264</v>
      </c>
      <c r="IB31" s="535">
        <v>13.5025</v>
      </c>
      <c r="IC31" s="535">
        <v>13.9183</v>
      </c>
      <c r="ID31" s="535">
        <v>13.217499999999999</v>
      </c>
      <c r="IE31" s="516">
        <v>25</v>
      </c>
      <c r="IF31" s="536"/>
      <c r="IG31" s="536"/>
      <c r="IH31" s="516">
        <v>25</v>
      </c>
      <c r="II31" s="535">
        <v>10.964499999999999</v>
      </c>
      <c r="IJ31" s="535">
        <v>10.968299999999999</v>
      </c>
      <c r="IK31" s="535">
        <v>11.022</v>
      </c>
      <c r="IL31" s="535">
        <v>10.963699999999999</v>
      </c>
      <c r="IM31" s="535">
        <v>10.768800000000001</v>
      </c>
      <c r="IN31" s="535">
        <v>10.826599999999999</v>
      </c>
      <c r="IO31" s="535">
        <v>10.763999999999999</v>
      </c>
      <c r="IP31" s="535">
        <v>11.0489</v>
      </c>
      <c r="IQ31" s="535">
        <v>10.951700000000001</v>
      </c>
      <c r="IR31" s="535">
        <v>10.824</v>
      </c>
      <c r="IS31" s="535">
        <v>10.978999999999999</v>
      </c>
      <c r="IT31" s="535">
        <v>10.8203</v>
      </c>
      <c r="IU31" s="516">
        <v>25</v>
      </c>
      <c r="IV31" s="536"/>
      <c r="IW31" s="536"/>
      <c r="IX31" s="516">
        <v>25</v>
      </c>
      <c r="IY31" s="535">
        <v>10.520799999999999</v>
      </c>
      <c r="IZ31" s="535">
        <v>10.4885</v>
      </c>
      <c r="JA31" s="535">
        <v>10.8612</v>
      </c>
      <c r="JB31" s="535">
        <v>11.066700000000001</v>
      </c>
      <c r="JC31" s="535">
        <v>11.1935</v>
      </c>
      <c r="JD31" s="535">
        <v>11.4405</v>
      </c>
      <c r="JE31" s="535">
        <v>10.8954</v>
      </c>
      <c r="JF31" s="535">
        <v>10.8428</v>
      </c>
      <c r="JG31" s="535">
        <v>10.9953</v>
      </c>
      <c r="JH31" s="535">
        <v>10.8489</v>
      </c>
      <c r="JI31" s="535">
        <v>10.9682</v>
      </c>
      <c r="JJ31" s="535">
        <v>10.841100000000001</v>
      </c>
      <c r="JK31" s="516">
        <v>25</v>
      </c>
      <c r="JL31" s="536"/>
      <c r="JM31" s="536"/>
      <c r="JN31" s="516">
        <v>25</v>
      </c>
      <c r="JO31" s="535">
        <v>11.250500000000001</v>
      </c>
      <c r="JP31" s="535">
        <v>11.0807</v>
      </c>
      <c r="JQ31" s="535">
        <v>11.1898</v>
      </c>
      <c r="JR31" s="535">
        <v>11.041</v>
      </c>
      <c r="JS31" s="535">
        <v>10.9533</v>
      </c>
      <c r="JT31" s="535">
        <v>10.7897</v>
      </c>
      <c r="JU31" s="535">
        <v>10.594200000000001</v>
      </c>
      <c r="JV31" s="535">
        <v>10.7742</v>
      </c>
      <c r="JW31" s="535">
        <v>10.834099999999999</v>
      </c>
      <c r="JX31" s="535">
        <v>10.8948</v>
      </c>
      <c r="JY31" s="535">
        <v>10.618</v>
      </c>
      <c r="JZ31" s="535">
        <v>10.6532</v>
      </c>
      <c r="KA31" s="516">
        <v>25</v>
      </c>
      <c r="KB31" s="536"/>
      <c r="KC31" s="536"/>
      <c r="KD31" s="516">
        <v>25</v>
      </c>
      <c r="KE31" s="535">
        <v>11.001200000000001</v>
      </c>
      <c r="KF31" s="535">
        <v>10.9437</v>
      </c>
      <c r="KG31" s="535">
        <v>10.9695</v>
      </c>
      <c r="KH31" s="535">
        <v>11.3256</v>
      </c>
      <c r="KI31" s="535">
        <v>11.567299999999999</v>
      </c>
      <c r="KJ31" s="535">
        <v>11.342499999999999</v>
      </c>
      <c r="KK31" s="535">
        <v>11.446300000000001</v>
      </c>
      <c r="KL31" s="535">
        <v>11.3764</v>
      </c>
      <c r="KM31" s="535">
        <v>11.417999999999999</v>
      </c>
      <c r="KN31" s="535">
        <v>11.472200000000001</v>
      </c>
      <c r="KO31" s="535">
        <v>11.3447</v>
      </c>
      <c r="KP31" s="535">
        <v>11.1363</v>
      </c>
      <c r="KQ31" s="516">
        <v>25</v>
      </c>
      <c r="KR31" s="536"/>
      <c r="KS31" s="536"/>
      <c r="KT31" s="516">
        <v>25</v>
      </c>
      <c r="KU31" s="535">
        <v>10.770799999999999</v>
      </c>
      <c r="KV31" s="535">
        <v>10.979799999999999</v>
      </c>
      <c r="KW31" s="535">
        <v>10.8734</v>
      </c>
      <c r="KX31" s="535">
        <v>10.514699999999999</v>
      </c>
      <c r="KY31" s="535">
        <v>10.238300000000001</v>
      </c>
      <c r="KZ31" s="535">
        <v>10.4796</v>
      </c>
      <c r="LA31" s="535">
        <v>10.516</v>
      </c>
      <c r="LB31" s="535">
        <v>10.8507</v>
      </c>
      <c r="LC31" s="535">
        <v>10.774100000000001</v>
      </c>
      <c r="LD31" s="535">
        <v>11.180999999999999</v>
      </c>
      <c r="LE31" s="535">
        <v>11.2058</v>
      </c>
      <c r="LF31" s="535">
        <v>11.269600000000001</v>
      </c>
      <c r="LG31" s="516">
        <v>25</v>
      </c>
      <c r="LH31" s="536"/>
      <c r="LI31" s="536"/>
      <c r="LJ31" s="516">
        <v>25</v>
      </c>
      <c r="LK31" s="535">
        <v>9.1479999999999997</v>
      </c>
      <c r="LL31" s="535">
        <v>9.0756999999999994</v>
      </c>
      <c r="LM31" s="535">
        <v>9.0707000000000004</v>
      </c>
      <c r="LN31" s="535">
        <v>9.2698</v>
      </c>
      <c r="LO31" s="535">
        <v>9.5165000000000006</v>
      </c>
      <c r="LP31" s="535">
        <v>9.9473000000000003</v>
      </c>
      <c r="LQ31" s="535">
        <v>9.6129999999999995</v>
      </c>
      <c r="LR31" s="535">
        <v>9.8388000000000009</v>
      </c>
      <c r="LS31" s="535">
        <v>10.357799999999999</v>
      </c>
      <c r="LT31" s="535">
        <v>10.007899999999999</v>
      </c>
      <c r="LU31" s="535">
        <v>10.087400000000001</v>
      </c>
      <c r="LV31" s="535">
        <v>10.1907</v>
      </c>
      <c r="LW31" s="516">
        <v>25</v>
      </c>
      <c r="LX31" s="536"/>
      <c r="LY31" s="536"/>
      <c r="LZ31" s="516">
        <v>25</v>
      </c>
      <c r="MA31" s="535">
        <v>9.7683</v>
      </c>
      <c r="MB31" s="535">
        <v>9.7278000000000002</v>
      </c>
      <c r="MC31" s="535">
        <v>9.5722000000000005</v>
      </c>
      <c r="MD31" s="535">
        <v>9.3699999999999992</v>
      </c>
      <c r="ME31" s="535">
        <v>9.0397999999999996</v>
      </c>
      <c r="MF31" s="535">
        <v>9.0570000000000004</v>
      </c>
      <c r="MG31" s="535">
        <v>9.1106999999999996</v>
      </c>
      <c r="MH31" s="535">
        <v>9.1204999999999998</v>
      </c>
      <c r="MI31" s="535">
        <v>9.4847999999999999</v>
      </c>
      <c r="MJ31" s="535">
        <v>9.2242999999999995</v>
      </c>
      <c r="MK31" s="535">
        <v>9.1547000000000001</v>
      </c>
      <c r="ML31" s="535">
        <v>9.1234999999999999</v>
      </c>
      <c r="MM31" s="516">
        <v>25</v>
      </c>
      <c r="MN31" s="536"/>
      <c r="MO31" s="536"/>
      <c r="MP31" s="516">
        <v>25</v>
      </c>
      <c r="MQ31" s="535">
        <v>9.4463000000000008</v>
      </c>
      <c r="MR31" s="535">
        <v>9.4067000000000007</v>
      </c>
      <c r="MS31" s="535">
        <v>9.2398000000000007</v>
      </c>
      <c r="MT31" s="535">
        <v>9.3939000000000004</v>
      </c>
      <c r="MU31" s="535">
        <v>9.5090000000000003</v>
      </c>
      <c r="MV31" s="535">
        <v>9.8706999999999994</v>
      </c>
      <c r="MW31" s="535">
        <v>9.3484999999999996</v>
      </c>
      <c r="MX31" s="535">
        <v>9.2773000000000003</v>
      </c>
      <c r="MY31" s="535">
        <v>9.4346999999999994</v>
      </c>
      <c r="MZ31" s="535">
        <v>9.5736000000000008</v>
      </c>
      <c r="NA31" s="535">
        <v>9.4056999999999995</v>
      </c>
      <c r="NB31" s="535">
        <v>9.5726999999999993</v>
      </c>
      <c r="NC31" s="516">
        <v>25</v>
      </c>
      <c r="ND31" s="536"/>
      <c r="NE31" s="536"/>
      <c r="NF31" s="516">
        <v>25</v>
      </c>
      <c r="NG31" s="535">
        <v>10.2874</v>
      </c>
      <c r="NH31" s="535">
        <v>9.9565000000000001</v>
      </c>
      <c r="NI31" s="535">
        <v>9.6722999999999999</v>
      </c>
      <c r="NJ31" s="535">
        <v>9.3316999999999997</v>
      </c>
      <c r="NK31" s="535">
        <v>9.3589000000000002</v>
      </c>
      <c r="NL31" s="535">
        <v>9.4038000000000004</v>
      </c>
      <c r="NM31" s="535">
        <v>9.3745999999999992</v>
      </c>
      <c r="NN31" s="535">
        <v>9.3435000000000006</v>
      </c>
      <c r="NO31" s="535">
        <v>9.3055000000000003</v>
      </c>
      <c r="NP31" s="535">
        <v>9.6481999999999992</v>
      </c>
      <c r="NQ31" s="535">
        <v>9.3323999999999998</v>
      </c>
      <c r="NR31" s="535">
        <v>9.3695000000000004</v>
      </c>
      <c r="NS31" s="516">
        <v>25</v>
      </c>
      <c r="NT31" s="536"/>
      <c r="NU31" s="536"/>
      <c r="NV31" s="516">
        <v>25</v>
      </c>
      <c r="NW31" s="535">
        <v>8.3320000000000007</v>
      </c>
      <c r="NX31" s="535">
        <v>8.6379000000000001</v>
      </c>
      <c r="NY31" s="535">
        <v>8.5367999999999995</v>
      </c>
      <c r="NZ31" s="535">
        <v>8.4702999999999999</v>
      </c>
      <c r="OA31" s="535">
        <v>8.6222999999999992</v>
      </c>
      <c r="OB31" s="535">
        <v>8.8926999999999996</v>
      </c>
      <c r="OC31" s="535">
        <v>8.8646999999999991</v>
      </c>
      <c r="OD31" s="535">
        <v>9.69</v>
      </c>
      <c r="OE31" s="535">
        <v>10.1159</v>
      </c>
      <c r="OF31" s="535">
        <v>9.9930000000000003</v>
      </c>
      <c r="OG31" s="535">
        <v>9.8772000000000002</v>
      </c>
      <c r="OH31" s="535">
        <v>9.8103999999999996</v>
      </c>
      <c r="OI31" s="516">
        <v>25</v>
      </c>
      <c r="OJ31" s="536"/>
      <c r="OK31" s="536"/>
      <c r="OL31" s="516">
        <v>25</v>
      </c>
      <c r="OM31" s="535">
        <v>7.7912999999999997</v>
      </c>
      <c r="ON31" s="535">
        <v>7.7617000000000003</v>
      </c>
      <c r="OO31" s="535">
        <v>7.9406999999999996</v>
      </c>
      <c r="OP31" s="535">
        <v>7.8783000000000003</v>
      </c>
      <c r="OQ31" s="535">
        <v>7.8689</v>
      </c>
      <c r="OR31" s="535">
        <v>7.9770000000000003</v>
      </c>
      <c r="OS31" s="535">
        <v>7.8372999999999999</v>
      </c>
      <c r="OT31" s="535">
        <v>7.7596999999999996</v>
      </c>
      <c r="OU31" s="535">
        <v>7.7680999999999996</v>
      </c>
      <c r="OV31" s="535">
        <v>7.7629999999999999</v>
      </c>
      <c r="OW31" s="535">
        <v>8.1773000000000007</v>
      </c>
      <c r="OX31" s="535">
        <v>8.1267999999999994</v>
      </c>
      <c r="OY31" s="516">
        <v>25</v>
      </c>
      <c r="OZ31" s="536"/>
      <c r="PA31" s="536"/>
      <c r="PB31" s="516">
        <v>25</v>
      </c>
      <c r="PC31" s="535">
        <v>7.3608000000000002</v>
      </c>
      <c r="PD31" s="535">
        <v>7.5476999999999999</v>
      </c>
      <c r="PE31" s="535">
        <v>7.5431999999999997</v>
      </c>
      <c r="PF31" s="535">
        <v>7.4175000000000004</v>
      </c>
      <c r="PG31" s="535">
        <v>7.3822999999999999</v>
      </c>
      <c r="PH31" s="535">
        <v>7.5743</v>
      </c>
      <c r="PI31" s="535">
        <v>7.6078000000000001</v>
      </c>
      <c r="PJ31" s="535">
        <v>7.4756999999999998</v>
      </c>
      <c r="PK31" s="535">
        <v>7.5827999999999998</v>
      </c>
      <c r="PL31" s="535">
        <v>7.8502000000000001</v>
      </c>
      <c r="PM31" s="535">
        <v>7.8959999999999999</v>
      </c>
      <c r="PN31" s="535">
        <v>7.8343999999999996</v>
      </c>
      <c r="PO31" s="516">
        <v>25</v>
      </c>
      <c r="PP31" s="536"/>
      <c r="PQ31" s="536"/>
      <c r="PR31" s="516">
        <v>25</v>
      </c>
      <c r="PS31" s="535">
        <v>5.7725</v>
      </c>
      <c r="PT31" s="535">
        <v>5.6749999999999998</v>
      </c>
      <c r="PU31" s="535">
        <v>7.0425000000000004</v>
      </c>
      <c r="PV31" s="535">
        <v>6.0191999999999997</v>
      </c>
      <c r="PW31" s="535">
        <v>5.9950000000000001</v>
      </c>
      <c r="PX31" s="535">
        <v>6.2424999999999997</v>
      </c>
      <c r="PY31" s="535">
        <v>6.0983000000000001</v>
      </c>
      <c r="PZ31" s="535">
        <v>6.3049999999999997</v>
      </c>
      <c r="QA31" s="535">
        <v>6.3128000000000002</v>
      </c>
      <c r="QB31" s="535">
        <v>6.7034000000000002</v>
      </c>
      <c r="QC31" s="535">
        <v>7.6349999999999998</v>
      </c>
      <c r="QD31" s="535">
        <v>7.5857999999999999</v>
      </c>
      <c r="QE31" s="516">
        <v>25</v>
      </c>
      <c r="QF31" s="536"/>
      <c r="QG31" s="536"/>
      <c r="QH31" s="516">
        <v>25</v>
      </c>
      <c r="QI31" s="535">
        <v>3.1055000000000001</v>
      </c>
      <c r="QJ31" s="535">
        <v>3.1179000000000001</v>
      </c>
      <c r="QK31" s="535">
        <v>3.3325999999999998</v>
      </c>
      <c r="QL31" s="535">
        <v>3.3694000000000002</v>
      </c>
      <c r="QM31" s="535">
        <v>3.3025000000000002</v>
      </c>
      <c r="QN31" s="535">
        <v>3.3855</v>
      </c>
      <c r="QO31" s="535">
        <v>3.4056000000000002</v>
      </c>
      <c r="QP31" s="535">
        <v>3.3428</v>
      </c>
      <c r="QQ31" s="535">
        <v>3.4087999999999998</v>
      </c>
      <c r="QR31" s="535">
        <v>3.4175</v>
      </c>
      <c r="QS31" s="535">
        <v>3.4439000000000002</v>
      </c>
      <c r="QT31" s="535">
        <v>4.8875000000000002</v>
      </c>
      <c r="QU31" s="516">
        <v>25</v>
      </c>
      <c r="QV31" s="536"/>
      <c r="QW31" s="536"/>
      <c r="QX31" s="516">
        <v>25</v>
      </c>
      <c r="QY31" s="535">
        <v>3.1051000000000002</v>
      </c>
      <c r="QZ31" s="535">
        <v>3.0939000000000001</v>
      </c>
      <c r="RA31" s="535">
        <v>3.1149</v>
      </c>
      <c r="RB31" s="535">
        <v>3.0937000000000001</v>
      </c>
      <c r="RC31" s="535">
        <v>3.1097000000000001</v>
      </c>
      <c r="RD31" s="535">
        <v>3.1156999999999999</v>
      </c>
      <c r="RE31" s="535">
        <v>3.1229</v>
      </c>
      <c r="RF31" s="535">
        <v>3.1112000000000002</v>
      </c>
      <c r="RG31" s="535">
        <v>3.1124000000000001</v>
      </c>
      <c r="RH31" s="535">
        <v>3.1120000000000001</v>
      </c>
      <c r="RI31" s="535">
        <v>3.1002999999999998</v>
      </c>
      <c r="RJ31" s="535">
        <v>3.1110000000000002</v>
      </c>
      <c r="RK31" s="516">
        <v>25</v>
      </c>
      <c r="RL31" s="536"/>
      <c r="RM31" s="536"/>
      <c r="RN31" s="516">
        <v>25</v>
      </c>
      <c r="RO31" s="535">
        <v>3.0735999999999999</v>
      </c>
      <c r="RP31" s="535">
        <v>3.0609999999999999</v>
      </c>
      <c r="RQ31" s="535">
        <v>3.0693000000000001</v>
      </c>
      <c r="RR31" s="535">
        <v>3.0855999999999999</v>
      </c>
      <c r="RS31" s="535">
        <v>3.1055999999999999</v>
      </c>
      <c r="RT31" s="535">
        <v>3.1221999999999999</v>
      </c>
      <c r="RU31" s="535">
        <v>3.1113</v>
      </c>
      <c r="RV31" s="535">
        <v>3.0836000000000001</v>
      </c>
      <c r="RW31" s="535">
        <v>3.1208</v>
      </c>
      <c r="RX31" s="535">
        <v>3.1252</v>
      </c>
      <c r="RY31" s="535">
        <v>3.1194000000000002</v>
      </c>
      <c r="RZ31" s="535">
        <v>3.1194999999999999</v>
      </c>
      <c r="SA31" s="516">
        <v>25</v>
      </c>
      <c r="SB31" s="536"/>
      <c r="SC31" s="536"/>
      <c r="SD31" s="516">
        <v>25</v>
      </c>
      <c r="SE31" s="535">
        <v>2.9558</v>
      </c>
      <c r="SF31" s="535">
        <v>2.9674</v>
      </c>
      <c r="SG31" s="535">
        <v>2.9786000000000001</v>
      </c>
      <c r="SH31" s="535">
        <v>2.9918</v>
      </c>
      <c r="SI31" s="535">
        <v>3.0038</v>
      </c>
      <c r="SJ31" s="535">
        <v>3.0154000000000001</v>
      </c>
      <c r="SK31" s="535">
        <v>3.0282</v>
      </c>
      <c r="SL31" s="535">
        <v>3.0402</v>
      </c>
      <c r="SM31" s="535">
        <v>3.0529999999999999</v>
      </c>
      <c r="SN31" s="535">
        <v>3.0657999999999999</v>
      </c>
      <c r="SO31" s="535">
        <v>3.0631900000000001</v>
      </c>
      <c r="SP31" s="535">
        <v>3.0836899999999998</v>
      </c>
      <c r="SQ31" s="516">
        <v>25</v>
      </c>
      <c r="SR31" s="536"/>
      <c r="SS31" s="536"/>
      <c r="ST31" s="516">
        <v>25</v>
      </c>
      <c r="SU31" s="535">
        <v>2.6669999999999998</v>
      </c>
      <c r="SV31" s="535">
        <v>2.6970000000000001</v>
      </c>
      <c r="SW31" s="535">
        <v>2.7250000000000001</v>
      </c>
      <c r="SX31" s="535">
        <v>2.7570000000000001</v>
      </c>
      <c r="SY31" s="535">
        <v>2.7869999999999999</v>
      </c>
      <c r="SZ31" s="535">
        <v>2.8113999999999999</v>
      </c>
      <c r="TA31" s="535">
        <v>2.8370000000000002</v>
      </c>
      <c r="TB31" s="535">
        <v>2.8618000000000001</v>
      </c>
      <c r="TC31" s="535">
        <v>2.8849999999999998</v>
      </c>
      <c r="TD31" s="535">
        <v>2.9106000000000001</v>
      </c>
      <c r="TE31" s="535">
        <v>2.931</v>
      </c>
      <c r="TF31" s="535">
        <v>2.9426000000000001</v>
      </c>
      <c r="TG31" s="516">
        <v>25</v>
      </c>
      <c r="TH31" s="536"/>
      <c r="TI31" s="536"/>
      <c r="TJ31" s="516">
        <v>25</v>
      </c>
      <c r="TK31" s="535">
        <v>2.302</v>
      </c>
      <c r="TL31" s="535">
        <v>2.3330000000000002</v>
      </c>
      <c r="TM31" s="535">
        <v>2.3610000000000002</v>
      </c>
      <c r="TN31" s="535">
        <v>2.39</v>
      </c>
      <c r="TO31" s="535">
        <v>2.4220000000000002</v>
      </c>
      <c r="TP31" s="535">
        <v>2.452</v>
      </c>
      <c r="TQ31" s="535">
        <v>2.4809999999999999</v>
      </c>
      <c r="TR31" s="535">
        <v>2.5139999999999998</v>
      </c>
      <c r="TS31" s="535">
        <v>2.5430000000000001</v>
      </c>
      <c r="TT31" s="535">
        <v>2.5750000000000002</v>
      </c>
      <c r="TU31" s="535">
        <v>2.6059999999999999</v>
      </c>
      <c r="TV31" s="535">
        <v>2.6339999999999999</v>
      </c>
      <c r="TW31" s="516">
        <v>25</v>
      </c>
    </row>
    <row r="32" spans="2:543" s="4" customFormat="1" ht="23" customHeight="1">
      <c r="B32" s="516">
        <v>26</v>
      </c>
      <c r="C32" s="549">
        <v>20.630800000000001</v>
      </c>
      <c r="D32" s="549">
        <v>20.6525</v>
      </c>
      <c r="E32" s="549">
        <v>20.1313</v>
      </c>
      <c r="F32" s="549">
        <v>20.318300000000001</v>
      </c>
      <c r="G32" s="549">
        <v>19.887</v>
      </c>
      <c r="H32" s="549">
        <v>20.0365</v>
      </c>
      <c r="I32" s="549">
        <v>20.515000000000001</v>
      </c>
      <c r="J32" s="549">
        <v>19.919799999999999</v>
      </c>
      <c r="K32" s="549">
        <v>19.960799999999999</v>
      </c>
      <c r="L32" s="549">
        <v>19.953499999999998</v>
      </c>
      <c r="M32" s="662">
        <f t="shared" si="9"/>
        <v>19.746300000000002</v>
      </c>
      <c r="N32" s="662">
        <f t="shared" si="8"/>
        <v>19.746300000000002</v>
      </c>
      <c r="O32" s="516">
        <v>26</v>
      </c>
      <c r="R32" s="516">
        <v>26</v>
      </c>
      <c r="S32" s="549">
        <v>19.9833</v>
      </c>
      <c r="T32" s="549">
        <v>20.475200000000001</v>
      </c>
      <c r="U32" s="549">
        <v>20.7882</v>
      </c>
      <c r="V32" s="549">
        <v>19.886500000000002</v>
      </c>
      <c r="W32" s="549">
        <v>19.872</v>
      </c>
      <c r="X32" s="549">
        <v>20.048300000000001</v>
      </c>
      <c r="Y32" s="549">
        <v>20.1812</v>
      </c>
      <c r="Z32" s="549">
        <v>20.296700000000001</v>
      </c>
      <c r="AA32" s="549">
        <v>20.027999999999999</v>
      </c>
      <c r="AB32" s="549">
        <v>20.183700000000002</v>
      </c>
      <c r="AC32" s="549">
        <v>21.435700000000001</v>
      </c>
      <c r="AD32" s="549">
        <v>20.658200000000001</v>
      </c>
      <c r="AE32" s="516">
        <v>26</v>
      </c>
      <c r="AH32" s="516">
        <v>26</v>
      </c>
      <c r="AI32" s="549">
        <v>18.8018</v>
      </c>
      <c r="AJ32" s="549">
        <v>19.119700000000002</v>
      </c>
      <c r="AK32" s="549">
        <v>25.118500000000001</v>
      </c>
      <c r="AL32" s="549">
        <v>24.623000000000001</v>
      </c>
      <c r="AM32" s="549">
        <v>22.7928</v>
      </c>
      <c r="AN32" s="549">
        <v>22.6662</v>
      </c>
      <c r="AO32" s="549">
        <v>22.3627</v>
      </c>
      <c r="AP32" s="549">
        <v>21.984000000000002</v>
      </c>
      <c r="AQ32" s="549">
        <v>22.367799999999999</v>
      </c>
      <c r="AR32" s="549">
        <v>21.03</v>
      </c>
      <c r="AS32" s="549">
        <v>20.057700000000001</v>
      </c>
      <c r="AT32" s="549">
        <v>20.1175</v>
      </c>
      <c r="AU32" s="516">
        <v>26</v>
      </c>
      <c r="AX32" s="516">
        <v>26</v>
      </c>
      <c r="AY32" s="535">
        <v>18.985900000000001</v>
      </c>
      <c r="AZ32" s="535">
        <v>19.139399999999998</v>
      </c>
      <c r="BA32" s="535">
        <v>19.136900000000001</v>
      </c>
      <c r="BB32" s="535">
        <v>19.0046</v>
      </c>
      <c r="BC32" s="535">
        <v>19.0122</v>
      </c>
      <c r="BD32" s="535">
        <v>19.183299999999999</v>
      </c>
      <c r="BE32" s="535">
        <v>19.089400000000001</v>
      </c>
      <c r="BF32" s="535">
        <v>19.746700000000001</v>
      </c>
      <c r="BG32" s="535">
        <v>19.4587</v>
      </c>
      <c r="BH32" s="535">
        <v>19.087800000000001</v>
      </c>
      <c r="BI32" s="535">
        <v>19.398700000000002</v>
      </c>
      <c r="BJ32" s="535">
        <v>18.938500000000001</v>
      </c>
      <c r="BK32" s="516">
        <v>26</v>
      </c>
      <c r="BN32" s="516">
        <v>26</v>
      </c>
      <c r="BO32" s="535">
        <v>18.517800000000001</v>
      </c>
      <c r="BP32" s="535">
        <v>18.657399999999999</v>
      </c>
      <c r="BQ32" s="535">
        <v>18.5078</v>
      </c>
      <c r="BR32" s="535">
        <v>18.8139</v>
      </c>
      <c r="BS32" s="535">
        <v>19.704799999999999</v>
      </c>
      <c r="BT32" s="535">
        <v>20.1264</v>
      </c>
      <c r="BU32" s="535">
        <v>18.8506</v>
      </c>
      <c r="BV32" s="535">
        <v>18.8672</v>
      </c>
      <c r="BW32" s="535">
        <v>18.851600000000001</v>
      </c>
      <c r="BX32" s="535">
        <v>19.462299999999999</v>
      </c>
      <c r="BY32" s="535">
        <v>20.298400000000001</v>
      </c>
      <c r="BZ32" s="535">
        <v>19.927499999999998</v>
      </c>
      <c r="CA32" s="516">
        <v>26</v>
      </c>
      <c r="CD32" s="516">
        <v>26</v>
      </c>
      <c r="CE32" s="535">
        <v>21.369199999999999</v>
      </c>
      <c r="CF32" s="535">
        <v>19.7011</v>
      </c>
      <c r="CG32" s="535">
        <v>18.9877</v>
      </c>
      <c r="CH32" s="535">
        <v>18.652100000000001</v>
      </c>
      <c r="CI32" s="535">
        <v>18.568899999999999</v>
      </c>
      <c r="CJ32" s="535">
        <v>18.126999999999999</v>
      </c>
      <c r="CK32" s="535">
        <v>17.689299999999999</v>
      </c>
      <c r="CL32" s="535">
        <v>17.697700000000001</v>
      </c>
      <c r="CM32" s="535">
        <v>17.748699999999999</v>
      </c>
      <c r="CN32" s="535">
        <v>19.200900000000001</v>
      </c>
      <c r="CO32" s="535">
        <v>18.604099999999999</v>
      </c>
      <c r="CP32" s="535">
        <v>19.3962</v>
      </c>
      <c r="CQ32" s="516">
        <v>26</v>
      </c>
      <c r="CT32" s="516">
        <v>26</v>
      </c>
      <c r="CU32" s="535">
        <v>18.428000000000001</v>
      </c>
      <c r="CV32" s="535">
        <v>18.289300000000001</v>
      </c>
      <c r="CW32" s="535">
        <v>17.336099999999998</v>
      </c>
      <c r="CX32" s="535">
        <v>17.4359</v>
      </c>
      <c r="CY32" s="535">
        <v>18.4694</v>
      </c>
      <c r="CZ32" s="535">
        <v>18.320699999999999</v>
      </c>
      <c r="DA32" s="535">
        <v>18.608899999999998</v>
      </c>
      <c r="DB32" s="535">
        <v>18.4971</v>
      </c>
      <c r="DC32" s="535">
        <v>19.596499999999999</v>
      </c>
      <c r="DD32" s="535">
        <v>18.565799999999999</v>
      </c>
      <c r="DE32" s="535">
        <v>20.705100000000002</v>
      </c>
      <c r="DF32" s="535">
        <v>20.7179</v>
      </c>
      <c r="DG32" s="516">
        <v>26</v>
      </c>
      <c r="DJ32" s="516">
        <v>26</v>
      </c>
      <c r="DK32" s="535">
        <v>14.612</v>
      </c>
      <c r="DL32" s="535">
        <v>14.9712</v>
      </c>
      <c r="DM32" s="535">
        <v>14.934699999999999</v>
      </c>
      <c r="DN32" s="535">
        <v>15.353899999999999</v>
      </c>
      <c r="DO32" s="535">
        <v>15.2918</v>
      </c>
      <c r="DP32" s="535">
        <v>15.455500000000001</v>
      </c>
      <c r="DQ32" s="535">
        <v>16.094999999999999</v>
      </c>
      <c r="DR32" s="535">
        <v>17.0975</v>
      </c>
      <c r="DS32" s="535">
        <v>17.045300000000001</v>
      </c>
      <c r="DT32" s="535">
        <v>16.528400000000001</v>
      </c>
      <c r="DU32" s="535">
        <v>16.470500000000001</v>
      </c>
      <c r="DV32" s="535">
        <v>17.1953</v>
      </c>
      <c r="DW32" s="516">
        <v>26</v>
      </c>
      <c r="DZ32" s="516">
        <v>26</v>
      </c>
      <c r="EA32" s="535">
        <v>13.372199999999999</v>
      </c>
      <c r="EB32" s="535">
        <v>13.209</v>
      </c>
      <c r="EC32" s="535">
        <v>13.2019</v>
      </c>
      <c r="ED32" s="535">
        <v>13.101000000000001</v>
      </c>
      <c r="EE32" s="535">
        <v>12.880100000000001</v>
      </c>
      <c r="EF32" s="535">
        <v>13.021800000000001</v>
      </c>
      <c r="EG32" s="535">
        <v>12.9572</v>
      </c>
      <c r="EH32" s="535">
        <v>13.1328</v>
      </c>
      <c r="EI32" s="535">
        <v>13.301500000000001</v>
      </c>
      <c r="EJ32" s="535">
        <v>13.5288</v>
      </c>
      <c r="EK32" s="535">
        <v>13.6374</v>
      </c>
      <c r="EL32" s="535">
        <v>14.700799999999999</v>
      </c>
      <c r="EM32" s="516">
        <v>26</v>
      </c>
      <c r="EP32" s="516">
        <v>26</v>
      </c>
      <c r="EQ32" s="535">
        <v>12.6286</v>
      </c>
      <c r="ER32" s="535">
        <v>12.7517</v>
      </c>
      <c r="ES32" s="535">
        <v>12.372400000000001</v>
      </c>
      <c r="ET32" s="535">
        <v>12.2768</v>
      </c>
      <c r="EU32" s="535">
        <v>12.4764</v>
      </c>
      <c r="EV32" s="535">
        <v>13.396599999999999</v>
      </c>
      <c r="EW32" s="535">
        <v>12.632999999999999</v>
      </c>
      <c r="EX32" s="535">
        <v>13.1486</v>
      </c>
      <c r="EY32" s="535">
        <v>12.875400000000001</v>
      </c>
      <c r="EZ32" s="535">
        <v>12.9916</v>
      </c>
      <c r="FA32" s="535">
        <v>13.0223</v>
      </c>
      <c r="FB32" s="535">
        <v>12.961</v>
      </c>
      <c r="FC32" s="516">
        <v>26</v>
      </c>
      <c r="FF32" s="538">
        <v>26</v>
      </c>
      <c r="FG32" s="539">
        <v>13.171200000000001</v>
      </c>
      <c r="FH32" s="539">
        <v>12.8294</v>
      </c>
      <c r="FI32" s="539">
        <v>12.833</v>
      </c>
      <c r="FJ32" s="539">
        <v>13.139200000000001</v>
      </c>
      <c r="FK32" s="539">
        <v>14.004</v>
      </c>
      <c r="FL32" s="539">
        <v>13.849</v>
      </c>
      <c r="FM32" s="539">
        <v>13.679600000000001</v>
      </c>
      <c r="FN32" s="539">
        <v>13.128399999999999</v>
      </c>
      <c r="FO32" s="539">
        <v>12.9123</v>
      </c>
      <c r="FP32" s="539">
        <v>12.9839</v>
      </c>
      <c r="FQ32" s="539">
        <v>13.018800000000001</v>
      </c>
      <c r="FR32" s="539">
        <v>12.899100000000001</v>
      </c>
      <c r="FS32" s="538">
        <v>26</v>
      </c>
      <c r="FV32" s="516">
        <v>26</v>
      </c>
      <c r="FW32" s="535">
        <v>12.051600000000001</v>
      </c>
      <c r="FX32" s="535">
        <v>12.173</v>
      </c>
      <c r="FY32" s="535">
        <v>11.955500000000001</v>
      </c>
      <c r="FZ32" s="535">
        <v>11.6252</v>
      </c>
      <c r="GA32" s="535">
        <v>11.703200000000001</v>
      </c>
      <c r="GB32" s="535">
        <v>11.881600000000001</v>
      </c>
      <c r="GC32" s="535">
        <v>11.6393</v>
      </c>
      <c r="GD32" s="535">
        <v>12.395200000000001</v>
      </c>
      <c r="GE32" s="535">
        <v>13.8917</v>
      </c>
      <c r="GF32" s="535">
        <v>13.488899999999999</v>
      </c>
      <c r="GG32" s="535">
        <v>14.1778</v>
      </c>
      <c r="GH32" s="535">
        <v>13.8169</v>
      </c>
      <c r="GI32" s="516">
        <v>26</v>
      </c>
      <c r="GL32" s="516">
        <v>26</v>
      </c>
      <c r="GM32" s="535">
        <v>12.9412</v>
      </c>
      <c r="GN32" s="535">
        <v>12.853899999999999</v>
      </c>
      <c r="GO32" s="535">
        <v>12.5381</v>
      </c>
      <c r="GP32" s="535">
        <v>12.240500000000001</v>
      </c>
      <c r="GQ32" s="535">
        <v>12.9588</v>
      </c>
      <c r="GR32" s="535">
        <v>12.7141</v>
      </c>
      <c r="GS32" s="535">
        <v>12.756</v>
      </c>
      <c r="GT32" s="535">
        <v>12.936</v>
      </c>
      <c r="GU32" s="535">
        <v>12.642200000000001</v>
      </c>
      <c r="GV32" s="535">
        <v>12.387700000000001</v>
      </c>
      <c r="GW32" s="535">
        <v>12.3912</v>
      </c>
      <c r="GX32" s="535">
        <v>12.3332</v>
      </c>
      <c r="GY32" s="516">
        <v>26</v>
      </c>
      <c r="HB32" s="516">
        <v>26</v>
      </c>
      <c r="HC32" s="535">
        <v>13.932499999999999</v>
      </c>
      <c r="HD32" s="535">
        <v>14.832700000000001</v>
      </c>
      <c r="HE32" s="535">
        <v>14.2683</v>
      </c>
      <c r="HF32" s="535">
        <v>13.309900000000001</v>
      </c>
      <c r="HG32" s="535">
        <v>13.172800000000001</v>
      </c>
      <c r="HH32" s="535">
        <v>13.305099999999999</v>
      </c>
      <c r="HI32" s="535">
        <v>13.1915</v>
      </c>
      <c r="HJ32" s="535">
        <v>12.827400000000001</v>
      </c>
      <c r="HK32" s="535">
        <v>13.4549</v>
      </c>
      <c r="HL32" s="535">
        <v>12.9495</v>
      </c>
      <c r="HM32" s="535">
        <v>12.9305</v>
      </c>
      <c r="HN32" s="535">
        <v>12.8896</v>
      </c>
      <c r="HO32" s="516">
        <v>26</v>
      </c>
      <c r="HP32" s="536"/>
      <c r="HQ32" s="536"/>
      <c r="HR32" s="516">
        <v>26</v>
      </c>
      <c r="HS32" s="535">
        <v>10.8934</v>
      </c>
      <c r="HT32" s="535">
        <v>10.7818</v>
      </c>
      <c r="HU32" s="535">
        <v>10.674799999999999</v>
      </c>
      <c r="HV32" s="535">
        <v>10.462</v>
      </c>
      <c r="HW32" s="535">
        <v>10.381</v>
      </c>
      <c r="HX32" s="535">
        <v>10.318</v>
      </c>
      <c r="HY32" s="535">
        <v>10.026400000000001</v>
      </c>
      <c r="HZ32" s="535">
        <v>10.0991</v>
      </c>
      <c r="IA32" s="535">
        <v>10.7879</v>
      </c>
      <c r="IB32" s="535">
        <v>13.5025</v>
      </c>
      <c r="IC32" s="535">
        <v>13.495799999999999</v>
      </c>
      <c r="ID32" s="535">
        <v>13.217499999999999</v>
      </c>
      <c r="IE32" s="516">
        <v>26</v>
      </c>
      <c r="IF32" s="536"/>
      <c r="IG32" s="536"/>
      <c r="IH32" s="516">
        <v>26</v>
      </c>
      <c r="II32" s="535">
        <v>10.948600000000001</v>
      </c>
      <c r="IJ32" s="535">
        <v>10.968299999999999</v>
      </c>
      <c r="IK32" s="535">
        <v>11.022</v>
      </c>
      <c r="IL32" s="535">
        <v>11.0053</v>
      </c>
      <c r="IM32" s="535">
        <v>10.8354</v>
      </c>
      <c r="IN32" s="535">
        <v>10.808</v>
      </c>
      <c r="IO32" s="535">
        <v>10.784599999999999</v>
      </c>
      <c r="IP32" s="535">
        <v>11.0489</v>
      </c>
      <c r="IQ32" s="535">
        <v>10.9391</v>
      </c>
      <c r="IR32" s="535">
        <v>10.8348</v>
      </c>
      <c r="IS32" s="535">
        <v>10.978999999999999</v>
      </c>
      <c r="IT32" s="535">
        <v>10.8203</v>
      </c>
      <c r="IU32" s="516">
        <v>26</v>
      </c>
      <c r="IV32" s="536"/>
      <c r="IW32" s="536"/>
      <c r="IX32" s="516">
        <v>26</v>
      </c>
      <c r="IY32" s="535">
        <v>10.5063</v>
      </c>
      <c r="IZ32" s="535">
        <v>10.4885</v>
      </c>
      <c r="JA32" s="535">
        <v>10.8612</v>
      </c>
      <c r="JB32" s="535">
        <v>11.0656</v>
      </c>
      <c r="JC32" s="535">
        <v>11.285399999999999</v>
      </c>
      <c r="JD32" s="535">
        <v>11.4405</v>
      </c>
      <c r="JE32" s="535">
        <v>10.930300000000001</v>
      </c>
      <c r="JF32" s="535">
        <v>10.922000000000001</v>
      </c>
      <c r="JG32" s="535">
        <v>11.0877</v>
      </c>
      <c r="JH32" s="535">
        <v>10.828900000000001</v>
      </c>
      <c r="JI32" s="535">
        <v>10.9682</v>
      </c>
      <c r="JJ32" s="535">
        <v>10.841100000000001</v>
      </c>
      <c r="JK32" s="516">
        <v>26</v>
      </c>
      <c r="JL32" s="536"/>
      <c r="JM32" s="536"/>
      <c r="JN32" s="516">
        <v>26</v>
      </c>
      <c r="JO32" s="535">
        <v>11.235300000000001</v>
      </c>
      <c r="JP32" s="535">
        <v>11.095499999999999</v>
      </c>
      <c r="JQ32" s="535">
        <v>11.1898</v>
      </c>
      <c r="JR32" s="535">
        <v>11.036099999999999</v>
      </c>
      <c r="JS32" s="535">
        <v>10.9801</v>
      </c>
      <c r="JT32" s="535">
        <v>10.7897</v>
      </c>
      <c r="JU32" s="535">
        <v>10.630699999999999</v>
      </c>
      <c r="JV32" s="535">
        <v>10.882199999999999</v>
      </c>
      <c r="JW32" s="535">
        <v>10.834099999999999</v>
      </c>
      <c r="JX32" s="535">
        <v>10.856</v>
      </c>
      <c r="JY32" s="535">
        <v>10.6083</v>
      </c>
      <c r="JZ32" s="535">
        <v>10.6532</v>
      </c>
      <c r="KA32" s="516">
        <v>26</v>
      </c>
      <c r="KB32" s="536"/>
      <c r="KC32" s="536"/>
      <c r="KD32" s="516">
        <v>26</v>
      </c>
      <c r="KE32" s="535">
        <v>11.001200000000001</v>
      </c>
      <c r="KF32" s="535">
        <v>11.0558</v>
      </c>
      <c r="KG32" s="535">
        <v>10.9915</v>
      </c>
      <c r="KH32" s="535">
        <v>11.3256</v>
      </c>
      <c r="KI32" s="535">
        <v>11.5608</v>
      </c>
      <c r="KJ32" s="535">
        <v>11.3004</v>
      </c>
      <c r="KK32" s="535">
        <v>11.446300000000001</v>
      </c>
      <c r="KL32" s="535">
        <v>11.385899999999999</v>
      </c>
      <c r="KM32" s="535">
        <v>11.417999999999999</v>
      </c>
      <c r="KN32" s="535">
        <v>11.442399999999999</v>
      </c>
      <c r="KO32" s="535">
        <v>11.2797</v>
      </c>
      <c r="KP32" s="535">
        <v>11.1363</v>
      </c>
      <c r="KQ32" s="516">
        <v>26</v>
      </c>
      <c r="KR32" s="536"/>
      <c r="KS32" s="536"/>
      <c r="KT32" s="516">
        <v>26</v>
      </c>
      <c r="KU32" s="535">
        <v>10.770799999999999</v>
      </c>
      <c r="KV32" s="535">
        <v>10.9815</v>
      </c>
      <c r="KW32" s="535">
        <v>10.800800000000001</v>
      </c>
      <c r="KX32" s="535">
        <v>10.434799999999999</v>
      </c>
      <c r="KY32" s="535">
        <v>10.238300000000001</v>
      </c>
      <c r="KZ32" s="535">
        <v>10.518800000000001</v>
      </c>
      <c r="LA32" s="535">
        <v>10.520300000000001</v>
      </c>
      <c r="LB32" s="535">
        <v>10.861499999999999</v>
      </c>
      <c r="LC32" s="535">
        <v>10.797499999999999</v>
      </c>
      <c r="LD32" s="535">
        <v>11.180999999999999</v>
      </c>
      <c r="LE32" s="535">
        <v>11.2879</v>
      </c>
      <c r="LF32" s="535">
        <v>11.269600000000001</v>
      </c>
      <c r="LG32" s="516">
        <v>26</v>
      </c>
      <c r="LH32" s="536"/>
      <c r="LI32" s="536"/>
      <c r="LJ32" s="516">
        <v>26</v>
      </c>
      <c r="LK32" s="535">
        <v>9.1227</v>
      </c>
      <c r="LL32" s="535">
        <v>9.1060999999999996</v>
      </c>
      <c r="LM32" s="535">
        <v>9.0403000000000002</v>
      </c>
      <c r="LN32" s="535">
        <v>9.2908000000000008</v>
      </c>
      <c r="LO32" s="535">
        <v>9.5165000000000006</v>
      </c>
      <c r="LP32" s="535">
        <v>9.9359999999999999</v>
      </c>
      <c r="LQ32" s="535">
        <v>9.7018000000000004</v>
      </c>
      <c r="LR32" s="535">
        <v>9.8388000000000009</v>
      </c>
      <c r="LS32" s="535">
        <v>10.2425</v>
      </c>
      <c r="LT32" s="535">
        <v>9.9467999999999996</v>
      </c>
      <c r="LU32" s="535">
        <v>10.1333</v>
      </c>
      <c r="LV32" s="535">
        <v>10.1907</v>
      </c>
      <c r="LW32" s="516">
        <v>26</v>
      </c>
      <c r="LX32" s="536"/>
      <c r="LY32" s="536"/>
      <c r="LZ32" s="516">
        <v>26</v>
      </c>
      <c r="MA32" s="535">
        <v>9.6922999999999995</v>
      </c>
      <c r="MB32" s="535">
        <v>9.7278000000000002</v>
      </c>
      <c r="MC32" s="535">
        <v>9.5722000000000005</v>
      </c>
      <c r="MD32" s="535">
        <v>9.2767999999999997</v>
      </c>
      <c r="ME32" s="535">
        <v>9.0805000000000007</v>
      </c>
      <c r="MF32" s="535">
        <v>9.0730000000000004</v>
      </c>
      <c r="MG32" s="535">
        <v>9.1087000000000007</v>
      </c>
      <c r="MH32" s="535">
        <v>9.1204999999999998</v>
      </c>
      <c r="MI32" s="535">
        <v>9.4314999999999998</v>
      </c>
      <c r="MJ32" s="535">
        <v>9.2172999999999998</v>
      </c>
      <c r="MK32" s="535">
        <v>9.1547000000000001</v>
      </c>
      <c r="ML32" s="535">
        <v>9.1234999999999999</v>
      </c>
      <c r="MM32" s="516">
        <v>26</v>
      </c>
      <c r="MN32" s="536"/>
      <c r="MO32" s="536"/>
      <c r="MP32" s="516">
        <v>26</v>
      </c>
      <c r="MQ32" s="535">
        <v>9.4838000000000005</v>
      </c>
      <c r="MR32" s="535">
        <v>9.3797999999999995</v>
      </c>
      <c r="MS32" s="535">
        <v>9.2398000000000007</v>
      </c>
      <c r="MT32" s="535">
        <v>9.4443000000000001</v>
      </c>
      <c r="MU32" s="535">
        <v>9.5327999999999999</v>
      </c>
      <c r="MV32" s="535">
        <v>9.8706999999999994</v>
      </c>
      <c r="MW32" s="535">
        <v>9.3337000000000003</v>
      </c>
      <c r="MX32" s="535">
        <v>9.2268000000000008</v>
      </c>
      <c r="MY32" s="535">
        <v>9.4789999999999992</v>
      </c>
      <c r="MZ32" s="535">
        <v>9.5756999999999994</v>
      </c>
      <c r="NA32" s="535">
        <v>9.4056999999999995</v>
      </c>
      <c r="NB32" s="535">
        <v>9.5726999999999993</v>
      </c>
      <c r="NC32" s="516">
        <v>26</v>
      </c>
      <c r="ND32" s="536"/>
      <c r="NE32" s="536"/>
      <c r="NF32" s="516">
        <v>26</v>
      </c>
      <c r="NG32" s="535">
        <v>10.201700000000001</v>
      </c>
      <c r="NH32" s="535">
        <v>9.9357000000000006</v>
      </c>
      <c r="NI32" s="535">
        <v>9.6917000000000009</v>
      </c>
      <c r="NJ32" s="535">
        <v>9.3316999999999997</v>
      </c>
      <c r="NK32" s="535">
        <v>9.3844999999999992</v>
      </c>
      <c r="NL32" s="535">
        <v>9.4589999999999996</v>
      </c>
      <c r="NM32" s="535">
        <v>9.3745999999999992</v>
      </c>
      <c r="NN32" s="535">
        <v>9.3309999999999995</v>
      </c>
      <c r="NO32" s="535">
        <v>9.3055000000000003</v>
      </c>
      <c r="NP32" s="535">
        <v>9.6029999999999998</v>
      </c>
      <c r="NQ32" s="535">
        <v>9.3194999999999997</v>
      </c>
      <c r="NR32" s="535">
        <v>9.3695000000000004</v>
      </c>
      <c r="NS32" s="516">
        <v>26</v>
      </c>
      <c r="NT32" s="536"/>
      <c r="NU32" s="536"/>
      <c r="NV32" s="516">
        <v>26</v>
      </c>
      <c r="NW32" s="535">
        <v>8.3320000000000007</v>
      </c>
      <c r="NX32" s="535">
        <v>8.6140000000000008</v>
      </c>
      <c r="NY32" s="535">
        <v>8.5410000000000004</v>
      </c>
      <c r="NZ32" s="535">
        <v>8.4702999999999999</v>
      </c>
      <c r="OA32" s="535">
        <v>8.6402000000000001</v>
      </c>
      <c r="OB32" s="535">
        <v>8.9252000000000002</v>
      </c>
      <c r="OC32" s="535">
        <v>8.8646999999999991</v>
      </c>
      <c r="OD32" s="535">
        <v>9.6457999999999995</v>
      </c>
      <c r="OE32" s="535">
        <v>10.111700000000001</v>
      </c>
      <c r="OF32" s="535">
        <v>9.9930000000000003</v>
      </c>
      <c r="OG32" s="535">
        <v>9.9145000000000003</v>
      </c>
      <c r="OH32" s="535">
        <v>9.8103999999999996</v>
      </c>
      <c r="OI32" s="516">
        <v>26</v>
      </c>
      <c r="OJ32" s="536"/>
      <c r="OK32" s="536"/>
      <c r="OL32" s="516">
        <v>26</v>
      </c>
      <c r="OM32" s="535">
        <v>7.7912999999999997</v>
      </c>
      <c r="ON32" s="535">
        <v>7.7502000000000004</v>
      </c>
      <c r="OO32" s="535">
        <v>7.8958000000000004</v>
      </c>
      <c r="OP32" s="535">
        <v>7.8544999999999998</v>
      </c>
      <c r="OQ32" s="535">
        <v>7.8689</v>
      </c>
      <c r="OR32" s="535">
        <v>7.9413</v>
      </c>
      <c r="OS32" s="535">
        <v>7.8312999999999997</v>
      </c>
      <c r="OT32" s="535">
        <v>7.7904999999999998</v>
      </c>
      <c r="OU32" s="535">
        <v>7.8243</v>
      </c>
      <c r="OV32" s="535">
        <v>7.7629999999999999</v>
      </c>
      <c r="OW32" s="535">
        <v>8.2352000000000007</v>
      </c>
      <c r="OX32" s="535">
        <v>8.1267999999999994</v>
      </c>
      <c r="OY32" s="516">
        <v>26</v>
      </c>
      <c r="OZ32" s="536"/>
      <c r="PA32" s="536"/>
      <c r="PB32" s="516">
        <v>26</v>
      </c>
      <c r="PC32" s="535">
        <v>7.4215</v>
      </c>
      <c r="PD32" s="535">
        <v>7.5476999999999999</v>
      </c>
      <c r="PE32" s="535">
        <v>7.56</v>
      </c>
      <c r="PF32" s="535">
        <v>7.4329999999999998</v>
      </c>
      <c r="PG32" s="535">
        <v>7.3822999999999999</v>
      </c>
      <c r="PH32" s="535">
        <v>7.6352000000000002</v>
      </c>
      <c r="PI32" s="535">
        <v>7.6116999999999999</v>
      </c>
      <c r="PJ32" s="535">
        <v>7.4756999999999998</v>
      </c>
      <c r="PK32" s="535">
        <v>7.5364000000000004</v>
      </c>
      <c r="PL32" s="535">
        <v>7.8296999999999999</v>
      </c>
      <c r="PM32" s="535">
        <v>7.87</v>
      </c>
      <c r="PN32" s="535">
        <v>7.8343999999999996</v>
      </c>
      <c r="PO32" s="516">
        <v>26</v>
      </c>
      <c r="PP32" s="536"/>
      <c r="PQ32" s="536"/>
      <c r="PR32" s="516">
        <v>26</v>
      </c>
      <c r="PS32" s="535">
        <v>5.8075000000000001</v>
      </c>
      <c r="PT32" s="535">
        <v>5.6749999999999998</v>
      </c>
      <c r="PU32" s="535">
        <v>7.0425000000000004</v>
      </c>
      <c r="PV32" s="535">
        <v>5.9349999999999996</v>
      </c>
      <c r="PW32" s="535">
        <v>6.0350000000000001</v>
      </c>
      <c r="PX32" s="535">
        <v>6.2424999999999997</v>
      </c>
      <c r="PY32" s="535">
        <v>6.1054000000000004</v>
      </c>
      <c r="PZ32" s="535">
        <v>6.3167</v>
      </c>
      <c r="QA32" s="535">
        <v>6.3685</v>
      </c>
      <c r="QB32" s="535">
        <v>6.7607999999999997</v>
      </c>
      <c r="QC32" s="535">
        <v>7.6349999999999998</v>
      </c>
      <c r="QD32" s="535">
        <v>7.5857999999999999</v>
      </c>
      <c r="QE32" s="516">
        <v>26</v>
      </c>
      <c r="QF32" s="536"/>
      <c r="QG32" s="536"/>
      <c r="QH32" s="516">
        <v>26</v>
      </c>
      <c r="QI32" s="535">
        <v>3.1055999999999999</v>
      </c>
      <c r="QJ32" s="535">
        <v>3.2075</v>
      </c>
      <c r="QK32" s="535">
        <v>3.3353000000000002</v>
      </c>
      <c r="QL32" s="535">
        <v>3.3679000000000001</v>
      </c>
      <c r="QM32" s="535">
        <v>3.2919</v>
      </c>
      <c r="QN32" s="535">
        <v>3.3855</v>
      </c>
      <c r="QO32" s="535">
        <v>3.4060000000000001</v>
      </c>
      <c r="QP32" s="535">
        <v>3.3555000000000001</v>
      </c>
      <c r="QQ32" s="535">
        <v>3.4087999999999998</v>
      </c>
      <c r="QR32" s="535">
        <v>3.4199000000000002</v>
      </c>
      <c r="QS32" s="535">
        <v>3.448</v>
      </c>
      <c r="QT32" s="535">
        <v>4.8875000000000002</v>
      </c>
      <c r="QU32" s="516">
        <v>26</v>
      </c>
      <c r="QV32" s="536"/>
      <c r="QW32" s="536"/>
      <c r="QX32" s="516">
        <v>26</v>
      </c>
      <c r="QY32" s="535">
        <v>3.1044</v>
      </c>
      <c r="QZ32" s="535">
        <v>3.0937999999999999</v>
      </c>
      <c r="RA32" s="535">
        <v>3.1118999999999999</v>
      </c>
      <c r="RB32" s="535">
        <v>3.0937000000000001</v>
      </c>
      <c r="RC32" s="535">
        <v>3.1172</v>
      </c>
      <c r="RD32" s="535">
        <v>3.1160000000000001</v>
      </c>
      <c r="RE32" s="535">
        <v>3.1229</v>
      </c>
      <c r="RF32" s="535">
        <v>3.1109</v>
      </c>
      <c r="RG32" s="535">
        <v>3.1124000000000001</v>
      </c>
      <c r="RH32" s="535">
        <v>3.1124999999999998</v>
      </c>
      <c r="RI32" s="535">
        <v>3.1021000000000001</v>
      </c>
      <c r="RJ32" s="535">
        <v>3.1110000000000002</v>
      </c>
      <c r="RK32" s="516">
        <v>26</v>
      </c>
      <c r="RL32" s="536"/>
      <c r="RM32" s="536"/>
      <c r="RN32" s="516">
        <v>26</v>
      </c>
      <c r="RO32" s="535">
        <v>3.0735999999999999</v>
      </c>
      <c r="RP32" s="535">
        <v>3.0621</v>
      </c>
      <c r="RQ32" s="535">
        <v>3.0706000000000002</v>
      </c>
      <c r="RR32" s="535">
        <v>3.0855999999999999</v>
      </c>
      <c r="RS32" s="535">
        <v>3.1030000000000002</v>
      </c>
      <c r="RT32" s="535">
        <v>3.1225000000000001</v>
      </c>
      <c r="RU32" s="535">
        <v>3.1113</v>
      </c>
      <c r="RV32" s="535">
        <v>3.0855000000000001</v>
      </c>
      <c r="RW32" s="535">
        <v>3.1040000000000001</v>
      </c>
      <c r="RX32" s="535">
        <v>3.1252</v>
      </c>
      <c r="RY32" s="535">
        <v>3.1193</v>
      </c>
      <c r="RZ32" s="535">
        <v>3.1194999999999999</v>
      </c>
      <c r="SA32" s="516">
        <v>26</v>
      </c>
      <c r="SB32" s="536"/>
      <c r="SC32" s="536"/>
      <c r="SD32" s="516">
        <v>26</v>
      </c>
      <c r="SE32" s="535">
        <v>2.9561999999999999</v>
      </c>
      <c r="SF32" s="535">
        <v>2.9678</v>
      </c>
      <c r="SG32" s="535">
        <v>2.9790000000000001</v>
      </c>
      <c r="SH32" s="535">
        <v>2.9922</v>
      </c>
      <c r="SI32" s="535">
        <v>3.0038</v>
      </c>
      <c r="SJ32" s="535">
        <v>3.0165999999999999</v>
      </c>
      <c r="SK32" s="535">
        <v>3.0286</v>
      </c>
      <c r="SL32" s="535">
        <v>3.0402</v>
      </c>
      <c r="SM32" s="535">
        <v>3.0541999999999998</v>
      </c>
      <c r="SN32" s="535">
        <v>3.0670000000000002</v>
      </c>
      <c r="SO32" s="535">
        <v>3.06115</v>
      </c>
      <c r="SP32" s="535">
        <v>3.08413</v>
      </c>
      <c r="SQ32" s="516">
        <v>26</v>
      </c>
      <c r="SR32" s="536"/>
      <c r="SS32" s="536"/>
      <c r="ST32" s="516">
        <v>26</v>
      </c>
      <c r="SU32" s="535">
        <v>2.6680000000000001</v>
      </c>
      <c r="SV32" s="535">
        <v>2.6970000000000001</v>
      </c>
      <c r="SW32" s="535">
        <v>2.7250000000000001</v>
      </c>
      <c r="SX32" s="535">
        <v>2.758</v>
      </c>
      <c r="SY32" s="535">
        <v>2.7879999999999998</v>
      </c>
      <c r="SZ32" s="535">
        <v>2.8121999999999998</v>
      </c>
      <c r="TA32" s="535">
        <v>2.8378000000000001</v>
      </c>
      <c r="TB32" s="535">
        <v>2.8618000000000001</v>
      </c>
      <c r="TC32" s="535">
        <v>2.8874</v>
      </c>
      <c r="TD32" s="535">
        <v>2.9114</v>
      </c>
      <c r="TE32" s="535">
        <v>2.931</v>
      </c>
      <c r="TF32" s="535">
        <v>2.9438</v>
      </c>
      <c r="TG32" s="516">
        <v>26</v>
      </c>
      <c r="TH32" s="536"/>
      <c r="TI32" s="536"/>
      <c r="TJ32" s="516">
        <v>26</v>
      </c>
      <c r="TK32" s="535">
        <v>2.3029999999999999</v>
      </c>
      <c r="TL32" s="535">
        <v>2.3330000000000002</v>
      </c>
      <c r="TM32" s="535">
        <v>2.3610000000000002</v>
      </c>
      <c r="TN32" s="535">
        <v>2.3929999999999998</v>
      </c>
      <c r="TO32" s="535">
        <v>2.423</v>
      </c>
      <c r="TP32" s="535">
        <v>2.452</v>
      </c>
      <c r="TQ32" s="535">
        <v>2.484</v>
      </c>
      <c r="TR32" s="535">
        <v>2.5150000000000001</v>
      </c>
      <c r="TS32" s="535">
        <v>2.544</v>
      </c>
      <c r="TT32" s="535">
        <v>2.5760000000000001</v>
      </c>
      <c r="TU32" s="535">
        <v>2.6059999999999999</v>
      </c>
      <c r="TV32" s="535">
        <v>2.6349999999999998</v>
      </c>
      <c r="TW32" s="516">
        <v>26</v>
      </c>
    </row>
    <row r="33" spans="2:543" s="4" customFormat="1" ht="23" customHeight="1">
      <c r="B33" s="516">
        <v>27</v>
      </c>
      <c r="C33" s="549">
        <v>20.668299999999999</v>
      </c>
      <c r="D33" s="549">
        <v>20.6525</v>
      </c>
      <c r="E33" s="549">
        <v>20.1313</v>
      </c>
      <c r="F33" s="549">
        <v>20.299199999999999</v>
      </c>
      <c r="G33" s="549">
        <v>19.837700000000002</v>
      </c>
      <c r="H33" s="549">
        <v>20.0365</v>
      </c>
      <c r="I33" s="549">
        <v>20.465199999999999</v>
      </c>
      <c r="J33" s="549">
        <v>19.9437</v>
      </c>
      <c r="K33" s="549">
        <v>20.162700000000001</v>
      </c>
      <c r="L33" s="549">
        <v>19.871200000000002</v>
      </c>
      <c r="M33" s="662">
        <f t="shared" si="9"/>
        <v>19.746300000000002</v>
      </c>
      <c r="N33" s="662">
        <f t="shared" si="8"/>
        <v>19.746300000000002</v>
      </c>
      <c r="O33" s="516">
        <v>27</v>
      </c>
      <c r="R33" s="516">
        <v>27</v>
      </c>
      <c r="S33" s="549">
        <v>20.159800000000001</v>
      </c>
      <c r="T33" s="549">
        <v>20.8523</v>
      </c>
      <c r="U33" s="549">
        <v>20.766200000000001</v>
      </c>
      <c r="V33" s="549">
        <v>19.869499999999999</v>
      </c>
      <c r="W33" s="549">
        <v>19.8903</v>
      </c>
      <c r="X33" s="549">
        <v>20.048300000000001</v>
      </c>
      <c r="Y33" s="549">
        <v>20.023800000000001</v>
      </c>
      <c r="Z33" s="549">
        <v>20.293299999999999</v>
      </c>
      <c r="AA33" s="549">
        <v>20.027999999999999</v>
      </c>
      <c r="AB33" s="549">
        <v>20.189699999999998</v>
      </c>
      <c r="AC33" s="549">
        <v>21.546199999999999</v>
      </c>
      <c r="AD33" s="549">
        <v>20.658200000000001</v>
      </c>
      <c r="AE33" s="516">
        <v>27</v>
      </c>
      <c r="AH33" s="516">
        <v>27</v>
      </c>
      <c r="AI33" s="549">
        <v>18.8018</v>
      </c>
      <c r="AJ33" s="549">
        <v>19.087800000000001</v>
      </c>
      <c r="AK33" s="549">
        <v>24.294799999999999</v>
      </c>
      <c r="AL33" s="549">
        <v>24.623000000000001</v>
      </c>
      <c r="AM33" s="549">
        <v>22.562999999999999</v>
      </c>
      <c r="AN33" s="549">
        <v>22.796299999999999</v>
      </c>
      <c r="AO33" s="549">
        <v>22.3627</v>
      </c>
      <c r="AP33" s="549">
        <v>21.972300000000001</v>
      </c>
      <c r="AQ33" s="549">
        <v>22.367799999999999</v>
      </c>
      <c r="AR33" s="549">
        <v>20.920500000000001</v>
      </c>
      <c r="AS33" s="549">
        <v>20.046500000000002</v>
      </c>
      <c r="AT33" s="549">
        <v>20.1175</v>
      </c>
      <c r="AU33" s="516">
        <v>27</v>
      </c>
      <c r="AX33" s="516">
        <v>27</v>
      </c>
      <c r="AY33" s="535">
        <v>18.985900000000001</v>
      </c>
      <c r="AZ33" s="535">
        <v>19.118500000000001</v>
      </c>
      <c r="BA33" s="535">
        <v>19.0151</v>
      </c>
      <c r="BB33" s="535">
        <v>19.094200000000001</v>
      </c>
      <c r="BC33" s="535">
        <v>19.0122</v>
      </c>
      <c r="BD33" s="535">
        <v>19.2271</v>
      </c>
      <c r="BE33" s="535">
        <v>19.0623</v>
      </c>
      <c r="BF33" s="535">
        <v>19.840199999999999</v>
      </c>
      <c r="BG33" s="535">
        <v>19.577500000000001</v>
      </c>
      <c r="BH33" s="535">
        <v>19.087800000000001</v>
      </c>
      <c r="BI33" s="535">
        <v>19.4468</v>
      </c>
      <c r="BJ33" s="535">
        <v>18.964300000000001</v>
      </c>
      <c r="BK33" s="516">
        <v>27</v>
      </c>
      <c r="BN33" s="516">
        <v>27</v>
      </c>
      <c r="BO33" s="535">
        <v>18.478000000000002</v>
      </c>
      <c r="BP33" s="535">
        <v>18.565899999999999</v>
      </c>
      <c r="BQ33" s="535">
        <v>18.5364</v>
      </c>
      <c r="BR33" s="535">
        <v>19.053000000000001</v>
      </c>
      <c r="BS33" s="535">
        <v>19.704799999999999</v>
      </c>
      <c r="BT33" s="535">
        <v>20.090800000000002</v>
      </c>
      <c r="BU33" s="535">
        <v>18.770900000000001</v>
      </c>
      <c r="BV33" s="535">
        <v>18.8672</v>
      </c>
      <c r="BW33" s="535">
        <v>18.986999999999998</v>
      </c>
      <c r="BX33" s="535">
        <v>19.438300000000002</v>
      </c>
      <c r="BY33" s="535">
        <v>20.3935</v>
      </c>
      <c r="BZ33" s="535">
        <v>19.847300000000001</v>
      </c>
      <c r="CA33" s="516">
        <v>27</v>
      </c>
      <c r="CD33" s="516">
        <v>27</v>
      </c>
      <c r="CE33" s="535">
        <v>21.343900000000001</v>
      </c>
      <c r="CF33" s="535">
        <v>19.7011</v>
      </c>
      <c r="CG33" s="535">
        <v>18.9877</v>
      </c>
      <c r="CH33" s="535">
        <v>18.922499999999999</v>
      </c>
      <c r="CI33" s="535">
        <v>18.418500000000002</v>
      </c>
      <c r="CJ33" s="535">
        <v>17.989999999999998</v>
      </c>
      <c r="CK33" s="535">
        <v>17.749199999999998</v>
      </c>
      <c r="CL33" s="535">
        <v>17.697700000000001</v>
      </c>
      <c r="CM33" s="535">
        <v>17.883099999999999</v>
      </c>
      <c r="CN33" s="535">
        <v>19.077000000000002</v>
      </c>
      <c r="CO33" s="535">
        <v>18.604099999999999</v>
      </c>
      <c r="CP33" s="535">
        <v>19.584800000000001</v>
      </c>
      <c r="CQ33" s="516">
        <v>27</v>
      </c>
      <c r="CT33" s="516">
        <v>27</v>
      </c>
      <c r="CU33" s="535">
        <v>18.5352</v>
      </c>
      <c r="CV33" s="535">
        <v>18.167999999999999</v>
      </c>
      <c r="CW33" s="535">
        <v>17.336099999999998</v>
      </c>
      <c r="CX33" s="535">
        <v>17.586600000000001</v>
      </c>
      <c r="CY33" s="535">
        <v>18.452000000000002</v>
      </c>
      <c r="CZ33" s="535">
        <v>18.320699999999999</v>
      </c>
      <c r="DA33" s="535">
        <v>18.756900000000002</v>
      </c>
      <c r="DB33" s="535">
        <v>18.446000000000002</v>
      </c>
      <c r="DC33" s="535">
        <v>19.7211</v>
      </c>
      <c r="DD33" s="535">
        <v>18.514700000000001</v>
      </c>
      <c r="DE33" s="535">
        <v>20.705100000000002</v>
      </c>
      <c r="DF33" s="535">
        <v>20.627099999999999</v>
      </c>
      <c r="DG33" s="516">
        <v>27</v>
      </c>
      <c r="DJ33" s="516">
        <v>27</v>
      </c>
      <c r="DK33" s="535">
        <v>14.649900000000001</v>
      </c>
      <c r="DL33" s="535">
        <v>14.922800000000001</v>
      </c>
      <c r="DM33" s="535">
        <v>14.952400000000001</v>
      </c>
      <c r="DN33" s="535">
        <v>15.353899999999999</v>
      </c>
      <c r="DO33" s="535">
        <v>15.263500000000001</v>
      </c>
      <c r="DP33" s="535">
        <v>15.455500000000001</v>
      </c>
      <c r="DQ33" s="535">
        <v>16.098800000000001</v>
      </c>
      <c r="DR33" s="535">
        <v>16.985900000000001</v>
      </c>
      <c r="DS33" s="535">
        <v>17.045300000000001</v>
      </c>
      <c r="DT33" s="535">
        <v>16.5138</v>
      </c>
      <c r="DU33" s="535">
        <v>16.5548</v>
      </c>
      <c r="DV33" s="535">
        <v>17.1953</v>
      </c>
      <c r="DW33" s="516">
        <v>27</v>
      </c>
      <c r="DZ33" s="516">
        <v>27</v>
      </c>
      <c r="EA33" s="535">
        <v>13.372199999999999</v>
      </c>
      <c r="EB33" s="535">
        <v>13.2248</v>
      </c>
      <c r="EC33" s="535">
        <v>13.1349</v>
      </c>
      <c r="ED33" s="535">
        <v>13.101000000000001</v>
      </c>
      <c r="EE33" s="535">
        <v>12.865600000000001</v>
      </c>
      <c r="EF33" s="535">
        <v>13.0174</v>
      </c>
      <c r="EG33" s="535">
        <v>12.9572</v>
      </c>
      <c r="EH33" s="535">
        <v>13.138299999999999</v>
      </c>
      <c r="EI33" s="535">
        <v>13.3848</v>
      </c>
      <c r="EJ33" s="535">
        <v>13.5288</v>
      </c>
      <c r="EK33" s="535">
        <v>13.641999999999999</v>
      </c>
      <c r="EL33" s="535">
        <v>14.742900000000001</v>
      </c>
      <c r="EM33" s="516">
        <v>27</v>
      </c>
      <c r="EP33" s="516">
        <v>27</v>
      </c>
      <c r="EQ33" s="535">
        <v>12.6286</v>
      </c>
      <c r="ER33" s="535">
        <v>12.7028</v>
      </c>
      <c r="ES33" s="535">
        <v>12.357900000000001</v>
      </c>
      <c r="ET33" s="535">
        <v>12.123100000000001</v>
      </c>
      <c r="EU33" s="535">
        <v>12.4764</v>
      </c>
      <c r="EV33" s="535">
        <v>13.2424</v>
      </c>
      <c r="EW33" s="535">
        <v>12.646800000000001</v>
      </c>
      <c r="EX33" s="535">
        <v>12.9979</v>
      </c>
      <c r="EY33" s="535">
        <v>12.952999999999999</v>
      </c>
      <c r="EZ33" s="535">
        <v>12.9916</v>
      </c>
      <c r="FA33" s="535">
        <v>13.0267</v>
      </c>
      <c r="FB33" s="535">
        <v>13.02</v>
      </c>
      <c r="FC33" s="516">
        <v>27</v>
      </c>
      <c r="FF33" s="516">
        <v>27</v>
      </c>
      <c r="FG33" s="535">
        <v>13.1319</v>
      </c>
      <c r="FH33" s="535">
        <v>12.8294</v>
      </c>
      <c r="FI33" s="535">
        <v>12.8035</v>
      </c>
      <c r="FJ33" s="535">
        <v>13.166700000000001</v>
      </c>
      <c r="FK33" s="535">
        <v>14.004</v>
      </c>
      <c r="FL33" s="535">
        <v>13.9542</v>
      </c>
      <c r="FM33" s="535">
        <v>13.6541</v>
      </c>
      <c r="FN33" s="535">
        <v>13.128399999999999</v>
      </c>
      <c r="FO33" s="535">
        <v>12.8233</v>
      </c>
      <c r="FP33" s="535">
        <v>12.966900000000001</v>
      </c>
      <c r="FQ33" s="535">
        <v>12.979900000000001</v>
      </c>
      <c r="FR33" s="535">
        <v>12.9764</v>
      </c>
      <c r="FS33" s="516">
        <v>27</v>
      </c>
      <c r="FV33" s="516">
        <v>27</v>
      </c>
      <c r="FW33" s="535">
        <v>12.085599999999999</v>
      </c>
      <c r="FX33" s="535">
        <v>12.173</v>
      </c>
      <c r="FY33" s="535">
        <v>11.955500000000001</v>
      </c>
      <c r="FZ33" s="535">
        <v>11.6294</v>
      </c>
      <c r="GA33" s="535">
        <v>11.694800000000001</v>
      </c>
      <c r="GB33" s="535">
        <v>11.881600000000001</v>
      </c>
      <c r="GC33" s="535">
        <v>11.664099999999999</v>
      </c>
      <c r="GD33" s="535">
        <v>12.4259</v>
      </c>
      <c r="GE33" s="535">
        <v>13.7788</v>
      </c>
      <c r="GF33" s="535">
        <v>13.4459</v>
      </c>
      <c r="GG33" s="535">
        <v>14.1778</v>
      </c>
      <c r="GH33" s="535">
        <v>13.8163</v>
      </c>
      <c r="GI33" s="516">
        <v>27</v>
      </c>
      <c r="GL33" s="516">
        <v>27</v>
      </c>
      <c r="GM33" s="535">
        <v>12.9018</v>
      </c>
      <c r="GN33" s="535">
        <v>12.850300000000001</v>
      </c>
      <c r="GO33" s="535">
        <v>12.5009</v>
      </c>
      <c r="GP33" s="535">
        <v>12.1973</v>
      </c>
      <c r="GQ33" s="535">
        <v>13.181900000000001</v>
      </c>
      <c r="GR33" s="535">
        <v>12.7141</v>
      </c>
      <c r="GS33" s="535">
        <v>12.774900000000001</v>
      </c>
      <c r="GT33" s="535">
        <v>13.045299999999999</v>
      </c>
      <c r="GU33" s="535">
        <v>12.642200000000001</v>
      </c>
      <c r="GV33" s="535">
        <v>12.320499999999999</v>
      </c>
      <c r="GW33" s="535">
        <v>12.366899999999999</v>
      </c>
      <c r="GX33" s="535">
        <v>12.3332</v>
      </c>
      <c r="GY33" s="516">
        <v>27</v>
      </c>
      <c r="HB33" s="516">
        <v>27</v>
      </c>
      <c r="HC33" s="535">
        <v>14.095000000000001</v>
      </c>
      <c r="HD33" s="535">
        <v>14.9275</v>
      </c>
      <c r="HE33" s="535">
        <v>14.235799999999999</v>
      </c>
      <c r="HF33" s="535">
        <v>13.309900000000001</v>
      </c>
      <c r="HG33" s="535">
        <v>13.137499999999999</v>
      </c>
      <c r="HH33" s="535">
        <v>13.277799999999999</v>
      </c>
      <c r="HI33" s="535">
        <v>13.1915</v>
      </c>
      <c r="HJ33" s="535">
        <v>12.897500000000001</v>
      </c>
      <c r="HK33" s="535">
        <v>13.4549</v>
      </c>
      <c r="HL33" s="535">
        <v>12.979799999999999</v>
      </c>
      <c r="HM33" s="535">
        <v>12.866</v>
      </c>
      <c r="HN33" s="535">
        <v>12.8896</v>
      </c>
      <c r="HO33" s="516">
        <v>27</v>
      </c>
      <c r="HP33" s="536"/>
      <c r="HQ33" s="536"/>
      <c r="HR33" s="516">
        <v>27</v>
      </c>
      <c r="HS33" s="535">
        <v>10.8934</v>
      </c>
      <c r="HT33" s="535">
        <v>10.785500000000001</v>
      </c>
      <c r="HU33" s="535">
        <v>10.6793</v>
      </c>
      <c r="HV33" s="535">
        <v>10.462</v>
      </c>
      <c r="HW33" s="535">
        <v>10.4</v>
      </c>
      <c r="HX33" s="535">
        <v>10.293799999999999</v>
      </c>
      <c r="HY33" s="535">
        <v>10.026400000000001</v>
      </c>
      <c r="HZ33" s="535">
        <v>10.1183</v>
      </c>
      <c r="IA33" s="535">
        <v>10.7653</v>
      </c>
      <c r="IB33" s="535">
        <v>13.5025</v>
      </c>
      <c r="IC33" s="535">
        <v>13.3142</v>
      </c>
      <c r="ID33" s="535">
        <v>13.311400000000001</v>
      </c>
      <c r="IE33" s="516">
        <v>27</v>
      </c>
      <c r="IF33" s="536"/>
      <c r="IG33" s="536"/>
      <c r="IH33" s="516">
        <v>27</v>
      </c>
      <c r="II33" s="535">
        <v>10.975300000000001</v>
      </c>
      <c r="IJ33" s="535">
        <v>11.0397</v>
      </c>
      <c r="IK33" s="535">
        <v>11.0166</v>
      </c>
      <c r="IL33" s="535">
        <v>10.9369</v>
      </c>
      <c r="IM33" s="535">
        <v>10.8354</v>
      </c>
      <c r="IN33" s="535">
        <v>10.818899999999999</v>
      </c>
      <c r="IO33" s="535">
        <v>10.8712</v>
      </c>
      <c r="IP33" s="535">
        <v>11.0489</v>
      </c>
      <c r="IQ33" s="535">
        <v>10.9438</v>
      </c>
      <c r="IR33" s="535">
        <v>10.8291</v>
      </c>
      <c r="IS33" s="535">
        <v>10.9733</v>
      </c>
      <c r="IT33" s="535">
        <v>10.8132</v>
      </c>
      <c r="IU33" s="516">
        <v>27</v>
      </c>
      <c r="IV33" s="536"/>
      <c r="IW33" s="536"/>
      <c r="IX33" s="516">
        <v>27</v>
      </c>
      <c r="IY33" s="535">
        <v>10.500400000000001</v>
      </c>
      <c r="IZ33" s="535">
        <v>10.4885</v>
      </c>
      <c r="JA33" s="535">
        <v>10.8612</v>
      </c>
      <c r="JB33" s="535">
        <v>11.084199999999999</v>
      </c>
      <c r="JC33" s="535">
        <v>11.2097</v>
      </c>
      <c r="JD33" s="535">
        <v>11.4382</v>
      </c>
      <c r="JE33" s="535">
        <v>10.9148</v>
      </c>
      <c r="JF33" s="535">
        <v>10.922000000000001</v>
      </c>
      <c r="JG33" s="535">
        <v>11.105</v>
      </c>
      <c r="JH33" s="535">
        <v>10.7918</v>
      </c>
      <c r="JI33" s="535">
        <v>10.9682</v>
      </c>
      <c r="JJ33" s="535">
        <v>10.8597</v>
      </c>
      <c r="JK33" s="516">
        <v>27</v>
      </c>
      <c r="JL33" s="536"/>
      <c r="JM33" s="536"/>
      <c r="JN33" s="516">
        <v>27</v>
      </c>
      <c r="JO33" s="535">
        <v>11.289</v>
      </c>
      <c r="JP33" s="535">
        <v>11.095499999999999</v>
      </c>
      <c r="JQ33" s="535">
        <v>11.1898</v>
      </c>
      <c r="JR33" s="535">
        <v>11.0571</v>
      </c>
      <c r="JS33" s="535">
        <v>10.937200000000001</v>
      </c>
      <c r="JT33" s="535">
        <v>10.7897</v>
      </c>
      <c r="JU33" s="535">
        <v>10.6683</v>
      </c>
      <c r="JV33" s="535">
        <v>10.815300000000001</v>
      </c>
      <c r="JW33" s="535">
        <v>10.8475</v>
      </c>
      <c r="JX33" s="535">
        <v>10.841699999999999</v>
      </c>
      <c r="JY33" s="535">
        <v>10.6083</v>
      </c>
      <c r="JZ33" s="535">
        <v>10.6845</v>
      </c>
      <c r="KA33" s="516">
        <v>27</v>
      </c>
      <c r="KB33" s="536"/>
      <c r="KC33" s="536"/>
      <c r="KD33" s="516">
        <v>27</v>
      </c>
      <c r="KE33" s="535">
        <v>10.962</v>
      </c>
      <c r="KF33" s="535">
        <v>11.0932</v>
      </c>
      <c r="KG33" s="535">
        <v>11.013</v>
      </c>
      <c r="KH33" s="535">
        <v>11.343299999999999</v>
      </c>
      <c r="KI33" s="535">
        <v>11.476000000000001</v>
      </c>
      <c r="KJ33" s="535">
        <v>11.3004</v>
      </c>
      <c r="KK33" s="535">
        <v>11.433999999999999</v>
      </c>
      <c r="KL33" s="535">
        <v>11.3712</v>
      </c>
      <c r="KM33" s="535">
        <v>11.417999999999999</v>
      </c>
      <c r="KN33" s="535">
        <v>11.515000000000001</v>
      </c>
      <c r="KO33" s="535">
        <v>11.2713</v>
      </c>
      <c r="KP33" s="535">
        <v>11.1363</v>
      </c>
      <c r="KQ33" s="516">
        <v>27</v>
      </c>
      <c r="KR33" s="536"/>
      <c r="KS33" s="536"/>
      <c r="KT33" s="516">
        <v>27</v>
      </c>
      <c r="KU33" s="535">
        <v>10.770799999999999</v>
      </c>
      <c r="KV33" s="535">
        <v>11.058400000000001</v>
      </c>
      <c r="KW33" s="535">
        <v>10.72</v>
      </c>
      <c r="KX33" s="535">
        <v>10.434799999999999</v>
      </c>
      <c r="KY33" s="535">
        <v>10.247299999999999</v>
      </c>
      <c r="KZ33" s="535">
        <v>10.4734</v>
      </c>
      <c r="LA33" s="535">
        <v>10.520300000000001</v>
      </c>
      <c r="LB33" s="535">
        <v>10.875299999999999</v>
      </c>
      <c r="LC33" s="535">
        <v>10.811500000000001</v>
      </c>
      <c r="LD33" s="535">
        <v>11.180999999999999</v>
      </c>
      <c r="LE33" s="535">
        <v>11.3398</v>
      </c>
      <c r="LF33" s="535">
        <v>11.2744</v>
      </c>
      <c r="LG33" s="516">
        <v>27</v>
      </c>
      <c r="LH33" s="536"/>
      <c r="LI33" s="536"/>
      <c r="LJ33" s="516">
        <v>27</v>
      </c>
      <c r="LK33" s="535">
        <v>9.1227</v>
      </c>
      <c r="LL33" s="535">
        <v>9.0831</v>
      </c>
      <c r="LM33" s="535">
        <v>9.0297999999999998</v>
      </c>
      <c r="LN33" s="535">
        <v>9.3528000000000002</v>
      </c>
      <c r="LO33" s="535">
        <v>9.5165000000000006</v>
      </c>
      <c r="LP33" s="535">
        <v>9.8202999999999996</v>
      </c>
      <c r="LQ33" s="535">
        <v>9.7157999999999998</v>
      </c>
      <c r="LR33" s="535">
        <v>9.8488000000000007</v>
      </c>
      <c r="LS33" s="535">
        <v>10.256500000000001</v>
      </c>
      <c r="LT33" s="535">
        <v>9.9467999999999996</v>
      </c>
      <c r="LU33" s="535">
        <v>10.1065</v>
      </c>
      <c r="LV33" s="535">
        <v>10.2014</v>
      </c>
      <c r="LW33" s="516">
        <v>27</v>
      </c>
      <c r="LX33" s="536"/>
      <c r="LY33" s="536"/>
      <c r="LZ33" s="516">
        <v>27</v>
      </c>
      <c r="MA33" s="535">
        <v>9.6829999999999998</v>
      </c>
      <c r="MB33" s="535">
        <v>9.7182999999999993</v>
      </c>
      <c r="MC33" s="535">
        <v>9.6539999999999999</v>
      </c>
      <c r="MD33" s="535">
        <v>9.3123000000000005</v>
      </c>
      <c r="ME33" s="535">
        <v>9.0805000000000007</v>
      </c>
      <c r="MF33" s="535">
        <v>9.0594999999999999</v>
      </c>
      <c r="MG33" s="535">
        <v>9.1599000000000004</v>
      </c>
      <c r="MH33" s="535">
        <v>9.1204999999999998</v>
      </c>
      <c r="MI33" s="535">
        <v>9.4841999999999995</v>
      </c>
      <c r="MJ33" s="535">
        <v>9.2469000000000001</v>
      </c>
      <c r="MK33" s="535">
        <v>9.1476000000000006</v>
      </c>
      <c r="ML33" s="535">
        <v>9.0922999999999998</v>
      </c>
      <c r="MM33" s="516">
        <v>27</v>
      </c>
      <c r="MN33" s="536"/>
      <c r="MO33" s="536"/>
      <c r="MP33" s="516">
        <v>27</v>
      </c>
      <c r="MQ33" s="535">
        <v>9.5288000000000004</v>
      </c>
      <c r="MR33" s="535">
        <v>9.3797999999999995</v>
      </c>
      <c r="MS33" s="535">
        <v>9.2398000000000007</v>
      </c>
      <c r="MT33" s="535">
        <v>9.4077999999999999</v>
      </c>
      <c r="MU33" s="535">
        <v>9.4939999999999998</v>
      </c>
      <c r="MV33" s="535">
        <v>9.9804999999999993</v>
      </c>
      <c r="MW33" s="535">
        <v>9.3657000000000004</v>
      </c>
      <c r="MX33" s="535">
        <v>9.2268000000000008</v>
      </c>
      <c r="MY33" s="535">
        <v>9.4217999999999993</v>
      </c>
      <c r="MZ33" s="535">
        <v>9.6242000000000001</v>
      </c>
      <c r="NA33" s="535">
        <v>9.4056999999999995</v>
      </c>
      <c r="NB33" s="535">
        <v>9.5980000000000008</v>
      </c>
      <c r="NC33" s="516">
        <v>27</v>
      </c>
      <c r="ND33" s="536"/>
      <c r="NE33" s="536"/>
      <c r="NF33" s="516">
        <v>27</v>
      </c>
      <c r="NG33" s="535">
        <v>10.2242</v>
      </c>
      <c r="NH33" s="535">
        <v>9.9835999999999991</v>
      </c>
      <c r="NI33" s="535">
        <v>9.6454000000000004</v>
      </c>
      <c r="NJ33" s="535">
        <v>9.3004999999999995</v>
      </c>
      <c r="NK33" s="535">
        <v>9.5467999999999993</v>
      </c>
      <c r="NL33" s="535">
        <v>9.4589999999999996</v>
      </c>
      <c r="NM33" s="535">
        <v>9.3856000000000002</v>
      </c>
      <c r="NN33" s="535">
        <v>9.3080999999999996</v>
      </c>
      <c r="NO33" s="535">
        <v>9.3055000000000003</v>
      </c>
      <c r="NP33" s="535">
        <v>9.6373999999999995</v>
      </c>
      <c r="NQ33" s="535">
        <v>9.2944999999999993</v>
      </c>
      <c r="NR33" s="535">
        <v>9.3695000000000004</v>
      </c>
      <c r="NS33" s="516">
        <v>27</v>
      </c>
      <c r="NT33" s="536"/>
      <c r="NU33" s="536"/>
      <c r="NV33" s="516">
        <v>27</v>
      </c>
      <c r="NW33" s="535">
        <v>8.2939000000000007</v>
      </c>
      <c r="NX33" s="535">
        <v>8.5831999999999997</v>
      </c>
      <c r="NY33" s="535">
        <v>8.5282</v>
      </c>
      <c r="NZ33" s="535">
        <v>8.4702999999999999</v>
      </c>
      <c r="OA33" s="535">
        <v>8.6378000000000004</v>
      </c>
      <c r="OB33" s="535">
        <v>8.9536999999999995</v>
      </c>
      <c r="OC33" s="535">
        <v>8.8646999999999991</v>
      </c>
      <c r="OD33" s="535">
        <v>9.6000999999999994</v>
      </c>
      <c r="OE33" s="535">
        <v>10.111700000000001</v>
      </c>
      <c r="OF33" s="535">
        <v>10.035299999999999</v>
      </c>
      <c r="OG33" s="535">
        <v>9.9107000000000003</v>
      </c>
      <c r="OH33" s="535">
        <v>9.8103999999999996</v>
      </c>
      <c r="OI33" s="516">
        <v>27</v>
      </c>
      <c r="OJ33" s="536"/>
      <c r="OK33" s="536"/>
      <c r="OL33" s="516">
        <v>27</v>
      </c>
      <c r="OM33" s="535">
        <v>7.7912999999999997</v>
      </c>
      <c r="ON33" s="535">
        <v>7.7556000000000003</v>
      </c>
      <c r="OO33" s="535">
        <v>7.8905000000000003</v>
      </c>
      <c r="OP33" s="535">
        <v>7.8544999999999998</v>
      </c>
      <c r="OQ33" s="535">
        <v>7.8731</v>
      </c>
      <c r="OR33" s="535">
        <v>7.9482999999999997</v>
      </c>
      <c r="OS33" s="535">
        <v>7.8312999999999997</v>
      </c>
      <c r="OT33" s="535">
        <v>7.7583000000000002</v>
      </c>
      <c r="OU33" s="535">
        <v>7.8071999999999999</v>
      </c>
      <c r="OV33" s="535">
        <v>7.7629999999999999</v>
      </c>
      <c r="OW33" s="535">
        <v>8.2357999999999993</v>
      </c>
      <c r="OX33" s="535">
        <v>8.1647999999999996</v>
      </c>
      <c r="OY33" s="516">
        <v>27</v>
      </c>
      <c r="OZ33" s="536"/>
      <c r="PA33" s="536"/>
      <c r="PB33" s="516">
        <v>27</v>
      </c>
      <c r="PC33" s="535">
        <v>7.3867000000000003</v>
      </c>
      <c r="PD33" s="535">
        <v>7.5331000000000001</v>
      </c>
      <c r="PE33" s="535">
        <v>7.5484</v>
      </c>
      <c r="PF33" s="535">
        <v>7.3794000000000004</v>
      </c>
      <c r="PG33" s="535">
        <v>7.3822999999999999</v>
      </c>
      <c r="PH33" s="535">
        <v>7.6077000000000004</v>
      </c>
      <c r="PI33" s="535">
        <v>7.5903</v>
      </c>
      <c r="PJ33" s="535">
        <v>7.4829999999999997</v>
      </c>
      <c r="PK33" s="535">
        <v>7.5316999999999998</v>
      </c>
      <c r="PL33" s="535">
        <v>7.8296999999999999</v>
      </c>
      <c r="PM33" s="535">
        <v>7.9095000000000004</v>
      </c>
      <c r="PN33" s="535">
        <v>7.8324999999999996</v>
      </c>
      <c r="PO33" s="516">
        <v>27</v>
      </c>
      <c r="PP33" s="536"/>
      <c r="PQ33" s="536"/>
      <c r="PR33" s="516">
        <v>27</v>
      </c>
      <c r="PS33" s="535">
        <v>5.7</v>
      </c>
      <c r="PT33" s="535">
        <v>5.6749999999999998</v>
      </c>
      <c r="PU33" s="535">
        <v>7.0425000000000004</v>
      </c>
      <c r="PV33" s="535">
        <v>5.8883000000000001</v>
      </c>
      <c r="PW33" s="535">
        <v>6.0549999999999997</v>
      </c>
      <c r="PX33" s="535">
        <v>6.25</v>
      </c>
      <c r="PY33" s="535">
        <v>6.15</v>
      </c>
      <c r="PZ33" s="535">
        <v>6.3167</v>
      </c>
      <c r="QA33" s="535">
        <v>6.3917999999999999</v>
      </c>
      <c r="QB33" s="535">
        <v>6.8007999999999997</v>
      </c>
      <c r="QC33" s="535">
        <v>7.6349999999999998</v>
      </c>
      <c r="QD33" s="535">
        <v>7.5708000000000002</v>
      </c>
      <c r="QE33" s="516">
        <v>27</v>
      </c>
      <c r="QF33" s="536"/>
      <c r="QG33" s="536"/>
      <c r="QH33" s="516">
        <v>27</v>
      </c>
      <c r="QI33" s="535">
        <v>3.1057999999999999</v>
      </c>
      <c r="QJ33" s="535">
        <v>3.2075</v>
      </c>
      <c r="QK33" s="535">
        <v>3.3353000000000002</v>
      </c>
      <c r="QL33" s="535">
        <v>3.3073000000000001</v>
      </c>
      <c r="QM33" s="535">
        <v>3.3092999999999999</v>
      </c>
      <c r="QN33" s="535">
        <v>3.3855</v>
      </c>
      <c r="QO33" s="535">
        <v>3.4072</v>
      </c>
      <c r="QP33" s="535">
        <v>3.3671000000000002</v>
      </c>
      <c r="QQ33" s="535">
        <v>3.3904999999999998</v>
      </c>
      <c r="QR33" s="535">
        <v>3.4285999999999999</v>
      </c>
      <c r="QS33" s="535">
        <v>3.448</v>
      </c>
      <c r="QT33" s="535">
        <v>4.7374999999999998</v>
      </c>
      <c r="QU33" s="516">
        <v>27</v>
      </c>
      <c r="QV33" s="536"/>
      <c r="QW33" s="536"/>
      <c r="QX33" s="516">
        <v>27</v>
      </c>
      <c r="QY33" s="535">
        <v>3.1044</v>
      </c>
      <c r="QZ33" s="535">
        <v>3.0973999999999999</v>
      </c>
      <c r="RA33" s="535">
        <v>3.1114000000000002</v>
      </c>
      <c r="RB33" s="535">
        <v>3.0945999999999998</v>
      </c>
      <c r="RC33" s="535">
        <v>3.1242000000000001</v>
      </c>
      <c r="RD33" s="535">
        <v>3.1160000000000001</v>
      </c>
      <c r="RE33" s="535">
        <v>3.1251000000000002</v>
      </c>
      <c r="RF33" s="535">
        <v>3.1103999999999998</v>
      </c>
      <c r="RG33" s="535">
        <v>3.1124000000000001</v>
      </c>
      <c r="RH33" s="535">
        <v>3.1135000000000002</v>
      </c>
      <c r="RI33" s="535">
        <v>3.1168</v>
      </c>
      <c r="RJ33" s="535">
        <v>3.1110000000000002</v>
      </c>
      <c r="RK33" s="516">
        <v>27</v>
      </c>
      <c r="RL33" s="536"/>
      <c r="RM33" s="536"/>
      <c r="RN33" s="516">
        <v>27</v>
      </c>
      <c r="RO33" s="535">
        <v>3.0735999999999999</v>
      </c>
      <c r="RP33" s="535">
        <v>3.0609000000000002</v>
      </c>
      <c r="RQ33" s="535">
        <v>3.0794999999999999</v>
      </c>
      <c r="RR33" s="535">
        <v>3.0855999999999999</v>
      </c>
      <c r="RS33" s="535">
        <v>3.1025999999999998</v>
      </c>
      <c r="RT33" s="535">
        <v>3.1225000000000001</v>
      </c>
      <c r="RU33" s="535">
        <v>3.1113</v>
      </c>
      <c r="RV33" s="535">
        <v>3.081</v>
      </c>
      <c r="RW33" s="535">
        <v>3.1040000000000001</v>
      </c>
      <c r="RX33" s="535">
        <v>3.1190000000000002</v>
      </c>
      <c r="RY33" s="535">
        <v>3.1137999999999999</v>
      </c>
      <c r="RZ33" s="535">
        <v>3.1194999999999999</v>
      </c>
      <c r="SA33" s="516">
        <v>27</v>
      </c>
      <c r="SB33" s="536"/>
      <c r="SC33" s="536"/>
      <c r="SD33" s="516">
        <v>27</v>
      </c>
      <c r="SE33" s="535">
        <v>2.9561999999999999</v>
      </c>
      <c r="SF33" s="535">
        <v>2.9689999999999999</v>
      </c>
      <c r="SG33" s="535">
        <v>2.9802</v>
      </c>
      <c r="SH33" s="535">
        <v>2.9925999999999999</v>
      </c>
      <c r="SI33" s="535">
        <v>3.0038</v>
      </c>
      <c r="SJ33" s="535">
        <v>3.0169999999999999</v>
      </c>
      <c r="SK33" s="535">
        <v>3.0289999999999999</v>
      </c>
      <c r="SL33" s="535">
        <v>3.0406</v>
      </c>
      <c r="SM33" s="535">
        <v>3.0546000000000002</v>
      </c>
      <c r="SN33" s="535">
        <v>3.0670000000000002</v>
      </c>
      <c r="SO33" s="535">
        <v>3.06216</v>
      </c>
      <c r="SP33" s="535">
        <v>3.08413</v>
      </c>
      <c r="SQ33" s="516">
        <v>27</v>
      </c>
      <c r="SR33" s="536"/>
      <c r="SS33" s="536"/>
      <c r="ST33" s="516">
        <v>27</v>
      </c>
      <c r="SU33" s="535">
        <v>2.669</v>
      </c>
      <c r="SV33" s="535">
        <v>2.698</v>
      </c>
      <c r="SW33" s="535">
        <v>2.726</v>
      </c>
      <c r="SX33" s="535">
        <v>2.7589999999999999</v>
      </c>
      <c r="SY33" s="535">
        <v>2.7879999999999998</v>
      </c>
      <c r="SZ33" s="535">
        <v>2.8146</v>
      </c>
      <c r="TA33" s="535">
        <v>2.8386</v>
      </c>
      <c r="TB33" s="535">
        <v>2.8618000000000001</v>
      </c>
      <c r="TC33" s="535">
        <v>2.8881999999999999</v>
      </c>
      <c r="TD33" s="535">
        <v>2.9121999999999999</v>
      </c>
      <c r="TE33" s="535">
        <v>2.9314</v>
      </c>
      <c r="TF33" s="535">
        <v>2.9441999999999999</v>
      </c>
      <c r="TG33" s="516">
        <v>27</v>
      </c>
      <c r="TH33" s="536"/>
      <c r="TI33" s="536"/>
      <c r="TJ33" s="516">
        <v>27</v>
      </c>
      <c r="TK33" s="535">
        <v>2.3039999999999998</v>
      </c>
      <c r="TL33" s="535">
        <v>2.3330000000000002</v>
      </c>
      <c r="TM33" s="535">
        <v>2.3610000000000002</v>
      </c>
      <c r="TN33" s="535">
        <v>2.3940000000000001</v>
      </c>
      <c r="TO33" s="535">
        <v>2.4239999999999999</v>
      </c>
      <c r="TP33" s="535">
        <v>2.4529999999999998</v>
      </c>
      <c r="TQ33" s="535">
        <v>2.4849999999999999</v>
      </c>
      <c r="TR33" s="535">
        <v>2.5150000000000001</v>
      </c>
      <c r="TS33" s="535">
        <v>2.5470000000000002</v>
      </c>
      <c r="TT33" s="535">
        <v>2.577</v>
      </c>
      <c r="TU33" s="535">
        <v>2.6059999999999999</v>
      </c>
      <c r="TV33" s="535">
        <v>2.6379999999999999</v>
      </c>
      <c r="TW33" s="516">
        <v>27</v>
      </c>
    </row>
    <row r="34" spans="2:543" s="4" customFormat="1" ht="23" customHeight="1">
      <c r="B34" s="516">
        <v>28</v>
      </c>
      <c r="C34" s="549">
        <v>20.641500000000001</v>
      </c>
      <c r="D34" s="549">
        <v>20.6525</v>
      </c>
      <c r="E34" s="549">
        <v>20.1313</v>
      </c>
      <c r="F34" s="549">
        <v>20.356000000000002</v>
      </c>
      <c r="G34" s="549">
        <v>19.793299999999999</v>
      </c>
      <c r="H34" s="549">
        <v>19.870699999999999</v>
      </c>
      <c r="I34" s="549">
        <v>20.433</v>
      </c>
      <c r="J34" s="549">
        <v>19.9437</v>
      </c>
      <c r="K34" s="549">
        <v>20.351700000000001</v>
      </c>
      <c r="L34" s="549">
        <v>19.8553</v>
      </c>
      <c r="M34" s="662">
        <f t="shared" si="9"/>
        <v>19.746300000000002</v>
      </c>
      <c r="N34" s="662">
        <f t="shared" si="8"/>
        <v>19.746300000000002</v>
      </c>
      <c r="O34" s="516">
        <v>28</v>
      </c>
      <c r="R34" s="516">
        <v>28</v>
      </c>
      <c r="S34" s="549">
        <v>20.0152</v>
      </c>
      <c r="T34" s="549">
        <v>20.8523</v>
      </c>
      <c r="U34" s="549">
        <v>20.766200000000001</v>
      </c>
      <c r="V34" s="549">
        <v>19.836200000000002</v>
      </c>
      <c r="W34" s="549">
        <v>19.878299999999999</v>
      </c>
      <c r="X34" s="549">
        <v>20.048300000000001</v>
      </c>
      <c r="Y34" s="549">
        <v>20.0245</v>
      </c>
      <c r="Z34" s="549">
        <v>20.3522</v>
      </c>
      <c r="AA34" s="549">
        <v>20.111799999999999</v>
      </c>
      <c r="AB34" s="549">
        <v>20.188800000000001</v>
      </c>
      <c r="AC34" s="549">
        <v>21.546199999999999</v>
      </c>
      <c r="AD34" s="549">
        <v>20.6112</v>
      </c>
      <c r="AE34" s="516">
        <v>28</v>
      </c>
      <c r="AH34" s="516">
        <v>28</v>
      </c>
      <c r="AI34" s="549">
        <v>18.831299999999999</v>
      </c>
      <c r="AJ34" s="549">
        <v>19.1585</v>
      </c>
      <c r="AK34" s="549">
        <v>23.097000000000001</v>
      </c>
      <c r="AL34" s="549">
        <v>24.8583</v>
      </c>
      <c r="AM34" s="549">
        <v>22.293199999999999</v>
      </c>
      <c r="AN34" s="549">
        <v>22.796299999999999</v>
      </c>
      <c r="AO34" s="549">
        <v>22.3842</v>
      </c>
      <c r="AP34" s="549">
        <v>21.920200000000001</v>
      </c>
      <c r="AQ34" s="549">
        <v>22.367799999999999</v>
      </c>
      <c r="AR34" s="549">
        <v>20.9818</v>
      </c>
      <c r="AS34" s="549">
        <v>20.046700000000001</v>
      </c>
      <c r="AT34" s="549">
        <v>20.1175</v>
      </c>
      <c r="AU34" s="516">
        <v>28</v>
      </c>
      <c r="AX34" s="516">
        <v>28</v>
      </c>
      <c r="AY34" s="535">
        <v>18.985900000000001</v>
      </c>
      <c r="AZ34" s="535">
        <v>19.163</v>
      </c>
      <c r="BA34" s="535">
        <v>19.0989</v>
      </c>
      <c r="BB34" s="535">
        <v>19.094200000000001</v>
      </c>
      <c r="BC34" s="535">
        <v>19.065799999999999</v>
      </c>
      <c r="BD34" s="535">
        <v>19.144200000000001</v>
      </c>
      <c r="BE34" s="535">
        <v>19.0623</v>
      </c>
      <c r="BF34" s="535">
        <v>19.9086</v>
      </c>
      <c r="BG34" s="535">
        <v>19.636299999999999</v>
      </c>
      <c r="BH34" s="535">
        <v>19.087800000000001</v>
      </c>
      <c r="BI34" s="535">
        <v>19.5185</v>
      </c>
      <c r="BJ34" s="535">
        <v>18.944500000000001</v>
      </c>
      <c r="BK34" s="516">
        <v>28</v>
      </c>
      <c r="BN34" s="516">
        <v>28</v>
      </c>
      <c r="BO34" s="537">
        <v>18.478000000000002</v>
      </c>
      <c r="BP34" s="535">
        <v>18.645600000000002</v>
      </c>
      <c r="BQ34" s="535">
        <v>18.326799999999999</v>
      </c>
      <c r="BR34" s="535">
        <v>18.8644</v>
      </c>
      <c r="BS34" s="535">
        <v>19.704799999999999</v>
      </c>
      <c r="BT34" s="535">
        <v>19.875399999999999</v>
      </c>
      <c r="BU34" s="535">
        <v>18.6234</v>
      </c>
      <c r="BV34" s="535">
        <v>18.8339</v>
      </c>
      <c r="BW34" s="535">
        <v>18.898599999999998</v>
      </c>
      <c r="BX34" s="535">
        <v>19.438300000000002</v>
      </c>
      <c r="BY34" s="535">
        <v>20.5304</v>
      </c>
      <c r="BZ34" s="535">
        <v>19.882300000000001</v>
      </c>
      <c r="CA34" s="516">
        <v>28</v>
      </c>
      <c r="CD34" s="516">
        <v>28</v>
      </c>
      <c r="CE34" s="535">
        <v>21.202400000000001</v>
      </c>
      <c r="CF34" s="535">
        <v>19.833500000000001</v>
      </c>
      <c r="CG34" s="535">
        <v>18.852799999999998</v>
      </c>
      <c r="CH34" s="535">
        <v>19.111899999999999</v>
      </c>
      <c r="CI34" s="535">
        <v>18.418500000000002</v>
      </c>
      <c r="CJ34" s="535">
        <v>17.877500000000001</v>
      </c>
      <c r="CK34" s="535">
        <v>17.7561</v>
      </c>
      <c r="CL34" s="535">
        <v>17.697700000000001</v>
      </c>
      <c r="CM34" s="535">
        <v>17.993300000000001</v>
      </c>
      <c r="CN34" s="535">
        <v>19.096</v>
      </c>
      <c r="CO34" s="535">
        <v>18.5379</v>
      </c>
      <c r="CP34" s="535">
        <v>19.722300000000001</v>
      </c>
      <c r="CQ34" s="516">
        <v>28</v>
      </c>
      <c r="CT34" s="516">
        <v>28</v>
      </c>
      <c r="CU34" s="535">
        <v>18.471499999999999</v>
      </c>
      <c r="CV34" s="535">
        <v>18.167999999999999</v>
      </c>
      <c r="CW34" s="535">
        <v>17.336099999999998</v>
      </c>
      <c r="CX34" s="535">
        <v>17.4298</v>
      </c>
      <c r="CY34" s="535">
        <v>18.4572</v>
      </c>
      <c r="CZ34" s="535">
        <v>18.871600000000001</v>
      </c>
      <c r="DA34" s="535">
        <v>18.811399999999999</v>
      </c>
      <c r="DB34" s="535">
        <v>18.446000000000002</v>
      </c>
      <c r="DC34" s="535">
        <v>19.8322</v>
      </c>
      <c r="DD34" s="535">
        <v>18.648499999999999</v>
      </c>
      <c r="DE34" s="535">
        <v>20.705100000000002</v>
      </c>
      <c r="DF34" s="535">
        <v>20.644500000000001</v>
      </c>
      <c r="DG34" s="516">
        <v>28</v>
      </c>
      <c r="DJ34" s="516">
        <v>28</v>
      </c>
      <c r="DK34" s="535">
        <v>14.588699999999999</v>
      </c>
      <c r="DL34" s="535">
        <v>14.962400000000001</v>
      </c>
      <c r="DM34" s="535">
        <v>15.105600000000001</v>
      </c>
      <c r="DN34" s="535">
        <v>15.3834</v>
      </c>
      <c r="DO34" s="535">
        <v>15.323499999999999</v>
      </c>
      <c r="DP34" s="535">
        <v>15.455500000000001</v>
      </c>
      <c r="DQ34" s="535">
        <v>16.2364</v>
      </c>
      <c r="DR34" s="535">
        <v>17.1065</v>
      </c>
      <c r="DS34" s="535">
        <v>17.114899999999999</v>
      </c>
      <c r="DT34" s="535">
        <v>16.4998</v>
      </c>
      <c r="DU34" s="535">
        <v>16.549199999999999</v>
      </c>
      <c r="DV34" s="535">
        <v>17.1953</v>
      </c>
      <c r="DW34" s="516">
        <v>28</v>
      </c>
      <c r="DZ34" s="516">
        <v>28</v>
      </c>
      <c r="EA34" s="535">
        <v>13.493</v>
      </c>
      <c r="EB34" s="535">
        <v>13.299200000000001</v>
      </c>
      <c r="EC34" s="535">
        <v>13.1273</v>
      </c>
      <c r="ED34" s="535">
        <v>13.101000000000001</v>
      </c>
      <c r="EE34" s="535">
        <v>12.861599999999999</v>
      </c>
      <c r="EF34" s="535">
        <v>13.032299999999999</v>
      </c>
      <c r="EG34" s="535">
        <v>12.9572</v>
      </c>
      <c r="EH34" s="535">
        <v>13.1059</v>
      </c>
      <c r="EI34" s="535">
        <v>13.3848</v>
      </c>
      <c r="EJ34" s="535">
        <v>13.526300000000001</v>
      </c>
      <c r="EK34" s="535">
        <v>13.7219</v>
      </c>
      <c r="EL34" s="535">
        <v>14.742900000000001</v>
      </c>
      <c r="EM34" s="516">
        <v>28</v>
      </c>
      <c r="EP34" s="516">
        <v>28</v>
      </c>
      <c r="EQ34" s="535">
        <v>12.6286</v>
      </c>
      <c r="ER34" s="535">
        <v>12.868</v>
      </c>
      <c r="ES34" s="535">
        <v>12.3546</v>
      </c>
      <c r="ET34" s="535">
        <v>12.123100000000001</v>
      </c>
      <c r="EU34" s="535">
        <v>12.5219</v>
      </c>
      <c r="EV34" s="535">
        <v>13.1884</v>
      </c>
      <c r="EW34" s="535">
        <v>12.646800000000001</v>
      </c>
      <c r="EX34" s="535">
        <v>13.109</v>
      </c>
      <c r="EY34" s="535">
        <v>13.011900000000001</v>
      </c>
      <c r="EZ34" s="535">
        <v>12.9916</v>
      </c>
      <c r="FA34" s="535">
        <v>13.0745</v>
      </c>
      <c r="FB34" s="535">
        <v>13.0547</v>
      </c>
      <c r="FC34" s="516">
        <v>28</v>
      </c>
      <c r="FF34" s="516">
        <v>28</v>
      </c>
      <c r="FG34" s="535">
        <v>12.932499999999999</v>
      </c>
      <c r="FH34" s="535">
        <v>12.8675</v>
      </c>
      <c r="FI34" s="535">
        <v>12.679500000000001</v>
      </c>
      <c r="FJ34" s="535">
        <v>13.209300000000001</v>
      </c>
      <c r="FK34" s="535">
        <v>14.004</v>
      </c>
      <c r="FL34" s="535">
        <v>13.861599999999999</v>
      </c>
      <c r="FM34" s="535">
        <v>13.442500000000001</v>
      </c>
      <c r="FN34" s="535">
        <v>13.176</v>
      </c>
      <c r="FO34" s="535">
        <v>12.917</v>
      </c>
      <c r="FP34" s="535">
        <v>12.966900000000001</v>
      </c>
      <c r="FQ34" s="535">
        <v>12.9984</v>
      </c>
      <c r="FR34" s="535">
        <v>13.005800000000001</v>
      </c>
      <c r="FS34" s="516">
        <v>28</v>
      </c>
      <c r="FV34" s="516">
        <v>28</v>
      </c>
      <c r="FW34" s="535">
        <v>12.040800000000001</v>
      </c>
      <c r="FX34" s="535">
        <v>12.173</v>
      </c>
      <c r="FY34" s="535">
        <v>11.955500000000001</v>
      </c>
      <c r="FZ34" s="535">
        <v>11.5824</v>
      </c>
      <c r="GA34" s="535">
        <v>11.695600000000001</v>
      </c>
      <c r="GB34" s="535">
        <v>11.882199999999999</v>
      </c>
      <c r="GC34" s="535">
        <v>11.6172</v>
      </c>
      <c r="GD34" s="535">
        <v>12.4259</v>
      </c>
      <c r="GE34" s="535">
        <v>13.6677</v>
      </c>
      <c r="GF34" s="535">
        <v>13.491400000000001</v>
      </c>
      <c r="GG34" s="535">
        <v>14.1778</v>
      </c>
      <c r="GH34" s="535">
        <v>13.8483</v>
      </c>
      <c r="GI34" s="516">
        <v>28</v>
      </c>
      <c r="GL34" s="516">
        <v>28</v>
      </c>
      <c r="GM34" s="535">
        <v>12.854900000000001</v>
      </c>
      <c r="GN34" s="535">
        <v>12.850300000000001</v>
      </c>
      <c r="GO34" s="535">
        <v>12.5009</v>
      </c>
      <c r="GP34" s="535">
        <v>12.157500000000001</v>
      </c>
      <c r="GQ34" s="535">
        <v>12.9955</v>
      </c>
      <c r="GR34" s="535">
        <v>12.7141</v>
      </c>
      <c r="GS34" s="535">
        <v>12.6975</v>
      </c>
      <c r="GT34" s="535">
        <v>12.984</v>
      </c>
      <c r="GU34" s="535">
        <v>12.549099999999999</v>
      </c>
      <c r="GV34" s="535">
        <v>12.385899999999999</v>
      </c>
      <c r="GW34" s="535">
        <v>12.366899999999999</v>
      </c>
      <c r="GX34" s="535">
        <v>12.3459</v>
      </c>
      <c r="GY34" s="516">
        <v>28</v>
      </c>
      <c r="HB34" s="516">
        <v>28</v>
      </c>
      <c r="HC34" s="535">
        <v>13.934200000000001</v>
      </c>
      <c r="HD34" s="535">
        <v>14.9322</v>
      </c>
      <c r="HE34" s="535">
        <v>14.2163</v>
      </c>
      <c r="HF34" s="535">
        <v>13.2318</v>
      </c>
      <c r="HG34" s="535">
        <v>13.133800000000001</v>
      </c>
      <c r="HH34" s="535">
        <v>13.277799999999999</v>
      </c>
      <c r="HI34" s="535">
        <v>13.2247</v>
      </c>
      <c r="HJ34" s="535">
        <v>13.1378</v>
      </c>
      <c r="HK34" s="535">
        <v>13.4549</v>
      </c>
      <c r="HL34" s="535">
        <v>13.148999999999999</v>
      </c>
      <c r="HM34" s="535">
        <v>12.9475</v>
      </c>
      <c r="HN34" s="535">
        <v>12.8896</v>
      </c>
      <c r="HO34" s="516">
        <v>28</v>
      </c>
      <c r="HP34" s="536"/>
      <c r="HQ34" s="536"/>
      <c r="HR34" s="516">
        <v>28</v>
      </c>
      <c r="HS34" s="535">
        <v>10.8934</v>
      </c>
      <c r="HT34" s="535">
        <v>10.743</v>
      </c>
      <c r="HU34" s="535">
        <v>10.6957</v>
      </c>
      <c r="HV34" s="535">
        <v>10.462</v>
      </c>
      <c r="HW34" s="535">
        <v>10.3848</v>
      </c>
      <c r="HX34" s="535">
        <v>10.2841</v>
      </c>
      <c r="HY34" s="535">
        <v>10.026400000000001</v>
      </c>
      <c r="HZ34" s="535">
        <v>10.173</v>
      </c>
      <c r="IA34" s="535">
        <v>10.7653</v>
      </c>
      <c r="IB34" s="535">
        <v>13.4</v>
      </c>
      <c r="IC34" s="535">
        <v>13.2117</v>
      </c>
      <c r="ID34" s="535">
        <v>13.311400000000001</v>
      </c>
      <c r="IE34" s="516">
        <v>28</v>
      </c>
      <c r="IF34" s="536"/>
      <c r="IG34" s="536"/>
      <c r="IH34" s="516">
        <v>28</v>
      </c>
      <c r="II34" s="535">
        <v>10.975300000000001</v>
      </c>
      <c r="IJ34" s="535">
        <v>11.079000000000001</v>
      </c>
      <c r="IK34" s="535">
        <v>11.0253</v>
      </c>
      <c r="IL34" s="535">
        <v>10.9312</v>
      </c>
      <c r="IM34" s="535">
        <v>10.8354</v>
      </c>
      <c r="IN34" s="535">
        <v>10.8398</v>
      </c>
      <c r="IO34" s="535">
        <v>10.9436</v>
      </c>
      <c r="IP34" s="535">
        <v>11.0413</v>
      </c>
      <c r="IQ34" s="535">
        <v>10.924300000000001</v>
      </c>
      <c r="IR34" s="535">
        <v>10.8291</v>
      </c>
      <c r="IS34" s="535">
        <v>10.981</v>
      </c>
      <c r="IT34" s="535">
        <v>10.810499999999999</v>
      </c>
      <c r="IU34" s="516">
        <v>28</v>
      </c>
      <c r="IV34" s="536"/>
      <c r="IW34" s="536"/>
      <c r="IX34" s="516">
        <v>28</v>
      </c>
      <c r="IY34" s="535">
        <v>10.5039</v>
      </c>
      <c r="IZ34" s="535">
        <v>10.476100000000001</v>
      </c>
      <c r="JA34" s="535">
        <v>10.8568</v>
      </c>
      <c r="JB34" s="535">
        <v>11.1578</v>
      </c>
      <c r="JC34" s="535">
        <v>11.2097</v>
      </c>
      <c r="JD34" s="535">
        <v>11.409000000000001</v>
      </c>
      <c r="JE34" s="535">
        <v>10.9337</v>
      </c>
      <c r="JF34" s="535">
        <v>10.922000000000001</v>
      </c>
      <c r="JG34" s="535">
        <v>11.0418</v>
      </c>
      <c r="JH34" s="535">
        <v>10.731299999999999</v>
      </c>
      <c r="JI34" s="535">
        <v>11.0242</v>
      </c>
      <c r="JJ34" s="535">
        <v>10.874700000000001</v>
      </c>
      <c r="JK34" s="516">
        <v>28</v>
      </c>
      <c r="JL34" s="536"/>
      <c r="JM34" s="536"/>
      <c r="JN34" s="516">
        <v>28</v>
      </c>
      <c r="JO34" s="535">
        <v>11.263199999999999</v>
      </c>
      <c r="JP34" s="535">
        <v>11.095499999999999</v>
      </c>
      <c r="JQ34" s="535">
        <v>11.1898</v>
      </c>
      <c r="JR34" s="535">
        <v>11.0595</v>
      </c>
      <c r="JS34" s="535">
        <v>10.964499999999999</v>
      </c>
      <c r="JT34" s="535">
        <v>10.764200000000001</v>
      </c>
      <c r="JU34" s="535">
        <v>10.7165</v>
      </c>
      <c r="JV34" s="535">
        <v>10.815300000000001</v>
      </c>
      <c r="JW34" s="535">
        <v>10.875999999999999</v>
      </c>
      <c r="JX34" s="535">
        <v>10.891</v>
      </c>
      <c r="JY34" s="535">
        <v>10.6083</v>
      </c>
      <c r="JZ34" s="535">
        <v>10.693199999999999</v>
      </c>
      <c r="KA34" s="516">
        <v>28</v>
      </c>
      <c r="KB34" s="536"/>
      <c r="KC34" s="536"/>
      <c r="KD34" s="516">
        <v>28</v>
      </c>
      <c r="KE34" s="535">
        <v>10.9178</v>
      </c>
      <c r="KF34" s="535">
        <v>11.0715</v>
      </c>
      <c r="KG34" s="535">
        <v>11.013</v>
      </c>
      <c r="KH34" s="535">
        <v>11.2881</v>
      </c>
      <c r="KI34" s="535">
        <v>11.4556</v>
      </c>
      <c r="KJ34" s="535">
        <v>11.3004</v>
      </c>
      <c r="KK34" s="535">
        <v>11.4582</v>
      </c>
      <c r="KL34" s="535">
        <v>11.366</v>
      </c>
      <c r="KM34" s="535">
        <v>11.4107</v>
      </c>
      <c r="KN34" s="535">
        <v>11.517799999999999</v>
      </c>
      <c r="KO34" s="535">
        <v>11.2713</v>
      </c>
      <c r="KP34" s="535">
        <v>11.15</v>
      </c>
      <c r="KQ34" s="516">
        <v>28</v>
      </c>
      <c r="KR34" s="536"/>
      <c r="KS34" s="536"/>
      <c r="KT34" s="516">
        <v>28</v>
      </c>
      <c r="KU34" s="535">
        <v>10.826700000000001</v>
      </c>
      <c r="KV34" s="535">
        <v>11.0329</v>
      </c>
      <c r="KW34" s="535">
        <v>10.7498</v>
      </c>
      <c r="KX34" s="535">
        <v>10.434799999999999</v>
      </c>
      <c r="KY34" s="535">
        <v>10.251899999999999</v>
      </c>
      <c r="KZ34" s="535">
        <v>10.4808</v>
      </c>
      <c r="LA34" s="535">
        <v>10.520300000000001</v>
      </c>
      <c r="LB34" s="535">
        <v>10.911799999999999</v>
      </c>
      <c r="LC34" s="535">
        <v>10.811500000000001</v>
      </c>
      <c r="LD34" s="535">
        <v>11.1784</v>
      </c>
      <c r="LE34" s="535">
        <v>11.3522</v>
      </c>
      <c r="LF34" s="535">
        <v>11.2744</v>
      </c>
      <c r="LG34" s="516">
        <v>28</v>
      </c>
      <c r="LH34" s="536"/>
      <c r="LI34" s="536"/>
      <c r="LJ34" s="516">
        <v>28</v>
      </c>
      <c r="LK34" s="535">
        <v>9.1227</v>
      </c>
      <c r="LL34" s="535">
        <v>9.0815000000000001</v>
      </c>
      <c r="LM34" s="535">
        <v>9.0243000000000002</v>
      </c>
      <c r="LN34" s="535">
        <v>9.3528000000000002</v>
      </c>
      <c r="LO34" s="535">
        <v>9.5585000000000004</v>
      </c>
      <c r="LP34" s="535">
        <v>9.9998000000000005</v>
      </c>
      <c r="LQ34" s="535">
        <v>9.7157999999999998</v>
      </c>
      <c r="LR34" s="535">
        <v>9.8267000000000007</v>
      </c>
      <c r="LS34" s="535">
        <v>10.166700000000001</v>
      </c>
      <c r="LT34" s="535">
        <v>9.9467999999999996</v>
      </c>
      <c r="LU34" s="535">
        <v>10.153499999999999</v>
      </c>
      <c r="LV34" s="535">
        <v>10.2479</v>
      </c>
      <c r="LW34" s="516">
        <v>28</v>
      </c>
      <c r="LX34" s="536"/>
      <c r="LY34" s="536"/>
      <c r="LZ34" s="516">
        <v>28</v>
      </c>
      <c r="MA34" s="535">
        <v>9.6829999999999998</v>
      </c>
      <c r="MB34" s="535">
        <v>9.6617999999999995</v>
      </c>
      <c r="MC34" s="535">
        <v>9.5314999999999994</v>
      </c>
      <c r="MD34" s="535">
        <v>9.2670999999999992</v>
      </c>
      <c r="ME34" s="535">
        <v>9.0805000000000007</v>
      </c>
      <c r="MF34" s="535">
        <v>9.0606000000000009</v>
      </c>
      <c r="MG34" s="535">
        <v>9.157</v>
      </c>
      <c r="MH34" s="535">
        <v>9.1443999999999992</v>
      </c>
      <c r="MI34" s="535">
        <v>9.5258000000000003</v>
      </c>
      <c r="MJ34" s="535">
        <v>9.2469000000000001</v>
      </c>
      <c r="MK34" s="535">
        <v>9.1646999999999998</v>
      </c>
      <c r="ML34" s="535">
        <v>9.0957000000000008</v>
      </c>
      <c r="MM34" s="516">
        <v>28</v>
      </c>
      <c r="MN34" s="536"/>
      <c r="MO34" s="536"/>
      <c r="MP34" s="516">
        <v>28</v>
      </c>
      <c r="MQ34" s="535">
        <v>9.5103000000000009</v>
      </c>
      <c r="MR34" s="535">
        <v>9.3797999999999995</v>
      </c>
      <c r="MS34" s="535">
        <v>9.1712000000000007</v>
      </c>
      <c r="MT34" s="535">
        <v>9.4072999999999993</v>
      </c>
      <c r="MU34" s="535">
        <v>9.4939999999999998</v>
      </c>
      <c r="MV34" s="535">
        <v>10.0197</v>
      </c>
      <c r="MW34" s="535">
        <v>9.3627000000000002</v>
      </c>
      <c r="MX34" s="535">
        <v>9.2268000000000008</v>
      </c>
      <c r="MY34" s="535">
        <v>9.4032</v>
      </c>
      <c r="MZ34" s="535">
        <v>9.6776999999999997</v>
      </c>
      <c r="NA34" s="535">
        <v>9.3930000000000007</v>
      </c>
      <c r="NB34" s="535">
        <v>9.5200999999999993</v>
      </c>
      <c r="NC34" s="516">
        <v>28</v>
      </c>
      <c r="ND34" s="536"/>
      <c r="NE34" s="536"/>
      <c r="NF34" s="516">
        <v>28</v>
      </c>
      <c r="NG34" s="535">
        <v>10.225199999999999</v>
      </c>
      <c r="NH34" s="535">
        <v>9.9835999999999991</v>
      </c>
      <c r="NI34" s="535">
        <v>9.6454000000000004</v>
      </c>
      <c r="NJ34" s="535">
        <v>9.3084000000000007</v>
      </c>
      <c r="NK34" s="535">
        <v>9.6715</v>
      </c>
      <c r="NL34" s="535">
        <v>9.4589999999999996</v>
      </c>
      <c r="NM34" s="535">
        <v>9.4235000000000007</v>
      </c>
      <c r="NN34" s="535">
        <v>9.3393999999999995</v>
      </c>
      <c r="NO34" s="535">
        <v>9.3565000000000005</v>
      </c>
      <c r="NP34" s="535">
        <v>9.6298999999999992</v>
      </c>
      <c r="NQ34" s="535">
        <v>9.2944999999999993</v>
      </c>
      <c r="NR34" s="535">
        <v>9.4187999999999992</v>
      </c>
      <c r="NS34" s="516">
        <v>28</v>
      </c>
      <c r="NT34" s="536"/>
      <c r="NU34" s="536"/>
      <c r="NV34" s="516">
        <v>28</v>
      </c>
      <c r="NW34" s="535">
        <v>8.2810000000000006</v>
      </c>
      <c r="NX34" s="535">
        <v>8.5582999999999991</v>
      </c>
      <c r="NY34" s="535">
        <v>8.5251999999999999</v>
      </c>
      <c r="NZ34" s="535">
        <v>8.4747000000000003</v>
      </c>
      <c r="OA34" s="535">
        <v>8.7081</v>
      </c>
      <c r="OB34" s="535">
        <v>8.9536999999999995</v>
      </c>
      <c r="OC34" s="535">
        <v>8.8670000000000009</v>
      </c>
      <c r="OD34" s="535">
        <v>9.8149999999999995</v>
      </c>
      <c r="OE34" s="535">
        <v>10.111700000000001</v>
      </c>
      <c r="OF34" s="535">
        <v>10.029299999999999</v>
      </c>
      <c r="OG34" s="535">
        <v>9.9404000000000003</v>
      </c>
      <c r="OH34" s="535">
        <v>9.8103999999999996</v>
      </c>
      <c r="OI34" s="516">
        <v>28</v>
      </c>
      <c r="OJ34" s="536"/>
      <c r="OK34" s="536"/>
      <c r="OL34" s="516">
        <v>28</v>
      </c>
      <c r="OM34" s="535">
        <v>7.8205</v>
      </c>
      <c r="ON34" s="535">
        <v>7.7843999999999998</v>
      </c>
      <c r="OO34" s="535">
        <v>7.8905000000000003</v>
      </c>
      <c r="OP34" s="535">
        <v>7.8544999999999998</v>
      </c>
      <c r="OQ34" s="535">
        <v>7.9058999999999999</v>
      </c>
      <c r="OR34" s="535">
        <v>7.9577</v>
      </c>
      <c r="OS34" s="535">
        <v>7.8312999999999997</v>
      </c>
      <c r="OT34" s="535">
        <v>7.7637</v>
      </c>
      <c r="OU34" s="535">
        <v>7.8071999999999999</v>
      </c>
      <c r="OV34" s="535">
        <v>7.8272000000000004</v>
      </c>
      <c r="OW34" s="535">
        <v>8.1999999999999993</v>
      </c>
      <c r="OX34" s="535">
        <v>8.1647999999999996</v>
      </c>
      <c r="OY34" s="516">
        <v>28</v>
      </c>
      <c r="OZ34" s="536"/>
      <c r="PA34" s="536"/>
      <c r="PB34" s="516">
        <v>28</v>
      </c>
      <c r="PC34" s="535">
        <v>7.3867000000000003</v>
      </c>
      <c r="PD34" s="535">
        <v>7.5571000000000002</v>
      </c>
      <c r="PE34" s="535">
        <v>7.5437000000000003</v>
      </c>
      <c r="PF34" s="535">
        <v>7.3794000000000004</v>
      </c>
      <c r="PG34" s="535">
        <v>7.3987999999999996</v>
      </c>
      <c r="PH34" s="535">
        <v>7.6108000000000002</v>
      </c>
      <c r="PI34" s="535">
        <v>7.5903</v>
      </c>
      <c r="PJ34" s="535">
        <v>7.5019999999999998</v>
      </c>
      <c r="PK34" s="535">
        <v>7.5373999999999999</v>
      </c>
      <c r="PL34" s="535">
        <v>7.8296999999999999</v>
      </c>
      <c r="PM34" s="535">
        <v>7.875</v>
      </c>
      <c r="PN34" s="535">
        <v>7.8441999999999998</v>
      </c>
      <c r="PO34" s="516">
        <v>28</v>
      </c>
      <c r="PP34" s="536"/>
      <c r="PQ34" s="536"/>
      <c r="PR34" s="516">
        <v>28</v>
      </c>
      <c r="PS34" s="535">
        <v>5.69</v>
      </c>
      <c r="PT34" s="535">
        <v>5.8375000000000004</v>
      </c>
      <c r="PU34" s="535">
        <v>6.875</v>
      </c>
      <c r="PV34" s="535">
        <v>5.7850000000000001</v>
      </c>
      <c r="PW34" s="535">
        <v>6.0549999999999997</v>
      </c>
      <c r="PX34" s="535">
        <v>6.2549999999999999</v>
      </c>
      <c r="PY34" s="535">
        <v>6.12</v>
      </c>
      <c r="PZ34" s="535">
        <v>6.3167</v>
      </c>
      <c r="QA34" s="535">
        <v>6.3878000000000004</v>
      </c>
      <c r="QB34" s="535">
        <v>7.1666999999999996</v>
      </c>
      <c r="QC34" s="535">
        <v>7.6966999999999999</v>
      </c>
      <c r="QD34" s="535">
        <v>7.5533000000000001</v>
      </c>
      <c r="QE34" s="516">
        <v>28</v>
      </c>
      <c r="QF34" s="536"/>
      <c r="QG34" s="536"/>
      <c r="QH34" s="516">
        <v>28</v>
      </c>
      <c r="QI34" s="535">
        <v>3.1063999999999998</v>
      </c>
      <c r="QJ34" s="535">
        <v>3.2075</v>
      </c>
      <c r="QK34" s="535">
        <v>3.3353000000000002</v>
      </c>
      <c r="QL34" s="535">
        <v>3.298</v>
      </c>
      <c r="QM34" s="535">
        <v>3.3148</v>
      </c>
      <c r="QN34" s="535">
        <v>3.3902999999999999</v>
      </c>
      <c r="QO34" s="535">
        <v>3.4077999999999999</v>
      </c>
      <c r="QP34" s="535">
        <v>3.3671000000000002</v>
      </c>
      <c r="QQ34" s="535">
        <v>3.3733</v>
      </c>
      <c r="QR34" s="535">
        <v>3.4256000000000002</v>
      </c>
      <c r="QS34" s="535">
        <v>3.448</v>
      </c>
      <c r="QT34" s="535">
        <v>5.0999999999999996</v>
      </c>
      <c r="QU34" s="516">
        <v>28</v>
      </c>
      <c r="QV34" s="536"/>
      <c r="QW34" s="536"/>
      <c r="QX34" s="516">
        <v>28</v>
      </c>
      <c r="QY34" s="535">
        <v>3.0989</v>
      </c>
      <c r="QZ34" s="535">
        <v>3.0973999999999999</v>
      </c>
      <c r="RA34" s="535">
        <v>3.1114000000000002</v>
      </c>
      <c r="RB34" s="535">
        <v>3.0975999999999999</v>
      </c>
      <c r="RC34" s="535">
        <v>3.1294</v>
      </c>
      <c r="RD34" s="535">
        <v>3.1160000000000001</v>
      </c>
      <c r="RE34" s="535">
        <v>3.121</v>
      </c>
      <c r="RF34" s="535">
        <v>3.1116999999999999</v>
      </c>
      <c r="RG34" s="535">
        <v>3.1114000000000002</v>
      </c>
      <c r="RH34" s="535">
        <v>3.1135000000000002</v>
      </c>
      <c r="RI34" s="535">
        <v>3.1168</v>
      </c>
      <c r="RJ34" s="535">
        <v>3.1059000000000001</v>
      </c>
      <c r="RK34" s="516">
        <v>28</v>
      </c>
      <c r="RL34" s="536"/>
      <c r="RM34" s="536"/>
      <c r="RN34" s="516">
        <v>28</v>
      </c>
      <c r="RO34" s="535">
        <v>3.0790999999999999</v>
      </c>
      <c r="RP34" s="535">
        <v>3.0608</v>
      </c>
      <c r="RQ34" s="535">
        <v>3.0901999999999998</v>
      </c>
      <c r="RR34" s="535">
        <v>3.0758000000000001</v>
      </c>
      <c r="RS34" s="535">
        <v>3.1078999999999999</v>
      </c>
      <c r="RT34" s="535">
        <v>3.1225000000000001</v>
      </c>
      <c r="RU34" s="535">
        <v>3.11</v>
      </c>
      <c r="RV34" s="535">
        <v>3.0789</v>
      </c>
      <c r="RW34" s="535">
        <v>3.1040000000000001</v>
      </c>
      <c r="RX34" s="535">
        <v>3.1181000000000001</v>
      </c>
      <c r="RY34" s="535">
        <v>3.1158999999999999</v>
      </c>
      <c r="RZ34" s="535">
        <v>3.1194999999999999</v>
      </c>
      <c r="SA34" s="516">
        <v>28</v>
      </c>
      <c r="SB34" s="536"/>
      <c r="SC34" s="536"/>
      <c r="SD34" s="516">
        <v>28</v>
      </c>
      <c r="SE34" s="535">
        <v>2.9561999999999999</v>
      </c>
      <c r="SF34" s="535">
        <v>2.9693999999999998</v>
      </c>
      <c r="SG34" s="535">
        <v>2.9805999999999999</v>
      </c>
      <c r="SH34" s="535">
        <v>2.9925999999999999</v>
      </c>
      <c r="SI34" s="535">
        <v>3.0042</v>
      </c>
      <c r="SJ34" s="535">
        <v>3.0173999999999999</v>
      </c>
      <c r="SK34" s="535">
        <v>3.0289999999999999</v>
      </c>
      <c r="SL34" s="535">
        <v>3.0417999999999998</v>
      </c>
      <c r="SM34" s="535">
        <v>3.0558000000000001</v>
      </c>
      <c r="SN34" s="535">
        <v>3.0670000000000002</v>
      </c>
      <c r="SO34" s="535">
        <v>3.0760399999999999</v>
      </c>
      <c r="SP34" s="535">
        <v>3.0710000000000002</v>
      </c>
      <c r="SQ34" s="516">
        <v>28</v>
      </c>
      <c r="SR34" s="536"/>
      <c r="SS34" s="536"/>
      <c r="ST34" s="516">
        <v>28</v>
      </c>
      <c r="SU34" s="535">
        <v>2.669</v>
      </c>
      <c r="SV34" s="535">
        <v>2.7010000000000001</v>
      </c>
      <c r="SW34" s="535">
        <v>2.7290000000000001</v>
      </c>
      <c r="SX34" s="535">
        <v>2.76</v>
      </c>
      <c r="SY34" s="535">
        <v>2.7879999999999998</v>
      </c>
      <c r="SZ34" s="535">
        <v>2.8153999999999999</v>
      </c>
      <c r="TA34" s="535">
        <v>2.8393999999999999</v>
      </c>
      <c r="TB34" s="535">
        <v>2.8626</v>
      </c>
      <c r="TC34" s="535">
        <v>2.8889999999999998</v>
      </c>
      <c r="TD34" s="535">
        <v>2.9121999999999999</v>
      </c>
      <c r="TE34" s="535">
        <v>2.9325999999999999</v>
      </c>
      <c r="TF34" s="535">
        <v>2.9445999999999999</v>
      </c>
      <c r="TG34" s="516">
        <v>28</v>
      </c>
      <c r="TH34" s="536"/>
      <c r="TI34" s="536"/>
      <c r="TJ34" s="516">
        <v>28</v>
      </c>
      <c r="TK34" s="535">
        <v>2.3050000000000002</v>
      </c>
      <c r="TL34" s="535">
        <v>2.3340000000000001</v>
      </c>
      <c r="TM34" s="535">
        <v>2.3620000000000001</v>
      </c>
      <c r="TN34" s="535">
        <v>2.395</v>
      </c>
      <c r="TO34" s="535">
        <v>2.4239999999999999</v>
      </c>
      <c r="TP34" s="535">
        <v>2.456</v>
      </c>
      <c r="TQ34" s="535">
        <v>2.4860000000000002</v>
      </c>
      <c r="TR34" s="535">
        <v>2.5150000000000001</v>
      </c>
      <c r="TS34" s="535">
        <v>2.548</v>
      </c>
      <c r="TT34" s="535">
        <v>2.5779999999999998</v>
      </c>
      <c r="TU34" s="535">
        <v>2.6070000000000002</v>
      </c>
      <c r="TV34" s="535">
        <v>2.6389999999999998</v>
      </c>
      <c r="TW34" s="516">
        <v>28</v>
      </c>
    </row>
    <row r="35" spans="2:543" s="4" customFormat="1" ht="23" customHeight="1">
      <c r="B35" s="516">
        <v>29</v>
      </c>
      <c r="C35" s="549">
        <v>20.738299999999999</v>
      </c>
      <c r="D35" s="550"/>
      <c r="E35" s="549">
        <v>19.957699999999999</v>
      </c>
      <c r="F35" s="549">
        <v>20.470700000000001</v>
      </c>
      <c r="G35" s="549">
        <v>19.793299999999999</v>
      </c>
      <c r="H35" s="549">
        <v>19.8797</v>
      </c>
      <c r="I35" s="549">
        <v>20.512</v>
      </c>
      <c r="J35" s="549">
        <v>19.9437</v>
      </c>
      <c r="K35" s="549">
        <v>20.356999999999999</v>
      </c>
      <c r="L35" s="549">
        <v>19.836500000000001</v>
      </c>
      <c r="M35" s="662">
        <f t="shared" si="9"/>
        <v>19.746300000000002</v>
      </c>
      <c r="N35" s="662">
        <f t="shared" si="8"/>
        <v>19.746300000000002</v>
      </c>
      <c r="O35" s="516">
        <v>29</v>
      </c>
      <c r="R35" s="516">
        <v>29</v>
      </c>
      <c r="S35" s="549">
        <v>20.216799999999999</v>
      </c>
      <c r="T35" s="550"/>
      <c r="U35" s="549">
        <v>20.766200000000001</v>
      </c>
      <c r="V35" s="549">
        <v>19.9785</v>
      </c>
      <c r="W35" s="549">
        <v>19.948699999999999</v>
      </c>
      <c r="X35" s="549">
        <v>19.792999999999999</v>
      </c>
      <c r="Y35" s="549">
        <v>19.977</v>
      </c>
      <c r="Z35" s="549">
        <v>20.3522</v>
      </c>
      <c r="AA35" s="549">
        <v>20.1052</v>
      </c>
      <c r="AB35" s="549">
        <v>20.193000000000001</v>
      </c>
      <c r="AC35" s="549">
        <v>21.546199999999999</v>
      </c>
      <c r="AD35" s="549">
        <v>20.6828</v>
      </c>
      <c r="AE35" s="516">
        <v>29</v>
      </c>
      <c r="AH35" s="516">
        <v>29</v>
      </c>
      <c r="AI35" s="549">
        <v>18.9407</v>
      </c>
      <c r="AJ35" s="549">
        <v>19.397300000000001</v>
      </c>
      <c r="AK35" s="549">
        <v>23.097000000000001</v>
      </c>
      <c r="AL35" s="549">
        <v>24.8492</v>
      </c>
      <c r="AM35" s="549">
        <v>22.363299999999999</v>
      </c>
      <c r="AN35" s="549">
        <v>22.796299999999999</v>
      </c>
      <c r="AO35" s="549">
        <v>22.0275</v>
      </c>
      <c r="AP35" s="549">
        <v>22.116800000000001</v>
      </c>
      <c r="AQ35" s="549">
        <v>22.440200000000001</v>
      </c>
      <c r="AR35" s="549">
        <v>20.879799999999999</v>
      </c>
      <c r="AS35" s="549">
        <v>20.046700000000001</v>
      </c>
      <c r="AT35" s="549">
        <v>19.851700000000001</v>
      </c>
      <c r="AU35" s="516">
        <v>29</v>
      </c>
      <c r="AX35" s="516">
        <v>29</v>
      </c>
      <c r="AY35" s="535">
        <v>18.928000000000001</v>
      </c>
      <c r="AZ35" s="540"/>
      <c r="BA35" s="535">
        <v>19.3201</v>
      </c>
      <c r="BB35" s="535">
        <v>19.094200000000001</v>
      </c>
      <c r="BC35" s="535">
        <v>19.052099999999999</v>
      </c>
      <c r="BD35" s="535">
        <v>19.168500000000002</v>
      </c>
      <c r="BE35" s="535">
        <v>19.0623</v>
      </c>
      <c r="BF35" s="535">
        <v>19.993400000000001</v>
      </c>
      <c r="BG35" s="535">
        <v>19.636299999999999</v>
      </c>
      <c r="BH35" s="535">
        <v>19.082000000000001</v>
      </c>
      <c r="BI35" s="535">
        <v>19.560700000000001</v>
      </c>
      <c r="BJ35" s="535">
        <v>18.944500000000001</v>
      </c>
      <c r="BK35" s="516">
        <v>29</v>
      </c>
      <c r="BN35" s="516">
        <v>29</v>
      </c>
      <c r="BO35" s="537">
        <v>18.478000000000002</v>
      </c>
      <c r="BP35" s="540"/>
      <c r="BQ35" s="535">
        <v>18.3445</v>
      </c>
      <c r="BR35" s="535">
        <v>18.8644</v>
      </c>
      <c r="BS35" s="535">
        <v>19.5608</v>
      </c>
      <c r="BT35" s="535">
        <v>20.055299999999999</v>
      </c>
      <c r="BU35" s="535">
        <v>18.6234</v>
      </c>
      <c r="BV35" s="535">
        <v>18.669699999999999</v>
      </c>
      <c r="BW35" s="535">
        <v>18.812000000000001</v>
      </c>
      <c r="BX35" s="535">
        <v>19.438300000000002</v>
      </c>
      <c r="BY35" s="535">
        <v>20.497699999999998</v>
      </c>
      <c r="BZ35" s="535">
        <v>19.6829</v>
      </c>
      <c r="CA35" s="516">
        <v>29</v>
      </c>
      <c r="CD35" s="516">
        <v>29</v>
      </c>
      <c r="CE35" s="537">
        <v>21.202400000000001</v>
      </c>
      <c r="CF35" s="540"/>
      <c r="CG35" s="535">
        <v>18.866099999999999</v>
      </c>
      <c r="CH35" s="535">
        <v>19.067</v>
      </c>
      <c r="CI35" s="535">
        <v>18.418500000000002</v>
      </c>
      <c r="CJ35" s="535">
        <v>17.9862</v>
      </c>
      <c r="CK35" s="535">
        <v>17.688600000000001</v>
      </c>
      <c r="CL35" s="535">
        <v>17.6205</v>
      </c>
      <c r="CM35" s="535">
        <v>18.13</v>
      </c>
      <c r="CN35" s="535">
        <v>19.096</v>
      </c>
      <c r="CO35" s="535">
        <v>18.52</v>
      </c>
      <c r="CP35" s="535">
        <v>19.7867</v>
      </c>
      <c r="CQ35" s="516">
        <v>29</v>
      </c>
      <c r="CT35" s="516">
        <v>29</v>
      </c>
      <c r="CU35" s="537">
        <v>18.452999999999999</v>
      </c>
      <c r="CV35" s="540">
        <v>18.167999999999999</v>
      </c>
      <c r="CW35" s="535">
        <v>17.5273</v>
      </c>
      <c r="CX35" s="535">
        <v>17.3993</v>
      </c>
      <c r="CY35" s="535">
        <v>18.4572</v>
      </c>
      <c r="CZ35" s="535">
        <v>19.128299999999999</v>
      </c>
      <c r="DA35" s="535">
        <v>18.860199999999999</v>
      </c>
      <c r="DB35" s="535">
        <v>18.446000000000002</v>
      </c>
      <c r="DC35" s="535">
        <v>19.5044</v>
      </c>
      <c r="DD35" s="535">
        <v>18.8443</v>
      </c>
      <c r="DE35" s="535">
        <v>20.647500000000001</v>
      </c>
      <c r="DF35" s="535">
        <v>20.705200000000001</v>
      </c>
      <c r="DG35" s="516">
        <v>29</v>
      </c>
      <c r="DJ35" s="516">
        <v>29</v>
      </c>
      <c r="DK35" s="537">
        <v>14.587199999999999</v>
      </c>
      <c r="DL35" s="540"/>
      <c r="DM35" s="535">
        <v>15.105600000000001</v>
      </c>
      <c r="DN35" s="535">
        <v>15.321300000000001</v>
      </c>
      <c r="DO35" s="535">
        <v>15.3581</v>
      </c>
      <c r="DP35" s="535">
        <v>15.4816</v>
      </c>
      <c r="DQ35" s="535">
        <v>16.2681</v>
      </c>
      <c r="DR35" s="535">
        <v>17.1065</v>
      </c>
      <c r="DS35" s="535">
        <v>16.959499999999998</v>
      </c>
      <c r="DT35" s="535">
        <v>16.554500000000001</v>
      </c>
      <c r="DU35" s="535">
        <v>16.549199999999999</v>
      </c>
      <c r="DV35" s="535">
        <v>17.276</v>
      </c>
      <c r="DW35" s="516">
        <v>29</v>
      </c>
      <c r="DZ35" s="516">
        <v>29</v>
      </c>
      <c r="EA35" s="537">
        <v>13.440799999999999</v>
      </c>
      <c r="EB35" s="540"/>
      <c r="EC35" s="535">
        <v>13.0837</v>
      </c>
      <c r="ED35" s="535">
        <v>13.1371</v>
      </c>
      <c r="EE35" s="535">
        <v>12.8772</v>
      </c>
      <c r="EF35" s="535">
        <v>13.032299999999999</v>
      </c>
      <c r="EG35" s="535">
        <v>12.9445</v>
      </c>
      <c r="EH35" s="535">
        <v>13.081099999999999</v>
      </c>
      <c r="EI35" s="535">
        <v>13.3848</v>
      </c>
      <c r="EJ35" s="535">
        <v>13.5701</v>
      </c>
      <c r="EK35" s="535">
        <v>13.7667</v>
      </c>
      <c r="EL35" s="535">
        <v>14.742900000000001</v>
      </c>
      <c r="EM35" s="516">
        <v>29</v>
      </c>
      <c r="EP35" s="516">
        <v>29</v>
      </c>
      <c r="EQ35" s="537">
        <v>12.699299999999999</v>
      </c>
      <c r="ER35" s="540"/>
      <c r="ES35" s="535">
        <v>12.3546</v>
      </c>
      <c r="ET35" s="535">
        <v>12.123100000000001</v>
      </c>
      <c r="EU35" s="535">
        <v>12.4831</v>
      </c>
      <c r="EV35" s="535">
        <v>13.0235</v>
      </c>
      <c r="EW35" s="535">
        <v>12.646800000000001</v>
      </c>
      <c r="EX35" s="535">
        <v>13.336600000000001</v>
      </c>
      <c r="EY35" s="535">
        <v>13.011900000000001</v>
      </c>
      <c r="EZ35" s="535">
        <v>12.869300000000001</v>
      </c>
      <c r="FA35" s="535">
        <v>13.092499999999999</v>
      </c>
      <c r="FB35" s="535">
        <v>13.0547</v>
      </c>
      <c r="FC35" s="516">
        <v>29</v>
      </c>
      <c r="FF35" s="516">
        <v>29</v>
      </c>
      <c r="FG35" s="535">
        <v>12.932499999999999</v>
      </c>
      <c r="FH35" s="535">
        <v>12.8779</v>
      </c>
      <c r="FI35" s="535">
        <v>12.6706</v>
      </c>
      <c r="FJ35" s="535">
        <v>13.209300000000001</v>
      </c>
      <c r="FK35" s="535">
        <v>14.015599999999999</v>
      </c>
      <c r="FL35" s="535">
        <v>13.6652</v>
      </c>
      <c r="FM35" s="535">
        <v>13.442500000000001</v>
      </c>
      <c r="FN35" s="535">
        <v>13.170299999999999</v>
      </c>
      <c r="FO35" s="535">
        <v>12.8521</v>
      </c>
      <c r="FP35" s="535">
        <v>12.966900000000001</v>
      </c>
      <c r="FQ35" s="535">
        <v>12.9861</v>
      </c>
      <c r="FR35" s="535">
        <v>13.0101</v>
      </c>
      <c r="FS35" s="516">
        <v>29</v>
      </c>
      <c r="FV35" s="516">
        <v>29</v>
      </c>
      <c r="FW35" s="537">
        <v>12.023899999999999</v>
      </c>
      <c r="FX35" s="540"/>
      <c r="FY35" s="535">
        <v>11.9505</v>
      </c>
      <c r="FZ35" s="535">
        <v>11.5868</v>
      </c>
      <c r="GA35" s="535">
        <v>11.695600000000001</v>
      </c>
      <c r="GB35" s="535">
        <v>11.893800000000001</v>
      </c>
      <c r="GC35" s="535">
        <v>11.652699999999999</v>
      </c>
      <c r="GD35" s="535">
        <v>12.4259</v>
      </c>
      <c r="GE35" s="535">
        <v>13.3414</v>
      </c>
      <c r="GF35" s="535">
        <v>13.1973</v>
      </c>
      <c r="GG35" s="535">
        <v>14.244300000000001</v>
      </c>
      <c r="GH35" s="535">
        <v>13.9658</v>
      </c>
      <c r="GI35" s="516">
        <v>29</v>
      </c>
      <c r="GL35" s="516">
        <v>29</v>
      </c>
      <c r="GM35" s="537">
        <v>12.929500000000001</v>
      </c>
      <c r="GN35" s="540"/>
      <c r="GO35" s="535">
        <v>12.5009</v>
      </c>
      <c r="GP35" s="535">
        <v>12.2278</v>
      </c>
      <c r="GQ35" s="535">
        <v>12.884600000000001</v>
      </c>
      <c r="GR35" s="535">
        <v>12.7042</v>
      </c>
      <c r="GS35" s="535">
        <v>12.6469</v>
      </c>
      <c r="GT35" s="535">
        <v>12.984</v>
      </c>
      <c r="GU35" s="535">
        <v>12.5168</v>
      </c>
      <c r="GV35" s="535">
        <v>12.477600000000001</v>
      </c>
      <c r="GW35" s="535">
        <v>12.366899999999999</v>
      </c>
      <c r="GX35" s="535">
        <v>12.3653</v>
      </c>
      <c r="GY35" s="516">
        <v>29</v>
      </c>
      <c r="HB35" s="516">
        <v>29</v>
      </c>
      <c r="HC35" s="537">
        <v>14.1675</v>
      </c>
      <c r="HD35" s="540"/>
      <c r="HE35" s="535">
        <v>14.2163</v>
      </c>
      <c r="HF35" s="535">
        <v>13.755000000000001</v>
      </c>
      <c r="HG35" s="535">
        <v>13.159000000000001</v>
      </c>
      <c r="HH35" s="535">
        <v>13.277799999999999</v>
      </c>
      <c r="HI35" s="535">
        <v>13.216699999999999</v>
      </c>
      <c r="HJ35" s="535">
        <v>13.2462</v>
      </c>
      <c r="HK35" s="535">
        <v>13.5243</v>
      </c>
      <c r="HL35" s="535">
        <v>13.2662</v>
      </c>
      <c r="HM35" s="535">
        <v>12.9475</v>
      </c>
      <c r="HN35" s="535">
        <v>12.879300000000001</v>
      </c>
      <c r="HO35" s="516">
        <v>29</v>
      </c>
      <c r="HP35" s="536"/>
      <c r="HQ35" s="536"/>
      <c r="HR35" s="516">
        <v>29</v>
      </c>
      <c r="HS35" s="537">
        <v>10.8698</v>
      </c>
      <c r="HT35" s="540">
        <v>10.734400000000001</v>
      </c>
      <c r="HU35" s="535">
        <v>10.696199999999999</v>
      </c>
      <c r="HV35" s="535">
        <v>10.4702</v>
      </c>
      <c r="HW35" s="535">
        <v>10.3925</v>
      </c>
      <c r="HX35" s="535">
        <v>10.2841</v>
      </c>
      <c r="HY35" s="535">
        <v>10.019</v>
      </c>
      <c r="HZ35" s="535">
        <v>10.142099999999999</v>
      </c>
      <c r="IA35" s="535">
        <v>10.7653</v>
      </c>
      <c r="IB35" s="535">
        <v>13.308299999999999</v>
      </c>
      <c r="IC35" s="535">
        <v>13.2325</v>
      </c>
      <c r="ID35" s="535">
        <v>13.311400000000001</v>
      </c>
      <c r="IE35" s="516">
        <v>29</v>
      </c>
      <c r="IF35" s="536"/>
      <c r="IG35" s="536"/>
      <c r="IH35" s="516">
        <v>29</v>
      </c>
      <c r="II35" s="537">
        <v>10.975300000000001</v>
      </c>
      <c r="IJ35" s="540"/>
      <c r="IK35" s="535">
        <v>11.047000000000001</v>
      </c>
      <c r="IL35" s="535">
        <v>10.9312</v>
      </c>
      <c r="IM35" s="535">
        <v>10.7803</v>
      </c>
      <c r="IN35" s="535">
        <v>10.866099999999999</v>
      </c>
      <c r="IO35" s="535">
        <v>10.9436</v>
      </c>
      <c r="IP35" s="535">
        <v>11.0382</v>
      </c>
      <c r="IQ35" s="535">
        <v>10.920299999999999</v>
      </c>
      <c r="IR35" s="535">
        <v>10.8291</v>
      </c>
      <c r="IS35" s="535">
        <v>10.9695</v>
      </c>
      <c r="IT35" s="535">
        <v>10.866199999999999</v>
      </c>
      <c r="IU35" s="516">
        <v>29</v>
      </c>
      <c r="IV35" s="536"/>
      <c r="IW35" s="536"/>
      <c r="IX35" s="516">
        <v>29</v>
      </c>
      <c r="IY35" s="537">
        <v>10.5039</v>
      </c>
      <c r="IZ35" s="540"/>
      <c r="JA35" s="535">
        <v>10.9329</v>
      </c>
      <c r="JB35" s="535">
        <v>11.1135</v>
      </c>
      <c r="JC35" s="535">
        <v>11.2097</v>
      </c>
      <c r="JD35" s="535">
        <v>11.430199999999999</v>
      </c>
      <c r="JE35" s="535">
        <v>10.896800000000001</v>
      </c>
      <c r="JF35" s="535">
        <v>10.9528</v>
      </c>
      <c r="JG35" s="535">
        <v>11.0152</v>
      </c>
      <c r="JH35" s="535">
        <v>10.731299999999999</v>
      </c>
      <c r="JI35" s="535">
        <v>11.052</v>
      </c>
      <c r="JJ35" s="535">
        <v>10.881</v>
      </c>
      <c r="JK35" s="516">
        <v>29</v>
      </c>
      <c r="JL35" s="536"/>
      <c r="JM35" s="536"/>
      <c r="JN35" s="516">
        <v>29</v>
      </c>
      <c r="JO35" s="537">
        <v>11.299099999999999</v>
      </c>
      <c r="JP35" s="540"/>
      <c r="JQ35" s="535">
        <v>11.250500000000001</v>
      </c>
      <c r="JR35" s="535">
        <v>11.103300000000001</v>
      </c>
      <c r="JS35" s="535">
        <v>10.964499999999999</v>
      </c>
      <c r="JT35" s="535">
        <v>10.8127</v>
      </c>
      <c r="JU35" s="535">
        <v>10.643000000000001</v>
      </c>
      <c r="JV35" s="535">
        <v>10.815300000000001</v>
      </c>
      <c r="JW35" s="535">
        <v>10.885999999999999</v>
      </c>
      <c r="JX35" s="535">
        <v>10.9092</v>
      </c>
      <c r="JY35" s="535">
        <v>10.606999999999999</v>
      </c>
      <c r="JZ35" s="535">
        <v>10.7362</v>
      </c>
      <c r="KA35" s="516">
        <v>29</v>
      </c>
      <c r="KB35" s="536"/>
      <c r="KC35" s="536"/>
      <c r="KD35" s="516">
        <v>29</v>
      </c>
      <c r="KE35" s="537">
        <v>10.8789</v>
      </c>
      <c r="KF35" s="540">
        <v>11.0715</v>
      </c>
      <c r="KG35" s="535">
        <v>11.013</v>
      </c>
      <c r="KH35" s="535">
        <v>11.3109</v>
      </c>
      <c r="KI35" s="535">
        <v>11.451499999999999</v>
      </c>
      <c r="KJ35" s="535">
        <v>11.317500000000001</v>
      </c>
      <c r="KK35" s="535">
        <v>11.511100000000001</v>
      </c>
      <c r="KL35" s="535">
        <v>11.366</v>
      </c>
      <c r="KM35" s="535">
        <v>11.434799999999999</v>
      </c>
      <c r="KN35" s="535">
        <v>11.511799999999999</v>
      </c>
      <c r="KO35" s="535">
        <v>11.2713</v>
      </c>
      <c r="KP35" s="535">
        <v>11.1348</v>
      </c>
      <c r="KQ35" s="516">
        <v>29</v>
      </c>
      <c r="KR35" s="536"/>
      <c r="KS35" s="536"/>
      <c r="KT35" s="516">
        <v>29</v>
      </c>
      <c r="KU35" s="537">
        <v>10.887499999999999</v>
      </c>
      <c r="KV35" s="540"/>
      <c r="KW35" s="535">
        <v>10.767099999999999</v>
      </c>
      <c r="KX35" s="535">
        <v>10.431800000000001</v>
      </c>
      <c r="KY35" s="535">
        <v>10.316599999999999</v>
      </c>
      <c r="KZ35" s="535">
        <v>10.4808</v>
      </c>
      <c r="LA35" s="535">
        <v>10.509499999999999</v>
      </c>
      <c r="LB35" s="535">
        <v>10.9337</v>
      </c>
      <c r="LC35" s="535">
        <v>10.811500000000001</v>
      </c>
      <c r="LD35" s="535">
        <v>11.1068</v>
      </c>
      <c r="LE35" s="535">
        <v>11.3385</v>
      </c>
      <c r="LF35" s="535">
        <v>11.2744</v>
      </c>
      <c r="LG35" s="516">
        <v>29</v>
      </c>
      <c r="LH35" s="536"/>
      <c r="LI35" s="536"/>
      <c r="LJ35" s="516">
        <v>29</v>
      </c>
      <c r="LK35" s="537">
        <v>9.1295000000000002</v>
      </c>
      <c r="LL35" s="540"/>
      <c r="LM35" s="535">
        <v>9.0243000000000002</v>
      </c>
      <c r="LN35" s="535">
        <v>9.3528000000000002</v>
      </c>
      <c r="LO35" s="535">
        <v>9.57</v>
      </c>
      <c r="LP35" s="535">
        <v>9.9614999999999991</v>
      </c>
      <c r="LQ35" s="535">
        <v>9.7157999999999998</v>
      </c>
      <c r="LR35" s="535">
        <v>9.8543000000000003</v>
      </c>
      <c r="LS35" s="535">
        <v>10.166700000000001</v>
      </c>
      <c r="LT35" s="535">
        <v>9.9816000000000003</v>
      </c>
      <c r="LU35" s="535">
        <v>10.1496</v>
      </c>
      <c r="LV35" s="535">
        <v>10.2479</v>
      </c>
      <c r="LW35" s="516">
        <v>29</v>
      </c>
      <c r="LX35" s="536"/>
      <c r="LY35" s="536"/>
      <c r="LZ35" s="516">
        <v>29</v>
      </c>
      <c r="MA35" s="537">
        <v>9.6829999999999998</v>
      </c>
      <c r="MB35" s="540"/>
      <c r="MC35" s="535">
        <v>9.5138999999999996</v>
      </c>
      <c r="MD35" s="535">
        <v>9.2670999999999992</v>
      </c>
      <c r="ME35" s="535">
        <v>9.0945</v>
      </c>
      <c r="MF35" s="535">
        <v>9.0608000000000004</v>
      </c>
      <c r="MG35" s="535">
        <v>9.157</v>
      </c>
      <c r="MH35" s="535">
        <v>9.1122999999999994</v>
      </c>
      <c r="MI35" s="535">
        <v>9.5541999999999998</v>
      </c>
      <c r="MJ35" s="535">
        <v>9.2469000000000001</v>
      </c>
      <c r="MK35" s="535">
        <v>9.2371999999999996</v>
      </c>
      <c r="ML35" s="535">
        <v>9.1423000000000005</v>
      </c>
      <c r="MM35" s="516">
        <v>29</v>
      </c>
      <c r="MN35" s="536"/>
      <c r="MO35" s="536"/>
      <c r="MP35" s="516">
        <v>29</v>
      </c>
      <c r="MQ35" s="537">
        <v>9.5122999999999998</v>
      </c>
      <c r="MR35" s="540">
        <v>9.3748000000000005</v>
      </c>
      <c r="MS35" s="535">
        <v>9.1775000000000002</v>
      </c>
      <c r="MT35" s="535">
        <v>9.4520999999999997</v>
      </c>
      <c r="MU35" s="535">
        <v>9.4939999999999998</v>
      </c>
      <c r="MV35" s="535">
        <v>10.0787</v>
      </c>
      <c r="MW35" s="535">
        <v>9.3610000000000007</v>
      </c>
      <c r="MX35" s="535">
        <v>9.2341999999999995</v>
      </c>
      <c r="MY35" s="535">
        <v>9.4087999999999994</v>
      </c>
      <c r="MZ35" s="535">
        <v>9.6776999999999997</v>
      </c>
      <c r="NA35" s="535">
        <v>9.3691999999999993</v>
      </c>
      <c r="NB35" s="535">
        <v>9.5722000000000005</v>
      </c>
      <c r="NC35" s="516">
        <v>29</v>
      </c>
      <c r="ND35" s="536"/>
      <c r="NE35" s="536"/>
      <c r="NF35" s="516">
        <v>29</v>
      </c>
      <c r="NG35" s="537">
        <v>10.1745</v>
      </c>
      <c r="NH35" s="540"/>
      <c r="NI35" s="535">
        <v>9.6454000000000004</v>
      </c>
      <c r="NJ35" s="535">
        <v>9.3285</v>
      </c>
      <c r="NK35" s="535">
        <v>9.7498000000000005</v>
      </c>
      <c r="NL35" s="535">
        <v>9.4717000000000002</v>
      </c>
      <c r="NM35" s="535">
        <v>9.3680000000000003</v>
      </c>
      <c r="NN35" s="535">
        <v>9.3393999999999995</v>
      </c>
      <c r="NO35" s="535">
        <v>9.3157999999999994</v>
      </c>
      <c r="NP35" s="535">
        <v>9.6503999999999994</v>
      </c>
      <c r="NQ35" s="535">
        <v>9.2944999999999993</v>
      </c>
      <c r="NR35" s="535">
        <v>9.4632000000000005</v>
      </c>
      <c r="NS35" s="516">
        <v>29</v>
      </c>
      <c r="NT35" s="536"/>
      <c r="NU35" s="536"/>
      <c r="NV35" s="516">
        <v>29</v>
      </c>
      <c r="NW35" s="537">
        <v>8.2661999999999995</v>
      </c>
      <c r="NX35" s="540"/>
      <c r="NY35" s="535">
        <v>8.5251999999999999</v>
      </c>
      <c r="NZ35" s="535">
        <v>8.5190000000000001</v>
      </c>
      <c r="OA35" s="535">
        <v>8.8802000000000003</v>
      </c>
      <c r="OB35" s="535">
        <v>8.9536999999999995</v>
      </c>
      <c r="OC35" s="535">
        <v>8.8930000000000007</v>
      </c>
      <c r="OD35" s="535">
        <v>9.9600000000000009</v>
      </c>
      <c r="OE35" s="535">
        <v>10.2438</v>
      </c>
      <c r="OF35" s="535">
        <v>10.148999999999999</v>
      </c>
      <c r="OG35" s="535">
        <v>9.9404000000000003</v>
      </c>
      <c r="OH35" s="535">
        <v>9.8821999999999992</v>
      </c>
      <c r="OI35" s="516">
        <v>29</v>
      </c>
      <c r="OJ35" s="536"/>
      <c r="OK35" s="536"/>
      <c r="OL35" s="516">
        <v>29</v>
      </c>
      <c r="OM35" s="537">
        <v>7.8311999999999999</v>
      </c>
      <c r="ON35" s="540"/>
      <c r="OO35" s="535">
        <v>7.8905000000000003</v>
      </c>
      <c r="OP35" s="535">
        <v>7.8917000000000002</v>
      </c>
      <c r="OQ35" s="535">
        <v>7.9263000000000003</v>
      </c>
      <c r="OR35" s="535">
        <v>7.9577</v>
      </c>
      <c r="OS35" s="535">
        <v>7.7717000000000001</v>
      </c>
      <c r="OT35" s="535">
        <v>7.7548000000000004</v>
      </c>
      <c r="OU35" s="535">
        <v>7.8071999999999999</v>
      </c>
      <c r="OV35" s="535">
        <v>8.14</v>
      </c>
      <c r="OW35" s="535">
        <v>8.2164999999999999</v>
      </c>
      <c r="OX35" s="535">
        <v>8.1647999999999996</v>
      </c>
      <c r="OY35" s="516">
        <v>29</v>
      </c>
      <c r="OZ35" s="536"/>
      <c r="PA35" s="536"/>
      <c r="PB35" s="516">
        <v>29</v>
      </c>
      <c r="PC35" s="537">
        <v>7.3867000000000003</v>
      </c>
      <c r="PD35" s="540">
        <v>7.5389999999999997</v>
      </c>
      <c r="PE35" s="535">
        <v>7.5479000000000003</v>
      </c>
      <c r="PF35" s="535">
        <v>7.3794000000000004</v>
      </c>
      <c r="PG35" s="535">
        <v>7.3840000000000003</v>
      </c>
      <c r="PH35" s="535">
        <v>7.6322999999999999</v>
      </c>
      <c r="PI35" s="535">
        <v>7.5903</v>
      </c>
      <c r="PJ35" s="535">
        <v>7.5163000000000002</v>
      </c>
      <c r="PK35" s="535">
        <v>7.5373999999999999</v>
      </c>
      <c r="PL35" s="535">
        <v>7.9550000000000001</v>
      </c>
      <c r="PM35" s="535">
        <v>7.87</v>
      </c>
      <c r="PN35" s="535">
        <v>7.8441999999999998</v>
      </c>
      <c r="PO35" s="516">
        <v>29</v>
      </c>
      <c r="PP35" s="536"/>
      <c r="PQ35" s="536"/>
      <c r="PR35" s="516">
        <v>29</v>
      </c>
      <c r="PS35" s="537">
        <v>5.69</v>
      </c>
      <c r="PT35" s="540"/>
      <c r="PU35" s="535">
        <v>6.7275</v>
      </c>
      <c r="PV35" s="535">
        <v>5.8982999999999999</v>
      </c>
      <c r="PW35" s="535">
        <v>6.0549999999999997</v>
      </c>
      <c r="PX35" s="535">
        <v>6.2717000000000001</v>
      </c>
      <c r="PY35" s="535">
        <v>6.0881999999999996</v>
      </c>
      <c r="PZ35" s="535">
        <v>6.3342000000000001</v>
      </c>
      <c r="QA35" s="535">
        <v>6.4195000000000002</v>
      </c>
      <c r="QB35" s="535">
        <v>7.1666999999999996</v>
      </c>
      <c r="QC35" s="535">
        <v>7.6783000000000001</v>
      </c>
      <c r="QD35" s="535">
        <v>7.6425000000000001</v>
      </c>
      <c r="QE35" s="516">
        <v>29</v>
      </c>
      <c r="QF35" s="536"/>
      <c r="QG35" s="536"/>
      <c r="QH35" s="516">
        <v>29</v>
      </c>
      <c r="QI35" s="537">
        <v>3.1063000000000001</v>
      </c>
      <c r="QJ35" s="540"/>
      <c r="QK35" s="535">
        <v>3.3586</v>
      </c>
      <c r="QL35" s="535">
        <v>3.2673000000000001</v>
      </c>
      <c r="QM35" s="535">
        <v>3.3148</v>
      </c>
      <c r="QN35" s="535">
        <v>3.3917999999999999</v>
      </c>
      <c r="QO35" s="535">
        <v>3.4018999999999999</v>
      </c>
      <c r="QP35" s="535">
        <v>3.3671000000000002</v>
      </c>
      <c r="QQ35" s="535">
        <v>3.3908</v>
      </c>
      <c r="QR35" s="535">
        <v>3.43</v>
      </c>
      <c r="QS35" s="535">
        <v>3.4481000000000002</v>
      </c>
      <c r="QT35" s="535">
        <v>5.7625000000000002</v>
      </c>
      <c r="QU35" s="516">
        <v>29</v>
      </c>
      <c r="QV35" s="536"/>
      <c r="QW35" s="536"/>
      <c r="QX35" s="516">
        <v>29</v>
      </c>
      <c r="QY35" s="537">
        <v>3.0939000000000001</v>
      </c>
      <c r="QZ35" s="540"/>
      <c r="RA35" s="535">
        <v>3.1114000000000002</v>
      </c>
      <c r="RB35" s="535">
        <v>3.0960999999999999</v>
      </c>
      <c r="RC35" s="535">
        <v>3.1227</v>
      </c>
      <c r="RD35" s="535">
        <v>3.1194999999999999</v>
      </c>
      <c r="RE35" s="535">
        <v>3.1208999999999998</v>
      </c>
      <c r="RF35" s="535">
        <v>3.1116999999999999</v>
      </c>
      <c r="RG35" s="535">
        <v>3.1198999999999999</v>
      </c>
      <c r="RH35" s="535">
        <v>3.1175999999999999</v>
      </c>
      <c r="RI35" s="535">
        <v>3.1168</v>
      </c>
      <c r="RJ35" s="535">
        <v>3.1055999999999999</v>
      </c>
      <c r="RK35" s="516">
        <v>29</v>
      </c>
      <c r="RL35" s="536"/>
      <c r="RM35" s="536"/>
      <c r="RN35" s="516">
        <v>29</v>
      </c>
      <c r="RO35" s="537">
        <v>3.0687000000000002</v>
      </c>
      <c r="RP35" s="540">
        <v>3.0608</v>
      </c>
      <c r="RQ35" s="535">
        <v>3.0901999999999998</v>
      </c>
      <c r="RR35" s="535">
        <v>3.0764999999999998</v>
      </c>
      <c r="RS35" s="535">
        <v>3.1133999999999999</v>
      </c>
      <c r="RT35" s="535">
        <v>3.1225000000000001</v>
      </c>
      <c r="RU35" s="535">
        <v>3.1139000000000001</v>
      </c>
      <c r="RV35" s="535">
        <v>3.081</v>
      </c>
      <c r="RW35" s="535">
        <v>3.1071</v>
      </c>
      <c r="RX35" s="535">
        <v>3.1364000000000001</v>
      </c>
      <c r="RY35" s="535">
        <v>3.1158999999999999</v>
      </c>
      <c r="RZ35" s="535">
        <v>3.1133999999999999</v>
      </c>
      <c r="SA35" s="516">
        <v>29</v>
      </c>
      <c r="SB35" s="536"/>
      <c r="SC35" s="536"/>
      <c r="SD35" s="516">
        <v>29</v>
      </c>
      <c r="SE35" s="537">
        <v>2.9565999999999999</v>
      </c>
      <c r="SF35" s="540"/>
      <c r="SG35" s="535">
        <v>2.9809999999999999</v>
      </c>
      <c r="SH35" s="535">
        <v>2.9925999999999999</v>
      </c>
      <c r="SI35" s="535">
        <v>3.0053999999999998</v>
      </c>
      <c r="SJ35" s="535">
        <v>3.0177999999999998</v>
      </c>
      <c r="SK35" s="535">
        <v>3.0289999999999999</v>
      </c>
      <c r="SL35" s="535">
        <v>3.0421999999999998</v>
      </c>
      <c r="SM35" s="535">
        <v>3.0558000000000001</v>
      </c>
      <c r="SN35" s="535">
        <v>3.0674000000000001</v>
      </c>
      <c r="SO35" s="535">
        <v>3.0730599999999999</v>
      </c>
      <c r="SP35" s="535">
        <v>3.0710000000000002</v>
      </c>
      <c r="SQ35" s="516">
        <v>29</v>
      </c>
      <c r="SR35" s="536"/>
      <c r="SS35" s="536"/>
      <c r="ST35" s="516">
        <v>29</v>
      </c>
      <c r="SU35" s="537">
        <v>2.669</v>
      </c>
      <c r="SV35" s="540"/>
      <c r="SW35" s="535">
        <v>2.73</v>
      </c>
      <c r="SX35" s="535">
        <v>2.76</v>
      </c>
      <c r="SY35" s="535">
        <v>2.7890000000000001</v>
      </c>
      <c r="SZ35" s="535">
        <v>2.8161999999999998</v>
      </c>
      <c r="TA35" s="535">
        <v>2.8393999999999999</v>
      </c>
      <c r="TB35" s="535">
        <v>2.8650000000000002</v>
      </c>
      <c r="TC35" s="535">
        <v>2.8898000000000001</v>
      </c>
      <c r="TD35" s="535">
        <v>2.9121999999999999</v>
      </c>
      <c r="TE35" s="535">
        <v>2.9329999999999998</v>
      </c>
      <c r="TF35" s="535">
        <v>2.9449999999999998</v>
      </c>
      <c r="TG35" s="516">
        <v>29</v>
      </c>
      <c r="TH35" s="536"/>
      <c r="TI35" s="536"/>
      <c r="TJ35" s="516">
        <v>29</v>
      </c>
      <c r="TK35" s="537">
        <v>2.3050000000000002</v>
      </c>
      <c r="TL35" s="540"/>
      <c r="TM35" s="535">
        <v>2.3650000000000002</v>
      </c>
      <c r="TN35" s="535">
        <v>2.3959999999999999</v>
      </c>
      <c r="TO35" s="535">
        <v>2.4239999999999999</v>
      </c>
      <c r="TP35" s="535">
        <v>2.4569999999999999</v>
      </c>
      <c r="TQ35" s="535">
        <v>2.4870000000000001</v>
      </c>
      <c r="TR35" s="535">
        <v>2.516</v>
      </c>
      <c r="TS35" s="535">
        <v>2.5489999999999999</v>
      </c>
      <c r="TT35" s="535">
        <v>2.5779999999999998</v>
      </c>
      <c r="TU35" s="535">
        <v>2.61</v>
      </c>
      <c r="TV35" s="535">
        <v>2.64</v>
      </c>
      <c r="TW35" s="516">
        <v>29</v>
      </c>
    </row>
    <row r="36" spans="2:543" s="4" customFormat="1" ht="23" customHeight="1">
      <c r="B36" s="516">
        <v>30</v>
      </c>
      <c r="C36" s="549">
        <v>20.738299999999999</v>
      </c>
      <c r="D36" s="550"/>
      <c r="E36" s="549">
        <v>20.119499999999999</v>
      </c>
      <c r="F36" s="549">
        <v>20.567</v>
      </c>
      <c r="G36" s="549">
        <v>19.793299999999999</v>
      </c>
      <c r="H36" s="549">
        <v>19.9847</v>
      </c>
      <c r="I36" s="549">
        <v>20.377800000000001</v>
      </c>
      <c r="J36" s="549">
        <v>19.9268</v>
      </c>
      <c r="K36" s="549">
        <v>20.305800000000001</v>
      </c>
      <c r="L36" s="549">
        <v>19.836500000000001</v>
      </c>
      <c r="M36" s="662">
        <f t="shared" si="9"/>
        <v>19.746300000000002</v>
      </c>
      <c r="N36" s="662">
        <f t="shared" si="8"/>
        <v>19.746300000000002</v>
      </c>
      <c r="O36" s="516">
        <v>30</v>
      </c>
      <c r="R36" s="516">
        <v>30</v>
      </c>
      <c r="S36" s="549">
        <v>20.2697</v>
      </c>
      <c r="T36" s="550"/>
      <c r="U36" s="549">
        <v>20.567699999999999</v>
      </c>
      <c r="V36" s="549">
        <v>19.9712</v>
      </c>
      <c r="W36" s="549">
        <v>19.948699999999999</v>
      </c>
      <c r="X36" s="549">
        <v>19.802700000000002</v>
      </c>
      <c r="Y36" s="549">
        <v>19.953499999999998</v>
      </c>
      <c r="Z36" s="549">
        <v>20.3522</v>
      </c>
      <c r="AA36" s="549">
        <v>20.306000000000001</v>
      </c>
      <c r="AB36" s="549">
        <v>20.325500000000002</v>
      </c>
      <c r="AC36" s="549">
        <v>21.8185</v>
      </c>
      <c r="AD36" s="549">
        <v>20.577000000000002</v>
      </c>
      <c r="AE36" s="516">
        <v>30</v>
      </c>
      <c r="AH36" s="516">
        <v>30</v>
      </c>
      <c r="AI36" s="549">
        <v>18.802199999999999</v>
      </c>
      <c r="AJ36" s="550"/>
      <c r="AK36" s="549">
        <v>23.097000000000001</v>
      </c>
      <c r="AL36" s="549">
        <v>24.388200000000001</v>
      </c>
      <c r="AM36" s="549">
        <v>22.204000000000001</v>
      </c>
      <c r="AN36" s="549">
        <v>22.971499999999999</v>
      </c>
      <c r="AO36" s="549">
        <v>21.961500000000001</v>
      </c>
      <c r="AP36" s="549">
        <v>22.116800000000001</v>
      </c>
      <c r="AQ36" s="549">
        <v>22.4573</v>
      </c>
      <c r="AR36" s="549">
        <v>21.1648</v>
      </c>
      <c r="AS36" s="549">
        <v>20.046700000000001</v>
      </c>
      <c r="AT36" s="549">
        <v>20.047699999999999</v>
      </c>
      <c r="AU36" s="516">
        <v>30</v>
      </c>
      <c r="AX36" s="516">
        <v>30</v>
      </c>
      <c r="AY36" s="535">
        <v>19.0381</v>
      </c>
      <c r="AZ36" s="540"/>
      <c r="BA36" s="535">
        <v>19.379300000000001</v>
      </c>
      <c r="BB36" s="535">
        <v>18.941400000000002</v>
      </c>
      <c r="BC36" s="535">
        <v>19.165199999999999</v>
      </c>
      <c r="BD36" s="535">
        <v>19.168500000000002</v>
      </c>
      <c r="BE36" s="535">
        <v>19.069900000000001</v>
      </c>
      <c r="BF36" s="535">
        <v>20.031400000000001</v>
      </c>
      <c r="BG36" s="535">
        <v>19.636299999999999</v>
      </c>
      <c r="BH36" s="535">
        <v>19.054300000000001</v>
      </c>
      <c r="BI36" s="535">
        <v>19.6113</v>
      </c>
      <c r="BJ36" s="535">
        <v>18.944500000000001</v>
      </c>
      <c r="BK36" s="516">
        <v>30</v>
      </c>
      <c r="BN36" s="516">
        <v>30</v>
      </c>
      <c r="BO36" s="537">
        <v>18.467199999999998</v>
      </c>
      <c r="BP36" s="540"/>
      <c r="BQ36" s="535">
        <v>18.3445</v>
      </c>
      <c r="BR36" s="535">
        <v>18.8644</v>
      </c>
      <c r="BS36" s="535">
        <v>19.5915</v>
      </c>
      <c r="BT36" s="535">
        <v>19.863299999999999</v>
      </c>
      <c r="BU36" s="535">
        <v>18.6234</v>
      </c>
      <c r="BV36" s="535">
        <v>18.935400000000001</v>
      </c>
      <c r="BW36" s="535">
        <v>18.812000000000001</v>
      </c>
      <c r="BX36" s="535">
        <v>19.478999999999999</v>
      </c>
      <c r="BY36" s="535">
        <v>20.410799999999998</v>
      </c>
      <c r="BZ36" s="535">
        <v>19.6829</v>
      </c>
      <c r="CA36" s="516">
        <v>30</v>
      </c>
      <c r="CD36" s="516">
        <v>30</v>
      </c>
      <c r="CE36" s="537">
        <v>21.202400000000001</v>
      </c>
      <c r="CF36" s="540"/>
      <c r="CG36" s="535">
        <v>18.885300000000001</v>
      </c>
      <c r="CH36" s="535">
        <v>19.067</v>
      </c>
      <c r="CI36" s="535">
        <v>18.4849</v>
      </c>
      <c r="CJ36" s="535">
        <v>17.897300000000001</v>
      </c>
      <c r="CK36" s="535">
        <v>17.688600000000001</v>
      </c>
      <c r="CL36" s="535">
        <v>17.8049</v>
      </c>
      <c r="CM36" s="535">
        <v>18.197900000000001</v>
      </c>
      <c r="CN36" s="535">
        <v>19.096</v>
      </c>
      <c r="CO36" s="535">
        <v>18.584800000000001</v>
      </c>
      <c r="CP36" s="535">
        <v>19.735399999999998</v>
      </c>
      <c r="CQ36" s="516">
        <v>30</v>
      </c>
      <c r="CT36" s="516">
        <v>30</v>
      </c>
      <c r="CU36" s="537">
        <v>18.290600000000001</v>
      </c>
      <c r="CV36" s="540"/>
      <c r="CW36" s="535">
        <v>17.460999999999999</v>
      </c>
      <c r="CX36" s="535">
        <v>17.212499999999999</v>
      </c>
      <c r="CY36" s="535">
        <v>18.4572</v>
      </c>
      <c r="CZ36" s="535">
        <v>18.911300000000001</v>
      </c>
      <c r="DA36" s="535">
        <v>18.8979</v>
      </c>
      <c r="DB36" s="535">
        <v>18.283000000000001</v>
      </c>
      <c r="DC36" s="535">
        <v>19.5002</v>
      </c>
      <c r="DD36" s="535">
        <v>18.8443</v>
      </c>
      <c r="DE36" s="535">
        <v>20.552099999999999</v>
      </c>
      <c r="DF36" s="535">
        <v>20.731400000000001</v>
      </c>
      <c r="DG36" s="516">
        <v>30</v>
      </c>
      <c r="DJ36" s="516">
        <v>30</v>
      </c>
      <c r="DK36" s="537">
        <v>14.687799999999999</v>
      </c>
      <c r="DL36" s="540"/>
      <c r="DM36" s="535">
        <v>15.105600000000001</v>
      </c>
      <c r="DN36" s="535">
        <v>15.2225</v>
      </c>
      <c r="DO36" s="535">
        <v>15.373699999999999</v>
      </c>
      <c r="DP36" s="535">
        <v>15.567600000000001</v>
      </c>
      <c r="DQ36" s="535">
        <v>16.2638</v>
      </c>
      <c r="DR36" s="535">
        <v>17.1065</v>
      </c>
      <c r="DS36" s="535">
        <v>17.007300000000001</v>
      </c>
      <c r="DT36" s="535">
        <v>16.450299999999999</v>
      </c>
      <c r="DU36" s="535">
        <v>16.549199999999999</v>
      </c>
      <c r="DV36" s="535">
        <v>17.271000000000001</v>
      </c>
      <c r="DW36" s="516">
        <v>30</v>
      </c>
      <c r="DZ36" s="516">
        <v>30</v>
      </c>
      <c r="EA36" s="537">
        <v>13.3104</v>
      </c>
      <c r="EB36" s="540"/>
      <c r="EC36" s="535">
        <v>13.0837</v>
      </c>
      <c r="ED36" s="535">
        <v>13.1356</v>
      </c>
      <c r="EE36" s="535">
        <v>12.866</v>
      </c>
      <c r="EF36" s="535">
        <v>13.032299999999999</v>
      </c>
      <c r="EG36" s="535">
        <v>12.9878</v>
      </c>
      <c r="EH36" s="535">
        <v>13.110900000000001</v>
      </c>
      <c r="EI36" s="535">
        <v>13.4541</v>
      </c>
      <c r="EJ36" s="535">
        <v>13.484299999999999</v>
      </c>
      <c r="EK36" s="535">
        <v>13.7667</v>
      </c>
      <c r="EL36" s="535">
        <v>14.695499999999999</v>
      </c>
      <c r="EM36" s="516">
        <v>30</v>
      </c>
      <c r="EP36" s="516">
        <v>30</v>
      </c>
      <c r="EQ36" s="537">
        <v>12.780200000000001</v>
      </c>
      <c r="ER36" s="540"/>
      <c r="ES36" s="535">
        <v>12.3546</v>
      </c>
      <c r="ET36" s="535">
        <v>12.154999999999999</v>
      </c>
      <c r="EU36" s="535">
        <v>12.5275</v>
      </c>
      <c r="EV36" s="535">
        <v>13.0235</v>
      </c>
      <c r="EW36" s="535">
        <v>12.709099999999999</v>
      </c>
      <c r="EX36" s="535">
        <v>13.2539</v>
      </c>
      <c r="EY36" s="535">
        <v>13.011900000000001</v>
      </c>
      <c r="EZ36" s="535">
        <v>12.8948</v>
      </c>
      <c r="FA36" s="535">
        <v>13.083600000000001</v>
      </c>
      <c r="FB36" s="535">
        <v>13.0547</v>
      </c>
      <c r="FC36" s="516">
        <v>30</v>
      </c>
      <c r="FF36" s="541">
        <v>30</v>
      </c>
      <c r="FG36" s="542">
        <v>12.932499999999999</v>
      </c>
      <c r="FH36" s="543"/>
      <c r="FI36" s="544">
        <v>12.803900000000001</v>
      </c>
      <c r="FJ36" s="544">
        <v>13.209300000000001</v>
      </c>
      <c r="FK36" s="544">
        <v>13.943899999999999</v>
      </c>
      <c r="FL36" s="544">
        <v>13.653</v>
      </c>
      <c r="FM36" s="544">
        <v>13.442500000000001</v>
      </c>
      <c r="FN36" s="544">
        <v>13.184699999999999</v>
      </c>
      <c r="FO36" s="544">
        <v>12.8521</v>
      </c>
      <c r="FP36" s="544">
        <v>13.011200000000001</v>
      </c>
      <c r="FQ36" s="544">
        <v>13.0372</v>
      </c>
      <c r="FR36" s="544">
        <v>13.0101</v>
      </c>
      <c r="FS36" s="541">
        <v>30</v>
      </c>
      <c r="FV36" s="516">
        <v>30</v>
      </c>
      <c r="FW36" s="537">
        <v>12.023899999999999</v>
      </c>
      <c r="FX36" s="540"/>
      <c r="FY36" s="535">
        <v>11.959</v>
      </c>
      <c r="FZ36" s="535">
        <v>11.5428</v>
      </c>
      <c r="GA36" s="535">
        <v>11.695600000000001</v>
      </c>
      <c r="GB36" s="535">
        <v>11.838900000000001</v>
      </c>
      <c r="GC36" s="535">
        <v>11.6821</v>
      </c>
      <c r="GD36" s="535">
        <v>12.4953</v>
      </c>
      <c r="GE36" s="535">
        <v>13.4217</v>
      </c>
      <c r="GF36" s="535">
        <v>13.1973</v>
      </c>
      <c r="GG36" s="535">
        <v>14.0344</v>
      </c>
      <c r="GH36" s="535">
        <v>13.990399999999999</v>
      </c>
      <c r="GI36" s="516">
        <v>30</v>
      </c>
      <c r="GL36" s="516">
        <v>30</v>
      </c>
      <c r="GM36" s="537">
        <v>12.9975</v>
      </c>
      <c r="GN36" s="540"/>
      <c r="GO36" s="535">
        <v>12.5426</v>
      </c>
      <c r="GP36" s="535">
        <v>12.3698</v>
      </c>
      <c r="GQ36" s="535">
        <v>12.884600000000001</v>
      </c>
      <c r="GR36" s="535">
        <v>12.656700000000001</v>
      </c>
      <c r="GS36" s="535">
        <v>12.6798</v>
      </c>
      <c r="GT36" s="535">
        <v>12.984</v>
      </c>
      <c r="GU36" s="535">
        <v>12.501099999999999</v>
      </c>
      <c r="GV36" s="535">
        <v>12.4023</v>
      </c>
      <c r="GW36" s="535">
        <v>12.489000000000001</v>
      </c>
      <c r="GX36" s="535">
        <v>12.3567</v>
      </c>
      <c r="GY36" s="516">
        <v>30</v>
      </c>
      <c r="HB36" s="516">
        <v>30</v>
      </c>
      <c r="HC36" s="537">
        <v>14.151300000000001</v>
      </c>
      <c r="HD36" s="540"/>
      <c r="HE36" s="535">
        <v>14.2163</v>
      </c>
      <c r="HF36" s="535">
        <v>13.8667</v>
      </c>
      <c r="HG36" s="535">
        <v>13.233700000000001</v>
      </c>
      <c r="HH36" s="535">
        <v>13.202299999999999</v>
      </c>
      <c r="HI36" s="535">
        <v>13.282500000000001</v>
      </c>
      <c r="HJ36" s="535">
        <v>13.2462</v>
      </c>
      <c r="HK36" s="535">
        <v>13.504200000000001</v>
      </c>
      <c r="HL36" s="535">
        <v>13.282299999999999</v>
      </c>
      <c r="HM36" s="535">
        <v>12.9475</v>
      </c>
      <c r="HN36" s="535">
        <v>12.928800000000001</v>
      </c>
      <c r="HO36" s="516">
        <v>30</v>
      </c>
      <c r="HP36" s="536"/>
      <c r="HQ36" s="536"/>
      <c r="HR36" s="516">
        <v>30</v>
      </c>
      <c r="HS36" s="537">
        <v>10.878399999999999</v>
      </c>
      <c r="HT36" s="540"/>
      <c r="HU36" s="535">
        <v>10.696199999999999</v>
      </c>
      <c r="HV36" s="535">
        <v>10.446400000000001</v>
      </c>
      <c r="HW36" s="535">
        <v>10.3447</v>
      </c>
      <c r="HX36" s="535">
        <v>10.2841</v>
      </c>
      <c r="HY36" s="535">
        <v>10.070600000000001</v>
      </c>
      <c r="HZ36" s="535">
        <v>10.1822</v>
      </c>
      <c r="IA36" s="535">
        <v>10.7919</v>
      </c>
      <c r="IB36" s="535">
        <v>13.369199999999999</v>
      </c>
      <c r="IC36" s="535">
        <v>13.2325</v>
      </c>
      <c r="ID36" s="535">
        <v>13.3538</v>
      </c>
      <c r="IE36" s="516">
        <v>30</v>
      </c>
      <c r="IF36" s="536"/>
      <c r="IG36" s="536"/>
      <c r="IH36" s="516">
        <v>30</v>
      </c>
      <c r="II36" s="537">
        <v>11.0402</v>
      </c>
      <c r="IJ36" s="540"/>
      <c r="IK36" s="535">
        <v>11.081300000000001</v>
      </c>
      <c r="IL36" s="535">
        <v>10.9312</v>
      </c>
      <c r="IM36" s="535">
        <v>10.7788</v>
      </c>
      <c r="IN36" s="535">
        <v>10.7926</v>
      </c>
      <c r="IO36" s="535">
        <v>10.9436</v>
      </c>
      <c r="IP36" s="535">
        <v>11.092000000000001</v>
      </c>
      <c r="IQ36" s="535">
        <v>10.920299999999999</v>
      </c>
      <c r="IR36" s="535">
        <v>10.7523</v>
      </c>
      <c r="IS36" s="535">
        <v>10.9345</v>
      </c>
      <c r="IT36" s="535">
        <v>10.866199999999999</v>
      </c>
      <c r="IU36" s="516">
        <v>30</v>
      </c>
      <c r="IV36" s="536"/>
      <c r="IW36" s="536"/>
      <c r="IX36" s="516">
        <v>30</v>
      </c>
      <c r="IY36" s="537">
        <v>10.5039</v>
      </c>
      <c r="IZ36" s="540"/>
      <c r="JA36" s="535">
        <v>10.9633</v>
      </c>
      <c r="JB36" s="535">
        <v>11.1135</v>
      </c>
      <c r="JC36" s="535">
        <v>11.1373</v>
      </c>
      <c r="JD36" s="535">
        <v>11.3973</v>
      </c>
      <c r="JE36" s="535">
        <v>10.896800000000001</v>
      </c>
      <c r="JF36" s="535">
        <v>10.934699999999999</v>
      </c>
      <c r="JG36" s="535">
        <v>11.0502</v>
      </c>
      <c r="JH36" s="535">
        <v>10.731299999999999</v>
      </c>
      <c r="JI36" s="535">
        <v>11.045400000000001</v>
      </c>
      <c r="JJ36" s="535">
        <v>10.875500000000001</v>
      </c>
      <c r="JK36" s="516">
        <v>30</v>
      </c>
      <c r="JL36" s="536"/>
      <c r="JM36" s="536"/>
      <c r="JN36" s="516">
        <v>30</v>
      </c>
      <c r="JO36" s="537">
        <v>11.299099999999999</v>
      </c>
      <c r="JP36" s="540"/>
      <c r="JQ36" s="535">
        <v>11.322800000000001</v>
      </c>
      <c r="JR36" s="535">
        <v>11.1159</v>
      </c>
      <c r="JS36" s="535">
        <v>10.964499999999999</v>
      </c>
      <c r="JT36" s="535">
        <v>10.8428</v>
      </c>
      <c r="JU36" s="535">
        <v>10.620100000000001</v>
      </c>
      <c r="JV36" s="535">
        <v>10.833299999999999</v>
      </c>
      <c r="JW36" s="535">
        <v>10.849500000000001</v>
      </c>
      <c r="JX36" s="535">
        <v>10.9092</v>
      </c>
      <c r="JY36" s="535">
        <v>10.567</v>
      </c>
      <c r="JZ36" s="535">
        <v>10.777699999999999</v>
      </c>
      <c r="KA36" s="516">
        <v>30</v>
      </c>
      <c r="KB36" s="536"/>
      <c r="KC36" s="536"/>
      <c r="KD36" s="516">
        <v>30</v>
      </c>
      <c r="KE36" s="537">
        <v>10.9145</v>
      </c>
      <c r="KF36" s="540"/>
      <c r="KG36" s="535">
        <v>11.0578</v>
      </c>
      <c r="KH36" s="535">
        <v>11.338699999999999</v>
      </c>
      <c r="KI36" s="535">
        <v>11.451499999999999</v>
      </c>
      <c r="KJ36" s="535">
        <v>11.4116</v>
      </c>
      <c r="KK36" s="535">
        <v>11.4801</v>
      </c>
      <c r="KL36" s="535">
        <v>11.366</v>
      </c>
      <c r="KM36" s="535">
        <v>11.410600000000001</v>
      </c>
      <c r="KN36" s="535">
        <v>11.529299999999999</v>
      </c>
      <c r="KO36" s="535">
        <v>11.247</v>
      </c>
      <c r="KP36" s="535">
        <v>11.2042</v>
      </c>
      <c r="KQ36" s="516">
        <v>30</v>
      </c>
      <c r="KR36" s="536"/>
      <c r="KS36" s="536"/>
      <c r="KT36" s="516">
        <v>30</v>
      </c>
      <c r="KU36" s="537">
        <v>10.8842</v>
      </c>
      <c r="KV36" s="540"/>
      <c r="KW36" s="535">
        <v>10.767099999999999</v>
      </c>
      <c r="KX36" s="535">
        <v>10.430400000000001</v>
      </c>
      <c r="KY36" s="535">
        <v>10.4063</v>
      </c>
      <c r="KZ36" s="535">
        <v>10.4808</v>
      </c>
      <c r="LA36" s="535">
        <v>10.464499999999999</v>
      </c>
      <c r="LB36" s="535">
        <v>10.980600000000001</v>
      </c>
      <c r="LC36" s="535">
        <v>10.927199999999999</v>
      </c>
      <c r="LD36" s="535">
        <v>11.0693</v>
      </c>
      <c r="LE36" s="535">
        <v>11.3385</v>
      </c>
      <c r="LF36" s="535">
        <v>11.218</v>
      </c>
      <c r="LG36" s="516">
        <v>30</v>
      </c>
      <c r="LH36" s="536"/>
      <c r="LI36" s="536"/>
      <c r="LJ36" s="516">
        <v>30</v>
      </c>
      <c r="LK36" s="537">
        <v>9.1585000000000001</v>
      </c>
      <c r="LL36" s="540"/>
      <c r="LM36" s="535">
        <v>9.0243000000000002</v>
      </c>
      <c r="LN36" s="535">
        <v>9.3195999999999994</v>
      </c>
      <c r="LO36" s="535">
        <v>9.5586000000000002</v>
      </c>
      <c r="LP36" s="535">
        <v>9.9614999999999991</v>
      </c>
      <c r="LQ36" s="535">
        <v>9.7652000000000001</v>
      </c>
      <c r="LR36" s="535">
        <v>9.8989999999999991</v>
      </c>
      <c r="LS36" s="535">
        <v>10.166700000000001</v>
      </c>
      <c r="LT36" s="535">
        <v>10.000299999999999</v>
      </c>
      <c r="LU36" s="535">
        <v>10.119300000000001</v>
      </c>
      <c r="LV36" s="535">
        <v>10.2479</v>
      </c>
      <c r="LW36" s="516">
        <v>30</v>
      </c>
      <c r="LX36" s="536"/>
      <c r="LY36" s="536"/>
      <c r="LZ36" s="516">
        <v>30</v>
      </c>
      <c r="MA36" s="537">
        <v>9.6908999999999992</v>
      </c>
      <c r="MB36" s="540"/>
      <c r="MC36" s="535">
        <v>9.5380000000000003</v>
      </c>
      <c r="MD36" s="535">
        <v>9.2670999999999992</v>
      </c>
      <c r="ME36" s="535">
        <v>9.0780999999999992</v>
      </c>
      <c r="MF36" s="535">
        <v>9.09</v>
      </c>
      <c r="MG36" s="535">
        <v>9.157</v>
      </c>
      <c r="MH36" s="535">
        <v>9.1364999999999998</v>
      </c>
      <c r="MI36" s="535">
        <v>9.5541999999999998</v>
      </c>
      <c r="MJ36" s="535">
        <v>9.2721999999999998</v>
      </c>
      <c r="MK36" s="535">
        <v>9.2761999999999993</v>
      </c>
      <c r="ML36" s="535">
        <v>9.1423000000000005</v>
      </c>
      <c r="MM36" s="516">
        <v>30</v>
      </c>
      <c r="MN36" s="536"/>
      <c r="MO36" s="536"/>
      <c r="MP36" s="516">
        <v>30</v>
      </c>
      <c r="MQ36" s="537">
        <v>9.5122999999999998</v>
      </c>
      <c r="MR36" s="540"/>
      <c r="MS36" s="535">
        <v>9.1882999999999999</v>
      </c>
      <c r="MT36" s="535">
        <v>9.4520999999999997</v>
      </c>
      <c r="MU36" s="535">
        <v>9.5274000000000001</v>
      </c>
      <c r="MV36" s="535">
        <v>9.9537999999999993</v>
      </c>
      <c r="MW36" s="535">
        <v>9.3610000000000007</v>
      </c>
      <c r="MX36" s="535">
        <v>9.2093000000000007</v>
      </c>
      <c r="MY36" s="535">
        <v>9.4290000000000003</v>
      </c>
      <c r="MZ36" s="535">
        <v>9.6776999999999997</v>
      </c>
      <c r="NA36" s="535">
        <v>9.4057999999999993</v>
      </c>
      <c r="NB36" s="535">
        <v>9.5997000000000003</v>
      </c>
      <c r="NC36" s="516">
        <v>30</v>
      </c>
      <c r="ND36" s="536"/>
      <c r="NE36" s="536"/>
      <c r="NF36" s="516">
        <v>30</v>
      </c>
      <c r="NG36" s="537">
        <v>10.1752</v>
      </c>
      <c r="NH36" s="540"/>
      <c r="NI36" s="535">
        <v>9.5953999999999997</v>
      </c>
      <c r="NJ36" s="535">
        <v>9.2871000000000006</v>
      </c>
      <c r="NK36" s="535">
        <v>9.7498000000000005</v>
      </c>
      <c r="NL36" s="535">
        <v>9.4875000000000007</v>
      </c>
      <c r="NM36" s="535">
        <v>9.3826999999999998</v>
      </c>
      <c r="NN36" s="535">
        <v>9.3393999999999995</v>
      </c>
      <c r="NO36" s="535">
        <v>9.3582000000000001</v>
      </c>
      <c r="NP36" s="535">
        <v>9.6356999999999999</v>
      </c>
      <c r="NQ36" s="535">
        <v>9.3550000000000004</v>
      </c>
      <c r="NR36" s="535">
        <v>9.5143000000000004</v>
      </c>
      <c r="NS36" s="516">
        <v>30</v>
      </c>
      <c r="NT36" s="536"/>
      <c r="NU36" s="536"/>
      <c r="NV36" s="516">
        <v>30</v>
      </c>
      <c r="NW36" s="537">
        <v>8.3603000000000005</v>
      </c>
      <c r="NX36" s="540"/>
      <c r="NY36" s="535">
        <v>8.5251999999999999</v>
      </c>
      <c r="NZ36" s="535">
        <v>8.4817999999999998</v>
      </c>
      <c r="OA36" s="535">
        <v>8.7873000000000001</v>
      </c>
      <c r="OB36" s="535">
        <v>9.0406999999999993</v>
      </c>
      <c r="OC36" s="535">
        <v>8.8861000000000008</v>
      </c>
      <c r="OD36" s="535">
        <v>9.9600000000000009</v>
      </c>
      <c r="OE36" s="535">
        <v>10.106199999999999</v>
      </c>
      <c r="OF36" s="535">
        <v>10.157500000000001</v>
      </c>
      <c r="OG36" s="535">
        <v>9.9404000000000003</v>
      </c>
      <c r="OH36" s="535">
        <v>9.8382000000000005</v>
      </c>
      <c r="OI36" s="516">
        <v>30</v>
      </c>
      <c r="OJ36" s="536"/>
      <c r="OK36" s="536"/>
      <c r="OL36" s="516">
        <v>30</v>
      </c>
      <c r="OM36" s="537">
        <v>7.8151999999999999</v>
      </c>
      <c r="ON36" s="540"/>
      <c r="OO36" s="535">
        <v>7.8905000000000003</v>
      </c>
      <c r="OP36" s="535">
        <v>7.9267000000000003</v>
      </c>
      <c r="OQ36" s="535">
        <v>7.9085000000000001</v>
      </c>
      <c r="OR36" s="535">
        <v>7.9577</v>
      </c>
      <c r="OS36" s="535">
        <v>7.7808000000000002</v>
      </c>
      <c r="OT36" s="535">
        <v>7.7746000000000004</v>
      </c>
      <c r="OU36" s="535">
        <v>7.8198999999999996</v>
      </c>
      <c r="OV36" s="535">
        <v>8.2966999999999995</v>
      </c>
      <c r="OW36" s="535">
        <v>8.2164999999999999</v>
      </c>
      <c r="OX36" s="535">
        <v>8.1430000000000007</v>
      </c>
      <c r="OY36" s="516">
        <v>30</v>
      </c>
      <c r="OZ36" s="536"/>
      <c r="PA36" s="536"/>
      <c r="PB36" s="516">
        <v>30</v>
      </c>
      <c r="PC36" s="537">
        <v>7.4348999999999998</v>
      </c>
      <c r="PD36" s="540"/>
      <c r="PE36" s="535">
        <v>7.5526</v>
      </c>
      <c r="PF36" s="535">
        <v>7.4042000000000003</v>
      </c>
      <c r="PG36" s="535">
        <v>7.3849999999999998</v>
      </c>
      <c r="PH36" s="535">
        <v>7.6322999999999999</v>
      </c>
      <c r="PI36" s="535">
        <v>7.5959000000000003</v>
      </c>
      <c r="PJ36" s="535">
        <v>7.4930000000000003</v>
      </c>
      <c r="PK36" s="535">
        <v>7.5373999999999999</v>
      </c>
      <c r="PL36" s="535">
        <v>7.8903999999999996</v>
      </c>
      <c r="PM36" s="535">
        <v>7.8857999999999997</v>
      </c>
      <c r="PN36" s="535">
        <v>7.8441999999999998</v>
      </c>
      <c r="PO36" s="516">
        <v>30</v>
      </c>
      <c r="PP36" s="536"/>
      <c r="PQ36" s="536"/>
      <c r="PR36" s="516">
        <v>30</v>
      </c>
      <c r="PS36" s="537">
        <v>5.69</v>
      </c>
      <c r="PT36" s="540"/>
      <c r="PU36" s="535">
        <v>6.8274999999999997</v>
      </c>
      <c r="PV36" s="535">
        <v>5.8982999999999999</v>
      </c>
      <c r="PW36" s="535">
        <v>6.1582999999999997</v>
      </c>
      <c r="PX36" s="535">
        <v>6.3091999999999997</v>
      </c>
      <c r="PY36" s="535">
        <v>6.0881999999999996</v>
      </c>
      <c r="PZ36" s="535">
        <v>6.3246000000000002</v>
      </c>
      <c r="QA36" s="535">
        <v>6.4042000000000003</v>
      </c>
      <c r="QB36" s="535">
        <v>7.1666999999999996</v>
      </c>
      <c r="QC36" s="535">
        <v>7.6516999999999999</v>
      </c>
      <c r="QD36" s="535">
        <v>7.6841999999999997</v>
      </c>
      <c r="QE36" s="516">
        <v>30</v>
      </c>
      <c r="QF36" s="536"/>
      <c r="QG36" s="536"/>
      <c r="QH36" s="516">
        <v>30</v>
      </c>
      <c r="QI36" s="537">
        <v>3.1063000000000001</v>
      </c>
      <c r="QJ36" s="540"/>
      <c r="QK36" s="535">
        <v>3.3597999999999999</v>
      </c>
      <c r="QL36" s="535">
        <v>3.2763</v>
      </c>
      <c r="QM36" s="535">
        <v>3.3148</v>
      </c>
      <c r="QN36" s="535">
        <v>3.3917999999999999</v>
      </c>
      <c r="QO36" s="535">
        <v>3.4005999999999998</v>
      </c>
      <c r="QP36" s="535">
        <v>3.3826000000000001</v>
      </c>
      <c r="QQ36" s="535">
        <v>3.4039999999999999</v>
      </c>
      <c r="QR36" s="535">
        <v>3.43</v>
      </c>
      <c r="QS36" s="535">
        <v>3.4498000000000002</v>
      </c>
      <c r="QT36" s="535">
        <v>5.3250000000000002</v>
      </c>
      <c r="QU36" s="516">
        <v>30</v>
      </c>
      <c r="QV36" s="536"/>
      <c r="QW36" s="536"/>
      <c r="QX36" s="516">
        <v>30</v>
      </c>
      <c r="QY36" s="537">
        <v>3.1030000000000002</v>
      </c>
      <c r="QZ36" s="540"/>
      <c r="RA36" s="535">
        <v>3.1049000000000002</v>
      </c>
      <c r="RB36" s="535">
        <v>3.1021999999999998</v>
      </c>
      <c r="RC36" s="535">
        <v>3.1227</v>
      </c>
      <c r="RD36" s="535">
        <v>3.1212</v>
      </c>
      <c r="RE36" s="535">
        <v>3.1189</v>
      </c>
      <c r="RF36" s="535">
        <v>3.1116999999999999</v>
      </c>
      <c r="RG36" s="535">
        <v>3.1177999999999999</v>
      </c>
      <c r="RH36" s="535">
        <v>3.1293000000000002</v>
      </c>
      <c r="RI36" s="535">
        <v>3.1124999999999998</v>
      </c>
      <c r="RJ36" s="535">
        <v>3.1059000000000001</v>
      </c>
      <c r="RK36" s="516">
        <v>30</v>
      </c>
      <c r="RL36" s="536"/>
      <c r="RM36" s="536"/>
      <c r="RN36" s="516">
        <v>30</v>
      </c>
      <c r="RO36" s="537">
        <v>3.0659000000000001</v>
      </c>
      <c r="RP36" s="540"/>
      <c r="RQ36" s="535">
        <v>3.0901999999999998</v>
      </c>
      <c r="RR36" s="535">
        <v>3.0790000000000002</v>
      </c>
      <c r="RS36" s="535">
        <v>3.1168</v>
      </c>
      <c r="RT36" s="535">
        <v>3.1225000000000001</v>
      </c>
      <c r="RU36" s="535">
        <v>3.1160999999999999</v>
      </c>
      <c r="RV36" s="535">
        <v>3.081</v>
      </c>
      <c r="RW36" s="535">
        <v>3.1160999999999999</v>
      </c>
      <c r="RX36" s="535">
        <v>3.1320999999999999</v>
      </c>
      <c r="RY36" s="535">
        <v>3.1158999999999999</v>
      </c>
      <c r="RZ36" s="535">
        <v>3.1154000000000002</v>
      </c>
      <c r="SA36" s="516">
        <v>30</v>
      </c>
      <c r="SB36" s="536"/>
      <c r="SC36" s="536"/>
      <c r="SD36" s="516">
        <v>30</v>
      </c>
      <c r="SE36" s="537">
        <v>2.9578000000000002</v>
      </c>
      <c r="SF36" s="540"/>
      <c r="SG36" s="535">
        <v>2.9813999999999998</v>
      </c>
      <c r="SH36" s="535">
        <v>2.9929999999999999</v>
      </c>
      <c r="SI36" s="535">
        <v>3.0057999999999998</v>
      </c>
      <c r="SJ36" s="535">
        <v>3.0177999999999998</v>
      </c>
      <c r="SK36" s="535">
        <v>3.0293999999999999</v>
      </c>
      <c r="SL36" s="535">
        <v>3.0426000000000002</v>
      </c>
      <c r="SM36" s="535">
        <v>3.0558000000000001</v>
      </c>
      <c r="SN36" s="535">
        <v>3.0678000000000001</v>
      </c>
      <c r="SO36" s="535">
        <v>3.0676899999999998</v>
      </c>
      <c r="SP36" s="535">
        <v>3.0710000000000002</v>
      </c>
      <c r="SQ36" s="516">
        <v>30</v>
      </c>
      <c r="SR36" s="536"/>
      <c r="SS36" s="536"/>
      <c r="ST36" s="516">
        <v>30</v>
      </c>
      <c r="SU36" s="537">
        <v>2.67</v>
      </c>
      <c r="SV36" s="540"/>
      <c r="SW36" s="535">
        <v>2.7309999999999999</v>
      </c>
      <c r="SX36" s="535">
        <v>2.76</v>
      </c>
      <c r="SY36" s="535">
        <v>2.7919999999999998</v>
      </c>
      <c r="SZ36" s="535">
        <v>2.8170000000000002</v>
      </c>
      <c r="TA36" s="535">
        <v>2.8393999999999999</v>
      </c>
      <c r="TB36" s="535">
        <v>2.8658000000000001</v>
      </c>
      <c r="TC36" s="535">
        <v>2.8898000000000001</v>
      </c>
      <c r="TD36" s="535">
        <v>2.9129999999999998</v>
      </c>
      <c r="TE36" s="535">
        <v>2.9333999999999998</v>
      </c>
      <c r="TF36" s="535">
        <v>2.9449999999999998</v>
      </c>
      <c r="TG36" s="516">
        <v>30</v>
      </c>
      <c r="TH36" s="536"/>
      <c r="TI36" s="536"/>
      <c r="TJ36" s="516">
        <v>30</v>
      </c>
      <c r="TK36" s="537">
        <v>2.3050000000000002</v>
      </c>
      <c r="TL36" s="540"/>
      <c r="TM36" s="535">
        <v>2.3660000000000001</v>
      </c>
      <c r="TN36" s="535">
        <v>2.3959999999999999</v>
      </c>
      <c r="TO36" s="535">
        <v>2.4249999999999998</v>
      </c>
      <c r="TP36" s="535">
        <v>2.4580000000000002</v>
      </c>
      <c r="TQ36" s="535">
        <v>2.4870000000000001</v>
      </c>
      <c r="TR36" s="535">
        <v>2.5190000000000001</v>
      </c>
      <c r="TS36" s="535">
        <v>2.5499999999999998</v>
      </c>
      <c r="TT36" s="535">
        <v>2.5779999999999998</v>
      </c>
      <c r="TU36" s="535">
        <v>2.6110000000000002</v>
      </c>
      <c r="TV36" s="535">
        <v>2.641</v>
      </c>
      <c r="TW36" s="516">
        <v>30</v>
      </c>
    </row>
    <row r="37" spans="2:543" s="4" customFormat="1" ht="23" customHeight="1">
      <c r="B37" s="516">
        <v>31</v>
      </c>
      <c r="C37" s="549">
        <v>20.738299999999999</v>
      </c>
      <c r="D37" s="550"/>
      <c r="E37" s="549">
        <v>19.994199999999999</v>
      </c>
      <c r="F37" s="550"/>
      <c r="G37" s="549">
        <v>19.596499999999999</v>
      </c>
      <c r="H37" s="550"/>
      <c r="I37" s="549">
        <v>20.377800000000001</v>
      </c>
      <c r="J37" s="549">
        <v>19.994499999999999</v>
      </c>
      <c r="K37" s="551"/>
      <c r="L37" s="549">
        <v>19.836500000000001</v>
      </c>
      <c r="M37" s="551"/>
      <c r="N37" s="662">
        <f>+N36</f>
        <v>19.746300000000002</v>
      </c>
      <c r="O37" s="516">
        <v>31</v>
      </c>
      <c r="R37" s="516">
        <v>31</v>
      </c>
      <c r="S37" s="549">
        <v>20.2697</v>
      </c>
      <c r="T37" s="550"/>
      <c r="U37" s="549">
        <v>20.604700000000001</v>
      </c>
      <c r="V37" s="550"/>
      <c r="W37" s="549">
        <v>19.948699999999999</v>
      </c>
      <c r="X37" s="550"/>
      <c r="Y37" s="549">
        <v>19.844799999999999</v>
      </c>
      <c r="Z37" s="549">
        <v>20.229299999999999</v>
      </c>
      <c r="AA37" s="551"/>
      <c r="AB37" s="549">
        <v>20.325500000000002</v>
      </c>
      <c r="AC37" s="551"/>
      <c r="AD37" s="549">
        <v>20.583500000000001</v>
      </c>
      <c r="AE37" s="516">
        <v>31</v>
      </c>
      <c r="AH37" s="516">
        <v>31</v>
      </c>
      <c r="AI37" s="549">
        <v>18.706700000000001</v>
      </c>
      <c r="AJ37" s="550"/>
      <c r="AK37" s="549">
        <v>23.5122</v>
      </c>
      <c r="AL37" s="550"/>
      <c r="AM37" s="549">
        <v>22.204000000000001</v>
      </c>
      <c r="AN37" s="550"/>
      <c r="AO37" s="549">
        <v>21.9907</v>
      </c>
      <c r="AP37" s="549">
        <v>22.116800000000001</v>
      </c>
      <c r="AQ37" s="551"/>
      <c r="AR37" s="549">
        <v>21.376999999999999</v>
      </c>
      <c r="AS37" s="551"/>
      <c r="AT37" s="549">
        <v>19.948699999999999</v>
      </c>
      <c r="AU37" s="516">
        <v>31</v>
      </c>
      <c r="AX37" s="516">
        <v>31</v>
      </c>
      <c r="AY37" s="535">
        <v>18.997199999999999</v>
      </c>
      <c r="AZ37" s="540"/>
      <c r="BA37" s="535">
        <v>19.379300000000001</v>
      </c>
      <c r="BB37" s="540"/>
      <c r="BC37" s="535">
        <v>19.2395</v>
      </c>
      <c r="BD37" s="540"/>
      <c r="BE37" s="535">
        <v>19.09</v>
      </c>
      <c r="BF37" s="535">
        <v>20.098800000000001</v>
      </c>
      <c r="BG37" s="545"/>
      <c r="BH37" s="535">
        <v>19.116700000000002</v>
      </c>
      <c r="BI37" s="545"/>
      <c r="BJ37" s="535">
        <v>18.845199999999998</v>
      </c>
      <c r="BK37" s="516">
        <v>31</v>
      </c>
      <c r="BN37" s="516">
        <v>31</v>
      </c>
      <c r="BO37" s="535">
        <v>18.619599999999998</v>
      </c>
      <c r="BP37" s="540"/>
      <c r="BQ37" s="535">
        <v>18.3445</v>
      </c>
      <c r="BR37" s="540"/>
      <c r="BS37" s="535">
        <v>19.7499</v>
      </c>
      <c r="BT37" s="540"/>
      <c r="BU37" s="535">
        <v>18.551500000000001</v>
      </c>
      <c r="BV37" s="535">
        <v>19.065899999999999</v>
      </c>
      <c r="BW37" s="545"/>
      <c r="BX37" s="535">
        <v>19.802199999999999</v>
      </c>
      <c r="BY37" s="545"/>
      <c r="BZ37" s="535">
        <v>19.6829</v>
      </c>
      <c r="CA37" s="516">
        <v>31</v>
      </c>
      <c r="CD37" s="516">
        <v>31</v>
      </c>
      <c r="CE37" s="535">
        <v>21.0212</v>
      </c>
      <c r="CF37" s="540"/>
      <c r="CG37" s="535">
        <v>18.809200000000001</v>
      </c>
      <c r="CH37" s="540"/>
      <c r="CI37" s="535">
        <v>18.5121</v>
      </c>
      <c r="CJ37" s="540"/>
      <c r="CK37" s="535">
        <v>17.688600000000001</v>
      </c>
      <c r="CL37" s="535">
        <v>17.876000000000001</v>
      </c>
      <c r="CM37" s="545"/>
      <c r="CN37" s="516">
        <v>19.147400000000001</v>
      </c>
      <c r="CO37" s="545"/>
      <c r="CP37" s="535">
        <v>19.735399999999998</v>
      </c>
      <c r="CQ37" s="516">
        <v>31</v>
      </c>
      <c r="CT37" s="516">
        <v>31</v>
      </c>
      <c r="CU37" s="535">
        <v>18.290600000000001</v>
      </c>
      <c r="CV37" s="540"/>
      <c r="CW37" s="535">
        <v>17.401499999999999</v>
      </c>
      <c r="CX37" s="540"/>
      <c r="CY37" s="535">
        <v>18.4527</v>
      </c>
      <c r="CZ37" s="540"/>
      <c r="DA37" s="535">
        <v>18.8979</v>
      </c>
      <c r="DB37" s="535">
        <v>18.577300000000001</v>
      </c>
      <c r="DC37" s="545"/>
      <c r="DD37" s="516">
        <v>18.8443</v>
      </c>
      <c r="DE37" s="545"/>
      <c r="DF37" s="535">
        <v>20.664000000000001</v>
      </c>
      <c r="DG37" s="516">
        <v>31</v>
      </c>
      <c r="DJ37" s="516">
        <v>31</v>
      </c>
      <c r="DK37" s="535">
        <v>14.8414</v>
      </c>
      <c r="DL37" s="540"/>
      <c r="DM37" s="535">
        <v>15.154199999999999</v>
      </c>
      <c r="DN37" s="540"/>
      <c r="DO37" s="535">
        <v>15.373699999999999</v>
      </c>
      <c r="DP37" s="540"/>
      <c r="DQ37" s="535">
        <v>16.213999999999999</v>
      </c>
      <c r="DR37" s="535">
        <v>16.886299999999999</v>
      </c>
      <c r="DS37" s="545"/>
      <c r="DT37" s="516">
        <v>16.6219</v>
      </c>
      <c r="DU37" s="545"/>
      <c r="DV37" s="535">
        <v>17.206499999999998</v>
      </c>
      <c r="DW37" s="516">
        <v>31</v>
      </c>
      <c r="DZ37" s="516">
        <v>31</v>
      </c>
      <c r="EA37" s="535">
        <v>13.367100000000001</v>
      </c>
      <c r="EB37" s="540"/>
      <c r="EC37" s="535">
        <v>13.0837</v>
      </c>
      <c r="ED37" s="540"/>
      <c r="EE37" s="535">
        <v>12.8462</v>
      </c>
      <c r="EF37" s="540"/>
      <c r="EG37" s="535">
        <v>13.0578</v>
      </c>
      <c r="EH37" s="535">
        <v>13.110900000000001</v>
      </c>
      <c r="EI37" s="545"/>
      <c r="EJ37" s="516">
        <v>13.4239</v>
      </c>
      <c r="EK37" s="545"/>
      <c r="EL37" s="535">
        <v>14.718</v>
      </c>
      <c r="EM37" s="516">
        <v>31</v>
      </c>
      <c r="EP37" s="516">
        <v>31</v>
      </c>
      <c r="EQ37" s="535">
        <v>12.7134</v>
      </c>
      <c r="ER37" s="540"/>
      <c r="ES37" s="535">
        <v>12.3546</v>
      </c>
      <c r="ET37" s="540"/>
      <c r="EU37" s="535">
        <v>12.6328</v>
      </c>
      <c r="EV37" s="540"/>
      <c r="EW37" s="535">
        <v>12.732100000000001</v>
      </c>
      <c r="EX37" s="535">
        <v>13.3104</v>
      </c>
      <c r="EY37" s="545"/>
      <c r="EZ37" s="516">
        <v>12.8903</v>
      </c>
      <c r="FA37" s="545"/>
      <c r="FB37" s="535">
        <v>13.076499999999999</v>
      </c>
      <c r="FC37" s="516">
        <v>31</v>
      </c>
      <c r="FF37" s="516">
        <v>31</v>
      </c>
      <c r="FG37" s="535">
        <v>12.9504</v>
      </c>
      <c r="FH37" s="540"/>
      <c r="FI37" s="535">
        <v>12.8489</v>
      </c>
      <c r="FJ37" s="540"/>
      <c r="FK37" s="535">
        <v>13.9169</v>
      </c>
      <c r="FL37" s="540"/>
      <c r="FM37" s="535">
        <v>13.2837</v>
      </c>
      <c r="FN37" s="535">
        <v>13.2746</v>
      </c>
      <c r="FO37" s="545"/>
      <c r="FP37" s="516">
        <v>13.09</v>
      </c>
      <c r="FQ37" s="545"/>
      <c r="FR37" s="535">
        <v>13.0101</v>
      </c>
      <c r="FS37" s="516">
        <v>31</v>
      </c>
      <c r="FV37" s="516">
        <v>31</v>
      </c>
      <c r="FW37" s="535">
        <v>12.023899999999999</v>
      </c>
      <c r="FX37" s="540"/>
      <c r="FY37" s="535">
        <v>11.9678</v>
      </c>
      <c r="FZ37" s="540"/>
      <c r="GA37" s="535">
        <v>11.6256</v>
      </c>
      <c r="GB37" s="540"/>
      <c r="GC37" s="535">
        <v>11.6821</v>
      </c>
      <c r="GD37" s="535">
        <v>12.4148</v>
      </c>
      <c r="GE37" s="545"/>
      <c r="GF37" s="516">
        <v>13.1973</v>
      </c>
      <c r="GG37" s="545"/>
      <c r="GH37" s="535">
        <v>13.9787</v>
      </c>
      <c r="GI37" s="516">
        <v>31</v>
      </c>
      <c r="GL37" s="516">
        <v>31</v>
      </c>
      <c r="GM37" s="535">
        <v>12.9975</v>
      </c>
      <c r="GN37" s="540">
        <v>12.850300000000001</v>
      </c>
      <c r="GO37" s="535">
        <v>12.464</v>
      </c>
      <c r="GP37" s="540">
        <v>12.3698</v>
      </c>
      <c r="GQ37" s="535">
        <v>12.884600000000001</v>
      </c>
      <c r="GR37" s="540">
        <v>12.656700000000001</v>
      </c>
      <c r="GS37" s="535">
        <v>12.703799999999999</v>
      </c>
      <c r="GT37" s="535">
        <v>13.014799999999999</v>
      </c>
      <c r="GU37" s="545">
        <v>12.501099999999999</v>
      </c>
      <c r="GV37" s="516">
        <v>12.4023</v>
      </c>
      <c r="GW37" s="545">
        <v>12.489000000000001</v>
      </c>
      <c r="GX37" s="535">
        <v>12.357100000000001</v>
      </c>
      <c r="GY37" s="516">
        <v>31</v>
      </c>
      <c r="HB37" s="516">
        <v>31</v>
      </c>
      <c r="HC37" s="535">
        <v>14.1975</v>
      </c>
      <c r="HD37" s="540">
        <v>12.850300000000001</v>
      </c>
      <c r="HE37" s="535">
        <v>14.3317</v>
      </c>
      <c r="HF37" s="540">
        <v>12.3698</v>
      </c>
      <c r="HG37" s="535">
        <v>13.233700000000001</v>
      </c>
      <c r="HH37" s="540">
        <v>12.656700000000001</v>
      </c>
      <c r="HI37" s="535">
        <v>13.2643</v>
      </c>
      <c r="HJ37" s="535">
        <v>13.2462</v>
      </c>
      <c r="HK37" s="545">
        <v>12.501099999999999</v>
      </c>
      <c r="HL37" s="516">
        <v>13.0825</v>
      </c>
      <c r="HM37" s="545">
        <v>12.489000000000001</v>
      </c>
      <c r="HN37" s="535">
        <v>13.0587</v>
      </c>
      <c r="HO37" s="516">
        <v>31</v>
      </c>
      <c r="HP37" s="536"/>
      <c r="HQ37" s="536"/>
      <c r="HR37" s="516">
        <v>31</v>
      </c>
      <c r="HS37" s="535">
        <v>10.8444</v>
      </c>
      <c r="HT37" s="540"/>
      <c r="HU37" s="535">
        <v>10.696199999999999</v>
      </c>
      <c r="HV37" s="540"/>
      <c r="HW37" s="535">
        <v>10.3066</v>
      </c>
      <c r="HX37" s="540"/>
      <c r="HY37" s="535">
        <v>10.061</v>
      </c>
      <c r="HZ37" s="535">
        <v>10.1822</v>
      </c>
      <c r="IA37" s="545"/>
      <c r="IB37" s="516">
        <v>12.914199999999999</v>
      </c>
      <c r="IC37" s="545"/>
      <c r="ID37" s="535">
        <v>13.5383</v>
      </c>
      <c r="IE37" s="516">
        <v>31</v>
      </c>
      <c r="IF37" s="536"/>
      <c r="IG37" s="536"/>
      <c r="IH37" s="516">
        <v>31</v>
      </c>
      <c r="II37" s="535">
        <v>11.0855</v>
      </c>
      <c r="IJ37" s="540"/>
      <c r="IK37" s="535">
        <v>11.050700000000001</v>
      </c>
      <c r="IL37" s="540"/>
      <c r="IM37" s="535">
        <v>10.7873</v>
      </c>
      <c r="IN37" s="540"/>
      <c r="IO37" s="535">
        <v>10.997299999999999</v>
      </c>
      <c r="IP37" s="535">
        <v>11.106199999999999</v>
      </c>
      <c r="IQ37" s="545"/>
      <c r="IR37" s="516">
        <v>10.7112</v>
      </c>
      <c r="IS37" s="545"/>
      <c r="IT37" s="535">
        <v>10.866199999999999</v>
      </c>
      <c r="IU37" s="516">
        <v>31</v>
      </c>
      <c r="IV37" s="536"/>
      <c r="IW37" s="536"/>
      <c r="IX37" s="516">
        <v>31</v>
      </c>
      <c r="IY37" s="535">
        <v>10.4598</v>
      </c>
      <c r="IZ37" s="540"/>
      <c r="JA37" s="535">
        <v>10.951000000000001</v>
      </c>
      <c r="JB37" s="540"/>
      <c r="JC37" s="535">
        <v>11.1303</v>
      </c>
      <c r="JD37" s="540"/>
      <c r="JE37" s="535">
        <v>10.896800000000001</v>
      </c>
      <c r="JF37" s="535">
        <v>10.9047</v>
      </c>
      <c r="JG37" s="545"/>
      <c r="JH37" s="516">
        <v>10.709300000000001</v>
      </c>
      <c r="JI37" s="545"/>
      <c r="JJ37" s="535">
        <v>10.875500000000001</v>
      </c>
      <c r="JK37" s="516">
        <v>31</v>
      </c>
      <c r="JL37" s="536"/>
      <c r="JM37" s="536"/>
      <c r="JN37" s="516">
        <v>31</v>
      </c>
      <c r="JO37" s="535">
        <v>11.299099999999999</v>
      </c>
      <c r="JP37" s="540"/>
      <c r="JQ37" s="535">
        <v>11.2942</v>
      </c>
      <c r="JR37" s="540"/>
      <c r="JS37" s="535">
        <v>10.903</v>
      </c>
      <c r="JT37" s="540"/>
      <c r="JU37" s="535">
        <v>10.620100000000001</v>
      </c>
      <c r="JV37" s="535">
        <v>10.893599999999999</v>
      </c>
      <c r="JW37" s="545"/>
      <c r="JX37" s="516">
        <v>10.9092</v>
      </c>
      <c r="JY37" s="545"/>
      <c r="JZ37" s="535">
        <v>10.710900000000001</v>
      </c>
      <c r="KA37" s="516">
        <v>31</v>
      </c>
      <c r="KB37" s="536"/>
      <c r="KC37" s="536"/>
      <c r="KD37" s="516">
        <v>31</v>
      </c>
      <c r="KE37" s="535">
        <v>11.084300000000001</v>
      </c>
      <c r="KF37" s="540"/>
      <c r="KG37" s="535">
        <v>11.154</v>
      </c>
      <c r="KH37" s="540"/>
      <c r="KI37" s="535">
        <v>11.451499999999999</v>
      </c>
      <c r="KJ37" s="540"/>
      <c r="KK37" s="535">
        <v>11.430199999999999</v>
      </c>
      <c r="KL37" s="535">
        <v>11.373900000000001</v>
      </c>
      <c r="KM37" s="545"/>
      <c r="KN37" s="516">
        <v>11.529299999999999</v>
      </c>
      <c r="KO37" s="545"/>
      <c r="KP37" s="535">
        <v>11.264799999999999</v>
      </c>
      <c r="KQ37" s="516">
        <v>31</v>
      </c>
      <c r="KR37" s="536"/>
      <c r="KS37" s="536"/>
      <c r="KT37" s="516">
        <v>31</v>
      </c>
      <c r="KU37" s="535">
        <v>10.9863</v>
      </c>
      <c r="KV37" s="540"/>
      <c r="KW37" s="535">
        <v>10.767099999999999</v>
      </c>
      <c r="KX37" s="540"/>
      <c r="KY37" s="535">
        <v>10.320499999999999</v>
      </c>
      <c r="KZ37" s="540"/>
      <c r="LA37" s="535">
        <v>10.4878</v>
      </c>
      <c r="LB37" s="535">
        <v>10.980600000000001</v>
      </c>
      <c r="LC37" s="545"/>
      <c r="LD37" s="516">
        <v>11.107799999999999</v>
      </c>
      <c r="LE37" s="545"/>
      <c r="LF37" s="535">
        <v>11.236000000000001</v>
      </c>
      <c r="LG37" s="516">
        <v>31</v>
      </c>
      <c r="LH37" s="536"/>
      <c r="LI37" s="536"/>
      <c r="LJ37" s="516">
        <v>31</v>
      </c>
      <c r="LK37" s="535">
        <v>9.1714000000000002</v>
      </c>
      <c r="LL37" s="540"/>
      <c r="LM37" s="535">
        <v>9.0243000000000002</v>
      </c>
      <c r="LN37" s="540"/>
      <c r="LO37" s="535">
        <v>9.6134000000000004</v>
      </c>
      <c r="LP37" s="540"/>
      <c r="LQ37" s="535">
        <v>9.6943999999999999</v>
      </c>
      <c r="LR37" s="535">
        <v>9.9192999999999998</v>
      </c>
      <c r="LS37" s="545"/>
      <c r="LT37" s="516">
        <v>10.1593</v>
      </c>
      <c r="LU37" s="545"/>
      <c r="LV37" s="535">
        <v>10.3125</v>
      </c>
      <c r="LW37" s="516">
        <v>31</v>
      </c>
      <c r="LX37" s="536"/>
      <c r="LY37" s="536"/>
      <c r="LZ37" s="516">
        <v>31</v>
      </c>
      <c r="MA37" s="535">
        <v>9.6686999999999994</v>
      </c>
      <c r="MB37" s="540"/>
      <c r="MC37" s="535">
        <v>9.5203000000000007</v>
      </c>
      <c r="MD37" s="540"/>
      <c r="ME37" s="535">
        <v>9.0851000000000006</v>
      </c>
      <c r="MF37" s="540"/>
      <c r="MG37" s="535">
        <v>9.1920000000000002</v>
      </c>
      <c r="MH37" s="535">
        <v>9.1438000000000006</v>
      </c>
      <c r="MI37" s="545"/>
      <c r="MJ37" s="516">
        <v>9.2421000000000006</v>
      </c>
      <c r="MK37" s="545"/>
      <c r="ML37" s="535">
        <v>9.1423000000000005</v>
      </c>
      <c r="MM37" s="516">
        <v>31</v>
      </c>
      <c r="MN37" s="536"/>
      <c r="MO37" s="536"/>
      <c r="MP37" s="516">
        <v>31</v>
      </c>
      <c r="MQ37" s="535">
        <v>9.5122999999999998</v>
      </c>
      <c r="MR37" s="540"/>
      <c r="MS37" s="535">
        <v>9.2331000000000003</v>
      </c>
      <c r="MT37" s="540"/>
      <c r="MU37" s="535">
        <v>9.5326000000000004</v>
      </c>
      <c r="MV37" s="540"/>
      <c r="MW37" s="535">
        <v>9.3610000000000007</v>
      </c>
      <c r="MX37" s="535">
        <v>9.2317</v>
      </c>
      <c r="MY37" s="545"/>
      <c r="MZ37" s="516">
        <v>9.6442999999999994</v>
      </c>
      <c r="NA37" s="545"/>
      <c r="NB37" s="535">
        <v>9.5997000000000003</v>
      </c>
      <c r="NC37" s="516">
        <v>31</v>
      </c>
      <c r="ND37" s="536"/>
      <c r="NE37" s="536"/>
      <c r="NF37" s="516">
        <v>31</v>
      </c>
      <c r="NG37" s="535">
        <v>10.1752</v>
      </c>
      <c r="NH37" s="540"/>
      <c r="NI37" s="535">
        <v>9.5158000000000005</v>
      </c>
      <c r="NJ37" s="540"/>
      <c r="NK37" s="535">
        <v>9.7498000000000005</v>
      </c>
      <c r="NL37" s="540"/>
      <c r="NM37" s="535">
        <v>9.4260000000000002</v>
      </c>
      <c r="NN37" s="535">
        <v>9.3818999999999999</v>
      </c>
      <c r="NO37" s="545"/>
      <c r="NP37" s="516">
        <v>9.6356999999999999</v>
      </c>
      <c r="NQ37" s="545"/>
      <c r="NR37" s="535">
        <v>9.5221999999999998</v>
      </c>
      <c r="NS37" s="516">
        <v>31</v>
      </c>
      <c r="NT37" s="536"/>
      <c r="NU37" s="536"/>
      <c r="NV37" s="516">
        <v>31</v>
      </c>
      <c r="NW37" s="535">
        <v>8.4640000000000004</v>
      </c>
      <c r="NX37" s="540"/>
      <c r="NY37" s="535">
        <v>8.5165000000000006</v>
      </c>
      <c r="NZ37" s="540"/>
      <c r="OA37" s="535">
        <v>8.7873000000000001</v>
      </c>
      <c r="OB37" s="540"/>
      <c r="OC37" s="535">
        <v>8.9177999999999997</v>
      </c>
      <c r="OD37" s="535">
        <v>9.9600000000000009</v>
      </c>
      <c r="OE37" s="545"/>
      <c r="OF37" s="516">
        <v>10.219799999999999</v>
      </c>
      <c r="OG37" s="545"/>
      <c r="OH37" s="535">
        <v>9.8650000000000002</v>
      </c>
      <c r="OI37" s="516">
        <v>31</v>
      </c>
      <c r="OJ37" s="536"/>
      <c r="OK37" s="536"/>
      <c r="OL37" s="516">
        <v>31</v>
      </c>
      <c r="OM37" s="535">
        <v>7.8392999999999997</v>
      </c>
      <c r="ON37" s="540"/>
      <c r="OO37" s="535">
        <v>7.8905000000000003</v>
      </c>
      <c r="OP37" s="540"/>
      <c r="OQ37" s="535">
        <v>7.9081999999999999</v>
      </c>
      <c r="OR37" s="540"/>
      <c r="OS37" s="535">
        <v>7.8087999999999997</v>
      </c>
      <c r="OT37" s="535">
        <v>7.7746000000000004</v>
      </c>
      <c r="OU37" s="545"/>
      <c r="OV37" s="516">
        <v>8.1033000000000008</v>
      </c>
      <c r="OW37" s="545"/>
      <c r="OX37" s="535">
        <v>8.0832999999999995</v>
      </c>
      <c r="OY37" s="516">
        <v>31</v>
      </c>
      <c r="OZ37" s="536"/>
      <c r="PA37" s="536"/>
      <c r="PB37" s="516">
        <v>31</v>
      </c>
      <c r="PC37" s="535">
        <v>7.3907999999999996</v>
      </c>
      <c r="PD37" s="540"/>
      <c r="PE37" s="535">
        <v>7.5526</v>
      </c>
      <c r="PF37" s="540"/>
      <c r="PG37" s="535">
        <v>7.4095000000000004</v>
      </c>
      <c r="PH37" s="540"/>
      <c r="PI37" s="535">
        <v>7.6135000000000002</v>
      </c>
      <c r="PJ37" s="535">
        <v>7.5205000000000002</v>
      </c>
      <c r="PK37" s="545"/>
      <c r="PL37" s="516">
        <v>7.9172000000000002</v>
      </c>
      <c r="PM37" s="545"/>
      <c r="PN37" s="535">
        <v>7.8509000000000002</v>
      </c>
      <c r="PO37" s="516">
        <v>31</v>
      </c>
      <c r="PP37" s="536"/>
      <c r="PQ37" s="536"/>
      <c r="PR37" s="516">
        <v>31</v>
      </c>
      <c r="PS37" s="535">
        <v>5.6950000000000003</v>
      </c>
      <c r="PT37" s="540"/>
      <c r="PU37" s="535">
        <v>6.8174999999999999</v>
      </c>
      <c r="PV37" s="540"/>
      <c r="PW37" s="535">
        <v>6.1775000000000002</v>
      </c>
      <c r="PX37" s="540"/>
      <c r="PY37" s="535">
        <v>6.0881999999999996</v>
      </c>
      <c r="PZ37" s="535">
        <v>6.3113999999999999</v>
      </c>
      <c r="QA37" s="545"/>
      <c r="QB37" s="516">
        <v>7.1717000000000004</v>
      </c>
      <c r="QC37" s="545"/>
      <c r="QD37" s="535">
        <v>7.6841999999999997</v>
      </c>
      <c r="QE37" s="516">
        <v>31</v>
      </c>
      <c r="QF37" s="536"/>
      <c r="QG37" s="536"/>
      <c r="QH37" s="516">
        <v>31</v>
      </c>
      <c r="QI37" s="535">
        <v>3.1063000000000001</v>
      </c>
      <c r="QJ37" s="540"/>
      <c r="QK37" s="535">
        <v>3.35</v>
      </c>
      <c r="QL37" s="540"/>
      <c r="QM37" s="535">
        <v>3.3144999999999998</v>
      </c>
      <c r="QN37" s="540"/>
      <c r="QO37" s="535">
        <v>3.4005999999999998</v>
      </c>
      <c r="QP37" s="535">
        <v>3.3794</v>
      </c>
      <c r="QQ37" s="545"/>
      <c r="QR37" s="516">
        <v>3.43</v>
      </c>
      <c r="QS37" s="545"/>
      <c r="QT37" s="535">
        <v>4.9400000000000004</v>
      </c>
      <c r="QU37" s="516">
        <v>31</v>
      </c>
      <c r="QV37" s="536"/>
      <c r="QW37" s="536"/>
      <c r="QX37" s="516">
        <v>31</v>
      </c>
      <c r="QY37" s="535">
        <v>3.1030000000000002</v>
      </c>
      <c r="QZ37" s="540"/>
      <c r="RA37" s="535">
        <v>3.0975999999999999</v>
      </c>
      <c r="RB37" s="540"/>
      <c r="RC37" s="535">
        <v>3.1227</v>
      </c>
      <c r="RD37" s="540"/>
      <c r="RE37" s="535">
        <v>3.1204000000000001</v>
      </c>
      <c r="RF37" s="535">
        <v>3.1145</v>
      </c>
      <c r="RG37" s="545"/>
      <c r="RH37" s="516">
        <v>3.1293000000000002</v>
      </c>
      <c r="RI37" s="545"/>
      <c r="RJ37" s="535">
        <v>3.1099000000000001</v>
      </c>
      <c r="RK37" s="516">
        <v>31</v>
      </c>
      <c r="RL37" s="536"/>
      <c r="RM37" s="536"/>
      <c r="RN37" s="516">
        <v>31</v>
      </c>
      <c r="RO37" s="535">
        <v>3.0659999999999998</v>
      </c>
      <c r="RP37" s="540"/>
      <c r="RQ37" s="535">
        <v>3.0834999999999999</v>
      </c>
      <c r="RR37" s="540"/>
      <c r="RS37" s="535">
        <v>3.1168</v>
      </c>
      <c r="RT37" s="540"/>
      <c r="RU37" s="535">
        <v>3.1141000000000001</v>
      </c>
      <c r="RV37" s="535">
        <v>3.081</v>
      </c>
      <c r="RW37" s="545"/>
      <c r="RX37" s="516">
        <v>3.1309</v>
      </c>
      <c r="RY37" s="545"/>
      <c r="RZ37" s="535">
        <v>3.1230000000000002</v>
      </c>
      <c r="SA37" s="516">
        <v>31</v>
      </c>
      <c r="SB37" s="536"/>
      <c r="SC37" s="536"/>
      <c r="SD37" s="516">
        <v>31</v>
      </c>
      <c r="SE37" s="535">
        <v>2.9582000000000002</v>
      </c>
      <c r="SF37" s="540"/>
      <c r="SG37" s="535">
        <v>2.9813999999999998</v>
      </c>
      <c r="SH37" s="540"/>
      <c r="SI37" s="535">
        <v>3.0062000000000002</v>
      </c>
      <c r="SJ37" s="540"/>
      <c r="SK37" s="535">
        <v>3.0306000000000002</v>
      </c>
      <c r="SL37" s="535">
        <v>3.0430000000000001</v>
      </c>
      <c r="SM37" s="545"/>
      <c r="SN37" s="516">
        <v>3.0682</v>
      </c>
      <c r="SO37" s="545"/>
      <c r="SP37" s="535">
        <v>3.0738799999999999</v>
      </c>
      <c r="SQ37" s="516">
        <v>31</v>
      </c>
      <c r="SR37" s="536"/>
      <c r="SS37" s="536"/>
      <c r="ST37" s="516">
        <v>31</v>
      </c>
      <c r="SU37" s="535">
        <v>2.673</v>
      </c>
      <c r="SV37" s="540"/>
      <c r="SW37" s="535">
        <v>2.7320000000000002</v>
      </c>
      <c r="SX37" s="540"/>
      <c r="SY37" s="535">
        <v>2.7930000000000001</v>
      </c>
      <c r="SZ37" s="540"/>
      <c r="TA37" s="535">
        <v>2.8401999999999998</v>
      </c>
      <c r="TB37" s="535">
        <v>2.8666</v>
      </c>
      <c r="TC37" s="545"/>
      <c r="TD37" s="516">
        <v>2.9154</v>
      </c>
      <c r="TE37" s="545"/>
      <c r="TF37" s="535">
        <v>2.9449999999999998</v>
      </c>
      <c r="TG37" s="516">
        <v>31</v>
      </c>
      <c r="TH37" s="536"/>
      <c r="TI37" s="536"/>
      <c r="TJ37" s="516">
        <v>31</v>
      </c>
      <c r="TK37" s="535">
        <v>2.306</v>
      </c>
      <c r="TL37" s="540"/>
      <c r="TM37" s="535">
        <v>2.367</v>
      </c>
      <c r="TN37" s="540"/>
      <c r="TO37" s="535">
        <v>2.4279999999999999</v>
      </c>
      <c r="TP37" s="540"/>
      <c r="TQ37" s="535">
        <v>2.4870000000000001</v>
      </c>
      <c r="TR37" s="535">
        <v>2.52</v>
      </c>
      <c r="TS37" s="545"/>
      <c r="TT37" s="516">
        <v>2.5790000000000002</v>
      </c>
      <c r="TU37" s="545"/>
      <c r="TV37" s="535">
        <v>2.641</v>
      </c>
      <c r="TW37" s="516">
        <v>31</v>
      </c>
    </row>
    <row r="39" spans="2:543" s="134" customFormat="1" ht="20" customHeight="1"/>
    <row r="40" spans="2:543" s="134" customFormat="1" ht="20" customHeight="1">
      <c r="R40" s="212" t="s">
        <v>551</v>
      </c>
    </row>
    <row r="41" spans="2:543" s="134" customFormat="1" ht="20" customHeight="1">
      <c r="R41" s="134" t="s">
        <v>552</v>
      </c>
    </row>
    <row r="42" spans="2:543" s="134" customFormat="1" ht="16">
      <c r="BZ42" s="434"/>
    </row>
    <row r="43" spans="2:543" s="134" customFormat="1" ht="20" customHeight="1">
      <c r="R43" s="212" t="s">
        <v>553</v>
      </c>
    </row>
    <row r="44" spans="2:543" s="134" customFormat="1" ht="20" customHeight="1">
      <c r="R44" s="134" t="s">
        <v>554</v>
      </c>
    </row>
    <row r="45" spans="2:543" s="134" customFormat="1" ht="20" customHeight="1"/>
    <row r="46" spans="2:543" s="134" customFormat="1" ht="20" customHeight="1"/>
    <row r="47" spans="2:543" s="134" customFormat="1" ht="20" customHeight="1"/>
    <row r="48" spans="2:543" s="134" customFormat="1" ht="20" customHeight="1"/>
    <row r="49" s="134" customFormat="1" ht="20" customHeight="1"/>
    <row r="50" s="134" customFormat="1" ht="20" customHeight="1"/>
    <row r="51" s="134" customFormat="1" ht="20" customHeight="1"/>
    <row r="52" s="134" customFormat="1" ht="20" customHeight="1"/>
    <row r="53" s="134" customFormat="1" ht="20" customHeight="1"/>
    <row r="54" s="134" customFormat="1" ht="20" customHeight="1"/>
    <row r="55" s="134" customFormat="1" ht="20" customHeight="1"/>
    <row r="56" s="134" customFormat="1" ht="20" customHeight="1"/>
    <row r="57" s="134" customFormat="1" ht="20" customHeight="1"/>
    <row r="58" s="134" customFormat="1" ht="20" customHeight="1"/>
    <row r="59" s="134" customFormat="1" ht="20" customHeight="1"/>
    <row r="60" s="134" customFormat="1" ht="20" customHeight="1"/>
    <row r="61" s="134" customFormat="1" ht="20" customHeight="1"/>
    <row r="62" s="134" customFormat="1" ht="20" customHeight="1"/>
    <row r="63" s="134" customFormat="1" ht="20" customHeight="1"/>
  </sheetData>
  <mergeCells count="68">
    <mergeCell ref="R2:AE2"/>
    <mergeCell ref="R3:AE3"/>
    <mergeCell ref="B2:O2"/>
    <mergeCell ref="B3:O3"/>
    <mergeCell ref="SD3:SQ3"/>
    <mergeCell ref="SD2:SQ2"/>
    <mergeCell ref="PR2:QE2"/>
    <mergeCell ref="QH2:QU2"/>
    <mergeCell ref="QX2:RK2"/>
    <mergeCell ref="RN2:SA2"/>
    <mergeCell ref="LZ2:MM2"/>
    <mergeCell ref="MP2:NC2"/>
    <mergeCell ref="NF2:NS2"/>
    <mergeCell ref="NV2:OI2"/>
    <mergeCell ref="OL2:OY2"/>
    <mergeCell ref="IX2:JK2"/>
    <mergeCell ref="ST3:TG3"/>
    <mergeCell ref="TJ3:TW3"/>
    <mergeCell ref="PB3:PO3"/>
    <mergeCell ref="PR3:QE3"/>
    <mergeCell ref="QH3:QU3"/>
    <mergeCell ref="QX3:RK3"/>
    <mergeCell ref="RN3:SA3"/>
    <mergeCell ref="ST2:TG2"/>
    <mergeCell ref="TJ2:TW2"/>
    <mergeCell ref="HB3:HO3"/>
    <mergeCell ref="HR3:IE3"/>
    <mergeCell ref="IH3:IU3"/>
    <mergeCell ref="IX3:JK3"/>
    <mergeCell ref="JN3:KA3"/>
    <mergeCell ref="KD3:KQ3"/>
    <mergeCell ref="KT3:LG3"/>
    <mergeCell ref="LJ3:LW3"/>
    <mergeCell ref="LZ3:MM3"/>
    <mergeCell ref="MP3:NC3"/>
    <mergeCell ref="NF3:NS3"/>
    <mergeCell ref="NV3:OI3"/>
    <mergeCell ref="OL3:OY3"/>
    <mergeCell ref="PB2:PO2"/>
    <mergeCell ref="DJ2:DW2"/>
    <mergeCell ref="JN2:KA2"/>
    <mergeCell ref="KD2:KQ2"/>
    <mergeCell ref="KT2:LG2"/>
    <mergeCell ref="LJ2:LW2"/>
    <mergeCell ref="HB2:HO2"/>
    <mergeCell ref="HR2:IE2"/>
    <mergeCell ref="IH2:IU2"/>
    <mergeCell ref="CT3:DG3"/>
    <mergeCell ref="BN2:CA2"/>
    <mergeCell ref="BN3:CA3"/>
    <mergeCell ref="CD2:CQ2"/>
    <mergeCell ref="CT2:DG2"/>
    <mergeCell ref="AH2:AU2"/>
    <mergeCell ref="AH3:AU3"/>
    <mergeCell ref="GL3:GY3"/>
    <mergeCell ref="DZ2:EM2"/>
    <mergeCell ref="DJ3:DW3"/>
    <mergeCell ref="DZ3:EM3"/>
    <mergeCell ref="EP3:FC3"/>
    <mergeCell ref="FF3:FS3"/>
    <mergeCell ref="FV3:GI3"/>
    <mergeCell ref="AX2:BK2"/>
    <mergeCell ref="AX3:BK3"/>
    <mergeCell ref="EP2:FC2"/>
    <mergeCell ref="FF2:FS2"/>
    <mergeCell ref="FV2:GI2"/>
    <mergeCell ref="GL2:GY2"/>
    <mergeCell ref="CD3:CQ3"/>
  </mergeCells>
  <phoneticPr fontId="8" type="noConversion"/>
  <pageMargins left="0.7" right="0.7" top="0.75" bottom="0.75" header="0.3" footer="0.3"/>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P31"/>
  <sheetViews>
    <sheetView topLeftCell="F22" zoomScale="120" zoomScaleNormal="120" workbookViewId="0">
      <selection activeCell="M27" sqref="M27"/>
    </sheetView>
  </sheetViews>
  <sheetFormatPr baseColWidth="10" defaultColWidth="10.83203125" defaultRowHeight="20" customHeight="1"/>
  <cols>
    <col min="1" max="1" width="10.83203125" style="1"/>
    <col min="2" max="2" width="13" style="1" customWidth="1"/>
    <col min="3" max="3" width="13" style="1" hidden="1" customWidth="1"/>
    <col min="4" max="19" width="13" style="1" customWidth="1"/>
    <col min="20" max="16384" width="10.83203125" style="1"/>
  </cols>
  <sheetData>
    <row r="2" spans="2:16" ht="23" customHeight="1">
      <c r="B2" s="748" t="s">
        <v>150</v>
      </c>
      <c r="C2" s="748"/>
      <c r="D2" s="748"/>
      <c r="E2" s="748"/>
      <c r="F2" s="748"/>
      <c r="G2" s="748"/>
      <c r="H2" s="748"/>
      <c r="I2" s="748"/>
      <c r="J2" s="748"/>
      <c r="K2" s="748"/>
      <c r="L2" s="748"/>
      <c r="M2" s="748"/>
      <c r="N2" s="748"/>
      <c r="O2" s="748"/>
      <c r="P2" s="748"/>
    </row>
    <row r="3" spans="2:16" ht="23" customHeight="1">
      <c r="B3" s="748" t="s">
        <v>493</v>
      </c>
      <c r="C3" s="748"/>
      <c r="D3" s="748"/>
      <c r="E3" s="748"/>
      <c r="F3" s="748"/>
      <c r="G3" s="748"/>
      <c r="H3" s="748"/>
      <c r="I3" s="748"/>
      <c r="J3" s="748"/>
      <c r="K3" s="748"/>
      <c r="L3" s="748"/>
      <c r="M3" s="748"/>
      <c r="N3" s="748"/>
      <c r="O3" s="748"/>
      <c r="P3" s="748"/>
    </row>
    <row r="4" spans="2:16" ht="23" customHeight="1">
      <c r="B4" s="334" t="s">
        <v>151</v>
      </c>
      <c r="C4" s="334" t="s">
        <v>636</v>
      </c>
      <c r="D4" s="334" t="s">
        <v>152</v>
      </c>
      <c r="E4" s="334" t="s">
        <v>153</v>
      </c>
      <c r="F4" s="334" t="s">
        <v>154</v>
      </c>
      <c r="G4" s="334" t="s">
        <v>155</v>
      </c>
      <c r="H4" s="334" t="s">
        <v>156</v>
      </c>
      <c r="I4" s="334" t="s">
        <v>157</v>
      </c>
      <c r="J4" s="334" t="s">
        <v>158</v>
      </c>
      <c r="K4" s="334" t="s">
        <v>159</v>
      </c>
      <c r="L4" s="334" t="s">
        <v>160</v>
      </c>
      <c r="M4" s="334" t="s">
        <v>161</v>
      </c>
      <c r="N4" s="334" t="s">
        <v>162</v>
      </c>
      <c r="O4" s="334" t="s">
        <v>163</v>
      </c>
      <c r="P4" s="334" t="s">
        <v>151</v>
      </c>
    </row>
    <row r="5" spans="2:16" ht="23" customHeight="1">
      <c r="B5" s="516">
        <v>2000</v>
      </c>
      <c r="C5" s="516"/>
      <c r="D5" s="517">
        <v>44.930830116377997</v>
      </c>
      <c r="E5" s="517">
        <v>45.329380314521998</v>
      </c>
      <c r="F5" s="517">
        <v>45.580680782035003</v>
      </c>
      <c r="G5" s="517">
        <v>45.840018271642002</v>
      </c>
      <c r="H5" s="517">
        <v>46.011379073729003</v>
      </c>
      <c r="I5" s="517">
        <v>46.283920241006001</v>
      </c>
      <c r="J5" s="517">
        <v>46.464466209717997</v>
      </c>
      <c r="K5" s="517">
        <v>46.719785188278003</v>
      </c>
      <c r="L5" s="517">
        <v>47.061071604014998</v>
      </c>
      <c r="M5" s="517">
        <v>47.385135825852998</v>
      </c>
      <c r="N5" s="517">
        <v>47.790287862832997</v>
      </c>
      <c r="O5" s="517">
        <v>48.307671180741004</v>
      </c>
      <c r="P5" s="516">
        <v>2000</v>
      </c>
    </row>
    <row r="6" spans="2:16" ht="23" customHeight="1">
      <c r="B6" s="516">
        <v>2001</v>
      </c>
      <c r="C6" s="517">
        <f>+O5</f>
        <v>48.307671180741004</v>
      </c>
      <c r="D6" s="517">
        <v>48.575476247933999</v>
      </c>
      <c r="E6" s="517">
        <v>48.543328159565</v>
      </c>
      <c r="F6" s="517">
        <v>48.850887781723998</v>
      </c>
      <c r="G6" s="517">
        <v>49.097308632382997</v>
      </c>
      <c r="H6" s="517">
        <v>49.209970463624998</v>
      </c>
      <c r="I6" s="517">
        <v>49.326363767191999</v>
      </c>
      <c r="J6" s="517">
        <v>49.198201964029998</v>
      </c>
      <c r="K6" s="517">
        <v>49.489687547186001</v>
      </c>
      <c r="L6" s="517">
        <v>49.950381149771999</v>
      </c>
      <c r="M6" s="517">
        <v>50.176135367754</v>
      </c>
      <c r="N6" s="517">
        <v>50.365148908872001</v>
      </c>
      <c r="O6" s="517">
        <v>50.434898785092997</v>
      </c>
      <c r="P6" s="516">
        <v>2001</v>
      </c>
    </row>
    <row r="7" spans="2:16" ht="23" customHeight="1">
      <c r="B7" s="516">
        <v>2002</v>
      </c>
      <c r="C7" s="517">
        <f t="shared" ref="C7:C29" si="0">+O6</f>
        <v>50.434898785092997</v>
      </c>
      <c r="D7" s="517">
        <v>50.900472009715998</v>
      </c>
      <c r="E7" s="517">
        <v>50.867749849081001</v>
      </c>
      <c r="F7" s="517">
        <v>51.127948444495999</v>
      </c>
      <c r="G7" s="517">
        <v>51.407234972562001</v>
      </c>
      <c r="H7" s="517">
        <v>51.511429231397997</v>
      </c>
      <c r="I7" s="517">
        <v>51.762586176958997</v>
      </c>
      <c r="J7" s="517">
        <v>51.911181353361997</v>
      </c>
      <c r="K7" s="517">
        <v>52.108560301263999</v>
      </c>
      <c r="L7" s="517">
        <v>52.421983564994001</v>
      </c>
      <c r="M7" s="517">
        <v>52.653036086686001</v>
      </c>
      <c r="N7" s="517">
        <v>53.078877281373998</v>
      </c>
      <c r="O7" s="517">
        <v>53.309929803065003</v>
      </c>
      <c r="P7" s="516">
        <v>2002</v>
      </c>
    </row>
    <row r="8" spans="2:16" ht="23" customHeight="1">
      <c r="B8" s="516">
        <v>2003</v>
      </c>
      <c r="C8" s="517">
        <f t="shared" si="0"/>
        <v>53.309929803065003</v>
      </c>
      <c r="D8" s="517">
        <v>53.525440675315998</v>
      </c>
      <c r="E8" s="517">
        <v>53.674122454969996</v>
      </c>
      <c r="F8" s="517">
        <v>54.012930412785998</v>
      </c>
      <c r="G8" s="517">
        <v>54.105144199469997</v>
      </c>
      <c r="H8" s="517">
        <v>53.930559670748998</v>
      </c>
      <c r="I8" s="517">
        <v>53.975112399147001</v>
      </c>
      <c r="J8" s="517">
        <v>54.053338701333999</v>
      </c>
      <c r="K8" s="517">
        <v>54.215489910502001</v>
      </c>
      <c r="L8" s="517">
        <v>54.538238163896999</v>
      </c>
      <c r="M8" s="517">
        <v>54.738207386707003</v>
      </c>
      <c r="N8" s="517">
        <v>55.192541605370003</v>
      </c>
      <c r="O8" s="517">
        <v>55.429810786837997</v>
      </c>
      <c r="P8" s="516">
        <v>2003</v>
      </c>
    </row>
    <row r="9" spans="2:16" ht="23" customHeight="1">
      <c r="B9" s="516">
        <v>2004</v>
      </c>
      <c r="C9" s="517">
        <f t="shared" si="0"/>
        <v>55.429810786837997</v>
      </c>
      <c r="D9" s="517">
        <v>55.774317349450001</v>
      </c>
      <c r="E9" s="517">
        <v>56.107944757452998</v>
      </c>
      <c r="F9" s="517">
        <v>56.298070935616998</v>
      </c>
      <c r="G9" s="517">
        <v>56.383031952562</v>
      </c>
      <c r="H9" s="517">
        <v>56.241602942646999</v>
      </c>
      <c r="I9" s="517">
        <v>56.331744509406001</v>
      </c>
      <c r="J9" s="517">
        <v>56.479390179097003</v>
      </c>
      <c r="K9" s="517">
        <v>56.828041181560003</v>
      </c>
      <c r="L9" s="517">
        <v>57.297917049664001</v>
      </c>
      <c r="M9" s="517">
        <v>57.694747165395</v>
      </c>
      <c r="N9" s="517">
        <v>58.186899397696997</v>
      </c>
      <c r="O9" s="517">
        <v>58.307088153376</v>
      </c>
      <c r="P9" s="516">
        <v>2004</v>
      </c>
    </row>
    <row r="10" spans="2:16" ht="23" customHeight="1">
      <c r="B10" s="516">
        <v>2005</v>
      </c>
      <c r="C10" s="517">
        <f t="shared" si="0"/>
        <v>58.307088153376</v>
      </c>
      <c r="D10" s="517">
        <v>58.309160373300998</v>
      </c>
      <c r="E10" s="517">
        <v>58.503430991316002</v>
      </c>
      <c r="F10" s="517">
        <v>58.767120976834001</v>
      </c>
      <c r="G10" s="517">
        <v>58.976415189308</v>
      </c>
      <c r="H10" s="517">
        <v>58.828251464635997</v>
      </c>
      <c r="I10" s="517">
        <v>58.771783471665998</v>
      </c>
      <c r="J10" s="517">
        <v>59.001799883395002</v>
      </c>
      <c r="K10" s="517">
        <v>59.072255360862002</v>
      </c>
      <c r="L10" s="517">
        <v>59.309006487348</v>
      </c>
      <c r="M10" s="517">
        <v>59.454579937113998</v>
      </c>
      <c r="N10" s="517">
        <v>59.882493351727</v>
      </c>
      <c r="O10" s="517">
        <v>60.250312388501001</v>
      </c>
      <c r="P10" s="516">
        <v>2005</v>
      </c>
    </row>
    <row r="11" spans="2:16" ht="23" customHeight="1">
      <c r="B11" s="516">
        <v>2006</v>
      </c>
      <c r="C11" s="517">
        <f t="shared" si="0"/>
        <v>60.250312388501001</v>
      </c>
      <c r="D11" s="517">
        <v>60.603625885795999</v>
      </c>
      <c r="E11" s="517">
        <v>60.696357727462001</v>
      </c>
      <c r="F11" s="517">
        <v>60.772511809722999</v>
      </c>
      <c r="G11" s="517">
        <v>60.861617266518998</v>
      </c>
      <c r="H11" s="517">
        <v>60.590674511262002</v>
      </c>
      <c r="I11" s="517">
        <v>60.642998064380002</v>
      </c>
      <c r="J11" s="517">
        <v>60.809293713400997</v>
      </c>
      <c r="K11" s="517">
        <v>61.119608647242003</v>
      </c>
      <c r="L11" s="517">
        <v>61.736612130056002</v>
      </c>
      <c r="M11" s="517">
        <v>62.006518775350997</v>
      </c>
      <c r="N11" s="517">
        <v>62.331857303652001</v>
      </c>
      <c r="O11" s="517">
        <v>62.692423570686003</v>
      </c>
      <c r="P11" s="516">
        <v>2006</v>
      </c>
    </row>
    <row r="12" spans="2:16" ht="23" customHeight="1">
      <c r="B12" s="516">
        <v>2007</v>
      </c>
      <c r="C12" s="517">
        <f t="shared" si="0"/>
        <v>62.692423570686003</v>
      </c>
      <c r="D12" s="517">
        <v>63.016207934043997</v>
      </c>
      <c r="E12" s="517">
        <v>63.192346627710997</v>
      </c>
      <c r="F12" s="517">
        <v>63.329113142792998</v>
      </c>
      <c r="G12" s="517">
        <v>63.291295129151997</v>
      </c>
      <c r="H12" s="517">
        <v>62.982534360255002</v>
      </c>
      <c r="I12" s="517">
        <v>63.058170387535</v>
      </c>
      <c r="J12" s="517">
        <v>63.326004812904003</v>
      </c>
      <c r="K12" s="517">
        <v>63.583996193627002</v>
      </c>
      <c r="L12" s="517">
        <v>64.077702590875006</v>
      </c>
      <c r="M12" s="517">
        <v>64.327405091895997</v>
      </c>
      <c r="N12" s="517">
        <v>64.781221255576995</v>
      </c>
      <c r="O12" s="517">
        <v>65.049055680945997</v>
      </c>
      <c r="P12" s="516">
        <v>2007</v>
      </c>
    </row>
    <row r="13" spans="2:16" ht="23" customHeight="1">
      <c r="B13" s="516">
        <v>2008</v>
      </c>
      <c r="C13" s="517">
        <f t="shared" si="0"/>
        <v>65.049055680945997</v>
      </c>
      <c r="D13" s="517">
        <v>65.350563680104003</v>
      </c>
      <c r="E13" s="517">
        <v>65.544834298119</v>
      </c>
      <c r="F13" s="517">
        <v>66.019890716036002</v>
      </c>
      <c r="G13" s="517">
        <v>66.170126660633997</v>
      </c>
      <c r="H13" s="517">
        <v>66.098635073205003</v>
      </c>
      <c r="I13" s="517">
        <v>66.372168103369006</v>
      </c>
      <c r="J13" s="517">
        <v>66.742059360067998</v>
      </c>
      <c r="K13" s="517">
        <v>67.127492266209003</v>
      </c>
      <c r="L13" s="517">
        <v>67.584934814760004</v>
      </c>
      <c r="M13" s="517">
        <v>68.045485693200007</v>
      </c>
      <c r="N13" s="517">
        <v>68.818941780386993</v>
      </c>
      <c r="O13" s="517">
        <v>69.295552363249001</v>
      </c>
      <c r="P13" s="516">
        <v>2008</v>
      </c>
    </row>
    <row r="14" spans="2:16" ht="23" customHeight="1">
      <c r="B14" s="516">
        <v>2009</v>
      </c>
      <c r="C14" s="517">
        <f t="shared" si="0"/>
        <v>69.295552363249001</v>
      </c>
      <c r="D14" s="517">
        <v>69.456149407474001</v>
      </c>
      <c r="E14" s="517">
        <v>69.609493681960004</v>
      </c>
      <c r="F14" s="517">
        <v>70.009950182560999</v>
      </c>
      <c r="G14" s="517">
        <v>70.254990188749005</v>
      </c>
      <c r="H14" s="517">
        <v>70.050358471107998</v>
      </c>
      <c r="I14" s="517">
        <v>70.179354161469007</v>
      </c>
      <c r="J14" s="517">
        <v>70.370516449595002</v>
      </c>
      <c r="K14" s="517">
        <v>70.538884318540994</v>
      </c>
      <c r="L14" s="517">
        <v>70.892715870817995</v>
      </c>
      <c r="M14" s="517">
        <v>71.107190633106001</v>
      </c>
      <c r="N14" s="517">
        <v>71.476045779843005</v>
      </c>
      <c r="O14" s="517">
        <v>71.771855174205001</v>
      </c>
      <c r="P14" s="516">
        <v>2009</v>
      </c>
    </row>
    <row r="15" spans="2:16" ht="23" customHeight="1">
      <c r="B15" s="516">
        <v>2010</v>
      </c>
      <c r="C15" s="517">
        <f t="shared" si="0"/>
        <v>71.771855174205001</v>
      </c>
      <c r="D15" s="517">
        <v>72.552045976151007</v>
      </c>
      <c r="E15" s="517">
        <v>72.971670511062001</v>
      </c>
      <c r="F15" s="517">
        <v>73.489725492434005</v>
      </c>
      <c r="G15" s="517">
        <v>73.255564640854004</v>
      </c>
      <c r="H15" s="517">
        <v>72.793977652452</v>
      </c>
      <c r="I15" s="517">
        <v>72.771183233271003</v>
      </c>
      <c r="J15" s="517">
        <v>72.929190002590005</v>
      </c>
      <c r="K15" s="517">
        <v>73.131749500306</v>
      </c>
      <c r="L15" s="517">
        <v>73.515110186520999</v>
      </c>
      <c r="M15" s="517">
        <v>73.968926350203006</v>
      </c>
      <c r="N15" s="517">
        <v>74.561581248891997</v>
      </c>
      <c r="O15" s="517">
        <v>74.930954450610002</v>
      </c>
      <c r="P15" s="516">
        <v>2010</v>
      </c>
    </row>
    <row r="16" spans="2:16" ht="23" customHeight="1">
      <c r="B16" s="516">
        <v>2011</v>
      </c>
      <c r="C16" s="517">
        <f t="shared" si="0"/>
        <v>74.930954450610002</v>
      </c>
      <c r="D16" s="517">
        <v>75.295991345633993</v>
      </c>
      <c r="E16" s="517">
        <v>75.578460244005001</v>
      </c>
      <c r="F16" s="517">
        <v>75.723450928540998</v>
      </c>
      <c r="G16" s="517">
        <v>75.717440951979995</v>
      </c>
      <c r="H16" s="517">
        <v>75.159264378868997</v>
      </c>
      <c r="I16" s="517">
        <v>75.155508143518006</v>
      </c>
      <c r="J16" s="517">
        <v>75.516106737184003</v>
      </c>
      <c r="K16" s="517">
        <v>75.635555021334994</v>
      </c>
      <c r="L16" s="517">
        <v>75.821113047658997</v>
      </c>
      <c r="M16" s="517">
        <v>76.332712302421996</v>
      </c>
      <c r="N16" s="517">
        <v>77.158332832501998</v>
      </c>
      <c r="O16" s="517">
        <v>77.792385359696993</v>
      </c>
      <c r="P16" s="516">
        <v>2011</v>
      </c>
    </row>
    <row r="17" spans="2:16" ht="23" customHeight="1">
      <c r="B17" s="516">
        <v>2012</v>
      </c>
      <c r="C17" s="517">
        <f t="shared" si="0"/>
        <v>77.792385359696993</v>
      </c>
      <c r="D17" s="517">
        <v>78.343049462107004</v>
      </c>
      <c r="E17" s="517">
        <v>78.502313840976001</v>
      </c>
      <c r="F17" s="517">
        <v>78.547388665184002</v>
      </c>
      <c r="G17" s="517">
        <v>78.300979626179995</v>
      </c>
      <c r="H17" s="517">
        <v>78.053819340104994</v>
      </c>
      <c r="I17" s="517">
        <v>78.413666686699997</v>
      </c>
      <c r="J17" s="517">
        <v>78.853897469800003</v>
      </c>
      <c r="K17" s="517">
        <v>79.090540296892996</v>
      </c>
      <c r="L17" s="517">
        <v>79.439118937436007</v>
      </c>
      <c r="M17" s="517">
        <v>79.841036119959</v>
      </c>
      <c r="N17" s="517">
        <v>80.383436504597995</v>
      </c>
      <c r="O17" s="517">
        <v>80.568243283851004</v>
      </c>
      <c r="P17" s="516">
        <v>2012</v>
      </c>
    </row>
    <row r="18" spans="2:16" ht="23" customHeight="1">
      <c r="B18" s="516">
        <v>2013</v>
      </c>
      <c r="C18" s="517">
        <f t="shared" si="0"/>
        <v>80.568243283851004</v>
      </c>
      <c r="D18" s="517">
        <v>80.892782018150001</v>
      </c>
      <c r="E18" s="517">
        <v>81.290942965322003</v>
      </c>
      <c r="F18" s="517">
        <v>81.887433139010994</v>
      </c>
      <c r="G18" s="517">
        <v>81.941522928061005</v>
      </c>
      <c r="H18" s="517">
        <v>81.668820241600997</v>
      </c>
      <c r="I18" s="517">
        <v>81.619237934972006</v>
      </c>
      <c r="J18" s="517">
        <v>81.592193040447</v>
      </c>
      <c r="K18" s="517">
        <v>81.824328385119003</v>
      </c>
      <c r="L18" s="517">
        <v>82.132339683875003</v>
      </c>
      <c r="M18" s="517">
        <v>82.522988160346003</v>
      </c>
      <c r="N18" s="517">
        <v>83.292265160165996</v>
      </c>
      <c r="O18" s="517">
        <v>83.770058296773001</v>
      </c>
      <c r="P18" s="516">
        <v>2013</v>
      </c>
    </row>
    <row r="19" spans="2:16" ht="23" customHeight="1">
      <c r="B19" s="516">
        <v>2014</v>
      </c>
      <c r="C19" s="517">
        <f t="shared" si="0"/>
        <v>83.770058296773001</v>
      </c>
      <c r="D19" s="517">
        <v>84.519051625699007</v>
      </c>
      <c r="E19" s="517">
        <v>84.733157040687999</v>
      </c>
      <c r="F19" s="517">
        <v>84.965292385360002</v>
      </c>
      <c r="G19" s="517">
        <v>84.806779253561004</v>
      </c>
      <c r="H19" s="517">
        <v>84.535579061242004</v>
      </c>
      <c r="I19" s="517">
        <v>84.682072239918</v>
      </c>
      <c r="J19" s="517">
        <v>84.914958831660996</v>
      </c>
      <c r="K19" s="517">
        <v>85.219965142136004</v>
      </c>
      <c r="L19" s="517">
        <v>85.596339924274005</v>
      </c>
      <c r="M19" s="517">
        <v>86.069625578460005</v>
      </c>
      <c r="N19" s="517">
        <v>86.763777871266001</v>
      </c>
      <c r="O19" s="517">
        <v>87.188983712964003</v>
      </c>
      <c r="P19" s="516">
        <v>2014</v>
      </c>
    </row>
    <row r="20" spans="2:16" ht="23" customHeight="1">
      <c r="B20" s="516">
        <v>2015</v>
      </c>
      <c r="C20" s="517">
        <f t="shared" si="0"/>
        <v>87.188983712964003</v>
      </c>
      <c r="D20" s="517">
        <v>87.110102770598999</v>
      </c>
      <c r="E20" s="517">
        <v>87.275377126028999</v>
      </c>
      <c r="F20" s="517">
        <v>87.630716990203993</v>
      </c>
      <c r="G20" s="517">
        <v>87.403840375022995</v>
      </c>
      <c r="H20" s="517">
        <v>86.967365827272999</v>
      </c>
      <c r="I20" s="517">
        <v>87.113107758880005</v>
      </c>
      <c r="J20" s="517">
        <v>87.240819760803006</v>
      </c>
      <c r="K20" s="517">
        <v>87.424875292986002</v>
      </c>
      <c r="L20" s="517">
        <v>87.752419015566005</v>
      </c>
      <c r="M20" s="517">
        <v>88.203918504718004</v>
      </c>
      <c r="N20" s="517">
        <v>88.685467876675006</v>
      </c>
      <c r="O20" s="517">
        <v>89.046817717411002</v>
      </c>
      <c r="P20" s="516">
        <v>2015</v>
      </c>
    </row>
    <row r="21" spans="2:16" ht="23" customHeight="1">
      <c r="B21" s="516">
        <v>2016</v>
      </c>
      <c r="C21" s="517">
        <f t="shared" si="0"/>
        <v>89.046817717411002</v>
      </c>
      <c r="D21" s="517">
        <v>89.386381393112998</v>
      </c>
      <c r="E21" s="517">
        <v>89.777781116653998</v>
      </c>
      <c r="F21" s="517">
        <v>89.910000600998004</v>
      </c>
      <c r="G21" s="517">
        <v>89.625277961416003</v>
      </c>
      <c r="H21" s="517">
        <v>89.225614520102994</v>
      </c>
      <c r="I21" s="517">
        <v>89.324027886291006</v>
      </c>
      <c r="J21" s="517">
        <v>89.556914478034003</v>
      </c>
      <c r="K21" s="517">
        <v>89.809333493598999</v>
      </c>
      <c r="L21" s="517">
        <v>90.357743854798997</v>
      </c>
      <c r="M21" s="517">
        <v>90.906154215998995</v>
      </c>
      <c r="N21" s="517">
        <v>91.616833944348002</v>
      </c>
      <c r="O21" s="517">
        <v>92.039034797764003</v>
      </c>
      <c r="P21" s="516">
        <v>2016</v>
      </c>
    </row>
    <row r="22" spans="2:16" ht="23" customHeight="1">
      <c r="B22" s="516">
        <v>2017</v>
      </c>
      <c r="C22" s="517">
        <f t="shared" si="0"/>
        <v>92.039034797764003</v>
      </c>
      <c r="D22" s="517">
        <v>93.603882444858996</v>
      </c>
      <c r="E22" s="517">
        <v>94.144780335356998</v>
      </c>
      <c r="F22" s="517">
        <v>94.722489332292</v>
      </c>
      <c r="G22" s="517">
        <v>94.838932628162993</v>
      </c>
      <c r="H22" s="517">
        <v>94.725494320571997</v>
      </c>
      <c r="I22" s="517">
        <v>94.963639641805003</v>
      </c>
      <c r="J22" s="517">
        <v>95.322735741331002</v>
      </c>
      <c r="K22" s="517">
        <v>95.793767654305995</v>
      </c>
      <c r="L22" s="517">
        <v>96.093515235290994</v>
      </c>
      <c r="M22" s="517">
        <v>96.698269126750006</v>
      </c>
      <c r="N22" s="517">
        <v>97.695173988822006</v>
      </c>
      <c r="O22" s="517">
        <v>98.272882985755999</v>
      </c>
      <c r="P22" s="516">
        <v>2017</v>
      </c>
    </row>
    <row r="23" spans="2:16" ht="23" customHeight="1">
      <c r="B23" s="516">
        <v>2018</v>
      </c>
      <c r="C23" s="517">
        <f t="shared" si="0"/>
        <v>98.272882985755999</v>
      </c>
      <c r="D23" s="517">
        <v>98.794999699501005</v>
      </c>
      <c r="E23" s="517">
        <v>99.171374481640001</v>
      </c>
      <c r="F23" s="517">
        <v>99.492156980588007</v>
      </c>
      <c r="G23" s="517">
        <v>99.154847046097004</v>
      </c>
      <c r="H23" s="517">
        <v>98.994080173086999</v>
      </c>
      <c r="I23" s="517">
        <v>99.376464931786998</v>
      </c>
      <c r="J23" s="517">
        <v>99.909099104513999</v>
      </c>
      <c r="K23" s="517">
        <v>100.492</v>
      </c>
      <c r="L23" s="517">
        <v>100.917</v>
      </c>
      <c r="M23" s="517">
        <v>101.44</v>
      </c>
      <c r="N23" s="517">
        <v>102.303</v>
      </c>
      <c r="O23" s="517">
        <v>103.02</v>
      </c>
      <c r="P23" s="516">
        <v>2018</v>
      </c>
    </row>
    <row r="24" spans="2:16" ht="23" customHeight="1">
      <c r="B24" s="516">
        <v>2019</v>
      </c>
      <c r="C24" s="517">
        <f t="shared" si="0"/>
        <v>103.02</v>
      </c>
      <c r="D24" s="517">
        <v>103.108</v>
      </c>
      <c r="E24" s="517">
        <v>103.07899999999999</v>
      </c>
      <c r="F24" s="517">
        <v>103.476</v>
      </c>
      <c r="G24" s="517">
        <v>103.53100000000001</v>
      </c>
      <c r="H24" s="517">
        <v>103.233</v>
      </c>
      <c r="I24" s="517">
        <v>103.29900000000001</v>
      </c>
      <c r="J24" s="517">
        <v>103.687</v>
      </c>
      <c r="K24" s="517">
        <v>103.67</v>
      </c>
      <c r="L24" s="517">
        <v>103.94199999999999</v>
      </c>
      <c r="M24" s="517">
        <v>104.503</v>
      </c>
      <c r="N24" s="517">
        <v>105.346</v>
      </c>
      <c r="O24" s="517">
        <v>105.934</v>
      </c>
      <c r="P24" s="516">
        <v>2019</v>
      </c>
    </row>
    <row r="25" spans="2:16" ht="23" customHeight="1">
      <c r="B25" s="516">
        <v>2020</v>
      </c>
      <c r="C25" s="517">
        <f t="shared" si="0"/>
        <v>105.934</v>
      </c>
      <c r="D25" s="517">
        <v>106.447</v>
      </c>
      <c r="E25" s="517">
        <v>106.889</v>
      </c>
      <c r="F25" s="517">
        <v>106.83799999999999</v>
      </c>
      <c r="G25" s="517">
        <v>105.755</v>
      </c>
      <c r="H25" s="517">
        <v>106.16200000000001</v>
      </c>
      <c r="I25" s="517">
        <v>106.74299999999999</v>
      </c>
      <c r="J25" s="517">
        <v>107.444</v>
      </c>
      <c r="K25" s="517">
        <v>107.867</v>
      </c>
      <c r="L25" s="517">
        <v>108.114</v>
      </c>
      <c r="M25" s="517">
        <v>108.774</v>
      </c>
      <c r="N25" s="517">
        <v>108.85599999999999</v>
      </c>
      <c r="O25" s="517">
        <v>109.271</v>
      </c>
      <c r="P25" s="516">
        <v>2020</v>
      </c>
    </row>
    <row r="26" spans="2:16" ht="23" customHeight="1">
      <c r="B26" s="516">
        <v>2021</v>
      </c>
      <c r="C26" s="517">
        <f t="shared" si="0"/>
        <v>109.271</v>
      </c>
      <c r="D26" s="517">
        <v>110.21</v>
      </c>
      <c r="E26" s="517">
        <v>110.907</v>
      </c>
      <c r="F26" s="517">
        <v>111.824</v>
      </c>
      <c r="G26" s="517">
        <v>112.19</v>
      </c>
      <c r="H26" s="517">
        <v>112.419</v>
      </c>
      <c r="I26" s="517">
        <v>113.018</v>
      </c>
      <c r="J26" s="517">
        <v>113.682</v>
      </c>
      <c r="K26" s="517">
        <v>113.899</v>
      </c>
      <c r="L26" s="517">
        <v>114.601</v>
      </c>
      <c r="M26" s="517">
        <v>115.56100000000001</v>
      </c>
      <c r="N26" s="517">
        <v>116.884</v>
      </c>
      <c r="O26" s="517">
        <v>117.30800000000001</v>
      </c>
      <c r="P26" s="516">
        <v>2021</v>
      </c>
    </row>
    <row r="27" spans="2:16" ht="23" customHeight="1">
      <c r="B27" s="516">
        <v>2022</v>
      </c>
      <c r="C27" s="517">
        <f t="shared" si="0"/>
        <v>117.30800000000001</v>
      </c>
      <c r="D27" s="663">
        <v>118.002</v>
      </c>
      <c r="E27" s="517">
        <v>118.98099999999999</v>
      </c>
      <c r="F27" s="517">
        <v>120.15900000000001</v>
      </c>
      <c r="G27" s="517">
        <v>120.809</v>
      </c>
      <c r="H27" s="517">
        <v>121.02200000000001</v>
      </c>
      <c r="I27" s="517">
        <v>122.044</v>
      </c>
      <c r="J27" s="517">
        <v>122.94799999999999</v>
      </c>
      <c r="K27" s="517">
        <v>123.803</v>
      </c>
      <c r="L27" s="517">
        <v>124.571</v>
      </c>
      <c r="M27" s="517">
        <v>125.276</v>
      </c>
      <c r="N27" s="521">
        <f>+M27</f>
        <v>125.276</v>
      </c>
      <c r="O27" s="521">
        <f>+N27</f>
        <v>125.276</v>
      </c>
      <c r="P27" s="516">
        <v>2022</v>
      </c>
    </row>
    <row r="28" spans="2:16" ht="23" customHeight="1">
      <c r="B28" s="516">
        <v>2023</v>
      </c>
      <c r="C28" s="517">
        <f t="shared" si="0"/>
        <v>125.276</v>
      </c>
      <c r="D28" s="521">
        <f>+O27</f>
        <v>125.276</v>
      </c>
      <c r="E28" s="521">
        <f t="shared" ref="E28:O28" si="1">+D28</f>
        <v>125.276</v>
      </c>
      <c r="F28" s="521">
        <f t="shared" si="1"/>
        <v>125.276</v>
      </c>
      <c r="G28" s="521">
        <f t="shared" si="1"/>
        <v>125.276</v>
      </c>
      <c r="H28" s="521">
        <f t="shared" si="1"/>
        <v>125.276</v>
      </c>
      <c r="I28" s="521">
        <f t="shared" si="1"/>
        <v>125.276</v>
      </c>
      <c r="J28" s="521">
        <f t="shared" si="1"/>
        <v>125.276</v>
      </c>
      <c r="K28" s="521">
        <f t="shared" si="1"/>
        <v>125.276</v>
      </c>
      <c r="L28" s="521">
        <f t="shared" si="1"/>
        <v>125.276</v>
      </c>
      <c r="M28" s="521">
        <f t="shared" si="1"/>
        <v>125.276</v>
      </c>
      <c r="N28" s="521">
        <f t="shared" si="1"/>
        <v>125.276</v>
      </c>
      <c r="O28" s="521">
        <f t="shared" si="1"/>
        <v>125.276</v>
      </c>
      <c r="P28" s="516">
        <v>2023</v>
      </c>
    </row>
    <row r="29" spans="2:16" ht="23" customHeight="1">
      <c r="B29" s="516">
        <v>2024</v>
      </c>
      <c r="C29" s="517">
        <f t="shared" si="0"/>
        <v>125.276</v>
      </c>
      <c r="D29" s="521">
        <f>+O28</f>
        <v>125.276</v>
      </c>
      <c r="E29" s="521">
        <f t="shared" ref="E29:O29" si="2">+D29</f>
        <v>125.276</v>
      </c>
      <c r="F29" s="521">
        <f t="shared" si="2"/>
        <v>125.276</v>
      </c>
      <c r="G29" s="521">
        <f t="shared" si="2"/>
        <v>125.276</v>
      </c>
      <c r="H29" s="521">
        <f t="shared" si="2"/>
        <v>125.276</v>
      </c>
      <c r="I29" s="521">
        <f t="shared" si="2"/>
        <v>125.276</v>
      </c>
      <c r="J29" s="521">
        <f t="shared" si="2"/>
        <v>125.276</v>
      </c>
      <c r="K29" s="521">
        <f t="shared" si="2"/>
        <v>125.276</v>
      </c>
      <c r="L29" s="521">
        <f t="shared" si="2"/>
        <v>125.276</v>
      </c>
      <c r="M29" s="521">
        <f t="shared" si="2"/>
        <v>125.276</v>
      </c>
      <c r="N29" s="521">
        <f t="shared" si="2"/>
        <v>125.276</v>
      </c>
      <c r="O29" s="521">
        <f t="shared" si="2"/>
        <v>125.276</v>
      </c>
      <c r="P29" s="516">
        <v>2024</v>
      </c>
    </row>
    <row r="30" spans="2:16" ht="23" customHeight="1">
      <c r="B30" s="334" t="s">
        <v>151</v>
      </c>
      <c r="C30" s="334"/>
      <c r="D30" s="334" t="s">
        <v>152</v>
      </c>
      <c r="E30" s="334" t="s">
        <v>153</v>
      </c>
      <c r="F30" s="334" t="s">
        <v>154</v>
      </c>
      <c r="G30" s="334" t="s">
        <v>155</v>
      </c>
      <c r="H30" s="334" t="s">
        <v>156</v>
      </c>
      <c r="I30" s="334" t="s">
        <v>157</v>
      </c>
      <c r="J30" s="334" t="s">
        <v>158</v>
      </c>
      <c r="K30" s="334" t="s">
        <v>159</v>
      </c>
      <c r="L30" s="334" t="s">
        <v>160</v>
      </c>
      <c r="M30" s="334" t="s">
        <v>161</v>
      </c>
      <c r="N30" s="334" t="s">
        <v>162</v>
      </c>
      <c r="O30" s="334" t="s">
        <v>163</v>
      </c>
      <c r="P30" s="334" t="s">
        <v>151</v>
      </c>
    </row>
    <row r="31" spans="2:16" ht="23" customHeight="1"/>
  </sheetData>
  <mergeCells count="2">
    <mergeCell ref="B2:P2"/>
    <mergeCell ref="B3:P3"/>
  </mergeCells>
  <phoneticPr fontId="8" type="noConversion"/>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08305-5BF9-174A-8F3A-183FDEF4CD84}">
  <dimension ref="A1:O156"/>
  <sheetViews>
    <sheetView workbookViewId="0">
      <pane ySplit="2" topLeftCell="A3" activePane="bottomLeft" state="frozen"/>
      <selection pane="bottomLeft" activeCell="A138" sqref="A138:A153"/>
    </sheetView>
  </sheetViews>
  <sheetFormatPr baseColWidth="10" defaultColWidth="11" defaultRowHeight="16"/>
  <cols>
    <col min="1" max="1" width="22.33203125" customWidth="1"/>
    <col min="2" max="2" width="46.83203125" bestFit="1" customWidth="1"/>
    <col min="3" max="3" width="11.33203125" customWidth="1"/>
  </cols>
  <sheetData>
    <row r="1" spans="1:15">
      <c r="A1" s="522"/>
      <c r="B1" s="523"/>
      <c r="C1" s="524">
        <v>44562</v>
      </c>
      <c r="D1" s="524">
        <v>44593</v>
      </c>
      <c r="E1" s="524">
        <v>44621</v>
      </c>
      <c r="F1" s="524">
        <v>44652</v>
      </c>
      <c r="G1" s="524">
        <v>44682</v>
      </c>
      <c r="H1" s="524">
        <v>44713</v>
      </c>
      <c r="I1" s="524">
        <v>44743</v>
      </c>
      <c r="J1" s="524">
        <v>44774</v>
      </c>
      <c r="K1" s="524">
        <v>44805</v>
      </c>
      <c r="L1" s="524">
        <v>44835</v>
      </c>
      <c r="M1" s="524">
        <v>44866</v>
      </c>
      <c r="N1" s="524">
        <v>44896</v>
      </c>
      <c r="O1" s="525"/>
    </row>
    <row r="2" spans="1:15">
      <c r="A2" s="522"/>
      <c r="B2" s="526" t="s">
        <v>598</v>
      </c>
      <c r="C2" s="527" t="s">
        <v>599</v>
      </c>
      <c r="D2" s="527" t="s">
        <v>600</v>
      </c>
      <c r="E2" s="527" t="s">
        <v>601</v>
      </c>
      <c r="F2" s="527" t="s">
        <v>602</v>
      </c>
      <c r="G2" s="527" t="s">
        <v>603</v>
      </c>
      <c r="H2" s="527" t="s">
        <v>604</v>
      </c>
      <c r="I2" s="527" t="s">
        <v>605</v>
      </c>
      <c r="J2" s="527" t="s">
        <v>606</v>
      </c>
      <c r="K2" s="527" t="s">
        <v>607</v>
      </c>
      <c r="L2" s="527" t="s">
        <v>608</v>
      </c>
      <c r="M2" s="527" t="s">
        <v>609</v>
      </c>
      <c r="N2" s="527" t="s">
        <v>610</v>
      </c>
      <c r="O2" s="527" t="s">
        <v>252</v>
      </c>
    </row>
    <row r="3" spans="1:15">
      <c r="A3" s="522"/>
      <c r="B3" s="528"/>
      <c r="C3" s="529"/>
      <c r="D3" s="529"/>
      <c r="E3" s="529"/>
      <c r="F3" s="529"/>
      <c r="G3" s="529"/>
      <c r="H3" s="529"/>
      <c r="I3" s="529"/>
      <c r="J3" s="529"/>
      <c r="K3" s="529"/>
      <c r="L3" s="529"/>
      <c r="M3" s="529"/>
      <c r="N3" s="529"/>
      <c r="O3" s="529"/>
    </row>
    <row r="4" spans="1:15">
      <c r="A4" s="522"/>
      <c r="B4" s="526" t="s">
        <v>611</v>
      </c>
      <c r="C4" s="530"/>
      <c r="D4" s="530"/>
      <c r="E4" s="530"/>
      <c r="F4" s="530"/>
      <c r="G4" s="530"/>
      <c r="H4" s="530"/>
      <c r="I4" s="530"/>
      <c r="J4" s="530"/>
      <c r="K4" s="530"/>
      <c r="L4" s="530"/>
      <c r="M4" s="530"/>
      <c r="N4" s="530"/>
      <c r="O4" s="530"/>
    </row>
    <row r="5" spans="1:15">
      <c r="A5" s="664" t="str">
        <f>+Cuentas!B6</f>
        <v>31XX29</v>
      </c>
      <c r="B5" s="526" t="str">
        <f t="shared" ref="B5:B20" si="0">+CONCATENATE("        Intereses - ",A5)</f>
        <v xml:space="preserve">        Intereses - 31XX29</v>
      </c>
      <c r="C5" s="530">
        <f>+SUMIFS('Intereses percibidos'!$G$7:$G$569,'Intereses percibidos'!$B$7:$B$569,'Rev JR'!$A5,'Intereses percibidos'!$D$7:$D$569,"&gt;="&amp;'Rev JR'!C$1,'Intereses percibidos'!$D$7:$D$569,"&lt;="&amp;EOMONTH('Rev JR'!C$1,0))</f>
        <v>0</v>
      </c>
      <c r="D5" s="530">
        <f>+SUMIFS('Intereses percibidos'!$G$7:$G$569,'Intereses percibidos'!$B$7:$B$569,'Rev JR'!$A5,'Intereses percibidos'!$D$7:$D$569,"&gt;="&amp;'Rev JR'!D$1,'Intereses percibidos'!$D$7:$D$569,"&lt;="&amp;EOMONTH('Rev JR'!D$1,0))</f>
        <v>0</v>
      </c>
      <c r="E5" s="530">
        <f>+SUMIFS('Intereses percibidos'!$G$7:$G$569,'Intereses percibidos'!$B$7:$B$569,'Rev JR'!$A5,'Intereses percibidos'!$D$7:$D$569,"&gt;="&amp;'Rev JR'!E$1,'Intereses percibidos'!$D$7:$D$569,"&lt;="&amp;EOMONTH('Rev JR'!E$1,0))</f>
        <v>1.81</v>
      </c>
      <c r="F5" s="530">
        <f>+SUMIFS('Intereses percibidos'!$G$7:$G$569,'Intereses percibidos'!$B$7:$B$569,'Rev JR'!$A5,'Intereses percibidos'!$D$7:$D$569,"&gt;="&amp;'Rev JR'!F$1,'Intereses percibidos'!$D$7:$D$569,"&lt;="&amp;EOMONTH('Rev JR'!F$1,0))</f>
        <v>0</v>
      </c>
      <c r="G5" s="530">
        <f>+SUMIFS('Intereses percibidos'!$G$7:$G$569,'Intereses percibidos'!$B$7:$B$569,'Rev JR'!$A5,'Intereses percibidos'!$D$7:$D$569,"&gt;="&amp;'Rev JR'!G$1,'Intereses percibidos'!$D$7:$D$569,"&lt;="&amp;EOMONTH('Rev JR'!G$1,0))</f>
        <v>0</v>
      </c>
      <c r="H5" s="530">
        <f>+SUMIFS('Intereses percibidos'!$G$7:$G$569,'Intereses percibidos'!$B$7:$B$569,'Rev JR'!$A5,'Intereses percibidos'!$D$7:$D$569,"&gt;="&amp;'Rev JR'!H$1,'Intereses percibidos'!$D$7:$D$569,"&lt;="&amp;EOMONTH('Rev JR'!H$1,0))</f>
        <v>57.56</v>
      </c>
      <c r="I5" s="530">
        <f>+SUMIFS('Intereses percibidos'!$G$7:$G$569,'Intereses percibidos'!$B$7:$B$569,'Rev JR'!$A5,'Intereses percibidos'!$D$7:$D$569,"&gt;="&amp;'Rev JR'!I$1,'Intereses percibidos'!$D$7:$D$569,"&lt;="&amp;EOMONTH('Rev JR'!I$1,0))</f>
        <v>0</v>
      </c>
      <c r="J5" s="530">
        <f>+SUMIFS('Intereses percibidos'!$G$7:$G$569,'Intereses percibidos'!$B$7:$B$569,'Rev JR'!$A5,'Intereses percibidos'!$D$7:$D$569,"&gt;="&amp;'Rev JR'!J$1,'Intereses percibidos'!$D$7:$D$569,"&lt;="&amp;EOMONTH('Rev JR'!J$1,0))</f>
        <v>0</v>
      </c>
      <c r="K5" s="530">
        <f>+SUMIFS('Intereses percibidos'!$G$7:$G$569,'Intereses percibidos'!$B$7:$B$569,'Rev JR'!$A5,'Intereses percibidos'!$D$7:$D$569,"&gt;="&amp;'Rev JR'!K$1,'Intereses percibidos'!$D$7:$D$569,"&lt;="&amp;EOMONTH('Rev JR'!K$1,0))</f>
        <v>1087.17</v>
      </c>
      <c r="L5" s="530">
        <f>+SUMIFS('Intereses percibidos'!$G$7:$G$569,'Intereses percibidos'!$B$7:$B$569,'Rev JR'!$A5,'Intereses percibidos'!$D$7:$D$569,"&gt;="&amp;'Rev JR'!L$1,'Intereses percibidos'!$D$7:$D$569,"&lt;="&amp;EOMONTH('Rev JR'!L$1,0))</f>
        <v>0</v>
      </c>
      <c r="M5" s="530">
        <f>+SUMIFS('Intereses percibidos'!$G$7:$G$569,'Intereses percibidos'!$B$7:$B$569,'Rev JR'!$A5,'Intereses percibidos'!$D$7:$D$569,"&gt;="&amp;'Rev JR'!M$1,'Intereses percibidos'!$D$7:$D$569,"&lt;="&amp;EOMONTH('Rev JR'!M$1,0))</f>
        <v>0</v>
      </c>
      <c r="N5" s="530">
        <f>+SUMIFS('Intereses percibidos'!$G$7:$G$569,'Intereses percibidos'!$B$7:$B$569,'Rev JR'!$A5,'Intereses percibidos'!$D$7:$D$569,"&gt;="&amp;'Rev JR'!N$1,'Intereses percibidos'!$D$7:$D$569,"&lt;="&amp;EOMONTH('Rev JR'!N$1,0))</f>
        <v>0</v>
      </c>
      <c r="O5" s="530">
        <f>SUM(C5:N5)</f>
        <v>1146.54</v>
      </c>
    </row>
    <row r="6" spans="1:15">
      <c r="A6" s="664" t="str">
        <f>+Cuentas!B7</f>
        <v>11XX300</v>
      </c>
      <c r="B6" s="526" t="str">
        <f t="shared" si="0"/>
        <v xml:space="preserve">        Intereses - 11XX300</v>
      </c>
      <c r="C6" s="530">
        <f>+SUMIFS('Intereses percibidos'!$G$7:$G$569,'Intereses percibidos'!$B$7:$B$569,'Rev JR'!$A6,'Intereses percibidos'!$D$7:$D$569,"&gt;="&amp;'Rev JR'!C$1,'Intereses percibidos'!$D$7:$D$569,"&lt;="&amp;EOMONTH('Rev JR'!C$1,0))</f>
        <v>17.88</v>
      </c>
      <c r="D6" s="530">
        <f>+SUMIFS('Intereses percibidos'!$G$7:$G$569,'Intereses percibidos'!$B$7:$B$569,'Rev JR'!$A6,'Intereses percibidos'!$D$7:$D$569,"&gt;="&amp;'Rev JR'!D$1,'Intereses percibidos'!$D$7:$D$569,"&lt;="&amp;EOMONTH('Rev JR'!D$1,0))</f>
        <v>6.6</v>
      </c>
      <c r="E6" s="530">
        <f>+SUMIFS('Intereses percibidos'!$G$7:$G$569,'Intereses percibidos'!$B$7:$B$569,'Rev JR'!$A6,'Intereses percibidos'!$D$7:$D$569,"&gt;="&amp;'Rev JR'!E$1,'Intereses percibidos'!$D$7:$D$569,"&lt;="&amp;EOMONTH('Rev JR'!E$1,0))</f>
        <v>11.31</v>
      </c>
      <c r="F6" s="530">
        <f>+SUMIFS('Intereses percibidos'!$G$7:$G$569,'Intereses percibidos'!$B$7:$B$569,'Rev JR'!$A6,'Intereses percibidos'!$D$7:$D$569,"&gt;="&amp;'Rev JR'!F$1,'Intereses percibidos'!$D$7:$D$569,"&lt;="&amp;EOMONTH('Rev JR'!F$1,0))</f>
        <v>71.010000000000005</v>
      </c>
      <c r="G6" s="530">
        <f>+SUMIFS('Intereses percibidos'!$G$7:$G$569,'Intereses percibidos'!$B$7:$B$569,'Rev JR'!$A6,'Intereses percibidos'!$D$7:$D$569,"&gt;="&amp;'Rev JR'!G$1,'Intereses percibidos'!$D$7:$D$569,"&lt;="&amp;EOMONTH('Rev JR'!G$1,0))</f>
        <v>143.22999999999999</v>
      </c>
      <c r="H6" s="530">
        <f>+SUMIFS('Intereses percibidos'!$G$7:$G$569,'Intereses percibidos'!$B$7:$B$569,'Rev JR'!$A6,'Intereses percibidos'!$D$7:$D$569,"&gt;="&amp;'Rev JR'!H$1,'Intereses percibidos'!$D$7:$D$569,"&lt;="&amp;EOMONTH('Rev JR'!H$1,0))</f>
        <v>133.43</v>
      </c>
      <c r="I6" s="530">
        <f>+SUMIFS('Intereses percibidos'!$G$7:$G$569,'Intereses percibidos'!$B$7:$B$569,'Rev JR'!$A6,'Intereses percibidos'!$D$7:$D$569,"&gt;="&amp;'Rev JR'!I$1,'Intereses percibidos'!$D$7:$D$569,"&lt;="&amp;EOMONTH('Rev JR'!I$1,0))</f>
        <v>93.78</v>
      </c>
      <c r="J6" s="530">
        <f>+SUMIFS('Intereses percibidos'!$G$7:$G$569,'Intereses percibidos'!$B$7:$B$569,'Rev JR'!$A6,'Intereses percibidos'!$D$7:$D$569,"&gt;="&amp;'Rev JR'!J$1,'Intereses percibidos'!$D$7:$D$569,"&lt;="&amp;EOMONTH('Rev JR'!J$1,0))</f>
        <v>670.58</v>
      </c>
      <c r="K6" s="530">
        <f>+SUMIFS('Intereses percibidos'!$G$7:$G$569,'Intereses percibidos'!$B$7:$B$569,'Rev JR'!$A6,'Intereses percibidos'!$D$7:$D$569,"&gt;="&amp;'Rev JR'!K$1,'Intereses percibidos'!$D$7:$D$569,"&lt;="&amp;EOMONTH('Rev JR'!K$1,0))</f>
        <v>195.7</v>
      </c>
      <c r="L6" s="530">
        <f>+SUMIFS('Intereses percibidos'!$G$7:$G$569,'Intereses percibidos'!$B$7:$B$569,'Rev JR'!$A6,'Intereses percibidos'!$D$7:$D$569,"&gt;="&amp;'Rev JR'!L$1,'Intereses percibidos'!$D$7:$D$569,"&lt;="&amp;EOMONTH('Rev JR'!L$1,0))</f>
        <v>942.59</v>
      </c>
      <c r="M6" s="530">
        <f>+SUMIFS('Intereses percibidos'!$G$7:$G$569,'Intereses percibidos'!$B$7:$B$569,'Rev JR'!$A6,'Intereses percibidos'!$D$7:$D$569,"&gt;="&amp;'Rev JR'!M$1,'Intereses percibidos'!$D$7:$D$569,"&lt;="&amp;EOMONTH('Rev JR'!M$1,0))</f>
        <v>0</v>
      </c>
      <c r="N6" s="530">
        <f>+SUMIFS('Intereses percibidos'!$G$7:$G$569,'Intereses percibidos'!$B$7:$B$569,'Rev JR'!$A6,'Intereses percibidos'!$D$7:$D$569,"&gt;="&amp;'Rev JR'!N$1,'Intereses percibidos'!$D$7:$D$569,"&lt;="&amp;EOMONTH('Rev JR'!N$1,0))</f>
        <v>0</v>
      </c>
      <c r="O6" s="530">
        <f t="shared" ref="O6:O20" si="1">SUM(C6:N6)</f>
        <v>2286.11</v>
      </c>
    </row>
    <row r="7" spans="1:15">
      <c r="A7" s="664" t="str">
        <f>+Cuentas!B8</f>
        <v>1XXX100</v>
      </c>
      <c r="B7" s="526" t="str">
        <f t="shared" si="0"/>
        <v xml:space="preserve">        Intereses - 1XXX100</v>
      </c>
      <c r="C7" s="530">
        <f>+SUMIFS('Intereses percibidos'!$G$7:$G$569,'Intereses percibidos'!$B$7:$B$569,'Rev JR'!$A7,'Intereses percibidos'!$D$7:$D$569,"&gt;="&amp;'Rev JR'!C$1,'Intereses percibidos'!$D$7:$D$569,"&lt;="&amp;EOMONTH('Rev JR'!C$1,0))</f>
        <v>8.17</v>
      </c>
      <c r="D7" s="530">
        <f>+SUMIFS('Intereses percibidos'!$G$7:$G$569,'Intereses percibidos'!$B$7:$B$569,'Rev JR'!$A7,'Intereses percibidos'!$D$7:$D$569,"&gt;="&amp;'Rev JR'!D$1,'Intereses percibidos'!$D$7:$D$569,"&lt;="&amp;EOMONTH('Rev JR'!D$1,0))</f>
        <v>5.77</v>
      </c>
      <c r="E7" s="530">
        <f>+SUMIFS('Intereses percibidos'!$G$7:$G$569,'Intereses percibidos'!$B$7:$B$569,'Rev JR'!$A7,'Intereses percibidos'!$D$7:$D$569,"&gt;="&amp;'Rev JR'!E$1,'Intereses percibidos'!$D$7:$D$569,"&lt;="&amp;EOMONTH('Rev JR'!E$1,0))</f>
        <v>13.78</v>
      </c>
      <c r="F7" s="530">
        <f>+SUMIFS('Intereses percibidos'!$G$7:$G$569,'Intereses percibidos'!$B$7:$B$569,'Rev JR'!$A7,'Intereses percibidos'!$D$7:$D$569,"&gt;="&amp;'Rev JR'!F$1,'Intereses percibidos'!$D$7:$D$569,"&lt;="&amp;EOMONTH('Rev JR'!F$1,0))</f>
        <v>66.150000000000006</v>
      </c>
      <c r="G7" s="530">
        <f>+SUMIFS('Intereses percibidos'!$G$7:$G$569,'Intereses percibidos'!$B$7:$B$569,'Rev JR'!$A7,'Intereses percibidos'!$D$7:$D$569,"&gt;="&amp;'Rev JR'!G$1,'Intereses percibidos'!$D$7:$D$569,"&lt;="&amp;EOMONTH('Rev JR'!G$1,0))</f>
        <v>118.16</v>
      </c>
      <c r="H7" s="530">
        <f>+SUMIFS('Intereses percibidos'!$G$7:$G$569,'Intereses percibidos'!$B$7:$B$569,'Rev JR'!$A7,'Intereses percibidos'!$D$7:$D$569,"&gt;="&amp;'Rev JR'!H$1,'Intereses percibidos'!$D$7:$D$569,"&lt;="&amp;EOMONTH('Rev JR'!H$1,0))</f>
        <v>116.67</v>
      </c>
      <c r="I7" s="530">
        <f>+SUMIFS('Intereses percibidos'!$G$7:$G$569,'Intereses percibidos'!$B$7:$B$569,'Rev JR'!$A7,'Intereses percibidos'!$D$7:$D$569,"&gt;="&amp;'Rev JR'!I$1,'Intereses percibidos'!$D$7:$D$569,"&lt;="&amp;EOMONTH('Rev JR'!I$1,0))</f>
        <v>245.04</v>
      </c>
      <c r="J7" s="530">
        <f>+SUMIFS('Intereses percibidos'!$G$7:$G$569,'Intereses percibidos'!$B$7:$B$569,'Rev JR'!$A7,'Intereses percibidos'!$D$7:$D$569,"&gt;="&amp;'Rev JR'!J$1,'Intereses percibidos'!$D$7:$D$569,"&lt;="&amp;EOMONTH('Rev JR'!J$1,0))</f>
        <v>398.64</v>
      </c>
      <c r="K7" s="530">
        <f>+SUMIFS('Intereses percibidos'!$G$7:$G$569,'Intereses percibidos'!$B$7:$B$569,'Rev JR'!$A7,'Intereses percibidos'!$D$7:$D$569,"&gt;="&amp;'Rev JR'!K$1,'Intereses percibidos'!$D$7:$D$569,"&lt;="&amp;EOMONTH('Rev JR'!K$1,0))</f>
        <v>209.82</v>
      </c>
      <c r="L7" s="530">
        <f>+SUMIFS('Intereses percibidos'!$G$7:$G$569,'Intereses percibidos'!$B$7:$B$569,'Rev JR'!$A7,'Intereses percibidos'!$D$7:$D$569,"&gt;="&amp;'Rev JR'!L$1,'Intereses percibidos'!$D$7:$D$569,"&lt;="&amp;EOMONTH('Rev JR'!L$1,0))</f>
        <v>362.01</v>
      </c>
      <c r="M7" s="530">
        <f>+SUMIFS('Intereses percibidos'!$G$7:$G$569,'Intereses percibidos'!$B$7:$B$569,'Rev JR'!$A7,'Intereses percibidos'!$D$7:$D$569,"&gt;="&amp;'Rev JR'!M$1,'Intereses percibidos'!$D$7:$D$569,"&lt;="&amp;EOMONTH('Rev JR'!M$1,0))</f>
        <v>0</v>
      </c>
      <c r="N7" s="530">
        <f>+SUMIFS('Intereses percibidos'!$G$7:$G$569,'Intereses percibidos'!$B$7:$B$569,'Rev JR'!$A7,'Intereses percibidos'!$D$7:$D$569,"&gt;="&amp;'Rev JR'!N$1,'Intereses percibidos'!$D$7:$D$569,"&lt;="&amp;EOMONTH('Rev JR'!N$1,0))</f>
        <v>0</v>
      </c>
      <c r="O7" s="530">
        <f t="shared" si="1"/>
        <v>1544.21</v>
      </c>
    </row>
    <row r="8" spans="1:15">
      <c r="A8" s="664" t="str">
        <f>+Cuentas!B9</f>
        <v>B467XXX05</v>
      </c>
      <c r="B8" s="526" t="str">
        <f t="shared" si="0"/>
        <v xml:space="preserve">        Intereses - B467XXX05</v>
      </c>
      <c r="C8" s="530">
        <f>+SUMIFS('Intereses percibidos'!$G$7:$G$569,'Intereses percibidos'!$B$7:$B$569,'Rev JR'!$A8,'Intereses percibidos'!$D$7:$D$569,"&gt;="&amp;'Rev JR'!C$1,'Intereses percibidos'!$D$7:$D$569,"&lt;="&amp;EOMONTH('Rev JR'!C$1,0))</f>
        <v>8.77</v>
      </c>
      <c r="D8" s="530">
        <f>+SUMIFS('Intereses percibidos'!$G$7:$G$569,'Intereses percibidos'!$B$7:$B$569,'Rev JR'!$A8,'Intereses percibidos'!$D$7:$D$569,"&gt;="&amp;'Rev JR'!D$1,'Intereses percibidos'!$D$7:$D$569,"&lt;="&amp;EOMONTH('Rev JR'!D$1,0))</f>
        <v>8.99</v>
      </c>
      <c r="E8" s="530">
        <f>+SUMIFS('Intereses percibidos'!$G$7:$G$569,'Intereses percibidos'!$B$7:$B$569,'Rev JR'!$A8,'Intereses percibidos'!$D$7:$D$569,"&gt;="&amp;'Rev JR'!E$1,'Intereses percibidos'!$D$7:$D$569,"&lt;="&amp;EOMONTH('Rev JR'!E$1,0))</f>
        <v>8.1199999999999992</v>
      </c>
      <c r="F8" s="530">
        <f>+SUMIFS('Intereses percibidos'!$G$7:$G$569,'Intereses percibidos'!$B$7:$B$569,'Rev JR'!$A8,'Intereses percibidos'!$D$7:$D$569,"&gt;="&amp;'Rev JR'!F$1,'Intereses percibidos'!$D$7:$D$569,"&lt;="&amp;EOMONTH('Rev JR'!F$1,0))</f>
        <v>11.1</v>
      </c>
      <c r="G8" s="530">
        <f>+SUMIFS('Intereses percibidos'!$G$7:$G$569,'Intereses percibidos'!$B$7:$B$569,'Rev JR'!$A8,'Intereses percibidos'!$D$7:$D$569,"&gt;="&amp;'Rev JR'!G$1,'Intereses percibidos'!$D$7:$D$569,"&lt;="&amp;EOMONTH('Rev JR'!G$1,0))</f>
        <v>2.85</v>
      </c>
      <c r="H8" s="530">
        <f>+SUMIFS('Intereses percibidos'!$G$7:$G$569,'Intereses percibidos'!$B$7:$B$569,'Rev JR'!$A8,'Intereses percibidos'!$D$7:$D$569,"&gt;="&amp;'Rev JR'!H$1,'Intereses percibidos'!$D$7:$D$569,"&lt;="&amp;EOMONTH('Rev JR'!H$1,0))</f>
        <v>5.4</v>
      </c>
      <c r="I8" s="530">
        <f>+SUMIFS('Intereses percibidos'!$G$7:$G$569,'Intereses percibidos'!$B$7:$B$569,'Rev JR'!$A8,'Intereses percibidos'!$D$7:$D$569,"&gt;="&amp;'Rev JR'!I$1,'Intereses percibidos'!$D$7:$D$569,"&lt;="&amp;EOMONTH('Rev JR'!I$1,0))</f>
        <v>27.07</v>
      </c>
      <c r="J8" s="530">
        <f>+SUMIFS('Intereses percibidos'!$G$7:$G$569,'Intereses percibidos'!$B$7:$B$569,'Rev JR'!$A8,'Intereses percibidos'!$D$7:$D$569,"&gt;="&amp;'Rev JR'!J$1,'Intereses percibidos'!$D$7:$D$569,"&lt;="&amp;EOMONTH('Rev JR'!J$1,0))</f>
        <v>106.11</v>
      </c>
      <c r="K8" s="530">
        <f>+SUMIFS('Intereses percibidos'!$G$7:$G$569,'Intereses percibidos'!$B$7:$B$569,'Rev JR'!$A8,'Intereses percibidos'!$D$7:$D$569,"&gt;="&amp;'Rev JR'!K$1,'Intereses percibidos'!$D$7:$D$569,"&lt;="&amp;EOMONTH('Rev JR'!K$1,0))</f>
        <v>143.5</v>
      </c>
      <c r="L8" s="530">
        <f>+SUMIFS('Intereses percibidos'!$G$7:$G$569,'Intereses percibidos'!$B$7:$B$569,'Rev JR'!$A8,'Intereses percibidos'!$D$7:$D$569,"&gt;="&amp;'Rev JR'!L$1,'Intereses percibidos'!$D$7:$D$569,"&lt;="&amp;EOMONTH('Rev JR'!L$1,0))</f>
        <v>73.319999999999993</v>
      </c>
      <c r="M8" s="530">
        <f>+SUMIFS('Intereses percibidos'!$G$7:$G$569,'Intereses percibidos'!$B$7:$B$569,'Rev JR'!$A8,'Intereses percibidos'!$D$7:$D$569,"&gt;="&amp;'Rev JR'!M$1,'Intereses percibidos'!$D$7:$D$569,"&lt;="&amp;EOMONTH('Rev JR'!M$1,0))</f>
        <v>0</v>
      </c>
      <c r="N8" s="530">
        <f>+SUMIFS('Intereses percibidos'!$G$7:$G$569,'Intereses percibidos'!$B$7:$B$569,'Rev JR'!$A8,'Intereses percibidos'!$D$7:$D$569,"&gt;="&amp;'Rev JR'!N$1,'Intereses percibidos'!$D$7:$D$569,"&lt;="&amp;EOMONTH('Rev JR'!N$1,0))</f>
        <v>0</v>
      </c>
      <c r="O8" s="530">
        <f t="shared" si="1"/>
        <v>395.22999999999996</v>
      </c>
    </row>
    <row r="9" spans="1:15">
      <c r="A9" s="664" t="str">
        <f>+Cuentas!B10</f>
        <v>677-0XXX52-670</v>
      </c>
      <c r="B9" s="526" t="str">
        <f t="shared" si="0"/>
        <v xml:space="preserve">        Intereses - 677-0XXX52-670</v>
      </c>
      <c r="C9" s="530">
        <f>+SUMIFS('Intereses percibidos'!$G$7:$G$569,'Intereses percibidos'!$B$7:$B$569,'Rev JR'!$A9,'Intereses percibidos'!$D$7:$D$569,"&gt;="&amp;'Rev JR'!C$1,'Intereses percibidos'!$D$7:$D$569,"&lt;="&amp;EOMONTH('Rev JR'!C$1,0))</f>
        <v>0</v>
      </c>
      <c r="D9" s="530">
        <f>+SUMIFS('Intereses percibidos'!$G$7:$G$569,'Intereses percibidos'!$B$7:$B$569,'Rev JR'!$A9,'Intereses percibidos'!$D$7:$D$569,"&gt;="&amp;'Rev JR'!D$1,'Intereses percibidos'!$D$7:$D$569,"&lt;="&amp;EOMONTH('Rev JR'!D$1,0))</f>
        <v>0</v>
      </c>
      <c r="E9" s="530">
        <f>+SUMIFS('Intereses percibidos'!$G$7:$G$569,'Intereses percibidos'!$B$7:$B$569,'Rev JR'!$A9,'Intereses percibidos'!$D$7:$D$569,"&gt;="&amp;'Rev JR'!E$1,'Intereses percibidos'!$D$7:$D$569,"&lt;="&amp;EOMONTH('Rev JR'!E$1,0))</f>
        <v>0</v>
      </c>
      <c r="F9" s="530">
        <f>+SUMIFS('Intereses percibidos'!$G$7:$G$569,'Intereses percibidos'!$B$7:$B$569,'Rev JR'!$A9,'Intereses percibidos'!$D$7:$D$569,"&gt;="&amp;'Rev JR'!F$1,'Intereses percibidos'!$D$7:$D$569,"&lt;="&amp;EOMONTH('Rev JR'!F$1,0))</f>
        <v>0</v>
      </c>
      <c r="G9" s="530">
        <f>+SUMIFS('Intereses percibidos'!$G$7:$G$569,'Intereses percibidos'!$B$7:$B$569,'Rev JR'!$A9,'Intereses percibidos'!$D$7:$D$569,"&gt;="&amp;'Rev JR'!G$1,'Intereses percibidos'!$D$7:$D$569,"&lt;="&amp;EOMONTH('Rev JR'!G$1,0))</f>
        <v>9.77</v>
      </c>
      <c r="H9" s="530">
        <f>+SUMIFS('Intereses percibidos'!$G$7:$G$569,'Intereses percibidos'!$B$7:$B$569,'Rev JR'!$A9,'Intereses percibidos'!$D$7:$D$569,"&gt;="&amp;'Rev JR'!H$1,'Intereses percibidos'!$D$7:$D$569,"&lt;="&amp;EOMONTH('Rev JR'!H$1,0))</f>
        <v>19.5</v>
      </c>
      <c r="I9" s="530">
        <f>+SUMIFS('Intereses percibidos'!$G$7:$G$569,'Intereses percibidos'!$B$7:$B$569,'Rev JR'!$A9,'Intereses percibidos'!$D$7:$D$569,"&gt;="&amp;'Rev JR'!I$1,'Intereses percibidos'!$D$7:$D$569,"&lt;="&amp;EOMONTH('Rev JR'!I$1,0))</f>
        <v>16.27</v>
      </c>
      <c r="J9" s="530">
        <f>+SUMIFS('Intereses percibidos'!$G$7:$G$569,'Intereses percibidos'!$B$7:$B$569,'Rev JR'!$A9,'Intereses percibidos'!$D$7:$D$569,"&gt;="&amp;'Rev JR'!J$1,'Intereses percibidos'!$D$7:$D$569,"&lt;="&amp;EOMONTH('Rev JR'!J$1,0))</f>
        <v>0.01</v>
      </c>
      <c r="K9" s="530">
        <f>+SUMIFS('Intereses percibidos'!$G$7:$G$569,'Intereses percibidos'!$B$7:$B$569,'Rev JR'!$A9,'Intereses percibidos'!$D$7:$D$569,"&gt;="&amp;'Rev JR'!K$1,'Intereses percibidos'!$D$7:$D$569,"&lt;="&amp;EOMONTH('Rev JR'!K$1,0))</f>
        <v>0</v>
      </c>
      <c r="L9" s="530">
        <f>+SUMIFS('Intereses percibidos'!$G$7:$G$569,'Intereses percibidos'!$B$7:$B$569,'Rev JR'!$A9,'Intereses percibidos'!$D$7:$D$569,"&gt;="&amp;'Rev JR'!L$1,'Intereses percibidos'!$D$7:$D$569,"&lt;="&amp;EOMONTH('Rev JR'!L$1,0))</f>
        <v>0.01</v>
      </c>
      <c r="M9" s="530">
        <f>+SUMIFS('Intereses percibidos'!$G$7:$G$569,'Intereses percibidos'!$B$7:$B$569,'Rev JR'!$A9,'Intereses percibidos'!$D$7:$D$569,"&gt;="&amp;'Rev JR'!M$1,'Intereses percibidos'!$D$7:$D$569,"&lt;="&amp;EOMONTH('Rev JR'!M$1,0))</f>
        <v>0</v>
      </c>
      <c r="N9" s="530">
        <f>+SUMIFS('Intereses percibidos'!$G$7:$G$569,'Intereses percibidos'!$B$7:$B$569,'Rev JR'!$A9,'Intereses percibidos'!$D$7:$D$569,"&gt;="&amp;'Rev JR'!N$1,'Intereses percibidos'!$D$7:$D$569,"&lt;="&amp;EOMONTH('Rev JR'!N$1,0))</f>
        <v>0</v>
      </c>
      <c r="O9" s="530">
        <f t="shared" si="1"/>
        <v>45.559999999999995</v>
      </c>
    </row>
    <row r="10" spans="1:15">
      <c r="A10" s="664" t="str">
        <f>+Cuentas!B11</f>
        <v>677-0XXX53-471</v>
      </c>
      <c r="B10" s="526" t="str">
        <f t="shared" si="0"/>
        <v xml:space="preserve">        Intereses - 677-0XXX53-471</v>
      </c>
      <c r="C10" s="530">
        <f>+SUMIFS('Intereses percibidos'!$G$7:$G$569,'Intereses percibidos'!$B$7:$B$569,'Rev JR'!$A10,'Intereses percibidos'!$D$7:$D$569,"&gt;="&amp;'Rev JR'!C$1,'Intereses percibidos'!$D$7:$D$569,"&lt;="&amp;EOMONTH('Rev JR'!C$1,0))</f>
        <v>3.9299999999999997</v>
      </c>
      <c r="D10" s="530">
        <f>+SUMIFS('Intereses percibidos'!$G$7:$G$569,'Intereses percibidos'!$B$7:$B$569,'Rev JR'!$A10,'Intereses percibidos'!$D$7:$D$569,"&gt;="&amp;'Rev JR'!D$1,'Intereses percibidos'!$D$7:$D$569,"&lt;="&amp;EOMONTH('Rev JR'!D$1,0))</f>
        <v>2.99</v>
      </c>
      <c r="E10" s="530">
        <f>+SUMIFS('Intereses percibidos'!$G$7:$G$569,'Intereses percibidos'!$B$7:$B$569,'Rev JR'!$A10,'Intereses percibidos'!$D$7:$D$569,"&gt;="&amp;'Rev JR'!E$1,'Intereses percibidos'!$D$7:$D$569,"&lt;="&amp;EOMONTH('Rev JR'!E$1,0))</f>
        <v>3.42</v>
      </c>
      <c r="F10" s="530">
        <f>+SUMIFS('Intereses percibidos'!$G$7:$G$569,'Intereses percibidos'!$B$7:$B$569,'Rev JR'!$A10,'Intereses percibidos'!$D$7:$D$569,"&gt;="&amp;'Rev JR'!F$1,'Intereses percibidos'!$D$7:$D$569,"&lt;="&amp;EOMONTH('Rev JR'!F$1,0))</f>
        <v>5.2799999999999994</v>
      </c>
      <c r="G10" s="530">
        <f>+SUMIFS('Intereses percibidos'!$G$7:$G$569,'Intereses percibidos'!$B$7:$B$569,'Rev JR'!$A10,'Intereses percibidos'!$D$7:$D$569,"&gt;="&amp;'Rev JR'!G$1,'Intereses percibidos'!$D$7:$D$569,"&lt;="&amp;EOMONTH('Rev JR'!G$1,0))</f>
        <v>4.9800000000000004</v>
      </c>
      <c r="H10" s="530">
        <f>+SUMIFS('Intereses percibidos'!$G$7:$G$569,'Intereses percibidos'!$B$7:$B$569,'Rev JR'!$A10,'Intereses percibidos'!$D$7:$D$569,"&gt;="&amp;'Rev JR'!H$1,'Intereses percibidos'!$D$7:$D$569,"&lt;="&amp;EOMONTH('Rev JR'!H$1,0))</f>
        <v>7.6000000000000005</v>
      </c>
      <c r="I10" s="530">
        <f>+SUMIFS('Intereses percibidos'!$G$7:$G$569,'Intereses percibidos'!$B$7:$B$569,'Rev JR'!$A10,'Intereses percibidos'!$D$7:$D$569,"&gt;="&amp;'Rev JR'!I$1,'Intereses percibidos'!$D$7:$D$569,"&lt;="&amp;EOMONTH('Rev JR'!I$1,0))</f>
        <v>67.67</v>
      </c>
      <c r="J10" s="530">
        <f>+SUMIFS('Intereses percibidos'!$G$7:$G$569,'Intereses percibidos'!$B$7:$B$569,'Rev JR'!$A10,'Intereses percibidos'!$D$7:$D$569,"&gt;="&amp;'Rev JR'!J$1,'Intereses percibidos'!$D$7:$D$569,"&lt;="&amp;EOMONTH('Rev JR'!J$1,0))</f>
        <v>563.89</v>
      </c>
      <c r="K10" s="530">
        <f>+SUMIFS('Intereses percibidos'!$G$7:$G$569,'Intereses percibidos'!$B$7:$B$569,'Rev JR'!$A10,'Intereses percibidos'!$D$7:$D$569,"&gt;="&amp;'Rev JR'!K$1,'Intereses percibidos'!$D$7:$D$569,"&lt;="&amp;EOMONTH('Rev JR'!K$1,0))</f>
        <v>1389.1</v>
      </c>
      <c r="L10" s="530">
        <f>+SUMIFS('Intereses percibidos'!$G$7:$G$569,'Intereses percibidos'!$B$7:$B$569,'Rev JR'!$A10,'Intereses percibidos'!$D$7:$D$569,"&gt;="&amp;'Rev JR'!L$1,'Intereses percibidos'!$D$7:$D$569,"&lt;="&amp;EOMONTH('Rev JR'!L$1,0))</f>
        <v>684.3</v>
      </c>
      <c r="M10" s="530">
        <f>+SUMIFS('Intereses percibidos'!$G$7:$G$569,'Intereses percibidos'!$B$7:$B$569,'Rev JR'!$A10,'Intereses percibidos'!$D$7:$D$569,"&gt;="&amp;'Rev JR'!M$1,'Intereses percibidos'!$D$7:$D$569,"&lt;="&amp;EOMONTH('Rev JR'!M$1,0))</f>
        <v>0</v>
      </c>
      <c r="N10" s="530">
        <f>+SUMIFS('Intereses percibidos'!$G$7:$G$569,'Intereses percibidos'!$B$7:$B$569,'Rev JR'!$A10,'Intereses percibidos'!$D$7:$D$569,"&gt;="&amp;'Rev JR'!N$1,'Intereses percibidos'!$D$7:$D$569,"&lt;="&amp;EOMONTH('Rev JR'!N$1,0))</f>
        <v>0</v>
      </c>
      <c r="O10" s="530">
        <f t="shared" si="1"/>
        <v>2733.16</v>
      </c>
    </row>
    <row r="11" spans="1:15">
      <c r="A11" s="664" t="str">
        <f>+Cuentas!B12</f>
        <v>4H 0XXX0 RB</v>
      </c>
      <c r="B11" s="526" t="str">
        <f t="shared" si="0"/>
        <v xml:space="preserve">        Intereses - 4H 0XXX0 RB</v>
      </c>
      <c r="C11" s="530">
        <f>+SUMIFS('Intereses percibidos'!$G$7:$G$569,'Intereses percibidos'!$B$7:$B$569,'Rev JR'!$A11,'Intereses percibidos'!$D$7:$D$569,"&gt;="&amp;'Rev JR'!C$1,'Intereses percibidos'!$D$7:$D$569,"&lt;="&amp;EOMONTH('Rev JR'!C$1,0))</f>
        <v>1.77</v>
      </c>
      <c r="D11" s="530">
        <f>+SUMIFS('Intereses percibidos'!$G$7:$G$569,'Intereses percibidos'!$B$7:$B$569,'Rev JR'!$A11,'Intereses percibidos'!$D$7:$D$569,"&gt;="&amp;'Rev JR'!D$1,'Intereses percibidos'!$D$7:$D$569,"&lt;="&amp;EOMONTH('Rev JR'!D$1,0))</f>
        <v>1.72</v>
      </c>
      <c r="E11" s="530">
        <f>+SUMIFS('Intereses percibidos'!$G$7:$G$569,'Intereses percibidos'!$B$7:$B$569,'Rev JR'!$A11,'Intereses percibidos'!$D$7:$D$569,"&gt;="&amp;'Rev JR'!E$1,'Intereses percibidos'!$D$7:$D$569,"&lt;="&amp;EOMONTH('Rev JR'!E$1,0))</f>
        <v>1.49</v>
      </c>
      <c r="F11" s="530">
        <f>+SUMIFS('Intereses percibidos'!$G$7:$G$569,'Intereses percibidos'!$B$7:$B$569,'Rev JR'!$A11,'Intereses percibidos'!$D$7:$D$569,"&gt;="&amp;'Rev JR'!F$1,'Intereses percibidos'!$D$7:$D$569,"&lt;="&amp;EOMONTH('Rev JR'!F$1,0))</f>
        <v>1.57</v>
      </c>
      <c r="G11" s="530">
        <f>+SUMIFS('Intereses percibidos'!$G$7:$G$569,'Intereses percibidos'!$B$7:$B$569,'Rev JR'!$A11,'Intereses percibidos'!$D$7:$D$569,"&gt;="&amp;'Rev JR'!G$1,'Intereses percibidos'!$D$7:$D$569,"&lt;="&amp;EOMONTH('Rev JR'!G$1,0))</f>
        <v>1.38</v>
      </c>
      <c r="H11" s="530">
        <f>+SUMIFS('Intereses percibidos'!$G$7:$G$569,'Intereses percibidos'!$B$7:$B$569,'Rev JR'!$A11,'Intereses percibidos'!$D$7:$D$569,"&gt;="&amp;'Rev JR'!H$1,'Intereses percibidos'!$D$7:$D$569,"&lt;="&amp;EOMONTH('Rev JR'!H$1,0))</f>
        <v>1.31</v>
      </c>
      <c r="I11" s="530">
        <f>+SUMIFS('Intereses percibidos'!$G$7:$G$569,'Intereses percibidos'!$B$7:$B$569,'Rev JR'!$A11,'Intereses percibidos'!$D$7:$D$569,"&gt;="&amp;'Rev JR'!I$1,'Intereses percibidos'!$D$7:$D$569,"&lt;="&amp;EOMONTH('Rev JR'!I$1,0))</f>
        <v>4.2300000000000004</v>
      </c>
      <c r="J11" s="530">
        <f>+SUMIFS('Intereses percibidos'!$G$7:$G$569,'Intereses percibidos'!$B$7:$B$569,'Rev JR'!$A11,'Intereses percibidos'!$D$7:$D$569,"&gt;="&amp;'Rev JR'!J$1,'Intereses percibidos'!$D$7:$D$569,"&lt;="&amp;EOMONTH('Rev JR'!J$1,0))</f>
        <v>2.95</v>
      </c>
      <c r="K11" s="530">
        <f>+SUMIFS('Intereses percibidos'!$G$7:$G$569,'Intereses percibidos'!$B$7:$B$569,'Rev JR'!$A11,'Intereses percibidos'!$D$7:$D$569,"&gt;="&amp;'Rev JR'!K$1,'Intereses percibidos'!$D$7:$D$569,"&lt;="&amp;EOMONTH('Rev JR'!K$1,0))</f>
        <v>7.95</v>
      </c>
      <c r="L11" s="530">
        <f>+SUMIFS('Intereses percibidos'!$G$7:$G$569,'Intereses percibidos'!$B$7:$B$569,'Rev JR'!$A11,'Intereses percibidos'!$D$7:$D$569,"&gt;="&amp;'Rev JR'!L$1,'Intereses percibidos'!$D$7:$D$569,"&lt;="&amp;EOMONTH('Rev JR'!L$1,0))</f>
        <v>8.39</v>
      </c>
      <c r="M11" s="530">
        <f>+SUMIFS('Intereses percibidos'!$G$7:$G$569,'Intereses percibidos'!$B$7:$B$569,'Rev JR'!$A11,'Intereses percibidos'!$D$7:$D$569,"&gt;="&amp;'Rev JR'!M$1,'Intereses percibidos'!$D$7:$D$569,"&lt;="&amp;EOMONTH('Rev JR'!M$1,0))</f>
        <v>0</v>
      </c>
      <c r="N11" s="530">
        <f>+SUMIFS('Intereses percibidos'!$G$7:$G$569,'Intereses percibidos'!$B$7:$B$569,'Rev JR'!$A11,'Intereses percibidos'!$D$7:$D$569,"&gt;="&amp;'Rev JR'!N$1,'Intereses percibidos'!$D$7:$D$569,"&lt;="&amp;EOMONTH('Rev JR'!N$1,0))</f>
        <v>0</v>
      </c>
      <c r="O11" s="530">
        <f t="shared" si="1"/>
        <v>32.760000000000005</v>
      </c>
    </row>
    <row r="12" spans="1:15">
      <c r="A12" s="664" t="str">
        <f>+Cuentas!B13</f>
        <v>H</v>
      </c>
      <c r="B12" s="526" t="str">
        <f t="shared" si="0"/>
        <v xml:space="preserve">        Intereses - H</v>
      </c>
      <c r="C12" s="530">
        <f>+SUMIFS('Intereses percibidos'!$G$7:$G$569,'Intereses percibidos'!$B$7:$B$569,'Rev JR'!$A12,'Intereses percibidos'!$D$7:$D$569,"&gt;="&amp;'Rev JR'!C$1,'Intereses percibidos'!$D$7:$D$569,"&lt;="&amp;EOMONTH('Rev JR'!C$1,0))</f>
        <v>0</v>
      </c>
      <c r="D12" s="530">
        <f>+SUMIFS('Intereses percibidos'!$G$7:$G$569,'Intereses percibidos'!$B$7:$B$569,'Rev JR'!$A12,'Intereses percibidos'!$D$7:$D$569,"&gt;="&amp;'Rev JR'!D$1,'Intereses percibidos'!$D$7:$D$569,"&lt;="&amp;EOMONTH('Rev JR'!D$1,0))</f>
        <v>0</v>
      </c>
      <c r="E12" s="530">
        <f>+SUMIFS('Intereses percibidos'!$G$7:$G$569,'Intereses percibidos'!$B$7:$B$569,'Rev JR'!$A12,'Intereses percibidos'!$D$7:$D$569,"&gt;="&amp;'Rev JR'!E$1,'Intereses percibidos'!$D$7:$D$569,"&lt;="&amp;EOMONTH('Rev JR'!E$1,0))</f>
        <v>0</v>
      </c>
      <c r="F12" s="530">
        <f>+SUMIFS('Intereses percibidos'!$G$7:$G$569,'Intereses percibidos'!$B$7:$B$569,'Rev JR'!$A12,'Intereses percibidos'!$D$7:$D$569,"&gt;="&amp;'Rev JR'!F$1,'Intereses percibidos'!$D$7:$D$569,"&lt;="&amp;EOMONTH('Rev JR'!F$1,0))</f>
        <v>0</v>
      </c>
      <c r="G12" s="530">
        <f>+SUMIFS('Intereses percibidos'!$G$7:$G$569,'Intereses percibidos'!$B$7:$B$569,'Rev JR'!$A12,'Intereses percibidos'!$D$7:$D$569,"&gt;="&amp;'Rev JR'!G$1,'Intereses percibidos'!$D$7:$D$569,"&lt;="&amp;EOMONTH('Rev JR'!G$1,0))</f>
        <v>0</v>
      </c>
      <c r="H12" s="530">
        <f>+SUMIFS('Intereses percibidos'!$G$7:$G$569,'Intereses percibidos'!$B$7:$B$569,'Rev JR'!$A12,'Intereses percibidos'!$D$7:$D$569,"&gt;="&amp;'Rev JR'!H$1,'Intereses percibidos'!$D$7:$D$569,"&lt;="&amp;EOMONTH('Rev JR'!H$1,0))</f>
        <v>0</v>
      </c>
      <c r="I12" s="530">
        <f>+SUMIFS('Intereses percibidos'!$G$7:$G$569,'Intereses percibidos'!$B$7:$B$569,'Rev JR'!$A12,'Intereses percibidos'!$D$7:$D$569,"&gt;="&amp;'Rev JR'!I$1,'Intereses percibidos'!$D$7:$D$569,"&lt;="&amp;EOMONTH('Rev JR'!I$1,0))</f>
        <v>0</v>
      </c>
      <c r="J12" s="530">
        <f>+SUMIFS('Intereses percibidos'!$G$7:$G$569,'Intereses percibidos'!$B$7:$B$569,'Rev JR'!$A12,'Intereses percibidos'!$D$7:$D$569,"&gt;="&amp;'Rev JR'!J$1,'Intereses percibidos'!$D$7:$D$569,"&lt;="&amp;EOMONTH('Rev JR'!J$1,0))</f>
        <v>0</v>
      </c>
      <c r="K12" s="530">
        <f>+SUMIFS('Intereses percibidos'!$G$7:$G$569,'Intereses percibidos'!$B$7:$B$569,'Rev JR'!$A12,'Intereses percibidos'!$D$7:$D$569,"&gt;="&amp;'Rev JR'!K$1,'Intereses percibidos'!$D$7:$D$569,"&lt;="&amp;EOMONTH('Rev JR'!K$1,0))</f>
        <v>0</v>
      </c>
      <c r="L12" s="530">
        <f>+SUMIFS('Intereses percibidos'!$G$7:$G$569,'Intereses percibidos'!$B$7:$B$569,'Rev JR'!$A12,'Intereses percibidos'!$D$7:$D$569,"&gt;="&amp;'Rev JR'!L$1,'Intereses percibidos'!$D$7:$D$569,"&lt;="&amp;EOMONTH('Rev JR'!L$1,0))</f>
        <v>0</v>
      </c>
      <c r="M12" s="530">
        <f>+SUMIFS('Intereses percibidos'!$G$7:$G$569,'Intereses percibidos'!$B$7:$B$569,'Rev JR'!$A12,'Intereses percibidos'!$D$7:$D$569,"&gt;="&amp;'Rev JR'!M$1,'Intereses percibidos'!$D$7:$D$569,"&lt;="&amp;EOMONTH('Rev JR'!M$1,0))</f>
        <v>0</v>
      </c>
      <c r="N12" s="530">
        <f>+SUMIFS('Intereses percibidos'!$G$7:$G$569,'Intereses percibidos'!$B$7:$B$569,'Rev JR'!$A12,'Intereses percibidos'!$D$7:$D$569,"&gt;="&amp;'Rev JR'!N$1,'Intereses percibidos'!$D$7:$D$569,"&lt;="&amp;EOMONTH('Rev JR'!N$1,0))</f>
        <v>0</v>
      </c>
      <c r="O12" s="530">
        <f t="shared" si="1"/>
        <v>0</v>
      </c>
    </row>
    <row r="13" spans="1:15">
      <c r="A13" s="664" t="str">
        <f>+Cuentas!B14</f>
        <v>I</v>
      </c>
      <c r="B13" s="526" t="str">
        <f t="shared" si="0"/>
        <v xml:space="preserve">        Intereses - I</v>
      </c>
      <c r="C13" s="530">
        <f>+SUMIFS('Intereses percibidos'!$G$7:$G$569,'Intereses percibidos'!$B$7:$B$569,'Rev JR'!$A13,'Intereses percibidos'!$D$7:$D$569,"&gt;="&amp;'Rev JR'!C$1,'Intereses percibidos'!$D$7:$D$569,"&lt;="&amp;EOMONTH('Rev JR'!C$1,0))</f>
        <v>0</v>
      </c>
      <c r="D13" s="530">
        <f>+SUMIFS('Intereses percibidos'!$G$7:$G$569,'Intereses percibidos'!$B$7:$B$569,'Rev JR'!$A13,'Intereses percibidos'!$D$7:$D$569,"&gt;="&amp;'Rev JR'!D$1,'Intereses percibidos'!$D$7:$D$569,"&lt;="&amp;EOMONTH('Rev JR'!D$1,0))</f>
        <v>0</v>
      </c>
      <c r="E13" s="530">
        <f>+SUMIFS('Intereses percibidos'!$G$7:$G$569,'Intereses percibidos'!$B$7:$B$569,'Rev JR'!$A13,'Intereses percibidos'!$D$7:$D$569,"&gt;="&amp;'Rev JR'!E$1,'Intereses percibidos'!$D$7:$D$569,"&lt;="&amp;EOMONTH('Rev JR'!E$1,0))</f>
        <v>0</v>
      </c>
      <c r="F13" s="530">
        <f>+SUMIFS('Intereses percibidos'!$G$7:$G$569,'Intereses percibidos'!$B$7:$B$569,'Rev JR'!$A13,'Intereses percibidos'!$D$7:$D$569,"&gt;="&amp;'Rev JR'!F$1,'Intereses percibidos'!$D$7:$D$569,"&lt;="&amp;EOMONTH('Rev JR'!F$1,0))</f>
        <v>0</v>
      </c>
      <c r="G13" s="530">
        <f>+SUMIFS('Intereses percibidos'!$G$7:$G$569,'Intereses percibidos'!$B$7:$B$569,'Rev JR'!$A13,'Intereses percibidos'!$D$7:$D$569,"&gt;="&amp;'Rev JR'!G$1,'Intereses percibidos'!$D$7:$D$569,"&lt;="&amp;EOMONTH('Rev JR'!G$1,0))</f>
        <v>0</v>
      </c>
      <c r="H13" s="530">
        <f>+SUMIFS('Intereses percibidos'!$G$7:$G$569,'Intereses percibidos'!$B$7:$B$569,'Rev JR'!$A13,'Intereses percibidos'!$D$7:$D$569,"&gt;="&amp;'Rev JR'!H$1,'Intereses percibidos'!$D$7:$D$569,"&lt;="&amp;EOMONTH('Rev JR'!H$1,0))</f>
        <v>0</v>
      </c>
      <c r="I13" s="530">
        <f>+SUMIFS('Intereses percibidos'!$G$7:$G$569,'Intereses percibidos'!$B$7:$B$569,'Rev JR'!$A13,'Intereses percibidos'!$D$7:$D$569,"&gt;="&amp;'Rev JR'!I$1,'Intereses percibidos'!$D$7:$D$569,"&lt;="&amp;EOMONTH('Rev JR'!I$1,0))</f>
        <v>0</v>
      </c>
      <c r="J13" s="530">
        <f>+SUMIFS('Intereses percibidos'!$G$7:$G$569,'Intereses percibidos'!$B$7:$B$569,'Rev JR'!$A13,'Intereses percibidos'!$D$7:$D$569,"&gt;="&amp;'Rev JR'!J$1,'Intereses percibidos'!$D$7:$D$569,"&lt;="&amp;EOMONTH('Rev JR'!J$1,0))</f>
        <v>0</v>
      </c>
      <c r="K13" s="530">
        <f>+SUMIFS('Intereses percibidos'!$G$7:$G$569,'Intereses percibidos'!$B$7:$B$569,'Rev JR'!$A13,'Intereses percibidos'!$D$7:$D$569,"&gt;="&amp;'Rev JR'!K$1,'Intereses percibidos'!$D$7:$D$569,"&lt;="&amp;EOMONTH('Rev JR'!K$1,0))</f>
        <v>0</v>
      </c>
      <c r="L13" s="530">
        <f>+SUMIFS('Intereses percibidos'!$G$7:$G$569,'Intereses percibidos'!$B$7:$B$569,'Rev JR'!$A13,'Intereses percibidos'!$D$7:$D$569,"&gt;="&amp;'Rev JR'!L$1,'Intereses percibidos'!$D$7:$D$569,"&lt;="&amp;EOMONTH('Rev JR'!L$1,0))</f>
        <v>0</v>
      </c>
      <c r="M13" s="530">
        <f>+SUMIFS('Intereses percibidos'!$G$7:$G$569,'Intereses percibidos'!$B$7:$B$569,'Rev JR'!$A13,'Intereses percibidos'!$D$7:$D$569,"&gt;="&amp;'Rev JR'!M$1,'Intereses percibidos'!$D$7:$D$569,"&lt;="&amp;EOMONTH('Rev JR'!M$1,0))</f>
        <v>0</v>
      </c>
      <c r="N13" s="530">
        <f>+SUMIFS('Intereses percibidos'!$G$7:$G$569,'Intereses percibidos'!$B$7:$B$569,'Rev JR'!$A13,'Intereses percibidos'!$D$7:$D$569,"&gt;="&amp;'Rev JR'!N$1,'Intereses percibidos'!$D$7:$D$569,"&lt;="&amp;EOMONTH('Rev JR'!N$1,0))</f>
        <v>0</v>
      </c>
      <c r="O13" s="530">
        <f t="shared" si="1"/>
        <v>0</v>
      </c>
    </row>
    <row r="14" spans="1:15">
      <c r="A14" s="664" t="str">
        <f>+Cuentas!B15</f>
        <v>J</v>
      </c>
      <c r="B14" s="526" t="str">
        <f t="shared" si="0"/>
        <v xml:space="preserve">        Intereses - J</v>
      </c>
      <c r="C14" s="530">
        <f>+SUMIFS('Intereses percibidos'!$G$7:$G$569,'Intereses percibidos'!$B$7:$B$569,'Rev JR'!$A14,'Intereses percibidos'!$D$7:$D$569,"&gt;="&amp;'Rev JR'!C$1,'Intereses percibidos'!$D$7:$D$569,"&lt;="&amp;EOMONTH('Rev JR'!C$1,0))</f>
        <v>0</v>
      </c>
      <c r="D14" s="530">
        <f>+SUMIFS('Intereses percibidos'!$G$7:$G$569,'Intereses percibidos'!$B$7:$B$569,'Rev JR'!$A14,'Intereses percibidos'!$D$7:$D$569,"&gt;="&amp;'Rev JR'!D$1,'Intereses percibidos'!$D$7:$D$569,"&lt;="&amp;EOMONTH('Rev JR'!D$1,0))</f>
        <v>0</v>
      </c>
      <c r="E14" s="530">
        <f>+SUMIFS('Intereses percibidos'!$G$7:$G$569,'Intereses percibidos'!$B$7:$B$569,'Rev JR'!$A14,'Intereses percibidos'!$D$7:$D$569,"&gt;="&amp;'Rev JR'!E$1,'Intereses percibidos'!$D$7:$D$569,"&lt;="&amp;EOMONTH('Rev JR'!E$1,0))</f>
        <v>0</v>
      </c>
      <c r="F14" s="530">
        <f>+SUMIFS('Intereses percibidos'!$G$7:$G$569,'Intereses percibidos'!$B$7:$B$569,'Rev JR'!$A14,'Intereses percibidos'!$D$7:$D$569,"&gt;="&amp;'Rev JR'!F$1,'Intereses percibidos'!$D$7:$D$569,"&lt;="&amp;EOMONTH('Rev JR'!F$1,0))</f>
        <v>0</v>
      </c>
      <c r="G14" s="530">
        <f>+SUMIFS('Intereses percibidos'!$G$7:$G$569,'Intereses percibidos'!$B$7:$B$569,'Rev JR'!$A14,'Intereses percibidos'!$D$7:$D$569,"&gt;="&amp;'Rev JR'!G$1,'Intereses percibidos'!$D$7:$D$569,"&lt;="&amp;EOMONTH('Rev JR'!G$1,0))</f>
        <v>0</v>
      </c>
      <c r="H14" s="530">
        <f>+SUMIFS('Intereses percibidos'!$G$7:$G$569,'Intereses percibidos'!$B$7:$B$569,'Rev JR'!$A14,'Intereses percibidos'!$D$7:$D$569,"&gt;="&amp;'Rev JR'!H$1,'Intereses percibidos'!$D$7:$D$569,"&lt;="&amp;EOMONTH('Rev JR'!H$1,0))</f>
        <v>0</v>
      </c>
      <c r="I14" s="530">
        <f>+SUMIFS('Intereses percibidos'!$G$7:$G$569,'Intereses percibidos'!$B$7:$B$569,'Rev JR'!$A14,'Intereses percibidos'!$D$7:$D$569,"&gt;="&amp;'Rev JR'!I$1,'Intereses percibidos'!$D$7:$D$569,"&lt;="&amp;EOMONTH('Rev JR'!I$1,0))</f>
        <v>0</v>
      </c>
      <c r="J14" s="530">
        <f>+SUMIFS('Intereses percibidos'!$G$7:$G$569,'Intereses percibidos'!$B$7:$B$569,'Rev JR'!$A14,'Intereses percibidos'!$D$7:$D$569,"&gt;="&amp;'Rev JR'!J$1,'Intereses percibidos'!$D$7:$D$569,"&lt;="&amp;EOMONTH('Rev JR'!J$1,0))</f>
        <v>0</v>
      </c>
      <c r="K14" s="530">
        <f>+SUMIFS('Intereses percibidos'!$G$7:$G$569,'Intereses percibidos'!$B$7:$B$569,'Rev JR'!$A14,'Intereses percibidos'!$D$7:$D$569,"&gt;="&amp;'Rev JR'!K$1,'Intereses percibidos'!$D$7:$D$569,"&lt;="&amp;EOMONTH('Rev JR'!K$1,0))</f>
        <v>0</v>
      </c>
      <c r="L14" s="530">
        <f>+SUMIFS('Intereses percibidos'!$G$7:$G$569,'Intereses percibidos'!$B$7:$B$569,'Rev JR'!$A14,'Intereses percibidos'!$D$7:$D$569,"&gt;="&amp;'Rev JR'!L$1,'Intereses percibidos'!$D$7:$D$569,"&lt;="&amp;EOMONTH('Rev JR'!L$1,0))</f>
        <v>0</v>
      </c>
      <c r="M14" s="530">
        <f>+SUMIFS('Intereses percibidos'!$G$7:$G$569,'Intereses percibidos'!$B$7:$B$569,'Rev JR'!$A14,'Intereses percibidos'!$D$7:$D$569,"&gt;="&amp;'Rev JR'!M$1,'Intereses percibidos'!$D$7:$D$569,"&lt;="&amp;EOMONTH('Rev JR'!M$1,0))</f>
        <v>0</v>
      </c>
      <c r="N14" s="530">
        <f>+SUMIFS('Intereses percibidos'!$G$7:$G$569,'Intereses percibidos'!$B$7:$B$569,'Rev JR'!$A14,'Intereses percibidos'!$D$7:$D$569,"&gt;="&amp;'Rev JR'!N$1,'Intereses percibidos'!$D$7:$D$569,"&lt;="&amp;EOMONTH('Rev JR'!N$1,0))</f>
        <v>0</v>
      </c>
      <c r="O14" s="530">
        <f t="shared" si="1"/>
        <v>0</v>
      </c>
    </row>
    <row r="15" spans="1:15">
      <c r="A15" s="664" t="str">
        <f>+Cuentas!B16</f>
        <v>K</v>
      </c>
      <c r="B15" s="526" t="str">
        <f t="shared" si="0"/>
        <v xml:space="preserve">        Intereses - K</v>
      </c>
      <c r="C15" s="530">
        <f>+SUMIFS('Intereses percibidos'!$G$7:$G$569,'Intereses percibidos'!$B$7:$B$569,'Rev JR'!$A15,'Intereses percibidos'!$D$7:$D$569,"&gt;="&amp;'Rev JR'!C$1,'Intereses percibidos'!$D$7:$D$569,"&lt;="&amp;EOMONTH('Rev JR'!C$1,0))</f>
        <v>0</v>
      </c>
      <c r="D15" s="530">
        <f>+SUMIFS('Intereses percibidos'!$G$7:$G$569,'Intereses percibidos'!$B$7:$B$569,'Rev JR'!$A15,'Intereses percibidos'!$D$7:$D$569,"&gt;="&amp;'Rev JR'!D$1,'Intereses percibidos'!$D$7:$D$569,"&lt;="&amp;EOMONTH('Rev JR'!D$1,0))</f>
        <v>0</v>
      </c>
      <c r="E15" s="530">
        <f>+SUMIFS('Intereses percibidos'!$G$7:$G$569,'Intereses percibidos'!$B$7:$B$569,'Rev JR'!$A15,'Intereses percibidos'!$D$7:$D$569,"&gt;="&amp;'Rev JR'!E$1,'Intereses percibidos'!$D$7:$D$569,"&lt;="&amp;EOMONTH('Rev JR'!E$1,0))</f>
        <v>0</v>
      </c>
      <c r="F15" s="530">
        <f>+SUMIFS('Intereses percibidos'!$G$7:$G$569,'Intereses percibidos'!$B$7:$B$569,'Rev JR'!$A15,'Intereses percibidos'!$D$7:$D$569,"&gt;="&amp;'Rev JR'!F$1,'Intereses percibidos'!$D$7:$D$569,"&lt;="&amp;EOMONTH('Rev JR'!F$1,0))</f>
        <v>0</v>
      </c>
      <c r="G15" s="530">
        <f>+SUMIFS('Intereses percibidos'!$G$7:$G$569,'Intereses percibidos'!$B$7:$B$569,'Rev JR'!$A15,'Intereses percibidos'!$D$7:$D$569,"&gt;="&amp;'Rev JR'!G$1,'Intereses percibidos'!$D$7:$D$569,"&lt;="&amp;EOMONTH('Rev JR'!G$1,0))</f>
        <v>0</v>
      </c>
      <c r="H15" s="530">
        <f>+SUMIFS('Intereses percibidos'!$G$7:$G$569,'Intereses percibidos'!$B$7:$B$569,'Rev JR'!$A15,'Intereses percibidos'!$D$7:$D$569,"&gt;="&amp;'Rev JR'!H$1,'Intereses percibidos'!$D$7:$D$569,"&lt;="&amp;EOMONTH('Rev JR'!H$1,0))</f>
        <v>0</v>
      </c>
      <c r="I15" s="530">
        <f>+SUMIFS('Intereses percibidos'!$G$7:$G$569,'Intereses percibidos'!$B$7:$B$569,'Rev JR'!$A15,'Intereses percibidos'!$D$7:$D$569,"&gt;="&amp;'Rev JR'!I$1,'Intereses percibidos'!$D$7:$D$569,"&lt;="&amp;EOMONTH('Rev JR'!I$1,0))</f>
        <v>0</v>
      </c>
      <c r="J15" s="530">
        <f>+SUMIFS('Intereses percibidos'!$G$7:$G$569,'Intereses percibidos'!$B$7:$B$569,'Rev JR'!$A15,'Intereses percibidos'!$D$7:$D$569,"&gt;="&amp;'Rev JR'!J$1,'Intereses percibidos'!$D$7:$D$569,"&lt;="&amp;EOMONTH('Rev JR'!J$1,0))</f>
        <v>0</v>
      </c>
      <c r="K15" s="530">
        <f>+SUMIFS('Intereses percibidos'!$G$7:$G$569,'Intereses percibidos'!$B$7:$B$569,'Rev JR'!$A15,'Intereses percibidos'!$D$7:$D$569,"&gt;="&amp;'Rev JR'!K$1,'Intereses percibidos'!$D$7:$D$569,"&lt;="&amp;EOMONTH('Rev JR'!K$1,0))</f>
        <v>0</v>
      </c>
      <c r="L15" s="530">
        <f>+SUMIFS('Intereses percibidos'!$G$7:$G$569,'Intereses percibidos'!$B$7:$B$569,'Rev JR'!$A15,'Intereses percibidos'!$D$7:$D$569,"&gt;="&amp;'Rev JR'!L$1,'Intereses percibidos'!$D$7:$D$569,"&lt;="&amp;EOMONTH('Rev JR'!L$1,0))</f>
        <v>0</v>
      </c>
      <c r="M15" s="530">
        <f>+SUMIFS('Intereses percibidos'!$G$7:$G$569,'Intereses percibidos'!$B$7:$B$569,'Rev JR'!$A15,'Intereses percibidos'!$D$7:$D$569,"&gt;="&amp;'Rev JR'!M$1,'Intereses percibidos'!$D$7:$D$569,"&lt;="&amp;EOMONTH('Rev JR'!M$1,0))</f>
        <v>0</v>
      </c>
      <c r="N15" s="530">
        <f>+SUMIFS('Intereses percibidos'!$G$7:$G$569,'Intereses percibidos'!$B$7:$B$569,'Rev JR'!$A15,'Intereses percibidos'!$D$7:$D$569,"&gt;="&amp;'Rev JR'!N$1,'Intereses percibidos'!$D$7:$D$569,"&lt;="&amp;EOMONTH('Rev JR'!N$1,0))</f>
        <v>0</v>
      </c>
      <c r="O15" s="530">
        <f t="shared" si="1"/>
        <v>0</v>
      </c>
    </row>
    <row r="16" spans="1:15">
      <c r="A16" s="664" t="str">
        <f>+Cuentas!B17</f>
        <v>L</v>
      </c>
      <c r="B16" s="526" t="str">
        <f t="shared" si="0"/>
        <v xml:space="preserve">        Intereses - L</v>
      </c>
      <c r="C16" s="530">
        <f>+SUMIFS('Intereses percibidos'!$G$7:$G$569,'Intereses percibidos'!$B$7:$B$569,'Rev JR'!$A16,'Intereses percibidos'!$D$7:$D$569,"&gt;="&amp;'Rev JR'!C$1,'Intereses percibidos'!$D$7:$D$569,"&lt;="&amp;EOMONTH('Rev JR'!C$1,0))</f>
        <v>0</v>
      </c>
      <c r="D16" s="530">
        <f>+SUMIFS('Intereses percibidos'!$G$7:$G$569,'Intereses percibidos'!$B$7:$B$569,'Rev JR'!$A16,'Intereses percibidos'!$D$7:$D$569,"&gt;="&amp;'Rev JR'!D$1,'Intereses percibidos'!$D$7:$D$569,"&lt;="&amp;EOMONTH('Rev JR'!D$1,0))</f>
        <v>0</v>
      </c>
      <c r="E16" s="530">
        <f>+SUMIFS('Intereses percibidos'!$G$7:$G$569,'Intereses percibidos'!$B$7:$B$569,'Rev JR'!$A16,'Intereses percibidos'!$D$7:$D$569,"&gt;="&amp;'Rev JR'!E$1,'Intereses percibidos'!$D$7:$D$569,"&lt;="&amp;EOMONTH('Rev JR'!E$1,0))</f>
        <v>0</v>
      </c>
      <c r="F16" s="530">
        <f>+SUMIFS('Intereses percibidos'!$G$7:$G$569,'Intereses percibidos'!$B$7:$B$569,'Rev JR'!$A16,'Intereses percibidos'!$D$7:$D$569,"&gt;="&amp;'Rev JR'!F$1,'Intereses percibidos'!$D$7:$D$569,"&lt;="&amp;EOMONTH('Rev JR'!F$1,0))</f>
        <v>0</v>
      </c>
      <c r="G16" s="530">
        <f>+SUMIFS('Intereses percibidos'!$G$7:$G$569,'Intereses percibidos'!$B$7:$B$569,'Rev JR'!$A16,'Intereses percibidos'!$D$7:$D$569,"&gt;="&amp;'Rev JR'!G$1,'Intereses percibidos'!$D$7:$D$569,"&lt;="&amp;EOMONTH('Rev JR'!G$1,0))</f>
        <v>0</v>
      </c>
      <c r="H16" s="530">
        <f>+SUMIFS('Intereses percibidos'!$G$7:$G$569,'Intereses percibidos'!$B$7:$B$569,'Rev JR'!$A16,'Intereses percibidos'!$D$7:$D$569,"&gt;="&amp;'Rev JR'!H$1,'Intereses percibidos'!$D$7:$D$569,"&lt;="&amp;EOMONTH('Rev JR'!H$1,0))</f>
        <v>0</v>
      </c>
      <c r="I16" s="530">
        <f>+SUMIFS('Intereses percibidos'!$G$7:$G$569,'Intereses percibidos'!$B$7:$B$569,'Rev JR'!$A16,'Intereses percibidos'!$D$7:$D$569,"&gt;="&amp;'Rev JR'!I$1,'Intereses percibidos'!$D$7:$D$569,"&lt;="&amp;EOMONTH('Rev JR'!I$1,0))</f>
        <v>0</v>
      </c>
      <c r="J16" s="530">
        <f>+SUMIFS('Intereses percibidos'!$G$7:$G$569,'Intereses percibidos'!$B$7:$B$569,'Rev JR'!$A16,'Intereses percibidos'!$D$7:$D$569,"&gt;="&amp;'Rev JR'!J$1,'Intereses percibidos'!$D$7:$D$569,"&lt;="&amp;EOMONTH('Rev JR'!J$1,0))</f>
        <v>0</v>
      </c>
      <c r="K16" s="530">
        <f>+SUMIFS('Intereses percibidos'!$G$7:$G$569,'Intereses percibidos'!$B$7:$B$569,'Rev JR'!$A16,'Intereses percibidos'!$D$7:$D$569,"&gt;="&amp;'Rev JR'!K$1,'Intereses percibidos'!$D$7:$D$569,"&lt;="&amp;EOMONTH('Rev JR'!K$1,0))</f>
        <v>0</v>
      </c>
      <c r="L16" s="530">
        <f>+SUMIFS('Intereses percibidos'!$G$7:$G$569,'Intereses percibidos'!$B$7:$B$569,'Rev JR'!$A16,'Intereses percibidos'!$D$7:$D$569,"&gt;="&amp;'Rev JR'!L$1,'Intereses percibidos'!$D$7:$D$569,"&lt;="&amp;EOMONTH('Rev JR'!L$1,0))</f>
        <v>0</v>
      </c>
      <c r="M16" s="530">
        <f>+SUMIFS('Intereses percibidos'!$G$7:$G$569,'Intereses percibidos'!$B$7:$B$569,'Rev JR'!$A16,'Intereses percibidos'!$D$7:$D$569,"&gt;="&amp;'Rev JR'!M$1,'Intereses percibidos'!$D$7:$D$569,"&lt;="&amp;EOMONTH('Rev JR'!M$1,0))</f>
        <v>0</v>
      </c>
      <c r="N16" s="530">
        <f>+SUMIFS('Intereses percibidos'!$G$7:$G$569,'Intereses percibidos'!$B$7:$B$569,'Rev JR'!$A16,'Intereses percibidos'!$D$7:$D$569,"&gt;="&amp;'Rev JR'!N$1,'Intereses percibidos'!$D$7:$D$569,"&lt;="&amp;EOMONTH('Rev JR'!N$1,0))</f>
        <v>0</v>
      </c>
      <c r="O16" s="530">
        <f t="shared" si="1"/>
        <v>0</v>
      </c>
    </row>
    <row r="17" spans="1:15">
      <c r="A17" s="664" t="str">
        <f>+Cuentas!B18</f>
        <v>M</v>
      </c>
      <c r="B17" s="526" t="str">
        <f t="shared" si="0"/>
        <v xml:space="preserve">        Intereses - M</v>
      </c>
      <c r="C17" s="530">
        <f>+SUMIFS('Intereses percibidos'!$G$7:$G$569,'Intereses percibidos'!$B$7:$B$569,'Rev JR'!$A17,'Intereses percibidos'!$D$7:$D$569,"&gt;="&amp;'Rev JR'!C$1,'Intereses percibidos'!$D$7:$D$569,"&lt;="&amp;EOMONTH('Rev JR'!C$1,0))</f>
        <v>0</v>
      </c>
      <c r="D17" s="530">
        <f>+SUMIFS('Intereses percibidos'!$G$7:$G$569,'Intereses percibidos'!$B$7:$B$569,'Rev JR'!$A17,'Intereses percibidos'!$D$7:$D$569,"&gt;="&amp;'Rev JR'!D$1,'Intereses percibidos'!$D$7:$D$569,"&lt;="&amp;EOMONTH('Rev JR'!D$1,0))</f>
        <v>0</v>
      </c>
      <c r="E17" s="530">
        <f>+SUMIFS('Intereses percibidos'!$G$7:$G$569,'Intereses percibidos'!$B$7:$B$569,'Rev JR'!$A17,'Intereses percibidos'!$D$7:$D$569,"&gt;="&amp;'Rev JR'!E$1,'Intereses percibidos'!$D$7:$D$569,"&lt;="&amp;EOMONTH('Rev JR'!E$1,0))</f>
        <v>0</v>
      </c>
      <c r="F17" s="530">
        <f>+SUMIFS('Intereses percibidos'!$G$7:$G$569,'Intereses percibidos'!$B$7:$B$569,'Rev JR'!$A17,'Intereses percibidos'!$D$7:$D$569,"&gt;="&amp;'Rev JR'!F$1,'Intereses percibidos'!$D$7:$D$569,"&lt;="&amp;EOMONTH('Rev JR'!F$1,0))</f>
        <v>0</v>
      </c>
      <c r="G17" s="530">
        <f>+SUMIFS('Intereses percibidos'!$G$7:$G$569,'Intereses percibidos'!$B$7:$B$569,'Rev JR'!$A17,'Intereses percibidos'!$D$7:$D$569,"&gt;="&amp;'Rev JR'!G$1,'Intereses percibidos'!$D$7:$D$569,"&lt;="&amp;EOMONTH('Rev JR'!G$1,0))</f>
        <v>0</v>
      </c>
      <c r="H17" s="530">
        <f>+SUMIFS('Intereses percibidos'!$G$7:$G$569,'Intereses percibidos'!$B$7:$B$569,'Rev JR'!$A17,'Intereses percibidos'!$D$7:$D$569,"&gt;="&amp;'Rev JR'!H$1,'Intereses percibidos'!$D$7:$D$569,"&lt;="&amp;EOMONTH('Rev JR'!H$1,0))</f>
        <v>0</v>
      </c>
      <c r="I17" s="530">
        <f>+SUMIFS('Intereses percibidos'!$G$7:$G$569,'Intereses percibidos'!$B$7:$B$569,'Rev JR'!$A17,'Intereses percibidos'!$D$7:$D$569,"&gt;="&amp;'Rev JR'!I$1,'Intereses percibidos'!$D$7:$D$569,"&lt;="&amp;EOMONTH('Rev JR'!I$1,0))</f>
        <v>0</v>
      </c>
      <c r="J17" s="530">
        <f>+SUMIFS('Intereses percibidos'!$G$7:$G$569,'Intereses percibidos'!$B$7:$B$569,'Rev JR'!$A17,'Intereses percibidos'!$D$7:$D$569,"&gt;="&amp;'Rev JR'!J$1,'Intereses percibidos'!$D$7:$D$569,"&lt;="&amp;EOMONTH('Rev JR'!J$1,0))</f>
        <v>0</v>
      </c>
      <c r="K17" s="530">
        <f>+SUMIFS('Intereses percibidos'!$G$7:$G$569,'Intereses percibidos'!$B$7:$B$569,'Rev JR'!$A17,'Intereses percibidos'!$D$7:$D$569,"&gt;="&amp;'Rev JR'!K$1,'Intereses percibidos'!$D$7:$D$569,"&lt;="&amp;EOMONTH('Rev JR'!K$1,0))</f>
        <v>0</v>
      </c>
      <c r="L17" s="530">
        <f>+SUMIFS('Intereses percibidos'!$G$7:$G$569,'Intereses percibidos'!$B$7:$B$569,'Rev JR'!$A17,'Intereses percibidos'!$D$7:$D$569,"&gt;="&amp;'Rev JR'!L$1,'Intereses percibidos'!$D$7:$D$569,"&lt;="&amp;EOMONTH('Rev JR'!L$1,0))</f>
        <v>0</v>
      </c>
      <c r="M17" s="530">
        <f>+SUMIFS('Intereses percibidos'!$G$7:$G$569,'Intereses percibidos'!$B$7:$B$569,'Rev JR'!$A17,'Intereses percibidos'!$D$7:$D$569,"&gt;="&amp;'Rev JR'!M$1,'Intereses percibidos'!$D$7:$D$569,"&lt;="&amp;EOMONTH('Rev JR'!M$1,0))</f>
        <v>0</v>
      </c>
      <c r="N17" s="530">
        <f>+SUMIFS('Intereses percibidos'!$G$7:$G$569,'Intereses percibidos'!$B$7:$B$569,'Rev JR'!$A17,'Intereses percibidos'!$D$7:$D$569,"&gt;="&amp;'Rev JR'!N$1,'Intereses percibidos'!$D$7:$D$569,"&lt;="&amp;EOMONTH('Rev JR'!N$1,0))</f>
        <v>0</v>
      </c>
      <c r="O17" s="530">
        <f t="shared" si="1"/>
        <v>0</v>
      </c>
    </row>
    <row r="18" spans="1:15">
      <c r="A18" s="664" t="str">
        <f>+Cuentas!B19</f>
        <v>N</v>
      </c>
      <c r="B18" s="526" t="str">
        <f t="shared" si="0"/>
        <v xml:space="preserve">        Intereses - N</v>
      </c>
      <c r="C18" s="530">
        <f>+SUMIFS('Intereses percibidos'!$G$7:$G$569,'Intereses percibidos'!$B$7:$B$569,'Rev JR'!$A18,'Intereses percibidos'!$D$7:$D$569,"&gt;="&amp;'Rev JR'!C$1,'Intereses percibidos'!$D$7:$D$569,"&lt;="&amp;EOMONTH('Rev JR'!C$1,0))</f>
        <v>0</v>
      </c>
      <c r="D18" s="530">
        <f>+SUMIFS('Intereses percibidos'!$G$7:$G$569,'Intereses percibidos'!$B$7:$B$569,'Rev JR'!$A18,'Intereses percibidos'!$D$7:$D$569,"&gt;="&amp;'Rev JR'!D$1,'Intereses percibidos'!$D$7:$D$569,"&lt;="&amp;EOMONTH('Rev JR'!D$1,0))</f>
        <v>0</v>
      </c>
      <c r="E18" s="530">
        <f>+SUMIFS('Intereses percibidos'!$G$7:$G$569,'Intereses percibidos'!$B$7:$B$569,'Rev JR'!$A18,'Intereses percibidos'!$D$7:$D$569,"&gt;="&amp;'Rev JR'!E$1,'Intereses percibidos'!$D$7:$D$569,"&lt;="&amp;EOMONTH('Rev JR'!E$1,0))</f>
        <v>0</v>
      </c>
      <c r="F18" s="530">
        <f>+SUMIFS('Intereses percibidos'!$G$7:$G$569,'Intereses percibidos'!$B$7:$B$569,'Rev JR'!$A18,'Intereses percibidos'!$D$7:$D$569,"&gt;="&amp;'Rev JR'!F$1,'Intereses percibidos'!$D$7:$D$569,"&lt;="&amp;EOMONTH('Rev JR'!F$1,0))</f>
        <v>0</v>
      </c>
      <c r="G18" s="530">
        <f>+SUMIFS('Intereses percibidos'!$G$7:$G$569,'Intereses percibidos'!$B$7:$B$569,'Rev JR'!$A18,'Intereses percibidos'!$D$7:$D$569,"&gt;="&amp;'Rev JR'!G$1,'Intereses percibidos'!$D$7:$D$569,"&lt;="&amp;EOMONTH('Rev JR'!G$1,0))</f>
        <v>0</v>
      </c>
      <c r="H18" s="530">
        <f>+SUMIFS('Intereses percibidos'!$G$7:$G$569,'Intereses percibidos'!$B$7:$B$569,'Rev JR'!$A18,'Intereses percibidos'!$D$7:$D$569,"&gt;="&amp;'Rev JR'!H$1,'Intereses percibidos'!$D$7:$D$569,"&lt;="&amp;EOMONTH('Rev JR'!H$1,0))</f>
        <v>0</v>
      </c>
      <c r="I18" s="530">
        <f>+SUMIFS('Intereses percibidos'!$G$7:$G$569,'Intereses percibidos'!$B$7:$B$569,'Rev JR'!$A18,'Intereses percibidos'!$D$7:$D$569,"&gt;="&amp;'Rev JR'!I$1,'Intereses percibidos'!$D$7:$D$569,"&lt;="&amp;EOMONTH('Rev JR'!I$1,0))</f>
        <v>0</v>
      </c>
      <c r="J18" s="530">
        <f>+SUMIFS('Intereses percibidos'!$G$7:$G$569,'Intereses percibidos'!$B$7:$B$569,'Rev JR'!$A18,'Intereses percibidos'!$D$7:$D$569,"&gt;="&amp;'Rev JR'!J$1,'Intereses percibidos'!$D$7:$D$569,"&lt;="&amp;EOMONTH('Rev JR'!J$1,0))</f>
        <v>0</v>
      </c>
      <c r="K18" s="530">
        <f>+SUMIFS('Intereses percibidos'!$G$7:$G$569,'Intereses percibidos'!$B$7:$B$569,'Rev JR'!$A18,'Intereses percibidos'!$D$7:$D$569,"&gt;="&amp;'Rev JR'!K$1,'Intereses percibidos'!$D$7:$D$569,"&lt;="&amp;EOMONTH('Rev JR'!K$1,0))</f>
        <v>0</v>
      </c>
      <c r="L18" s="530">
        <f>+SUMIFS('Intereses percibidos'!$G$7:$G$569,'Intereses percibidos'!$B$7:$B$569,'Rev JR'!$A18,'Intereses percibidos'!$D$7:$D$569,"&gt;="&amp;'Rev JR'!L$1,'Intereses percibidos'!$D$7:$D$569,"&lt;="&amp;EOMONTH('Rev JR'!L$1,0))</f>
        <v>0</v>
      </c>
      <c r="M18" s="530">
        <f>+SUMIFS('Intereses percibidos'!$G$7:$G$569,'Intereses percibidos'!$B$7:$B$569,'Rev JR'!$A18,'Intereses percibidos'!$D$7:$D$569,"&gt;="&amp;'Rev JR'!M$1,'Intereses percibidos'!$D$7:$D$569,"&lt;="&amp;EOMONTH('Rev JR'!M$1,0))</f>
        <v>0</v>
      </c>
      <c r="N18" s="530">
        <f>+SUMIFS('Intereses percibidos'!$G$7:$G$569,'Intereses percibidos'!$B$7:$B$569,'Rev JR'!$A18,'Intereses percibidos'!$D$7:$D$569,"&gt;="&amp;'Rev JR'!N$1,'Intereses percibidos'!$D$7:$D$569,"&lt;="&amp;EOMONTH('Rev JR'!N$1,0))</f>
        <v>0</v>
      </c>
      <c r="O18" s="530">
        <f t="shared" si="1"/>
        <v>0</v>
      </c>
    </row>
    <row r="19" spans="1:15">
      <c r="A19" s="664" t="str">
        <f>+Cuentas!B20</f>
        <v>O</v>
      </c>
      <c r="B19" s="526" t="str">
        <f t="shared" si="0"/>
        <v xml:space="preserve">        Intereses - O</v>
      </c>
      <c r="C19" s="530">
        <f>+SUMIFS('Intereses percibidos'!$G$7:$G$569,'Intereses percibidos'!$B$7:$B$569,'Rev JR'!$A19,'Intereses percibidos'!$D$7:$D$569,"&gt;="&amp;'Rev JR'!C$1,'Intereses percibidos'!$D$7:$D$569,"&lt;="&amp;EOMONTH('Rev JR'!C$1,0))</f>
        <v>0</v>
      </c>
      <c r="D19" s="530">
        <f>+SUMIFS('Intereses percibidos'!$G$7:$G$569,'Intereses percibidos'!$B$7:$B$569,'Rev JR'!$A19,'Intereses percibidos'!$D$7:$D$569,"&gt;="&amp;'Rev JR'!D$1,'Intereses percibidos'!$D$7:$D$569,"&lt;="&amp;EOMONTH('Rev JR'!D$1,0))</f>
        <v>0</v>
      </c>
      <c r="E19" s="530">
        <f>+SUMIFS('Intereses percibidos'!$G$7:$G$569,'Intereses percibidos'!$B$7:$B$569,'Rev JR'!$A19,'Intereses percibidos'!$D$7:$D$569,"&gt;="&amp;'Rev JR'!E$1,'Intereses percibidos'!$D$7:$D$569,"&lt;="&amp;EOMONTH('Rev JR'!E$1,0))</f>
        <v>0</v>
      </c>
      <c r="F19" s="530">
        <f>+SUMIFS('Intereses percibidos'!$G$7:$G$569,'Intereses percibidos'!$B$7:$B$569,'Rev JR'!$A19,'Intereses percibidos'!$D$7:$D$569,"&gt;="&amp;'Rev JR'!F$1,'Intereses percibidos'!$D$7:$D$569,"&lt;="&amp;EOMONTH('Rev JR'!F$1,0))</f>
        <v>0</v>
      </c>
      <c r="G19" s="530">
        <f>+SUMIFS('Intereses percibidos'!$G$7:$G$569,'Intereses percibidos'!$B$7:$B$569,'Rev JR'!$A19,'Intereses percibidos'!$D$7:$D$569,"&gt;="&amp;'Rev JR'!G$1,'Intereses percibidos'!$D$7:$D$569,"&lt;="&amp;EOMONTH('Rev JR'!G$1,0))</f>
        <v>0</v>
      </c>
      <c r="H19" s="530">
        <f>+SUMIFS('Intereses percibidos'!$G$7:$G$569,'Intereses percibidos'!$B$7:$B$569,'Rev JR'!$A19,'Intereses percibidos'!$D$7:$D$569,"&gt;="&amp;'Rev JR'!H$1,'Intereses percibidos'!$D$7:$D$569,"&lt;="&amp;EOMONTH('Rev JR'!H$1,0))</f>
        <v>0</v>
      </c>
      <c r="I19" s="530">
        <f>+SUMIFS('Intereses percibidos'!$G$7:$G$569,'Intereses percibidos'!$B$7:$B$569,'Rev JR'!$A19,'Intereses percibidos'!$D$7:$D$569,"&gt;="&amp;'Rev JR'!I$1,'Intereses percibidos'!$D$7:$D$569,"&lt;="&amp;EOMONTH('Rev JR'!I$1,0))</f>
        <v>0</v>
      </c>
      <c r="J19" s="530">
        <f>+SUMIFS('Intereses percibidos'!$G$7:$G$569,'Intereses percibidos'!$B$7:$B$569,'Rev JR'!$A19,'Intereses percibidos'!$D$7:$D$569,"&gt;="&amp;'Rev JR'!J$1,'Intereses percibidos'!$D$7:$D$569,"&lt;="&amp;EOMONTH('Rev JR'!J$1,0))</f>
        <v>0</v>
      </c>
      <c r="K19" s="530">
        <f>+SUMIFS('Intereses percibidos'!$G$7:$G$569,'Intereses percibidos'!$B$7:$B$569,'Rev JR'!$A19,'Intereses percibidos'!$D$7:$D$569,"&gt;="&amp;'Rev JR'!K$1,'Intereses percibidos'!$D$7:$D$569,"&lt;="&amp;EOMONTH('Rev JR'!K$1,0))</f>
        <v>0</v>
      </c>
      <c r="L19" s="530">
        <f>+SUMIFS('Intereses percibidos'!$G$7:$G$569,'Intereses percibidos'!$B$7:$B$569,'Rev JR'!$A19,'Intereses percibidos'!$D$7:$D$569,"&gt;="&amp;'Rev JR'!L$1,'Intereses percibidos'!$D$7:$D$569,"&lt;="&amp;EOMONTH('Rev JR'!L$1,0))</f>
        <v>0</v>
      </c>
      <c r="M19" s="530">
        <f>+SUMIFS('Intereses percibidos'!$G$7:$G$569,'Intereses percibidos'!$B$7:$B$569,'Rev JR'!$A19,'Intereses percibidos'!$D$7:$D$569,"&gt;="&amp;'Rev JR'!M$1,'Intereses percibidos'!$D$7:$D$569,"&lt;="&amp;EOMONTH('Rev JR'!M$1,0))</f>
        <v>0</v>
      </c>
      <c r="N19" s="530">
        <f>+SUMIFS('Intereses percibidos'!$G$7:$G$569,'Intereses percibidos'!$B$7:$B$569,'Rev JR'!$A19,'Intereses percibidos'!$D$7:$D$569,"&gt;="&amp;'Rev JR'!N$1,'Intereses percibidos'!$D$7:$D$569,"&lt;="&amp;EOMONTH('Rev JR'!N$1,0))</f>
        <v>0</v>
      </c>
      <c r="O19" s="530">
        <f t="shared" si="1"/>
        <v>0</v>
      </c>
    </row>
    <row r="20" spans="1:15">
      <c r="A20" s="664" t="str">
        <f>+Cuentas!B21</f>
        <v>P</v>
      </c>
      <c r="B20" s="526" t="str">
        <f t="shared" si="0"/>
        <v xml:space="preserve">        Intereses - P</v>
      </c>
      <c r="C20" s="530">
        <f>+SUMIFS('Intereses percibidos'!$G$7:$G$569,'Intereses percibidos'!$B$7:$B$569,'Rev JR'!$A20,'Intereses percibidos'!$D$7:$D$569,"&gt;="&amp;'Rev JR'!C$1,'Intereses percibidos'!$D$7:$D$569,"&lt;="&amp;EOMONTH('Rev JR'!C$1,0))</f>
        <v>0</v>
      </c>
      <c r="D20" s="530">
        <f>+SUMIFS('Intereses percibidos'!$G$7:$G$569,'Intereses percibidos'!$B$7:$B$569,'Rev JR'!$A20,'Intereses percibidos'!$D$7:$D$569,"&gt;="&amp;'Rev JR'!D$1,'Intereses percibidos'!$D$7:$D$569,"&lt;="&amp;EOMONTH('Rev JR'!D$1,0))</f>
        <v>0</v>
      </c>
      <c r="E20" s="530">
        <f>+SUMIFS('Intereses percibidos'!$G$7:$G$569,'Intereses percibidos'!$B$7:$B$569,'Rev JR'!$A20,'Intereses percibidos'!$D$7:$D$569,"&gt;="&amp;'Rev JR'!E$1,'Intereses percibidos'!$D$7:$D$569,"&lt;="&amp;EOMONTH('Rev JR'!E$1,0))</f>
        <v>0</v>
      </c>
      <c r="F20" s="530">
        <f>+SUMIFS('Intereses percibidos'!$G$7:$G$569,'Intereses percibidos'!$B$7:$B$569,'Rev JR'!$A20,'Intereses percibidos'!$D$7:$D$569,"&gt;="&amp;'Rev JR'!F$1,'Intereses percibidos'!$D$7:$D$569,"&lt;="&amp;EOMONTH('Rev JR'!F$1,0))</f>
        <v>0</v>
      </c>
      <c r="G20" s="530">
        <f>+SUMIFS('Intereses percibidos'!$G$7:$G$569,'Intereses percibidos'!$B$7:$B$569,'Rev JR'!$A20,'Intereses percibidos'!$D$7:$D$569,"&gt;="&amp;'Rev JR'!G$1,'Intereses percibidos'!$D$7:$D$569,"&lt;="&amp;EOMONTH('Rev JR'!G$1,0))</f>
        <v>0</v>
      </c>
      <c r="H20" s="530">
        <f>+SUMIFS('Intereses percibidos'!$G$7:$G$569,'Intereses percibidos'!$B$7:$B$569,'Rev JR'!$A20,'Intereses percibidos'!$D$7:$D$569,"&gt;="&amp;'Rev JR'!H$1,'Intereses percibidos'!$D$7:$D$569,"&lt;="&amp;EOMONTH('Rev JR'!H$1,0))</f>
        <v>0</v>
      </c>
      <c r="I20" s="530">
        <f>+SUMIFS('Intereses percibidos'!$G$7:$G$569,'Intereses percibidos'!$B$7:$B$569,'Rev JR'!$A20,'Intereses percibidos'!$D$7:$D$569,"&gt;="&amp;'Rev JR'!I$1,'Intereses percibidos'!$D$7:$D$569,"&lt;="&amp;EOMONTH('Rev JR'!I$1,0))</f>
        <v>0</v>
      </c>
      <c r="J20" s="530">
        <f>+SUMIFS('Intereses percibidos'!$G$7:$G$569,'Intereses percibidos'!$B$7:$B$569,'Rev JR'!$A20,'Intereses percibidos'!$D$7:$D$569,"&gt;="&amp;'Rev JR'!J$1,'Intereses percibidos'!$D$7:$D$569,"&lt;="&amp;EOMONTH('Rev JR'!J$1,0))</f>
        <v>0</v>
      </c>
      <c r="K20" s="530">
        <f>+SUMIFS('Intereses percibidos'!$G$7:$G$569,'Intereses percibidos'!$B$7:$B$569,'Rev JR'!$A20,'Intereses percibidos'!$D$7:$D$569,"&gt;="&amp;'Rev JR'!K$1,'Intereses percibidos'!$D$7:$D$569,"&lt;="&amp;EOMONTH('Rev JR'!K$1,0))</f>
        <v>0</v>
      </c>
      <c r="L20" s="530">
        <f>+SUMIFS('Intereses percibidos'!$G$7:$G$569,'Intereses percibidos'!$B$7:$B$569,'Rev JR'!$A20,'Intereses percibidos'!$D$7:$D$569,"&gt;="&amp;'Rev JR'!L$1,'Intereses percibidos'!$D$7:$D$569,"&lt;="&amp;EOMONTH('Rev JR'!L$1,0))</f>
        <v>0</v>
      </c>
      <c r="M20" s="530">
        <f>+SUMIFS('Intereses percibidos'!$G$7:$G$569,'Intereses percibidos'!$B$7:$B$569,'Rev JR'!$A20,'Intereses percibidos'!$D$7:$D$569,"&gt;="&amp;'Rev JR'!M$1,'Intereses percibidos'!$D$7:$D$569,"&lt;="&amp;EOMONTH('Rev JR'!M$1,0))</f>
        <v>0</v>
      </c>
      <c r="N20" s="530">
        <f>+SUMIFS('Intereses percibidos'!$G$7:$G$569,'Intereses percibidos'!$B$7:$B$569,'Rev JR'!$A20,'Intereses percibidos'!$D$7:$D$569,"&gt;="&amp;'Rev JR'!N$1,'Intereses percibidos'!$D$7:$D$569,"&lt;="&amp;EOMONTH('Rev JR'!N$1,0))</f>
        <v>0</v>
      </c>
      <c r="O20" s="530">
        <f t="shared" si="1"/>
        <v>0</v>
      </c>
    </row>
    <row r="21" spans="1:15">
      <c r="A21" s="522"/>
      <c r="B21" s="531" t="s">
        <v>612</v>
      </c>
      <c r="C21" s="532">
        <f t="shared" ref="C21:O21" si="2">SUM(C5:C20)</f>
        <v>40.519999999999996</v>
      </c>
      <c r="D21" s="532">
        <f t="shared" si="2"/>
        <v>26.07</v>
      </c>
      <c r="E21" s="532">
        <f t="shared" si="2"/>
        <v>39.93</v>
      </c>
      <c r="F21" s="532">
        <f t="shared" si="2"/>
        <v>155.11000000000001</v>
      </c>
      <c r="G21" s="532">
        <f t="shared" si="2"/>
        <v>280.37</v>
      </c>
      <c r="H21" s="532">
        <f t="shared" si="2"/>
        <v>341.47</v>
      </c>
      <c r="I21" s="532">
        <f t="shared" si="2"/>
        <v>454.06</v>
      </c>
      <c r="J21" s="532">
        <f t="shared" si="2"/>
        <v>1742.18</v>
      </c>
      <c r="K21" s="532">
        <f t="shared" si="2"/>
        <v>3033.24</v>
      </c>
      <c r="L21" s="532">
        <f t="shared" si="2"/>
        <v>2070.6199999999994</v>
      </c>
      <c r="M21" s="532">
        <f t="shared" si="2"/>
        <v>0</v>
      </c>
      <c r="N21" s="532">
        <f t="shared" si="2"/>
        <v>0</v>
      </c>
      <c r="O21" s="532">
        <f t="shared" si="2"/>
        <v>8183.5700000000006</v>
      </c>
    </row>
    <row r="22" spans="1:15">
      <c r="A22" s="522"/>
      <c r="B22" s="526" t="s">
        <v>598</v>
      </c>
      <c r="C22" s="529"/>
      <c r="D22" s="529"/>
      <c r="E22" s="529"/>
      <c r="F22" s="529"/>
      <c r="G22" s="529"/>
      <c r="H22" s="529"/>
      <c r="I22" s="529"/>
      <c r="J22" s="529"/>
      <c r="K22" s="529"/>
      <c r="L22" s="529"/>
      <c r="M22" s="529"/>
      <c r="N22" s="529"/>
      <c r="O22" s="529"/>
    </row>
    <row r="23" spans="1:15">
      <c r="A23" s="522"/>
      <c r="B23" s="526" t="s">
        <v>613</v>
      </c>
      <c r="C23" s="529"/>
      <c r="D23" s="529"/>
      <c r="E23" s="529"/>
      <c r="F23" s="529"/>
      <c r="G23" s="529"/>
      <c r="H23" s="529"/>
      <c r="I23" s="529"/>
      <c r="J23" s="529"/>
      <c r="K23" s="529"/>
      <c r="L23" s="529"/>
      <c r="M23" s="529"/>
      <c r="N23" s="529"/>
      <c r="O23" s="529"/>
    </row>
    <row r="24" spans="1:15">
      <c r="A24" s="664" t="str">
        <f>+A5</f>
        <v>31XX29</v>
      </c>
      <c r="B24" s="526" t="str">
        <f>+CONCATENATE("        Int C/V de Bonos - ",A24)</f>
        <v xml:space="preserve">        Int C/V de Bonos - 31XX29</v>
      </c>
      <c r="C24" s="530">
        <f>+SUMIFS('Intereses en Compra Venta Bonos'!$G$7:$G$500,'Intereses en Compra Venta Bonos'!$B$7:$B$500,'Rev JR'!$A24,'Intereses en Compra Venta Bonos'!$D$7:$D$500,"&gt;="&amp;'Rev JR'!C$1,'Intereses en Compra Venta Bonos'!$D$7:$D$500,"&lt;="&amp;EOMONTH('Rev JR'!C$1,0))</f>
        <v>0</v>
      </c>
      <c r="D24" s="530">
        <f>+SUMIFS('Intereses en Compra Venta Bonos'!$G$7:$G$500,'Intereses en Compra Venta Bonos'!$B$7:$B$500,'Rev JR'!$A24,'Intereses en Compra Venta Bonos'!$D$7:$D$500,"&gt;="&amp;'Rev JR'!D$1,'Intereses en Compra Venta Bonos'!$D$7:$D$500,"&lt;="&amp;EOMONTH('Rev JR'!D$1,0))</f>
        <v>0</v>
      </c>
      <c r="E24" s="530">
        <f>+SUMIFS('Intereses en Compra Venta Bonos'!$G$7:$G$500,'Intereses en Compra Venta Bonos'!$B$7:$B$500,'Rev JR'!$A24,'Intereses en Compra Venta Bonos'!$D$7:$D$500,"&gt;="&amp;'Rev JR'!E$1,'Intereses en Compra Venta Bonos'!$D$7:$D$500,"&lt;="&amp;EOMONTH('Rev JR'!E$1,0))</f>
        <v>0</v>
      </c>
      <c r="F24" s="530">
        <f>+SUMIFS('Intereses en Compra Venta Bonos'!$G$7:$G$500,'Intereses en Compra Venta Bonos'!$B$7:$B$500,'Rev JR'!$A24,'Intereses en Compra Venta Bonos'!$D$7:$D$500,"&gt;="&amp;'Rev JR'!F$1,'Intereses en Compra Venta Bonos'!$D$7:$D$500,"&lt;="&amp;EOMONTH('Rev JR'!F$1,0))</f>
        <v>0</v>
      </c>
      <c r="G24" s="530">
        <f>+SUMIFS('Intereses en Compra Venta Bonos'!$G$7:$G$500,'Intereses en Compra Venta Bonos'!$B$7:$B$500,'Rev JR'!$A24,'Intereses en Compra Venta Bonos'!$D$7:$D$500,"&gt;="&amp;'Rev JR'!G$1,'Intereses en Compra Venta Bonos'!$D$7:$D$500,"&lt;="&amp;EOMONTH('Rev JR'!G$1,0))</f>
        <v>0</v>
      </c>
      <c r="H24" s="530">
        <f>+SUMIFS('Intereses en Compra Venta Bonos'!$G$7:$G$500,'Intereses en Compra Venta Bonos'!$B$7:$B$500,'Rev JR'!$A24,'Intereses en Compra Venta Bonos'!$D$7:$D$500,"&gt;="&amp;'Rev JR'!H$1,'Intereses en Compra Venta Bonos'!$D$7:$D$500,"&lt;="&amp;EOMONTH('Rev JR'!H$1,0))</f>
        <v>0</v>
      </c>
      <c r="I24" s="530">
        <f>+SUMIFS('Intereses en Compra Venta Bonos'!$G$7:$G$500,'Intereses en Compra Venta Bonos'!$B$7:$B$500,'Rev JR'!$A24,'Intereses en Compra Venta Bonos'!$D$7:$D$500,"&gt;="&amp;'Rev JR'!I$1,'Intereses en Compra Venta Bonos'!$D$7:$D$500,"&lt;="&amp;EOMONTH('Rev JR'!I$1,0))</f>
        <v>0</v>
      </c>
      <c r="J24" s="530">
        <f>+SUMIFS('Intereses en Compra Venta Bonos'!$G$7:$G$500,'Intereses en Compra Venta Bonos'!$B$7:$B$500,'Rev JR'!$A24,'Intereses en Compra Venta Bonos'!$D$7:$D$500,"&gt;="&amp;'Rev JR'!J$1,'Intereses en Compra Venta Bonos'!$D$7:$D$500,"&lt;="&amp;EOMONTH('Rev JR'!J$1,0))</f>
        <v>0</v>
      </c>
      <c r="K24" s="530">
        <f>+SUMIFS('Intereses en Compra Venta Bonos'!$G$7:$G$500,'Intereses en Compra Venta Bonos'!$B$7:$B$500,'Rev JR'!$A24,'Intereses en Compra Venta Bonos'!$D$7:$D$500,"&gt;="&amp;'Rev JR'!K$1,'Intereses en Compra Venta Bonos'!$D$7:$D$500,"&lt;="&amp;EOMONTH('Rev JR'!K$1,0))</f>
        <v>0</v>
      </c>
      <c r="L24" s="530">
        <f>+SUMIFS('Intereses en Compra Venta Bonos'!$G$7:$G$500,'Intereses en Compra Venta Bonos'!$B$7:$B$500,'Rev JR'!$A24,'Intereses en Compra Venta Bonos'!$D$7:$D$500,"&gt;="&amp;'Rev JR'!L$1,'Intereses en Compra Venta Bonos'!$D$7:$D$500,"&lt;="&amp;EOMONTH('Rev JR'!L$1,0))</f>
        <v>0</v>
      </c>
      <c r="M24" s="530">
        <f>+SUMIFS('Intereses en Compra Venta Bonos'!$G$7:$G$500,'Intereses en Compra Venta Bonos'!$B$7:$B$500,'Rev JR'!$A24,'Intereses en Compra Venta Bonos'!$D$7:$D$500,"&gt;="&amp;'Rev JR'!M$1,'Intereses en Compra Venta Bonos'!$D$7:$D$500,"&lt;="&amp;EOMONTH('Rev JR'!M$1,0))</f>
        <v>0</v>
      </c>
      <c r="N24" s="530">
        <f>+SUMIFS('Intereses en Compra Venta Bonos'!$G$7:$G$500,'Intereses en Compra Venta Bonos'!$B$7:$B$500,'Rev JR'!$A24,'Intereses en Compra Venta Bonos'!$D$7:$D$500,"&gt;="&amp;'Rev JR'!N$1,'Intereses en Compra Venta Bonos'!$D$7:$D$500,"&lt;="&amp;EOMONTH('Rev JR'!N$1,0))</f>
        <v>0</v>
      </c>
      <c r="O24" s="530">
        <f t="shared" ref="O24:O39" si="3">SUM(C24:N24)</f>
        <v>0</v>
      </c>
    </row>
    <row r="25" spans="1:15">
      <c r="A25" s="664" t="str">
        <f t="shared" ref="A25:A39" si="4">+A6</f>
        <v>11XX300</v>
      </c>
      <c r="B25" s="526" t="str">
        <f t="shared" ref="B25:B39" si="5">+CONCATENATE("        Int C/V de Bonos - ",A25)</f>
        <v xml:space="preserve">        Int C/V de Bonos - 11XX300</v>
      </c>
      <c r="C25" s="530">
        <f>+SUMIFS('Intereses en Compra Venta Bonos'!$G$7:$G$500,'Intereses en Compra Venta Bonos'!$B$7:$B$500,'Rev JR'!$A25,'Intereses en Compra Venta Bonos'!$D$7:$D$500,"&gt;="&amp;'Rev JR'!C$1,'Intereses en Compra Venta Bonos'!$D$7:$D$500,"&lt;="&amp;EOMONTH('Rev JR'!C$1,0))</f>
        <v>0</v>
      </c>
      <c r="D25" s="530">
        <f>+SUMIFS('Intereses en Compra Venta Bonos'!$G$7:$G$500,'Intereses en Compra Venta Bonos'!$B$7:$B$500,'Rev JR'!$A25,'Intereses en Compra Venta Bonos'!$D$7:$D$500,"&gt;="&amp;'Rev JR'!D$1,'Intereses en Compra Venta Bonos'!$D$7:$D$500,"&lt;="&amp;EOMONTH('Rev JR'!D$1,0))</f>
        <v>0</v>
      </c>
      <c r="E25" s="530">
        <f>+SUMIFS('Intereses en Compra Venta Bonos'!$G$7:$G$500,'Intereses en Compra Venta Bonos'!$B$7:$B$500,'Rev JR'!$A25,'Intereses en Compra Venta Bonos'!$D$7:$D$500,"&gt;="&amp;'Rev JR'!E$1,'Intereses en Compra Venta Bonos'!$D$7:$D$500,"&lt;="&amp;EOMONTH('Rev JR'!E$1,0))</f>
        <v>0</v>
      </c>
      <c r="F25" s="530">
        <f>+SUMIFS('Intereses en Compra Venta Bonos'!$G$7:$G$500,'Intereses en Compra Venta Bonos'!$B$7:$B$500,'Rev JR'!$A25,'Intereses en Compra Venta Bonos'!$D$7:$D$500,"&gt;="&amp;'Rev JR'!F$1,'Intereses en Compra Venta Bonos'!$D$7:$D$500,"&lt;="&amp;EOMONTH('Rev JR'!F$1,0))</f>
        <v>0</v>
      </c>
      <c r="G25" s="530">
        <f>+SUMIFS('Intereses en Compra Venta Bonos'!$G$7:$G$500,'Intereses en Compra Venta Bonos'!$B$7:$B$500,'Rev JR'!$A25,'Intereses en Compra Venta Bonos'!$D$7:$D$500,"&gt;="&amp;'Rev JR'!G$1,'Intereses en Compra Venta Bonos'!$D$7:$D$500,"&lt;="&amp;EOMONTH('Rev JR'!G$1,0))</f>
        <v>0</v>
      </c>
      <c r="H25" s="530">
        <f>+SUMIFS('Intereses en Compra Venta Bonos'!$G$7:$G$500,'Intereses en Compra Venta Bonos'!$B$7:$B$500,'Rev JR'!$A25,'Intereses en Compra Venta Bonos'!$D$7:$D$500,"&gt;="&amp;'Rev JR'!H$1,'Intereses en Compra Venta Bonos'!$D$7:$D$500,"&lt;="&amp;EOMONTH('Rev JR'!H$1,0))</f>
        <v>0</v>
      </c>
      <c r="I25" s="530">
        <f>+SUMIFS('Intereses en Compra Venta Bonos'!$G$7:$G$500,'Intereses en Compra Venta Bonos'!$B$7:$B$500,'Rev JR'!$A25,'Intereses en Compra Venta Bonos'!$D$7:$D$500,"&gt;="&amp;'Rev JR'!I$1,'Intereses en Compra Venta Bonos'!$D$7:$D$500,"&lt;="&amp;EOMONTH('Rev JR'!I$1,0))</f>
        <v>0</v>
      </c>
      <c r="J25" s="530">
        <f>+SUMIFS('Intereses en Compra Venta Bonos'!$G$7:$G$500,'Intereses en Compra Venta Bonos'!$B$7:$B$500,'Rev JR'!$A25,'Intereses en Compra Venta Bonos'!$D$7:$D$500,"&gt;="&amp;'Rev JR'!J$1,'Intereses en Compra Venta Bonos'!$D$7:$D$500,"&lt;="&amp;EOMONTH('Rev JR'!J$1,0))</f>
        <v>0</v>
      </c>
      <c r="K25" s="530">
        <f>+SUMIFS('Intereses en Compra Venta Bonos'!$G$7:$G$500,'Intereses en Compra Venta Bonos'!$B$7:$B$500,'Rev JR'!$A25,'Intereses en Compra Venta Bonos'!$D$7:$D$500,"&gt;="&amp;'Rev JR'!K$1,'Intereses en Compra Venta Bonos'!$D$7:$D$500,"&lt;="&amp;EOMONTH('Rev JR'!K$1,0))</f>
        <v>0</v>
      </c>
      <c r="L25" s="530">
        <f>+SUMIFS('Intereses en Compra Venta Bonos'!$G$7:$G$500,'Intereses en Compra Venta Bonos'!$B$7:$B$500,'Rev JR'!$A25,'Intereses en Compra Venta Bonos'!$D$7:$D$500,"&gt;="&amp;'Rev JR'!L$1,'Intereses en Compra Venta Bonos'!$D$7:$D$500,"&lt;="&amp;EOMONTH('Rev JR'!L$1,0))</f>
        <v>0</v>
      </c>
      <c r="M25" s="530">
        <f>+SUMIFS('Intereses en Compra Venta Bonos'!$G$7:$G$500,'Intereses en Compra Venta Bonos'!$B$7:$B$500,'Rev JR'!$A25,'Intereses en Compra Venta Bonos'!$D$7:$D$500,"&gt;="&amp;'Rev JR'!M$1,'Intereses en Compra Venta Bonos'!$D$7:$D$500,"&lt;="&amp;EOMONTH('Rev JR'!M$1,0))</f>
        <v>0</v>
      </c>
      <c r="N25" s="530">
        <f>+SUMIFS('Intereses en Compra Venta Bonos'!$G$7:$G$500,'Intereses en Compra Venta Bonos'!$B$7:$B$500,'Rev JR'!$A25,'Intereses en Compra Venta Bonos'!$D$7:$D$500,"&gt;="&amp;'Rev JR'!N$1,'Intereses en Compra Venta Bonos'!$D$7:$D$500,"&lt;="&amp;EOMONTH('Rev JR'!N$1,0))</f>
        <v>0</v>
      </c>
      <c r="O25" s="530">
        <f t="shared" si="3"/>
        <v>0</v>
      </c>
    </row>
    <row r="26" spans="1:15">
      <c r="A26" s="664" t="str">
        <f t="shared" si="4"/>
        <v>1XXX100</v>
      </c>
      <c r="B26" s="526" t="str">
        <f t="shared" si="5"/>
        <v xml:space="preserve">        Int C/V de Bonos - 1XXX100</v>
      </c>
      <c r="C26" s="530">
        <f>+SUMIFS('Intereses en Compra Venta Bonos'!$G$7:$G$500,'Intereses en Compra Venta Bonos'!$B$7:$B$500,'Rev JR'!$A26,'Intereses en Compra Venta Bonos'!$D$7:$D$500,"&gt;="&amp;'Rev JR'!C$1,'Intereses en Compra Venta Bonos'!$D$7:$D$500,"&lt;="&amp;EOMONTH('Rev JR'!C$1,0))</f>
        <v>0</v>
      </c>
      <c r="D26" s="530">
        <f>+SUMIFS('Intereses en Compra Venta Bonos'!$G$7:$G$500,'Intereses en Compra Venta Bonos'!$B$7:$B$500,'Rev JR'!$A26,'Intereses en Compra Venta Bonos'!$D$7:$D$500,"&gt;="&amp;'Rev JR'!D$1,'Intereses en Compra Venta Bonos'!$D$7:$D$500,"&lt;="&amp;EOMONTH('Rev JR'!D$1,0))</f>
        <v>0</v>
      </c>
      <c r="E26" s="530">
        <f>+SUMIFS('Intereses en Compra Venta Bonos'!$G$7:$G$500,'Intereses en Compra Venta Bonos'!$B$7:$B$500,'Rev JR'!$A26,'Intereses en Compra Venta Bonos'!$D$7:$D$500,"&gt;="&amp;'Rev JR'!E$1,'Intereses en Compra Venta Bonos'!$D$7:$D$500,"&lt;="&amp;EOMONTH('Rev JR'!E$1,0))</f>
        <v>0</v>
      </c>
      <c r="F26" s="530">
        <f>+SUMIFS('Intereses en Compra Venta Bonos'!$G$7:$G$500,'Intereses en Compra Venta Bonos'!$B$7:$B$500,'Rev JR'!$A26,'Intereses en Compra Venta Bonos'!$D$7:$D$500,"&gt;="&amp;'Rev JR'!F$1,'Intereses en Compra Venta Bonos'!$D$7:$D$500,"&lt;="&amp;EOMONTH('Rev JR'!F$1,0))</f>
        <v>0</v>
      </c>
      <c r="G26" s="530">
        <f>+SUMIFS('Intereses en Compra Venta Bonos'!$G$7:$G$500,'Intereses en Compra Venta Bonos'!$B$7:$B$500,'Rev JR'!$A26,'Intereses en Compra Venta Bonos'!$D$7:$D$500,"&gt;="&amp;'Rev JR'!G$1,'Intereses en Compra Venta Bonos'!$D$7:$D$500,"&lt;="&amp;EOMONTH('Rev JR'!G$1,0))</f>
        <v>0</v>
      </c>
      <c r="H26" s="530">
        <f>+SUMIFS('Intereses en Compra Venta Bonos'!$G$7:$G$500,'Intereses en Compra Venta Bonos'!$B$7:$B$500,'Rev JR'!$A26,'Intereses en Compra Venta Bonos'!$D$7:$D$500,"&gt;="&amp;'Rev JR'!H$1,'Intereses en Compra Venta Bonos'!$D$7:$D$500,"&lt;="&amp;EOMONTH('Rev JR'!H$1,0))</f>
        <v>0</v>
      </c>
      <c r="I26" s="530">
        <f>+SUMIFS('Intereses en Compra Venta Bonos'!$G$7:$G$500,'Intereses en Compra Venta Bonos'!$B$7:$B$500,'Rev JR'!$A26,'Intereses en Compra Venta Bonos'!$D$7:$D$500,"&gt;="&amp;'Rev JR'!I$1,'Intereses en Compra Venta Bonos'!$D$7:$D$500,"&lt;="&amp;EOMONTH('Rev JR'!I$1,0))</f>
        <v>0</v>
      </c>
      <c r="J26" s="530">
        <f>+SUMIFS('Intereses en Compra Venta Bonos'!$G$7:$G$500,'Intereses en Compra Venta Bonos'!$B$7:$B$500,'Rev JR'!$A26,'Intereses en Compra Venta Bonos'!$D$7:$D$500,"&gt;="&amp;'Rev JR'!J$1,'Intereses en Compra Venta Bonos'!$D$7:$D$500,"&lt;="&amp;EOMONTH('Rev JR'!J$1,0))</f>
        <v>0</v>
      </c>
      <c r="K26" s="530">
        <f>+SUMIFS('Intereses en Compra Venta Bonos'!$G$7:$G$500,'Intereses en Compra Venta Bonos'!$B$7:$B$500,'Rev JR'!$A26,'Intereses en Compra Venta Bonos'!$D$7:$D$500,"&gt;="&amp;'Rev JR'!K$1,'Intereses en Compra Venta Bonos'!$D$7:$D$500,"&lt;="&amp;EOMONTH('Rev JR'!K$1,0))</f>
        <v>0</v>
      </c>
      <c r="L26" s="530">
        <f>+SUMIFS('Intereses en Compra Venta Bonos'!$G$7:$G$500,'Intereses en Compra Venta Bonos'!$B$7:$B$500,'Rev JR'!$A26,'Intereses en Compra Venta Bonos'!$D$7:$D$500,"&gt;="&amp;'Rev JR'!L$1,'Intereses en Compra Venta Bonos'!$D$7:$D$500,"&lt;="&amp;EOMONTH('Rev JR'!L$1,0))</f>
        <v>0</v>
      </c>
      <c r="M26" s="530">
        <f>+SUMIFS('Intereses en Compra Venta Bonos'!$G$7:$G$500,'Intereses en Compra Venta Bonos'!$B$7:$B$500,'Rev JR'!$A26,'Intereses en Compra Venta Bonos'!$D$7:$D$500,"&gt;="&amp;'Rev JR'!M$1,'Intereses en Compra Venta Bonos'!$D$7:$D$500,"&lt;="&amp;EOMONTH('Rev JR'!M$1,0))</f>
        <v>0</v>
      </c>
      <c r="N26" s="530">
        <f>+SUMIFS('Intereses en Compra Venta Bonos'!$G$7:$G$500,'Intereses en Compra Venta Bonos'!$B$7:$B$500,'Rev JR'!$A26,'Intereses en Compra Venta Bonos'!$D$7:$D$500,"&gt;="&amp;'Rev JR'!N$1,'Intereses en Compra Venta Bonos'!$D$7:$D$500,"&lt;="&amp;EOMONTH('Rev JR'!N$1,0))</f>
        <v>0</v>
      </c>
      <c r="O26" s="530">
        <f t="shared" si="3"/>
        <v>0</v>
      </c>
    </row>
    <row r="27" spans="1:15">
      <c r="A27" s="664" t="str">
        <f t="shared" si="4"/>
        <v>B467XXX05</v>
      </c>
      <c r="B27" s="526" t="str">
        <f t="shared" si="5"/>
        <v xml:space="preserve">        Int C/V de Bonos - B467XXX05</v>
      </c>
      <c r="C27" s="530">
        <f>+SUMIFS('Intereses en Compra Venta Bonos'!$G$7:$G$500,'Intereses en Compra Venta Bonos'!$B$7:$B$500,'Rev JR'!$A27,'Intereses en Compra Venta Bonos'!$D$7:$D$500,"&gt;="&amp;'Rev JR'!C$1,'Intereses en Compra Venta Bonos'!$D$7:$D$500,"&lt;="&amp;EOMONTH('Rev JR'!C$1,0))</f>
        <v>0</v>
      </c>
      <c r="D27" s="530">
        <f>+SUMIFS('Intereses en Compra Venta Bonos'!$G$7:$G$500,'Intereses en Compra Venta Bonos'!$B$7:$B$500,'Rev JR'!$A27,'Intereses en Compra Venta Bonos'!$D$7:$D$500,"&gt;="&amp;'Rev JR'!D$1,'Intereses en Compra Venta Bonos'!$D$7:$D$500,"&lt;="&amp;EOMONTH('Rev JR'!D$1,0))</f>
        <v>0</v>
      </c>
      <c r="E27" s="530">
        <f>+SUMIFS('Intereses en Compra Venta Bonos'!$G$7:$G$500,'Intereses en Compra Venta Bonos'!$B$7:$B$500,'Rev JR'!$A27,'Intereses en Compra Venta Bonos'!$D$7:$D$500,"&gt;="&amp;'Rev JR'!E$1,'Intereses en Compra Venta Bonos'!$D$7:$D$500,"&lt;="&amp;EOMONTH('Rev JR'!E$1,0))</f>
        <v>0</v>
      </c>
      <c r="F27" s="530">
        <f>+SUMIFS('Intereses en Compra Venta Bonos'!$G$7:$G$500,'Intereses en Compra Venta Bonos'!$B$7:$B$500,'Rev JR'!$A27,'Intereses en Compra Venta Bonos'!$D$7:$D$500,"&gt;="&amp;'Rev JR'!F$1,'Intereses en Compra Venta Bonos'!$D$7:$D$500,"&lt;="&amp;EOMONTH('Rev JR'!F$1,0))</f>
        <v>0</v>
      </c>
      <c r="G27" s="530">
        <f>+SUMIFS('Intereses en Compra Venta Bonos'!$G$7:$G$500,'Intereses en Compra Venta Bonos'!$B$7:$B$500,'Rev JR'!$A27,'Intereses en Compra Venta Bonos'!$D$7:$D$500,"&gt;="&amp;'Rev JR'!G$1,'Intereses en Compra Venta Bonos'!$D$7:$D$500,"&lt;="&amp;EOMONTH('Rev JR'!G$1,0))</f>
        <v>0</v>
      </c>
      <c r="H27" s="530">
        <f>+SUMIFS('Intereses en Compra Venta Bonos'!$G$7:$G$500,'Intereses en Compra Venta Bonos'!$B$7:$B$500,'Rev JR'!$A27,'Intereses en Compra Venta Bonos'!$D$7:$D$500,"&gt;="&amp;'Rev JR'!H$1,'Intereses en Compra Venta Bonos'!$D$7:$D$500,"&lt;="&amp;EOMONTH('Rev JR'!H$1,0))</f>
        <v>0</v>
      </c>
      <c r="I27" s="530">
        <f>+SUMIFS('Intereses en Compra Venta Bonos'!$G$7:$G$500,'Intereses en Compra Venta Bonos'!$B$7:$B$500,'Rev JR'!$A27,'Intereses en Compra Venta Bonos'!$D$7:$D$500,"&gt;="&amp;'Rev JR'!I$1,'Intereses en Compra Venta Bonos'!$D$7:$D$500,"&lt;="&amp;EOMONTH('Rev JR'!I$1,0))</f>
        <v>0</v>
      </c>
      <c r="J27" s="530">
        <f>+SUMIFS('Intereses en Compra Venta Bonos'!$G$7:$G$500,'Intereses en Compra Venta Bonos'!$B$7:$B$500,'Rev JR'!$A27,'Intereses en Compra Venta Bonos'!$D$7:$D$500,"&gt;="&amp;'Rev JR'!J$1,'Intereses en Compra Venta Bonos'!$D$7:$D$500,"&lt;="&amp;EOMONTH('Rev JR'!J$1,0))</f>
        <v>0</v>
      </c>
      <c r="K27" s="530">
        <f>+SUMIFS('Intereses en Compra Venta Bonos'!$G$7:$G$500,'Intereses en Compra Venta Bonos'!$B$7:$B$500,'Rev JR'!$A27,'Intereses en Compra Venta Bonos'!$D$7:$D$500,"&gt;="&amp;'Rev JR'!K$1,'Intereses en Compra Venta Bonos'!$D$7:$D$500,"&lt;="&amp;EOMONTH('Rev JR'!K$1,0))</f>
        <v>0</v>
      </c>
      <c r="L27" s="530">
        <f>+SUMIFS('Intereses en Compra Venta Bonos'!$G$7:$G$500,'Intereses en Compra Venta Bonos'!$B$7:$B$500,'Rev JR'!$A27,'Intereses en Compra Venta Bonos'!$D$7:$D$500,"&gt;="&amp;'Rev JR'!L$1,'Intereses en Compra Venta Bonos'!$D$7:$D$500,"&lt;="&amp;EOMONTH('Rev JR'!L$1,0))</f>
        <v>0</v>
      </c>
      <c r="M27" s="530">
        <f>+SUMIFS('Intereses en Compra Venta Bonos'!$G$7:$G$500,'Intereses en Compra Venta Bonos'!$B$7:$B$500,'Rev JR'!$A27,'Intereses en Compra Venta Bonos'!$D$7:$D$500,"&gt;="&amp;'Rev JR'!M$1,'Intereses en Compra Venta Bonos'!$D$7:$D$500,"&lt;="&amp;EOMONTH('Rev JR'!M$1,0))</f>
        <v>0</v>
      </c>
      <c r="N27" s="530">
        <f>+SUMIFS('Intereses en Compra Venta Bonos'!$G$7:$G$500,'Intereses en Compra Venta Bonos'!$B$7:$B$500,'Rev JR'!$A27,'Intereses en Compra Venta Bonos'!$D$7:$D$500,"&gt;="&amp;'Rev JR'!N$1,'Intereses en Compra Venta Bonos'!$D$7:$D$500,"&lt;="&amp;EOMONTH('Rev JR'!N$1,0))</f>
        <v>0</v>
      </c>
      <c r="O27" s="530">
        <f t="shared" si="3"/>
        <v>0</v>
      </c>
    </row>
    <row r="28" spans="1:15">
      <c r="A28" s="664" t="str">
        <f t="shared" si="4"/>
        <v>677-0XXX52-670</v>
      </c>
      <c r="B28" s="526" t="str">
        <f t="shared" si="5"/>
        <v xml:space="preserve">        Int C/V de Bonos - 677-0XXX52-670</v>
      </c>
      <c r="C28" s="530">
        <f>+SUMIFS('Intereses en Compra Venta Bonos'!$G$7:$G$500,'Intereses en Compra Venta Bonos'!$B$7:$B$500,'Rev JR'!$A28,'Intereses en Compra Venta Bonos'!$D$7:$D$500,"&gt;="&amp;'Rev JR'!C$1,'Intereses en Compra Venta Bonos'!$D$7:$D$500,"&lt;="&amp;EOMONTH('Rev JR'!C$1,0))</f>
        <v>0</v>
      </c>
      <c r="D28" s="530">
        <f>+SUMIFS('Intereses en Compra Venta Bonos'!$G$7:$G$500,'Intereses en Compra Venta Bonos'!$B$7:$B$500,'Rev JR'!$A28,'Intereses en Compra Venta Bonos'!$D$7:$D$500,"&gt;="&amp;'Rev JR'!D$1,'Intereses en Compra Venta Bonos'!$D$7:$D$500,"&lt;="&amp;EOMONTH('Rev JR'!D$1,0))</f>
        <v>0</v>
      </c>
      <c r="E28" s="530">
        <f>+SUMIFS('Intereses en Compra Venta Bonos'!$G$7:$G$500,'Intereses en Compra Venta Bonos'!$B$7:$B$500,'Rev JR'!$A28,'Intereses en Compra Venta Bonos'!$D$7:$D$500,"&gt;="&amp;'Rev JR'!E$1,'Intereses en Compra Venta Bonos'!$D$7:$D$500,"&lt;="&amp;EOMONTH('Rev JR'!E$1,0))</f>
        <v>0</v>
      </c>
      <c r="F28" s="530">
        <f>+SUMIFS('Intereses en Compra Venta Bonos'!$G$7:$G$500,'Intereses en Compra Venta Bonos'!$B$7:$B$500,'Rev JR'!$A28,'Intereses en Compra Venta Bonos'!$D$7:$D$500,"&gt;="&amp;'Rev JR'!F$1,'Intereses en Compra Venta Bonos'!$D$7:$D$500,"&lt;="&amp;EOMONTH('Rev JR'!F$1,0))</f>
        <v>0</v>
      </c>
      <c r="G28" s="530">
        <f>+SUMIFS('Intereses en Compra Venta Bonos'!$G$7:$G$500,'Intereses en Compra Venta Bonos'!$B$7:$B$500,'Rev JR'!$A28,'Intereses en Compra Venta Bonos'!$D$7:$D$500,"&gt;="&amp;'Rev JR'!G$1,'Intereses en Compra Venta Bonos'!$D$7:$D$500,"&lt;="&amp;EOMONTH('Rev JR'!G$1,0))</f>
        <v>0</v>
      </c>
      <c r="H28" s="530">
        <f>+SUMIFS('Intereses en Compra Venta Bonos'!$G$7:$G$500,'Intereses en Compra Venta Bonos'!$B$7:$B$500,'Rev JR'!$A28,'Intereses en Compra Venta Bonos'!$D$7:$D$500,"&gt;="&amp;'Rev JR'!H$1,'Intereses en Compra Venta Bonos'!$D$7:$D$500,"&lt;="&amp;EOMONTH('Rev JR'!H$1,0))</f>
        <v>0</v>
      </c>
      <c r="I28" s="530">
        <f>+SUMIFS('Intereses en Compra Venta Bonos'!$G$7:$G$500,'Intereses en Compra Venta Bonos'!$B$7:$B$500,'Rev JR'!$A28,'Intereses en Compra Venta Bonos'!$D$7:$D$500,"&gt;="&amp;'Rev JR'!I$1,'Intereses en Compra Venta Bonos'!$D$7:$D$500,"&lt;="&amp;EOMONTH('Rev JR'!I$1,0))</f>
        <v>0</v>
      </c>
      <c r="J28" s="530">
        <f>+SUMIFS('Intereses en Compra Venta Bonos'!$G$7:$G$500,'Intereses en Compra Venta Bonos'!$B$7:$B$500,'Rev JR'!$A28,'Intereses en Compra Venta Bonos'!$D$7:$D$500,"&gt;="&amp;'Rev JR'!J$1,'Intereses en Compra Venta Bonos'!$D$7:$D$500,"&lt;="&amp;EOMONTH('Rev JR'!J$1,0))</f>
        <v>0</v>
      </c>
      <c r="K28" s="530">
        <f>+SUMIFS('Intereses en Compra Venta Bonos'!$G$7:$G$500,'Intereses en Compra Venta Bonos'!$B$7:$B$500,'Rev JR'!$A28,'Intereses en Compra Venta Bonos'!$D$7:$D$500,"&gt;="&amp;'Rev JR'!K$1,'Intereses en Compra Venta Bonos'!$D$7:$D$500,"&lt;="&amp;EOMONTH('Rev JR'!K$1,0))</f>
        <v>0</v>
      </c>
      <c r="L28" s="530">
        <f>+SUMIFS('Intereses en Compra Venta Bonos'!$G$7:$G$500,'Intereses en Compra Venta Bonos'!$B$7:$B$500,'Rev JR'!$A28,'Intereses en Compra Venta Bonos'!$D$7:$D$500,"&gt;="&amp;'Rev JR'!L$1,'Intereses en Compra Venta Bonos'!$D$7:$D$500,"&lt;="&amp;EOMONTH('Rev JR'!L$1,0))</f>
        <v>0</v>
      </c>
      <c r="M28" s="530">
        <f>+SUMIFS('Intereses en Compra Venta Bonos'!$G$7:$G$500,'Intereses en Compra Venta Bonos'!$B$7:$B$500,'Rev JR'!$A28,'Intereses en Compra Venta Bonos'!$D$7:$D$500,"&gt;="&amp;'Rev JR'!M$1,'Intereses en Compra Venta Bonos'!$D$7:$D$500,"&lt;="&amp;EOMONTH('Rev JR'!M$1,0))</f>
        <v>0</v>
      </c>
      <c r="N28" s="530">
        <f>+SUMIFS('Intereses en Compra Venta Bonos'!$G$7:$G$500,'Intereses en Compra Venta Bonos'!$B$7:$B$500,'Rev JR'!$A28,'Intereses en Compra Venta Bonos'!$D$7:$D$500,"&gt;="&amp;'Rev JR'!N$1,'Intereses en Compra Venta Bonos'!$D$7:$D$500,"&lt;="&amp;EOMONTH('Rev JR'!N$1,0))</f>
        <v>0</v>
      </c>
      <c r="O28" s="530">
        <f t="shared" si="3"/>
        <v>0</v>
      </c>
    </row>
    <row r="29" spans="1:15">
      <c r="A29" s="664" t="str">
        <f t="shared" si="4"/>
        <v>677-0XXX53-471</v>
      </c>
      <c r="B29" s="526" t="str">
        <f t="shared" si="5"/>
        <v xml:space="preserve">        Int C/V de Bonos - 677-0XXX53-471</v>
      </c>
      <c r="C29" s="530">
        <f>+SUMIFS('Intereses en Compra Venta Bonos'!$G$7:$G$500,'Intereses en Compra Venta Bonos'!$B$7:$B$500,'Rev JR'!$A29,'Intereses en Compra Venta Bonos'!$D$7:$D$500,"&gt;="&amp;'Rev JR'!C$1,'Intereses en Compra Venta Bonos'!$D$7:$D$500,"&lt;="&amp;EOMONTH('Rev JR'!C$1,0))</f>
        <v>0</v>
      </c>
      <c r="D29" s="530">
        <f>+SUMIFS('Intereses en Compra Venta Bonos'!$G$7:$G$500,'Intereses en Compra Venta Bonos'!$B$7:$B$500,'Rev JR'!$A29,'Intereses en Compra Venta Bonos'!$D$7:$D$500,"&gt;="&amp;'Rev JR'!D$1,'Intereses en Compra Venta Bonos'!$D$7:$D$500,"&lt;="&amp;EOMONTH('Rev JR'!D$1,0))</f>
        <v>0</v>
      </c>
      <c r="E29" s="530">
        <f>+SUMIFS('Intereses en Compra Venta Bonos'!$G$7:$G$500,'Intereses en Compra Venta Bonos'!$B$7:$B$500,'Rev JR'!$A29,'Intereses en Compra Venta Bonos'!$D$7:$D$500,"&gt;="&amp;'Rev JR'!E$1,'Intereses en Compra Venta Bonos'!$D$7:$D$500,"&lt;="&amp;EOMONTH('Rev JR'!E$1,0))</f>
        <v>0</v>
      </c>
      <c r="F29" s="530">
        <f>+SUMIFS('Intereses en Compra Venta Bonos'!$G$7:$G$500,'Intereses en Compra Venta Bonos'!$B$7:$B$500,'Rev JR'!$A29,'Intereses en Compra Venta Bonos'!$D$7:$D$500,"&gt;="&amp;'Rev JR'!F$1,'Intereses en Compra Venta Bonos'!$D$7:$D$500,"&lt;="&amp;EOMONTH('Rev JR'!F$1,0))</f>
        <v>0</v>
      </c>
      <c r="G29" s="530">
        <f>+SUMIFS('Intereses en Compra Venta Bonos'!$G$7:$G$500,'Intereses en Compra Venta Bonos'!$B$7:$B$500,'Rev JR'!$A29,'Intereses en Compra Venta Bonos'!$D$7:$D$500,"&gt;="&amp;'Rev JR'!G$1,'Intereses en Compra Venta Bonos'!$D$7:$D$500,"&lt;="&amp;EOMONTH('Rev JR'!G$1,0))</f>
        <v>0</v>
      </c>
      <c r="H29" s="530">
        <f>+SUMIFS('Intereses en Compra Venta Bonos'!$G$7:$G$500,'Intereses en Compra Venta Bonos'!$B$7:$B$500,'Rev JR'!$A29,'Intereses en Compra Venta Bonos'!$D$7:$D$500,"&gt;="&amp;'Rev JR'!H$1,'Intereses en Compra Venta Bonos'!$D$7:$D$500,"&lt;="&amp;EOMONTH('Rev JR'!H$1,0))</f>
        <v>0</v>
      </c>
      <c r="I29" s="530">
        <f>+SUMIFS('Intereses en Compra Venta Bonos'!$G$7:$G$500,'Intereses en Compra Venta Bonos'!$B$7:$B$500,'Rev JR'!$A29,'Intereses en Compra Venta Bonos'!$D$7:$D$500,"&gt;="&amp;'Rev JR'!I$1,'Intereses en Compra Venta Bonos'!$D$7:$D$500,"&lt;="&amp;EOMONTH('Rev JR'!I$1,0))</f>
        <v>0</v>
      </c>
      <c r="J29" s="530">
        <f>+SUMIFS('Intereses en Compra Venta Bonos'!$G$7:$G$500,'Intereses en Compra Venta Bonos'!$B$7:$B$500,'Rev JR'!$A29,'Intereses en Compra Venta Bonos'!$D$7:$D$500,"&gt;="&amp;'Rev JR'!J$1,'Intereses en Compra Venta Bonos'!$D$7:$D$500,"&lt;="&amp;EOMONTH('Rev JR'!J$1,0))</f>
        <v>0</v>
      </c>
      <c r="K29" s="530">
        <f>+SUMIFS('Intereses en Compra Venta Bonos'!$G$7:$G$500,'Intereses en Compra Venta Bonos'!$B$7:$B$500,'Rev JR'!$A29,'Intereses en Compra Venta Bonos'!$D$7:$D$500,"&gt;="&amp;'Rev JR'!K$1,'Intereses en Compra Venta Bonos'!$D$7:$D$500,"&lt;="&amp;EOMONTH('Rev JR'!K$1,0))</f>
        <v>0</v>
      </c>
      <c r="L29" s="530">
        <f>+SUMIFS('Intereses en Compra Venta Bonos'!$G$7:$G$500,'Intereses en Compra Venta Bonos'!$B$7:$B$500,'Rev JR'!$A29,'Intereses en Compra Venta Bonos'!$D$7:$D$500,"&gt;="&amp;'Rev JR'!L$1,'Intereses en Compra Venta Bonos'!$D$7:$D$500,"&lt;="&amp;EOMONTH('Rev JR'!L$1,0))</f>
        <v>0</v>
      </c>
      <c r="M29" s="530">
        <f>+SUMIFS('Intereses en Compra Venta Bonos'!$G$7:$G$500,'Intereses en Compra Venta Bonos'!$B$7:$B$500,'Rev JR'!$A29,'Intereses en Compra Venta Bonos'!$D$7:$D$500,"&gt;="&amp;'Rev JR'!M$1,'Intereses en Compra Venta Bonos'!$D$7:$D$500,"&lt;="&amp;EOMONTH('Rev JR'!M$1,0))</f>
        <v>0</v>
      </c>
      <c r="N29" s="530">
        <f>+SUMIFS('Intereses en Compra Venta Bonos'!$G$7:$G$500,'Intereses en Compra Venta Bonos'!$B$7:$B$500,'Rev JR'!$A29,'Intereses en Compra Venta Bonos'!$D$7:$D$500,"&gt;="&amp;'Rev JR'!N$1,'Intereses en Compra Venta Bonos'!$D$7:$D$500,"&lt;="&amp;EOMONTH('Rev JR'!N$1,0))</f>
        <v>0</v>
      </c>
      <c r="O29" s="530">
        <f t="shared" si="3"/>
        <v>0</v>
      </c>
    </row>
    <row r="30" spans="1:15">
      <c r="A30" s="664" t="str">
        <f t="shared" si="4"/>
        <v>4H 0XXX0 RB</v>
      </c>
      <c r="B30" s="526" t="str">
        <f t="shared" si="5"/>
        <v xml:space="preserve">        Int C/V de Bonos - 4H 0XXX0 RB</v>
      </c>
      <c r="C30" s="530">
        <f>+SUMIFS('Intereses en Compra Venta Bonos'!$G$7:$G$500,'Intereses en Compra Venta Bonos'!$B$7:$B$500,'Rev JR'!$A30,'Intereses en Compra Venta Bonos'!$D$7:$D$500,"&gt;="&amp;'Rev JR'!C$1,'Intereses en Compra Venta Bonos'!$D$7:$D$500,"&lt;="&amp;EOMONTH('Rev JR'!C$1,0))</f>
        <v>0</v>
      </c>
      <c r="D30" s="530">
        <f>+SUMIFS('Intereses en Compra Venta Bonos'!$G$7:$G$500,'Intereses en Compra Venta Bonos'!$B$7:$B$500,'Rev JR'!$A30,'Intereses en Compra Venta Bonos'!$D$7:$D$500,"&gt;="&amp;'Rev JR'!D$1,'Intereses en Compra Venta Bonos'!$D$7:$D$500,"&lt;="&amp;EOMONTH('Rev JR'!D$1,0))</f>
        <v>0</v>
      </c>
      <c r="E30" s="530">
        <f>+SUMIFS('Intereses en Compra Venta Bonos'!$G$7:$G$500,'Intereses en Compra Venta Bonos'!$B$7:$B$500,'Rev JR'!$A30,'Intereses en Compra Venta Bonos'!$D$7:$D$500,"&gt;="&amp;'Rev JR'!E$1,'Intereses en Compra Venta Bonos'!$D$7:$D$500,"&lt;="&amp;EOMONTH('Rev JR'!E$1,0))</f>
        <v>0</v>
      </c>
      <c r="F30" s="530">
        <f>+SUMIFS('Intereses en Compra Venta Bonos'!$G$7:$G$500,'Intereses en Compra Venta Bonos'!$B$7:$B$500,'Rev JR'!$A30,'Intereses en Compra Venta Bonos'!$D$7:$D$500,"&gt;="&amp;'Rev JR'!F$1,'Intereses en Compra Venta Bonos'!$D$7:$D$500,"&lt;="&amp;EOMONTH('Rev JR'!F$1,0))</f>
        <v>0</v>
      </c>
      <c r="G30" s="530">
        <f>+SUMIFS('Intereses en Compra Venta Bonos'!$G$7:$G$500,'Intereses en Compra Venta Bonos'!$B$7:$B$500,'Rev JR'!$A30,'Intereses en Compra Venta Bonos'!$D$7:$D$500,"&gt;="&amp;'Rev JR'!G$1,'Intereses en Compra Venta Bonos'!$D$7:$D$500,"&lt;="&amp;EOMONTH('Rev JR'!G$1,0))</f>
        <v>0</v>
      </c>
      <c r="H30" s="530">
        <f>+SUMIFS('Intereses en Compra Venta Bonos'!$G$7:$G$500,'Intereses en Compra Venta Bonos'!$B$7:$B$500,'Rev JR'!$A30,'Intereses en Compra Venta Bonos'!$D$7:$D$500,"&gt;="&amp;'Rev JR'!H$1,'Intereses en Compra Venta Bonos'!$D$7:$D$500,"&lt;="&amp;EOMONTH('Rev JR'!H$1,0))</f>
        <v>0</v>
      </c>
      <c r="I30" s="530">
        <f>+SUMIFS('Intereses en Compra Venta Bonos'!$G$7:$G$500,'Intereses en Compra Venta Bonos'!$B$7:$B$500,'Rev JR'!$A30,'Intereses en Compra Venta Bonos'!$D$7:$D$500,"&gt;="&amp;'Rev JR'!I$1,'Intereses en Compra Venta Bonos'!$D$7:$D$500,"&lt;="&amp;EOMONTH('Rev JR'!I$1,0))</f>
        <v>0</v>
      </c>
      <c r="J30" s="530">
        <f>+SUMIFS('Intereses en Compra Venta Bonos'!$G$7:$G$500,'Intereses en Compra Venta Bonos'!$B$7:$B$500,'Rev JR'!$A30,'Intereses en Compra Venta Bonos'!$D$7:$D$500,"&gt;="&amp;'Rev JR'!J$1,'Intereses en Compra Venta Bonos'!$D$7:$D$500,"&lt;="&amp;EOMONTH('Rev JR'!J$1,0))</f>
        <v>0</v>
      </c>
      <c r="K30" s="530">
        <f>+SUMIFS('Intereses en Compra Venta Bonos'!$G$7:$G$500,'Intereses en Compra Venta Bonos'!$B$7:$B$500,'Rev JR'!$A30,'Intereses en Compra Venta Bonos'!$D$7:$D$500,"&gt;="&amp;'Rev JR'!K$1,'Intereses en Compra Venta Bonos'!$D$7:$D$500,"&lt;="&amp;EOMONTH('Rev JR'!K$1,0))</f>
        <v>0</v>
      </c>
      <c r="L30" s="530">
        <f>+SUMIFS('Intereses en Compra Venta Bonos'!$G$7:$G$500,'Intereses en Compra Venta Bonos'!$B$7:$B$500,'Rev JR'!$A30,'Intereses en Compra Venta Bonos'!$D$7:$D$500,"&gt;="&amp;'Rev JR'!L$1,'Intereses en Compra Venta Bonos'!$D$7:$D$500,"&lt;="&amp;EOMONTH('Rev JR'!L$1,0))</f>
        <v>0</v>
      </c>
      <c r="M30" s="530">
        <f>+SUMIFS('Intereses en Compra Venta Bonos'!$G$7:$G$500,'Intereses en Compra Venta Bonos'!$B$7:$B$500,'Rev JR'!$A30,'Intereses en Compra Venta Bonos'!$D$7:$D$500,"&gt;="&amp;'Rev JR'!M$1,'Intereses en Compra Venta Bonos'!$D$7:$D$500,"&lt;="&amp;EOMONTH('Rev JR'!M$1,0))</f>
        <v>0</v>
      </c>
      <c r="N30" s="530">
        <f>+SUMIFS('Intereses en Compra Venta Bonos'!$G$7:$G$500,'Intereses en Compra Venta Bonos'!$B$7:$B$500,'Rev JR'!$A30,'Intereses en Compra Venta Bonos'!$D$7:$D$500,"&gt;="&amp;'Rev JR'!N$1,'Intereses en Compra Venta Bonos'!$D$7:$D$500,"&lt;="&amp;EOMONTH('Rev JR'!N$1,0))</f>
        <v>0</v>
      </c>
      <c r="O30" s="530">
        <f t="shared" si="3"/>
        <v>0</v>
      </c>
    </row>
    <row r="31" spans="1:15">
      <c r="A31" s="664" t="str">
        <f t="shared" si="4"/>
        <v>H</v>
      </c>
      <c r="B31" s="526" t="str">
        <f t="shared" si="5"/>
        <v xml:space="preserve">        Int C/V de Bonos - H</v>
      </c>
      <c r="C31" s="530">
        <f>+SUMIFS('Intereses en Compra Venta Bonos'!$G$7:$G$500,'Intereses en Compra Venta Bonos'!$B$7:$B$500,'Rev JR'!$A31,'Intereses en Compra Venta Bonos'!$D$7:$D$500,"&gt;="&amp;'Rev JR'!C$1,'Intereses en Compra Venta Bonos'!$D$7:$D$500,"&lt;="&amp;EOMONTH('Rev JR'!C$1,0))</f>
        <v>0</v>
      </c>
      <c r="D31" s="530">
        <f>+SUMIFS('Intereses en Compra Venta Bonos'!$G$7:$G$500,'Intereses en Compra Venta Bonos'!$B$7:$B$500,'Rev JR'!$A31,'Intereses en Compra Venta Bonos'!$D$7:$D$500,"&gt;="&amp;'Rev JR'!D$1,'Intereses en Compra Venta Bonos'!$D$7:$D$500,"&lt;="&amp;EOMONTH('Rev JR'!D$1,0))</f>
        <v>0</v>
      </c>
      <c r="E31" s="530">
        <f>+SUMIFS('Intereses en Compra Venta Bonos'!$G$7:$G$500,'Intereses en Compra Venta Bonos'!$B$7:$B$500,'Rev JR'!$A31,'Intereses en Compra Venta Bonos'!$D$7:$D$500,"&gt;="&amp;'Rev JR'!E$1,'Intereses en Compra Venta Bonos'!$D$7:$D$500,"&lt;="&amp;EOMONTH('Rev JR'!E$1,0))</f>
        <v>0</v>
      </c>
      <c r="F31" s="530">
        <f>+SUMIFS('Intereses en Compra Venta Bonos'!$G$7:$G$500,'Intereses en Compra Venta Bonos'!$B$7:$B$500,'Rev JR'!$A31,'Intereses en Compra Venta Bonos'!$D$7:$D$500,"&gt;="&amp;'Rev JR'!F$1,'Intereses en Compra Venta Bonos'!$D$7:$D$500,"&lt;="&amp;EOMONTH('Rev JR'!F$1,0))</f>
        <v>0</v>
      </c>
      <c r="G31" s="530">
        <f>+SUMIFS('Intereses en Compra Venta Bonos'!$G$7:$G$500,'Intereses en Compra Venta Bonos'!$B$7:$B$500,'Rev JR'!$A31,'Intereses en Compra Venta Bonos'!$D$7:$D$500,"&gt;="&amp;'Rev JR'!G$1,'Intereses en Compra Venta Bonos'!$D$7:$D$500,"&lt;="&amp;EOMONTH('Rev JR'!G$1,0))</f>
        <v>0</v>
      </c>
      <c r="H31" s="530">
        <f>+SUMIFS('Intereses en Compra Venta Bonos'!$G$7:$G$500,'Intereses en Compra Venta Bonos'!$B$7:$B$500,'Rev JR'!$A31,'Intereses en Compra Venta Bonos'!$D$7:$D$500,"&gt;="&amp;'Rev JR'!H$1,'Intereses en Compra Venta Bonos'!$D$7:$D$500,"&lt;="&amp;EOMONTH('Rev JR'!H$1,0))</f>
        <v>0</v>
      </c>
      <c r="I31" s="530">
        <f>+SUMIFS('Intereses en Compra Venta Bonos'!$G$7:$G$500,'Intereses en Compra Venta Bonos'!$B$7:$B$500,'Rev JR'!$A31,'Intereses en Compra Venta Bonos'!$D$7:$D$500,"&gt;="&amp;'Rev JR'!I$1,'Intereses en Compra Venta Bonos'!$D$7:$D$500,"&lt;="&amp;EOMONTH('Rev JR'!I$1,0))</f>
        <v>0</v>
      </c>
      <c r="J31" s="530">
        <f>+SUMIFS('Intereses en Compra Venta Bonos'!$G$7:$G$500,'Intereses en Compra Venta Bonos'!$B$7:$B$500,'Rev JR'!$A31,'Intereses en Compra Venta Bonos'!$D$7:$D$500,"&gt;="&amp;'Rev JR'!J$1,'Intereses en Compra Venta Bonos'!$D$7:$D$500,"&lt;="&amp;EOMONTH('Rev JR'!J$1,0))</f>
        <v>0</v>
      </c>
      <c r="K31" s="530">
        <f>+SUMIFS('Intereses en Compra Venta Bonos'!$G$7:$G$500,'Intereses en Compra Venta Bonos'!$B$7:$B$500,'Rev JR'!$A31,'Intereses en Compra Venta Bonos'!$D$7:$D$500,"&gt;="&amp;'Rev JR'!K$1,'Intereses en Compra Venta Bonos'!$D$7:$D$500,"&lt;="&amp;EOMONTH('Rev JR'!K$1,0))</f>
        <v>0</v>
      </c>
      <c r="L31" s="530">
        <f>+SUMIFS('Intereses en Compra Venta Bonos'!$G$7:$G$500,'Intereses en Compra Venta Bonos'!$B$7:$B$500,'Rev JR'!$A31,'Intereses en Compra Venta Bonos'!$D$7:$D$500,"&gt;="&amp;'Rev JR'!L$1,'Intereses en Compra Venta Bonos'!$D$7:$D$500,"&lt;="&amp;EOMONTH('Rev JR'!L$1,0))</f>
        <v>0</v>
      </c>
      <c r="M31" s="530">
        <f>+SUMIFS('Intereses en Compra Venta Bonos'!$G$7:$G$500,'Intereses en Compra Venta Bonos'!$B$7:$B$500,'Rev JR'!$A31,'Intereses en Compra Venta Bonos'!$D$7:$D$500,"&gt;="&amp;'Rev JR'!M$1,'Intereses en Compra Venta Bonos'!$D$7:$D$500,"&lt;="&amp;EOMONTH('Rev JR'!M$1,0))</f>
        <v>0</v>
      </c>
      <c r="N31" s="530">
        <f>+SUMIFS('Intereses en Compra Venta Bonos'!$G$7:$G$500,'Intereses en Compra Venta Bonos'!$B$7:$B$500,'Rev JR'!$A31,'Intereses en Compra Venta Bonos'!$D$7:$D$500,"&gt;="&amp;'Rev JR'!N$1,'Intereses en Compra Venta Bonos'!$D$7:$D$500,"&lt;="&amp;EOMONTH('Rev JR'!N$1,0))</f>
        <v>0</v>
      </c>
      <c r="O31" s="530">
        <f t="shared" si="3"/>
        <v>0</v>
      </c>
    </row>
    <row r="32" spans="1:15">
      <c r="A32" s="664" t="str">
        <f t="shared" si="4"/>
        <v>I</v>
      </c>
      <c r="B32" s="526" t="str">
        <f t="shared" si="5"/>
        <v xml:space="preserve">        Int C/V de Bonos - I</v>
      </c>
      <c r="C32" s="530">
        <f>+SUMIFS('Intereses en Compra Venta Bonos'!$G$7:$G$500,'Intereses en Compra Venta Bonos'!$B$7:$B$500,'Rev JR'!$A32,'Intereses en Compra Venta Bonos'!$D$7:$D$500,"&gt;="&amp;'Rev JR'!C$1,'Intereses en Compra Venta Bonos'!$D$7:$D$500,"&lt;="&amp;EOMONTH('Rev JR'!C$1,0))</f>
        <v>0</v>
      </c>
      <c r="D32" s="530">
        <f>+SUMIFS('Intereses en Compra Venta Bonos'!$G$7:$G$500,'Intereses en Compra Venta Bonos'!$B$7:$B$500,'Rev JR'!$A32,'Intereses en Compra Venta Bonos'!$D$7:$D$500,"&gt;="&amp;'Rev JR'!D$1,'Intereses en Compra Venta Bonos'!$D$7:$D$500,"&lt;="&amp;EOMONTH('Rev JR'!D$1,0))</f>
        <v>0</v>
      </c>
      <c r="E32" s="530">
        <f>+SUMIFS('Intereses en Compra Venta Bonos'!$G$7:$G$500,'Intereses en Compra Venta Bonos'!$B$7:$B$500,'Rev JR'!$A32,'Intereses en Compra Venta Bonos'!$D$7:$D$500,"&gt;="&amp;'Rev JR'!E$1,'Intereses en Compra Venta Bonos'!$D$7:$D$500,"&lt;="&amp;EOMONTH('Rev JR'!E$1,0))</f>
        <v>0</v>
      </c>
      <c r="F32" s="530">
        <f>+SUMIFS('Intereses en Compra Venta Bonos'!$G$7:$G$500,'Intereses en Compra Venta Bonos'!$B$7:$B$500,'Rev JR'!$A32,'Intereses en Compra Venta Bonos'!$D$7:$D$500,"&gt;="&amp;'Rev JR'!F$1,'Intereses en Compra Venta Bonos'!$D$7:$D$500,"&lt;="&amp;EOMONTH('Rev JR'!F$1,0))</f>
        <v>0</v>
      </c>
      <c r="G32" s="530">
        <f>+SUMIFS('Intereses en Compra Venta Bonos'!$G$7:$G$500,'Intereses en Compra Venta Bonos'!$B$7:$B$500,'Rev JR'!$A32,'Intereses en Compra Venta Bonos'!$D$7:$D$500,"&gt;="&amp;'Rev JR'!G$1,'Intereses en Compra Venta Bonos'!$D$7:$D$500,"&lt;="&amp;EOMONTH('Rev JR'!G$1,0))</f>
        <v>0</v>
      </c>
      <c r="H32" s="530">
        <f>+SUMIFS('Intereses en Compra Venta Bonos'!$G$7:$G$500,'Intereses en Compra Venta Bonos'!$B$7:$B$500,'Rev JR'!$A32,'Intereses en Compra Venta Bonos'!$D$7:$D$500,"&gt;="&amp;'Rev JR'!H$1,'Intereses en Compra Venta Bonos'!$D$7:$D$500,"&lt;="&amp;EOMONTH('Rev JR'!H$1,0))</f>
        <v>0</v>
      </c>
      <c r="I32" s="530">
        <f>+SUMIFS('Intereses en Compra Venta Bonos'!$G$7:$G$500,'Intereses en Compra Venta Bonos'!$B$7:$B$500,'Rev JR'!$A32,'Intereses en Compra Venta Bonos'!$D$7:$D$500,"&gt;="&amp;'Rev JR'!I$1,'Intereses en Compra Venta Bonos'!$D$7:$D$500,"&lt;="&amp;EOMONTH('Rev JR'!I$1,0))</f>
        <v>0</v>
      </c>
      <c r="J32" s="530">
        <f>+SUMIFS('Intereses en Compra Venta Bonos'!$G$7:$G$500,'Intereses en Compra Venta Bonos'!$B$7:$B$500,'Rev JR'!$A32,'Intereses en Compra Venta Bonos'!$D$7:$D$500,"&gt;="&amp;'Rev JR'!J$1,'Intereses en Compra Venta Bonos'!$D$7:$D$500,"&lt;="&amp;EOMONTH('Rev JR'!J$1,0))</f>
        <v>0</v>
      </c>
      <c r="K32" s="530">
        <f>+SUMIFS('Intereses en Compra Venta Bonos'!$G$7:$G$500,'Intereses en Compra Venta Bonos'!$B$7:$B$500,'Rev JR'!$A32,'Intereses en Compra Venta Bonos'!$D$7:$D$500,"&gt;="&amp;'Rev JR'!K$1,'Intereses en Compra Venta Bonos'!$D$7:$D$500,"&lt;="&amp;EOMONTH('Rev JR'!K$1,0))</f>
        <v>0</v>
      </c>
      <c r="L32" s="530">
        <f>+SUMIFS('Intereses en Compra Venta Bonos'!$G$7:$G$500,'Intereses en Compra Venta Bonos'!$B$7:$B$500,'Rev JR'!$A32,'Intereses en Compra Venta Bonos'!$D$7:$D$500,"&gt;="&amp;'Rev JR'!L$1,'Intereses en Compra Venta Bonos'!$D$7:$D$500,"&lt;="&amp;EOMONTH('Rev JR'!L$1,0))</f>
        <v>0</v>
      </c>
      <c r="M32" s="530">
        <f>+SUMIFS('Intereses en Compra Venta Bonos'!$G$7:$G$500,'Intereses en Compra Venta Bonos'!$B$7:$B$500,'Rev JR'!$A32,'Intereses en Compra Venta Bonos'!$D$7:$D$500,"&gt;="&amp;'Rev JR'!M$1,'Intereses en Compra Venta Bonos'!$D$7:$D$500,"&lt;="&amp;EOMONTH('Rev JR'!M$1,0))</f>
        <v>0</v>
      </c>
      <c r="N32" s="530">
        <f>+SUMIFS('Intereses en Compra Venta Bonos'!$G$7:$G$500,'Intereses en Compra Venta Bonos'!$B$7:$B$500,'Rev JR'!$A32,'Intereses en Compra Venta Bonos'!$D$7:$D$500,"&gt;="&amp;'Rev JR'!N$1,'Intereses en Compra Venta Bonos'!$D$7:$D$500,"&lt;="&amp;EOMONTH('Rev JR'!N$1,0))</f>
        <v>0</v>
      </c>
      <c r="O32" s="530">
        <f t="shared" si="3"/>
        <v>0</v>
      </c>
    </row>
    <row r="33" spans="1:15">
      <c r="A33" s="664" t="str">
        <f t="shared" si="4"/>
        <v>J</v>
      </c>
      <c r="B33" s="526" t="str">
        <f t="shared" si="5"/>
        <v xml:space="preserve">        Int C/V de Bonos - J</v>
      </c>
      <c r="C33" s="530">
        <f>+SUMIFS('Intereses en Compra Venta Bonos'!$G$7:$G$500,'Intereses en Compra Venta Bonos'!$B$7:$B$500,'Rev JR'!$A33,'Intereses en Compra Venta Bonos'!$D$7:$D$500,"&gt;="&amp;'Rev JR'!C$1,'Intereses en Compra Venta Bonos'!$D$7:$D$500,"&lt;="&amp;EOMONTH('Rev JR'!C$1,0))</f>
        <v>0</v>
      </c>
      <c r="D33" s="530">
        <f>+SUMIFS('Intereses en Compra Venta Bonos'!$G$7:$G$500,'Intereses en Compra Venta Bonos'!$B$7:$B$500,'Rev JR'!$A33,'Intereses en Compra Venta Bonos'!$D$7:$D$500,"&gt;="&amp;'Rev JR'!D$1,'Intereses en Compra Venta Bonos'!$D$7:$D$500,"&lt;="&amp;EOMONTH('Rev JR'!D$1,0))</f>
        <v>0</v>
      </c>
      <c r="E33" s="530">
        <f>+SUMIFS('Intereses en Compra Venta Bonos'!$G$7:$G$500,'Intereses en Compra Venta Bonos'!$B$7:$B$500,'Rev JR'!$A33,'Intereses en Compra Venta Bonos'!$D$7:$D$500,"&gt;="&amp;'Rev JR'!E$1,'Intereses en Compra Venta Bonos'!$D$7:$D$500,"&lt;="&amp;EOMONTH('Rev JR'!E$1,0))</f>
        <v>0</v>
      </c>
      <c r="F33" s="530">
        <f>+SUMIFS('Intereses en Compra Venta Bonos'!$G$7:$G$500,'Intereses en Compra Venta Bonos'!$B$7:$B$500,'Rev JR'!$A33,'Intereses en Compra Venta Bonos'!$D$7:$D$500,"&gt;="&amp;'Rev JR'!F$1,'Intereses en Compra Venta Bonos'!$D$7:$D$500,"&lt;="&amp;EOMONTH('Rev JR'!F$1,0))</f>
        <v>0</v>
      </c>
      <c r="G33" s="530">
        <f>+SUMIFS('Intereses en Compra Venta Bonos'!$G$7:$G$500,'Intereses en Compra Venta Bonos'!$B$7:$B$500,'Rev JR'!$A33,'Intereses en Compra Venta Bonos'!$D$7:$D$500,"&gt;="&amp;'Rev JR'!G$1,'Intereses en Compra Venta Bonos'!$D$7:$D$500,"&lt;="&amp;EOMONTH('Rev JR'!G$1,0))</f>
        <v>0</v>
      </c>
      <c r="H33" s="530">
        <f>+SUMIFS('Intereses en Compra Venta Bonos'!$G$7:$G$500,'Intereses en Compra Venta Bonos'!$B$7:$B$500,'Rev JR'!$A33,'Intereses en Compra Venta Bonos'!$D$7:$D$500,"&gt;="&amp;'Rev JR'!H$1,'Intereses en Compra Venta Bonos'!$D$7:$D$500,"&lt;="&amp;EOMONTH('Rev JR'!H$1,0))</f>
        <v>0</v>
      </c>
      <c r="I33" s="530">
        <f>+SUMIFS('Intereses en Compra Venta Bonos'!$G$7:$G$500,'Intereses en Compra Venta Bonos'!$B$7:$B$500,'Rev JR'!$A33,'Intereses en Compra Venta Bonos'!$D$7:$D$500,"&gt;="&amp;'Rev JR'!I$1,'Intereses en Compra Venta Bonos'!$D$7:$D$500,"&lt;="&amp;EOMONTH('Rev JR'!I$1,0))</f>
        <v>0</v>
      </c>
      <c r="J33" s="530">
        <f>+SUMIFS('Intereses en Compra Venta Bonos'!$G$7:$G$500,'Intereses en Compra Venta Bonos'!$B$7:$B$500,'Rev JR'!$A33,'Intereses en Compra Venta Bonos'!$D$7:$D$500,"&gt;="&amp;'Rev JR'!J$1,'Intereses en Compra Venta Bonos'!$D$7:$D$500,"&lt;="&amp;EOMONTH('Rev JR'!J$1,0))</f>
        <v>0</v>
      </c>
      <c r="K33" s="530">
        <f>+SUMIFS('Intereses en Compra Venta Bonos'!$G$7:$G$500,'Intereses en Compra Venta Bonos'!$B$7:$B$500,'Rev JR'!$A33,'Intereses en Compra Venta Bonos'!$D$7:$D$500,"&gt;="&amp;'Rev JR'!K$1,'Intereses en Compra Venta Bonos'!$D$7:$D$500,"&lt;="&amp;EOMONTH('Rev JR'!K$1,0))</f>
        <v>0</v>
      </c>
      <c r="L33" s="530">
        <f>+SUMIFS('Intereses en Compra Venta Bonos'!$G$7:$G$500,'Intereses en Compra Venta Bonos'!$B$7:$B$500,'Rev JR'!$A33,'Intereses en Compra Venta Bonos'!$D$7:$D$500,"&gt;="&amp;'Rev JR'!L$1,'Intereses en Compra Venta Bonos'!$D$7:$D$500,"&lt;="&amp;EOMONTH('Rev JR'!L$1,0))</f>
        <v>0</v>
      </c>
      <c r="M33" s="530">
        <f>+SUMIFS('Intereses en Compra Venta Bonos'!$G$7:$G$500,'Intereses en Compra Venta Bonos'!$B$7:$B$500,'Rev JR'!$A33,'Intereses en Compra Venta Bonos'!$D$7:$D$500,"&gt;="&amp;'Rev JR'!M$1,'Intereses en Compra Venta Bonos'!$D$7:$D$500,"&lt;="&amp;EOMONTH('Rev JR'!M$1,0))</f>
        <v>0</v>
      </c>
      <c r="N33" s="530">
        <f>+SUMIFS('Intereses en Compra Venta Bonos'!$G$7:$G$500,'Intereses en Compra Venta Bonos'!$B$7:$B$500,'Rev JR'!$A33,'Intereses en Compra Venta Bonos'!$D$7:$D$500,"&gt;="&amp;'Rev JR'!N$1,'Intereses en Compra Venta Bonos'!$D$7:$D$500,"&lt;="&amp;EOMONTH('Rev JR'!N$1,0))</f>
        <v>0</v>
      </c>
      <c r="O33" s="530">
        <f t="shared" si="3"/>
        <v>0</v>
      </c>
    </row>
    <row r="34" spans="1:15">
      <c r="A34" s="664" t="str">
        <f t="shared" si="4"/>
        <v>K</v>
      </c>
      <c r="B34" s="526" t="str">
        <f t="shared" si="5"/>
        <v xml:space="preserve">        Int C/V de Bonos - K</v>
      </c>
      <c r="C34" s="530">
        <f>+SUMIFS('Intereses en Compra Venta Bonos'!$G$7:$G$500,'Intereses en Compra Venta Bonos'!$B$7:$B$500,'Rev JR'!$A34,'Intereses en Compra Venta Bonos'!$D$7:$D$500,"&gt;="&amp;'Rev JR'!C$1,'Intereses en Compra Venta Bonos'!$D$7:$D$500,"&lt;="&amp;EOMONTH('Rev JR'!C$1,0))</f>
        <v>0</v>
      </c>
      <c r="D34" s="530">
        <f>+SUMIFS('Intereses en Compra Venta Bonos'!$G$7:$G$500,'Intereses en Compra Venta Bonos'!$B$7:$B$500,'Rev JR'!$A34,'Intereses en Compra Venta Bonos'!$D$7:$D$500,"&gt;="&amp;'Rev JR'!D$1,'Intereses en Compra Venta Bonos'!$D$7:$D$500,"&lt;="&amp;EOMONTH('Rev JR'!D$1,0))</f>
        <v>0</v>
      </c>
      <c r="E34" s="530">
        <f>+SUMIFS('Intereses en Compra Venta Bonos'!$G$7:$G$500,'Intereses en Compra Venta Bonos'!$B$7:$B$500,'Rev JR'!$A34,'Intereses en Compra Venta Bonos'!$D$7:$D$500,"&gt;="&amp;'Rev JR'!E$1,'Intereses en Compra Venta Bonos'!$D$7:$D$500,"&lt;="&amp;EOMONTH('Rev JR'!E$1,0))</f>
        <v>0</v>
      </c>
      <c r="F34" s="530">
        <f>+SUMIFS('Intereses en Compra Venta Bonos'!$G$7:$G$500,'Intereses en Compra Venta Bonos'!$B$7:$B$500,'Rev JR'!$A34,'Intereses en Compra Venta Bonos'!$D$7:$D$500,"&gt;="&amp;'Rev JR'!F$1,'Intereses en Compra Venta Bonos'!$D$7:$D$500,"&lt;="&amp;EOMONTH('Rev JR'!F$1,0))</f>
        <v>0</v>
      </c>
      <c r="G34" s="530">
        <f>+SUMIFS('Intereses en Compra Venta Bonos'!$G$7:$G$500,'Intereses en Compra Venta Bonos'!$B$7:$B$500,'Rev JR'!$A34,'Intereses en Compra Venta Bonos'!$D$7:$D$500,"&gt;="&amp;'Rev JR'!G$1,'Intereses en Compra Venta Bonos'!$D$7:$D$500,"&lt;="&amp;EOMONTH('Rev JR'!G$1,0))</f>
        <v>0</v>
      </c>
      <c r="H34" s="530">
        <f>+SUMIFS('Intereses en Compra Venta Bonos'!$G$7:$G$500,'Intereses en Compra Venta Bonos'!$B$7:$B$500,'Rev JR'!$A34,'Intereses en Compra Venta Bonos'!$D$7:$D$500,"&gt;="&amp;'Rev JR'!H$1,'Intereses en Compra Venta Bonos'!$D$7:$D$500,"&lt;="&amp;EOMONTH('Rev JR'!H$1,0))</f>
        <v>0</v>
      </c>
      <c r="I34" s="530">
        <f>+SUMIFS('Intereses en Compra Venta Bonos'!$G$7:$G$500,'Intereses en Compra Venta Bonos'!$B$7:$B$500,'Rev JR'!$A34,'Intereses en Compra Venta Bonos'!$D$7:$D$500,"&gt;="&amp;'Rev JR'!I$1,'Intereses en Compra Venta Bonos'!$D$7:$D$500,"&lt;="&amp;EOMONTH('Rev JR'!I$1,0))</f>
        <v>0</v>
      </c>
      <c r="J34" s="530">
        <f>+SUMIFS('Intereses en Compra Venta Bonos'!$G$7:$G$500,'Intereses en Compra Venta Bonos'!$B$7:$B$500,'Rev JR'!$A34,'Intereses en Compra Venta Bonos'!$D$7:$D$500,"&gt;="&amp;'Rev JR'!J$1,'Intereses en Compra Venta Bonos'!$D$7:$D$500,"&lt;="&amp;EOMONTH('Rev JR'!J$1,0))</f>
        <v>0</v>
      </c>
      <c r="K34" s="530">
        <f>+SUMIFS('Intereses en Compra Venta Bonos'!$G$7:$G$500,'Intereses en Compra Venta Bonos'!$B$7:$B$500,'Rev JR'!$A34,'Intereses en Compra Venta Bonos'!$D$7:$D$500,"&gt;="&amp;'Rev JR'!K$1,'Intereses en Compra Venta Bonos'!$D$7:$D$500,"&lt;="&amp;EOMONTH('Rev JR'!K$1,0))</f>
        <v>0</v>
      </c>
      <c r="L34" s="530">
        <f>+SUMIFS('Intereses en Compra Venta Bonos'!$G$7:$G$500,'Intereses en Compra Venta Bonos'!$B$7:$B$500,'Rev JR'!$A34,'Intereses en Compra Venta Bonos'!$D$7:$D$500,"&gt;="&amp;'Rev JR'!L$1,'Intereses en Compra Venta Bonos'!$D$7:$D$500,"&lt;="&amp;EOMONTH('Rev JR'!L$1,0))</f>
        <v>0</v>
      </c>
      <c r="M34" s="530">
        <f>+SUMIFS('Intereses en Compra Venta Bonos'!$G$7:$G$500,'Intereses en Compra Venta Bonos'!$B$7:$B$500,'Rev JR'!$A34,'Intereses en Compra Venta Bonos'!$D$7:$D$500,"&gt;="&amp;'Rev JR'!M$1,'Intereses en Compra Venta Bonos'!$D$7:$D$500,"&lt;="&amp;EOMONTH('Rev JR'!M$1,0))</f>
        <v>0</v>
      </c>
      <c r="N34" s="530">
        <f>+SUMIFS('Intereses en Compra Venta Bonos'!$G$7:$G$500,'Intereses en Compra Venta Bonos'!$B$7:$B$500,'Rev JR'!$A34,'Intereses en Compra Venta Bonos'!$D$7:$D$500,"&gt;="&amp;'Rev JR'!N$1,'Intereses en Compra Venta Bonos'!$D$7:$D$500,"&lt;="&amp;EOMONTH('Rev JR'!N$1,0))</f>
        <v>0</v>
      </c>
      <c r="O34" s="530">
        <f t="shared" si="3"/>
        <v>0</v>
      </c>
    </row>
    <row r="35" spans="1:15">
      <c r="A35" s="664" t="str">
        <f t="shared" si="4"/>
        <v>L</v>
      </c>
      <c r="B35" s="526" t="str">
        <f t="shared" si="5"/>
        <v xml:space="preserve">        Int C/V de Bonos - L</v>
      </c>
      <c r="C35" s="530">
        <f>+SUMIFS('Intereses en Compra Venta Bonos'!$G$7:$G$500,'Intereses en Compra Venta Bonos'!$B$7:$B$500,'Rev JR'!$A35,'Intereses en Compra Venta Bonos'!$D$7:$D$500,"&gt;="&amp;'Rev JR'!C$1,'Intereses en Compra Venta Bonos'!$D$7:$D$500,"&lt;="&amp;EOMONTH('Rev JR'!C$1,0))</f>
        <v>0</v>
      </c>
      <c r="D35" s="530">
        <f>+SUMIFS('Intereses en Compra Venta Bonos'!$G$7:$G$500,'Intereses en Compra Venta Bonos'!$B$7:$B$500,'Rev JR'!$A35,'Intereses en Compra Venta Bonos'!$D$7:$D$500,"&gt;="&amp;'Rev JR'!D$1,'Intereses en Compra Venta Bonos'!$D$7:$D$500,"&lt;="&amp;EOMONTH('Rev JR'!D$1,0))</f>
        <v>0</v>
      </c>
      <c r="E35" s="530">
        <f>+SUMIFS('Intereses en Compra Venta Bonos'!$G$7:$G$500,'Intereses en Compra Venta Bonos'!$B$7:$B$500,'Rev JR'!$A35,'Intereses en Compra Venta Bonos'!$D$7:$D$500,"&gt;="&amp;'Rev JR'!E$1,'Intereses en Compra Venta Bonos'!$D$7:$D$500,"&lt;="&amp;EOMONTH('Rev JR'!E$1,0))</f>
        <v>0</v>
      </c>
      <c r="F35" s="530">
        <f>+SUMIFS('Intereses en Compra Venta Bonos'!$G$7:$G$500,'Intereses en Compra Venta Bonos'!$B$7:$B$500,'Rev JR'!$A35,'Intereses en Compra Venta Bonos'!$D$7:$D$500,"&gt;="&amp;'Rev JR'!F$1,'Intereses en Compra Venta Bonos'!$D$7:$D$500,"&lt;="&amp;EOMONTH('Rev JR'!F$1,0))</f>
        <v>0</v>
      </c>
      <c r="G35" s="530">
        <f>+SUMIFS('Intereses en Compra Venta Bonos'!$G$7:$G$500,'Intereses en Compra Venta Bonos'!$B$7:$B$500,'Rev JR'!$A35,'Intereses en Compra Venta Bonos'!$D$7:$D$500,"&gt;="&amp;'Rev JR'!G$1,'Intereses en Compra Venta Bonos'!$D$7:$D$500,"&lt;="&amp;EOMONTH('Rev JR'!G$1,0))</f>
        <v>0</v>
      </c>
      <c r="H35" s="530">
        <f>+SUMIFS('Intereses en Compra Venta Bonos'!$G$7:$G$500,'Intereses en Compra Venta Bonos'!$B$7:$B$500,'Rev JR'!$A35,'Intereses en Compra Venta Bonos'!$D$7:$D$500,"&gt;="&amp;'Rev JR'!H$1,'Intereses en Compra Venta Bonos'!$D$7:$D$500,"&lt;="&amp;EOMONTH('Rev JR'!H$1,0))</f>
        <v>0</v>
      </c>
      <c r="I35" s="530">
        <f>+SUMIFS('Intereses en Compra Venta Bonos'!$G$7:$G$500,'Intereses en Compra Venta Bonos'!$B$7:$B$500,'Rev JR'!$A35,'Intereses en Compra Venta Bonos'!$D$7:$D$500,"&gt;="&amp;'Rev JR'!I$1,'Intereses en Compra Venta Bonos'!$D$7:$D$500,"&lt;="&amp;EOMONTH('Rev JR'!I$1,0))</f>
        <v>0</v>
      </c>
      <c r="J35" s="530">
        <f>+SUMIFS('Intereses en Compra Venta Bonos'!$G$7:$G$500,'Intereses en Compra Venta Bonos'!$B$7:$B$500,'Rev JR'!$A35,'Intereses en Compra Venta Bonos'!$D$7:$D$500,"&gt;="&amp;'Rev JR'!J$1,'Intereses en Compra Venta Bonos'!$D$7:$D$500,"&lt;="&amp;EOMONTH('Rev JR'!J$1,0))</f>
        <v>0</v>
      </c>
      <c r="K35" s="530">
        <f>+SUMIFS('Intereses en Compra Venta Bonos'!$G$7:$G$500,'Intereses en Compra Venta Bonos'!$B$7:$B$500,'Rev JR'!$A35,'Intereses en Compra Venta Bonos'!$D$7:$D$500,"&gt;="&amp;'Rev JR'!K$1,'Intereses en Compra Venta Bonos'!$D$7:$D$500,"&lt;="&amp;EOMONTH('Rev JR'!K$1,0))</f>
        <v>0</v>
      </c>
      <c r="L35" s="530">
        <f>+SUMIFS('Intereses en Compra Venta Bonos'!$G$7:$G$500,'Intereses en Compra Venta Bonos'!$B$7:$B$500,'Rev JR'!$A35,'Intereses en Compra Venta Bonos'!$D$7:$D$500,"&gt;="&amp;'Rev JR'!L$1,'Intereses en Compra Venta Bonos'!$D$7:$D$500,"&lt;="&amp;EOMONTH('Rev JR'!L$1,0))</f>
        <v>0</v>
      </c>
      <c r="M35" s="530">
        <f>+SUMIFS('Intereses en Compra Venta Bonos'!$G$7:$G$500,'Intereses en Compra Venta Bonos'!$B$7:$B$500,'Rev JR'!$A35,'Intereses en Compra Venta Bonos'!$D$7:$D$500,"&gt;="&amp;'Rev JR'!M$1,'Intereses en Compra Venta Bonos'!$D$7:$D$500,"&lt;="&amp;EOMONTH('Rev JR'!M$1,0))</f>
        <v>0</v>
      </c>
      <c r="N35" s="530">
        <f>+SUMIFS('Intereses en Compra Venta Bonos'!$G$7:$G$500,'Intereses en Compra Venta Bonos'!$B$7:$B$500,'Rev JR'!$A35,'Intereses en Compra Venta Bonos'!$D$7:$D$500,"&gt;="&amp;'Rev JR'!N$1,'Intereses en Compra Venta Bonos'!$D$7:$D$500,"&lt;="&amp;EOMONTH('Rev JR'!N$1,0))</f>
        <v>0</v>
      </c>
      <c r="O35" s="530">
        <f t="shared" si="3"/>
        <v>0</v>
      </c>
    </row>
    <row r="36" spans="1:15">
      <c r="A36" s="664" t="str">
        <f t="shared" si="4"/>
        <v>M</v>
      </c>
      <c r="B36" s="526" t="str">
        <f t="shared" si="5"/>
        <v xml:space="preserve">        Int C/V de Bonos - M</v>
      </c>
      <c r="C36" s="530">
        <f>+SUMIFS('Intereses en Compra Venta Bonos'!$G$7:$G$500,'Intereses en Compra Venta Bonos'!$B$7:$B$500,'Rev JR'!$A36,'Intereses en Compra Venta Bonos'!$D$7:$D$500,"&gt;="&amp;'Rev JR'!C$1,'Intereses en Compra Venta Bonos'!$D$7:$D$500,"&lt;="&amp;EOMONTH('Rev JR'!C$1,0))</f>
        <v>0</v>
      </c>
      <c r="D36" s="530">
        <f>+SUMIFS('Intereses en Compra Venta Bonos'!$G$7:$G$500,'Intereses en Compra Venta Bonos'!$B$7:$B$500,'Rev JR'!$A36,'Intereses en Compra Venta Bonos'!$D$7:$D$500,"&gt;="&amp;'Rev JR'!D$1,'Intereses en Compra Venta Bonos'!$D$7:$D$500,"&lt;="&amp;EOMONTH('Rev JR'!D$1,0))</f>
        <v>0</v>
      </c>
      <c r="E36" s="530">
        <f>+SUMIFS('Intereses en Compra Venta Bonos'!$G$7:$G$500,'Intereses en Compra Venta Bonos'!$B$7:$B$500,'Rev JR'!$A36,'Intereses en Compra Venta Bonos'!$D$7:$D$500,"&gt;="&amp;'Rev JR'!E$1,'Intereses en Compra Venta Bonos'!$D$7:$D$500,"&lt;="&amp;EOMONTH('Rev JR'!E$1,0))</f>
        <v>0</v>
      </c>
      <c r="F36" s="530">
        <f>+SUMIFS('Intereses en Compra Venta Bonos'!$G$7:$G$500,'Intereses en Compra Venta Bonos'!$B$7:$B$500,'Rev JR'!$A36,'Intereses en Compra Venta Bonos'!$D$7:$D$500,"&gt;="&amp;'Rev JR'!F$1,'Intereses en Compra Venta Bonos'!$D$7:$D$500,"&lt;="&amp;EOMONTH('Rev JR'!F$1,0))</f>
        <v>0</v>
      </c>
      <c r="G36" s="530">
        <f>+SUMIFS('Intereses en Compra Venta Bonos'!$G$7:$G$500,'Intereses en Compra Venta Bonos'!$B$7:$B$500,'Rev JR'!$A36,'Intereses en Compra Venta Bonos'!$D$7:$D$500,"&gt;="&amp;'Rev JR'!G$1,'Intereses en Compra Venta Bonos'!$D$7:$D$500,"&lt;="&amp;EOMONTH('Rev JR'!G$1,0))</f>
        <v>0</v>
      </c>
      <c r="H36" s="530">
        <f>+SUMIFS('Intereses en Compra Venta Bonos'!$G$7:$G$500,'Intereses en Compra Venta Bonos'!$B$7:$B$500,'Rev JR'!$A36,'Intereses en Compra Venta Bonos'!$D$7:$D$500,"&gt;="&amp;'Rev JR'!H$1,'Intereses en Compra Venta Bonos'!$D$7:$D$500,"&lt;="&amp;EOMONTH('Rev JR'!H$1,0))</f>
        <v>0</v>
      </c>
      <c r="I36" s="530">
        <f>+SUMIFS('Intereses en Compra Venta Bonos'!$G$7:$G$500,'Intereses en Compra Venta Bonos'!$B$7:$B$500,'Rev JR'!$A36,'Intereses en Compra Venta Bonos'!$D$7:$D$500,"&gt;="&amp;'Rev JR'!I$1,'Intereses en Compra Venta Bonos'!$D$7:$D$500,"&lt;="&amp;EOMONTH('Rev JR'!I$1,0))</f>
        <v>0</v>
      </c>
      <c r="J36" s="530">
        <f>+SUMIFS('Intereses en Compra Venta Bonos'!$G$7:$G$500,'Intereses en Compra Venta Bonos'!$B$7:$B$500,'Rev JR'!$A36,'Intereses en Compra Venta Bonos'!$D$7:$D$500,"&gt;="&amp;'Rev JR'!J$1,'Intereses en Compra Venta Bonos'!$D$7:$D$500,"&lt;="&amp;EOMONTH('Rev JR'!J$1,0))</f>
        <v>0</v>
      </c>
      <c r="K36" s="530">
        <f>+SUMIFS('Intereses en Compra Venta Bonos'!$G$7:$G$500,'Intereses en Compra Venta Bonos'!$B$7:$B$500,'Rev JR'!$A36,'Intereses en Compra Venta Bonos'!$D$7:$D$500,"&gt;="&amp;'Rev JR'!K$1,'Intereses en Compra Venta Bonos'!$D$7:$D$500,"&lt;="&amp;EOMONTH('Rev JR'!K$1,0))</f>
        <v>0</v>
      </c>
      <c r="L36" s="530">
        <f>+SUMIFS('Intereses en Compra Venta Bonos'!$G$7:$G$500,'Intereses en Compra Venta Bonos'!$B$7:$B$500,'Rev JR'!$A36,'Intereses en Compra Venta Bonos'!$D$7:$D$500,"&gt;="&amp;'Rev JR'!L$1,'Intereses en Compra Venta Bonos'!$D$7:$D$500,"&lt;="&amp;EOMONTH('Rev JR'!L$1,0))</f>
        <v>0</v>
      </c>
      <c r="M36" s="530">
        <f>+SUMIFS('Intereses en Compra Venta Bonos'!$G$7:$G$500,'Intereses en Compra Venta Bonos'!$B$7:$B$500,'Rev JR'!$A36,'Intereses en Compra Venta Bonos'!$D$7:$D$500,"&gt;="&amp;'Rev JR'!M$1,'Intereses en Compra Venta Bonos'!$D$7:$D$500,"&lt;="&amp;EOMONTH('Rev JR'!M$1,0))</f>
        <v>0</v>
      </c>
      <c r="N36" s="530">
        <f>+SUMIFS('Intereses en Compra Venta Bonos'!$G$7:$G$500,'Intereses en Compra Venta Bonos'!$B$7:$B$500,'Rev JR'!$A36,'Intereses en Compra Venta Bonos'!$D$7:$D$500,"&gt;="&amp;'Rev JR'!N$1,'Intereses en Compra Venta Bonos'!$D$7:$D$500,"&lt;="&amp;EOMONTH('Rev JR'!N$1,0))</f>
        <v>0</v>
      </c>
      <c r="O36" s="530">
        <f t="shared" si="3"/>
        <v>0</v>
      </c>
    </row>
    <row r="37" spans="1:15">
      <c r="A37" s="664" t="str">
        <f t="shared" si="4"/>
        <v>N</v>
      </c>
      <c r="B37" s="526" t="str">
        <f t="shared" si="5"/>
        <v xml:space="preserve">        Int C/V de Bonos - N</v>
      </c>
      <c r="C37" s="530">
        <f>+SUMIFS('Intereses en Compra Venta Bonos'!$G$7:$G$500,'Intereses en Compra Venta Bonos'!$B$7:$B$500,'Rev JR'!$A37,'Intereses en Compra Venta Bonos'!$D$7:$D$500,"&gt;="&amp;'Rev JR'!C$1,'Intereses en Compra Venta Bonos'!$D$7:$D$500,"&lt;="&amp;EOMONTH('Rev JR'!C$1,0))</f>
        <v>0</v>
      </c>
      <c r="D37" s="530">
        <f>+SUMIFS('Intereses en Compra Venta Bonos'!$G$7:$G$500,'Intereses en Compra Venta Bonos'!$B$7:$B$500,'Rev JR'!$A37,'Intereses en Compra Venta Bonos'!$D$7:$D$500,"&gt;="&amp;'Rev JR'!D$1,'Intereses en Compra Venta Bonos'!$D$7:$D$500,"&lt;="&amp;EOMONTH('Rev JR'!D$1,0))</f>
        <v>0</v>
      </c>
      <c r="E37" s="530">
        <f>+SUMIFS('Intereses en Compra Venta Bonos'!$G$7:$G$500,'Intereses en Compra Venta Bonos'!$B$7:$B$500,'Rev JR'!$A37,'Intereses en Compra Venta Bonos'!$D$7:$D$500,"&gt;="&amp;'Rev JR'!E$1,'Intereses en Compra Venta Bonos'!$D$7:$D$500,"&lt;="&amp;EOMONTH('Rev JR'!E$1,0))</f>
        <v>0</v>
      </c>
      <c r="F37" s="530">
        <f>+SUMIFS('Intereses en Compra Venta Bonos'!$G$7:$G$500,'Intereses en Compra Venta Bonos'!$B$7:$B$500,'Rev JR'!$A37,'Intereses en Compra Venta Bonos'!$D$7:$D$500,"&gt;="&amp;'Rev JR'!F$1,'Intereses en Compra Venta Bonos'!$D$7:$D$500,"&lt;="&amp;EOMONTH('Rev JR'!F$1,0))</f>
        <v>0</v>
      </c>
      <c r="G37" s="530">
        <f>+SUMIFS('Intereses en Compra Venta Bonos'!$G$7:$G$500,'Intereses en Compra Venta Bonos'!$B$7:$B$500,'Rev JR'!$A37,'Intereses en Compra Venta Bonos'!$D$7:$D$500,"&gt;="&amp;'Rev JR'!G$1,'Intereses en Compra Venta Bonos'!$D$7:$D$500,"&lt;="&amp;EOMONTH('Rev JR'!G$1,0))</f>
        <v>0</v>
      </c>
      <c r="H37" s="530">
        <f>+SUMIFS('Intereses en Compra Venta Bonos'!$G$7:$G$500,'Intereses en Compra Venta Bonos'!$B$7:$B$500,'Rev JR'!$A37,'Intereses en Compra Venta Bonos'!$D$7:$D$500,"&gt;="&amp;'Rev JR'!H$1,'Intereses en Compra Venta Bonos'!$D$7:$D$500,"&lt;="&amp;EOMONTH('Rev JR'!H$1,0))</f>
        <v>0</v>
      </c>
      <c r="I37" s="530">
        <f>+SUMIFS('Intereses en Compra Venta Bonos'!$G$7:$G$500,'Intereses en Compra Venta Bonos'!$B$7:$B$500,'Rev JR'!$A37,'Intereses en Compra Venta Bonos'!$D$7:$D$500,"&gt;="&amp;'Rev JR'!I$1,'Intereses en Compra Venta Bonos'!$D$7:$D$500,"&lt;="&amp;EOMONTH('Rev JR'!I$1,0))</f>
        <v>0</v>
      </c>
      <c r="J37" s="530">
        <f>+SUMIFS('Intereses en Compra Venta Bonos'!$G$7:$G$500,'Intereses en Compra Venta Bonos'!$B$7:$B$500,'Rev JR'!$A37,'Intereses en Compra Venta Bonos'!$D$7:$D$500,"&gt;="&amp;'Rev JR'!J$1,'Intereses en Compra Venta Bonos'!$D$7:$D$500,"&lt;="&amp;EOMONTH('Rev JR'!J$1,0))</f>
        <v>0</v>
      </c>
      <c r="K37" s="530">
        <f>+SUMIFS('Intereses en Compra Venta Bonos'!$G$7:$G$500,'Intereses en Compra Venta Bonos'!$B$7:$B$500,'Rev JR'!$A37,'Intereses en Compra Venta Bonos'!$D$7:$D$500,"&gt;="&amp;'Rev JR'!K$1,'Intereses en Compra Venta Bonos'!$D$7:$D$500,"&lt;="&amp;EOMONTH('Rev JR'!K$1,0))</f>
        <v>0</v>
      </c>
      <c r="L37" s="530">
        <f>+SUMIFS('Intereses en Compra Venta Bonos'!$G$7:$G$500,'Intereses en Compra Venta Bonos'!$B$7:$B$500,'Rev JR'!$A37,'Intereses en Compra Venta Bonos'!$D$7:$D$500,"&gt;="&amp;'Rev JR'!L$1,'Intereses en Compra Venta Bonos'!$D$7:$D$500,"&lt;="&amp;EOMONTH('Rev JR'!L$1,0))</f>
        <v>0</v>
      </c>
      <c r="M37" s="530">
        <f>+SUMIFS('Intereses en Compra Venta Bonos'!$G$7:$G$500,'Intereses en Compra Venta Bonos'!$B$7:$B$500,'Rev JR'!$A37,'Intereses en Compra Venta Bonos'!$D$7:$D$500,"&gt;="&amp;'Rev JR'!M$1,'Intereses en Compra Venta Bonos'!$D$7:$D$500,"&lt;="&amp;EOMONTH('Rev JR'!M$1,0))</f>
        <v>0</v>
      </c>
      <c r="N37" s="530">
        <f>+SUMIFS('Intereses en Compra Venta Bonos'!$G$7:$G$500,'Intereses en Compra Venta Bonos'!$B$7:$B$500,'Rev JR'!$A37,'Intereses en Compra Venta Bonos'!$D$7:$D$500,"&gt;="&amp;'Rev JR'!N$1,'Intereses en Compra Venta Bonos'!$D$7:$D$500,"&lt;="&amp;EOMONTH('Rev JR'!N$1,0))</f>
        <v>0</v>
      </c>
      <c r="O37" s="530">
        <f t="shared" si="3"/>
        <v>0</v>
      </c>
    </row>
    <row r="38" spans="1:15">
      <c r="A38" s="664" t="str">
        <f t="shared" si="4"/>
        <v>O</v>
      </c>
      <c r="B38" s="526" t="str">
        <f t="shared" si="5"/>
        <v xml:space="preserve">        Int C/V de Bonos - O</v>
      </c>
      <c r="C38" s="530">
        <f>+SUMIFS('Intereses en Compra Venta Bonos'!$G$7:$G$500,'Intereses en Compra Venta Bonos'!$B$7:$B$500,'Rev JR'!$A38,'Intereses en Compra Venta Bonos'!$D$7:$D$500,"&gt;="&amp;'Rev JR'!C$1,'Intereses en Compra Venta Bonos'!$D$7:$D$500,"&lt;="&amp;EOMONTH('Rev JR'!C$1,0))</f>
        <v>0</v>
      </c>
      <c r="D38" s="530">
        <f>+SUMIFS('Intereses en Compra Venta Bonos'!$G$7:$G$500,'Intereses en Compra Venta Bonos'!$B$7:$B$500,'Rev JR'!$A38,'Intereses en Compra Venta Bonos'!$D$7:$D$500,"&gt;="&amp;'Rev JR'!D$1,'Intereses en Compra Venta Bonos'!$D$7:$D$500,"&lt;="&amp;EOMONTH('Rev JR'!D$1,0))</f>
        <v>0</v>
      </c>
      <c r="E38" s="530">
        <f>+SUMIFS('Intereses en Compra Venta Bonos'!$G$7:$G$500,'Intereses en Compra Venta Bonos'!$B$7:$B$500,'Rev JR'!$A38,'Intereses en Compra Venta Bonos'!$D$7:$D$500,"&gt;="&amp;'Rev JR'!E$1,'Intereses en Compra Venta Bonos'!$D$7:$D$500,"&lt;="&amp;EOMONTH('Rev JR'!E$1,0))</f>
        <v>0</v>
      </c>
      <c r="F38" s="530">
        <f>+SUMIFS('Intereses en Compra Venta Bonos'!$G$7:$G$500,'Intereses en Compra Venta Bonos'!$B$7:$B$500,'Rev JR'!$A38,'Intereses en Compra Venta Bonos'!$D$7:$D$500,"&gt;="&amp;'Rev JR'!F$1,'Intereses en Compra Venta Bonos'!$D$7:$D$500,"&lt;="&amp;EOMONTH('Rev JR'!F$1,0))</f>
        <v>0</v>
      </c>
      <c r="G38" s="530">
        <f>+SUMIFS('Intereses en Compra Venta Bonos'!$G$7:$G$500,'Intereses en Compra Venta Bonos'!$B$7:$B$500,'Rev JR'!$A38,'Intereses en Compra Venta Bonos'!$D$7:$D$500,"&gt;="&amp;'Rev JR'!G$1,'Intereses en Compra Venta Bonos'!$D$7:$D$500,"&lt;="&amp;EOMONTH('Rev JR'!G$1,0))</f>
        <v>0</v>
      </c>
      <c r="H38" s="530">
        <f>+SUMIFS('Intereses en Compra Venta Bonos'!$G$7:$G$500,'Intereses en Compra Venta Bonos'!$B$7:$B$500,'Rev JR'!$A38,'Intereses en Compra Venta Bonos'!$D$7:$D$500,"&gt;="&amp;'Rev JR'!H$1,'Intereses en Compra Venta Bonos'!$D$7:$D$500,"&lt;="&amp;EOMONTH('Rev JR'!H$1,0))</f>
        <v>0</v>
      </c>
      <c r="I38" s="530">
        <f>+SUMIFS('Intereses en Compra Venta Bonos'!$G$7:$G$500,'Intereses en Compra Venta Bonos'!$B$7:$B$500,'Rev JR'!$A38,'Intereses en Compra Venta Bonos'!$D$7:$D$500,"&gt;="&amp;'Rev JR'!I$1,'Intereses en Compra Venta Bonos'!$D$7:$D$500,"&lt;="&amp;EOMONTH('Rev JR'!I$1,0))</f>
        <v>0</v>
      </c>
      <c r="J38" s="530">
        <f>+SUMIFS('Intereses en Compra Venta Bonos'!$G$7:$G$500,'Intereses en Compra Venta Bonos'!$B$7:$B$500,'Rev JR'!$A38,'Intereses en Compra Venta Bonos'!$D$7:$D$500,"&gt;="&amp;'Rev JR'!J$1,'Intereses en Compra Venta Bonos'!$D$7:$D$500,"&lt;="&amp;EOMONTH('Rev JR'!J$1,0))</f>
        <v>0</v>
      </c>
      <c r="K38" s="530">
        <f>+SUMIFS('Intereses en Compra Venta Bonos'!$G$7:$G$500,'Intereses en Compra Venta Bonos'!$B$7:$B$500,'Rev JR'!$A38,'Intereses en Compra Venta Bonos'!$D$7:$D$500,"&gt;="&amp;'Rev JR'!K$1,'Intereses en Compra Venta Bonos'!$D$7:$D$500,"&lt;="&amp;EOMONTH('Rev JR'!K$1,0))</f>
        <v>0</v>
      </c>
      <c r="L38" s="530">
        <f>+SUMIFS('Intereses en Compra Venta Bonos'!$G$7:$G$500,'Intereses en Compra Venta Bonos'!$B$7:$B$500,'Rev JR'!$A38,'Intereses en Compra Venta Bonos'!$D$7:$D$500,"&gt;="&amp;'Rev JR'!L$1,'Intereses en Compra Venta Bonos'!$D$7:$D$500,"&lt;="&amp;EOMONTH('Rev JR'!L$1,0))</f>
        <v>0</v>
      </c>
      <c r="M38" s="530">
        <f>+SUMIFS('Intereses en Compra Venta Bonos'!$G$7:$G$500,'Intereses en Compra Venta Bonos'!$B$7:$B$500,'Rev JR'!$A38,'Intereses en Compra Venta Bonos'!$D$7:$D$500,"&gt;="&amp;'Rev JR'!M$1,'Intereses en Compra Venta Bonos'!$D$7:$D$500,"&lt;="&amp;EOMONTH('Rev JR'!M$1,0))</f>
        <v>0</v>
      </c>
      <c r="N38" s="530">
        <f>+SUMIFS('Intereses en Compra Venta Bonos'!$G$7:$G$500,'Intereses en Compra Venta Bonos'!$B$7:$B$500,'Rev JR'!$A38,'Intereses en Compra Venta Bonos'!$D$7:$D$500,"&gt;="&amp;'Rev JR'!N$1,'Intereses en Compra Venta Bonos'!$D$7:$D$500,"&lt;="&amp;EOMONTH('Rev JR'!N$1,0))</f>
        <v>0</v>
      </c>
      <c r="O38" s="530">
        <f t="shared" si="3"/>
        <v>0</v>
      </c>
    </row>
    <row r="39" spans="1:15">
      <c r="A39" s="664" t="str">
        <f t="shared" si="4"/>
        <v>P</v>
      </c>
      <c r="B39" s="526" t="str">
        <f t="shared" si="5"/>
        <v xml:space="preserve">        Int C/V de Bonos - P</v>
      </c>
      <c r="C39" s="530">
        <f>+SUMIFS('Intereses en Compra Venta Bonos'!$G$7:$G$500,'Intereses en Compra Venta Bonos'!$B$7:$B$500,'Rev JR'!$A39,'Intereses en Compra Venta Bonos'!$D$7:$D$500,"&gt;="&amp;'Rev JR'!C$1,'Intereses en Compra Venta Bonos'!$D$7:$D$500,"&lt;="&amp;EOMONTH('Rev JR'!C$1,0))</f>
        <v>0</v>
      </c>
      <c r="D39" s="530">
        <f>+SUMIFS('Intereses en Compra Venta Bonos'!$G$7:$G$500,'Intereses en Compra Venta Bonos'!$B$7:$B$500,'Rev JR'!$A39,'Intereses en Compra Venta Bonos'!$D$7:$D$500,"&gt;="&amp;'Rev JR'!D$1,'Intereses en Compra Venta Bonos'!$D$7:$D$500,"&lt;="&amp;EOMONTH('Rev JR'!D$1,0))</f>
        <v>0</v>
      </c>
      <c r="E39" s="530">
        <f>+SUMIFS('Intereses en Compra Venta Bonos'!$G$7:$G$500,'Intereses en Compra Venta Bonos'!$B$7:$B$500,'Rev JR'!$A39,'Intereses en Compra Venta Bonos'!$D$7:$D$500,"&gt;="&amp;'Rev JR'!E$1,'Intereses en Compra Venta Bonos'!$D$7:$D$500,"&lt;="&amp;EOMONTH('Rev JR'!E$1,0))</f>
        <v>0</v>
      </c>
      <c r="F39" s="530">
        <f>+SUMIFS('Intereses en Compra Venta Bonos'!$G$7:$G$500,'Intereses en Compra Venta Bonos'!$B$7:$B$500,'Rev JR'!$A39,'Intereses en Compra Venta Bonos'!$D$7:$D$500,"&gt;="&amp;'Rev JR'!F$1,'Intereses en Compra Venta Bonos'!$D$7:$D$500,"&lt;="&amp;EOMONTH('Rev JR'!F$1,0))</f>
        <v>0</v>
      </c>
      <c r="G39" s="530">
        <f>+SUMIFS('Intereses en Compra Venta Bonos'!$G$7:$G$500,'Intereses en Compra Venta Bonos'!$B$7:$B$500,'Rev JR'!$A39,'Intereses en Compra Venta Bonos'!$D$7:$D$500,"&gt;="&amp;'Rev JR'!G$1,'Intereses en Compra Venta Bonos'!$D$7:$D$500,"&lt;="&amp;EOMONTH('Rev JR'!G$1,0))</f>
        <v>0</v>
      </c>
      <c r="H39" s="530">
        <f>+SUMIFS('Intereses en Compra Venta Bonos'!$G$7:$G$500,'Intereses en Compra Venta Bonos'!$B$7:$B$500,'Rev JR'!$A39,'Intereses en Compra Venta Bonos'!$D$7:$D$500,"&gt;="&amp;'Rev JR'!H$1,'Intereses en Compra Venta Bonos'!$D$7:$D$500,"&lt;="&amp;EOMONTH('Rev JR'!H$1,0))</f>
        <v>0</v>
      </c>
      <c r="I39" s="530">
        <f>+SUMIFS('Intereses en Compra Venta Bonos'!$G$7:$G$500,'Intereses en Compra Venta Bonos'!$B$7:$B$500,'Rev JR'!$A39,'Intereses en Compra Venta Bonos'!$D$7:$D$500,"&gt;="&amp;'Rev JR'!I$1,'Intereses en Compra Venta Bonos'!$D$7:$D$500,"&lt;="&amp;EOMONTH('Rev JR'!I$1,0))</f>
        <v>0</v>
      </c>
      <c r="J39" s="530">
        <f>+SUMIFS('Intereses en Compra Venta Bonos'!$G$7:$G$500,'Intereses en Compra Venta Bonos'!$B$7:$B$500,'Rev JR'!$A39,'Intereses en Compra Venta Bonos'!$D$7:$D$500,"&gt;="&amp;'Rev JR'!J$1,'Intereses en Compra Venta Bonos'!$D$7:$D$500,"&lt;="&amp;EOMONTH('Rev JR'!J$1,0))</f>
        <v>0</v>
      </c>
      <c r="K39" s="530">
        <f>+SUMIFS('Intereses en Compra Venta Bonos'!$G$7:$G$500,'Intereses en Compra Venta Bonos'!$B$7:$B$500,'Rev JR'!$A39,'Intereses en Compra Venta Bonos'!$D$7:$D$500,"&gt;="&amp;'Rev JR'!K$1,'Intereses en Compra Venta Bonos'!$D$7:$D$500,"&lt;="&amp;EOMONTH('Rev JR'!K$1,0))</f>
        <v>0</v>
      </c>
      <c r="L39" s="530">
        <f>+SUMIFS('Intereses en Compra Venta Bonos'!$G$7:$G$500,'Intereses en Compra Venta Bonos'!$B$7:$B$500,'Rev JR'!$A39,'Intereses en Compra Venta Bonos'!$D$7:$D$500,"&gt;="&amp;'Rev JR'!L$1,'Intereses en Compra Venta Bonos'!$D$7:$D$500,"&lt;="&amp;EOMONTH('Rev JR'!L$1,0))</f>
        <v>0</v>
      </c>
      <c r="M39" s="530">
        <f>+SUMIFS('Intereses en Compra Venta Bonos'!$G$7:$G$500,'Intereses en Compra Venta Bonos'!$B$7:$B$500,'Rev JR'!$A39,'Intereses en Compra Venta Bonos'!$D$7:$D$500,"&gt;="&amp;'Rev JR'!M$1,'Intereses en Compra Venta Bonos'!$D$7:$D$500,"&lt;="&amp;EOMONTH('Rev JR'!M$1,0))</f>
        <v>0</v>
      </c>
      <c r="N39" s="530">
        <f>+SUMIFS('Intereses en Compra Venta Bonos'!$G$7:$G$500,'Intereses en Compra Venta Bonos'!$B$7:$B$500,'Rev JR'!$A39,'Intereses en Compra Venta Bonos'!$D$7:$D$500,"&gt;="&amp;'Rev JR'!N$1,'Intereses en Compra Venta Bonos'!$D$7:$D$500,"&lt;="&amp;EOMONTH('Rev JR'!N$1,0))</f>
        <v>0</v>
      </c>
      <c r="O39" s="530">
        <f t="shared" si="3"/>
        <v>0</v>
      </c>
    </row>
    <row r="40" spans="1:15">
      <c r="A40" s="522"/>
      <c r="B40" s="531" t="s">
        <v>614</v>
      </c>
      <c r="C40" s="532">
        <f t="shared" ref="C40:O40" si="6">SUM(C24:C39)</f>
        <v>0</v>
      </c>
      <c r="D40" s="532">
        <f t="shared" si="6"/>
        <v>0</v>
      </c>
      <c r="E40" s="532">
        <f t="shared" si="6"/>
        <v>0</v>
      </c>
      <c r="F40" s="532">
        <f t="shared" si="6"/>
        <v>0</v>
      </c>
      <c r="G40" s="532">
        <f t="shared" si="6"/>
        <v>0</v>
      </c>
      <c r="H40" s="532">
        <f t="shared" si="6"/>
        <v>0</v>
      </c>
      <c r="I40" s="532">
        <f t="shared" si="6"/>
        <v>0</v>
      </c>
      <c r="J40" s="532">
        <f t="shared" si="6"/>
        <v>0</v>
      </c>
      <c r="K40" s="532">
        <f t="shared" si="6"/>
        <v>0</v>
      </c>
      <c r="L40" s="532">
        <f t="shared" si="6"/>
        <v>0</v>
      </c>
      <c r="M40" s="532">
        <f t="shared" si="6"/>
        <v>0</v>
      </c>
      <c r="N40" s="532">
        <f t="shared" si="6"/>
        <v>0</v>
      </c>
      <c r="O40" s="532">
        <f t="shared" si="6"/>
        <v>0</v>
      </c>
    </row>
    <row r="41" spans="1:15">
      <c r="A41" s="522"/>
      <c r="B41" s="533"/>
      <c r="C41" s="534"/>
      <c r="D41" s="534"/>
      <c r="E41" s="534"/>
      <c r="F41" s="534"/>
      <c r="G41" s="534"/>
      <c r="H41" s="534"/>
      <c r="I41" s="534"/>
      <c r="J41" s="534"/>
      <c r="K41" s="534"/>
      <c r="L41" s="534"/>
      <c r="M41" s="534"/>
      <c r="N41" s="534"/>
      <c r="O41" s="534"/>
    </row>
    <row r="42" spans="1:15">
      <c r="A42" s="522"/>
      <c r="B42" s="526" t="s">
        <v>615</v>
      </c>
      <c r="C42" s="529"/>
      <c r="D42" s="529"/>
      <c r="E42" s="529"/>
      <c r="F42" s="529"/>
      <c r="G42" s="529"/>
      <c r="H42" s="529"/>
      <c r="I42" s="529"/>
      <c r="J42" s="529"/>
      <c r="K42" s="529"/>
      <c r="L42" s="529"/>
      <c r="M42" s="529"/>
      <c r="N42" s="529"/>
      <c r="O42" s="529"/>
    </row>
    <row r="43" spans="1:15">
      <c r="A43" s="664" t="str">
        <f>+A24</f>
        <v>31XX29</v>
      </c>
      <c r="B43" s="526" t="str">
        <f t="shared" ref="B43:B58" si="7">+CONCATENATE("        Dividendos - ",A43)</f>
        <v xml:space="preserve">        Dividendos - 31XX29</v>
      </c>
      <c r="C43" s="530">
        <f>+SUMIFS('Dividendos Extranjero'!$G$7:$G$1012,'Dividendos Extranjero'!$B$7:$B$1012,'Rev JR'!$A43,'Dividendos Extranjero'!$D$7:$D$1012,"&gt;="&amp;'Rev JR'!C$1,'Dividendos Extranjero'!$D$7:$D$1012,"&lt;="&amp;EOMONTH('Rev JR'!C$1,0))</f>
        <v>1070.0999999999999</v>
      </c>
      <c r="D43" s="530">
        <f>+SUMIFS('Dividendos Extranjero'!$G$7:$G$1012,'Dividendos Extranjero'!$B$7:$B$1012,'Rev JR'!$A43,'Dividendos Extranjero'!$D$7:$D$1012,"&gt;="&amp;'Rev JR'!D$1,'Dividendos Extranjero'!$D$7:$D$1012,"&lt;="&amp;EOMONTH('Rev JR'!D$1,0))</f>
        <v>12011.73</v>
      </c>
      <c r="E43" s="530">
        <f>+SUMIFS('Dividendos Extranjero'!$G$7:$G$1012,'Dividendos Extranjero'!$B$7:$B$1012,'Rev JR'!$A43,'Dividendos Extranjero'!$D$7:$D$1012,"&gt;="&amp;'Rev JR'!E$1,'Dividendos Extranjero'!$D$7:$D$1012,"&lt;="&amp;EOMONTH('Rev JR'!E$1,0))</f>
        <v>11893.630000000001</v>
      </c>
      <c r="F43" s="530">
        <f>+SUMIFS('Dividendos Extranjero'!$G$7:$G$1012,'Dividendos Extranjero'!$B$7:$B$1012,'Rev JR'!$A43,'Dividendos Extranjero'!$D$7:$D$1012,"&gt;="&amp;'Rev JR'!F$1,'Dividendos Extranjero'!$D$7:$D$1012,"&lt;="&amp;EOMONTH('Rev JR'!F$1,0))</f>
        <v>-2658.13</v>
      </c>
      <c r="G43" s="530">
        <f>+SUMIFS('Dividendos Extranjero'!$G$7:$G$1012,'Dividendos Extranjero'!$B$7:$B$1012,'Rev JR'!$A43,'Dividendos Extranjero'!$D$7:$D$1012,"&gt;="&amp;'Rev JR'!G$1,'Dividendos Extranjero'!$D$7:$D$1012,"&lt;="&amp;EOMONTH('Rev JR'!G$1,0))</f>
        <v>9182.09</v>
      </c>
      <c r="H43" s="530">
        <f>+SUMIFS('Dividendos Extranjero'!$G$7:$G$1012,'Dividendos Extranjero'!$B$7:$B$1012,'Rev JR'!$A43,'Dividendos Extranjero'!$D$7:$D$1012,"&gt;="&amp;'Rev JR'!H$1,'Dividendos Extranjero'!$D$7:$D$1012,"&lt;="&amp;EOMONTH('Rev JR'!H$1,0))</f>
        <v>57176.78</v>
      </c>
      <c r="I43" s="530">
        <f>+SUMIFS('Dividendos Extranjero'!$G$7:$G$1012,'Dividendos Extranjero'!$B$7:$B$1012,'Rev JR'!$A43,'Dividendos Extranjero'!$D$7:$D$1012,"&gt;="&amp;'Rev JR'!I$1,'Dividendos Extranjero'!$D$7:$D$1012,"&lt;="&amp;EOMONTH('Rev JR'!I$1,0))</f>
        <v>294.94</v>
      </c>
      <c r="J43" s="530">
        <f>+SUMIFS('Dividendos Extranjero'!$G$7:$G$1012,'Dividendos Extranjero'!$B$7:$B$1012,'Rev JR'!$A43,'Dividendos Extranjero'!$D$7:$D$1012,"&gt;="&amp;'Rev JR'!J$1,'Dividendos Extranjero'!$D$7:$D$1012,"&lt;="&amp;EOMONTH('Rev JR'!J$1,0))</f>
        <v>9406.66</v>
      </c>
      <c r="K43" s="530">
        <f>+SUMIFS('Dividendos Extranjero'!$G$7:$G$1012,'Dividendos Extranjero'!$B$7:$B$1012,'Rev JR'!$A43,'Dividendos Extranjero'!$D$7:$D$1012,"&gt;="&amp;'Rev JR'!K$1,'Dividendos Extranjero'!$D$7:$D$1012,"&lt;="&amp;EOMONTH('Rev JR'!K$1,0))</f>
        <v>6983.9</v>
      </c>
      <c r="L43" s="530">
        <f>+SUMIFS('Dividendos Extranjero'!$G$7:$G$1012,'Dividendos Extranjero'!$B$7:$B$1012,'Rev JR'!$A43,'Dividendos Extranjero'!$D$7:$D$1012,"&gt;="&amp;'Rev JR'!L$1,'Dividendos Extranjero'!$D$7:$D$1012,"&lt;="&amp;EOMONTH('Rev JR'!L$1,0))</f>
        <v>3952.82</v>
      </c>
      <c r="M43" s="530">
        <f>+SUMIFS('Dividendos Extranjero'!$G$7:$G$1012,'Dividendos Extranjero'!$B$7:$B$1012,'Rev JR'!$A43,'Dividendos Extranjero'!$D$7:$D$1012,"&gt;="&amp;'Rev JR'!M$1,'Dividendos Extranjero'!$D$7:$D$1012,"&lt;="&amp;EOMONTH('Rev JR'!M$1,0))</f>
        <v>0</v>
      </c>
      <c r="N43" s="530">
        <f>+SUMIFS('Dividendos Extranjero'!$G$7:$G$1012,'Dividendos Extranjero'!$B$7:$B$1012,'Rev JR'!$A43,'Dividendos Extranjero'!$D$7:$D$1012,"&gt;="&amp;'Rev JR'!N$1,'Dividendos Extranjero'!$D$7:$D$1012,"&lt;="&amp;EOMONTH('Rev JR'!N$1,0))</f>
        <v>0</v>
      </c>
      <c r="O43" s="530">
        <f t="shared" ref="O43:O58" si="8">SUM(C43:N43)</f>
        <v>109314.52</v>
      </c>
    </row>
    <row r="44" spans="1:15">
      <c r="A44" s="664" t="str">
        <f t="shared" ref="A44:A58" si="9">+A25</f>
        <v>11XX300</v>
      </c>
      <c r="B44" s="526" t="str">
        <f t="shared" si="7"/>
        <v xml:space="preserve">        Dividendos - 11XX300</v>
      </c>
      <c r="C44" s="530">
        <f>+SUMIFS('Dividendos Extranjero'!$G$7:$G$1012,'Dividendos Extranjero'!$B$7:$B$1012,'Rev JR'!$A44,'Dividendos Extranjero'!$D$7:$D$1012,"&gt;="&amp;'Rev JR'!C$1,'Dividendos Extranjero'!$D$7:$D$1012,"&lt;="&amp;EOMONTH('Rev JR'!C$1,0))</f>
        <v>0</v>
      </c>
      <c r="D44" s="530">
        <f>+SUMIFS('Dividendos Extranjero'!$G$7:$G$1012,'Dividendos Extranjero'!$B$7:$B$1012,'Rev JR'!$A44,'Dividendos Extranjero'!$D$7:$D$1012,"&gt;="&amp;'Rev JR'!D$1,'Dividendos Extranjero'!$D$7:$D$1012,"&lt;="&amp;EOMONTH('Rev JR'!D$1,0))</f>
        <v>0</v>
      </c>
      <c r="E44" s="530">
        <f>+SUMIFS('Dividendos Extranjero'!$G$7:$G$1012,'Dividendos Extranjero'!$B$7:$B$1012,'Rev JR'!$A44,'Dividendos Extranjero'!$D$7:$D$1012,"&gt;="&amp;'Rev JR'!E$1,'Dividendos Extranjero'!$D$7:$D$1012,"&lt;="&amp;EOMONTH('Rev JR'!E$1,0))</f>
        <v>0</v>
      </c>
      <c r="F44" s="530">
        <f>+SUMIFS('Dividendos Extranjero'!$G$7:$G$1012,'Dividendos Extranjero'!$B$7:$B$1012,'Rev JR'!$A44,'Dividendos Extranjero'!$D$7:$D$1012,"&gt;="&amp;'Rev JR'!F$1,'Dividendos Extranjero'!$D$7:$D$1012,"&lt;="&amp;EOMONTH('Rev JR'!F$1,0))</f>
        <v>0</v>
      </c>
      <c r="G44" s="530">
        <f>+SUMIFS('Dividendos Extranjero'!$G$7:$G$1012,'Dividendos Extranjero'!$B$7:$B$1012,'Rev JR'!$A44,'Dividendos Extranjero'!$D$7:$D$1012,"&gt;="&amp;'Rev JR'!G$1,'Dividendos Extranjero'!$D$7:$D$1012,"&lt;="&amp;EOMONTH('Rev JR'!G$1,0))</f>
        <v>0</v>
      </c>
      <c r="H44" s="530">
        <f>+SUMIFS('Dividendos Extranjero'!$G$7:$G$1012,'Dividendos Extranjero'!$B$7:$B$1012,'Rev JR'!$A44,'Dividendos Extranjero'!$D$7:$D$1012,"&gt;="&amp;'Rev JR'!H$1,'Dividendos Extranjero'!$D$7:$D$1012,"&lt;="&amp;EOMONTH('Rev JR'!H$1,0))</f>
        <v>0</v>
      </c>
      <c r="I44" s="530">
        <f>+SUMIFS('Dividendos Extranjero'!$G$7:$G$1012,'Dividendos Extranjero'!$B$7:$B$1012,'Rev JR'!$A44,'Dividendos Extranjero'!$D$7:$D$1012,"&gt;="&amp;'Rev JR'!I$1,'Dividendos Extranjero'!$D$7:$D$1012,"&lt;="&amp;EOMONTH('Rev JR'!I$1,0))</f>
        <v>0</v>
      </c>
      <c r="J44" s="530">
        <f>+SUMIFS('Dividendos Extranjero'!$G$7:$G$1012,'Dividendos Extranjero'!$B$7:$B$1012,'Rev JR'!$A44,'Dividendos Extranjero'!$D$7:$D$1012,"&gt;="&amp;'Rev JR'!J$1,'Dividendos Extranjero'!$D$7:$D$1012,"&lt;="&amp;EOMONTH('Rev JR'!J$1,0))</f>
        <v>0</v>
      </c>
      <c r="K44" s="530">
        <f>+SUMIFS('Dividendos Extranjero'!$G$7:$G$1012,'Dividendos Extranjero'!$B$7:$B$1012,'Rev JR'!$A44,'Dividendos Extranjero'!$D$7:$D$1012,"&gt;="&amp;'Rev JR'!K$1,'Dividendos Extranjero'!$D$7:$D$1012,"&lt;="&amp;EOMONTH('Rev JR'!K$1,0))</f>
        <v>0</v>
      </c>
      <c r="L44" s="530">
        <f>+SUMIFS('Dividendos Extranjero'!$G$7:$G$1012,'Dividendos Extranjero'!$B$7:$B$1012,'Rev JR'!$A44,'Dividendos Extranjero'!$D$7:$D$1012,"&gt;="&amp;'Rev JR'!L$1,'Dividendos Extranjero'!$D$7:$D$1012,"&lt;="&amp;EOMONTH('Rev JR'!L$1,0))</f>
        <v>0</v>
      </c>
      <c r="M44" s="530">
        <f>+SUMIFS('Dividendos Extranjero'!$G$7:$G$1012,'Dividendos Extranjero'!$B$7:$B$1012,'Rev JR'!$A44,'Dividendos Extranjero'!$D$7:$D$1012,"&gt;="&amp;'Rev JR'!M$1,'Dividendos Extranjero'!$D$7:$D$1012,"&lt;="&amp;EOMONTH('Rev JR'!M$1,0))</f>
        <v>0</v>
      </c>
      <c r="N44" s="530">
        <f>+SUMIFS('Dividendos Extranjero'!$G$7:$G$1012,'Dividendos Extranjero'!$B$7:$B$1012,'Rev JR'!$A44,'Dividendos Extranjero'!$D$7:$D$1012,"&gt;="&amp;'Rev JR'!N$1,'Dividendos Extranjero'!$D$7:$D$1012,"&lt;="&amp;EOMONTH('Rev JR'!N$1,0))</f>
        <v>0</v>
      </c>
      <c r="O44" s="530">
        <f t="shared" si="8"/>
        <v>0</v>
      </c>
    </row>
    <row r="45" spans="1:15">
      <c r="A45" s="664" t="str">
        <f t="shared" si="9"/>
        <v>1XXX100</v>
      </c>
      <c r="B45" s="526" t="str">
        <f t="shared" si="7"/>
        <v xml:space="preserve">        Dividendos - 1XXX100</v>
      </c>
      <c r="C45" s="530">
        <f>+SUMIFS('Dividendos Extranjero'!$G$7:$G$1012,'Dividendos Extranjero'!$B$7:$B$1012,'Rev JR'!$A45,'Dividendos Extranjero'!$D$7:$D$1012,"&gt;="&amp;'Rev JR'!C$1,'Dividendos Extranjero'!$D$7:$D$1012,"&lt;="&amp;EOMONTH('Rev JR'!C$1,0))</f>
        <v>1031.6399999999999</v>
      </c>
      <c r="D45" s="530">
        <f>+SUMIFS('Dividendos Extranjero'!$G$7:$G$1012,'Dividendos Extranjero'!$B$7:$B$1012,'Rev JR'!$A45,'Dividendos Extranjero'!$D$7:$D$1012,"&gt;="&amp;'Rev JR'!D$1,'Dividendos Extranjero'!$D$7:$D$1012,"&lt;="&amp;EOMONTH('Rev JR'!D$1,0))</f>
        <v>363.09999999999997</v>
      </c>
      <c r="E45" s="530">
        <f>+SUMIFS('Dividendos Extranjero'!$G$7:$G$1012,'Dividendos Extranjero'!$B$7:$B$1012,'Rev JR'!$A45,'Dividendos Extranjero'!$D$7:$D$1012,"&gt;="&amp;'Rev JR'!E$1,'Dividendos Extranjero'!$D$7:$D$1012,"&lt;="&amp;EOMONTH('Rev JR'!E$1,0))</f>
        <v>2181.0299999999997</v>
      </c>
      <c r="F45" s="530">
        <f>+SUMIFS('Dividendos Extranjero'!$G$7:$G$1012,'Dividendos Extranjero'!$B$7:$B$1012,'Rev JR'!$A45,'Dividendos Extranjero'!$D$7:$D$1012,"&gt;="&amp;'Rev JR'!F$1,'Dividendos Extranjero'!$D$7:$D$1012,"&lt;="&amp;EOMONTH('Rev JR'!F$1,0))</f>
        <v>1084.6899999999998</v>
      </c>
      <c r="G45" s="530">
        <f>+SUMIFS('Dividendos Extranjero'!$G$7:$G$1012,'Dividendos Extranjero'!$B$7:$B$1012,'Rev JR'!$A45,'Dividendos Extranjero'!$D$7:$D$1012,"&gt;="&amp;'Rev JR'!G$1,'Dividendos Extranjero'!$D$7:$D$1012,"&lt;="&amp;EOMONTH('Rev JR'!G$1,0))</f>
        <v>732.87</v>
      </c>
      <c r="H45" s="530">
        <f>+SUMIFS('Dividendos Extranjero'!$G$7:$G$1012,'Dividendos Extranjero'!$B$7:$B$1012,'Rev JR'!$A45,'Dividendos Extranjero'!$D$7:$D$1012,"&gt;="&amp;'Rev JR'!H$1,'Dividendos Extranjero'!$D$7:$D$1012,"&lt;="&amp;EOMONTH('Rev JR'!H$1,0))</f>
        <v>2287.3000000000002</v>
      </c>
      <c r="I45" s="530">
        <f>+SUMIFS('Dividendos Extranjero'!$G$7:$G$1012,'Dividendos Extranjero'!$B$7:$B$1012,'Rev JR'!$A45,'Dividendos Extranjero'!$D$7:$D$1012,"&gt;="&amp;'Rev JR'!I$1,'Dividendos Extranjero'!$D$7:$D$1012,"&lt;="&amp;EOMONTH('Rev JR'!I$1,0))</f>
        <v>1136.52</v>
      </c>
      <c r="J45" s="530">
        <f>+SUMIFS('Dividendos Extranjero'!$G$7:$G$1012,'Dividendos Extranjero'!$B$7:$B$1012,'Rev JR'!$A45,'Dividendos Extranjero'!$D$7:$D$1012,"&gt;="&amp;'Rev JR'!J$1,'Dividendos Extranjero'!$D$7:$D$1012,"&lt;="&amp;EOMONTH('Rev JR'!J$1,0))</f>
        <v>487.12</v>
      </c>
      <c r="K45" s="530">
        <f>+SUMIFS('Dividendos Extranjero'!$G$7:$G$1012,'Dividendos Extranjero'!$B$7:$B$1012,'Rev JR'!$A45,'Dividendos Extranjero'!$D$7:$D$1012,"&gt;="&amp;'Rev JR'!K$1,'Dividendos Extranjero'!$D$7:$D$1012,"&lt;="&amp;EOMONTH('Rev JR'!K$1,0))</f>
        <v>2169.4000000000005</v>
      </c>
      <c r="L45" s="530">
        <f>+SUMIFS('Dividendos Extranjero'!$G$7:$G$1012,'Dividendos Extranjero'!$B$7:$B$1012,'Rev JR'!$A45,'Dividendos Extranjero'!$D$7:$D$1012,"&gt;="&amp;'Rev JR'!L$1,'Dividendos Extranjero'!$D$7:$D$1012,"&lt;="&amp;EOMONTH('Rev JR'!L$1,0))</f>
        <v>1218.01</v>
      </c>
      <c r="M45" s="530">
        <f>+SUMIFS('Dividendos Extranjero'!$G$7:$G$1012,'Dividendos Extranjero'!$B$7:$B$1012,'Rev JR'!$A45,'Dividendos Extranjero'!$D$7:$D$1012,"&gt;="&amp;'Rev JR'!M$1,'Dividendos Extranjero'!$D$7:$D$1012,"&lt;="&amp;EOMONTH('Rev JR'!M$1,0))</f>
        <v>0</v>
      </c>
      <c r="N45" s="530">
        <f>+SUMIFS('Dividendos Extranjero'!$G$7:$G$1012,'Dividendos Extranjero'!$B$7:$B$1012,'Rev JR'!$A45,'Dividendos Extranjero'!$D$7:$D$1012,"&gt;="&amp;'Rev JR'!N$1,'Dividendos Extranjero'!$D$7:$D$1012,"&lt;="&amp;EOMONTH('Rev JR'!N$1,0))</f>
        <v>0</v>
      </c>
      <c r="O45" s="530">
        <f t="shared" si="8"/>
        <v>12691.680000000002</v>
      </c>
    </row>
    <row r="46" spans="1:15">
      <c r="A46" s="664" t="str">
        <f t="shared" si="9"/>
        <v>B467XXX05</v>
      </c>
      <c r="B46" s="526" t="str">
        <f t="shared" si="7"/>
        <v xml:space="preserve">        Dividendos - B467XXX05</v>
      </c>
      <c r="C46" s="530">
        <f>+SUMIFS('Dividendos Extranjero'!$G$7:$G$1012,'Dividendos Extranjero'!$B$7:$B$1012,'Rev JR'!$A46,'Dividendos Extranjero'!$D$7:$D$1012,"&gt;="&amp;'Rev JR'!C$1,'Dividendos Extranjero'!$D$7:$D$1012,"&lt;="&amp;EOMONTH('Rev JR'!C$1,0))</f>
        <v>1333.9099999999999</v>
      </c>
      <c r="D46" s="530">
        <f>+SUMIFS('Dividendos Extranjero'!$G$7:$G$1012,'Dividendos Extranjero'!$B$7:$B$1012,'Rev JR'!$A46,'Dividendos Extranjero'!$D$7:$D$1012,"&gt;="&amp;'Rev JR'!D$1,'Dividendos Extranjero'!$D$7:$D$1012,"&lt;="&amp;EOMONTH('Rev JR'!D$1,0))</f>
        <v>1535</v>
      </c>
      <c r="E46" s="530">
        <f>+SUMIFS('Dividendos Extranjero'!$G$7:$G$1012,'Dividendos Extranjero'!$B$7:$B$1012,'Rev JR'!$A46,'Dividendos Extranjero'!$D$7:$D$1012,"&gt;="&amp;'Rev JR'!E$1,'Dividendos Extranjero'!$D$7:$D$1012,"&lt;="&amp;EOMONTH('Rev JR'!E$1,0))</f>
        <v>5891.28</v>
      </c>
      <c r="F46" s="530">
        <f>+SUMIFS('Dividendos Extranjero'!$G$7:$G$1012,'Dividendos Extranjero'!$B$7:$B$1012,'Rev JR'!$A46,'Dividendos Extranjero'!$D$7:$D$1012,"&gt;="&amp;'Rev JR'!F$1,'Dividendos Extranjero'!$D$7:$D$1012,"&lt;="&amp;EOMONTH('Rev JR'!F$1,0))</f>
        <v>3936.29</v>
      </c>
      <c r="G46" s="530">
        <f>+SUMIFS('Dividendos Extranjero'!$G$7:$G$1012,'Dividendos Extranjero'!$B$7:$B$1012,'Rev JR'!$A46,'Dividendos Extranjero'!$D$7:$D$1012,"&gt;="&amp;'Rev JR'!G$1,'Dividendos Extranjero'!$D$7:$D$1012,"&lt;="&amp;EOMONTH('Rev JR'!G$1,0))</f>
        <v>2195</v>
      </c>
      <c r="H46" s="530">
        <f>+SUMIFS('Dividendos Extranjero'!$G$7:$G$1012,'Dividendos Extranjero'!$B$7:$B$1012,'Rev JR'!$A46,'Dividendos Extranjero'!$D$7:$D$1012,"&gt;="&amp;'Rev JR'!H$1,'Dividendos Extranjero'!$D$7:$D$1012,"&lt;="&amp;EOMONTH('Rev JR'!H$1,0))</f>
        <v>8543.1</v>
      </c>
      <c r="I46" s="530">
        <f>+SUMIFS('Dividendos Extranjero'!$G$7:$G$1012,'Dividendos Extranjero'!$B$7:$B$1012,'Rev JR'!$A46,'Dividendos Extranjero'!$D$7:$D$1012,"&gt;="&amp;'Rev JR'!I$1,'Dividendos Extranjero'!$D$7:$D$1012,"&lt;="&amp;EOMONTH('Rev JR'!I$1,0))</f>
        <v>625.9</v>
      </c>
      <c r="J46" s="530">
        <f>+SUMIFS('Dividendos Extranjero'!$G$7:$G$1012,'Dividendos Extranjero'!$B$7:$B$1012,'Rev JR'!$A46,'Dividendos Extranjero'!$D$7:$D$1012,"&gt;="&amp;'Rev JR'!J$1,'Dividendos Extranjero'!$D$7:$D$1012,"&lt;="&amp;EOMONTH('Rev JR'!J$1,0))</f>
        <v>2277.5</v>
      </c>
      <c r="K46" s="530">
        <f>+SUMIFS('Dividendos Extranjero'!$G$7:$G$1012,'Dividendos Extranjero'!$B$7:$B$1012,'Rev JR'!$A46,'Dividendos Extranjero'!$D$7:$D$1012,"&gt;="&amp;'Rev JR'!K$1,'Dividendos Extranjero'!$D$7:$D$1012,"&lt;="&amp;EOMONTH('Rev JR'!K$1,0))</f>
        <v>6707.14</v>
      </c>
      <c r="L46" s="530">
        <f>+SUMIFS('Dividendos Extranjero'!$G$7:$G$1012,'Dividendos Extranjero'!$B$7:$B$1012,'Rev JR'!$A46,'Dividendos Extranjero'!$D$7:$D$1012,"&gt;="&amp;'Rev JR'!L$1,'Dividendos Extranjero'!$D$7:$D$1012,"&lt;="&amp;EOMONTH('Rev JR'!L$1,0))</f>
        <v>1249.71</v>
      </c>
      <c r="M46" s="530">
        <f>+SUMIFS('Dividendos Extranjero'!$G$7:$G$1012,'Dividendos Extranjero'!$B$7:$B$1012,'Rev JR'!$A46,'Dividendos Extranjero'!$D$7:$D$1012,"&gt;="&amp;'Rev JR'!M$1,'Dividendos Extranjero'!$D$7:$D$1012,"&lt;="&amp;EOMONTH('Rev JR'!M$1,0))</f>
        <v>0</v>
      </c>
      <c r="N46" s="530">
        <f>+SUMIFS('Dividendos Extranjero'!$G$7:$G$1012,'Dividendos Extranjero'!$B$7:$B$1012,'Rev JR'!$A46,'Dividendos Extranjero'!$D$7:$D$1012,"&gt;="&amp;'Rev JR'!N$1,'Dividendos Extranjero'!$D$7:$D$1012,"&lt;="&amp;EOMONTH('Rev JR'!N$1,0))</f>
        <v>0</v>
      </c>
      <c r="O46" s="530">
        <f t="shared" si="8"/>
        <v>34294.83</v>
      </c>
    </row>
    <row r="47" spans="1:15">
      <c r="A47" s="664" t="str">
        <f t="shared" si="9"/>
        <v>677-0XXX52-670</v>
      </c>
      <c r="B47" s="526" t="str">
        <f t="shared" si="7"/>
        <v xml:space="preserve">        Dividendos - 677-0XXX52-670</v>
      </c>
      <c r="C47" s="530">
        <f>+SUMIFS('Dividendos Extranjero'!$G$7:$G$1012,'Dividendos Extranjero'!$B$7:$B$1012,'Rev JR'!$A47,'Dividendos Extranjero'!$D$7:$D$1012,"&gt;="&amp;'Rev JR'!C$1,'Dividendos Extranjero'!$D$7:$D$1012,"&lt;="&amp;EOMONTH('Rev JR'!C$1,0))</f>
        <v>0</v>
      </c>
      <c r="D47" s="530">
        <f>+SUMIFS('Dividendos Extranjero'!$G$7:$G$1012,'Dividendos Extranjero'!$B$7:$B$1012,'Rev JR'!$A47,'Dividendos Extranjero'!$D$7:$D$1012,"&gt;="&amp;'Rev JR'!D$1,'Dividendos Extranjero'!$D$7:$D$1012,"&lt;="&amp;EOMONTH('Rev JR'!D$1,0))</f>
        <v>0</v>
      </c>
      <c r="E47" s="530">
        <f>+SUMIFS('Dividendos Extranjero'!$G$7:$G$1012,'Dividendos Extranjero'!$B$7:$B$1012,'Rev JR'!$A47,'Dividendos Extranjero'!$D$7:$D$1012,"&gt;="&amp;'Rev JR'!E$1,'Dividendos Extranjero'!$D$7:$D$1012,"&lt;="&amp;EOMONTH('Rev JR'!E$1,0))</f>
        <v>0</v>
      </c>
      <c r="F47" s="530">
        <f>+SUMIFS('Dividendos Extranjero'!$G$7:$G$1012,'Dividendos Extranjero'!$B$7:$B$1012,'Rev JR'!$A47,'Dividendos Extranjero'!$D$7:$D$1012,"&gt;="&amp;'Rev JR'!F$1,'Dividendos Extranjero'!$D$7:$D$1012,"&lt;="&amp;EOMONTH('Rev JR'!F$1,0))</f>
        <v>0</v>
      </c>
      <c r="G47" s="530">
        <f>+SUMIFS('Dividendos Extranjero'!$G$7:$G$1012,'Dividendos Extranjero'!$B$7:$B$1012,'Rev JR'!$A47,'Dividendos Extranjero'!$D$7:$D$1012,"&gt;="&amp;'Rev JR'!G$1,'Dividendos Extranjero'!$D$7:$D$1012,"&lt;="&amp;EOMONTH('Rev JR'!G$1,0))</f>
        <v>0</v>
      </c>
      <c r="H47" s="530">
        <f>+SUMIFS('Dividendos Extranjero'!$G$7:$G$1012,'Dividendos Extranjero'!$B$7:$B$1012,'Rev JR'!$A47,'Dividendos Extranjero'!$D$7:$D$1012,"&gt;="&amp;'Rev JR'!H$1,'Dividendos Extranjero'!$D$7:$D$1012,"&lt;="&amp;EOMONTH('Rev JR'!H$1,0))</f>
        <v>0</v>
      </c>
      <c r="I47" s="530">
        <f>+SUMIFS('Dividendos Extranjero'!$G$7:$G$1012,'Dividendos Extranjero'!$B$7:$B$1012,'Rev JR'!$A47,'Dividendos Extranjero'!$D$7:$D$1012,"&gt;="&amp;'Rev JR'!I$1,'Dividendos Extranjero'!$D$7:$D$1012,"&lt;="&amp;EOMONTH('Rev JR'!I$1,0))</f>
        <v>0</v>
      </c>
      <c r="J47" s="530">
        <f>+SUMIFS('Dividendos Extranjero'!$G$7:$G$1012,'Dividendos Extranjero'!$B$7:$B$1012,'Rev JR'!$A47,'Dividendos Extranjero'!$D$7:$D$1012,"&gt;="&amp;'Rev JR'!J$1,'Dividendos Extranjero'!$D$7:$D$1012,"&lt;="&amp;EOMONTH('Rev JR'!J$1,0))</f>
        <v>0</v>
      </c>
      <c r="K47" s="530">
        <f>+SUMIFS('Dividendos Extranjero'!$G$7:$G$1012,'Dividendos Extranjero'!$B$7:$B$1012,'Rev JR'!$A47,'Dividendos Extranjero'!$D$7:$D$1012,"&gt;="&amp;'Rev JR'!K$1,'Dividendos Extranjero'!$D$7:$D$1012,"&lt;="&amp;EOMONTH('Rev JR'!K$1,0))</f>
        <v>0</v>
      </c>
      <c r="L47" s="530">
        <f>+SUMIFS('Dividendos Extranjero'!$G$7:$G$1012,'Dividendos Extranjero'!$B$7:$B$1012,'Rev JR'!$A47,'Dividendos Extranjero'!$D$7:$D$1012,"&gt;="&amp;'Rev JR'!L$1,'Dividendos Extranjero'!$D$7:$D$1012,"&lt;="&amp;EOMONTH('Rev JR'!L$1,0))</f>
        <v>0</v>
      </c>
      <c r="M47" s="530">
        <f>+SUMIFS('Dividendos Extranjero'!$G$7:$G$1012,'Dividendos Extranjero'!$B$7:$B$1012,'Rev JR'!$A47,'Dividendos Extranjero'!$D$7:$D$1012,"&gt;="&amp;'Rev JR'!M$1,'Dividendos Extranjero'!$D$7:$D$1012,"&lt;="&amp;EOMONTH('Rev JR'!M$1,0))</f>
        <v>0</v>
      </c>
      <c r="N47" s="530">
        <f>+SUMIFS('Dividendos Extranjero'!$G$7:$G$1012,'Dividendos Extranjero'!$B$7:$B$1012,'Rev JR'!$A47,'Dividendos Extranjero'!$D$7:$D$1012,"&gt;="&amp;'Rev JR'!N$1,'Dividendos Extranjero'!$D$7:$D$1012,"&lt;="&amp;EOMONTH('Rev JR'!N$1,0))</f>
        <v>0</v>
      </c>
      <c r="O47" s="530">
        <f t="shared" si="8"/>
        <v>0</v>
      </c>
    </row>
    <row r="48" spans="1:15">
      <c r="A48" s="664" t="str">
        <f t="shared" si="9"/>
        <v>677-0XXX53-471</v>
      </c>
      <c r="B48" s="526" t="str">
        <f t="shared" si="7"/>
        <v xml:space="preserve">        Dividendos - 677-0XXX53-471</v>
      </c>
      <c r="C48" s="530">
        <f>+SUMIFS('Dividendos Extranjero'!$G$7:$G$1012,'Dividendos Extranjero'!$B$7:$B$1012,'Rev JR'!$A48,'Dividendos Extranjero'!$D$7:$D$1012,"&gt;="&amp;'Rev JR'!C$1,'Dividendos Extranjero'!$D$7:$D$1012,"&lt;="&amp;EOMONTH('Rev JR'!C$1,0))</f>
        <v>129146.34</v>
      </c>
      <c r="D48" s="530">
        <f>+SUMIFS('Dividendos Extranjero'!$G$7:$G$1012,'Dividendos Extranjero'!$B$7:$B$1012,'Rev JR'!$A48,'Dividendos Extranjero'!$D$7:$D$1012,"&gt;="&amp;'Rev JR'!D$1,'Dividendos Extranjero'!$D$7:$D$1012,"&lt;="&amp;EOMONTH('Rev JR'!D$1,0))</f>
        <v>2640</v>
      </c>
      <c r="E48" s="530">
        <f>+SUMIFS('Dividendos Extranjero'!$G$7:$G$1012,'Dividendos Extranjero'!$B$7:$B$1012,'Rev JR'!$A48,'Dividendos Extranjero'!$D$7:$D$1012,"&gt;="&amp;'Rev JR'!E$1,'Dividendos Extranjero'!$D$7:$D$1012,"&lt;="&amp;EOMONTH('Rev JR'!E$1,0))</f>
        <v>42807.57</v>
      </c>
      <c r="F48" s="530">
        <f>+SUMIFS('Dividendos Extranjero'!$G$7:$G$1012,'Dividendos Extranjero'!$B$7:$B$1012,'Rev JR'!$A48,'Dividendos Extranjero'!$D$7:$D$1012,"&gt;="&amp;'Rev JR'!F$1,'Dividendos Extranjero'!$D$7:$D$1012,"&lt;="&amp;EOMONTH('Rev JR'!F$1,0))</f>
        <v>127366.22</v>
      </c>
      <c r="G48" s="530">
        <f>+SUMIFS('Dividendos Extranjero'!$G$7:$G$1012,'Dividendos Extranjero'!$B$7:$B$1012,'Rev JR'!$A48,'Dividendos Extranjero'!$D$7:$D$1012,"&gt;="&amp;'Rev JR'!G$1,'Dividendos Extranjero'!$D$7:$D$1012,"&lt;="&amp;EOMONTH('Rev JR'!G$1,0))</f>
        <v>78460.009999999995</v>
      </c>
      <c r="H48" s="530">
        <f>+SUMIFS('Dividendos Extranjero'!$G$7:$G$1012,'Dividendos Extranjero'!$B$7:$B$1012,'Rev JR'!$A48,'Dividendos Extranjero'!$D$7:$D$1012,"&gt;="&amp;'Rev JR'!H$1,'Dividendos Extranjero'!$D$7:$D$1012,"&lt;="&amp;EOMONTH('Rev JR'!H$1,0))</f>
        <v>130492.27000000002</v>
      </c>
      <c r="I48" s="530">
        <f>+SUMIFS('Dividendos Extranjero'!$G$7:$G$1012,'Dividendos Extranjero'!$B$7:$B$1012,'Rev JR'!$A48,'Dividendos Extranjero'!$D$7:$D$1012,"&gt;="&amp;'Rev JR'!I$1,'Dividendos Extranjero'!$D$7:$D$1012,"&lt;="&amp;EOMONTH('Rev JR'!I$1,0))</f>
        <v>60360.850000000006</v>
      </c>
      <c r="J48" s="530">
        <f>+SUMIFS('Dividendos Extranjero'!$G$7:$G$1012,'Dividendos Extranjero'!$B$7:$B$1012,'Rev JR'!$A48,'Dividendos Extranjero'!$D$7:$D$1012,"&gt;="&amp;'Rev JR'!J$1,'Dividendos Extranjero'!$D$7:$D$1012,"&lt;="&amp;EOMONTH('Rev JR'!J$1,0))</f>
        <v>11123</v>
      </c>
      <c r="K48" s="530">
        <f>+SUMIFS('Dividendos Extranjero'!$G$7:$G$1012,'Dividendos Extranjero'!$B$7:$B$1012,'Rev JR'!$A48,'Dividendos Extranjero'!$D$7:$D$1012,"&gt;="&amp;'Rev JR'!K$1,'Dividendos Extranjero'!$D$7:$D$1012,"&lt;="&amp;EOMONTH('Rev JR'!K$1,0))</f>
        <v>66518.179999999993</v>
      </c>
      <c r="L48" s="530">
        <f>+SUMIFS('Dividendos Extranjero'!$G$7:$G$1012,'Dividendos Extranjero'!$B$7:$B$1012,'Rev JR'!$A48,'Dividendos Extranjero'!$D$7:$D$1012,"&gt;="&amp;'Rev JR'!L$1,'Dividendos Extranjero'!$D$7:$D$1012,"&lt;="&amp;EOMONTH('Rev JR'!L$1,0))</f>
        <v>58437.009999999995</v>
      </c>
      <c r="M48" s="530">
        <f>+SUMIFS('Dividendos Extranjero'!$G$7:$G$1012,'Dividendos Extranjero'!$B$7:$B$1012,'Rev JR'!$A48,'Dividendos Extranjero'!$D$7:$D$1012,"&gt;="&amp;'Rev JR'!M$1,'Dividendos Extranjero'!$D$7:$D$1012,"&lt;="&amp;EOMONTH('Rev JR'!M$1,0))</f>
        <v>0</v>
      </c>
      <c r="N48" s="530">
        <f>+SUMIFS('Dividendos Extranjero'!$G$7:$G$1012,'Dividendos Extranjero'!$B$7:$B$1012,'Rev JR'!$A48,'Dividendos Extranjero'!$D$7:$D$1012,"&gt;="&amp;'Rev JR'!N$1,'Dividendos Extranjero'!$D$7:$D$1012,"&lt;="&amp;EOMONTH('Rev JR'!N$1,0))</f>
        <v>0</v>
      </c>
      <c r="O48" s="530">
        <f t="shared" si="8"/>
        <v>707351.45</v>
      </c>
    </row>
    <row r="49" spans="1:15">
      <c r="A49" s="664" t="str">
        <f t="shared" si="9"/>
        <v>4H 0XXX0 RB</v>
      </c>
      <c r="B49" s="526" t="str">
        <f t="shared" si="7"/>
        <v xml:space="preserve">        Dividendos - 4H 0XXX0 RB</v>
      </c>
      <c r="C49" s="530">
        <f>+SUMIFS('Dividendos Extranjero'!$G$7:$G$1012,'Dividendos Extranjero'!$B$7:$B$1012,'Rev JR'!$A49,'Dividendos Extranjero'!$D$7:$D$1012,"&gt;="&amp;'Rev JR'!C$1,'Dividendos Extranjero'!$D$7:$D$1012,"&lt;="&amp;EOMONTH('Rev JR'!C$1,0))</f>
        <v>4302.7800000000007</v>
      </c>
      <c r="D49" s="530">
        <f>+SUMIFS('Dividendos Extranjero'!$G$7:$G$1012,'Dividendos Extranjero'!$B$7:$B$1012,'Rev JR'!$A49,'Dividendos Extranjero'!$D$7:$D$1012,"&gt;="&amp;'Rev JR'!D$1,'Dividendos Extranjero'!$D$7:$D$1012,"&lt;="&amp;EOMONTH('Rev JR'!D$1,0))</f>
        <v>5686.48</v>
      </c>
      <c r="E49" s="530">
        <f>+SUMIFS('Dividendos Extranjero'!$G$7:$G$1012,'Dividendos Extranjero'!$B$7:$B$1012,'Rev JR'!$A49,'Dividendos Extranjero'!$D$7:$D$1012,"&gt;="&amp;'Rev JR'!E$1,'Dividendos Extranjero'!$D$7:$D$1012,"&lt;="&amp;EOMONTH('Rev JR'!E$1,0))</f>
        <v>13529.200000000004</v>
      </c>
      <c r="F49" s="530">
        <f>+SUMIFS('Dividendos Extranjero'!$G$7:$G$1012,'Dividendos Extranjero'!$B$7:$B$1012,'Rev JR'!$A49,'Dividendos Extranjero'!$D$7:$D$1012,"&gt;="&amp;'Rev JR'!F$1,'Dividendos Extranjero'!$D$7:$D$1012,"&lt;="&amp;EOMONTH('Rev JR'!F$1,0))</f>
        <v>3347.37</v>
      </c>
      <c r="G49" s="530">
        <f>+SUMIFS('Dividendos Extranjero'!$G$7:$G$1012,'Dividendos Extranjero'!$B$7:$B$1012,'Rev JR'!$A49,'Dividendos Extranjero'!$D$7:$D$1012,"&gt;="&amp;'Rev JR'!G$1,'Dividendos Extranjero'!$D$7:$D$1012,"&lt;="&amp;EOMONTH('Rev JR'!G$1,0))</f>
        <v>6223.2</v>
      </c>
      <c r="H49" s="530">
        <f>+SUMIFS('Dividendos Extranjero'!$G$7:$G$1012,'Dividendos Extranjero'!$B$7:$B$1012,'Rev JR'!$A49,'Dividendos Extranjero'!$D$7:$D$1012,"&gt;="&amp;'Rev JR'!H$1,'Dividendos Extranjero'!$D$7:$D$1012,"&lt;="&amp;EOMONTH('Rev JR'!H$1,0))</f>
        <v>21551.520000000008</v>
      </c>
      <c r="I49" s="530">
        <f>+SUMIFS('Dividendos Extranjero'!$G$7:$G$1012,'Dividendos Extranjero'!$B$7:$B$1012,'Rev JR'!$A49,'Dividendos Extranjero'!$D$7:$D$1012,"&gt;="&amp;'Rev JR'!I$1,'Dividendos Extranjero'!$D$7:$D$1012,"&lt;="&amp;EOMONTH('Rev JR'!I$1,0))</f>
        <v>6056.7899999999991</v>
      </c>
      <c r="J49" s="530">
        <f>+SUMIFS('Dividendos Extranjero'!$G$7:$G$1012,'Dividendos Extranjero'!$B$7:$B$1012,'Rev JR'!$A49,'Dividendos Extranjero'!$D$7:$D$1012,"&gt;="&amp;'Rev JR'!J$1,'Dividendos Extranjero'!$D$7:$D$1012,"&lt;="&amp;EOMONTH('Rev JR'!J$1,0))</f>
        <v>9146.880000000001</v>
      </c>
      <c r="K49" s="530">
        <f>+SUMIFS('Dividendos Extranjero'!$G$7:$G$1012,'Dividendos Extranjero'!$B$7:$B$1012,'Rev JR'!$A49,'Dividendos Extranjero'!$D$7:$D$1012,"&gt;="&amp;'Rev JR'!K$1,'Dividendos Extranjero'!$D$7:$D$1012,"&lt;="&amp;EOMONTH('Rev JR'!K$1,0))</f>
        <v>25905.600000000002</v>
      </c>
      <c r="L49" s="530">
        <f>+SUMIFS('Dividendos Extranjero'!$G$7:$G$1012,'Dividendos Extranjero'!$B$7:$B$1012,'Rev JR'!$A49,'Dividendos Extranjero'!$D$7:$D$1012,"&gt;="&amp;'Rev JR'!L$1,'Dividendos Extranjero'!$D$7:$D$1012,"&lt;="&amp;EOMONTH('Rev JR'!L$1,0))</f>
        <v>9655.43</v>
      </c>
      <c r="M49" s="530">
        <f>+SUMIFS('Dividendos Extranjero'!$G$7:$G$1012,'Dividendos Extranjero'!$B$7:$B$1012,'Rev JR'!$A49,'Dividendos Extranjero'!$D$7:$D$1012,"&gt;="&amp;'Rev JR'!M$1,'Dividendos Extranjero'!$D$7:$D$1012,"&lt;="&amp;EOMONTH('Rev JR'!M$1,0))</f>
        <v>0</v>
      </c>
      <c r="N49" s="530">
        <f>+SUMIFS('Dividendos Extranjero'!$G$7:$G$1012,'Dividendos Extranjero'!$B$7:$B$1012,'Rev JR'!$A49,'Dividendos Extranjero'!$D$7:$D$1012,"&gt;="&amp;'Rev JR'!N$1,'Dividendos Extranjero'!$D$7:$D$1012,"&lt;="&amp;EOMONTH('Rev JR'!N$1,0))</f>
        <v>0</v>
      </c>
      <c r="O49" s="530">
        <f t="shared" si="8"/>
        <v>105405.25000000003</v>
      </c>
    </row>
    <row r="50" spans="1:15">
      <c r="A50" s="664" t="str">
        <f t="shared" si="9"/>
        <v>H</v>
      </c>
      <c r="B50" s="526" t="str">
        <f t="shared" si="7"/>
        <v xml:space="preserve">        Dividendos - H</v>
      </c>
      <c r="C50" s="530">
        <f>+SUMIFS('Dividendos Extranjero'!$G$7:$G$1012,'Dividendos Extranjero'!$B$7:$B$1012,'Rev JR'!$A50,'Dividendos Extranjero'!$D$7:$D$1012,"&gt;="&amp;'Rev JR'!C$1,'Dividendos Extranjero'!$D$7:$D$1012,"&lt;="&amp;EOMONTH('Rev JR'!C$1,0))</f>
        <v>0</v>
      </c>
      <c r="D50" s="530">
        <f>+SUMIFS('Dividendos Extranjero'!$G$7:$G$1012,'Dividendos Extranjero'!$B$7:$B$1012,'Rev JR'!$A50,'Dividendos Extranjero'!$D$7:$D$1012,"&gt;="&amp;'Rev JR'!D$1,'Dividendos Extranjero'!$D$7:$D$1012,"&lt;="&amp;EOMONTH('Rev JR'!D$1,0))</f>
        <v>0</v>
      </c>
      <c r="E50" s="530">
        <f>+SUMIFS('Dividendos Extranjero'!$G$7:$G$1012,'Dividendos Extranjero'!$B$7:$B$1012,'Rev JR'!$A50,'Dividendos Extranjero'!$D$7:$D$1012,"&gt;="&amp;'Rev JR'!E$1,'Dividendos Extranjero'!$D$7:$D$1012,"&lt;="&amp;EOMONTH('Rev JR'!E$1,0))</f>
        <v>0</v>
      </c>
      <c r="F50" s="530">
        <f>+SUMIFS('Dividendos Extranjero'!$G$7:$G$1012,'Dividendos Extranjero'!$B$7:$B$1012,'Rev JR'!$A50,'Dividendos Extranjero'!$D$7:$D$1012,"&gt;="&amp;'Rev JR'!F$1,'Dividendos Extranjero'!$D$7:$D$1012,"&lt;="&amp;EOMONTH('Rev JR'!F$1,0))</f>
        <v>0</v>
      </c>
      <c r="G50" s="530">
        <f>+SUMIFS('Dividendos Extranjero'!$G$7:$G$1012,'Dividendos Extranjero'!$B$7:$B$1012,'Rev JR'!$A50,'Dividendos Extranjero'!$D$7:$D$1012,"&gt;="&amp;'Rev JR'!G$1,'Dividendos Extranjero'!$D$7:$D$1012,"&lt;="&amp;EOMONTH('Rev JR'!G$1,0))</f>
        <v>0</v>
      </c>
      <c r="H50" s="530">
        <f>+SUMIFS('Dividendos Extranjero'!$G$7:$G$1012,'Dividendos Extranjero'!$B$7:$B$1012,'Rev JR'!$A50,'Dividendos Extranjero'!$D$7:$D$1012,"&gt;="&amp;'Rev JR'!H$1,'Dividendos Extranjero'!$D$7:$D$1012,"&lt;="&amp;EOMONTH('Rev JR'!H$1,0))</f>
        <v>0</v>
      </c>
      <c r="I50" s="530">
        <f>+SUMIFS('Dividendos Extranjero'!$G$7:$G$1012,'Dividendos Extranjero'!$B$7:$B$1012,'Rev JR'!$A50,'Dividendos Extranjero'!$D$7:$D$1012,"&gt;="&amp;'Rev JR'!I$1,'Dividendos Extranjero'!$D$7:$D$1012,"&lt;="&amp;EOMONTH('Rev JR'!I$1,0))</f>
        <v>0</v>
      </c>
      <c r="J50" s="530">
        <f>+SUMIFS('Dividendos Extranjero'!$G$7:$G$1012,'Dividendos Extranjero'!$B$7:$B$1012,'Rev JR'!$A50,'Dividendos Extranjero'!$D$7:$D$1012,"&gt;="&amp;'Rev JR'!J$1,'Dividendos Extranjero'!$D$7:$D$1012,"&lt;="&amp;EOMONTH('Rev JR'!J$1,0))</f>
        <v>0</v>
      </c>
      <c r="K50" s="530">
        <f>+SUMIFS('Dividendos Extranjero'!$G$7:$G$1012,'Dividendos Extranjero'!$B$7:$B$1012,'Rev JR'!$A50,'Dividendos Extranjero'!$D$7:$D$1012,"&gt;="&amp;'Rev JR'!K$1,'Dividendos Extranjero'!$D$7:$D$1012,"&lt;="&amp;EOMONTH('Rev JR'!K$1,0))</f>
        <v>0</v>
      </c>
      <c r="L50" s="530">
        <f>+SUMIFS('Dividendos Extranjero'!$G$7:$G$1012,'Dividendos Extranjero'!$B$7:$B$1012,'Rev JR'!$A50,'Dividendos Extranjero'!$D$7:$D$1012,"&gt;="&amp;'Rev JR'!L$1,'Dividendos Extranjero'!$D$7:$D$1012,"&lt;="&amp;EOMONTH('Rev JR'!L$1,0))</f>
        <v>0</v>
      </c>
      <c r="M50" s="530">
        <f>+SUMIFS('Dividendos Extranjero'!$G$7:$G$1012,'Dividendos Extranjero'!$B$7:$B$1012,'Rev JR'!$A50,'Dividendos Extranjero'!$D$7:$D$1012,"&gt;="&amp;'Rev JR'!M$1,'Dividendos Extranjero'!$D$7:$D$1012,"&lt;="&amp;EOMONTH('Rev JR'!M$1,0))</f>
        <v>0</v>
      </c>
      <c r="N50" s="530">
        <f>+SUMIFS('Dividendos Extranjero'!$G$7:$G$1012,'Dividendos Extranjero'!$B$7:$B$1012,'Rev JR'!$A50,'Dividendos Extranjero'!$D$7:$D$1012,"&gt;="&amp;'Rev JR'!N$1,'Dividendos Extranjero'!$D$7:$D$1012,"&lt;="&amp;EOMONTH('Rev JR'!N$1,0))</f>
        <v>0</v>
      </c>
      <c r="O50" s="530">
        <f t="shared" si="8"/>
        <v>0</v>
      </c>
    </row>
    <row r="51" spans="1:15">
      <c r="A51" s="664" t="str">
        <f t="shared" si="9"/>
        <v>I</v>
      </c>
      <c r="B51" s="526" t="str">
        <f t="shared" si="7"/>
        <v xml:space="preserve">        Dividendos - I</v>
      </c>
      <c r="C51" s="530">
        <f>+SUMIFS('Dividendos Extranjero'!$G$7:$G$1012,'Dividendos Extranjero'!$B$7:$B$1012,'Rev JR'!$A51,'Dividendos Extranjero'!$D$7:$D$1012,"&gt;="&amp;'Rev JR'!C$1,'Dividendos Extranjero'!$D$7:$D$1012,"&lt;="&amp;EOMONTH('Rev JR'!C$1,0))</f>
        <v>0</v>
      </c>
      <c r="D51" s="530">
        <f>+SUMIFS('Dividendos Extranjero'!$G$7:$G$1012,'Dividendos Extranjero'!$B$7:$B$1012,'Rev JR'!$A51,'Dividendos Extranjero'!$D$7:$D$1012,"&gt;="&amp;'Rev JR'!D$1,'Dividendos Extranjero'!$D$7:$D$1012,"&lt;="&amp;EOMONTH('Rev JR'!D$1,0))</f>
        <v>0</v>
      </c>
      <c r="E51" s="530">
        <f>+SUMIFS('Dividendos Extranjero'!$G$7:$G$1012,'Dividendos Extranjero'!$B$7:$B$1012,'Rev JR'!$A51,'Dividendos Extranjero'!$D$7:$D$1012,"&gt;="&amp;'Rev JR'!E$1,'Dividendos Extranjero'!$D$7:$D$1012,"&lt;="&amp;EOMONTH('Rev JR'!E$1,0))</f>
        <v>0</v>
      </c>
      <c r="F51" s="530">
        <f>+SUMIFS('Dividendos Extranjero'!$G$7:$G$1012,'Dividendos Extranjero'!$B$7:$B$1012,'Rev JR'!$A51,'Dividendos Extranjero'!$D$7:$D$1012,"&gt;="&amp;'Rev JR'!F$1,'Dividendos Extranjero'!$D$7:$D$1012,"&lt;="&amp;EOMONTH('Rev JR'!F$1,0))</f>
        <v>0</v>
      </c>
      <c r="G51" s="530">
        <f>+SUMIFS('Dividendos Extranjero'!$G$7:$G$1012,'Dividendos Extranjero'!$B$7:$B$1012,'Rev JR'!$A51,'Dividendos Extranjero'!$D$7:$D$1012,"&gt;="&amp;'Rev JR'!G$1,'Dividendos Extranjero'!$D$7:$D$1012,"&lt;="&amp;EOMONTH('Rev JR'!G$1,0))</f>
        <v>0</v>
      </c>
      <c r="H51" s="530">
        <f>+SUMIFS('Dividendos Extranjero'!$G$7:$G$1012,'Dividendos Extranjero'!$B$7:$B$1012,'Rev JR'!$A51,'Dividendos Extranjero'!$D$7:$D$1012,"&gt;="&amp;'Rev JR'!H$1,'Dividendos Extranjero'!$D$7:$D$1012,"&lt;="&amp;EOMONTH('Rev JR'!H$1,0))</f>
        <v>0</v>
      </c>
      <c r="I51" s="530">
        <f>+SUMIFS('Dividendos Extranjero'!$G$7:$G$1012,'Dividendos Extranjero'!$B$7:$B$1012,'Rev JR'!$A51,'Dividendos Extranjero'!$D$7:$D$1012,"&gt;="&amp;'Rev JR'!I$1,'Dividendos Extranjero'!$D$7:$D$1012,"&lt;="&amp;EOMONTH('Rev JR'!I$1,0))</f>
        <v>0</v>
      </c>
      <c r="J51" s="530">
        <f>+SUMIFS('Dividendos Extranjero'!$G$7:$G$1012,'Dividendos Extranjero'!$B$7:$B$1012,'Rev JR'!$A51,'Dividendos Extranjero'!$D$7:$D$1012,"&gt;="&amp;'Rev JR'!J$1,'Dividendos Extranjero'!$D$7:$D$1012,"&lt;="&amp;EOMONTH('Rev JR'!J$1,0))</f>
        <v>0</v>
      </c>
      <c r="K51" s="530">
        <f>+SUMIFS('Dividendos Extranjero'!$G$7:$G$1012,'Dividendos Extranjero'!$B$7:$B$1012,'Rev JR'!$A51,'Dividendos Extranjero'!$D$7:$D$1012,"&gt;="&amp;'Rev JR'!K$1,'Dividendos Extranjero'!$D$7:$D$1012,"&lt;="&amp;EOMONTH('Rev JR'!K$1,0))</f>
        <v>0</v>
      </c>
      <c r="L51" s="530">
        <f>+SUMIFS('Dividendos Extranjero'!$G$7:$G$1012,'Dividendos Extranjero'!$B$7:$B$1012,'Rev JR'!$A51,'Dividendos Extranjero'!$D$7:$D$1012,"&gt;="&amp;'Rev JR'!L$1,'Dividendos Extranjero'!$D$7:$D$1012,"&lt;="&amp;EOMONTH('Rev JR'!L$1,0))</f>
        <v>0</v>
      </c>
      <c r="M51" s="530">
        <f>+SUMIFS('Dividendos Extranjero'!$G$7:$G$1012,'Dividendos Extranjero'!$B$7:$B$1012,'Rev JR'!$A51,'Dividendos Extranjero'!$D$7:$D$1012,"&gt;="&amp;'Rev JR'!M$1,'Dividendos Extranjero'!$D$7:$D$1012,"&lt;="&amp;EOMONTH('Rev JR'!M$1,0))</f>
        <v>0</v>
      </c>
      <c r="N51" s="530">
        <f>+SUMIFS('Dividendos Extranjero'!$G$7:$G$1012,'Dividendos Extranjero'!$B$7:$B$1012,'Rev JR'!$A51,'Dividendos Extranjero'!$D$7:$D$1012,"&gt;="&amp;'Rev JR'!N$1,'Dividendos Extranjero'!$D$7:$D$1012,"&lt;="&amp;EOMONTH('Rev JR'!N$1,0))</f>
        <v>0</v>
      </c>
      <c r="O51" s="530">
        <f t="shared" si="8"/>
        <v>0</v>
      </c>
    </row>
    <row r="52" spans="1:15">
      <c r="A52" s="664" t="str">
        <f t="shared" si="9"/>
        <v>J</v>
      </c>
      <c r="B52" s="526" t="str">
        <f t="shared" si="7"/>
        <v xml:space="preserve">        Dividendos - J</v>
      </c>
      <c r="C52" s="530">
        <f>+SUMIFS('Dividendos Extranjero'!$G$7:$G$1012,'Dividendos Extranjero'!$B$7:$B$1012,'Rev JR'!$A52,'Dividendos Extranjero'!$D$7:$D$1012,"&gt;="&amp;'Rev JR'!C$1,'Dividendos Extranjero'!$D$7:$D$1012,"&lt;="&amp;EOMONTH('Rev JR'!C$1,0))</f>
        <v>0</v>
      </c>
      <c r="D52" s="530">
        <f>+SUMIFS('Dividendos Extranjero'!$G$7:$G$1012,'Dividendos Extranjero'!$B$7:$B$1012,'Rev JR'!$A52,'Dividendos Extranjero'!$D$7:$D$1012,"&gt;="&amp;'Rev JR'!D$1,'Dividendos Extranjero'!$D$7:$D$1012,"&lt;="&amp;EOMONTH('Rev JR'!D$1,0))</f>
        <v>0</v>
      </c>
      <c r="E52" s="530">
        <f>+SUMIFS('Dividendos Extranjero'!$G$7:$G$1012,'Dividendos Extranjero'!$B$7:$B$1012,'Rev JR'!$A52,'Dividendos Extranjero'!$D$7:$D$1012,"&gt;="&amp;'Rev JR'!E$1,'Dividendos Extranjero'!$D$7:$D$1012,"&lt;="&amp;EOMONTH('Rev JR'!E$1,0))</f>
        <v>0</v>
      </c>
      <c r="F52" s="530">
        <f>+SUMIFS('Dividendos Extranjero'!$G$7:$G$1012,'Dividendos Extranjero'!$B$7:$B$1012,'Rev JR'!$A52,'Dividendos Extranjero'!$D$7:$D$1012,"&gt;="&amp;'Rev JR'!F$1,'Dividendos Extranjero'!$D$7:$D$1012,"&lt;="&amp;EOMONTH('Rev JR'!F$1,0))</f>
        <v>0</v>
      </c>
      <c r="G52" s="530">
        <f>+SUMIFS('Dividendos Extranjero'!$G$7:$G$1012,'Dividendos Extranjero'!$B$7:$B$1012,'Rev JR'!$A52,'Dividendos Extranjero'!$D$7:$D$1012,"&gt;="&amp;'Rev JR'!G$1,'Dividendos Extranjero'!$D$7:$D$1012,"&lt;="&amp;EOMONTH('Rev JR'!G$1,0))</f>
        <v>0</v>
      </c>
      <c r="H52" s="530">
        <f>+SUMIFS('Dividendos Extranjero'!$G$7:$G$1012,'Dividendos Extranjero'!$B$7:$B$1012,'Rev JR'!$A52,'Dividendos Extranjero'!$D$7:$D$1012,"&gt;="&amp;'Rev JR'!H$1,'Dividendos Extranjero'!$D$7:$D$1012,"&lt;="&amp;EOMONTH('Rev JR'!H$1,0))</f>
        <v>0</v>
      </c>
      <c r="I52" s="530">
        <f>+SUMIFS('Dividendos Extranjero'!$G$7:$G$1012,'Dividendos Extranjero'!$B$7:$B$1012,'Rev JR'!$A52,'Dividendos Extranjero'!$D$7:$D$1012,"&gt;="&amp;'Rev JR'!I$1,'Dividendos Extranjero'!$D$7:$D$1012,"&lt;="&amp;EOMONTH('Rev JR'!I$1,0))</f>
        <v>0</v>
      </c>
      <c r="J52" s="530">
        <f>+SUMIFS('Dividendos Extranjero'!$G$7:$G$1012,'Dividendos Extranjero'!$B$7:$B$1012,'Rev JR'!$A52,'Dividendos Extranjero'!$D$7:$D$1012,"&gt;="&amp;'Rev JR'!J$1,'Dividendos Extranjero'!$D$7:$D$1012,"&lt;="&amp;EOMONTH('Rev JR'!J$1,0))</f>
        <v>0</v>
      </c>
      <c r="K52" s="530">
        <f>+SUMIFS('Dividendos Extranjero'!$G$7:$G$1012,'Dividendos Extranjero'!$B$7:$B$1012,'Rev JR'!$A52,'Dividendos Extranjero'!$D$7:$D$1012,"&gt;="&amp;'Rev JR'!K$1,'Dividendos Extranjero'!$D$7:$D$1012,"&lt;="&amp;EOMONTH('Rev JR'!K$1,0))</f>
        <v>0</v>
      </c>
      <c r="L52" s="530">
        <f>+SUMIFS('Dividendos Extranjero'!$G$7:$G$1012,'Dividendos Extranjero'!$B$7:$B$1012,'Rev JR'!$A52,'Dividendos Extranjero'!$D$7:$D$1012,"&gt;="&amp;'Rev JR'!L$1,'Dividendos Extranjero'!$D$7:$D$1012,"&lt;="&amp;EOMONTH('Rev JR'!L$1,0))</f>
        <v>0</v>
      </c>
      <c r="M52" s="530">
        <f>+SUMIFS('Dividendos Extranjero'!$G$7:$G$1012,'Dividendos Extranjero'!$B$7:$B$1012,'Rev JR'!$A52,'Dividendos Extranjero'!$D$7:$D$1012,"&gt;="&amp;'Rev JR'!M$1,'Dividendos Extranjero'!$D$7:$D$1012,"&lt;="&amp;EOMONTH('Rev JR'!M$1,0))</f>
        <v>0</v>
      </c>
      <c r="N52" s="530">
        <f>+SUMIFS('Dividendos Extranjero'!$G$7:$G$1012,'Dividendos Extranjero'!$B$7:$B$1012,'Rev JR'!$A52,'Dividendos Extranjero'!$D$7:$D$1012,"&gt;="&amp;'Rev JR'!N$1,'Dividendos Extranjero'!$D$7:$D$1012,"&lt;="&amp;EOMONTH('Rev JR'!N$1,0))</f>
        <v>0</v>
      </c>
      <c r="O52" s="530">
        <f t="shared" si="8"/>
        <v>0</v>
      </c>
    </row>
    <row r="53" spans="1:15">
      <c r="A53" s="664" t="str">
        <f t="shared" si="9"/>
        <v>K</v>
      </c>
      <c r="B53" s="526" t="str">
        <f t="shared" si="7"/>
        <v xml:space="preserve">        Dividendos - K</v>
      </c>
      <c r="C53" s="530">
        <f>+SUMIFS('Dividendos Extranjero'!$G$7:$G$1012,'Dividendos Extranjero'!$B$7:$B$1012,'Rev JR'!$A53,'Dividendos Extranjero'!$D$7:$D$1012,"&gt;="&amp;'Rev JR'!C$1,'Dividendos Extranjero'!$D$7:$D$1012,"&lt;="&amp;EOMONTH('Rev JR'!C$1,0))</f>
        <v>0</v>
      </c>
      <c r="D53" s="530">
        <f>+SUMIFS('Dividendos Extranjero'!$G$7:$G$1012,'Dividendos Extranjero'!$B$7:$B$1012,'Rev JR'!$A53,'Dividendos Extranjero'!$D$7:$D$1012,"&gt;="&amp;'Rev JR'!D$1,'Dividendos Extranjero'!$D$7:$D$1012,"&lt;="&amp;EOMONTH('Rev JR'!D$1,0))</f>
        <v>0</v>
      </c>
      <c r="E53" s="530">
        <f>+SUMIFS('Dividendos Extranjero'!$G$7:$G$1012,'Dividendos Extranjero'!$B$7:$B$1012,'Rev JR'!$A53,'Dividendos Extranjero'!$D$7:$D$1012,"&gt;="&amp;'Rev JR'!E$1,'Dividendos Extranjero'!$D$7:$D$1012,"&lt;="&amp;EOMONTH('Rev JR'!E$1,0))</f>
        <v>0</v>
      </c>
      <c r="F53" s="530">
        <f>+SUMIFS('Dividendos Extranjero'!$G$7:$G$1012,'Dividendos Extranjero'!$B$7:$B$1012,'Rev JR'!$A53,'Dividendos Extranjero'!$D$7:$D$1012,"&gt;="&amp;'Rev JR'!F$1,'Dividendos Extranjero'!$D$7:$D$1012,"&lt;="&amp;EOMONTH('Rev JR'!F$1,0))</f>
        <v>0</v>
      </c>
      <c r="G53" s="530">
        <f>+SUMIFS('Dividendos Extranjero'!$G$7:$G$1012,'Dividendos Extranjero'!$B$7:$B$1012,'Rev JR'!$A53,'Dividendos Extranjero'!$D$7:$D$1012,"&gt;="&amp;'Rev JR'!G$1,'Dividendos Extranjero'!$D$7:$D$1012,"&lt;="&amp;EOMONTH('Rev JR'!G$1,0))</f>
        <v>0</v>
      </c>
      <c r="H53" s="530">
        <f>+SUMIFS('Dividendos Extranjero'!$G$7:$G$1012,'Dividendos Extranjero'!$B$7:$B$1012,'Rev JR'!$A53,'Dividendos Extranjero'!$D$7:$D$1012,"&gt;="&amp;'Rev JR'!H$1,'Dividendos Extranjero'!$D$7:$D$1012,"&lt;="&amp;EOMONTH('Rev JR'!H$1,0))</f>
        <v>0</v>
      </c>
      <c r="I53" s="530">
        <f>+SUMIFS('Dividendos Extranjero'!$G$7:$G$1012,'Dividendos Extranjero'!$B$7:$B$1012,'Rev JR'!$A53,'Dividendos Extranjero'!$D$7:$D$1012,"&gt;="&amp;'Rev JR'!I$1,'Dividendos Extranjero'!$D$7:$D$1012,"&lt;="&amp;EOMONTH('Rev JR'!I$1,0))</f>
        <v>0</v>
      </c>
      <c r="J53" s="530">
        <f>+SUMIFS('Dividendos Extranjero'!$G$7:$G$1012,'Dividendos Extranjero'!$B$7:$B$1012,'Rev JR'!$A53,'Dividendos Extranjero'!$D$7:$D$1012,"&gt;="&amp;'Rev JR'!J$1,'Dividendos Extranjero'!$D$7:$D$1012,"&lt;="&amp;EOMONTH('Rev JR'!J$1,0))</f>
        <v>0</v>
      </c>
      <c r="K53" s="530">
        <f>+SUMIFS('Dividendos Extranjero'!$G$7:$G$1012,'Dividendos Extranjero'!$B$7:$B$1012,'Rev JR'!$A53,'Dividendos Extranjero'!$D$7:$D$1012,"&gt;="&amp;'Rev JR'!K$1,'Dividendos Extranjero'!$D$7:$D$1012,"&lt;="&amp;EOMONTH('Rev JR'!K$1,0))</f>
        <v>0</v>
      </c>
      <c r="L53" s="530">
        <f>+SUMIFS('Dividendos Extranjero'!$G$7:$G$1012,'Dividendos Extranjero'!$B$7:$B$1012,'Rev JR'!$A53,'Dividendos Extranjero'!$D$7:$D$1012,"&gt;="&amp;'Rev JR'!L$1,'Dividendos Extranjero'!$D$7:$D$1012,"&lt;="&amp;EOMONTH('Rev JR'!L$1,0))</f>
        <v>0</v>
      </c>
      <c r="M53" s="530">
        <f>+SUMIFS('Dividendos Extranjero'!$G$7:$G$1012,'Dividendos Extranjero'!$B$7:$B$1012,'Rev JR'!$A53,'Dividendos Extranjero'!$D$7:$D$1012,"&gt;="&amp;'Rev JR'!M$1,'Dividendos Extranjero'!$D$7:$D$1012,"&lt;="&amp;EOMONTH('Rev JR'!M$1,0))</f>
        <v>0</v>
      </c>
      <c r="N53" s="530">
        <f>+SUMIFS('Dividendos Extranjero'!$G$7:$G$1012,'Dividendos Extranjero'!$B$7:$B$1012,'Rev JR'!$A53,'Dividendos Extranjero'!$D$7:$D$1012,"&gt;="&amp;'Rev JR'!N$1,'Dividendos Extranjero'!$D$7:$D$1012,"&lt;="&amp;EOMONTH('Rev JR'!N$1,0))</f>
        <v>0</v>
      </c>
      <c r="O53" s="530">
        <f t="shared" si="8"/>
        <v>0</v>
      </c>
    </row>
    <row r="54" spans="1:15">
      <c r="A54" s="664" t="str">
        <f t="shared" si="9"/>
        <v>L</v>
      </c>
      <c r="B54" s="526" t="str">
        <f t="shared" si="7"/>
        <v xml:space="preserve">        Dividendos - L</v>
      </c>
      <c r="C54" s="530">
        <f>+SUMIFS('Dividendos Extranjero'!$G$7:$G$1012,'Dividendos Extranjero'!$B$7:$B$1012,'Rev JR'!$A54,'Dividendos Extranjero'!$D$7:$D$1012,"&gt;="&amp;'Rev JR'!C$1,'Dividendos Extranjero'!$D$7:$D$1012,"&lt;="&amp;EOMONTH('Rev JR'!C$1,0))</f>
        <v>0</v>
      </c>
      <c r="D54" s="530">
        <f>+SUMIFS('Dividendos Extranjero'!$G$7:$G$1012,'Dividendos Extranjero'!$B$7:$B$1012,'Rev JR'!$A54,'Dividendos Extranjero'!$D$7:$D$1012,"&gt;="&amp;'Rev JR'!D$1,'Dividendos Extranjero'!$D$7:$D$1012,"&lt;="&amp;EOMONTH('Rev JR'!D$1,0))</f>
        <v>0</v>
      </c>
      <c r="E54" s="530">
        <f>+SUMIFS('Dividendos Extranjero'!$G$7:$G$1012,'Dividendos Extranjero'!$B$7:$B$1012,'Rev JR'!$A54,'Dividendos Extranjero'!$D$7:$D$1012,"&gt;="&amp;'Rev JR'!E$1,'Dividendos Extranjero'!$D$7:$D$1012,"&lt;="&amp;EOMONTH('Rev JR'!E$1,0))</f>
        <v>0</v>
      </c>
      <c r="F54" s="530">
        <f>+SUMIFS('Dividendos Extranjero'!$G$7:$G$1012,'Dividendos Extranjero'!$B$7:$B$1012,'Rev JR'!$A54,'Dividendos Extranjero'!$D$7:$D$1012,"&gt;="&amp;'Rev JR'!F$1,'Dividendos Extranjero'!$D$7:$D$1012,"&lt;="&amp;EOMONTH('Rev JR'!F$1,0))</f>
        <v>0</v>
      </c>
      <c r="G54" s="530">
        <f>+SUMIFS('Dividendos Extranjero'!$G$7:$G$1012,'Dividendos Extranjero'!$B$7:$B$1012,'Rev JR'!$A54,'Dividendos Extranjero'!$D$7:$D$1012,"&gt;="&amp;'Rev JR'!G$1,'Dividendos Extranjero'!$D$7:$D$1012,"&lt;="&amp;EOMONTH('Rev JR'!G$1,0))</f>
        <v>0</v>
      </c>
      <c r="H54" s="530">
        <f>+SUMIFS('Dividendos Extranjero'!$G$7:$G$1012,'Dividendos Extranjero'!$B$7:$B$1012,'Rev JR'!$A54,'Dividendos Extranjero'!$D$7:$D$1012,"&gt;="&amp;'Rev JR'!H$1,'Dividendos Extranjero'!$D$7:$D$1012,"&lt;="&amp;EOMONTH('Rev JR'!H$1,0))</f>
        <v>0</v>
      </c>
      <c r="I54" s="530">
        <f>+SUMIFS('Dividendos Extranjero'!$G$7:$G$1012,'Dividendos Extranjero'!$B$7:$B$1012,'Rev JR'!$A54,'Dividendos Extranjero'!$D$7:$D$1012,"&gt;="&amp;'Rev JR'!I$1,'Dividendos Extranjero'!$D$7:$D$1012,"&lt;="&amp;EOMONTH('Rev JR'!I$1,0))</f>
        <v>0</v>
      </c>
      <c r="J54" s="530">
        <f>+SUMIFS('Dividendos Extranjero'!$G$7:$G$1012,'Dividendos Extranjero'!$B$7:$B$1012,'Rev JR'!$A54,'Dividendos Extranjero'!$D$7:$D$1012,"&gt;="&amp;'Rev JR'!J$1,'Dividendos Extranjero'!$D$7:$D$1012,"&lt;="&amp;EOMONTH('Rev JR'!J$1,0))</f>
        <v>0</v>
      </c>
      <c r="K54" s="530">
        <f>+SUMIFS('Dividendos Extranjero'!$G$7:$G$1012,'Dividendos Extranjero'!$B$7:$B$1012,'Rev JR'!$A54,'Dividendos Extranjero'!$D$7:$D$1012,"&gt;="&amp;'Rev JR'!K$1,'Dividendos Extranjero'!$D$7:$D$1012,"&lt;="&amp;EOMONTH('Rev JR'!K$1,0))</f>
        <v>0</v>
      </c>
      <c r="L54" s="530">
        <f>+SUMIFS('Dividendos Extranjero'!$G$7:$G$1012,'Dividendos Extranjero'!$B$7:$B$1012,'Rev JR'!$A54,'Dividendos Extranjero'!$D$7:$D$1012,"&gt;="&amp;'Rev JR'!L$1,'Dividendos Extranjero'!$D$7:$D$1012,"&lt;="&amp;EOMONTH('Rev JR'!L$1,0))</f>
        <v>0</v>
      </c>
      <c r="M54" s="530">
        <f>+SUMIFS('Dividendos Extranjero'!$G$7:$G$1012,'Dividendos Extranjero'!$B$7:$B$1012,'Rev JR'!$A54,'Dividendos Extranjero'!$D$7:$D$1012,"&gt;="&amp;'Rev JR'!M$1,'Dividendos Extranjero'!$D$7:$D$1012,"&lt;="&amp;EOMONTH('Rev JR'!M$1,0))</f>
        <v>0</v>
      </c>
      <c r="N54" s="530">
        <f>+SUMIFS('Dividendos Extranjero'!$G$7:$G$1012,'Dividendos Extranjero'!$B$7:$B$1012,'Rev JR'!$A54,'Dividendos Extranjero'!$D$7:$D$1012,"&gt;="&amp;'Rev JR'!N$1,'Dividendos Extranjero'!$D$7:$D$1012,"&lt;="&amp;EOMONTH('Rev JR'!N$1,0))</f>
        <v>0</v>
      </c>
      <c r="O54" s="530">
        <f t="shared" si="8"/>
        <v>0</v>
      </c>
    </row>
    <row r="55" spans="1:15">
      <c r="A55" s="664" t="str">
        <f t="shared" si="9"/>
        <v>M</v>
      </c>
      <c r="B55" s="526" t="str">
        <f t="shared" si="7"/>
        <v xml:space="preserve">        Dividendos - M</v>
      </c>
      <c r="C55" s="530">
        <f>+SUMIFS('Dividendos Extranjero'!$G$7:$G$1012,'Dividendos Extranjero'!$B$7:$B$1012,'Rev JR'!$A55,'Dividendos Extranjero'!$D$7:$D$1012,"&gt;="&amp;'Rev JR'!C$1,'Dividendos Extranjero'!$D$7:$D$1012,"&lt;="&amp;EOMONTH('Rev JR'!C$1,0))</f>
        <v>0</v>
      </c>
      <c r="D55" s="530">
        <f>+SUMIFS('Dividendos Extranjero'!$G$7:$G$1012,'Dividendos Extranjero'!$B$7:$B$1012,'Rev JR'!$A55,'Dividendos Extranjero'!$D$7:$D$1012,"&gt;="&amp;'Rev JR'!D$1,'Dividendos Extranjero'!$D$7:$D$1012,"&lt;="&amp;EOMONTH('Rev JR'!D$1,0))</f>
        <v>0</v>
      </c>
      <c r="E55" s="530">
        <f>+SUMIFS('Dividendos Extranjero'!$G$7:$G$1012,'Dividendos Extranjero'!$B$7:$B$1012,'Rev JR'!$A55,'Dividendos Extranjero'!$D$7:$D$1012,"&gt;="&amp;'Rev JR'!E$1,'Dividendos Extranjero'!$D$7:$D$1012,"&lt;="&amp;EOMONTH('Rev JR'!E$1,0))</f>
        <v>0</v>
      </c>
      <c r="F55" s="530">
        <f>+SUMIFS('Dividendos Extranjero'!$G$7:$G$1012,'Dividendos Extranjero'!$B$7:$B$1012,'Rev JR'!$A55,'Dividendos Extranjero'!$D$7:$D$1012,"&gt;="&amp;'Rev JR'!F$1,'Dividendos Extranjero'!$D$7:$D$1012,"&lt;="&amp;EOMONTH('Rev JR'!F$1,0))</f>
        <v>0</v>
      </c>
      <c r="G55" s="530">
        <f>+SUMIFS('Dividendos Extranjero'!$G$7:$G$1012,'Dividendos Extranjero'!$B$7:$B$1012,'Rev JR'!$A55,'Dividendos Extranjero'!$D$7:$D$1012,"&gt;="&amp;'Rev JR'!G$1,'Dividendos Extranjero'!$D$7:$D$1012,"&lt;="&amp;EOMONTH('Rev JR'!G$1,0))</f>
        <v>0</v>
      </c>
      <c r="H55" s="530">
        <f>+SUMIFS('Dividendos Extranjero'!$G$7:$G$1012,'Dividendos Extranjero'!$B$7:$B$1012,'Rev JR'!$A55,'Dividendos Extranjero'!$D$7:$D$1012,"&gt;="&amp;'Rev JR'!H$1,'Dividendos Extranjero'!$D$7:$D$1012,"&lt;="&amp;EOMONTH('Rev JR'!H$1,0))</f>
        <v>0</v>
      </c>
      <c r="I55" s="530">
        <f>+SUMIFS('Dividendos Extranjero'!$G$7:$G$1012,'Dividendos Extranjero'!$B$7:$B$1012,'Rev JR'!$A55,'Dividendos Extranjero'!$D$7:$D$1012,"&gt;="&amp;'Rev JR'!I$1,'Dividendos Extranjero'!$D$7:$D$1012,"&lt;="&amp;EOMONTH('Rev JR'!I$1,0))</f>
        <v>0</v>
      </c>
      <c r="J55" s="530">
        <f>+SUMIFS('Dividendos Extranjero'!$G$7:$G$1012,'Dividendos Extranjero'!$B$7:$B$1012,'Rev JR'!$A55,'Dividendos Extranjero'!$D$7:$D$1012,"&gt;="&amp;'Rev JR'!J$1,'Dividendos Extranjero'!$D$7:$D$1012,"&lt;="&amp;EOMONTH('Rev JR'!J$1,0))</f>
        <v>0</v>
      </c>
      <c r="K55" s="530">
        <f>+SUMIFS('Dividendos Extranjero'!$G$7:$G$1012,'Dividendos Extranjero'!$B$7:$B$1012,'Rev JR'!$A55,'Dividendos Extranjero'!$D$7:$D$1012,"&gt;="&amp;'Rev JR'!K$1,'Dividendos Extranjero'!$D$7:$D$1012,"&lt;="&amp;EOMONTH('Rev JR'!K$1,0))</f>
        <v>0</v>
      </c>
      <c r="L55" s="530">
        <f>+SUMIFS('Dividendos Extranjero'!$G$7:$G$1012,'Dividendos Extranjero'!$B$7:$B$1012,'Rev JR'!$A55,'Dividendos Extranjero'!$D$7:$D$1012,"&gt;="&amp;'Rev JR'!L$1,'Dividendos Extranjero'!$D$7:$D$1012,"&lt;="&amp;EOMONTH('Rev JR'!L$1,0))</f>
        <v>0</v>
      </c>
      <c r="M55" s="530">
        <f>+SUMIFS('Dividendos Extranjero'!$G$7:$G$1012,'Dividendos Extranjero'!$B$7:$B$1012,'Rev JR'!$A55,'Dividendos Extranjero'!$D$7:$D$1012,"&gt;="&amp;'Rev JR'!M$1,'Dividendos Extranjero'!$D$7:$D$1012,"&lt;="&amp;EOMONTH('Rev JR'!M$1,0))</f>
        <v>0</v>
      </c>
      <c r="N55" s="530">
        <f>+SUMIFS('Dividendos Extranjero'!$G$7:$G$1012,'Dividendos Extranjero'!$B$7:$B$1012,'Rev JR'!$A55,'Dividendos Extranjero'!$D$7:$D$1012,"&gt;="&amp;'Rev JR'!N$1,'Dividendos Extranjero'!$D$7:$D$1012,"&lt;="&amp;EOMONTH('Rev JR'!N$1,0))</f>
        <v>0</v>
      </c>
      <c r="O55" s="530">
        <f t="shared" si="8"/>
        <v>0</v>
      </c>
    </row>
    <row r="56" spans="1:15">
      <c r="A56" s="664" t="str">
        <f t="shared" si="9"/>
        <v>N</v>
      </c>
      <c r="B56" s="526" t="str">
        <f t="shared" si="7"/>
        <v xml:space="preserve">        Dividendos - N</v>
      </c>
      <c r="C56" s="530">
        <f>+SUMIFS('Dividendos Extranjero'!$G$7:$G$1012,'Dividendos Extranjero'!$B$7:$B$1012,'Rev JR'!$A56,'Dividendos Extranjero'!$D$7:$D$1012,"&gt;="&amp;'Rev JR'!C$1,'Dividendos Extranjero'!$D$7:$D$1012,"&lt;="&amp;EOMONTH('Rev JR'!C$1,0))</f>
        <v>0</v>
      </c>
      <c r="D56" s="530">
        <f>+SUMIFS('Dividendos Extranjero'!$G$7:$G$1012,'Dividendos Extranjero'!$B$7:$B$1012,'Rev JR'!$A56,'Dividendos Extranjero'!$D$7:$D$1012,"&gt;="&amp;'Rev JR'!D$1,'Dividendos Extranjero'!$D$7:$D$1012,"&lt;="&amp;EOMONTH('Rev JR'!D$1,0))</f>
        <v>0</v>
      </c>
      <c r="E56" s="530">
        <f>+SUMIFS('Dividendos Extranjero'!$G$7:$G$1012,'Dividendos Extranjero'!$B$7:$B$1012,'Rev JR'!$A56,'Dividendos Extranjero'!$D$7:$D$1012,"&gt;="&amp;'Rev JR'!E$1,'Dividendos Extranjero'!$D$7:$D$1012,"&lt;="&amp;EOMONTH('Rev JR'!E$1,0))</f>
        <v>0</v>
      </c>
      <c r="F56" s="530">
        <f>+SUMIFS('Dividendos Extranjero'!$G$7:$G$1012,'Dividendos Extranjero'!$B$7:$B$1012,'Rev JR'!$A56,'Dividendos Extranjero'!$D$7:$D$1012,"&gt;="&amp;'Rev JR'!F$1,'Dividendos Extranjero'!$D$7:$D$1012,"&lt;="&amp;EOMONTH('Rev JR'!F$1,0))</f>
        <v>0</v>
      </c>
      <c r="G56" s="530">
        <f>+SUMIFS('Dividendos Extranjero'!$G$7:$G$1012,'Dividendos Extranjero'!$B$7:$B$1012,'Rev JR'!$A56,'Dividendos Extranjero'!$D$7:$D$1012,"&gt;="&amp;'Rev JR'!G$1,'Dividendos Extranjero'!$D$7:$D$1012,"&lt;="&amp;EOMONTH('Rev JR'!G$1,0))</f>
        <v>0</v>
      </c>
      <c r="H56" s="530">
        <f>+SUMIFS('Dividendos Extranjero'!$G$7:$G$1012,'Dividendos Extranjero'!$B$7:$B$1012,'Rev JR'!$A56,'Dividendos Extranjero'!$D$7:$D$1012,"&gt;="&amp;'Rev JR'!H$1,'Dividendos Extranjero'!$D$7:$D$1012,"&lt;="&amp;EOMONTH('Rev JR'!H$1,0))</f>
        <v>0</v>
      </c>
      <c r="I56" s="530">
        <f>+SUMIFS('Dividendos Extranjero'!$G$7:$G$1012,'Dividendos Extranjero'!$B$7:$B$1012,'Rev JR'!$A56,'Dividendos Extranjero'!$D$7:$D$1012,"&gt;="&amp;'Rev JR'!I$1,'Dividendos Extranjero'!$D$7:$D$1012,"&lt;="&amp;EOMONTH('Rev JR'!I$1,0))</f>
        <v>0</v>
      </c>
      <c r="J56" s="530">
        <f>+SUMIFS('Dividendos Extranjero'!$G$7:$G$1012,'Dividendos Extranjero'!$B$7:$B$1012,'Rev JR'!$A56,'Dividendos Extranjero'!$D$7:$D$1012,"&gt;="&amp;'Rev JR'!J$1,'Dividendos Extranjero'!$D$7:$D$1012,"&lt;="&amp;EOMONTH('Rev JR'!J$1,0))</f>
        <v>0</v>
      </c>
      <c r="K56" s="530">
        <f>+SUMIFS('Dividendos Extranjero'!$G$7:$G$1012,'Dividendos Extranjero'!$B$7:$B$1012,'Rev JR'!$A56,'Dividendos Extranjero'!$D$7:$D$1012,"&gt;="&amp;'Rev JR'!K$1,'Dividendos Extranjero'!$D$7:$D$1012,"&lt;="&amp;EOMONTH('Rev JR'!K$1,0))</f>
        <v>0</v>
      </c>
      <c r="L56" s="530">
        <f>+SUMIFS('Dividendos Extranjero'!$G$7:$G$1012,'Dividendos Extranjero'!$B$7:$B$1012,'Rev JR'!$A56,'Dividendos Extranjero'!$D$7:$D$1012,"&gt;="&amp;'Rev JR'!L$1,'Dividendos Extranjero'!$D$7:$D$1012,"&lt;="&amp;EOMONTH('Rev JR'!L$1,0))</f>
        <v>0</v>
      </c>
      <c r="M56" s="530">
        <f>+SUMIFS('Dividendos Extranjero'!$G$7:$G$1012,'Dividendos Extranjero'!$B$7:$B$1012,'Rev JR'!$A56,'Dividendos Extranjero'!$D$7:$D$1012,"&gt;="&amp;'Rev JR'!M$1,'Dividendos Extranjero'!$D$7:$D$1012,"&lt;="&amp;EOMONTH('Rev JR'!M$1,0))</f>
        <v>0</v>
      </c>
      <c r="N56" s="530">
        <f>+SUMIFS('Dividendos Extranjero'!$G$7:$G$1012,'Dividendos Extranjero'!$B$7:$B$1012,'Rev JR'!$A56,'Dividendos Extranjero'!$D$7:$D$1012,"&gt;="&amp;'Rev JR'!N$1,'Dividendos Extranjero'!$D$7:$D$1012,"&lt;="&amp;EOMONTH('Rev JR'!N$1,0))</f>
        <v>0</v>
      </c>
      <c r="O56" s="530">
        <f t="shared" si="8"/>
        <v>0</v>
      </c>
    </row>
    <row r="57" spans="1:15">
      <c r="A57" s="664" t="str">
        <f t="shared" si="9"/>
        <v>O</v>
      </c>
      <c r="B57" s="526" t="str">
        <f t="shared" si="7"/>
        <v xml:space="preserve">        Dividendos - O</v>
      </c>
      <c r="C57" s="530">
        <f>+SUMIFS('Dividendos Extranjero'!$G$7:$G$1012,'Dividendos Extranjero'!$B$7:$B$1012,'Rev JR'!$A57,'Dividendos Extranjero'!$D$7:$D$1012,"&gt;="&amp;'Rev JR'!C$1,'Dividendos Extranjero'!$D$7:$D$1012,"&lt;="&amp;EOMONTH('Rev JR'!C$1,0))</f>
        <v>0</v>
      </c>
      <c r="D57" s="530">
        <f>+SUMIFS('Dividendos Extranjero'!$G$7:$G$1012,'Dividendos Extranjero'!$B$7:$B$1012,'Rev JR'!$A57,'Dividendos Extranjero'!$D$7:$D$1012,"&gt;="&amp;'Rev JR'!D$1,'Dividendos Extranjero'!$D$7:$D$1012,"&lt;="&amp;EOMONTH('Rev JR'!D$1,0))</f>
        <v>0</v>
      </c>
      <c r="E57" s="530">
        <f>+SUMIFS('Dividendos Extranjero'!$G$7:$G$1012,'Dividendos Extranjero'!$B$7:$B$1012,'Rev JR'!$A57,'Dividendos Extranjero'!$D$7:$D$1012,"&gt;="&amp;'Rev JR'!E$1,'Dividendos Extranjero'!$D$7:$D$1012,"&lt;="&amp;EOMONTH('Rev JR'!E$1,0))</f>
        <v>0</v>
      </c>
      <c r="F57" s="530">
        <f>+SUMIFS('Dividendos Extranjero'!$G$7:$G$1012,'Dividendos Extranjero'!$B$7:$B$1012,'Rev JR'!$A57,'Dividendos Extranjero'!$D$7:$D$1012,"&gt;="&amp;'Rev JR'!F$1,'Dividendos Extranjero'!$D$7:$D$1012,"&lt;="&amp;EOMONTH('Rev JR'!F$1,0))</f>
        <v>0</v>
      </c>
      <c r="G57" s="530">
        <f>+SUMIFS('Dividendos Extranjero'!$G$7:$G$1012,'Dividendos Extranjero'!$B$7:$B$1012,'Rev JR'!$A57,'Dividendos Extranjero'!$D$7:$D$1012,"&gt;="&amp;'Rev JR'!G$1,'Dividendos Extranjero'!$D$7:$D$1012,"&lt;="&amp;EOMONTH('Rev JR'!G$1,0))</f>
        <v>0</v>
      </c>
      <c r="H57" s="530">
        <f>+SUMIFS('Dividendos Extranjero'!$G$7:$G$1012,'Dividendos Extranjero'!$B$7:$B$1012,'Rev JR'!$A57,'Dividendos Extranjero'!$D$7:$D$1012,"&gt;="&amp;'Rev JR'!H$1,'Dividendos Extranjero'!$D$7:$D$1012,"&lt;="&amp;EOMONTH('Rev JR'!H$1,0))</f>
        <v>0</v>
      </c>
      <c r="I57" s="530">
        <f>+SUMIFS('Dividendos Extranjero'!$G$7:$G$1012,'Dividendos Extranjero'!$B$7:$B$1012,'Rev JR'!$A57,'Dividendos Extranjero'!$D$7:$D$1012,"&gt;="&amp;'Rev JR'!I$1,'Dividendos Extranjero'!$D$7:$D$1012,"&lt;="&amp;EOMONTH('Rev JR'!I$1,0))</f>
        <v>0</v>
      </c>
      <c r="J57" s="530">
        <f>+SUMIFS('Dividendos Extranjero'!$G$7:$G$1012,'Dividendos Extranjero'!$B$7:$B$1012,'Rev JR'!$A57,'Dividendos Extranjero'!$D$7:$D$1012,"&gt;="&amp;'Rev JR'!J$1,'Dividendos Extranjero'!$D$7:$D$1012,"&lt;="&amp;EOMONTH('Rev JR'!J$1,0))</f>
        <v>0</v>
      </c>
      <c r="K57" s="530">
        <f>+SUMIFS('Dividendos Extranjero'!$G$7:$G$1012,'Dividendos Extranjero'!$B$7:$B$1012,'Rev JR'!$A57,'Dividendos Extranjero'!$D$7:$D$1012,"&gt;="&amp;'Rev JR'!K$1,'Dividendos Extranjero'!$D$7:$D$1012,"&lt;="&amp;EOMONTH('Rev JR'!K$1,0))</f>
        <v>0</v>
      </c>
      <c r="L57" s="530">
        <f>+SUMIFS('Dividendos Extranjero'!$G$7:$G$1012,'Dividendos Extranjero'!$B$7:$B$1012,'Rev JR'!$A57,'Dividendos Extranjero'!$D$7:$D$1012,"&gt;="&amp;'Rev JR'!L$1,'Dividendos Extranjero'!$D$7:$D$1012,"&lt;="&amp;EOMONTH('Rev JR'!L$1,0))</f>
        <v>0</v>
      </c>
      <c r="M57" s="530">
        <f>+SUMIFS('Dividendos Extranjero'!$G$7:$G$1012,'Dividendos Extranjero'!$B$7:$B$1012,'Rev JR'!$A57,'Dividendos Extranjero'!$D$7:$D$1012,"&gt;="&amp;'Rev JR'!M$1,'Dividendos Extranjero'!$D$7:$D$1012,"&lt;="&amp;EOMONTH('Rev JR'!M$1,0))</f>
        <v>0</v>
      </c>
      <c r="N57" s="530">
        <f>+SUMIFS('Dividendos Extranjero'!$G$7:$G$1012,'Dividendos Extranjero'!$B$7:$B$1012,'Rev JR'!$A57,'Dividendos Extranjero'!$D$7:$D$1012,"&gt;="&amp;'Rev JR'!N$1,'Dividendos Extranjero'!$D$7:$D$1012,"&lt;="&amp;EOMONTH('Rev JR'!N$1,0))</f>
        <v>0</v>
      </c>
      <c r="O57" s="530">
        <f t="shared" si="8"/>
        <v>0</v>
      </c>
    </row>
    <row r="58" spans="1:15">
      <c r="A58" s="664" t="str">
        <f t="shared" si="9"/>
        <v>P</v>
      </c>
      <c r="B58" s="526" t="str">
        <f t="shared" si="7"/>
        <v xml:space="preserve">        Dividendos - P</v>
      </c>
      <c r="C58" s="530">
        <f>+SUMIFS('Dividendos Extranjero'!$G$7:$G$1012,'Dividendos Extranjero'!$B$7:$B$1012,'Rev JR'!$A58,'Dividendos Extranjero'!$D$7:$D$1012,"&gt;="&amp;'Rev JR'!C$1,'Dividendos Extranjero'!$D$7:$D$1012,"&lt;="&amp;EOMONTH('Rev JR'!C$1,0))</f>
        <v>0</v>
      </c>
      <c r="D58" s="530">
        <f>+SUMIFS('Dividendos Extranjero'!$G$7:$G$1012,'Dividendos Extranjero'!$B$7:$B$1012,'Rev JR'!$A58,'Dividendos Extranjero'!$D$7:$D$1012,"&gt;="&amp;'Rev JR'!D$1,'Dividendos Extranjero'!$D$7:$D$1012,"&lt;="&amp;EOMONTH('Rev JR'!D$1,0))</f>
        <v>0</v>
      </c>
      <c r="E58" s="530">
        <f>+SUMIFS('Dividendos Extranjero'!$G$7:$G$1012,'Dividendos Extranjero'!$B$7:$B$1012,'Rev JR'!$A58,'Dividendos Extranjero'!$D$7:$D$1012,"&gt;="&amp;'Rev JR'!E$1,'Dividendos Extranjero'!$D$7:$D$1012,"&lt;="&amp;EOMONTH('Rev JR'!E$1,0))</f>
        <v>0</v>
      </c>
      <c r="F58" s="530">
        <f>+SUMIFS('Dividendos Extranjero'!$G$7:$G$1012,'Dividendos Extranjero'!$B$7:$B$1012,'Rev JR'!$A58,'Dividendos Extranjero'!$D$7:$D$1012,"&gt;="&amp;'Rev JR'!F$1,'Dividendos Extranjero'!$D$7:$D$1012,"&lt;="&amp;EOMONTH('Rev JR'!F$1,0))</f>
        <v>0</v>
      </c>
      <c r="G58" s="530">
        <f>+SUMIFS('Dividendos Extranjero'!$G$7:$G$1012,'Dividendos Extranjero'!$B$7:$B$1012,'Rev JR'!$A58,'Dividendos Extranjero'!$D$7:$D$1012,"&gt;="&amp;'Rev JR'!G$1,'Dividendos Extranjero'!$D$7:$D$1012,"&lt;="&amp;EOMONTH('Rev JR'!G$1,0))</f>
        <v>0</v>
      </c>
      <c r="H58" s="530">
        <f>+SUMIFS('Dividendos Extranjero'!$G$7:$G$1012,'Dividendos Extranjero'!$B$7:$B$1012,'Rev JR'!$A58,'Dividendos Extranjero'!$D$7:$D$1012,"&gt;="&amp;'Rev JR'!H$1,'Dividendos Extranjero'!$D$7:$D$1012,"&lt;="&amp;EOMONTH('Rev JR'!H$1,0))</f>
        <v>0</v>
      </c>
      <c r="I58" s="530">
        <f>+SUMIFS('Dividendos Extranjero'!$G$7:$G$1012,'Dividendos Extranjero'!$B$7:$B$1012,'Rev JR'!$A58,'Dividendos Extranjero'!$D$7:$D$1012,"&gt;="&amp;'Rev JR'!I$1,'Dividendos Extranjero'!$D$7:$D$1012,"&lt;="&amp;EOMONTH('Rev JR'!I$1,0))</f>
        <v>0</v>
      </c>
      <c r="J58" s="530">
        <f>+SUMIFS('Dividendos Extranjero'!$G$7:$G$1012,'Dividendos Extranjero'!$B$7:$B$1012,'Rev JR'!$A58,'Dividendos Extranjero'!$D$7:$D$1012,"&gt;="&amp;'Rev JR'!J$1,'Dividendos Extranjero'!$D$7:$D$1012,"&lt;="&amp;EOMONTH('Rev JR'!J$1,0))</f>
        <v>0</v>
      </c>
      <c r="K58" s="530">
        <f>+SUMIFS('Dividendos Extranjero'!$G$7:$G$1012,'Dividendos Extranjero'!$B$7:$B$1012,'Rev JR'!$A58,'Dividendos Extranjero'!$D$7:$D$1012,"&gt;="&amp;'Rev JR'!K$1,'Dividendos Extranjero'!$D$7:$D$1012,"&lt;="&amp;EOMONTH('Rev JR'!K$1,0))</f>
        <v>0</v>
      </c>
      <c r="L58" s="530">
        <f>+SUMIFS('Dividendos Extranjero'!$G$7:$G$1012,'Dividendos Extranjero'!$B$7:$B$1012,'Rev JR'!$A58,'Dividendos Extranjero'!$D$7:$D$1012,"&gt;="&amp;'Rev JR'!L$1,'Dividendos Extranjero'!$D$7:$D$1012,"&lt;="&amp;EOMONTH('Rev JR'!L$1,0))</f>
        <v>0</v>
      </c>
      <c r="M58" s="530">
        <f>+SUMIFS('Dividendos Extranjero'!$G$7:$G$1012,'Dividendos Extranjero'!$B$7:$B$1012,'Rev JR'!$A58,'Dividendos Extranjero'!$D$7:$D$1012,"&gt;="&amp;'Rev JR'!M$1,'Dividendos Extranjero'!$D$7:$D$1012,"&lt;="&amp;EOMONTH('Rev JR'!M$1,0))</f>
        <v>0</v>
      </c>
      <c r="N58" s="530">
        <f>+SUMIFS('Dividendos Extranjero'!$G$7:$G$1012,'Dividendos Extranjero'!$B$7:$B$1012,'Rev JR'!$A58,'Dividendos Extranjero'!$D$7:$D$1012,"&gt;="&amp;'Rev JR'!N$1,'Dividendos Extranjero'!$D$7:$D$1012,"&lt;="&amp;EOMONTH('Rev JR'!N$1,0))</f>
        <v>0</v>
      </c>
      <c r="O58" s="530">
        <f t="shared" si="8"/>
        <v>0</v>
      </c>
    </row>
    <row r="59" spans="1:15">
      <c r="A59" s="522"/>
      <c r="B59" s="531" t="s">
        <v>616</v>
      </c>
      <c r="C59" s="532">
        <f t="shared" ref="C59:N59" si="10">SUM(C43:C58)</f>
        <v>136884.76999999999</v>
      </c>
      <c r="D59" s="532">
        <f t="shared" si="10"/>
        <v>22236.31</v>
      </c>
      <c r="E59" s="532">
        <f t="shared" si="10"/>
        <v>76302.709999999992</v>
      </c>
      <c r="F59" s="532">
        <f t="shared" si="10"/>
        <v>133076.44</v>
      </c>
      <c r="G59" s="532">
        <f t="shared" si="10"/>
        <v>96793.17</v>
      </c>
      <c r="H59" s="532">
        <f t="shared" si="10"/>
        <v>220050.97000000003</v>
      </c>
      <c r="I59" s="532">
        <f t="shared" si="10"/>
        <v>68475</v>
      </c>
      <c r="J59" s="532">
        <f t="shared" si="10"/>
        <v>32441.16</v>
      </c>
      <c r="K59" s="532">
        <f t="shared" si="10"/>
        <v>108284.22</v>
      </c>
      <c r="L59" s="532">
        <f t="shared" si="10"/>
        <v>74512.98</v>
      </c>
      <c r="M59" s="532">
        <f t="shared" si="10"/>
        <v>0</v>
      </c>
      <c r="N59" s="532">
        <f t="shared" si="10"/>
        <v>0</v>
      </c>
      <c r="O59" s="532">
        <f>SUM(O43:O58)</f>
        <v>969057.73</v>
      </c>
    </row>
    <row r="60" spans="1:15">
      <c r="A60" s="522"/>
      <c r="B60" s="526" t="s">
        <v>598</v>
      </c>
      <c r="C60" s="529"/>
      <c r="D60" s="529"/>
      <c r="E60" s="529"/>
      <c r="F60" s="529"/>
      <c r="G60" s="529"/>
      <c r="H60" s="529"/>
      <c r="I60" s="529"/>
      <c r="J60" s="529"/>
      <c r="K60" s="529"/>
      <c r="L60" s="529"/>
      <c r="M60" s="529"/>
      <c r="N60" s="529"/>
      <c r="O60" s="529"/>
    </row>
    <row r="61" spans="1:15">
      <c r="A61" s="522"/>
      <c r="B61" s="526" t="s">
        <v>617</v>
      </c>
      <c r="C61" s="529"/>
      <c r="D61" s="529"/>
      <c r="E61" s="529"/>
      <c r="F61" s="529"/>
      <c r="G61" s="529"/>
      <c r="H61" s="529"/>
      <c r="I61" s="529"/>
      <c r="J61" s="529"/>
      <c r="K61" s="529"/>
      <c r="L61" s="529"/>
      <c r="M61" s="529"/>
      <c r="N61" s="529"/>
      <c r="O61" s="529"/>
    </row>
    <row r="62" spans="1:15">
      <c r="A62" s="664" t="str">
        <f>+A43</f>
        <v>31XX29</v>
      </c>
      <c r="B62" s="526" t="str">
        <f>+CONCATENATE("        CG Acciones y Bonos - ",A62)</f>
        <v xml:space="preserve">        CG Acciones y Bonos - 31XX29</v>
      </c>
      <c r="C62" s="530">
        <f>+SUMIFS('Ventas Acciones &amp; Bonos'!$AL:$AL,'Ventas Acciones &amp; Bonos'!$B:$B,'Rev JR'!$A62,'Ventas Acciones &amp; Bonos'!$X:$X,"&gt;="&amp;'Rev JR'!C$1,'Ventas Acciones &amp; Bonos'!$X:$X,"&lt;="&amp;EOMONTH('Rev JR'!C$1,0))</f>
        <v>0</v>
      </c>
      <c r="D62" s="530">
        <f>+SUMIFS('Ventas Acciones &amp; Bonos'!$AL:$AL,'Ventas Acciones &amp; Bonos'!$B:$B,'Rev JR'!$A62,'Ventas Acciones &amp; Bonos'!$X:$X,"&gt;="&amp;'Rev JR'!D$1,'Ventas Acciones &amp; Bonos'!$X:$X,"&lt;="&amp;EOMONTH('Rev JR'!D$1,0))</f>
        <v>326703.80420622788</v>
      </c>
      <c r="E62" s="530">
        <f>+SUMIFS('Ventas Acciones &amp; Bonos'!$AL:$AL,'Ventas Acciones &amp; Bonos'!$B:$B,'Rev JR'!$A62,'Ventas Acciones &amp; Bonos'!$X:$X,"&gt;="&amp;'Rev JR'!E$1,'Ventas Acciones &amp; Bonos'!$X:$X,"&lt;="&amp;EOMONTH('Rev JR'!E$1,0))</f>
        <v>236731.92143829691</v>
      </c>
      <c r="F62" s="530">
        <f>+SUMIFS('Ventas Acciones &amp; Bonos'!$AL:$AL,'Ventas Acciones &amp; Bonos'!$B:$B,'Rev JR'!$A62,'Ventas Acciones &amp; Bonos'!$X:$X,"&gt;="&amp;'Rev JR'!F$1,'Ventas Acciones &amp; Bonos'!$X:$X,"&lt;="&amp;EOMONTH('Rev JR'!F$1,0))</f>
        <v>0</v>
      </c>
      <c r="G62" s="530">
        <f>+SUMIFS('Ventas Acciones &amp; Bonos'!$AL:$AL,'Ventas Acciones &amp; Bonos'!$B:$B,'Rev JR'!$A62,'Ventas Acciones &amp; Bonos'!$X:$X,"&gt;="&amp;'Rev JR'!G$1,'Ventas Acciones &amp; Bonos'!$X:$X,"&lt;="&amp;EOMONTH('Rev JR'!G$1,0))</f>
        <v>0</v>
      </c>
      <c r="H62" s="530">
        <f>+SUMIFS('Ventas Acciones &amp; Bonos'!$AL:$AL,'Ventas Acciones &amp; Bonos'!$B:$B,'Rev JR'!$A62,'Ventas Acciones &amp; Bonos'!$X:$X,"&gt;="&amp;'Rev JR'!H$1,'Ventas Acciones &amp; Bonos'!$X:$X,"&lt;="&amp;EOMONTH('Rev JR'!H$1,0))</f>
        <v>0</v>
      </c>
      <c r="I62" s="530">
        <f>+SUMIFS('Ventas Acciones &amp; Bonos'!$AL:$AL,'Ventas Acciones &amp; Bonos'!$B:$B,'Rev JR'!$A62,'Ventas Acciones &amp; Bonos'!$X:$X,"&gt;="&amp;'Rev JR'!I$1,'Ventas Acciones &amp; Bonos'!$X:$X,"&lt;="&amp;EOMONTH('Rev JR'!I$1,0))</f>
        <v>-191480.13538897282</v>
      </c>
      <c r="J62" s="530">
        <f>+SUMIFS('Ventas Acciones &amp; Bonos'!$AL:$AL,'Ventas Acciones &amp; Bonos'!$B:$B,'Rev JR'!$A62,'Ventas Acciones &amp; Bonos'!$X:$X,"&gt;="&amp;'Rev JR'!J$1,'Ventas Acciones &amp; Bonos'!$X:$X,"&lt;="&amp;EOMONTH('Rev JR'!J$1,0))</f>
        <v>5065675.494581867</v>
      </c>
      <c r="K62" s="530">
        <f>+SUMIFS('Ventas Acciones &amp; Bonos'!$AL:$AL,'Ventas Acciones &amp; Bonos'!$B:$B,'Rev JR'!$A62,'Ventas Acciones &amp; Bonos'!$X:$X,"&gt;="&amp;'Rev JR'!K$1,'Ventas Acciones &amp; Bonos'!$X:$X,"&lt;="&amp;EOMONTH('Rev JR'!K$1,0))</f>
        <v>0</v>
      </c>
      <c r="L62" s="530">
        <f>+SUMIFS('Ventas Acciones &amp; Bonos'!$AL:$AL,'Ventas Acciones &amp; Bonos'!$B:$B,'Rev JR'!$A62,'Ventas Acciones &amp; Bonos'!$X:$X,"&gt;="&amp;'Rev JR'!L$1,'Ventas Acciones &amp; Bonos'!$X:$X,"&lt;="&amp;EOMONTH('Rev JR'!L$1,0))</f>
        <v>0</v>
      </c>
      <c r="M62" s="530">
        <f>+SUMIFS('Ventas Acciones &amp; Bonos'!$AL:$AL,'Ventas Acciones &amp; Bonos'!$B:$B,'Rev JR'!$A62,'Ventas Acciones &amp; Bonos'!$X:$X,"&gt;="&amp;'Rev JR'!M$1,'Ventas Acciones &amp; Bonos'!$X:$X,"&lt;="&amp;EOMONTH('Rev JR'!M$1,0))</f>
        <v>0</v>
      </c>
      <c r="N62" s="530">
        <f>+SUMIFS('Ventas Acciones &amp; Bonos'!$AL:$AL,'Ventas Acciones &amp; Bonos'!$B:$B,'Rev JR'!$A62,'Ventas Acciones &amp; Bonos'!$X:$X,"&gt;="&amp;'Rev JR'!N$1,'Ventas Acciones &amp; Bonos'!$X:$X,"&lt;="&amp;EOMONTH('Rev JR'!N$1,0))</f>
        <v>0</v>
      </c>
      <c r="O62" s="530">
        <f t="shared" ref="O62:O77" si="11">SUM(C62:N62)</f>
        <v>5437631.084837419</v>
      </c>
    </row>
    <row r="63" spans="1:15">
      <c r="A63" s="664" t="str">
        <f t="shared" ref="A63:A77" si="12">+A44</f>
        <v>11XX300</v>
      </c>
      <c r="B63" s="526" t="str">
        <f t="shared" ref="B63:B77" si="13">+CONCATENATE("        CG Acciones y Bonos - ",A63)</f>
        <v xml:space="preserve">        CG Acciones y Bonos - 11XX300</v>
      </c>
      <c r="C63" s="530">
        <f>+SUMIFS('Ventas Acciones &amp; Bonos'!$AL:$AL,'Ventas Acciones &amp; Bonos'!$B:$B,'Rev JR'!$A63,'Ventas Acciones &amp; Bonos'!$X:$X,"&gt;="&amp;'Rev JR'!C$1,'Ventas Acciones &amp; Bonos'!$X:$X,"&lt;="&amp;EOMONTH('Rev JR'!C$1,0))</f>
        <v>0</v>
      </c>
      <c r="D63" s="530">
        <f>+SUMIFS('Ventas Acciones &amp; Bonos'!$AL:$AL,'Ventas Acciones &amp; Bonos'!$B:$B,'Rev JR'!$A63,'Ventas Acciones &amp; Bonos'!$X:$X,"&gt;="&amp;'Rev JR'!D$1,'Ventas Acciones &amp; Bonos'!$X:$X,"&lt;="&amp;EOMONTH('Rev JR'!D$1,0))</f>
        <v>551438.09510190063</v>
      </c>
      <c r="E63" s="530">
        <f>+SUMIFS('Ventas Acciones &amp; Bonos'!$AL:$AL,'Ventas Acciones &amp; Bonos'!$B:$B,'Rev JR'!$A63,'Ventas Acciones &amp; Bonos'!$X:$X,"&gt;="&amp;'Rev JR'!E$1,'Ventas Acciones &amp; Bonos'!$X:$X,"&lt;="&amp;EOMONTH('Rev JR'!E$1,0))</f>
        <v>0</v>
      </c>
      <c r="F63" s="530">
        <f>+SUMIFS('Ventas Acciones &amp; Bonos'!$AL:$AL,'Ventas Acciones &amp; Bonos'!$B:$B,'Rev JR'!$A63,'Ventas Acciones &amp; Bonos'!$X:$X,"&gt;="&amp;'Rev JR'!F$1,'Ventas Acciones &amp; Bonos'!$X:$X,"&lt;="&amp;EOMONTH('Rev JR'!F$1,0))</f>
        <v>0</v>
      </c>
      <c r="G63" s="530">
        <f>+SUMIFS('Ventas Acciones &amp; Bonos'!$AL:$AL,'Ventas Acciones &amp; Bonos'!$B:$B,'Rev JR'!$A63,'Ventas Acciones &amp; Bonos'!$X:$X,"&gt;="&amp;'Rev JR'!G$1,'Ventas Acciones &amp; Bonos'!$X:$X,"&lt;="&amp;EOMONTH('Rev JR'!G$1,0))</f>
        <v>16218.485088292946</v>
      </c>
      <c r="H63" s="530">
        <f>+SUMIFS('Ventas Acciones &amp; Bonos'!$AL:$AL,'Ventas Acciones &amp; Bonos'!$B:$B,'Rev JR'!$A63,'Ventas Acciones &amp; Bonos'!$X:$X,"&gt;="&amp;'Rev JR'!H$1,'Ventas Acciones &amp; Bonos'!$X:$X,"&lt;="&amp;EOMONTH('Rev JR'!H$1,0))</f>
        <v>0</v>
      </c>
      <c r="I63" s="530">
        <f>+SUMIFS('Ventas Acciones &amp; Bonos'!$AL:$AL,'Ventas Acciones &amp; Bonos'!$B:$B,'Rev JR'!$A63,'Ventas Acciones &amp; Bonos'!$X:$X,"&gt;="&amp;'Rev JR'!I$1,'Ventas Acciones &amp; Bonos'!$X:$X,"&lt;="&amp;EOMONTH('Rev JR'!I$1,0))</f>
        <v>0</v>
      </c>
      <c r="J63" s="530">
        <f>+SUMIFS('Ventas Acciones &amp; Bonos'!$AL:$AL,'Ventas Acciones &amp; Bonos'!$B:$B,'Rev JR'!$A63,'Ventas Acciones &amp; Bonos'!$X:$X,"&gt;="&amp;'Rev JR'!J$1,'Ventas Acciones &amp; Bonos'!$X:$X,"&lt;="&amp;EOMONTH('Rev JR'!J$1,0))</f>
        <v>1225032.5207387318</v>
      </c>
      <c r="K63" s="530">
        <f>+SUMIFS('Ventas Acciones &amp; Bonos'!$AL:$AL,'Ventas Acciones &amp; Bonos'!$B:$B,'Rev JR'!$A63,'Ventas Acciones &amp; Bonos'!$X:$X,"&gt;="&amp;'Rev JR'!K$1,'Ventas Acciones &amp; Bonos'!$X:$X,"&lt;="&amp;EOMONTH('Rev JR'!K$1,0))</f>
        <v>374961.64844992844</v>
      </c>
      <c r="L63" s="530">
        <f>+SUMIFS('Ventas Acciones &amp; Bonos'!$AL:$AL,'Ventas Acciones &amp; Bonos'!$B:$B,'Rev JR'!$A63,'Ventas Acciones &amp; Bonos'!$X:$X,"&gt;="&amp;'Rev JR'!L$1,'Ventas Acciones &amp; Bonos'!$X:$X,"&lt;="&amp;EOMONTH('Rev JR'!L$1,0))</f>
        <v>0</v>
      </c>
      <c r="M63" s="530">
        <f>+SUMIFS('Ventas Acciones &amp; Bonos'!$AL:$AL,'Ventas Acciones &amp; Bonos'!$B:$B,'Rev JR'!$A63,'Ventas Acciones &amp; Bonos'!$X:$X,"&gt;="&amp;'Rev JR'!M$1,'Ventas Acciones &amp; Bonos'!$X:$X,"&lt;="&amp;EOMONTH('Rev JR'!M$1,0))</f>
        <v>0</v>
      </c>
      <c r="N63" s="530">
        <f>+SUMIFS('Ventas Acciones &amp; Bonos'!$AL:$AL,'Ventas Acciones &amp; Bonos'!$B:$B,'Rev JR'!$A63,'Ventas Acciones &amp; Bonos'!$X:$X,"&gt;="&amp;'Rev JR'!N$1,'Ventas Acciones &amp; Bonos'!$X:$X,"&lt;="&amp;EOMONTH('Rev JR'!N$1,0))</f>
        <v>0</v>
      </c>
      <c r="O63" s="530">
        <f t="shared" si="11"/>
        <v>2167650.7493788539</v>
      </c>
    </row>
    <row r="64" spans="1:15">
      <c r="A64" s="664" t="str">
        <f t="shared" si="12"/>
        <v>1XXX100</v>
      </c>
      <c r="B64" s="526" t="str">
        <f t="shared" si="13"/>
        <v xml:space="preserve">        CG Acciones y Bonos - 1XXX100</v>
      </c>
      <c r="C64" s="530">
        <f>+SUMIFS('Ventas Acciones &amp; Bonos'!$AL:$AL,'Ventas Acciones &amp; Bonos'!$B:$B,'Rev JR'!$A64,'Ventas Acciones &amp; Bonos'!$X:$X,"&gt;="&amp;'Rev JR'!C$1,'Ventas Acciones &amp; Bonos'!$X:$X,"&lt;="&amp;EOMONTH('Rev JR'!C$1,0))</f>
        <v>-10842.930840769735</v>
      </c>
      <c r="D64" s="530">
        <f>+SUMIFS('Ventas Acciones &amp; Bonos'!$AL:$AL,'Ventas Acciones &amp; Bonos'!$B:$B,'Rev JR'!$A64,'Ventas Acciones &amp; Bonos'!$X:$X,"&gt;="&amp;'Rev JR'!D$1,'Ventas Acciones &amp; Bonos'!$X:$X,"&lt;="&amp;EOMONTH('Rev JR'!D$1,0))</f>
        <v>-57048.293903393511</v>
      </c>
      <c r="E64" s="530">
        <f>+SUMIFS('Ventas Acciones &amp; Bonos'!$AL:$AL,'Ventas Acciones &amp; Bonos'!$B:$B,'Rev JR'!$A64,'Ventas Acciones &amp; Bonos'!$X:$X,"&gt;="&amp;'Rev JR'!E$1,'Ventas Acciones &amp; Bonos'!$X:$X,"&lt;="&amp;EOMONTH('Rev JR'!E$1,0))</f>
        <v>-98331.885551884989</v>
      </c>
      <c r="F64" s="530">
        <f>+SUMIFS('Ventas Acciones &amp; Bonos'!$AL:$AL,'Ventas Acciones &amp; Bonos'!$B:$B,'Rev JR'!$A64,'Ventas Acciones &amp; Bonos'!$X:$X,"&gt;="&amp;'Rev JR'!F$1,'Ventas Acciones &amp; Bonos'!$X:$X,"&lt;="&amp;EOMONTH('Rev JR'!F$1,0))</f>
        <v>-37290.835826721843</v>
      </c>
      <c r="G64" s="530">
        <f>+SUMIFS('Ventas Acciones &amp; Bonos'!$AL:$AL,'Ventas Acciones &amp; Bonos'!$B:$B,'Rev JR'!$A64,'Ventas Acciones &amp; Bonos'!$X:$X,"&gt;="&amp;'Rev JR'!G$1,'Ventas Acciones &amp; Bonos'!$X:$X,"&lt;="&amp;EOMONTH('Rev JR'!G$1,0))</f>
        <v>-108062.57057411275</v>
      </c>
      <c r="H64" s="530">
        <f>+SUMIFS('Ventas Acciones &amp; Bonos'!$AL:$AL,'Ventas Acciones &amp; Bonos'!$B:$B,'Rev JR'!$A64,'Ventas Acciones &amp; Bonos'!$X:$X,"&gt;="&amp;'Rev JR'!H$1,'Ventas Acciones &amp; Bonos'!$X:$X,"&lt;="&amp;EOMONTH('Rev JR'!H$1,0))</f>
        <v>-29868.961256366721</v>
      </c>
      <c r="I64" s="530">
        <f>+SUMIFS('Ventas Acciones &amp; Bonos'!$AL:$AL,'Ventas Acciones &amp; Bonos'!$B:$B,'Rev JR'!$A64,'Ventas Acciones &amp; Bonos'!$X:$X,"&gt;="&amp;'Rev JR'!I$1,'Ventas Acciones &amp; Bonos'!$X:$X,"&lt;="&amp;EOMONTH('Rev JR'!I$1,0))</f>
        <v>-87912.458908822533</v>
      </c>
      <c r="J64" s="530">
        <f>+SUMIFS('Ventas Acciones &amp; Bonos'!$AL:$AL,'Ventas Acciones &amp; Bonos'!$B:$B,'Rev JR'!$A64,'Ventas Acciones &amp; Bonos'!$X:$X,"&gt;="&amp;'Rev JR'!J$1,'Ventas Acciones &amp; Bonos'!$X:$X,"&lt;="&amp;EOMONTH('Rev JR'!J$1,0))</f>
        <v>-17773.878571785746</v>
      </c>
      <c r="K64" s="530">
        <f>+SUMIFS('Ventas Acciones &amp; Bonos'!$AL:$AL,'Ventas Acciones &amp; Bonos'!$B:$B,'Rev JR'!$A64,'Ventas Acciones &amp; Bonos'!$X:$X,"&gt;="&amp;'Rev JR'!K$1,'Ventas Acciones &amp; Bonos'!$X:$X,"&lt;="&amp;EOMONTH('Rev JR'!K$1,0))</f>
        <v>-61689.577894012276</v>
      </c>
      <c r="L64" s="530">
        <f>+SUMIFS('Ventas Acciones &amp; Bonos'!$AL:$AL,'Ventas Acciones &amp; Bonos'!$B:$B,'Rev JR'!$A64,'Ventas Acciones &amp; Bonos'!$X:$X,"&gt;="&amp;'Rev JR'!L$1,'Ventas Acciones &amp; Bonos'!$X:$X,"&lt;="&amp;EOMONTH('Rev JR'!L$1,0))</f>
        <v>-92251.89961602095</v>
      </c>
      <c r="M64" s="530">
        <f>+SUMIFS('Ventas Acciones &amp; Bonos'!$AL:$AL,'Ventas Acciones &amp; Bonos'!$B:$B,'Rev JR'!$A64,'Ventas Acciones &amp; Bonos'!$X:$X,"&gt;="&amp;'Rev JR'!M$1,'Ventas Acciones &amp; Bonos'!$X:$X,"&lt;="&amp;EOMONTH('Rev JR'!M$1,0))</f>
        <v>0</v>
      </c>
      <c r="N64" s="530">
        <f>+SUMIFS('Ventas Acciones &amp; Bonos'!$AL:$AL,'Ventas Acciones &amp; Bonos'!$B:$B,'Rev JR'!$A64,'Ventas Acciones &amp; Bonos'!$X:$X,"&gt;="&amp;'Rev JR'!N$1,'Ventas Acciones &amp; Bonos'!$X:$X,"&lt;="&amp;EOMONTH('Rev JR'!N$1,0))</f>
        <v>0</v>
      </c>
      <c r="O64" s="530">
        <f t="shared" si="11"/>
        <v>-601073.29294389102</v>
      </c>
    </row>
    <row r="65" spans="1:15">
      <c r="A65" s="664" t="str">
        <f t="shared" si="12"/>
        <v>B467XXX05</v>
      </c>
      <c r="B65" s="526" t="str">
        <f t="shared" si="13"/>
        <v xml:space="preserve">        CG Acciones y Bonos - B467XXX05</v>
      </c>
      <c r="C65" s="530">
        <f>+SUMIFS('Ventas Acciones &amp; Bonos'!$AL:$AL,'Ventas Acciones &amp; Bonos'!$B:$B,'Rev JR'!$A65,'Ventas Acciones &amp; Bonos'!$X:$X,"&gt;="&amp;'Rev JR'!C$1,'Ventas Acciones &amp; Bonos'!$X:$X,"&lt;="&amp;EOMONTH('Rev JR'!C$1,0))</f>
        <v>0</v>
      </c>
      <c r="D65" s="530">
        <f>+SUMIFS('Ventas Acciones &amp; Bonos'!$AL:$AL,'Ventas Acciones &amp; Bonos'!$B:$B,'Rev JR'!$A65,'Ventas Acciones &amp; Bonos'!$X:$X,"&gt;="&amp;'Rev JR'!D$1,'Ventas Acciones &amp; Bonos'!$X:$X,"&lt;="&amp;EOMONTH('Rev JR'!D$1,0))</f>
        <v>0</v>
      </c>
      <c r="E65" s="530">
        <f>+SUMIFS('Ventas Acciones &amp; Bonos'!$AL:$AL,'Ventas Acciones &amp; Bonos'!$B:$B,'Rev JR'!$A65,'Ventas Acciones &amp; Bonos'!$X:$X,"&gt;="&amp;'Rev JR'!E$1,'Ventas Acciones &amp; Bonos'!$X:$X,"&lt;="&amp;EOMONTH('Rev JR'!E$1,0))</f>
        <v>0</v>
      </c>
      <c r="F65" s="530">
        <f>+SUMIFS('Ventas Acciones &amp; Bonos'!$AL:$AL,'Ventas Acciones &amp; Bonos'!$B:$B,'Rev JR'!$A65,'Ventas Acciones &amp; Bonos'!$X:$X,"&gt;="&amp;'Rev JR'!F$1,'Ventas Acciones &amp; Bonos'!$X:$X,"&lt;="&amp;EOMONTH('Rev JR'!F$1,0))</f>
        <v>0</v>
      </c>
      <c r="G65" s="530">
        <f>+SUMIFS('Ventas Acciones &amp; Bonos'!$AL:$AL,'Ventas Acciones &amp; Bonos'!$B:$B,'Rev JR'!$A65,'Ventas Acciones &amp; Bonos'!$X:$X,"&gt;="&amp;'Rev JR'!G$1,'Ventas Acciones &amp; Bonos'!$X:$X,"&lt;="&amp;EOMONTH('Rev JR'!G$1,0))</f>
        <v>0</v>
      </c>
      <c r="H65" s="530">
        <f>+SUMIFS('Ventas Acciones &amp; Bonos'!$AL:$AL,'Ventas Acciones &amp; Bonos'!$B:$B,'Rev JR'!$A65,'Ventas Acciones &amp; Bonos'!$X:$X,"&gt;="&amp;'Rev JR'!H$1,'Ventas Acciones &amp; Bonos'!$X:$X,"&lt;="&amp;EOMONTH('Rev JR'!H$1,0))</f>
        <v>0</v>
      </c>
      <c r="I65" s="530">
        <f>+SUMIFS('Ventas Acciones &amp; Bonos'!$AL:$AL,'Ventas Acciones &amp; Bonos'!$B:$B,'Rev JR'!$A65,'Ventas Acciones &amp; Bonos'!$X:$X,"&gt;="&amp;'Rev JR'!I$1,'Ventas Acciones &amp; Bonos'!$X:$X,"&lt;="&amp;EOMONTH('Rev JR'!I$1,0))</f>
        <v>0</v>
      </c>
      <c r="J65" s="530">
        <f>+SUMIFS('Ventas Acciones &amp; Bonos'!$AL:$AL,'Ventas Acciones &amp; Bonos'!$B:$B,'Rev JR'!$A65,'Ventas Acciones &amp; Bonos'!$X:$X,"&gt;="&amp;'Rev JR'!J$1,'Ventas Acciones &amp; Bonos'!$X:$X,"&lt;="&amp;EOMONTH('Rev JR'!J$1,0))</f>
        <v>-228859.99000000002</v>
      </c>
      <c r="K65" s="530">
        <f>+SUMIFS('Ventas Acciones &amp; Bonos'!$AL:$AL,'Ventas Acciones &amp; Bonos'!$B:$B,'Rev JR'!$A65,'Ventas Acciones &amp; Bonos'!$X:$X,"&gt;="&amp;'Rev JR'!K$1,'Ventas Acciones &amp; Bonos'!$X:$X,"&lt;="&amp;EOMONTH('Rev JR'!K$1,0))</f>
        <v>0</v>
      </c>
      <c r="L65" s="530">
        <f>+SUMIFS('Ventas Acciones &amp; Bonos'!$AL:$AL,'Ventas Acciones &amp; Bonos'!$B:$B,'Rev JR'!$A65,'Ventas Acciones &amp; Bonos'!$X:$X,"&gt;="&amp;'Rev JR'!L$1,'Ventas Acciones &amp; Bonos'!$X:$X,"&lt;="&amp;EOMONTH('Rev JR'!L$1,0))</f>
        <v>0</v>
      </c>
      <c r="M65" s="530">
        <f>+SUMIFS('Ventas Acciones &amp; Bonos'!$AL:$AL,'Ventas Acciones &amp; Bonos'!$B:$B,'Rev JR'!$A65,'Ventas Acciones &amp; Bonos'!$X:$X,"&gt;="&amp;'Rev JR'!M$1,'Ventas Acciones &amp; Bonos'!$X:$X,"&lt;="&amp;EOMONTH('Rev JR'!M$1,0))</f>
        <v>0</v>
      </c>
      <c r="N65" s="530">
        <f>+SUMIFS('Ventas Acciones &amp; Bonos'!$AL:$AL,'Ventas Acciones &amp; Bonos'!$B:$B,'Rev JR'!$A65,'Ventas Acciones &amp; Bonos'!$X:$X,"&gt;="&amp;'Rev JR'!N$1,'Ventas Acciones &amp; Bonos'!$X:$X,"&lt;="&amp;EOMONTH('Rev JR'!N$1,0))</f>
        <v>0</v>
      </c>
      <c r="O65" s="530">
        <f t="shared" si="11"/>
        <v>-228859.99000000002</v>
      </c>
    </row>
    <row r="66" spans="1:15">
      <c r="A66" s="664" t="str">
        <f t="shared" si="12"/>
        <v>677-0XXX52-670</v>
      </c>
      <c r="B66" s="526" t="str">
        <f t="shared" si="13"/>
        <v xml:space="preserve">        CG Acciones y Bonos - 677-0XXX52-670</v>
      </c>
      <c r="C66" s="530">
        <f>+SUMIFS('Ventas Acciones &amp; Bonos'!$AL:$AL,'Ventas Acciones &amp; Bonos'!$B:$B,'Rev JR'!$A66,'Ventas Acciones &amp; Bonos'!$X:$X,"&gt;="&amp;'Rev JR'!C$1,'Ventas Acciones &amp; Bonos'!$X:$X,"&lt;="&amp;EOMONTH('Rev JR'!C$1,0))</f>
        <v>0</v>
      </c>
      <c r="D66" s="530">
        <f>+SUMIFS('Ventas Acciones &amp; Bonos'!$AL:$AL,'Ventas Acciones &amp; Bonos'!$B:$B,'Rev JR'!$A66,'Ventas Acciones &amp; Bonos'!$X:$X,"&gt;="&amp;'Rev JR'!D$1,'Ventas Acciones &amp; Bonos'!$X:$X,"&lt;="&amp;EOMONTH('Rev JR'!D$1,0))</f>
        <v>0</v>
      </c>
      <c r="E66" s="530">
        <f>+SUMIFS('Ventas Acciones &amp; Bonos'!$AL:$AL,'Ventas Acciones &amp; Bonos'!$B:$B,'Rev JR'!$A66,'Ventas Acciones &amp; Bonos'!$X:$X,"&gt;="&amp;'Rev JR'!E$1,'Ventas Acciones &amp; Bonos'!$X:$X,"&lt;="&amp;EOMONTH('Rev JR'!E$1,0))</f>
        <v>0</v>
      </c>
      <c r="F66" s="530">
        <f>+SUMIFS('Ventas Acciones &amp; Bonos'!$AL:$AL,'Ventas Acciones &amp; Bonos'!$B:$B,'Rev JR'!$A66,'Ventas Acciones &amp; Bonos'!$X:$X,"&gt;="&amp;'Rev JR'!F$1,'Ventas Acciones &amp; Bonos'!$X:$X,"&lt;="&amp;EOMONTH('Rev JR'!F$1,0))</f>
        <v>0</v>
      </c>
      <c r="G66" s="530">
        <f>+SUMIFS('Ventas Acciones &amp; Bonos'!$AL:$AL,'Ventas Acciones &amp; Bonos'!$B:$B,'Rev JR'!$A66,'Ventas Acciones &amp; Bonos'!$X:$X,"&gt;="&amp;'Rev JR'!G$1,'Ventas Acciones &amp; Bonos'!$X:$X,"&lt;="&amp;EOMONTH('Rev JR'!G$1,0))</f>
        <v>-127228.43000000017</v>
      </c>
      <c r="H66" s="530">
        <f>+SUMIFS('Ventas Acciones &amp; Bonos'!$AL:$AL,'Ventas Acciones &amp; Bonos'!$B:$B,'Rev JR'!$A66,'Ventas Acciones &amp; Bonos'!$X:$X,"&gt;="&amp;'Rev JR'!H$1,'Ventas Acciones &amp; Bonos'!$X:$X,"&lt;="&amp;EOMONTH('Rev JR'!H$1,0))</f>
        <v>0</v>
      </c>
      <c r="I66" s="530">
        <f>+SUMIFS('Ventas Acciones &amp; Bonos'!$AL:$AL,'Ventas Acciones &amp; Bonos'!$B:$B,'Rev JR'!$A66,'Ventas Acciones &amp; Bonos'!$X:$X,"&gt;="&amp;'Rev JR'!I$1,'Ventas Acciones &amp; Bonos'!$X:$X,"&lt;="&amp;EOMONTH('Rev JR'!I$1,0))</f>
        <v>0</v>
      </c>
      <c r="J66" s="530">
        <f>+SUMIFS('Ventas Acciones &amp; Bonos'!$AL:$AL,'Ventas Acciones &amp; Bonos'!$B:$B,'Rev JR'!$A66,'Ventas Acciones &amp; Bonos'!$X:$X,"&gt;="&amp;'Rev JR'!J$1,'Ventas Acciones &amp; Bonos'!$X:$X,"&lt;="&amp;EOMONTH('Rev JR'!J$1,0))</f>
        <v>0</v>
      </c>
      <c r="K66" s="530">
        <f>+SUMIFS('Ventas Acciones &amp; Bonos'!$AL:$AL,'Ventas Acciones &amp; Bonos'!$B:$B,'Rev JR'!$A66,'Ventas Acciones &amp; Bonos'!$X:$X,"&gt;="&amp;'Rev JR'!K$1,'Ventas Acciones &amp; Bonos'!$X:$X,"&lt;="&amp;EOMONTH('Rev JR'!K$1,0))</f>
        <v>0</v>
      </c>
      <c r="L66" s="530">
        <f>+SUMIFS('Ventas Acciones &amp; Bonos'!$AL:$AL,'Ventas Acciones &amp; Bonos'!$B:$B,'Rev JR'!$A66,'Ventas Acciones &amp; Bonos'!$X:$X,"&gt;="&amp;'Rev JR'!L$1,'Ventas Acciones &amp; Bonos'!$X:$X,"&lt;="&amp;EOMONTH('Rev JR'!L$1,0))</f>
        <v>0</v>
      </c>
      <c r="M66" s="530">
        <f>+SUMIFS('Ventas Acciones &amp; Bonos'!$AL:$AL,'Ventas Acciones &amp; Bonos'!$B:$B,'Rev JR'!$A66,'Ventas Acciones &amp; Bonos'!$X:$X,"&gt;="&amp;'Rev JR'!M$1,'Ventas Acciones &amp; Bonos'!$X:$X,"&lt;="&amp;EOMONTH('Rev JR'!M$1,0))</f>
        <v>0</v>
      </c>
      <c r="N66" s="530">
        <f>+SUMIFS('Ventas Acciones &amp; Bonos'!$AL:$AL,'Ventas Acciones &amp; Bonos'!$B:$B,'Rev JR'!$A66,'Ventas Acciones &amp; Bonos'!$X:$X,"&gt;="&amp;'Rev JR'!N$1,'Ventas Acciones &amp; Bonos'!$X:$X,"&lt;="&amp;EOMONTH('Rev JR'!N$1,0))</f>
        <v>0</v>
      </c>
      <c r="O66" s="530">
        <f t="shared" si="11"/>
        <v>-127228.43000000017</v>
      </c>
    </row>
    <row r="67" spans="1:15">
      <c r="A67" s="664" t="str">
        <f t="shared" si="12"/>
        <v>677-0XXX53-471</v>
      </c>
      <c r="B67" s="526" t="str">
        <f t="shared" si="13"/>
        <v xml:space="preserve">        CG Acciones y Bonos - 677-0XXX53-471</v>
      </c>
      <c r="C67" s="530">
        <f>+SUMIFS('Ventas Acciones &amp; Bonos'!$AL:$AL,'Ventas Acciones &amp; Bonos'!$B:$B,'Rev JR'!$A67,'Ventas Acciones &amp; Bonos'!$X:$X,"&gt;="&amp;'Rev JR'!C$1,'Ventas Acciones &amp; Bonos'!$X:$X,"&lt;="&amp;EOMONTH('Rev JR'!C$1,0))</f>
        <v>372857.79</v>
      </c>
      <c r="D67" s="530">
        <f>+SUMIFS('Ventas Acciones &amp; Bonos'!$AL:$AL,'Ventas Acciones &amp; Bonos'!$B:$B,'Rev JR'!$A67,'Ventas Acciones &amp; Bonos'!$X:$X,"&gt;="&amp;'Rev JR'!D$1,'Ventas Acciones &amp; Bonos'!$X:$X,"&lt;="&amp;EOMONTH('Rev JR'!D$1,0))</f>
        <v>0</v>
      </c>
      <c r="E67" s="530">
        <f>+SUMIFS('Ventas Acciones &amp; Bonos'!$AL:$AL,'Ventas Acciones &amp; Bonos'!$B:$B,'Rev JR'!$A67,'Ventas Acciones &amp; Bonos'!$X:$X,"&gt;="&amp;'Rev JR'!E$1,'Ventas Acciones &amp; Bonos'!$X:$X,"&lt;="&amp;EOMONTH('Rev JR'!E$1,0))</f>
        <v>0</v>
      </c>
      <c r="F67" s="530">
        <f>+SUMIFS('Ventas Acciones &amp; Bonos'!$AL:$AL,'Ventas Acciones &amp; Bonos'!$B:$B,'Rev JR'!$A67,'Ventas Acciones &amp; Bonos'!$X:$X,"&gt;="&amp;'Rev JR'!F$1,'Ventas Acciones &amp; Bonos'!$X:$X,"&lt;="&amp;EOMONTH('Rev JR'!F$1,0))</f>
        <v>57676.760000000009</v>
      </c>
      <c r="G67" s="530">
        <f>+SUMIFS('Ventas Acciones &amp; Bonos'!$AL:$AL,'Ventas Acciones &amp; Bonos'!$B:$B,'Rev JR'!$A67,'Ventas Acciones &amp; Bonos'!$X:$X,"&gt;="&amp;'Rev JR'!G$1,'Ventas Acciones &amp; Bonos'!$X:$X,"&lt;="&amp;EOMONTH('Rev JR'!G$1,0))</f>
        <v>857688.36999999988</v>
      </c>
      <c r="H67" s="530">
        <f>+SUMIFS('Ventas Acciones &amp; Bonos'!$AL:$AL,'Ventas Acciones &amp; Bonos'!$B:$B,'Rev JR'!$A67,'Ventas Acciones &amp; Bonos'!$X:$X,"&gt;="&amp;'Rev JR'!H$1,'Ventas Acciones &amp; Bonos'!$X:$X,"&lt;="&amp;EOMONTH('Rev JR'!H$1,0))</f>
        <v>0</v>
      </c>
      <c r="I67" s="530">
        <f>+SUMIFS('Ventas Acciones &amp; Bonos'!$AL:$AL,'Ventas Acciones &amp; Bonos'!$B:$B,'Rev JR'!$A67,'Ventas Acciones &amp; Bonos'!$X:$X,"&gt;="&amp;'Rev JR'!I$1,'Ventas Acciones &amp; Bonos'!$X:$X,"&lt;="&amp;EOMONTH('Rev JR'!I$1,0))</f>
        <v>0</v>
      </c>
      <c r="J67" s="530">
        <f>+SUMIFS('Ventas Acciones &amp; Bonos'!$AL:$AL,'Ventas Acciones &amp; Bonos'!$B:$B,'Rev JR'!$A67,'Ventas Acciones &amp; Bonos'!$X:$X,"&gt;="&amp;'Rev JR'!J$1,'Ventas Acciones &amp; Bonos'!$X:$X,"&lt;="&amp;EOMONTH('Rev JR'!J$1,0))</f>
        <v>753435.2</v>
      </c>
      <c r="K67" s="530">
        <f>+SUMIFS('Ventas Acciones &amp; Bonos'!$AL:$AL,'Ventas Acciones &amp; Bonos'!$B:$B,'Rev JR'!$A67,'Ventas Acciones &amp; Bonos'!$X:$X,"&gt;="&amp;'Rev JR'!K$1,'Ventas Acciones &amp; Bonos'!$X:$X,"&lt;="&amp;EOMONTH('Rev JR'!K$1,0))</f>
        <v>0</v>
      </c>
      <c r="L67" s="530">
        <f>+SUMIFS('Ventas Acciones &amp; Bonos'!$AL:$AL,'Ventas Acciones &amp; Bonos'!$B:$B,'Rev JR'!$A67,'Ventas Acciones &amp; Bonos'!$X:$X,"&gt;="&amp;'Rev JR'!L$1,'Ventas Acciones &amp; Bonos'!$X:$X,"&lt;="&amp;EOMONTH('Rev JR'!L$1,0))</f>
        <v>0</v>
      </c>
      <c r="M67" s="530">
        <f>+SUMIFS('Ventas Acciones &amp; Bonos'!$AL:$AL,'Ventas Acciones &amp; Bonos'!$B:$B,'Rev JR'!$A67,'Ventas Acciones &amp; Bonos'!$X:$X,"&gt;="&amp;'Rev JR'!M$1,'Ventas Acciones &amp; Bonos'!$X:$X,"&lt;="&amp;EOMONTH('Rev JR'!M$1,0))</f>
        <v>0</v>
      </c>
      <c r="N67" s="530">
        <f>+SUMIFS('Ventas Acciones &amp; Bonos'!$AL:$AL,'Ventas Acciones &amp; Bonos'!$B:$B,'Rev JR'!$A67,'Ventas Acciones &amp; Bonos'!$X:$X,"&gt;="&amp;'Rev JR'!N$1,'Ventas Acciones &amp; Bonos'!$X:$X,"&lt;="&amp;EOMONTH('Rev JR'!N$1,0))</f>
        <v>0</v>
      </c>
      <c r="O67" s="530">
        <f t="shared" si="11"/>
        <v>2041658.1199999999</v>
      </c>
    </row>
    <row r="68" spans="1:15">
      <c r="A68" s="664" t="str">
        <f t="shared" si="12"/>
        <v>4H 0XXX0 RB</v>
      </c>
      <c r="B68" s="526" t="str">
        <f t="shared" si="13"/>
        <v xml:space="preserve">        CG Acciones y Bonos - 4H 0XXX0 RB</v>
      </c>
      <c r="C68" s="530">
        <f>+SUMIFS('Ventas Acciones &amp; Bonos'!$AL:$AL,'Ventas Acciones &amp; Bonos'!$B:$B,'Rev JR'!$A68,'Ventas Acciones &amp; Bonos'!$X:$X,"&gt;="&amp;'Rev JR'!C$1,'Ventas Acciones &amp; Bonos'!$X:$X,"&lt;="&amp;EOMONTH('Rev JR'!C$1,0))</f>
        <v>23073.059999999998</v>
      </c>
      <c r="D68" s="530">
        <f>+SUMIFS('Ventas Acciones &amp; Bonos'!$AL:$AL,'Ventas Acciones &amp; Bonos'!$B:$B,'Rev JR'!$A68,'Ventas Acciones &amp; Bonos'!$X:$X,"&gt;="&amp;'Rev JR'!D$1,'Ventas Acciones &amp; Bonos'!$X:$X,"&lt;="&amp;EOMONTH('Rev JR'!D$1,0))</f>
        <v>41215.949999999997</v>
      </c>
      <c r="E68" s="530">
        <f>+SUMIFS('Ventas Acciones &amp; Bonos'!$AL:$AL,'Ventas Acciones &amp; Bonos'!$B:$B,'Rev JR'!$A68,'Ventas Acciones &amp; Bonos'!$X:$X,"&gt;="&amp;'Rev JR'!E$1,'Ventas Acciones &amp; Bonos'!$X:$X,"&lt;="&amp;EOMONTH('Rev JR'!E$1,0))</f>
        <v>114546.47</v>
      </c>
      <c r="F68" s="530">
        <f>+SUMIFS('Ventas Acciones &amp; Bonos'!$AL:$AL,'Ventas Acciones &amp; Bonos'!$B:$B,'Rev JR'!$A68,'Ventas Acciones &amp; Bonos'!$X:$X,"&gt;="&amp;'Rev JR'!F$1,'Ventas Acciones &amp; Bonos'!$X:$X,"&lt;="&amp;EOMONTH('Rev JR'!F$1,0))</f>
        <v>23887.429999999997</v>
      </c>
      <c r="G68" s="530">
        <f>+SUMIFS('Ventas Acciones &amp; Bonos'!$AL:$AL,'Ventas Acciones &amp; Bonos'!$B:$B,'Rev JR'!$A68,'Ventas Acciones &amp; Bonos'!$X:$X,"&gt;="&amp;'Rev JR'!G$1,'Ventas Acciones &amp; Bonos'!$X:$X,"&lt;="&amp;EOMONTH('Rev JR'!G$1,0))</f>
        <v>23974.92</v>
      </c>
      <c r="H68" s="530">
        <f>+SUMIFS('Ventas Acciones &amp; Bonos'!$AL:$AL,'Ventas Acciones &amp; Bonos'!$B:$B,'Rev JR'!$A68,'Ventas Acciones &amp; Bonos'!$X:$X,"&gt;="&amp;'Rev JR'!H$1,'Ventas Acciones &amp; Bonos'!$X:$X,"&lt;="&amp;EOMONTH('Rev JR'!H$1,0))</f>
        <v>27583.839999999997</v>
      </c>
      <c r="I68" s="530">
        <f>+SUMIFS('Ventas Acciones &amp; Bonos'!$AL:$AL,'Ventas Acciones &amp; Bonos'!$B:$B,'Rev JR'!$A68,'Ventas Acciones &amp; Bonos'!$X:$X,"&gt;="&amp;'Rev JR'!I$1,'Ventas Acciones &amp; Bonos'!$X:$X,"&lt;="&amp;EOMONTH('Rev JR'!I$1,0))</f>
        <v>19183.949999999997</v>
      </c>
      <c r="J68" s="530">
        <f>+SUMIFS('Ventas Acciones &amp; Bonos'!$AL:$AL,'Ventas Acciones &amp; Bonos'!$B:$B,'Rev JR'!$A68,'Ventas Acciones &amp; Bonos'!$X:$X,"&gt;="&amp;'Rev JR'!J$1,'Ventas Acciones &amp; Bonos'!$X:$X,"&lt;="&amp;EOMONTH('Rev JR'!J$1,0))</f>
        <v>383066.45000000007</v>
      </c>
      <c r="K68" s="530">
        <f>+SUMIFS('Ventas Acciones &amp; Bonos'!$AL:$AL,'Ventas Acciones &amp; Bonos'!$B:$B,'Rev JR'!$A68,'Ventas Acciones &amp; Bonos'!$X:$X,"&gt;="&amp;'Rev JR'!K$1,'Ventas Acciones &amp; Bonos'!$X:$X,"&lt;="&amp;EOMONTH('Rev JR'!K$1,0))</f>
        <v>-42161.94</v>
      </c>
      <c r="L68" s="530">
        <f>+SUMIFS('Ventas Acciones &amp; Bonos'!$AL:$AL,'Ventas Acciones &amp; Bonos'!$B:$B,'Rev JR'!$A68,'Ventas Acciones &amp; Bonos'!$X:$X,"&gt;="&amp;'Rev JR'!L$1,'Ventas Acciones &amp; Bonos'!$X:$X,"&lt;="&amp;EOMONTH('Rev JR'!L$1,0))</f>
        <v>-12185.62</v>
      </c>
      <c r="M68" s="530">
        <f>+SUMIFS('Ventas Acciones &amp; Bonos'!$AL:$AL,'Ventas Acciones &amp; Bonos'!$B:$B,'Rev JR'!$A68,'Ventas Acciones &amp; Bonos'!$X:$X,"&gt;="&amp;'Rev JR'!M$1,'Ventas Acciones &amp; Bonos'!$X:$X,"&lt;="&amp;EOMONTH('Rev JR'!M$1,0))</f>
        <v>0</v>
      </c>
      <c r="N68" s="530">
        <f>+SUMIFS('Ventas Acciones &amp; Bonos'!$AL:$AL,'Ventas Acciones &amp; Bonos'!$B:$B,'Rev JR'!$A68,'Ventas Acciones &amp; Bonos'!$X:$X,"&gt;="&amp;'Rev JR'!N$1,'Ventas Acciones &amp; Bonos'!$X:$X,"&lt;="&amp;EOMONTH('Rev JR'!N$1,0))</f>
        <v>0</v>
      </c>
      <c r="O68" s="530">
        <f t="shared" si="11"/>
        <v>602184.51000000013</v>
      </c>
    </row>
    <row r="69" spans="1:15">
      <c r="A69" s="664" t="str">
        <f t="shared" si="12"/>
        <v>H</v>
      </c>
      <c r="B69" s="526" t="str">
        <f t="shared" si="13"/>
        <v xml:space="preserve">        CG Acciones y Bonos - H</v>
      </c>
      <c r="C69" s="530">
        <f>+SUMIFS('Ventas Acciones &amp; Bonos'!$AL:$AL,'Ventas Acciones &amp; Bonos'!$B:$B,'Rev JR'!$A69,'Ventas Acciones &amp; Bonos'!$X:$X,"&gt;="&amp;'Rev JR'!C$1,'Ventas Acciones &amp; Bonos'!$X:$X,"&lt;="&amp;EOMONTH('Rev JR'!C$1,0))</f>
        <v>0</v>
      </c>
      <c r="D69" s="530">
        <f>+SUMIFS('Ventas Acciones &amp; Bonos'!$AL:$AL,'Ventas Acciones &amp; Bonos'!$B:$B,'Rev JR'!$A69,'Ventas Acciones &amp; Bonos'!$X:$X,"&gt;="&amp;'Rev JR'!D$1,'Ventas Acciones &amp; Bonos'!$X:$X,"&lt;="&amp;EOMONTH('Rev JR'!D$1,0))</f>
        <v>0</v>
      </c>
      <c r="E69" s="530">
        <f>+SUMIFS('Ventas Acciones &amp; Bonos'!$AL:$AL,'Ventas Acciones &amp; Bonos'!$B:$B,'Rev JR'!$A69,'Ventas Acciones &amp; Bonos'!$X:$X,"&gt;="&amp;'Rev JR'!E$1,'Ventas Acciones &amp; Bonos'!$X:$X,"&lt;="&amp;EOMONTH('Rev JR'!E$1,0))</f>
        <v>0</v>
      </c>
      <c r="F69" s="530">
        <f>+SUMIFS('Ventas Acciones &amp; Bonos'!$AL:$AL,'Ventas Acciones &amp; Bonos'!$B:$B,'Rev JR'!$A69,'Ventas Acciones &amp; Bonos'!$X:$X,"&gt;="&amp;'Rev JR'!F$1,'Ventas Acciones &amp; Bonos'!$X:$X,"&lt;="&amp;EOMONTH('Rev JR'!F$1,0))</f>
        <v>0</v>
      </c>
      <c r="G69" s="530">
        <f>+SUMIFS('Ventas Acciones &amp; Bonos'!$AL:$AL,'Ventas Acciones &amp; Bonos'!$B:$B,'Rev JR'!$A69,'Ventas Acciones &amp; Bonos'!$X:$X,"&gt;="&amp;'Rev JR'!G$1,'Ventas Acciones &amp; Bonos'!$X:$X,"&lt;="&amp;EOMONTH('Rev JR'!G$1,0))</f>
        <v>0</v>
      </c>
      <c r="H69" s="530">
        <f>+SUMIFS('Ventas Acciones &amp; Bonos'!$AL:$AL,'Ventas Acciones &amp; Bonos'!$B:$B,'Rev JR'!$A69,'Ventas Acciones &amp; Bonos'!$X:$X,"&gt;="&amp;'Rev JR'!H$1,'Ventas Acciones &amp; Bonos'!$X:$X,"&lt;="&amp;EOMONTH('Rev JR'!H$1,0))</f>
        <v>0</v>
      </c>
      <c r="I69" s="530">
        <f>+SUMIFS('Ventas Acciones &amp; Bonos'!$AL:$AL,'Ventas Acciones &amp; Bonos'!$B:$B,'Rev JR'!$A69,'Ventas Acciones &amp; Bonos'!$X:$X,"&gt;="&amp;'Rev JR'!I$1,'Ventas Acciones &amp; Bonos'!$X:$X,"&lt;="&amp;EOMONTH('Rev JR'!I$1,0))</f>
        <v>0</v>
      </c>
      <c r="J69" s="530">
        <f>+SUMIFS('Ventas Acciones &amp; Bonos'!$AL:$AL,'Ventas Acciones &amp; Bonos'!$B:$B,'Rev JR'!$A69,'Ventas Acciones &amp; Bonos'!$X:$X,"&gt;="&amp;'Rev JR'!J$1,'Ventas Acciones &amp; Bonos'!$X:$X,"&lt;="&amp;EOMONTH('Rev JR'!J$1,0))</f>
        <v>0</v>
      </c>
      <c r="K69" s="530">
        <f>+SUMIFS('Ventas Acciones &amp; Bonos'!$AL:$AL,'Ventas Acciones &amp; Bonos'!$B:$B,'Rev JR'!$A69,'Ventas Acciones &amp; Bonos'!$X:$X,"&gt;="&amp;'Rev JR'!K$1,'Ventas Acciones &amp; Bonos'!$X:$X,"&lt;="&amp;EOMONTH('Rev JR'!K$1,0))</f>
        <v>0</v>
      </c>
      <c r="L69" s="530">
        <f>+SUMIFS('Ventas Acciones &amp; Bonos'!$AL:$AL,'Ventas Acciones &amp; Bonos'!$B:$B,'Rev JR'!$A69,'Ventas Acciones &amp; Bonos'!$X:$X,"&gt;="&amp;'Rev JR'!L$1,'Ventas Acciones &amp; Bonos'!$X:$X,"&lt;="&amp;EOMONTH('Rev JR'!L$1,0))</f>
        <v>0</v>
      </c>
      <c r="M69" s="530">
        <f>+SUMIFS('Ventas Acciones &amp; Bonos'!$AL:$AL,'Ventas Acciones &amp; Bonos'!$B:$B,'Rev JR'!$A69,'Ventas Acciones &amp; Bonos'!$X:$X,"&gt;="&amp;'Rev JR'!M$1,'Ventas Acciones &amp; Bonos'!$X:$X,"&lt;="&amp;EOMONTH('Rev JR'!M$1,0))</f>
        <v>0</v>
      </c>
      <c r="N69" s="530">
        <f>+SUMIFS('Ventas Acciones &amp; Bonos'!$AL:$AL,'Ventas Acciones &amp; Bonos'!$B:$B,'Rev JR'!$A69,'Ventas Acciones &amp; Bonos'!$X:$X,"&gt;="&amp;'Rev JR'!N$1,'Ventas Acciones &amp; Bonos'!$X:$X,"&lt;="&amp;EOMONTH('Rev JR'!N$1,0))</f>
        <v>0</v>
      </c>
      <c r="O69" s="530">
        <f t="shared" si="11"/>
        <v>0</v>
      </c>
    </row>
    <row r="70" spans="1:15">
      <c r="A70" s="664" t="str">
        <f t="shared" si="12"/>
        <v>I</v>
      </c>
      <c r="B70" s="526" t="str">
        <f t="shared" si="13"/>
        <v xml:space="preserve">        CG Acciones y Bonos - I</v>
      </c>
      <c r="C70" s="530">
        <f>+SUMIFS('Ventas Acciones &amp; Bonos'!$AL:$AL,'Ventas Acciones &amp; Bonos'!$B:$B,'Rev JR'!$A70,'Ventas Acciones &amp; Bonos'!$X:$X,"&gt;="&amp;'Rev JR'!C$1,'Ventas Acciones &amp; Bonos'!$X:$X,"&lt;="&amp;EOMONTH('Rev JR'!C$1,0))</f>
        <v>0</v>
      </c>
      <c r="D70" s="530">
        <f>+SUMIFS('Ventas Acciones &amp; Bonos'!$AL:$AL,'Ventas Acciones &amp; Bonos'!$B:$B,'Rev JR'!$A70,'Ventas Acciones &amp; Bonos'!$X:$X,"&gt;="&amp;'Rev JR'!D$1,'Ventas Acciones &amp; Bonos'!$X:$X,"&lt;="&amp;EOMONTH('Rev JR'!D$1,0))</f>
        <v>0</v>
      </c>
      <c r="E70" s="530">
        <f>+SUMIFS('Ventas Acciones &amp; Bonos'!$AL:$AL,'Ventas Acciones &amp; Bonos'!$B:$B,'Rev JR'!$A70,'Ventas Acciones &amp; Bonos'!$X:$X,"&gt;="&amp;'Rev JR'!E$1,'Ventas Acciones &amp; Bonos'!$X:$X,"&lt;="&amp;EOMONTH('Rev JR'!E$1,0))</f>
        <v>0</v>
      </c>
      <c r="F70" s="530">
        <f>+SUMIFS('Ventas Acciones &amp; Bonos'!$AL:$AL,'Ventas Acciones &amp; Bonos'!$B:$B,'Rev JR'!$A70,'Ventas Acciones &amp; Bonos'!$X:$X,"&gt;="&amp;'Rev JR'!F$1,'Ventas Acciones &amp; Bonos'!$X:$X,"&lt;="&amp;EOMONTH('Rev JR'!F$1,0))</f>
        <v>0</v>
      </c>
      <c r="G70" s="530">
        <f>+SUMIFS('Ventas Acciones &amp; Bonos'!$AL:$AL,'Ventas Acciones &amp; Bonos'!$B:$B,'Rev JR'!$A70,'Ventas Acciones &amp; Bonos'!$X:$X,"&gt;="&amp;'Rev JR'!G$1,'Ventas Acciones &amp; Bonos'!$X:$X,"&lt;="&amp;EOMONTH('Rev JR'!G$1,0))</f>
        <v>0</v>
      </c>
      <c r="H70" s="530">
        <f>+SUMIFS('Ventas Acciones &amp; Bonos'!$AL:$AL,'Ventas Acciones &amp; Bonos'!$B:$B,'Rev JR'!$A70,'Ventas Acciones &amp; Bonos'!$X:$X,"&gt;="&amp;'Rev JR'!H$1,'Ventas Acciones &amp; Bonos'!$X:$X,"&lt;="&amp;EOMONTH('Rev JR'!H$1,0))</f>
        <v>0</v>
      </c>
      <c r="I70" s="530">
        <f>+SUMIFS('Ventas Acciones &amp; Bonos'!$AL:$AL,'Ventas Acciones &amp; Bonos'!$B:$B,'Rev JR'!$A70,'Ventas Acciones &amp; Bonos'!$X:$X,"&gt;="&amp;'Rev JR'!I$1,'Ventas Acciones &amp; Bonos'!$X:$X,"&lt;="&amp;EOMONTH('Rev JR'!I$1,0))</f>
        <v>0</v>
      </c>
      <c r="J70" s="530">
        <f>+SUMIFS('Ventas Acciones &amp; Bonos'!$AL:$AL,'Ventas Acciones &amp; Bonos'!$B:$B,'Rev JR'!$A70,'Ventas Acciones &amp; Bonos'!$X:$X,"&gt;="&amp;'Rev JR'!J$1,'Ventas Acciones &amp; Bonos'!$X:$X,"&lt;="&amp;EOMONTH('Rev JR'!J$1,0))</f>
        <v>0</v>
      </c>
      <c r="K70" s="530">
        <f>+SUMIFS('Ventas Acciones &amp; Bonos'!$AL:$AL,'Ventas Acciones &amp; Bonos'!$B:$B,'Rev JR'!$A70,'Ventas Acciones &amp; Bonos'!$X:$X,"&gt;="&amp;'Rev JR'!K$1,'Ventas Acciones &amp; Bonos'!$X:$X,"&lt;="&amp;EOMONTH('Rev JR'!K$1,0))</f>
        <v>0</v>
      </c>
      <c r="L70" s="530">
        <f>+SUMIFS('Ventas Acciones &amp; Bonos'!$AL:$AL,'Ventas Acciones &amp; Bonos'!$B:$B,'Rev JR'!$A70,'Ventas Acciones &amp; Bonos'!$X:$X,"&gt;="&amp;'Rev JR'!L$1,'Ventas Acciones &amp; Bonos'!$X:$X,"&lt;="&amp;EOMONTH('Rev JR'!L$1,0))</f>
        <v>0</v>
      </c>
      <c r="M70" s="530">
        <f>+SUMIFS('Ventas Acciones &amp; Bonos'!$AL:$AL,'Ventas Acciones &amp; Bonos'!$B:$B,'Rev JR'!$A70,'Ventas Acciones &amp; Bonos'!$X:$X,"&gt;="&amp;'Rev JR'!M$1,'Ventas Acciones &amp; Bonos'!$X:$X,"&lt;="&amp;EOMONTH('Rev JR'!M$1,0))</f>
        <v>0</v>
      </c>
      <c r="N70" s="530">
        <f>+SUMIFS('Ventas Acciones &amp; Bonos'!$AL:$AL,'Ventas Acciones &amp; Bonos'!$B:$B,'Rev JR'!$A70,'Ventas Acciones &amp; Bonos'!$X:$X,"&gt;="&amp;'Rev JR'!N$1,'Ventas Acciones &amp; Bonos'!$X:$X,"&lt;="&amp;EOMONTH('Rev JR'!N$1,0))</f>
        <v>0</v>
      </c>
      <c r="O70" s="530">
        <f t="shared" si="11"/>
        <v>0</v>
      </c>
    </row>
    <row r="71" spans="1:15">
      <c r="A71" s="664" t="str">
        <f t="shared" si="12"/>
        <v>J</v>
      </c>
      <c r="B71" s="526" t="str">
        <f t="shared" si="13"/>
        <v xml:space="preserve">        CG Acciones y Bonos - J</v>
      </c>
      <c r="C71" s="530">
        <f>+SUMIFS('Ventas Acciones &amp; Bonos'!$AL:$AL,'Ventas Acciones &amp; Bonos'!$B:$B,'Rev JR'!$A71,'Ventas Acciones &amp; Bonos'!$X:$X,"&gt;="&amp;'Rev JR'!C$1,'Ventas Acciones &amp; Bonos'!$X:$X,"&lt;="&amp;EOMONTH('Rev JR'!C$1,0))</f>
        <v>0</v>
      </c>
      <c r="D71" s="530">
        <f>+SUMIFS('Ventas Acciones &amp; Bonos'!$AL:$AL,'Ventas Acciones &amp; Bonos'!$B:$B,'Rev JR'!$A71,'Ventas Acciones &amp; Bonos'!$X:$X,"&gt;="&amp;'Rev JR'!D$1,'Ventas Acciones &amp; Bonos'!$X:$X,"&lt;="&amp;EOMONTH('Rev JR'!D$1,0))</f>
        <v>0</v>
      </c>
      <c r="E71" s="530">
        <f>+SUMIFS('Ventas Acciones &amp; Bonos'!$AL:$AL,'Ventas Acciones &amp; Bonos'!$B:$B,'Rev JR'!$A71,'Ventas Acciones &amp; Bonos'!$X:$X,"&gt;="&amp;'Rev JR'!E$1,'Ventas Acciones &amp; Bonos'!$X:$X,"&lt;="&amp;EOMONTH('Rev JR'!E$1,0))</f>
        <v>0</v>
      </c>
      <c r="F71" s="530">
        <f>+SUMIFS('Ventas Acciones &amp; Bonos'!$AL:$AL,'Ventas Acciones &amp; Bonos'!$B:$B,'Rev JR'!$A71,'Ventas Acciones &amp; Bonos'!$X:$X,"&gt;="&amp;'Rev JR'!F$1,'Ventas Acciones &amp; Bonos'!$X:$X,"&lt;="&amp;EOMONTH('Rev JR'!F$1,0))</f>
        <v>0</v>
      </c>
      <c r="G71" s="530">
        <f>+SUMIFS('Ventas Acciones &amp; Bonos'!$AL:$AL,'Ventas Acciones &amp; Bonos'!$B:$B,'Rev JR'!$A71,'Ventas Acciones &amp; Bonos'!$X:$X,"&gt;="&amp;'Rev JR'!G$1,'Ventas Acciones &amp; Bonos'!$X:$X,"&lt;="&amp;EOMONTH('Rev JR'!G$1,0))</f>
        <v>0</v>
      </c>
      <c r="H71" s="530">
        <f>+SUMIFS('Ventas Acciones &amp; Bonos'!$AL:$AL,'Ventas Acciones &amp; Bonos'!$B:$B,'Rev JR'!$A71,'Ventas Acciones &amp; Bonos'!$X:$X,"&gt;="&amp;'Rev JR'!H$1,'Ventas Acciones &amp; Bonos'!$X:$X,"&lt;="&amp;EOMONTH('Rev JR'!H$1,0))</f>
        <v>0</v>
      </c>
      <c r="I71" s="530">
        <f>+SUMIFS('Ventas Acciones &amp; Bonos'!$AL:$AL,'Ventas Acciones &amp; Bonos'!$B:$B,'Rev JR'!$A71,'Ventas Acciones &amp; Bonos'!$X:$X,"&gt;="&amp;'Rev JR'!I$1,'Ventas Acciones &amp; Bonos'!$X:$X,"&lt;="&amp;EOMONTH('Rev JR'!I$1,0))</f>
        <v>0</v>
      </c>
      <c r="J71" s="530">
        <f>+SUMIFS('Ventas Acciones &amp; Bonos'!$AL:$AL,'Ventas Acciones &amp; Bonos'!$B:$B,'Rev JR'!$A71,'Ventas Acciones &amp; Bonos'!$X:$X,"&gt;="&amp;'Rev JR'!J$1,'Ventas Acciones &amp; Bonos'!$X:$X,"&lt;="&amp;EOMONTH('Rev JR'!J$1,0))</f>
        <v>0</v>
      </c>
      <c r="K71" s="530">
        <f>+SUMIFS('Ventas Acciones &amp; Bonos'!$AL:$AL,'Ventas Acciones &amp; Bonos'!$B:$B,'Rev JR'!$A71,'Ventas Acciones &amp; Bonos'!$X:$X,"&gt;="&amp;'Rev JR'!K$1,'Ventas Acciones &amp; Bonos'!$X:$X,"&lt;="&amp;EOMONTH('Rev JR'!K$1,0))</f>
        <v>0</v>
      </c>
      <c r="L71" s="530">
        <f>+SUMIFS('Ventas Acciones &amp; Bonos'!$AL:$AL,'Ventas Acciones &amp; Bonos'!$B:$B,'Rev JR'!$A71,'Ventas Acciones &amp; Bonos'!$X:$X,"&gt;="&amp;'Rev JR'!L$1,'Ventas Acciones &amp; Bonos'!$X:$X,"&lt;="&amp;EOMONTH('Rev JR'!L$1,0))</f>
        <v>0</v>
      </c>
      <c r="M71" s="530">
        <f>+SUMIFS('Ventas Acciones &amp; Bonos'!$AL:$AL,'Ventas Acciones &amp; Bonos'!$B:$B,'Rev JR'!$A71,'Ventas Acciones &amp; Bonos'!$X:$X,"&gt;="&amp;'Rev JR'!M$1,'Ventas Acciones &amp; Bonos'!$X:$X,"&lt;="&amp;EOMONTH('Rev JR'!M$1,0))</f>
        <v>0</v>
      </c>
      <c r="N71" s="530">
        <f>+SUMIFS('Ventas Acciones &amp; Bonos'!$AL:$AL,'Ventas Acciones &amp; Bonos'!$B:$B,'Rev JR'!$A71,'Ventas Acciones &amp; Bonos'!$X:$X,"&gt;="&amp;'Rev JR'!N$1,'Ventas Acciones &amp; Bonos'!$X:$X,"&lt;="&amp;EOMONTH('Rev JR'!N$1,0))</f>
        <v>0</v>
      </c>
      <c r="O71" s="530">
        <f t="shared" si="11"/>
        <v>0</v>
      </c>
    </row>
    <row r="72" spans="1:15">
      <c r="A72" s="664" t="str">
        <f t="shared" si="12"/>
        <v>K</v>
      </c>
      <c r="B72" s="526" t="str">
        <f t="shared" si="13"/>
        <v xml:space="preserve">        CG Acciones y Bonos - K</v>
      </c>
      <c r="C72" s="530">
        <f>+SUMIFS('Ventas Acciones &amp; Bonos'!$AL:$AL,'Ventas Acciones &amp; Bonos'!$B:$B,'Rev JR'!$A72,'Ventas Acciones &amp; Bonos'!$X:$X,"&gt;="&amp;'Rev JR'!C$1,'Ventas Acciones &amp; Bonos'!$X:$X,"&lt;="&amp;EOMONTH('Rev JR'!C$1,0))</f>
        <v>0</v>
      </c>
      <c r="D72" s="530">
        <f>+SUMIFS('Ventas Acciones &amp; Bonos'!$AL:$AL,'Ventas Acciones &amp; Bonos'!$B:$B,'Rev JR'!$A72,'Ventas Acciones &amp; Bonos'!$X:$X,"&gt;="&amp;'Rev JR'!D$1,'Ventas Acciones &amp; Bonos'!$X:$X,"&lt;="&amp;EOMONTH('Rev JR'!D$1,0))</f>
        <v>0</v>
      </c>
      <c r="E72" s="530">
        <f>+SUMIFS('Ventas Acciones &amp; Bonos'!$AL:$AL,'Ventas Acciones &amp; Bonos'!$B:$B,'Rev JR'!$A72,'Ventas Acciones &amp; Bonos'!$X:$X,"&gt;="&amp;'Rev JR'!E$1,'Ventas Acciones &amp; Bonos'!$X:$X,"&lt;="&amp;EOMONTH('Rev JR'!E$1,0))</f>
        <v>0</v>
      </c>
      <c r="F72" s="530">
        <f>+SUMIFS('Ventas Acciones &amp; Bonos'!$AL:$AL,'Ventas Acciones &amp; Bonos'!$B:$B,'Rev JR'!$A72,'Ventas Acciones &amp; Bonos'!$X:$X,"&gt;="&amp;'Rev JR'!F$1,'Ventas Acciones &amp; Bonos'!$X:$X,"&lt;="&amp;EOMONTH('Rev JR'!F$1,0))</f>
        <v>0</v>
      </c>
      <c r="G72" s="530">
        <f>+SUMIFS('Ventas Acciones &amp; Bonos'!$AL:$AL,'Ventas Acciones &amp; Bonos'!$B:$B,'Rev JR'!$A72,'Ventas Acciones &amp; Bonos'!$X:$X,"&gt;="&amp;'Rev JR'!G$1,'Ventas Acciones &amp; Bonos'!$X:$X,"&lt;="&amp;EOMONTH('Rev JR'!G$1,0))</f>
        <v>0</v>
      </c>
      <c r="H72" s="530">
        <f>+SUMIFS('Ventas Acciones &amp; Bonos'!$AL:$AL,'Ventas Acciones &amp; Bonos'!$B:$B,'Rev JR'!$A72,'Ventas Acciones &amp; Bonos'!$X:$X,"&gt;="&amp;'Rev JR'!H$1,'Ventas Acciones &amp; Bonos'!$X:$X,"&lt;="&amp;EOMONTH('Rev JR'!H$1,0))</f>
        <v>0</v>
      </c>
      <c r="I72" s="530">
        <f>+SUMIFS('Ventas Acciones &amp; Bonos'!$AL:$AL,'Ventas Acciones &amp; Bonos'!$B:$B,'Rev JR'!$A72,'Ventas Acciones &amp; Bonos'!$X:$X,"&gt;="&amp;'Rev JR'!I$1,'Ventas Acciones &amp; Bonos'!$X:$X,"&lt;="&amp;EOMONTH('Rev JR'!I$1,0))</f>
        <v>0</v>
      </c>
      <c r="J72" s="530">
        <f>+SUMIFS('Ventas Acciones &amp; Bonos'!$AL:$AL,'Ventas Acciones &amp; Bonos'!$B:$B,'Rev JR'!$A72,'Ventas Acciones &amp; Bonos'!$X:$X,"&gt;="&amp;'Rev JR'!J$1,'Ventas Acciones &amp; Bonos'!$X:$X,"&lt;="&amp;EOMONTH('Rev JR'!J$1,0))</f>
        <v>0</v>
      </c>
      <c r="K72" s="530">
        <f>+SUMIFS('Ventas Acciones &amp; Bonos'!$AL:$AL,'Ventas Acciones &amp; Bonos'!$B:$B,'Rev JR'!$A72,'Ventas Acciones &amp; Bonos'!$X:$X,"&gt;="&amp;'Rev JR'!K$1,'Ventas Acciones &amp; Bonos'!$X:$X,"&lt;="&amp;EOMONTH('Rev JR'!K$1,0))</f>
        <v>0</v>
      </c>
      <c r="L72" s="530">
        <f>+SUMIFS('Ventas Acciones &amp; Bonos'!$AL:$AL,'Ventas Acciones &amp; Bonos'!$B:$B,'Rev JR'!$A72,'Ventas Acciones &amp; Bonos'!$X:$X,"&gt;="&amp;'Rev JR'!L$1,'Ventas Acciones &amp; Bonos'!$X:$X,"&lt;="&amp;EOMONTH('Rev JR'!L$1,0))</f>
        <v>0</v>
      </c>
      <c r="M72" s="530">
        <f>+SUMIFS('Ventas Acciones &amp; Bonos'!$AL:$AL,'Ventas Acciones &amp; Bonos'!$B:$B,'Rev JR'!$A72,'Ventas Acciones &amp; Bonos'!$X:$X,"&gt;="&amp;'Rev JR'!M$1,'Ventas Acciones &amp; Bonos'!$X:$X,"&lt;="&amp;EOMONTH('Rev JR'!M$1,0))</f>
        <v>0</v>
      </c>
      <c r="N72" s="530">
        <f>+SUMIFS('Ventas Acciones &amp; Bonos'!$AL:$AL,'Ventas Acciones &amp; Bonos'!$B:$B,'Rev JR'!$A72,'Ventas Acciones &amp; Bonos'!$X:$X,"&gt;="&amp;'Rev JR'!N$1,'Ventas Acciones &amp; Bonos'!$X:$X,"&lt;="&amp;EOMONTH('Rev JR'!N$1,0))</f>
        <v>0</v>
      </c>
      <c r="O72" s="530">
        <f t="shared" si="11"/>
        <v>0</v>
      </c>
    </row>
    <row r="73" spans="1:15">
      <c r="A73" s="664" t="str">
        <f t="shared" si="12"/>
        <v>L</v>
      </c>
      <c r="B73" s="526" t="str">
        <f t="shared" si="13"/>
        <v xml:space="preserve">        CG Acciones y Bonos - L</v>
      </c>
      <c r="C73" s="530">
        <f>+SUMIFS('Ventas Acciones &amp; Bonos'!$AL:$AL,'Ventas Acciones &amp; Bonos'!$B:$B,'Rev JR'!$A73,'Ventas Acciones &amp; Bonos'!$X:$X,"&gt;="&amp;'Rev JR'!C$1,'Ventas Acciones &amp; Bonos'!$X:$X,"&lt;="&amp;EOMONTH('Rev JR'!C$1,0))</f>
        <v>0</v>
      </c>
      <c r="D73" s="530">
        <f>+SUMIFS('Ventas Acciones &amp; Bonos'!$AL:$AL,'Ventas Acciones &amp; Bonos'!$B:$B,'Rev JR'!$A73,'Ventas Acciones &amp; Bonos'!$X:$X,"&gt;="&amp;'Rev JR'!D$1,'Ventas Acciones &amp; Bonos'!$X:$X,"&lt;="&amp;EOMONTH('Rev JR'!D$1,0))</f>
        <v>0</v>
      </c>
      <c r="E73" s="530">
        <f>+SUMIFS('Ventas Acciones &amp; Bonos'!$AL:$AL,'Ventas Acciones &amp; Bonos'!$B:$B,'Rev JR'!$A73,'Ventas Acciones &amp; Bonos'!$X:$X,"&gt;="&amp;'Rev JR'!E$1,'Ventas Acciones &amp; Bonos'!$X:$X,"&lt;="&amp;EOMONTH('Rev JR'!E$1,0))</f>
        <v>0</v>
      </c>
      <c r="F73" s="530">
        <f>+SUMIFS('Ventas Acciones &amp; Bonos'!$AL:$AL,'Ventas Acciones &amp; Bonos'!$B:$B,'Rev JR'!$A73,'Ventas Acciones &amp; Bonos'!$X:$X,"&gt;="&amp;'Rev JR'!F$1,'Ventas Acciones &amp; Bonos'!$X:$X,"&lt;="&amp;EOMONTH('Rev JR'!F$1,0))</f>
        <v>0</v>
      </c>
      <c r="G73" s="530">
        <f>+SUMIFS('Ventas Acciones &amp; Bonos'!$AL:$AL,'Ventas Acciones &amp; Bonos'!$B:$B,'Rev JR'!$A73,'Ventas Acciones &amp; Bonos'!$X:$X,"&gt;="&amp;'Rev JR'!G$1,'Ventas Acciones &amp; Bonos'!$X:$X,"&lt;="&amp;EOMONTH('Rev JR'!G$1,0))</f>
        <v>0</v>
      </c>
      <c r="H73" s="530">
        <f>+SUMIFS('Ventas Acciones &amp; Bonos'!$AL:$AL,'Ventas Acciones &amp; Bonos'!$B:$B,'Rev JR'!$A73,'Ventas Acciones &amp; Bonos'!$X:$X,"&gt;="&amp;'Rev JR'!H$1,'Ventas Acciones &amp; Bonos'!$X:$X,"&lt;="&amp;EOMONTH('Rev JR'!H$1,0))</f>
        <v>0</v>
      </c>
      <c r="I73" s="530">
        <f>+SUMIFS('Ventas Acciones &amp; Bonos'!$AL:$AL,'Ventas Acciones &amp; Bonos'!$B:$B,'Rev JR'!$A73,'Ventas Acciones &amp; Bonos'!$X:$X,"&gt;="&amp;'Rev JR'!I$1,'Ventas Acciones &amp; Bonos'!$X:$X,"&lt;="&amp;EOMONTH('Rev JR'!I$1,0))</f>
        <v>0</v>
      </c>
      <c r="J73" s="530">
        <f>+SUMIFS('Ventas Acciones &amp; Bonos'!$AL:$AL,'Ventas Acciones &amp; Bonos'!$B:$B,'Rev JR'!$A73,'Ventas Acciones &amp; Bonos'!$X:$X,"&gt;="&amp;'Rev JR'!J$1,'Ventas Acciones &amp; Bonos'!$X:$X,"&lt;="&amp;EOMONTH('Rev JR'!J$1,0))</f>
        <v>0</v>
      </c>
      <c r="K73" s="530">
        <f>+SUMIFS('Ventas Acciones &amp; Bonos'!$AL:$AL,'Ventas Acciones &amp; Bonos'!$B:$B,'Rev JR'!$A73,'Ventas Acciones &amp; Bonos'!$X:$X,"&gt;="&amp;'Rev JR'!K$1,'Ventas Acciones &amp; Bonos'!$X:$X,"&lt;="&amp;EOMONTH('Rev JR'!K$1,0))</f>
        <v>0</v>
      </c>
      <c r="L73" s="530">
        <f>+SUMIFS('Ventas Acciones &amp; Bonos'!$AL:$AL,'Ventas Acciones &amp; Bonos'!$B:$B,'Rev JR'!$A73,'Ventas Acciones &amp; Bonos'!$X:$X,"&gt;="&amp;'Rev JR'!L$1,'Ventas Acciones &amp; Bonos'!$X:$X,"&lt;="&amp;EOMONTH('Rev JR'!L$1,0))</f>
        <v>0</v>
      </c>
      <c r="M73" s="530">
        <f>+SUMIFS('Ventas Acciones &amp; Bonos'!$AL:$AL,'Ventas Acciones &amp; Bonos'!$B:$B,'Rev JR'!$A73,'Ventas Acciones &amp; Bonos'!$X:$X,"&gt;="&amp;'Rev JR'!M$1,'Ventas Acciones &amp; Bonos'!$X:$X,"&lt;="&amp;EOMONTH('Rev JR'!M$1,0))</f>
        <v>0</v>
      </c>
      <c r="N73" s="530">
        <f>+SUMIFS('Ventas Acciones &amp; Bonos'!$AL:$AL,'Ventas Acciones &amp; Bonos'!$B:$B,'Rev JR'!$A73,'Ventas Acciones &amp; Bonos'!$X:$X,"&gt;="&amp;'Rev JR'!N$1,'Ventas Acciones &amp; Bonos'!$X:$X,"&lt;="&amp;EOMONTH('Rev JR'!N$1,0))</f>
        <v>0</v>
      </c>
      <c r="O73" s="530">
        <f t="shared" si="11"/>
        <v>0</v>
      </c>
    </row>
    <row r="74" spans="1:15">
      <c r="A74" s="664" t="str">
        <f t="shared" si="12"/>
        <v>M</v>
      </c>
      <c r="B74" s="526" t="str">
        <f t="shared" si="13"/>
        <v xml:space="preserve">        CG Acciones y Bonos - M</v>
      </c>
      <c r="C74" s="530">
        <f>+SUMIFS('Ventas Acciones &amp; Bonos'!$AL:$AL,'Ventas Acciones &amp; Bonos'!$B:$B,'Rev JR'!$A74,'Ventas Acciones &amp; Bonos'!$X:$X,"&gt;="&amp;'Rev JR'!C$1,'Ventas Acciones &amp; Bonos'!$X:$X,"&lt;="&amp;EOMONTH('Rev JR'!C$1,0))</f>
        <v>0</v>
      </c>
      <c r="D74" s="530">
        <f>+SUMIFS('Ventas Acciones &amp; Bonos'!$AL:$AL,'Ventas Acciones &amp; Bonos'!$B:$B,'Rev JR'!$A74,'Ventas Acciones &amp; Bonos'!$X:$X,"&gt;="&amp;'Rev JR'!D$1,'Ventas Acciones &amp; Bonos'!$X:$X,"&lt;="&amp;EOMONTH('Rev JR'!D$1,0))</f>
        <v>0</v>
      </c>
      <c r="E74" s="530">
        <f>+SUMIFS('Ventas Acciones &amp; Bonos'!$AL:$AL,'Ventas Acciones &amp; Bonos'!$B:$B,'Rev JR'!$A74,'Ventas Acciones &amp; Bonos'!$X:$X,"&gt;="&amp;'Rev JR'!E$1,'Ventas Acciones &amp; Bonos'!$X:$X,"&lt;="&amp;EOMONTH('Rev JR'!E$1,0))</f>
        <v>0</v>
      </c>
      <c r="F74" s="530">
        <f>+SUMIFS('Ventas Acciones &amp; Bonos'!$AL:$AL,'Ventas Acciones &amp; Bonos'!$B:$B,'Rev JR'!$A74,'Ventas Acciones &amp; Bonos'!$X:$X,"&gt;="&amp;'Rev JR'!F$1,'Ventas Acciones &amp; Bonos'!$X:$X,"&lt;="&amp;EOMONTH('Rev JR'!F$1,0))</f>
        <v>0</v>
      </c>
      <c r="G74" s="530">
        <f>+SUMIFS('Ventas Acciones &amp; Bonos'!$AL:$AL,'Ventas Acciones &amp; Bonos'!$B:$B,'Rev JR'!$A74,'Ventas Acciones &amp; Bonos'!$X:$X,"&gt;="&amp;'Rev JR'!G$1,'Ventas Acciones &amp; Bonos'!$X:$X,"&lt;="&amp;EOMONTH('Rev JR'!G$1,0))</f>
        <v>0</v>
      </c>
      <c r="H74" s="530">
        <f>+SUMIFS('Ventas Acciones &amp; Bonos'!$AL:$AL,'Ventas Acciones &amp; Bonos'!$B:$B,'Rev JR'!$A74,'Ventas Acciones &amp; Bonos'!$X:$X,"&gt;="&amp;'Rev JR'!H$1,'Ventas Acciones &amp; Bonos'!$X:$X,"&lt;="&amp;EOMONTH('Rev JR'!H$1,0))</f>
        <v>0</v>
      </c>
      <c r="I74" s="530">
        <f>+SUMIFS('Ventas Acciones &amp; Bonos'!$AL:$AL,'Ventas Acciones &amp; Bonos'!$B:$B,'Rev JR'!$A74,'Ventas Acciones &amp; Bonos'!$X:$X,"&gt;="&amp;'Rev JR'!I$1,'Ventas Acciones &amp; Bonos'!$X:$X,"&lt;="&amp;EOMONTH('Rev JR'!I$1,0))</f>
        <v>0</v>
      </c>
      <c r="J74" s="530">
        <f>+SUMIFS('Ventas Acciones &amp; Bonos'!$AL:$AL,'Ventas Acciones &amp; Bonos'!$B:$B,'Rev JR'!$A74,'Ventas Acciones &amp; Bonos'!$X:$X,"&gt;="&amp;'Rev JR'!J$1,'Ventas Acciones &amp; Bonos'!$X:$X,"&lt;="&amp;EOMONTH('Rev JR'!J$1,0))</f>
        <v>0</v>
      </c>
      <c r="K74" s="530">
        <f>+SUMIFS('Ventas Acciones &amp; Bonos'!$AL:$AL,'Ventas Acciones &amp; Bonos'!$B:$B,'Rev JR'!$A74,'Ventas Acciones &amp; Bonos'!$X:$X,"&gt;="&amp;'Rev JR'!K$1,'Ventas Acciones &amp; Bonos'!$X:$X,"&lt;="&amp;EOMONTH('Rev JR'!K$1,0))</f>
        <v>0</v>
      </c>
      <c r="L74" s="530">
        <f>+SUMIFS('Ventas Acciones &amp; Bonos'!$AL:$AL,'Ventas Acciones &amp; Bonos'!$B:$B,'Rev JR'!$A74,'Ventas Acciones &amp; Bonos'!$X:$X,"&gt;="&amp;'Rev JR'!L$1,'Ventas Acciones &amp; Bonos'!$X:$X,"&lt;="&amp;EOMONTH('Rev JR'!L$1,0))</f>
        <v>0</v>
      </c>
      <c r="M74" s="530">
        <f>+SUMIFS('Ventas Acciones &amp; Bonos'!$AL:$AL,'Ventas Acciones &amp; Bonos'!$B:$B,'Rev JR'!$A74,'Ventas Acciones &amp; Bonos'!$X:$X,"&gt;="&amp;'Rev JR'!M$1,'Ventas Acciones &amp; Bonos'!$X:$X,"&lt;="&amp;EOMONTH('Rev JR'!M$1,0))</f>
        <v>0</v>
      </c>
      <c r="N74" s="530">
        <f>+SUMIFS('Ventas Acciones &amp; Bonos'!$AL:$AL,'Ventas Acciones &amp; Bonos'!$B:$B,'Rev JR'!$A74,'Ventas Acciones &amp; Bonos'!$X:$X,"&gt;="&amp;'Rev JR'!N$1,'Ventas Acciones &amp; Bonos'!$X:$X,"&lt;="&amp;EOMONTH('Rev JR'!N$1,0))</f>
        <v>0</v>
      </c>
      <c r="O74" s="530">
        <f t="shared" si="11"/>
        <v>0</v>
      </c>
    </row>
    <row r="75" spans="1:15">
      <c r="A75" s="664" t="str">
        <f t="shared" si="12"/>
        <v>N</v>
      </c>
      <c r="B75" s="526" t="str">
        <f t="shared" si="13"/>
        <v xml:space="preserve">        CG Acciones y Bonos - N</v>
      </c>
      <c r="C75" s="530">
        <f>+SUMIFS('Ventas Acciones &amp; Bonos'!$AL:$AL,'Ventas Acciones &amp; Bonos'!$B:$B,'Rev JR'!$A75,'Ventas Acciones &amp; Bonos'!$X:$X,"&gt;="&amp;'Rev JR'!C$1,'Ventas Acciones &amp; Bonos'!$X:$X,"&lt;="&amp;EOMONTH('Rev JR'!C$1,0))</f>
        <v>0</v>
      </c>
      <c r="D75" s="530">
        <f>+SUMIFS('Ventas Acciones &amp; Bonos'!$AL:$AL,'Ventas Acciones &amp; Bonos'!$B:$B,'Rev JR'!$A75,'Ventas Acciones &amp; Bonos'!$X:$X,"&gt;="&amp;'Rev JR'!D$1,'Ventas Acciones &amp; Bonos'!$X:$X,"&lt;="&amp;EOMONTH('Rev JR'!D$1,0))</f>
        <v>0</v>
      </c>
      <c r="E75" s="530">
        <f>+SUMIFS('Ventas Acciones &amp; Bonos'!$AL:$AL,'Ventas Acciones &amp; Bonos'!$B:$B,'Rev JR'!$A75,'Ventas Acciones &amp; Bonos'!$X:$X,"&gt;="&amp;'Rev JR'!E$1,'Ventas Acciones &amp; Bonos'!$X:$X,"&lt;="&amp;EOMONTH('Rev JR'!E$1,0))</f>
        <v>0</v>
      </c>
      <c r="F75" s="530">
        <f>+SUMIFS('Ventas Acciones &amp; Bonos'!$AL:$AL,'Ventas Acciones &amp; Bonos'!$B:$B,'Rev JR'!$A75,'Ventas Acciones &amp; Bonos'!$X:$X,"&gt;="&amp;'Rev JR'!F$1,'Ventas Acciones &amp; Bonos'!$X:$X,"&lt;="&amp;EOMONTH('Rev JR'!F$1,0))</f>
        <v>0</v>
      </c>
      <c r="G75" s="530">
        <f>+SUMIFS('Ventas Acciones &amp; Bonos'!$AL:$AL,'Ventas Acciones &amp; Bonos'!$B:$B,'Rev JR'!$A75,'Ventas Acciones &amp; Bonos'!$X:$X,"&gt;="&amp;'Rev JR'!G$1,'Ventas Acciones &amp; Bonos'!$X:$X,"&lt;="&amp;EOMONTH('Rev JR'!G$1,0))</f>
        <v>0</v>
      </c>
      <c r="H75" s="530">
        <f>+SUMIFS('Ventas Acciones &amp; Bonos'!$AL:$AL,'Ventas Acciones &amp; Bonos'!$B:$B,'Rev JR'!$A75,'Ventas Acciones &amp; Bonos'!$X:$X,"&gt;="&amp;'Rev JR'!H$1,'Ventas Acciones &amp; Bonos'!$X:$X,"&lt;="&amp;EOMONTH('Rev JR'!H$1,0))</f>
        <v>0</v>
      </c>
      <c r="I75" s="530">
        <f>+SUMIFS('Ventas Acciones &amp; Bonos'!$AL:$AL,'Ventas Acciones &amp; Bonos'!$B:$B,'Rev JR'!$A75,'Ventas Acciones &amp; Bonos'!$X:$X,"&gt;="&amp;'Rev JR'!I$1,'Ventas Acciones &amp; Bonos'!$X:$X,"&lt;="&amp;EOMONTH('Rev JR'!I$1,0))</f>
        <v>0</v>
      </c>
      <c r="J75" s="530">
        <f>+SUMIFS('Ventas Acciones &amp; Bonos'!$AL:$AL,'Ventas Acciones &amp; Bonos'!$B:$B,'Rev JR'!$A75,'Ventas Acciones &amp; Bonos'!$X:$X,"&gt;="&amp;'Rev JR'!J$1,'Ventas Acciones &amp; Bonos'!$X:$X,"&lt;="&amp;EOMONTH('Rev JR'!J$1,0))</f>
        <v>0</v>
      </c>
      <c r="K75" s="530">
        <f>+SUMIFS('Ventas Acciones &amp; Bonos'!$AL:$AL,'Ventas Acciones &amp; Bonos'!$B:$B,'Rev JR'!$A75,'Ventas Acciones &amp; Bonos'!$X:$X,"&gt;="&amp;'Rev JR'!K$1,'Ventas Acciones &amp; Bonos'!$X:$X,"&lt;="&amp;EOMONTH('Rev JR'!K$1,0))</f>
        <v>0</v>
      </c>
      <c r="L75" s="530">
        <f>+SUMIFS('Ventas Acciones &amp; Bonos'!$AL:$AL,'Ventas Acciones &amp; Bonos'!$B:$B,'Rev JR'!$A75,'Ventas Acciones &amp; Bonos'!$X:$X,"&gt;="&amp;'Rev JR'!L$1,'Ventas Acciones &amp; Bonos'!$X:$X,"&lt;="&amp;EOMONTH('Rev JR'!L$1,0))</f>
        <v>0</v>
      </c>
      <c r="M75" s="530">
        <f>+SUMIFS('Ventas Acciones &amp; Bonos'!$AL:$AL,'Ventas Acciones &amp; Bonos'!$B:$B,'Rev JR'!$A75,'Ventas Acciones &amp; Bonos'!$X:$X,"&gt;="&amp;'Rev JR'!M$1,'Ventas Acciones &amp; Bonos'!$X:$X,"&lt;="&amp;EOMONTH('Rev JR'!M$1,0))</f>
        <v>0</v>
      </c>
      <c r="N75" s="530">
        <f>+SUMIFS('Ventas Acciones &amp; Bonos'!$AL:$AL,'Ventas Acciones &amp; Bonos'!$B:$B,'Rev JR'!$A75,'Ventas Acciones &amp; Bonos'!$X:$X,"&gt;="&amp;'Rev JR'!N$1,'Ventas Acciones &amp; Bonos'!$X:$X,"&lt;="&amp;EOMONTH('Rev JR'!N$1,0))</f>
        <v>0</v>
      </c>
      <c r="O75" s="530">
        <f t="shared" si="11"/>
        <v>0</v>
      </c>
    </row>
    <row r="76" spans="1:15">
      <c r="A76" s="664" t="str">
        <f t="shared" si="12"/>
        <v>O</v>
      </c>
      <c r="B76" s="526" t="str">
        <f t="shared" si="13"/>
        <v xml:space="preserve">        CG Acciones y Bonos - O</v>
      </c>
      <c r="C76" s="530">
        <f>+SUMIFS('Ventas Acciones &amp; Bonos'!$AL:$AL,'Ventas Acciones &amp; Bonos'!$B:$B,'Rev JR'!$A76,'Ventas Acciones &amp; Bonos'!$X:$X,"&gt;="&amp;'Rev JR'!C$1,'Ventas Acciones &amp; Bonos'!$X:$X,"&lt;="&amp;EOMONTH('Rev JR'!C$1,0))</f>
        <v>0</v>
      </c>
      <c r="D76" s="530">
        <f>+SUMIFS('Ventas Acciones &amp; Bonos'!$AL:$AL,'Ventas Acciones &amp; Bonos'!$B:$B,'Rev JR'!$A76,'Ventas Acciones &amp; Bonos'!$X:$X,"&gt;="&amp;'Rev JR'!D$1,'Ventas Acciones &amp; Bonos'!$X:$X,"&lt;="&amp;EOMONTH('Rev JR'!D$1,0))</f>
        <v>0</v>
      </c>
      <c r="E76" s="530">
        <f>+SUMIFS('Ventas Acciones &amp; Bonos'!$AL:$AL,'Ventas Acciones &amp; Bonos'!$B:$B,'Rev JR'!$A76,'Ventas Acciones &amp; Bonos'!$X:$X,"&gt;="&amp;'Rev JR'!E$1,'Ventas Acciones &amp; Bonos'!$X:$X,"&lt;="&amp;EOMONTH('Rev JR'!E$1,0))</f>
        <v>0</v>
      </c>
      <c r="F76" s="530">
        <f>+SUMIFS('Ventas Acciones &amp; Bonos'!$AL:$AL,'Ventas Acciones &amp; Bonos'!$B:$B,'Rev JR'!$A76,'Ventas Acciones &amp; Bonos'!$X:$X,"&gt;="&amp;'Rev JR'!F$1,'Ventas Acciones &amp; Bonos'!$X:$X,"&lt;="&amp;EOMONTH('Rev JR'!F$1,0))</f>
        <v>0</v>
      </c>
      <c r="G76" s="530">
        <f>+SUMIFS('Ventas Acciones &amp; Bonos'!$AL:$AL,'Ventas Acciones &amp; Bonos'!$B:$B,'Rev JR'!$A76,'Ventas Acciones &amp; Bonos'!$X:$X,"&gt;="&amp;'Rev JR'!G$1,'Ventas Acciones &amp; Bonos'!$X:$X,"&lt;="&amp;EOMONTH('Rev JR'!G$1,0))</f>
        <v>0</v>
      </c>
      <c r="H76" s="530">
        <f>+SUMIFS('Ventas Acciones &amp; Bonos'!$AL:$AL,'Ventas Acciones &amp; Bonos'!$B:$B,'Rev JR'!$A76,'Ventas Acciones &amp; Bonos'!$X:$X,"&gt;="&amp;'Rev JR'!H$1,'Ventas Acciones &amp; Bonos'!$X:$X,"&lt;="&amp;EOMONTH('Rev JR'!H$1,0))</f>
        <v>0</v>
      </c>
      <c r="I76" s="530">
        <f>+SUMIFS('Ventas Acciones &amp; Bonos'!$AL:$AL,'Ventas Acciones &amp; Bonos'!$B:$B,'Rev JR'!$A76,'Ventas Acciones &amp; Bonos'!$X:$X,"&gt;="&amp;'Rev JR'!I$1,'Ventas Acciones &amp; Bonos'!$X:$X,"&lt;="&amp;EOMONTH('Rev JR'!I$1,0))</f>
        <v>0</v>
      </c>
      <c r="J76" s="530">
        <f>+SUMIFS('Ventas Acciones &amp; Bonos'!$AL:$AL,'Ventas Acciones &amp; Bonos'!$B:$B,'Rev JR'!$A76,'Ventas Acciones &amp; Bonos'!$X:$X,"&gt;="&amp;'Rev JR'!J$1,'Ventas Acciones &amp; Bonos'!$X:$X,"&lt;="&amp;EOMONTH('Rev JR'!J$1,0))</f>
        <v>0</v>
      </c>
      <c r="K76" s="530">
        <f>+SUMIFS('Ventas Acciones &amp; Bonos'!$AL:$AL,'Ventas Acciones &amp; Bonos'!$B:$B,'Rev JR'!$A76,'Ventas Acciones &amp; Bonos'!$X:$X,"&gt;="&amp;'Rev JR'!K$1,'Ventas Acciones &amp; Bonos'!$X:$X,"&lt;="&amp;EOMONTH('Rev JR'!K$1,0))</f>
        <v>0</v>
      </c>
      <c r="L76" s="530">
        <f>+SUMIFS('Ventas Acciones &amp; Bonos'!$AL:$AL,'Ventas Acciones &amp; Bonos'!$B:$B,'Rev JR'!$A76,'Ventas Acciones &amp; Bonos'!$X:$X,"&gt;="&amp;'Rev JR'!L$1,'Ventas Acciones &amp; Bonos'!$X:$X,"&lt;="&amp;EOMONTH('Rev JR'!L$1,0))</f>
        <v>0</v>
      </c>
      <c r="M76" s="530">
        <f>+SUMIFS('Ventas Acciones &amp; Bonos'!$AL:$AL,'Ventas Acciones &amp; Bonos'!$B:$B,'Rev JR'!$A76,'Ventas Acciones &amp; Bonos'!$X:$X,"&gt;="&amp;'Rev JR'!M$1,'Ventas Acciones &amp; Bonos'!$X:$X,"&lt;="&amp;EOMONTH('Rev JR'!M$1,0))</f>
        <v>0</v>
      </c>
      <c r="N76" s="530">
        <f>+SUMIFS('Ventas Acciones &amp; Bonos'!$AL:$AL,'Ventas Acciones &amp; Bonos'!$B:$B,'Rev JR'!$A76,'Ventas Acciones &amp; Bonos'!$X:$X,"&gt;="&amp;'Rev JR'!N$1,'Ventas Acciones &amp; Bonos'!$X:$X,"&lt;="&amp;EOMONTH('Rev JR'!N$1,0))</f>
        <v>0</v>
      </c>
      <c r="O76" s="530">
        <f t="shared" si="11"/>
        <v>0</v>
      </c>
    </row>
    <row r="77" spans="1:15">
      <c r="A77" s="664" t="str">
        <f t="shared" si="12"/>
        <v>P</v>
      </c>
      <c r="B77" s="526" t="str">
        <f t="shared" si="13"/>
        <v xml:space="preserve">        CG Acciones y Bonos - P</v>
      </c>
      <c r="C77" s="530">
        <f>+SUMIFS('Ventas Acciones &amp; Bonos'!$AL:$AL,'Ventas Acciones &amp; Bonos'!$B:$B,'Rev JR'!$A77,'Ventas Acciones &amp; Bonos'!$X:$X,"&gt;="&amp;'Rev JR'!C$1,'Ventas Acciones &amp; Bonos'!$X:$X,"&lt;="&amp;EOMONTH('Rev JR'!C$1,0))</f>
        <v>0</v>
      </c>
      <c r="D77" s="530">
        <f>+SUMIFS('Ventas Acciones &amp; Bonos'!$AL:$AL,'Ventas Acciones &amp; Bonos'!$B:$B,'Rev JR'!$A77,'Ventas Acciones &amp; Bonos'!$X:$X,"&gt;="&amp;'Rev JR'!D$1,'Ventas Acciones &amp; Bonos'!$X:$X,"&lt;="&amp;EOMONTH('Rev JR'!D$1,0))</f>
        <v>0</v>
      </c>
      <c r="E77" s="530">
        <f>+SUMIFS('Ventas Acciones &amp; Bonos'!$AL:$AL,'Ventas Acciones &amp; Bonos'!$B:$B,'Rev JR'!$A77,'Ventas Acciones &amp; Bonos'!$X:$X,"&gt;="&amp;'Rev JR'!E$1,'Ventas Acciones &amp; Bonos'!$X:$X,"&lt;="&amp;EOMONTH('Rev JR'!E$1,0))</f>
        <v>0</v>
      </c>
      <c r="F77" s="530">
        <f>+SUMIFS('Ventas Acciones &amp; Bonos'!$AL:$AL,'Ventas Acciones &amp; Bonos'!$B:$B,'Rev JR'!$A77,'Ventas Acciones &amp; Bonos'!$X:$X,"&gt;="&amp;'Rev JR'!F$1,'Ventas Acciones &amp; Bonos'!$X:$X,"&lt;="&amp;EOMONTH('Rev JR'!F$1,0))</f>
        <v>0</v>
      </c>
      <c r="G77" s="530">
        <f>+SUMIFS('Ventas Acciones &amp; Bonos'!$AL:$AL,'Ventas Acciones &amp; Bonos'!$B:$B,'Rev JR'!$A77,'Ventas Acciones &amp; Bonos'!$X:$X,"&gt;="&amp;'Rev JR'!G$1,'Ventas Acciones &amp; Bonos'!$X:$X,"&lt;="&amp;EOMONTH('Rev JR'!G$1,0))</f>
        <v>0</v>
      </c>
      <c r="H77" s="530">
        <f>+SUMIFS('Ventas Acciones &amp; Bonos'!$AL:$AL,'Ventas Acciones &amp; Bonos'!$B:$B,'Rev JR'!$A77,'Ventas Acciones &amp; Bonos'!$X:$X,"&gt;="&amp;'Rev JR'!H$1,'Ventas Acciones &amp; Bonos'!$X:$X,"&lt;="&amp;EOMONTH('Rev JR'!H$1,0))</f>
        <v>0</v>
      </c>
      <c r="I77" s="530">
        <f>+SUMIFS('Ventas Acciones &amp; Bonos'!$AL:$AL,'Ventas Acciones &amp; Bonos'!$B:$B,'Rev JR'!$A77,'Ventas Acciones &amp; Bonos'!$X:$X,"&gt;="&amp;'Rev JR'!I$1,'Ventas Acciones &amp; Bonos'!$X:$X,"&lt;="&amp;EOMONTH('Rev JR'!I$1,0))</f>
        <v>0</v>
      </c>
      <c r="J77" s="530">
        <f>+SUMIFS('Ventas Acciones &amp; Bonos'!$AL:$AL,'Ventas Acciones &amp; Bonos'!$B:$B,'Rev JR'!$A77,'Ventas Acciones &amp; Bonos'!$X:$X,"&gt;="&amp;'Rev JR'!J$1,'Ventas Acciones &amp; Bonos'!$X:$X,"&lt;="&amp;EOMONTH('Rev JR'!J$1,0))</f>
        <v>0</v>
      </c>
      <c r="K77" s="530">
        <f>+SUMIFS('Ventas Acciones &amp; Bonos'!$AL:$AL,'Ventas Acciones &amp; Bonos'!$B:$B,'Rev JR'!$A77,'Ventas Acciones &amp; Bonos'!$X:$X,"&gt;="&amp;'Rev JR'!K$1,'Ventas Acciones &amp; Bonos'!$X:$X,"&lt;="&amp;EOMONTH('Rev JR'!K$1,0))</f>
        <v>0</v>
      </c>
      <c r="L77" s="530">
        <f>+SUMIFS('Ventas Acciones &amp; Bonos'!$AL:$AL,'Ventas Acciones &amp; Bonos'!$B:$B,'Rev JR'!$A77,'Ventas Acciones &amp; Bonos'!$X:$X,"&gt;="&amp;'Rev JR'!L$1,'Ventas Acciones &amp; Bonos'!$X:$X,"&lt;="&amp;EOMONTH('Rev JR'!L$1,0))</f>
        <v>0</v>
      </c>
      <c r="M77" s="530">
        <f>+SUMIFS('Ventas Acciones &amp; Bonos'!$AL:$AL,'Ventas Acciones &amp; Bonos'!$B:$B,'Rev JR'!$A77,'Ventas Acciones &amp; Bonos'!$X:$X,"&gt;="&amp;'Rev JR'!M$1,'Ventas Acciones &amp; Bonos'!$X:$X,"&lt;="&amp;EOMONTH('Rev JR'!M$1,0))</f>
        <v>0</v>
      </c>
      <c r="N77" s="530">
        <f>+SUMIFS('Ventas Acciones &amp; Bonos'!$AL:$AL,'Ventas Acciones &amp; Bonos'!$B:$B,'Rev JR'!$A77,'Ventas Acciones &amp; Bonos'!$X:$X,"&gt;="&amp;'Rev JR'!N$1,'Ventas Acciones &amp; Bonos'!$X:$X,"&lt;="&amp;EOMONTH('Rev JR'!N$1,0))</f>
        <v>0</v>
      </c>
      <c r="O77" s="530">
        <f t="shared" si="11"/>
        <v>0</v>
      </c>
    </row>
    <row r="78" spans="1:15">
      <c r="A78" s="522"/>
      <c r="B78" s="531" t="s">
        <v>618</v>
      </c>
      <c r="C78" s="532">
        <f t="shared" ref="C78:N78" si="14">SUM(C62:C77)</f>
        <v>385087.91915923025</v>
      </c>
      <c r="D78" s="532">
        <f t="shared" si="14"/>
        <v>862309.55540473491</v>
      </c>
      <c r="E78" s="532">
        <f t="shared" si="14"/>
        <v>252946.50588641191</v>
      </c>
      <c r="F78" s="532">
        <f t="shared" si="14"/>
        <v>44273.35417327816</v>
      </c>
      <c r="G78" s="532">
        <f t="shared" si="14"/>
        <v>662590.77451418003</v>
      </c>
      <c r="H78" s="532">
        <f t="shared" si="14"/>
        <v>-2285.121256366725</v>
      </c>
      <c r="I78" s="532">
        <f t="shared" si="14"/>
        <v>-260208.64429779531</v>
      </c>
      <c r="J78" s="532">
        <f t="shared" si="14"/>
        <v>7180575.7967488132</v>
      </c>
      <c r="K78" s="532">
        <f t="shared" si="14"/>
        <v>271110.13055591617</v>
      </c>
      <c r="L78" s="532">
        <f t="shared" si="14"/>
        <v>-104437.51961602095</v>
      </c>
      <c r="M78" s="532">
        <f t="shared" si="14"/>
        <v>0</v>
      </c>
      <c r="N78" s="532">
        <f t="shared" si="14"/>
        <v>0</v>
      </c>
      <c r="O78" s="532">
        <f>SUM(O62:O77)</f>
        <v>9291962.7512723804</v>
      </c>
    </row>
    <row r="79" spans="1:15">
      <c r="A79" s="522"/>
      <c r="B79" s="526" t="s">
        <v>598</v>
      </c>
      <c r="C79" s="529"/>
      <c r="D79" s="529"/>
      <c r="E79" s="529"/>
      <c r="F79" s="529"/>
      <c r="G79" s="529"/>
      <c r="H79" s="529"/>
      <c r="I79" s="529"/>
      <c r="J79" s="529"/>
      <c r="K79" s="529"/>
      <c r="L79" s="529"/>
      <c r="M79" s="529"/>
      <c r="N79" s="529"/>
      <c r="O79" s="529"/>
    </row>
    <row r="80" spans="1:15">
      <c r="A80" s="522"/>
      <c r="B80" s="526" t="s">
        <v>619</v>
      </c>
      <c r="C80" s="529"/>
      <c r="D80" s="529"/>
      <c r="E80" s="529"/>
      <c r="F80" s="529"/>
      <c r="G80" s="529"/>
      <c r="H80" s="529"/>
      <c r="I80" s="529"/>
      <c r="J80" s="529"/>
      <c r="K80" s="529"/>
      <c r="L80" s="529"/>
      <c r="M80" s="529"/>
      <c r="N80" s="529"/>
      <c r="O80" s="529"/>
    </row>
    <row r="81" spans="1:15">
      <c r="A81" s="664" t="str">
        <f>+A62</f>
        <v>31XX29</v>
      </c>
      <c r="B81" s="526" t="str">
        <f>+CONCATENATE("        CG OFD - ",A81)</f>
        <v xml:space="preserve">        CG OFD - 31XX29</v>
      </c>
      <c r="C81" s="530">
        <f>+SUMIFS('Ventas OFD'!$AK:$AK,'Ventas OFD'!$B:$B,'Rev JR'!$A81,'Ventas OFD'!$W:$W,"&gt;="&amp;'Rev JR'!C$1,'Ventas OFD'!$W:$W,"&lt;="&amp;EOMONTH('Rev JR'!C$1,0))</f>
        <v>0</v>
      </c>
      <c r="D81" s="530">
        <f>+SUMIFS('Ventas OFD'!$AK:$AK,'Ventas OFD'!$B:$B,'Rev JR'!$A81,'Ventas OFD'!$W:$W,"&gt;="&amp;'Rev JR'!D$1,'Ventas OFD'!$W:$W,"&lt;="&amp;EOMONTH('Rev JR'!D$1,0))</f>
        <v>0</v>
      </c>
      <c r="E81" s="530">
        <f>+SUMIFS('Ventas OFD'!$AK:$AK,'Ventas OFD'!$B:$B,'Rev JR'!$A81,'Ventas OFD'!$W:$W,"&gt;="&amp;'Rev JR'!E$1,'Ventas OFD'!$W:$W,"&lt;="&amp;EOMONTH('Rev JR'!E$1,0))</f>
        <v>0</v>
      </c>
      <c r="F81" s="530">
        <f>+SUMIFS('Ventas OFD'!$AK:$AK,'Ventas OFD'!$B:$B,'Rev JR'!$A81,'Ventas OFD'!$W:$W,"&gt;="&amp;'Rev JR'!F$1,'Ventas OFD'!$W:$W,"&lt;="&amp;EOMONTH('Rev JR'!F$1,0))</f>
        <v>0</v>
      </c>
      <c r="G81" s="530">
        <f>+SUMIFS('Ventas OFD'!$AK:$AK,'Ventas OFD'!$B:$B,'Rev JR'!$A81,'Ventas OFD'!$W:$W,"&gt;="&amp;'Rev JR'!G$1,'Ventas OFD'!$W:$W,"&lt;="&amp;EOMONTH('Rev JR'!G$1,0))</f>
        <v>0</v>
      </c>
      <c r="H81" s="530">
        <f>+SUMIFS('Ventas OFD'!$AK:$AK,'Ventas OFD'!$B:$B,'Rev JR'!$A81,'Ventas OFD'!$W:$W,"&gt;="&amp;'Rev JR'!H$1,'Ventas OFD'!$W:$W,"&lt;="&amp;EOMONTH('Rev JR'!H$1,0))</f>
        <v>0</v>
      </c>
      <c r="I81" s="530">
        <f>+SUMIFS('Ventas OFD'!$AK:$AK,'Ventas OFD'!$B:$B,'Rev JR'!$A81,'Ventas OFD'!$W:$W,"&gt;="&amp;'Rev JR'!I$1,'Ventas OFD'!$W:$W,"&lt;="&amp;EOMONTH('Rev JR'!I$1,0))</f>
        <v>0</v>
      </c>
      <c r="J81" s="530">
        <f>+SUMIFS('Ventas OFD'!$AK:$AK,'Ventas OFD'!$B:$B,'Rev JR'!$A81,'Ventas OFD'!$W:$W,"&gt;="&amp;'Rev JR'!J$1,'Ventas OFD'!$W:$W,"&lt;="&amp;EOMONTH('Rev JR'!J$1,0))</f>
        <v>0</v>
      </c>
      <c r="K81" s="530">
        <f>+SUMIFS('Ventas OFD'!$AK:$AK,'Ventas OFD'!$B:$B,'Rev JR'!$A81,'Ventas OFD'!$W:$W,"&gt;="&amp;'Rev JR'!K$1,'Ventas OFD'!$W:$W,"&lt;="&amp;EOMONTH('Rev JR'!K$1,0))</f>
        <v>0</v>
      </c>
      <c r="L81" s="530">
        <f>+SUMIFS('Ventas OFD'!$AK:$AK,'Ventas OFD'!$B:$B,'Rev JR'!$A81,'Ventas OFD'!$W:$W,"&gt;="&amp;'Rev JR'!L$1,'Ventas OFD'!$W:$W,"&lt;="&amp;EOMONTH('Rev JR'!L$1,0))</f>
        <v>0</v>
      </c>
      <c r="M81" s="530">
        <f>+SUMIFS('Ventas OFD'!$AK:$AK,'Ventas OFD'!$B:$B,'Rev JR'!$A81,'Ventas OFD'!$W:$W,"&gt;="&amp;'Rev JR'!M$1,'Ventas OFD'!$W:$W,"&lt;="&amp;EOMONTH('Rev JR'!M$1,0))</f>
        <v>0</v>
      </c>
      <c r="N81" s="530">
        <f>+SUMIFS('Ventas OFD'!$AK:$AK,'Ventas OFD'!$B:$B,'Rev JR'!$A81,'Ventas OFD'!$W:$W,"&gt;="&amp;'Rev JR'!N$1,'Ventas OFD'!$W:$W,"&lt;="&amp;EOMONTH('Rev JR'!N$1,0))</f>
        <v>0</v>
      </c>
      <c r="O81" s="530">
        <f t="shared" ref="O81:O96" si="15">SUM(C81:N81)</f>
        <v>0</v>
      </c>
    </row>
    <row r="82" spans="1:15">
      <c r="A82" s="664" t="str">
        <f t="shared" ref="A82:A96" si="16">+A63</f>
        <v>11XX300</v>
      </c>
      <c r="B82" s="526" t="str">
        <f t="shared" ref="B82:B96" si="17">+CONCATENATE("        CG OFD - ",A82)</f>
        <v xml:space="preserve">        CG OFD - 11XX300</v>
      </c>
      <c r="C82" s="530">
        <f>+SUMIFS('Ventas OFD'!$AK:$AK,'Ventas OFD'!$B:$B,'Rev JR'!$A82,'Ventas OFD'!$W:$W,"&gt;="&amp;'Rev JR'!C$1,'Ventas OFD'!$W:$W,"&lt;="&amp;EOMONTH('Rev JR'!C$1,0))</f>
        <v>0</v>
      </c>
      <c r="D82" s="530">
        <f>+SUMIFS('Ventas OFD'!$AK:$AK,'Ventas OFD'!$B:$B,'Rev JR'!$A82,'Ventas OFD'!$W:$W,"&gt;="&amp;'Rev JR'!D$1,'Ventas OFD'!$W:$W,"&lt;="&amp;EOMONTH('Rev JR'!D$1,0))</f>
        <v>0</v>
      </c>
      <c r="E82" s="530">
        <f>+SUMIFS('Ventas OFD'!$AK:$AK,'Ventas OFD'!$B:$B,'Rev JR'!$A82,'Ventas OFD'!$W:$W,"&gt;="&amp;'Rev JR'!E$1,'Ventas OFD'!$W:$W,"&lt;="&amp;EOMONTH('Rev JR'!E$1,0))</f>
        <v>0</v>
      </c>
      <c r="F82" s="530">
        <f>+SUMIFS('Ventas OFD'!$AK:$AK,'Ventas OFD'!$B:$B,'Rev JR'!$A82,'Ventas OFD'!$W:$W,"&gt;="&amp;'Rev JR'!F$1,'Ventas OFD'!$W:$W,"&lt;="&amp;EOMONTH('Rev JR'!F$1,0))</f>
        <v>0</v>
      </c>
      <c r="G82" s="530">
        <f>+SUMIFS('Ventas OFD'!$AK:$AK,'Ventas OFD'!$B:$B,'Rev JR'!$A82,'Ventas OFD'!$W:$W,"&gt;="&amp;'Rev JR'!G$1,'Ventas OFD'!$W:$W,"&lt;="&amp;EOMONTH('Rev JR'!G$1,0))</f>
        <v>0</v>
      </c>
      <c r="H82" s="530">
        <f>+SUMIFS('Ventas OFD'!$AK:$AK,'Ventas OFD'!$B:$B,'Rev JR'!$A82,'Ventas OFD'!$W:$W,"&gt;="&amp;'Rev JR'!H$1,'Ventas OFD'!$W:$W,"&lt;="&amp;EOMONTH('Rev JR'!H$1,0))</f>
        <v>0</v>
      </c>
      <c r="I82" s="530">
        <f>+SUMIFS('Ventas OFD'!$AK:$AK,'Ventas OFD'!$B:$B,'Rev JR'!$A82,'Ventas OFD'!$W:$W,"&gt;="&amp;'Rev JR'!I$1,'Ventas OFD'!$W:$W,"&lt;="&amp;EOMONTH('Rev JR'!I$1,0))</f>
        <v>0</v>
      </c>
      <c r="J82" s="530">
        <f>+SUMIFS('Ventas OFD'!$AK:$AK,'Ventas OFD'!$B:$B,'Rev JR'!$A82,'Ventas OFD'!$W:$W,"&gt;="&amp;'Rev JR'!J$1,'Ventas OFD'!$W:$W,"&lt;="&amp;EOMONTH('Rev JR'!J$1,0))</f>
        <v>0</v>
      </c>
      <c r="K82" s="530">
        <f>+SUMIFS('Ventas OFD'!$AK:$AK,'Ventas OFD'!$B:$B,'Rev JR'!$A82,'Ventas OFD'!$W:$W,"&gt;="&amp;'Rev JR'!K$1,'Ventas OFD'!$W:$W,"&lt;="&amp;EOMONTH('Rev JR'!K$1,0))</f>
        <v>0</v>
      </c>
      <c r="L82" s="530">
        <f>+SUMIFS('Ventas OFD'!$AK:$AK,'Ventas OFD'!$B:$B,'Rev JR'!$A82,'Ventas OFD'!$W:$W,"&gt;="&amp;'Rev JR'!L$1,'Ventas OFD'!$W:$W,"&lt;="&amp;EOMONTH('Rev JR'!L$1,0))</f>
        <v>0</v>
      </c>
      <c r="M82" s="530">
        <f>+SUMIFS('Ventas OFD'!$AK:$AK,'Ventas OFD'!$B:$B,'Rev JR'!$A82,'Ventas OFD'!$W:$W,"&gt;="&amp;'Rev JR'!M$1,'Ventas OFD'!$W:$W,"&lt;="&amp;EOMONTH('Rev JR'!M$1,0))</f>
        <v>0</v>
      </c>
      <c r="N82" s="530">
        <f>+SUMIFS('Ventas OFD'!$AK:$AK,'Ventas OFD'!$B:$B,'Rev JR'!$A82,'Ventas OFD'!$W:$W,"&gt;="&amp;'Rev JR'!N$1,'Ventas OFD'!$W:$W,"&lt;="&amp;EOMONTH('Rev JR'!N$1,0))</f>
        <v>0</v>
      </c>
      <c r="O82" s="530">
        <f t="shared" si="15"/>
        <v>0</v>
      </c>
    </row>
    <row r="83" spans="1:15">
      <c r="A83" s="664" t="str">
        <f t="shared" si="16"/>
        <v>1XXX100</v>
      </c>
      <c r="B83" s="526" t="str">
        <f t="shared" si="17"/>
        <v xml:space="preserve">        CG OFD - 1XXX100</v>
      </c>
      <c r="C83" s="530">
        <f>+SUMIFS('Ventas OFD'!$AK:$AK,'Ventas OFD'!$B:$B,'Rev JR'!$A83,'Ventas OFD'!$W:$W,"&gt;="&amp;'Rev JR'!C$1,'Ventas OFD'!$W:$W,"&lt;="&amp;EOMONTH('Rev JR'!C$1,0))</f>
        <v>0</v>
      </c>
      <c r="D83" s="530">
        <f>+SUMIFS('Ventas OFD'!$AK:$AK,'Ventas OFD'!$B:$B,'Rev JR'!$A83,'Ventas OFD'!$W:$W,"&gt;="&amp;'Rev JR'!D$1,'Ventas OFD'!$W:$W,"&lt;="&amp;EOMONTH('Rev JR'!D$1,0))</f>
        <v>0</v>
      </c>
      <c r="E83" s="530">
        <f>+SUMIFS('Ventas OFD'!$AK:$AK,'Ventas OFD'!$B:$B,'Rev JR'!$A83,'Ventas OFD'!$W:$W,"&gt;="&amp;'Rev JR'!E$1,'Ventas OFD'!$W:$W,"&lt;="&amp;EOMONTH('Rev JR'!E$1,0))</f>
        <v>0</v>
      </c>
      <c r="F83" s="530">
        <f>+SUMIFS('Ventas OFD'!$AK:$AK,'Ventas OFD'!$B:$B,'Rev JR'!$A83,'Ventas OFD'!$W:$W,"&gt;="&amp;'Rev JR'!F$1,'Ventas OFD'!$W:$W,"&lt;="&amp;EOMONTH('Rev JR'!F$1,0))</f>
        <v>0</v>
      </c>
      <c r="G83" s="530">
        <f>+SUMIFS('Ventas OFD'!$AK:$AK,'Ventas OFD'!$B:$B,'Rev JR'!$A83,'Ventas OFD'!$W:$W,"&gt;="&amp;'Rev JR'!G$1,'Ventas OFD'!$W:$W,"&lt;="&amp;EOMONTH('Rev JR'!G$1,0))</f>
        <v>0</v>
      </c>
      <c r="H83" s="530">
        <f>+SUMIFS('Ventas OFD'!$AK:$AK,'Ventas OFD'!$B:$B,'Rev JR'!$A83,'Ventas OFD'!$W:$W,"&gt;="&amp;'Rev JR'!H$1,'Ventas OFD'!$W:$W,"&lt;="&amp;EOMONTH('Rev JR'!H$1,0))</f>
        <v>0</v>
      </c>
      <c r="I83" s="530">
        <f>+SUMIFS('Ventas OFD'!$AK:$AK,'Ventas OFD'!$B:$B,'Rev JR'!$A83,'Ventas OFD'!$W:$W,"&gt;="&amp;'Rev JR'!I$1,'Ventas OFD'!$W:$W,"&lt;="&amp;EOMONTH('Rev JR'!I$1,0))</f>
        <v>0</v>
      </c>
      <c r="J83" s="530">
        <f>+SUMIFS('Ventas OFD'!$AK:$AK,'Ventas OFD'!$B:$B,'Rev JR'!$A83,'Ventas OFD'!$W:$W,"&gt;="&amp;'Rev JR'!J$1,'Ventas OFD'!$W:$W,"&lt;="&amp;EOMONTH('Rev JR'!J$1,0))</f>
        <v>0</v>
      </c>
      <c r="K83" s="530">
        <f>+SUMIFS('Ventas OFD'!$AK:$AK,'Ventas OFD'!$B:$B,'Rev JR'!$A83,'Ventas OFD'!$W:$W,"&gt;="&amp;'Rev JR'!K$1,'Ventas OFD'!$W:$W,"&lt;="&amp;EOMONTH('Rev JR'!K$1,0))</f>
        <v>0</v>
      </c>
      <c r="L83" s="530">
        <f>+SUMIFS('Ventas OFD'!$AK:$AK,'Ventas OFD'!$B:$B,'Rev JR'!$A83,'Ventas OFD'!$W:$W,"&gt;="&amp;'Rev JR'!L$1,'Ventas OFD'!$W:$W,"&lt;="&amp;EOMONTH('Rev JR'!L$1,0))</f>
        <v>0</v>
      </c>
      <c r="M83" s="530">
        <f>+SUMIFS('Ventas OFD'!$AK:$AK,'Ventas OFD'!$B:$B,'Rev JR'!$A83,'Ventas OFD'!$W:$W,"&gt;="&amp;'Rev JR'!M$1,'Ventas OFD'!$W:$W,"&lt;="&amp;EOMONTH('Rev JR'!M$1,0))</f>
        <v>0</v>
      </c>
      <c r="N83" s="530">
        <f>+SUMIFS('Ventas OFD'!$AK:$AK,'Ventas OFD'!$B:$B,'Rev JR'!$A83,'Ventas OFD'!$W:$W,"&gt;="&amp;'Rev JR'!N$1,'Ventas OFD'!$W:$W,"&lt;="&amp;EOMONTH('Rev JR'!N$1,0))</f>
        <v>0</v>
      </c>
      <c r="O83" s="530">
        <f t="shared" si="15"/>
        <v>0</v>
      </c>
    </row>
    <row r="84" spans="1:15">
      <c r="A84" s="664" t="str">
        <f t="shared" si="16"/>
        <v>B467XXX05</v>
      </c>
      <c r="B84" s="526" t="str">
        <f t="shared" si="17"/>
        <v xml:space="preserve">        CG OFD - B467XXX05</v>
      </c>
      <c r="C84" s="530">
        <f>+SUMIFS('Ventas OFD'!$AK:$AK,'Ventas OFD'!$B:$B,'Rev JR'!$A84,'Ventas OFD'!$W:$W,"&gt;="&amp;'Rev JR'!C$1,'Ventas OFD'!$W:$W,"&lt;="&amp;EOMONTH('Rev JR'!C$1,0))</f>
        <v>0</v>
      </c>
      <c r="D84" s="530">
        <f>+SUMIFS('Ventas OFD'!$AK:$AK,'Ventas OFD'!$B:$B,'Rev JR'!$A84,'Ventas OFD'!$W:$W,"&gt;="&amp;'Rev JR'!D$1,'Ventas OFD'!$W:$W,"&lt;="&amp;EOMONTH('Rev JR'!D$1,0))</f>
        <v>0</v>
      </c>
      <c r="E84" s="530">
        <f>+SUMIFS('Ventas OFD'!$AK:$AK,'Ventas OFD'!$B:$B,'Rev JR'!$A84,'Ventas OFD'!$W:$W,"&gt;="&amp;'Rev JR'!E$1,'Ventas OFD'!$W:$W,"&lt;="&amp;EOMONTH('Rev JR'!E$1,0))</f>
        <v>0</v>
      </c>
      <c r="F84" s="530">
        <f>+SUMIFS('Ventas OFD'!$AK:$AK,'Ventas OFD'!$B:$B,'Rev JR'!$A84,'Ventas OFD'!$W:$W,"&gt;="&amp;'Rev JR'!F$1,'Ventas OFD'!$W:$W,"&lt;="&amp;EOMONTH('Rev JR'!F$1,0))</f>
        <v>0</v>
      </c>
      <c r="G84" s="530">
        <f>+SUMIFS('Ventas OFD'!$AK:$AK,'Ventas OFD'!$B:$B,'Rev JR'!$A84,'Ventas OFD'!$W:$W,"&gt;="&amp;'Rev JR'!G$1,'Ventas OFD'!$W:$W,"&lt;="&amp;EOMONTH('Rev JR'!G$1,0))</f>
        <v>0</v>
      </c>
      <c r="H84" s="530">
        <f>+SUMIFS('Ventas OFD'!$AK:$AK,'Ventas OFD'!$B:$B,'Rev JR'!$A84,'Ventas OFD'!$W:$W,"&gt;="&amp;'Rev JR'!H$1,'Ventas OFD'!$W:$W,"&lt;="&amp;EOMONTH('Rev JR'!H$1,0))</f>
        <v>0</v>
      </c>
      <c r="I84" s="530">
        <f>+SUMIFS('Ventas OFD'!$AK:$AK,'Ventas OFD'!$B:$B,'Rev JR'!$A84,'Ventas OFD'!$W:$W,"&gt;="&amp;'Rev JR'!I$1,'Ventas OFD'!$W:$W,"&lt;="&amp;EOMONTH('Rev JR'!I$1,0))</f>
        <v>0</v>
      </c>
      <c r="J84" s="530">
        <f>+SUMIFS('Ventas OFD'!$AK:$AK,'Ventas OFD'!$B:$B,'Rev JR'!$A84,'Ventas OFD'!$W:$W,"&gt;="&amp;'Rev JR'!J$1,'Ventas OFD'!$W:$W,"&lt;="&amp;EOMONTH('Rev JR'!J$1,0))</f>
        <v>0</v>
      </c>
      <c r="K84" s="530">
        <f>+SUMIFS('Ventas OFD'!$AK:$AK,'Ventas OFD'!$B:$B,'Rev JR'!$A84,'Ventas OFD'!$W:$W,"&gt;="&amp;'Rev JR'!K$1,'Ventas OFD'!$W:$W,"&lt;="&amp;EOMONTH('Rev JR'!K$1,0))</f>
        <v>0</v>
      </c>
      <c r="L84" s="530">
        <f>+SUMIFS('Ventas OFD'!$AK:$AK,'Ventas OFD'!$B:$B,'Rev JR'!$A84,'Ventas OFD'!$W:$W,"&gt;="&amp;'Rev JR'!L$1,'Ventas OFD'!$W:$W,"&lt;="&amp;EOMONTH('Rev JR'!L$1,0))</f>
        <v>0</v>
      </c>
      <c r="M84" s="530">
        <f>+SUMIFS('Ventas OFD'!$AK:$AK,'Ventas OFD'!$B:$B,'Rev JR'!$A84,'Ventas OFD'!$W:$W,"&gt;="&amp;'Rev JR'!M$1,'Ventas OFD'!$W:$W,"&lt;="&amp;EOMONTH('Rev JR'!M$1,0))</f>
        <v>0</v>
      </c>
      <c r="N84" s="530">
        <f>+SUMIFS('Ventas OFD'!$AK:$AK,'Ventas OFD'!$B:$B,'Rev JR'!$A84,'Ventas OFD'!$W:$W,"&gt;="&amp;'Rev JR'!N$1,'Ventas OFD'!$W:$W,"&lt;="&amp;EOMONTH('Rev JR'!N$1,0))</f>
        <v>0</v>
      </c>
      <c r="O84" s="530">
        <f t="shared" si="15"/>
        <v>0</v>
      </c>
    </row>
    <row r="85" spans="1:15">
      <c r="A85" s="664" t="str">
        <f t="shared" si="16"/>
        <v>677-0XXX52-670</v>
      </c>
      <c r="B85" s="526" t="str">
        <f t="shared" si="17"/>
        <v xml:space="preserve">        CG OFD - 677-0XXX52-670</v>
      </c>
      <c r="C85" s="530">
        <f>+SUMIFS('Ventas OFD'!$AK:$AK,'Ventas OFD'!$B:$B,'Rev JR'!$A85,'Ventas OFD'!$W:$W,"&gt;="&amp;'Rev JR'!C$1,'Ventas OFD'!$W:$W,"&lt;="&amp;EOMONTH('Rev JR'!C$1,0))</f>
        <v>0</v>
      </c>
      <c r="D85" s="530">
        <f>+SUMIFS('Ventas OFD'!$AK:$AK,'Ventas OFD'!$B:$B,'Rev JR'!$A85,'Ventas OFD'!$W:$W,"&gt;="&amp;'Rev JR'!D$1,'Ventas OFD'!$W:$W,"&lt;="&amp;EOMONTH('Rev JR'!D$1,0))</f>
        <v>0</v>
      </c>
      <c r="E85" s="530">
        <f>+SUMIFS('Ventas OFD'!$AK:$AK,'Ventas OFD'!$B:$B,'Rev JR'!$A85,'Ventas OFD'!$W:$W,"&gt;="&amp;'Rev JR'!E$1,'Ventas OFD'!$W:$W,"&lt;="&amp;EOMONTH('Rev JR'!E$1,0))</f>
        <v>0</v>
      </c>
      <c r="F85" s="530">
        <f>+SUMIFS('Ventas OFD'!$AK:$AK,'Ventas OFD'!$B:$B,'Rev JR'!$A85,'Ventas OFD'!$W:$W,"&gt;="&amp;'Rev JR'!F$1,'Ventas OFD'!$W:$W,"&lt;="&amp;EOMONTH('Rev JR'!F$1,0))</f>
        <v>0</v>
      </c>
      <c r="G85" s="530">
        <f>+SUMIFS('Ventas OFD'!$AK:$AK,'Ventas OFD'!$B:$B,'Rev JR'!$A85,'Ventas OFD'!$W:$W,"&gt;="&amp;'Rev JR'!G$1,'Ventas OFD'!$W:$W,"&lt;="&amp;EOMONTH('Rev JR'!G$1,0))</f>
        <v>0</v>
      </c>
      <c r="H85" s="530">
        <f>+SUMIFS('Ventas OFD'!$AK:$AK,'Ventas OFD'!$B:$B,'Rev JR'!$A85,'Ventas OFD'!$W:$W,"&gt;="&amp;'Rev JR'!H$1,'Ventas OFD'!$W:$W,"&lt;="&amp;EOMONTH('Rev JR'!H$1,0))</f>
        <v>0</v>
      </c>
      <c r="I85" s="530">
        <f>+SUMIFS('Ventas OFD'!$AK:$AK,'Ventas OFD'!$B:$B,'Rev JR'!$A85,'Ventas OFD'!$W:$W,"&gt;="&amp;'Rev JR'!I$1,'Ventas OFD'!$W:$W,"&lt;="&amp;EOMONTH('Rev JR'!I$1,0))</f>
        <v>0</v>
      </c>
      <c r="J85" s="530">
        <f>+SUMIFS('Ventas OFD'!$AK:$AK,'Ventas OFD'!$B:$B,'Rev JR'!$A85,'Ventas OFD'!$W:$W,"&gt;="&amp;'Rev JR'!J$1,'Ventas OFD'!$W:$W,"&lt;="&amp;EOMONTH('Rev JR'!J$1,0))</f>
        <v>0</v>
      </c>
      <c r="K85" s="530">
        <f>+SUMIFS('Ventas OFD'!$AK:$AK,'Ventas OFD'!$B:$B,'Rev JR'!$A85,'Ventas OFD'!$W:$W,"&gt;="&amp;'Rev JR'!K$1,'Ventas OFD'!$W:$W,"&lt;="&amp;EOMONTH('Rev JR'!K$1,0))</f>
        <v>0</v>
      </c>
      <c r="L85" s="530">
        <f>+SUMIFS('Ventas OFD'!$AK:$AK,'Ventas OFD'!$B:$B,'Rev JR'!$A85,'Ventas OFD'!$W:$W,"&gt;="&amp;'Rev JR'!L$1,'Ventas OFD'!$W:$W,"&lt;="&amp;EOMONTH('Rev JR'!L$1,0))</f>
        <v>0</v>
      </c>
      <c r="M85" s="530">
        <f>+SUMIFS('Ventas OFD'!$AK:$AK,'Ventas OFD'!$B:$B,'Rev JR'!$A85,'Ventas OFD'!$W:$W,"&gt;="&amp;'Rev JR'!M$1,'Ventas OFD'!$W:$W,"&lt;="&amp;EOMONTH('Rev JR'!M$1,0))</f>
        <v>0</v>
      </c>
      <c r="N85" s="530">
        <f>+SUMIFS('Ventas OFD'!$AK:$AK,'Ventas OFD'!$B:$B,'Rev JR'!$A85,'Ventas OFD'!$W:$W,"&gt;="&amp;'Rev JR'!N$1,'Ventas OFD'!$W:$W,"&lt;="&amp;EOMONTH('Rev JR'!N$1,0))</f>
        <v>0</v>
      </c>
      <c r="O85" s="530">
        <f t="shared" si="15"/>
        <v>0</v>
      </c>
    </row>
    <row r="86" spans="1:15">
      <c r="A86" s="664" t="str">
        <f t="shared" si="16"/>
        <v>677-0XXX53-471</v>
      </c>
      <c r="B86" s="526" t="str">
        <f t="shared" si="17"/>
        <v xml:space="preserve">        CG OFD - 677-0XXX53-471</v>
      </c>
      <c r="C86" s="530">
        <f>+SUMIFS('Ventas OFD'!$AK:$AK,'Ventas OFD'!$B:$B,'Rev JR'!$A86,'Ventas OFD'!$W:$W,"&gt;="&amp;'Rev JR'!C$1,'Ventas OFD'!$W:$W,"&lt;="&amp;EOMONTH('Rev JR'!C$1,0))</f>
        <v>0</v>
      </c>
      <c r="D86" s="530">
        <f>+SUMIFS('Ventas OFD'!$AK:$AK,'Ventas OFD'!$B:$B,'Rev JR'!$A86,'Ventas OFD'!$W:$W,"&gt;="&amp;'Rev JR'!D$1,'Ventas OFD'!$W:$W,"&lt;="&amp;EOMONTH('Rev JR'!D$1,0))</f>
        <v>0</v>
      </c>
      <c r="E86" s="530">
        <f>+SUMIFS('Ventas OFD'!$AK:$AK,'Ventas OFD'!$B:$B,'Rev JR'!$A86,'Ventas OFD'!$W:$W,"&gt;="&amp;'Rev JR'!E$1,'Ventas OFD'!$W:$W,"&lt;="&amp;EOMONTH('Rev JR'!E$1,0))</f>
        <v>0</v>
      </c>
      <c r="F86" s="530">
        <f>+SUMIFS('Ventas OFD'!$AK:$AK,'Ventas OFD'!$B:$B,'Rev JR'!$A86,'Ventas OFD'!$W:$W,"&gt;="&amp;'Rev JR'!F$1,'Ventas OFD'!$W:$W,"&lt;="&amp;EOMONTH('Rev JR'!F$1,0))</f>
        <v>0</v>
      </c>
      <c r="G86" s="530">
        <f>+SUMIFS('Ventas OFD'!$AK:$AK,'Ventas OFD'!$B:$B,'Rev JR'!$A86,'Ventas OFD'!$W:$W,"&gt;="&amp;'Rev JR'!G$1,'Ventas OFD'!$W:$W,"&lt;="&amp;EOMONTH('Rev JR'!G$1,0))</f>
        <v>0</v>
      </c>
      <c r="H86" s="530">
        <f>+SUMIFS('Ventas OFD'!$AK:$AK,'Ventas OFD'!$B:$B,'Rev JR'!$A86,'Ventas OFD'!$W:$W,"&gt;="&amp;'Rev JR'!H$1,'Ventas OFD'!$W:$W,"&lt;="&amp;EOMONTH('Rev JR'!H$1,0))</f>
        <v>0</v>
      </c>
      <c r="I86" s="530">
        <f>+SUMIFS('Ventas OFD'!$AK:$AK,'Ventas OFD'!$B:$B,'Rev JR'!$A86,'Ventas OFD'!$W:$W,"&gt;="&amp;'Rev JR'!I$1,'Ventas OFD'!$W:$W,"&lt;="&amp;EOMONTH('Rev JR'!I$1,0))</f>
        <v>0</v>
      </c>
      <c r="J86" s="530">
        <f>+SUMIFS('Ventas OFD'!$AK:$AK,'Ventas OFD'!$B:$B,'Rev JR'!$A86,'Ventas OFD'!$W:$W,"&gt;="&amp;'Rev JR'!J$1,'Ventas OFD'!$W:$W,"&lt;="&amp;EOMONTH('Rev JR'!J$1,0))</f>
        <v>0</v>
      </c>
      <c r="K86" s="530">
        <f>+SUMIFS('Ventas OFD'!$AK:$AK,'Ventas OFD'!$B:$B,'Rev JR'!$A86,'Ventas OFD'!$W:$W,"&gt;="&amp;'Rev JR'!K$1,'Ventas OFD'!$W:$W,"&lt;="&amp;EOMONTH('Rev JR'!K$1,0))</f>
        <v>0</v>
      </c>
      <c r="L86" s="530">
        <f>+SUMIFS('Ventas OFD'!$AK:$AK,'Ventas OFD'!$B:$B,'Rev JR'!$A86,'Ventas OFD'!$W:$W,"&gt;="&amp;'Rev JR'!L$1,'Ventas OFD'!$W:$W,"&lt;="&amp;EOMONTH('Rev JR'!L$1,0))</f>
        <v>0</v>
      </c>
      <c r="M86" s="530">
        <f>+SUMIFS('Ventas OFD'!$AK:$AK,'Ventas OFD'!$B:$B,'Rev JR'!$A86,'Ventas OFD'!$W:$W,"&gt;="&amp;'Rev JR'!M$1,'Ventas OFD'!$W:$W,"&lt;="&amp;EOMONTH('Rev JR'!M$1,0))</f>
        <v>0</v>
      </c>
      <c r="N86" s="530">
        <f>+SUMIFS('Ventas OFD'!$AK:$AK,'Ventas OFD'!$B:$B,'Rev JR'!$A86,'Ventas OFD'!$W:$W,"&gt;="&amp;'Rev JR'!N$1,'Ventas OFD'!$W:$W,"&lt;="&amp;EOMONTH('Rev JR'!N$1,0))</f>
        <v>0</v>
      </c>
      <c r="O86" s="530">
        <f t="shared" si="15"/>
        <v>0</v>
      </c>
    </row>
    <row r="87" spans="1:15">
      <c r="A87" s="664" t="str">
        <f t="shared" si="16"/>
        <v>4H 0XXX0 RB</v>
      </c>
      <c r="B87" s="526" t="str">
        <f t="shared" si="17"/>
        <v xml:space="preserve">        CG OFD - 4H 0XXX0 RB</v>
      </c>
      <c r="C87" s="530">
        <f>+SUMIFS('Ventas OFD'!$AK:$AK,'Ventas OFD'!$B:$B,'Rev JR'!$A87,'Ventas OFD'!$W:$W,"&gt;="&amp;'Rev JR'!C$1,'Ventas OFD'!$W:$W,"&lt;="&amp;EOMONTH('Rev JR'!C$1,0))</f>
        <v>0</v>
      </c>
      <c r="D87" s="530">
        <f>+SUMIFS('Ventas OFD'!$AK:$AK,'Ventas OFD'!$B:$B,'Rev JR'!$A87,'Ventas OFD'!$W:$W,"&gt;="&amp;'Rev JR'!D$1,'Ventas OFD'!$W:$W,"&lt;="&amp;EOMONTH('Rev JR'!D$1,0))</f>
        <v>0</v>
      </c>
      <c r="E87" s="530">
        <f>+SUMIFS('Ventas OFD'!$AK:$AK,'Ventas OFD'!$B:$B,'Rev JR'!$A87,'Ventas OFD'!$W:$W,"&gt;="&amp;'Rev JR'!E$1,'Ventas OFD'!$W:$W,"&lt;="&amp;EOMONTH('Rev JR'!E$1,0))</f>
        <v>0</v>
      </c>
      <c r="F87" s="530">
        <f>+SUMIFS('Ventas OFD'!$AK:$AK,'Ventas OFD'!$B:$B,'Rev JR'!$A87,'Ventas OFD'!$W:$W,"&gt;="&amp;'Rev JR'!F$1,'Ventas OFD'!$W:$W,"&lt;="&amp;EOMONTH('Rev JR'!F$1,0))</f>
        <v>0</v>
      </c>
      <c r="G87" s="530">
        <f>+SUMIFS('Ventas OFD'!$AK:$AK,'Ventas OFD'!$B:$B,'Rev JR'!$A87,'Ventas OFD'!$W:$W,"&gt;="&amp;'Rev JR'!G$1,'Ventas OFD'!$W:$W,"&lt;="&amp;EOMONTH('Rev JR'!G$1,0))</f>
        <v>0</v>
      </c>
      <c r="H87" s="530">
        <f>+SUMIFS('Ventas OFD'!$AK:$AK,'Ventas OFD'!$B:$B,'Rev JR'!$A87,'Ventas OFD'!$W:$W,"&gt;="&amp;'Rev JR'!H$1,'Ventas OFD'!$W:$W,"&lt;="&amp;EOMONTH('Rev JR'!H$1,0))</f>
        <v>0</v>
      </c>
      <c r="I87" s="530">
        <f>+SUMIFS('Ventas OFD'!$AK:$AK,'Ventas OFD'!$B:$B,'Rev JR'!$A87,'Ventas OFD'!$W:$W,"&gt;="&amp;'Rev JR'!I$1,'Ventas OFD'!$W:$W,"&lt;="&amp;EOMONTH('Rev JR'!I$1,0))</f>
        <v>0</v>
      </c>
      <c r="J87" s="530">
        <f>+SUMIFS('Ventas OFD'!$AK:$AK,'Ventas OFD'!$B:$B,'Rev JR'!$A87,'Ventas OFD'!$W:$W,"&gt;="&amp;'Rev JR'!J$1,'Ventas OFD'!$W:$W,"&lt;="&amp;EOMONTH('Rev JR'!J$1,0))</f>
        <v>0</v>
      </c>
      <c r="K87" s="530">
        <f>+SUMIFS('Ventas OFD'!$AK:$AK,'Ventas OFD'!$B:$B,'Rev JR'!$A87,'Ventas OFD'!$W:$W,"&gt;="&amp;'Rev JR'!K$1,'Ventas OFD'!$W:$W,"&lt;="&amp;EOMONTH('Rev JR'!K$1,0))</f>
        <v>0</v>
      </c>
      <c r="L87" s="530">
        <f>+SUMIFS('Ventas OFD'!$AK:$AK,'Ventas OFD'!$B:$B,'Rev JR'!$A87,'Ventas OFD'!$W:$W,"&gt;="&amp;'Rev JR'!L$1,'Ventas OFD'!$W:$W,"&lt;="&amp;EOMONTH('Rev JR'!L$1,0))</f>
        <v>0</v>
      </c>
      <c r="M87" s="530">
        <f>+SUMIFS('Ventas OFD'!$AK:$AK,'Ventas OFD'!$B:$B,'Rev JR'!$A87,'Ventas OFD'!$W:$W,"&gt;="&amp;'Rev JR'!M$1,'Ventas OFD'!$W:$W,"&lt;="&amp;EOMONTH('Rev JR'!M$1,0))</f>
        <v>0</v>
      </c>
      <c r="N87" s="530">
        <f>+SUMIFS('Ventas OFD'!$AK:$AK,'Ventas OFD'!$B:$B,'Rev JR'!$A87,'Ventas OFD'!$W:$W,"&gt;="&amp;'Rev JR'!N$1,'Ventas OFD'!$W:$W,"&lt;="&amp;EOMONTH('Rev JR'!N$1,0))</f>
        <v>0</v>
      </c>
      <c r="O87" s="530">
        <f t="shared" si="15"/>
        <v>0</v>
      </c>
    </row>
    <row r="88" spans="1:15">
      <c r="A88" s="664" t="str">
        <f t="shared" si="16"/>
        <v>H</v>
      </c>
      <c r="B88" s="526" t="str">
        <f t="shared" si="17"/>
        <v xml:space="preserve">        CG OFD - H</v>
      </c>
      <c r="C88" s="530">
        <f>+SUMIFS('Ventas OFD'!$AK:$AK,'Ventas OFD'!$B:$B,'Rev JR'!$A88,'Ventas OFD'!$W:$W,"&gt;="&amp;'Rev JR'!C$1,'Ventas OFD'!$W:$W,"&lt;="&amp;EOMONTH('Rev JR'!C$1,0))</f>
        <v>0</v>
      </c>
      <c r="D88" s="530">
        <f>+SUMIFS('Ventas OFD'!$AK:$AK,'Ventas OFD'!$B:$B,'Rev JR'!$A88,'Ventas OFD'!$W:$W,"&gt;="&amp;'Rev JR'!D$1,'Ventas OFD'!$W:$W,"&lt;="&amp;EOMONTH('Rev JR'!D$1,0))</f>
        <v>0</v>
      </c>
      <c r="E88" s="530">
        <f>+SUMIFS('Ventas OFD'!$AK:$AK,'Ventas OFD'!$B:$B,'Rev JR'!$A88,'Ventas OFD'!$W:$W,"&gt;="&amp;'Rev JR'!E$1,'Ventas OFD'!$W:$W,"&lt;="&amp;EOMONTH('Rev JR'!E$1,0))</f>
        <v>0</v>
      </c>
      <c r="F88" s="530">
        <f>+SUMIFS('Ventas OFD'!$AK:$AK,'Ventas OFD'!$B:$B,'Rev JR'!$A88,'Ventas OFD'!$W:$W,"&gt;="&amp;'Rev JR'!F$1,'Ventas OFD'!$W:$W,"&lt;="&amp;EOMONTH('Rev JR'!F$1,0))</f>
        <v>0</v>
      </c>
      <c r="G88" s="530">
        <f>+SUMIFS('Ventas OFD'!$AK:$AK,'Ventas OFD'!$B:$B,'Rev JR'!$A88,'Ventas OFD'!$W:$W,"&gt;="&amp;'Rev JR'!G$1,'Ventas OFD'!$W:$W,"&lt;="&amp;EOMONTH('Rev JR'!G$1,0))</f>
        <v>0</v>
      </c>
      <c r="H88" s="530">
        <f>+SUMIFS('Ventas OFD'!$AK:$AK,'Ventas OFD'!$B:$B,'Rev JR'!$A88,'Ventas OFD'!$W:$W,"&gt;="&amp;'Rev JR'!H$1,'Ventas OFD'!$W:$W,"&lt;="&amp;EOMONTH('Rev JR'!H$1,0))</f>
        <v>0</v>
      </c>
      <c r="I88" s="530">
        <f>+SUMIFS('Ventas OFD'!$AK:$AK,'Ventas OFD'!$B:$B,'Rev JR'!$A88,'Ventas OFD'!$W:$W,"&gt;="&amp;'Rev JR'!I$1,'Ventas OFD'!$W:$W,"&lt;="&amp;EOMONTH('Rev JR'!I$1,0))</f>
        <v>0</v>
      </c>
      <c r="J88" s="530">
        <f>+SUMIFS('Ventas OFD'!$AK:$AK,'Ventas OFD'!$B:$B,'Rev JR'!$A88,'Ventas OFD'!$W:$W,"&gt;="&amp;'Rev JR'!J$1,'Ventas OFD'!$W:$W,"&lt;="&amp;EOMONTH('Rev JR'!J$1,0))</f>
        <v>0</v>
      </c>
      <c r="K88" s="530">
        <f>+SUMIFS('Ventas OFD'!$AK:$AK,'Ventas OFD'!$B:$B,'Rev JR'!$A88,'Ventas OFD'!$W:$W,"&gt;="&amp;'Rev JR'!K$1,'Ventas OFD'!$W:$W,"&lt;="&amp;EOMONTH('Rev JR'!K$1,0))</f>
        <v>0</v>
      </c>
      <c r="L88" s="530">
        <f>+SUMIFS('Ventas OFD'!$AK:$AK,'Ventas OFD'!$B:$B,'Rev JR'!$A88,'Ventas OFD'!$W:$W,"&gt;="&amp;'Rev JR'!L$1,'Ventas OFD'!$W:$W,"&lt;="&amp;EOMONTH('Rev JR'!L$1,0))</f>
        <v>0</v>
      </c>
      <c r="M88" s="530">
        <f>+SUMIFS('Ventas OFD'!$AK:$AK,'Ventas OFD'!$B:$B,'Rev JR'!$A88,'Ventas OFD'!$W:$W,"&gt;="&amp;'Rev JR'!M$1,'Ventas OFD'!$W:$W,"&lt;="&amp;EOMONTH('Rev JR'!M$1,0))</f>
        <v>0</v>
      </c>
      <c r="N88" s="530">
        <f>+SUMIFS('Ventas OFD'!$AK:$AK,'Ventas OFD'!$B:$B,'Rev JR'!$A88,'Ventas OFD'!$W:$W,"&gt;="&amp;'Rev JR'!N$1,'Ventas OFD'!$W:$W,"&lt;="&amp;EOMONTH('Rev JR'!N$1,0))</f>
        <v>0</v>
      </c>
      <c r="O88" s="530">
        <f t="shared" si="15"/>
        <v>0</v>
      </c>
    </row>
    <row r="89" spans="1:15">
      <c r="A89" s="664" t="str">
        <f t="shared" si="16"/>
        <v>I</v>
      </c>
      <c r="B89" s="526" t="str">
        <f t="shared" si="17"/>
        <v xml:space="preserve">        CG OFD - I</v>
      </c>
      <c r="C89" s="530">
        <f>+SUMIFS('Ventas OFD'!$AK:$AK,'Ventas OFD'!$B:$B,'Rev JR'!$A89,'Ventas OFD'!$W:$W,"&gt;="&amp;'Rev JR'!C$1,'Ventas OFD'!$W:$W,"&lt;="&amp;EOMONTH('Rev JR'!C$1,0))</f>
        <v>0</v>
      </c>
      <c r="D89" s="530">
        <f>+SUMIFS('Ventas OFD'!$AK:$AK,'Ventas OFD'!$B:$B,'Rev JR'!$A89,'Ventas OFD'!$W:$W,"&gt;="&amp;'Rev JR'!D$1,'Ventas OFD'!$W:$W,"&lt;="&amp;EOMONTH('Rev JR'!D$1,0))</f>
        <v>0</v>
      </c>
      <c r="E89" s="530">
        <f>+SUMIFS('Ventas OFD'!$AK:$AK,'Ventas OFD'!$B:$B,'Rev JR'!$A89,'Ventas OFD'!$W:$W,"&gt;="&amp;'Rev JR'!E$1,'Ventas OFD'!$W:$W,"&lt;="&amp;EOMONTH('Rev JR'!E$1,0))</f>
        <v>0</v>
      </c>
      <c r="F89" s="530">
        <f>+SUMIFS('Ventas OFD'!$AK:$AK,'Ventas OFD'!$B:$B,'Rev JR'!$A89,'Ventas OFD'!$W:$W,"&gt;="&amp;'Rev JR'!F$1,'Ventas OFD'!$W:$W,"&lt;="&amp;EOMONTH('Rev JR'!F$1,0))</f>
        <v>0</v>
      </c>
      <c r="G89" s="530">
        <f>+SUMIFS('Ventas OFD'!$AK:$AK,'Ventas OFD'!$B:$B,'Rev JR'!$A89,'Ventas OFD'!$W:$W,"&gt;="&amp;'Rev JR'!G$1,'Ventas OFD'!$W:$W,"&lt;="&amp;EOMONTH('Rev JR'!G$1,0))</f>
        <v>0</v>
      </c>
      <c r="H89" s="530">
        <f>+SUMIFS('Ventas OFD'!$AK:$AK,'Ventas OFD'!$B:$B,'Rev JR'!$A89,'Ventas OFD'!$W:$W,"&gt;="&amp;'Rev JR'!H$1,'Ventas OFD'!$W:$W,"&lt;="&amp;EOMONTH('Rev JR'!H$1,0))</f>
        <v>0</v>
      </c>
      <c r="I89" s="530">
        <f>+SUMIFS('Ventas OFD'!$AK:$AK,'Ventas OFD'!$B:$B,'Rev JR'!$A89,'Ventas OFD'!$W:$W,"&gt;="&amp;'Rev JR'!I$1,'Ventas OFD'!$W:$W,"&lt;="&amp;EOMONTH('Rev JR'!I$1,0))</f>
        <v>0</v>
      </c>
      <c r="J89" s="530">
        <f>+SUMIFS('Ventas OFD'!$AK:$AK,'Ventas OFD'!$B:$B,'Rev JR'!$A89,'Ventas OFD'!$W:$W,"&gt;="&amp;'Rev JR'!J$1,'Ventas OFD'!$W:$W,"&lt;="&amp;EOMONTH('Rev JR'!J$1,0))</f>
        <v>0</v>
      </c>
      <c r="K89" s="530">
        <f>+SUMIFS('Ventas OFD'!$AK:$AK,'Ventas OFD'!$B:$B,'Rev JR'!$A89,'Ventas OFD'!$W:$W,"&gt;="&amp;'Rev JR'!K$1,'Ventas OFD'!$W:$W,"&lt;="&amp;EOMONTH('Rev JR'!K$1,0))</f>
        <v>0</v>
      </c>
      <c r="L89" s="530">
        <f>+SUMIFS('Ventas OFD'!$AK:$AK,'Ventas OFD'!$B:$B,'Rev JR'!$A89,'Ventas OFD'!$W:$W,"&gt;="&amp;'Rev JR'!L$1,'Ventas OFD'!$W:$W,"&lt;="&amp;EOMONTH('Rev JR'!L$1,0))</f>
        <v>0</v>
      </c>
      <c r="M89" s="530">
        <f>+SUMIFS('Ventas OFD'!$AK:$AK,'Ventas OFD'!$B:$B,'Rev JR'!$A89,'Ventas OFD'!$W:$W,"&gt;="&amp;'Rev JR'!M$1,'Ventas OFD'!$W:$W,"&lt;="&amp;EOMONTH('Rev JR'!M$1,0))</f>
        <v>0</v>
      </c>
      <c r="N89" s="530">
        <f>+SUMIFS('Ventas OFD'!$AK:$AK,'Ventas OFD'!$B:$B,'Rev JR'!$A89,'Ventas OFD'!$W:$W,"&gt;="&amp;'Rev JR'!N$1,'Ventas OFD'!$W:$W,"&lt;="&amp;EOMONTH('Rev JR'!N$1,0))</f>
        <v>0</v>
      </c>
      <c r="O89" s="530">
        <f t="shared" si="15"/>
        <v>0</v>
      </c>
    </row>
    <row r="90" spans="1:15">
      <c r="A90" s="664" t="str">
        <f t="shared" si="16"/>
        <v>J</v>
      </c>
      <c r="B90" s="526" t="str">
        <f t="shared" si="17"/>
        <v xml:space="preserve">        CG OFD - J</v>
      </c>
      <c r="C90" s="530">
        <f>+SUMIFS('Ventas OFD'!$AK:$AK,'Ventas OFD'!$B:$B,'Rev JR'!$A90,'Ventas OFD'!$W:$W,"&gt;="&amp;'Rev JR'!C$1,'Ventas OFD'!$W:$W,"&lt;="&amp;EOMONTH('Rev JR'!C$1,0))</f>
        <v>0</v>
      </c>
      <c r="D90" s="530">
        <f>+SUMIFS('Ventas OFD'!$AK:$AK,'Ventas OFD'!$B:$B,'Rev JR'!$A90,'Ventas OFD'!$W:$W,"&gt;="&amp;'Rev JR'!D$1,'Ventas OFD'!$W:$W,"&lt;="&amp;EOMONTH('Rev JR'!D$1,0))</f>
        <v>0</v>
      </c>
      <c r="E90" s="530">
        <f>+SUMIFS('Ventas OFD'!$AK:$AK,'Ventas OFD'!$B:$B,'Rev JR'!$A90,'Ventas OFD'!$W:$W,"&gt;="&amp;'Rev JR'!E$1,'Ventas OFD'!$W:$W,"&lt;="&amp;EOMONTH('Rev JR'!E$1,0))</f>
        <v>0</v>
      </c>
      <c r="F90" s="530">
        <f>+SUMIFS('Ventas OFD'!$AK:$AK,'Ventas OFD'!$B:$B,'Rev JR'!$A90,'Ventas OFD'!$W:$W,"&gt;="&amp;'Rev JR'!F$1,'Ventas OFD'!$W:$W,"&lt;="&amp;EOMONTH('Rev JR'!F$1,0))</f>
        <v>0</v>
      </c>
      <c r="G90" s="530">
        <f>+SUMIFS('Ventas OFD'!$AK:$AK,'Ventas OFD'!$B:$B,'Rev JR'!$A90,'Ventas OFD'!$W:$W,"&gt;="&amp;'Rev JR'!G$1,'Ventas OFD'!$W:$W,"&lt;="&amp;EOMONTH('Rev JR'!G$1,0))</f>
        <v>0</v>
      </c>
      <c r="H90" s="530">
        <f>+SUMIFS('Ventas OFD'!$AK:$AK,'Ventas OFD'!$B:$B,'Rev JR'!$A90,'Ventas OFD'!$W:$W,"&gt;="&amp;'Rev JR'!H$1,'Ventas OFD'!$W:$W,"&lt;="&amp;EOMONTH('Rev JR'!H$1,0))</f>
        <v>0</v>
      </c>
      <c r="I90" s="530">
        <f>+SUMIFS('Ventas OFD'!$AK:$AK,'Ventas OFD'!$B:$B,'Rev JR'!$A90,'Ventas OFD'!$W:$W,"&gt;="&amp;'Rev JR'!I$1,'Ventas OFD'!$W:$W,"&lt;="&amp;EOMONTH('Rev JR'!I$1,0))</f>
        <v>0</v>
      </c>
      <c r="J90" s="530">
        <f>+SUMIFS('Ventas OFD'!$AK:$AK,'Ventas OFD'!$B:$B,'Rev JR'!$A90,'Ventas OFD'!$W:$W,"&gt;="&amp;'Rev JR'!J$1,'Ventas OFD'!$W:$W,"&lt;="&amp;EOMONTH('Rev JR'!J$1,0))</f>
        <v>0</v>
      </c>
      <c r="K90" s="530">
        <f>+SUMIFS('Ventas OFD'!$AK:$AK,'Ventas OFD'!$B:$B,'Rev JR'!$A90,'Ventas OFD'!$W:$W,"&gt;="&amp;'Rev JR'!K$1,'Ventas OFD'!$W:$W,"&lt;="&amp;EOMONTH('Rev JR'!K$1,0))</f>
        <v>0</v>
      </c>
      <c r="L90" s="530">
        <f>+SUMIFS('Ventas OFD'!$AK:$AK,'Ventas OFD'!$B:$B,'Rev JR'!$A90,'Ventas OFD'!$W:$W,"&gt;="&amp;'Rev JR'!L$1,'Ventas OFD'!$W:$W,"&lt;="&amp;EOMONTH('Rev JR'!L$1,0))</f>
        <v>0</v>
      </c>
      <c r="M90" s="530">
        <f>+SUMIFS('Ventas OFD'!$AK:$AK,'Ventas OFD'!$B:$B,'Rev JR'!$A90,'Ventas OFD'!$W:$W,"&gt;="&amp;'Rev JR'!M$1,'Ventas OFD'!$W:$W,"&lt;="&amp;EOMONTH('Rev JR'!M$1,0))</f>
        <v>0</v>
      </c>
      <c r="N90" s="530">
        <f>+SUMIFS('Ventas OFD'!$AK:$AK,'Ventas OFD'!$B:$B,'Rev JR'!$A90,'Ventas OFD'!$W:$W,"&gt;="&amp;'Rev JR'!N$1,'Ventas OFD'!$W:$W,"&lt;="&amp;EOMONTH('Rev JR'!N$1,0))</f>
        <v>0</v>
      </c>
      <c r="O90" s="530">
        <f t="shared" si="15"/>
        <v>0</v>
      </c>
    </row>
    <row r="91" spans="1:15">
      <c r="A91" s="664" t="str">
        <f t="shared" si="16"/>
        <v>K</v>
      </c>
      <c r="B91" s="526" t="str">
        <f t="shared" si="17"/>
        <v xml:space="preserve">        CG OFD - K</v>
      </c>
      <c r="C91" s="530">
        <f>+SUMIFS('Ventas OFD'!$AK:$AK,'Ventas OFD'!$B:$B,'Rev JR'!$A91,'Ventas OFD'!$W:$W,"&gt;="&amp;'Rev JR'!C$1,'Ventas OFD'!$W:$W,"&lt;="&amp;EOMONTH('Rev JR'!C$1,0))</f>
        <v>0</v>
      </c>
      <c r="D91" s="530">
        <f>+SUMIFS('Ventas OFD'!$AK:$AK,'Ventas OFD'!$B:$B,'Rev JR'!$A91,'Ventas OFD'!$W:$W,"&gt;="&amp;'Rev JR'!D$1,'Ventas OFD'!$W:$W,"&lt;="&amp;EOMONTH('Rev JR'!D$1,0))</f>
        <v>0</v>
      </c>
      <c r="E91" s="530">
        <f>+SUMIFS('Ventas OFD'!$AK:$AK,'Ventas OFD'!$B:$B,'Rev JR'!$A91,'Ventas OFD'!$W:$W,"&gt;="&amp;'Rev JR'!E$1,'Ventas OFD'!$W:$W,"&lt;="&amp;EOMONTH('Rev JR'!E$1,0))</f>
        <v>0</v>
      </c>
      <c r="F91" s="530">
        <f>+SUMIFS('Ventas OFD'!$AK:$AK,'Ventas OFD'!$B:$B,'Rev JR'!$A91,'Ventas OFD'!$W:$W,"&gt;="&amp;'Rev JR'!F$1,'Ventas OFD'!$W:$W,"&lt;="&amp;EOMONTH('Rev JR'!F$1,0))</f>
        <v>0</v>
      </c>
      <c r="G91" s="530">
        <f>+SUMIFS('Ventas OFD'!$AK:$AK,'Ventas OFD'!$B:$B,'Rev JR'!$A91,'Ventas OFD'!$W:$W,"&gt;="&amp;'Rev JR'!G$1,'Ventas OFD'!$W:$W,"&lt;="&amp;EOMONTH('Rev JR'!G$1,0))</f>
        <v>0</v>
      </c>
      <c r="H91" s="530">
        <f>+SUMIFS('Ventas OFD'!$AK:$AK,'Ventas OFD'!$B:$B,'Rev JR'!$A91,'Ventas OFD'!$W:$W,"&gt;="&amp;'Rev JR'!H$1,'Ventas OFD'!$W:$W,"&lt;="&amp;EOMONTH('Rev JR'!H$1,0))</f>
        <v>0</v>
      </c>
      <c r="I91" s="530">
        <f>+SUMIFS('Ventas OFD'!$AK:$AK,'Ventas OFD'!$B:$B,'Rev JR'!$A91,'Ventas OFD'!$W:$W,"&gt;="&amp;'Rev JR'!I$1,'Ventas OFD'!$W:$W,"&lt;="&amp;EOMONTH('Rev JR'!I$1,0))</f>
        <v>0</v>
      </c>
      <c r="J91" s="530">
        <f>+SUMIFS('Ventas OFD'!$AK:$AK,'Ventas OFD'!$B:$B,'Rev JR'!$A91,'Ventas OFD'!$W:$W,"&gt;="&amp;'Rev JR'!J$1,'Ventas OFD'!$W:$W,"&lt;="&amp;EOMONTH('Rev JR'!J$1,0))</f>
        <v>0</v>
      </c>
      <c r="K91" s="530">
        <f>+SUMIFS('Ventas OFD'!$AK:$AK,'Ventas OFD'!$B:$B,'Rev JR'!$A91,'Ventas OFD'!$W:$W,"&gt;="&amp;'Rev JR'!K$1,'Ventas OFD'!$W:$W,"&lt;="&amp;EOMONTH('Rev JR'!K$1,0))</f>
        <v>0</v>
      </c>
      <c r="L91" s="530">
        <f>+SUMIFS('Ventas OFD'!$AK:$AK,'Ventas OFD'!$B:$B,'Rev JR'!$A91,'Ventas OFD'!$W:$W,"&gt;="&amp;'Rev JR'!L$1,'Ventas OFD'!$W:$W,"&lt;="&amp;EOMONTH('Rev JR'!L$1,0))</f>
        <v>0</v>
      </c>
      <c r="M91" s="530">
        <f>+SUMIFS('Ventas OFD'!$AK:$AK,'Ventas OFD'!$B:$B,'Rev JR'!$A91,'Ventas OFD'!$W:$W,"&gt;="&amp;'Rev JR'!M$1,'Ventas OFD'!$W:$W,"&lt;="&amp;EOMONTH('Rev JR'!M$1,0))</f>
        <v>0</v>
      </c>
      <c r="N91" s="530">
        <f>+SUMIFS('Ventas OFD'!$AK:$AK,'Ventas OFD'!$B:$B,'Rev JR'!$A91,'Ventas OFD'!$W:$W,"&gt;="&amp;'Rev JR'!N$1,'Ventas OFD'!$W:$W,"&lt;="&amp;EOMONTH('Rev JR'!N$1,0))</f>
        <v>0</v>
      </c>
      <c r="O91" s="530">
        <f t="shared" si="15"/>
        <v>0</v>
      </c>
    </row>
    <row r="92" spans="1:15">
      <c r="A92" s="664" t="str">
        <f t="shared" si="16"/>
        <v>L</v>
      </c>
      <c r="B92" s="526" t="str">
        <f t="shared" si="17"/>
        <v xml:space="preserve">        CG OFD - L</v>
      </c>
      <c r="C92" s="530">
        <f>+SUMIFS('Ventas OFD'!$AK:$AK,'Ventas OFD'!$B:$B,'Rev JR'!$A92,'Ventas OFD'!$W:$W,"&gt;="&amp;'Rev JR'!C$1,'Ventas OFD'!$W:$W,"&lt;="&amp;EOMONTH('Rev JR'!C$1,0))</f>
        <v>0</v>
      </c>
      <c r="D92" s="530">
        <f>+SUMIFS('Ventas OFD'!$AK:$AK,'Ventas OFD'!$B:$B,'Rev JR'!$A92,'Ventas OFD'!$W:$W,"&gt;="&amp;'Rev JR'!D$1,'Ventas OFD'!$W:$W,"&lt;="&amp;EOMONTH('Rev JR'!D$1,0))</f>
        <v>0</v>
      </c>
      <c r="E92" s="530">
        <f>+SUMIFS('Ventas OFD'!$AK:$AK,'Ventas OFD'!$B:$B,'Rev JR'!$A92,'Ventas OFD'!$W:$W,"&gt;="&amp;'Rev JR'!E$1,'Ventas OFD'!$W:$W,"&lt;="&amp;EOMONTH('Rev JR'!E$1,0))</f>
        <v>0</v>
      </c>
      <c r="F92" s="530">
        <f>+SUMIFS('Ventas OFD'!$AK:$AK,'Ventas OFD'!$B:$B,'Rev JR'!$A92,'Ventas OFD'!$W:$W,"&gt;="&amp;'Rev JR'!F$1,'Ventas OFD'!$W:$W,"&lt;="&amp;EOMONTH('Rev JR'!F$1,0))</f>
        <v>0</v>
      </c>
      <c r="G92" s="530">
        <f>+SUMIFS('Ventas OFD'!$AK:$AK,'Ventas OFD'!$B:$B,'Rev JR'!$A92,'Ventas OFD'!$W:$W,"&gt;="&amp;'Rev JR'!G$1,'Ventas OFD'!$W:$W,"&lt;="&amp;EOMONTH('Rev JR'!G$1,0))</f>
        <v>0</v>
      </c>
      <c r="H92" s="530">
        <f>+SUMIFS('Ventas OFD'!$AK:$AK,'Ventas OFD'!$B:$B,'Rev JR'!$A92,'Ventas OFD'!$W:$W,"&gt;="&amp;'Rev JR'!H$1,'Ventas OFD'!$W:$W,"&lt;="&amp;EOMONTH('Rev JR'!H$1,0))</f>
        <v>0</v>
      </c>
      <c r="I92" s="530">
        <f>+SUMIFS('Ventas OFD'!$AK:$AK,'Ventas OFD'!$B:$B,'Rev JR'!$A92,'Ventas OFD'!$W:$W,"&gt;="&amp;'Rev JR'!I$1,'Ventas OFD'!$W:$W,"&lt;="&amp;EOMONTH('Rev JR'!I$1,0))</f>
        <v>0</v>
      </c>
      <c r="J92" s="530">
        <f>+SUMIFS('Ventas OFD'!$AK:$AK,'Ventas OFD'!$B:$B,'Rev JR'!$A92,'Ventas OFD'!$W:$W,"&gt;="&amp;'Rev JR'!J$1,'Ventas OFD'!$W:$W,"&lt;="&amp;EOMONTH('Rev JR'!J$1,0))</f>
        <v>0</v>
      </c>
      <c r="K92" s="530">
        <f>+SUMIFS('Ventas OFD'!$AK:$AK,'Ventas OFD'!$B:$B,'Rev JR'!$A92,'Ventas OFD'!$W:$W,"&gt;="&amp;'Rev JR'!K$1,'Ventas OFD'!$W:$W,"&lt;="&amp;EOMONTH('Rev JR'!K$1,0))</f>
        <v>0</v>
      </c>
      <c r="L92" s="530">
        <f>+SUMIFS('Ventas OFD'!$AK:$AK,'Ventas OFD'!$B:$B,'Rev JR'!$A92,'Ventas OFD'!$W:$W,"&gt;="&amp;'Rev JR'!L$1,'Ventas OFD'!$W:$W,"&lt;="&amp;EOMONTH('Rev JR'!L$1,0))</f>
        <v>0</v>
      </c>
      <c r="M92" s="530">
        <f>+SUMIFS('Ventas OFD'!$AK:$AK,'Ventas OFD'!$B:$B,'Rev JR'!$A92,'Ventas OFD'!$W:$W,"&gt;="&amp;'Rev JR'!M$1,'Ventas OFD'!$W:$W,"&lt;="&amp;EOMONTH('Rev JR'!M$1,0))</f>
        <v>0</v>
      </c>
      <c r="N92" s="530">
        <f>+SUMIFS('Ventas OFD'!$AK:$AK,'Ventas OFD'!$B:$B,'Rev JR'!$A92,'Ventas OFD'!$W:$W,"&gt;="&amp;'Rev JR'!N$1,'Ventas OFD'!$W:$W,"&lt;="&amp;EOMONTH('Rev JR'!N$1,0))</f>
        <v>0</v>
      </c>
      <c r="O92" s="530">
        <f t="shared" si="15"/>
        <v>0</v>
      </c>
    </row>
    <row r="93" spans="1:15">
      <c r="A93" s="664" t="str">
        <f t="shared" si="16"/>
        <v>M</v>
      </c>
      <c r="B93" s="526" t="str">
        <f t="shared" si="17"/>
        <v xml:space="preserve">        CG OFD - M</v>
      </c>
      <c r="C93" s="530">
        <f>+SUMIFS('Ventas OFD'!$AK:$AK,'Ventas OFD'!$B:$B,'Rev JR'!$A93,'Ventas OFD'!$W:$W,"&gt;="&amp;'Rev JR'!C$1,'Ventas OFD'!$W:$W,"&lt;="&amp;EOMONTH('Rev JR'!C$1,0))</f>
        <v>0</v>
      </c>
      <c r="D93" s="530">
        <f>+SUMIFS('Ventas OFD'!$AK:$AK,'Ventas OFD'!$B:$B,'Rev JR'!$A93,'Ventas OFD'!$W:$W,"&gt;="&amp;'Rev JR'!D$1,'Ventas OFD'!$W:$W,"&lt;="&amp;EOMONTH('Rev JR'!D$1,0))</f>
        <v>0</v>
      </c>
      <c r="E93" s="530">
        <f>+SUMIFS('Ventas OFD'!$AK:$AK,'Ventas OFD'!$B:$B,'Rev JR'!$A93,'Ventas OFD'!$W:$W,"&gt;="&amp;'Rev JR'!E$1,'Ventas OFD'!$W:$W,"&lt;="&amp;EOMONTH('Rev JR'!E$1,0))</f>
        <v>0</v>
      </c>
      <c r="F93" s="530">
        <f>+SUMIFS('Ventas OFD'!$AK:$AK,'Ventas OFD'!$B:$B,'Rev JR'!$A93,'Ventas OFD'!$W:$W,"&gt;="&amp;'Rev JR'!F$1,'Ventas OFD'!$W:$W,"&lt;="&amp;EOMONTH('Rev JR'!F$1,0))</f>
        <v>0</v>
      </c>
      <c r="G93" s="530">
        <f>+SUMIFS('Ventas OFD'!$AK:$AK,'Ventas OFD'!$B:$B,'Rev JR'!$A93,'Ventas OFD'!$W:$W,"&gt;="&amp;'Rev JR'!G$1,'Ventas OFD'!$W:$W,"&lt;="&amp;EOMONTH('Rev JR'!G$1,0))</f>
        <v>0</v>
      </c>
      <c r="H93" s="530">
        <f>+SUMIFS('Ventas OFD'!$AK:$AK,'Ventas OFD'!$B:$B,'Rev JR'!$A93,'Ventas OFD'!$W:$W,"&gt;="&amp;'Rev JR'!H$1,'Ventas OFD'!$W:$W,"&lt;="&amp;EOMONTH('Rev JR'!H$1,0))</f>
        <v>0</v>
      </c>
      <c r="I93" s="530">
        <f>+SUMIFS('Ventas OFD'!$AK:$AK,'Ventas OFD'!$B:$B,'Rev JR'!$A93,'Ventas OFD'!$W:$W,"&gt;="&amp;'Rev JR'!I$1,'Ventas OFD'!$W:$W,"&lt;="&amp;EOMONTH('Rev JR'!I$1,0))</f>
        <v>0</v>
      </c>
      <c r="J93" s="530">
        <f>+SUMIFS('Ventas OFD'!$AK:$AK,'Ventas OFD'!$B:$B,'Rev JR'!$A93,'Ventas OFD'!$W:$W,"&gt;="&amp;'Rev JR'!J$1,'Ventas OFD'!$W:$W,"&lt;="&amp;EOMONTH('Rev JR'!J$1,0))</f>
        <v>0</v>
      </c>
      <c r="K93" s="530">
        <f>+SUMIFS('Ventas OFD'!$AK:$AK,'Ventas OFD'!$B:$B,'Rev JR'!$A93,'Ventas OFD'!$W:$W,"&gt;="&amp;'Rev JR'!K$1,'Ventas OFD'!$W:$W,"&lt;="&amp;EOMONTH('Rev JR'!K$1,0))</f>
        <v>0</v>
      </c>
      <c r="L93" s="530">
        <f>+SUMIFS('Ventas OFD'!$AK:$AK,'Ventas OFD'!$B:$B,'Rev JR'!$A93,'Ventas OFD'!$W:$W,"&gt;="&amp;'Rev JR'!L$1,'Ventas OFD'!$W:$W,"&lt;="&amp;EOMONTH('Rev JR'!L$1,0))</f>
        <v>0</v>
      </c>
      <c r="M93" s="530">
        <f>+SUMIFS('Ventas OFD'!$AK:$AK,'Ventas OFD'!$B:$B,'Rev JR'!$A93,'Ventas OFD'!$W:$W,"&gt;="&amp;'Rev JR'!M$1,'Ventas OFD'!$W:$W,"&lt;="&amp;EOMONTH('Rev JR'!M$1,0))</f>
        <v>0</v>
      </c>
      <c r="N93" s="530">
        <f>+SUMIFS('Ventas OFD'!$AK:$AK,'Ventas OFD'!$B:$B,'Rev JR'!$A93,'Ventas OFD'!$W:$W,"&gt;="&amp;'Rev JR'!N$1,'Ventas OFD'!$W:$W,"&lt;="&amp;EOMONTH('Rev JR'!N$1,0))</f>
        <v>0</v>
      </c>
      <c r="O93" s="530">
        <f t="shared" si="15"/>
        <v>0</v>
      </c>
    </row>
    <row r="94" spans="1:15">
      <c r="A94" s="664" t="str">
        <f t="shared" si="16"/>
        <v>N</v>
      </c>
      <c r="B94" s="526" t="str">
        <f t="shared" si="17"/>
        <v xml:space="preserve">        CG OFD - N</v>
      </c>
      <c r="C94" s="530">
        <f>+SUMIFS('Ventas OFD'!$AK:$AK,'Ventas OFD'!$B:$B,'Rev JR'!$A94,'Ventas OFD'!$W:$W,"&gt;="&amp;'Rev JR'!C$1,'Ventas OFD'!$W:$W,"&lt;="&amp;EOMONTH('Rev JR'!C$1,0))</f>
        <v>0</v>
      </c>
      <c r="D94" s="530">
        <f>+SUMIFS('Ventas OFD'!$AK:$AK,'Ventas OFD'!$B:$B,'Rev JR'!$A94,'Ventas OFD'!$W:$W,"&gt;="&amp;'Rev JR'!D$1,'Ventas OFD'!$W:$W,"&lt;="&amp;EOMONTH('Rev JR'!D$1,0))</f>
        <v>0</v>
      </c>
      <c r="E94" s="530">
        <f>+SUMIFS('Ventas OFD'!$AK:$AK,'Ventas OFD'!$B:$B,'Rev JR'!$A94,'Ventas OFD'!$W:$W,"&gt;="&amp;'Rev JR'!E$1,'Ventas OFD'!$W:$W,"&lt;="&amp;EOMONTH('Rev JR'!E$1,0))</f>
        <v>0</v>
      </c>
      <c r="F94" s="530">
        <f>+SUMIFS('Ventas OFD'!$AK:$AK,'Ventas OFD'!$B:$B,'Rev JR'!$A94,'Ventas OFD'!$W:$W,"&gt;="&amp;'Rev JR'!F$1,'Ventas OFD'!$W:$W,"&lt;="&amp;EOMONTH('Rev JR'!F$1,0))</f>
        <v>0</v>
      </c>
      <c r="G94" s="530">
        <f>+SUMIFS('Ventas OFD'!$AK:$AK,'Ventas OFD'!$B:$B,'Rev JR'!$A94,'Ventas OFD'!$W:$W,"&gt;="&amp;'Rev JR'!G$1,'Ventas OFD'!$W:$W,"&lt;="&amp;EOMONTH('Rev JR'!G$1,0))</f>
        <v>0</v>
      </c>
      <c r="H94" s="530">
        <f>+SUMIFS('Ventas OFD'!$AK:$AK,'Ventas OFD'!$B:$B,'Rev JR'!$A94,'Ventas OFD'!$W:$W,"&gt;="&amp;'Rev JR'!H$1,'Ventas OFD'!$W:$W,"&lt;="&amp;EOMONTH('Rev JR'!H$1,0))</f>
        <v>0</v>
      </c>
      <c r="I94" s="530">
        <f>+SUMIFS('Ventas OFD'!$AK:$AK,'Ventas OFD'!$B:$B,'Rev JR'!$A94,'Ventas OFD'!$W:$W,"&gt;="&amp;'Rev JR'!I$1,'Ventas OFD'!$W:$W,"&lt;="&amp;EOMONTH('Rev JR'!I$1,0))</f>
        <v>0</v>
      </c>
      <c r="J94" s="530">
        <f>+SUMIFS('Ventas OFD'!$AK:$AK,'Ventas OFD'!$B:$B,'Rev JR'!$A94,'Ventas OFD'!$W:$W,"&gt;="&amp;'Rev JR'!J$1,'Ventas OFD'!$W:$W,"&lt;="&amp;EOMONTH('Rev JR'!J$1,0))</f>
        <v>0</v>
      </c>
      <c r="K94" s="530">
        <f>+SUMIFS('Ventas OFD'!$AK:$AK,'Ventas OFD'!$B:$B,'Rev JR'!$A94,'Ventas OFD'!$W:$W,"&gt;="&amp;'Rev JR'!K$1,'Ventas OFD'!$W:$W,"&lt;="&amp;EOMONTH('Rev JR'!K$1,0))</f>
        <v>0</v>
      </c>
      <c r="L94" s="530">
        <f>+SUMIFS('Ventas OFD'!$AK:$AK,'Ventas OFD'!$B:$B,'Rev JR'!$A94,'Ventas OFD'!$W:$W,"&gt;="&amp;'Rev JR'!L$1,'Ventas OFD'!$W:$W,"&lt;="&amp;EOMONTH('Rev JR'!L$1,0))</f>
        <v>0</v>
      </c>
      <c r="M94" s="530">
        <f>+SUMIFS('Ventas OFD'!$AK:$AK,'Ventas OFD'!$B:$B,'Rev JR'!$A94,'Ventas OFD'!$W:$W,"&gt;="&amp;'Rev JR'!M$1,'Ventas OFD'!$W:$W,"&lt;="&amp;EOMONTH('Rev JR'!M$1,0))</f>
        <v>0</v>
      </c>
      <c r="N94" s="530">
        <f>+SUMIFS('Ventas OFD'!$AK:$AK,'Ventas OFD'!$B:$B,'Rev JR'!$A94,'Ventas OFD'!$W:$W,"&gt;="&amp;'Rev JR'!N$1,'Ventas OFD'!$W:$W,"&lt;="&amp;EOMONTH('Rev JR'!N$1,0))</f>
        <v>0</v>
      </c>
      <c r="O94" s="530">
        <f t="shared" si="15"/>
        <v>0</v>
      </c>
    </row>
    <row r="95" spans="1:15">
      <c r="A95" s="664" t="str">
        <f t="shared" si="16"/>
        <v>O</v>
      </c>
      <c r="B95" s="526" t="str">
        <f t="shared" si="17"/>
        <v xml:space="preserve">        CG OFD - O</v>
      </c>
      <c r="C95" s="530">
        <f>+SUMIFS('Ventas OFD'!$AK:$AK,'Ventas OFD'!$B:$B,'Rev JR'!$A95,'Ventas OFD'!$W:$W,"&gt;="&amp;'Rev JR'!C$1,'Ventas OFD'!$W:$W,"&lt;="&amp;EOMONTH('Rev JR'!C$1,0))</f>
        <v>0</v>
      </c>
      <c r="D95" s="530">
        <f>+SUMIFS('Ventas OFD'!$AK:$AK,'Ventas OFD'!$B:$B,'Rev JR'!$A95,'Ventas OFD'!$W:$W,"&gt;="&amp;'Rev JR'!D$1,'Ventas OFD'!$W:$W,"&lt;="&amp;EOMONTH('Rev JR'!D$1,0))</f>
        <v>0</v>
      </c>
      <c r="E95" s="530">
        <f>+SUMIFS('Ventas OFD'!$AK:$AK,'Ventas OFD'!$B:$B,'Rev JR'!$A95,'Ventas OFD'!$W:$W,"&gt;="&amp;'Rev JR'!E$1,'Ventas OFD'!$W:$W,"&lt;="&amp;EOMONTH('Rev JR'!E$1,0))</f>
        <v>0</v>
      </c>
      <c r="F95" s="530">
        <f>+SUMIFS('Ventas OFD'!$AK:$AK,'Ventas OFD'!$B:$B,'Rev JR'!$A95,'Ventas OFD'!$W:$W,"&gt;="&amp;'Rev JR'!F$1,'Ventas OFD'!$W:$W,"&lt;="&amp;EOMONTH('Rev JR'!F$1,0))</f>
        <v>0</v>
      </c>
      <c r="G95" s="530">
        <f>+SUMIFS('Ventas OFD'!$AK:$AK,'Ventas OFD'!$B:$B,'Rev JR'!$A95,'Ventas OFD'!$W:$W,"&gt;="&amp;'Rev JR'!G$1,'Ventas OFD'!$W:$W,"&lt;="&amp;EOMONTH('Rev JR'!G$1,0))</f>
        <v>0</v>
      </c>
      <c r="H95" s="530">
        <f>+SUMIFS('Ventas OFD'!$AK:$AK,'Ventas OFD'!$B:$B,'Rev JR'!$A95,'Ventas OFD'!$W:$W,"&gt;="&amp;'Rev JR'!H$1,'Ventas OFD'!$W:$W,"&lt;="&amp;EOMONTH('Rev JR'!H$1,0))</f>
        <v>0</v>
      </c>
      <c r="I95" s="530">
        <f>+SUMIFS('Ventas OFD'!$AK:$AK,'Ventas OFD'!$B:$B,'Rev JR'!$A95,'Ventas OFD'!$W:$W,"&gt;="&amp;'Rev JR'!I$1,'Ventas OFD'!$W:$W,"&lt;="&amp;EOMONTH('Rev JR'!I$1,0))</f>
        <v>0</v>
      </c>
      <c r="J95" s="530">
        <f>+SUMIFS('Ventas OFD'!$AK:$AK,'Ventas OFD'!$B:$B,'Rev JR'!$A95,'Ventas OFD'!$W:$W,"&gt;="&amp;'Rev JR'!J$1,'Ventas OFD'!$W:$W,"&lt;="&amp;EOMONTH('Rev JR'!J$1,0))</f>
        <v>0</v>
      </c>
      <c r="K95" s="530">
        <f>+SUMIFS('Ventas OFD'!$AK:$AK,'Ventas OFD'!$B:$B,'Rev JR'!$A95,'Ventas OFD'!$W:$W,"&gt;="&amp;'Rev JR'!K$1,'Ventas OFD'!$W:$W,"&lt;="&amp;EOMONTH('Rev JR'!K$1,0))</f>
        <v>0</v>
      </c>
      <c r="L95" s="530">
        <f>+SUMIFS('Ventas OFD'!$AK:$AK,'Ventas OFD'!$B:$B,'Rev JR'!$A95,'Ventas OFD'!$W:$W,"&gt;="&amp;'Rev JR'!L$1,'Ventas OFD'!$W:$W,"&lt;="&amp;EOMONTH('Rev JR'!L$1,0))</f>
        <v>0</v>
      </c>
      <c r="M95" s="530">
        <f>+SUMIFS('Ventas OFD'!$AK:$AK,'Ventas OFD'!$B:$B,'Rev JR'!$A95,'Ventas OFD'!$W:$W,"&gt;="&amp;'Rev JR'!M$1,'Ventas OFD'!$W:$W,"&lt;="&amp;EOMONTH('Rev JR'!M$1,0))</f>
        <v>0</v>
      </c>
      <c r="N95" s="530">
        <f>+SUMIFS('Ventas OFD'!$AK:$AK,'Ventas OFD'!$B:$B,'Rev JR'!$A95,'Ventas OFD'!$W:$W,"&gt;="&amp;'Rev JR'!N$1,'Ventas OFD'!$W:$W,"&lt;="&amp;EOMONTH('Rev JR'!N$1,0))</f>
        <v>0</v>
      </c>
      <c r="O95" s="530">
        <f t="shared" si="15"/>
        <v>0</v>
      </c>
    </row>
    <row r="96" spans="1:15">
      <c r="A96" s="664" t="str">
        <f t="shared" si="16"/>
        <v>P</v>
      </c>
      <c r="B96" s="526" t="str">
        <f t="shared" si="17"/>
        <v xml:space="preserve">        CG OFD - P</v>
      </c>
      <c r="C96" s="530">
        <f>+SUMIFS('Ventas OFD'!$AK:$AK,'Ventas OFD'!$B:$B,'Rev JR'!$A96,'Ventas OFD'!$W:$W,"&gt;="&amp;'Rev JR'!C$1,'Ventas OFD'!$W:$W,"&lt;="&amp;EOMONTH('Rev JR'!C$1,0))</f>
        <v>0</v>
      </c>
      <c r="D96" s="530">
        <f>+SUMIFS('Ventas OFD'!$AK:$AK,'Ventas OFD'!$B:$B,'Rev JR'!$A96,'Ventas OFD'!$W:$W,"&gt;="&amp;'Rev JR'!D$1,'Ventas OFD'!$W:$W,"&lt;="&amp;EOMONTH('Rev JR'!D$1,0))</f>
        <v>0</v>
      </c>
      <c r="E96" s="530">
        <f>+SUMIFS('Ventas OFD'!$AK:$AK,'Ventas OFD'!$B:$B,'Rev JR'!$A96,'Ventas OFD'!$W:$W,"&gt;="&amp;'Rev JR'!E$1,'Ventas OFD'!$W:$W,"&lt;="&amp;EOMONTH('Rev JR'!E$1,0))</f>
        <v>0</v>
      </c>
      <c r="F96" s="530">
        <f>+SUMIFS('Ventas OFD'!$AK:$AK,'Ventas OFD'!$B:$B,'Rev JR'!$A96,'Ventas OFD'!$W:$W,"&gt;="&amp;'Rev JR'!F$1,'Ventas OFD'!$W:$W,"&lt;="&amp;EOMONTH('Rev JR'!F$1,0))</f>
        <v>0</v>
      </c>
      <c r="G96" s="530">
        <f>+SUMIFS('Ventas OFD'!$AK:$AK,'Ventas OFD'!$B:$B,'Rev JR'!$A96,'Ventas OFD'!$W:$W,"&gt;="&amp;'Rev JR'!G$1,'Ventas OFD'!$W:$W,"&lt;="&amp;EOMONTH('Rev JR'!G$1,0))</f>
        <v>0</v>
      </c>
      <c r="H96" s="530">
        <f>+SUMIFS('Ventas OFD'!$AK:$AK,'Ventas OFD'!$B:$B,'Rev JR'!$A96,'Ventas OFD'!$W:$W,"&gt;="&amp;'Rev JR'!H$1,'Ventas OFD'!$W:$W,"&lt;="&amp;EOMONTH('Rev JR'!H$1,0))</f>
        <v>0</v>
      </c>
      <c r="I96" s="530">
        <f>+SUMIFS('Ventas OFD'!$AK:$AK,'Ventas OFD'!$B:$B,'Rev JR'!$A96,'Ventas OFD'!$W:$W,"&gt;="&amp;'Rev JR'!I$1,'Ventas OFD'!$W:$W,"&lt;="&amp;EOMONTH('Rev JR'!I$1,0))</f>
        <v>0</v>
      </c>
      <c r="J96" s="530">
        <f>+SUMIFS('Ventas OFD'!$AK:$AK,'Ventas OFD'!$B:$B,'Rev JR'!$A96,'Ventas OFD'!$W:$W,"&gt;="&amp;'Rev JR'!J$1,'Ventas OFD'!$W:$W,"&lt;="&amp;EOMONTH('Rev JR'!J$1,0))</f>
        <v>0</v>
      </c>
      <c r="K96" s="530">
        <f>+SUMIFS('Ventas OFD'!$AK:$AK,'Ventas OFD'!$B:$B,'Rev JR'!$A96,'Ventas OFD'!$W:$W,"&gt;="&amp;'Rev JR'!K$1,'Ventas OFD'!$W:$W,"&lt;="&amp;EOMONTH('Rev JR'!K$1,0))</f>
        <v>0</v>
      </c>
      <c r="L96" s="530">
        <f>+SUMIFS('Ventas OFD'!$AK:$AK,'Ventas OFD'!$B:$B,'Rev JR'!$A96,'Ventas OFD'!$W:$W,"&gt;="&amp;'Rev JR'!L$1,'Ventas OFD'!$W:$W,"&lt;="&amp;EOMONTH('Rev JR'!L$1,0))</f>
        <v>0</v>
      </c>
      <c r="M96" s="530">
        <f>+SUMIFS('Ventas OFD'!$AK:$AK,'Ventas OFD'!$B:$B,'Rev JR'!$A96,'Ventas OFD'!$W:$W,"&gt;="&amp;'Rev JR'!M$1,'Ventas OFD'!$W:$W,"&lt;="&amp;EOMONTH('Rev JR'!M$1,0))</f>
        <v>0</v>
      </c>
      <c r="N96" s="530">
        <f>+SUMIFS('Ventas OFD'!$AK:$AK,'Ventas OFD'!$B:$B,'Rev JR'!$A96,'Ventas OFD'!$W:$W,"&gt;="&amp;'Rev JR'!N$1,'Ventas OFD'!$W:$W,"&lt;="&amp;EOMONTH('Rev JR'!N$1,0))</f>
        <v>0</v>
      </c>
      <c r="O96" s="530">
        <f t="shared" si="15"/>
        <v>0</v>
      </c>
    </row>
    <row r="97" spans="1:15">
      <c r="A97" s="522"/>
      <c r="B97" s="531" t="s">
        <v>620</v>
      </c>
      <c r="C97" s="532">
        <f t="shared" ref="C97:O97" si="18">SUM(C81:C96)</f>
        <v>0</v>
      </c>
      <c r="D97" s="532">
        <f t="shared" si="18"/>
        <v>0</v>
      </c>
      <c r="E97" s="532">
        <f t="shared" si="18"/>
        <v>0</v>
      </c>
      <c r="F97" s="532">
        <f t="shared" si="18"/>
        <v>0</v>
      </c>
      <c r="G97" s="532">
        <f t="shared" si="18"/>
        <v>0</v>
      </c>
      <c r="H97" s="532">
        <f t="shared" si="18"/>
        <v>0</v>
      </c>
      <c r="I97" s="532">
        <f t="shared" si="18"/>
        <v>0</v>
      </c>
      <c r="J97" s="532">
        <f t="shared" si="18"/>
        <v>0</v>
      </c>
      <c r="K97" s="532">
        <f t="shared" si="18"/>
        <v>0</v>
      </c>
      <c r="L97" s="532">
        <f t="shared" si="18"/>
        <v>0</v>
      </c>
      <c r="M97" s="532">
        <f t="shared" si="18"/>
        <v>0</v>
      </c>
      <c r="N97" s="532">
        <f t="shared" si="18"/>
        <v>0</v>
      </c>
      <c r="O97" s="532">
        <f t="shared" si="18"/>
        <v>0</v>
      </c>
    </row>
    <row r="98" spans="1:15">
      <c r="A98" s="522"/>
      <c r="B98" s="526" t="s">
        <v>598</v>
      </c>
      <c r="C98" s="529"/>
      <c r="D98" s="529"/>
      <c r="E98" s="529"/>
      <c r="F98" s="529"/>
      <c r="G98" s="529"/>
      <c r="H98" s="529"/>
      <c r="I98" s="529"/>
      <c r="J98" s="529"/>
      <c r="K98" s="529"/>
      <c r="L98" s="529"/>
      <c r="M98" s="529"/>
      <c r="N98" s="529"/>
      <c r="O98" s="529"/>
    </row>
    <row r="99" spans="1:15">
      <c r="A99" s="522"/>
      <c r="B99" s="526" t="s">
        <v>621</v>
      </c>
      <c r="C99" s="530"/>
      <c r="D99" s="530"/>
      <c r="E99" s="530"/>
      <c r="F99" s="530"/>
      <c r="G99" s="530"/>
      <c r="H99" s="530"/>
      <c r="I99" s="530"/>
      <c r="J99" s="530"/>
      <c r="K99" s="530"/>
      <c r="L99" s="530"/>
      <c r="M99" s="530"/>
      <c r="N99" s="530"/>
      <c r="O99" s="530"/>
    </row>
    <row r="100" spans="1:15">
      <c r="A100" s="664" t="str">
        <f>+A81</f>
        <v>31XX29</v>
      </c>
      <c r="B100" s="526" t="str">
        <f>+CONCATENATE("        Otros Ingresos - ",A100)</f>
        <v xml:space="preserve">        Otros Ingresos - 31XX29</v>
      </c>
      <c r="C100" s="530">
        <f>+SUMIFS('Otros Ingresos'!$G$7:$G$500,'Otros Ingresos'!$B$7:$B$500,'Rev JR'!$A100,'Otros Ingresos'!$D$7:$D$500,"&gt;="&amp;'Rev JR'!C$1,'Otros Ingresos'!$D$7:$D$500,"&lt;="&amp;EOMONTH('Rev JR'!C$1,0))</f>
        <v>0</v>
      </c>
      <c r="D100" s="530">
        <f>+SUMIFS('Otros Ingresos'!$G$7:$G$500,'Otros Ingresos'!$B$7:$B$500,'Rev JR'!$A100,'Otros Ingresos'!$D$7:$D$500,"&gt;="&amp;'Rev JR'!D$1,'Otros Ingresos'!$D$7:$D$500,"&lt;="&amp;EOMONTH('Rev JR'!D$1,0))</f>
        <v>0</v>
      </c>
      <c r="E100" s="530">
        <f>+SUMIFS('Otros Ingresos'!$G$7:$G$500,'Otros Ingresos'!$B$7:$B$500,'Rev JR'!$A100,'Otros Ingresos'!$D$7:$D$500,"&gt;="&amp;'Rev JR'!E$1,'Otros Ingresos'!$D$7:$D$500,"&lt;="&amp;EOMONTH('Rev JR'!E$1,0))</f>
        <v>0</v>
      </c>
      <c r="F100" s="530">
        <f>+SUMIFS('Otros Ingresos'!$G$7:$G$500,'Otros Ingresos'!$B$7:$B$500,'Rev JR'!$A100,'Otros Ingresos'!$D$7:$D$500,"&gt;="&amp;'Rev JR'!F$1,'Otros Ingresos'!$D$7:$D$500,"&lt;="&amp;EOMONTH('Rev JR'!F$1,0))</f>
        <v>0</v>
      </c>
      <c r="G100" s="530">
        <f>+SUMIFS('Otros Ingresos'!$G$7:$G$500,'Otros Ingresos'!$B$7:$B$500,'Rev JR'!$A100,'Otros Ingresos'!$D$7:$D$500,"&gt;="&amp;'Rev JR'!G$1,'Otros Ingresos'!$D$7:$D$500,"&lt;="&amp;EOMONTH('Rev JR'!G$1,0))</f>
        <v>0</v>
      </c>
      <c r="H100" s="530">
        <f>+SUMIFS('Otros Ingresos'!$G$7:$G$500,'Otros Ingresos'!$B$7:$B$500,'Rev JR'!$A100,'Otros Ingresos'!$D$7:$D$500,"&gt;="&amp;'Rev JR'!H$1,'Otros Ingresos'!$D$7:$D$500,"&lt;="&amp;EOMONTH('Rev JR'!H$1,0))</f>
        <v>0</v>
      </c>
      <c r="I100" s="530">
        <f>+SUMIFS('Otros Ingresos'!$G$7:$G$500,'Otros Ingresos'!$B$7:$B$500,'Rev JR'!$A100,'Otros Ingresos'!$D$7:$D$500,"&gt;="&amp;'Rev JR'!I$1,'Otros Ingresos'!$D$7:$D$500,"&lt;="&amp;EOMONTH('Rev JR'!I$1,0))</f>
        <v>0</v>
      </c>
      <c r="J100" s="530">
        <f>+SUMIFS('Otros Ingresos'!$G$7:$G$500,'Otros Ingresos'!$B$7:$B$500,'Rev JR'!$A100,'Otros Ingresos'!$D$7:$D$500,"&gt;="&amp;'Rev JR'!J$1,'Otros Ingresos'!$D$7:$D$500,"&lt;="&amp;EOMONTH('Rev JR'!J$1,0))</f>
        <v>0</v>
      </c>
      <c r="K100" s="530">
        <f>+SUMIFS('Otros Ingresos'!$G$7:$G$500,'Otros Ingresos'!$B$7:$B$500,'Rev JR'!$A100,'Otros Ingresos'!$D$7:$D$500,"&gt;="&amp;'Rev JR'!K$1,'Otros Ingresos'!$D$7:$D$500,"&lt;="&amp;EOMONTH('Rev JR'!K$1,0))</f>
        <v>0</v>
      </c>
      <c r="L100" s="530">
        <f>+SUMIFS('Otros Ingresos'!$G$7:$G$500,'Otros Ingresos'!$B$7:$B$500,'Rev JR'!$A100,'Otros Ingresos'!$D$7:$D$500,"&gt;="&amp;'Rev JR'!L$1,'Otros Ingresos'!$D$7:$D$500,"&lt;="&amp;EOMONTH('Rev JR'!L$1,0))</f>
        <v>0</v>
      </c>
      <c r="M100" s="530">
        <f>+SUMIFS('Otros Ingresos'!$G$7:$G$500,'Otros Ingresos'!$B$7:$B$500,'Rev JR'!$A100,'Otros Ingresos'!$D$7:$D$500,"&gt;="&amp;'Rev JR'!M$1,'Otros Ingresos'!$D$7:$D$500,"&lt;="&amp;EOMONTH('Rev JR'!M$1,0))</f>
        <v>0</v>
      </c>
      <c r="N100" s="530">
        <f>+SUMIFS('Otros Ingresos'!$G$7:$G$500,'Otros Ingresos'!$B$7:$B$500,'Rev JR'!$A100,'Otros Ingresos'!$D$7:$D$500,"&gt;="&amp;'Rev JR'!N$1,'Otros Ingresos'!$D$7:$D$500,"&lt;="&amp;EOMONTH('Rev JR'!N$1,0))</f>
        <v>0</v>
      </c>
      <c r="O100" s="530">
        <f t="shared" ref="O100:O115" si="19">SUM(C100:N100)</f>
        <v>0</v>
      </c>
    </row>
    <row r="101" spans="1:15">
      <c r="A101" s="664" t="str">
        <f t="shared" ref="A101:A115" si="20">+A82</f>
        <v>11XX300</v>
      </c>
      <c r="B101" s="526" t="str">
        <f t="shared" ref="B101:B115" si="21">+CONCATENATE("        Otros Ingresos - ",A101)</f>
        <v xml:space="preserve">        Otros Ingresos - 11XX300</v>
      </c>
      <c r="C101" s="530">
        <f>+SUMIFS('Otros Ingresos'!$G$7:$G$500,'Otros Ingresos'!$B$7:$B$500,'Rev JR'!$A101,'Otros Ingresos'!$D$7:$D$500,"&gt;="&amp;'Rev JR'!C$1,'Otros Ingresos'!$D$7:$D$500,"&lt;="&amp;EOMONTH('Rev JR'!C$1,0))</f>
        <v>0</v>
      </c>
      <c r="D101" s="530">
        <f>+SUMIFS('Otros Ingresos'!$G$7:$G$500,'Otros Ingresos'!$B$7:$B$500,'Rev JR'!$A101,'Otros Ingresos'!$D$7:$D$500,"&gt;="&amp;'Rev JR'!D$1,'Otros Ingresos'!$D$7:$D$500,"&lt;="&amp;EOMONTH('Rev JR'!D$1,0))</f>
        <v>0</v>
      </c>
      <c r="E101" s="530">
        <f>+SUMIFS('Otros Ingresos'!$G$7:$G$500,'Otros Ingresos'!$B$7:$B$500,'Rev JR'!$A101,'Otros Ingresos'!$D$7:$D$500,"&gt;="&amp;'Rev JR'!E$1,'Otros Ingresos'!$D$7:$D$500,"&lt;="&amp;EOMONTH('Rev JR'!E$1,0))</f>
        <v>0</v>
      </c>
      <c r="F101" s="530">
        <f>+SUMIFS('Otros Ingresos'!$G$7:$G$500,'Otros Ingresos'!$B$7:$B$500,'Rev JR'!$A101,'Otros Ingresos'!$D$7:$D$500,"&gt;="&amp;'Rev JR'!F$1,'Otros Ingresos'!$D$7:$D$500,"&lt;="&amp;EOMONTH('Rev JR'!F$1,0))</f>
        <v>0</v>
      </c>
      <c r="G101" s="530">
        <f>+SUMIFS('Otros Ingresos'!$G$7:$G$500,'Otros Ingresos'!$B$7:$B$500,'Rev JR'!$A101,'Otros Ingresos'!$D$7:$D$500,"&gt;="&amp;'Rev JR'!G$1,'Otros Ingresos'!$D$7:$D$500,"&lt;="&amp;EOMONTH('Rev JR'!G$1,0))</f>
        <v>0</v>
      </c>
      <c r="H101" s="530">
        <f>+SUMIFS('Otros Ingresos'!$G$7:$G$500,'Otros Ingresos'!$B$7:$B$500,'Rev JR'!$A101,'Otros Ingresos'!$D$7:$D$500,"&gt;="&amp;'Rev JR'!H$1,'Otros Ingresos'!$D$7:$D$500,"&lt;="&amp;EOMONTH('Rev JR'!H$1,0))</f>
        <v>0</v>
      </c>
      <c r="I101" s="530">
        <f>+SUMIFS('Otros Ingresos'!$G$7:$G$500,'Otros Ingresos'!$B$7:$B$500,'Rev JR'!$A101,'Otros Ingresos'!$D$7:$D$500,"&gt;="&amp;'Rev JR'!I$1,'Otros Ingresos'!$D$7:$D$500,"&lt;="&amp;EOMONTH('Rev JR'!I$1,0))</f>
        <v>0</v>
      </c>
      <c r="J101" s="530">
        <f>+SUMIFS('Otros Ingresos'!$G$7:$G$500,'Otros Ingresos'!$B$7:$B$500,'Rev JR'!$A101,'Otros Ingresos'!$D$7:$D$500,"&gt;="&amp;'Rev JR'!J$1,'Otros Ingresos'!$D$7:$D$500,"&lt;="&amp;EOMONTH('Rev JR'!J$1,0))</f>
        <v>0</v>
      </c>
      <c r="K101" s="530">
        <f>+SUMIFS('Otros Ingresos'!$G$7:$G$500,'Otros Ingresos'!$B$7:$B$500,'Rev JR'!$A101,'Otros Ingresos'!$D$7:$D$500,"&gt;="&amp;'Rev JR'!K$1,'Otros Ingresos'!$D$7:$D$500,"&lt;="&amp;EOMONTH('Rev JR'!K$1,0))</f>
        <v>0</v>
      </c>
      <c r="L101" s="530">
        <f>+SUMIFS('Otros Ingresos'!$G$7:$G$500,'Otros Ingresos'!$B$7:$B$500,'Rev JR'!$A101,'Otros Ingresos'!$D$7:$D$500,"&gt;="&amp;'Rev JR'!L$1,'Otros Ingresos'!$D$7:$D$500,"&lt;="&amp;EOMONTH('Rev JR'!L$1,0))</f>
        <v>0</v>
      </c>
      <c r="M101" s="530">
        <f>+SUMIFS('Otros Ingresos'!$G$7:$G$500,'Otros Ingresos'!$B$7:$B$500,'Rev JR'!$A101,'Otros Ingresos'!$D$7:$D$500,"&gt;="&amp;'Rev JR'!M$1,'Otros Ingresos'!$D$7:$D$500,"&lt;="&amp;EOMONTH('Rev JR'!M$1,0))</f>
        <v>0</v>
      </c>
      <c r="N101" s="530">
        <f>+SUMIFS('Otros Ingresos'!$G$7:$G$500,'Otros Ingresos'!$B$7:$B$500,'Rev JR'!$A101,'Otros Ingresos'!$D$7:$D$500,"&gt;="&amp;'Rev JR'!N$1,'Otros Ingresos'!$D$7:$D$500,"&lt;="&amp;EOMONTH('Rev JR'!N$1,0))</f>
        <v>0</v>
      </c>
      <c r="O101" s="530">
        <f t="shared" si="19"/>
        <v>0</v>
      </c>
    </row>
    <row r="102" spans="1:15">
      <c r="A102" s="664" t="str">
        <f t="shared" si="20"/>
        <v>1XXX100</v>
      </c>
      <c r="B102" s="526" t="str">
        <f t="shared" si="21"/>
        <v xml:space="preserve">        Otros Ingresos - 1XXX100</v>
      </c>
      <c r="C102" s="530">
        <f>+SUMIFS('Otros Ingresos'!$G$7:$G$500,'Otros Ingresos'!$B$7:$B$500,'Rev JR'!$A102,'Otros Ingresos'!$D$7:$D$500,"&gt;="&amp;'Rev JR'!C$1,'Otros Ingresos'!$D$7:$D$500,"&lt;="&amp;EOMONTH('Rev JR'!C$1,0))</f>
        <v>0</v>
      </c>
      <c r="D102" s="530">
        <f>+SUMIFS('Otros Ingresos'!$G$7:$G$500,'Otros Ingresos'!$B$7:$B$500,'Rev JR'!$A102,'Otros Ingresos'!$D$7:$D$500,"&gt;="&amp;'Rev JR'!D$1,'Otros Ingresos'!$D$7:$D$500,"&lt;="&amp;EOMONTH('Rev JR'!D$1,0))</f>
        <v>0</v>
      </c>
      <c r="E102" s="530">
        <f>+SUMIFS('Otros Ingresos'!$G$7:$G$500,'Otros Ingresos'!$B$7:$B$500,'Rev JR'!$A102,'Otros Ingresos'!$D$7:$D$500,"&gt;="&amp;'Rev JR'!E$1,'Otros Ingresos'!$D$7:$D$500,"&lt;="&amp;EOMONTH('Rev JR'!E$1,0))</f>
        <v>0</v>
      </c>
      <c r="F102" s="530">
        <f>+SUMIFS('Otros Ingresos'!$G$7:$G$500,'Otros Ingresos'!$B$7:$B$500,'Rev JR'!$A102,'Otros Ingresos'!$D$7:$D$500,"&gt;="&amp;'Rev JR'!F$1,'Otros Ingresos'!$D$7:$D$500,"&lt;="&amp;EOMONTH('Rev JR'!F$1,0))</f>
        <v>0</v>
      </c>
      <c r="G102" s="530">
        <f>+SUMIFS('Otros Ingresos'!$G$7:$G$500,'Otros Ingresos'!$B$7:$B$500,'Rev JR'!$A102,'Otros Ingresos'!$D$7:$D$500,"&gt;="&amp;'Rev JR'!G$1,'Otros Ingresos'!$D$7:$D$500,"&lt;="&amp;EOMONTH('Rev JR'!G$1,0))</f>
        <v>0</v>
      </c>
      <c r="H102" s="530">
        <f>+SUMIFS('Otros Ingresos'!$G$7:$G$500,'Otros Ingresos'!$B$7:$B$500,'Rev JR'!$A102,'Otros Ingresos'!$D$7:$D$500,"&gt;="&amp;'Rev JR'!H$1,'Otros Ingresos'!$D$7:$D$500,"&lt;="&amp;EOMONTH('Rev JR'!H$1,0))</f>
        <v>0</v>
      </c>
      <c r="I102" s="530">
        <f>+SUMIFS('Otros Ingresos'!$G$7:$G$500,'Otros Ingresos'!$B$7:$B$500,'Rev JR'!$A102,'Otros Ingresos'!$D$7:$D$500,"&gt;="&amp;'Rev JR'!I$1,'Otros Ingresos'!$D$7:$D$500,"&lt;="&amp;EOMONTH('Rev JR'!I$1,0))</f>
        <v>0</v>
      </c>
      <c r="J102" s="530">
        <f>+SUMIFS('Otros Ingresos'!$G$7:$G$500,'Otros Ingresos'!$B$7:$B$500,'Rev JR'!$A102,'Otros Ingresos'!$D$7:$D$500,"&gt;="&amp;'Rev JR'!J$1,'Otros Ingresos'!$D$7:$D$500,"&lt;="&amp;EOMONTH('Rev JR'!J$1,0))</f>
        <v>0</v>
      </c>
      <c r="K102" s="530">
        <f>+SUMIFS('Otros Ingresos'!$G$7:$G$500,'Otros Ingresos'!$B$7:$B$500,'Rev JR'!$A102,'Otros Ingresos'!$D$7:$D$500,"&gt;="&amp;'Rev JR'!K$1,'Otros Ingresos'!$D$7:$D$500,"&lt;="&amp;EOMONTH('Rev JR'!K$1,0))</f>
        <v>0</v>
      </c>
      <c r="L102" s="530">
        <f>+SUMIFS('Otros Ingresos'!$G$7:$G$500,'Otros Ingresos'!$B$7:$B$500,'Rev JR'!$A102,'Otros Ingresos'!$D$7:$D$500,"&gt;="&amp;'Rev JR'!L$1,'Otros Ingresos'!$D$7:$D$500,"&lt;="&amp;EOMONTH('Rev JR'!L$1,0))</f>
        <v>0</v>
      </c>
      <c r="M102" s="530">
        <f>+SUMIFS('Otros Ingresos'!$G$7:$G$500,'Otros Ingresos'!$B$7:$B$500,'Rev JR'!$A102,'Otros Ingresos'!$D$7:$D$500,"&gt;="&amp;'Rev JR'!M$1,'Otros Ingresos'!$D$7:$D$500,"&lt;="&amp;EOMONTH('Rev JR'!M$1,0))</f>
        <v>0</v>
      </c>
      <c r="N102" s="530">
        <f>+SUMIFS('Otros Ingresos'!$G$7:$G$500,'Otros Ingresos'!$B$7:$B$500,'Rev JR'!$A102,'Otros Ingresos'!$D$7:$D$500,"&gt;="&amp;'Rev JR'!N$1,'Otros Ingresos'!$D$7:$D$500,"&lt;="&amp;EOMONTH('Rev JR'!N$1,0))</f>
        <v>0</v>
      </c>
      <c r="O102" s="530">
        <f t="shared" si="19"/>
        <v>0</v>
      </c>
    </row>
    <row r="103" spans="1:15">
      <c r="A103" s="664" t="str">
        <f t="shared" si="20"/>
        <v>B467XXX05</v>
      </c>
      <c r="B103" s="526" t="str">
        <f t="shared" si="21"/>
        <v xml:space="preserve">        Otros Ingresos - B467XXX05</v>
      </c>
      <c r="C103" s="530">
        <f>+SUMIFS('Otros Ingresos'!$G$7:$G$500,'Otros Ingresos'!$B$7:$B$500,'Rev JR'!$A103,'Otros Ingresos'!$D$7:$D$500,"&gt;="&amp;'Rev JR'!C$1,'Otros Ingresos'!$D$7:$D$500,"&lt;="&amp;EOMONTH('Rev JR'!C$1,0))</f>
        <v>0</v>
      </c>
      <c r="D103" s="530">
        <f>+SUMIFS('Otros Ingresos'!$G$7:$G$500,'Otros Ingresos'!$B$7:$B$500,'Rev JR'!$A103,'Otros Ingresos'!$D$7:$D$500,"&gt;="&amp;'Rev JR'!D$1,'Otros Ingresos'!$D$7:$D$500,"&lt;="&amp;EOMONTH('Rev JR'!D$1,0))</f>
        <v>0</v>
      </c>
      <c r="E103" s="530">
        <f>+SUMIFS('Otros Ingresos'!$G$7:$G$500,'Otros Ingresos'!$B$7:$B$500,'Rev JR'!$A103,'Otros Ingresos'!$D$7:$D$500,"&gt;="&amp;'Rev JR'!E$1,'Otros Ingresos'!$D$7:$D$500,"&lt;="&amp;EOMONTH('Rev JR'!E$1,0))</f>
        <v>0</v>
      </c>
      <c r="F103" s="530">
        <f>+SUMIFS('Otros Ingresos'!$G$7:$G$500,'Otros Ingresos'!$B$7:$B$500,'Rev JR'!$A103,'Otros Ingresos'!$D$7:$D$500,"&gt;="&amp;'Rev JR'!F$1,'Otros Ingresos'!$D$7:$D$500,"&lt;="&amp;EOMONTH('Rev JR'!F$1,0))</f>
        <v>0</v>
      </c>
      <c r="G103" s="530">
        <f>+SUMIFS('Otros Ingresos'!$G$7:$G$500,'Otros Ingresos'!$B$7:$B$500,'Rev JR'!$A103,'Otros Ingresos'!$D$7:$D$500,"&gt;="&amp;'Rev JR'!G$1,'Otros Ingresos'!$D$7:$D$500,"&lt;="&amp;EOMONTH('Rev JR'!G$1,0))</f>
        <v>0</v>
      </c>
      <c r="H103" s="530">
        <f>+SUMIFS('Otros Ingresos'!$G$7:$G$500,'Otros Ingresos'!$B$7:$B$500,'Rev JR'!$A103,'Otros Ingresos'!$D$7:$D$500,"&gt;="&amp;'Rev JR'!H$1,'Otros Ingresos'!$D$7:$D$500,"&lt;="&amp;EOMONTH('Rev JR'!H$1,0))</f>
        <v>0</v>
      </c>
      <c r="I103" s="530">
        <f>+SUMIFS('Otros Ingresos'!$G$7:$G$500,'Otros Ingresos'!$B$7:$B$500,'Rev JR'!$A103,'Otros Ingresos'!$D$7:$D$500,"&gt;="&amp;'Rev JR'!I$1,'Otros Ingresos'!$D$7:$D$500,"&lt;="&amp;EOMONTH('Rev JR'!I$1,0))</f>
        <v>0</v>
      </c>
      <c r="J103" s="530">
        <f>+SUMIFS('Otros Ingresos'!$G$7:$G$500,'Otros Ingresos'!$B$7:$B$500,'Rev JR'!$A103,'Otros Ingresos'!$D$7:$D$500,"&gt;="&amp;'Rev JR'!J$1,'Otros Ingresos'!$D$7:$D$500,"&lt;="&amp;EOMONTH('Rev JR'!J$1,0))</f>
        <v>0</v>
      </c>
      <c r="K103" s="530">
        <f>+SUMIFS('Otros Ingresos'!$G$7:$G$500,'Otros Ingresos'!$B$7:$B$500,'Rev JR'!$A103,'Otros Ingresos'!$D$7:$D$500,"&gt;="&amp;'Rev JR'!K$1,'Otros Ingresos'!$D$7:$D$500,"&lt;="&amp;EOMONTH('Rev JR'!K$1,0))</f>
        <v>0</v>
      </c>
      <c r="L103" s="530">
        <f>+SUMIFS('Otros Ingresos'!$G$7:$G$500,'Otros Ingresos'!$B$7:$B$500,'Rev JR'!$A103,'Otros Ingresos'!$D$7:$D$500,"&gt;="&amp;'Rev JR'!L$1,'Otros Ingresos'!$D$7:$D$500,"&lt;="&amp;EOMONTH('Rev JR'!L$1,0))</f>
        <v>0</v>
      </c>
      <c r="M103" s="530">
        <f>+SUMIFS('Otros Ingresos'!$G$7:$G$500,'Otros Ingresos'!$B$7:$B$500,'Rev JR'!$A103,'Otros Ingresos'!$D$7:$D$500,"&gt;="&amp;'Rev JR'!M$1,'Otros Ingresos'!$D$7:$D$500,"&lt;="&amp;EOMONTH('Rev JR'!M$1,0))</f>
        <v>0</v>
      </c>
      <c r="N103" s="530">
        <f>+SUMIFS('Otros Ingresos'!$G$7:$G$500,'Otros Ingresos'!$B$7:$B$500,'Rev JR'!$A103,'Otros Ingresos'!$D$7:$D$500,"&gt;="&amp;'Rev JR'!N$1,'Otros Ingresos'!$D$7:$D$500,"&lt;="&amp;EOMONTH('Rev JR'!N$1,0))</f>
        <v>0</v>
      </c>
      <c r="O103" s="530">
        <f t="shared" si="19"/>
        <v>0</v>
      </c>
    </row>
    <row r="104" spans="1:15">
      <c r="A104" s="664" t="str">
        <f t="shared" si="20"/>
        <v>677-0XXX52-670</v>
      </c>
      <c r="B104" s="526" t="str">
        <f t="shared" si="21"/>
        <v xml:space="preserve">        Otros Ingresos - 677-0XXX52-670</v>
      </c>
      <c r="C104" s="530">
        <f>+SUMIFS('Otros Ingresos'!$G$7:$G$500,'Otros Ingresos'!$B$7:$B$500,'Rev JR'!$A104,'Otros Ingresos'!$D$7:$D$500,"&gt;="&amp;'Rev JR'!C$1,'Otros Ingresos'!$D$7:$D$500,"&lt;="&amp;EOMONTH('Rev JR'!C$1,0))</f>
        <v>0</v>
      </c>
      <c r="D104" s="530">
        <f>+SUMIFS('Otros Ingresos'!$G$7:$G$500,'Otros Ingresos'!$B$7:$B$500,'Rev JR'!$A104,'Otros Ingresos'!$D$7:$D$500,"&gt;="&amp;'Rev JR'!D$1,'Otros Ingresos'!$D$7:$D$500,"&lt;="&amp;EOMONTH('Rev JR'!D$1,0))</f>
        <v>0</v>
      </c>
      <c r="E104" s="530">
        <f>+SUMIFS('Otros Ingresos'!$G$7:$G$500,'Otros Ingresos'!$B$7:$B$500,'Rev JR'!$A104,'Otros Ingresos'!$D$7:$D$500,"&gt;="&amp;'Rev JR'!E$1,'Otros Ingresos'!$D$7:$D$500,"&lt;="&amp;EOMONTH('Rev JR'!E$1,0))</f>
        <v>0</v>
      </c>
      <c r="F104" s="530">
        <f>+SUMIFS('Otros Ingresos'!$G$7:$G$500,'Otros Ingresos'!$B$7:$B$500,'Rev JR'!$A104,'Otros Ingresos'!$D$7:$D$500,"&gt;="&amp;'Rev JR'!F$1,'Otros Ingresos'!$D$7:$D$500,"&lt;="&amp;EOMONTH('Rev JR'!F$1,0))</f>
        <v>0</v>
      </c>
      <c r="G104" s="530">
        <f>+SUMIFS('Otros Ingresos'!$G$7:$G$500,'Otros Ingresos'!$B$7:$B$500,'Rev JR'!$A104,'Otros Ingresos'!$D$7:$D$500,"&gt;="&amp;'Rev JR'!G$1,'Otros Ingresos'!$D$7:$D$500,"&lt;="&amp;EOMONTH('Rev JR'!G$1,0))</f>
        <v>0</v>
      </c>
      <c r="H104" s="530">
        <f>+SUMIFS('Otros Ingresos'!$G$7:$G$500,'Otros Ingresos'!$B$7:$B$500,'Rev JR'!$A104,'Otros Ingresos'!$D$7:$D$500,"&gt;="&amp;'Rev JR'!H$1,'Otros Ingresos'!$D$7:$D$500,"&lt;="&amp;EOMONTH('Rev JR'!H$1,0))</f>
        <v>0</v>
      </c>
      <c r="I104" s="530">
        <f>+SUMIFS('Otros Ingresos'!$G$7:$G$500,'Otros Ingresos'!$B$7:$B$500,'Rev JR'!$A104,'Otros Ingresos'!$D$7:$D$500,"&gt;="&amp;'Rev JR'!I$1,'Otros Ingresos'!$D$7:$D$500,"&lt;="&amp;EOMONTH('Rev JR'!I$1,0))</f>
        <v>0</v>
      </c>
      <c r="J104" s="530">
        <f>+SUMIFS('Otros Ingresos'!$G$7:$G$500,'Otros Ingresos'!$B$7:$B$500,'Rev JR'!$A104,'Otros Ingresos'!$D$7:$D$500,"&gt;="&amp;'Rev JR'!J$1,'Otros Ingresos'!$D$7:$D$500,"&lt;="&amp;EOMONTH('Rev JR'!J$1,0))</f>
        <v>0</v>
      </c>
      <c r="K104" s="530">
        <f>+SUMIFS('Otros Ingresos'!$G$7:$G$500,'Otros Ingresos'!$B$7:$B$500,'Rev JR'!$A104,'Otros Ingresos'!$D$7:$D$500,"&gt;="&amp;'Rev JR'!K$1,'Otros Ingresos'!$D$7:$D$500,"&lt;="&amp;EOMONTH('Rev JR'!K$1,0))</f>
        <v>0</v>
      </c>
      <c r="L104" s="530">
        <f>+SUMIFS('Otros Ingresos'!$G$7:$G$500,'Otros Ingresos'!$B$7:$B$500,'Rev JR'!$A104,'Otros Ingresos'!$D$7:$D$500,"&gt;="&amp;'Rev JR'!L$1,'Otros Ingresos'!$D$7:$D$500,"&lt;="&amp;EOMONTH('Rev JR'!L$1,0))</f>
        <v>0</v>
      </c>
      <c r="M104" s="530">
        <f>+SUMIFS('Otros Ingresos'!$G$7:$G$500,'Otros Ingresos'!$B$7:$B$500,'Rev JR'!$A104,'Otros Ingresos'!$D$7:$D$500,"&gt;="&amp;'Rev JR'!M$1,'Otros Ingresos'!$D$7:$D$500,"&lt;="&amp;EOMONTH('Rev JR'!M$1,0))</f>
        <v>0</v>
      </c>
      <c r="N104" s="530">
        <f>+SUMIFS('Otros Ingresos'!$G$7:$G$500,'Otros Ingresos'!$B$7:$B$500,'Rev JR'!$A104,'Otros Ingresos'!$D$7:$D$500,"&gt;="&amp;'Rev JR'!N$1,'Otros Ingresos'!$D$7:$D$500,"&lt;="&amp;EOMONTH('Rev JR'!N$1,0))</f>
        <v>0</v>
      </c>
      <c r="O104" s="530">
        <f t="shared" si="19"/>
        <v>0</v>
      </c>
    </row>
    <row r="105" spans="1:15">
      <c r="A105" s="664" t="str">
        <f t="shared" si="20"/>
        <v>677-0XXX53-471</v>
      </c>
      <c r="B105" s="526" t="str">
        <f t="shared" si="21"/>
        <v xml:space="preserve">        Otros Ingresos - 677-0XXX53-471</v>
      </c>
      <c r="C105" s="530">
        <f>+SUMIFS('Otros Ingresos'!$G$7:$G$500,'Otros Ingresos'!$B$7:$B$500,'Rev JR'!$A105,'Otros Ingresos'!$D$7:$D$500,"&gt;="&amp;'Rev JR'!C$1,'Otros Ingresos'!$D$7:$D$500,"&lt;="&amp;EOMONTH('Rev JR'!C$1,0))</f>
        <v>0</v>
      </c>
      <c r="D105" s="530">
        <f>+SUMIFS('Otros Ingresos'!$G$7:$G$500,'Otros Ingresos'!$B$7:$B$500,'Rev JR'!$A105,'Otros Ingresos'!$D$7:$D$500,"&gt;="&amp;'Rev JR'!D$1,'Otros Ingresos'!$D$7:$D$500,"&lt;="&amp;EOMONTH('Rev JR'!D$1,0))</f>
        <v>0</v>
      </c>
      <c r="E105" s="530">
        <f>+SUMIFS('Otros Ingresos'!$G$7:$G$500,'Otros Ingresos'!$B$7:$B$500,'Rev JR'!$A105,'Otros Ingresos'!$D$7:$D$500,"&gt;="&amp;'Rev JR'!E$1,'Otros Ingresos'!$D$7:$D$500,"&lt;="&amp;EOMONTH('Rev JR'!E$1,0))</f>
        <v>0</v>
      </c>
      <c r="F105" s="530">
        <f>+SUMIFS('Otros Ingresos'!$G$7:$G$500,'Otros Ingresos'!$B$7:$B$500,'Rev JR'!$A105,'Otros Ingresos'!$D$7:$D$500,"&gt;="&amp;'Rev JR'!F$1,'Otros Ingresos'!$D$7:$D$500,"&lt;="&amp;EOMONTH('Rev JR'!F$1,0))</f>
        <v>0</v>
      </c>
      <c r="G105" s="530">
        <f>+SUMIFS('Otros Ingresos'!$G$7:$G$500,'Otros Ingresos'!$B$7:$B$500,'Rev JR'!$A105,'Otros Ingresos'!$D$7:$D$500,"&gt;="&amp;'Rev JR'!G$1,'Otros Ingresos'!$D$7:$D$500,"&lt;="&amp;EOMONTH('Rev JR'!G$1,0))</f>
        <v>0</v>
      </c>
      <c r="H105" s="530">
        <f>+SUMIFS('Otros Ingresos'!$G$7:$G$500,'Otros Ingresos'!$B$7:$B$500,'Rev JR'!$A105,'Otros Ingresos'!$D$7:$D$500,"&gt;="&amp;'Rev JR'!H$1,'Otros Ingresos'!$D$7:$D$500,"&lt;="&amp;EOMONTH('Rev JR'!H$1,0))</f>
        <v>0</v>
      </c>
      <c r="I105" s="530">
        <f>+SUMIFS('Otros Ingresos'!$G$7:$G$500,'Otros Ingresos'!$B$7:$B$500,'Rev JR'!$A105,'Otros Ingresos'!$D$7:$D$500,"&gt;="&amp;'Rev JR'!I$1,'Otros Ingresos'!$D$7:$D$500,"&lt;="&amp;EOMONTH('Rev JR'!I$1,0))</f>
        <v>0</v>
      </c>
      <c r="J105" s="530">
        <f>+SUMIFS('Otros Ingresos'!$G$7:$G$500,'Otros Ingresos'!$B$7:$B$500,'Rev JR'!$A105,'Otros Ingresos'!$D$7:$D$500,"&gt;="&amp;'Rev JR'!J$1,'Otros Ingresos'!$D$7:$D$500,"&lt;="&amp;EOMONTH('Rev JR'!J$1,0))</f>
        <v>0</v>
      </c>
      <c r="K105" s="530">
        <f>+SUMIFS('Otros Ingresos'!$G$7:$G$500,'Otros Ingresos'!$B$7:$B$500,'Rev JR'!$A105,'Otros Ingresos'!$D$7:$D$500,"&gt;="&amp;'Rev JR'!K$1,'Otros Ingresos'!$D$7:$D$500,"&lt;="&amp;EOMONTH('Rev JR'!K$1,0))</f>
        <v>0</v>
      </c>
      <c r="L105" s="530">
        <f>+SUMIFS('Otros Ingresos'!$G$7:$G$500,'Otros Ingresos'!$B$7:$B$500,'Rev JR'!$A105,'Otros Ingresos'!$D$7:$D$500,"&gt;="&amp;'Rev JR'!L$1,'Otros Ingresos'!$D$7:$D$500,"&lt;="&amp;EOMONTH('Rev JR'!L$1,0))</f>
        <v>0</v>
      </c>
      <c r="M105" s="530">
        <f>+SUMIFS('Otros Ingresos'!$G$7:$G$500,'Otros Ingresos'!$B$7:$B$500,'Rev JR'!$A105,'Otros Ingresos'!$D$7:$D$500,"&gt;="&amp;'Rev JR'!M$1,'Otros Ingresos'!$D$7:$D$500,"&lt;="&amp;EOMONTH('Rev JR'!M$1,0))</f>
        <v>0</v>
      </c>
      <c r="N105" s="530">
        <f>+SUMIFS('Otros Ingresos'!$G$7:$G$500,'Otros Ingresos'!$B$7:$B$500,'Rev JR'!$A105,'Otros Ingresos'!$D$7:$D$500,"&gt;="&amp;'Rev JR'!N$1,'Otros Ingresos'!$D$7:$D$500,"&lt;="&amp;EOMONTH('Rev JR'!N$1,0))</f>
        <v>0</v>
      </c>
      <c r="O105" s="530">
        <f t="shared" si="19"/>
        <v>0</v>
      </c>
    </row>
    <row r="106" spans="1:15">
      <c r="A106" s="664" t="str">
        <f t="shared" si="20"/>
        <v>4H 0XXX0 RB</v>
      </c>
      <c r="B106" s="526" t="str">
        <f t="shared" si="21"/>
        <v xml:space="preserve">        Otros Ingresos - 4H 0XXX0 RB</v>
      </c>
      <c r="C106" s="530">
        <f>+SUMIFS('Otros Ingresos'!$G$7:$G$500,'Otros Ingresos'!$B$7:$B$500,'Rev JR'!$A106,'Otros Ingresos'!$D$7:$D$500,"&gt;="&amp;'Rev JR'!C$1,'Otros Ingresos'!$D$7:$D$500,"&lt;="&amp;EOMONTH('Rev JR'!C$1,0))</f>
        <v>0</v>
      </c>
      <c r="D106" s="530">
        <f>+SUMIFS('Otros Ingresos'!$G$7:$G$500,'Otros Ingresos'!$B$7:$B$500,'Rev JR'!$A106,'Otros Ingresos'!$D$7:$D$500,"&gt;="&amp;'Rev JR'!D$1,'Otros Ingresos'!$D$7:$D$500,"&lt;="&amp;EOMONTH('Rev JR'!D$1,0))</f>
        <v>0</v>
      </c>
      <c r="E106" s="530">
        <f>+SUMIFS('Otros Ingresos'!$G$7:$G$500,'Otros Ingresos'!$B$7:$B$500,'Rev JR'!$A106,'Otros Ingresos'!$D$7:$D$500,"&gt;="&amp;'Rev JR'!E$1,'Otros Ingresos'!$D$7:$D$500,"&lt;="&amp;EOMONTH('Rev JR'!E$1,0))</f>
        <v>0</v>
      </c>
      <c r="F106" s="530">
        <f>+SUMIFS('Otros Ingresos'!$G$7:$G$500,'Otros Ingresos'!$B$7:$B$500,'Rev JR'!$A106,'Otros Ingresos'!$D$7:$D$500,"&gt;="&amp;'Rev JR'!F$1,'Otros Ingresos'!$D$7:$D$500,"&lt;="&amp;EOMONTH('Rev JR'!F$1,0))</f>
        <v>0</v>
      </c>
      <c r="G106" s="530">
        <f>+SUMIFS('Otros Ingresos'!$G$7:$G$500,'Otros Ingresos'!$B$7:$B$500,'Rev JR'!$A106,'Otros Ingresos'!$D$7:$D$500,"&gt;="&amp;'Rev JR'!G$1,'Otros Ingresos'!$D$7:$D$500,"&lt;="&amp;EOMONTH('Rev JR'!G$1,0))</f>
        <v>0</v>
      </c>
      <c r="H106" s="530">
        <f>+SUMIFS('Otros Ingresos'!$G$7:$G$500,'Otros Ingresos'!$B$7:$B$500,'Rev JR'!$A106,'Otros Ingresos'!$D$7:$D$500,"&gt;="&amp;'Rev JR'!H$1,'Otros Ingresos'!$D$7:$D$500,"&lt;="&amp;EOMONTH('Rev JR'!H$1,0))</f>
        <v>0</v>
      </c>
      <c r="I106" s="530">
        <f>+SUMIFS('Otros Ingresos'!$G$7:$G$500,'Otros Ingresos'!$B$7:$B$500,'Rev JR'!$A106,'Otros Ingresos'!$D$7:$D$500,"&gt;="&amp;'Rev JR'!I$1,'Otros Ingresos'!$D$7:$D$500,"&lt;="&amp;EOMONTH('Rev JR'!I$1,0))</f>
        <v>0</v>
      </c>
      <c r="J106" s="530">
        <f>+SUMIFS('Otros Ingresos'!$G$7:$G$500,'Otros Ingresos'!$B$7:$B$500,'Rev JR'!$A106,'Otros Ingresos'!$D$7:$D$500,"&gt;="&amp;'Rev JR'!J$1,'Otros Ingresos'!$D$7:$D$500,"&lt;="&amp;EOMONTH('Rev JR'!J$1,0))</f>
        <v>0</v>
      </c>
      <c r="K106" s="530">
        <f>+SUMIFS('Otros Ingresos'!$G$7:$G$500,'Otros Ingresos'!$B$7:$B$500,'Rev JR'!$A106,'Otros Ingresos'!$D$7:$D$500,"&gt;="&amp;'Rev JR'!K$1,'Otros Ingresos'!$D$7:$D$500,"&lt;="&amp;EOMONTH('Rev JR'!K$1,0))</f>
        <v>0</v>
      </c>
      <c r="L106" s="530">
        <f>+SUMIFS('Otros Ingresos'!$G$7:$G$500,'Otros Ingresos'!$B$7:$B$500,'Rev JR'!$A106,'Otros Ingresos'!$D$7:$D$500,"&gt;="&amp;'Rev JR'!L$1,'Otros Ingresos'!$D$7:$D$500,"&lt;="&amp;EOMONTH('Rev JR'!L$1,0))</f>
        <v>0</v>
      </c>
      <c r="M106" s="530">
        <f>+SUMIFS('Otros Ingresos'!$G$7:$G$500,'Otros Ingresos'!$B$7:$B$500,'Rev JR'!$A106,'Otros Ingresos'!$D$7:$D$500,"&gt;="&amp;'Rev JR'!M$1,'Otros Ingresos'!$D$7:$D$500,"&lt;="&amp;EOMONTH('Rev JR'!M$1,0))</f>
        <v>0</v>
      </c>
      <c r="N106" s="530">
        <f>+SUMIFS('Otros Ingresos'!$G$7:$G$500,'Otros Ingresos'!$B$7:$B$500,'Rev JR'!$A106,'Otros Ingresos'!$D$7:$D$500,"&gt;="&amp;'Rev JR'!N$1,'Otros Ingresos'!$D$7:$D$500,"&lt;="&amp;EOMONTH('Rev JR'!N$1,0))</f>
        <v>0</v>
      </c>
      <c r="O106" s="530">
        <f t="shared" si="19"/>
        <v>0</v>
      </c>
    </row>
    <row r="107" spans="1:15">
      <c r="A107" s="664" t="str">
        <f t="shared" si="20"/>
        <v>H</v>
      </c>
      <c r="B107" s="526" t="str">
        <f t="shared" si="21"/>
        <v xml:space="preserve">        Otros Ingresos - H</v>
      </c>
      <c r="C107" s="530">
        <f>+SUMIFS('Otros Ingresos'!$G$7:$G$500,'Otros Ingresos'!$B$7:$B$500,'Rev JR'!$A107,'Otros Ingresos'!$D$7:$D$500,"&gt;="&amp;'Rev JR'!C$1,'Otros Ingresos'!$D$7:$D$500,"&lt;="&amp;EOMONTH('Rev JR'!C$1,0))</f>
        <v>0</v>
      </c>
      <c r="D107" s="530">
        <f>+SUMIFS('Otros Ingresos'!$G$7:$G$500,'Otros Ingresos'!$B$7:$B$500,'Rev JR'!$A107,'Otros Ingresos'!$D$7:$D$500,"&gt;="&amp;'Rev JR'!D$1,'Otros Ingresos'!$D$7:$D$500,"&lt;="&amp;EOMONTH('Rev JR'!D$1,0))</f>
        <v>0</v>
      </c>
      <c r="E107" s="530">
        <f>+SUMIFS('Otros Ingresos'!$G$7:$G$500,'Otros Ingresos'!$B$7:$B$500,'Rev JR'!$A107,'Otros Ingresos'!$D$7:$D$500,"&gt;="&amp;'Rev JR'!E$1,'Otros Ingresos'!$D$7:$D$500,"&lt;="&amp;EOMONTH('Rev JR'!E$1,0))</f>
        <v>0</v>
      </c>
      <c r="F107" s="530">
        <f>+SUMIFS('Otros Ingresos'!$G$7:$G$500,'Otros Ingresos'!$B$7:$B$500,'Rev JR'!$A107,'Otros Ingresos'!$D$7:$D$500,"&gt;="&amp;'Rev JR'!F$1,'Otros Ingresos'!$D$7:$D$500,"&lt;="&amp;EOMONTH('Rev JR'!F$1,0))</f>
        <v>0</v>
      </c>
      <c r="G107" s="530">
        <f>+SUMIFS('Otros Ingresos'!$G$7:$G$500,'Otros Ingresos'!$B$7:$B$500,'Rev JR'!$A107,'Otros Ingresos'!$D$7:$D$500,"&gt;="&amp;'Rev JR'!G$1,'Otros Ingresos'!$D$7:$D$500,"&lt;="&amp;EOMONTH('Rev JR'!G$1,0))</f>
        <v>0</v>
      </c>
      <c r="H107" s="530">
        <f>+SUMIFS('Otros Ingresos'!$G$7:$G$500,'Otros Ingresos'!$B$7:$B$500,'Rev JR'!$A107,'Otros Ingresos'!$D$7:$D$500,"&gt;="&amp;'Rev JR'!H$1,'Otros Ingresos'!$D$7:$D$500,"&lt;="&amp;EOMONTH('Rev JR'!H$1,0))</f>
        <v>0</v>
      </c>
      <c r="I107" s="530">
        <f>+SUMIFS('Otros Ingresos'!$G$7:$G$500,'Otros Ingresos'!$B$7:$B$500,'Rev JR'!$A107,'Otros Ingresos'!$D$7:$D$500,"&gt;="&amp;'Rev JR'!I$1,'Otros Ingresos'!$D$7:$D$500,"&lt;="&amp;EOMONTH('Rev JR'!I$1,0))</f>
        <v>0</v>
      </c>
      <c r="J107" s="530">
        <f>+SUMIFS('Otros Ingresos'!$G$7:$G$500,'Otros Ingresos'!$B$7:$B$500,'Rev JR'!$A107,'Otros Ingresos'!$D$7:$D$500,"&gt;="&amp;'Rev JR'!J$1,'Otros Ingresos'!$D$7:$D$500,"&lt;="&amp;EOMONTH('Rev JR'!J$1,0))</f>
        <v>0</v>
      </c>
      <c r="K107" s="530">
        <f>+SUMIFS('Otros Ingresos'!$G$7:$G$500,'Otros Ingresos'!$B$7:$B$500,'Rev JR'!$A107,'Otros Ingresos'!$D$7:$D$500,"&gt;="&amp;'Rev JR'!K$1,'Otros Ingresos'!$D$7:$D$500,"&lt;="&amp;EOMONTH('Rev JR'!K$1,0))</f>
        <v>0</v>
      </c>
      <c r="L107" s="530">
        <f>+SUMIFS('Otros Ingresos'!$G$7:$G$500,'Otros Ingresos'!$B$7:$B$500,'Rev JR'!$A107,'Otros Ingresos'!$D$7:$D$500,"&gt;="&amp;'Rev JR'!L$1,'Otros Ingresos'!$D$7:$D$500,"&lt;="&amp;EOMONTH('Rev JR'!L$1,0))</f>
        <v>0</v>
      </c>
      <c r="M107" s="530">
        <f>+SUMIFS('Otros Ingresos'!$G$7:$G$500,'Otros Ingresos'!$B$7:$B$500,'Rev JR'!$A107,'Otros Ingresos'!$D$7:$D$500,"&gt;="&amp;'Rev JR'!M$1,'Otros Ingresos'!$D$7:$D$500,"&lt;="&amp;EOMONTH('Rev JR'!M$1,0))</f>
        <v>0</v>
      </c>
      <c r="N107" s="530">
        <f>+SUMIFS('Otros Ingresos'!$G$7:$G$500,'Otros Ingresos'!$B$7:$B$500,'Rev JR'!$A107,'Otros Ingresos'!$D$7:$D$500,"&gt;="&amp;'Rev JR'!N$1,'Otros Ingresos'!$D$7:$D$500,"&lt;="&amp;EOMONTH('Rev JR'!N$1,0))</f>
        <v>0</v>
      </c>
      <c r="O107" s="530">
        <f t="shared" si="19"/>
        <v>0</v>
      </c>
    </row>
    <row r="108" spans="1:15">
      <c r="A108" s="664" t="str">
        <f t="shared" si="20"/>
        <v>I</v>
      </c>
      <c r="B108" s="526" t="str">
        <f t="shared" si="21"/>
        <v xml:space="preserve">        Otros Ingresos - I</v>
      </c>
      <c r="C108" s="530">
        <f>+SUMIFS('Otros Ingresos'!$G$7:$G$500,'Otros Ingresos'!$B$7:$B$500,'Rev JR'!$A108,'Otros Ingresos'!$D$7:$D$500,"&gt;="&amp;'Rev JR'!C$1,'Otros Ingresos'!$D$7:$D$500,"&lt;="&amp;EOMONTH('Rev JR'!C$1,0))</f>
        <v>0</v>
      </c>
      <c r="D108" s="530">
        <f>+SUMIFS('Otros Ingresos'!$G$7:$G$500,'Otros Ingresos'!$B$7:$B$500,'Rev JR'!$A108,'Otros Ingresos'!$D$7:$D$500,"&gt;="&amp;'Rev JR'!D$1,'Otros Ingresos'!$D$7:$D$500,"&lt;="&amp;EOMONTH('Rev JR'!D$1,0))</f>
        <v>0</v>
      </c>
      <c r="E108" s="530">
        <f>+SUMIFS('Otros Ingresos'!$G$7:$G$500,'Otros Ingresos'!$B$7:$B$500,'Rev JR'!$A108,'Otros Ingresos'!$D$7:$D$500,"&gt;="&amp;'Rev JR'!E$1,'Otros Ingresos'!$D$7:$D$500,"&lt;="&amp;EOMONTH('Rev JR'!E$1,0))</f>
        <v>0</v>
      </c>
      <c r="F108" s="530">
        <f>+SUMIFS('Otros Ingresos'!$G$7:$G$500,'Otros Ingresos'!$B$7:$B$500,'Rev JR'!$A108,'Otros Ingresos'!$D$7:$D$500,"&gt;="&amp;'Rev JR'!F$1,'Otros Ingresos'!$D$7:$D$500,"&lt;="&amp;EOMONTH('Rev JR'!F$1,0))</f>
        <v>0</v>
      </c>
      <c r="G108" s="530">
        <f>+SUMIFS('Otros Ingresos'!$G$7:$G$500,'Otros Ingresos'!$B$7:$B$500,'Rev JR'!$A108,'Otros Ingresos'!$D$7:$D$500,"&gt;="&amp;'Rev JR'!G$1,'Otros Ingresos'!$D$7:$D$500,"&lt;="&amp;EOMONTH('Rev JR'!G$1,0))</f>
        <v>0</v>
      </c>
      <c r="H108" s="530">
        <f>+SUMIFS('Otros Ingresos'!$G$7:$G$500,'Otros Ingresos'!$B$7:$B$500,'Rev JR'!$A108,'Otros Ingresos'!$D$7:$D$500,"&gt;="&amp;'Rev JR'!H$1,'Otros Ingresos'!$D$7:$D$500,"&lt;="&amp;EOMONTH('Rev JR'!H$1,0))</f>
        <v>0</v>
      </c>
      <c r="I108" s="530">
        <f>+SUMIFS('Otros Ingresos'!$G$7:$G$500,'Otros Ingresos'!$B$7:$B$500,'Rev JR'!$A108,'Otros Ingresos'!$D$7:$D$500,"&gt;="&amp;'Rev JR'!I$1,'Otros Ingresos'!$D$7:$D$500,"&lt;="&amp;EOMONTH('Rev JR'!I$1,0))</f>
        <v>0</v>
      </c>
      <c r="J108" s="530">
        <f>+SUMIFS('Otros Ingresos'!$G$7:$G$500,'Otros Ingresos'!$B$7:$B$500,'Rev JR'!$A108,'Otros Ingresos'!$D$7:$D$500,"&gt;="&amp;'Rev JR'!J$1,'Otros Ingresos'!$D$7:$D$500,"&lt;="&amp;EOMONTH('Rev JR'!J$1,0))</f>
        <v>0</v>
      </c>
      <c r="K108" s="530">
        <f>+SUMIFS('Otros Ingresos'!$G$7:$G$500,'Otros Ingresos'!$B$7:$B$500,'Rev JR'!$A108,'Otros Ingresos'!$D$7:$D$500,"&gt;="&amp;'Rev JR'!K$1,'Otros Ingresos'!$D$7:$D$500,"&lt;="&amp;EOMONTH('Rev JR'!K$1,0))</f>
        <v>0</v>
      </c>
      <c r="L108" s="530">
        <f>+SUMIFS('Otros Ingresos'!$G$7:$G$500,'Otros Ingresos'!$B$7:$B$500,'Rev JR'!$A108,'Otros Ingresos'!$D$7:$D$500,"&gt;="&amp;'Rev JR'!L$1,'Otros Ingresos'!$D$7:$D$500,"&lt;="&amp;EOMONTH('Rev JR'!L$1,0))</f>
        <v>0</v>
      </c>
      <c r="M108" s="530">
        <f>+SUMIFS('Otros Ingresos'!$G$7:$G$500,'Otros Ingresos'!$B$7:$B$500,'Rev JR'!$A108,'Otros Ingresos'!$D$7:$D$500,"&gt;="&amp;'Rev JR'!M$1,'Otros Ingresos'!$D$7:$D$500,"&lt;="&amp;EOMONTH('Rev JR'!M$1,0))</f>
        <v>0</v>
      </c>
      <c r="N108" s="530">
        <f>+SUMIFS('Otros Ingresos'!$G$7:$G$500,'Otros Ingresos'!$B$7:$B$500,'Rev JR'!$A108,'Otros Ingresos'!$D$7:$D$500,"&gt;="&amp;'Rev JR'!N$1,'Otros Ingresos'!$D$7:$D$500,"&lt;="&amp;EOMONTH('Rev JR'!N$1,0))</f>
        <v>0</v>
      </c>
      <c r="O108" s="530">
        <f t="shared" si="19"/>
        <v>0</v>
      </c>
    </row>
    <row r="109" spans="1:15">
      <c r="A109" s="664" t="str">
        <f t="shared" si="20"/>
        <v>J</v>
      </c>
      <c r="B109" s="526" t="str">
        <f t="shared" si="21"/>
        <v xml:space="preserve">        Otros Ingresos - J</v>
      </c>
      <c r="C109" s="530">
        <f>+SUMIFS('Otros Ingresos'!$G$7:$G$500,'Otros Ingresos'!$B$7:$B$500,'Rev JR'!$A109,'Otros Ingresos'!$D$7:$D$500,"&gt;="&amp;'Rev JR'!C$1,'Otros Ingresos'!$D$7:$D$500,"&lt;="&amp;EOMONTH('Rev JR'!C$1,0))</f>
        <v>0</v>
      </c>
      <c r="D109" s="530">
        <f>+SUMIFS('Otros Ingresos'!$G$7:$G$500,'Otros Ingresos'!$B$7:$B$500,'Rev JR'!$A109,'Otros Ingresos'!$D$7:$D$500,"&gt;="&amp;'Rev JR'!D$1,'Otros Ingresos'!$D$7:$D$500,"&lt;="&amp;EOMONTH('Rev JR'!D$1,0))</f>
        <v>0</v>
      </c>
      <c r="E109" s="530">
        <f>+SUMIFS('Otros Ingresos'!$G$7:$G$500,'Otros Ingresos'!$B$7:$B$500,'Rev JR'!$A109,'Otros Ingresos'!$D$7:$D$500,"&gt;="&amp;'Rev JR'!E$1,'Otros Ingresos'!$D$7:$D$500,"&lt;="&amp;EOMONTH('Rev JR'!E$1,0))</f>
        <v>0</v>
      </c>
      <c r="F109" s="530">
        <f>+SUMIFS('Otros Ingresos'!$G$7:$G$500,'Otros Ingresos'!$B$7:$B$500,'Rev JR'!$A109,'Otros Ingresos'!$D$7:$D$500,"&gt;="&amp;'Rev JR'!F$1,'Otros Ingresos'!$D$7:$D$500,"&lt;="&amp;EOMONTH('Rev JR'!F$1,0))</f>
        <v>0</v>
      </c>
      <c r="G109" s="530">
        <f>+SUMIFS('Otros Ingresos'!$G$7:$G$500,'Otros Ingresos'!$B$7:$B$500,'Rev JR'!$A109,'Otros Ingresos'!$D$7:$D$500,"&gt;="&amp;'Rev JR'!G$1,'Otros Ingresos'!$D$7:$D$500,"&lt;="&amp;EOMONTH('Rev JR'!G$1,0))</f>
        <v>0</v>
      </c>
      <c r="H109" s="530">
        <f>+SUMIFS('Otros Ingresos'!$G$7:$G$500,'Otros Ingresos'!$B$7:$B$500,'Rev JR'!$A109,'Otros Ingresos'!$D$7:$D$500,"&gt;="&amp;'Rev JR'!H$1,'Otros Ingresos'!$D$7:$D$500,"&lt;="&amp;EOMONTH('Rev JR'!H$1,0))</f>
        <v>0</v>
      </c>
      <c r="I109" s="530">
        <f>+SUMIFS('Otros Ingresos'!$G$7:$G$500,'Otros Ingresos'!$B$7:$B$500,'Rev JR'!$A109,'Otros Ingresos'!$D$7:$D$500,"&gt;="&amp;'Rev JR'!I$1,'Otros Ingresos'!$D$7:$D$500,"&lt;="&amp;EOMONTH('Rev JR'!I$1,0))</f>
        <v>0</v>
      </c>
      <c r="J109" s="530">
        <f>+SUMIFS('Otros Ingresos'!$G$7:$G$500,'Otros Ingresos'!$B$7:$B$500,'Rev JR'!$A109,'Otros Ingresos'!$D$7:$D$500,"&gt;="&amp;'Rev JR'!J$1,'Otros Ingresos'!$D$7:$D$500,"&lt;="&amp;EOMONTH('Rev JR'!J$1,0))</f>
        <v>0</v>
      </c>
      <c r="K109" s="530">
        <f>+SUMIFS('Otros Ingresos'!$G$7:$G$500,'Otros Ingresos'!$B$7:$B$500,'Rev JR'!$A109,'Otros Ingresos'!$D$7:$D$500,"&gt;="&amp;'Rev JR'!K$1,'Otros Ingresos'!$D$7:$D$500,"&lt;="&amp;EOMONTH('Rev JR'!K$1,0))</f>
        <v>0</v>
      </c>
      <c r="L109" s="530">
        <f>+SUMIFS('Otros Ingresos'!$G$7:$G$500,'Otros Ingresos'!$B$7:$B$500,'Rev JR'!$A109,'Otros Ingresos'!$D$7:$D$500,"&gt;="&amp;'Rev JR'!L$1,'Otros Ingresos'!$D$7:$D$500,"&lt;="&amp;EOMONTH('Rev JR'!L$1,0))</f>
        <v>0</v>
      </c>
      <c r="M109" s="530">
        <f>+SUMIFS('Otros Ingresos'!$G$7:$G$500,'Otros Ingresos'!$B$7:$B$500,'Rev JR'!$A109,'Otros Ingresos'!$D$7:$D$500,"&gt;="&amp;'Rev JR'!M$1,'Otros Ingresos'!$D$7:$D$500,"&lt;="&amp;EOMONTH('Rev JR'!M$1,0))</f>
        <v>0</v>
      </c>
      <c r="N109" s="530">
        <f>+SUMIFS('Otros Ingresos'!$G$7:$G$500,'Otros Ingresos'!$B$7:$B$500,'Rev JR'!$A109,'Otros Ingresos'!$D$7:$D$500,"&gt;="&amp;'Rev JR'!N$1,'Otros Ingresos'!$D$7:$D$500,"&lt;="&amp;EOMONTH('Rev JR'!N$1,0))</f>
        <v>0</v>
      </c>
      <c r="O109" s="530">
        <f t="shared" si="19"/>
        <v>0</v>
      </c>
    </row>
    <row r="110" spans="1:15">
      <c r="A110" s="664" t="str">
        <f t="shared" si="20"/>
        <v>K</v>
      </c>
      <c r="B110" s="526" t="str">
        <f t="shared" si="21"/>
        <v xml:space="preserve">        Otros Ingresos - K</v>
      </c>
      <c r="C110" s="530">
        <f>+SUMIFS('Otros Ingresos'!$G$7:$G$500,'Otros Ingresos'!$B$7:$B$500,'Rev JR'!$A110,'Otros Ingresos'!$D$7:$D$500,"&gt;="&amp;'Rev JR'!C$1,'Otros Ingresos'!$D$7:$D$500,"&lt;="&amp;EOMONTH('Rev JR'!C$1,0))</f>
        <v>0</v>
      </c>
      <c r="D110" s="530">
        <f>+SUMIFS('Otros Ingresos'!$G$7:$G$500,'Otros Ingresos'!$B$7:$B$500,'Rev JR'!$A110,'Otros Ingresos'!$D$7:$D$500,"&gt;="&amp;'Rev JR'!D$1,'Otros Ingresos'!$D$7:$D$500,"&lt;="&amp;EOMONTH('Rev JR'!D$1,0))</f>
        <v>0</v>
      </c>
      <c r="E110" s="530">
        <f>+SUMIFS('Otros Ingresos'!$G$7:$G$500,'Otros Ingresos'!$B$7:$B$500,'Rev JR'!$A110,'Otros Ingresos'!$D$7:$D$500,"&gt;="&amp;'Rev JR'!E$1,'Otros Ingresos'!$D$7:$D$500,"&lt;="&amp;EOMONTH('Rev JR'!E$1,0))</f>
        <v>0</v>
      </c>
      <c r="F110" s="530">
        <f>+SUMIFS('Otros Ingresos'!$G$7:$G$500,'Otros Ingresos'!$B$7:$B$500,'Rev JR'!$A110,'Otros Ingresos'!$D$7:$D$500,"&gt;="&amp;'Rev JR'!F$1,'Otros Ingresos'!$D$7:$D$500,"&lt;="&amp;EOMONTH('Rev JR'!F$1,0))</f>
        <v>0</v>
      </c>
      <c r="G110" s="530">
        <f>+SUMIFS('Otros Ingresos'!$G$7:$G$500,'Otros Ingresos'!$B$7:$B$500,'Rev JR'!$A110,'Otros Ingresos'!$D$7:$D$500,"&gt;="&amp;'Rev JR'!G$1,'Otros Ingresos'!$D$7:$D$500,"&lt;="&amp;EOMONTH('Rev JR'!G$1,0))</f>
        <v>0</v>
      </c>
      <c r="H110" s="530">
        <f>+SUMIFS('Otros Ingresos'!$G$7:$G$500,'Otros Ingresos'!$B$7:$B$500,'Rev JR'!$A110,'Otros Ingresos'!$D$7:$D$500,"&gt;="&amp;'Rev JR'!H$1,'Otros Ingresos'!$D$7:$D$500,"&lt;="&amp;EOMONTH('Rev JR'!H$1,0))</f>
        <v>0</v>
      </c>
      <c r="I110" s="530">
        <f>+SUMIFS('Otros Ingresos'!$G$7:$G$500,'Otros Ingresos'!$B$7:$B$500,'Rev JR'!$A110,'Otros Ingresos'!$D$7:$D$500,"&gt;="&amp;'Rev JR'!I$1,'Otros Ingresos'!$D$7:$D$500,"&lt;="&amp;EOMONTH('Rev JR'!I$1,0))</f>
        <v>0</v>
      </c>
      <c r="J110" s="530">
        <f>+SUMIFS('Otros Ingresos'!$G$7:$G$500,'Otros Ingresos'!$B$7:$B$500,'Rev JR'!$A110,'Otros Ingresos'!$D$7:$D$500,"&gt;="&amp;'Rev JR'!J$1,'Otros Ingresos'!$D$7:$D$500,"&lt;="&amp;EOMONTH('Rev JR'!J$1,0))</f>
        <v>0</v>
      </c>
      <c r="K110" s="530">
        <f>+SUMIFS('Otros Ingresos'!$G$7:$G$500,'Otros Ingresos'!$B$7:$B$500,'Rev JR'!$A110,'Otros Ingresos'!$D$7:$D$500,"&gt;="&amp;'Rev JR'!K$1,'Otros Ingresos'!$D$7:$D$500,"&lt;="&amp;EOMONTH('Rev JR'!K$1,0))</f>
        <v>0</v>
      </c>
      <c r="L110" s="530">
        <f>+SUMIFS('Otros Ingresos'!$G$7:$G$500,'Otros Ingresos'!$B$7:$B$500,'Rev JR'!$A110,'Otros Ingresos'!$D$7:$D$500,"&gt;="&amp;'Rev JR'!L$1,'Otros Ingresos'!$D$7:$D$500,"&lt;="&amp;EOMONTH('Rev JR'!L$1,0))</f>
        <v>0</v>
      </c>
      <c r="M110" s="530">
        <f>+SUMIFS('Otros Ingresos'!$G$7:$G$500,'Otros Ingresos'!$B$7:$B$500,'Rev JR'!$A110,'Otros Ingresos'!$D$7:$D$500,"&gt;="&amp;'Rev JR'!M$1,'Otros Ingresos'!$D$7:$D$500,"&lt;="&amp;EOMONTH('Rev JR'!M$1,0))</f>
        <v>0</v>
      </c>
      <c r="N110" s="530">
        <f>+SUMIFS('Otros Ingresos'!$G$7:$G$500,'Otros Ingresos'!$B$7:$B$500,'Rev JR'!$A110,'Otros Ingresos'!$D$7:$D$500,"&gt;="&amp;'Rev JR'!N$1,'Otros Ingresos'!$D$7:$D$500,"&lt;="&amp;EOMONTH('Rev JR'!N$1,0))</f>
        <v>0</v>
      </c>
      <c r="O110" s="530">
        <f t="shared" si="19"/>
        <v>0</v>
      </c>
    </row>
    <row r="111" spans="1:15">
      <c r="A111" s="664" t="str">
        <f t="shared" si="20"/>
        <v>L</v>
      </c>
      <c r="B111" s="526" t="str">
        <f t="shared" si="21"/>
        <v xml:space="preserve">        Otros Ingresos - L</v>
      </c>
      <c r="C111" s="530">
        <f>+SUMIFS('Otros Ingresos'!$G$7:$G$500,'Otros Ingresos'!$B$7:$B$500,'Rev JR'!$A111,'Otros Ingresos'!$D$7:$D$500,"&gt;="&amp;'Rev JR'!C$1,'Otros Ingresos'!$D$7:$D$500,"&lt;="&amp;EOMONTH('Rev JR'!C$1,0))</f>
        <v>0</v>
      </c>
      <c r="D111" s="530">
        <f>+SUMIFS('Otros Ingresos'!$G$7:$G$500,'Otros Ingresos'!$B$7:$B$500,'Rev JR'!$A111,'Otros Ingresos'!$D$7:$D$500,"&gt;="&amp;'Rev JR'!D$1,'Otros Ingresos'!$D$7:$D$500,"&lt;="&amp;EOMONTH('Rev JR'!D$1,0))</f>
        <v>0</v>
      </c>
      <c r="E111" s="530">
        <f>+SUMIFS('Otros Ingresos'!$G$7:$G$500,'Otros Ingresos'!$B$7:$B$500,'Rev JR'!$A111,'Otros Ingresos'!$D$7:$D$500,"&gt;="&amp;'Rev JR'!E$1,'Otros Ingresos'!$D$7:$D$500,"&lt;="&amp;EOMONTH('Rev JR'!E$1,0))</f>
        <v>0</v>
      </c>
      <c r="F111" s="530">
        <f>+SUMIFS('Otros Ingresos'!$G$7:$G$500,'Otros Ingresos'!$B$7:$B$500,'Rev JR'!$A111,'Otros Ingresos'!$D$7:$D$500,"&gt;="&amp;'Rev JR'!F$1,'Otros Ingresos'!$D$7:$D$500,"&lt;="&amp;EOMONTH('Rev JR'!F$1,0))</f>
        <v>0</v>
      </c>
      <c r="G111" s="530">
        <f>+SUMIFS('Otros Ingresos'!$G$7:$G$500,'Otros Ingresos'!$B$7:$B$500,'Rev JR'!$A111,'Otros Ingresos'!$D$7:$D$500,"&gt;="&amp;'Rev JR'!G$1,'Otros Ingresos'!$D$7:$D$500,"&lt;="&amp;EOMONTH('Rev JR'!G$1,0))</f>
        <v>0</v>
      </c>
      <c r="H111" s="530">
        <f>+SUMIFS('Otros Ingresos'!$G$7:$G$500,'Otros Ingresos'!$B$7:$B$500,'Rev JR'!$A111,'Otros Ingresos'!$D$7:$D$500,"&gt;="&amp;'Rev JR'!H$1,'Otros Ingresos'!$D$7:$D$500,"&lt;="&amp;EOMONTH('Rev JR'!H$1,0))</f>
        <v>0</v>
      </c>
      <c r="I111" s="530">
        <f>+SUMIFS('Otros Ingresos'!$G$7:$G$500,'Otros Ingresos'!$B$7:$B$500,'Rev JR'!$A111,'Otros Ingresos'!$D$7:$D$500,"&gt;="&amp;'Rev JR'!I$1,'Otros Ingresos'!$D$7:$D$500,"&lt;="&amp;EOMONTH('Rev JR'!I$1,0))</f>
        <v>0</v>
      </c>
      <c r="J111" s="530">
        <f>+SUMIFS('Otros Ingresos'!$G$7:$G$500,'Otros Ingresos'!$B$7:$B$500,'Rev JR'!$A111,'Otros Ingresos'!$D$7:$D$500,"&gt;="&amp;'Rev JR'!J$1,'Otros Ingresos'!$D$7:$D$500,"&lt;="&amp;EOMONTH('Rev JR'!J$1,0))</f>
        <v>0</v>
      </c>
      <c r="K111" s="530">
        <f>+SUMIFS('Otros Ingresos'!$G$7:$G$500,'Otros Ingresos'!$B$7:$B$500,'Rev JR'!$A111,'Otros Ingresos'!$D$7:$D$500,"&gt;="&amp;'Rev JR'!K$1,'Otros Ingresos'!$D$7:$D$500,"&lt;="&amp;EOMONTH('Rev JR'!K$1,0))</f>
        <v>0</v>
      </c>
      <c r="L111" s="530">
        <f>+SUMIFS('Otros Ingresos'!$G$7:$G$500,'Otros Ingresos'!$B$7:$B$500,'Rev JR'!$A111,'Otros Ingresos'!$D$7:$D$500,"&gt;="&amp;'Rev JR'!L$1,'Otros Ingresos'!$D$7:$D$500,"&lt;="&amp;EOMONTH('Rev JR'!L$1,0))</f>
        <v>0</v>
      </c>
      <c r="M111" s="530">
        <f>+SUMIFS('Otros Ingresos'!$G$7:$G$500,'Otros Ingresos'!$B$7:$B$500,'Rev JR'!$A111,'Otros Ingresos'!$D$7:$D$500,"&gt;="&amp;'Rev JR'!M$1,'Otros Ingresos'!$D$7:$D$500,"&lt;="&amp;EOMONTH('Rev JR'!M$1,0))</f>
        <v>0</v>
      </c>
      <c r="N111" s="530">
        <f>+SUMIFS('Otros Ingresos'!$G$7:$G$500,'Otros Ingresos'!$B$7:$B$500,'Rev JR'!$A111,'Otros Ingresos'!$D$7:$D$500,"&gt;="&amp;'Rev JR'!N$1,'Otros Ingresos'!$D$7:$D$500,"&lt;="&amp;EOMONTH('Rev JR'!N$1,0))</f>
        <v>0</v>
      </c>
      <c r="O111" s="530">
        <f t="shared" si="19"/>
        <v>0</v>
      </c>
    </row>
    <row r="112" spans="1:15">
      <c r="A112" s="664" t="str">
        <f t="shared" si="20"/>
        <v>M</v>
      </c>
      <c r="B112" s="526" t="str">
        <f t="shared" si="21"/>
        <v xml:space="preserve">        Otros Ingresos - M</v>
      </c>
      <c r="C112" s="530">
        <f>+SUMIFS('Otros Ingresos'!$G$7:$G$500,'Otros Ingresos'!$B$7:$B$500,'Rev JR'!$A112,'Otros Ingresos'!$D$7:$D$500,"&gt;="&amp;'Rev JR'!C$1,'Otros Ingresos'!$D$7:$D$500,"&lt;="&amp;EOMONTH('Rev JR'!C$1,0))</f>
        <v>0</v>
      </c>
      <c r="D112" s="530">
        <f>+SUMIFS('Otros Ingresos'!$G$7:$G$500,'Otros Ingresos'!$B$7:$B$500,'Rev JR'!$A112,'Otros Ingresos'!$D$7:$D$500,"&gt;="&amp;'Rev JR'!D$1,'Otros Ingresos'!$D$7:$D$500,"&lt;="&amp;EOMONTH('Rev JR'!D$1,0))</f>
        <v>0</v>
      </c>
      <c r="E112" s="530">
        <f>+SUMIFS('Otros Ingresos'!$G$7:$G$500,'Otros Ingresos'!$B$7:$B$500,'Rev JR'!$A112,'Otros Ingresos'!$D$7:$D$500,"&gt;="&amp;'Rev JR'!E$1,'Otros Ingresos'!$D$7:$D$500,"&lt;="&amp;EOMONTH('Rev JR'!E$1,0))</f>
        <v>0</v>
      </c>
      <c r="F112" s="530">
        <f>+SUMIFS('Otros Ingresos'!$G$7:$G$500,'Otros Ingresos'!$B$7:$B$500,'Rev JR'!$A112,'Otros Ingresos'!$D$7:$D$500,"&gt;="&amp;'Rev JR'!F$1,'Otros Ingresos'!$D$7:$D$500,"&lt;="&amp;EOMONTH('Rev JR'!F$1,0))</f>
        <v>0</v>
      </c>
      <c r="G112" s="530">
        <f>+SUMIFS('Otros Ingresos'!$G$7:$G$500,'Otros Ingresos'!$B$7:$B$500,'Rev JR'!$A112,'Otros Ingresos'!$D$7:$D$500,"&gt;="&amp;'Rev JR'!G$1,'Otros Ingresos'!$D$7:$D$500,"&lt;="&amp;EOMONTH('Rev JR'!G$1,0))</f>
        <v>0</v>
      </c>
      <c r="H112" s="530">
        <f>+SUMIFS('Otros Ingresos'!$G$7:$G$500,'Otros Ingresos'!$B$7:$B$500,'Rev JR'!$A112,'Otros Ingresos'!$D$7:$D$500,"&gt;="&amp;'Rev JR'!H$1,'Otros Ingresos'!$D$7:$D$500,"&lt;="&amp;EOMONTH('Rev JR'!H$1,0))</f>
        <v>0</v>
      </c>
      <c r="I112" s="530">
        <f>+SUMIFS('Otros Ingresos'!$G$7:$G$500,'Otros Ingresos'!$B$7:$B$500,'Rev JR'!$A112,'Otros Ingresos'!$D$7:$D$500,"&gt;="&amp;'Rev JR'!I$1,'Otros Ingresos'!$D$7:$D$500,"&lt;="&amp;EOMONTH('Rev JR'!I$1,0))</f>
        <v>0</v>
      </c>
      <c r="J112" s="530">
        <f>+SUMIFS('Otros Ingresos'!$G$7:$G$500,'Otros Ingresos'!$B$7:$B$500,'Rev JR'!$A112,'Otros Ingresos'!$D$7:$D$500,"&gt;="&amp;'Rev JR'!J$1,'Otros Ingresos'!$D$7:$D$500,"&lt;="&amp;EOMONTH('Rev JR'!J$1,0))</f>
        <v>0</v>
      </c>
      <c r="K112" s="530">
        <f>+SUMIFS('Otros Ingresos'!$G$7:$G$500,'Otros Ingresos'!$B$7:$B$500,'Rev JR'!$A112,'Otros Ingresos'!$D$7:$D$500,"&gt;="&amp;'Rev JR'!K$1,'Otros Ingresos'!$D$7:$D$500,"&lt;="&amp;EOMONTH('Rev JR'!K$1,0))</f>
        <v>0</v>
      </c>
      <c r="L112" s="530">
        <f>+SUMIFS('Otros Ingresos'!$G$7:$G$500,'Otros Ingresos'!$B$7:$B$500,'Rev JR'!$A112,'Otros Ingresos'!$D$7:$D$500,"&gt;="&amp;'Rev JR'!L$1,'Otros Ingresos'!$D$7:$D$500,"&lt;="&amp;EOMONTH('Rev JR'!L$1,0))</f>
        <v>0</v>
      </c>
      <c r="M112" s="530">
        <f>+SUMIFS('Otros Ingresos'!$G$7:$G$500,'Otros Ingresos'!$B$7:$B$500,'Rev JR'!$A112,'Otros Ingresos'!$D$7:$D$500,"&gt;="&amp;'Rev JR'!M$1,'Otros Ingresos'!$D$7:$D$500,"&lt;="&amp;EOMONTH('Rev JR'!M$1,0))</f>
        <v>0</v>
      </c>
      <c r="N112" s="530">
        <f>+SUMIFS('Otros Ingresos'!$G$7:$G$500,'Otros Ingresos'!$B$7:$B$500,'Rev JR'!$A112,'Otros Ingresos'!$D$7:$D$500,"&gt;="&amp;'Rev JR'!N$1,'Otros Ingresos'!$D$7:$D$500,"&lt;="&amp;EOMONTH('Rev JR'!N$1,0))</f>
        <v>0</v>
      </c>
      <c r="O112" s="530">
        <f t="shared" si="19"/>
        <v>0</v>
      </c>
    </row>
    <row r="113" spans="1:15">
      <c r="A113" s="664" t="str">
        <f t="shared" si="20"/>
        <v>N</v>
      </c>
      <c r="B113" s="526" t="str">
        <f t="shared" si="21"/>
        <v xml:space="preserve">        Otros Ingresos - N</v>
      </c>
      <c r="C113" s="530">
        <f>+SUMIFS('Otros Ingresos'!$G$7:$G$500,'Otros Ingresos'!$B$7:$B$500,'Rev JR'!$A113,'Otros Ingresos'!$D$7:$D$500,"&gt;="&amp;'Rev JR'!C$1,'Otros Ingresos'!$D$7:$D$500,"&lt;="&amp;EOMONTH('Rev JR'!C$1,0))</f>
        <v>0</v>
      </c>
      <c r="D113" s="530">
        <f>+SUMIFS('Otros Ingresos'!$G$7:$G$500,'Otros Ingresos'!$B$7:$B$500,'Rev JR'!$A113,'Otros Ingresos'!$D$7:$D$500,"&gt;="&amp;'Rev JR'!D$1,'Otros Ingresos'!$D$7:$D$500,"&lt;="&amp;EOMONTH('Rev JR'!D$1,0))</f>
        <v>0</v>
      </c>
      <c r="E113" s="530">
        <f>+SUMIFS('Otros Ingresos'!$G$7:$G$500,'Otros Ingresos'!$B$7:$B$500,'Rev JR'!$A113,'Otros Ingresos'!$D$7:$D$500,"&gt;="&amp;'Rev JR'!E$1,'Otros Ingresos'!$D$7:$D$500,"&lt;="&amp;EOMONTH('Rev JR'!E$1,0))</f>
        <v>0</v>
      </c>
      <c r="F113" s="530">
        <f>+SUMIFS('Otros Ingresos'!$G$7:$G$500,'Otros Ingresos'!$B$7:$B$500,'Rev JR'!$A113,'Otros Ingresos'!$D$7:$D$500,"&gt;="&amp;'Rev JR'!F$1,'Otros Ingresos'!$D$7:$D$500,"&lt;="&amp;EOMONTH('Rev JR'!F$1,0))</f>
        <v>0</v>
      </c>
      <c r="G113" s="530">
        <f>+SUMIFS('Otros Ingresos'!$G$7:$G$500,'Otros Ingresos'!$B$7:$B$500,'Rev JR'!$A113,'Otros Ingresos'!$D$7:$D$500,"&gt;="&amp;'Rev JR'!G$1,'Otros Ingresos'!$D$7:$D$500,"&lt;="&amp;EOMONTH('Rev JR'!G$1,0))</f>
        <v>0</v>
      </c>
      <c r="H113" s="530">
        <f>+SUMIFS('Otros Ingresos'!$G$7:$G$500,'Otros Ingresos'!$B$7:$B$500,'Rev JR'!$A113,'Otros Ingresos'!$D$7:$D$500,"&gt;="&amp;'Rev JR'!H$1,'Otros Ingresos'!$D$7:$D$500,"&lt;="&amp;EOMONTH('Rev JR'!H$1,0))</f>
        <v>0</v>
      </c>
      <c r="I113" s="530">
        <f>+SUMIFS('Otros Ingresos'!$G$7:$G$500,'Otros Ingresos'!$B$7:$B$500,'Rev JR'!$A113,'Otros Ingresos'!$D$7:$D$500,"&gt;="&amp;'Rev JR'!I$1,'Otros Ingresos'!$D$7:$D$500,"&lt;="&amp;EOMONTH('Rev JR'!I$1,0))</f>
        <v>0</v>
      </c>
      <c r="J113" s="530">
        <f>+SUMIFS('Otros Ingresos'!$G$7:$G$500,'Otros Ingresos'!$B$7:$B$500,'Rev JR'!$A113,'Otros Ingresos'!$D$7:$D$500,"&gt;="&amp;'Rev JR'!J$1,'Otros Ingresos'!$D$7:$D$500,"&lt;="&amp;EOMONTH('Rev JR'!J$1,0))</f>
        <v>0</v>
      </c>
      <c r="K113" s="530">
        <f>+SUMIFS('Otros Ingresos'!$G$7:$G$500,'Otros Ingresos'!$B$7:$B$500,'Rev JR'!$A113,'Otros Ingresos'!$D$7:$D$500,"&gt;="&amp;'Rev JR'!K$1,'Otros Ingresos'!$D$7:$D$500,"&lt;="&amp;EOMONTH('Rev JR'!K$1,0))</f>
        <v>0</v>
      </c>
      <c r="L113" s="530">
        <f>+SUMIFS('Otros Ingresos'!$G$7:$G$500,'Otros Ingresos'!$B$7:$B$500,'Rev JR'!$A113,'Otros Ingresos'!$D$7:$D$500,"&gt;="&amp;'Rev JR'!L$1,'Otros Ingresos'!$D$7:$D$500,"&lt;="&amp;EOMONTH('Rev JR'!L$1,0))</f>
        <v>0</v>
      </c>
      <c r="M113" s="530">
        <f>+SUMIFS('Otros Ingresos'!$G$7:$G$500,'Otros Ingresos'!$B$7:$B$500,'Rev JR'!$A113,'Otros Ingresos'!$D$7:$D$500,"&gt;="&amp;'Rev JR'!M$1,'Otros Ingresos'!$D$7:$D$500,"&lt;="&amp;EOMONTH('Rev JR'!M$1,0))</f>
        <v>0</v>
      </c>
      <c r="N113" s="530">
        <f>+SUMIFS('Otros Ingresos'!$G$7:$G$500,'Otros Ingresos'!$B$7:$B$500,'Rev JR'!$A113,'Otros Ingresos'!$D$7:$D$500,"&gt;="&amp;'Rev JR'!N$1,'Otros Ingresos'!$D$7:$D$500,"&lt;="&amp;EOMONTH('Rev JR'!N$1,0))</f>
        <v>0</v>
      </c>
      <c r="O113" s="530">
        <f t="shared" si="19"/>
        <v>0</v>
      </c>
    </row>
    <row r="114" spans="1:15">
      <c r="A114" s="664" t="str">
        <f t="shared" si="20"/>
        <v>O</v>
      </c>
      <c r="B114" s="526" t="str">
        <f t="shared" si="21"/>
        <v xml:space="preserve">        Otros Ingresos - O</v>
      </c>
      <c r="C114" s="530">
        <f>+SUMIFS('Otros Ingresos'!$G$7:$G$500,'Otros Ingresos'!$B$7:$B$500,'Rev JR'!$A114,'Otros Ingresos'!$D$7:$D$500,"&gt;="&amp;'Rev JR'!C$1,'Otros Ingresos'!$D$7:$D$500,"&lt;="&amp;EOMONTH('Rev JR'!C$1,0))</f>
        <v>0</v>
      </c>
      <c r="D114" s="530">
        <f>+SUMIFS('Otros Ingresos'!$G$7:$G$500,'Otros Ingresos'!$B$7:$B$500,'Rev JR'!$A114,'Otros Ingresos'!$D$7:$D$500,"&gt;="&amp;'Rev JR'!D$1,'Otros Ingresos'!$D$7:$D$500,"&lt;="&amp;EOMONTH('Rev JR'!D$1,0))</f>
        <v>0</v>
      </c>
      <c r="E114" s="530">
        <f>+SUMIFS('Otros Ingresos'!$G$7:$G$500,'Otros Ingresos'!$B$7:$B$500,'Rev JR'!$A114,'Otros Ingresos'!$D$7:$D$500,"&gt;="&amp;'Rev JR'!E$1,'Otros Ingresos'!$D$7:$D$500,"&lt;="&amp;EOMONTH('Rev JR'!E$1,0))</f>
        <v>0</v>
      </c>
      <c r="F114" s="530">
        <f>+SUMIFS('Otros Ingresos'!$G$7:$G$500,'Otros Ingresos'!$B$7:$B$500,'Rev JR'!$A114,'Otros Ingresos'!$D$7:$D$500,"&gt;="&amp;'Rev JR'!F$1,'Otros Ingresos'!$D$7:$D$500,"&lt;="&amp;EOMONTH('Rev JR'!F$1,0))</f>
        <v>0</v>
      </c>
      <c r="G114" s="530">
        <f>+SUMIFS('Otros Ingresos'!$G$7:$G$500,'Otros Ingresos'!$B$7:$B$500,'Rev JR'!$A114,'Otros Ingresos'!$D$7:$D$500,"&gt;="&amp;'Rev JR'!G$1,'Otros Ingresos'!$D$7:$D$500,"&lt;="&amp;EOMONTH('Rev JR'!G$1,0))</f>
        <v>0</v>
      </c>
      <c r="H114" s="530">
        <f>+SUMIFS('Otros Ingresos'!$G$7:$G$500,'Otros Ingresos'!$B$7:$B$500,'Rev JR'!$A114,'Otros Ingresos'!$D$7:$D$500,"&gt;="&amp;'Rev JR'!H$1,'Otros Ingresos'!$D$7:$D$500,"&lt;="&amp;EOMONTH('Rev JR'!H$1,0))</f>
        <v>0</v>
      </c>
      <c r="I114" s="530">
        <f>+SUMIFS('Otros Ingresos'!$G$7:$G$500,'Otros Ingresos'!$B$7:$B$500,'Rev JR'!$A114,'Otros Ingresos'!$D$7:$D$500,"&gt;="&amp;'Rev JR'!I$1,'Otros Ingresos'!$D$7:$D$500,"&lt;="&amp;EOMONTH('Rev JR'!I$1,0))</f>
        <v>0</v>
      </c>
      <c r="J114" s="530">
        <f>+SUMIFS('Otros Ingresos'!$G$7:$G$500,'Otros Ingresos'!$B$7:$B$500,'Rev JR'!$A114,'Otros Ingresos'!$D$7:$D$500,"&gt;="&amp;'Rev JR'!J$1,'Otros Ingresos'!$D$7:$D$500,"&lt;="&amp;EOMONTH('Rev JR'!J$1,0))</f>
        <v>0</v>
      </c>
      <c r="K114" s="530">
        <f>+SUMIFS('Otros Ingresos'!$G$7:$G$500,'Otros Ingresos'!$B$7:$B$500,'Rev JR'!$A114,'Otros Ingresos'!$D$7:$D$500,"&gt;="&amp;'Rev JR'!K$1,'Otros Ingresos'!$D$7:$D$500,"&lt;="&amp;EOMONTH('Rev JR'!K$1,0))</f>
        <v>0</v>
      </c>
      <c r="L114" s="530">
        <f>+SUMIFS('Otros Ingresos'!$G$7:$G$500,'Otros Ingresos'!$B$7:$B$500,'Rev JR'!$A114,'Otros Ingresos'!$D$7:$D$500,"&gt;="&amp;'Rev JR'!L$1,'Otros Ingresos'!$D$7:$D$500,"&lt;="&amp;EOMONTH('Rev JR'!L$1,0))</f>
        <v>0</v>
      </c>
      <c r="M114" s="530">
        <f>+SUMIFS('Otros Ingresos'!$G$7:$G$500,'Otros Ingresos'!$B$7:$B$500,'Rev JR'!$A114,'Otros Ingresos'!$D$7:$D$500,"&gt;="&amp;'Rev JR'!M$1,'Otros Ingresos'!$D$7:$D$500,"&lt;="&amp;EOMONTH('Rev JR'!M$1,0))</f>
        <v>0</v>
      </c>
      <c r="N114" s="530">
        <f>+SUMIFS('Otros Ingresos'!$G$7:$G$500,'Otros Ingresos'!$B$7:$B$500,'Rev JR'!$A114,'Otros Ingresos'!$D$7:$D$500,"&gt;="&amp;'Rev JR'!N$1,'Otros Ingresos'!$D$7:$D$500,"&lt;="&amp;EOMONTH('Rev JR'!N$1,0))</f>
        <v>0</v>
      </c>
      <c r="O114" s="530">
        <f t="shared" si="19"/>
        <v>0</v>
      </c>
    </row>
    <row r="115" spans="1:15">
      <c r="A115" s="664" t="str">
        <f t="shared" si="20"/>
        <v>P</v>
      </c>
      <c r="B115" s="526" t="str">
        <f t="shared" si="21"/>
        <v xml:space="preserve">        Otros Ingresos - P</v>
      </c>
      <c r="C115" s="530">
        <f>+SUMIFS('Otros Ingresos'!$G$7:$G$500,'Otros Ingresos'!$B$7:$B$500,'Rev JR'!$A115,'Otros Ingresos'!$D$7:$D$500,"&gt;="&amp;'Rev JR'!C$1,'Otros Ingresos'!$D$7:$D$500,"&lt;="&amp;EOMONTH('Rev JR'!C$1,0))</f>
        <v>0</v>
      </c>
      <c r="D115" s="530">
        <f>+SUMIFS('Otros Ingresos'!$G$7:$G$500,'Otros Ingresos'!$B$7:$B$500,'Rev JR'!$A115,'Otros Ingresos'!$D$7:$D$500,"&gt;="&amp;'Rev JR'!D$1,'Otros Ingresos'!$D$7:$D$500,"&lt;="&amp;EOMONTH('Rev JR'!D$1,0))</f>
        <v>0</v>
      </c>
      <c r="E115" s="530">
        <f>+SUMIFS('Otros Ingresos'!$G$7:$G$500,'Otros Ingresos'!$B$7:$B$500,'Rev JR'!$A115,'Otros Ingresos'!$D$7:$D$500,"&gt;="&amp;'Rev JR'!E$1,'Otros Ingresos'!$D$7:$D$500,"&lt;="&amp;EOMONTH('Rev JR'!E$1,0))</f>
        <v>0</v>
      </c>
      <c r="F115" s="530">
        <f>+SUMIFS('Otros Ingresos'!$G$7:$G$500,'Otros Ingresos'!$B$7:$B$500,'Rev JR'!$A115,'Otros Ingresos'!$D$7:$D$500,"&gt;="&amp;'Rev JR'!F$1,'Otros Ingresos'!$D$7:$D$500,"&lt;="&amp;EOMONTH('Rev JR'!F$1,0))</f>
        <v>0</v>
      </c>
      <c r="G115" s="530">
        <f>+SUMIFS('Otros Ingresos'!$G$7:$G$500,'Otros Ingresos'!$B$7:$B$500,'Rev JR'!$A115,'Otros Ingresos'!$D$7:$D$500,"&gt;="&amp;'Rev JR'!G$1,'Otros Ingresos'!$D$7:$D$500,"&lt;="&amp;EOMONTH('Rev JR'!G$1,0))</f>
        <v>0</v>
      </c>
      <c r="H115" s="530">
        <f>+SUMIFS('Otros Ingresos'!$G$7:$G$500,'Otros Ingresos'!$B$7:$B$500,'Rev JR'!$A115,'Otros Ingresos'!$D$7:$D$500,"&gt;="&amp;'Rev JR'!H$1,'Otros Ingresos'!$D$7:$D$500,"&lt;="&amp;EOMONTH('Rev JR'!H$1,0))</f>
        <v>0</v>
      </c>
      <c r="I115" s="530">
        <f>+SUMIFS('Otros Ingresos'!$G$7:$G$500,'Otros Ingresos'!$B$7:$B$500,'Rev JR'!$A115,'Otros Ingresos'!$D$7:$D$500,"&gt;="&amp;'Rev JR'!I$1,'Otros Ingresos'!$D$7:$D$500,"&lt;="&amp;EOMONTH('Rev JR'!I$1,0))</f>
        <v>0</v>
      </c>
      <c r="J115" s="530">
        <f>+SUMIFS('Otros Ingresos'!$G$7:$G$500,'Otros Ingresos'!$B$7:$B$500,'Rev JR'!$A115,'Otros Ingresos'!$D$7:$D$500,"&gt;="&amp;'Rev JR'!J$1,'Otros Ingresos'!$D$7:$D$500,"&lt;="&amp;EOMONTH('Rev JR'!J$1,0))</f>
        <v>0</v>
      </c>
      <c r="K115" s="530">
        <f>+SUMIFS('Otros Ingresos'!$G$7:$G$500,'Otros Ingresos'!$B$7:$B$500,'Rev JR'!$A115,'Otros Ingresos'!$D$7:$D$500,"&gt;="&amp;'Rev JR'!K$1,'Otros Ingresos'!$D$7:$D$500,"&lt;="&amp;EOMONTH('Rev JR'!K$1,0))</f>
        <v>0</v>
      </c>
      <c r="L115" s="530">
        <f>+SUMIFS('Otros Ingresos'!$G$7:$G$500,'Otros Ingresos'!$B$7:$B$500,'Rev JR'!$A115,'Otros Ingresos'!$D$7:$D$500,"&gt;="&amp;'Rev JR'!L$1,'Otros Ingresos'!$D$7:$D$500,"&lt;="&amp;EOMONTH('Rev JR'!L$1,0))</f>
        <v>0</v>
      </c>
      <c r="M115" s="530">
        <f>+SUMIFS('Otros Ingresos'!$G$7:$G$500,'Otros Ingresos'!$B$7:$B$500,'Rev JR'!$A115,'Otros Ingresos'!$D$7:$D$500,"&gt;="&amp;'Rev JR'!M$1,'Otros Ingresos'!$D$7:$D$500,"&lt;="&amp;EOMONTH('Rev JR'!M$1,0))</f>
        <v>0</v>
      </c>
      <c r="N115" s="530">
        <f>+SUMIFS('Otros Ingresos'!$G$7:$G$500,'Otros Ingresos'!$B$7:$B$500,'Rev JR'!$A115,'Otros Ingresos'!$D$7:$D$500,"&gt;="&amp;'Rev JR'!N$1,'Otros Ingresos'!$D$7:$D$500,"&lt;="&amp;EOMONTH('Rev JR'!N$1,0))</f>
        <v>0</v>
      </c>
      <c r="O115" s="530">
        <f t="shared" si="19"/>
        <v>0</v>
      </c>
    </row>
    <row r="116" spans="1:15">
      <c r="A116" s="522"/>
      <c r="B116" s="531" t="s">
        <v>622</v>
      </c>
      <c r="C116" s="532">
        <f t="shared" ref="C116:N116" si="22">SUM(C100:C115)</f>
        <v>0</v>
      </c>
      <c r="D116" s="532">
        <f t="shared" si="22"/>
        <v>0</v>
      </c>
      <c r="E116" s="532">
        <f t="shared" si="22"/>
        <v>0</v>
      </c>
      <c r="F116" s="532">
        <f t="shared" si="22"/>
        <v>0</v>
      </c>
      <c r="G116" s="532">
        <f t="shared" si="22"/>
        <v>0</v>
      </c>
      <c r="H116" s="532">
        <f t="shared" si="22"/>
        <v>0</v>
      </c>
      <c r="I116" s="532">
        <f t="shared" si="22"/>
        <v>0</v>
      </c>
      <c r="J116" s="532">
        <f t="shared" si="22"/>
        <v>0</v>
      </c>
      <c r="K116" s="532">
        <f t="shared" si="22"/>
        <v>0</v>
      </c>
      <c r="L116" s="532">
        <f t="shared" si="22"/>
        <v>0</v>
      </c>
      <c r="M116" s="532">
        <f t="shared" si="22"/>
        <v>0</v>
      </c>
      <c r="N116" s="532">
        <f t="shared" si="22"/>
        <v>0</v>
      </c>
      <c r="O116" s="532">
        <f>SUM(O100:O115)</f>
        <v>0</v>
      </c>
    </row>
    <row r="117" spans="1:15">
      <c r="A117" s="522"/>
      <c r="B117" s="533"/>
      <c r="C117" s="534"/>
      <c r="D117" s="534"/>
      <c r="E117" s="534"/>
      <c r="F117" s="534"/>
      <c r="G117" s="534"/>
      <c r="H117" s="534"/>
      <c r="I117" s="534"/>
      <c r="J117" s="534"/>
      <c r="K117" s="534"/>
      <c r="L117" s="534"/>
      <c r="M117" s="534"/>
      <c r="N117" s="534"/>
      <c r="O117" s="534"/>
    </row>
    <row r="118" spans="1:15">
      <c r="A118" s="522"/>
      <c r="B118" s="526" t="s">
        <v>623</v>
      </c>
      <c r="C118" s="530"/>
      <c r="D118" s="530"/>
      <c r="E118" s="530"/>
      <c r="F118" s="530"/>
      <c r="G118" s="530"/>
      <c r="H118" s="530"/>
      <c r="I118" s="530"/>
      <c r="J118" s="530"/>
      <c r="K118" s="530"/>
      <c r="L118" s="530"/>
      <c r="M118" s="530"/>
      <c r="N118" s="530"/>
      <c r="O118" s="530"/>
    </row>
    <row r="119" spans="1:15">
      <c r="A119" s="664" t="str">
        <f>+A100</f>
        <v>31XX29</v>
      </c>
      <c r="B119" s="526" t="str">
        <f>+CONCATENATE("        Tax Withheld on Dividend  - ",A119)</f>
        <v xml:space="preserve">        Tax Withheld on Dividend  - 31XX29</v>
      </c>
      <c r="C119" s="530">
        <f>+SUMIFS('Dividendos Extranjeros - Ret'!$G$8:$G$867,'Dividendos Extranjeros - Ret'!$B$8:$B$867,'Rev JR'!$A119,'Dividendos Extranjeros - Ret'!$D$8:$D$867,"&gt;="&amp;'Rev JR'!C$1,'Dividendos Extranjeros - Ret'!$D$8:$D$867,"&lt;="&amp;EOMONTH('Rev JR'!C$1,0))</f>
        <v>0</v>
      </c>
      <c r="D119" s="530">
        <f>+SUMIFS('Dividendos Extranjeros - Ret'!$G$8:$G$867,'Dividendos Extranjeros - Ret'!$B$8:$B$867,'Rev JR'!$A119,'Dividendos Extranjeros - Ret'!$D$8:$D$867,"&gt;="&amp;'Rev JR'!D$1,'Dividendos Extranjeros - Ret'!$D$8:$D$867,"&lt;="&amp;EOMONTH('Rev JR'!D$1,0))</f>
        <v>0</v>
      </c>
      <c r="E119" s="530">
        <f>+SUMIFS('Dividendos Extranjeros - Ret'!$G$8:$G$867,'Dividendos Extranjeros - Ret'!$B$8:$B$867,'Rev JR'!$A119,'Dividendos Extranjeros - Ret'!$D$8:$D$867,"&gt;="&amp;'Rev JR'!E$1,'Dividendos Extranjeros - Ret'!$D$8:$D$867,"&lt;="&amp;EOMONTH('Rev JR'!E$1,0))</f>
        <v>0</v>
      </c>
      <c r="F119" s="530">
        <f>+SUMIFS('Dividendos Extranjeros - Ret'!$G$8:$G$867,'Dividendos Extranjeros - Ret'!$B$8:$B$867,'Rev JR'!$A119,'Dividendos Extranjeros - Ret'!$D$8:$D$867,"&gt;="&amp;'Rev JR'!F$1,'Dividendos Extranjeros - Ret'!$D$8:$D$867,"&lt;="&amp;EOMONTH('Rev JR'!F$1,0))</f>
        <v>0</v>
      </c>
      <c r="G119" s="530">
        <f>+SUMIFS('Dividendos Extranjeros - Ret'!$G$8:$G$867,'Dividendos Extranjeros - Ret'!$B$8:$B$867,'Rev JR'!$A119,'Dividendos Extranjeros - Ret'!$D$8:$D$867,"&gt;="&amp;'Rev JR'!G$1,'Dividendos Extranjeros - Ret'!$D$8:$D$867,"&lt;="&amp;EOMONTH('Rev JR'!G$1,0))</f>
        <v>0</v>
      </c>
      <c r="H119" s="530">
        <f>+SUMIFS('Dividendos Extranjeros - Ret'!$G$8:$G$867,'Dividendos Extranjeros - Ret'!$B$8:$B$867,'Rev JR'!$A119,'Dividendos Extranjeros - Ret'!$D$8:$D$867,"&gt;="&amp;'Rev JR'!H$1,'Dividendos Extranjeros - Ret'!$D$8:$D$867,"&lt;="&amp;EOMONTH('Rev JR'!H$1,0))</f>
        <v>0</v>
      </c>
      <c r="I119" s="530">
        <f>+SUMIFS('Dividendos Extranjeros - Ret'!$G$8:$G$867,'Dividendos Extranjeros - Ret'!$B$8:$B$867,'Rev JR'!$A119,'Dividendos Extranjeros - Ret'!$D$8:$D$867,"&gt;="&amp;'Rev JR'!I$1,'Dividendos Extranjeros - Ret'!$D$8:$D$867,"&lt;="&amp;EOMONTH('Rev JR'!I$1,0))</f>
        <v>0</v>
      </c>
      <c r="J119" s="530">
        <f>+SUMIFS('Dividendos Extranjeros - Ret'!$G$8:$G$867,'Dividendos Extranjeros - Ret'!$B$8:$B$867,'Rev JR'!$A119,'Dividendos Extranjeros - Ret'!$D$8:$D$867,"&gt;="&amp;'Rev JR'!J$1,'Dividendos Extranjeros - Ret'!$D$8:$D$867,"&lt;="&amp;EOMONTH('Rev JR'!J$1,0))</f>
        <v>0</v>
      </c>
      <c r="K119" s="530">
        <f>+SUMIFS('Dividendos Extranjeros - Ret'!$G$8:$G$867,'Dividendos Extranjeros - Ret'!$B$8:$B$867,'Rev JR'!$A119,'Dividendos Extranjeros - Ret'!$D$8:$D$867,"&gt;="&amp;'Rev JR'!K$1,'Dividendos Extranjeros - Ret'!$D$8:$D$867,"&lt;="&amp;EOMONTH('Rev JR'!K$1,0))</f>
        <v>0</v>
      </c>
      <c r="L119" s="530">
        <f>+SUMIFS('Dividendos Extranjeros - Ret'!$G$8:$G$867,'Dividendos Extranjeros - Ret'!$B$8:$B$867,'Rev JR'!$A119,'Dividendos Extranjeros - Ret'!$D$8:$D$867,"&gt;="&amp;'Rev JR'!L$1,'Dividendos Extranjeros - Ret'!$D$8:$D$867,"&lt;="&amp;EOMONTH('Rev JR'!L$1,0))</f>
        <v>0</v>
      </c>
      <c r="M119" s="530">
        <f>+SUMIFS('Dividendos Extranjeros - Ret'!$G$8:$G$867,'Dividendos Extranjeros - Ret'!$B$8:$B$867,'Rev JR'!$A119,'Dividendos Extranjeros - Ret'!$D$8:$D$867,"&gt;="&amp;'Rev JR'!M$1,'Dividendos Extranjeros - Ret'!$D$8:$D$867,"&lt;="&amp;EOMONTH('Rev JR'!M$1,0))</f>
        <v>0</v>
      </c>
      <c r="N119" s="530">
        <f>+SUMIFS('Dividendos Extranjeros - Ret'!$G$8:$G$867,'Dividendos Extranjeros - Ret'!$B$8:$B$867,'Rev JR'!$A119,'Dividendos Extranjeros - Ret'!$D$8:$D$867,"&gt;="&amp;'Rev JR'!N$1,'Dividendos Extranjeros - Ret'!$D$8:$D$867,"&lt;="&amp;EOMONTH('Rev JR'!N$1,0))</f>
        <v>0</v>
      </c>
      <c r="O119" s="530">
        <f>SUM(C119:N119)</f>
        <v>0</v>
      </c>
    </row>
    <row r="120" spans="1:15">
      <c r="A120" s="664" t="str">
        <f t="shared" ref="A120:A134" si="23">+A101</f>
        <v>11XX300</v>
      </c>
      <c r="B120" s="526" t="str">
        <f t="shared" ref="B120:B134" si="24">+CONCATENATE("        Tax Withheld on Dividend  - ",A120)</f>
        <v xml:space="preserve">        Tax Withheld on Dividend  - 11XX300</v>
      </c>
      <c r="C120" s="530">
        <f>+SUMIFS('Dividendos Extranjeros - Ret'!$G$8:$G$867,'Dividendos Extranjeros - Ret'!$B$8:$B$867,'Rev JR'!$A120,'Dividendos Extranjeros - Ret'!$D$8:$D$867,"&gt;="&amp;'Rev JR'!C$1,'Dividendos Extranjeros - Ret'!$D$8:$D$867,"&lt;="&amp;EOMONTH('Rev JR'!C$1,0))</f>
        <v>0</v>
      </c>
      <c r="D120" s="530">
        <f>+SUMIFS('Dividendos Extranjeros - Ret'!$G$8:$G$867,'Dividendos Extranjeros - Ret'!$B$8:$B$867,'Rev JR'!$A120,'Dividendos Extranjeros - Ret'!$D$8:$D$867,"&gt;="&amp;'Rev JR'!D$1,'Dividendos Extranjeros - Ret'!$D$8:$D$867,"&lt;="&amp;EOMONTH('Rev JR'!D$1,0))</f>
        <v>0</v>
      </c>
      <c r="E120" s="530">
        <f>+SUMIFS('Dividendos Extranjeros - Ret'!$G$8:$G$867,'Dividendos Extranjeros - Ret'!$B$8:$B$867,'Rev JR'!$A120,'Dividendos Extranjeros - Ret'!$D$8:$D$867,"&gt;="&amp;'Rev JR'!E$1,'Dividendos Extranjeros - Ret'!$D$8:$D$867,"&lt;="&amp;EOMONTH('Rev JR'!E$1,0))</f>
        <v>0</v>
      </c>
      <c r="F120" s="530">
        <f>+SUMIFS('Dividendos Extranjeros - Ret'!$G$8:$G$867,'Dividendos Extranjeros - Ret'!$B$8:$B$867,'Rev JR'!$A120,'Dividendos Extranjeros - Ret'!$D$8:$D$867,"&gt;="&amp;'Rev JR'!F$1,'Dividendos Extranjeros - Ret'!$D$8:$D$867,"&lt;="&amp;EOMONTH('Rev JR'!F$1,0))</f>
        <v>0</v>
      </c>
      <c r="G120" s="530">
        <f>+SUMIFS('Dividendos Extranjeros - Ret'!$G$8:$G$867,'Dividendos Extranjeros - Ret'!$B$8:$B$867,'Rev JR'!$A120,'Dividendos Extranjeros - Ret'!$D$8:$D$867,"&gt;="&amp;'Rev JR'!G$1,'Dividendos Extranjeros - Ret'!$D$8:$D$867,"&lt;="&amp;EOMONTH('Rev JR'!G$1,0))</f>
        <v>0</v>
      </c>
      <c r="H120" s="530">
        <f>+SUMIFS('Dividendos Extranjeros - Ret'!$G$8:$G$867,'Dividendos Extranjeros - Ret'!$B$8:$B$867,'Rev JR'!$A120,'Dividendos Extranjeros - Ret'!$D$8:$D$867,"&gt;="&amp;'Rev JR'!H$1,'Dividendos Extranjeros - Ret'!$D$8:$D$867,"&lt;="&amp;EOMONTH('Rev JR'!H$1,0))</f>
        <v>0</v>
      </c>
      <c r="I120" s="530">
        <f>+SUMIFS('Dividendos Extranjeros - Ret'!$G$8:$G$867,'Dividendos Extranjeros - Ret'!$B$8:$B$867,'Rev JR'!$A120,'Dividendos Extranjeros - Ret'!$D$8:$D$867,"&gt;="&amp;'Rev JR'!I$1,'Dividendos Extranjeros - Ret'!$D$8:$D$867,"&lt;="&amp;EOMONTH('Rev JR'!I$1,0))</f>
        <v>0</v>
      </c>
      <c r="J120" s="530">
        <f>+SUMIFS('Dividendos Extranjeros - Ret'!$G$8:$G$867,'Dividendos Extranjeros - Ret'!$B$8:$B$867,'Rev JR'!$A120,'Dividendos Extranjeros - Ret'!$D$8:$D$867,"&gt;="&amp;'Rev JR'!J$1,'Dividendos Extranjeros - Ret'!$D$8:$D$867,"&lt;="&amp;EOMONTH('Rev JR'!J$1,0))</f>
        <v>0</v>
      </c>
      <c r="K120" s="530">
        <f>+SUMIFS('Dividendos Extranjeros - Ret'!$G$8:$G$867,'Dividendos Extranjeros - Ret'!$B$8:$B$867,'Rev JR'!$A120,'Dividendos Extranjeros - Ret'!$D$8:$D$867,"&gt;="&amp;'Rev JR'!K$1,'Dividendos Extranjeros - Ret'!$D$8:$D$867,"&lt;="&amp;EOMONTH('Rev JR'!K$1,0))</f>
        <v>0</v>
      </c>
      <c r="L120" s="530">
        <f>+SUMIFS('Dividendos Extranjeros - Ret'!$G$8:$G$867,'Dividendos Extranjeros - Ret'!$B$8:$B$867,'Rev JR'!$A120,'Dividendos Extranjeros - Ret'!$D$8:$D$867,"&gt;="&amp;'Rev JR'!L$1,'Dividendos Extranjeros - Ret'!$D$8:$D$867,"&lt;="&amp;EOMONTH('Rev JR'!L$1,0))</f>
        <v>0</v>
      </c>
      <c r="M120" s="530">
        <f>+SUMIFS('Dividendos Extranjeros - Ret'!$G$8:$G$867,'Dividendos Extranjeros - Ret'!$B$8:$B$867,'Rev JR'!$A120,'Dividendos Extranjeros - Ret'!$D$8:$D$867,"&gt;="&amp;'Rev JR'!M$1,'Dividendos Extranjeros - Ret'!$D$8:$D$867,"&lt;="&amp;EOMONTH('Rev JR'!M$1,0))</f>
        <v>0</v>
      </c>
      <c r="N120" s="530">
        <f>+SUMIFS('Dividendos Extranjeros - Ret'!$G$8:$G$867,'Dividendos Extranjeros - Ret'!$B$8:$B$867,'Rev JR'!$A120,'Dividendos Extranjeros - Ret'!$D$8:$D$867,"&gt;="&amp;'Rev JR'!N$1,'Dividendos Extranjeros - Ret'!$D$8:$D$867,"&lt;="&amp;EOMONTH('Rev JR'!N$1,0))</f>
        <v>0</v>
      </c>
      <c r="O120" s="530">
        <f t="shared" ref="O120:O134" si="25">SUM(C120:N120)</f>
        <v>0</v>
      </c>
    </row>
    <row r="121" spans="1:15">
      <c r="A121" s="664" t="str">
        <f t="shared" si="23"/>
        <v>1XXX100</v>
      </c>
      <c r="B121" s="526" t="str">
        <f t="shared" si="24"/>
        <v xml:space="preserve">        Tax Withheld on Dividend  - 1XXX100</v>
      </c>
      <c r="C121" s="530">
        <f>+SUMIFS('Dividendos Extranjeros - Ret'!$G$8:$G$867,'Dividendos Extranjeros - Ret'!$B$8:$B$867,'Rev JR'!$A121,'Dividendos Extranjeros - Ret'!$D$8:$D$867,"&gt;="&amp;'Rev JR'!C$1,'Dividendos Extranjeros - Ret'!$D$8:$D$867,"&lt;="&amp;EOMONTH('Rev JR'!C$1,0))</f>
        <v>0</v>
      </c>
      <c r="D121" s="530">
        <f>+SUMIFS('Dividendos Extranjeros - Ret'!$G$8:$G$867,'Dividendos Extranjeros - Ret'!$B$8:$B$867,'Rev JR'!$A121,'Dividendos Extranjeros - Ret'!$D$8:$D$867,"&gt;="&amp;'Rev JR'!D$1,'Dividendos Extranjeros - Ret'!$D$8:$D$867,"&lt;="&amp;EOMONTH('Rev JR'!D$1,0))</f>
        <v>0</v>
      </c>
      <c r="E121" s="530">
        <f>+SUMIFS('Dividendos Extranjeros - Ret'!$G$8:$G$867,'Dividendos Extranjeros - Ret'!$B$8:$B$867,'Rev JR'!$A121,'Dividendos Extranjeros - Ret'!$D$8:$D$867,"&gt;="&amp;'Rev JR'!E$1,'Dividendos Extranjeros - Ret'!$D$8:$D$867,"&lt;="&amp;EOMONTH('Rev JR'!E$1,0))</f>
        <v>0</v>
      </c>
      <c r="F121" s="530">
        <f>+SUMIFS('Dividendos Extranjeros - Ret'!$G$8:$G$867,'Dividendos Extranjeros - Ret'!$B$8:$B$867,'Rev JR'!$A121,'Dividendos Extranjeros - Ret'!$D$8:$D$867,"&gt;="&amp;'Rev JR'!F$1,'Dividendos Extranjeros - Ret'!$D$8:$D$867,"&lt;="&amp;EOMONTH('Rev JR'!F$1,0))</f>
        <v>0</v>
      </c>
      <c r="G121" s="530">
        <f>+SUMIFS('Dividendos Extranjeros - Ret'!$G$8:$G$867,'Dividendos Extranjeros - Ret'!$B$8:$B$867,'Rev JR'!$A121,'Dividendos Extranjeros - Ret'!$D$8:$D$867,"&gt;="&amp;'Rev JR'!G$1,'Dividendos Extranjeros - Ret'!$D$8:$D$867,"&lt;="&amp;EOMONTH('Rev JR'!G$1,0))</f>
        <v>0</v>
      </c>
      <c r="H121" s="530">
        <f>+SUMIFS('Dividendos Extranjeros - Ret'!$G$8:$G$867,'Dividendos Extranjeros - Ret'!$B$8:$B$867,'Rev JR'!$A121,'Dividendos Extranjeros - Ret'!$D$8:$D$867,"&gt;="&amp;'Rev JR'!H$1,'Dividendos Extranjeros - Ret'!$D$8:$D$867,"&lt;="&amp;EOMONTH('Rev JR'!H$1,0))</f>
        <v>0</v>
      </c>
      <c r="I121" s="530">
        <f>+SUMIFS('Dividendos Extranjeros - Ret'!$G$8:$G$867,'Dividendos Extranjeros - Ret'!$B$8:$B$867,'Rev JR'!$A121,'Dividendos Extranjeros - Ret'!$D$8:$D$867,"&gt;="&amp;'Rev JR'!I$1,'Dividendos Extranjeros - Ret'!$D$8:$D$867,"&lt;="&amp;EOMONTH('Rev JR'!I$1,0))</f>
        <v>0</v>
      </c>
      <c r="J121" s="530">
        <f>+SUMIFS('Dividendos Extranjeros - Ret'!$G$8:$G$867,'Dividendos Extranjeros - Ret'!$B$8:$B$867,'Rev JR'!$A121,'Dividendos Extranjeros - Ret'!$D$8:$D$867,"&gt;="&amp;'Rev JR'!J$1,'Dividendos Extranjeros - Ret'!$D$8:$D$867,"&lt;="&amp;EOMONTH('Rev JR'!J$1,0))</f>
        <v>0</v>
      </c>
      <c r="K121" s="530">
        <f>+SUMIFS('Dividendos Extranjeros - Ret'!$G$8:$G$867,'Dividendos Extranjeros - Ret'!$B$8:$B$867,'Rev JR'!$A121,'Dividendos Extranjeros - Ret'!$D$8:$D$867,"&gt;="&amp;'Rev JR'!K$1,'Dividendos Extranjeros - Ret'!$D$8:$D$867,"&lt;="&amp;EOMONTH('Rev JR'!K$1,0))</f>
        <v>0</v>
      </c>
      <c r="L121" s="530">
        <f>+SUMIFS('Dividendos Extranjeros - Ret'!$G$8:$G$867,'Dividendos Extranjeros - Ret'!$B$8:$B$867,'Rev JR'!$A121,'Dividendos Extranjeros - Ret'!$D$8:$D$867,"&gt;="&amp;'Rev JR'!L$1,'Dividendos Extranjeros - Ret'!$D$8:$D$867,"&lt;="&amp;EOMONTH('Rev JR'!L$1,0))</f>
        <v>0</v>
      </c>
      <c r="M121" s="530">
        <f>+SUMIFS('Dividendos Extranjeros - Ret'!$G$8:$G$867,'Dividendos Extranjeros - Ret'!$B$8:$B$867,'Rev JR'!$A121,'Dividendos Extranjeros - Ret'!$D$8:$D$867,"&gt;="&amp;'Rev JR'!M$1,'Dividendos Extranjeros - Ret'!$D$8:$D$867,"&lt;="&amp;EOMONTH('Rev JR'!M$1,0))</f>
        <v>0</v>
      </c>
      <c r="N121" s="530">
        <f>+SUMIFS('Dividendos Extranjeros - Ret'!$G$8:$G$867,'Dividendos Extranjeros - Ret'!$B$8:$B$867,'Rev JR'!$A121,'Dividendos Extranjeros - Ret'!$D$8:$D$867,"&gt;="&amp;'Rev JR'!N$1,'Dividendos Extranjeros - Ret'!$D$8:$D$867,"&lt;="&amp;EOMONTH('Rev JR'!N$1,0))</f>
        <v>0</v>
      </c>
      <c r="O121" s="530">
        <f t="shared" si="25"/>
        <v>0</v>
      </c>
    </row>
    <row r="122" spans="1:15">
      <c r="A122" s="664" t="str">
        <f t="shared" si="23"/>
        <v>B467XXX05</v>
      </c>
      <c r="B122" s="526" t="str">
        <f t="shared" si="24"/>
        <v xml:space="preserve">        Tax Withheld on Dividend  - B467XXX05</v>
      </c>
      <c r="C122" s="530">
        <f>+SUMIFS('Dividendos Extranjeros - Ret'!$G$8:$G$867,'Dividendos Extranjeros - Ret'!$B$8:$B$867,'Rev JR'!$A122,'Dividendos Extranjeros - Ret'!$D$8:$D$867,"&gt;="&amp;'Rev JR'!C$1,'Dividendos Extranjeros - Ret'!$D$8:$D$867,"&lt;="&amp;EOMONTH('Rev JR'!C$1,0))</f>
        <v>0</v>
      </c>
      <c r="D122" s="530">
        <f>+SUMIFS('Dividendos Extranjeros - Ret'!$G$8:$G$867,'Dividendos Extranjeros - Ret'!$B$8:$B$867,'Rev JR'!$A122,'Dividendos Extranjeros - Ret'!$D$8:$D$867,"&gt;="&amp;'Rev JR'!D$1,'Dividendos Extranjeros - Ret'!$D$8:$D$867,"&lt;="&amp;EOMONTH('Rev JR'!D$1,0))</f>
        <v>0</v>
      </c>
      <c r="E122" s="530">
        <f>+SUMIFS('Dividendos Extranjeros - Ret'!$G$8:$G$867,'Dividendos Extranjeros - Ret'!$B$8:$B$867,'Rev JR'!$A122,'Dividendos Extranjeros - Ret'!$D$8:$D$867,"&gt;="&amp;'Rev JR'!E$1,'Dividendos Extranjeros - Ret'!$D$8:$D$867,"&lt;="&amp;EOMONTH('Rev JR'!E$1,0))</f>
        <v>0</v>
      </c>
      <c r="F122" s="530">
        <f>+SUMIFS('Dividendos Extranjeros - Ret'!$G$8:$G$867,'Dividendos Extranjeros - Ret'!$B$8:$B$867,'Rev JR'!$A122,'Dividendos Extranjeros - Ret'!$D$8:$D$867,"&gt;="&amp;'Rev JR'!F$1,'Dividendos Extranjeros - Ret'!$D$8:$D$867,"&lt;="&amp;EOMONTH('Rev JR'!F$1,0))</f>
        <v>0</v>
      </c>
      <c r="G122" s="530">
        <f>+SUMIFS('Dividendos Extranjeros - Ret'!$G$8:$G$867,'Dividendos Extranjeros - Ret'!$B$8:$B$867,'Rev JR'!$A122,'Dividendos Extranjeros - Ret'!$D$8:$D$867,"&gt;="&amp;'Rev JR'!G$1,'Dividendos Extranjeros - Ret'!$D$8:$D$867,"&lt;="&amp;EOMONTH('Rev JR'!G$1,0))</f>
        <v>0</v>
      </c>
      <c r="H122" s="530">
        <f>+SUMIFS('Dividendos Extranjeros - Ret'!$G$8:$G$867,'Dividendos Extranjeros - Ret'!$B$8:$B$867,'Rev JR'!$A122,'Dividendos Extranjeros - Ret'!$D$8:$D$867,"&gt;="&amp;'Rev JR'!H$1,'Dividendos Extranjeros - Ret'!$D$8:$D$867,"&lt;="&amp;EOMONTH('Rev JR'!H$1,0))</f>
        <v>0</v>
      </c>
      <c r="I122" s="530">
        <f>+SUMIFS('Dividendos Extranjeros - Ret'!$G$8:$G$867,'Dividendos Extranjeros - Ret'!$B$8:$B$867,'Rev JR'!$A122,'Dividendos Extranjeros - Ret'!$D$8:$D$867,"&gt;="&amp;'Rev JR'!I$1,'Dividendos Extranjeros - Ret'!$D$8:$D$867,"&lt;="&amp;EOMONTH('Rev JR'!I$1,0))</f>
        <v>0</v>
      </c>
      <c r="J122" s="530">
        <f>+SUMIFS('Dividendos Extranjeros - Ret'!$G$8:$G$867,'Dividendos Extranjeros - Ret'!$B$8:$B$867,'Rev JR'!$A122,'Dividendos Extranjeros - Ret'!$D$8:$D$867,"&gt;="&amp;'Rev JR'!J$1,'Dividendos Extranjeros - Ret'!$D$8:$D$867,"&lt;="&amp;EOMONTH('Rev JR'!J$1,0))</f>
        <v>0</v>
      </c>
      <c r="K122" s="530">
        <f>+SUMIFS('Dividendos Extranjeros - Ret'!$G$8:$G$867,'Dividendos Extranjeros - Ret'!$B$8:$B$867,'Rev JR'!$A122,'Dividendos Extranjeros - Ret'!$D$8:$D$867,"&gt;="&amp;'Rev JR'!K$1,'Dividendos Extranjeros - Ret'!$D$8:$D$867,"&lt;="&amp;EOMONTH('Rev JR'!K$1,0))</f>
        <v>0</v>
      </c>
      <c r="L122" s="530">
        <f>+SUMIFS('Dividendos Extranjeros - Ret'!$G$8:$G$867,'Dividendos Extranjeros - Ret'!$B$8:$B$867,'Rev JR'!$A122,'Dividendos Extranjeros - Ret'!$D$8:$D$867,"&gt;="&amp;'Rev JR'!L$1,'Dividendos Extranjeros - Ret'!$D$8:$D$867,"&lt;="&amp;EOMONTH('Rev JR'!L$1,0))</f>
        <v>0</v>
      </c>
      <c r="M122" s="530">
        <f>+SUMIFS('Dividendos Extranjeros - Ret'!$G$8:$G$867,'Dividendos Extranjeros - Ret'!$B$8:$B$867,'Rev JR'!$A122,'Dividendos Extranjeros - Ret'!$D$8:$D$867,"&gt;="&amp;'Rev JR'!M$1,'Dividendos Extranjeros - Ret'!$D$8:$D$867,"&lt;="&amp;EOMONTH('Rev JR'!M$1,0))</f>
        <v>0</v>
      </c>
      <c r="N122" s="530">
        <f>+SUMIFS('Dividendos Extranjeros - Ret'!$G$8:$G$867,'Dividendos Extranjeros - Ret'!$B$8:$B$867,'Rev JR'!$A122,'Dividendos Extranjeros - Ret'!$D$8:$D$867,"&gt;="&amp;'Rev JR'!N$1,'Dividendos Extranjeros - Ret'!$D$8:$D$867,"&lt;="&amp;EOMONTH('Rev JR'!N$1,0))</f>
        <v>0</v>
      </c>
      <c r="O122" s="530">
        <f t="shared" si="25"/>
        <v>0</v>
      </c>
    </row>
    <row r="123" spans="1:15">
      <c r="A123" s="664" t="str">
        <f t="shared" si="23"/>
        <v>677-0XXX52-670</v>
      </c>
      <c r="B123" s="526" t="str">
        <f t="shared" si="24"/>
        <v xml:space="preserve">        Tax Withheld on Dividend  - 677-0XXX52-670</v>
      </c>
      <c r="C123" s="530">
        <f>+SUMIFS('Dividendos Extranjeros - Ret'!$G$8:$G$867,'Dividendos Extranjeros - Ret'!$B$8:$B$867,'Rev JR'!$A123,'Dividendos Extranjeros - Ret'!$D$8:$D$867,"&gt;="&amp;'Rev JR'!C$1,'Dividendos Extranjeros - Ret'!$D$8:$D$867,"&lt;="&amp;EOMONTH('Rev JR'!C$1,0))</f>
        <v>0</v>
      </c>
      <c r="D123" s="530">
        <f>+SUMIFS('Dividendos Extranjeros - Ret'!$G$8:$G$867,'Dividendos Extranjeros - Ret'!$B$8:$B$867,'Rev JR'!$A123,'Dividendos Extranjeros - Ret'!$D$8:$D$867,"&gt;="&amp;'Rev JR'!D$1,'Dividendos Extranjeros - Ret'!$D$8:$D$867,"&lt;="&amp;EOMONTH('Rev JR'!D$1,0))</f>
        <v>0</v>
      </c>
      <c r="E123" s="530">
        <f>+SUMIFS('Dividendos Extranjeros - Ret'!$G$8:$G$867,'Dividendos Extranjeros - Ret'!$B$8:$B$867,'Rev JR'!$A123,'Dividendos Extranjeros - Ret'!$D$8:$D$867,"&gt;="&amp;'Rev JR'!E$1,'Dividendos Extranjeros - Ret'!$D$8:$D$867,"&lt;="&amp;EOMONTH('Rev JR'!E$1,0))</f>
        <v>0</v>
      </c>
      <c r="F123" s="530">
        <f>+SUMIFS('Dividendos Extranjeros - Ret'!$G$8:$G$867,'Dividendos Extranjeros - Ret'!$B$8:$B$867,'Rev JR'!$A123,'Dividendos Extranjeros - Ret'!$D$8:$D$867,"&gt;="&amp;'Rev JR'!F$1,'Dividendos Extranjeros - Ret'!$D$8:$D$867,"&lt;="&amp;EOMONTH('Rev JR'!F$1,0))</f>
        <v>0</v>
      </c>
      <c r="G123" s="530">
        <f>+SUMIFS('Dividendos Extranjeros - Ret'!$G$8:$G$867,'Dividendos Extranjeros - Ret'!$B$8:$B$867,'Rev JR'!$A123,'Dividendos Extranjeros - Ret'!$D$8:$D$867,"&gt;="&amp;'Rev JR'!G$1,'Dividendos Extranjeros - Ret'!$D$8:$D$867,"&lt;="&amp;EOMONTH('Rev JR'!G$1,0))</f>
        <v>0</v>
      </c>
      <c r="H123" s="530">
        <f>+SUMIFS('Dividendos Extranjeros - Ret'!$G$8:$G$867,'Dividendos Extranjeros - Ret'!$B$8:$B$867,'Rev JR'!$A123,'Dividendos Extranjeros - Ret'!$D$8:$D$867,"&gt;="&amp;'Rev JR'!H$1,'Dividendos Extranjeros - Ret'!$D$8:$D$867,"&lt;="&amp;EOMONTH('Rev JR'!H$1,0))</f>
        <v>0</v>
      </c>
      <c r="I123" s="530">
        <f>+SUMIFS('Dividendos Extranjeros - Ret'!$G$8:$G$867,'Dividendos Extranjeros - Ret'!$B$8:$B$867,'Rev JR'!$A123,'Dividendos Extranjeros - Ret'!$D$8:$D$867,"&gt;="&amp;'Rev JR'!I$1,'Dividendos Extranjeros - Ret'!$D$8:$D$867,"&lt;="&amp;EOMONTH('Rev JR'!I$1,0))</f>
        <v>0</v>
      </c>
      <c r="J123" s="530">
        <f>+SUMIFS('Dividendos Extranjeros - Ret'!$G$8:$G$867,'Dividendos Extranjeros - Ret'!$B$8:$B$867,'Rev JR'!$A123,'Dividendos Extranjeros - Ret'!$D$8:$D$867,"&gt;="&amp;'Rev JR'!J$1,'Dividendos Extranjeros - Ret'!$D$8:$D$867,"&lt;="&amp;EOMONTH('Rev JR'!J$1,0))</f>
        <v>0</v>
      </c>
      <c r="K123" s="530">
        <f>+SUMIFS('Dividendos Extranjeros - Ret'!$G$8:$G$867,'Dividendos Extranjeros - Ret'!$B$8:$B$867,'Rev JR'!$A123,'Dividendos Extranjeros - Ret'!$D$8:$D$867,"&gt;="&amp;'Rev JR'!K$1,'Dividendos Extranjeros - Ret'!$D$8:$D$867,"&lt;="&amp;EOMONTH('Rev JR'!K$1,0))</f>
        <v>0</v>
      </c>
      <c r="L123" s="530">
        <f>+SUMIFS('Dividendos Extranjeros - Ret'!$G$8:$G$867,'Dividendos Extranjeros - Ret'!$B$8:$B$867,'Rev JR'!$A123,'Dividendos Extranjeros - Ret'!$D$8:$D$867,"&gt;="&amp;'Rev JR'!L$1,'Dividendos Extranjeros - Ret'!$D$8:$D$867,"&lt;="&amp;EOMONTH('Rev JR'!L$1,0))</f>
        <v>0</v>
      </c>
      <c r="M123" s="530">
        <f>+SUMIFS('Dividendos Extranjeros - Ret'!$G$8:$G$867,'Dividendos Extranjeros - Ret'!$B$8:$B$867,'Rev JR'!$A123,'Dividendos Extranjeros - Ret'!$D$8:$D$867,"&gt;="&amp;'Rev JR'!M$1,'Dividendos Extranjeros - Ret'!$D$8:$D$867,"&lt;="&amp;EOMONTH('Rev JR'!M$1,0))</f>
        <v>0</v>
      </c>
      <c r="N123" s="530">
        <f>+SUMIFS('Dividendos Extranjeros - Ret'!$G$8:$G$867,'Dividendos Extranjeros - Ret'!$B$8:$B$867,'Rev JR'!$A123,'Dividendos Extranjeros - Ret'!$D$8:$D$867,"&gt;="&amp;'Rev JR'!N$1,'Dividendos Extranjeros - Ret'!$D$8:$D$867,"&lt;="&amp;EOMONTH('Rev JR'!N$1,0))</f>
        <v>0</v>
      </c>
      <c r="O123" s="530">
        <f t="shared" si="25"/>
        <v>0</v>
      </c>
    </row>
    <row r="124" spans="1:15">
      <c r="A124" s="664" t="str">
        <f t="shared" si="23"/>
        <v>677-0XXX53-471</v>
      </c>
      <c r="B124" s="526" t="str">
        <f t="shared" si="24"/>
        <v xml:space="preserve">        Tax Withheld on Dividend  - 677-0XXX53-471</v>
      </c>
      <c r="C124" s="530">
        <f>+SUMIFS('Dividendos Extranjeros - Ret'!$G$8:$G$867,'Dividendos Extranjeros - Ret'!$B$8:$B$867,'Rev JR'!$A124,'Dividendos Extranjeros - Ret'!$D$8:$D$867,"&gt;="&amp;'Rev JR'!C$1,'Dividendos Extranjeros - Ret'!$D$8:$D$867,"&lt;="&amp;EOMONTH('Rev JR'!C$1,0))</f>
        <v>0</v>
      </c>
      <c r="D124" s="530">
        <f>+SUMIFS('Dividendos Extranjeros - Ret'!$G$8:$G$867,'Dividendos Extranjeros - Ret'!$B$8:$B$867,'Rev JR'!$A124,'Dividendos Extranjeros - Ret'!$D$8:$D$867,"&gt;="&amp;'Rev JR'!D$1,'Dividendos Extranjeros - Ret'!$D$8:$D$867,"&lt;="&amp;EOMONTH('Rev JR'!D$1,0))</f>
        <v>0</v>
      </c>
      <c r="E124" s="530">
        <f>+SUMIFS('Dividendos Extranjeros - Ret'!$G$8:$G$867,'Dividendos Extranjeros - Ret'!$B$8:$B$867,'Rev JR'!$A124,'Dividendos Extranjeros - Ret'!$D$8:$D$867,"&gt;="&amp;'Rev JR'!E$1,'Dividendos Extranjeros - Ret'!$D$8:$D$867,"&lt;="&amp;EOMONTH('Rev JR'!E$1,0))</f>
        <v>0</v>
      </c>
      <c r="F124" s="530">
        <f>+SUMIFS('Dividendos Extranjeros - Ret'!$G$8:$G$867,'Dividendos Extranjeros - Ret'!$B$8:$B$867,'Rev JR'!$A124,'Dividendos Extranjeros - Ret'!$D$8:$D$867,"&gt;="&amp;'Rev JR'!F$1,'Dividendos Extranjeros - Ret'!$D$8:$D$867,"&lt;="&amp;EOMONTH('Rev JR'!F$1,0))</f>
        <v>0</v>
      </c>
      <c r="G124" s="530">
        <f>+SUMIFS('Dividendos Extranjeros - Ret'!$G$8:$G$867,'Dividendos Extranjeros - Ret'!$B$8:$B$867,'Rev JR'!$A124,'Dividendos Extranjeros - Ret'!$D$8:$D$867,"&gt;="&amp;'Rev JR'!G$1,'Dividendos Extranjeros - Ret'!$D$8:$D$867,"&lt;="&amp;EOMONTH('Rev JR'!G$1,0))</f>
        <v>0</v>
      </c>
      <c r="H124" s="530">
        <f>+SUMIFS('Dividendos Extranjeros - Ret'!$G$8:$G$867,'Dividendos Extranjeros - Ret'!$B$8:$B$867,'Rev JR'!$A124,'Dividendos Extranjeros - Ret'!$D$8:$D$867,"&gt;="&amp;'Rev JR'!H$1,'Dividendos Extranjeros - Ret'!$D$8:$D$867,"&lt;="&amp;EOMONTH('Rev JR'!H$1,0))</f>
        <v>0</v>
      </c>
      <c r="I124" s="530">
        <f>+SUMIFS('Dividendos Extranjeros - Ret'!$G$8:$G$867,'Dividendos Extranjeros - Ret'!$B$8:$B$867,'Rev JR'!$A124,'Dividendos Extranjeros - Ret'!$D$8:$D$867,"&gt;="&amp;'Rev JR'!I$1,'Dividendos Extranjeros - Ret'!$D$8:$D$867,"&lt;="&amp;EOMONTH('Rev JR'!I$1,0))</f>
        <v>0</v>
      </c>
      <c r="J124" s="530">
        <f>+SUMIFS('Dividendos Extranjeros - Ret'!$G$8:$G$867,'Dividendos Extranjeros - Ret'!$B$8:$B$867,'Rev JR'!$A124,'Dividendos Extranjeros - Ret'!$D$8:$D$867,"&gt;="&amp;'Rev JR'!J$1,'Dividendos Extranjeros - Ret'!$D$8:$D$867,"&lt;="&amp;EOMONTH('Rev JR'!J$1,0))</f>
        <v>0</v>
      </c>
      <c r="K124" s="530">
        <f>+SUMIFS('Dividendos Extranjeros - Ret'!$G$8:$G$867,'Dividendos Extranjeros - Ret'!$B$8:$B$867,'Rev JR'!$A124,'Dividendos Extranjeros - Ret'!$D$8:$D$867,"&gt;="&amp;'Rev JR'!K$1,'Dividendos Extranjeros - Ret'!$D$8:$D$867,"&lt;="&amp;EOMONTH('Rev JR'!K$1,0))</f>
        <v>0</v>
      </c>
      <c r="L124" s="530">
        <f>+SUMIFS('Dividendos Extranjeros - Ret'!$G$8:$G$867,'Dividendos Extranjeros - Ret'!$B$8:$B$867,'Rev JR'!$A124,'Dividendos Extranjeros - Ret'!$D$8:$D$867,"&gt;="&amp;'Rev JR'!L$1,'Dividendos Extranjeros - Ret'!$D$8:$D$867,"&lt;="&amp;EOMONTH('Rev JR'!L$1,0))</f>
        <v>0</v>
      </c>
      <c r="M124" s="530">
        <f>+SUMIFS('Dividendos Extranjeros - Ret'!$G$8:$G$867,'Dividendos Extranjeros - Ret'!$B$8:$B$867,'Rev JR'!$A124,'Dividendos Extranjeros - Ret'!$D$8:$D$867,"&gt;="&amp;'Rev JR'!M$1,'Dividendos Extranjeros - Ret'!$D$8:$D$867,"&lt;="&amp;EOMONTH('Rev JR'!M$1,0))</f>
        <v>0</v>
      </c>
      <c r="N124" s="530">
        <f>+SUMIFS('Dividendos Extranjeros - Ret'!$G$8:$G$867,'Dividendos Extranjeros - Ret'!$B$8:$B$867,'Rev JR'!$A124,'Dividendos Extranjeros - Ret'!$D$8:$D$867,"&gt;="&amp;'Rev JR'!N$1,'Dividendos Extranjeros - Ret'!$D$8:$D$867,"&lt;="&amp;EOMONTH('Rev JR'!N$1,0))</f>
        <v>0</v>
      </c>
      <c r="O124" s="530">
        <f t="shared" si="25"/>
        <v>0</v>
      </c>
    </row>
    <row r="125" spans="1:15">
      <c r="A125" s="664" t="str">
        <f t="shared" si="23"/>
        <v>4H 0XXX0 RB</v>
      </c>
      <c r="B125" s="526" t="str">
        <f t="shared" si="24"/>
        <v xml:space="preserve">        Tax Withheld on Dividend  - 4H 0XXX0 RB</v>
      </c>
      <c r="C125" s="530">
        <f>+SUMIFS('Dividendos Extranjeros - Ret'!$G$8:$G$867,'Dividendos Extranjeros - Ret'!$B$8:$B$867,'Rev JR'!$A125,'Dividendos Extranjeros - Ret'!$D$8:$D$867,"&gt;="&amp;'Rev JR'!C$1,'Dividendos Extranjeros - Ret'!$D$8:$D$867,"&lt;="&amp;EOMONTH('Rev JR'!C$1,0))</f>
        <v>0</v>
      </c>
      <c r="D125" s="530">
        <f>+SUMIFS('Dividendos Extranjeros - Ret'!$G$8:$G$867,'Dividendos Extranjeros - Ret'!$B$8:$B$867,'Rev JR'!$A125,'Dividendos Extranjeros - Ret'!$D$8:$D$867,"&gt;="&amp;'Rev JR'!D$1,'Dividendos Extranjeros - Ret'!$D$8:$D$867,"&lt;="&amp;EOMONTH('Rev JR'!D$1,0))</f>
        <v>0</v>
      </c>
      <c r="E125" s="530">
        <f>+SUMIFS('Dividendos Extranjeros - Ret'!$G$8:$G$867,'Dividendos Extranjeros - Ret'!$B$8:$B$867,'Rev JR'!$A125,'Dividendos Extranjeros - Ret'!$D$8:$D$867,"&gt;="&amp;'Rev JR'!E$1,'Dividendos Extranjeros - Ret'!$D$8:$D$867,"&lt;="&amp;EOMONTH('Rev JR'!E$1,0))</f>
        <v>0</v>
      </c>
      <c r="F125" s="530">
        <f>+SUMIFS('Dividendos Extranjeros - Ret'!$G$8:$G$867,'Dividendos Extranjeros - Ret'!$B$8:$B$867,'Rev JR'!$A125,'Dividendos Extranjeros - Ret'!$D$8:$D$867,"&gt;="&amp;'Rev JR'!F$1,'Dividendos Extranjeros - Ret'!$D$8:$D$867,"&lt;="&amp;EOMONTH('Rev JR'!F$1,0))</f>
        <v>0</v>
      </c>
      <c r="G125" s="530">
        <f>+SUMIFS('Dividendos Extranjeros - Ret'!$G$8:$G$867,'Dividendos Extranjeros - Ret'!$B$8:$B$867,'Rev JR'!$A125,'Dividendos Extranjeros - Ret'!$D$8:$D$867,"&gt;="&amp;'Rev JR'!G$1,'Dividendos Extranjeros - Ret'!$D$8:$D$867,"&lt;="&amp;EOMONTH('Rev JR'!G$1,0))</f>
        <v>0</v>
      </c>
      <c r="H125" s="530">
        <f>+SUMIFS('Dividendos Extranjeros - Ret'!$G$8:$G$867,'Dividendos Extranjeros - Ret'!$B$8:$B$867,'Rev JR'!$A125,'Dividendos Extranjeros - Ret'!$D$8:$D$867,"&gt;="&amp;'Rev JR'!H$1,'Dividendos Extranjeros - Ret'!$D$8:$D$867,"&lt;="&amp;EOMONTH('Rev JR'!H$1,0))</f>
        <v>0</v>
      </c>
      <c r="I125" s="530">
        <f>+SUMIFS('Dividendos Extranjeros - Ret'!$G$8:$G$867,'Dividendos Extranjeros - Ret'!$B$8:$B$867,'Rev JR'!$A125,'Dividendos Extranjeros - Ret'!$D$8:$D$867,"&gt;="&amp;'Rev JR'!I$1,'Dividendos Extranjeros - Ret'!$D$8:$D$867,"&lt;="&amp;EOMONTH('Rev JR'!I$1,0))</f>
        <v>0</v>
      </c>
      <c r="J125" s="530">
        <f>+SUMIFS('Dividendos Extranjeros - Ret'!$G$8:$G$867,'Dividendos Extranjeros - Ret'!$B$8:$B$867,'Rev JR'!$A125,'Dividendos Extranjeros - Ret'!$D$8:$D$867,"&gt;="&amp;'Rev JR'!J$1,'Dividendos Extranjeros - Ret'!$D$8:$D$867,"&lt;="&amp;EOMONTH('Rev JR'!J$1,0))</f>
        <v>0</v>
      </c>
      <c r="K125" s="530">
        <f>+SUMIFS('Dividendos Extranjeros - Ret'!$G$8:$G$867,'Dividendos Extranjeros - Ret'!$B$8:$B$867,'Rev JR'!$A125,'Dividendos Extranjeros - Ret'!$D$8:$D$867,"&gt;="&amp;'Rev JR'!K$1,'Dividendos Extranjeros - Ret'!$D$8:$D$867,"&lt;="&amp;EOMONTH('Rev JR'!K$1,0))</f>
        <v>7546.0600000000013</v>
      </c>
      <c r="L125" s="530">
        <f>+SUMIFS('Dividendos Extranjeros - Ret'!$G$8:$G$867,'Dividendos Extranjeros - Ret'!$B$8:$B$867,'Rev JR'!$A125,'Dividendos Extranjeros - Ret'!$D$8:$D$867,"&gt;="&amp;'Rev JR'!L$1,'Dividendos Extranjeros - Ret'!$D$8:$D$867,"&lt;="&amp;EOMONTH('Rev JR'!L$1,0))</f>
        <v>0</v>
      </c>
      <c r="M125" s="530">
        <f>+SUMIFS('Dividendos Extranjeros - Ret'!$G$8:$G$867,'Dividendos Extranjeros - Ret'!$B$8:$B$867,'Rev JR'!$A125,'Dividendos Extranjeros - Ret'!$D$8:$D$867,"&gt;="&amp;'Rev JR'!M$1,'Dividendos Extranjeros - Ret'!$D$8:$D$867,"&lt;="&amp;EOMONTH('Rev JR'!M$1,0))</f>
        <v>0</v>
      </c>
      <c r="N125" s="530">
        <f>+SUMIFS('Dividendos Extranjeros - Ret'!$G$8:$G$867,'Dividendos Extranjeros - Ret'!$B$8:$B$867,'Rev JR'!$A125,'Dividendos Extranjeros - Ret'!$D$8:$D$867,"&gt;="&amp;'Rev JR'!N$1,'Dividendos Extranjeros - Ret'!$D$8:$D$867,"&lt;="&amp;EOMONTH('Rev JR'!N$1,0))</f>
        <v>0</v>
      </c>
      <c r="O125" s="530">
        <f t="shared" si="25"/>
        <v>7546.0600000000013</v>
      </c>
    </row>
    <row r="126" spans="1:15">
      <c r="A126" s="664" t="str">
        <f t="shared" si="23"/>
        <v>H</v>
      </c>
      <c r="B126" s="526" t="str">
        <f t="shared" si="24"/>
        <v xml:space="preserve">        Tax Withheld on Dividend  - H</v>
      </c>
      <c r="C126" s="530">
        <f>+SUMIFS('Dividendos Extranjeros - Ret'!$G$8:$G$867,'Dividendos Extranjeros - Ret'!$B$8:$B$867,'Rev JR'!$A126,'Dividendos Extranjeros - Ret'!$D$8:$D$867,"&gt;="&amp;'Rev JR'!C$1,'Dividendos Extranjeros - Ret'!$D$8:$D$867,"&lt;="&amp;EOMONTH('Rev JR'!C$1,0))</f>
        <v>0</v>
      </c>
      <c r="D126" s="530">
        <f>+SUMIFS('Dividendos Extranjeros - Ret'!$G$8:$G$867,'Dividendos Extranjeros - Ret'!$B$8:$B$867,'Rev JR'!$A126,'Dividendos Extranjeros - Ret'!$D$8:$D$867,"&gt;="&amp;'Rev JR'!D$1,'Dividendos Extranjeros - Ret'!$D$8:$D$867,"&lt;="&amp;EOMONTH('Rev JR'!D$1,0))</f>
        <v>0</v>
      </c>
      <c r="E126" s="530">
        <f>+SUMIFS('Dividendos Extranjeros - Ret'!$G$8:$G$867,'Dividendos Extranjeros - Ret'!$B$8:$B$867,'Rev JR'!$A126,'Dividendos Extranjeros - Ret'!$D$8:$D$867,"&gt;="&amp;'Rev JR'!E$1,'Dividendos Extranjeros - Ret'!$D$8:$D$867,"&lt;="&amp;EOMONTH('Rev JR'!E$1,0))</f>
        <v>0</v>
      </c>
      <c r="F126" s="530">
        <f>+SUMIFS('Dividendos Extranjeros - Ret'!$G$8:$G$867,'Dividendos Extranjeros - Ret'!$B$8:$B$867,'Rev JR'!$A126,'Dividendos Extranjeros - Ret'!$D$8:$D$867,"&gt;="&amp;'Rev JR'!F$1,'Dividendos Extranjeros - Ret'!$D$8:$D$867,"&lt;="&amp;EOMONTH('Rev JR'!F$1,0))</f>
        <v>0</v>
      </c>
      <c r="G126" s="530">
        <f>+SUMIFS('Dividendos Extranjeros - Ret'!$G$8:$G$867,'Dividendos Extranjeros - Ret'!$B$8:$B$867,'Rev JR'!$A126,'Dividendos Extranjeros - Ret'!$D$8:$D$867,"&gt;="&amp;'Rev JR'!G$1,'Dividendos Extranjeros - Ret'!$D$8:$D$867,"&lt;="&amp;EOMONTH('Rev JR'!G$1,0))</f>
        <v>0</v>
      </c>
      <c r="H126" s="530">
        <f>+SUMIFS('Dividendos Extranjeros - Ret'!$G$8:$G$867,'Dividendos Extranjeros - Ret'!$B$8:$B$867,'Rev JR'!$A126,'Dividendos Extranjeros - Ret'!$D$8:$D$867,"&gt;="&amp;'Rev JR'!H$1,'Dividendos Extranjeros - Ret'!$D$8:$D$867,"&lt;="&amp;EOMONTH('Rev JR'!H$1,0))</f>
        <v>0</v>
      </c>
      <c r="I126" s="530">
        <f>+SUMIFS('Dividendos Extranjeros - Ret'!$G$8:$G$867,'Dividendos Extranjeros - Ret'!$B$8:$B$867,'Rev JR'!$A126,'Dividendos Extranjeros - Ret'!$D$8:$D$867,"&gt;="&amp;'Rev JR'!I$1,'Dividendos Extranjeros - Ret'!$D$8:$D$867,"&lt;="&amp;EOMONTH('Rev JR'!I$1,0))</f>
        <v>0</v>
      </c>
      <c r="J126" s="530">
        <f>+SUMIFS('Dividendos Extranjeros - Ret'!$G$8:$G$867,'Dividendos Extranjeros - Ret'!$B$8:$B$867,'Rev JR'!$A126,'Dividendos Extranjeros - Ret'!$D$8:$D$867,"&gt;="&amp;'Rev JR'!J$1,'Dividendos Extranjeros - Ret'!$D$8:$D$867,"&lt;="&amp;EOMONTH('Rev JR'!J$1,0))</f>
        <v>0</v>
      </c>
      <c r="K126" s="530">
        <f>+SUMIFS('Dividendos Extranjeros - Ret'!$G$8:$G$867,'Dividendos Extranjeros - Ret'!$B$8:$B$867,'Rev JR'!$A126,'Dividendos Extranjeros - Ret'!$D$8:$D$867,"&gt;="&amp;'Rev JR'!K$1,'Dividendos Extranjeros - Ret'!$D$8:$D$867,"&lt;="&amp;EOMONTH('Rev JR'!K$1,0))</f>
        <v>0</v>
      </c>
      <c r="L126" s="530">
        <f>+SUMIFS('Dividendos Extranjeros - Ret'!$G$8:$G$867,'Dividendos Extranjeros - Ret'!$B$8:$B$867,'Rev JR'!$A126,'Dividendos Extranjeros - Ret'!$D$8:$D$867,"&gt;="&amp;'Rev JR'!L$1,'Dividendos Extranjeros - Ret'!$D$8:$D$867,"&lt;="&amp;EOMONTH('Rev JR'!L$1,0))</f>
        <v>0</v>
      </c>
      <c r="M126" s="530">
        <f>+SUMIFS('Dividendos Extranjeros - Ret'!$G$8:$G$867,'Dividendos Extranjeros - Ret'!$B$8:$B$867,'Rev JR'!$A126,'Dividendos Extranjeros - Ret'!$D$8:$D$867,"&gt;="&amp;'Rev JR'!M$1,'Dividendos Extranjeros - Ret'!$D$8:$D$867,"&lt;="&amp;EOMONTH('Rev JR'!M$1,0))</f>
        <v>0</v>
      </c>
      <c r="N126" s="530">
        <f>+SUMIFS('Dividendos Extranjeros - Ret'!$G$8:$G$867,'Dividendos Extranjeros - Ret'!$B$8:$B$867,'Rev JR'!$A126,'Dividendos Extranjeros - Ret'!$D$8:$D$867,"&gt;="&amp;'Rev JR'!N$1,'Dividendos Extranjeros - Ret'!$D$8:$D$867,"&lt;="&amp;EOMONTH('Rev JR'!N$1,0))</f>
        <v>0</v>
      </c>
      <c r="O126" s="530">
        <f t="shared" si="25"/>
        <v>0</v>
      </c>
    </row>
    <row r="127" spans="1:15">
      <c r="A127" s="664" t="str">
        <f t="shared" si="23"/>
        <v>I</v>
      </c>
      <c r="B127" s="526" t="str">
        <f t="shared" si="24"/>
        <v xml:space="preserve">        Tax Withheld on Dividend  - I</v>
      </c>
      <c r="C127" s="530">
        <f>+SUMIFS('Dividendos Extranjeros - Ret'!$G$8:$G$867,'Dividendos Extranjeros - Ret'!$B$8:$B$867,'Rev JR'!$A127,'Dividendos Extranjeros - Ret'!$D$8:$D$867,"&gt;="&amp;'Rev JR'!C$1,'Dividendos Extranjeros - Ret'!$D$8:$D$867,"&lt;="&amp;EOMONTH('Rev JR'!C$1,0))</f>
        <v>0</v>
      </c>
      <c r="D127" s="530">
        <f>+SUMIFS('Dividendos Extranjeros - Ret'!$G$8:$G$867,'Dividendos Extranjeros - Ret'!$B$8:$B$867,'Rev JR'!$A127,'Dividendos Extranjeros - Ret'!$D$8:$D$867,"&gt;="&amp;'Rev JR'!D$1,'Dividendos Extranjeros - Ret'!$D$8:$D$867,"&lt;="&amp;EOMONTH('Rev JR'!D$1,0))</f>
        <v>0</v>
      </c>
      <c r="E127" s="530">
        <f>+SUMIFS('Dividendos Extranjeros - Ret'!$G$8:$G$867,'Dividendos Extranjeros - Ret'!$B$8:$B$867,'Rev JR'!$A127,'Dividendos Extranjeros - Ret'!$D$8:$D$867,"&gt;="&amp;'Rev JR'!E$1,'Dividendos Extranjeros - Ret'!$D$8:$D$867,"&lt;="&amp;EOMONTH('Rev JR'!E$1,0))</f>
        <v>0</v>
      </c>
      <c r="F127" s="530">
        <f>+SUMIFS('Dividendos Extranjeros - Ret'!$G$8:$G$867,'Dividendos Extranjeros - Ret'!$B$8:$B$867,'Rev JR'!$A127,'Dividendos Extranjeros - Ret'!$D$8:$D$867,"&gt;="&amp;'Rev JR'!F$1,'Dividendos Extranjeros - Ret'!$D$8:$D$867,"&lt;="&amp;EOMONTH('Rev JR'!F$1,0))</f>
        <v>0</v>
      </c>
      <c r="G127" s="530">
        <f>+SUMIFS('Dividendos Extranjeros - Ret'!$G$8:$G$867,'Dividendos Extranjeros - Ret'!$B$8:$B$867,'Rev JR'!$A127,'Dividendos Extranjeros - Ret'!$D$8:$D$867,"&gt;="&amp;'Rev JR'!G$1,'Dividendos Extranjeros - Ret'!$D$8:$D$867,"&lt;="&amp;EOMONTH('Rev JR'!G$1,0))</f>
        <v>0</v>
      </c>
      <c r="H127" s="530">
        <f>+SUMIFS('Dividendos Extranjeros - Ret'!$G$8:$G$867,'Dividendos Extranjeros - Ret'!$B$8:$B$867,'Rev JR'!$A127,'Dividendos Extranjeros - Ret'!$D$8:$D$867,"&gt;="&amp;'Rev JR'!H$1,'Dividendos Extranjeros - Ret'!$D$8:$D$867,"&lt;="&amp;EOMONTH('Rev JR'!H$1,0))</f>
        <v>0</v>
      </c>
      <c r="I127" s="530">
        <f>+SUMIFS('Dividendos Extranjeros - Ret'!$G$8:$G$867,'Dividendos Extranjeros - Ret'!$B$8:$B$867,'Rev JR'!$A127,'Dividendos Extranjeros - Ret'!$D$8:$D$867,"&gt;="&amp;'Rev JR'!I$1,'Dividendos Extranjeros - Ret'!$D$8:$D$867,"&lt;="&amp;EOMONTH('Rev JR'!I$1,0))</f>
        <v>0</v>
      </c>
      <c r="J127" s="530">
        <f>+SUMIFS('Dividendos Extranjeros - Ret'!$G$8:$G$867,'Dividendos Extranjeros - Ret'!$B$8:$B$867,'Rev JR'!$A127,'Dividendos Extranjeros - Ret'!$D$8:$D$867,"&gt;="&amp;'Rev JR'!J$1,'Dividendos Extranjeros - Ret'!$D$8:$D$867,"&lt;="&amp;EOMONTH('Rev JR'!J$1,0))</f>
        <v>0</v>
      </c>
      <c r="K127" s="530">
        <f>+SUMIFS('Dividendos Extranjeros - Ret'!$G$8:$G$867,'Dividendos Extranjeros - Ret'!$B$8:$B$867,'Rev JR'!$A127,'Dividendos Extranjeros - Ret'!$D$8:$D$867,"&gt;="&amp;'Rev JR'!K$1,'Dividendos Extranjeros - Ret'!$D$8:$D$867,"&lt;="&amp;EOMONTH('Rev JR'!K$1,0))</f>
        <v>0</v>
      </c>
      <c r="L127" s="530">
        <f>+SUMIFS('Dividendos Extranjeros - Ret'!$G$8:$G$867,'Dividendos Extranjeros - Ret'!$B$8:$B$867,'Rev JR'!$A127,'Dividendos Extranjeros - Ret'!$D$8:$D$867,"&gt;="&amp;'Rev JR'!L$1,'Dividendos Extranjeros - Ret'!$D$8:$D$867,"&lt;="&amp;EOMONTH('Rev JR'!L$1,0))</f>
        <v>0</v>
      </c>
      <c r="M127" s="530">
        <f>+SUMIFS('Dividendos Extranjeros - Ret'!$G$8:$G$867,'Dividendos Extranjeros - Ret'!$B$8:$B$867,'Rev JR'!$A127,'Dividendos Extranjeros - Ret'!$D$8:$D$867,"&gt;="&amp;'Rev JR'!M$1,'Dividendos Extranjeros - Ret'!$D$8:$D$867,"&lt;="&amp;EOMONTH('Rev JR'!M$1,0))</f>
        <v>0</v>
      </c>
      <c r="N127" s="530">
        <f>+SUMIFS('Dividendos Extranjeros - Ret'!$G$8:$G$867,'Dividendos Extranjeros - Ret'!$B$8:$B$867,'Rev JR'!$A127,'Dividendos Extranjeros - Ret'!$D$8:$D$867,"&gt;="&amp;'Rev JR'!N$1,'Dividendos Extranjeros - Ret'!$D$8:$D$867,"&lt;="&amp;EOMONTH('Rev JR'!N$1,0))</f>
        <v>0</v>
      </c>
      <c r="O127" s="530">
        <f t="shared" si="25"/>
        <v>0</v>
      </c>
    </row>
    <row r="128" spans="1:15">
      <c r="A128" s="664" t="str">
        <f t="shared" si="23"/>
        <v>J</v>
      </c>
      <c r="B128" s="526" t="str">
        <f t="shared" si="24"/>
        <v xml:space="preserve">        Tax Withheld on Dividend  - J</v>
      </c>
      <c r="C128" s="530">
        <f>+SUMIFS('Dividendos Extranjeros - Ret'!$G$8:$G$867,'Dividendos Extranjeros - Ret'!$B$8:$B$867,'Rev JR'!$A128,'Dividendos Extranjeros - Ret'!$D$8:$D$867,"&gt;="&amp;'Rev JR'!C$1,'Dividendos Extranjeros - Ret'!$D$8:$D$867,"&lt;="&amp;EOMONTH('Rev JR'!C$1,0))</f>
        <v>0</v>
      </c>
      <c r="D128" s="530">
        <f>+SUMIFS('Dividendos Extranjeros - Ret'!$G$8:$G$867,'Dividendos Extranjeros - Ret'!$B$8:$B$867,'Rev JR'!$A128,'Dividendos Extranjeros - Ret'!$D$8:$D$867,"&gt;="&amp;'Rev JR'!D$1,'Dividendos Extranjeros - Ret'!$D$8:$D$867,"&lt;="&amp;EOMONTH('Rev JR'!D$1,0))</f>
        <v>0</v>
      </c>
      <c r="E128" s="530">
        <f>+SUMIFS('Dividendos Extranjeros - Ret'!$G$8:$G$867,'Dividendos Extranjeros - Ret'!$B$8:$B$867,'Rev JR'!$A128,'Dividendos Extranjeros - Ret'!$D$8:$D$867,"&gt;="&amp;'Rev JR'!E$1,'Dividendos Extranjeros - Ret'!$D$8:$D$867,"&lt;="&amp;EOMONTH('Rev JR'!E$1,0))</f>
        <v>0</v>
      </c>
      <c r="F128" s="530">
        <f>+SUMIFS('Dividendos Extranjeros - Ret'!$G$8:$G$867,'Dividendos Extranjeros - Ret'!$B$8:$B$867,'Rev JR'!$A128,'Dividendos Extranjeros - Ret'!$D$8:$D$867,"&gt;="&amp;'Rev JR'!F$1,'Dividendos Extranjeros - Ret'!$D$8:$D$867,"&lt;="&amp;EOMONTH('Rev JR'!F$1,0))</f>
        <v>0</v>
      </c>
      <c r="G128" s="530">
        <f>+SUMIFS('Dividendos Extranjeros - Ret'!$G$8:$G$867,'Dividendos Extranjeros - Ret'!$B$8:$B$867,'Rev JR'!$A128,'Dividendos Extranjeros - Ret'!$D$8:$D$867,"&gt;="&amp;'Rev JR'!G$1,'Dividendos Extranjeros - Ret'!$D$8:$D$867,"&lt;="&amp;EOMONTH('Rev JR'!G$1,0))</f>
        <v>0</v>
      </c>
      <c r="H128" s="530">
        <f>+SUMIFS('Dividendos Extranjeros - Ret'!$G$8:$G$867,'Dividendos Extranjeros - Ret'!$B$8:$B$867,'Rev JR'!$A128,'Dividendos Extranjeros - Ret'!$D$8:$D$867,"&gt;="&amp;'Rev JR'!H$1,'Dividendos Extranjeros - Ret'!$D$8:$D$867,"&lt;="&amp;EOMONTH('Rev JR'!H$1,0))</f>
        <v>0</v>
      </c>
      <c r="I128" s="530">
        <f>+SUMIFS('Dividendos Extranjeros - Ret'!$G$8:$G$867,'Dividendos Extranjeros - Ret'!$B$8:$B$867,'Rev JR'!$A128,'Dividendos Extranjeros - Ret'!$D$8:$D$867,"&gt;="&amp;'Rev JR'!I$1,'Dividendos Extranjeros - Ret'!$D$8:$D$867,"&lt;="&amp;EOMONTH('Rev JR'!I$1,0))</f>
        <v>0</v>
      </c>
      <c r="J128" s="530">
        <f>+SUMIFS('Dividendos Extranjeros - Ret'!$G$8:$G$867,'Dividendos Extranjeros - Ret'!$B$8:$B$867,'Rev JR'!$A128,'Dividendos Extranjeros - Ret'!$D$8:$D$867,"&gt;="&amp;'Rev JR'!J$1,'Dividendos Extranjeros - Ret'!$D$8:$D$867,"&lt;="&amp;EOMONTH('Rev JR'!J$1,0))</f>
        <v>0</v>
      </c>
      <c r="K128" s="530">
        <f>+SUMIFS('Dividendos Extranjeros - Ret'!$G$8:$G$867,'Dividendos Extranjeros - Ret'!$B$8:$B$867,'Rev JR'!$A128,'Dividendos Extranjeros - Ret'!$D$8:$D$867,"&gt;="&amp;'Rev JR'!K$1,'Dividendos Extranjeros - Ret'!$D$8:$D$867,"&lt;="&amp;EOMONTH('Rev JR'!K$1,0))</f>
        <v>0</v>
      </c>
      <c r="L128" s="530">
        <f>+SUMIFS('Dividendos Extranjeros - Ret'!$G$8:$G$867,'Dividendos Extranjeros - Ret'!$B$8:$B$867,'Rev JR'!$A128,'Dividendos Extranjeros - Ret'!$D$8:$D$867,"&gt;="&amp;'Rev JR'!L$1,'Dividendos Extranjeros - Ret'!$D$8:$D$867,"&lt;="&amp;EOMONTH('Rev JR'!L$1,0))</f>
        <v>0</v>
      </c>
      <c r="M128" s="530">
        <f>+SUMIFS('Dividendos Extranjeros - Ret'!$G$8:$G$867,'Dividendos Extranjeros - Ret'!$B$8:$B$867,'Rev JR'!$A128,'Dividendos Extranjeros - Ret'!$D$8:$D$867,"&gt;="&amp;'Rev JR'!M$1,'Dividendos Extranjeros - Ret'!$D$8:$D$867,"&lt;="&amp;EOMONTH('Rev JR'!M$1,0))</f>
        <v>0</v>
      </c>
      <c r="N128" s="530">
        <f>+SUMIFS('Dividendos Extranjeros - Ret'!$G$8:$G$867,'Dividendos Extranjeros - Ret'!$B$8:$B$867,'Rev JR'!$A128,'Dividendos Extranjeros - Ret'!$D$8:$D$867,"&gt;="&amp;'Rev JR'!N$1,'Dividendos Extranjeros - Ret'!$D$8:$D$867,"&lt;="&amp;EOMONTH('Rev JR'!N$1,0))</f>
        <v>0</v>
      </c>
      <c r="O128" s="530">
        <f t="shared" si="25"/>
        <v>0</v>
      </c>
    </row>
    <row r="129" spans="1:15">
      <c r="A129" s="664" t="str">
        <f t="shared" si="23"/>
        <v>K</v>
      </c>
      <c r="B129" s="526" t="str">
        <f t="shared" si="24"/>
        <v xml:space="preserve">        Tax Withheld on Dividend  - K</v>
      </c>
      <c r="C129" s="530">
        <f>+SUMIFS('Dividendos Extranjeros - Ret'!$G$8:$G$867,'Dividendos Extranjeros - Ret'!$B$8:$B$867,'Rev JR'!$A129,'Dividendos Extranjeros - Ret'!$D$8:$D$867,"&gt;="&amp;'Rev JR'!C$1,'Dividendos Extranjeros - Ret'!$D$8:$D$867,"&lt;="&amp;EOMONTH('Rev JR'!C$1,0))</f>
        <v>0</v>
      </c>
      <c r="D129" s="530">
        <f>+SUMIFS('Dividendos Extranjeros - Ret'!$G$8:$G$867,'Dividendos Extranjeros - Ret'!$B$8:$B$867,'Rev JR'!$A129,'Dividendos Extranjeros - Ret'!$D$8:$D$867,"&gt;="&amp;'Rev JR'!D$1,'Dividendos Extranjeros - Ret'!$D$8:$D$867,"&lt;="&amp;EOMONTH('Rev JR'!D$1,0))</f>
        <v>0</v>
      </c>
      <c r="E129" s="530">
        <f>+SUMIFS('Dividendos Extranjeros - Ret'!$G$8:$G$867,'Dividendos Extranjeros - Ret'!$B$8:$B$867,'Rev JR'!$A129,'Dividendos Extranjeros - Ret'!$D$8:$D$867,"&gt;="&amp;'Rev JR'!E$1,'Dividendos Extranjeros - Ret'!$D$8:$D$867,"&lt;="&amp;EOMONTH('Rev JR'!E$1,0))</f>
        <v>0</v>
      </c>
      <c r="F129" s="530">
        <f>+SUMIFS('Dividendos Extranjeros - Ret'!$G$8:$G$867,'Dividendos Extranjeros - Ret'!$B$8:$B$867,'Rev JR'!$A129,'Dividendos Extranjeros - Ret'!$D$8:$D$867,"&gt;="&amp;'Rev JR'!F$1,'Dividendos Extranjeros - Ret'!$D$8:$D$867,"&lt;="&amp;EOMONTH('Rev JR'!F$1,0))</f>
        <v>0</v>
      </c>
      <c r="G129" s="530">
        <f>+SUMIFS('Dividendos Extranjeros - Ret'!$G$8:$G$867,'Dividendos Extranjeros - Ret'!$B$8:$B$867,'Rev JR'!$A129,'Dividendos Extranjeros - Ret'!$D$8:$D$867,"&gt;="&amp;'Rev JR'!G$1,'Dividendos Extranjeros - Ret'!$D$8:$D$867,"&lt;="&amp;EOMONTH('Rev JR'!G$1,0))</f>
        <v>0</v>
      </c>
      <c r="H129" s="530">
        <f>+SUMIFS('Dividendos Extranjeros - Ret'!$G$8:$G$867,'Dividendos Extranjeros - Ret'!$B$8:$B$867,'Rev JR'!$A129,'Dividendos Extranjeros - Ret'!$D$8:$D$867,"&gt;="&amp;'Rev JR'!H$1,'Dividendos Extranjeros - Ret'!$D$8:$D$867,"&lt;="&amp;EOMONTH('Rev JR'!H$1,0))</f>
        <v>0</v>
      </c>
      <c r="I129" s="530">
        <f>+SUMIFS('Dividendos Extranjeros - Ret'!$G$8:$G$867,'Dividendos Extranjeros - Ret'!$B$8:$B$867,'Rev JR'!$A129,'Dividendos Extranjeros - Ret'!$D$8:$D$867,"&gt;="&amp;'Rev JR'!I$1,'Dividendos Extranjeros - Ret'!$D$8:$D$867,"&lt;="&amp;EOMONTH('Rev JR'!I$1,0))</f>
        <v>0</v>
      </c>
      <c r="J129" s="530">
        <f>+SUMIFS('Dividendos Extranjeros - Ret'!$G$8:$G$867,'Dividendos Extranjeros - Ret'!$B$8:$B$867,'Rev JR'!$A129,'Dividendos Extranjeros - Ret'!$D$8:$D$867,"&gt;="&amp;'Rev JR'!J$1,'Dividendos Extranjeros - Ret'!$D$8:$D$867,"&lt;="&amp;EOMONTH('Rev JR'!J$1,0))</f>
        <v>0</v>
      </c>
      <c r="K129" s="530">
        <f>+SUMIFS('Dividendos Extranjeros - Ret'!$G$8:$G$867,'Dividendos Extranjeros - Ret'!$B$8:$B$867,'Rev JR'!$A129,'Dividendos Extranjeros - Ret'!$D$8:$D$867,"&gt;="&amp;'Rev JR'!K$1,'Dividendos Extranjeros - Ret'!$D$8:$D$867,"&lt;="&amp;EOMONTH('Rev JR'!K$1,0))</f>
        <v>0</v>
      </c>
      <c r="L129" s="530">
        <f>+SUMIFS('Dividendos Extranjeros - Ret'!$G$8:$G$867,'Dividendos Extranjeros - Ret'!$B$8:$B$867,'Rev JR'!$A129,'Dividendos Extranjeros - Ret'!$D$8:$D$867,"&gt;="&amp;'Rev JR'!L$1,'Dividendos Extranjeros - Ret'!$D$8:$D$867,"&lt;="&amp;EOMONTH('Rev JR'!L$1,0))</f>
        <v>0</v>
      </c>
      <c r="M129" s="530">
        <f>+SUMIFS('Dividendos Extranjeros - Ret'!$G$8:$G$867,'Dividendos Extranjeros - Ret'!$B$8:$B$867,'Rev JR'!$A129,'Dividendos Extranjeros - Ret'!$D$8:$D$867,"&gt;="&amp;'Rev JR'!M$1,'Dividendos Extranjeros - Ret'!$D$8:$D$867,"&lt;="&amp;EOMONTH('Rev JR'!M$1,0))</f>
        <v>0</v>
      </c>
      <c r="N129" s="530">
        <f>+SUMIFS('Dividendos Extranjeros - Ret'!$G$8:$G$867,'Dividendos Extranjeros - Ret'!$B$8:$B$867,'Rev JR'!$A129,'Dividendos Extranjeros - Ret'!$D$8:$D$867,"&gt;="&amp;'Rev JR'!N$1,'Dividendos Extranjeros - Ret'!$D$8:$D$867,"&lt;="&amp;EOMONTH('Rev JR'!N$1,0))</f>
        <v>0</v>
      </c>
      <c r="O129" s="530">
        <f t="shared" si="25"/>
        <v>0</v>
      </c>
    </row>
    <row r="130" spans="1:15">
      <c r="A130" s="664" t="str">
        <f t="shared" si="23"/>
        <v>L</v>
      </c>
      <c r="B130" s="526" t="str">
        <f t="shared" si="24"/>
        <v xml:space="preserve">        Tax Withheld on Dividend  - L</v>
      </c>
      <c r="C130" s="530">
        <f>+SUMIFS('Dividendos Extranjeros - Ret'!$G$8:$G$867,'Dividendos Extranjeros - Ret'!$B$8:$B$867,'Rev JR'!$A130,'Dividendos Extranjeros - Ret'!$D$8:$D$867,"&gt;="&amp;'Rev JR'!C$1,'Dividendos Extranjeros - Ret'!$D$8:$D$867,"&lt;="&amp;EOMONTH('Rev JR'!C$1,0))</f>
        <v>0</v>
      </c>
      <c r="D130" s="530">
        <f>+SUMIFS('Dividendos Extranjeros - Ret'!$G$8:$G$867,'Dividendos Extranjeros - Ret'!$B$8:$B$867,'Rev JR'!$A130,'Dividendos Extranjeros - Ret'!$D$8:$D$867,"&gt;="&amp;'Rev JR'!D$1,'Dividendos Extranjeros - Ret'!$D$8:$D$867,"&lt;="&amp;EOMONTH('Rev JR'!D$1,0))</f>
        <v>0</v>
      </c>
      <c r="E130" s="530">
        <f>+SUMIFS('Dividendos Extranjeros - Ret'!$G$8:$G$867,'Dividendos Extranjeros - Ret'!$B$8:$B$867,'Rev JR'!$A130,'Dividendos Extranjeros - Ret'!$D$8:$D$867,"&gt;="&amp;'Rev JR'!E$1,'Dividendos Extranjeros - Ret'!$D$8:$D$867,"&lt;="&amp;EOMONTH('Rev JR'!E$1,0))</f>
        <v>0</v>
      </c>
      <c r="F130" s="530">
        <f>+SUMIFS('Dividendos Extranjeros - Ret'!$G$8:$G$867,'Dividendos Extranjeros - Ret'!$B$8:$B$867,'Rev JR'!$A130,'Dividendos Extranjeros - Ret'!$D$8:$D$867,"&gt;="&amp;'Rev JR'!F$1,'Dividendos Extranjeros - Ret'!$D$8:$D$867,"&lt;="&amp;EOMONTH('Rev JR'!F$1,0))</f>
        <v>0</v>
      </c>
      <c r="G130" s="530">
        <f>+SUMIFS('Dividendos Extranjeros - Ret'!$G$8:$G$867,'Dividendos Extranjeros - Ret'!$B$8:$B$867,'Rev JR'!$A130,'Dividendos Extranjeros - Ret'!$D$8:$D$867,"&gt;="&amp;'Rev JR'!G$1,'Dividendos Extranjeros - Ret'!$D$8:$D$867,"&lt;="&amp;EOMONTH('Rev JR'!G$1,0))</f>
        <v>0</v>
      </c>
      <c r="H130" s="530">
        <f>+SUMIFS('Dividendos Extranjeros - Ret'!$G$8:$G$867,'Dividendos Extranjeros - Ret'!$B$8:$B$867,'Rev JR'!$A130,'Dividendos Extranjeros - Ret'!$D$8:$D$867,"&gt;="&amp;'Rev JR'!H$1,'Dividendos Extranjeros - Ret'!$D$8:$D$867,"&lt;="&amp;EOMONTH('Rev JR'!H$1,0))</f>
        <v>0</v>
      </c>
      <c r="I130" s="530">
        <f>+SUMIFS('Dividendos Extranjeros - Ret'!$G$8:$G$867,'Dividendos Extranjeros - Ret'!$B$8:$B$867,'Rev JR'!$A130,'Dividendos Extranjeros - Ret'!$D$8:$D$867,"&gt;="&amp;'Rev JR'!I$1,'Dividendos Extranjeros - Ret'!$D$8:$D$867,"&lt;="&amp;EOMONTH('Rev JR'!I$1,0))</f>
        <v>0</v>
      </c>
      <c r="J130" s="530">
        <f>+SUMIFS('Dividendos Extranjeros - Ret'!$G$8:$G$867,'Dividendos Extranjeros - Ret'!$B$8:$B$867,'Rev JR'!$A130,'Dividendos Extranjeros - Ret'!$D$8:$D$867,"&gt;="&amp;'Rev JR'!J$1,'Dividendos Extranjeros - Ret'!$D$8:$D$867,"&lt;="&amp;EOMONTH('Rev JR'!J$1,0))</f>
        <v>0</v>
      </c>
      <c r="K130" s="530">
        <f>+SUMIFS('Dividendos Extranjeros - Ret'!$G$8:$G$867,'Dividendos Extranjeros - Ret'!$B$8:$B$867,'Rev JR'!$A130,'Dividendos Extranjeros - Ret'!$D$8:$D$867,"&gt;="&amp;'Rev JR'!K$1,'Dividendos Extranjeros - Ret'!$D$8:$D$867,"&lt;="&amp;EOMONTH('Rev JR'!K$1,0))</f>
        <v>0</v>
      </c>
      <c r="L130" s="530">
        <f>+SUMIFS('Dividendos Extranjeros - Ret'!$G$8:$G$867,'Dividendos Extranjeros - Ret'!$B$8:$B$867,'Rev JR'!$A130,'Dividendos Extranjeros - Ret'!$D$8:$D$867,"&gt;="&amp;'Rev JR'!L$1,'Dividendos Extranjeros - Ret'!$D$8:$D$867,"&lt;="&amp;EOMONTH('Rev JR'!L$1,0))</f>
        <v>0</v>
      </c>
      <c r="M130" s="530">
        <f>+SUMIFS('Dividendos Extranjeros - Ret'!$G$8:$G$867,'Dividendos Extranjeros - Ret'!$B$8:$B$867,'Rev JR'!$A130,'Dividendos Extranjeros - Ret'!$D$8:$D$867,"&gt;="&amp;'Rev JR'!M$1,'Dividendos Extranjeros - Ret'!$D$8:$D$867,"&lt;="&amp;EOMONTH('Rev JR'!M$1,0))</f>
        <v>0</v>
      </c>
      <c r="N130" s="530">
        <f>+SUMIFS('Dividendos Extranjeros - Ret'!$G$8:$G$867,'Dividendos Extranjeros - Ret'!$B$8:$B$867,'Rev JR'!$A130,'Dividendos Extranjeros - Ret'!$D$8:$D$867,"&gt;="&amp;'Rev JR'!N$1,'Dividendos Extranjeros - Ret'!$D$8:$D$867,"&lt;="&amp;EOMONTH('Rev JR'!N$1,0))</f>
        <v>0</v>
      </c>
      <c r="O130" s="530">
        <f t="shared" si="25"/>
        <v>0</v>
      </c>
    </row>
    <row r="131" spans="1:15">
      <c r="A131" s="664" t="str">
        <f t="shared" si="23"/>
        <v>M</v>
      </c>
      <c r="B131" s="526" t="str">
        <f t="shared" si="24"/>
        <v xml:space="preserve">        Tax Withheld on Dividend  - M</v>
      </c>
      <c r="C131" s="530">
        <f>+SUMIFS('Dividendos Extranjeros - Ret'!$G$8:$G$867,'Dividendos Extranjeros - Ret'!$B$8:$B$867,'Rev JR'!$A131,'Dividendos Extranjeros - Ret'!$D$8:$D$867,"&gt;="&amp;'Rev JR'!C$1,'Dividendos Extranjeros - Ret'!$D$8:$D$867,"&lt;="&amp;EOMONTH('Rev JR'!C$1,0))</f>
        <v>0</v>
      </c>
      <c r="D131" s="530">
        <f>+SUMIFS('Dividendos Extranjeros - Ret'!$G$8:$G$867,'Dividendos Extranjeros - Ret'!$B$8:$B$867,'Rev JR'!$A131,'Dividendos Extranjeros - Ret'!$D$8:$D$867,"&gt;="&amp;'Rev JR'!D$1,'Dividendos Extranjeros - Ret'!$D$8:$D$867,"&lt;="&amp;EOMONTH('Rev JR'!D$1,0))</f>
        <v>0</v>
      </c>
      <c r="E131" s="530">
        <f>+SUMIFS('Dividendos Extranjeros - Ret'!$G$8:$G$867,'Dividendos Extranjeros - Ret'!$B$8:$B$867,'Rev JR'!$A131,'Dividendos Extranjeros - Ret'!$D$8:$D$867,"&gt;="&amp;'Rev JR'!E$1,'Dividendos Extranjeros - Ret'!$D$8:$D$867,"&lt;="&amp;EOMONTH('Rev JR'!E$1,0))</f>
        <v>0</v>
      </c>
      <c r="F131" s="530">
        <f>+SUMIFS('Dividendos Extranjeros - Ret'!$G$8:$G$867,'Dividendos Extranjeros - Ret'!$B$8:$B$867,'Rev JR'!$A131,'Dividendos Extranjeros - Ret'!$D$8:$D$867,"&gt;="&amp;'Rev JR'!F$1,'Dividendos Extranjeros - Ret'!$D$8:$D$867,"&lt;="&amp;EOMONTH('Rev JR'!F$1,0))</f>
        <v>0</v>
      </c>
      <c r="G131" s="530">
        <f>+SUMIFS('Dividendos Extranjeros - Ret'!$G$8:$G$867,'Dividendos Extranjeros - Ret'!$B$8:$B$867,'Rev JR'!$A131,'Dividendos Extranjeros - Ret'!$D$8:$D$867,"&gt;="&amp;'Rev JR'!G$1,'Dividendos Extranjeros - Ret'!$D$8:$D$867,"&lt;="&amp;EOMONTH('Rev JR'!G$1,0))</f>
        <v>0</v>
      </c>
      <c r="H131" s="530">
        <f>+SUMIFS('Dividendos Extranjeros - Ret'!$G$8:$G$867,'Dividendos Extranjeros - Ret'!$B$8:$B$867,'Rev JR'!$A131,'Dividendos Extranjeros - Ret'!$D$8:$D$867,"&gt;="&amp;'Rev JR'!H$1,'Dividendos Extranjeros - Ret'!$D$8:$D$867,"&lt;="&amp;EOMONTH('Rev JR'!H$1,0))</f>
        <v>0</v>
      </c>
      <c r="I131" s="530">
        <f>+SUMIFS('Dividendos Extranjeros - Ret'!$G$8:$G$867,'Dividendos Extranjeros - Ret'!$B$8:$B$867,'Rev JR'!$A131,'Dividendos Extranjeros - Ret'!$D$8:$D$867,"&gt;="&amp;'Rev JR'!I$1,'Dividendos Extranjeros - Ret'!$D$8:$D$867,"&lt;="&amp;EOMONTH('Rev JR'!I$1,0))</f>
        <v>0</v>
      </c>
      <c r="J131" s="530">
        <f>+SUMIFS('Dividendos Extranjeros - Ret'!$G$8:$G$867,'Dividendos Extranjeros - Ret'!$B$8:$B$867,'Rev JR'!$A131,'Dividendos Extranjeros - Ret'!$D$8:$D$867,"&gt;="&amp;'Rev JR'!J$1,'Dividendos Extranjeros - Ret'!$D$8:$D$867,"&lt;="&amp;EOMONTH('Rev JR'!J$1,0))</f>
        <v>0</v>
      </c>
      <c r="K131" s="530">
        <f>+SUMIFS('Dividendos Extranjeros - Ret'!$G$8:$G$867,'Dividendos Extranjeros - Ret'!$B$8:$B$867,'Rev JR'!$A131,'Dividendos Extranjeros - Ret'!$D$8:$D$867,"&gt;="&amp;'Rev JR'!K$1,'Dividendos Extranjeros - Ret'!$D$8:$D$867,"&lt;="&amp;EOMONTH('Rev JR'!K$1,0))</f>
        <v>0</v>
      </c>
      <c r="L131" s="530">
        <f>+SUMIFS('Dividendos Extranjeros - Ret'!$G$8:$G$867,'Dividendos Extranjeros - Ret'!$B$8:$B$867,'Rev JR'!$A131,'Dividendos Extranjeros - Ret'!$D$8:$D$867,"&gt;="&amp;'Rev JR'!L$1,'Dividendos Extranjeros - Ret'!$D$8:$D$867,"&lt;="&amp;EOMONTH('Rev JR'!L$1,0))</f>
        <v>0</v>
      </c>
      <c r="M131" s="530">
        <f>+SUMIFS('Dividendos Extranjeros - Ret'!$G$8:$G$867,'Dividendos Extranjeros - Ret'!$B$8:$B$867,'Rev JR'!$A131,'Dividendos Extranjeros - Ret'!$D$8:$D$867,"&gt;="&amp;'Rev JR'!M$1,'Dividendos Extranjeros - Ret'!$D$8:$D$867,"&lt;="&amp;EOMONTH('Rev JR'!M$1,0))</f>
        <v>0</v>
      </c>
      <c r="N131" s="530">
        <f>+SUMIFS('Dividendos Extranjeros - Ret'!$G$8:$G$867,'Dividendos Extranjeros - Ret'!$B$8:$B$867,'Rev JR'!$A131,'Dividendos Extranjeros - Ret'!$D$8:$D$867,"&gt;="&amp;'Rev JR'!N$1,'Dividendos Extranjeros - Ret'!$D$8:$D$867,"&lt;="&amp;EOMONTH('Rev JR'!N$1,0))</f>
        <v>0</v>
      </c>
      <c r="O131" s="530">
        <f t="shared" si="25"/>
        <v>0</v>
      </c>
    </row>
    <row r="132" spans="1:15">
      <c r="A132" s="664" t="str">
        <f t="shared" si="23"/>
        <v>N</v>
      </c>
      <c r="B132" s="526" t="str">
        <f t="shared" si="24"/>
        <v xml:space="preserve">        Tax Withheld on Dividend  - N</v>
      </c>
      <c r="C132" s="530">
        <f>+SUMIFS('Dividendos Extranjeros - Ret'!$G$8:$G$867,'Dividendos Extranjeros - Ret'!$B$8:$B$867,'Rev JR'!$A132,'Dividendos Extranjeros - Ret'!$D$8:$D$867,"&gt;="&amp;'Rev JR'!C$1,'Dividendos Extranjeros - Ret'!$D$8:$D$867,"&lt;="&amp;EOMONTH('Rev JR'!C$1,0))</f>
        <v>0</v>
      </c>
      <c r="D132" s="530">
        <f>+SUMIFS('Dividendos Extranjeros - Ret'!$G$8:$G$867,'Dividendos Extranjeros - Ret'!$B$8:$B$867,'Rev JR'!$A132,'Dividendos Extranjeros - Ret'!$D$8:$D$867,"&gt;="&amp;'Rev JR'!D$1,'Dividendos Extranjeros - Ret'!$D$8:$D$867,"&lt;="&amp;EOMONTH('Rev JR'!D$1,0))</f>
        <v>0</v>
      </c>
      <c r="E132" s="530">
        <f>+SUMIFS('Dividendos Extranjeros - Ret'!$G$8:$G$867,'Dividendos Extranjeros - Ret'!$B$8:$B$867,'Rev JR'!$A132,'Dividendos Extranjeros - Ret'!$D$8:$D$867,"&gt;="&amp;'Rev JR'!E$1,'Dividendos Extranjeros - Ret'!$D$8:$D$867,"&lt;="&amp;EOMONTH('Rev JR'!E$1,0))</f>
        <v>0</v>
      </c>
      <c r="F132" s="530">
        <f>+SUMIFS('Dividendos Extranjeros - Ret'!$G$8:$G$867,'Dividendos Extranjeros - Ret'!$B$8:$B$867,'Rev JR'!$A132,'Dividendos Extranjeros - Ret'!$D$8:$D$867,"&gt;="&amp;'Rev JR'!F$1,'Dividendos Extranjeros - Ret'!$D$8:$D$867,"&lt;="&amp;EOMONTH('Rev JR'!F$1,0))</f>
        <v>0</v>
      </c>
      <c r="G132" s="530">
        <f>+SUMIFS('Dividendos Extranjeros - Ret'!$G$8:$G$867,'Dividendos Extranjeros - Ret'!$B$8:$B$867,'Rev JR'!$A132,'Dividendos Extranjeros - Ret'!$D$8:$D$867,"&gt;="&amp;'Rev JR'!G$1,'Dividendos Extranjeros - Ret'!$D$8:$D$867,"&lt;="&amp;EOMONTH('Rev JR'!G$1,0))</f>
        <v>0</v>
      </c>
      <c r="H132" s="530">
        <f>+SUMIFS('Dividendos Extranjeros - Ret'!$G$8:$G$867,'Dividendos Extranjeros - Ret'!$B$8:$B$867,'Rev JR'!$A132,'Dividendos Extranjeros - Ret'!$D$8:$D$867,"&gt;="&amp;'Rev JR'!H$1,'Dividendos Extranjeros - Ret'!$D$8:$D$867,"&lt;="&amp;EOMONTH('Rev JR'!H$1,0))</f>
        <v>0</v>
      </c>
      <c r="I132" s="530">
        <f>+SUMIFS('Dividendos Extranjeros - Ret'!$G$8:$G$867,'Dividendos Extranjeros - Ret'!$B$8:$B$867,'Rev JR'!$A132,'Dividendos Extranjeros - Ret'!$D$8:$D$867,"&gt;="&amp;'Rev JR'!I$1,'Dividendos Extranjeros - Ret'!$D$8:$D$867,"&lt;="&amp;EOMONTH('Rev JR'!I$1,0))</f>
        <v>0</v>
      </c>
      <c r="J132" s="530">
        <f>+SUMIFS('Dividendos Extranjeros - Ret'!$G$8:$G$867,'Dividendos Extranjeros - Ret'!$B$8:$B$867,'Rev JR'!$A132,'Dividendos Extranjeros - Ret'!$D$8:$D$867,"&gt;="&amp;'Rev JR'!J$1,'Dividendos Extranjeros - Ret'!$D$8:$D$867,"&lt;="&amp;EOMONTH('Rev JR'!J$1,0))</f>
        <v>0</v>
      </c>
      <c r="K132" s="530">
        <f>+SUMIFS('Dividendos Extranjeros - Ret'!$G$8:$G$867,'Dividendos Extranjeros - Ret'!$B$8:$B$867,'Rev JR'!$A132,'Dividendos Extranjeros - Ret'!$D$8:$D$867,"&gt;="&amp;'Rev JR'!K$1,'Dividendos Extranjeros - Ret'!$D$8:$D$867,"&lt;="&amp;EOMONTH('Rev JR'!K$1,0))</f>
        <v>0</v>
      </c>
      <c r="L132" s="530">
        <f>+SUMIFS('Dividendos Extranjeros - Ret'!$G$8:$G$867,'Dividendos Extranjeros - Ret'!$B$8:$B$867,'Rev JR'!$A132,'Dividendos Extranjeros - Ret'!$D$8:$D$867,"&gt;="&amp;'Rev JR'!L$1,'Dividendos Extranjeros - Ret'!$D$8:$D$867,"&lt;="&amp;EOMONTH('Rev JR'!L$1,0))</f>
        <v>0</v>
      </c>
      <c r="M132" s="530">
        <f>+SUMIFS('Dividendos Extranjeros - Ret'!$G$8:$G$867,'Dividendos Extranjeros - Ret'!$B$8:$B$867,'Rev JR'!$A132,'Dividendos Extranjeros - Ret'!$D$8:$D$867,"&gt;="&amp;'Rev JR'!M$1,'Dividendos Extranjeros - Ret'!$D$8:$D$867,"&lt;="&amp;EOMONTH('Rev JR'!M$1,0))</f>
        <v>0</v>
      </c>
      <c r="N132" s="530">
        <f>+SUMIFS('Dividendos Extranjeros - Ret'!$G$8:$G$867,'Dividendos Extranjeros - Ret'!$B$8:$B$867,'Rev JR'!$A132,'Dividendos Extranjeros - Ret'!$D$8:$D$867,"&gt;="&amp;'Rev JR'!N$1,'Dividendos Extranjeros - Ret'!$D$8:$D$867,"&lt;="&amp;EOMONTH('Rev JR'!N$1,0))</f>
        <v>0</v>
      </c>
      <c r="O132" s="530">
        <f t="shared" si="25"/>
        <v>0</v>
      </c>
    </row>
    <row r="133" spans="1:15">
      <c r="A133" s="664" t="str">
        <f t="shared" si="23"/>
        <v>O</v>
      </c>
      <c r="B133" s="526" t="str">
        <f t="shared" si="24"/>
        <v xml:space="preserve">        Tax Withheld on Dividend  - O</v>
      </c>
      <c r="C133" s="530">
        <f>+SUMIFS('Dividendos Extranjeros - Ret'!$G$8:$G$867,'Dividendos Extranjeros - Ret'!$B$8:$B$867,'Rev JR'!$A133,'Dividendos Extranjeros - Ret'!$D$8:$D$867,"&gt;="&amp;'Rev JR'!C$1,'Dividendos Extranjeros - Ret'!$D$8:$D$867,"&lt;="&amp;EOMONTH('Rev JR'!C$1,0))</f>
        <v>0</v>
      </c>
      <c r="D133" s="530">
        <f>+SUMIFS('Dividendos Extranjeros - Ret'!$G$8:$G$867,'Dividendos Extranjeros - Ret'!$B$8:$B$867,'Rev JR'!$A133,'Dividendos Extranjeros - Ret'!$D$8:$D$867,"&gt;="&amp;'Rev JR'!D$1,'Dividendos Extranjeros - Ret'!$D$8:$D$867,"&lt;="&amp;EOMONTH('Rev JR'!D$1,0))</f>
        <v>0</v>
      </c>
      <c r="E133" s="530">
        <f>+SUMIFS('Dividendos Extranjeros - Ret'!$G$8:$G$867,'Dividendos Extranjeros - Ret'!$B$8:$B$867,'Rev JR'!$A133,'Dividendos Extranjeros - Ret'!$D$8:$D$867,"&gt;="&amp;'Rev JR'!E$1,'Dividendos Extranjeros - Ret'!$D$8:$D$867,"&lt;="&amp;EOMONTH('Rev JR'!E$1,0))</f>
        <v>0</v>
      </c>
      <c r="F133" s="530">
        <f>+SUMIFS('Dividendos Extranjeros - Ret'!$G$8:$G$867,'Dividendos Extranjeros - Ret'!$B$8:$B$867,'Rev JR'!$A133,'Dividendos Extranjeros - Ret'!$D$8:$D$867,"&gt;="&amp;'Rev JR'!F$1,'Dividendos Extranjeros - Ret'!$D$8:$D$867,"&lt;="&amp;EOMONTH('Rev JR'!F$1,0))</f>
        <v>0</v>
      </c>
      <c r="G133" s="530">
        <f>+SUMIFS('Dividendos Extranjeros - Ret'!$G$8:$G$867,'Dividendos Extranjeros - Ret'!$B$8:$B$867,'Rev JR'!$A133,'Dividendos Extranjeros - Ret'!$D$8:$D$867,"&gt;="&amp;'Rev JR'!G$1,'Dividendos Extranjeros - Ret'!$D$8:$D$867,"&lt;="&amp;EOMONTH('Rev JR'!G$1,0))</f>
        <v>0</v>
      </c>
      <c r="H133" s="530">
        <f>+SUMIFS('Dividendos Extranjeros - Ret'!$G$8:$G$867,'Dividendos Extranjeros - Ret'!$B$8:$B$867,'Rev JR'!$A133,'Dividendos Extranjeros - Ret'!$D$8:$D$867,"&gt;="&amp;'Rev JR'!H$1,'Dividendos Extranjeros - Ret'!$D$8:$D$867,"&lt;="&amp;EOMONTH('Rev JR'!H$1,0))</f>
        <v>0</v>
      </c>
      <c r="I133" s="530">
        <f>+SUMIFS('Dividendos Extranjeros - Ret'!$G$8:$G$867,'Dividendos Extranjeros - Ret'!$B$8:$B$867,'Rev JR'!$A133,'Dividendos Extranjeros - Ret'!$D$8:$D$867,"&gt;="&amp;'Rev JR'!I$1,'Dividendos Extranjeros - Ret'!$D$8:$D$867,"&lt;="&amp;EOMONTH('Rev JR'!I$1,0))</f>
        <v>0</v>
      </c>
      <c r="J133" s="530">
        <f>+SUMIFS('Dividendos Extranjeros - Ret'!$G$8:$G$867,'Dividendos Extranjeros - Ret'!$B$8:$B$867,'Rev JR'!$A133,'Dividendos Extranjeros - Ret'!$D$8:$D$867,"&gt;="&amp;'Rev JR'!J$1,'Dividendos Extranjeros - Ret'!$D$8:$D$867,"&lt;="&amp;EOMONTH('Rev JR'!J$1,0))</f>
        <v>0</v>
      </c>
      <c r="K133" s="530">
        <f>+SUMIFS('Dividendos Extranjeros - Ret'!$G$8:$G$867,'Dividendos Extranjeros - Ret'!$B$8:$B$867,'Rev JR'!$A133,'Dividendos Extranjeros - Ret'!$D$8:$D$867,"&gt;="&amp;'Rev JR'!K$1,'Dividendos Extranjeros - Ret'!$D$8:$D$867,"&lt;="&amp;EOMONTH('Rev JR'!K$1,0))</f>
        <v>0</v>
      </c>
      <c r="L133" s="530">
        <f>+SUMIFS('Dividendos Extranjeros - Ret'!$G$8:$G$867,'Dividendos Extranjeros - Ret'!$B$8:$B$867,'Rev JR'!$A133,'Dividendos Extranjeros - Ret'!$D$8:$D$867,"&gt;="&amp;'Rev JR'!L$1,'Dividendos Extranjeros - Ret'!$D$8:$D$867,"&lt;="&amp;EOMONTH('Rev JR'!L$1,0))</f>
        <v>0</v>
      </c>
      <c r="M133" s="530">
        <f>+SUMIFS('Dividendos Extranjeros - Ret'!$G$8:$G$867,'Dividendos Extranjeros - Ret'!$B$8:$B$867,'Rev JR'!$A133,'Dividendos Extranjeros - Ret'!$D$8:$D$867,"&gt;="&amp;'Rev JR'!M$1,'Dividendos Extranjeros - Ret'!$D$8:$D$867,"&lt;="&amp;EOMONTH('Rev JR'!M$1,0))</f>
        <v>0</v>
      </c>
      <c r="N133" s="530">
        <f>+SUMIFS('Dividendos Extranjeros - Ret'!$G$8:$G$867,'Dividendos Extranjeros - Ret'!$B$8:$B$867,'Rev JR'!$A133,'Dividendos Extranjeros - Ret'!$D$8:$D$867,"&gt;="&amp;'Rev JR'!N$1,'Dividendos Extranjeros - Ret'!$D$8:$D$867,"&lt;="&amp;EOMONTH('Rev JR'!N$1,0))</f>
        <v>0</v>
      </c>
      <c r="O133" s="530">
        <f t="shared" si="25"/>
        <v>0</v>
      </c>
    </row>
    <row r="134" spans="1:15">
      <c r="A134" s="664" t="str">
        <f t="shared" si="23"/>
        <v>P</v>
      </c>
      <c r="B134" s="526" t="str">
        <f t="shared" si="24"/>
        <v xml:space="preserve">        Tax Withheld on Dividend  - P</v>
      </c>
      <c r="C134" s="530">
        <f>+SUMIFS('Dividendos Extranjeros - Ret'!$G$8:$G$867,'Dividendos Extranjeros - Ret'!$B$8:$B$867,'Rev JR'!$A134,'Dividendos Extranjeros - Ret'!$D$8:$D$867,"&gt;="&amp;'Rev JR'!C$1,'Dividendos Extranjeros - Ret'!$D$8:$D$867,"&lt;="&amp;EOMONTH('Rev JR'!C$1,0))</f>
        <v>0</v>
      </c>
      <c r="D134" s="530">
        <f>+SUMIFS('Dividendos Extranjeros - Ret'!$G$8:$G$867,'Dividendos Extranjeros - Ret'!$B$8:$B$867,'Rev JR'!$A134,'Dividendos Extranjeros - Ret'!$D$8:$D$867,"&gt;="&amp;'Rev JR'!D$1,'Dividendos Extranjeros - Ret'!$D$8:$D$867,"&lt;="&amp;EOMONTH('Rev JR'!D$1,0))</f>
        <v>0</v>
      </c>
      <c r="E134" s="530">
        <f>+SUMIFS('Dividendos Extranjeros - Ret'!$G$8:$G$867,'Dividendos Extranjeros - Ret'!$B$8:$B$867,'Rev JR'!$A134,'Dividendos Extranjeros - Ret'!$D$8:$D$867,"&gt;="&amp;'Rev JR'!E$1,'Dividendos Extranjeros - Ret'!$D$8:$D$867,"&lt;="&amp;EOMONTH('Rev JR'!E$1,0))</f>
        <v>0</v>
      </c>
      <c r="F134" s="530">
        <f>+SUMIFS('Dividendos Extranjeros - Ret'!$G$8:$G$867,'Dividendos Extranjeros - Ret'!$B$8:$B$867,'Rev JR'!$A134,'Dividendos Extranjeros - Ret'!$D$8:$D$867,"&gt;="&amp;'Rev JR'!F$1,'Dividendos Extranjeros - Ret'!$D$8:$D$867,"&lt;="&amp;EOMONTH('Rev JR'!F$1,0))</f>
        <v>0</v>
      </c>
      <c r="G134" s="530">
        <f>+SUMIFS('Dividendos Extranjeros - Ret'!$G$8:$G$867,'Dividendos Extranjeros - Ret'!$B$8:$B$867,'Rev JR'!$A134,'Dividendos Extranjeros - Ret'!$D$8:$D$867,"&gt;="&amp;'Rev JR'!G$1,'Dividendos Extranjeros - Ret'!$D$8:$D$867,"&lt;="&amp;EOMONTH('Rev JR'!G$1,0))</f>
        <v>0</v>
      </c>
      <c r="H134" s="530">
        <f>+SUMIFS('Dividendos Extranjeros - Ret'!$G$8:$G$867,'Dividendos Extranjeros - Ret'!$B$8:$B$867,'Rev JR'!$A134,'Dividendos Extranjeros - Ret'!$D$8:$D$867,"&gt;="&amp;'Rev JR'!H$1,'Dividendos Extranjeros - Ret'!$D$8:$D$867,"&lt;="&amp;EOMONTH('Rev JR'!H$1,0))</f>
        <v>0</v>
      </c>
      <c r="I134" s="530">
        <f>+SUMIFS('Dividendos Extranjeros - Ret'!$G$8:$G$867,'Dividendos Extranjeros - Ret'!$B$8:$B$867,'Rev JR'!$A134,'Dividendos Extranjeros - Ret'!$D$8:$D$867,"&gt;="&amp;'Rev JR'!I$1,'Dividendos Extranjeros - Ret'!$D$8:$D$867,"&lt;="&amp;EOMONTH('Rev JR'!I$1,0))</f>
        <v>0</v>
      </c>
      <c r="J134" s="530">
        <f>+SUMIFS('Dividendos Extranjeros - Ret'!$G$8:$G$867,'Dividendos Extranjeros - Ret'!$B$8:$B$867,'Rev JR'!$A134,'Dividendos Extranjeros - Ret'!$D$8:$D$867,"&gt;="&amp;'Rev JR'!J$1,'Dividendos Extranjeros - Ret'!$D$8:$D$867,"&lt;="&amp;EOMONTH('Rev JR'!J$1,0))</f>
        <v>0</v>
      </c>
      <c r="K134" s="530">
        <f>+SUMIFS('Dividendos Extranjeros - Ret'!$G$8:$G$867,'Dividendos Extranjeros - Ret'!$B$8:$B$867,'Rev JR'!$A134,'Dividendos Extranjeros - Ret'!$D$8:$D$867,"&gt;="&amp;'Rev JR'!K$1,'Dividendos Extranjeros - Ret'!$D$8:$D$867,"&lt;="&amp;EOMONTH('Rev JR'!K$1,0))</f>
        <v>0</v>
      </c>
      <c r="L134" s="530">
        <f>+SUMIFS('Dividendos Extranjeros - Ret'!$G$8:$G$867,'Dividendos Extranjeros - Ret'!$B$8:$B$867,'Rev JR'!$A134,'Dividendos Extranjeros - Ret'!$D$8:$D$867,"&gt;="&amp;'Rev JR'!L$1,'Dividendos Extranjeros - Ret'!$D$8:$D$867,"&lt;="&amp;EOMONTH('Rev JR'!L$1,0))</f>
        <v>0</v>
      </c>
      <c r="M134" s="530">
        <f>+SUMIFS('Dividendos Extranjeros - Ret'!$G$8:$G$867,'Dividendos Extranjeros - Ret'!$B$8:$B$867,'Rev JR'!$A134,'Dividendos Extranjeros - Ret'!$D$8:$D$867,"&gt;="&amp;'Rev JR'!M$1,'Dividendos Extranjeros - Ret'!$D$8:$D$867,"&lt;="&amp;EOMONTH('Rev JR'!M$1,0))</f>
        <v>0</v>
      </c>
      <c r="N134" s="530">
        <f>+SUMIFS('Dividendos Extranjeros - Ret'!$G$8:$G$867,'Dividendos Extranjeros - Ret'!$B$8:$B$867,'Rev JR'!$A134,'Dividendos Extranjeros - Ret'!$D$8:$D$867,"&gt;="&amp;'Rev JR'!N$1,'Dividendos Extranjeros - Ret'!$D$8:$D$867,"&lt;="&amp;EOMONTH('Rev JR'!N$1,0))</f>
        <v>0</v>
      </c>
      <c r="O134" s="530">
        <f t="shared" si="25"/>
        <v>0</v>
      </c>
    </row>
    <row r="135" spans="1:15">
      <c r="A135" s="522"/>
      <c r="B135" s="531" t="s">
        <v>624</v>
      </c>
      <c r="C135" s="532">
        <f t="shared" ref="C135:O135" si="26">SUM(C119:C134)</f>
        <v>0</v>
      </c>
      <c r="D135" s="532">
        <f t="shared" si="26"/>
        <v>0</v>
      </c>
      <c r="E135" s="532">
        <f t="shared" si="26"/>
        <v>0</v>
      </c>
      <c r="F135" s="532">
        <f t="shared" si="26"/>
        <v>0</v>
      </c>
      <c r="G135" s="532">
        <f t="shared" si="26"/>
        <v>0</v>
      </c>
      <c r="H135" s="532">
        <f t="shared" si="26"/>
        <v>0</v>
      </c>
      <c r="I135" s="532">
        <f t="shared" si="26"/>
        <v>0</v>
      </c>
      <c r="J135" s="532">
        <f t="shared" si="26"/>
        <v>0</v>
      </c>
      <c r="K135" s="532">
        <f t="shared" si="26"/>
        <v>7546.0600000000013</v>
      </c>
      <c r="L135" s="532">
        <f t="shared" si="26"/>
        <v>0</v>
      </c>
      <c r="M135" s="532">
        <f t="shared" si="26"/>
        <v>0</v>
      </c>
      <c r="N135" s="532">
        <f t="shared" si="26"/>
        <v>0</v>
      </c>
      <c r="O135" s="532">
        <f t="shared" si="26"/>
        <v>7546.0600000000013</v>
      </c>
    </row>
    <row r="136" spans="1:15">
      <c r="A136" s="526"/>
      <c r="B136" s="526"/>
      <c r="C136" s="526"/>
      <c r="D136" s="526"/>
      <c r="E136" s="526"/>
      <c r="F136" s="526"/>
      <c r="G136" s="526"/>
      <c r="H136" s="526"/>
      <c r="I136" s="526"/>
      <c r="J136" s="526"/>
      <c r="K136" s="526"/>
      <c r="L136" s="526"/>
      <c r="M136" s="526"/>
      <c r="N136" s="526"/>
      <c r="O136" s="526"/>
    </row>
    <row r="137" spans="1:15">
      <c r="A137" s="522"/>
      <c r="B137" s="526" t="s">
        <v>623</v>
      </c>
      <c r="C137" s="529"/>
      <c r="D137" s="529"/>
      <c r="E137" s="529"/>
      <c r="F137" s="529"/>
      <c r="G137" s="529"/>
      <c r="H137" s="529"/>
      <c r="I137" s="529"/>
      <c r="J137" s="529"/>
      <c r="K137" s="529"/>
      <c r="L137" s="529"/>
      <c r="M137" s="529"/>
      <c r="N137" s="529"/>
      <c r="O137" s="529"/>
    </row>
    <row r="138" spans="1:15">
      <c r="A138" s="664" t="str">
        <f>+A119</f>
        <v>31XX29</v>
      </c>
      <c r="B138" s="526" t="str">
        <f t="shared" ref="B138:B153" si="27">+CONCATENATE("        Otras Retenciones  - ",A138)</f>
        <v xml:space="preserve">        Otras Retenciones  - 31XX29</v>
      </c>
      <c r="C138" s="530">
        <f>+SUMIFS('Otras Retenciones'!$G$8:$G$500,'Otras Retenciones'!$B$8:$B$500,'Rev JR'!$A138,'Otras Retenciones'!$D$8:$D$500,"&gt;="&amp;'Rev JR'!C$1,'Otras Retenciones'!$D$8:$D$500,"&lt;="&amp;EOMONTH('Rev JR'!C$1,0))</f>
        <v>0</v>
      </c>
      <c r="D138" s="530">
        <f>+SUMIFS('Otras Retenciones'!$G$8:$G$500,'Otras Retenciones'!$B$8:$B$500,'Rev JR'!$A138,'Otras Retenciones'!$D$8:$D$500,"&gt;="&amp;'Rev JR'!D$1,'Otras Retenciones'!$D$8:$D$500,"&lt;="&amp;EOMONTH('Rev JR'!D$1,0))</f>
        <v>0</v>
      </c>
      <c r="E138" s="530">
        <f>+SUMIFS('Otras Retenciones'!$G$8:$G$500,'Otras Retenciones'!$B$8:$B$500,'Rev JR'!$A138,'Otras Retenciones'!$D$8:$D$500,"&gt;="&amp;'Rev JR'!E$1,'Otras Retenciones'!$D$8:$D$500,"&lt;="&amp;EOMONTH('Rev JR'!E$1,0))</f>
        <v>0</v>
      </c>
      <c r="F138" s="530">
        <f>+SUMIFS('Otras Retenciones'!$G$8:$G$500,'Otras Retenciones'!$B$8:$B$500,'Rev JR'!$A138,'Otras Retenciones'!$D$8:$D$500,"&gt;="&amp;'Rev JR'!F$1,'Otras Retenciones'!$D$8:$D$500,"&lt;="&amp;EOMONTH('Rev JR'!F$1,0))</f>
        <v>0</v>
      </c>
      <c r="G138" s="530">
        <f>+SUMIFS('Otras Retenciones'!$G$8:$G$500,'Otras Retenciones'!$B$8:$B$500,'Rev JR'!$A138,'Otras Retenciones'!$D$8:$D$500,"&gt;="&amp;'Rev JR'!G$1,'Otras Retenciones'!$D$8:$D$500,"&lt;="&amp;EOMONTH('Rev JR'!G$1,0))</f>
        <v>0</v>
      </c>
      <c r="H138" s="530">
        <f>+SUMIFS('Otras Retenciones'!$G$8:$G$500,'Otras Retenciones'!$B$8:$B$500,'Rev JR'!$A138,'Otras Retenciones'!$D$8:$D$500,"&gt;="&amp;'Rev JR'!H$1,'Otras Retenciones'!$D$8:$D$500,"&lt;="&amp;EOMONTH('Rev JR'!H$1,0))</f>
        <v>0</v>
      </c>
      <c r="I138" s="530">
        <f>+SUMIFS('Otras Retenciones'!$G$8:$G$500,'Otras Retenciones'!$B$8:$B$500,'Rev JR'!$A138,'Otras Retenciones'!$D$8:$D$500,"&gt;="&amp;'Rev JR'!I$1,'Otras Retenciones'!$D$8:$D$500,"&lt;="&amp;EOMONTH('Rev JR'!I$1,0))</f>
        <v>0</v>
      </c>
      <c r="J138" s="530">
        <f>+SUMIFS('Otras Retenciones'!$G$8:$G$500,'Otras Retenciones'!$B$8:$B$500,'Rev JR'!$A138,'Otras Retenciones'!$D$8:$D$500,"&gt;="&amp;'Rev JR'!J$1,'Otras Retenciones'!$D$8:$D$500,"&lt;="&amp;EOMONTH('Rev JR'!J$1,0))</f>
        <v>0</v>
      </c>
      <c r="K138" s="530">
        <f>+SUMIFS('Otras Retenciones'!$G$8:$G$500,'Otras Retenciones'!$B$8:$B$500,'Rev JR'!$A138,'Otras Retenciones'!$D$8:$D$500,"&gt;="&amp;'Rev JR'!K$1,'Otras Retenciones'!$D$8:$D$500,"&lt;="&amp;EOMONTH('Rev JR'!K$1,0))</f>
        <v>0</v>
      </c>
      <c r="L138" s="530">
        <f>+SUMIFS('Otras Retenciones'!$G$8:$G$500,'Otras Retenciones'!$B$8:$B$500,'Rev JR'!$A138,'Otras Retenciones'!$D$8:$D$500,"&gt;="&amp;'Rev JR'!L$1,'Otras Retenciones'!$D$8:$D$500,"&lt;="&amp;EOMONTH('Rev JR'!L$1,0))</f>
        <v>0</v>
      </c>
      <c r="M138" s="530">
        <f>+SUMIFS('Otras Retenciones'!$G$8:$G$500,'Otras Retenciones'!$B$8:$B$500,'Rev JR'!$A138,'Otras Retenciones'!$D$8:$D$500,"&gt;="&amp;'Rev JR'!M$1,'Otras Retenciones'!$D$8:$D$500,"&lt;="&amp;EOMONTH('Rev JR'!M$1,0))</f>
        <v>0</v>
      </c>
      <c r="N138" s="530">
        <f>+SUMIFS('Otras Retenciones'!$G$8:$G$500,'Otras Retenciones'!$B$8:$B$500,'Rev JR'!$A138,'Otras Retenciones'!$D$8:$D$500,"&gt;="&amp;'Rev JR'!N$1,'Otras Retenciones'!$D$8:$D$500,"&lt;="&amp;EOMONTH('Rev JR'!N$1,0))</f>
        <v>0</v>
      </c>
      <c r="O138" s="530">
        <f t="shared" ref="O138:O153" si="28">SUM(C138:N138)</f>
        <v>0</v>
      </c>
    </row>
    <row r="139" spans="1:15">
      <c r="A139" s="664" t="str">
        <f t="shared" ref="A139:A153" si="29">+A120</f>
        <v>11XX300</v>
      </c>
      <c r="B139" s="526" t="str">
        <f t="shared" si="27"/>
        <v xml:space="preserve">        Otras Retenciones  - 11XX300</v>
      </c>
      <c r="C139" s="530">
        <f>+SUMIFS('Otras Retenciones'!$G$8:$G$500,'Otras Retenciones'!$B$8:$B$500,'Rev JR'!$A139,'Otras Retenciones'!$D$8:$D$500,"&gt;="&amp;'Rev JR'!C$1,'Otras Retenciones'!$D$8:$D$500,"&lt;="&amp;EOMONTH('Rev JR'!C$1,0))</f>
        <v>0</v>
      </c>
      <c r="D139" s="530">
        <f>+SUMIFS('Otras Retenciones'!$G$8:$G$500,'Otras Retenciones'!$B$8:$B$500,'Rev JR'!$A139,'Otras Retenciones'!$D$8:$D$500,"&gt;="&amp;'Rev JR'!D$1,'Otras Retenciones'!$D$8:$D$500,"&lt;="&amp;EOMONTH('Rev JR'!D$1,0))</f>
        <v>0</v>
      </c>
      <c r="E139" s="530">
        <f>+SUMIFS('Otras Retenciones'!$G$8:$G$500,'Otras Retenciones'!$B$8:$B$500,'Rev JR'!$A139,'Otras Retenciones'!$D$8:$D$500,"&gt;="&amp;'Rev JR'!E$1,'Otras Retenciones'!$D$8:$D$500,"&lt;="&amp;EOMONTH('Rev JR'!E$1,0))</f>
        <v>0</v>
      </c>
      <c r="F139" s="530">
        <f>+SUMIFS('Otras Retenciones'!$G$8:$G$500,'Otras Retenciones'!$B$8:$B$500,'Rev JR'!$A139,'Otras Retenciones'!$D$8:$D$500,"&gt;="&amp;'Rev JR'!F$1,'Otras Retenciones'!$D$8:$D$500,"&lt;="&amp;EOMONTH('Rev JR'!F$1,0))</f>
        <v>0</v>
      </c>
      <c r="G139" s="530">
        <f>+SUMIFS('Otras Retenciones'!$G$8:$G$500,'Otras Retenciones'!$B$8:$B$500,'Rev JR'!$A139,'Otras Retenciones'!$D$8:$D$500,"&gt;="&amp;'Rev JR'!G$1,'Otras Retenciones'!$D$8:$D$500,"&lt;="&amp;EOMONTH('Rev JR'!G$1,0))</f>
        <v>0</v>
      </c>
      <c r="H139" s="530">
        <f>+SUMIFS('Otras Retenciones'!$G$8:$G$500,'Otras Retenciones'!$B$8:$B$500,'Rev JR'!$A139,'Otras Retenciones'!$D$8:$D$500,"&gt;="&amp;'Rev JR'!H$1,'Otras Retenciones'!$D$8:$D$500,"&lt;="&amp;EOMONTH('Rev JR'!H$1,0))</f>
        <v>0</v>
      </c>
      <c r="I139" s="530">
        <f>+SUMIFS('Otras Retenciones'!$G$8:$G$500,'Otras Retenciones'!$B$8:$B$500,'Rev JR'!$A139,'Otras Retenciones'!$D$8:$D$500,"&gt;="&amp;'Rev JR'!I$1,'Otras Retenciones'!$D$8:$D$500,"&lt;="&amp;EOMONTH('Rev JR'!I$1,0))</f>
        <v>0</v>
      </c>
      <c r="J139" s="530">
        <f>+SUMIFS('Otras Retenciones'!$G$8:$G$500,'Otras Retenciones'!$B$8:$B$500,'Rev JR'!$A139,'Otras Retenciones'!$D$8:$D$500,"&gt;="&amp;'Rev JR'!J$1,'Otras Retenciones'!$D$8:$D$500,"&lt;="&amp;EOMONTH('Rev JR'!J$1,0))</f>
        <v>0</v>
      </c>
      <c r="K139" s="530">
        <f>+SUMIFS('Otras Retenciones'!$G$8:$G$500,'Otras Retenciones'!$B$8:$B$500,'Rev JR'!$A139,'Otras Retenciones'!$D$8:$D$500,"&gt;="&amp;'Rev JR'!K$1,'Otras Retenciones'!$D$8:$D$500,"&lt;="&amp;EOMONTH('Rev JR'!K$1,0))</f>
        <v>0</v>
      </c>
      <c r="L139" s="530">
        <f>+SUMIFS('Otras Retenciones'!$G$8:$G$500,'Otras Retenciones'!$B$8:$B$500,'Rev JR'!$A139,'Otras Retenciones'!$D$8:$D$500,"&gt;="&amp;'Rev JR'!L$1,'Otras Retenciones'!$D$8:$D$500,"&lt;="&amp;EOMONTH('Rev JR'!L$1,0))</f>
        <v>0</v>
      </c>
      <c r="M139" s="530">
        <f>+SUMIFS('Otras Retenciones'!$G$8:$G$500,'Otras Retenciones'!$B$8:$B$500,'Rev JR'!$A139,'Otras Retenciones'!$D$8:$D$500,"&gt;="&amp;'Rev JR'!M$1,'Otras Retenciones'!$D$8:$D$500,"&lt;="&amp;EOMONTH('Rev JR'!M$1,0))</f>
        <v>0</v>
      </c>
      <c r="N139" s="530">
        <f>+SUMIFS('Otras Retenciones'!$G$8:$G$500,'Otras Retenciones'!$B$8:$B$500,'Rev JR'!$A139,'Otras Retenciones'!$D$8:$D$500,"&gt;="&amp;'Rev JR'!N$1,'Otras Retenciones'!$D$8:$D$500,"&lt;="&amp;EOMONTH('Rev JR'!N$1,0))</f>
        <v>0</v>
      </c>
      <c r="O139" s="530">
        <f t="shared" si="28"/>
        <v>0</v>
      </c>
    </row>
    <row r="140" spans="1:15">
      <c r="A140" s="664" t="str">
        <f t="shared" si="29"/>
        <v>1XXX100</v>
      </c>
      <c r="B140" s="526" t="str">
        <f t="shared" si="27"/>
        <v xml:space="preserve">        Otras Retenciones  - 1XXX100</v>
      </c>
      <c r="C140" s="530">
        <f>+SUMIFS('Otras Retenciones'!$G$8:$G$500,'Otras Retenciones'!$B$8:$B$500,'Rev JR'!$A140,'Otras Retenciones'!$D$8:$D$500,"&gt;="&amp;'Rev JR'!C$1,'Otras Retenciones'!$D$8:$D$500,"&lt;="&amp;EOMONTH('Rev JR'!C$1,0))</f>
        <v>0</v>
      </c>
      <c r="D140" s="530">
        <f>+SUMIFS('Otras Retenciones'!$G$8:$G$500,'Otras Retenciones'!$B$8:$B$500,'Rev JR'!$A140,'Otras Retenciones'!$D$8:$D$500,"&gt;="&amp;'Rev JR'!D$1,'Otras Retenciones'!$D$8:$D$500,"&lt;="&amp;EOMONTH('Rev JR'!D$1,0))</f>
        <v>0</v>
      </c>
      <c r="E140" s="530">
        <f>+SUMIFS('Otras Retenciones'!$G$8:$G$500,'Otras Retenciones'!$B$8:$B$500,'Rev JR'!$A140,'Otras Retenciones'!$D$8:$D$500,"&gt;="&amp;'Rev JR'!E$1,'Otras Retenciones'!$D$8:$D$500,"&lt;="&amp;EOMONTH('Rev JR'!E$1,0))</f>
        <v>0</v>
      </c>
      <c r="F140" s="530">
        <f>+SUMIFS('Otras Retenciones'!$G$8:$G$500,'Otras Retenciones'!$B$8:$B$500,'Rev JR'!$A140,'Otras Retenciones'!$D$8:$D$500,"&gt;="&amp;'Rev JR'!F$1,'Otras Retenciones'!$D$8:$D$500,"&lt;="&amp;EOMONTH('Rev JR'!F$1,0))</f>
        <v>0</v>
      </c>
      <c r="G140" s="530">
        <f>+SUMIFS('Otras Retenciones'!$G$8:$G$500,'Otras Retenciones'!$B$8:$B$500,'Rev JR'!$A140,'Otras Retenciones'!$D$8:$D$500,"&gt;="&amp;'Rev JR'!G$1,'Otras Retenciones'!$D$8:$D$500,"&lt;="&amp;EOMONTH('Rev JR'!G$1,0))</f>
        <v>0</v>
      </c>
      <c r="H140" s="530">
        <f>+SUMIFS('Otras Retenciones'!$G$8:$G$500,'Otras Retenciones'!$B$8:$B$500,'Rev JR'!$A140,'Otras Retenciones'!$D$8:$D$500,"&gt;="&amp;'Rev JR'!H$1,'Otras Retenciones'!$D$8:$D$500,"&lt;="&amp;EOMONTH('Rev JR'!H$1,0))</f>
        <v>0</v>
      </c>
      <c r="I140" s="530">
        <f>+SUMIFS('Otras Retenciones'!$G$8:$G$500,'Otras Retenciones'!$B$8:$B$500,'Rev JR'!$A140,'Otras Retenciones'!$D$8:$D$500,"&gt;="&amp;'Rev JR'!I$1,'Otras Retenciones'!$D$8:$D$500,"&lt;="&amp;EOMONTH('Rev JR'!I$1,0))</f>
        <v>0</v>
      </c>
      <c r="J140" s="530">
        <f>+SUMIFS('Otras Retenciones'!$G$8:$G$500,'Otras Retenciones'!$B$8:$B$500,'Rev JR'!$A140,'Otras Retenciones'!$D$8:$D$500,"&gt;="&amp;'Rev JR'!J$1,'Otras Retenciones'!$D$8:$D$500,"&lt;="&amp;EOMONTH('Rev JR'!J$1,0))</f>
        <v>0</v>
      </c>
      <c r="K140" s="530">
        <f>+SUMIFS('Otras Retenciones'!$G$8:$G$500,'Otras Retenciones'!$B$8:$B$500,'Rev JR'!$A140,'Otras Retenciones'!$D$8:$D$500,"&gt;="&amp;'Rev JR'!K$1,'Otras Retenciones'!$D$8:$D$500,"&lt;="&amp;EOMONTH('Rev JR'!K$1,0))</f>
        <v>0</v>
      </c>
      <c r="L140" s="530">
        <f>+SUMIFS('Otras Retenciones'!$G$8:$G$500,'Otras Retenciones'!$B$8:$B$500,'Rev JR'!$A140,'Otras Retenciones'!$D$8:$D$500,"&gt;="&amp;'Rev JR'!L$1,'Otras Retenciones'!$D$8:$D$500,"&lt;="&amp;EOMONTH('Rev JR'!L$1,0))</f>
        <v>0</v>
      </c>
      <c r="M140" s="530">
        <f>+SUMIFS('Otras Retenciones'!$G$8:$G$500,'Otras Retenciones'!$B$8:$B$500,'Rev JR'!$A140,'Otras Retenciones'!$D$8:$D$500,"&gt;="&amp;'Rev JR'!M$1,'Otras Retenciones'!$D$8:$D$500,"&lt;="&amp;EOMONTH('Rev JR'!M$1,0))</f>
        <v>0</v>
      </c>
      <c r="N140" s="530">
        <f>+SUMIFS('Otras Retenciones'!$G$8:$G$500,'Otras Retenciones'!$B$8:$B$500,'Rev JR'!$A140,'Otras Retenciones'!$D$8:$D$500,"&gt;="&amp;'Rev JR'!N$1,'Otras Retenciones'!$D$8:$D$500,"&lt;="&amp;EOMONTH('Rev JR'!N$1,0))</f>
        <v>0</v>
      </c>
      <c r="O140" s="530">
        <f t="shared" si="28"/>
        <v>0</v>
      </c>
    </row>
    <row r="141" spans="1:15">
      <c r="A141" s="664" t="str">
        <f t="shared" si="29"/>
        <v>B467XXX05</v>
      </c>
      <c r="B141" s="526" t="str">
        <f t="shared" si="27"/>
        <v xml:space="preserve">        Otras Retenciones  - B467XXX05</v>
      </c>
      <c r="C141" s="530">
        <f>+SUMIFS('Otras Retenciones'!$G$8:$G$500,'Otras Retenciones'!$B$8:$B$500,'Rev JR'!$A141,'Otras Retenciones'!$D$8:$D$500,"&gt;="&amp;'Rev JR'!C$1,'Otras Retenciones'!$D$8:$D$500,"&lt;="&amp;EOMONTH('Rev JR'!C$1,0))</f>
        <v>0</v>
      </c>
      <c r="D141" s="530">
        <f>+SUMIFS('Otras Retenciones'!$G$8:$G$500,'Otras Retenciones'!$B$8:$B$500,'Rev JR'!$A141,'Otras Retenciones'!$D$8:$D$500,"&gt;="&amp;'Rev JR'!D$1,'Otras Retenciones'!$D$8:$D$500,"&lt;="&amp;EOMONTH('Rev JR'!D$1,0))</f>
        <v>0</v>
      </c>
      <c r="E141" s="530">
        <f>+SUMIFS('Otras Retenciones'!$G$8:$G$500,'Otras Retenciones'!$B$8:$B$500,'Rev JR'!$A141,'Otras Retenciones'!$D$8:$D$500,"&gt;="&amp;'Rev JR'!E$1,'Otras Retenciones'!$D$8:$D$500,"&lt;="&amp;EOMONTH('Rev JR'!E$1,0))</f>
        <v>0</v>
      </c>
      <c r="F141" s="530">
        <f>+SUMIFS('Otras Retenciones'!$G$8:$G$500,'Otras Retenciones'!$B$8:$B$500,'Rev JR'!$A141,'Otras Retenciones'!$D$8:$D$500,"&gt;="&amp;'Rev JR'!F$1,'Otras Retenciones'!$D$8:$D$500,"&lt;="&amp;EOMONTH('Rev JR'!F$1,0))</f>
        <v>0</v>
      </c>
      <c r="G141" s="530">
        <f>+SUMIFS('Otras Retenciones'!$G$8:$G$500,'Otras Retenciones'!$B$8:$B$500,'Rev JR'!$A141,'Otras Retenciones'!$D$8:$D$500,"&gt;="&amp;'Rev JR'!G$1,'Otras Retenciones'!$D$8:$D$500,"&lt;="&amp;EOMONTH('Rev JR'!G$1,0))</f>
        <v>0</v>
      </c>
      <c r="H141" s="530">
        <f>+SUMIFS('Otras Retenciones'!$G$8:$G$500,'Otras Retenciones'!$B$8:$B$500,'Rev JR'!$A141,'Otras Retenciones'!$D$8:$D$500,"&gt;="&amp;'Rev JR'!H$1,'Otras Retenciones'!$D$8:$D$500,"&lt;="&amp;EOMONTH('Rev JR'!H$1,0))</f>
        <v>0</v>
      </c>
      <c r="I141" s="530">
        <f>+SUMIFS('Otras Retenciones'!$G$8:$G$500,'Otras Retenciones'!$B$8:$B$500,'Rev JR'!$A141,'Otras Retenciones'!$D$8:$D$500,"&gt;="&amp;'Rev JR'!I$1,'Otras Retenciones'!$D$8:$D$500,"&lt;="&amp;EOMONTH('Rev JR'!I$1,0))</f>
        <v>0</v>
      </c>
      <c r="J141" s="530">
        <f>+SUMIFS('Otras Retenciones'!$G$8:$G$500,'Otras Retenciones'!$B$8:$B$500,'Rev JR'!$A141,'Otras Retenciones'!$D$8:$D$500,"&gt;="&amp;'Rev JR'!J$1,'Otras Retenciones'!$D$8:$D$500,"&lt;="&amp;EOMONTH('Rev JR'!J$1,0))</f>
        <v>0</v>
      </c>
      <c r="K141" s="530">
        <f>+SUMIFS('Otras Retenciones'!$G$8:$G$500,'Otras Retenciones'!$B$8:$B$500,'Rev JR'!$A141,'Otras Retenciones'!$D$8:$D$500,"&gt;="&amp;'Rev JR'!K$1,'Otras Retenciones'!$D$8:$D$500,"&lt;="&amp;EOMONTH('Rev JR'!K$1,0))</f>
        <v>0</v>
      </c>
      <c r="L141" s="530">
        <f>+SUMIFS('Otras Retenciones'!$G$8:$G$500,'Otras Retenciones'!$B$8:$B$500,'Rev JR'!$A141,'Otras Retenciones'!$D$8:$D$500,"&gt;="&amp;'Rev JR'!L$1,'Otras Retenciones'!$D$8:$D$500,"&lt;="&amp;EOMONTH('Rev JR'!L$1,0))</f>
        <v>0</v>
      </c>
      <c r="M141" s="530">
        <f>+SUMIFS('Otras Retenciones'!$G$8:$G$500,'Otras Retenciones'!$B$8:$B$500,'Rev JR'!$A141,'Otras Retenciones'!$D$8:$D$500,"&gt;="&amp;'Rev JR'!M$1,'Otras Retenciones'!$D$8:$D$500,"&lt;="&amp;EOMONTH('Rev JR'!M$1,0))</f>
        <v>0</v>
      </c>
      <c r="N141" s="530">
        <f>+SUMIFS('Otras Retenciones'!$G$8:$G$500,'Otras Retenciones'!$B$8:$B$500,'Rev JR'!$A141,'Otras Retenciones'!$D$8:$D$500,"&gt;="&amp;'Rev JR'!N$1,'Otras Retenciones'!$D$8:$D$500,"&lt;="&amp;EOMONTH('Rev JR'!N$1,0))</f>
        <v>0</v>
      </c>
      <c r="O141" s="530">
        <f t="shared" si="28"/>
        <v>0</v>
      </c>
    </row>
    <row r="142" spans="1:15">
      <c r="A142" s="664" t="str">
        <f t="shared" si="29"/>
        <v>677-0XXX52-670</v>
      </c>
      <c r="B142" s="526" t="str">
        <f t="shared" si="27"/>
        <v xml:space="preserve">        Otras Retenciones  - 677-0XXX52-670</v>
      </c>
      <c r="C142" s="530">
        <f>+SUMIFS('Otras Retenciones'!$G$8:$G$500,'Otras Retenciones'!$B$8:$B$500,'Rev JR'!$A142,'Otras Retenciones'!$D$8:$D$500,"&gt;="&amp;'Rev JR'!C$1,'Otras Retenciones'!$D$8:$D$500,"&lt;="&amp;EOMONTH('Rev JR'!C$1,0))</f>
        <v>0</v>
      </c>
      <c r="D142" s="530">
        <f>+SUMIFS('Otras Retenciones'!$G$8:$G$500,'Otras Retenciones'!$B$8:$B$500,'Rev JR'!$A142,'Otras Retenciones'!$D$8:$D$500,"&gt;="&amp;'Rev JR'!D$1,'Otras Retenciones'!$D$8:$D$500,"&lt;="&amp;EOMONTH('Rev JR'!D$1,0))</f>
        <v>0</v>
      </c>
      <c r="E142" s="530">
        <f>+SUMIFS('Otras Retenciones'!$G$8:$G$500,'Otras Retenciones'!$B$8:$B$500,'Rev JR'!$A142,'Otras Retenciones'!$D$8:$D$500,"&gt;="&amp;'Rev JR'!E$1,'Otras Retenciones'!$D$8:$D$500,"&lt;="&amp;EOMONTH('Rev JR'!E$1,0))</f>
        <v>0</v>
      </c>
      <c r="F142" s="530">
        <f>+SUMIFS('Otras Retenciones'!$G$8:$G$500,'Otras Retenciones'!$B$8:$B$500,'Rev JR'!$A142,'Otras Retenciones'!$D$8:$D$500,"&gt;="&amp;'Rev JR'!F$1,'Otras Retenciones'!$D$8:$D$500,"&lt;="&amp;EOMONTH('Rev JR'!F$1,0))</f>
        <v>0</v>
      </c>
      <c r="G142" s="530">
        <f>+SUMIFS('Otras Retenciones'!$G$8:$G$500,'Otras Retenciones'!$B$8:$B$500,'Rev JR'!$A142,'Otras Retenciones'!$D$8:$D$500,"&gt;="&amp;'Rev JR'!G$1,'Otras Retenciones'!$D$8:$D$500,"&lt;="&amp;EOMONTH('Rev JR'!G$1,0))</f>
        <v>0</v>
      </c>
      <c r="H142" s="530">
        <f>+SUMIFS('Otras Retenciones'!$G$8:$G$500,'Otras Retenciones'!$B$8:$B$500,'Rev JR'!$A142,'Otras Retenciones'!$D$8:$D$500,"&gt;="&amp;'Rev JR'!H$1,'Otras Retenciones'!$D$8:$D$500,"&lt;="&amp;EOMONTH('Rev JR'!H$1,0))</f>
        <v>0</v>
      </c>
      <c r="I142" s="530">
        <f>+SUMIFS('Otras Retenciones'!$G$8:$G$500,'Otras Retenciones'!$B$8:$B$500,'Rev JR'!$A142,'Otras Retenciones'!$D$8:$D$500,"&gt;="&amp;'Rev JR'!I$1,'Otras Retenciones'!$D$8:$D$500,"&lt;="&amp;EOMONTH('Rev JR'!I$1,0))</f>
        <v>0</v>
      </c>
      <c r="J142" s="530">
        <f>+SUMIFS('Otras Retenciones'!$G$8:$G$500,'Otras Retenciones'!$B$8:$B$500,'Rev JR'!$A142,'Otras Retenciones'!$D$8:$D$500,"&gt;="&amp;'Rev JR'!J$1,'Otras Retenciones'!$D$8:$D$500,"&lt;="&amp;EOMONTH('Rev JR'!J$1,0))</f>
        <v>0</v>
      </c>
      <c r="K142" s="530">
        <f>+SUMIFS('Otras Retenciones'!$G$8:$G$500,'Otras Retenciones'!$B$8:$B$500,'Rev JR'!$A142,'Otras Retenciones'!$D$8:$D$500,"&gt;="&amp;'Rev JR'!K$1,'Otras Retenciones'!$D$8:$D$500,"&lt;="&amp;EOMONTH('Rev JR'!K$1,0))</f>
        <v>0</v>
      </c>
      <c r="L142" s="530">
        <f>+SUMIFS('Otras Retenciones'!$G$8:$G$500,'Otras Retenciones'!$B$8:$B$500,'Rev JR'!$A142,'Otras Retenciones'!$D$8:$D$500,"&gt;="&amp;'Rev JR'!L$1,'Otras Retenciones'!$D$8:$D$500,"&lt;="&amp;EOMONTH('Rev JR'!L$1,0))</f>
        <v>0</v>
      </c>
      <c r="M142" s="530">
        <f>+SUMIFS('Otras Retenciones'!$G$8:$G$500,'Otras Retenciones'!$B$8:$B$500,'Rev JR'!$A142,'Otras Retenciones'!$D$8:$D$500,"&gt;="&amp;'Rev JR'!M$1,'Otras Retenciones'!$D$8:$D$500,"&lt;="&amp;EOMONTH('Rev JR'!M$1,0))</f>
        <v>0</v>
      </c>
      <c r="N142" s="530">
        <f>+SUMIFS('Otras Retenciones'!$G$8:$G$500,'Otras Retenciones'!$B$8:$B$500,'Rev JR'!$A142,'Otras Retenciones'!$D$8:$D$500,"&gt;="&amp;'Rev JR'!N$1,'Otras Retenciones'!$D$8:$D$500,"&lt;="&amp;EOMONTH('Rev JR'!N$1,0))</f>
        <v>0</v>
      </c>
      <c r="O142" s="530">
        <f t="shared" si="28"/>
        <v>0</v>
      </c>
    </row>
    <row r="143" spans="1:15">
      <c r="A143" s="664" t="str">
        <f t="shared" si="29"/>
        <v>677-0XXX53-471</v>
      </c>
      <c r="B143" s="526" t="str">
        <f t="shared" si="27"/>
        <v xml:space="preserve">        Otras Retenciones  - 677-0XXX53-471</v>
      </c>
      <c r="C143" s="530">
        <f>+SUMIFS('Otras Retenciones'!$G$8:$G$500,'Otras Retenciones'!$B$8:$B$500,'Rev JR'!$A143,'Otras Retenciones'!$D$8:$D$500,"&gt;="&amp;'Rev JR'!C$1,'Otras Retenciones'!$D$8:$D$500,"&lt;="&amp;EOMONTH('Rev JR'!C$1,0))</f>
        <v>0</v>
      </c>
      <c r="D143" s="530">
        <f>+SUMIFS('Otras Retenciones'!$G$8:$G$500,'Otras Retenciones'!$B$8:$B$500,'Rev JR'!$A143,'Otras Retenciones'!$D$8:$D$500,"&gt;="&amp;'Rev JR'!D$1,'Otras Retenciones'!$D$8:$D$500,"&lt;="&amp;EOMONTH('Rev JR'!D$1,0))</f>
        <v>0</v>
      </c>
      <c r="E143" s="530">
        <f>+SUMIFS('Otras Retenciones'!$G$8:$G$500,'Otras Retenciones'!$B$8:$B$500,'Rev JR'!$A143,'Otras Retenciones'!$D$8:$D$500,"&gt;="&amp;'Rev JR'!E$1,'Otras Retenciones'!$D$8:$D$500,"&lt;="&amp;EOMONTH('Rev JR'!E$1,0))</f>
        <v>0</v>
      </c>
      <c r="F143" s="530">
        <f>+SUMIFS('Otras Retenciones'!$G$8:$G$500,'Otras Retenciones'!$B$8:$B$500,'Rev JR'!$A143,'Otras Retenciones'!$D$8:$D$500,"&gt;="&amp;'Rev JR'!F$1,'Otras Retenciones'!$D$8:$D$500,"&lt;="&amp;EOMONTH('Rev JR'!F$1,0))</f>
        <v>0</v>
      </c>
      <c r="G143" s="530">
        <f>+SUMIFS('Otras Retenciones'!$G$8:$G$500,'Otras Retenciones'!$B$8:$B$500,'Rev JR'!$A143,'Otras Retenciones'!$D$8:$D$500,"&gt;="&amp;'Rev JR'!G$1,'Otras Retenciones'!$D$8:$D$500,"&lt;="&amp;EOMONTH('Rev JR'!G$1,0))</f>
        <v>0</v>
      </c>
      <c r="H143" s="530">
        <f>+SUMIFS('Otras Retenciones'!$G$8:$G$500,'Otras Retenciones'!$B$8:$B$500,'Rev JR'!$A143,'Otras Retenciones'!$D$8:$D$500,"&gt;="&amp;'Rev JR'!H$1,'Otras Retenciones'!$D$8:$D$500,"&lt;="&amp;EOMONTH('Rev JR'!H$1,0))</f>
        <v>0</v>
      </c>
      <c r="I143" s="530">
        <f>+SUMIFS('Otras Retenciones'!$G$8:$G$500,'Otras Retenciones'!$B$8:$B$500,'Rev JR'!$A143,'Otras Retenciones'!$D$8:$D$500,"&gt;="&amp;'Rev JR'!I$1,'Otras Retenciones'!$D$8:$D$500,"&lt;="&amp;EOMONTH('Rev JR'!I$1,0))</f>
        <v>0</v>
      </c>
      <c r="J143" s="530">
        <f>+SUMIFS('Otras Retenciones'!$G$8:$G$500,'Otras Retenciones'!$B$8:$B$500,'Rev JR'!$A143,'Otras Retenciones'!$D$8:$D$500,"&gt;="&amp;'Rev JR'!J$1,'Otras Retenciones'!$D$8:$D$500,"&lt;="&amp;EOMONTH('Rev JR'!J$1,0))</f>
        <v>0</v>
      </c>
      <c r="K143" s="530">
        <f>+SUMIFS('Otras Retenciones'!$G$8:$G$500,'Otras Retenciones'!$B$8:$B$500,'Rev JR'!$A143,'Otras Retenciones'!$D$8:$D$500,"&gt;="&amp;'Rev JR'!K$1,'Otras Retenciones'!$D$8:$D$500,"&lt;="&amp;EOMONTH('Rev JR'!K$1,0))</f>
        <v>0</v>
      </c>
      <c r="L143" s="530">
        <f>+SUMIFS('Otras Retenciones'!$G$8:$G$500,'Otras Retenciones'!$B$8:$B$500,'Rev JR'!$A143,'Otras Retenciones'!$D$8:$D$500,"&gt;="&amp;'Rev JR'!L$1,'Otras Retenciones'!$D$8:$D$500,"&lt;="&amp;EOMONTH('Rev JR'!L$1,0))</f>
        <v>0</v>
      </c>
      <c r="M143" s="530">
        <f>+SUMIFS('Otras Retenciones'!$G$8:$G$500,'Otras Retenciones'!$B$8:$B$500,'Rev JR'!$A143,'Otras Retenciones'!$D$8:$D$500,"&gt;="&amp;'Rev JR'!M$1,'Otras Retenciones'!$D$8:$D$500,"&lt;="&amp;EOMONTH('Rev JR'!M$1,0))</f>
        <v>0</v>
      </c>
      <c r="N143" s="530">
        <f>+SUMIFS('Otras Retenciones'!$G$8:$G$500,'Otras Retenciones'!$B$8:$B$500,'Rev JR'!$A143,'Otras Retenciones'!$D$8:$D$500,"&gt;="&amp;'Rev JR'!N$1,'Otras Retenciones'!$D$8:$D$500,"&lt;="&amp;EOMONTH('Rev JR'!N$1,0))</f>
        <v>0</v>
      </c>
      <c r="O143" s="530">
        <f t="shared" si="28"/>
        <v>0</v>
      </c>
    </row>
    <row r="144" spans="1:15">
      <c r="A144" s="664" t="str">
        <f t="shared" si="29"/>
        <v>4H 0XXX0 RB</v>
      </c>
      <c r="B144" s="526" t="str">
        <f t="shared" si="27"/>
        <v xml:space="preserve">        Otras Retenciones  - 4H 0XXX0 RB</v>
      </c>
      <c r="C144" s="530">
        <f>+SUMIFS('Otras Retenciones'!$G$8:$G$500,'Otras Retenciones'!$B$8:$B$500,'Rev JR'!$A144,'Otras Retenciones'!$D$8:$D$500,"&gt;="&amp;'Rev JR'!C$1,'Otras Retenciones'!$D$8:$D$500,"&lt;="&amp;EOMONTH('Rev JR'!C$1,0))</f>
        <v>0</v>
      </c>
      <c r="D144" s="530">
        <f>+SUMIFS('Otras Retenciones'!$G$8:$G$500,'Otras Retenciones'!$B$8:$B$500,'Rev JR'!$A144,'Otras Retenciones'!$D$8:$D$500,"&gt;="&amp;'Rev JR'!D$1,'Otras Retenciones'!$D$8:$D$500,"&lt;="&amp;EOMONTH('Rev JR'!D$1,0))</f>
        <v>0</v>
      </c>
      <c r="E144" s="530">
        <f>+SUMIFS('Otras Retenciones'!$G$8:$G$500,'Otras Retenciones'!$B$8:$B$500,'Rev JR'!$A144,'Otras Retenciones'!$D$8:$D$500,"&gt;="&amp;'Rev JR'!E$1,'Otras Retenciones'!$D$8:$D$500,"&lt;="&amp;EOMONTH('Rev JR'!E$1,0))</f>
        <v>0</v>
      </c>
      <c r="F144" s="530">
        <f>+SUMIFS('Otras Retenciones'!$G$8:$G$500,'Otras Retenciones'!$B$8:$B$500,'Rev JR'!$A144,'Otras Retenciones'!$D$8:$D$500,"&gt;="&amp;'Rev JR'!F$1,'Otras Retenciones'!$D$8:$D$500,"&lt;="&amp;EOMONTH('Rev JR'!F$1,0))</f>
        <v>0</v>
      </c>
      <c r="G144" s="530">
        <f>+SUMIFS('Otras Retenciones'!$G$8:$G$500,'Otras Retenciones'!$B$8:$B$500,'Rev JR'!$A144,'Otras Retenciones'!$D$8:$D$500,"&gt;="&amp;'Rev JR'!G$1,'Otras Retenciones'!$D$8:$D$500,"&lt;="&amp;EOMONTH('Rev JR'!G$1,0))</f>
        <v>0</v>
      </c>
      <c r="H144" s="530">
        <f>+SUMIFS('Otras Retenciones'!$G$8:$G$500,'Otras Retenciones'!$B$8:$B$500,'Rev JR'!$A144,'Otras Retenciones'!$D$8:$D$500,"&gt;="&amp;'Rev JR'!H$1,'Otras Retenciones'!$D$8:$D$500,"&lt;="&amp;EOMONTH('Rev JR'!H$1,0))</f>
        <v>0</v>
      </c>
      <c r="I144" s="530">
        <f>+SUMIFS('Otras Retenciones'!$G$8:$G$500,'Otras Retenciones'!$B$8:$B$500,'Rev JR'!$A144,'Otras Retenciones'!$D$8:$D$500,"&gt;="&amp;'Rev JR'!I$1,'Otras Retenciones'!$D$8:$D$500,"&lt;="&amp;EOMONTH('Rev JR'!I$1,0))</f>
        <v>0</v>
      </c>
      <c r="J144" s="530">
        <f>+SUMIFS('Otras Retenciones'!$G$8:$G$500,'Otras Retenciones'!$B$8:$B$500,'Rev JR'!$A144,'Otras Retenciones'!$D$8:$D$500,"&gt;="&amp;'Rev JR'!J$1,'Otras Retenciones'!$D$8:$D$500,"&lt;="&amp;EOMONTH('Rev JR'!J$1,0))</f>
        <v>0</v>
      </c>
      <c r="K144" s="530">
        <f>+SUMIFS('Otras Retenciones'!$G$8:$G$500,'Otras Retenciones'!$B$8:$B$500,'Rev JR'!$A144,'Otras Retenciones'!$D$8:$D$500,"&gt;="&amp;'Rev JR'!K$1,'Otras Retenciones'!$D$8:$D$500,"&lt;="&amp;EOMONTH('Rev JR'!K$1,0))</f>
        <v>0</v>
      </c>
      <c r="L144" s="530">
        <f>+SUMIFS('Otras Retenciones'!$G$8:$G$500,'Otras Retenciones'!$B$8:$B$500,'Rev JR'!$A144,'Otras Retenciones'!$D$8:$D$500,"&gt;="&amp;'Rev JR'!L$1,'Otras Retenciones'!$D$8:$D$500,"&lt;="&amp;EOMONTH('Rev JR'!L$1,0))</f>
        <v>0</v>
      </c>
      <c r="M144" s="530">
        <f>+SUMIFS('Otras Retenciones'!$G$8:$G$500,'Otras Retenciones'!$B$8:$B$500,'Rev JR'!$A144,'Otras Retenciones'!$D$8:$D$500,"&gt;="&amp;'Rev JR'!M$1,'Otras Retenciones'!$D$8:$D$500,"&lt;="&amp;EOMONTH('Rev JR'!M$1,0))</f>
        <v>0</v>
      </c>
      <c r="N144" s="530">
        <f>+SUMIFS('Otras Retenciones'!$G$8:$G$500,'Otras Retenciones'!$B$8:$B$500,'Rev JR'!$A144,'Otras Retenciones'!$D$8:$D$500,"&gt;="&amp;'Rev JR'!N$1,'Otras Retenciones'!$D$8:$D$500,"&lt;="&amp;EOMONTH('Rev JR'!N$1,0))</f>
        <v>0</v>
      </c>
      <c r="O144" s="530">
        <f t="shared" si="28"/>
        <v>0</v>
      </c>
    </row>
    <row r="145" spans="1:15">
      <c r="A145" s="664" t="str">
        <f t="shared" si="29"/>
        <v>H</v>
      </c>
      <c r="B145" s="526" t="str">
        <f t="shared" si="27"/>
        <v xml:space="preserve">        Otras Retenciones  - H</v>
      </c>
      <c r="C145" s="530">
        <f>+SUMIFS('Otras Retenciones'!$G$8:$G$500,'Otras Retenciones'!$B$8:$B$500,'Rev JR'!$A145,'Otras Retenciones'!$D$8:$D$500,"&gt;="&amp;'Rev JR'!C$1,'Otras Retenciones'!$D$8:$D$500,"&lt;="&amp;EOMONTH('Rev JR'!C$1,0))</f>
        <v>0</v>
      </c>
      <c r="D145" s="530">
        <f>+SUMIFS('Otras Retenciones'!$G$8:$G$500,'Otras Retenciones'!$B$8:$B$500,'Rev JR'!$A145,'Otras Retenciones'!$D$8:$D$500,"&gt;="&amp;'Rev JR'!D$1,'Otras Retenciones'!$D$8:$D$500,"&lt;="&amp;EOMONTH('Rev JR'!D$1,0))</f>
        <v>0</v>
      </c>
      <c r="E145" s="530">
        <f>+SUMIFS('Otras Retenciones'!$G$8:$G$500,'Otras Retenciones'!$B$8:$B$500,'Rev JR'!$A145,'Otras Retenciones'!$D$8:$D$500,"&gt;="&amp;'Rev JR'!E$1,'Otras Retenciones'!$D$8:$D$500,"&lt;="&amp;EOMONTH('Rev JR'!E$1,0))</f>
        <v>0</v>
      </c>
      <c r="F145" s="530">
        <f>+SUMIFS('Otras Retenciones'!$G$8:$G$500,'Otras Retenciones'!$B$8:$B$500,'Rev JR'!$A145,'Otras Retenciones'!$D$8:$D$500,"&gt;="&amp;'Rev JR'!F$1,'Otras Retenciones'!$D$8:$D$500,"&lt;="&amp;EOMONTH('Rev JR'!F$1,0))</f>
        <v>0</v>
      </c>
      <c r="G145" s="530">
        <f>+SUMIFS('Otras Retenciones'!$G$8:$G$500,'Otras Retenciones'!$B$8:$B$500,'Rev JR'!$A145,'Otras Retenciones'!$D$8:$D$500,"&gt;="&amp;'Rev JR'!G$1,'Otras Retenciones'!$D$8:$D$500,"&lt;="&amp;EOMONTH('Rev JR'!G$1,0))</f>
        <v>0</v>
      </c>
      <c r="H145" s="530">
        <f>+SUMIFS('Otras Retenciones'!$G$8:$G$500,'Otras Retenciones'!$B$8:$B$500,'Rev JR'!$A145,'Otras Retenciones'!$D$8:$D$500,"&gt;="&amp;'Rev JR'!H$1,'Otras Retenciones'!$D$8:$D$500,"&lt;="&amp;EOMONTH('Rev JR'!H$1,0))</f>
        <v>0</v>
      </c>
      <c r="I145" s="530">
        <f>+SUMIFS('Otras Retenciones'!$G$8:$G$500,'Otras Retenciones'!$B$8:$B$500,'Rev JR'!$A145,'Otras Retenciones'!$D$8:$D$500,"&gt;="&amp;'Rev JR'!I$1,'Otras Retenciones'!$D$8:$D$500,"&lt;="&amp;EOMONTH('Rev JR'!I$1,0))</f>
        <v>0</v>
      </c>
      <c r="J145" s="530">
        <f>+SUMIFS('Otras Retenciones'!$G$8:$G$500,'Otras Retenciones'!$B$8:$B$500,'Rev JR'!$A145,'Otras Retenciones'!$D$8:$D$500,"&gt;="&amp;'Rev JR'!J$1,'Otras Retenciones'!$D$8:$D$500,"&lt;="&amp;EOMONTH('Rev JR'!J$1,0))</f>
        <v>0</v>
      </c>
      <c r="K145" s="530">
        <f>+SUMIFS('Otras Retenciones'!$G$8:$G$500,'Otras Retenciones'!$B$8:$B$500,'Rev JR'!$A145,'Otras Retenciones'!$D$8:$D$500,"&gt;="&amp;'Rev JR'!K$1,'Otras Retenciones'!$D$8:$D$500,"&lt;="&amp;EOMONTH('Rev JR'!K$1,0))</f>
        <v>0</v>
      </c>
      <c r="L145" s="530">
        <f>+SUMIFS('Otras Retenciones'!$G$8:$G$500,'Otras Retenciones'!$B$8:$B$500,'Rev JR'!$A145,'Otras Retenciones'!$D$8:$D$500,"&gt;="&amp;'Rev JR'!L$1,'Otras Retenciones'!$D$8:$D$500,"&lt;="&amp;EOMONTH('Rev JR'!L$1,0))</f>
        <v>0</v>
      </c>
      <c r="M145" s="530">
        <f>+SUMIFS('Otras Retenciones'!$G$8:$G$500,'Otras Retenciones'!$B$8:$B$500,'Rev JR'!$A145,'Otras Retenciones'!$D$8:$D$500,"&gt;="&amp;'Rev JR'!M$1,'Otras Retenciones'!$D$8:$D$500,"&lt;="&amp;EOMONTH('Rev JR'!M$1,0))</f>
        <v>0</v>
      </c>
      <c r="N145" s="530">
        <f>+SUMIFS('Otras Retenciones'!$G$8:$G$500,'Otras Retenciones'!$B$8:$B$500,'Rev JR'!$A145,'Otras Retenciones'!$D$8:$D$500,"&gt;="&amp;'Rev JR'!N$1,'Otras Retenciones'!$D$8:$D$500,"&lt;="&amp;EOMONTH('Rev JR'!N$1,0))</f>
        <v>0</v>
      </c>
      <c r="O145" s="530">
        <f t="shared" si="28"/>
        <v>0</v>
      </c>
    </row>
    <row r="146" spans="1:15">
      <c r="A146" s="664" t="str">
        <f t="shared" si="29"/>
        <v>I</v>
      </c>
      <c r="B146" s="526" t="str">
        <f t="shared" si="27"/>
        <v xml:space="preserve">        Otras Retenciones  - I</v>
      </c>
      <c r="C146" s="530">
        <f>+SUMIFS('Otras Retenciones'!$G$8:$G$500,'Otras Retenciones'!$B$8:$B$500,'Rev JR'!$A146,'Otras Retenciones'!$D$8:$D$500,"&gt;="&amp;'Rev JR'!C$1,'Otras Retenciones'!$D$8:$D$500,"&lt;="&amp;EOMONTH('Rev JR'!C$1,0))</f>
        <v>0</v>
      </c>
      <c r="D146" s="530">
        <f>+SUMIFS('Otras Retenciones'!$G$8:$G$500,'Otras Retenciones'!$B$8:$B$500,'Rev JR'!$A146,'Otras Retenciones'!$D$8:$D$500,"&gt;="&amp;'Rev JR'!D$1,'Otras Retenciones'!$D$8:$D$500,"&lt;="&amp;EOMONTH('Rev JR'!D$1,0))</f>
        <v>0</v>
      </c>
      <c r="E146" s="530">
        <f>+SUMIFS('Otras Retenciones'!$G$8:$G$500,'Otras Retenciones'!$B$8:$B$500,'Rev JR'!$A146,'Otras Retenciones'!$D$8:$D$500,"&gt;="&amp;'Rev JR'!E$1,'Otras Retenciones'!$D$8:$D$500,"&lt;="&amp;EOMONTH('Rev JR'!E$1,0))</f>
        <v>0</v>
      </c>
      <c r="F146" s="530">
        <f>+SUMIFS('Otras Retenciones'!$G$8:$G$500,'Otras Retenciones'!$B$8:$B$500,'Rev JR'!$A146,'Otras Retenciones'!$D$8:$D$500,"&gt;="&amp;'Rev JR'!F$1,'Otras Retenciones'!$D$8:$D$500,"&lt;="&amp;EOMONTH('Rev JR'!F$1,0))</f>
        <v>0</v>
      </c>
      <c r="G146" s="530">
        <f>+SUMIFS('Otras Retenciones'!$G$8:$G$500,'Otras Retenciones'!$B$8:$B$500,'Rev JR'!$A146,'Otras Retenciones'!$D$8:$D$500,"&gt;="&amp;'Rev JR'!G$1,'Otras Retenciones'!$D$8:$D$500,"&lt;="&amp;EOMONTH('Rev JR'!G$1,0))</f>
        <v>0</v>
      </c>
      <c r="H146" s="530">
        <f>+SUMIFS('Otras Retenciones'!$G$8:$G$500,'Otras Retenciones'!$B$8:$B$500,'Rev JR'!$A146,'Otras Retenciones'!$D$8:$D$500,"&gt;="&amp;'Rev JR'!H$1,'Otras Retenciones'!$D$8:$D$500,"&lt;="&amp;EOMONTH('Rev JR'!H$1,0))</f>
        <v>0</v>
      </c>
      <c r="I146" s="530">
        <f>+SUMIFS('Otras Retenciones'!$G$8:$G$500,'Otras Retenciones'!$B$8:$B$500,'Rev JR'!$A146,'Otras Retenciones'!$D$8:$D$500,"&gt;="&amp;'Rev JR'!I$1,'Otras Retenciones'!$D$8:$D$500,"&lt;="&amp;EOMONTH('Rev JR'!I$1,0))</f>
        <v>0</v>
      </c>
      <c r="J146" s="530">
        <f>+SUMIFS('Otras Retenciones'!$G$8:$G$500,'Otras Retenciones'!$B$8:$B$500,'Rev JR'!$A146,'Otras Retenciones'!$D$8:$D$500,"&gt;="&amp;'Rev JR'!J$1,'Otras Retenciones'!$D$8:$D$500,"&lt;="&amp;EOMONTH('Rev JR'!J$1,0))</f>
        <v>0</v>
      </c>
      <c r="K146" s="530">
        <f>+SUMIFS('Otras Retenciones'!$G$8:$G$500,'Otras Retenciones'!$B$8:$B$500,'Rev JR'!$A146,'Otras Retenciones'!$D$8:$D$500,"&gt;="&amp;'Rev JR'!K$1,'Otras Retenciones'!$D$8:$D$500,"&lt;="&amp;EOMONTH('Rev JR'!K$1,0))</f>
        <v>0</v>
      </c>
      <c r="L146" s="530">
        <f>+SUMIFS('Otras Retenciones'!$G$8:$G$500,'Otras Retenciones'!$B$8:$B$500,'Rev JR'!$A146,'Otras Retenciones'!$D$8:$D$500,"&gt;="&amp;'Rev JR'!L$1,'Otras Retenciones'!$D$8:$D$500,"&lt;="&amp;EOMONTH('Rev JR'!L$1,0))</f>
        <v>0</v>
      </c>
      <c r="M146" s="530">
        <f>+SUMIFS('Otras Retenciones'!$G$8:$G$500,'Otras Retenciones'!$B$8:$B$500,'Rev JR'!$A146,'Otras Retenciones'!$D$8:$D$500,"&gt;="&amp;'Rev JR'!M$1,'Otras Retenciones'!$D$8:$D$500,"&lt;="&amp;EOMONTH('Rev JR'!M$1,0))</f>
        <v>0</v>
      </c>
      <c r="N146" s="530">
        <f>+SUMIFS('Otras Retenciones'!$G$8:$G$500,'Otras Retenciones'!$B$8:$B$500,'Rev JR'!$A146,'Otras Retenciones'!$D$8:$D$500,"&gt;="&amp;'Rev JR'!N$1,'Otras Retenciones'!$D$8:$D$500,"&lt;="&amp;EOMONTH('Rev JR'!N$1,0))</f>
        <v>0</v>
      </c>
      <c r="O146" s="530">
        <f t="shared" si="28"/>
        <v>0</v>
      </c>
    </row>
    <row r="147" spans="1:15">
      <c r="A147" s="664" t="str">
        <f t="shared" si="29"/>
        <v>J</v>
      </c>
      <c r="B147" s="526" t="str">
        <f t="shared" si="27"/>
        <v xml:space="preserve">        Otras Retenciones  - J</v>
      </c>
      <c r="C147" s="530">
        <f>+SUMIFS('Otras Retenciones'!$G$8:$G$500,'Otras Retenciones'!$B$8:$B$500,'Rev JR'!$A147,'Otras Retenciones'!$D$8:$D$500,"&gt;="&amp;'Rev JR'!C$1,'Otras Retenciones'!$D$8:$D$500,"&lt;="&amp;EOMONTH('Rev JR'!C$1,0))</f>
        <v>0</v>
      </c>
      <c r="D147" s="530">
        <f>+SUMIFS('Otras Retenciones'!$G$8:$G$500,'Otras Retenciones'!$B$8:$B$500,'Rev JR'!$A147,'Otras Retenciones'!$D$8:$D$500,"&gt;="&amp;'Rev JR'!D$1,'Otras Retenciones'!$D$8:$D$500,"&lt;="&amp;EOMONTH('Rev JR'!D$1,0))</f>
        <v>0</v>
      </c>
      <c r="E147" s="530">
        <f>+SUMIFS('Otras Retenciones'!$G$8:$G$500,'Otras Retenciones'!$B$8:$B$500,'Rev JR'!$A147,'Otras Retenciones'!$D$8:$D$500,"&gt;="&amp;'Rev JR'!E$1,'Otras Retenciones'!$D$8:$D$500,"&lt;="&amp;EOMONTH('Rev JR'!E$1,0))</f>
        <v>0</v>
      </c>
      <c r="F147" s="530">
        <f>+SUMIFS('Otras Retenciones'!$G$8:$G$500,'Otras Retenciones'!$B$8:$B$500,'Rev JR'!$A147,'Otras Retenciones'!$D$8:$D$500,"&gt;="&amp;'Rev JR'!F$1,'Otras Retenciones'!$D$8:$D$500,"&lt;="&amp;EOMONTH('Rev JR'!F$1,0))</f>
        <v>0</v>
      </c>
      <c r="G147" s="530">
        <f>+SUMIFS('Otras Retenciones'!$G$8:$G$500,'Otras Retenciones'!$B$8:$B$500,'Rev JR'!$A147,'Otras Retenciones'!$D$8:$D$500,"&gt;="&amp;'Rev JR'!G$1,'Otras Retenciones'!$D$8:$D$500,"&lt;="&amp;EOMONTH('Rev JR'!G$1,0))</f>
        <v>0</v>
      </c>
      <c r="H147" s="530">
        <f>+SUMIFS('Otras Retenciones'!$G$8:$G$500,'Otras Retenciones'!$B$8:$B$500,'Rev JR'!$A147,'Otras Retenciones'!$D$8:$D$500,"&gt;="&amp;'Rev JR'!H$1,'Otras Retenciones'!$D$8:$D$500,"&lt;="&amp;EOMONTH('Rev JR'!H$1,0))</f>
        <v>0</v>
      </c>
      <c r="I147" s="530">
        <f>+SUMIFS('Otras Retenciones'!$G$8:$G$500,'Otras Retenciones'!$B$8:$B$500,'Rev JR'!$A147,'Otras Retenciones'!$D$8:$D$500,"&gt;="&amp;'Rev JR'!I$1,'Otras Retenciones'!$D$8:$D$500,"&lt;="&amp;EOMONTH('Rev JR'!I$1,0))</f>
        <v>0</v>
      </c>
      <c r="J147" s="530">
        <f>+SUMIFS('Otras Retenciones'!$G$8:$G$500,'Otras Retenciones'!$B$8:$B$500,'Rev JR'!$A147,'Otras Retenciones'!$D$8:$D$500,"&gt;="&amp;'Rev JR'!J$1,'Otras Retenciones'!$D$8:$D$500,"&lt;="&amp;EOMONTH('Rev JR'!J$1,0))</f>
        <v>0</v>
      </c>
      <c r="K147" s="530">
        <f>+SUMIFS('Otras Retenciones'!$G$8:$G$500,'Otras Retenciones'!$B$8:$B$500,'Rev JR'!$A147,'Otras Retenciones'!$D$8:$D$500,"&gt;="&amp;'Rev JR'!K$1,'Otras Retenciones'!$D$8:$D$500,"&lt;="&amp;EOMONTH('Rev JR'!K$1,0))</f>
        <v>0</v>
      </c>
      <c r="L147" s="530">
        <f>+SUMIFS('Otras Retenciones'!$G$8:$G$500,'Otras Retenciones'!$B$8:$B$500,'Rev JR'!$A147,'Otras Retenciones'!$D$8:$D$500,"&gt;="&amp;'Rev JR'!L$1,'Otras Retenciones'!$D$8:$D$500,"&lt;="&amp;EOMONTH('Rev JR'!L$1,0))</f>
        <v>0</v>
      </c>
      <c r="M147" s="530">
        <f>+SUMIFS('Otras Retenciones'!$G$8:$G$500,'Otras Retenciones'!$B$8:$B$500,'Rev JR'!$A147,'Otras Retenciones'!$D$8:$D$500,"&gt;="&amp;'Rev JR'!M$1,'Otras Retenciones'!$D$8:$D$500,"&lt;="&amp;EOMONTH('Rev JR'!M$1,0))</f>
        <v>0</v>
      </c>
      <c r="N147" s="530">
        <f>+SUMIFS('Otras Retenciones'!$G$8:$G$500,'Otras Retenciones'!$B$8:$B$500,'Rev JR'!$A147,'Otras Retenciones'!$D$8:$D$500,"&gt;="&amp;'Rev JR'!N$1,'Otras Retenciones'!$D$8:$D$500,"&lt;="&amp;EOMONTH('Rev JR'!N$1,0))</f>
        <v>0</v>
      </c>
      <c r="O147" s="530">
        <f t="shared" si="28"/>
        <v>0</v>
      </c>
    </row>
    <row r="148" spans="1:15">
      <c r="A148" s="664" t="str">
        <f t="shared" si="29"/>
        <v>K</v>
      </c>
      <c r="B148" s="526" t="str">
        <f t="shared" si="27"/>
        <v xml:space="preserve">        Otras Retenciones  - K</v>
      </c>
      <c r="C148" s="530">
        <f>+SUMIFS('Otras Retenciones'!$G$8:$G$500,'Otras Retenciones'!$B$8:$B$500,'Rev JR'!$A148,'Otras Retenciones'!$D$8:$D$500,"&gt;="&amp;'Rev JR'!C$1,'Otras Retenciones'!$D$8:$D$500,"&lt;="&amp;EOMONTH('Rev JR'!C$1,0))</f>
        <v>0</v>
      </c>
      <c r="D148" s="530">
        <f>+SUMIFS('Otras Retenciones'!$G$8:$G$500,'Otras Retenciones'!$B$8:$B$500,'Rev JR'!$A148,'Otras Retenciones'!$D$8:$D$500,"&gt;="&amp;'Rev JR'!D$1,'Otras Retenciones'!$D$8:$D$500,"&lt;="&amp;EOMONTH('Rev JR'!D$1,0))</f>
        <v>0</v>
      </c>
      <c r="E148" s="530">
        <f>+SUMIFS('Otras Retenciones'!$G$8:$G$500,'Otras Retenciones'!$B$8:$B$500,'Rev JR'!$A148,'Otras Retenciones'!$D$8:$D$500,"&gt;="&amp;'Rev JR'!E$1,'Otras Retenciones'!$D$8:$D$500,"&lt;="&amp;EOMONTH('Rev JR'!E$1,0))</f>
        <v>0</v>
      </c>
      <c r="F148" s="530">
        <f>+SUMIFS('Otras Retenciones'!$G$8:$G$500,'Otras Retenciones'!$B$8:$B$500,'Rev JR'!$A148,'Otras Retenciones'!$D$8:$D$500,"&gt;="&amp;'Rev JR'!F$1,'Otras Retenciones'!$D$8:$D$500,"&lt;="&amp;EOMONTH('Rev JR'!F$1,0))</f>
        <v>0</v>
      </c>
      <c r="G148" s="530">
        <f>+SUMIFS('Otras Retenciones'!$G$8:$G$500,'Otras Retenciones'!$B$8:$B$500,'Rev JR'!$A148,'Otras Retenciones'!$D$8:$D$500,"&gt;="&amp;'Rev JR'!G$1,'Otras Retenciones'!$D$8:$D$500,"&lt;="&amp;EOMONTH('Rev JR'!G$1,0))</f>
        <v>0</v>
      </c>
      <c r="H148" s="530">
        <f>+SUMIFS('Otras Retenciones'!$G$8:$G$500,'Otras Retenciones'!$B$8:$B$500,'Rev JR'!$A148,'Otras Retenciones'!$D$8:$D$500,"&gt;="&amp;'Rev JR'!H$1,'Otras Retenciones'!$D$8:$D$500,"&lt;="&amp;EOMONTH('Rev JR'!H$1,0))</f>
        <v>0</v>
      </c>
      <c r="I148" s="530">
        <f>+SUMIFS('Otras Retenciones'!$G$8:$G$500,'Otras Retenciones'!$B$8:$B$500,'Rev JR'!$A148,'Otras Retenciones'!$D$8:$D$500,"&gt;="&amp;'Rev JR'!I$1,'Otras Retenciones'!$D$8:$D$500,"&lt;="&amp;EOMONTH('Rev JR'!I$1,0))</f>
        <v>0</v>
      </c>
      <c r="J148" s="530">
        <f>+SUMIFS('Otras Retenciones'!$G$8:$G$500,'Otras Retenciones'!$B$8:$B$500,'Rev JR'!$A148,'Otras Retenciones'!$D$8:$D$500,"&gt;="&amp;'Rev JR'!J$1,'Otras Retenciones'!$D$8:$D$500,"&lt;="&amp;EOMONTH('Rev JR'!J$1,0))</f>
        <v>0</v>
      </c>
      <c r="K148" s="530">
        <f>+SUMIFS('Otras Retenciones'!$G$8:$G$500,'Otras Retenciones'!$B$8:$B$500,'Rev JR'!$A148,'Otras Retenciones'!$D$8:$D$500,"&gt;="&amp;'Rev JR'!K$1,'Otras Retenciones'!$D$8:$D$500,"&lt;="&amp;EOMONTH('Rev JR'!K$1,0))</f>
        <v>0</v>
      </c>
      <c r="L148" s="530">
        <f>+SUMIFS('Otras Retenciones'!$G$8:$G$500,'Otras Retenciones'!$B$8:$B$500,'Rev JR'!$A148,'Otras Retenciones'!$D$8:$D$500,"&gt;="&amp;'Rev JR'!L$1,'Otras Retenciones'!$D$8:$D$500,"&lt;="&amp;EOMONTH('Rev JR'!L$1,0))</f>
        <v>0</v>
      </c>
      <c r="M148" s="530">
        <f>+SUMIFS('Otras Retenciones'!$G$8:$G$500,'Otras Retenciones'!$B$8:$B$500,'Rev JR'!$A148,'Otras Retenciones'!$D$8:$D$500,"&gt;="&amp;'Rev JR'!M$1,'Otras Retenciones'!$D$8:$D$500,"&lt;="&amp;EOMONTH('Rev JR'!M$1,0))</f>
        <v>0</v>
      </c>
      <c r="N148" s="530">
        <f>+SUMIFS('Otras Retenciones'!$G$8:$G$500,'Otras Retenciones'!$B$8:$B$500,'Rev JR'!$A148,'Otras Retenciones'!$D$8:$D$500,"&gt;="&amp;'Rev JR'!N$1,'Otras Retenciones'!$D$8:$D$500,"&lt;="&amp;EOMONTH('Rev JR'!N$1,0))</f>
        <v>0</v>
      </c>
      <c r="O148" s="530">
        <f t="shared" si="28"/>
        <v>0</v>
      </c>
    </row>
    <row r="149" spans="1:15">
      <c r="A149" s="664" t="str">
        <f t="shared" si="29"/>
        <v>L</v>
      </c>
      <c r="B149" s="526" t="str">
        <f t="shared" si="27"/>
        <v xml:space="preserve">        Otras Retenciones  - L</v>
      </c>
      <c r="C149" s="530">
        <f>+SUMIFS('Otras Retenciones'!$G$8:$G$500,'Otras Retenciones'!$B$8:$B$500,'Rev JR'!$A149,'Otras Retenciones'!$D$8:$D$500,"&gt;="&amp;'Rev JR'!C$1,'Otras Retenciones'!$D$8:$D$500,"&lt;="&amp;EOMONTH('Rev JR'!C$1,0))</f>
        <v>0</v>
      </c>
      <c r="D149" s="530">
        <f>+SUMIFS('Otras Retenciones'!$G$8:$G$500,'Otras Retenciones'!$B$8:$B$500,'Rev JR'!$A149,'Otras Retenciones'!$D$8:$D$500,"&gt;="&amp;'Rev JR'!D$1,'Otras Retenciones'!$D$8:$D$500,"&lt;="&amp;EOMONTH('Rev JR'!D$1,0))</f>
        <v>0</v>
      </c>
      <c r="E149" s="530">
        <f>+SUMIFS('Otras Retenciones'!$G$8:$G$500,'Otras Retenciones'!$B$8:$B$500,'Rev JR'!$A149,'Otras Retenciones'!$D$8:$D$500,"&gt;="&amp;'Rev JR'!E$1,'Otras Retenciones'!$D$8:$D$500,"&lt;="&amp;EOMONTH('Rev JR'!E$1,0))</f>
        <v>0</v>
      </c>
      <c r="F149" s="530">
        <f>+SUMIFS('Otras Retenciones'!$G$8:$G$500,'Otras Retenciones'!$B$8:$B$500,'Rev JR'!$A149,'Otras Retenciones'!$D$8:$D$500,"&gt;="&amp;'Rev JR'!F$1,'Otras Retenciones'!$D$8:$D$500,"&lt;="&amp;EOMONTH('Rev JR'!F$1,0))</f>
        <v>0</v>
      </c>
      <c r="G149" s="530">
        <f>+SUMIFS('Otras Retenciones'!$G$8:$G$500,'Otras Retenciones'!$B$8:$B$500,'Rev JR'!$A149,'Otras Retenciones'!$D$8:$D$500,"&gt;="&amp;'Rev JR'!G$1,'Otras Retenciones'!$D$8:$D$500,"&lt;="&amp;EOMONTH('Rev JR'!G$1,0))</f>
        <v>0</v>
      </c>
      <c r="H149" s="530">
        <f>+SUMIFS('Otras Retenciones'!$G$8:$G$500,'Otras Retenciones'!$B$8:$B$500,'Rev JR'!$A149,'Otras Retenciones'!$D$8:$D$500,"&gt;="&amp;'Rev JR'!H$1,'Otras Retenciones'!$D$8:$D$500,"&lt;="&amp;EOMONTH('Rev JR'!H$1,0))</f>
        <v>0</v>
      </c>
      <c r="I149" s="530">
        <f>+SUMIFS('Otras Retenciones'!$G$8:$G$500,'Otras Retenciones'!$B$8:$B$500,'Rev JR'!$A149,'Otras Retenciones'!$D$8:$D$500,"&gt;="&amp;'Rev JR'!I$1,'Otras Retenciones'!$D$8:$D$500,"&lt;="&amp;EOMONTH('Rev JR'!I$1,0))</f>
        <v>0</v>
      </c>
      <c r="J149" s="530">
        <f>+SUMIFS('Otras Retenciones'!$G$8:$G$500,'Otras Retenciones'!$B$8:$B$500,'Rev JR'!$A149,'Otras Retenciones'!$D$8:$D$500,"&gt;="&amp;'Rev JR'!J$1,'Otras Retenciones'!$D$8:$D$500,"&lt;="&amp;EOMONTH('Rev JR'!J$1,0))</f>
        <v>0</v>
      </c>
      <c r="K149" s="530">
        <f>+SUMIFS('Otras Retenciones'!$G$8:$G$500,'Otras Retenciones'!$B$8:$B$500,'Rev JR'!$A149,'Otras Retenciones'!$D$8:$D$500,"&gt;="&amp;'Rev JR'!K$1,'Otras Retenciones'!$D$8:$D$500,"&lt;="&amp;EOMONTH('Rev JR'!K$1,0))</f>
        <v>0</v>
      </c>
      <c r="L149" s="530">
        <f>+SUMIFS('Otras Retenciones'!$G$8:$G$500,'Otras Retenciones'!$B$8:$B$500,'Rev JR'!$A149,'Otras Retenciones'!$D$8:$D$500,"&gt;="&amp;'Rev JR'!L$1,'Otras Retenciones'!$D$8:$D$500,"&lt;="&amp;EOMONTH('Rev JR'!L$1,0))</f>
        <v>0</v>
      </c>
      <c r="M149" s="530">
        <f>+SUMIFS('Otras Retenciones'!$G$8:$G$500,'Otras Retenciones'!$B$8:$B$500,'Rev JR'!$A149,'Otras Retenciones'!$D$8:$D$500,"&gt;="&amp;'Rev JR'!M$1,'Otras Retenciones'!$D$8:$D$500,"&lt;="&amp;EOMONTH('Rev JR'!M$1,0))</f>
        <v>0</v>
      </c>
      <c r="N149" s="530">
        <f>+SUMIFS('Otras Retenciones'!$G$8:$G$500,'Otras Retenciones'!$B$8:$B$500,'Rev JR'!$A149,'Otras Retenciones'!$D$8:$D$500,"&gt;="&amp;'Rev JR'!N$1,'Otras Retenciones'!$D$8:$D$500,"&lt;="&amp;EOMONTH('Rev JR'!N$1,0))</f>
        <v>0</v>
      </c>
      <c r="O149" s="530">
        <f t="shared" si="28"/>
        <v>0</v>
      </c>
    </row>
    <row r="150" spans="1:15">
      <c r="A150" s="664" t="str">
        <f t="shared" si="29"/>
        <v>M</v>
      </c>
      <c r="B150" s="526" t="str">
        <f t="shared" si="27"/>
        <v xml:space="preserve">        Otras Retenciones  - M</v>
      </c>
      <c r="C150" s="530">
        <f>+SUMIFS('Otras Retenciones'!$G$8:$G$500,'Otras Retenciones'!$B$8:$B$500,'Rev JR'!$A150,'Otras Retenciones'!$D$8:$D$500,"&gt;="&amp;'Rev JR'!C$1,'Otras Retenciones'!$D$8:$D$500,"&lt;="&amp;EOMONTH('Rev JR'!C$1,0))</f>
        <v>0</v>
      </c>
      <c r="D150" s="530">
        <f>+SUMIFS('Otras Retenciones'!$G$8:$G$500,'Otras Retenciones'!$B$8:$B$500,'Rev JR'!$A150,'Otras Retenciones'!$D$8:$D$500,"&gt;="&amp;'Rev JR'!D$1,'Otras Retenciones'!$D$8:$D$500,"&lt;="&amp;EOMONTH('Rev JR'!D$1,0))</f>
        <v>0</v>
      </c>
      <c r="E150" s="530">
        <f>+SUMIFS('Otras Retenciones'!$G$8:$G$500,'Otras Retenciones'!$B$8:$B$500,'Rev JR'!$A150,'Otras Retenciones'!$D$8:$D$500,"&gt;="&amp;'Rev JR'!E$1,'Otras Retenciones'!$D$8:$D$500,"&lt;="&amp;EOMONTH('Rev JR'!E$1,0))</f>
        <v>0</v>
      </c>
      <c r="F150" s="530">
        <f>+SUMIFS('Otras Retenciones'!$G$8:$G$500,'Otras Retenciones'!$B$8:$B$500,'Rev JR'!$A150,'Otras Retenciones'!$D$8:$D$500,"&gt;="&amp;'Rev JR'!F$1,'Otras Retenciones'!$D$8:$D$500,"&lt;="&amp;EOMONTH('Rev JR'!F$1,0))</f>
        <v>0</v>
      </c>
      <c r="G150" s="530">
        <f>+SUMIFS('Otras Retenciones'!$G$8:$G$500,'Otras Retenciones'!$B$8:$B$500,'Rev JR'!$A150,'Otras Retenciones'!$D$8:$D$500,"&gt;="&amp;'Rev JR'!G$1,'Otras Retenciones'!$D$8:$D$500,"&lt;="&amp;EOMONTH('Rev JR'!G$1,0))</f>
        <v>0</v>
      </c>
      <c r="H150" s="530">
        <f>+SUMIFS('Otras Retenciones'!$G$8:$G$500,'Otras Retenciones'!$B$8:$B$500,'Rev JR'!$A150,'Otras Retenciones'!$D$8:$D$500,"&gt;="&amp;'Rev JR'!H$1,'Otras Retenciones'!$D$8:$D$500,"&lt;="&amp;EOMONTH('Rev JR'!H$1,0))</f>
        <v>0</v>
      </c>
      <c r="I150" s="530">
        <f>+SUMIFS('Otras Retenciones'!$G$8:$G$500,'Otras Retenciones'!$B$8:$B$500,'Rev JR'!$A150,'Otras Retenciones'!$D$8:$D$500,"&gt;="&amp;'Rev JR'!I$1,'Otras Retenciones'!$D$8:$D$500,"&lt;="&amp;EOMONTH('Rev JR'!I$1,0))</f>
        <v>0</v>
      </c>
      <c r="J150" s="530">
        <f>+SUMIFS('Otras Retenciones'!$G$8:$G$500,'Otras Retenciones'!$B$8:$B$500,'Rev JR'!$A150,'Otras Retenciones'!$D$8:$D$500,"&gt;="&amp;'Rev JR'!J$1,'Otras Retenciones'!$D$8:$D$500,"&lt;="&amp;EOMONTH('Rev JR'!J$1,0))</f>
        <v>0</v>
      </c>
      <c r="K150" s="530">
        <f>+SUMIFS('Otras Retenciones'!$G$8:$G$500,'Otras Retenciones'!$B$8:$B$500,'Rev JR'!$A150,'Otras Retenciones'!$D$8:$D$500,"&gt;="&amp;'Rev JR'!K$1,'Otras Retenciones'!$D$8:$D$500,"&lt;="&amp;EOMONTH('Rev JR'!K$1,0))</f>
        <v>0</v>
      </c>
      <c r="L150" s="530">
        <f>+SUMIFS('Otras Retenciones'!$G$8:$G$500,'Otras Retenciones'!$B$8:$B$500,'Rev JR'!$A150,'Otras Retenciones'!$D$8:$D$500,"&gt;="&amp;'Rev JR'!L$1,'Otras Retenciones'!$D$8:$D$500,"&lt;="&amp;EOMONTH('Rev JR'!L$1,0))</f>
        <v>0</v>
      </c>
      <c r="M150" s="530">
        <f>+SUMIFS('Otras Retenciones'!$G$8:$G$500,'Otras Retenciones'!$B$8:$B$500,'Rev JR'!$A150,'Otras Retenciones'!$D$8:$D$500,"&gt;="&amp;'Rev JR'!M$1,'Otras Retenciones'!$D$8:$D$500,"&lt;="&amp;EOMONTH('Rev JR'!M$1,0))</f>
        <v>0</v>
      </c>
      <c r="N150" s="530">
        <f>+SUMIFS('Otras Retenciones'!$G$8:$G$500,'Otras Retenciones'!$B$8:$B$500,'Rev JR'!$A150,'Otras Retenciones'!$D$8:$D$500,"&gt;="&amp;'Rev JR'!N$1,'Otras Retenciones'!$D$8:$D$500,"&lt;="&amp;EOMONTH('Rev JR'!N$1,0))</f>
        <v>0</v>
      </c>
      <c r="O150" s="530">
        <f t="shared" si="28"/>
        <v>0</v>
      </c>
    </row>
    <row r="151" spans="1:15">
      <c r="A151" s="664" t="str">
        <f t="shared" si="29"/>
        <v>N</v>
      </c>
      <c r="B151" s="526" t="str">
        <f t="shared" si="27"/>
        <v xml:space="preserve">        Otras Retenciones  - N</v>
      </c>
      <c r="C151" s="530">
        <f>+SUMIFS('Otras Retenciones'!$G$8:$G$500,'Otras Retenciones'!$B$8:$B$500,'Rev JR'!$A151,'Otras Retenciones'!$D$8:$D$500,"&gt;="&amp;'Rev JR'!C$1,'Otras Retenciones'!$D$8:$D$500,"&lt;="&amp;EOMONTH('Rev JR'!C$1,0))</f>
        <v>0</v>
      </c>
      <c r="D151" s="530">
        <f>+SUMIFS('Otras Retenciones'!$G$8:$G$500,'Otras Retenciones'!$B$8:$B$500,'Rev JR'!$A151,'Otras Retenciones'!$D$8:$D$500,"&gt;="&amp;'Rev JR'!D$1,'Otras Retenciones'!$D$8:$D$500,"&lt;="&amp;EOMONTH('Rev JR'!D$1,0))</f>
        <v>0</v>
      </c>
      <c r="E151" s="530">
        <f>+SUMIFS('Otras Retenciones'!$G$8:$G$500,'Otras Retenciones'!$B$8:$B$500,'Rev JR'!$A151,'Otras Retenciones'!$D$8:$D$500,"&gt;="&amp;'Rev JR'!E$1,'Otras Retenciones'!$D$8:$D$500,"&lt;="&amp;EOMONTH('Rev JR'!E$1,0))</f>
        <v>0</v>
      </c>
      <c r="F151" s="530">
        <f>+SUMIFS('Otras Retenciones'!$G$8:$G$500,'Otras Retenciones'!$B$8:$B$500,'Rev JR'!$A151,'Otras Retenciones'!$D$8:$D$500,"&gt;="&amp;'Rev JR'!F$1,'Otras Retenciones'!$D$8:$D$500,"&lt;="&amp;EOMONTH('Rev JR'!F$1,0))</f>
        <v>0</v>
      </c>
      <c r="G151" s="530">
        <f>+SUMIFS('Otras Retenciones'!$G$8:$G$500,'Otras Retenciones'!$B$8:$B$500,'Rev JR'!$A151,'Otras Retenciones'!$D$8:$D$500,"&gt;="&amp;'Rev JR'!G$1,'Otras Retenciones'!$D$8:$D$500,"&lt;="&amp;EOMONTH('Rev JR'!G$1,0))</f>
        <v>0</v>
      </c>
      <c r="H151" s="530">
        <f>+SUMIFS('Otras Retenciones'!$G$8:$G$500,'Otras Retenciones'!$B$8:$B$500,'Rev JR'!$A151,'Otras Retenciones'!$D$8:$D$500,"&gt;="&amp;'Rev JR'!H$1,'Otras Retenciones'!$D$8:$D$500,"&lt;="&amp;EOMONTH('Rev JR'!H$1,0))</f>
        <v>0</v>
      </c>
      <c r="I151" s="530">
        <f>+SUMIFS('Otras Retenciones'!$G$8:$G$500,'Otras Retenciones'!$B$8:$B$500,'Rev JR'!$A151,'Otras Retenciones'!$D$8:$D$500,"&gt;="&amp;'Rev JR'!I$1,'Otras Retenciones'!$D$8:$D$500,"&lt;="&amp;EOMONTH('Rev JR'!I$1,0))</f>
        <v>0</v>
      </c>
      <c r="J151" s="530">
        <f>+SUMIFS('Otras Retenciones'!$G$8:$G$500,'Otras Retenciones'!$B$8:$B$500,'Rev JR'!$A151,'Otras Retenciones'!$D$8:$D$500,"&gt;="&amp;'Rev JR'!J$1,'Otras Retenciones'!$D$8:$D$500,"&lt;="&amp;EOMONTH('Rev JR'!J$1,0))</f>
        <v>0</v>
      </c>
      <c r="K151" s="530">
        <f>+SUMIFS('Otras Retenciones'!$G$8:$G$500,'Otras Retenciones'!$B$8:$B$500,'Rev JR'!$A151,'Otras Retenciones'!$D$8:$D$500,"&gt;="&amp;'Rev JR'!K$1,'Otras Retenciones'!$D$8:$D$500,"&lt;="&amp;EOMONTH('Rev JR'!K$1,0))</f>
        <v>0</v>
      </c>
      <c r="L151" s="530">
        <f>+SUMIFS('Otras Retenciones'!$G$8:$G$500,'Otras Retenciones'!$B$8:$B$500,'Rev JR'!$A151,'Otras Retenciones'!$D$8:$D$500,"&gt;="&amp;'Rev JR'!L$1,'Otras Retenciones'!$D$8:$D$500,"&lt;="&amp;EOMONTH('Rev JR'!L$1,0))</f>
        <v>0</v>
      </c>
      <c r="M151" s="530">
        <f>+SUMIFS('Otras Retenciones'!$G$8:$G$500,'Otras Retenciones'!$B$8:$B$500,'Rev JR'!$A151,'Otras Retenciones'!$D$8:$D$500,"&gt;="&amp;'Rev JR'!M$1,'Otras Retenciones'!$D$8:$D$500,"&lt;="&amp;EOMONTH('Rev JR'!M$1,0))</f>
        <v>0</v>
      </c>
      <c r="N151" s="530">
        <f>+SUMIFS('Otras Retenciones'!$G$8:$G$500,'Otras Retenciones'!$B$8:$B$500,'Rev JR'!$A151,'Otras Retenciones'!$D$8:$D$500,"&gt;="&amp;'Rev JR'!N$1,'Otras Retenciones'!$D$8:$D$500,"&lt;="&amp;EOMONTH('Rev JR'!N$1,0))</f>
        <v>0</v>
      </c>
      <c r="O151" s="530">
        <f t="shared" si="28"/>
        <v>0</v>
      </c>
    </row>
    <row r="152" spans="1:15">
      <c r="A152" s="664" t="str">
        <f t="shared" si="29"/>
        <v>O</v>
      </c>
      <c r="B152" s="526" t="str">
        <f t="shared" si="27"/>
        <v xml:space="preserve">        Otras Retenciones  - O</v>
      </c>
      <c r="C152" s="530">
        <f>+SUMIFS('Otras Retenciones'!$G$8:$G$500,'Otras Retenciones'!$B$8:$B$500,'Rev JR'!$A152,'Otras Retenciones'!$D$8:$D$500,"&gt;="&amp;'Rev JR'!C$1,'Otras Retenciones'!$D$8:$D$500,"&lt;="&amp;EOMONTH('Rev JR'!C$1,0))</f>
        <v>0</v>
      </c>
      <c r="D152" s="530">
        <f>+SUMIFS('Otras Retenciones'!$G$8:$G$500,'Otras Retenciones'!$B$8:$B$500,'Rev JR'!$A152,'Otras Retenciones'!$D$8:$D$500,"&gt;="&amp;'Rev JR'!D$1,'Otras Retenciones'!$D$8:$D$500,"&lt;="&amp;EOMONTH('Rev JR'!D$1,0))</f>
        <v>0</v>
      </c>
      <c r="E152" s="530">
        <f>+SUMIFS('Otras Retenciones'!$G$8:$G$500,'Otras Retenciones'!$B$8:$B$500,'Rev JR'!$A152,'Otras Retenciones'!$D$8:$D$500,"&gt;="&amp;'Rev JR'!E$1,'Otras Retenciones'!$D$8:$D$500,"&lt;="&amp;EOMONTH('Rev JR'!E$1,0))</f>
        <v>0</v>
      </c>
      <c r="F152" s="530">
        <f>+SUMIFS('Otras Retenciones'!$G$8:$G$500,'Otras Retenciones'!$B$8:$B$500,'Rev JR'!$A152,'Otras Retenciones'!$D$8:$D$500,"&gt;="&amp;'Rev JR'!F$1,'Otras Retenciones'!$D$8:$D$500,"&lt;="&amp;EOMONTH('Rev JR'!F$1,0))</f>
        <v>0</v>
      </c>
      <c r="G152" s="530">
        <f>+SUMIFS('Otras Retenciones'!$G$8:$G$500,'Otras Retenciones'!$B$8:$B$500,'Rev JR'!$A152,'Otras Retenciones'!$D$8:$D$500,"&gt;="&amp;'Rev JR'!G$1,'Otras Retenciones'!$D$8:$D$500,"&lt;="&amp;EOMONTH('Rev JR'!G$1,0))</f>
        <v>0</v>
      </c>
      <c r="H152" s="530">
        <f>+SUMIFS('Otras Retenciones'!$G$8:$G$500,'Otras Retenciones'!$B$8:$B$500,'Rev JR'!$A152,'Otras Retenciones'!$D$8:$D$500,"&gt;="&amp;'Rev JR'!H$1,'Otras Retenciones'!$D$8:$D$500,"&lt;="&amp;EOMONTH('Rev JR'!H$1,0))</f>
        <v>0</v>
      </c>
      <c r="I152" s="530">
        <f>+SUMIFS('Otras Retenciones'!$G$8:$G$500,'Otras Retenciones'!$B$8:$B$500,'Rev JR'!$A152,'Otras Retenciones'!$D$8:$D$500,"&gt;="&amp;'Rev JR'!I$1,'Otras Retenciones'!$D$8:$D$500,"&lt;="&amp;EOMONTH('Rev JR'!I$1,0))</f>
        <v>0</v>
      </c>
      <c r="J152" s="530">
        <f>+SUMIFS('Otras Retenciones'!$G$8:$G$500,'Otras Retenciones'!$B$8:$B$500,'Rev JR'!$A152,'Otras Retenciones'!$D$8:$D$500,"&gt;="&amp;'Rev JR'!J$1,'Otras Retenciones'!$D$8:$D$500,"&lt;="&amp;EOMONTH('Rev JR'!J$1,0))</f>
        <v>0</v>
      </c>
      <c r="K152" s="530">
        <f>+SUMIFS('Otras Retenciones'!$G$8:$G$500,'Otras Retenciones'!$B$8:$B$500,'Rev JR'!$A152,'Otras Retenciones'!$D$8:$D$500,"&gt;="&amp;'Rev JR'!K$1,'Otras Retenciones'!$D$8:$D$500,"&lt;="&amp;EOMONTH('Rev JR'!K$1,0))</f>
        <v>0</v>
      </c>
      <c r="L152" s="530">
        <f>+SUMIFS('Otras Retenciones'!$G$8:$G$500,'Otras Retenciones'!$B$8:$B$500,'Rev JR'!$A152,'Otras Retenciones'!$D$8:$D$500,"&gt;="&amp;'Rev JR'!L$1,'Otras Retenciones'!$D$8:$D$500,"&lt;="&amp;EOMONTH('Rev JR'!L$1,0))</f>
        <v>0</v>
      </c>
      <c r="M152" s="530">
        <f>+SUMIFS('Otras Retenciones'!$G$8:$G$500,'Otras Retenciones'!$B$8:$B$500,'Rev JR'!$A152,'Otras Retenciones'!$D$8:$D$500,"&gt;="&amp;'Rev JR'!M$1,'Otras Retenciones'!$D$8:$D$500,"&lt;="&amp;EOMONTH('Rev JR'!M$1,0))</f>
        <v>0</v>
      </c>
      <c r="N152" s="530">
        <f>+SUMIFS('Otras Retenciones'!$G$8:$G$500,'Otras Retenciones'!$B$8:$B$500,'Rev JR'!$A152,'Otras Retenciones'!$D$8:$D$500,"&gt;="&amp;'Rev JR'!N$1,'Otras Retenciones'!$D$8:$D$500,"&lt;="&amp;EOMONTH('Rev JR'!N$1,0))</f>
        <v>0</v>
      </c>
      <c r="O152" s="530">
        <f t="shared" si="28"/>
        <v>0</v>
      </c>
    </row>
    <row r="153" spans="1:15">
      <c r="A153" s="664" t="str">
        <f t="shared" si="29"/>
        <v>P</v>
      </c>
      <c r="B153" s="526" t="str">
        <f t="shared" si="27"/>
        <v xml:space="preserve">        Otras Retenciones  - P</v>
      </c>
      <c r="C153" s="530">
        <f>+SUMIFS('Otras Retenciones'!$G$8:$G$500,'Otras Retenciones'!$B$8:$B$500,'Rev JR'!$A153,'Otras Retenciones'!$D$8:$D$500,"&gt;="&amp;'Rev JR'!C$1,'Otras Retenciones'!$D$8:$D$500,"&lt;="&amp;EOMONTH('Rev JR'!C$1,0))</f>
        <v>0</v>
      </c>
      <c r="D153" s="530">
        <f>+SUMIFS('Otras Retenciones'!$G$8:$G$500,'Otras Retenciones'!$B$8:$B$500,'Rev JR'!$A153,'Otras Retenciones'!$D$8:$D$500,"&gt;="&amp;'Rev JR'!D$1,'Otras Retenciones'!$D$8:$D$500,"&lt;="&amp;EOMONTH('Rev JR'!D$1,0))</f>
        <v>0</v>
      </c>
      <c r="E153" s="530">
        <f>+SUMIFS('Otras Retenciones'!$G$8:$G$500,'Otras Retenciones'!$B$8:$B$500,'Rev JR'!$A153,'Otras Retenciones'!$D$8:$D$500,"&gt;="&amp;'Rev JR'!E$1,'Otras Retenciones'!$D$8:$D$500,"&lt;="&amp;EOMONTH('Rev JR'!E$1,0))</f>
        <v>0</v>
      </c>
      <c r="F153" s="530">
        <f>+SUMIFS('Otras Retenciones'!$G$8:$G$500,'Otras Retenciones'!$B$8:$B$500,'Rev JR'!$A153,'Otras Retenciones'!$D$8:$D$500,"&gt;="&amp;'Rev JR'!F$1,'Otras Retenciones'!$D$8:$D$500,"&lt;="&amp;EOMONTH('Rev JR'!F$1,0))</f>
        <v>0</v>
      </c>
      <c r="G153" s="530">
        <f>+SUMIFS('Otras Retenciones'!$G$8:$G$500,'Otras Retenciones'!$B$8:$B$500,'Rev JR'!$A153,'Otras Retenciones'!$D$8:$D$500,"&gt;="&amp;'Rev JR'!G$1,'Otras Retenciones'!$D$8:$D$500,"&lt;="&amp;EOMONTH('Rev JR'!G$1,0))</f>
        <v>0</v>
      </c>
      <c r="H153" s="530">
        <f>+SUMIFS('Otras Retenciones'!$G$8:$G$500,'Otras Retenciones'!$B$8:$B$500,'Rev JR'!$A153,'Otras Retenciones'!$D$8:$D$500,"&gt;="&amp;'Rev JR'!H$1,'Otras Retenciones'!$D$8:$D$500,"&lt;="&amp;EOMONTH('Rev JR'!H$1,0))</f>
        <v>0</v>
      </c>
      <c r="I153" s="530">
        <f>+SUMIFS('Otras Retenciones'!$G$8:$G$500,'Otras Retenciones'!$B$8:$B$500,'Rev JR'!$A153,'Otras Retenciones'!$D$8:$D$500,"&gt;="&amp;'Rev JR'!I$1,'Otras Retenciones'!$D$8:$D$500,"&lt;="&amp;EOMONTH('Rev JR'!I$1,0))</f>
        <v>0</v>
      </c>
      <c r="J153" s="530">
        <f>+SUMIFS('Otras Retenciones'!$G$8:$G$500,'Otras Retenciones'!$B$8:$B$500,'Rev JR'!$A153,'Otras Retenciones'!$D$8:$D$500,"&gt;="&amp;'Rev JR'!J$1,'Otras Retenciones'!$D$8:$D$500,"&lt;="&amp;EOMONTH('Rev JR'!J$1,0))</f>
        <v>0</v>
      </c>
      <c r="K153" s="530">
        <f>+SUMIFS('Otras Retenciones'!$G$8:$G$500,'Otras Retenciones'!$B$8:$B$500,'Rev JR'!$A153,'Otras Retenciones'!$D$8:$D$500,"&gt;="&amp;'Rev JR'!K$1,'Otras Retenciones'!$D$8:$D$500,"&lt;="&amp;EOMONTH('Rev JR'!K$1,0))</f>
        <v>0</v>
      </c>
      <c r="L153" s="530">
        <f>+SUMIFS('Otras Retenciones'!$G$8:$G$500,'Otras Retenciones'!$B$8:$B$500,'Rev JR'!$A153,'Otras Retenciones'!$D$8:$D$500,"&gt;="&amp;'Rev JR'!L$1,'Otras Retenciones'!$D$8:$D$500,"&lt;="&amp;EOMONTH('Rev JR'!L$1,0))</f>
        <v>0</v>
      </c>
      <c r="M153" s="530">
        <f>+SUMIFS('Otras Retenciones'!$G$8:$G$500,'Otras Retenciones'!$B$8:$B$500,'Rev JR'!$A153,'Otras Retenciones'!$D$8:$D$500,"&gt;="&amp;'Rev JR'!M$1,'Otras Retenciones'!$D$8:$D$500,"&lt;="&amp;EOMONTH('Rev JR'!M$1,0))</f>
        <v>0</v>
      </c>
      <c r="N153" s="530">
        <f>+SUMIFS('Otras Retenciones'!$G$8:$G$500,'Otras Retenciones'!$B$8:$B$500,'Rev JR'!$A153,'Otras Retenciones'!$D$8:$D$500,"&gt;="&amp;'Rev JR'!N$1,'Otras Retenciones'!$D$8:$D$500,"&lt;="&amp;EOMONTH('Rev JR'!N$1,0))</f>
        <v>0</v>
      </c>
      <c r="O153" s="530">
        <f t="shared" si="28"/>
        <v>0</v>
      </c>
    </row>
    <row r="154" spans="1:15">
      <c r="A154" s="522"/>
      <c r="B154" s="531" t="s">
        <v>624</v>
      </c>
      <c r="C154" s="532">
        <f t="shared" ref="C154:N154" si="30">SUM(C138:C153)</f>
        <v>0</v>
      </c>
      <c r="D154" s="532">
        <f t="shared" si="30"/>
        <v>0</v>
      </c>
      <c r="E154" s="532">
        <f t="shared" si="30"/>
        <v>0</v>
      </c>
      <c r="F154" s="532">
        <f t="shared" si="30"/>
        <v>0</v>
      </c>
      <c r="G154" s="532">
        <f t="shared" si="30"/>
        <v>0</v>
      </c>
      <c r="H154" s="532">
        <f t="shared" si="30"/>
        <v>0</v>
      </c>
      <c r="I154" s="532">
        <f t="shared" si="30"/>
        <v>0</v>
      </c>
      <c r="J154" s="532">
        <f t="shared" si="30"/>
        <v>0</v>
      </c>
      <c r="K154" s="532">
        <f t="shared" si="30"/>
        <v>0</v>
      </c>
      <c r="L154" s="532">
        <f t="shared" si="30"/>
        <v>0</v>
      </c>
      <c r="M154" s="532">
        <f t="shared" si="30"/>
        <v>0</v>
      </c>
      <c r="N154" s="532">
        <f t="shared" si="30"/>
        <v>0</v>
      </c>
      <c r="O154" s="532">
        <f>SUM(O138:O153)</f>
        <v>0</v>
      </c>
    </row>
    <row r="155" spans="1:15">
      <c r="A155" s="526"/>
      <c r="B155" s="526"/>
      <c r="C155" s="526"/>
      <c r="D155" s="526"/>
      <c r="E155" s="526"/>
      <c r="F155" s="526"/>
      <c r="G155" s="526"/>
      <c r="H155" s="526"/>
      <c r="I155" s="526"/>
      <c r="J155" s="526"/>
      <c r="K155" s="526"/>
      <c r="L155" s="526"/>
      <c r="M155" s="526"/>
      <c r="N155" s="526"/>
      <c r="O155" s="526"/>
    </row>
    <row r="156" spans="1:15">
      <c r="A156" s="526"/>
      <c r="B156" s="526"/>
      <c r="C156" s="526"/>
      <c r="D156" s="526"/>
      <c r="E156" s="526"/>
      <c r="F156" s="526"/>
      <c r="G156" s="526"/>
      <c r="H156" s="526"/>
      <c r="I156" s="526"/>
      <c r="J156" s="526"/>
      <c r="K156" s="526"/>
      <c r="L156" s="526"/>
      <c r="M156" s="526"/>
      <c r="N156" s="526"/>
      <c r="O156" s="526"/>
    </row>
  </sheetData>
  <sheetProtection algorithmName="SHA-512" hashValue="62IbTR9b0sRRlgrCvyGlTrzFo9od2AQh8JnXIrzUZ6Bhcpa3bygJywtl8KDV8Y4G9YiF0eWV6kYAbLT8Zm9qdA==" saltValue="pLDhkP+kyOMClTVrEMMUlw==" spinCount="100000" sheet="1" objects="1" scenarios="1"/>
  <autoFilter ref="A2:O155" xr:uid="{8005A002-1D88-3347-B508-7A9B8A0C972D}"/>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35</vt:i4>
      </vt:variant>
      <vt:variant>
        <vt:lpstr>Named Ranges</vt:lpstr>
      </vt:variant>
      <vt:variant>
        <vt:i4>63</vt:i4>
      </vt:variant>
    </vt:vector>
  </HeadingPairs>
  <TitlesOfParts>
    <vt:vector size="98" baseType="lpstr">
      <vt:lpstr>Cuentas</vt:lpstr>
      <vt:lpstr>Transferencias</vt:lpstr>
      <vt:lpstr>Sumaria Ingresos</vt:lpstr>
      <vt:lpstr>2 Ingresos BMV &amp; SIC</vt:lpstr>
      <vt:lpstr>1 Ingresos Acum &amp; No Acum</vt:lpstr>
      <vt:lpstr>3 Ingresos 10% Ad - Dividendos</vt:lpstr>
      <vt:lpstr>Cap Gain Summary S-I</vt:lpstr>
      <vt:lpstr>Cap Gain Summary S-II</vt:lpstr>
      <vt:lpstr>OFD Summary</vt:lpstr>
      <vt:lpstr>CGDet Cap IV SI &amp; SII - NO OFD </vt:lpstr>
      <vt:lpstr>CG OFD Cap IV SII &amp; Cap IX</vt:lpstr>
      <vt:lpstr>Intereses percibidos</vt:lpstr>
      <vt:lpstr>Intereses en Compra Venta Bonos</vt:lpstr>
      <vt:lpstr>Ganancias Cambiarias - Contrato</vt:lpstr>
      <vt:lpstr>AAI</vt:lpstr>
      <vt:lpstr>Saldos Cash</vt:lpstr>
      <vt:lpstr>Inventario de bonos</vt:lpstr>
      <vt:lpstr>239</vt:lpstr>
      <vt:lpstr>Otros Ingresos</vt:lpstr>
      <vt:lpstr>Dividendos Nacionales</vt:lpstr>
      <vt:lpstr>Reducciones de Capital</vt:lpstr>
      <vt:lpstr>Dividendos Extranjero</vt:lpstr>
      <vt:lpstr>Dividendos Extranjeros - Ret</vt:lpstr>
      <vt:lpstr>PE - Real Gain Loss</vt:lpstr>
      <vt:lpstr>PE - Retenciones</vt:lpstr>
      <vt:lpstr>PE - Inventario</vt:lpstr>
      <vt:lpstr>Otras Retenciones</vt:lpstr>
      <vt:lpstr>Swap</vt:lpstr>
      <vt:lpstr>FWD</vt:lpstr>
      <vt:lpstr>Ventas Acciones &amp; Bonos</vt:lpstr>
      <vt:lpstr>Ventas OFD</vt:lpstr>
      <vt:lpstr>Equivalencia</vt:lpstr>
      <vt:lpstr>TC</vt:lpstr>
      <vt:lpstr>INPC</vt:lpstr>
      <vt:lpstr>Rev JR</vt:lpstr>
      <vt:lpstr>Accrued_Interest_Paid</vt:lpstr>
      <vt:lpstr>'Ventas OFD'!Instrumentos</vt:lpstr>
      <vt:lpstr>Instrumentos</vt:lpstr>
      <vt:lpstr>Intereses</vt:lpstr>
      <vt:lpstr>Monedas</vt:lpstr>
      <vt:lpstr>'Reducciones de Capital'!Monedas_Dividendos</vt:lpstr>
      <vt:lpstr>Monedas_Dividendos</vt:lpstr>
      <vt:lpstr>Monedas_Ventas</vt:lpstr>
      <vt:lpstr>'Ventas OFD'!Operaciones</vt:lpstr>
      <vt:lpstr>Operaciones</vt:lpstr>
      <vt:lpstr>Otros_Ingresos</vt:lpstr>
      <vt:lpstr>'1 Ingresos Acum &amp; No Acum'!Print_Area</vt:lpstr>
      <vt:lpstr>'2 Ingresos BMV &amp; SIC'!Print_Area</vt:lpstr>
      <vt:lpstr>'239'!Print_Area</vt:lpstr>
      <vt:lpstr>'3 Ingresos 10% Ad - Dividendos'!Print_Area</vt:lpstr>
      <vt:lpstr>AAI!Print_Area</vt:lpstr>
      <vt:lpstr>'Cap Gain Summary S-I'!Print_Area</vt:lpstr>
      <vt:lpstr>'Cap Gain Summary S-II'!Print_Area</vt:lpstr>
      <vt:lpstr>'CG OFD Cap IV SII &amp; Cap IX'!Print_Area</vt:lpstr>
      <vt:lpstr>'CGDet Cap IV SI &amp; SII - NO OFD '!Print_Area</vt:lpstr>
      <vt:lpstr>Cuentas!Print_Area</vt:lpstr>
      <vt:lpstr>'Dividendos Extranjero'!Print_Area</vt:lpstr>
      <vt:lpstr>'Dividendos Extranjeros - Ret'!Print_Area</vt:lpstr>
      <vt:lpstr>'Dividendos Nacionales'!Print_Area</vt:lpstr>
      <vt:lpstr>FWD!Print_Area</vt:lpstr>
      <vt:lpstr>'Ganancias Cambiarias - Contrato'!Print_Area</vt:lpstr>
      <vt:lpstr>'Intereses en Compra Venta Bonos'!Print_Area</vt:lpstr>
      <vt:lpstr>'Intereses percibidos'!Print_Area</vt:lpstr>
      <vt:lpstr>'Inventario de bonos'!Print_Area</vt:lpstr>
      <vt:lpstr>'OFD Summary'!Print_Area</vt:lpstr>
      <vt:lpstr>'Otras Retenciones'!Print_Area</vt:lpstr>
      <vt:lpstr>'Otros Ingresos'!Print_Area</vt:lpstr>
      <vt:lpstr>'PE - Inventario'!Print_Area</vt:lpstr>
      <vt:lpstr>'PE - Real Gain Loss'!Print_Area</vt:lpstr>
      <vt:lpstr>'PE - Retenciones'!Print_Area</vt:lpstr>
      <vt:lpstr>'Reducciones de Capital'!Print_Area</vt:lpstr>
      <vt:lpstr>'Saldos Cash'!Print_Area</vt:lpstr>
      <vt:lpstr>'Sumaria Ingresos'!Print_Area</vt:lpstr>
      <vt:lpstr>Swap!Print_Area</vt:lpstr>
      <vt:lpstr>'Cap Gain Summary S-I'!Print_Titles</vt:lpstr>
      <vt:lpstr>'Cap Gain Summary S-II'!Print_Titles</vt:lpstr>
      <vt:lpstr>'CG OFD Cap IV SII &amp; Cap IX'!Print_Titles</vt:lpstr>
      <vt:lpstr>'CGDet Cap IV SI &amp; SII - NO OFD '!Print_Titles</vt:lpstr>
      <vt:lpstr>'Dividendos Extranjero'!Print_Titles</vt:lpstr>
      <vt:lpstr>'Dividendos Extranjeros - Ret'!Print_Titles</vt:lpstr>
      <vt:lpstr>'Dividendos Nacionales'!Print_Titles</vt:lpstr>
      <vt:lpstr>FWD!Print_Titles</vt:lpstr>
      <vt:lpstr>'Ganancias Cambiarias - Contrato'!Print_Titles</vt:lpstr>
      <vt:lpstr>'Intereses en Compra Venta Bonos'!Print_Titles</vt:lpstr>
      <vt:lpstr>'Intereses percibidos'!Print_Titles</vt:lpstr>
      <vt:lpstr>'Inventario de bonos'!Print_Titles</vt:lpstr>
      <vt:lpstr>'OFD Summary'!Print_Titles</vt:lpstr>
      <vt:lpstr>'Otras Retenciones'!Print_Titles</vt:lpstr>
      <vt:lpstr>'Otros Ingresos'!Print_Titles</vt:lpstr>
      <vt:lpstr>'PE - Inventario'!Print_Titles</vt:lpstr>
      <vt:lpstr>'PE - Real Gain Loss'!Print_Titles</vt:lpstr>
      <vt:lpstr>'PE - Retenciones'!Print_Titles</vt:lpstr>
      <vt:lpstr>'Reducciones de Capital'!Print_Titles</vt:lpstr>
      <vt:lpstr>'Saldos Cash'!Print_Titles</vt:lpstr>
      <vt:lpstr>Swap!Print_Titles</vt:lpstr>
      <vt:lpstr>'PE - Retenciones'!Private_Equity</vt:lpstr>
      <vt:lpstr>Private_Equity</vt:lpstr>
      <vt:lpstr>Retenciones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JR</dc:creator>
  <cp:lastModifiedBy>Lorenza del Rio</cp:lastModifiedBy>
  <cp:lastPrinted>2018-08-01T19:10:40Z</cp:lastPrinted>
  <dcterms:created xsi:type="dcterms:W3CDTF">2016-08-05T22:36:11Z</dcterms:created>
  <dcterms:modified xsi:type="dcterms:W3CDTF">2023-01-31T01:45:04Z</dcterms:modified>
</cp:coreProperties>
</file>